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queryTables/queryTable1.xml" ContentType="application/vnd.openxmlformats-officedocument.spreadsheetml.queryTable+xml"/>
  <Override PartName="/xl/tables/table11.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tables/table12.xml" ContentType="application/vnd.openxmlformats-officedocument.spreadsheetml.table+xml"/>
  <Override PartName="/xl/queryTables/queryTable3.xml" ContentType="application/vnd.openxmlformats-officedocument.spreadsheetml.query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defaultThemeVersion="166925"/>
  <mc:AlternateContent xmlns:mc="http://schemas.openxmlformats.org/markup-compatibility/2006">
    <mc:Choice Requires="x15">
      <x15ac:absPath xmlns:x15ac="http://schemas.microsoft.com/office/spreadsheetml/2010/11/ac" url="G:\NITFA\Results\Season2023_24\"/>
    </mc:Choice>
  </mc:AlternateContent>
  <xr:revisionPtr revIDLastSave="0" documentId="8_{AB4A4B9D-B27C-4B12-83F8-05D0E2F98D77}" xr6:coauthVersionLast="47" xr6:coauthVersionMax="47" xr10:uidLastSave="{00000000-0000-0000-0000-000000000000}"/>
  <bookViews>
    <workbookView xWindow="-120" yWindow="-120" windowWidth="29040" windowHeight="15840" tabRatio="782" firstSheet="1" activeTab="9" xr2:uid="{00000000-000D-0000-FFFF-FFFF00000000}"/>
  </bookViews>
  <sheets>
    <sheet name="Things not to forget" sheetId="29" r:id="rId1"/>
    <sheet name="Tournament Details" sheetId="2" r:id="rId2"/>
    <sheet name="Open" sheetId="3" r:id="rId3"/>
    <sheet name="Veterans" sheetId="38" r:id="rId4"/>
    <sheet name="Ladies" sheetId="39" r:id="rId5"/>
    <sheet name="U20" sheetId="40" r:id="rId6"/>
    <sheet name="U16" sheetId="41" r:id="rId7"/>
    <sheet name="U12" sheetId="42" r:id="rId8"/>
    <sheet name="Team" sheetId="9" r:id="rId9"/>
    <sheet name="Results Individuals" sheetId="27" r:id="rId10"/>
    <sheet name="Results Teams" sheetId="28" r:id="rId11"/>
    <sheet name="Players" sheetId="12" r:id="rId12"/>
    <sheet name="Clubs" sheetId="11" r:id="rId13"/>
    <sheet name="PlayersByClub" sheetId="30" r:id="rId14"/>
    <sheet name="Nations" sheetId="14" r:id="rId15"/>
    <sheet name="Param" sheetId="26" r:id="rId16"/>
    <sheet name="Versions" sheetId="31" r:id="rId17"/>
  </sheets>
  <definedNames>
    <definedName name="_xlnm._FilterDatabase" localSheetId="12" hidden="1">'Clubs'!$A$1:$F$357</definedName>
    <definedName name="CritClassEq_DiffPart">Param!$U$35</definedName>
    <definedName name="CritClassEq_GoalPart">Param!$U$38</definedName>
    <definedName name="CritClassEq_IndsPart">Param!$U$36</definedName>
    <definedName name="CritClassEq_ScorePart">Param!$U$39</definedName>
    <definedName name="CritClassEq_WinsPart">Param!$U$37</definedName>
    <definedName name="CritClassEq1_Attaque">Param!$U$33</definedName>
    <definedName name="CritClassEq1_DiffButs">Param!$U$31</definedName>
    <definedName name="CritClassEq1_DiffMatches">Param!$U$30</definedName>
    <definedName name="CritClassEq1_DiffRencontres">Param!$U$29</definedName>
    <definedName name="CritClassEq1_Matches">Param!$U$32</definedName>
    <definedName name="CritClassEq1_Points">Param!$U$28</definedName>
    <definedName name="CritClassEq2_Attaque">Param!$U$46</definedName>
    <definedName name="CritClassEq2_DiffButs">Param!$U$44</definedName>
    <definedName name="CritClassEq2_DiffMatches">Param!$U$43</definedName>
    <definedName name="CritClassEq2_DiffRencontres">Param!$U$42</definedName>
    <definedName name="CritClassEq2_Matches">Param!$U$45</definedName>
    <definedName name="CritClassEq2_Points">Param!$U$41</definedName>
    <definedName name="CritClassInd_DiffPart">Param!$U$14</definedName>
    <definedName name="CritClassInd_GoalPart">Param!$U$15</definedName>
    <definedName name="CritClassInd_Ranking">Param!$U$23</definedName>
    <definedName name="CritClassInd_ScorePart">Param!$U$16</definedName>
    <definedName name="CritClassInd1_Attaque">Param!$U$12</definedName>
    <definedName name="CritClassInd1_DiffButs">Param!$U$10</definedName>
    <definedName name="CritClassInd1_Matches">Param!$U$11</definedName>
    <definedName name="CritClassInd1_Points">Param!$U$9</definedName>
    <definedName name="CritClassInd2_Attaque">Param!$U$21</definedName>
    <definedName name="CritClassInd2_DiffButs">Param!$U$19</definedName>
    <definedName name="CritClassInd2_Matches">Param!$U$20</definedName>
    <definedName name="CritClassInd2_Points">Param!$U$18</definedName>
    <definedName name="DonnéesExternes_1" localSheetId="12" hidden="1">'Clubs'!$A$1:$F$357</definedName>
    <definedName name="DonnéesExternes_1" localSheetId="14" hidden="1">Nations!$A$1:$B$253</definedName>
    <definedName name="DonnéesExternes_1" localSheetId="11" hidden="1">Players!$A$1:$N$3995</definedName>
    <definedName name="Event_End_Date">'Tournament Details'!$H$9</definedName>
    <definedName name="Event_Start_Date">'Tournament Details'!$F$9</definedName>
    <definedName name="Points_Null">Param!$S$4</definedName>
    <definedName name="Points_Victoire">Param!$S$3</definedName>
    <definedName name="_xlnm.Print_Area" localSheetId="4">Ladies!$A$10:$L$125</definedName>
    <definedName name="_xlnm.Print_Area" localSheetId="2">Open!$A$10:$L$125</definedName>
    <definedName name="_xlnm.Print_Area" localSheetId="9">'Results Individuals'!$A$20:$BE$1140</definedName>
    <definedName name="_xlnm.Print_Area" localSheetId="10">'Results Teams'!$A$24:$AC$921</definedName>
    <definedName name="_xlnm.Print_Area" localSheetId="8">Team!$A$8:$J$73</definedName>
    <definedName name="_xlnm.Print_Area" localSheetId="7">'U12'!$A$10:$L$125</definedName>
    <definedName name="_xlnm.Print_Area" localSheetId="6">'U16'!$A$10:$L$125</definedName>
    <definedName name="_xlnm.Print_Area" localSheetId="5">'U20'!$A$10:$L$125</definedName>
    <definedName name="_xlnm.Print_Area" localSheetId="3">Veterans!$A$10:$L$125</definedName>
    <definedName name="_xlnm.Print_Titles" localSheetId="4">Ladies!$10:$11</definedName>
    <definedName name="_xlnm.Print_Titles" localSheetId="2">Open!$10:$11</definedName>
    <definedName name="_xlnm.Print_Titles" localSheetId="9">'Results Individuals'!$20:$21</definedName>
    <definedName name="_xlnm.Print_Titles" localSheetId="10">'Results Teams'!$24:$25</definedName>
    <definedName name="_xlnm.Print_Titles" localSheetId="8">Team!$8:$9</definedName>
    <definedName name="_xlnm.Print_Titles" localSheetId="1">'Tournament Details'!$1:$2</definedName>
    <definedName name="_xlnm.Print_Titles" localSheetId="7">'U12'!$10:$11</definedName>
    <definedName name="_xlnm.Print_Titles" localSheetId="6">'U16'!$10:$11</definedName>
    <definedName name="_xlnm.Print_Titles" localSheetId="5">'U20'!$10:$11</definedName>
    <definedName name="_xlnm.Print_Titles" localSheetId="3">Veterans!$10:$11</definedName>
  </definedNames>
  <calcPr calcId="191029"/>
  <pivotCaches>
    <pivotCache cacheId="0"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5" i="28" l="1"/>
  <c r="N569" i="27" l="1"/>
  <c r="O569" i="27"/>
  <c r="V569" i="27"/>
  <c r="N184" i="27"/>
  <c r="O184" i="27"/>
  <c r="M569" i="27" l="1"/>
  <c r="U569" i="27" s="1"/>
  <c r="M184" i="27"/>
  <c r="R184" i="27" s="1"/>
  <c r="T184" i="27"/>
  <c r="U184" i="27"/>
  <c r="V184" i="27"/>
  <c r="W184" i="27"/>
  <c r="X184" i="27"/>
  <c r="A126" i="38"/>
  <c r="A127" i="38"/>
  <c r="A128" i="38"/>
  <c r="A129" i="38"/>
  <c r="A130" i="38"/>
  <c r="A131" i="38"/>
  <c r="A132" i="38"/>
  <c r="A133" i="38"/>
  <c r="A134" i="38"/>
  <c r="A135" i="38"/>
  <c r="A136" i="38"/>
  <c r="A137" i="38"/>
  <c r="A138" i="38"/>
  <c r="A139" i="38"/>
  <c r="A140" i="38"/>
  <c r="A141" i="38"/>
  <c r="A142" i="38"/>
  <c r="A143" i="38"/>
  <c r="A144" i="38"/>
  <c r="A145" i="38"/>
  <c r="A146" i="38"/>
  <c r="A147" i="38"/>
  <c r="A148" i="38"/>
  <c r="A149" i="38"/>
  <c r="A150" i="38"/>
  <c r="A151" i="38"/>
  <c r="A152"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F126" i="38"/>
  <c r="G126" i="38" s="1"/>
  <c r="F127" i="38"/>
  <c r="G127" i="38" s="1"/>
  <c r="F128" i="38"/>
  <c r="G128" i="38" s="1"/>
  <c r="F129" i="38"/>
  <c r="H129" i="38" s="1"/>
  <c r="F130" i="38"/>
  <c r="G130" i="38" s="1"/>
  <c r="F131" i="38"/>
  <c r="G131" i="38" s="1"/>
  <c r="F132" i="38"/>
  <c r="G132" i="38" s="1"/>
  <c r="F133" i="38"/>
  <c r="I133" i="38" s="1"/>
  <c r="F134" i="38"/>
  <c r="H134" i="38" s="1"/>
  <c r="F135" i="38"/>
  <c r="H135" i="38" s="1"/>
  <c r="F136" i="38"/>
  <c r="G136" i="38" s="1"/>
  <c r="F137" i="38"/>
  <c r="H137" i="38" s="1"/>
  <c r="F138" i="38"/>
  <c r="I138" i="38" s="1"/>
  <c r="F139" i="38"/>
  <c r="G139" i="38" s="1"/>
  <c r="F140" i="38"/>
  <c r="G140" i="38" s="1"/>
  <c r="F141" i="38"/>
  <c r="I141" i="38" s="1"/>
  <c r="F142" i="38"/>
  <c r="G142" i="38" s="1"/>
  <c r="F143" i="38"/>
  <c r="I143" i="38" s="1"/>
  <c r="F144" i="38"/>
  <c r="H144" i="38" s="1"/>
  <c r="F145" i="38"/>
  <c r="H145" i="38" s="1"/>
  <c r="F146" i="38"/>
  <c r="G146" i="38" s="1"/>
  <c r="F147" i="38"/>
  <c r="G147" i="38" s="1"/>
  <c r="F148" i="38"/>
  <c r="I148" i="38" s="1"/>
  <c r="F149" i="38"/>
  <c r="I149" i="38" s="1"/>
  <c r="F150" i="38"/>
  <c r="H150" i="38" s="1"/>
  <c r="F151" i="38"/>
  <c r="G151" i="38" s="1"/>
  <c r="F152" i="38"/>
  <c r="G152" i="38" s="1"/>
  <c r="G138" i="38"/>
  <c r="H130" i="38"/>
  <c r="H142" i="38"/>
  <c r="I126" i="38"/>
  <c r="I146" i="38"/>
  <c r="A138" i="3"/>
  <c r="A139" i="3"/>
  <c r="A140" i="3"/>
  <c r="A141" i="3"/>
  <c r="A142" i="3"/>
  <c r="A143" i="3"/>
  <c r="A144" i="3"/>
  <c r="A145" i="3"/>
  <c r="A146" i="3"/>
  <c r="A147" i="3"/>
  <c r="A148" i="3"/>
  <c r="A149" i="3"/>
  <c r="A150" i="3"/>
  <c r="A151" i="3"/>
  <c r="A152" i="3"/>
  <c r="D138" i="3"/>
  <c r="D139" i="3"/>
  <c r="D140" i="3"/>
  <c r="D141" i="3"/>
  <c r="D142" i="3"/>
  <c r="D143" i="3"/>
  <c r="D144" i="3"/>
  <c r="D145" i="3"/>
  <c r="D146" i="3"/>
  <c r="D147" i="3"/>
  <c r="D148" i="3"/>
  <c r="D149" i="3"/>
  <c r="D150" i="3"/>
  <c r="D151" i="3"/>
  <c r="D152" i="3"/>
  <c r="E138" i="3"/>
  <c r="E139" i="3"/>
  <c r="E140" i="3"/>
  <c r="E141" i="3"/>
  <c r="E142" i="3"/>
  <c r="E143" i="3"/>
  <c r="E144" i="3"/>
  <c r="E145" i="3"/>
  <c r="E146" i="3"/>
  <c r="E147" i="3"/>
  <c r="E148" i="3"/>
  <c r="E149" i="3"/>
  <c r="E150" i="3"/>
  <c r="E151" i="3"/>
  <c r="E152" i="3"/>
  <c r="F138" i="3"/>
  <c r="I138" i="3" s="1"/>
  <c r="F139" i="3"/>
  <c r="I139" i="3" s="1"/>
  <c r="F140" i="3"/>
  <c r="G140" i="3" s="1"/>
  <c r="F141" i="3"/>
  <c r="I141" i="3" s="1"/>
  <c r="F142" i="3"/>
  <c r="H142" i="3" s="1"/>
  <c r="F143" i="3"/>
  <c r="H143" i="3" s="1"/>
  <c r="F144" i="3"/>
  <c r="H144" i="3" s="1"/>
  <c r="F145" i="3"/>
  <c r="I145" i="3" s="1"/>
  <c r="F146" i="3"/>
  <c r="I146" i="3" s="1"/>
  <c r="F147" i="3"/>
  <c r="I147" i="3" s="1"/>
  <c r="F148" i="3"/>
  <c r="H148" i="3" s="1"/>
  <c r="F149" i="3"/>
  <c r="I149" i="3" s="1"/>
  <c r="F150" i="3"/>
  <c r="H150" i="3" s="1"/>
  <c r="F151" i="3"/>
  <c r="H151" i="3" s="1"/>
  <c r="F152" i="3"/>
  <c r="G152" i="3" s="1"/>
  <c r="A126" i="3"/>
  <c r="A127" i="3"/>
  <c r="A128" i="3"/>
  <c r="A129" i="3"/>
  <c r="A130" i="3"/>
  <c r="A131" i="3"/>
  <c r="A132" i="3"/>
  <c r="A133" i="3"/>
  <c r="A134" i="3"/>
  <c r="A135" i="3"/>
  <c r="A136" i="3"/>
  <c r="A137" i="3"/>
  <c r="D126" i="3"/>
  <c r="D127" i="3"/>
  <c r="D128" i="3"/>
  <c r="D129" i="3"/>
  <c r="D130" i="3"/>
  <c r="D131" i="3"/>
  <c r="D132" i="3"/>
  <c r="D133" i="3"/>
  <c r="D134" i="3"/>
  <c r="D135" i="3"/>
  <c r="D136" i="3"/>
  <c r="D137" i="3"/>
  <c r="E126" i="3"/>
  <c r="E127" i="3"/>
  <c r="E128" i="3"/>
  <c r="E129" i="3"/>
  <c r="E130" i="3"/>
  <c r="E131" i="3"/>
  <c r="E132" i="3"/>
  <c r="E133" i="3"/>
  <c r="E134" i="3"/>
  <c r="E135" i="3"/>
  <c r="E136" i="3"/>
  <c r="E137" i="3"/>
  <c r="F126" i="3"/>
  <c r="G126" i="3" s="1"/>
  <c r="F127" i="3"/>
  <c r="G127" i="3" s="1"/>
  <c r="F128" i="3"/>
  <c r="G128" i="3" s="1"/>
  <c r="F129" i="3"/>
  <c r="G129" i="3" s="1"/>
  <c r="F130" i="3"/>
  <c r="H130" i="3" s="1"/>
  <c r="F131" i="3"/>
  <c r="G131" i="3" s="1"/>
  <c r="F132" i="3"/>
  <c r="G132" i="3" s="1"/>
  <c r="F133" i="3"/>
  <c r="H133" i="3" s="1"/>
  <c r="F134" i="3"/>
  <c r="G134" i="3" s="1"/>
  <c r="F135" i="3"/>
  <c r="H135" i="3" s="1"/>
  <c r="F136" i="3"/>
  <c r="I136" i="3" s="1"/>
  <c r="F137" i="3"/>
  <c r="G137" i="3" s="1"/>
  <c r="G130" i="3"/>
  <c r="AB598" i="27"/>
  <c r="AB589" i="27"/>
  <c r="AB580" i="27"/>
  <c r="AB571" i="27"/>
  <c r="AB562" i="27"/>
  <c r="AB553" i="27"/>
  <c r="AB544" i="27"/>
  <c r="AB535" i="27"/>
  <c r="AB526" i="27"/>
  <c r="AB517" i="27"/>
  <c r="AB22" i="27"/>
  <c r="AH341" i="28"/>
  <c r="AH332" i="28"/>
  <c r="AH323" i="28"/>
  <c r="AH314" i="28"/>
  <c r="AH269" i="28"/>
  <c r="AH260" i="28"/>
  <c r="AH251" i="28"/>
  <c r="AH233" i="28"/>
  <c r="AH188" i="28"/>
  <c r="AH179" i="28"/>
  <c r="AH170" i="28"/>
  <c r="AH161" i="28"/>
  <c r="AH143" i="28"/>
  <c r="AH134" i="28"/>
  <c r="AH125" i="28"/>
  <c r="AH107" i="28"/>
  <c r="AH98" i="28"/>
  <c r="AH89" i="28"/>
  <c r="AH80" i="28"/>
  <c r="AH62" i="28"/>
  <c r="AH53" i="28"/>
  <c r="AH44" i="28"/>
  <c r="G4" i="2"/>
  <c r="S184" i="27" l="1"/>
  <c r="I131" i="38"/>
  <c r="T569" i="27"/>
  <c r="R569" i="27"/>
  <c r="I135" i="38"/>
  <c r="I150" i="38"/>
  <c r="I142" i="38"/>
  <c r="I134" i="38"/>
  <c r="I130" i="38"/>
  <c r="H146" i="38"/>
  <c r="H138" i="38"/>
  <c r="H126" i="38"/>
  <c r="G134" i="38"/>
  <c r="H138" i="3"/>
  <c r="I147" i="38"/>
  <c r="H147" i="38"/>
  <c r="H131" i="38"/>
  <c r="H127" i="38"/>
  <c r="G143" i="38"/>
  <c r="G135" i="38"/>
  <c r="H140" i="3"/>
  <c r="G142" i="3"/>
  <c r="I150" i="3"/>
  <c r="G148" i="3"/>
  <c r="I140" i="3"/>
  <c r="I151" i="38"/>
  <c r="H143" i="38"/>
  <c r="S569" i="27"/>
  <c r="I136" i="38"/>
  <c r="H132" i="38"/>
  <c r="G144" i="38"/>
  <c r="I152" i="38"/>
  <c r="H148" i="38"/>
  <c r="G150" i="38"/>
  <c r="I152" i="3"/>
  <c r="I140" i="38"/>
  <c r="H136" i="38"/>
  <c r="I133" i="3"/>
  <c r="H152" i="3"/>
  <c r="G144" i="3"/>
  <c r="H152" i="38"/>
  <c r="G148" i="38"/>
  <c r="I148" i="3"/>
  <c r="I144" i="38"/>
  <c r="I139" i="38"/>
  <c r="I128" i="38"/>
  <c r="H151" i="38"/>
  <c r="H140" i="38"/>
  <c r="I144" i="3"/>
  <c r="G150" i="3"/>
  <c r="I132" i="38"/>
  <c r="I127" i="38"/>
  <c r="H139" i="38"/>
  <c r="H128" i="38"/>
  <c r="G146" i="3"/>
  <c r="G138" i="3"/>
  <c r="I142" i="3"/>
  <c r="H146" i="3"/>
  <c r="G135" i="3"/>
  <c r="I135" i="3"/>
  <c r="H131" i="3"/>
  <c r="H149" i="3"/>
  <c r="H141" i="3"/>
  <c r="I130" i="3"/>
  <c r="H145" i="3"/>
  <c r="I134" i="3"/>
  <c r="H134" i="3"/>
  <c r="G133" i="3"/>
  <c r="H127" i="3"/>
  <c r="I127" i="3"/>
  <c r="H126" i="3"/>
  <c r="I126" i="3"/>
  <c r="G145" i="38"/>
  <c r="G137" i="38"/>
  <c r="G129" i="38"/>
  <c r="H149" i="38"/>
  <c r="H141" i="38"/>
  <c r="H133" i="38"/>
  <c r="I145" i="38"/>
  <c r="I137" i="38"/>
  <c r="I129" i="38"/>
  <c r="G149" i="38"/>
  <c r="G141" i="38"/>
  <c r="G133" i="38"/>
  <c r="H136" i="3"/>
  <c r="H128" i="3"/>
  <c r="I151" i="3"/>
  <c r="I143" i="3"/>
  <c r="G149" i="3"/>
  <c r="G141" i="3"/>
  <c r="G147" i="3"/>
  <c r="G139" i="3"/>
  <c r="G136" i="3"/>
  <c r="H147" i="3"/>
  <c r="H139" i="3"/>
  <c r="I128" i="3"/>
  <c r="H132" i="3"/>
  <c r="G145" i="3"/>
  <c r="G151" i="3"/>
  <c r="G143" i="3"/>
  <c r="H137" i="3"/>
  <c r="H129" i="3"/>
  <c r="I132" i="3"/>
  <c r="I131" i="3"/>
  <c r="I137" i="3"/>
  <c r="I129" i="3"/>
  <c r="V3" i="27"/>
  <c r="V2" i="27" s="1"/>
  <c r="T3" i="27"/>
  <c r="T2" i="27" s="1"/>
  <c r="S3" i="27"/>
  <c r="S2" i="27" s="1"/>
  <c r="V5" i="27"/>
  <c r="U5" i="27"/>
  <c r="T5" i="27"/>
  <c r="S5" i="27"/>
  <c r="R5" i="27"/>
  <c r="Q5" i="27"/>
  <c r="BD342" i="28"/>
  <c r="BC342" i="28"/>
  <c r="BB342" i="28"/>
  <c r="BA342" i="28"/>
  <c r="AZ342" i="28"/>
  <c r="BD333" i="28"/>
  <c r="BC333" i="28"/>
  <c r="BB333" i="28"/>
  <c r="BA333" i="28"/>
  <c r="AZ333" i="28"/>
  <c r="BD324" i="28"/>
  <c r="BC324" i="28"/>
  <c r="BB324" i="28"/>
  <c r="BA324" i="28"/>
  <c r="AZ324" i="28"/>
  <c r="BD315" i="28"/>
  <c r="BC315" i="28"/>
  <c r="BB315" i="28"/>
  <c r="BA315" i="28"/>
  <c r="AZ315" i="28"/>
  <c r="BD270" i="28"/>
  <c r="BC270" i="28"/>
  <c r="BB270" i="28"/>
  <c r="BA270" i="28"/>
  <c r="AZ270" i="28"/>
  <c r="BD261" i="28"/>
  <c r="BC261" i="28"/>
  <c r="BB261" i="28"/>
  <c r="BA261" i="28"/>
  <c r="AZ261" i="28"/>
  <c r="BD252" i="28"/>
  <c r="BC252" i="28"/>
  <c r="BB252" i="28"/>
  <c r="BA252" i="28"/>
  <c r="AZ252" i="28"/>
  <c r="BD234" i="28"/>
  <c r="BC234" i="28"/>
  <c r="BB234" i="28"/>
  <c r="BA234" i="28"/>
  <c r="AZ234" i="28"/>
  <c r="BD225" i="28"/>
  <c r="BC225" i="28"/>
  <c r="BB225" i="28"/>
  <c r="BA225" i="28"/>
  <c r="AZ225" i="28"/>
  <c r="BD216" i="28"/>
  <c r="BC216" i="28"/>
  <c r="BB216" i="28"/>
  <c r="BA216" i="28"/>
  <c r="AZ216" i="28"/>
  <c r="BD207" i="28"/>
  <c r="BC207" i="28"/>
  <c r="BB207" i="28"/>
  <c r="BA207" i="28"/>
  <c r="AZ207" i="28"/>
  <c r="BD189" i="28"/>
  <c r="BC189" i="28"/>
  <c r="BB189" i="28"/>
  <c r="BA189" i="28"/>
  <c r="AZ189" i="28"/>
  <c r="BD180" i="28"/>
  <c r="BC180" i="28"/>
  <c r="BB180" i="28"/>
  <c r="BA180" i="28"/>
  <c r="AZ180" i="28"/>
  <c r="BD171" i="28"/>
  <c r="BC171" i="28"/>
  <c r="BB171" i="28"/>
  <c r="BA171" i="28"/>
  <c r="AZ171" i="28"/>
  <c r="BD162" i="28"/>
  <c r="BC162" i="28"/>
  <c r="BB162" i="28"/>
  <c r="BA162" i="28"/>
  <c r="AZ162" i="28"/>
  <c r="BD153" i="28"/>
  <c r="BC153" i="28"/>
  <c r="BB153" i="28"/>
  <c r="BA153" i="28"/>
  <c r="AZ153" i="28"/>
  <c r="BD144" i="28"/>
  <c r="BC144" i="28"/>
  <c r="BB144" i="28"/>
  <c r="BA144" i="28"/>
  <c r="AZ144" i="28"/>
  <c r="BD135" i="28"/>
  <c r="BC135" i="28"/>
  <c r="BB135" i="28"/>
  <c r="BA135" i="28"/>
  <c r="AZ135" i="28"/>
  <c r="BD126" i="28"/>
  <c r="BC126" i="28"/>
  <c r="BB126" i="28"/>
  <c r="BA126" i="28"/>
  <c r="AZ126" i="28"/>
  <c r="BD108" i="28"/>
  <c r="BC108" i="28"/>
  <c r="BB108" i="28"/>
  <c r="BA108" i="28"/>
  <c r="AZ108" i="28"/>
  <c r="BD99" i="28"/>
  <c r="BC99" i="28"/>
  <c r="BB99" i="28"/>
  <c r="BA99" i="28"/>
  <c r="AZ99" i="28"/>
  <c r="BD90" i="28"/>
  <c r="BC90" i="28"/>
  <c r="BB90" i="28"/>
  <c r="BA90" i="28"/>
  <c r="AZ90" i="28"/>
  <c r="BD81" i="28"/>
  <c r="BC81" i="28"/>
  <c r="BB81" i="28"/>
  <c r="BA81" i="28"/>
  <c r="AZ81" i="28"/>
  <c r="BD63" i="28"/>
  <c r="BC63" i="28"/>
  <c r="BB63" i="28"/>
  <c r="BA63" i="28"/>
  <c r="AZ63" i="28"/>
  <c r="BD54" i="28"/>
  <c r="BC54" i="28"/>
  <c r="BB54" i="28"/>
  <c r="BA54" i="28"/>
  <c r="AZ54" i="28"/>
  <c r="BD45" i="28"/>
  <c r="BC45" i="28"/>
  <c r="BB45" i="28"/>
  <c r="BA45" i="28"/>
  <c r="AZ45" i="28"/>
  <c r="BD36" i="28"/>
  <c r="BC36" i="28"/>
  <c r="BA36" i="28"/>
  <c r="AZ36" i="28"/>
  <c r="BB36" i="28" s="1"/>
  <c r="F125" i="42"/>
  <c r="I125" i="42" s="1"/>
  <c r="E125" i="42"/>
  <c r="F124" i="42"/>
  <c r="I124" i="42" s="1"/>
  <c r="E124" i="42"/>
  <c r="F123" i="42"/>
  <c r="I123" i="42" s="1"/>
  <c r="E123" i="42"/>
  <c r="F122" i="42"/>
  <c r="I122" i="42" s="1"/>
  <c r="E122" i="42"/>
  <c r="F121" i="42"/>
  <c r="I121" i="42" s="1"/>
  <c r="E121" i="42"/>
  <c r="F120" i="42"/>
  <c r="I120" i="42" s="1"/>
  <c r="E120" i="42"/>
  <c r="F119" i="42"/>
  <c r="I119" i="42" s="1"/>
  <c r="E119" i="42"/>
  <c r="F118" i="42"/>
  <c r="E118" i="42"/>
  <c r="F117" i="42"/>
  <c r="E117" i="42"/>
  <c r="F116" i="42"/>
  <c r="E116" i="42"/>
  <c r="F115" i="42"/>
  <c r="E115" i="42"/>
  <c r="F114" i="42"/>
  <c r="E114" i="42"/>
  <c r="F113" i="42"/>
  <c r="E113" i="42"/>
  <c r="F112" i="42"/>
  <c r="E112" i="42"/>
  <c r="F111" i="42"/>
  <c r="E111" i="42"/>
  <c r="F110" i="42"/>
  <c r="E110" i="42"/>
  <c r="F109" i="42"/>
  <c r="E109" i="42"/>
  <c r="F108" i="42"/>
  <c r="E108" i="42"/>
  <c r="F107" i="42"/>
  <c r="E107" i="42"/>
  <c r="F106" i="42"/>
  <c r="E106" i="42"/>
  <c r="F105" i="42"/>
  <c r="E105" i="42"/>
  <c r="F104" i="42"/>
  <c r="E104" i="42"/>
  <c r="F103" i="42"/>
  <c r="E103" i="42"/>
  <c r="F102" i="42"/>
  <c r="E102" i="42"/>
  <c r="F101" i="42"/>
  <c r="E101" i="42"/>
  <c r="F100" i="42"/>
  <c r="E100" i="42"/>
  <c r="F99" i="42"/>
  <c r="E99" i="42"/>
  <c r="F98" i="42"/>
  <c r="E98" i="42"/>
  <c r="F97" i="42"/>
  <c r="E97" i="42"/>
  <c r="F96" i="42"/>
  <c r="E96" i="42"/>
  <c r="F95" i="42"/>
  <c r="E95" i="42"/>
  <c r="F94" i="42"/>
  <c r="E94" i="42"/>
  <c r="F93" i="42"/>
  <c r="E93" i="42"/>
  <c r="F92" i="42"/>
  <c r="H92" i="42" s="1"/>
  <c r="E92" i="42"/>
  <c r="F91" i="42"/>
  <c r="I91" i="42" s="1"/>
  <c r="E91" i="42"/>
  <c r="F90" i="42"/>
  <c r="I90" i="42" s="1"/>
  <c r="E90" i="42"/>
  <c r="F89" i="42"/>
  <c r="I89" i="42" s="1"/>
  <c r="E89" i="42"/>
  <c r="F88" i="42"/>
  <c r="I88" i="42" s="1"/>
  <c r="E88" i="42"/>
  <c r="F87" i="42"/>
  <c r="H87" i="42" s="1"/>
  <c r="E87" i="42"/>
  <c r="F86" i="42"/>
  <c r="G86" i="42" s="1"/>
  <c r="E86" i="42"/>
  <c r="F85" i="42"/>
  <c r="E85" i="42"/>
  <c r="F84" i="42"/>
  <c r="H84" i="42" s="1"/>
  <c r="E84" i="42"/>
  <c r="F83" i="42"/>
  <c r="I83" i="42" s="1"/>
  <c r="E83" i="42"/>
  <c r="F82" i="42"/>
  <c r="I82" i="42" s="1"/>
  <c r="E82" i="42"/>
  <c r="F81" i="42"/>
  <c r="I81" i="42" s="1"/>
  <c r="E81" i="42"/>
  <c r="F80" i="42"/>
  <c r="I80" i="42" s="1"/>
  <c r="E80" i="42"/>
  <c r="F79" i="42"/>
  <c r="I79" i="42" s="1"/>
  <c r="E79" i="42"/>
  <c r="F78" i="42"/>
  <c r="I78" i="42" s="1"/>
  <c r="E78" i="42"/>
  <c r="F77" i="42"/>
  <c r="H77" i="42" s="1"/>
  <c r="E77" i="42"/>
  <c r="F76" i="42"/>
  <c r="I76" i="42" s="1"/>
  <c r="E76" i="42"/>
  <c r="F75" i="42"/>
  <c r="I75" i="42" s="1"/>
  <c r="E75" i="42"/>
  <c r="F74" i="42"/>
  <c r="I74" i="42" s="1"/>
  <c r="E74" i="42"/>
  <c r="F73" i="42"/>
  <c r="E73" i="42"/>
  <c r="F72" i="42"/>
  <c r="I72" i="42" s="1"/>
  <c r="E72" i="42"/>
  <c r="F71" i="42"/>
  <c r="H71" i="42" s="1"/>
  <c r="E71" i="42"/>
  <c r="F70" i="42"/>
  <c r="I70" i="42" s="1"/>
  <c r="E70" i="42"/>
  <c r="F69" i="42"/>
  <c r="H69" i="42" s="1"/>
  <c r="E69" i="42"/>
  <c r="F68" i="42"/>
  <c r="I68" i="42" s="1"/>
  <c r="E68" i="42"/>
  <c r="F67" i="42"/>
  <c r="H67" i="42" s="1"/>
  <c r="E67" i="42"/>
  <c r="F66" i="42"/>
  <c r="I66" i="42" s="1"/>
  <c r="E66" i="42"/>
  <c r="F65" i="42"/>
  <c r="I65" i="42" s="1"/>
  <c r="E65" i="42"/>
  <c r="F64" i="42"/>
  <c r="I64" i="42" s="1"/>
  <c r="E64" i="42"/>
  <c r="F63" i="42"/>
  <c r="G63" i="42" s="1"/>
  <c r="E63" i="42"/>
  <c r="F62" i="42"/>
  <c r="I62" i="42" s="1"/>
  <c r="E62" i="42"/>
  <c r="F61" i="42"/>
  <c r="I61" i="42" s="1"/>
  <c r="E61" i="42"/>
  <c r="F60" i="42"/>
  <c r="H60" i="42" s="1"/>
  <c r="E60" i="42"/>
  <c r="F59" i="42"/>
  <c r="G59" i="42" s="1"/>
  <c r="E59" i="42"/>
  <c r="F58" i="42"/>
  <c r="I58" i="42" s="1"/>
  <c r="E58" i="42"/>
  <c r="F57" i="42"/>
  <c r="I57" i="42" s="1"/>
  <c r="E57" i="42"/>
  <c r="F56" i="42"/>
  <c r="I56" i="42" s="1"/>
  <c r="E56" i="42"/>
  <c r="F55" i="42"/>
  <c r="G55" i="42" s="1"/>
  <c r="E55" i="42"/>
  <c r="F54" i="42"/>
  <c r="H54" i="42" s="1"/>
  <c r="E54" i="42"/>
  <c r="F53" i="42"/>
  <c r="H53" i="42" s="1"/>
  <c r="E53" i="42"/>
  <c r="F52" i="42"/>
  <c r="H52" i="42" s="1"/>
  <c r="E52" i="42"/>
  <c r="F51" i="42"/>
  <c r="I51" i="42" s="1"/>
  <c r="E51" i="42"/>
  <c r="F50" i="42"/>
  <c r="I50" i="42" s="1"/>
  <c r="E50" i="42"/>
  <c r="F49" i="42"/>
  <c r="I49" i="42" s="1"/>
  <c r="E49" i="42"/>
  <c r="F48" i="42"/>
  <c r="I48" i="42" s="1"/>
  <c r="E48" i="42"/>
  <c r="F47" i="42"/>
  <c r="I47" i="42" s="1"/>
  <c r="E47" i="42"/>
  <c r="F46" i="42"/>
  <c r="I46" i="42" s="1"/>
  <c r="E46" i="42"/>
  <c r="F45" i="42"/>
  <c r="H45" i="42" s="1"/>
  <c r="E45" i="42"/>
  <c r="F44" i="42"/>
  <c r="I44" i="42" s="1"/>
  <c r="E44" i="42"/>
  <c r="F43" i="42"/>
  <c r="I43" i="42" s="1"/>
  <c r="E43" i="42"/>
  <c r="F42" i="42"/>
  <c r="I42" i="42" s="1"/>
  <c r="E42" i="42"/>
  <c r="F41" i="42"/>
  <c r="I41" i="42" s="1"/>
  <c r="E41" i="42"/>
  <c r="F40" i="42"/>
  <c r="G40" i="42" s="1"/>
  <c r="E40" i="42"/>
  <c r="F39" i="42"/>
  <c r="G39" i="42" s="1"/>
  <c r="E39" i="42"/>
  <c r="F38" i="42"/>
  <c r="I38" i="42" s="1"/>
  <c r="E38" i="42"/>
  <c r="F37" i="42"/>
  <c r="G37" i="42" s="1"/>
  <c r="E37" i="42"/>
  <c r="F36" i="42"/>
  <c r="G36" i="42" s="1"/>
  <c r="E36" i="42"/>
  <c r="F35" i="42"/>
  <c r="I35" i="42" s="1"/>
  <c r="E35" i="42"/>
  <c r="F34" i="42"/>
  <c r="I34" i="42" s="1"/>
  <c r="E34" i="42"/>
  <c r="F33" i="42"/>
  <c r="G33" i="42" s="1"/>
  <c r="E33" i="42"/>
  <c r="F32" i="42"/>
  <c r="G32" i="42" s="1"/>
  <c r="E32" i="42"/>
  <c r="F31" i="42"/>
  <c r="G31" i="42" s="1"/>
  <c r="E31" i="42"/>
  <c r="F30" i="42"/>
  <c r="I30" i="42" s="1"/>
  <c r="E30" i="42"/>
  <c r="F29" i="42"/>
  <c r="G29" i="42" s="1"/>
  <c r="E29" i="42"/>
  <c r="F28" i="42"/>
  <c r="I28" i="42" s="1"/>
  <c r="E28" i="42"/>
  <c r="E27" i="42"/>
  <c r="F27" i="42" s="1"/>
  <c r="I27" i="42" s="1"/>
  <c r="E26" i="42"/>
  <c r="F26" i="42" s="1"/>
  <c r="I26" i="42" s="1"/>
  <c r="E25" i="42"/>
  <c r="F25" i="42" s="1"/>
  <c r="I25" i="42" s="1"/>
  <c r="E24" i="42"/>
  <c r="F24" i="42" s="1"/>
  <c r="G24" i="42" s="1"/>
  <c r="E23" i="42"/>
  <c r="F23" i="42" s="1"/>
  <c r="I23" i="42" s="1"/>
  <c r="E22" i="42"/>
  <c r="F22" i="42" s="1"/>
  <c r="I22" i="42" s="1"/>
  <c r="E21" i="42"/>
  <c r="F21" i="42" s="1"/>
  <c r="G21" i="42" s="1"/>
  <c r="E20" i="42"/>
  <c r="F20" i="42" s="1"/>
  <c r="I20" i="42" s="1"/>
  <c r="E19" i="42"/>
  <c r="F19" i="42" s="1"/>
  <c r="I19" i="42" s="1"/>
  <c r="E18" i="42"/>
  <c r="F18" i="42" s="1"/>
  <c r="I18" i="42" s="1"/>
  <c r="E17" i="42"/>
  <c r="F17" i="42" s="1"/>
  <c r="E16" i="42"/>
  <c r="F16" i="42" s="1"/>
  <c r="I16" i="42" s="1"/>
  <c r="E15" i="42"/>
  <c r="F15" i="42" s="1"/>
  <c r="I15" i="42" s="1"/>
  <c r="E14" i="42"/>
  <c r="F14" i="42" s="1"/>
  <c r="I14" i="42" s="1"/>
  <c r="E13" i="42"/>
  <c r="F13" i="42" s="1"/>
  <c r="I13" i="42" s="1"/>
  <c r="E12" i="42"/>
  <c r="F12" i="42" s="1"/>
  <c r="I12" i="42" s="1"/>
  <c r="F125" i="41"/>
  <c r="H125" i="41" s="1"/>
  <c r="E125" i="41"/>
  <c r="F124" i="41"/>
  <c r="I124" i="41" s="1"/>
  <c r="E124" i="41"/>
  <c r="F123" i="41"/>
  <c r="G123" i="41" s="1"/>
  <c r="E123" i="41"/>
  <c r="F122" i="41"/>
  <c r="I122" i="41" s="1"/>
  <c r="E122" i="41"/>
  <c r="F121" i="41"/>
  <c r="H121" i="41" s="1"/>
  <c r="E121" i="41"/>
  <c r="F120" i="41"/>
  <c r="G120" i="41" s="1"/>
  <c r="E120" i="41"/>
  <c r="F119" i="41"/>
  <c r="E119" i="41"/>
  <c r="F118" i="41"/>
  <c r="I118" i="41" s="1"/>
  <c r="E118" i="41"/>
  <c r="F117" i="41"/>
  <c r="H117" i="41" s="1"/>
  <c r="E117" i="41"/>
  <c r="F116" i="41"/>
  <c r="I116" i="41" s="1"/>
  <c r="E116" i="41"/>
  <c r="F115" i="41"/>
  <c r="G115" i="41" s="1"/>
  <c r="E115" i="41"/>
  <c r="F114" i="41"/>
  <c r="I114" i="41" s="1"/>
  <c r="E114" i="41"/>
  <c r="F113" i="41"/>
  <c r="H113" i="41" s="1"/>
  <c r="E113" i="41"/>
  <c r="F112" i="41"/>
  <c r="G112" i="41" s="1"/>
  <c r="E112" i="41"/>
  <c r="F111" i="41"/>
  <c r="G111" i="41" s="1"/>
  <c r="E111" i="41"/>
  <c r="F110" i="41"/>
  <c r="E110" i="41"/>
  <c r="F109" i="41"/>
  <c r="H109" i="41" s="1"/>
  <c r="E109" i="41"/>
  <c r="F108" i="41"/>
  <c r="I108" i="41" s="1"/>
  <c r="E108" i="41"/>
  <c r="F107" i="41"/>
  <c r="G107" i="41" s="1"/>
  <c r="E107" i="41"/>
  <c r="F106" i="41"/>
  <c r="I106" i="41" s="1"/>
  <c r="E106" i="41"/>
  <c r="F105" i="41"/>
  <c r="G105" i="41" s="1"/>
  <c r="E105" i="41"/>
  <c r="F104" i="41"/>
  <c r="I104" i="41" s="1"/>
  <c r="E104" i="41"/>
  <c r="F103" i="41"/>
  <c r="G103" i="41" s="1"/>
  <c r="E103" i="41"/>
  <c r="F102" i="41"/>
  <c r="G102" i="41" s="1"/>
  <c r="E102" i="41"/>
  <c r="F101" i="41"/>
  <c r="H101" i="41" s="1"/>
  <c r="E101" i="41"/>
  <c r="F100" i="41"/>
  <c r="I100" i="41" s="1"/>
  <c r="E100" i="41"/>
  <c r="F99" i="41"/>
  <c r="G99" i="41" s="1"/>
  <c r="E99" i="41"/>
  <c r="F98" i="41"/>
  <c r="I98" i="41" s="1"/>
  <c r="E98" i="41"/>
  <c r="F97" i="41"/>
  <c r="G97" i="41" s="1"/>
  <c r="E97" i="41"/>
  <c r="F96" i="41"/>
  <c r="G96" i="41" s="1"/>
  <c r="E96" i="41"/>
  <c r="F95" i="41"/>
  <c r="E95" i="41"/>
  <c r="F94" i="41"/>
  <c r="I94" i="41" s="1"/>
  <c r="E94" i="41"/>
  <c r="F93" i="41"/>
  <c r="H93" i="41" s="1"/>
  <c r="E93" i="41"/>
  <c r="F92" i="41"/>
  <c r="I92" i="41" s="1"/>
  <c r="E92" i="41"/>
  <c r="F91" i="41"/>
  <c r="G91" i="41" s="1"/>
  <c r="E91" i="41"/>
  <c r="F90" i="41"/>
  <c r="E90" i="41"/>
  <c r="F89" i="41"/>
  <c r="H89" i="41" s="1"/>
  <c r="E89" i="41"/>
  <c r="F88" i="41"/>
  <c r="G88" i="41" s="1"/>
  <c r="E88" i="41"/>
  <c r="F87" i="41"/>
  <c r="G87" i="41" s="1"/>
  <c r="E87" i="41"/>
  <c r="F86" i="41"/>
  <c r="I86" i="41" s="1"/>
  <c r="E86" i="41"/>
  <c r="F85" i="41"/>
  <c r="H85" i="41" s="1"/>
  <c r="E85" i="41"/>
  <c r="F84" i="41"/>
  <c r="I84" i="41" s="1"/>
  <c r="E84" i="41"/>
  <c r="F83" i="41"/>
  <c r="G83" i="41" s="1"/>
  <c r="E83" i="41"/>
  <c r="F82" i="41"/>
  <c r="I82" i="41" s="1"/>
  <c r="E82" i="41"/>
  <c r="F81" i="41"/>
  <c r="H81" i="41" s="1"/>
  <c r="E81" i="41"/>
  <c r="F80" i="41"/>
  <c r="G80" i="41" s="1"/>
  <c r="E80" i="41"/>
  <c r="F79" i="41"/>
  <c r="G79" i="41" s="1"/>
  <c r="E79" i="41"/>
  <c r="F78" i="41"/>
  <c r="I78" i="41" s="1"/>
  <c r="E78" i="41"/>
  <c r="F77" i="41"/>
  <c r="H77" i="41" s="1"/>
  <c r="E77" i="41"/>
  <c r="F76" i="41"/>
  <c r="I76" i="41" s="1"/>
  <c r="E76" i="41"/>
  <c r="F75" i="41"/>
  <c r="G75" i="41" s="1"/>
  <c r="E75" i="41"/>
  <c r="F74" i="41"/>
  <c r="I74" i="41" s="1"/>
  <c r="E74" i="41"/>
  <c r="F73" i="41"/>
  <c r="G73" i="41" s="1"/>
  <c r="E73" i="41"/>
  <c r="F72" i="41"/>
  <c r="H72" i="41" s="1"/>
  <c r="E72" i="41"/>
  <c r="F71" i="41"/>
  <c r="G71" i="41" s="1"/>
  <c r="E71" i="41"/>
  <c r="F70" i="41"/>
  <c r="E70" i="41"/>
  <c r="F69" i="41"/>
  <c r="I69" i="41" s="1"/>
  <c r="E69" i="41"/>
  <c r="F68" i="41"/>
  <c r="G68" i="41" s="1"/>
  <c r="E68" i="41"/>
  <c r="F67" i="41"/>
  <c r="G67" i="41" s="1"/>
  <c r="E67" i="41"/>
  <c r="F66" i="41"/>
  <c r="I66" i="41" s="1"/>
  <c r="E66" i="41"/>
  <c r="F65" i="41"/>
  <c r="G65" i="41" s="1"/>
  <c r="E65" i="41"/>
  <c r="F64" i="41"/>
  <c r="H64" i="41" s="1"/>
  <c r="E64" i="41"/>
  <c r="F63" i="41"/>
  <c r="G63" i="41" s="1"/>
  <c r="E63" i="41"/>
  <c r="F62" i="41"/>
  <c r="G62" i="41" s="1"/>
  <c r="E62" i="41"/>
  <c r="F61" i="41"/>
  <c r="I61" i="41" s="1"/>
  <c r="E61" i="41"/>
  <c r="F60" i="41"/>
  <c r="G60" i="41" s="1"/>
  <c r="E60" i="41"/>
  <c r="F59" i="41"/>
  <c r="G59" i="41" s="1"/>
  <c r="E59" i="41"/>
  <c r="F58" i="41"/>
  <c r="I58" i="41" s="1"/>
  <c r="E58" i="41"/>
  <c r="F57" i="41"/>
  <c r="H57" i="41" s="1"/>
  <c r="E57" i="41"/>
  <c r="F56" i="41"/>
  <c r="G56" i="41" s="1"/>
  <c r="E56" i="41"/>
  <c r="F55" i="41"/>
  <c r="H55" i="41" s="1"/>
  <c r="E55" i="41"/>
  <c r="F54" i="41"/>
  <c r="E54" i="41"/>
  <c r="F53" i="41"/>
  <c r="G53" i="41" s="1"/>
  <c r="E53" i="41"/>
  <c r="F52" i="41"/>
  <c r="I52" i="41" s="1"/>
  <c r="E52" i="41"/>
  <c r="F51" i="41"/>
  <c r="G51" i="41" s="1"/>
  <c r="E51" i="41"/>
  <c r="F50" i="41"/>
  <c r="I50" i="41" s="1"/>
  <c r="E50" i="41"/>
  <c r="F49" i="41"/>
  <c r="H49" i="41" s="1"/>
  <c r="E49" i="41"/>
  <c r="F48" i="41"/>
  <c r="H48" i="41" s="1"/>
  <c r="E48" i="41"/>
  <c r="F47" i="41"/>
  <c r="H47" i="41" s="1"/>
  <c r="E47" i="41"/>
  <c r="F46" i="41"/>
  <c r="E46" i="41"/>
  <c r="F45" i="41"/>
  <c r="H45" i="41" s="1"/>
  <c r="E45" i="41"/>
  <c r="F44" i="41"/>
  <c r="I44" i="41" s="1"/>
  <c r="E44" i="41"/>
  <c r="F43" i="41"/>
  <c r="I43" i="41" s="1"/>
  <c r="E43" i="41"/>
  <c r="F42" i="41"/>
  <c r="I42" i="41" s="1"/>
  <c r="E42" i="41"/>
  <c r="F41" i="41"/>
  <c r="I41" i="41" s="1"/>
  <c r="E41" i="41"/>
  <c r="F40" i="41"/>
  <c r="I40" i="41" s="1"/>
  <c r="E40" i="41"/>
  <c r="F39" i="41"/>
  <c r="I39" i="41" s="1"/>
  <c r="E39" i="41"/>
  <c r="F38" i="41"/>
  <c r="I38" i="41" s="1"/>
  <c r="E38" i="41"/>
  <c r="F37" i="41"/>
  <c r="I37" i="41" s="1"/>
  <c r="E37" i="41"/>
  <c r="F36" i="41"/>
  <c r="I36" i="41" s="1"/>
  <c r="E36" i="41"/>
  <c r="F35" i="41"/>
  <c r="H35" i="41" s="1"/>
  <c r="E35" i="41"/>
  <c r="F34" i="41"/>
  <c r="E34" i="41"/>
  <c r="F33" i="41"/>
  <c r="I33" i="41" s="1"/>
  <c r="E33" i="41"/>
  <c r="F32" i="41"/>
  <c r="H32" i="41" s="1"/>
  <c r="E32" i="41"/>
  <c r="F31" i="41"/>
  <c r="I31" i="41" s="1"/>
  <c r="E31" i="41"/>
  <c r="F30" i="41"/>
  <c r="H30" i="41" s="1"/>
  <c r="E30" i="41"/>
  <c r="F29" i="41"/>
  <c r="H29" i="41" s="1"/>
  <c r="E29" i="41"/>
  <c r="F28" i="41"/>
  <c r="G28" i="41" s="1"/>
  <c r="E28" i="41"/>
  <c r="F27" i="41"/>
  <c r="I27" i="41" s="1"/>
  <c r="E27" i="41"/>
  <c r="F26" i="41"/>
  <c r="E26" i="41"/>
  <c r="F25" i="41"/>
  <c r="G25" i="41" s="1"/>
  <c r="E25" i="41"/>
  <c r="F24" i="41"/>
  <c r="I24" i="41" s="1"/>
  <c r="E24" i="41"/>
  <c r="E23" i="41"/>
  <c r="F23" i="41" s="1"/>
  <c r="I23" i="41" s="1"/>
  <c r="E22" i="41"/>
  <c r="F22" i="41" s="1"/>
  <c r="H22" i="41" s="1"/>
  <c r="E21" i="41"/>
  <c r="F21" i="41" s="1"/>
  <c r="H21" i="41" s="1"/>
  <c r="E20" i="41"/>
  <c r="F20" i="41" s="1"/>
  <c r="G20" i="41" s="1"/>
  <c r="E19" i="41"/>
  <c r="F19" i="41" s="1"/>
  <c r="H19" i="41" s="1"/>
  <c r="E18" i="41"/>
  <c r="F18" i="41" s="1"/>
  <c r="E17" i="41"/>
  <c r="F17" i="41" s="1"/>
  <c r="I17" i="41" s="1"/>
  <c r="E16" i="41"/>
  <c r="F16" i="41" s="1"/>
  <c r="H16" i="41" s="1"/>
  <c r="E15" i="41"/>
  <c r="F15" i="41" s="1"/>
  <c r="I15" i="41" s="1"/>
  <c r="E14" i="41"/>
  <c r="F14" i="41" s="1"/>
  <c r="H14" i="41" s="1"/>
  <c r="E13" i="41"/>
  <c r="F13" i="41" s="1"/>
  <c r="H13" i="41" s="1"/>
  <c r="E12" i="41"/>
  <c r="F12" i="41" s="1"/>
  <c r="H12" i="41" s="1"/>
  <c r="F125" i="40"/>
  <c r="E125" i="40"/>
  <c r="F124" i="40"/>
  <c r="E124" i="40"/>
  <c r="F123" i="40"/>
  <c r="E123" i="40"/>
  <c r="F122" i="40"/>
  <c r="I122" i="40" s="1"/>
  <c r="E122" i="40"/>
  <c r="F121" i="40"/>
  <c r="E121" i="40"/>
  <c r="F120" i="40"/>
  <c r="E120" i="40"/>
  <c r="F119" i="40"/>
  <c r="E119" i="40"/>
  <c r="F118" i="40"/>
  <c r="I118" i="40" s="1"/>
  <c r="E118" i="40"/>
  <c r="F117" i="40"/>
  <c r="E117" i="40"/>
  <c r="F116" i="40"/>
  <c r="E116" i="40"/>
  <c r="F115" i="40"/>
  <c r="E115" i="40"/>
  <c r="F114" i="40"/>
  <c r="I114" i="40" s="1"/>
  <c r="E114" i="40"/>
  <c r="F113" i="40"/>
  <c r="E113" i="40"/>
  <c r="F112" i="40"/>
  <c r="E112" i="40"/>
  <c r="F111" i="40"/>
  <c r="E111" i="40"/>
  <c r="F110" i="40"/>
  <c r="I110" i="40" s="1"/>
  <c r="E110" i="40"/>
  <c r="F109" i="40"/>
  <c r="E109" i="40"/>
  <c r="F108" i="40"/>
  <c r="E108" i="40"/>
  <c r="F107" i="40"/>
  <c r="E107" i="40"/>
  <c r="F106" i="40"/>
  <c r="I106" i="40" s="1"/>
  <c r="E106" i="40"/>
  <c r="F105" i="40"/>
  <c r="E105" i="40"/>
  <c r="F104" i="40"/>
  <c r="E104" i="40"/>
  <c r="F103" i="40"/>
  <c r="E103" i="40"/>
  <c r="F102" i="40"/>
  <c r="I102" i="40" s="1"/>
  <c r="E102" i="40"/>
  <c r="F101" i="40"/>
  <c r="E101" i="40"/>
  <c r="F100" i="40"/>
  <c r="E100" i="40"/>
  <c r="F99" i="40"/>
  <c r="E99" i="40"/>
  <c r="F98" i="40"/>
  <c r="I98" i="40" s="1"/>
  <c r="E98" i="40"/>
  <c r="F97" i="40"/>
  <c r="E97" i="40"/>
  <c r="F96" i="40"/>
  <c r="E96" i="40"/>
  <c r="F95" i="40"/>
  <c r="E95" i="40"/>
  <c r="F94" i="40"/>
  <c r="I94" i="40" s="1"/>
  <c r="E94" i="40"/>
  <c r="F93" i="40"/>
  <c r="E93" i="40"/>
  <c r="F92" i="40"/>
  <c r="E92" i="40"/>
  <c r="F91" i="40"/>
  <c r="E91" i="40"/>
  <c r="F90" i="40"/>
  <c r="I90" i="40" s="1"/>
  <c r="E90" i="40"/>
  <c r="F89" i="40"/>
  <c r="E89" i="40"/>
  <c r="F88" i="40"/>
  <c r="E88" i="40"/>
  <c r="F87" i="40"/>
  <c r="E87" i="40"/>
  <c r="F86" i="40"/>
  <c r="I86" i="40" s="1"/>
  <c r="E86" i="40"/>
  <c r="F85" i="40"/>
  <c r="E85" i="40"/>
  <c r="F84" i="40"/>
  <c r="E84" i="40"/>
  <c r="F83" i="40"/>
  <c r="E83" i="40"/>
  <c r="F82" i="40"/>
  <c r="I82" i="40" s="1"/>
  <c r="E82" i="40"/>
  <c r="F81" i="40"/>
  <c r="E81" i="40"/>
  <c r="F80" i="40"/>
  <c r="E80" i="40"/>
  <c r="F79" i="40"/>
  <c r="E79" i="40"/>
  <c r="F78" i="40"/>
  <c r="I78" i="40" s="1"/>
  <c r="E78" i="40"/>
  <c r="F77" i="40"/>
  <c r="E77" i="40"/>
  <c r="F76" i="40"/>
  <c r="E76" i="40"/>
  <c r="F75" i="40"/>
  <c r="E75" i="40"/>
  <c r="F74" i="40"/>
  <c r="I74" i="40" s="1"/>
  <c r="E74" i="40"/>
  <c r="F73" i="40"/>
  <c r="E73" i="40"/>
  <c r="F72" i="40"/>
  <c r="E72" i="40"/>
  <c r="F71" i="40"/>
  <c r="E71" i="40"/>
  <c r="F70" i="40"/>
  <c r="I70" i="40" s="1"/>
  <c r="E70" i="40"/>
  <c r="F69" i="40"/>
  <c r="E69" i="40"/>
  <c r="F68" i="40"/>
  <c r="E68" i="40"/>
  <c r="F67" i="40"/>
  <c r="E67" i="40"/>
  <c r="F66" i="40"/>
  <c r="I66" i="40" s="1"/>
  <c r="E66" i="40"/>
  <c r="F65" i="40"/>
  <c r="E65" i="40"/>
  <c r="F64" i="40"/>
  <c r="E64" i="40"/>
  <c r="F63" i="40"/>
  <c r="E63" i="40"/>
  <c r="F62" i="40"/>
  <c r="I62" i="40" s="1"/>
  <c r="E62" i="40"/>
  <c r="F61" i="40"/>
  <c r="E61" i="40"/>
  <c r="F60" i="40"/>
  <c r="E60" i="40"/>
  <c r="F59" i="40"/>
  <c r="G59" i="40" s="1"/>
  <c r="E59" i="40"/>
  <c r="F58" i="40"/>
  <c r="G58" i="40" s="1"/>
  <c r="E58" i="40"/>
  <c r="F57" i="40"/>
  <c r="G57" i="40" s="1"/>
  <c r="E57" i="40"/>
  <c r="F56" i="40"/>
  <c r="G56" i="40" s="1"/>
  <c r="E56" i="40"/>
  <c r="F55" i="40"/>
  <c r="G55" i="40" s="1"/>
  <c r="E55" i="40"/>
  <c r="F54" i="40"/>
  <c r="G54" i="40" s="1"/>
  <c r="E54" i="40"/>
  <c r="F53" i="40"/>
  <c r="G53" i="40" s="1"/>
  <c r="E53" i="40"/>
  <c r="F52" i="40"/>
  <c r="E52" i="40"/>
  <c r="F51" i="40"/>
  <c r="G51" i="40" s="1"/>
  <c r="E51" i="40"/>
  <c r="F50" i="40"/>
  <c r="I50" i="40" s="1"/>
  <c r="E50" i="40"/>
  <c r="F49" i="40"/>
  <c r="H49" i="40" s="1"/>
  <c r="E49" i="40"/>
  <c r="F48" i="40"/>
  <c r="G48" i="40" s="1"/>
  <c r="E48" i="40"/>
  <c r="F47" i="40"/>
  <c r="H47" i="40" s="1"/>
  <c r="E47" i="40"/>
  <c r="F46" i="40"/>
  <c r="H46" i="40" s="1"/>
  <c r="E46" i="40"/>
  <c r="F45" i="40"/>
  <c r="H45" i="40" s="1"/>
  <c r="E45" i="40"/>
  <c r="F44" i="40"/>
  <c r="G44" i="40" s="1"/>
  <c r="E44" i="40"/>
  <c r="F43" i="40"/>
  <c r="H43" i="40" s="1"/>
  <c r="E43" i="40"/>
  <c r="F42" i="40"/>
  <c r="I42" i="40" s="1"/>
  <c r="E42" i="40"/>
  <c r="F41" i="40"/>
  <c r="H41" i="40" s="1"/>
  <c r="E41" i="40"/>
  <c r="F40" i="40"/>
  <c r="H40" i="40" s="1"/>
  <c r="E40" i="40"/>
  <c r="F39" i="40"/>
  <c r="G39" i="40" s="1"/>
  <c r="E39" i="40"/>
  <c r="F38" i="40"/>
  <c r="I38" i="40" s="1"/>
  <c r="E38" i="40"/>
  <c r="F37" i="40"/>
  <c r="H37" i="40" s="1"/>
  <c r="E37" i="40"/>
  <c r="F36" i="40"/>
  <c r="H36" i="40" s="1"/>
  <c r="E36" i="40"/>
  <c r="F35" i="40"/>
  <c r="G35" i="40" s="1"/>
  <c r="E35" i="40"/>
  <c r="F34" i="40"/>
  <c r="H34" i="40" s="1"/>
  <c r="E34" i="40"/>
  <c r="F33" i="40"/>
  <c r="G33" i="40" s="1"/>
  <c r="E33" i="40"/>
  <c r="F32" i="40"/>
  <c r="G32" i="40" s="1"/>
  <c r="E32" i="40"/>
  <c r="F31" i="40"/>
  <c r="I31" i="40" s="1"/>
  <c r="E31" i="40"/>
  <c r="F30" i="40"/>
  <c r="G30" i="40" s="1"/>
  <c r="E30" i="40"/>
  <c r="F29" i="40"/>
  <c r="I29" i="40" s="1"/>
  <c r="E29" i="40"/>
  <c r="F28" i="40"/>
  <c r="I28" i="40" s="1"/>
  <c r="E28" i="40"/>
  <c r="F27" i="40"/>
  <c r="I27" i="40" s="1"/>
  <c r="E27" i="40"/>
  <c r="F26" i="40"/>
  <c r="G26" i="40" s="1"/>
  <c r="E26" i="40"/>
  <c r="F25" i="40"/>
  <c r="G25" i="40" s="1"/>
  <c r="E25" i="40"/>
  <c r="F24" i="40"/>
  <c r="I24" i="40" s="1"/>
  <c r="E24" i="40"/>
  <c r="F23" i="40"/>
  <c r="G23" i="40" s="1"/>
  <c r="E23" i="40"/>
  <c r="F22" i="40"/>
  <c r="G22" i="40" s="1"/>
  <c r="E22" i="40"/>
  <c r="F21" i="40"/>
  <c r="I21" i="40" s="1"/>
  <c r="E21" i="40"/>
  <c r="F20" i="40"/>
  <c r="I20" i="40" s="1"/>
  <c r="E20" i="40"/>
  <c r="E19" i="40"/>
  <c r="F19" i="40" s="1"/>
  <c r="I19" i="40" s="1"/>
  <c r="E18" i="40"/>
  <c r="F18" i="40" s="1"/>
  <c r="G18" i="40" s="1"/>
  <c r="E17" i="40"/>
  <c r="F17" i="40" s="1"/>
  <c r="G17" i="40" s="1"/>
  <c r="E16" i="40"/>
  <c r="F16" i="40" s="1"/>
  <c r="G16" i="40" s="1"/>
  <c r="E15" i="40"/>
  <c r="F15" i="40" s="1"/>
  <c r="I15" i="40" s="1"/>
  <c r="E14" i="40"/>
  <c r="F14" i="40" s="1"/>
  <c r="G14" i="40" s="1"/>
  <c r="E13" i="40"/>
  <c r="F13" i="40" s="1"/>
  <c r="I13" i="40" s="1"/>
  <c r="E12" i="40"/>
  <c r="F12" i="40" s="1"/>
  <c r="I12" i="40" s="1"/>
  <c r="F125" i="39"/>
  <c r="H125" i="39" s="1"/>
  <c r="E125" i="39"/>
  <c r="F124" i="39"/>
  <c r="H124" i="39" s="1"/>
  <c r="E124" i="39"/>
  <c r="F123" i="39"/>
  <c r="H123" i="39" s="1"/>
  <c r="E123" i="39"/>
  <c r="F122" i="39"/>
  <c r="H122" i="39" s="1"/>
  <c r="E122" i="39"/>
  <c r="F121" i="39"/>
  <c r="H121" i="39" s="1"/>
  <c r="E121" i="39"/>
  <c r="F120" i="39"/>
  <c r="H120" i="39" s="1"/>
  <c r="E120" i="39"/>
  <c r="F119" i="39"/>
  <c r="H119" i="39" s="1"/>
  <c r="E119" i="39"/>
  <c r="F118" i="39"/>
  <c r="H118" i="39" s="1"/>
  <c r="E118" i="39"/>
  <c r="F117" i="39"/>
  <c r="H117" i="39" s="1"/>
  <c r="E117" i="39"/>
  <c r="F116" i="39"/>
  <c r="H116" i="39" s="1"/>
  <c r="E116" i="39"/>
  <c r="F115" i="39"/>
  <c r="H115" i="39" s="1"/>
  <c r="E115" i="39"/>
  <c r="F114" i="39"/>
  <c r="H114" i="39" s="1"/>
  <c r="E114" i="39"/>
  <c r="F113" i="39"/>
  <c r="H113" i="39" s="1"/>
  <c r="E113" i="39"/>
  <c r="F112" i="39"/>
  <c r="H112" i="39" s="1"/>
  <c r="E112" i="39"/>
  <c r="F111" i="39"/>
  <c r="H111" i="39" s="1"/>
  <c r="E111" i="39"/>
  <c r="F110" i="39"/>
  <c r="H110" i="39" s="1"/>
  <c r="E110" i="39"/>
  <c r="F109" i="39"/>
  <c r="H109" i="39" s="1"/>
  <c r="E109" i="39"/>
  <c r="F108" i="39"/>
  <c r="H108" i="39" s="1"/>
  <c r="E108" i="39"/>
  <c r="F107" i="39"/>
  <c r="H107" i="39" s="1"/>
  <c r="E107" i="39"/>
  <c r="F106" i="39"/>
  <c r="H106" i="39" s="1"/>
  <c r="E106" i="39"/>
  <c r="F105" i="39"/>
  <c r="H105" i="39" s="1"/>
  <c r="E105" i="39"/>
  <c r="F104" i="39"/>
  <c r="H104" i="39" s="1"/>
  <c r="E104" i="39"/>
  <c r="F103" i="39"/>
  <c r="H103" i="39" s="1"/>
  <c r="E103" i="39"/>
  <c r="F102" i="39"/>
  <c r="H102" i="39" s="1"/>
  <c r="E102" i="39"/>
  <c r="F101" i="39"/>
  <c r="H101" i="39" s="1"/>
  <c r="E101" i="39"/>
  <c r="F100" i="39"/>
  <c r="H100" i="39" s="1"/>
  <c r="E100" i="39"/>
  <c r="F99" i="39"/>
  <c r="H99" i="39" s="1"/>
  <c r="E99" i="39"/>
  <c r="F98" i="39"/>
  <c r="H98" i="39" s="1"/>
  <c r="E98" i="39"/>
  <c r="F97" i="39"/>
  <c r="H97" i="39" s="1"/>
  <c r="E97" i="39"/>
  <c r="F96" i="39"/>
  <c r="H96" i="39" s="1"/>
  <c r="E96" i="39"/>
  <c r="F95" i="39"/>
  <c r="H95" i="39" s="1"/>
  <c r="E95" i="39"/>
  <c r="F94" i="39"/>
  <c r="H94" i="39" s="1"/>
  <c r="E94" i="39"/>
  <c r="F93" i="39"/>
  <c r="H93" i="39" s="1"/>
  <c r="E93" i="39"/>
  <c r="F92" i="39"/>
  <c r="H92" i="39" s="1"/>
  <c r="E92" i="39"/>
  <c r="F91" i="39"/>
  <c r="H91" i="39" s="1"/>
  <c r="E91" i="39"/>
  <c r="F90" i="39"/>
  <c r="H90" i="39" s="1"/>
  <c r="E90" i="39"/>
  <c r="F89" i="39"/>
  <c r="H89" i="39" s="1"/>
  <c r="E89" i="39"/>
  <c r="F88" i="39"/>
  <c r="H88" i="39" s="1"/>
  <c r="E88" i="39"/>
  <c r="F87" i="39"/>
  <c r="H87" i="39" s="1"/>
  <c r="E87" i="39"/>
  <c r="F86" i="39"/>
  <c r="H86" i="39" s="1"/>
  <c r="E86" i="39"/>
  <c r="F85" i="39"/>
  <c r="H85" i="39" s="1"/>
  <c r="E85" i="39"/>
  <c r="F84" i="39"/>
  <c r="H84" i="39" s="1"/>
  <c r="E84" i="39"/>
  <c r="F83" i="39"/>
  <c r="H83" i="39" s="1"/>
  <c r="E83" i="39"/>
  <c r="F82" i="39"/>
  <c r="H82" i="39" s="1"/>
  <c r="E82" i="39"/>
  <c r="F81" i="39"/>
  <c r="H81" i="39" s="1"/>
  <c r="E81" i="39"/>
  <c r="F80" i="39"/>
  <c r="H80" i="39" s="1"/>
  <c r="E80" i="39"/>
  <c r="F79" i="39"/>
  <c r="H79" i="39" s="1"/>
  <c r="E79" i="39"/>
  <c r="F78" i="39"/>
  <c r="H78" i="39" s="1"/>
  <c r="E78" i="39"/>
  <c r="F77" i="39"/>
  <c r="H77" i="39" s="1"/>
  <c r="E77" i="39"/>
  <c r="F76" i="39"/>
  <c r="H76" i="39" s="1"/>
  <c r="E76" i="39"/>
  <c r="F75" i="39"/>
  <c r="H75" i="39" s="1"/>
  <c r="E75" i="39"/>
  <c r="F74" i="39"/>
  <c r="H74" i="39" s="1"/>
  <c r="E74" i="39"/>
  <c r="F73" i="39"/>
  <c r="H73" i="39" s="1"/>
  <c r="E73" i="39"/>
  <c r="F72" i="39"/>
  <c r="H72" i="39" s="1"/>
  <c r="E72" i="39"/>
  <c r="F71" i="39"/>
  <c r="H71" i="39" s="1"/>
  <c r="E71" i="39"/>
  <c r="F70" i="39"/>
  <c r="H70" i="39" s="1"/>
  <c r="E70" i="39"/>
  <c r="F69" i="39"/>
  <c r="H69" i="39" s="1"/>
  <c r="E69" i="39"/>
  <c r="F68" i="39"/>
  <c r="H68" i="39" s="1"/>
  <c r="E68" i="39"/>
  <c r="F67" i="39"/>
  <c r="H67" i="39" s="1"/>
  <c r="E67" i="39"/>
  <c r="F66" i="39"/>
  <c r="H66" i="39" s="1"/>
  <c r="E66" i="39"/>
  <c r="F65" i="39"/>
  <c r="G65" i="39" s="1"/>
  <c r="E65" i="39"/>
  <c r="F64" i="39"/>
  <c r="I64" i="39" s="1"/>
  <c r="E64" i="39"/>
  <c r="F63" i="39"/>
  <c r="I63" i="39" s="1"/>
  <c r="E63" i="39"/>
  <c r="F62" i="39"/>
  <c r="G62" i="39" s="1"/>
  <c r="E62" i="39"/>
  <c r="F61" i="39"/>
  <c r="I61" i="39" s="1"/>
  <c r="E61" i="39"/>
  <c r="F60" i="39"/>
  <c r="H60" i="39" s="1"/>
  <c r="E60" i="39"/>
  <c r="F59" i="39"/>
  <c r="E59" i="39"/>
  <c r="F58" i="39"/>
  <c r="H58" i="39" s="1"/>
  <c r="E58" i="39"/>
  <c r="F57" i="39"/>
  <c r="G57" i="39" s="1"/>
  <c r="E57" i="39"/>
  <c r="F56" i="39"/>
  <c r="I56" i="39" s="1"/>
  <c r="E56" i="39"/>
  <c r="F55" i="39"/>
  <c r="I55" i="39" s="1"/>
  <c r="E55" i="39"/>
  <c r="F54" i="39"/>
  <c r="G54" i="39" s="1"/>
  <c r="E54" i="39"/>
  <c r="F53" i="39"/>
  <c r="I53" i="39" s="1"/>
  <c r="E53" i="39"/>
  <c r="F52" i="39"/>
  <c r="H52" i="39" s="1"/>
  <c r="E52" i="39"/>
  <c r="F51" i="39"/>
  <c r="E51" i="39"/>
  <c r="F50" i="39"/>
  <c r="G50" i="39" s="1"/>
  <c r="E50" i="39"/>
  <c r="F49" i="39"/>
  <c r="G49" i="39" s="1"/>
  <c r="E49" i="39"/>
  <c r="F48" i="39"/>
  <c r="I48" i="39" s="1"/>
  <c r="E48" i="39"/>
  <c r="F47" i="39"/>
  <c r="G47" i="39" s="1"/>
  <c r="E47" i="39"/>
  <c r="F46" i="39"/>
  <c r="I46" i="39" s="1"/>
  <c r="E46" i="39"/>
  <c r="F45" i="39"/>
  <c r="I45" i="39" s="1"/>
  <c r="E45" i="39"/>
  <c r="F44" i="39"/>
  <c r="I44" i="39" s="1"/>
  <c r="E44" i="39"/>
  <c r="F43" i="39"/>
  <c r="G43" i="39" s="1"/>
  <c r="E43" i="39"/>
  <c r="F42" i="39"/>
  <c r="I42" i="39" s="1"/>
  <c r="E42" i="39"/>
  <c r="F41" i="39"/>
  <c r="I41" i="39" s="1"/>
  <c r="E41" i="39"/>
  <c r="F40" i="39"/>
  <c r="H40" i="39" s="1"/>
  <c r="E40" i="39"/>
  <c r="F39" i="39"/>
  <c r="I39" i="39" s="1"/>
  <c r="E39" i="39"/>
  <c r="F38" i="39"/>
  <c r="G38" i="39" s="1"/>
  <c r="E38" i="39"/>
  <c r="F37" i="39"/>
  <c r="I37" i="39" s="1"/>
  <c r="E37" i="39"/>
  <c r="F36" i="39"/>
  <c r="H36" i="39" s="1"/>
  <c r="E36" i="39"/>
  <c r="F35" i="39"/>
  <c r="G35" i="39" s="1"/>
  <c r="E35" i="39"/>
  <c r="F34" i="39"/>
  <c r="I34" i="39" s="1"/>
  <c r="E34" i="39"/>
  <c r="F33" i="39"/>
  <c r="I33" i="39" s="1"/>
  <c r="E33" i="39"/>
  <c r="F32" i="39"/>
  <c r="G32" i="39" s="1"/>
  <c r="E32" i="39"/>
  <c r="F31" i="39"/>
  <c r="I31" i="39" s="1"/>
  <c r="E31" i="39"/>
  <c r="F30" i="39"/>
  <c r="I30" i="39" s="1"/>
  <c r="E30" i="39"/>
  <c r="F29" i="39"/>
  <c r="I29" i="39" s="1"/>
  <c r="E29" i="39"/>
  <c r="F28" i="39"/>
  <c r="G28" i="39" s="1"/>
  <c r="E28" i="39"/>
  <c r="F27" i="39"/>
  <c r="G27" i="39" s="1"/>
  <c r="E27" i="39"/>
  <c r="F26" i="39"/>
  <c r="I26" i="39" s="1"/>
  <c r="E26" i="39"/>
  <c r="F25" i="39"/>
  <c r="I25" i="39" s="1"/>
  <c r="E25" i="39"/>
  <c r="F24" i="39"/>
  <c r="H24" i="39" s="1"/>
  <c r="E24" i="39"/>
  <c r="F23" i="39"/>
  <c r="I23" i="39" s="1"/>
  <c r="E23" i="39"/>
  <c r="F22" i="39"/>
  <c r="G22" i="39" s="1"/>
  <c r="E22" i="39"/>
  <c r="E21" i="39"/>
  <c r="F21" i="39" s="1"/>
  <c r="I21" i="39" s="1"/>
  <c r="E20" i="39"/>
  <c r="F20" i="39" s="1"/>
  <c r="I20" i="39" s="1"/>
  <c r="E19" i="39"/>
  <c r="F19" i="39" s="1"/>
  <c r="G19" i="39" s="1"/>
  <c r="E18" i="39"/>
  <c r="F18" i="39" s="1"/>
  <c r="I18" i="39" s="1"/>
  <c r="E17" i="39"/>
  <c r="F17" i="39" s="1"/>
  <c r="I17" i="39" s="1"/>
  <c r="E16" i="39"/>
  <c r="F16" i="39" s="1"/>
  <c r="G16" i="39" s="1"/>
  <c r="E15" i="39"/>
  <c r="F15" i="39" s="1"/>
  <c r="I15" i="39" s="1"/>
  <c r="E14" i="39"/>
  <c r="F14" i="39" s="1"/>
  <c r="G14" i="39" s="1"/>
  <c r="E13" i="39"/>
  <c r="F13" i="39" s="1"/>
  <c r="I13" i="39" s="1"/>
  <c r="E12" i="39"/>
  <c r="F12" i="39" s="1"/>
  <c r="G12" i="39" s="1"/>
  <c r="F125" i="38"/>
  <c r="E125" i="38"/>
  <c r="F124" i="38"/>
  <c r="E124" i="38"/>
  <c r="F123" i="38"/>
  <c r="E123" i="38"/>
  <c r="F122" i="38"/>
  <c r="E122" i="38"/>
  <c r="F121" i="38"/>
  <c r="E121" i="38"/>
  <c r="F120" i="38"/>
  <c r="E120" i="38"/>
  <c r="F119" i="38"/>
  <c r="E119" i="38"/>
  <c r="F118" i="38"/>
  <c r="E118" i="38"/>
  <c r="F117" i="38"/>
  <c r="E117" i="38"/>
  <c r="F116" i="38"/>
  <c r="E116" i="38"/>
  <c r="F115" i="38"/>
  <c r="E115" i="38"/>
  <c r="F114" i="38"/>
  <c r="E114" i="38"/>
  <c r="F113" i="38"/>
  <c r="E113" i="38"/>
  <c r="F112" i="38"/>
  <c r="E112" i="38"/>
  <c r="F111" i="38"/>
  <c r="E111" i="38"/>
  <c r="F110" i="38"/>
  <c r="E110" i="38"/>
  <c r="F109" i="38"/>
  <c r="E109" i="38"/>
  <c r="F108" i="38"/>
  <c r="E108" i="38"/>
  <c r="F107" i="38"/>
  <c r="E107" i="38"/>
  <c r="F106" i="38"/>
  <c r="E106" i="38"/>
  <c r="F105" i="38"/>
  <c r="E105" i="38"/>
  <c r="F104" i="38"/>
  <c r="E104" i="38"/>
  <c r="F103" i="38"/>
  <c r="E103" i="38"/>
  <c r="F102" i="38"/>
  <c r="E102" i="38"/>
  <c r="F101" i="38"/>
  <c r="E101" i="38"/>
  <c r="F100" i="38"/>
  <c r="E100" i="38"/>
  <c r="F99" i="38"/>
  <c r="E99" i="38"/>
  <c r="F98" i="38"/>
  <c r="E98" i="38"/>
  <c r="F97" i="38"/>
  <c r="E97" i="38"/>
  <c r="F96" i="38"/>
  <c r="E96" i="38"/>
  <c r="F95" i="38"/>
  <c r="E95" i="38"/>
  <c r="F94" i="38"/>
  <c r="E94" i="38"/>
  <c r="F93" i="38"/>
  <c r="E93" i="38"/>
  <c r="F92" i="38"/>
  <c r="E92" i="38"/>
  <c r="F91" i="38"/>
  <c r="E91" i="38"/>
  <c r="F90" i="38"/>
  <c r="E90" i="38"/>
  <c r="F89" i="38"/>
  <c r="E89" i="38"/>
  <c r="F88" i="38"/>
  <c r="E88" i="38"/>
  <c r="F87" i="38"/>
  <c r="E87" i="38"/>
  <c r="F86" i="38"/>
  <c r="E86" i="38"/>
  <c r="F85" i="38"/>
  <c r="E85" i="38"/>
  <c r="F84" i="38"/>
  <c r="E84" i="38"/>
  <c r="F83" i="38"/>
  <c r="E83" i="38"/>
  <c r="F82" i="38"/>
  <c r="E82" i="38"/>
  <c r="E81" i="38"/>
  <c r="F81" i="38" s="1"/>
  <c r="E80" i="38"/>
  <c r="F80" i="38" s="1"/>
  <c r="E79" i="38"/>
  <c r="F79" i="38" s="1"/>
  <c r="E78" i="38"/>
  <c r="F78" i="38" s="1"/>
  <c r="E77" i="38"/>
  <c r="F77" i="38" s="1"/>
  <c r="E76" i="38"/>
  <c r="F76" i="38" s="1"/>
  <c r="E75" i="38"/>
  <c r="F75" i="38" s="1"/>
  <c r="E74" i="38"/>
  <c r="F74" i="38" s="1"/>
  <c r="E73" i="38"/>
  <c r="F73" i="38" s="1"/>
  <c r="E72" i="38"/>
  <c r="F72" i="38" s="1"/>
  <c r="E71" i="38"/>
  <c r="F71" i="38" s="1"/>
  <c r="E70" i="38"/>
  <c r="F70" i="38" s="1"/>
  <c r="E69" i="38"/>
  <c r="F69" i="38" s="1"/>
  <c r="E68" i="38"/>
  <c r="F68" i="38" s="1"/>
  <c r="E67" i="38"/>
  <c r="F67" i="38" s="1"/>
  <c r="E66" i="38"/>
  <c r="F66" i="38" s="1"/>
  <c r="E65" i="38"/>
  <c r="F65" i="38" s="1"/>
  <c r="E64" i="38"/>
  <c r="F64" i="38" s="1"/>
  <c r="E63" i="38"/>
  <c r="F63" i="38" s="1"/>
  <c r="E62" i="38"/>
  <c r="F62" i="38" s="1"/>
  <c r="E61" i="38"/>
  <c r="F61" i="38" s="1"/>
  <c r="E60" i="38"/>
  <c r="F60" i="38" s="1"/>
  <c r="E59" i="38"/>
  <c r="F59" i="38" s="1"/>
  <c r="E58" i="38"/>
  <c r="F58" i="38" s="1"/>
  <c r="E57" i="38"/>
  <c r="F57" i="38" s="1"/>
  <c r="E56" i="38"/>
  <c r="F56" i="38" s="1"/>
  <c r="E55" i="38"/>
  <c r="F55" i="38" s="1"/>
  <c r="E54" i="38"/>
  <c r="F54" i="38" s="1"/>
  <c r="E53" i="38"/>
  <c r="F53" i="38" s="1"/>
  <c r="E52" i="38"/>
  <c r="F52" i="38" s="1"/>
  <c r="E51" i="38"/>
  <c r="F51" i="38" s="1"/>
  <c r="E50" i="38"/>
  <c r="F50" i="38" s="1"/>
  <c r="E49" i="38"/>
  <c r="F49" i="38" s="1"/>
  <c r="E48" i="38"/>
  <c r="F48" i="38" s="1"/>
  <c r="E47" i="38"/>
  <c r="F47" i="38" s="1"/>
  <c r="E46" i="38"/>
  <c r="F46" i="38" s="1"/>
  <c r="E45" i="38"/>
  <c r="F45" i="38" s="1"/>
  <c r="E44" i="38"/>
  <c r="F44" i="38" s="1"/>
  <c r="E43" i="38"/>
  <c r="F43" i="38" s="1"/>
  <c r="E42" i="38"/>
  <c r="F42" i="38" s="1"/>
  <c r="E41" i="38"/>
  <c r="F41" i="38" s="1"/>
  <c r="E40" i="38"/>
  <c r="F40" i="38" s="1"/>
  <c r="E39" i="38"/>
  <c r="F39" i="38" s="1"/>
  <c r="E38" i="38"/>
  <c r="F38" i="38" s="1"/>
  <c r="E37" i="38"/>
  <c r="F37" i="38" s="1"/>
  <c r="H37" i="38" s="1"/>
  <c r="E36" i="38"/>
  <c r="F36" i="38" s="1"/>
  <c r="E35" i="38"/>
  <c r="F35" i="38" s="1"/>
  <c r="E34" i="38"/>
  <c r="F34" i="38" s="1"/>
  <c r="E33" i="38"/>
  <c r="F33" i="38" s="1"/>
  <c r="E32" i="38"/>
  <c r="F32" i="38" s="1"/>
  <c r="E31" i="38"/>
  <c r="F31" i="38" s="1"/>
  <c r="E30" i="38"/>
  <c r="F30" i="38" s="1"/>
  <c r="E29" i="38"/>
  <c r="F29" i="38" s="1"/>
  <c r="H29" i="38" s="1"/>
  <c r="E28" i="38"/>
  <c r="F28" i="38" s="1"/>
  <c r="E27" i="38"/>
  <c r="F27" i="38" s="1"/>
  <c r="E26" i="38"/>
  <c r="F26" i="38" s="1"/>
  <c r="E25" i="38"/>
  <c r="F25" i="38" s="1"/>
  <c r="E24" i="38"/>
  <c r="F24" i="38" s="1"/>
  <c r="E23" i="38"/>
  <c r="F23" i="38" s="1"/>
  <c r="E22" i="38"/>
  <c r="F22" i="38" s="1"/>
  <c r="E21" i="38"/>
  <c r="F21" i="38" s="1"/>
  <c r="E20" i="38"/>
  <c r="F20" i="38" s="1"/>
  <c r="E19" i="38"/>
  <c r="F19" i="38" s="1"/>
  <c r="E18" i="38"/>
  <c r="F18" i="38" s="1"/>
  <c r="E17" i="38"/>
  <c r="F17" i="38" s="1"/>
  <c r="H17" i="38" s="1"/>
  <c r="E16" i="38"/>
  <c r="F16" i="38" s="1"/>
  <c r="E15" i="38"/>
  <c r="F15" i="38" s="1"/>
  <c r="E14" i="38"/>
  <c r="F14" i="38" s="1"/>
  <c r="E13" i="38"/>
  <c r="F13" i="38" s="1"/>
  <c r="E12" i="38"/>
  <c r="F12" i="38" s="1"/>
  <c r="H12" i="38" s="1"/>
  <c r="E125" i="3"/>
  <c r="F125" i="3" s="1"/>
  <c r="I125" i="3" s="1"/>
  <c r="E124" i="3"/>
  <c r="F124" i="3" s="1"/>
  <c r="G124" i="3" s="1"/>
  <c r="E123" i="3"/>
  <c r="F123" i="3" s="1"/>
  <c r="I123" i="3" s="1"/>
  <c r="E122" i="3"/>
  <c r="F122" i="3" s="1"/>
  <c r="I122" i="3" s="1"/>
  <c r="E121" i="3"/>
  <c r="F121" i="3" s="1"/>
  <c r="H121" i="3" s="1"/>
  <c r="E120" i="3"/>
  <c r="F120" i="3" s="1"/>
  <c r="G120" i="3" s="1"/>
  <c r="E119" i="3"/>
  <c r="F119" i="3" s="1"/>
  <c r="I119" i="3" s="1"/>
  <c r="E118" i="3"/>
  <c r="F118" i="3" s="1"/>
  <c r="H118" i="3" s="1"/>
  <c r="E117" i="3"/>
  <c r="F117" i="3" s="1"/>
  <c r="G117" i="3" s="1"/>
  <c r="E116" i="3"/>
  <c r="F116" i="3" s="1"/>
  <c r="H116" i="3" s="1"/>
  <c r="E115" i="3"/>
  <c r="F115" i="3" s="1"/>
  <c r="H115" i="3" s="1"/>
  <c r="E114" i="3"/>
  <c r="F114" i="3" s="1"/>
  <c r="I114" i="3" s="1"/>
  <c r="E113" i="3"/>
  <c r="F113" i="3" s="1"/>
  <c r="H113" i="3" s="1"/>
  <c r="E112" i="3"/>
  <c r="F112" i="3" s="1"/>
  <c r="G112" i="3" s="1"/>
  <c r="E111" i="3"/>
  <c r="F111" i="3" s="1"/>
  <c r="I111" i="3" s="1"/>
  <c r="E110" i="3"/>
  <c r="F110" i="3" s="1"/>
  <c r="H110" i="3" s="1"/>
  <c r="E109" i="3"/>
  <c r="F109" i="3" s="1"/>
  <c r="G109" i="3" s="1"/>
  <c r="E108" i="3"/>
  <c r="F108" i="3" s="1"/>
  <c r="I108" i="3" s="1"/>
  <c r="E107" i="3"/>
  <c r="F107" i="3" s="1"/>
  <c r="I107" i="3" s="1"/>
  <c r="E106" i="3"/>
  <c r="F106" i="3" s="1"/>
  <c r="I106" i="3" s="1"/>
  <c r="E105" i="3"/>
  <c r="F105" i="3" s="1"/>
  <c r="H105" i="3" s="1"/>
  <c r="E104" i="3"/>
  <c r="F104" i="3" s="1"/>
  <c r="I104" i="3" s="1"/>
  <c r="E103" i="3"/>
  <c r="F103" i="3" s="1"/>
  <c r="I103" i="3" s="1"/>
  <c r="E102" i="3"/>
  <c r="F102" i="3" s="1"/>
  <c r="H102" i="3" s="1"/>
  <c r="E101" i="3"/>
  <c r="F101" i="3" s="1"/>
  <c r="G101" i="3" s="1"/>
  <c r="E100" i="3"/>
  <c r="F100" i="3" s="1"/>
  <c r="I100" i="3" s="1"/>
  <c r="E99" i="3"/>
  <c r="F99" i="3" s="1"/>
  <c r="H99" i="3" s="1"/>
  <c r="E98" i="3"/>
  <c r="F98" i="3" s="1"/>
  <c r="I98" i="3" s="1"/>
  <c r="E97" i="3"/>
  <c r="F97" i="3" s="1"/>
  <c r="H97" i="3" s="1"/>
  <c r="E96" i="3"/>
  <c r="F96" i="3" s="1"/>
  <c r="H96" i="3" s="1"/>
  <c r="E95" i="3"/>
  <c r="F95" i="3" s="1"/>
  <c r="I95" i="3" s="1"/>
  <c r="E94" i="3"/>
  <c r="F94" i="3" s="1"/>
  <c r="H94" i="3" s="1"/>
  <c r="E93" i="3"/>
  <c r="F93" i="3" s="1"/>
  <c r="G93" i="3" s="1"/>
  <c r="E92" i="3"/>
  <c r="F92" i="3" s="1"/>
  <c r="H92" i="3" s="1"/>
  <c r="E91" i="3"/>
  <c r="F91" i="3" s="1"/>
  <c r="I91" i="3" s="1"/>
  <c r="E90" i="3"/>
  <c r="F90" i="3" s="1"/>
  <c r="I90" i="3" s="1"/>
  <c r="E89" i="3"/>
  <c r="F89" i="3" s="1"/>
  <c r="H89" i="3" s="1"/>
  <c r="E88" i="3"/>
  <c r="F88" i="3" s="1"/>
  <c r="H88" i="3" s="1"/>
  <c r="E87" i="3"/>
  <c r="F87" i="3" s="1"/>
  <c r="I87" i="3" s="1"/>
  <c r="E86" i="3"/>
  <c r="F86" i="3" s="1"/>
  <c r="H86" i="3" s="1"/>
  <c r="E85" i="3"/>
  <c r="F85" i="3" s="1"/>
  <c r="G85" i="3" s="1"/>
  <c r="E84" i="3"/>
  <c r="F84" i="3" s="1"/>
  <c r="H84" i="3" s="1"/>
  <c r="E83" i="3"/>
  <c r="F83" i="3" s="1"/>
  <c r="E82" i="3"/>
  <c r="F82" i="3" s="1"/>
  <c r="I82" i="3" s="1"/>
  <c r="E81" i="3"/>
  <c r="F81" i="3" s="1"/>
  <c r="H81" i="3" s="1"/>
  <c r="E80" i="3"/>
  <c r="F80" i="3" s="1"/>
  <c r="G80" i="3" s="1"/>
  <c r="E79" i="3"/>
  <c r="F79" i="3" s="1"/>
  <c r="I79" i="3" s="1"/>
  <c r="E78" i="3"/>
  <c r="F78" i="3" s="1"/>
  <c r="H78" i="3" s="1"/>
  <c r="E77" i="3"/>
  <c r="F77" i="3" s="1"/>
  <c r="G77" i="3" s="1"/>
  <c r="E76" i="3"/>
  <c r="F76" i="3" s="1"/>
  <c r="I76" i="3" s="1"/>
  <c r="E75" i="3"/>
  <c r="F75" i="3" s="1"/>
  <c r="I75" i="3" s="1"/>
  <c r="E74" i="3"/>
  <c r="F74" i="3" s="1"/>
  <c r="I74" i="3" s="1"/>
  <c r="E73" i="3"/>
  <c r="F73" i="3" s="1"/>
  <c r="H73" i="3" s="1"/>
  <c r="E72" i="3"/>
  <c r="F72" i="3" s="1"/>
  <c r="I72" i="3" s="1"/>
  <c r="E71" i="3"/>
  <c r="F71" i="3" s="1"/>
  <c r="I71" i="3" s="1"/>
  <c r="E70" i="3"/>
  <c r="F70" i="3" s="1"/>
  <c r="H70" i="3" s="1"/>
  <c r="E69" i="3"/>
  <c r="F69" i="3" s="1"/>
  <c r="G69" i="3" s="1"/>
  <c r="E68" i="3"/>
  <c r="F68" i="3" s="1"/>
  <c r="G68" i="3" s="1"/>
  <c r="E67" i="3"/>
  <c r="F67" i="3" s="1"/>
  <c r="G67" i="3" s="1"/>
  <c r="E66" i="3"/>
  <c r="F66" i="3" s="1"/>
  <c r="I66" i="3" s="1"/>
  <c r="E65" i="3"/>
  <c r="F65" i="3" s="1"/>
  <c r="H65" i="3" s="1"/>
  <c r="E64" i="3"/>
  <c r="F64" i="3" s="1"/>
  <c r="I64" i="3" s="1"/>
  <c r="E63" i="3"/>
  <c r="F63" i="3" s="1"/>
  <c r="I63" i="3" s="1"/>
  <c r="E62" i="3"/>
  <c r="F62" i="3" s="1"/>
  <c r="H62" i="3" s="1"/>
  <c r="E61" i="3"/>
  <c r="F61" i="3" s="1"/>
  <c r="G61" i="3" s="1"/>
  <c r="E60" i="3"/>
  <c r="F60" i="3" s="1"/>
  <c r="H60" i="3" s="1"/>
  <c r="E59" i="3"/>
  <c r="F59" i="3" s="1"/>
  <c r="I59" i="3" s="1"/>
  <c r="E58" i="3"/>
  <c r="F58" i="3" s="1"/>
  <c r="I58" i="3" s="1"/>
  <c r="E57" i="3"/>
  <c r="F57" i="3" s="1"/>
  <c r="H57" i="3" s="1"/>
  <c r="E56" i="3"/>
  <c r="F56" i="3" s="1"/>
  <c r="H56" i="3" s="1"/>
  <c r="E55" i="3"/>
  <c r="F55" i="3" s="1"/>
  <c r="I55" i="3" s="1"/>
  <c r="E54" i="3"/>
  <c r="F54" i="3" s="1"/>
  <c r="H54" i="3" s="1"/>
  <c r="E53" i="3"/>
  <c r="F53" i="3" s="1"/>
  <c r="G53" i="3" s="1"/>
  <c r="E52" i="3"/>
  <c r="F52" i="3" s="1"/>
  <c r="H52" i="3" s="1"/>
  <c r="E51" i="3"/>
  <c r="F51" i="3" s="1"/>
  <c r="I51" i="3" s="1"/>
  <c r="E50" i="3"/>
  <c r="F50" i="3" s="1"/>
  <c r="I50" i="3" s="1"/>
  <c r="E49" i="3"/>
  <c r="F49" i="3" s="1"/>
  <c r="H49" i="3" s="1"/>
  <c r="E48" i="3"/>
  <c r="F48" i="3" s="1"/>
  <c r="I48" i="3" s="1"/>
  <c r="E47" i="3"/>
  <c r="F47" i="3" s="1"/>
  <c r="I47" i="3" s="1"/>
  <c r="E46" i="3"/>
  <c r="F46" i="3" s="1"/>
  <c r="H46" i="3" s="1"/>
  <c r="E45" i="3"/>
  <c r="F45" i="3" s="1"/>
  <c r="G45" i="3" s="1"/>
  <c r="E44" i="3"/>
  <c r="F44" i="3" s="1"/>
  <c r="I44" i="3" s="1"/>
  <c r="E43" i="3"/>
  <c r="F43" i="3" s="1"/>
  <c r="I43" i="3" s="1"/>
  <c r="E42" i="3"/>
  <c r="F42" i="3" s="1"/>
  <c r="I42" i="3" s="1"/>
  <c r="E41" i="3"/>
  <c r="F41" i="3" s="1"/>
  <c r="H41" i="3" s="1"/>
  <c r="E40" i="3"/>
  <c r="F40" i="3" s="1"/>
  <c r="I40" i="3" s="1"/>
  <c r="E39" i="3"/>
  <c r="F39" i="3" s="1"/>
  <c r="I39" i="3" s="1"/>
  <c r="E38" i="3"/>
  <c r="F38" i="3" s="1"/>
  <c r="H38" i="3" s="1"/>
  <c r="E37" i="3"/>
  <c r="F37" i="3" s="1"/>
  <c r="G37" i="3" s="1"/>
  <c r="E36" i="3"/>
  <c r="F36" i="3" s="1"/>
  <c r="I36" i="3" s="1"/>
  <c r="E35" i="3"/>
  <c r="F35" i="3" s="1"/>
  <c r="G35" i="3" s="1"/>
  <c r="E34" i="3"/>
  <c r="F34" i="3" s="1"/>
  <c r="I34" i="3" s="1"/>
  <c r="E33" i="3"/>
  <c r="F33" i="3" s="1"/>
  <c r="H33" i="3" s="1"/>
  <c r="E32" i="3"/>
  <c r="F32" i="3" s="1"/>
  <c r="G32" i="3" s="1"/>
  <c r="E31" i="3"/>
  <c r="F31" i="3" s="1"/>
  <c r="I31" i="3" s="1"/>
  <c r="E30" i="3"/>
  <c r="F30" i="3" s="1"/>
  <c r="H30" i="3" s="1"/>
  <c r="E29" i="3"/>
  <c r="F29" i="3" s="1"/>
  <c r="G29" i="3" s="1"/>
  <c r="E28" i="3"/>
  <c r="F28" i="3" s="1"/>
  <c r="H28" i="3" s="1"/>
  <c r="E27" i="3"/>
  <c r="F27" i="3" s="1"/>
  <c r="H27" i="3" s="1"/>
  <c r="E26" i="3"/>
  <c r="F26" i="3" s="1"/>
  <c r="I26" i="3" s="1"/>
  <c r="E25" i="3"/>
  <c r="F25" i="3" s="1"/>
  <c r="H25" i="3" s="1"/>
  <c r="E24" i="3"/>
  <c r="F24" i="3" s="1"/>
  <c r="H24" i="3" s="1"/>
  <c r="E23" i="3"/>
  <c r="F23" i="3" s="1"/>
  <c r="I23" i="3" s="1"/>
  <c r="E22" i="3"/>
  <c r="F22" i="3" s="1"/>
  <c r="H22" i="3" s="1"/>
  <c r="E21" i="3"/>
  <c r="F21" i="3" s="1"/>
  <c r="G21" i="3" s="1"/>
  <c r="E20" i="3"/>
  <c r="F20" i="3" s="1"/>
  <c r="H20" i="3" s="1"/>
  <c r="E19" i="3"/>
  <c r="F19" i="3" s="1"/>
  <c r="H19" i="3" s="1"/>
  <c r="E18" i="3"/>
  <c r="F18" i="3" s="1"/>
  <c r="I18" i="3" s="1"/>
  <c r="E17" i="3"/>
  <c r="F17" i="3" s="1"/>
  <c r="H17" i="3" s="1"/>
  <c r="E16" i="3"/>
  <c r="F16" i="3" s="1"/>
  <c r="H16" i="3" s="1"/>
  <c r="E15" i="3"/>
  <c r="F15" i="3" s="1"/>
  <c r="I15" i="3" s="1"/>
  <c r="E14" i="3"/>
  <c r="F14" i="3" s="1"/>
  <c r="H14" i="3" s="1"/>
  <c r="E13" i="3"/>
  <c r="F13" i="3" s="1"/>
  <c r="E12" i="3"/>
  <c r="F12" i="3" s="1"/>
  <c r="D125" i="42"/>
  <c r="A125" i="42"/>
  <c r="D124" i="42"/>
  <c r="A124" i="42"/>
  <c r="D123" i="42"/>
  <c r="A123" i="42"/>
  <c r="D122" i="42"/>
  <c r="A122" i="42"/>
  <c r="D121" i="42"/>
  <c r="A121" i="42"/>
  <c r="D120" i="42"/>
  <c r="A120" i="42"/>
  <c r="D119" i="42"/>
  <c r="A119" i="42"/>
  <c r="D118" i="42"/>
  <c r="A118" i="42"/>
  <c r="D117" i="42"/>
  <c r="A117" i="42"/>
  <c r="D116" i="42"/>
  <c r="A116" i="42"/>
  <c r="D115" i="42"/>
  <c r="A115" i="42"/>
  <c r="D114" i="42"/>
  <c r="A114" i="42"/>
  <c r="D113" i="42"/>
  <c r="A113" i="42"/>
  <c r="D112" i="42"/>
  <c r="A112" i="42"/>
  <c r="D111" i="42"/>
  <c r="A111" i="42"/>
  <c r="D110" i="42"/>
  <c r="A110" i="42"/>
  <c r="D109" i="42"/>
  <c r="A109" i="42"/>
  <c r="D108" i="42"/>
  <c r="A108" i="42"/>
  <c r="D107" i="42"/>
  <c r="A107" i="42"/>
  <c r="D106" i="42"/>
  <c r="A106" i="42"/>
  <c r="D105" i="42"/>
  <c r="A105" i="42"/>
  <c r="D104" i="42"/>
  <c r="A104" i="42"/>
  <c r="D103" i="42"/>
  <c r="A103" i="42"/>
  <c r="D102" i="42"/>
  <c r="A102" i="42"/>
  <c r="D101" i="42"/>
  <c r="A101" i="42"/>
  <c r="D100" i="42"/>
  <c r="A100" i="42"/>
  <c r="D99" i="42"/>
  <c r="A99" i="42"/>
  <c r="D98" i="42"/>
  <c r="A98" i="42"/>
  <c r="D97" i="42"/>
  <c r="A97" i="42"/>
  <c r="D96" i="42"/>
  <c r="A96" i="42"/>
  <c r="D95" i="42"/>
  <c r="A95" i="42"/>
  <c r="D94" i="42"/>
  <c r="A94" i="42"/>
  <c r="D93" i="42"/>
  <c r="A93" i="42"/>
  <c r="D92" i="42"/>
  <c r="A92" i="42"/>
  <c r="D91" i="42"/>
  <c r="A91" i="42"/>
  <c r="D90" i="42"/>
  <c r="A90" i="42"/>
  <c r="D89" i="42"/>
  <c r="A89" i="42"/>
  <c r="D88" i="42"/>
  <c r="A88" i="42"/>
  <c r="D87" i="42"/>
  <c r="A87" i="42"/>
  <c r="D86" i="42"/>
  <c r="A86" i="42"/>
  <c r="H85" i="42"/>
  <c r="D85" i="42"/>
  <c r="A85" i="42"/>
  <c r="D84" i="42"/>
  <c r="A84" i="42"/>
  <c r="D83" i="42"/>
  <c r="A83" i="42"/>
  <c r="D82" i="42"/>
  <c r="A82" i="42"/>
  <c r="D81" i="42"/>
  <c r="A81" i="42"/>
  <c r="D80" i="42"/>
  <c r="A80" i="42"/>
  <c r="D79" i="42"/>
  <c r="A79" i="42"/>
  <c r="D78" i="42"/>
  <c r="A78" i="42"/>
  <c r="D77" i="42"/>
  <c r="A77" i="42"/>
  <c r="D76" i="42"/>
  <c r="A76" i="42"/>
  <c r="D75" i="42"/>
  <c r="A75" i="42"/>
  <c r="D74" i="42"/>
  <c r="A74" i="42"/>
  <c r="I73" i="42"/>
  <c r="D73" i="42"/>
  <c r="A73" i="42"/>
  <c r="D72" i="42"/>
  <c r="A72" i="42"/>
  <c r="D71" i="42"/>
  <c r="A71" i="42"/>
  <c r="D70" i="42"/>
  <c r="A70" i="42"/>
  <c r="G69" i="42"/>
  <c r="D69" i="42"/>
  <c r="A69" i="42"/>
  <c r="D68" i="42"/>
  <c r="A68" i="42"/>
  <c r="D67" i="42"/>
  <c r="A67" i="42"/>
  <c r="D66" i="42"/>
  <c r="A66" i="42"/>
  <c r="D65" i="42"/>
  <c r="A65" i="42"/>
  <c r="D64" i="42"/>
  <c r="A64" i="42"/>
  <c r="D63" i="42"/>
  <c r="A63" i="42"/>
  <c r="D62" i="42"/>
  <c r="A62" i="42"/>
  <c r="D61" i="42"/>
  <c r="A61" i="42"/>
  <c r="D60" i="42"/>
  <c r="A60" i="42"/>
  <c r="D59" i="42"/>
  <c r="A59" i="42"/>
  <c r="D58" i="42"/>
  <c r="A58" i="42"/>
  <c r="D57" i="42"/>
  <c r="A57" i="42"/>
  <c r="D56" i="42"/>
  <c r="A56" i="42"/>
  <c r="D55" i="42"/>
  <c r="A55" i="42"/>
  <c r="D54" i="42"/>
  <c r="A54" i="42"/>
  <c r="D53" i="42"/>
  <c r="A53" i="42"/>
  <c r="D52" i="42"/>
  <c r="A52" i="42"/>
  <c r="D51" i="42"/>
  <c r="A51" i="42"/>
  <c r="D50" i="42"/>
  <c r="A50" i="42"/>
  <c r="G49" i="42"/>
  <c r="D49" i="42"/>
  <c r="A49" i="42"/>
  <c r="D48" i="42"/>
  <c r="A48" i="42"/>
  <c r="D47" i="42"/>
  <c r="A47" i="42"/>
  <c r="D46" i="42"/>
  <c r="A46" i="42"/>
  <c r="D45" i="42"/>
  <c r="A45" i="42"/>
  <c r="D44" i="42"/>
  <c r="A44" i="42"/>
  <c r="D43" i="42"/>
  <c r="A43" i="42"/>
  <c r="D42" i="42"/>
  <c r="A42" i="42"/>
  <c r="G41" i="42"/>
  <c r="D41" i="42"/>
  <c r="A41" i="42"/>
  <c r="D40" i="42"/>
  <c r="A40" i="42"/>
  <c r="D39" i="42"/>
  <c r="A39" i="42"/>
  <c r="D38" i="42"/>
  <c r="A38" i="42"/>
  <c r="D37" i="42"/>
  <c r="A37" i="42"/>
  <c r="D36" i="42"/>
  <c r="A36" i="42"/>
  <c r="D35" i="42"/>
  <c r="A35" i="42"/>
  <c r="D34" i="42"/>
  <c r="A34" i="42"/>
  <c r="D33" i="42"/>
  <c r="A33" i="42"/>
  <c r="D32" i="42"/>
  <c r="A32" i="42"/>
  <c r="D31" i="42"/>
  <c r="A31" i="42"/>
  <c r="D30" i="42"/>
  <c r="A30" i="42"/>
  <c r="D29" i="42"/>
  <c r="A29" i="42"/>
  <c r="D28" i="42"/>
  <c r="A28" i="42"/>
  <c r="D27" i="42"/>
  <c r="A27" i="42"/>
  <c r="D26" i="42"/>
  <c r="A26" i="42"/>
  <c r="G25" i="42"/>
  <c r="D25" i="42"/>
  <c r="A25" i="42"/>
  <c r="D24" i="42"/>
  <c r="A24" i="42"/>
  <c r="D23" i="42"/>
  <c r="A23" i="42"/>
  <c r="D22" i="42"/>
  <c r="A22" i="42"/>
  <c r="D21" i="42"/>
  <c r="A21" i="42"/>
  <c r="D20" i="42"/>
  <c r="A20" i="42"/>
  <c r="D19" i="42"/>
  <c r="A19" i="42"/>
  <c r="D18" i="42"/>
  <c r="A18" i="42"/>
  <c r="I17" i="42"/>
  <c r="D17" i="42"/>
  <c r="A17" i="42"/>
  <c r="D16" i="42"/>
  <c r="A16" i="42"/>
  <c r="D15" i="42"/>
  <c r="A15" i="42"/>
  <c r="D14" i="42"/>
  <c r="A14" i="42"/>
  <c r="D13" i="42"/>
  <c r="A13" i="42"/>
  <c r="D12" i="42"/>
  <c r="A12" i="42"/>
  <c r="G9" i="42"/>
  <c r="D125" i="41"/>
  <c r="A125" i="41"/>
  <c r="D124" i="41"/>
  <c r="A124" i="41"/>
  <c r="D123" i="41"/>
  <c r="A123" i="41"/>
  <c r="D122" i="41"/>
  <c r="A122" i="41"/>
  <c r="D121" i="41"/>
  <c r="A121" i="41"/>
  <c r="D120" i="41"/>
  <c r="A120" i="41"/>
  <c r="G119" i="41"/>
  <c r="D119" i="41"/>
  <c r="A119" i="41"/>
  <c r="D118" i="41"/>
  <c r="A118" i="41"/>
  <c r="D117" i="41"/>
  <c r="A117" i="41"/>
  <c r="D116" i="41"/>
  <c r="A116" i="41"/>
  <c r="D115" i="41"/>
  <c r="A115" i="41"/>
  <c r="D114" i="41"/>
  <c r="A114" i="41"/>
  <c r="D113" i="41"/>
  <c r="A113" i="41"/>
  <c r="D112" i="41"/>
  <c r="A112" i="41"/>
  <c r="D111" i="41"/>
  <c r="A111" i="41"/>
  <c r="D110" i="41"/>
  <c r="A110" i="41"/>
  <c r="D109" i="41"/>
  <c r="A109" i="41"/>
  <c r="D108" i="41"/>
  <c r="A108" i="41"/>
  <c r="D107" i="41"/>
  <c r="A107" i="41"/>
  <c r="D106" i="41"/>
  <c r="A106" i="41"/>
  <c r="D105" i="41"/>
  <c r="A105" i="41"/>
  <c r="D104" i="41"/>
  <c r="A104" i="41"/>
  <c r="D103" i="41"/>
  <c r="A103" i="41"/>
  <c r="D102" i="41"/>
  <c r="A102" i="41"/>
  <c r="D101" i="41"/>
  <c r="A101" i="41"/>
  <c r="D100" i="41"/>
  <c r="A100" i="41"/>
  <c r="D99" i="41"/>
  <c r="A99" i="41"/>
  <c r="D98" i="41"/>
  <c r="A98" i="41"/>
  <c r="D97" i="41"/>
  <c r="A97" i="41"/>
  <c r="D96" i="41"/>
  <c r="A96" i="41"/>
  <c r="G95" i="41"/>
  <c r="D95" i="41"/>
  <c r="A95" i="41"/>
  <c r="D94" i="41"/>
  <c r="A94" i="41"/>
  <c r="D93" i="41"/>
  <c r="A93" i="41"/>
  <c r="D92" i="41"/>
  <c r="A92" i="41"/>
  <c r="D91" i="41"/>
  <c r="A91" i="41"/>
  <c r="D90" i="41"/>
  <c r="A90" i="41"/>
  <c r="D89" i="41"/>
  <c r="A89" i="41"/>
  <c r="D88" i="41"/>
  <c r="A88" i="41"/>
  <c r="D87" i="41"/>
  <c r="A87" i="41"/>
  <c r="D86" i="41"/>
  <c r="A86" i="41"/>
  <c r="D85" i="41"/>
  <c r="A85" i="41"/>
  <c r="D84" i="41"/>
  <c r="A84" i="41"/>
  <c r="D83" i="41"/>
  <c r="A83" i="41"/>
  <c r="D82" i="41"/>
  <c r="A82" i="41"/>
  <c r="D81" i="41"/>
  <c r="A81" i="41"/>
  <c r="D80" i="41"/>
  <c r="A80" i="41"/>
  <c r="D79" i="41"/>
  <c r="A79" i="41"/>
  <c r="D78" i="41"/>
  <c r="A78" i="41"/>
  <c r="D77" i="41"/>
  <c r="A77" i="41"/>
  <c r="D76" i="41"/>
  <c r="A76" i="41"/>
  <c r="D75" i="41"/>
  <c r="A75" i="41"/>
  <c r="D74" i="41"/>
  <c r="A74" i="41"/>
  <c r="D73" i="41"/>
  <c r="A73" i="41"/>
  <c r="D72" i="41"/>
  <c r="A72" i="41"/>
  <c r="D71" i="41"/>
  <c r="A71" i="41"/>
  <c r="D70" i="41"/>
  <c r="A70" i="41"/>
  <c r="D69" i="41"/>
  <c r="A69" i="41"/>
  <c r="D68" i="41"/>
  <c r="A68" i="41"/>
  <c r="H67" i="41"/>
  <c r="D67" i="41"/>
  <c r="A67" i="41"/>
  <c r="D66" i="41"/>
  <c r="A66" i="41"/>
  <c r="D65" i="41"/>
  <c r="A65" i="41"/>
  <c r="D64" i="41"/>
  <c r="A64" i="41"/>
  <c r="D63" i="41"/>
  <c r="A63" i="41"/>
  <c r="D62" i="41"/>
  <c r="A62" i="41"/>
  <c r="D61" i="41"/>
  <c r="A61" i="41"/>
  <c r="D60" i="41"/>
  <c r="A60" i="41"/>
  <c r="D59" i="41"/>
  <c r="A59" i="41"/>
  <c r="D58" i="41"/>
  <c r="A58" i="41"/>
  <c r="D57" i="41"/>
  <c r="A57" i="41"/>
  <c r="D56" i="41"/>
  <c r="A56" i="41"/>
  <c r="D55" i="41"/>
  <c r="A55" i="41"/>
  <c r="D54" i="41"/>
  <c r="A54" i="41"/>
  <c r="D53" i="41"/>
  <c r="A53" i="41"/>
  <c r="D52" i="41"/>
  <c r="A52" i="41"/>
  <c r="D51" i="41"/>
  <c r="A51" i="41"/>
  <c r="D50" i="41"/>
  <c r="A50" i="41"/>
  <c r="D49" i="41"/>
  <c r="A49" i="41"/>
  <c r="D48" i="41"/>
  <c r="A48" i="41"/>
  <c r="G47" i="41"/>
  <c r="D47" i="41"/>
  <c r="A47" i="41"/>
  <c r="D46" i="41"/>
  <c r="A46" i="41"/>
  <c r="D45" i="41"/>
  <c r="A45" i="41"/>
  <c r="D44" i="41"/>
  <c r="A44" i="41"/>
  <c r="D43" i="41"/>
  <c r="A43" i="41"/>
  <c r="D42" i="41"/>
  <c r="A42" i="41"/>
  <c r="D41" i="41"/>
  <c r="A41" i="41"/>
  <c r="D40" i="41"/>
  <c r="A40" i="41"/>
  <c r="G39" i="41"/>
  <c r="D39" i="41"/>
  <c r="A39" i="41"/>
  <c r="D38" i="41"/>
  <c r="A38" i="41"/>
  <c r="D37" i="41"/>
  <c r="A37" i="41"/>
  <c r="D36" i="41"/>
  <c r="A36" i="41"/>
  <c r="D35" i="41"/>
  <c r="A35" i="41"/>
  <c r="D34" i="41"/>
  <c r="A34" i="41"/>
  <c r="D33" i="41"/>
  <c r="A33" i="41"/>
  <c r="D32" i="41"/>
  <c r="A32" i="41"/>
  <c r="D31" i="41"/>
  <c r="A31" i="41"/>
  <c r="D30" i="41"/>
  <c r="A30" i="41"/>
  <c r="D29" i="41"/>
  <c r="A29" i="41"/>
  <c r="D28" i="41"/>
  <c r="A28" i="41"/>
  <c r="D27" i="41"/>
  <c r="A27" i="41"/>
  <c r="D26" i="41"/>
  <c r="A26" i="41"/>
  <c r="D25" i="41"/>
  <c r="A25" i="41"/>
  <c r="D24" i="41"/>
  <c r="A24" i="41"/>
  <c r="D23" i="41"/>
  <c r="A23" i="41"/>
  <c r="D22" i="41"/>
  <c r="A22" i="41"/>
  <c r="D21" i="41"/>
  <c r="A21" i="41"/>
  <c r="D20" i="41"/>
  <c r="A20" i="41"/>
  <c r="D19" i="41"/>
  <c r="A19" i="41"/>
  <c r="D18" i="41"/>
  <c r="A18" i="41"/>
  <c r="D17" i="41"/>
  <c r="A17" i="41"/>
  <c r="D16" i="41"/>
  <c r="A16" i="41"/>
  <c r="H15" i="41"/>
  <c r="D15" i="41"/>
  <c r="A15" i="41"/>
  <c r="D14" i="41"/>
  <c r="A14" i="41"/>
  <c r="D13" i="41"/>
  <c r="A13" i="41"/>
  <c r="D12" i="41"/>
  <c r="A12" i="41"/>
  <c r="G9" i="41"/>
  <c r="D125" i="40"/>
  <c r="A125" i="40"/>
  <c r="D124" i="40"/>
  <c r="A124" i="40"/>
  <c r="D123" i="40"/>
  <c r="A123" i="40"/>
  <c r="D122" i="40"/>
  <c r="A122" i="40"/>
  <c r="D121" i="40"/>
  <c r="A121" i="40"/>
  <c r="D120" i="40"/>
  <c r="A120" i="40"/>
  <c r="D119" i="40"/>
  <c r="A119" i="40"/>
  <c r="D118" i="40"/>
  <c r="A118" i="40"/>
  <c r="D117" i="40"/>
  <c r="A117" i="40"/>
  <c r="D116" i="40"/>
  <c r="A116" i="40"/>
  <c r="D115" i="40"/>
  <c r="A115" i="40"/>
  <c r="D114" i="40"/>
  <c r="A114" i="40"/>
  <c r="D113" i="40"/>
  <c r="A113" i="40"/>
  <c r="D112" i="40"/>
  <c r="A112" i="40"/>
  <c r="D111" i="40"/>
  <c r="A111" i="40"/>
  <c r="D110" i="40"/>
  <c r="A110" i="40"/>
  <c r="D109" i="40"/>
  <c r="A109" i="40"/>
  <c r="D108" i="40"/>
  <c r="A108" i="40"/>
  <c r="D107" i="40"/>
  <c r="A107" i="40"/>
  <c r="D106" i="40"/>
  <c r="A106" i="40"/>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D76" i="40"/>
  <c r="A76" i="40"/>
  <c r="D75" i="40"/>
  <c r="A75" i="40"/>
  <c r="D74" i="40"/>
  <c r="A74" i="40"/>
  <c r="D73" i="40"/>
  <c r="A73" i="40"/>
  <c r="D72" i="40"/>
  <c r="A72" i="40"/>
  <c r="D71" i="40"/>
  <c r="A71" i="40"/>
  <c r="D70" i="40"/>
  <c r="A70" i="40"/>
  <c r="D69" i="40"/>
  <c r="A69" i="40"/>
  <c r="D68" i="40"/>
  <c r="A68" i="40"/>
  <c r="D67" i="40"/>
  <c r="A67" i="40"/>
  <c r="D66" i="40"/>
  <c r="A66" i="40"/>
  <c r="D65" i="40"/>
  <c r="A65" i="40"/>
  <c r="D64" i="40"/>
  <c r="A64" i="40"/>
  <c r="D63" i="40"/>
  <c r="A63" i="40"/>
  <c r="D62" i="40"/>
  <c r="A62" i="40"/>
  <c r="D61" i="40"/>
  <c r="A61" i="40"/>
  <c r="D60" i="40"/>
  <c r="A60" i="40"/>
  <c r="D59" i="40"/>
  <c r="A59" i="40"/>
  <c r="D58" i="40"/>
  <c r="A58" i="40"/>
  <c r="D57"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D36" i="40"/>
  <c r="A36" i="40"/>
  <c r="D35" i="40"/>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D20" i="40"/>
  <c r="A20" i="40"/>
  <c r="D19" i="40"/>
  <c r="A19" i="40"/>
  <c r="D18" i="40"/>
  <c r="A18" i="40"/>
  <c r="D17" i="40"/>
  <c r="A17" i="40"/>
  <c r="D16" i="40"/>
  <c r="A16" i="40"/>
  <c r="D15" i="40"/>
  <c r="A15" i="40"/>
  <c r="D14" i="40"/>
  <c r="A14" i="40"/>
  <c r="D13" i="40"/>
  <c r="A13" i="40"/>
  <c r="D12" i="40"/>
  <c r="A12" i="40"/>
  <c r="G9" i="40"/>
  <c r="D125" i="39"/>
  <c r="A125" i="39"/>
  <c r="D124" i="39"/>
  <c r="A124" i="39"/>
  <c r="D123" i="39"/>
  <c r="A123" i="39"/>
  <c r="D122" i="39"/>
  <c r="A122" i="39"/>
  <c r="D121" i="39"/>
  <c r="A121" i="39"/>
  <c r="D120" i="39"/>
  <c r="A120" i="39"/>
  <c r="D119" i="39"/>
  <c r="A119" i="39"/>
  <c r="D118" i="39"/>
  <c r="A118" i="39"/>
  <c r="D117" i="39"/>
  <c r="A117" i="39"/>
  <c r="D116" i="39"/>
  <c r="A116" i="39"/>
  <c r="D115" i="39"/>
  <c r="A115" i="39"/>
  <c r="D114" i="39"/>
  <c r="A114" i="39"/>
  <c r="D113" i="39"/>
  <c r="A113" i="39"/>
  <c r="D112" i="39"/>
  <c r="A112" i="39"/>
  <c r="D111" i="39"/>
  <c r="A111" i="39"/>
  <c r="D110" i="39"/>
  <c r="A110" i="39"/>
  <c r="D109" i="39"/>
  <c r="A109" i="39"/>
  <c r="D108" i="39"/>
  <c r="A108" i="39"/>
  <c r="D107" i="39"/>
  <c r="A107" i="39"/>
  <c r="D106" i="39"/>
  <c r="A106" i="39"/>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D76" i="39"/>
  <c r="A76" i="39"/>
  <c r="D75" i="39"/>
  <c r="A75" i="39"/>
  <c r="D74" i="39"/>
  <c r="A74" i="39"/>
  <c r="D73" i="39"/>
  <c r="A73" i="39"/>
  <c r="D72" i="39"/>
  <c r="A72" i="39"/>
  <c r="D71" i="39"/>
  <c r="A71" i="39"/>
  <c r="D70" i="39"/>
  <c r="A70" i="39"/>
  <c r="D69" i="39"/>
  <c r="A69" i="39"/>
  <c r="D68" i="39"/>
  <c r="A68" i="39"/>
  <c r="D67" i="39"/>
  <c r="A67" i="39"/>
  <c r="D66" i="39"/>
  <c r="A66" i="39"/>
  <c r="D65" i="39"/>
  <c r="A65" i="39"/>
  <c r="D64" i="39"/>
  <c r="A64" i="39"/>
  <c r="D63" i="39"/>
  <c r="A63" i="39"/>
  <c r="D62" i="39"/>
  <c r="A62" i="39"/>
  <c r="D61" i="39"/>
  <c r="A61" i="39"/>
  <c r="D60" i="39"/>
  <c r="A60" i="39"/>
  <c r="D59" i="39"/>
  <c r="A59" i="39"/>
  <c r="D58" i="39"/>
  <c r="A58" i="39"/>
  <c r="D57"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G39" i="39"/>
  <c r="D39" i="39"/>
  <c r="A39" i="39"/>
  <c r="D38" i="39"/>
  <c r="A38" i="39"/>
  <c r="D37" i="39"/>
  <c r="A37" i="39"/>
  <c r="D36" i="39"/>
  <c r="A36" i="39"/>
  <c r="D35" i="39"/>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A18" i="39"/>
  <c r="D17" i="39"/>
  <c r="A17" i="39"/>
  <c r="D16" i="39"/>
  <c r="A16" i="39"/>
  <c r="D15" i="39"/>
  <c r="A15" i="39"/>
  <c r="D14" i="39"/>
  <c r="A14" i="39"/>
  <c r="D13" i="39"/>
  <c r="A13" i="39"/>
  <c r="D12" i="39"/>
  <c r="A12" i="39"/>
  <c r="G9" i="39"/>
  <c r="D125" i="38"/>
  <c r="A125" i="38"/>
  <c r="D124" i="38"/>
  <c r="A124" i="38"/>
  <c r="D123" i="38"/>
  <c r="A123" i="38"/>
  <c r="D122" i="38"/>
  <c r="A122" i="38"/>
  <c r="D121" i="38"/>
  <c r="A121" i="38"/>
  <c r="D120" i="38"/>
  <c r="A120" i="38"/>
  <c r="D119" i="38"/>
  <c r="A119" i="38"/>
  <c r="D118" i="38"/>
  <c r="A118" i="38"/>
  <c r="D117" i="38"/>
  <c r="A117" i="38"/>
  <c r="D116" i="38"/>
  <c r="A116" i="38"/>
  <c r="D115" i="38"/>
  <c r="A115" i="38"/>
  <c r="D114" i="38"/>
  <c r="A114" i="38"/>
  <c r="D113" i="38"/>
  <c r="A113" i="38"/>
  <c r="D112" i="38"/>
  <c r="A112" i="38"/>
  <c r="D111" i="38"/>
  <c r="A111" i="38"/>
  <c r="D110" i="38"/>
  <c r="A110" i="38"/>
  <c r="D109" i="38"/>
  <c r="A109" i="38"/>
  <c r="D108" i="38"/>
  <c r="A108" i="38"/>
  <c r="D107" i="38"/>
  <c r="A107" i="38"/>
  <c r="D106" i="38"/>
  <c r="A106" i="38"/>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D76" i="38"/>
  <c r="A76" i="38"/>
  <c r="D75" i="38"/>
  <c r="A75" i="38"/>
  <c r="D74" i="38"/>
  <c r="A74" i="38"/>
  <c r="D73" i="38"/>
  <c r="A73" i="38"/>
  <c r="D72" i="38"/>
  <c r="A72" i="38"/>
  <c r="D71" i="38"/>
  <c r="A71" i="38"/>
  <c r="D70" i="38"/>
  <c r="A70" i="38"/>
  <c r="D69" i="38"/>
  <c r="A69" i="38"/>
  <c r="D68" i="38"/>
  <c r="A68" i="38"/>
  <c r="D67" i="38"/>
  <c r="A67" i="38"/>
  <c r="D66" i="38"/>
  <c r="A66" i="38"/>
  <c r="D65" i="38"/>
  <c r="A65" i="38"/>
  <c r="D64" i="38"/>
  <c r="A64" i="38"/>
  <c r="D63" i="38"/>
  <c r="A63" i="38"/>
  <c r="D62" i="38"/>
  <c r="A62" i="38"/>
  <c r="D61" i="38"/>
  <c r="A61" i="38"/>
  <c r="D60" i="38"/>
  <c r="A60" i="38"/>
  <c r="D59" i="38"/>
  <c r="A59" i="38"/>
  <c r="D58" i="38"/>
  <c r="A58" i="38"/>
  <c r="D57"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A36" i="38"/>
  <c r="D35" i="38"/>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A18" i="38"/>
  <c r="D17" i="38"/>
  <c r="A17" i="38"/>
  <c r="D16" i="38"/>
  <c r="A16" i="38"/>
  <c r="D15" i="38"/>
  <c r="A15" i="38"/>
  <c r="D14" i="38"/>
  <c r="A14" i="38"/>
  <c r="D13" i="38"/>
  <c r="A13" i="38"/>
  <c r="D12" i="38"/>
  <c r="A12" i="38"/>
  <c r="G9" i="38"/>
  <c r="Q1137" i="27"/>
  <c r="P1137" i="27"/>
  <c r="Q1136" i="27"/>
  <c r="P1136" i="27"/>
  <c r="Q1135" i="27"/>
  <c r="P1135" i="27"/>
  <c r="Q1134" i="27"/>
  <c r="P1134" i="27"/>
  <c r="Q1133" i="27"/>
  <c r="P1133" i="27"/>
  <c r="Q1132" i="27"/>
  <c r="P1132" i="27"/>
  <c r="Q1131" i="27"/>
  <c r="P1131" i="27"/>
  <c r="Q1130" i="27"/>
  <c r="P1130" i="27"/>
  <c r="Q1129" i="27"/>
  <c r="P1129" i="27"/>
  <c r="Q1128" i="27"/>
  <c r="P1128" i="27"/>
  <c r="Q1127" i="27"/>
  <c r="P1127" i="27"/>
  <c r="Q1126" i="27"/>
  <c r="P1126" i="27"/>
  <c r="Q1125" i="27"/>
  <c r="P1125" i="27"/>
  <c r="Q1124" i="27"/>
  <c r="P1124" i="27"/>
  <c r="Q1123" i="27"/>
  <c r="P1123" i="27"/>
  <c r="Q1122" i="27"/>
  <c r="P1122" i="27"/>
  <c r="Q1121" i="27"/>
  <c r="P1121" i="27"/>
  <c r="Q1120" i="27"/>
  <c r="P1120" i="27"/>
  <c r="Q1119" i="27"/>
  <c r="P1119" i="27"/>
  <c r="Q1118" i="27"/>
  <c r="P1118" i="27"/>
  <c r="Q1117" i="27"/>
  <c r="P1117" i="27"/>
  <c r="Q1116" i="27"/>
  <c r="P1116" i="27"/>
  <c r="Q1115" i="27"/>
  <c r="P1115" i="27"/>
  <c r="Q1114" i="27"/>
  <c r="P1114" i="27"/>
  <c r="Q1113" i="27"/>
  <c r="P1113" i="27"/>
  <c r="Q1112" i="27"/>
  <c r="P1112" i="27"/>
  <c r="Q1111" i="27"/>
  <c r="P1111" i="27"/>
  <c r="Q1110" i="27"/>
  <c r="P1110" i="27"/>
  <c r="Q1109" i="27"/>
  <c r="P1109" i="27"/>
  <c r="Q1108" i="27"/>
  <c r="P1108" i="27"/>
  <c r="Q1107" i="27"/>
  <c r="P1107" i="27"/>
  <c r="Q1106" i="27"/>
  <c r="P1106" i="27"/>
  <c r="Q1105" i="27"/>
  <c r="P1105" i="27"/>
  <c r="Q1104" i="27"/>
  <c r="P1104" i="27"/>
  <c r="Q1103" i="27"/>
  <c r="P1103" i="27"/>
  <c r="Q1102" i="27"/>
  <c r="P1102" i="27"/>
  <c r="Q1101" i="27"/>
  <c r="P1101" i="27"/>
  <c r="Q1100" i="27"/>
  <c r="P1100" i="27"/>
  <c r="Q1099" i="27"/>
  <c r="P1099" i="27"/>
  <c r="Q1098" i="27"/>
  <c r="P1098" i="27"/>
  <c r="Q1097" i="27"/>
  <c r="P1097" i="27"/>
  <c r="Q1096" i="27"/>
  <c r="P1096" i="27"/>
  <c r="Q1095" i="27"/>
  <c r="P1095" i="27"/>
  <c r="Q1094" i="27"/>
  <c r="P1094" i="27"/>
  <c r="Q1093" i="27"/>
  <c r="P1093" i="27"/>
  <c r="Q1092" i="27"/>
  <c r="P1092" i="27"/>
  <c r="Q1091" i="27"/>
  <c r="P1091" i="27"/>
  <c r="Q1090" i="27"/>
  <c r="P1090" i="27"/>
  <c r="Q1089" i="27"/>
  <c r="P1089" i="27"/>
  <c r="Q1088" i="27"/>
  <c r="P1088" i="27"/>
  <c r="Q1087" i="27"/>
  <c r="P1087" i="27"/>
  <c r="Q1086" i="27"/>
  <c r="P1086" i="27"/>
  <c r="Q1085" i="27"/>
  <c r="P1085" i="27"/>
  <c r="Q1084" i="27"/>
  <c r="P1084" i="27"/>
  <c r="Q1083" i="27"/>
  <c r="P1083" i="27"/>
  <c r="Q1082" i="27"/>
  <c r="P1082" i="27"/>
  <c r="Q1081" i="27"/>
  <c r="P1081" i="27"/>
  <c r="Q1080" i="27"/>
  <c r="P1080" i="27"/>
  <c r="Q1079" i="27"/>
  <c r="P1079" i="27"/>
  <c r="Q1078" i="27"/>
  <c r="P1078" i="27"/>
  <c r="Q1077" i="27"/>
  <c r="P1077" i="27"/>
  <c r="Q1076" i="27"/>
  <c r="P1076" i="27"/>
  <c r="Q1075" i="27"/>
  <c r="P1075" i="27"/>
  <c r="Q1074" i="27"/>
  <c r="P1074" i="27"/>
  <c r="Q1073" i="27"/>
  <c r="P1073" i="27"/>
  <c r="Q1072" i="27"/>
  <c r="P1072" i="27"/>
  <c r="Q1071" i="27"/>
  <c r="P1071" i="27"/>
  <c r="Q1070" i="27"/>
  <c r="P1070" i="27"/>
  <c r="Q1069" i="27"/>
  <c r="P1069" i="27"/>
  <c r="Q1068" i="27"/>
  <c r="P1068" i="27"/>
  <c r="Q1067" i="27"/>
  <c r="P1067" i="27"/>
  <c r="Q1066" i="27"/>
  <c r="P1066" i="27"/>
  <c r="Q1065" i="27"/>
  <c r="P1065" i="27"/>
  <c r="Q1064" i="27"/>
  <c r="P1064" i="27"/>
  <c r="Q1063" i="27"/>
  <c r="P1063" i="27"/>
  <c r="Q1062" i="27"/>
  <c r="P1062" i="27"/>
  <c r="Q1061" i="27"/>
  <c r="P1061" i="27"/>
  <c r="Q1060" i="27"/>
  <c r="P1060" i="27"/>
  <c r="Q1059" i="27"/>
  <c r="P1059" i="27"/>
  <c r="Q1058" i="27"/>
  <c r="P1058" i="27"/>
  <c r="Q1057" i="27"/>
  <c r="P1057" i="27"/>
  <c r="Q1056" i="27"/>
  <c r="P1056" i="27"/>
  <c r="Q1055" i="27"/>
  <c r="P1055" i="27"/>
  <c r="Q1054" i="27"/>
  <c r="P1054" i="27"/>
  <c r="Q1053" i="27"/>
  <c r="P1053" i="27"/>
  <c r="Q1052" i="27"/>
  <c r="P1052" i="27"/>
  <c r="Q1051" i="27"/>
  <c r="P1051" i="27"/>
  <c r="Q1050" i="27"/>
  <c r="P1050" i="27"/>
  <c r="Q1049" i="27"/>
  <c r="P1049" i="27"/>
  <c r="Q1048" i="27"/>
  <c r="P1048" i="27"/>
  <c r="Q1047" i="27"/>
  <c r="P1047" i="27"/>
  <c r="Q1046" i="27"/>
  <c r="P1046" i="27"/>
  <c r="Q1045" i="27"/>
  <c r="P1045" i="27"/>
  <c r="Q1044" i="27"/>
  <c r="P1044" i="27"/>
  <c r="Q1043" i="27"/>
  <c r="P1043" i="27"/>
  <c r="Q1042" i="27"/>
  <c r="P1042" i="27"/>
  <c r="Q1041" i="27"/>
  <c r="P1041" i="27"/>
  <c r="Q1040" i="27"/>
  <c r="P1040" i="27"/>
  <c r="Q1039" i="27"/>
  <c r="P1039" i="27"/>
  <c r="Q1038" i="27"/>
  <c r="P1038" i="27"/>
  <c r="Q1037" i="27"/>
  <c r="P1037" i="27"/>
  <c r="Q1036" i="27"/>
  <c r="P1036" i="27"/>
  <c r="Q1035" i="27"/>
  <c r="P1035" i="27"/>
  <c r="Q1034" i="27"/>
  <c r="P1034" i="27"/>
  <c r="Q1033" i="27"/>
  <c r="P1033" i="27"/>
  <c r="Q1032" i="27"/>
  <c r="P1032" i="27"/>
  <c r="Q1031" i="27"/>
  <c r="P1031" i="27"/>
  <c r="Q1030" i="27"/>
  <c r="P1030" i="27"/>
  <c r="Q1029" i="27"/>
  <c r="P1029" i="27"/>
  <c r="Q1028" i="27"/>
  <c r="P1028" i="27"/>
  <c r="Q1027" i="27"/>
  <c r="P1027" i="27"/>
  <c r="Q1026" i="27"/>
  <c r="P1026" i="27"/>
  <c r="Q1025" i="27"/>
  <c r="P1025" i="27"/>
  <c r="Q1024" i="27"/>
  <c r="P1024" i="27"/>
  <c r="Q1023" i="27"/>
  <c r="P1023" i="27"/>
  <c r="Q1022" i="27"/>
  <c r="P1022" i="27"/>
  <c r="Q1021" i="27"/>
  <c r="P1021" i="27"/>
  <c r="Q1020" i="27"/>
  <c r="P1020" i="27"/>
  <c r="Q1019" i="27"/>
  <c r="P1019" i="27"/>
  <c r="Q1018" i="27"/>
  <c r="P1018" i="27"/>
  <c r="Q1017" i="27"/>
  <c r="P1017" i="27"/>
  <c r="Q1016" i="27"/>
  <c r="P1016" i="27"/>
  <c r="Q1015" i="27"/>
  <c r="P1015" i="27"/>
  <c r="Q1014" i="27"/>
  <c r="P1014" i="27"/>
  <c r="Q1013" i="27"/>
  <c r="P1013" i="27"/>
  <c r="Q1012" i="27"/>
  <c r="P1012" i="27"/>
  <c r="Q1011" i="27"/>
  <c r="P1011" i="27"/>
  <c r="Q1010" i="27"/>
  <c r="P1010" i="27"/>
  <c r="Q1009" i="27"/>
  <c r="P1009" i="27"/>
  <c r="Q1008" i="27"/>
  <c r="P1008" i="27"/>
  <c r="Q1007" i="27"/>
  <c r="P1007" i="27"/>
  <c r="Q1006" i="27"/>
  <c r="P1006" i="27"/>
  <c r="Q1005" i="27"/>
  <c r="P1005" i="27"/>
  <c r="Q1004" i="27"/>
  <c r="P1004" i="27"/>
  <c r="Q1003" i="27"/>
  <c r="P1003" i="27"/>
  <c r="Q1002" i="27"/>
  <c r="P1002" i="27"/>
  <c r="Q1001" i="27"/>
  <c r="P1001" i="27"/>
  <c r="Q1000" i="27"/>
  <c r="P1000" i="27"/>
  <c r="Q999" i="27"/>
  <c r="P999" i="27"/>
  <c r="Q998" i="27"/>
  <c r="P998" i="27"/>
  <c r="Q997" i="27"/>
  <c r="P997" i="27"/>
  <c r="Q996" i="27"/>
  <c r="P996" i="27"/>
  <c r="Q995" i="27"/>
  <c r="P995" i="27"/>
  <c r="Q994" i="27"/>
  <c r="P994" i="27"/>
  <c r="Q993" i="27"/>
  <c r="P993" i="27"/>
  <c r="Q992" i="27"/>
  <c r="P992" i="27"/>
  <c r="Q991" i="27"/>
  <c r="P991" i="27"/>
  <c r="Q990" i="27"/>
  <c r="P990" i="27"/>
  <c r="Q989" i="27"/>
  <c r="P989" i="27"/>
  <c r="Q988" i="27"/>
  <c r="P988" i="27"/>
  <c r="Q987" i="27"/>
  <c r="P987" i="27"/>
  <c r="Q986" i="27"/>
  <c r="P986" i="27"/>
  <c r="Q985" i="27"/>
  <c r="P985" i="27"/>
  <c r="Q984" i="27"/>
  <c r="P984" i="27"/>
  <c r="Q983" i="27"/>
  <c r="P983" i="27"/>
  <c r="Q982" i="27"/>
  <c r="P982" i="27"/>
  <c r="Q981" i="27"/>
  <c r="P981" i="27"/>
  <c r="Q980" i="27"/>
  <c r="P980" i="27"/>
  <c r="Q979" i="27"/>
  <c r="P979" i="27"/>
  <c r="Q978" i="27"/>
  <c r="P978" i="27"/>
  <c r="Q977" i="27"/>
  <c r="P977" i="27"/>
  <c r="Q976" i="27"/>
  <c r="P976" i="27"/>
  <c r="Q975" i="27"/>
  <c r="P975" i="27"/>
  <c r="Q974" i="27"/>
  <c r="P974" i="27"/>
  <c r="Q973" i="27"/>
  <c r="P973" i="27"/>
  <c r="Q972" i="27"/>
  <c r="P972" i="27"/>
  <c r="Q971" i="27"/>
  <c r="P971" i="27"/>
  <c r="Q970" i="27"/>
  <c r="P970" i="27"/>
  <c r="Q969" i="27"/>
  <c r="P969" i="27"/>
  <c r="Q968" i="27"/>
  <c r="P968" i="27"/>
  <c r="Q967" i="27"/>
  <c r="P967" i="27"/>
  <c r="Q966" i="27"/>
  <c r="P966" i="27"/>
  <c r="Q965" i="27"/>
  <c r="P965" i="27"/>
  <c r="Q964" i="27"/>
  <c r="P964" i="27"/>
  <c r="Q963" i="27"/>
  <c r="P963" i="27"/>
  <c r="Q962" i="27"/>
  <c r="P962" i="27"/>
  <c r="Q961" i="27"/>
  <c r="P961" i="27"/>
  <c r="Q960" i="27"/>
  <c r="P960" i="27"/>
  <c r="Q959" i="27"/>
  <c r="P959" i="27"/>
  <c r="Q958" i="27"/>
  <c r="P958" i="27"/>
  <c r="Q957" i="27"/>
  <c r="P957" i="27"/>
  <c r="Q956" i="27"/>
  <c r="P956" i="27"/>
  <c r="Q955" i="27"/>
  <c r="P955" i="27"/>
  <c r="Q954" i="27"/>
  <c r="P954" i="27"/>
  <c r="Q953" i="27"/>
  <c r="P953" i="27"/>
  <c r="Q952" i="27"/>
  <c r="P952" i="27"/>
  <c r="Q951" i="27"/>
  <c r="P951" i="27"/>
  <c r="Q950" i="27"/>
  <c r="P950" i="27"/>
  <c r="Q949" i="27"/>
  <c r="P949" i="27"/>
  <c r="Q948" i="27"/>
  <c r="P948" i="27"/>
  <c r="Q947" i="27"/>
  <c r="P947" i="27"/>
  <c r="Q946" i="27"/>
  <c r="P946" i="27"/>
  <c r="Q945" i="27"/>
  <c r="P945" i="27"/>
  <c r="Q944" i="27"/>
  <c r="P944" i="27"/>
  <c r="Q943" i="27"/>
  <c r="P943" i="27"/>
  <c r="Q942" i="27"/>
  <c r="P942" i="27"/>
  <c r="Q941" i="27"/>
  <c r="P941" i="27"/>
  <c r="Q940" i="27"/>
  <c r="P940" i="27"/>
  <c r="Q939" i="27"/>
  <c r="P939" i="27"/>
  <c r="Q938" i="27"/>
  <c r="P938" i="27"/>
  <c r="Q937" i="27"/>
  <c r="P937" i="27"/>
  <c r="Q936" i="27"/>
  <c r="P936" i="27"/>
  <c r="Q935" i="27"/>
  <c r="P935" i="27"/>
  <c r="Q934" i="27"/>
  <c r="P934" i="27"/>
  <c r="Q933" i="27"/>
  <c r="P933" i="27"/>
  <c r="Q932" i="27"/>
  <c r="P932" i="27"/>
  <c r="Q931" i="27"/>
  <c r="P931" i="27"/>
  <c r="Q930" i="27"/>
  <c r="P930" i="27"/>
  <c r="Q929" i="27"/>
  <c r="P929" i="27"/>
  <c r="Q928" i="27"/>
  <c r="P928" i="27"/>
  <c r="Q927" i="27"/>
  <c r="P927" i="27"/>
  <c r="Q926" i="27"/>
  <c r="P926" i="27"/>
  <c r="Q925" i="27"/>
  <c r="P925" i="27"/>
  <c r="Q924" i="27"/>
  <c r="P924" i="27"/>
  <c r="Q923" i="27"/>
  <c r="P923" i="27"/>
  <c r="Q922" i="27"/>
  <c r="P922" i="27"/>
  <c r="Q921" i="27"/>
  <c r="P921" i="27"/>
  <c r="Q920" i="27"/>
  <c r="P920" i="27"/>
  <c r="Q919" i="27"/>
  <c r="P919" i="27"/>
  <c r="Q918" i="27"/>
  <c r="P918" i="27"/>
  <c r="Q917" i="27"/>
  <c r="P917" i="27"/>
  <c r="Q916" i="27"/>
  <c r="P916" i="27"/>
  <c r="Q915" i="27"/>
  <c r="P915" i="27"/>
  <c r="Q914" i="27"/>
  <c r="P914" i="27"/>
  <c r="Q913" i="27"/>
  <c r="P913" i="27"/>
  <c r="Q912" i="27"/>
  <c r="P912" i="27"/>
  <c r="Q911" i="27"/>
  <c r="P911" i="27"/>
  <c r="Q910" i="27"/>
  <c r="P910" i="27"/>
  <c r="Q909" i="27"/>
  <c r="P909" i="27"/>
  <c r="Q908" i="27"/>
  <c r="P908" i="27"/>
  <c r="Q907" i="27"/>
  <c r="P907" i="27"/>
  <c r="Q906" i="27"/>
  <c r="P906" i="27"/>
  <c r="Q905" i="27"/>
  <c r="P905" i="27"/>
  <c r="Q904" i="27"/>
  <c r="P904" i="27"/>
  <c r="Q903" i="27"/>
  <c r="P903" i="27"/>
  <c r="Q902" i="27"/>
  <c r="P902" i="27"/>
  <c r="Q901" i="27"/>
  <c r="P901" i="27"/>
  <c r="Q900" i="27"/>
  <c r="P900" i="27"/>
  <c r="Q899" i="27"/>
  <c r="P899" i="27"/>
  <c r="Q898" i="27"/>
  <c r="P898" i="27"/>
  <c r="Q897" i="27"/>
  <c r="P897" i="27"/>
  <c r="Q896" i="27"/>
  <c r="P896" i="27"/>
  <c r="Q895" i="27"/>
  <c r="P895" i="27"/>
  <c r="Q894" i="27"/>
  <c r="P894" i="27"/>
  <c r="Q893" i="27"/>
  <c r="P893" i="27"/>
  <c r="Q892" i="27"/>
  <c r="P892" i="27"/>
  <c r="Q891" i="27"/>
  <c r="P891" i="27"/>
  <c r="Q890" i="27"/>
  <c r="P890" i="27"/>
  <c r="Q889" i="27"/>
  <c r="P889" i="27"/>
  <c r="Q888" i="27"/>
  <c r="P888" i="27"/>
  <c r="Q887" i="27"/>
  <c r="P887" i="27"/>
  <c r="Q886" i="27"/>
  <c r="P886" i="27"/>
  <c r="Q885" i="27"/>
  <c r="P885" i="27"/>
  <c r="Q884" i="27"/>
  <c r="P884" i="27"/>
  <c r="Q883" i="27"/>
  <c r="P883" i="27"/>
  <c r="Q882" i="27"/>
  <c r="P882" i="27"/>
  <c r="Q881" i="27"/>
  <c r="P881" i="27"/>
  <c r="Q880" i="27"/>
  <c r="P880" i="27"/>
  <c r="Q879" i="27"/>
  <c r="P879" i="27"/>
  <c r="Q878" i="27"/>
  <c r="P878" i="27"/>
  <c r="Q877" i="27"/>
  <c r="P877" i="27"/>
  <c r="Q876" i="27"/>
  <c r="P876" i="27"/>
  <c r="Q875" i="27"/>
  <c r="P875" i="27"/>
  <c r="Q874" i="27"/>
  <c r="P874" i="27"/>
  <c r="Q873" i="27"/>
  <c r="P873" i="27"/>
  <c r="Q872" i="27"/>
  <c r="P872" i="27"/>
  <c r="Q871" i="27"/>
  <c r="P871" i="27"/>
  <c r="Q870" i="27"/>
  <c r="P870" i="27"/>
  <c r="Q869" i="27"/>
  <c r="P869" i="27"/>
  <c r="Q868" i="27"/>
  <c r="P868" i="27"/>
  <c r="Q867" i="27"/>
  <c r="P867" i="27"/>
  <c r="Q866" i="27"/>
  <c r="P866" i="27"/>
  <c r="Q865" i="27"/>
  <c r="P865" i="27"/>
  <c r="Q864" i="27"/>
  <c r="P864" i="27"/>
  <c r="Q863" i="27"/>
  <c r="P863" i="27"/>
  <c r="Q862" i="27"/>
  <c r="P862" i="27"/>
  <c r="Q861" i="27"/>
  <c r="P861" i="27"/>
  <c r="Q860" i="27"/>
  <c r="P860" i="27"/>
  <c r="Q859" i="27"/>
  <c r="P859" i="27"/>
  <c r="Q858" i="27"/>
  <c r="P858" i="27"/>
  <c r="Q857" i="27"/>
  <c r="P857" i="27"/>
  <c r="Q856" i="27"/>
  <c r="P856" i="27"/>
  <c r="Q855" i="27"/>
  <c r="P855" i="27"/>
  <c r="Q854" i="27"/>
  <c r="P854" i="27"/>
  <c r="Q853" i="27"/>
  <c r="P853" i="27"/>
  <c r="Q852" i="27"/>
  <c r="P852" i="27"/>
  <c r="Q851" i="27"/>
  <c r="P851" i="27"/>
  <c r="Q850" i="27"/>
  <c r="P850" i="27"/>
  <c r="Q849" i="27"/>
  <c r="P849" i="27"/>
  <c r="Q848" i="27"/>
  <c r="P848" i="27"/>
  <c r="Q847" i="27"/>
  <c r="P847" i="27"/>
  <c r="Q846" i="27"/>
  <c r="P846" i="27"/>
  <c r="Q845" i="27"/>
  <c r="P845" i="27"/>
  <c r="Q844" i="27"/>
  <c r="P844" i="27"/>
  <c r="Q843" i="27"/>
  <c r="P843" i="27"/>
  <c r="Q842" i="27"/>
  <c r="P842" i="27"/>
  <c r="Q841" i="27"/>
  <c r="P841" i="27"/>
  <c r="Q840" i="27"/>
  <c r="P840" i="27"/>
  <c r="Q839" i="27"/>
  <c r="P839" i="27"/>
  <c r="Q838" i="27"/>
  <c r="P838" i="27"/>
  <c r="Q837" i="27"/>
  <c r="P837" i="27"/>
  <c r="Q836" i="27"/>
  <c r="P836" i="27"/>
  <c r="Q835" i="27"/>
  <c r="P835" i="27"/>
  <c r="Q834" i="27"/>
  <c r="P834" i="27"/>
  <c r="Q833" i="27"/>
  <c r="P833" i="27"/>
  <c r="Q832" i="27"/>
  <c r="P832" i="27"/>
  <c r="Q831" i="27"/>
  <c r="P831" i="27"/>
  <c r="Q830" i="27"/>
  <c r="P830" i="27"/>
  <c r="Q829" i="27"/>
  <c r="P829" i="27"/>
  <c r="Q828" i="27"/>
  <c r="P828" i="27"/>
  <c r="Q827" i="27"/>
  <c r="P827" i="27"/>
  <c r="Q826" i="27"/>
  <c r="P826" i="27"/>
  <c r="Q825" i="27"/>
  <c r="P825" i="27"/>
  <c r="Q824" i="27"/>
  <c r="P824" i="27"/>
  <c r="Q823" i="27"/>
  <c r="P823" i="27"/>
  <c r="Q822" i="27"/>
  <c r="P822" i="27"/>
  <c r="Q821" i="27"/>
  <c r="P821" i="27"/>
  <c r="Q820" i="27"/>
  <c r="P820" i="27"/>
  <c r="Q819" i="27"/>
  <c r="P819" i="27"/>
  <c r="Q818" i="27"/>
  <c r="P818" i="27"/>
  <c r="Q817" i="27"/>
  <c r="P817" i="27"/>
  <c r="Q816" i="27"/>
  <c r="P816" i="27"/>
  <c r="Q815" i="27"/>
  <c r="P815" i="27"/>
  <c r="Q814" i="27"/>
  <c r="P814" i="27"/>
  <c r="Q813" i="27"/>
  <c r="P813" i="27"/>
  <c r="Q812" i="27"/>
  <c r="P812" i="27"/>
  <c r="Q811" i="27"/>
  <c r="P811" i="27"/>
  <c r="Q810" i="27"/>
  <c r="P810" i="27"/>
  <c r="Q809" i="27"/>
  <c r="P809" i="27"/>
  <c r="Q808" i="27"/>
  <c r="P808" i="27"/>
  <c r="Q807" i="27"/>
  <c r="P807" i="27"/>
  <c r="Q806" i="27"/>
  <c r="P806" i="27"/>
  <c r="Q805" i="27"/>
  <c r="P805" i="27"/>
  <c r="Q804" i="27"/>
  <c r="P804" i="27"/>
  <c r="Q803" i="27"/>
  <c r="P803" i="27"/>
  <c r="Q802" i="27"/>
  <c r="P802" i="27"/>
  <c r="Q801" i="27"/>
  <c r="P801" i="27"/>
  <c r="Q800" i="27"/>
  <c r="P800" i="27"/>
  <c r="Q799" i="27"/>
  <c r="P799" i="27"/>
  <c r="Q798" i="27"/>
  <c r="P798" i="27"/>
  <c r="Q797" i="27"/>
  <c r="P797" i="27"/>
  <c r="Q796" i="27"/>
  <c r="P796" i="27"/>
  <c r="Q795" i="27"/>
  <c r="P795" i="27"/>
  <c r="Q794" i="27"/>
  <c r="P794" i="27"/>
  <c r="Q793" i="27"/>
  <c r="P793" i="27"/>
  <c r="Q792" i="27"/>
  <c r="P792" i="27"/>
  <c r="Q791" i="27"/>
  <c r="P791" i="27"/>
  <c r="Q790" i="27"/>
  <c r="P790" i="27"/>
  <c r="Q789" i="27"/>
  <c r="P789" i="27"/>
  <c r="Q788" i="27"/>
  <c r="P788" i="27"/>
  <c r="Q787" i="27"/>
  <c r="P787" i="27"/>
  <c r="Q786" i="27"/>
  <c r="P786" i="27"/>
  <c r="Q785" i="27"/>
  <c r="P785" i="27"/>
  <c r="Q784" i="27"/>
  <c r="P784" i="27"/>
  <c r="Q783" i="27"/>
  <c r="P783" i="27"/>
  <c r="Q782" i="27"/>
  <c r="P782" i="27"/>
  <c r="Q781" i="27"/>
  <c r="P781" i="27"/>
  <c r="Q780" i="27"/>
  <c r="P780" i="27"/>
  <c r="Q779" i="27"/>
  <c r="P779" i="27"/>
  <c r="Q778" i="27"/>
  <c r="P778" i="27"/>
  <c r="Q777" i="27"/>
  <c r="P777" i="27"/>
  <c r="Q776" i="27"/>
  <c r="P776" i="27"/>
  <c r="Q775" i="27"/>
  <c r="P775" i="27"/>
  <c r="Q774" i="27"/>
  <c r="P774" i="27"/>
  <c r="Q773" i="27"/>
  <c r="P773" i="27"/>
  <c r="Q772" i="27"/>
  <c r="P772" i="27"/>
  <c r="Q771" i="27"/>
  <c r="P771" i="27"/>
  <c r="Q770" i="27"/>
  <c r="P770" i="27"/>
  <c r="Q769" i="27"/>
  <c r="P769" i="27"/>
  <c r="Q768" i="27"/>
  <c r="P768" i="27"/>
  <c r="Q767" i="27"/>
  <c r="P767" i="27"/>
  <c r="Q766" i="27"/>
  <c r="P766" i="27"/>
  <c r="Q765" i="27"/>
  <c r="P765" i="27"/>
  <c r="Q764" i="27"/>
  <c r="P764" i="27"/>
  <c r="Q763" i="27"/>
  <c r="P763" i="27"/>
  <c r="Q762" i="27"/>
  <c r="P762" i="27"/>
  <c r="Q761" i="27"/>
  <c r="P761" i="27"/>
  <c r="Q760" i="27"/>
  <c r="P760" i="27"/>
  <c r="Q759" i="27"/>
  <c r="P759" i="27"/>
  <c r="Q758" i="27"/>
  <c r="P758" i="27"/>
  <c r="Q757" i="27"/>
  <c r="P757" i="27"/>
  <c r="Q756" i="27"/>
  <c r="P756" i="27"/>
  <c r="Q755" i="27"/>
  <c r="P755" i="27"/>
  <c r="Q754" i="27"/>
  <c r="P754" i="27"/>
  <c r="Q753" i="27"/>
  <c r="P753" i="27"/>
  <c r="Q752" i="27"/>
  <c r="P752" i="27"/>
  <c r="Q751" i="27"/>
  <c r="P751" i="27"/>
  <c r="Q750" i="27"/>
  <c r="P750" i="27"/>
  <c r="Q749" i="27"/>
  <c r="P749" i="27"/>
  <c r="Q748" i="27"/>
  <c r="P748" i="27"/>
  <c r="Q747" i="27"/>
  <c r="P747" i="27"/>
  <c r="Q746" i="27"/>
  <c r="P746" i="27"/>
  <c r="Q745" i="27"/>
  <c r="P745" i="27"/>
  <c r="Q744" i="27"/>
  <c r="P744" i="27"/>
  <c r="Q743" i="27"/>
  <c r="P743" i="27"/>
  <c r="Q742" i="27"/>
  <c r="P742" i="27"/>
  <c r="Q741" i="27"/>
  <c r="P741" i="27"/>
  <c r="Q740" i="27"/>
  <c r="P740" i="27"/>
  <c r="Q739" i="27"/>
  <c r="P739" i="27"/>
  <c r="Q738" i="27"/>
  <c r="P738" i="27"/>
  <c r="Q737" i="27"/>
  <c r="P737" i="27"/>
  <c r="Q736" i="27"/>
  <c r="P736" i="27"/>
  <c r="Q735" i="27"/>
  <c r="P735" i="27"/>
  <c r="Q734" i="27"/>
  <c r="P734" i="27"/>
  <c r="Q733" i="27"/>
  <c r="P733" i="27"/>
  <c r="Q732" i="27"/>
  <c r="P732" i="27"/>
  <c r="Q731" i="27"/>
  <c r="P731" i="27"/>
  <c r="Q730" i="27"/>
  <c r="P730" i="27"/>
  <c r="Q729" i="27"/>
  <c r="P729" i="27"/>
  <c r="Q728" i="27"/>
  <c r="P728" i="27"/>
  <c r="Q727" i="27"/>
  <c r="P727" i="27"/>
  <c r="Q726" i="27"/>
  <c r="P726" i="27"/>
  <c r="Q725" i="27"/>
  <c r="P725" i="27"/>
  <c r="Q724" i="27"/>
  <c r="P724" i="27"/>
  <c r="Q723" i="27"/>
  <c r="P723" i="27"/>
  <c r="Q722" i="27"/>
  <c r="P722" i="27"/>
  <c r="Q721" i="27"/>
  <c r="P721" i="27"/>
  <c r="Q720" i="27"/>
  <c r="P720" i="27"/>
  <c r="Q719" i="27"/>
  <c r="P719" i="27"/>
  <c r="Q718" i="27"/>
  <c r="P718" i="27"/>
  <c r="Q717" i="27"/>
  <c r="P717" i="27"/>
  <c r="Q716" i="27"/>
  <c r="P716" i="27"/>
  <c r="Q715" i="27"/>
  <c r="P715" i="27"/>
  <c r="Q714" i="27"/>
  <c r="P714" i="27"/>
  <c r="Q713" i="27"/>
  <c r="P713" i="27"/>
  <c r="Q712" i="27"/>
  <c r="P712" i="27"/>
  <c r="Q711" i="27"/>
  <c r="P711" i="27"/>
  <c r="Q710" i="27"/>
  <c r="P710" i="27"/>
  <c r="Q709" i="27"/>
  <c r="P709" i="27"/>
  <c r="Q708" i="27"/>
  <c r="P708" i="27"/>
  <c r="Q707" i="27"/>
  <c r="P707" i="27"/>
  <c r="Q706" i="27"/>
  <c r="P706" i="27"/>
  <c r="Q705" i="27"/>
  <c r="P705" i="27"/>
  <c r="Q704" i="27"/>
  <c r="P704" i="27"/>
  <c r="Q703" i="27"/>
  <c r="P703" i="27"/>
  <c r="Q702" i="27"/>
  <c r="P702" i="27"/>
  <c r="Q701" i="27"/>
  <c r="P701" i="27"/>
  <c r="Q700" i="27"/>
  <c r="P700" i="27"/>
  <c r="Q699" i="27"/>
  <c r="P699" i="27"/>
  <c r="Q698" i="27"/>
  <c r="P698" i="27"/>
  <c r="Q697" i="27"/>
  <c r="P697" i="27"/>
  <c r="Q696" i="27"/>
  <c r="P696" i="27"/>
  <c r="Q695" i="27"/>
  <c r="P695" i="27"/>
  <c r="Q694" i="27"/>
  <c r="P694" i="27"/>
  <c r="Q693" i="27"/>
  <c r="P693" i="27"/>
  <c r="Q692" i="27"/>
  <c r="P692" i="27"/>
  <c r="Q691" i="27"/>
  <c r="P691" i="27"/>
  <c r="Q690" i="27"/>
  <c r="P690" i="27"/>
  <c r="Q689" i="27"/>
  <c r="P689" i="27"/>
  <c r="Q688" i="27"/>
  <c r="P688" i="27"/>
  <c r="Q346" i="27"/>
  <c r="P346" i="27"/>
  <c r="Q345" i="27"/>
  <c r="P345" i="27"/>
  <c r="Q344" i="27"/>
  <c r="P344" i="27"/>
  <c r="Q337" i="27"/>
  <c r="P337" i="27"/>
  <c r="Q336" i="27"/>
  <c r="P336" i="27"/>
  <c r="Q335" i="27"/>
  <c r="P335" i="27"/>
  <c r="Q327" i="27"/>
  <c r="P327" i="27"/>
  <c r="Q326" i="27"/>
  <c r="P326" i="27"/>
  <c r="Q325" i="27"/>
  <c r="P325" i="27"/>
  <c r="Q318" i="27"/>
  <c r="P318" i="27"/>
  <c r="Q317" i="27"/>
  <c r="P317" i="27"/>
  <c r="Q316" i="27"/>
  <c r="P316" i="27"/>
  <c r="Q309" i="27"/>
  <c r="P309" i="27"/>
  <c r="Q308" i="27"/>
  <c r="P308" i="27"/>
  <c r="Q307" i="27"/>
  <c r="P307" i="27"/>
  <c r="Q306" i="27"/>
  <c r="P306" i="27"/>
  <c r="Q299" i="27"/>
  <c r="P299" i="27"/>
  <c r="Q298" i="27"/>
  <c r="P298" i="27"/>
  <c r="Q291" i="27"/>
  <c r="P291" i="27"/>
  <c r="Q290" i="27"/>
  <c r="P290" i="27"/>
  <c r="Q283" i="27"/>
  <c r="P283" i="27"/>
  <c r="Q282" i="27"/>
  <c r="P282" i="27"/>
  <c r="Q281" i="27"/>
  <c r="P281" i="27"/>
  <c r="Q280" i="27"/>
  <c r="P280" i="27"/>
  <c r="Q279" i="27"/>
  <c r="P279" i="27"/>
  <c r="Q278" i="27"/>
  <c r="P278" i="27"/>
  <c r="Q277" i="27"/>
  <c r="P277" i="27"/>
  <c r="Q276" i="27"/>
  <c r="P276" i="27"/>
  <c r="Q275" i="27"/>
  <c r="P275" i="27"/>
  <c r="Q274" i="27"/>
  <c r="P274" i="27"/>
  <c r="Q273" i="27"/>
  <c r="P273" i="27"/>
  <c r="Q272" i="27"/>
  <c r="P272" i="27"/>
  <c r="Q271" i="27"/>
  <c r="P271" i="27"/>
  <c r="Q270" i="27"/>
  <c r="P270" i="27"/>
  <c r="Q269" i="27"/>
  <c r="P269" i="27"/>
  <c r="Q268" i="27"/>
  <c r="P268" i="27"/>
  <c r="Q267" i="27"/>
  <c r="P267" i="27"/>
  <c r="Q266" i="27"/>
  <c r="P266" i="27"/>
  <c r="Q265" i="27"/>
  <c r="P265" i="27"/>
  <c r="Q264" i="27"/>
  <c r="P264" i="27"/>
  <c r="Q263" i="27"/>
  <c r="P263" i="27"/>
  <c r="Q262" i="27"/>
  <c r="P262" i="27"/>
  <c r="Q261" i="27"/>
  <c r="P261" i="27"/>
  <c r="Q260" i="27"/>
  <c r="P260" i="27"/>
  <c r="Q259" i="27"/>
  <c r="P259" i="27"/>
  <c r="Q258" i="27"/>
  <c r="P258" i="27"/>
  <c r="Q257" i="27"/>
  <c r="P257" i="27"/>
  <c r="Q256" i="27"/>
  <c r="P256" i="27"/>
  <c r="Q255" i="27"/>
  <c r="P255" i="27"/>
  <c r="Q254" i="27"/>
  <c r="P254" i="27"/>
  <c r="Q253" i="27"/>
  <c r="P253" i="27"/>
  <c r="Q252" i="27"/>
  <c r="P252" i="27"/>
  <c r="Q251" i="27"/>
  <c r="P251" i="27"/>
  <c r="Q250" i="27"/>
  <c r="P250" i="27"/>
  <c r="Q249" i="27"/>
  <c r="P249" i="27"/>
  <c r="Q248" i="27"/>
  <c r="P248" i="27"/>
  <c r="Q247" i="27"/>
  <c r="P247" i="27"/>
  <c r="Q246" i="27"/>
  <c r="P246" i="27"/>
  <c r="Q245" i="27"/>
  <c r="P245" i="27"/>
  <c r="Q244" i="27"/>
  <c r="P244" i="27"/>
  <c r="Q243" i="27"/>
  <c r="P243" i="27"/>
  <c r="Q242" i="27"/>
  <c r="P242" i="27"/>
  <c r="Q241" i="27"/>
  <c r="P241" i="27"/>
  <c r="Q240" i="27"/>
  <c r="P240" i="27"/>
  <c r="Q239" i="27"/>
  <c r="P239" i="27"/>
  <c r="Q238" i="27"/>
  <c r="P238" i="27"/>
  <c r="Q237" i="27"/>
  <c r="P237" i="27"/>
  <c r="Q236" i="27"/>
  <c r="P236" i="27"/>
  <c r="Q235" i="27"/>
  <c r="P235" i="27"/>
  <c r="Q234" i="27"/>
  <c r="P234" i="27"/>
  <c r="Q233" i="27"/>
  <c r="P233" i="27"/>
  <c r="Q232" i="27"/>
  <c r="P232" i="27"/>
  <c r="Q231" i="27"/>
  <c r="P231" i="27"/>
  <c r="Q230" i="27"/>
  <c r="P230" i="27"/>
  <c r="Q229" i="27"/>
  <c r="P229" i="27"/>
  <c r="Q228" i="27"/>
  <c r="P228" i="27"/>
  <c r="Q227" i="27"/>
  <c r="P227" i="27"/>
  <c r="Q226" i="27"/>
  <c r="P226" i="27"/>
  <c r="Q225" i="27"/>
  <c r="P225" i="27"/>
  <c r="Q224" i="27"/>
  <c r="P224" i="27"/>
  <c r="Q223" i="27"/>
  <c r="P223" i="27"/>
  <c r="Q222" i="27"/>
  <c r="P222" i="27"/>
  <c r="Q221" i="27"/>
  <c r="P221" i="27"/>
  <c r="Q220" i="27"/>
  <c r="P220" i="27"/>
  <c r="Q219" i="27"/>
  <c r="P219" i="27"/>
  <c r="Q218" i="27"/>
  <c r="P218" i="27"/>
  <c r="Q217" i="27"/>
  <c r="P217" i="27"/>
  <c r="Q216" i="27"/>
  <c r="P216" i="27"/>
  <c r="Q215" i="27"/>
  <c r="P215" i="27"/>
  <c r="Q214" i="27"/>
  <c r="P214" i="27"/>
  <c r="Q213" i="27"/>
  <c r="P213" i="27"/>
  <c r="Q212" i="27"/>
  <c r="P212" i="27"/>
  <c r="Q211" i="27"/>
  <c r="P211" i="27"/>
  <c r="Q210" i="27"/>
  <c r="P210" i="27"/>
  <c r="Q209" i="27"/>
  <c r="P209" i="27"/>
  <c r="Q208" i="27"/>
  <c r="P208" i="27"/>
  <c r="Q207" i="27"/>
  <c r="P207" i="27"/>
  <c r="Q206" i="27"/>
  <c r="P206" i="27"/>
  <c r="Q205" i="27"/>
  <c r="P205" i="27"/>
  <c r="Q204" i="27"/>
  <c r="P204" i="27"/>
  <c r="Q203" i="27"/>
  <c r="P203" i="27"/>
  <c r="Q202" i="27"/>
  <c r="P202" i="27"/>
  <c r="Q201" i="27"/>
  <c r="P201" i="27"/>
  <c r="Q200" i="27"/>
  <c r="P200" i="27"/>
  <c r="Q199" i="27"/>
  <c r="P199" i="27"/>
  <c r="Q198" i="27"/>
  <c r="P198" i="27"/>
  <c r="Q197" i="27"/>
  <c r="P197" i="27"/>
  <c r="Q196" i="27"/>
  <c r="P196" i="27"/>
  <c r="Q195" i="27"/>
  <c r="P195" i="27"/>
  <c r="Q194" i="27"/>
  <c r="P194" i="27"/>
  <c r="Q193" i="27"/>
  <c r="P193" i="27"/>
  <c r="Q192" i="27"/>
  <c r="P192" i="27"/>
  <c r="Q191" i="27"/>
  <c r="P191" i="27"/>
  <c r="Q190" i="27"/>
  <c r="P190" i="27"/>
  <c r="G9"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H83"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AI342" i="28"/>
  <c r="BB343" i="28" s="1"/>
  <c r="AI333" i="28"/>
  <c r="AI324" i="28"/>
  <c r="AI315" i="28"/>
  <c r="AI306" i="28"/>
  <c r="AI297" i="28"/>
  <c r="AI288" i="28"/>
  <c r="AI279" i="28"/>
  <c r="AI270" i="28"/>
  <c r="BB271" i="28" s="1"/>
  <c r="AI261" i="28"/>
  <c r="AI252" i="28"/>
  <c r="AZ253" i="28" s="1"/>
  <c r="AI243" i="28"/>
  <c r="AI234" i="28"/>
  <c r="AI225" i="28"/>
  <c r="AI216" i="28"/>
  <c r="AI207" i="28"/>
  <c r="AI198" i="28"/>
  <c r="AI189" i="28"/>
  <c r="AI180" i="28"/>
  <c r="BC181" i="28" s="1"/>
  <c r="AI171" i="28"/>
  <c r="AI162" i="28"/>
  <c r="BA163" i="28" s="1"/>
  <c r="AI153" i="28"/>
  <c r="AI144" i="28"/>
  <c r="AI145" i="28" s="1"/>
  <c r="AI146" i="28" s="1"/>
  <c r="AI135" i="28"/>
  <c r="AI136" i="28" s="1"/>
  <c r="AI137" i="28" s="1"/>
  <c r="AI138" i="28" s="1"/>
  <c r="AI139" i="28" s="1"/>
  <c r="AI140" i="28" s="1"/>
  <c r="AI141" i="28" s="1"/>
  <c r="AI126" i="28"/>
  <c r="AI127" i="28" s="1"/>
  <c r="AI128" i="28" s="1"/>
  <c r="AI129" i="28" s="1"/>
  <c r="AI130" i="28" s="1"/>
  <c r="AI131" i="28" s="1"/>
  <c r="AI132" i="28" s="1"/>
  <c r="AI117" i="28"/>
  <c r="AI118" i="28" s="1"/>
  <c r="AI119" i="28" s="1"/>
  <c r="AI120" i="28" s="1"/>
  <c r="AI121" i="28" s="1"/>
  <c r="AI122" i="28" s="1"/>
  <c r="AI123" i="28" s="1"/>
  <c r="AI108" i="28"/>
  <c r="AI109" i="28" s="1"/>
  <c r="AI110" i="28" s="1"/>
  <c r="AI111" i="28" s="1"/>
  <c r="AI112" i="28" s="1"/>
  <c r="AI113" i="28" s="1"/>
  <c r="AI114" i="28" s="1"/>
  <c r="AI99" i="28"/>
  <c r="AI100" i="28" s="1"/>
  <c r="AI101" i="28" s="1"/>
  <c r="AI102" i="28" s="1"/>
  <c r="AI103" i="28" s="1"/>
  <c r="AI104" i="28" s="1"/>
  <c r="AI105" i="28" s="1"/>
  <c r="AI90" i="28"/>
  <c r="AI91" i="28" s="1"/>
  <c r="AI92" i="28" s="1"/>
  <c r="AI93" i="28" s="1"/>
  <c r="AI94" i="28" s="1"/>
  <c r="AI95" i="28" s="1"/>
  <c r="AI96" i="28" s="1"/>
  <c r="AI81" i="28"/>
  <c r="AI82" i="28" s="1"/>
  <c r="AI83" i="28" s="1"/>
  <c r="AI84" i="28" s="1"/>
  <c r="AI85" i="28" s="1"/>
  <c r="AI86" i="28" s="1"/>
  <c r="AI87" i="28" s="1"/>
  <c r="AI72" i="28"/>
  <c r="AI73" i="28" s="1"/>
  <c r="AI74" i="28" s="1"/>
  <c r="AI75" i="28" s="1"/>
  <c r="AI76" i="28" s="1"/>
  <c r="AI77" i="28" s="1"/>
  <c r="AI78" i="28" s="1"/>
  <c r="AI63" i="28"/>
  <c r="AI64" i="28" s="1"/>
  <c r="AI65" i="28" s="1"/>
  <c r="AI66" i="28" s="1"/>
  <c r="AI67" i="28" s="1"/>
  <c r="AI68" i="28" s="1"/>
  <c r="AI69" i="28" s="1"/>
  <c r="AI54" i="28"/>
  <c r="AI55" i="28" s="1"/>
  <c r="AI56" i="28" s="1"/>
  <c r="AI57" i="28" s="1"/>
  <c r="AI58" i="28" s="1"/>
  <c r="AI59" i="28" s="1"/>
  <c r="AI60" i="28" s="1"/>
  <c r="AI45" i="28"/>
  <c r="AI46" i="28" s="1"/>
  <c r="AI47" i="28" s="1"/>
  <c r="AI48" i="28" s="1"/>
  <c r="AI49" i="28" s="1"/>
  <c r="AI50" i="28" s="1"/>
  <c r="AI51" i="28" s="1"/>
  <c r="AI36" i="28"/>
  <c r="AI37" i="28" s="1"/>
  <c r="AI38" i="28" s="1"/>
  <c r="AI39" i="28" s="1"/>
  <c r="AI40" i="28" s="1"/>
  <c r="AI41" i="28" s="1"/>
  <c r="AI42" i="28" s="1"/>
  <c r="AI27" i="28"/>
  <c r="AI28" i="28" s="1"/>
  <c r="AI29" i="28" s="1"/>
  <c r="AI30" i="28" s="1"/>
  <c r="AI31" i="28" s="1"/>
  <c r="AI32" i="28" s="1"/>
  <c r="AI33" i="28" s="1"/>
  <c r="AC599" i="27"/>
  <c r="AC600" i="27" s="1"/>
  <c r="AC601" i="27" s="1"/>
  <c r="AC602" i="27" s="1"/>
  <c r="AC603" i="27" s="1"/>
  <c r="AC604" i="27" s="1"/>
  <c r="AC605" i="27" s="1"/>
  <c r="AC590" i="27"/>
  <c r="AC591" i="27" s="1"/>
  <c r="AC592" i="27" s="1"/>
  <c r="AC593" i="27" s="1"/>
  <c r="AC594" i="27" s="1"/>
  <c r="AC595" i="27" s="1"/>
  <c r="AC596" i="27" s="1"/>
  <c r="AC581" i="27"/>
  <c r="AC582" i="27" s="1"/>
  <c r="AC583" i="27" s="1"/>
  <c r="AC584" i="27" s="1"/>
  <c r="AC585" i="27" s="1"/>
  <c r="AC586" i="27" s="1"/>
  <c r="AC587" i="27" s="1"/>
  <c r="AC572" i="27"/>
  <c r="AC573" i="27" s="1"/>
  <c r="AC574" i="27" s="1"/>
  <c r="AC575" i="27" s="1"/>
  <c r="AC576" i="27" s="1"/>
  <c r="AC577" i="27" s="1"/>
  <c r="AC578" i="27" s="1"/>
  <c r="AC563" i="27"/>
  <c r="AC564" i="27" s="1"/>
  <c r="AC565" i="27" s="1"/>
  <c r="AC566" i="27" s="1"/>
  <c r="AC567" i="27" s="1"/>
  <c r="AC568" i="27" s="1"/>
  <c r="AC569" i="27" s="1"/>
  <c r="AC554" i="27"/>
  <c r="AC555" i="27" s="1"/>
  <c r="AC556" i="27" s="1"/>
  <c r="AC557" i="27" s="1"/>
  <c r="AC558" i="27" s="1"/>
  <c r="AC559" i="27" s="1"/>
  <c r="AC560" i="27" s="1"/>
  <c r="AC545" i="27"/>
  <c r="AC546" i="27" s="1"/>
  <c r="AC547" i="27" s="1"/>
  <c r="AC548" i="27" s="1"/>
  <c r="AC549" i="27" s="1"/>
  <c r="AC550" i="27" s="1"/>
  <c r="AC551" i="27" s="1"/>
  <c r="AC536" i="27"/>
  <c r="AC537" i="27" s="1"/>
  <c r="AC538" i="27" s="1"/>
  <c r="AC539" i="27" s="1"/>
  <c r="AC540" i="27" s="1"/>
  <c r="AC541" i="27" s="1"/>
  <c r="AC542" i="27" s="1"/>
  <c r="AC527" i="27"/>
  <c r="AC528" i="27" s="1"/>
  <c r="AC529" i="27" s="1"/>
  <c r="AC530" i="27" s="1"/>
  <c r="AC531" i="27" s="1"/>
  <c r="AC532" i="27" s="1"/>
  <c r="AC533" i="27" s="1"/>
  <c r="AC518" i="27"/>
  <c r="AC519" i="27" s="1"/>
  <c r="AC520" i="27" s="1"/>
  <c r="AC521" i="27" s="1"/>
  <c r="AC522" i="27" s="1"/>
  <c r="AC523" i="27" s="1"/>
  <c r="AC524" i="27" s="1"/>
  <c r="AC509" i="27"/>
  <c r="AC510" i="27" s="1"/>
  <c r="AC511" i="27" s="1"/>
  <c r="AC512" i="27" s="1"/>
  <c r="AC513" i="27" s="1"/>
  <c r="AC514" i="27" s="1"/>
  <c r="AC515" i="27" s="1"/>
  <c r="AC500" i="27"/>
  <c r="AC501" i="27" s="1"/>
  <c r="AC502" i="27" s="1"/>
  <c r="AC503" i="27" s="1"/>
  <c r="AC504" i="27" s="1"/>
  <c r="AC505" i="27" s="1"/>
  <c r="AC506" i="27" s="1"/>
  <c r="AC491" i="27"/>
  <c r="AC492" i="27" s="1"/>
  <c r="AC493" i="27" s="1"/>
  <c r="AC494" i="27" s="1"/>
  <c r="AC495" i="27" s="1"/>
  <c r="AC496" i="27" s="1"/>
  <c r="AC497" i="27" s="1"/>
  <c r="AC482" i="27"/>
  <c r="AC483" i="27" s="1"/>
  <c r="AC484" i="27" s="1"/>
  <c r="AC485" i="27" s="1"/>
  <c r="AC486" i="27" s="1"/>
  <c r="AC487" i="27" s="1"/>
  <c r="AC488" i="27" s="1"/>
  <c r="AC473" i="27"/>
  <c r="AC474" i="27" s="1"/>
  <c r="AC475" i="27" s="1"/>
  <c r="AC476" i="27" s="1"/>
  <c r="AC477" i="27" s="1"/>
  <c r="AC478" i="27" s="1"/>
  <c r="AC479" i="27" s="1"/>
  <c r="AC464" i="27"/>
  <c r="AC465" i="27" s="1"/>
  <c r="AC466" i="27" s="1"/>
  <c r="AC467" i="27" s="1"/>
  <c r="AC468" i="27" s="1"/>
  <c r="AC469" i="27" s="1"/>
  <c r="AC470" i="27" s="1"/>
  <c r="AC455" i="27"/>
  <c r="AC456" i="27" s="1"/>
  <c r="AC457" i="27" s="1"/>
  <c r="AC458" i="27" s="1"/>
  <c r="AC459" i="27" s="1"/>
  <c r="AC460" i="27" s="1"/>
  <c r="AC461" i="27" s="1"/>
  <c r="AC446" i="27"/>
  <c r="AC447" i="27" s="1"/>
  <c r="AC448" i="27" s="1"/>
  <c r="AC449" i="27" s="1"/>
  <c r="AC450" i="27" s="1"/>
  <c r="AC451" i="27" s="1"/>
  <c r="AC452" i="27" s="1"/>
  <c r="AC437" i="27"/>
  <c r="AC438" i="27" s="1"/>
  <c r="AC439" i="27" s="1"/>
  <c r="AC440" i="27" s="1"/>
  <c r="AC441" i="27" s="1"/>
  <c r="AC442" i="27" s="1"/>
  <c r="AC443" i="27" s="1"/>
  <c r="AC428" i="27"/>
  <c r="AC429" i="27" s="1"/>
  <c r="AC430" i="27" s="1"/>
  <c r="AC431" i="27" s="1"/>
  <c r="AC432" i="27" s="1"/>
  <c r="AC433" i="27" s="1"/>
  <c r="AC434" i="27" s="1"/>
  <c r="AC419" i="27"/>
  <c r="AC420" i="27" s="1"/>
  <c r="AC421" i="27" s="1"/>
  <c r="AC422" i="27" s="1"/>
  <c r="AC423" i="27" s="1"/>
  <c r="AC424" i="27" s="1"/>
  <c r="AC425" i="27" s="1"/>
  <c r="AC410" i="27"/>
  <c r="AC411" i="27" s="1"/>
  <c r="AC412" i="27" s="1"/>
  <c r="AC413" i="27" s="1"/>
  <c r="AC414" i="27" s="1"/>
  <c r="AC415" i="27" s="1"/>
  <c r="AC416" i="27" s="1"/>
  <c r="AC401" i="27"/>
  <c r="AC402" i="27" s="1"/>
  <c r="AC403" i="27" s="1"/>
  <c r="AC404" i="27" s="1"/>
  <c r="AC405" i="27" s="1"/>
  <c r="AC406" i="27" s="1"/>
  <c r="AC407" i="27" s="1"/>
  <c r="AC392" i="27"/>
  <c r="AC393" i="27" s="1"/>
  <c r="AC394" i="27" s="1"/>
  <c r="AC395" i="27" s="1"/>
  <c r="AC396" i="27" s="1"/>
  <c r="AC397" i="27" s="1"/>
  <c r="AC398" i="27" s="1"/>
  <c r="AC383" i="27"/>
  <c r="AC384" i="27" s="1"/>
  <c r="AC385" i="27" s="1"/>
  <c r="AC386" i="27" s="1"/>
  <c r="AC387" i="27" s="1"/>
  <c r="AC388" i="27" s="1"/>
  <c r="AC389" i="27" s="1"/>
  <c r="AC374" i="27"/>
  <c r="AC375" i="27" s="1"/>
  <c r="AC376" i="27" s="1"/>
  <c r="AC377" i="27" s="1"/>
  <c r="AC378" i="27" s="1"/>
  <c r="AC379" i="27" s="1"/>
  <c r="AC380" i="27" s="1"/>
  <c r="AC365" i="27"/>
  <c r="AC366" i="27" s="1"/>
  <c r="AC367" i="27" s="1"/>
  <c r="AC368" i="27" s="1"/>
  <c r="AC369" i="27" s="1"/>
  <c r="AC370" i="27" s="1"/>
  <c r="AC371" i="27" s="1"/>
  <c r="AC356" i="27"/>
  <c r="AC357" i="27" s="1"/>
  <c r="AC358" i="27" s="1"/>
  <c r="AC359" i="27" s="1"/>
  <c r="AC360" i="27" s="1"/>
  <c r="AC361" i="27" s="1"/>
  <c r="AC362" i="27" s="1"/>
  <c r="AC347" i="27"/>
  <c r="AC348" i="27" s="1"/>
  <c r="AC349" i="27" s="1"/>
  <c r="AC350" i="27" s="1"/>
  <c r="AC351" i="27" s="1"/>
  <c r="AC352" i="27" s="1"/>
  <c r="AC353" i="27" s="1"/>
  <c r="AC338" i="27"/>
  <c r="AC339" i="27" s="1"/>
  <c r="AC340" i="27" s="1"/>
  <c r="AC341" i="27" s="1"/>
  <c r="AC342" i="27" s="1"/>
  <c r="AC343" i="27" s="1"/>
  <c r="AC344" i="27" s="1"/>
  <c r="AC329" i="27"/>
  <c r="AC330" i="27" s="1"/>
  <c r="AC331" i="27" s="1"/>
  <c r="AC332" i="27" s="1"/>
  <c r="AC333" i="27" s="1"/>
  <c r="AC334" i="27" s="1"/>
  <c r="AC335" i="27" s="1"/>
  <c r="AC320" i="27"/>
  <c r="AC321" i="27" s="1"/>
  <c r="AC322" i="27" s="1"/>
  <c r="AC323" i="27" s="1"/>
  <c r="AC324" i="27" s="1"/>
  <c r="AC325" i="27" s="1"/>
  <c r="AC326" i="27" s="1"/>
  <c r="AC311" i="27"/>
  <c r="AC312" i="27" s="1"/>
  <c r="AC313" i="27" s="1"/>
  <c r="AC314" i="27" s="1"/>
  <c r="AC315" i="27" s="1"/>
  <c r="AC316" i="27" s="1"/>
  <c r="AC317" i="27" s="1"/>
  <c r="AC302" i="27"/>
  <c r="AC303" i="27" s="1"/>
  <c r="AC304" i="27" s="1"/>
  <c r="AC305" i="27" s="1"/>
  <c r="AC306" i="27" s="1"/>
  <c r="AC307" i="27" s="1"/>
  <c r="AC308" i="27" s="1"/>
  <c r="AC293" i="27"/>
  <c r="AC294" i="27" s="1"/>
  <c r="AC295" i="27" s="1"/>
  <c r="AC296" i="27" s="1"/>
  <c r="AC297" i="27" s="1"/>
  <c r="AC298" i="27" s="1"/>
  <c r="AC299" i="27" s="1"/>
  <c r="AC284" i="27"/>
  <c r="AC285" i="27" s="1"/>
  <c r="AC286" i="27" s="1"/>
  <c r="AC287" i="27" s="1"/>
  <c r="AC288" i="27" s="1"/>
  <c r="AC289" i="27" s="1"/>
  <c r="AC290" i="27" s="1"/>
  <c r="AC275" i="27"/>
  <c r="AC276" i="27" s="1"/>
  <c r="AC277" i="27" s="1"/>
  <c r="AC278" i="27" s="1"/>
  <c r="AC279" i="27" s="1"/>
  <c r="AC280" i="27" s="1"/>
  <c r="AC281" i="27" s="1"/>
  <c r="AC266" i="27"/>
  <c r="AC267" i="27" s="1"/>
  <c r="AC268" i="27" s="1"/>
  <c r="AC269" i="27" s="1"/>
  <c r="AC270" i="27" s="1"/>
  <c r="AC271" i="27" s="1"/>
  <c r="AC272" i="27" s="1"/>
  <c r="AC257" i="27"/>
  <c r="AC258" i="27" s="1"/>
  <c r="AC259" i="27" s="1"/>
  <c r="AC260" i="27" s="1"/>
  <c r="AC261" i="27" s="1"/>
  <c r="AC262" i="27" s="1"/>
  <c r="AC263" i="27" s="1"/>
  <c r="AC248" i="27"/>
  <c r="AC249" i="27" s="1"/>
  <c r="AC250" i="27" s="1"/>
  <c r="AC251" i="27" s="1"/>
  <c r="AC252" i="27" s="1"/>
  <c r="AC253" i="27" s="1"/>
  <c r="AC254" i="27" s="1"/>
  <c r="AC239" i="27"/>
  <c r="AC240" i="27" s="1"/>
  <c r="AC241" i="27" s="1"/>
  <c r="AC242" i="27" s="1"/>
  <c r="AC243" i="27" s="1"/>
  <c r="AC244" i="27" s="1"/>
  <c r="AC245" i="27" s="1"/>
  <c r="AC230" i="27"/>
  <c r="AC231" i="27" s="1"/>
  <c r="AC232" i="27" s="1"/>
  <c r="AC233" i="27" s="1"/>
  <c r="AC234" i="27" s="1"/>
  <c r="AC235" i="27" s="1"/>
  <c r="AC236" i="27" s="1"/>
  <c r="AC221" i="27"/>
  <c r="AC222" i="27" s="1"/>
  <c r="AC223" i="27" s="1"/>
  <c r="AC224" i="27" s="1"/>
  <c r="AC225" i="27" s="1"/>
  <c r="AC226" i="27" s="1"/>
  <c r="AC227" i="27" s="1"/>
  <c r="AC212" i="27"/>
  <c r="AC213" i="27" s="1"/>
  <c r="AC214" i="27" s="1"/>
  <c r="AC215" i="27" s="1"/>
  <c r="AC216" i="27" s="1"/>
  <c r="AC217" i="27" s="1"/>
  <c r="AC218" i="27" s="1"/>
  <c r="AC203" i="27"/>
  <c r="AC204" i="27" s="1"/>
  <c r="AC205" i="27" s="1"/>
  <c r="AC206" i="27" s="1"/>
  <c r="AC207" i="27" s="1"/>
  <c r="AC208" i="27" s="1"/>
  <c r="AC209" i="27" s="1"/>
  <c r="AC194" i="27"/>
  <c r="AC195" i="27" s="1"/>
  <c r="AC196" i="27" s="1"/>
  <c r="AC197" i="27" s="1"/>
  <c r="AC198" i="27" s="1"/>
  <c r="AC199" i="27" s="1"/>
  <c r="AC200" i="27" s="1"/>
  <c r="AC185" i="27"/>
  <c r="AC186" i="27" s="1"/>
  <c r="AC187" i="27" s="1"/>
  <c r="AC188" i="27" s="1"/>
  <c r="AC189" i="27" s="1"/>
  <c r="AC190" i="27" s="1"/>
  <c r="AC191" i="27" s="1"/>
  <c r="AC176" i="27"/>
  <c r="AC177" i="27" s="1"/>
  <c r="AC178" i="27" s="1"/>
  <c r="AC179" i="27" s="1"/>
  <c r="AC180" i="27" s="1"/>
  <c r="AC181" i="27" s="1"/>
  <c r="AC182" i="27" s="1"/>
  <c r="AC167" i="27"/>
  <c r="AC168" i="27" s="1"/>
  <c r="AC169" i="27" s="1"/>
  <c r="AC170" i="27" s="1"/>
  <c r="AC171" i="27" s="1"/>
  <c r="AC172" i="27" s="1"/>
  <c r="AC173" i="27" s="1"/>
  <c r="AC158" i="27"/>
  <c r="AC159" i="27" s="1"/>
  <c r="AC160" i="27" s="1"/>
  <c r="AC161" i="27" s="1"/>
  <c r="AC162" i="27" s="1"/>
  <c r="AC163" i="27" s="1"/>
  <c r="AC164" i="27" s="1"/>
  <c r="AC149" i="27"/>
  <c r="AC150" i="27" s="1"/>
  <c r="AC151" i="27" s="1"/>
  <c r="AC152" i="27" s="1"/>
  <c r="AC153" i="27" s="1"/>
  <c r="AC154" i="27" s="1"/>
  <c r="AC155" i="27" s="1"/>
  <c r="AC140" i="27"/>
  <c r="AC141" i="27" s="1"/>
  <c r="AC142" i="27" s="1"/>
  <c r="AC143" i="27" s="1"/>
  <c r="AC144" i="27" s="1"/>
  <c r="AC145" i="27" s="1"/>
  <c r="AC146" i="27" s="1"/>
  <c r="AC131" i="27"/>
  <c r="AC132" i="27" s="1"/>
  <c r="AC133" i="27" s="1"/>
  <c r="AC134" i="27" s="1"/>
  <c r="AC135" i="27" s="1"/>
  <c r="AC136" i="27" s="1"/>
  <c r="AC137" i="27" s="1"/>
  <c r="AC122" i="27"/>
  <c r="AC123" i="27" s="1"/>
  <c r="AC124" i="27" s="1"/>
  <c r="AC125" i="27" s="1"/>
  <c r="AC126" i="27" s="1"/>
  <c r="AC127" i="27" s="1"/>
  <c r="AC128" i="27" s="1"/>
  <c r="AC113" i="27"/>
  <c r="AC114" i="27" s="1"/>
  <c r="AC115" i="27" s="1"/>
  <c r="AC116" i="27" s="1"/>
  <c r="AC117" i="27" s="1"/>
  <c r="AC118" i="27" s="1"/>
  <c r="AC119" i="27" s="1"/>
  <c r="AC104" i="27"/>
  <c r="AC105" i="27" s="1"/>
  <c r="AC106" i="27" s="1"/>
  <c r="AC107" i="27" s="1"/>
  <c r="AC108" i="27" s="1"/>
  <c r="AC109" i="27" s="1"/>
  <c r="AC110" i="27" s="1"/>
  <c r="AC95" i="27"/>
  <c r="AC96" i="27" s="1"/>
  <c r="AC97" i="27" s="1"/>
  <c r="AC98" i="27" s="1"/>
  <c r="AC99" i="27" s="1"/>
  <c r="AC100" i="27" s="1"/>
  <c r="AC101" i="27" s="1"/>
  <c r="AC86" i="27"/>
  <c r="AC87" i="27" s="1"/>
  <c r="AC88" i="27" s="1"/>
  <c r="AC89" i="27" s="1"/>
  <c r="AC90" i="27" s="1"/>
  <c r="AC91" i="27" s="1"/>
  <c r="AC92" i="27" s="1"/>
  <c r="AC77" i="27"/>
  <c r="AC78" i="27" s="1"/>
  <c r="AC79" i="27" s="1"/>
  <c r="AC80" i="27" s="1"/>
  <c r="AC81" i="27" s="1"/>
  <c r="AC82" i="27" s="1"/>
  <c r="AC83" i="27" s="1"/>
  <c r="AC68" i="27"/>
  <c r="AC69" i="27" s="1"/>
  <c r="AC70" i="27" s="1"/>
  <c r="AC71" i="27" s="1"/>
  <c r="AC72" i="27" s="1"/>
  <c r="AC73" i="27" s="1"/>
  <c r="AC74" i="27" s="1"/>
  <c r="AC59" i="27"/>
  <c r="AC60" i="27" s="1"/>
  <c r="AC61" i="27" s="1"/>
  <c r="AC62" i="27" s="1"/>
  <c r="AC63" i="27" s="1"/>
  <c r="AC64" i="27" s="1"/>
  <c r="AC65" i="27" s="1"/>
  <c r="AC50" i="27"/>
  <c r="AC51" i="27" s="1"/>
  <c r="AC52" i="27" s="1"/>
  <c r="AC53" i="27" s="1"/>
  <c r="AC54" i="27" s="1"/>
  <c r="AC55" i="27" s="1"/>
  <c r="AC56" i="27" s="1"/>
  <c r="AC41" i="27"/>
  <c r="AC42" i="27" s="1"/>
  <c r="AC43" i="27" s="1"/>
  <c r="AC44" i="27" s="1"/>
  <c r="AC45" i="27" s="1"/>
  <c r="AC46" i="27" s="1"/>
  <c r="AC47" i="27" s="1"/>
  <c r="AC32" i="27"/>
  <c r="AC33" i="27" s="1"/>
  <c r="AC34" i="27" s="1"/>
  <c r="AC35" i="27" s="1"/>
  <c r="AC36" i="27" s="1"/>
  <c r="AC37" i="27" s="1"/>
  <c r="AC38" i="27" s="1"/>
  <c r="AC23" i="27"/>
  <c r="P354" i="27"/>
  <c r="Q355" i="27"/>
  <c r="Q353" i="27"/>
  <c r="Q354" i="27"/>
  <c r="P355" i="27"/>
  <c r="P353" i="27"/>
  <c r="Q569" i="27"/>
  <c r="P569" i="27"/>
  <c r="G36" i="40" l="1"/>
  <c r="BD140" i="28"/>
  <c r="Y569" i="27"/>
  <c r="Z569" i="27" s="1"/>
  <c r="W569" i="27"/>
  <c r="X569" i="27"/>
  <c r="AC24" i="27"/>
  <c r="AC25" i="27" s="1"/>
  <c r="AC26" i="27" s="1"/>
  <c r="AC27" i="27" s="1"/>
  <c r="AC28" i="27" s="1"/>
  <c r="AC29" i="27" s="1"/>
  <c r="AB31" i="27" s="1"/>
  <c r="I43" i="39"/>
  <c r="G27" i="41"/>
  <c r="H39" i="41"/>
  <c r="G23" i="39"/>
  <c r="H31" i="41"/>
  <c r="I47" i="41"/>
  <c r="I92" i="42"/>
  <c r="I27" i="39"/>
  <c r="G31" i="41"/>
  <c r="H44" i="42"/>
  <c r="H70" i="41"/>
  <c r="G70" i="41"/>
  <c r="I90" i="41"/>
  <c r="G90" i="41"/>
  <c r="I110" i="41"/>
  <c r="G110" i="41"/>
  <c r="G15" i="41"/>
  <c r="I17" i="40"/>
  <c r="H23" i="39"/>
  <c r="H39" i="39"/>
  <c r="H43" i="41"/>
  <c r="I29" i="42"/>
  <c r="G77" i="42"/>
  <c r="G31" i="39"/>
  <c r="H47" i="39"/>
  <c r="G15" i="39"/>
  <c r="H31" i="39"/>
  <c r="G55" i="39"/>
  <c r="G55" i="41"/>
  <c r="H15" i="39"/>
  <c r="I35" i="39"/>
  <c r="I19" i="39"/>
  <c r="I69" i="42"/>
  <c r="BA37" i="28"/>
  <c r="H17" i="39"/>
  <c r="G23" i="42"/>
  <c r="H47" i="42"/>
  <c r="G108" i="41"/>
  <c r="AZ32" i="28"/>
  <c r="BD38" i="28"/>
  <c r="BA47" i="28"/>
  <c r="BC55" i="28"/>
  <c r="G42" i="41"/>
  <c r="G122" i="41"/>
  <c r="G24" i="40"/>
  <c r="G40" i="40"/>
  <c r="H42" i="41"/>
  <c r="G82" i="41"/>
  <c r="I102" i="41"/>
  <c r="BC33" i="28"/>
  <c r="BB40" i="28"/>
  <c r="BD48" i="28"/>
  <c r="BA57" i="28"/>
  <c r="AZ64" i="28"/>
  <c r="BD100" i="28"/>
  <c r="H27" i="41"/>
  <c r="I30" i="41"/>
  <c r="I35" i="41"/>
  <c r="G38" i="41"/>
  <c r="G74" i="41"/>
  <c r="G94" i="41"/>
  <c r="G114" i="41"/>
  <c r="I21" i="42"/>
  <c r="I33" i="42"/>
  <c r="H61" i="42"/>
  <c r="I77" i="42"/>
  <c r="I84" i="42"/>
  <c r="AZ42" i="28"/>
  <c r="BB50" i="28"/>
  <c r="BD58" i="28"/>
  <c r="BC65" i="28"/>
  <c r="BB102" i="28"/>
  <c r="BA109" i="28"/>
  <c r="I47" i="39"/>
  <c r="G63" i="39"/>
  <c r="H44" i="40"/>
  <c r="I14" i="41"/>
  <c r="I19" i="41"/>
  <c r="I22" i="41"/>
  <c r="G30" i="41"/>
  <c r="H38" i="41"/>
  <c r="I51" i="41"/>
  <c r="G66" i="41"/>
  <c r="G106" i="41"/>
  <c r="I24" i="42"/>
  <c r="G61" i="42"/>
  <c r="BB60" i="28"/>
  <c r="BA67" i="28"/>
  <c r="BB82" i="28"/>
  <c r="AZ104" i="28"/>
  <c r="BD110" i="28"/>
  <c r="BC127" i="28"/>
  <c r="I36" i="39"/>
  <c r="I16" i="40"/>
  <c r="I25" i="40"/>
  <c r="I32" i="40"/>
  <c r="G14" i="41"/>
  <c r="G22" i="41"/>
  <c r="I80" i="41"/>
  <c r="G86" i="41"/>
  <c r="I37" i="42"/>
  <c r="I40" i="42"/>
  <c r="BD68" i="28"/>
  <c r="BA77" i="28"/>
  <c r="AZ84" i="28"/>
  <c r="BC105" i="28"/>
  <c r="BB112" i="28"/>
  <c r="BA129" i="28"/>
  <c r="AZ136" i="28"/>
  <c r="H48" i="40"/>
  <c r="G58" i="41"/>
  <c r="G78" i="41"/>
  <c r="G98" i="41"/>
  <c r="G118" i="41"/>
  <c r="I52" i="42"/>
  <c r="BD78" i="28"/>
  <c r="BC85" i="28"/>
  <c r="AZ114" i="28"/>
  <c r="BB122" i="28"/>
  <c r="BD130" i="28"/>
  <c r="BC137" i="28"/>
  <c r="AZ146" i="28"/>
  <c r="G28" i="42"/>
  <c r="BA87" i="28"/>
  <c r="BB132" i="28"/>
  <c r="BA139" i="28"/>
  <c r="G24" i="39"/>
  <c r="H41" i="39"/>
  <c r="I18" i="40"/>
  <c r="I88" i="41"/>
  <c r="G125" i="41"/>
  <c r="G34" i="40"/>
  <c r="H32" i="39"/>
  <c r="G79" i="42"/>
  <c r="G46" i="40"/>
  <c r="G20" i="39"/>
  <c r="G60" i="39"/>
  <c r="H28" i="39"/>
  <c r="H28" i="41"/>
  <c r="H33" i="39"/>
  <c r="I40" i="39"/>
  <c r="I26" i="40"/>
  <c r="G15" i="40"/>
  <c r="G93" i="41"/>
  <c r="H20" i="39"/>
  <c r="G116" i="41"/>
  <c r="H12" i="39"/>
  <c r="H16" i="39"/>
  <c r="I24" i="39"/>
  <c r="G52" i="39"/>
  <c r="I14" i="40"/>
  <c r="H42" i="40"/>
  <c r="G40" i="41"/>
  <c r="H68" i="41"/>
  <c r="I96" i="41"/>
  <c r="G46" i="42"/>
  <c r="G78" i="42"/>
  <c r="H86" i="42"/>
  <c r="I32" i="39"/>
  <c r="G124" i="41"/>
  <c r="I12" i="39"/>
  <c r="I16" i="39"/>
  <c r="I22" i="40"/>
  <c r="I30" i="40"/>
  <c r="G42" i="40"/>
  <c r="G64" i="41"/>
  <c r="G76" i="41"/>
  <c r="G104" i="41"/>
  <c r="H46" i="42"/>
  <c r="G62" i="42"/>
  <c r="H70" i="42"/>
  <c r="I86" i="42"/>
  <c r="H38" i="40"/>
  <c r="H50" i="40"/>
  <c r="G12" i="41"/>
  <c r="H24" i="41"/>
  <c r="G48" i="41"/>
  <c r="H56" i="41"/>
  <c r="G84" i="41"/>
  <c r="G92" i="41"/>
  <c r="I54" i="42"/>
  <c r="H62" i="42"/>
  <c r="H25" i="39"/>
  <c r="G44" i="39"/>
  <c r="G48" i="39"/>
  <c r="G64" i="39"/>
  <c r="G38" i="40"/>
  <c r="G50" i="40"/>
  <c r="I112" i="41"/>
  <c r="I120" i="41"/>
  <c r="G54" i="42"/>
  <c r="I28" i="39"/>
  <c r="I34" i="40"/>
  <c r="I46" i="40"/>
  <c r="G36" i="39"/>
  <c r="G40" i="39"/>
  <c r="H44" i="39"/>
  <c r="H48" i="39"/>
  <c r="G56" i="39"/>
  <c r="H64" i="39"/>
  <c r="G72" i="41"/>
  <c r="G100" i="41"/>
  <c r="H40" i="41"/>
  <c r="H56" i="39"/>
  <c r="G31" i="40"/>
  <c r="I35" i="40"/>
  <c r="I39" i="40"/>
  <c r="G43" i="40"/>
  <c r="G47" i="40"/>
  <c r="H51" i="40"/>
  <c r="H53" i="41"/>
  <c r="G81" i="41"/>
  <c r="G113" i="41"/>
  <c r="G27" i="42"/>
  <c r="H51" i="42"/>
  <c r="H55" i="42"/>
  <c r="I67" i="42"/>
  <c r="I71" i="42"/>
  <c r="I87" i="42"/>
  <c r="I43" i="40"/>
  <c r="I47" i="40"/>
  <c r="I53" i="41"/>
  <c r="H97" i="41"/>
  <c r="G47" i="42"/>
  <c r="I55" i="42"/>
  <c r="I25" i="41"/>
  <c r="I49" i="41"/>
  <c r="G61" i="41"/>
  <c r="G77" i="41"/>
  <c r="G109" i="41"/>
  <c r="G75" i="42"/>
  <c r="H79" i="42"/>
  <c r="I23" i="40"/>
  <c r="G89" i="41"/>
  <c r="G121" i="41"/>
  <c r="I31" i="42"/>
  <c r="I59" i="42"/>
  <c r="H75" i="42"/>
  <c r="G91" i="42"/>
  <c r="G37" i="41"/>
  <c r="G45" i="41"/>
  <c r="G57" i="41"/>
  <c r="H73" i="41"/>
  <c r="H105" i="41"/>
  <c r="I39" i="42"/>
  <c r="H91" i="42"/>
  <c r="H35" i="40"/>
  <c r="H39" i="40"/>
  <c r="G85" i="41"/>
  <c r="G117" i="41"/>
  <c r="G67" i="42"/>
  <c r="G71" i="42"/>
  <c r="G87" i="42"/>
  <c r="G69" i="41"/>
  <c r="G101" i="41"/>
  <c r="AI334" i="28"/>
  <c r="BD334" i="28"/>
  <c r="BC334" i="28"/>
  <c r="BB334" i="28"/>
  <c r="BA334" i="28"/>
  <c r="AZ334" i="28"/>
  <c r="AI147" i="28"/>
  <c r="BD147" i="28"/>
  <c r="BC147" i="28"/>
  <c r="AI217" i="28"/>
  <c r="BC217" i="28"/>
  <c r="BB217" i="28"/>
  <c r="BA217" i="28"/>
  <c r="AZ217" i="28"/>
  <c r="AI289" i="28"/>
  <c r="BC31" i="28"/>
  <c r="BA33" i="28"/>
  <c r="AZ40" i="28"/>
  <c r="BC41" i="28"/>
  <c r="BD46" i="28"/>
  <c r="BB48" i="28"/>
  <c r="AZ50" i="28"/>
  <c r="BC51" i="28"/>
  <c r="BA55" i="28"/>
  <c r="BD56" i="28"/>
  <c r="BB58" i="28"/>
  <c r="AZ60" i="28"/>
  <c r="BA65" i="28"/>
  <c r="BD66" i="28"/>
  <c r="BB68" i="28"/>
  <c r="BD76" i="28"/>
  <c r="BB78" i="28"/>
  <c r="AZ82" i="28"/>
  <c r="BC83" i="28"/>
  <c r="BA85" i="28"/>
  <c r="BD86" i="28"/>
  <c r="AZ92" i="28"/>
  <c r="BC93" i="28"/>
  <c r="BA95" i="28"/>
  <c r="BD96" i="28"/>
  <c r="BB100" i="28"/>
  <c r="AZ102" i="28"/>
  <c r="BC103" i="28"/>
  <c r="BA105" i="28"/>
  <c r="BB110" i="28"/>
  <c r="AZ112" i="28"/>
  <c r="BC113" i="28"/>
  <c r="AZ122" i="28"/>
  <c r="BC123" i="28"/>
  <c r="BA127" i="28"/>
  <c r="BD128" i="28"/>
  <c r="BB130" i="28"/>
  <c r="AZ132" i="28"/>
  <c r="BA137" i="28"/>
  <c r="BD138" i="28"/>
  <c r="BB140" i="28"/>
  <c r="BC145" i="28"/>
  <c r="BA147" i="28"/>
  <c r="AZ181" i="28"/>
  <c r="AI163" i="28"/>
  <c r="BD163" i="28"/>
  <c r="BC163" i="28"/>
  <c r="BB163" i="28"/>
  <c r="AZ163" i="28"/>
  <c r="BB92" i="28"/>
  <c r="AI154" i="28"/>
  <c r="AI226" i="28"/>
  <c r="AZ226" i="28"/>
  <c r="BD226" i="28"/>
  <c r="BC226" i="28"/>
  <c r="BB226" i="28"/>
  <c r="AI298" i="28"/>
  <c r="BD31" i="28"/>
  <c r="BB33" i="28"/>
  <c r="AZ37" i="28"/>
  <c r="BC38" i="28"/>
  <c r="BA40" i="28"/>
  <c r="BD41" i="28"/>
  <c r="AZ47" i="28"/>
  <c r="BC48" i="28"/>
  <c r="BA50" i="28"/>
  <c r="BD51" i="28"/>
  <c r="BB55" i="28"/>
  <c r="AZ57" i="28"/>
  <c r="BC58" i="28"/>
  <c r="BA60" i="28"/>
  <c r="BB65" i="28"/>
  <c r="AZ67" i="28"/>
  <c r="BC68" i="28"/>
  <c r="AZ77" i="28"/>
  <c r="BC78" i="28"/>
  <c r="BA82" i="28"/>
  <c r="BD83" i="28"/>
  <c r="BB85" i="28"/>
  <c r="AZ87" i="28"/>
  <c r="BA92" i="28"/>
  <c r="BD93" i="28"/>
  <c r="BB95" i="28"/>
  <c r="BC100" i="28"/>
  <c r="BA102" i="28"/>
  <c r="BD103" i="28"/>
  <c r="BB105" i="28"/>
  <c r="AZ109" i="28"/>
  <c r="BC110" i="28"/>
  <c r="BA112" i="28"/>
  <c r="BD113" i="28"/>
  <c r="BA122" i="28"/>
  <c r="BD123" i="28"/>
  <c r="BB127" i="28"/>
  <c r="AZ129" i="28"/>
  <c r="BC130" i="28"/>
  <c r="BA132" i="28"/>
  <c r="BB137" i="28"/>
  <c r="AZ139" i="28"/>
  <c r="BC140" i="28"/>
  <c r="BD145" i="28"/>
  <c r="BB147" i="28"/>
  <c r="AI307" i="28"/>
  <c r="AI172" i="28"/>
  <c r="BB172" i="28"/>
  <c r="BA172" i="28"/>
  <c r="AZ172" i="28"/>
  <c r="BD172" i="28"/>
  <c r="AI316" i="28"/>
  <c r="BB316" i="28"/>
  <c r="BA316" i="28"/>
  <c r="AZ316" i="28"/>
  <c r="BD316" i="28"/>
  <c r="BA32" i="28"/>
  <c r="BD33" i="28"/>
  <c r="AZ39" i="28"/>
  <c r="BC40" i="28"/>
  <c r="BA42" i="28"/>
  <c r="BB47" i="28"/>
  <c r="AZ49" i="28"/>
  <c r="BC50" i="28"/>
  <c r="BD55" i="28"/>
  <c r="BB57" i="28"/>
  <c r="AZ59" i="28"/>
  <c r="BC60" i="28"/>
  <c r="BA64" i="28"/>
  <c r="BD65" i="28"/>
  <c r="BB67" i="28"/>
  <c r="AZ69" i="28"/>
  <c r="BB77" i="28"/>
  <c r="BC82" i="28"/>
  <c r="BA84" i="28"/>
  <c r="BD85" i="28"/>
  <c r="BB87" i="28"/>
  <c r="AZ91" i="28"/>
  <c r="BC92" i="28"/>
  <c r="BA94" i="28"/>
  <c r="BD95" i="28"/>
  <c r="AZ101" i="28"/>
  <c r="BC102" i="28"/>
  <c r="BA104" i="28"/>
  <c r="BD105" i="28"/>
  <c r="BB109" i="28"/>
  <c r="AZ111" i="28"/>
  <c r="BC112" i="28"/>
  <c r="BA114" i="28"/>
  <c r="AZ121" i="28"/>
  <c r="BC122" i="28"/>
  <c r="BD127" i="28"/>
  <c r="BB129" i="28"/>
  <c r="AZ131" i="28"/>
  <c r="BC132" i="28"/>
  <c r="BA136" i="28"/>
  <c r="BD137" i="28"/>
  <c r="BB139" i="28"/>
  <c r="AZ141" i="28"/>
  <c r="BA146" i="28"/>
  <c r="AI244" i="28"/>
  <c r="AI181" i="28"/>
  <c r="BD181" i="28"/>
  <c r="BB181" i="28"/>
  <c r="BA181" i="28"/>
  <c r="AI253" i="28"/>
  <c r="BD253" i="28"/>
  <c r="BC253" i="28"/>
  <c r="BB253" i="28"/>
  <c r="BA253" i="28"/>
  <c r="AI325" i="28"/>
  <c r="BD325" i="28"/>
  <c r="BC325" i="28"/>
  <c r="BB325" i="28"/>
  <c r="BA325" i="28"/>
  <c r="BB32" i="28"/>
  <c r="BC37" i="28"/>
  <c r="BA39" i="28"/>
  <c r="BD40" i="28"/>
  <c r="BB42" i="28"/>
  <c r="AZ46" i="28"/>
  <c r="BC47" i="28"/>
  <c r="BA49" i="28"/>
  <c r="BD50" i="28"/>
  <c r="AZ56" i="28"/>
  <c r="BC57" i="28"/>
  <c r="BA59" i="28"/>
  <c r="BD60" i="28"/>
  <c r="BB64" i="28"/>
  <c r="AZ66" i="28"/>
  <c r="BC67" i="28"/>
  <c r="BA69" i="28"/>
  <c r="AZ76" i="28"/>
  <c r="BC77" i="28"/>
  <c r="BD82" i="28"/>
  <c r="BB84" i="28"/>
  <c r="AZ86" i="28"/>
  <c r="BC87" i="28"/>
  <c r="BA91" i="28"/>
  <c r="BD92" i="28"/>
  <c r="BB94" i="28"/>
  <c r="AZ96" i="28"/>
  <c r="BA101" i="28"/>
  <c r="BD102" i="28"/>
  <c r="BB104" i="28"/>
  <c r="BC109" i="28"/>
  <c r="BA111" i="28"/>
  <c r="BD112" i="28"/>
  <c r="BB114" i="28"/>
  <c r="BA121" i="28"/>
  <c r="BD122" i="28"/>
  <c r="AZ128" i="28"/>
  <c r="BC129" i="28"/>
  <c r="BA131" i="28"/>
  <c r="BD132" i="28"/>
  <c r="BB136" i="28"/>
  <c r="AZ138" i="28"/>
  <c r="BC139" i="28"/>
  <c r="BA141" i="28"/>
  <c r="BB146" i="28"/>
  <c r="BC172" i="28"/>
  <c r="AI235" i="28"/>
  <c r="BD235" i="28"/>
  <c r="BC235" i="28"/>
  <c r="BB235" i="28"/>
  <c r="BA235" i="28"/>
  <c r="AZ235" i="28"/>
  <c r="AI262" i="28"/>
  <c r="BD262" i="28"/>
  <c r="BC262" i="28"/>
  <c r="BB262" i="28"/>
  <c r="BA262" i="28"/>
  <c r="AZ262" i="28"/>
  <c r="AZ31" i="28"/>
  <c r="BC32" i="28"/>
  <c r="BD37" i="28"/>
  <c r="AZ41" i="28"/>
  <c r="BC42" i="28"/>
  <c r="BA46" i="28"/>
  <c r="BD47" i="28"/>
  <c r="BB49" i="28"/>
  <c r="AZ51" i="28"/>
  <c r="BA56" i="28"/>
  <c r="BD57" i="28"/>
  <c r="BB59" i="28"/>
  <c r="BC64" i="28"/>
  <c r="BA66" i="28"/>
  <c r="BD67" i="28"/>
  <c r="BB69" i="28"/>
  <c r="BA76" i="28"/>
  <c r="BD77" i="28"/>
  <c r="AZ83" i="28"/>
  <c r="BC84" i="28"/>
  <c r="BA86" i="28"/>
  <c r="BD87" i="28"/>
  <c r="BB91" i="28"/>
  <c r="AZ93" i="28"/>
  <c r="BC94" i="28"/>
  <c r="BA96" i="28"/>
  <c r="BB101" i="28"/>
  <c r="AZ103" i="28"/>
  <c r="BC104" i="28"/>
  <c r="BD109" i="28"/>
  <c r="BB111" i="28"/>
  <c r="AZ113" i="28"/>
  <c r="BC114" i="28"/>
  <c r="BB121" i="28"/>
  <c r="AZ123" i="28"/>
  <c r="BA128" i="28"/>
  <c r="BD129" i="28"/>
  <c r="BB131" i="28"/>
  <c r="BC136" i="28"/>
  <c r="BA138" i="28"/>
  <c r="BD139" i="28"/>
  <c r="BB141" i="28"/>
  <c r="AZ145" i="28"/>
  <c r="BC146" i="28"/>
  <c r="BD217" i="28"/>
  <c r="BC316" i="28"/>
  <c r="BC95" i="28"/>
  <c r="AI199" i="28"/>
  <c r="AI271" i="28"/>
  <c r="BA271" i="28"/>
  <c r="AZ271" i="28"/>
  <c r="BD271" i="28"/>
  <c r="BC271" i="28"/>
  <c r="AI343" i="28"/>
  <c r="BA343" i="28"/>
  <c r="AZ343" i="28"/>
  <c r="BD343" i="28"/>
  <c r="BC343" i="28"/>
  <c r="BA31" i="28"/>
  <c r="BD32" i="28"/>
  <c r="AZ38" i="28"/>
  <c r="BC39" i="28"/>
  <c r="BA41" i="28"/>
  <c r="BD42" i="28"/>
  <c r="BB46" i="28"/>
  <c r="AZ48" i="28"/>
  <c r="BC49" i="28"/>
  <c r="BA51" i="28"/>
  <c r="BB56" i="28"/>
  <c r="AZ58" i="28"/>
  <c r="BC59" i="28"/>
  <c r="BD64" i="28"/>
  <c r="BB66" i="28"/>
  <c r="AZ68" i="28"/>
  <c r="BC69" i="28"/>
  <c r="BB76" i="28"/>
  <c r="AZ78" i="28"/>
  <c r="BA83" i="28"/>
  <c r="BD84" i="28"/>
  <c r="BB86" i="28"/>
  <c r="BC91" i="28"/>
  <c r="BA93" i="28"/>
  <c r="BD94" i="28"/>
  <c r="BB96" i="28"/>
  <c r="AZ100" i="28"/>
  <c r="BC101" i="28"/>
  <c r="BA103" i="28"/>
  <c r="BD104" i="28"/>
  <c r="AZ110" i="28"/>
  <c r="BC111" i="28"/>
  <c r="BA113" i="28"/>
  <c r="BD114" i="28"/>
  <c r="BC121" i="28"/>
  <c r="BA123" i="28"/>
  <c r="BB128" i="28"/>
  <c r="AZ130" i="28"/>
  <c r="BC131" i="28"/>
  <c r="BD136" i="28"/>
  <c r="BB138" i="28"/>
  <c r="AZ140" i="28"/>
  <c r="BC141" i="28"/>
  <c r="BA145" i="28"/>
  <c r="BD146" i="28"/>
  <c r="BA226" i="28"/>
  <c r="AZ325" i="28"/>
  <c r="AZ94" i="28"/>
  <c r="AI190" i="28"/>
  <c r="BD190" i="28"/>
  <c r="BC190" i="28"/>
  <c r="BB190" i="28"/>
  <c r="BA190" i="28"/>
  <c r="AZ190" i="28"/>
  <c r="AI208" i="28"/>
  <c r="BD208" i="28"/>
  <c r="BC208" i="28"/>
  <c r="BB208" i="28"/>
  <c r="BA208" i="28"/>
  <c r="AZ208" i="28"/>
  <c r="AI280" i="28"/>
  <c r="BB31" i="28"/>
  <c r="AZ33" i="28"/>
  <c r="BA38" i="28"/>
  <c r="BD39" i="28"/>
  <c r="BB41" i="28"/>
  <c r="BC46" i="28"/>
  <c r="BA48" i="28"/>
  <c r="BD49" i="28"/>
  <c r="BB51" i="28"/>
  <c r="AZ55" i="28"/>
  <c r="BC56" i="28"/>
  <c r="BA58" i="28"/>
  <c r="BD59" i="28"/>
  <c r="AZ65" i="28"/>
  <c r="BC66" i="28"/>
  <c r="BA68" i="28"/>
  <c r="BD69" i="28"/>
  <c r="BC76" i="28"/>
  <c r="BA78" i="28"/>
  <c r="BB83" i="28"/>
  <c r="AZ85" i="28"/>
  <c r="BC86" i="28"/>
  <c r="BD91" i="28"/>
  <c r="BB93" i="28"/>
  <c r="AZ95" i="28"/>
  <c r="BC96" i="28"/>
  <c r="BA100" i="28"/>
  <c r="BD101" i="28"/>
  <c r="BB103" i="28"/>
  <c r="AZ105" i="28"/>
  <c r="BA110" i="28"/>
  <c r="BD111" i="28"/>
  <c r="BB113" i="28"/>
  <c r="BD121" i="28"/>
  <c r="BB123" i="28"/>
  <c r="AZ127" i="28"/>
  <c r="BC128" i="28"/>
  <c r="BA130" i="28"/>
  <c r="BD131" i="28"/>
  <c r="AZ137" i="28"/>
  <c r="BC138" i="28"/>
  <c r="BA140" i="28"/>
  <c r="BD141" i="28"/>
  <c r="BB145" i="28"/>
  <c r="AZ147" i="28"/>
  <c r="I36" i="42"/>
  <c r="I32" i="42"/>
  <c r="I60" i="42"/>
  <c r="I33" i="40"/>
  <c r="G58" i="39"/>
  <c r="G22" i="42"/>
  <c r="G30" i="42"/>
  <c r="G38" i="42"/>
  <c r="G43" i="42"/>
  <c r="G53" i="42"/>
  <c r="H59" i="42"/>
  <c r="H63" i="42"/>
  <c r="H78" i="42"/>
  <c r="G83" i="42"/>
  <c r="G35" i="42"/>
  <c r="H43" i="42"/>
  <c r="I53" i="42"/>
  <c r="I63" i="42"/>
  <c r="H68" i="42"/>
  <c r="H83" i="42"/>
  <c r="G26" i="42"/>
  <c r="G34" i="42"/>
  <c r="G45" i="42"/>
  <c r="G51" i="42"/>
  <c r="G70" i="42"/>
  <c r="H76" i="42"/>
  <c r="G85" i="42"/>
  <c r="I45" i="42"/>
  <c r="I85" i="42"/>
  <c r="G17" i="41"/>
  <c r="H20" i="41"/>
  <c r="G23" i="41"/>
  <c r="G33" i="41"/>
  <c r="G36" i="41"/>
  <c r="H37" i="41"/>
  <c r="G50" i="41"/>
  <c r="H51" i="41"/>
  <c r="I57" i="41"/>
  <c r="H60" i="41"/>
  <c r="I70" i="41"/>
  <c r="I73" i="41"/>
  <c r="I77" i="41"/>
  <c r="I81" i="41"/>
  <c r="I85" i="41"/>
  <c r="I89" i="41"/>
  <c r="I93" i="41"/>
  <c r="I97" i="41"/>
  <c r="I101" i="41"/>
  <c r="I105" i="41"/>
  <c r="I109" i="41"/>
  <c r="I113" i="41"/>
  <c r="I117" i="41"/>
  <c r="I121" i="41"/>
  <c r="I125" i="41"/>
  <c r="I13" i="41"/>
  <c r="G19" i="41"/>
  <c r="H23" i="41"/>
  <c r="I29" i="41"/>
  <c r="G35" i="41"/>
  <c r="H36" i="41"/>
  <c r="G43" i="41"/>
  <c r="G49" i="41"/>
  <c r="H50" i="41"/>
  <c r="H63" i="41"/>
  <c r="H66" i="41"/>
  <c r="H69" i="41"/>
  <c r="H76" i="41"/>
  <c r="H80" i="41"/>
  <c r="H84" i="41"/>
  <c r="H88" i="41"/>
  <c r="H92" i="41"/>
  <c r="H96" i="41"/>
  <c r="H100" i="41"/>
  <c r="H104" i="41"/>
  <c r="H108" i="41"/>
  <c r="H112" i="41"/>
  <c r="H116" i="41"/>
  <c r="H120" i="41"/>
  <c r="H124" i="41"/>
  <c r="I16" i="41"/>
  <c r="I32" i="41"/>
  <c r="G41" i="41"/>
  <c r="H59" i="41"/>
  <c r="H62" i="41"/>
  <c r="H65" i="41"/>
  <c r="H75" i="41"/>
  <c r="H79" i="41"/>
  <c r="H83" i="41"/>
  <c r="H87" i="41"/>
  <c r="H91" i="41"/>
  <c r="H95" i="41"/>
  <c r="H99" i="41"/>
  <c r="H103" i="41"/>
  <c r="H107" i="41"/>
  <c r="H111" i="41"/>
  <c r="H115" i="41"/>
  <c r="H119" i="41"/>
  <c r="H123" i="41"/>
  <c r="H41" i="41"/>
  <c r="I62" i="41"/>
  <c r="I65" i="41"/>
  <c r="I75" i="41"/>
  <c r="I79" i="41"/>
  <c r="I83" i="41"/>
  <c r="I87" i="41"/>
  <c r="I91" i="41"/>
  <c r="I95" i="41"/>
  <c r="I99" i="41"/>
  <c r="I103" i="41"/>
  <c r="I107" i="41"/>
  <c r="I111" i="41"/>
  <c r="I115" i="41"/>
  <c r="I119" i="41"/>
  <c r="I123" i="41"/>
  <c r="I21" i="41"/>
  <c r="I45" i="41"/>
  <c r="I55" i="41"/>
  <c r="H58" i="41"/>
  <c r="H61" i="41"/>
  <c r="H71" i="41"/>
  <c r="H74" i="41"/>
  <c r="H78" i="41"/>
  <c r="H82" i="41"/>
  <c r="H86" i="41"/>
  <c r="H90" i="41"/>
  <c r="H94" i="41"/>
  <c r="H98" i="41"/>
  <c r="H102" i="41"/>
  <c r="H106" i="41"/>
  <c r="H110" i="41"/>
  <c r="H114" i="41"/>
  <c r="H118" i="41"/>
  <c r="H122" i="41"/>
  <c r="G12" i="40"/>
  <c r="G20" i="40"/>
  <c r="G28" i="40"/>
  <c r="G37" i="40"/>
  <c r="G41" i="40"/>
  <c r="G45" i="40"/>
  <c r="G49" i="40"/>
  <c r="H55" i="40"/>
  <c r="I37" i="40"/>
  <c r="I41" i="40"/>
  <c r="I45" i="40"/>
  <c r="I49" i="40"/>
  <c r="G19" i="40"/>
  <c r="G27" i="40"/>
  <c r="I36" i="40"/>
  <c r="I40" i="40"/>
  <c r="I44" i="40"/>
  <c r="I48" i="40"/>
  <c r="I54" i="40"/>
  <c r="H57" i="40"/>
  <c r="I57" i="40"/>
  <c r="G13" i="40"/>
  <c r="G21" i="40"/>
  <c r="G29" i="40"/>
  <c r="H53" i="40"/>
  <c r="H56" i="40"/>
  <c r="H59" i="40"/>
  <c r="I53" i="40"/>
  <c r="I56" i="40"/>
  <c r="G30" i="39"/>
  <c r="G46" i="39"/>
  <c r="G13" i="39"/>
  <c r="H14" i="39"/>
  <c r="H22" i="39"/>
  <c r="G29" i="39"/>
  <c r="H30" i="39"/>
  <c r="G37" i="39"/>
  <c r="H38" i="39"/>
  <c r="G45" i="39"/>
  <c r="H46" i="39"/>
  <c r="H50" i="39"/>
  <c r="H13" i="39"/>
  <c r="I14" i="39"/>
  <c r="I22" i="39"/>
  <c r="H29" i="39"/>
  <c r="H37" i="39"/>
  <c r="I38" i="39"/>
  <c r="H45" i="39"/>
  <c r="I50" i="39"/>
  <c r="G18" i="39"/>
  <c r="H19" i="39"/>
  <c r="G26" i="39"/>
  <c r="H27" i="39"/>
  <c r="G34" i="39"/>
  <c r="H35" i="39"/>
  <c r="G42" i="39"/>
  <c r="H43" i="39"/>
  <c r="I49" i="39"/>
  <c r="G17" i="39"/>
  <c r="H18" i="39"/>
  <c r="G25" i="39"/>
  <c r="H26" i="39"/>
  <c r="G33" i="39"/>
  <c r="H34" i="39"/>
  <c r="G41" i="39"/>
  <c r="H42" i="39"/>
  <c r="H54" i="39"/>
  <c r="I57" i="39"/>
  <c r="H62" i="39"/>
  <c r="I65" i="39"/>
  <c r="G44" i="42"/>
  <c r="G52" i="42"/>
  <c r="G60" i="42"/>
  <c r="G68" i="42"/>
  <c r="G76" i="42"/>
  <c r="G84" i="42"/>
  <c r="G92" i="42"/>
  <c r="G42" i="42"/>
  <c r="G50" i="42"/>
  <c r="G58" i="42"/>
  <c r="G66" i="42"/>
  <c r="G74" i="42"/>
  <c r="G82" i="42"/>
  <c r="G90" i="42"/>
  <c r="I94" i="42"/>
  <c r="H94" i="42"/>
  <c r="G94" i="42"/>
  <c r="I96" i="42"/>
  <c r="H96" i="42"/>
  <c r="G96" i="42"/>
  <c r="I98" i="42"/>
  <c r="H98" i="42"/>
  <c r="G98" i="42"/>
  <c r="I100" i="42"/>
  <c r="H100" i="42"/>
  <c r="G100" i="42"/>
  <c r="I102" i="42"/>
  <c r="H102" i="42"/>
  <c r="G102" i="42"/>
  <c r="I104" i="42"/>
  <c r="H104" i="42"/>
  <c r="G104" i="42"/>
  <c r="I106" i="42"/>
  <c r="H106" i="42"/>
  <c r="G106" i="42"/>
  <c r="I108" i="42"/>
  <c r="H108" i="42"/>
  <c r="G108" i="42"/>
  <c r="I110" i="42"/>
  <c r="H110" i="42"/>
  <c r="G110" i="42"/>
  <c r="I112" i="42"/>
  <c r="H112" i="42"/>
  <c r="G112" i="42"/>
  <c r="I114" i="42"/>
  <c r="H114" i="42"/>
  <c r="G114" i="42"/>
  <c r="I116" i="42"/>
  <c r="H116" i="42"/>
  <c r="G116" i="42"/>
  <c r="I118" i="42"/>
  <c r="H118" i="42"/>
  <c r="G118" i="42"/>
  <c r="G12" i="42"/>
  <c r="G13" i="42"/>
  <c r="G14" i="42"/>
  <c r="G15" i="42"/>
  <c r="G16" i="42"/>
  <c r="G17" i="42"/>
  <c r="G18" i="42"/>
  <c r="G19" i="42"/>
  <c r="G20" i="42"/>
  <c r="H42" i="42"/>
  <c r="H50" i="42"/>
  <c r="G57" i="42"/>
  <c r="H58" i="42"/>
  <c r="G65" i="42"/>
  <c r="H66" i="42"/>
  <c r="G73" i="42"/>
  <c r="H74" i="42"/>
  <c r="G81" i="42"/>
  <c r="H82" i="42"/>
  <c r="G89" i="42"/>
  <c r="H90" i="42"/>
  <c r="H12" i="42"/>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G48" i="42"/>
  <c r="H49" i="42"/>
  <c r="G56" i="42"/>
  <c r="H57" i="42"/>
  <c r="G64" i="42"/>
  <c r="H65" i="42"/>
  <c r="G72" i="42"/>
  <c r="H73" i="42"/>
  <c r="G80" i="42"/>
  <c r="H81" i="42"/>
  <c r="G88" i="42"/>
  <c r="H89" i="42"/>
  <c r="H48" i="42"/>
  <c r="H56" i="42"/>
  <c r="H64" i="42"/>
  <c r="H72" i="42"/>
  <c r="H80" i="42"/>
  <c r="H88" i="42"/>
  <c r="I93" i="42"/>
  <c r="H93" i="42"/>
  <c r="G93" i="42"/>
  <c r="I95" i="42"/>
  <c r="H95" i="42"/>
  <c r="G95" i="42"/>
  <c r="I97" i="42"/>
  <c r="H97" i="42"/>
  <c r="G97" i="42"/>
  <c r="I99" i="42"/>
  <c r="H99" i="42"/>
  <c r="G99" i="42"/>
  <c r="I101" i="42"/>
  <c r="H101" i="42"/>
  <c r="G101" i="42"/>
  <c r="I103" i="42"/>
  <c r="H103" i="42"/>
  <c r="G103" i="42"/>
  <c r="I105" i="42"/>
  <c r="H105" i="42"/>
  <c r="G105" i="42"/>
  <c r="I107" i="42"/>
  <c r="H107" i="42"/>
  <c r="G107" i="42"/>
  <c r="I109" i="42"/>
  <c r="H109" i="42"/>
  <c r="G109" i="42"/>
  <c r="I111" i="42"/>
  <c r="H111" i="42"/>
  <c r="G111" i="42"/>
  <c r="I113" i="42"/>
  <c r="H113" i="42"/>
  <c r="G113" i="42"/>
  <c r="I115" i="42"/>
  <c r="H115" i="42"/>
  <c r="G115" i="42"/>
  <c r="I117" i="42"/>
  <c r="H117" i="42"/>
  <c r="G117" i="42"/>
  <c r="G119" i="42"/>
  <c r="G120" i="42"/>
  <c r="G121" i="42"/>
  <c r="G122" i="42"/>
  <c r="G123" i="42"/>
  <c r="G124" i="42"/>
  <c r="G125" i="42"/>
  <c r="H119" i="42"/>
  <c r="H120" i="42"/>
  <c r="H121" i="42"/>
  <c r="H122" i="42"/>
  <c r="H123" i="42"/>
  <c r="H124" i="42"/>
  <c r="H125" i="42"/>
  <c r="I21" i="38"/>
  <c r="G21" i="38"/>
  <c r="I25" i="38"/>
  <c r="G25" i="38"/>
  <c r="I53" i="38"/>
  <c r="H53" i="38"/>
  <c r="G53" i="38"/>
  <c r="I61" i="38"/>
  <c r="H61" i="38"/>
  <c r="G61" i="38"/>
  <c r="I69" i="38"/>
  <c r="H69" i="38"/>
  <c r="G69" i="38"/>
  <c r="I77" i="38"/>
  <c r="H77" i="38"/>
  <c r="G77" i="38"/>
  <c r="I85" i="38"/>
  <c r="H85" i="38"/>
  <c r="G85" i="38"/>
  <c r="I93" i="38"/>
  <c r="H93" i="38"/>
  <c r="G93" i="38"/>
  <c r="G59" i="39"/>
  <c r="I59" i="39"/>
  <c r="H59" i="39"/>
  <c r="I46" i="41"/>
  <c r="H46" i="41"/>
  <c r="G46" i="41"/>
  <c r="H13" i="38"/>
  <c r="H21" i="38"/>
  <c r="H25" i="38"/>
  <c r="H33" i="38"/>
  <c r="H41" i="38"/>
  <c r="I50" i="38"/>
  <c r="H50" i="38"/>
  <c r="G50" i="38"/>
  <c r="I58" i="38"/>
  <c r="H58" i="38"/>
  <c r="G58" i="38"/>
  <c r="I66" i="38"/>
  <c r="H66" i="38"/>
  <c r="G66" i="38"/>
  <c r="I74" i="38"/>
  <c r="H74" i="38"/>
  <c r="G74" i="38"/>
  <c r="I82" i="38"/>
  <c r="H82" i="38"/>
  <c r="G82" i="38"/>
  <c r="I90" i="38"/>
  <c r="H90" i="38"/>
  <c r="G90" i="38"/>
  <c r="G61" i="39"/>
  <c r="H61" i="39"/>
  <c r="I37" i="38"/>
  <c r="G37" i="38"/>
  <c r="I16" i="38"/>
  <c r="G16" i="38"/>
  <c r="I28" i="38"/>
  <c r="G28" i="38"/>
  <c r="I47" i="38"/>
  <c r="H47" i="38"/>
  <c r="G47" i="38"/>
  <c r="I87" i="38"/>
  <c r="H87" i="38"/>
  <c r="G87" i="38"/>
  <c r="I97" i="38"/>
  <c r="H97" i="38"/>
  <c r="G97" i="38"/>
  <c r="I107" i="38"/>
  <c r="H107" i="38"/>
  <c r="G107" i="38"/>
  <c r="I115" i="38"/>
  <c r="H115" i="38"/>
  <c r="G115" i="38"/>
  <c r="I121" i="38"/>
  <c r="H121" i="38"/>
  <c r="G121" i="38"/>
  <c r="H16" i="38"/>
  <c r="H20" i="38"/>
  <c r="H24" i="38"/>
  <c r="H28" i="38"/>
  <c r="H32" i="38"/>
  <c r="H36" i="38"/>
  <c r="H40" i="38"/>
  <c r="H44" i="38"/>
  <c r="I52" i="38"/>
  <c r="H52" i="38"/>
  <c r="G52" i="38"/>
  <c r="I60" i="38"/>
  <c r="H60" i="38"/>
  <c r="G60" i="38"/>
  <c r="I68" i="38"/>
  <c r="H68" i="38"/>
  <c r="G68" i="38"/>
  <c r="I76" i="38"/>
  <c r="H76" i="38"/>
  <c r="G76" i="38"/>
  <c r="I84" i="38"/>
  <c r="H84" i="38"/>
  <c r="G84" i="38"/>
  <c r="I92" i="38"/>
  <c r="H92" i="38"/>
  <c r="G92" i="38"/>
  <c r="I13" i="38"/>
  <c r="G13" i="38"/>
  <c r="I17" i="38"/>
  <c r="G17" i="38"/>
  <c r="I12" i="38"/>
  <c r="G12" i="38"/>
  <c r="I63" i="38"/>
  <c r="H63" i="38"/>
  <c r="G63" i="38"/>
  <c r="I15" i="38"/>
  <c r="G15" i="38"/>
  <c r="I27" i="38"/>
  <c r="G27" i="38"/>
  <c r="I31" i="38"/>
  <c r="G31" i="38"/>
  <c r="I35" i="38"/>
  <c r="G35" i="38"/>
  <c r="I39" i="38"/>
  <c r="G39" i="38"/>
  <c r="I43" i="38"/>
  <c r="G43" i="38"/>
  <c r="I49" i="38"/>
  <c r="H49" i="38"/>
  <c r="G49" i="38"/>
  <c r="I57" i="38"/>
  <c r="H57" i="38"/>
  <c r="G57" i="38"/>
  <c r="I65" i="38"/>
  <c r="H65" i="38"/>
  <c r="G65" i="38"/>
  <c r="I73" i="38"/>
  <c r="H73" i="38"/>
  <c r="G73" i="38"/>
  <c r="I81" i="38"/>
  <c r="H81" i="38"/>
  <c r="G81" i="38"/>
  <c r="I89" i="38"/>
  <c r="H89" i="38"/>
  <c r="G89" i="38"/>
  <c r="I41" i="38"/>
  <c r="G41" i="38"/>
  <c r="I55" i="38"/>
  <c r="H55" i="38"/>
  <c r="G55" i="38"/>
  <c r="I101" i="38"/>
  <c r="H101" i="38"/>
  <c r="G101" i="38"/>
  <c r="I109" i="38"/>
  <c r="H109" i="38"/>
  <c r="G109" i="38"/>
  <c r="I117" i="38"/>
  <c r="H117" i="38"/>
  <c r="G117" i="38"/>
  <c r="I125" i="38"/>
  <c r="H125" i="38"/>
  <c r="G125" i="38"/>
  <c r="I19" i="38"/>
  <c r="G19" i="38"/>
  <c r="I23" i="38"/>
  <c r="G23" i="38"/>
  <c r="H15" i="38"/>
  <c r="H19" i="38"/>
  <c r="H23" i="38"/>
  <c r="H27" i="38"/>
  <c r="H31" i="38"/>
  <c r="H35" i="38"/>
  <c r="H39" i="38"/>
  <c r="H43" i="38"/>
  <c r="I46" i="38"/>
  <c r="H46" i="38"/>
  <c r="G46" i="38"/>
  <c r="I54" i="38"/>
  <c r="H54" i="38"/>
  <c r="G54" i="38"/>
  <c r="I62" i="38"/>
  <c r="H62" i="38"/>
  <c r="G62" i="38"/>
  <c r="I70" i="38"/>
  <c r="H70" i="38"/>
  <c r="G70" i="38"/>
  <c r="I78" i="38"/>
  <c r="H78" i="38"/>
  <c r="G78" i="38"/>
  <c r="I86" i="38"/>
  <c r="H86" i="38"/>
  <c r="G86" i="38"/>
  <c r="I94" i="38"/>
  <c r="H94" i="38"/>
  <c r="G94" i="38"/>
  <c r="I29" i="38"/>
  <c r="G29" i="38"/>
  <c r="I33" i="38"/>
  <c r="G33" i="38"/>
  <c r="I45" i="38"/>
  <c r="H45" i="38"/>
  <c r="G45" i="38"/>
  <c r="I20" i="38"/>
  <c r="G20" i="38"/>
  <c r="I24" i="38"/>
  <c r="G24" i="38"/>
  <c r="I32" i="38"/>
  <c r="G32" i="38"/>
  <c r="I36" i="38"/>
  <c r="G36" i="38"/>
  <c r="I40" i="38"/>
  <c r="G40" i="38"/>
  <c r="I44" i="38"/>
  <c r="G44" i="38"/>
  <c r="I99" i="38"/>
  <c r="H99" i="38"/>
  <c r="G99" i="38"/>
  <c r="I105" i="38"/>
  <c r="H105" i="38"/>
  <c r="G105" i="38"/>
  <c r="I113" i="38"/>
  <c r="H113" i="38"/>
  <c r="G113" i="38"/>
  <c r="I119" i="38"/>
  <c r="H119" i="38"/>
  <c r="G119" i="38"/>
  <c r="I14" i="38"/>
  <c r="G14" i="38"/>
  <c r="I18" i="38"/>
  <c r="G18" i="38"/>
  <c r="I22" i="38"/>
  <c r="G22" i="38"/>
  <c r="I26" i="38"/>
  <c r="G26" i="38"/>
  <c r="I30" i="38"/>
  <c r="G30" i="38"/>
  <c r="I34" i="38"/>
  <c r="G34" i="38"/>
  <c r="I38" i="38"/>
  <c r="G38" i="38"/>
  <c r="I42" i="38"/>
  <c r="G42" i="38"/>
  <c r="I51" i="38"/>
  <c r="H51" i="38"/>
  <c r="G51" i="38"/>
  <c r="I59" i="38"/>
  <c r="H59" i="38"/>
  <c r="G59" i="38"/>
  <c r="I67" i="38"/>
  <c r="H67" i="38"/>
  <c r="G67" i="38"/>
  <c r="I75" i="38"/>
  <c r="H75" i="38"/>
  <c r="G75" i="38"/>
  <c r="I83" i="38"/>
  <c r="H83" i="38"/>
  <c r="G83" i="38"/>
  <c r="I91" i="38"/>
  <c r="H91" i="38"/>
  <c r="G91" i="38"/>
  <c r="I96" i="38"/>
  <c r="H96" i="38"/>
  <c r="G96" i="38"/>
  <c r="I98" i="38"/>
  <c r="H98" i="38"/>
  <c r="G98" i="38"/>
  <c r="I100" i="38"/>
  <c r="H100" i="38"/>
  <c r="G100" i="38"/>
  <c r="I102" i="38"/>
  <c r="H102" i="38"/>
  <c r="G102" i="38"/>
  <c r="I104" i="38"/>
  <c r="H104" i="38"/>
  <c r="G104" i="38"/>
  <c r="I106" i="38"/>
  <c r="H106" i="38"/>
  <c r="G106" i="38"/>
  <c r="I108" i="38"/>
  <c r="H108" i="38"/>
  <c r="G108" i="38"/>
  <c r="I110" i="38"/>
  <c r="H110" i="38"/>
  <c r="G110" i="38"/>
  <c r="I112" i="38"/>
  <c r="H112" i="38"/>
  <c r="G112" i="38"/>
  <c r="I114" i="38"/>
  <c r="H114" i="38"/>
  <c r="G114" i="38"/>
  <c r="I116" i="38"/>
  <c r="H116" i="38"/>
  <c r="G116" i="38"/>
  <c r="I118" i="38"/>
  <c r="H118" i="38"/>
  <c r="G118" i="38"/>
  <c r="I120" i="38"/>
  <c r="H120" i="38"/>
  <c r="G120" i="38"/>
  <c r="I122" i="38"/>
  <c r="H122" i="38"/>
  <c r="G122" i="38"/>
  <c r="I124" i="38"/>
  <c r="H124" i="38"/>
  <c r="G124" i="38"/>
  <c r="G51" i="39"/>
  <c r="I51" i="39"/>
  <c r="H51" i="39"/>
  <c r="I71" i="38"/>
  <c r="H71" i="38"/>
  <c r="G71" i="38"/>
  <c r="I79" i="38"/>
  <c r="H79" i="38"/>
  <c r="G79" i="38"/>
  <c r="I95" i="38"/>
  <c r="H95" i="38"/>
  <c r="G95" i="38"/>
  <c r="I103" i="38"/>
  <c r="H103" i="38"/>
  <c r="G103" i="38"/>
  <c r="I111" i="38"/>
  <c r="H111" i="38"/>
  <c r="G111" i="38"/>
  <c r="I123" i="38"/>
  <c r="H123" i="38"/>
  <c r="G123" i="38"/>
  <c r="H14" i="38"/>
  <c r="H18" i="38"/>
  <c r="H22" i="38"/>
  <c r="H26" i="38"/>
  <c r="H30" i="38"/>
  <c r="H34" i="38"/>
  <c r="H38" i="38"/>
  <c r="H42" i="38"/>
  <c r="I48" i="38"/>
  <c r="H48" i="38"/>
  <c r="G48" i="38"/>
  <c r="I56" i="38"/>
  <c r="H56" i="38"/>
  <c r="G56" i="38"/>
  <c r="I64" i="38"/>
  <c r="H64" i="38"/>
  <c r="G64" i="38"/>
  <c r="I72" i="38"/>
  <c r="H72" i="38"/>
  <c r="G72" i="38"/>
  <c r="I80" i="38"/>
  <c r="H80" i="38"/>
  <c r="G80" i="38"/>
  <c r="I88" i="38"/>
  <c r="H88" i="38"/>
  <c r="G88" i="38"/>
  <c r="G53" i="39"/>
  <c r="H53" i="39"/>
  <c r="I52" i="39"/>
  <c r="I60" i="39"/>
  <c r="G66" i="39"/>
  <c r="I66" i="39"/>
  <c r="G70" i="39"/>
  <c r="I70" i="39"/>
  <c r="G74" i="39"/>
  <c r="I74" i="39"/>
  <c r="G78" i="39"/>
  <c r="I78" i="39"/>
  <c r="G82" i="39"/>
  <c r="I82" i="39"/>
  <c r="G86" i="39"/>
  <c r="I86" i="39"/>
  <c r="G90" i="39"/>
  <c r="I90" i="39"/>
  <c r="G94" i="39"/>
  <c r="I94" i="39"/>
  <c r="G98" i="39"/>
  <c r="I98" i="39"/>
  <c r="G102" i="39"/>
  <c r="I102" i="39"/>
  <c r="G106" i="39"/>
  <c r="I106" i="39"/>
  <c r="G110" i="39"/>
  <c r="I110" i="39"/>
  <c r="G114" i="39"/>
  <c r="I114" i="39"/>
  <c r="G118" i="39"/>
  <c r="I118" i="39"/>
  <c r="G122" i="39"/>
  <c r="I122" i="39"/>
  <c r="H64" i="40"/>
  <c r="G64" i="40"/>
  <c r="I64" i="40"/>
  <c r="H80" i="40"/>
  <c r="G80" i="40"/>
  <c r="I80" i="40"/>
  <c r="H96" i="40"/>
  <c r="G96" i="40"/>
  <c r="I96" i="40"/>
  <c r="H112" i="40"/>
  <c r="G112" i="40"/>
  <c r="I112" i="40"/>
  <c r="H49" i="39"/>
  <c r="H57" i="39"/>
  <c r="I58" i="39"/>
  <c r="H65" i="39"/>
  <c r="G69" i="39"/>
  <c r="I69" i="39"/>
  <c r="G73" i="39"/>
  <c r="I73" i="39"/>
  <c r="G77" i="39"/>
  <c r="I77" i="39"/>
  <c r="G81" i="39"/>
  <c r="I81" i="39"/>
  <c r="G85" i="39"/>
  <c r="I85" i="39"/>
  <c r="G89" i="39"/>
  <c r="I89" i="39"/>
  <c r="G93" i="39"/>
  <c r="I93" i="39"/>
  <c r="G97" i="39"/>
  <c r="I97" i="39"/>
  <c r="G101" i="39"/>
  <c r="I101" i="39"/>
  <c r="G105" i="39"/>
  <c r="I105" i="39"/>
  <c r="G109" i="39"/>
  <c r="I109" i="39"/>
  <c r="G113" i="39"/>
  <c r="I113" i="39"/>
  <c r="G117" i="39"/>
  <c r="I117" i="39"/>
  <c r="G121" i="39"/>
  <c r="I121" i="39"/>
  <c r="G125" i="39"/>
  <c r="I125" i="39"/>
  <c r="H68" i="40"/>
  <c r="G68" i="40"/>
  <c r="I68" i="40"/>
  <c r="H84" i="40"/>
  <c r="G84" i="40"/>
  <c r="I84" i="40"/>
  <c r="H100" i="40"/>
  <c r="G100" i="40"/>
  <c r="I100" i="40"/>
  <c r="H116" i="40"/>
  <c r="G116" i="40"/>
  <c r="I116" i="40"/>
  <c r="I18" i="41"/>
  <c r="H18" i="41"/>
  <c r="G18" i="41"/>
  <c r="I34" i="41"/>
  <c r="H34" i="41"/>
  <c r="G34" i="41"/>
  <c r="H55" i="39"/>
  <c r="H63" i="39"/>
  <c r="G68" i="39"/>
  <c r="I68" i="39"/>
  <c r="G72" i="39"/>
  <c r="I72" i="39"/>
  <c r="G76" i="39"/>
  <c r="I76" i="39"/>
  <c r="G80" i="39"/>
  <c r="I80" i="39"/>
  <c r="G84" i="39"/>
  <c r="I84" i="39"/>
  <c r="G88" i="39"/>
  <c r="I88" i="39"/>
  <c r="G92" i="39"/>
  <c r="I92" i="39"/>
  <c r="G96" i="39"/>
  <c r="I96" i="39"/>
  <c r="G100" i="39"/>
  <c r="I100" i="39"/>
  <c r="G104" i="39"/>
  <c r="I104" i="39"/>
  <c r="G108" i="39"/>
  <c r="I108" i="39"/>
  <c r="G112" i="39"/>
  <c r="I112" i="39"/>
  <c r="G116" i="39"/>
  <c r="I116" i="39"/>
  <c r="G120" i="39"/>
  <c r="I120" i="39"/>
  <c r="G124" i="39"/>
  <c r="I124" i="39"/>
  <c r="G52" i="40"/>
  <c r="I52" i="40"/>
  <c r="H52" i="40"/>
  <c r="H72" i="40"/>
  <c r="G72" i="40"/>
  <c r="I72" i="40"/>
  <c r="H88" i="40"/>
  <c r="G88" i="40"/>
  <c r="I88" i="40"/>
  <c r="H104" i="40"/>
  <c r="G104" i="40"/>
  <c r="I104" i="40"/>
  <c r="H120" i="40"/>
  <c r="G120" i="40"/>
  <c r="I120" i="40"/>
  <c r="I54" i="39"/>
  <c r="I62" i="39"/>
  <c r="G67" i="39"/>
  <c r="I67" i="39"/>
  <c r="G71" i="39"/>
  <c r="I71" i="39"/>
  <c r="G75" i="39"/>
  <c r="I75" i="39"/>
  <c r="G79" i="39"/>
  <c r="I79" i="39"/>
  <c r="G83" i="39"/>
  <c r="I83" i="39"/>
  <c r="G87" i="39"/>
  <c r="I87" i="39"/>
  <c r="G91" i="39"/>
  <c r="I91" i="39"/>
  <c r="G95" i="39"/>
  <c r="I95" i="39"/>
  <c r="G99" i="39"/>
  <c r="I99" i="39"/>
  <c r="G103" i="39"/>
  <c r="I103" i="39"/>
  <c r="G107" i="39"/>
  <c r="I107" i="39"/>
  <c r="G111" i="39"/>
  <c r="I111" i="39"/>
  <c r="G115" i="39"/>
  <c r="I115" i="39"/>
  <c r="G119" i="39"/>
  <c r="I119" i="39"/>
  <c r="G123" i="39"/>
  <c r="I123" i="39"/>
  <c r="H60" i="40"/>
  <c r="G60" i="40"/>
  <c r="I60" i="40"/>
  <c r="H76" i="40"/>
  <c r="G76" i="40"/>
  <c r="I76" i="40"/>
  <c r="H92" i="40"/>
  <c r="G92" i="40"/>
  <c r="I92" i="40"/>
  <c r="H108" i="40"/>
  <c r="G108" i="40"/>
  <c r="I108" i="40"/>
  <c r="H124" i="40"/>
  <c r="G124" i="40"/>
  <c r="I124" i="40"/>
  <c r="I26" i="41"/>
  <c r="H26" i="41"/>
  <c r="G26" i="41"/>
  <c r="I12" i="41"/>
  <c r="I20" i="41"/>
  <c r="I28" i="41"/>
  <c r="H63" i="40"/>
  <c r="G63" i="40"/>
  <c r="H67" i="40"/>
  <c r="G67" i="40"/>
  <c r="H71" i="40"/>
  <c r="G71" i="40"/>
  <c r="H75" i="40"/>
  <c r="G75" i="40"/>
  <c r="H79" i="40"/>
  <c r="G79" i="40"/>
  <c r="H83" i="40"/>
  <c r="G83" i="40"/>
  <c r="H87" i="40"/>
  <c r="G87" i="40"/>
  <c r="H91" i="40"/>
  <c r="G91" i="40"/>
  <c r="H95" i="40"/>
  <c r="G95" i="40"/>
  <c r="H99" i="40"/>
  <c r="G99" i="40"/>
  <c r="H103" i="40"/>
  <c r="G103" i="40"/>
  <c r="H107" i="40"/>
  <c r="G107" i="40"/>
  <c r="H111" i="40"/>
  <c r="G111" i="40"/>
  <c r="H115" i="40"/>
  <c r="G115" i="40"/>
  <c r="H119" i="40"/>
  <c r="G119" i="40"/>
  <c r="H123" i="40"/>
  <c r="G123" i="40"/>
  <c r="H12" i="40"/>
  <c r="H13" i="40"/>
  <c r="H14" i="40"/>
  <c r="H15" i="40"/>
  <c r="H16" i="40"/>
  <c r="H17" i="40"/>
  <c r="H18" i="40"/>
  <c r="H19" i="40"/>
  <c r="H20" i="40"/>
  <c r="H21" i="40"/>
  <c r="H22" i="40"/>
  <c r="H23" i="40"/>
  <c r="H24" i="40"/>
  <c r="H25" i="40"/>
  <c r="H26" i="40"/>
  <c r="H27" i="40"/>
  <c r="H28" i="40"/>
  <c r="H29" i="40"/>
  <c r="H30" i="40"/>
  <c r="H31" i="40"/>
  <c r="H32" i="40"/>
  <c r="H33" i="40"/>
  <c r="I51" i="40"/>
  <c r="H58" i="40"/>
  <c r="I59" i="40"/>
  <c r="I63" i="40"/>
  <c r="I67" i="40"/>
  <c r="I71" i="40"/>
  <c r="I75" i="40"/>
  <c r="I79" i="40"/>
  <c r="I83" i="40"/>
  <c r="I87" i="40"/>
  <c r="I91" i="40"/>
  <c r="I95" i="40"/>
  <c r="I99" i="40"/>
  <c r="I103" i="40"/>
  <c r="I107" i="40"/>
  <c r="I111" i="40"/>
  <c r="I115" i="40"/>
  <c r="I119" i="40"/>
  <c r="I123" i="40"/>
  <c r="G16" i="41"/>
  <c r="H17" i="41"/>
  <c r="G24" i="41"/>
  <c r="H25" i="41"/>
  <c r="G32" i="41"/>
  <c r="H33" i="41"/>
  <c r="I58" i="40"/>
  <c r="H62" i="40"/>
  <c r="G62" i="40"/>
  <c r="H66" i="40"/>
  <c r="G66" i="40"/>
  <c r="H70" i="40"/>
  <c r="G70" i="40"/>
  <c r="H74" i="40"/>
  <c r="G74" i="40"/>
  <c r="H78" i="40"/>
  <c r="G78" i="40"/>
  <c r="H82" i="40"/>
  <c r="G82" i="40"/>
  <c r="H86" i="40"/>
  <c r="G86" i="40"/>
  <c r="H90" i="40"/>
  <c r="G90" i="40"/>
  <c r="H94" i="40"/>
  <c r="G94" i="40"/>
  <c r="H98" i="40"/>
  <c r="G98" i="40"/>
  <c r="H102" i="40"/>
  <c r="G102" i="40"/>
  <c r="H106" i="40"/>
  <c r="G106" i="40"/>
  <c r="H110" i="40"/>
  <c r="G110" i="40"/>
  <c r="H114" i="40"/>
  <c r="G114" i="40"/>
  <c r="H118" i="40"/>
  <c r="G118" i="40"/>
  <c r="H122" i="40"/>
  <c r="G122" i="40"/>
  <c r="H61" i="40"/>
  <c r="G61" i="40"/>
  <c r="H65" i="40"/>
  <c r="G65" i="40"/>
  <c r="H69" i="40"/>
  <c r="G69" i="40"/>
  <c r="H73" i="40"/>
  <c r="G73" i="40"/>
  <c r="H77" i="40"/>
  <c r="G77" i="40"/>
  <c r="H81" i="40"/>
  <c r="G81" i="40"/>
  <c r="H85" i="40"/>
  <c r="G85" i="40"/>
  <c r="H89" i="40"/>
  <c r="G89" i="40"/>
  <c r="H93" i="40"/>
  <c r="G93" i="40"/>
  <c r="H97" i="40"/>
  <c r="G97" i="40"/>
  <c r="H101" i="40"/>
  <c r="G101" i="40"/>
  <c r="H105" i="40"/>
  <c r="G105" i="40"/>
  <c r="H109" i="40"/>
  <c r="G109" i="40"/>
  <c r="H113" i="40"/>
  <c r="G113" i="40"/>
  <c r="H117" i="40"/>
  <c r="G117" i="40"/>
  <c r="H121" i="40"/>
  <c r="G121" i="40"/>
  <c r="H125" i="40"/>
  <c r="G125" i="40"/>
  <c r="G13" i="41"/>
  <c r="G21" i="41"/>
  <c r="G29" i="41"/>
  <c r="I54" i="41"/>
  <c r="H54" i="41"/>
  <c r="G54" i="41"/>
  <c r="H54" i="40"/>
  <c r="I55" i="40"/>
  <c r="I61" i="40"/>
  <c r="I65" i="40"/>
  <c r="I69" i="40"/>
  <c r="I73" i="40"/>
  <c r="I77" i="40"/>
  <c r="I81" i="40"/>
  <c r="I85" i="40"/>
  <c r="I89" i="40"/>
  <c r="I93" i="40"/>
  <c r="I97" i="40"/>
  <c r="I101" i="40"/>
  <c r="I105" i="40"/>
  <c r="I109" i="40"/>
  <c r="I113" i="40"/>
  <c r="I117" i="40"/>
  <c r="I121" i="40"/>
  <c r="I125" i="40"/>
  <c r="I48" i="41"/>
  <c r="I56" i="41"/>
  <c r="I60" i="41"/>
  <c r="I64" i="41"/>
  <c r="I68" i="41"/>
  <c r="I72" i="41"/>
  <c r="G44" i="41"/>
  <c r="G52" i="41"/>
  <c r="I59" i="41"/>
  <c r="I63" i="41"/>
  <c r="I67" i="41"/>
  <c r="I71" i="41"/>
  <c r="H44" i="41"/>
  <c r="H52" i="41"/>
  <c r="G17" i="3"/>
  <c r="I89" i="3"/>
  <c r="I17" i="3"/>
  <c r="I16" i="3"/>
  <c r="I41" i="3"/>
  <c r="H31" i="3"/>
  <c r="H69" i="3"/>
  <c r="H21" i="3"/>
  <c r="G90" i="3"/>
  <c r="G18" i="3"/>
  <c r="H82" i="3"/>
  <c r="I77" i="3"/>
  <c r="G89" i="3"/>
  <c r="I109" i="3"/>
  <c r="H95" i="3"/>
  <c r="H53" i="3"/>
  <c r="I49" i="3"/>
  <c r="H37" i="3"/>
  <c r="I45" i="3"/>
  <c r="H29" i="3"/>
  <c r="I21" i="3"/>
  <c r="G13" i="3"/>
  <c r="I13" i="3"/>
  <c r="G97" i="3"/>
  <c r="G46" i="3"/>
  <c r="H93" i="3"/>
  <c r="I118" i="3"/>
  <c r="I54" i="3"/>
  <c r="G94" i="3"/>
  <c r="I117" i="3"/>
  <c r="I53" i="3"/>
  <c r="G14" i="3"/>
  <c r="I46" i="3"/>
  <c r="G73" i="3"/>
  <c r="I86" i="3"/>
  <c r="G65" i="3"/>
  <c r="H117" i="3"/>
  <c r="I85" i="3"/>
  <c r="G62" i="3"/>
  <c r="H101" i="3"/>
  <c r="I81" i="3"/>
  <c r="I22" i="3"/>
  <c r="G54" i="3"/>
  <c r="G86" i="3"/>
  <c r="G25" i="3"/>
  <c r="I78" i="3"/>
  <c r="I14" i="3"/>
  <c r="G121" i="3"/>
  <c r="G70" i="3"/>
  <c r="I73" i="3"/>
  <c r="I33" i="3"/>
  <c r="G105" i="3"/>
  <c r="G66" i="3"/>
  <c r="H66" i="3"/>
  <c r="I57" i="3"/>
  <c r="I25" i="3"/>
  <c r="G106" i="3"/>
  <c r="G74" i="3"/>
  <c r="H122" i="3"/>
  <c r="H64" i="3"/>
  <c r="H18" i="3"/>
  <c r="H58" i="3"/>
  <c r="G98" i="3"/>
  <c r="G72" i="3"/>
  <c r="G24" i="3"/>
  <c r="G19" i="3"/>
  <c r="H32" i="3"/>
  <c r="G122" i="3"/>
  <c r="G88" i="3"/>
  <c r="I56" i="3"/>
  <c r="G104" i="3"/>
  <c r="G87" i="3"/>
  <c r="I80" i="3"/>
  <c r="I32" i="3"/>
  <c r="G40" i="3"/>
  <c r="H112" i="3"/>
  <c r="H80" i="3"/>
  <c r="H48" i="3"/>
  <c r="I97" i="3"/>
  <c r="G64" i="3"/>
  <c r="G39" i="3"/>
  <c r="G16" i="3"/>
  <c r="H104" i="3"/>
  <c r="H72" i="3"/>
  <c r="H47" i="3"/>
  <c r="I96" i="3"/>
  <c r="I24" i="3"/>
  <c r="G48" i="3"/>
  <c r="H120" i="3"/>
  <c r="I112" i="3"/>
  <c r="G96" i="3"/>
  <c r="G79" i="3"/>
  <c r="G63" i="3"/>
  <c r="G15" i="3"/>
  <c r="H103" i="3"/>
  <c r="H71" i="3"/>
  <c r="H40" i="3"/>
  <c r="G113" i="3"/>
  <c r="G31" i="3"/>
  <c r="H39" i="3"/>
  <c r="I120" i="3"/>
  <c r="I88" i="3"/>
  <c r="I65" i="3"/>
  <c r="G55" i="3"/>
  <c r="G82" i="3"/>
  <c r="G58" i="3"/>
  <c r="G30" i="3"/>
  <c r="H79" i="3"/>
  <c r="H42" i="3"/>
  <c r="G123" i="3"/>
  <c r="G107" i="3"/>
  <c r="G95" i="3"/>
  <c r="G81" i="3"/>
  <c r="G71" i="3"/>
  <c r="G57" i="3"/>
  <c r="G41" i="3"/>
  <c r="G26" i="3"/>
  <c r="H114" i="3"/>
  <c r="H74" i="3"/>
  <c r="H61" i="3"/>
  <c r="H23" i="3"/>
  <c r="I113" i="3"/>
  <c r="I69" i="3"/>
  <c r="I110" i="3"/>
  <c r="H107" i="3"/>
  <c r="G34" i="3"/>
  <c r="G23" i="3"/>
  <c r="H90" i="3"/>
  <c r="H34" i="3"/>
  <c r="G118" i="3"/>
  <c r="G78" i="3"/>
  <c r="G50" i="3"/>
  <c r="H106" i="3"/>
  <c r="H51" i="3"/>
  <c r="G114" i="3"/>
  <c r="G103" i="3"/>
  <c r="G75" i="3"/>
  <c r="G49" i="3"/>
  <c r="G33" i="3"/>
  <c r="G22" i="3"/>
  <c r="H123" i="3"/>
  <c r="H85" i="3"/>
  <c r="H67" i="3"/>
  <c r="H50" i="3"/>
  <c r="H15" i="3"/>
  <c r="I37" i="3"/>
  <c r="G110" i="3"/>
  <c r="G42" i="3"/>
  <c r="H98" i="3"/>
  <c r="H63" i="3"/>
  <c r="H26" i="3"/>
  <c r="G20" i="3"/>
  <c r="H124" i="3"/>
  <c r="I121" i="3"/>
  <c r="G84" i="3"/>
  <c r="G51" i="3"/>
  <c r="G27" i="3"/>
  <c r="H75" i="3"/>
  <c r="H35" i="3"/>
  <c r="I99" i="3"/>
  <c r="I83" i="3"/>
  <c r="I67" i="3"/>
  <c r="I35" i="3"/>
  <c r="I19" i="3"/>
  <c r="H36" i="3"/>
  <c r="G83" i="3"/>
  <c r="H91" i="3"/>
  <c r="G115" i="3"/>
  <c r="G91" i="3"/>
  <c r="H43" i="3"/>
  <c r="I115" i="3"/>
  <c r="G59" i="3"/>
  <c r="H100" i="3"/>
  <c r="H59" i="3"/>
  <c r="I27" i="3"/>
  <c r="G99" i="3"/>
  <c r="G43" i="3"/>
  <c r="H68" i="3"/>
  <c r="G111" i="3"/>
  <c r="G102" i="3"/>
  <c r="G92" i="3"/>
  <c r="G56" i="3"/>
  <c r="G47" i="3"/>
  <c r="G38" i="3"/>
  <c r="G28" i="3"/>
  <c r="H109" i="3"/>
  <c r="H77" i="3"/>
  <c r="H45" i="3"/>
  <c r="H13" i="3"/>
  <c r="I116" i="3"/>
  <c r="I105" i="3"/>
  <c r="I94" i="3"/>
  <c r="I84" i="3"/>
  <c r="I62" i="3"/>
  <c r="I52" i="3"/>
  <c r="I30" i="3"/>
  <c r="I20" i="3"/>
  <c r="G119" i="3"/>
  <c r="G100" i="3"/>
  <c r="G36" i="3"/>
  <c r="H108" i="3"/>
  <c r="H87" i="3"/>
  <c r="H76" i="3"/>
  <c r="H55" i="3"/>
  <c r="H44" i="3"/>
  <c r="I93" i="3"/>
  <c r="I61" i="3"/>
  <c r="I29" i="3"/>
  <c r="G108" i="3"/>
  <c r="G44" i="3"/>
  <c r="I124" i="3"/>
  <c r="I102" i="3"/>
  <c r="I92" i="3"/>
  <c r="I70" i="3"/>
  <c r="I60" i="3"/>
  <c r="I38" i="3"/>
  <c r="I28" i="3"/>
  <c r="G116" i="3"/>
  <c r="G52" i="3"/>
  <c r="I101" i="3"/>
  <c r="G60" i="3"/>
  <c r="I68" i="3"/>
  <c r="G76" i="3"/>
  <c r="H12" i="3"/>
  <c r="H119" i="3"/>
  <c r="H111" i="3"/>
  <c r="I12" i="3"/>
  <c r="G12" i="3"/>
  <c r="H68" i="2"/>
  <c r="H67" i="2"/>
  <c r="H66" i="2"/>
  <c r="H65" i="2"/>
  <c r="H64" i="2"/>
  <c r="H63" i="2"/>
  <c r="H62" i="2"/>
  <c r="D68" i="2"/>
  <c r="D67" i="2"/>
  <c r="D66" i="2"/>
  <c r="D65" i="2"/>
  <c r="D64" i="2"/>
  <c r="D63" i="2"/>
  <c r="D62" i="2"/>
  <c r="BE348" i="28"/>
  <c r="AY348" i="28"/>
  <c r="AX348" i="28"/>
  <c r="AW348" i="28"/>
  <c r="AV348" i="28"/>
  <c r="BE347" i="28"/>
  <c r="AY347" i="28"/>
  <c r="AX347" i="28"/>
  <c r="AW347" i="28"/>
  <c r="AV347" i="28"/>
  <c r="BE346" i="28"/>
  <c r="AY346" i="28"/>
  <c r="AX346" i="28"/>
  <c r="AW346" i="28"/>
  <c r="AV346" i="28"/>
  <c r="BE345" i="28"/>
  <c r="AY345" i="28"/>
  <c r="AX345" i="28"/>
  <c r="AW345" i="28"/>
  <c r="AV345" i="28"/>
  <c r="BE344" i="28"/>
  <c r="AY344" i="28"/>
  <c r="AX344" i="28"/>
  <c r="AW344" i="28"/>
  <c r="AV344" i="28"/>
  <c r="BE343" i="28"/>
  <c r="AY343" i="28"/>
  <c r="AX343" i="28"/>
  <c r="AW343" i="28"/>
  <c r="AV343" i="28"/>
  <c r="BE342" i="28"/>
  <c r="AY342" i="28"/>
  <c r="AX342" i="28"/>
  <c r="AW342" i="28"/>
  <c r="AV342" i="28"/>
  <c r="BE339" i="28"/>
  <c r="AY339" i="28"/>
  <c r="AX339" i="28"/>
  <c r="AW339" i="28"/>
  <c r="AV339" i="28"/>
  <c r="BE338" i="28"/>
  <c r="AY338" i="28"/>
  <c r="AX338" i="28"/>
  <c r="AW338" i="28"/>
  <c r="AV338" i="28"/>
  <c r="BE337" i="28"/>
  <c r="AY337" i="28"/>
  <c r="AX337" i="28"/>
  <c r="AW337" i="28"/>
  <c r="AV337" i="28"/>
  <c r="BE336" i="28"/>
  <c r="AY336" i="28"/>
  <c r="AX336" i="28"/>
  <c r="AW336" i="28"/>
  <c r="AV336" i="28"/>
  <c r="BE335" i="28"/>
  <c r="AY335" i="28"/>
  <c r="AX335" i="28"/>
  <c r="AW335" i="28"/>
  <c r="AV335" i="28"/>
  <c r="BE334" i="28"/>
  <c r="AY334" i="28"/>
  <c r="AX334" i="28"/>
  <c r="AW334" i="28"/>
  <c r="AV334" i="28"/>
  <c r="BE333" i="28"/>
  <c r="AY333" i="28"/>
  <c r="AX333" i="28"/>
  <c r="AW333" i="28"/>
  <c r="AV333" i="28"/>
  <c r="BE330" i="28"/>
  <c r="AY330" i="28"/>
  <c r="AX330" i="28"/>
  <c r="AW330" i="28"/>
  <c r="AV330" i="28"/>
  <c r="BE329" i="28"/>
  <c r="AY329" i="28"/>
  <c r="AX329" i="28"/>
  <c r="AW329" i="28"/>
  <c r="AV329" i="28"/>
  <c r="BE328" i="28"/>
  <c r="AY328" i="28"/>
  <c r="AX328" i="28"/>
  <c r="AW328" i="28"/>
  <c r="AV328" i="28"/>
  <c r="BE327" i="28"/>
  <c r="AY327" i="28"/>
  <c r="AX327" i="28"/>
  <c r="AW327" i="28"/>
  <c r="AV327" i="28"/>
  <c r="BE326" i="28"/>
  <c r="AY326" i="28"/>
  <c r="AX326" i="28"/>
  <c r="AW326" i="28"/>
  <c r="AV326" i="28"/>
  <c r="BE325" i="28"/>
  <c r="AY325" i="28"/>
  <c r="AX325" i="28"/>
  <c r="AW325" i="28"/>
  <c r="AV325" i="28"/>
  <c r="BE324" i="28"/>
  <c r="AY324" i="28"/>
  <c r="AX324" i="28"/>
  <c r="AW324" i="28"/>
  <c r="AV324" i="28"/>
  <c r="BE321" i="28"/>
  <c r="AY321" i="28"/>
  <c r="AX321" i="28"/>
  <c r="AW321" i="28"/>
  <c r="AV321" i="28"/>
  <c r="BE320" i="28"/>
  <c r="AY320" i="28"/>
  <c r="AX320" i="28"/>
  <c r="AW320" i="28"/>
  <c r="AV320" i="28"/>
  <c r="BE319" i="28"/>
  <c r="AY319" i="28"/>
  <c r="AX319" i="28"/>
  <c r="AW319" i="28"/>
  <c r="AV319" i="28"/>
  <c r="BE318" i="28"/>
  <c r="AY318" i="28"/>
  <c r="AX318" i="28"/>
  <c r="AW318" i="28"/>
  <c r="AV318" i="28"/>
  <c r="BE317" i="28"/>
  <c r="AY317" i="28"/>
  <c r="AX317" i="28"/>
  <c r="AW317" i="28"/>
  <c r="AV317" i="28"/>
  <c r="BE316" i="28"/>
  <c r="AY316" i="28"/>
  <c r="AX316" i="28"/>
  <c r="AW316" i="28"/>
  <c r="AV316" i="28"/>
  <c r="BE315" i="28"/>
  <c r="AY315" i="28"/>
  <c r="AX315" i="28"/>
  <c r="AW315" i="28"/>
  <c r="AV315" i="28"/>
  <c r="BE312" i="28"/>
  <c r="AY312" i="28"/>
  <c r="AX312" i="28"/>
  <c r="AW312" i="28"/>
  <c r="AV312" i="28"/>
  <c r="BE311" i="28"/>
  <c r="AY311" i="28"/>
  <c r="AX311" i="28"/>
  <c r="AW311" i="28"/>
  <c r="AV311" i="28"/>
  <c r="BE303" i="28"/>
  <c r="AY303" i="28"/>
  <c r="AX303" i="28"/>
  <c r="AW303" i="28"/>
  <c r="AV303" i="28"/>
  <c r="BE302" i="28"/>
  <c r="AY302" i="28"/>
  <c r="AX302" i="28"/>
  <c r="AW302" i="28"/>
  <c r="AV302" i="28"/>
  <c r="BE294" i="28"/>
  <c r="AY294" i="28"/>
  <c r="AX294" i="28"/>
  <c r="AW294" i="28"/>
  <c r="AV294" i="28"/>
  <c r="BE293" i="28"/>
  <c r="AY293" i="28"/>
  <c r="AX293" i="28"/>
  <c r="AW293" i="28"/>
  <c r="AV293" i="28"/>
  <c r="BE292" i="28"/>
  <c r="AY292" i="28"/>
  <c r="AX292" i="28"/>
  <c r="AW292" i="28"/>
  <c r="AV292" i="28"/>
  <c r="BE285" i="28"/>
  <c r="AY285" i="28"/>
  <c r="AX285" i="28"/>
  <c r="AW285" i="28"/>
  <c r="AV285" i="28"/>
  <c r="BE284" i="28"/>
  <c r="AY284" i="28"/>
  <c r="AX284" i="28"/>
  <c r="AW284" i="28"/>
  <c r="AV284" i="28"/>
  <c r="BE283" i="28"/>
  <c r="AY283" i="28"/>
  <c r="AX283" i="28"/>
  <c r="AW283" i="28"/>
  <c r="AV283" i="28"/>
  <c r="BE276" i="28"/>
  <c r="AY276" i="28"/>
  <c r="AX276" i="28"/>
  <c r="AW276" i="28"/>
  <c r="AV276" i="28"/>
  <c r="BE275" i="28"/>
  <c r="AY275" i="28"/>
  <c r="AX275" i="28"/>
  <c r="AW275" i="28"/>
  <c r="AV275" i="28"/>
  <c r="BE274" i="28"/>
  <c r="AY274" i="28"/>
  <c r="AX274" i="28"/>
  <c r="AW274" i="28"/>
  <c r="AV274" i="28"/>
  <c r="AR274" i="28" s="1"/>
  <c r="BE273" i="28"/>
  <c r="AY273" i="28"/>
  <c r="AX273" i="28"/>
  <c r="AW273" i="28"/>
  <c r="AV273" i="28"/>
  <c r="BE272" i="28"/>
  <c r="AY272" i="28"/>
  <c r="AX272" i="28"/>
  <c r="AW272" i="28"/>
  <c r="AV272" i="28"/>
  <c r="BE271" i="28"/>
  <c r="AY271" i="28"/>
  <c r="AX271" i="28"/>
  <c r="AW271" i="28"/>
  <c r="AV271" i="28"/>
  <c r="BE270" i="28"/>
  <c r="AY270" i="28"/>
  <c r="AX270" i="28"/>
  <c r="AW270" i="28"/>
  <c r="AV270" i="28"/>
  <c r="BE267" i="28"/>
  <c r="AY267" i="28"/>
  <c r="AX267" i="28"/>
  <c r="AW267" i="28"/>
  <c r="AV267" i="28"/>
  <c r="BE266" i="28"/>
  <c r="AY266" i="28"/>
  <c r="AX266" i="28"/>
  <c r="AW266" i="28"/>
  <c r="AV266" i="28"/>
  <c r="BE265" i="28"/>
  <c r="AY265" i="28"/>
  <c r="AX265" i="28"/>
  <c r="AW265" i="28"/>
  <c r="AV265" i="28"/>
  <c r="BE264" i="28"/>
  <c r="AY264" i="28"/>
  <c r="AX264" i="28"/>
  <c r="AW264" i="28"/>
  <c r="AV264" i="28"/>
  <c r="BE263" i="28"/>
  <c r="AY263" i="28"/>
  <c r="AX263" i="28"/>
  <c r="AW263" i="28"/>
  <c r="AV263" i="28"/>
  <c r="BE262" i="28"/>
  <c r="AY262" i="28"/>
  <c r="AX262" i="28"/>
  <c r="AW262" i="28"/>
  <c r="AV262" i="28"/>
  <c r="BE261" i="28"/>
  <c r="AY261" i="28"/>
  <c r="AX261" i="28"/>
  <c r="AW261" i="28"/>
  <c r="AV261" i="28"/>
  <c r="BE258" i="28"/>
  <c r="AY258" i="28"/>
  <c r="AX258" i="28"/>
  <c r="AW258" i="28"/>
  <c r="AV258" i="28"/>
  <c r="BE257" i="28"/>
  <c r="AY257" i="28"/>
  <c r="AX257" i="28"/>
  <c r="AW257" i="28"/>
  <c r="AV257" i="28"/>
  <c r="BE256" i="28"/>
  <c r="AY256" i="28"/>
  <c r="AX256" i="28"/>
  <c r="AW256" i="28"/>
  <c r="AV256" i="28"/>
  <c r="BE255" i="28"/>
  <c r="AY255" i="28"/>
  <c r="AX255" i="28"/>
  <c r="AW255" i="28"/>
  <c r="AV255" i="28"/>
  <c r="BE254" i="28"/>
  <c r="AY254" i="28"/>
  <c r="AX254" i="28"/>
  <c r="AW254" i="28"/>
  <c r="AV254" i="28"/>
  <c r="BE253" i="28"/>
  <c r="AY253" i="28"/>
  <c r="AX253" i="28"/>
  <c r="AW253" i="28"/>
  <c r="AV253" i="28"/>
  <c r="BE252" i="28"/>
  <c r="AY252" i="28"/>
  <c r="AX252" i="28"/>
  <c r="AW252" i="28"/>
  <c r="AV252" i="28"/>
  <c r="BE249" i="28"/>
  <c r="AY249" i="28"/>
  <c r="AX249" i="28"/>
  <c r="AW249" i="28"/>
  <c r="AV249" i="28"/>
  <c r="BE248" i="28"/>
  <c r="AY248" i="28"/>
  <c r="AX248" i="28"/>
  <c r="AW248" i="28"/>
  <c r="AV248" i="28"/>
  <c r="BE247" i="28"/>
  <c r="AY247" i="28"/>
  <c r="AX247" i="28"/>
  <c r="AW247" i="28"/>
  <c r="AV247" i="28"/>
  <c r="BE240" i="28"/>
  <c r="AY240" i="28"/>
  <c r="AX240" i="28"/>
  <c r="AW240" i="28"/>
  <c r="AV240" i="28"/>
  <c r="BE239" i="28"/>
  <c r="AY239" i="28"/>
  <c r="AX239" i="28"/>
  <c r="AW239" i="28"/>
  <c r="AV239" i="28"/>
  <c r="BE238" i="28"/>
  <c r="AY238" i="28"/>
  <c r="AX238" i="28"/>
  <c r="AW238" i="28"/>
  <c r="AV238" i="28"/>
  <c r="BE237" i="28"/>
  <c r="AY237" i="28"/>
  <c r="AX237" i="28"/>
  <c r="AW237" i="28"/>
  <c r="AV237" i="28"/>
  <c r="BE236" i="28"/>
  <c r="AY236" i="28"/>
  <c r="AX236" i="28"/>
  <c r="AW236" i="28"/>
  <c r="AV236" i="28"/>
  <c r="AR236" i="28" s="1"/>
  <c r="BE235" i="28"/>
  <c r="AY235" i="28"/>
  <c r="AX235" i="28"/>
  <c r="AW235" i="28"/>
  <c r="AV235" i="28"/>
  <c r="BE234" i="28"/>
  <c r="AY234" i="28"/>
  <c r="AX234" i="28"/>
  <c r="AW234" i="28"/>
  <c r="AV234" i="28"/>
  <c r="BE231" i="28"/>
  <c r="AY231" i="28"/>
  <c r="AX231" i="28"/>
  <c r="AW231" i="28"/>
  <c r="AV231" i="28"/>
  <c r="BE230" i="28"/>
  <c r="AY230" i="28"/>
  <c r="AX230" i="28"/>
  <c r="AW230" i="28"/>
  <c r="AV230" i="28"/>
  <c r="BE229" i="28"/>
  <c r="AY229" i="28"/>
  <c r="AX229" i="28"/>
  <c r="AW229" i="28"/>
  <c r="AV229" i="28"/>
  <c r="BE228" i="28"/>
  <c r="AY228" i="28"/>
  <c r="AX228" i="28"/>
  <c r="AW228" i="28"/>
  <c r="AV228" i="28"/>
  <c r="BE227" i="28"/>
  <c r="AY227" i="28"/>
  <c r="AX227" i="28"/>
  <c r="AW227" i="28"/>
  <c r="AV227" i="28"/>
  <c r="BE226" i="28"/>
  <c r="AY226" i="28"/>
  <c r="AX226" i="28"/>
  <c r="AW226" i="28"/>
  <c r="AV226" i="28"/>
  <c r="BE225" i="28"/>
  <c r="AY225" i="28"/>
  <c r="AX225" i="28"/>
  <c r="AW225" i="28"/>
  <c r="AV225" i="28"/>
  <c r="BE222" i="28"/>
  <c r="AY222" i="28"/>
  <c r="AX222" i="28"/>
  <c r="AW222" i="28"/>
  <c r="AV222" i="28"/>
  <c r="BE221" i="28"/>
  <c r="AY221" i="28"/>
  <c r="AX221" i="28"/>
  <c r="AW221" i="28"/>
  <c r="AV221" i="28"/>
  <c r="BE220" i="28"/>
  <c r="AY220" i="28"/>
  <c r="AX220" i="28"/>
  <c r="AW220" i="28"/>
  <c r="AV220" i="28"/>
  <c r="BE219" i="28"/>
  <c r="AY219" i="28"/>
  <c r="AX219" i="28"/>
  <c r="AW219" i="28"/>
  <c r="AV219" i="28"/>
  <c r="BE218" i="28"/>
  <c r="AY218" i="28"/>
  <c r="AX218" i="28"/>
  <c r="AW218" i="28"/>
  <c r="AV218" i="28"/>
  <c r="BE217" i="28"/>
  <c r="AY217" i="28"/>
  <c r="AX217" i="28"/>
  <c r="AW217" i="28"/>
  <c r="AV217" i="28"/>
  <c r="BE216" i="28"/>
  <c r="AY216" i="28"/>
  <c r="AX216" i="28"/>
  <c r="AW216" i="28"/>
  <c r="AV216" i="28"/>
  <c r="BE213" i="28"/>
  <c r="AY213" i="28"/>
  <c r="AX213" i="28"/>
  <c r="AW213" i="28"/>
  <c r="AV213" i="28"/>
  <c r="BE212" i="28"/>
  <c r="AY212" i="28"/>
  <c r="AX212" i="28"/>
  <c r="AW212" i="28"/>
  <c r="AV212" i="28"/>
  <c r="BE211" i="28"/>
  <c r="AY211" i="28"/>
  <c r="AX211" i="28"/>
  <c r="AW211" i="28"/>
  <c r="AV211" i="28"/>
  <c r="BE210" i="28"/>
  <c r="AY210" i="28"/>
  <c r="AX210" i="28"/>
  <c r="AW210" i="28"/>
  <c r="AV210" i="28"/>
  <c r="BE209" i="28"/>
  <c r="AY209" i="28"/>
  <c r="AX209" i="28"/>
  <c r="AW209" i="28"/>
  <c r="AV209" i="28"/>
  <c r="BE208" i="28"/>
  <c r="AY208" i="28"/>
  <c r="AX208" i="28"/>
  <c r="AW208" i="28"/>
  <c r="AV208" i="28"/>
  <c r="BE207" i="28"/>
  <c r="AY207" i="28"/>
  <c r="AX207" i="28"/>
  <c r="AW207" i="28"/>
  <c r="AV207" i="28"/>
  <c r="BE204" i="28"/>
  <c r="AY204" i="28"/>
  <c r="AX204" i="28"/>
  <c r="AW204" i="28"/>
  <c r="AV204" i="28"/>
  <c r="BE203" i="28"/>
  <c r="AY203" i="28"/>
  <c r="AX203" i="28"/>
  <c r="AW203" i="28"/>
  <c r="AV203" i="28"/>
  <c r="BE202" i="28"/>
  <c r="AY202" i="28"/>
  <c r="AX202" i="28"/>
  <c r="AW202" i="28"/>
  <c r="AV202" i="28"/>
  <c r="BE195" i="28"/>
  <c r="AY195" i="28"/>
  <c r="AX195" i="28"/>
  <c r="AW195" i="28"/>
  <c r="AV195" i="28"/>
  <c r="BE194" i="28"/>
  <c r="AY194" i="28"/>
  <c r="AX194" i="28"/>
  <c r="AW194" i="28"/>
  <c r="AV194" i="28"/>
  <c r="BE193" i="28"/>
  <c r="AY193" i="28"/>
  <c r="AX193" i="28"/>
  <c r="AW193" i="28"/>
  <c r="AV193" i="28"/>
  <c r="BE192" i="28"/>
  <c r="AY192" i="28"/>
  <c r="AX192" i="28"/>
  <c r="AW192" i="28"/>
  <c r="AV192" i="28"/>
  <c r="BE191" i="28"/>
  <c r="AY191" i="28"/>
  <c r="AX191" i="28"/>
  <c r="AW191" i="28"/>
  <c r="AV191" i="28"/>
  <c r="BE190" i="28"/>
  <c r="AY190" i="28"/>
  <c r="AX190" i="28"/>
  <c r="AW190" i="28"/>
  <c r="AV190" i="28"/>
  <c r="BE189" i="28"/>
  <c r="AY189" i="28"/>
  <c r="AX189" i="28"/>
  <c r="AW189" i="28"/>
  <c r="AV189" i="28"/>
  <c r="BE186" i="28"/>
  <c r="AY186" i="28"/>
  <c r="AX186" i="28"/>
  <c r="AW186" i="28"/>
  <c r="AV186" i="28"/>
  <c r="BE185" i="28"/>
  <c r="AY185" i="28"/>
  <c r="AX185" i="28"/>
  <c r="AW185" i="28"/>
  <c r="AV185" i="28"/>
  <c r="BE184" i="28"/>
  <c r="AY184" i="28"/>
  <c r="AX184" i="28"/>
  <c r="AW184" i="28"/>
  <c r="AV184" i="28"/>
  <c r="BE183" i="28"/>
  <c r="AY183" i="28"/>
  <c r="AX183" i="28"/>
  <c r="AW183" i="28"/>
  <c r="AV183" i="28"/>
  <c r="BE182" i="28"/>
  <c r="AY182" i="28"/>
  <c r="AX182" i="28"/>
  <c r="AW182" i="28"/>
  <c r="AV182" i="28"/>
  <c r="BE181" i="28"/>
  <c r="AY181" i="28"/>
  <c r="AX181" i="28"/>
  <c r="AW181" i="28"/>
  <c r="AV181" i="28"/>
  <c r="BE180" i="28"/>
  <c r="AY180" i="28"/>
  <c r="AX180" i="28"/>
  <c r="AW180" i="28"/>
  <c r="AV180" i="28"/>
  <c r="BE177" i="28"/>
  <c r="AY177" i="28"/>
  <c r="AX177" i="28"/>
  <c r="AW177" i="28"/>
  <c r="AV177" i="28"/>
  <c r="BE176" i="28"/>
  <c r="AY176" i="28"/>
  <c r="AX176" i="28"/>
  <c r="AW176" i="28"/>
  <c r="AV176" i="28"/>
  <c r="BE175" i="28"/>
  <c r="AY175" i="28"/>
  <c r="AX175" i="28"/>
  <c r="AW175" i="28"/>
  <c r="AV175" i="28"/>
  <c r="BE174" i="28"/>
  <c r="AY174" i="28"/>
  <c r="AX174" i="28"/>
  <c r="AW174" i="28"/>
  <c r="AV174" i="28"/>
  <c r="AR174" i="28" s="1"/>
  <c r="BE173" i="28"/>
  <c r="AY173" i="28"/>
  <c r="AX173" i="28"/>
  <c r="AW173" i="28"/>
  <c r="AV173" i="28"/>
  <c r="BE172" i="28"/>
  <c r="AY172" i="28"/>
  <c r="AX172" i="28"/>
  <c r="AW172" i="28"/>
  <c r="AV172" i="28"/>
  <c r="BE171" i="28"/>
  <c r="AY171" i="28"/>
  <c r="AX171" i="28"/>
  <c r="AW171" i="28"/>
  <c r="AV171" i="28"/>
  <c r="BE168" i="28"/>
  <c r="AY168" i="28"/>
  <c r="AX168" i="28"/>
  <c r="AW168" i="28"/>
  <c r="AV168" i="28"/>
  <c r="BE167" i="28"/>
  <c r="AY167" i="28"/>
  <c r="AX167" i="28"/>
  <c r="AW167" i="28"/>
  <c r="AV167" i="28"/>
  <c r="BE166" i="28"/>
  <c r="AY166" i="28"/>
  <c r="AX166" i="28"/>
  <c r="AW166" i="28"/>
  <c r="AV166" i="28"/>
  <c r="BE165" i="28"/>
  <c r="AY165" i="28"/>
  <c r="AX165" i="28"/>
  <c r="AW165" i="28"/>
  <c r="AV165" i="28"/>
  <c r="BE164" i="28"/>
  <c r="AY164" i="28"/>
  <c r="AX164" i="28"/>
  <c r="AW164" i="28"/>
  <c r="AV164" i="28"/>
  <c r="BE163" i="28"/>
  <c r="AY163" i="28"/>
  <c r="AX163" i="28"/>
  <c r="AW163" i="28"/>
  <c r="AV163" i="28"/>
  <c r="BE162" i="28"/>
  <c r="AY162" i="28"/>
  <c r="AX162" i="28"/>
  <c r="AW162" i="28"/>
  <c r="AV162" i="28"/>
  <c r="AR162" i="28" s="1"/>
  <c r="BE159" i="28"/>
  <c r="AY159" i="28"/>
  <c r="AX159" i="28"/>
  <c r="AW159" i="28"/>
  <c r="AV159" i="28"/>
  <c r="BE158" i="28"/>
  <c r="AY158" i="28"/>
  <c r="AX158" i="28"/>
  <c r="AW158" i="28"/>
  <c r="AV158" i="28"/>
  <c r="BE157" i="28"/>
  <c r="AY157" i="28"/>
  <c r="AX157" i="28"/>
  <c r="AW157" i="28"/>
  <c r="AV157" i="28"/>
  <c r="BE156" i="28"/>
  <c r="AY156" i="28"/>
  <c r="AX156" i="28"/>
  <c r="AW156" i="28"/>
  <c r="AV156" i="28"/>
  <c r="BE155" i="28"/>
  <c r="AY155" i="28"/>
  <c r="AX155" i="28"/>
  <c r="AW155" i="28"/>
  <c r="AV155" i="28"/>
  <c r="BE154" i="28"/>
  <c r="AY154" i="28"/>
  <c r="AX154" i="28"/>
  <c r="AW154" i="28"/>
  <c r="AV154" i="28"/>
  <c r="BE153" i="28"/>
  <c r="AY153" i="28"/>
  <c r="AX153" i="28"/>
  <c r="AW153" i="28"/>
  <c r="AV153" i="28"/>
  <c r="BE150" i="28"/>
  <c r="AY150" i="28"/>
  <c r="AX150" i="28"/>
  <c r="AW150" i="28"/>
  <c r="AV150" i="28"/>
  <c r="BE149" i="28"/>
  <c r="AY149" i="28"/>
  <c r="AX149" i="28"/>
  <c r="AW149" i="28"/>
  <c r="AV149" i="28"/>
  <c r="BE148" i="28"/>
  <c r="AY148" i="28"/>
  <c r="AX148" i="28"/>
  <c r="AW148" i="28"/>
  <c r="AV148" i="28"/>
  <c r="BE147" i="28"/>
  <c r="AY147" i="28"/>
  <c r="AX147" i="28"/>
  <c r="AW147" i="28"/>
  <c r="AV147" i="28"/>
  <c r="BE146" i="28"/>
  <c r="AY146" i="28"/>
  <c r="AX146" i="28"/>
  <c r="AW146" i="28"/>
  <c r="AV146" i="28"/>
  <c r="BE145" i="28"/>
  <c r="AY145" i="28"/>
  <c r="AX145" i="28"/>
  <c r="AW145" i="28"/>
  <c r="AV145" i="28"/>
  <c r="BE144" i="28"/>
  <c r="AY144" i="28"/>
  <c r="AX144" i="28"/>
  <c r="AW144" i="28"/>
  <c r="AV144" i="28"/>
  <c r="AR144" i="28" s="1"/>
  <c r="BE141" i="28"/>
  <c r="AY141" i="28"/>
  <c r="AX141" i="28"/>
  <c r="AW141" i="28"/>
  <c r="AV141" i="28"/>
  <c r="BE140" i="28"/>
  <c r="AY140" i="28"/>
  <c r="AX140" i="28"/>
  <c r="AW140" i="28"/>
  <c r="AV140" i="28"/>
  <c r="BE139" i="28"/>
  <c r="AY139" i="28"/>
  <c r="AX139" i="28"/>
  <c r="AW139" i="28"/>
  <c r="AV139" i="28"/>
  <c r="BE138" i="28"/>
  <c r="AY138" i="28"/>
  <c r="AX138" i="28"/>
  <c r="AW138" i="28"/>
  <c r="AV138" i="28"/>
  <c r="BE137" i="28"/>
  <c r="AY137" i="28"/>
  <c r="AX137" i="28"/>
  <c r="AW137" i="28"/>
  <c r="AV137" i="28"/>
  <c r="BE136" i="28"/>
  <c r="AY136" i="28"/>
  <c r="AX136" i="28"/>
  <c r="AW136" i="28"/>
  <c r="AV136" i="28"/>
  <c r="BE135" i="28"/>
  <c r="AY135" i="28"/>
  <c r="AX135" i="28"/>
  <c r="AW135" i="28"/>
  <c r="AV135" i="28"/>
  <c r="BE132" i="28"/>
  <c r="AY132" i="28"/>
  <c r="AX132" i="28"/>
  <c r="AW132" i="28"/>
  <c r="AV132" i="28"/>
  <c r="BE131" i="28"/>
  <c r="AY131" i="28"/>
  <c r="AX131" i="28"/>
  <c r="AW131" i="28"/>
  <c r="AV131" i="28"/>
  <c r="BE130" i="28"/>
  <c r="AY130" i="28"/>
  <c r="AX130" i="28"/>
  <c r="AW130" i="28"/>
  <c r="AV130" i="28"/>
  <c r="BE129" i="28"/>
  <c r="AY129" i="28"/>
  <c r="AX129" i="28"/>
  <c r="AW129" i="28"/>
  <c r="AV129" i="28"/>
  <c r="BE128" i="28"/>
  <c r="AY128" i="28"/>
  <c r="AX128" i="28"/>
  <c r="AW128" i="28"/>
  <c r="AV128" i="28"/>
  <c r="BE127" i="28"/>
  <c r="AY127" i="28"/>
  <c r="AX127" i="28"/>
  <c r="AW127" i="28"/>
  <c r="AV127" i="28"/>
  <c r="BE126" i="28"/>
  <c r="AY126" i="28"/>
  <c r="AX126" i="28"/>
  <c r="AW126" i="28"/>
  <c r="AV126" i="28"/>
  <c r="BE123" i="28"/>
  <c r="AY123" i="28"/>
  <c r="AX123" i="28"/>
  <c r="AW123" i="28"/>
  <c r="AV123" i="28"/>
  <c r="BE122" i="28"/>
  <c r="AY122" i="28"/>
  <c r="AX122" i="28"/>
  <c r="AW122" i="28"/>
  <c r="AV122" i="28"/>
  <c r="BE121" i="28"/>
  <c r="AY121" i="28"/>
  <c r="AX121" i="28"/>
  <c r="AW121" i="28"/>
  <c r="AV121" i="28"/>
  <c r="BE114" i="28"/>
  <c r="AY114" i="28"/>
  <c r="AX114" i="28"/>
  <c r="AW114" i="28"/>
  <c r="AV114" i="28"/>
  <c r="BE113" i="28"/>
  <c r="AY113" i="28"/>
  <c r="AX113" i="28"/>
  <c r="AW113" i="28"/>
  <c r="AV113" i="28"/>
  <c r="BE112" i="28"/>
  <c r="AY112" i="28"/>
  <c r="AX112" i="28"/>
  <c r="AW112" i="28"/>
  <c r="AV112" i="28"/>
  <c r="AR112" i="28" s="1"/>
  <c r="BE111" i="28"/>
  <c r="AY111" i="28"/>
  <c r="AX111" i="28"/>
  <c r="AW111" i="28"/>
  <c r="AV111" i="28"/>
  <c r="BE110" i="28"/>
  <c r="AY110" i="28"/>
  <c r="AX110" i="28"/>
  <c r="AW110" i="28"/>
  <c r="AV110" i="28"/>
  <c r="BE109" i="28"/>
  <c r="AY109" i="28"/>
  <c r="AX109" i="28"/>
  <c r="AW109" i="28"/>
  <c r="AV109" i="28"/>
  <c r="BE108" i="28"/>
  <c r="AY108" i="28"/>
  <c r="AX108" i="28"/>
  <c r="AW108" i="28"/>
  <c r="AV108" i="28"/>
  <c r="BB38" i="28" l="1"/>
  <c r="BB37" i="28"/>
  <c r="BB39" i="28"/>
  <c r="AI272" i="28"/>
  <c r="BD272" i="28"/>
  <c r="BC272" i="28"/>
  <c r="BB272" i="28"/>
  <c r="BA272" i="28"/>
  <c r="AZ272" i="28"/>
  <c r="AI191" i="28"/>
  <c r="BD191" i="28"/>
  <c r="BC191" i="28"/>
  <c r="BB191" i="28"/>
  <c r="BA191" i="28"/>
  <c r="AZ191" i="28"/>
  <c r="AI182" i="28"/>
  <c r="BB182" i="28"/>
  <c r="BA182" i="28"/>
  <c r="AZ182" i="28"/>
  <c r="BD182" i="28"/>
  <c r="BC182" i="28"/>
  <c r="AI164" i="28"/>
  <c r="AZ164" i="28"/>
  <c r="BC164" i="28"/>
  <c r="BB164" i="28"/>
  <c r="BD164" i="28"/>
  <c r="BA164" i="28"/>
  <c r="AI290" i="28"/>
  <c r="AI148" i="28"/>
  <c r="BD148" i="28"/>
  <c r="BC148" i="28"/>
  <c r="BB148" i="28"/>
  <c r="BA148" i="28"/>
  <c r="AZ148" i="28"/>
  <c r="AI308" i="28"/>
  <c r="AI299" i="28"/>
  <c r="AI209" i="28"/>
  <c r="BA209" i="28"/>
  <c r="AZ209" i="28"/>
  <c r="BD209" i="28"/>
  <c r="BC209" i="28"/>
  <c r="BB209" i="28"/>
  <c r="AI344" i="28"/>
  <c r="BD344" i="28"/>
  <c r="BC344" i="28"/>
  <c r="BB344" i="28"/>
  <c r="BA344" i="28"/>
  <c r="AZ344" i="28"/>
  <c r="AI155" i="28"/>
  <c r="AI263" i="28"/>
  <c r="BD263" i="28"/>
  <c r="BC263" i="28"/>
  <c r="BB263" i="28"/>
  <c r="BA263" i="28"/>
  <c r="AZ263" i="28"/>
  <c r="AI173" i="28"/>
  <c r="BD173" i="28"/>
  <c r="BC173" i="28"/>
  <c r="BB173" i="28"/>
  <c r="AZ173" i="28"/>
  <c r="BA173" i="28"/>
  <c r="AI281" i="28"/>
  <c r="AI200" i="28"/>
  <c r="AI254" i="28"/>
  <c r="BB254" i="28"/>
  <c r="BA254" i="28"/>
  <c r="AZ254" i="28"/>
  <c r="BD254" i="28"/>
  <c r="BC254" i="28"/>
  <c r="AI326" i="28"/>
  <c r="BB326" i="28"/>
  <c r="BA326" i="28"/>
  <c r="AZ326" i="28"/>
  <c r="BD326" i="28"/>
  <c r="BC326" i="28"/>
  <c r="AI236" i="28"/>
  <c r="AZ236" i="28"/>
  <c r="BD236" i="28"/>
  <c r="BC236" i="28"/>
  <c r="BB236" i="28"/>
  <c r="BA236" i="28"/>
  <c r="AI245" i="28"/>
  <c r="AI218" i="28"/>
  <c r="BD218" i="28"/>
  <c r="BC218" i="28"/>
  <c r="BB218" i="28"/>
  <c r="BA218" i="28"/>
  <c r="AZ218" i="28"/>
  <c r="AI317" i="28"/>
  <c r="BD317" i="28"/>
  <c r="BC317" i="28"/>
  <c r="BB317" i="28"/>
  <c r="BA317" i="28"/>
  <c r="AZ317" i="28"/>
  <c r="AI227" i="28"/>
  <c r="BC227" i="28"/>
  <c r="BB227" i="28"/>
  <c r="BA227" i="28"/>
  <c r="AZ227" i="28"/>
  <c r="BD227" i="28"/>
  <c r="AI335" i="28"/>
  <c r="BD335" i="28"/>
  <c r="BC335" i="28"/>
  <c r="BB335" i="28"/>
  <c r="BA335" i="28"/>
  <c r="AZ335" i="28"/>
  <c r="AU194" i="28"/>
  <c r="AR194" i="28"/>
  <c r="AU210" i="28"/>
  <c r="AR210" i="28"/>
  <c r="AU132" i="28"/>
  <c r="AR132" i="28"/>
  <c r="AU216" i="28"/>
  <c r="AR216" i="28"/>
  <c r="AU328" i="28"/>
  <c r="AR328" i="28"/>
  <c r="AU113" i="28"/>
  <c r="AR113" i="28"/>
  <c r="AU123" i="28"/>
  <c r="AR123" i="28"/>
  <c r="AU129" i="28"/>
  <c r="AR129" i="28"/>
  <c r="AU135" i="28"/>
  <c r="AR135" i="28"/>
  <c r="AU139" i="28"/>
  <c r="AR139" i="28"/>
  <c r="AU145" i="28"/>
  <c r="AR145" i="28"/>
  <c r="AU149" i="28"/>
  <c r="AR149" i="28"/>
  <c r="AU155" i="28"/>
  <c r="AR155" i="28"/>
  <c r="AU159" i="28"/>
  <c r="AR159" i="28"/>
  <c r="AU165" i="28"/>
  <c r="AR165" i="28"/>
  <c r="AU171" i="28"/>
  <c r="AR171" i="28"/>
  <c r="AU175" i="28"/>
  <c r="AR175" i="28"/>
  <c r="AU181" i="28"/>
  <c r="AR181" i="28"/>
  <c r="AU185" i="28"/>
  <c r="AR185" i="28"/>
  <c r="AU191" i="28"/>
  <c r="AR191" i="28"/>
  <c r="AU195" i="28"/>
  <c r="AR195" i="28"/>
  <c r="AU207" i="28"/>
  <c r="AR207" i="28"/>
  <c r="AU211" i="28"/>
  <c r="AR211" i="28"/>
  <c r="AU217" i="28"/>
  <c r="AR217" i="28"/>
  <c r="AU221" i="28"/>
  <c r="AR221" i="28"/>
  <c r="AU227" i="28"/>
  <c r="AR227" i="28"/>
  <c r="AU231" i="28"/>
  <c r="AR231" i="28"/>
  <c r="AU237" i="28"/>
  <c r="AR237" i="28"/>
  <c r="AU247" i="28"/>
  <c r="AR247" i="28"/>
  <c r="AU253" i="28"/>
  <c r="AR253" i="28"/>
  <c r="AU257" i="28"/>
  <c r="AR257" i="28"/>
  <c r="AU263" i="28"/>
  <c r="AR263" i="28"/>
  <c r="AU267" i="28"/>
  <c r="AR267" i="28"/>
  <c r="AU273" i="28"/>
  <c r="AR273" i="28"/>
  <c r="AU283" i="28"/>
  <c r="AR283" i="28"/>
  <c r="AT293" i="28"/>
  <c r="AR293" i="28"/>
  <c r="AT303" i="28"/>
  <c r="AR303" i="28"/>
  <c r="AU315" i="28"/>
  <c r="AR315" i="28"/>
  <c r="AU319" i="28"/>
  <c r="AR319" i="28"/>
  <c r="AU325" i="28"/>
  <c r="AR325" i="28"/>
  <c r="AU329" i="28"/>
  <c r="AR329" i="28"/>
  <c r="AU335" i="28"/>
  <c r="AR335" i="28"/>
  <c r="AU339" i="28"/>
  <c r="AR339" i="28"/>
  <c r="AU345" i="28"/>
  <c r="AR345" i="28"/>
  <c r="AU108" i="28"/>
  <c r="AR108" i="28"/>
  <c r="AU154" i="28"/>
  <c r="AR154" i="28"/>
  <c r="AU230" i="28"/>
  <c r="AR230" i="28"/>
  <c r="AU276" i="28"/>
  <c r="AR276" i="28"/>
  <c r="AU148" i="28"/>
  <c r="AR148" i="28"/>
  <c r="AU168" i="28"/>
  <c r="AR168" i="28"/>
  <c r="AU204" i="28"/>
  <c r="AR204" i="28"/>
  <c r="AU226" i="28"/>
  <c r="AR226" i="28"/>
  <c r="AU312" i="28"/>
  <c r="AR312" i="28"/>
  <c r="AU109" i="28"/>
  <c r="AR109" i="28"/>
  <c r="AU110" i="28"/>
  <c r="AR110" i="28"/>
  <c r="AU114" i="28"/>
  <c r="AR114" i="28"/>
  <c r="AU126" i="28"/>
  <c r="AR126" i="28"/>
  <c r="AU130" i="28"/>
  <c r="AR130" i="28"/>
  <c r="AU136" i="28"/>
  <c r="AR136" i="28"/>
  <c r="AU140" i="28"/>
  <c r="AR140" i="28"/>
  <c r="AU146" i="28"/>
  <c r="AR146" i="28"/>
  <c r="AU150" i="28"/>
  <c r="AR150" i="28"/>
  <c r="AU156" i="28"/>
  <c r="AR156" i="28"/>
  <c r="AU166" i="28"/>
  <c r="AR166" i="28"/>
  <c r="AT172" i="28"/>
  <c r="AR172" i="28"/>
  <c r="AU176" i="28"/>
  <c r="AR176" i="28"/>
  <c r="AU182" i="28"/>
  <c r="AR182" i="28"/>
  <c r="AU186" i="28"/>
  <c r="AR186" i="28"/>
  <c r="AU192" i="28"/>
  <c r="AR192" i="28"/>
  <c r="AT202" i="28"/>
  <c r="AR202" i="28"/>
  <c r="AU208" i="28"/>
  <c r="AR208" i="28"/>
  <c r="AU212" i="28"/>
  <c r="AR212" i="28"/>
  <c r="AU218" i="28"/>
  <c r="AR218" i="28"/>
  <c r="AU222" i="28"/>
  <c r="AR222" i="28"/>
  <c r="AU228" i="28"/>
  <c r="AR228" i="28"/>
  <c r="AU234" i="28"/>
  <c r="AR234" i="28"/>
  <c r="AT238" i="28"/>
  <c r="AR238" i="28"/>
  <c r="AT248" i="28"/>
  <c r="AR248" i="28"/>
  <c r="AU254" i="28"/>
  <c r="AR254" i="28"/>
  <c r="AU258" i="28"/>
  <c r="AR258" i="28"/>
  <c r="AU264" i="28"/>
  <c r="AR264" i="28"/>
  <c r="AU270" i="28"/>
  <c r="AR270" i="28"/>
  <c r="AU284" i="28"/>
  <c r="AR284" i="28"/>
  <c r="AU294" i="28"/>
  <c r="AR294" i="28"/>
  <c r="AU316" i="28"/>
  <c r="AR316" i="28"/>
  <c r="AU320" i="28"/>
  <c r="AR320" i="28"/>
  <c r="AU326" i="28"/>
  <c r="AR326" i="28"/>
  <c r="AU330" i="28"/>
  <c r="AR330" i="28"/>
  <c r="AU336" i="28"/>
  <c r="AR336" i="28"/>
  <c r="AU342" i="28"/>
  <c r="AR342" i="28"/>
  <c r="AU346" i="28"/>
  <c r="AR346" i="28"/>
  <c r="AU128" i="28"/>
  <c r="AR128" i="28"/>
  <c r="AU158" i="28"/>
  <c r="AR158" i="28"/>
  <c r="AU164" i="28"/>
  <c r="AR164" i="28"/>
  <c r="AU184" i="28"/>
  <c r="AR184" i="28"/>
  <c r="AU190" i="28"/>
  <c r="AR190" i="28"/>
  <c r="AU220" i="28"/>
  <c r="AR220" i="28"/>
  <c r="AU266" i="28"/>
  <c r="AR266" i="28"/>
  <c r="AU272" i="28"/>
  <c r="AR272" i="28"/>
  <c r="AU302" i="28"/>
  <c r="AR302" i="28"/>
  <c r="AU324" i="28"/>
  <c r="AR324" i="28"/>
  <c r="AU348" i="28"/>
  <c r="AR348" i="28"/>
  <c r="AU138" i="28"/>
  <c r="AR138" i="28"/>
  <c r="AU180" i="28"/>
  <c r="AR180" i="28"/>
  <c r="AU240" i="28"/>
  <c r="AR240" i="28"/>
  <c r="AU334" i="28"/>
  <c r="AR334" i="28"/>
  <c r="AU344" i="28"/>
  <c r="AR344" i="28"/>
  <c r="AU121" i="28"/>
  <c r="AR121" i="28"/>
  <c r="AU131" i="28"/>
  <c r="AR131" i="28"/>
  <c r="AU137" i="28"/>
  <c r="AR137" i="28"/>
  <c r="AU141" i="28"/>
  <c r="AR141" i="28"/>
  <c r="AU147" i="28"/>
  <c r="AR147" i="28"/>
  <c r="AU153" i="28"/>
  <c r="AR153" i="28"/>
  <c r="AU157" i="28"/>
  <c r="AR157" i="28"/>
  <c r="AU163" i="28"/>
  <c r="AR163" i="28"/>
  <c r="AU167" i="28"/>
  <c r="AR167" i="28"/>
  <c r="AU173" i="28"/>
  <c r="AR173" i="28"/>
  <c r="AU177" i="28"/>
  <c r="AR177" i="28"/>
  <c r="AU183" i="28"/>
  <c r="AR183" i="28"/>
  <c r="AU189" i="28"/>
  <c r="AR189" i="28"/>
  <c r="AU193" i="28"/>
  <c r="AR193" i="28"/>
  <c r="AU203" i="28"/>
  <c r="AR203" i="28"/>
  <c r="AU209" i="28"/>
  <c r="AR209" i="28"/>
  <c r="AU213" i="28"/>
  <c r="AR213" i="28"/>
  <c r="AU219" i="28"/>
  <c r="AR219" i="28"/>
  <c r="AU225" i="28"/>
  <c r="AR225" i="28"/>
  <c r="AU229" i="28"/>
  <c r="AR229" i="28"/>
  <c r="AU235" i="28"/>
  <c r="AR235" i="28"/>
  <c r="AU239" i="28"/>
  <c r="AR239" i="28"/>
  <c r="AU249" i="28"/>
  <c r="AR249" i="28"/>
  <c r="AU255" i="28"/>
  <c r="AR255" i="28"/>
  <c r="AU261" i="28"/>
  <c r="AR261" i="28"/>
  <c r="AU265" i="28"/>
  <c r="AR265" i="28"/>
  <c r="AU271" i="28"/>
  <c r="AR271" i="28"/>
  <c r="AU275" i="28"/>
  <c r="AR275" i="28"/>
  <c r="AU285" i="28"/>
  <c r="AR285" i="28"/>
  <c r="AT311" i="28"/>
  <c r="AR311" i="28"/>
  <c r="AU317" i="28"/>
  <c r="AR317" i="28"/>
  <c r="AU321" i="28"/>
  <c r="AR321" i="28"/>
  <c r="AU327" i="28"/>
  <c r="AR327" i="28"/>
  <c r="AU333" i="28"/>
  <c r="AR333" i="28"/>
  <c r="AU337" i="28"/>
  <c r="AR337" i="28"/>
  <c r="AU343" i="28"/>
  <c r="AR343" i="28"/>
  <c r="AU347" i="28"/>
  <c r="AR347" i="28"/>
  <c r="AU122" i="28"/>
  <c r="AR122" i="28"/>
  <c r="AU252" i="28"/>
  <c r="AR252" i="28"/>
  <c r="AU256" i="28"/>
  <c r="AR256" i="28"/>
  <c r="AU262" i="28"/>
  <c r="AR262" i="28"/>
  <c r="AU292" i="28"/>
  <c r="AR292" i="28"/>
  <c r="AU318" i="28"/>
  <c r="AR318" i="28"/>
  <c r="AU338" i="28"/>
  <c r="AR338" i="28"/>
  <c r="AU111" i="28"/>
  <c r="AR111" i="28"/>
  <c r="AU127" i="28"/>
  <c r="AR127" i="28"/>
  <c r="AT192" i="28"/>
  <c r="AT234" i="28"/>
  <c r="AT272" i="28"/>
  <c r="AT216" i="28"/>
  <c r="AT294" i="28"/>
  <c r="AT138" i="28"/>
  <c r="AU202" i="28"/>
  <c r="AT184" i="28"/>
  <c r="AT136" i="28"/>
  <c r="AT230" i="28"/>
  <c r="AT254" i="28"/>
  <c r="AT108" i="28"/>
  <c r="AT212" i="28"/>
  <c r="AT122" i="28"/>
  <c r="AU172" i="28"/>
  <c r="AU293" i="28"/>
  <c r="AU311" i="28"/>
  <c r="AT128" i="28"/>
  <c r="AT252" i="28"/>
  <c r="AT204" i="28"/>
  <c r="AU144" i="28"/>
  <c r="AT144" i="28"/>
  <c r="AU174" i="28"/>
  <c r="AT174" i="28"/>
  <c r="AU112" i="28"/>
  <c r="AT112" i="28"/>
  <c r="AU162" i="28"/>
  <c r="AT162" i="28"/>
  <c r="AU236" i="28"/>
  <c r="AT236" i="28"/>
  <c r="AU274" i="28"/>
  <c r="AT274" i="28"/>
  <c r="AT154" i="28"/>
  <c r="AT240" i="28"/>
  <c r="AU248" i="28"/>
  <c r="AT114" i="28"/>
  <c r="AT150" i="28"/>
  <c r="AT164" i="28"/>
  <c r="AT182" i="28"/>
  <c r="AT220" i="28"/>
  <c r="AU238" i="28"/>
  <c r="AT258" i="28"/>
  <c r="AU303" i="28"/>
  <c r="AT194" i="28"/>
  <c r="AT270" i="28"/>
  <c r="AT228" i="28"/>
  <c r="AT266" i="28"/>
  <c r="AT140" i="28"/>
  <c r="AT132" i="28"/>
  <c r="AT148" i="28"/>
  <c r="AT158" i="28"/>
  <c r="AT168" i="28"/>
  <c r="AT180" i="28"/>
  <c r="AT190" i="28"/>
  <c r="AT210" i="28"/>
  <c r="AT226" i="28"/>
  <c r="AT264" i="28"/>
  <c r="AT284" i="28"/>
  <c r="AT126" i="28"/>
  <c r="AT218" i="28"/>
  <c r="AT256" i="28"/>
  <c r="AT276" i="28"/>
  <c r="AT292" i="28"/>
  <c r="AT302" i="28"/>
  <c r="AT312" i="28"/>
  <c r="AT146" i="28"/>
  <c r="AT156" i="28"/>
  <c r="AT166" i="28"/>
  <c r="AT176" i="28"/>
  <c r="AT186" i="28"/>
  <c r="AT208" i="28"/>
  <c r="AT110" i="28"/>
  <c r="AT130" i="28"/>
  <c r="AT222" i="28"/>
  <c r="AT262" i="28"/>
  <c r="AT315" i="28"/>
  <c r="AT317" i="28"/>
  <c r="AT319" i="28"/>
  <c r="AT321" i="28"/>
  <c r="AT325" i="28"/>
  <c r="AT327" i="28"/>
  <c r="AT329" i="28"/>
  <c r="AT333" i="28"/>
  <c r="AT335" i="28"/>
  <c r="AT337" i="28"/>
  <c r="AT339" i="28"/>
  <c r="AT343" i="28"/>
  <c r="AT345" i="28"/>
  <c r="AT347" i="28"/>
  <c r="AT316" i="28"/>
  <c r="AT318" i="28"/>
  <c r="AT320" i="28"/>
  <c r="AT324" i="28"/>
  <c r="AT326" i="28"/>
  <c r="AT328" i="28"/>
  <c r="AT330" i="28"/>
  <c r="AT334" i="28"/>
  <c r="AT336" i="28"/>
  <c r="AT338" i="28"/>
  <c r="AT342" i="28"/>
  <c r="AT344" i="28"/>
  <c r="AT346" i="28"/>
  <c r="AT348" i="28"/>
  <c r="AT253" i="28"/>
  <c r="AT255" i="28"/>
  <c r="AT257" i="28"/>
  <c r="AT261" i="28"/>
  <c r="AT263" i="28"/>
  <c r="AT265" i="28"/>
  <c r="AT267" i="28"/>
  <c r="AT271" i="28"/>
  <c r="AT273" i="28"/>
  <c r="AT275" i="28"/>
  <c r="AT283" i="28"/>
  <c r="AT285" i="28"/>
  <c r="AT217" i="28"/>
  <c r="AT219" i="28"/>
  <c r="AT221" i="28"/>
  <c r="AT225" i="28"/>
  <c r="AT227" i="28"/>
  <c r="AT229" i="28"/>
  <c r="AT231" i="28"/>
  <c r="AT235" i="28"/>
  <c r="AT237" i="28"/>
  <c r="AT239" i="28"/>
  <c r="AT247" i="28"/>
  <c r="AT249" i="28"/>
  <c r="AT181" i="28"/>
  <c r="AT183" i="28"/>
  <c r="AT185" i="28"/>
  <c r="AT189" i="28"/>
  <c r="AT191" i="28"/>
  <c r="AT193" i="28"/>
  <c r="AT195" i="28"/>
  <c r="AT203" i="28"/>
  <c r="AT207" i="28"/>
  <c r="AT209" i="28"/>
  <c r="AT211" i="28"/>
  <c r="AT213" i="28"/>
  <c r="AT145" i="28"/>
  <c r="AT147" i="28"/>
  <c r="AT149" i="28"/>
  <c r="AT153" i="28"/>
  <c r="AT155" i="28"/>
  <c r="AT157" i="28"/>
  <c r="AT159" i="28"/>
  <c r="AT163" i="28"/>
  <c r="AT165" i="28"/>
  <c r="AT167" i="28"/>
  <c r="AT171" i="28"/>
  <c r="AT173" i="28"/>
  <c r="AT175" i="28"/>
  <c r="AT177" i="28"/>
  <c r="AT109" i="28"/>
  <c r="AT111" i="28"/>
  <c r="AT113" i="28"/>
  <c r="AT121" i="28"/>
  <c r="AT123" i="28"/>
  <c r="AT127" i="28"/>
  <c r="AT129" i="28"/>
  <c r="AT131" i="28"/>
  <c r="AT135" i="28"/>
  <c r="AT137" i="28"/>
  <c r="AT139" i="28"/>
  <c r="AT141" i="28"/>
  <c r="BE15" i="28"/>
  <c r="BD15" i="28"/>
  <c r="BC15" i="28"/>
  <c r="BB15" i="28"/>
  <c r="BA15" i="28"/>
  <c r="AZ15" i="28"/>
  <c r="AY15" i="28"/>
  <c r="AX15" i="28"/>
  <c r="AW15" i="28"/>
  <c r="AV15" i="28"/>
  <c r="AR15" i="28" s="1"/>
  <c r="BE14" i="28"/>
  <c r="BD14" i="28"/>
  <c r="BC14" i="28"/>
  <c r="BB14" i="28"/>
  <c r="BA14" i="28"/>
  <c r="AZ14" i="28"/>
  <c r="AY14" i="28"/>
  <c r="AX14" i="28"/>
  <c r="AW14" i="28"/>
  <c r="AV14" i="28"/>
  <c r="BE13" i="28"/>
  <c r="BD13" i="28"/>
  <c r="BC13" i="28"/>
  <c r="BB13" i="28"/>
  <c r="BA13" i="28"/>
  <c r="AZ13" i="28"/>
  <c r="AY13" i="28"/>
  <c r="AX13" i="28"/>
  <c r="AW13" i="28"/>
  <c r="AV13" i="28"/>
  <c r="AR13" i="28" s="1"/>
  <c r="BD12" i="28"/>
  <c r="BC12" i="28"/>
  <c r="BA12" i="28"/>
  <c r="AZ12" i="28"/>
  <c r="BD11" i="28"/>
  <c r="BC11" i="28"/>
  <c r="BA11" i="28"/>
  <c r="AZ11" i="28"/>
  <c r="BD10" i="28"/>
  <c r="BC10" i="28"/>
  <c r="BA10" i="28"/>
  <c r="AZ10" i="28"/>
  <c r="BD9" i="28"/>
  <c r="BC9" i="28"/>
  <c r="BA9" i="28"/>
  <c r="AZ9" i="28"/>
  <c r="AQ347" i="28"/>
  <c r="AM346" i="28"/>
  <c r="AN344" i="28"/>
  <c r="AQ338" i="28"/>
  <c r="AQ336" i="28"/>
  <c r="AQ334" i="28"/>
  <c r="AO328" i="28"/>
  <c r="AQ327" i="28"/>
  <c r="AQ320" i="28"/>
  <c r="AQ317" i="28"/>
  <c r="AO316" i="28"/>
  <c r="AQ315" i="28"/>
  <c r="AQ303" i="28"/>
  <c r="AN294" i="28"/>
  <c r="AM293" i="28"/>
  <c r="AM285" i="28"/>
  <c r="AM283" i="28"/>
  <c r="AM275" i="28"/>
  <c r="AN273" i="28"/>
  <c r="AQ266" i="28"/>
  <c r="AO265" i="28"/>
  <c r="AN264" i="28"/>
  <c r="AM263" i="28"/>
  <c r="AO258" i="28"/>
  <c r="AN257" i="28"/>
  <c r="AO254" i="28"/>
  <c r="AM253" i="28"/>
  <c r="AQ247" i="28"/>
  <c r="AO240" i="28"/>
  <c r="AN234" i="28"/>
  <c r="AM230" i="28"/>
  <c r="AO227" i="28"/>
  <c r="AO216" i="28"/>
  <c r="AM207" i="28"/>
  <c r="AO204" i="28"/>
  <c r="AN202" i="28"/>
  <c r="AM193" i="28"/>
  <c r="AN192" i="28"/>
  <c r="AQ183" i="28"/>
  <c r="AO182" i="28"/>
  <c r="AN181" i="28"/>
  <c r="AO180" i="28"/>
  <c r="AM176" i="28"/>
  <c r="AM173" i="28"/>
  <c r="AQ171" i="28"/>
  <c r="AM166" i="28"/>
  <c r="AQ164" i="28"/>
  <c r="AN162" i="28"/>
  <c r="AQ157" i="28"/>
  <c r="AO156" i="28"/>
  <c r="AN155" i="28"/>
  <c r="AM154" i="28"/>
  <c r="AQ150" i="28"/>
  <c r="AM148" i="28"/>
  <c r="AM144" i="28"/>
  <c r="AM139" i="28"/>
  <c r="AO135" i="28"/>
  <c r="AN129" i="28"/>
  <c r="AQ128" i="28"/>
  <c r="AO126" i="28"/>
  <c r="AN122" i="28"/>
  <c r="AO121" i="28"/>
  <c r="AO112" i="28"/>
  <c r="AN111" i="28"/>
  <c r="BE105" i="28"/>
  <c r="AY105" i="28"/>
  <c r="AX105" i="28"/>
  <c r="AW105" i="28"/>
  <c r="AV105" i="28"/>
  <c r="BE104" i="28"/>
  <c r="AY104" i="28"/>
  <c r="AX104" i="28"/>
  <c r="AW104" i="28"/>
  <c r="AV104" i="28"/>
  <c r="BE103" i="28"/>
  <c r="AY103" i="28"/>
  <c r="AX103" i="28"/>
  <c r="AW103" i="28"/>
  <c r="AV103" i="28"/>
  <c r="AR103" i="28" s="1"/>
  <c r="BE102" i="28"/>
  <c r="AY102" i="28"/>
  <c r="AX102" i="28"/>
  <c r="AW102" i="28"/>
  <c r="AV102" i="28"/>
  <c r="AR102" i="28" s="1"/>
  <c r="BE101" i="28"/>
  <c r="AY101" i="28"/>
  <c r="AX101" i="28"/>
  <c r="AW101" i="28"/>
  <c r="AV101" i="28"/>
  <c r="AR101" i="28" s="1"/>
  <c r="BE100" i="28"/>
  <c r="AY100" i="28"/>
  <c r="AX100" i="28"/>
  <c r="AW100" i="28"/>
  <c r="AV100" i="28"/>
  <c r="BE99" i="28"/>
  <c r="AY99" i="28"/>
  <c r="AX99" i="28"/>
  <c r="AW99" i="28"/>
  <c r="AV99" i="28"/>
  <c r="AR99" i="28" s="1"/>
  <c r="BE96" i="28"/>
  <c r="AY96" i="28"/>
  <c r="AX96" i="28"/>
  <c r="AW96" i="28"/>
  <c r="AV96" i="28"/>
  <c r="BE95" i="28"/>
  <c r="AY95" i="28"/>
  <c r="AX95" i="28"/>
  <c r="AW95" i="28"/>
  <c r="AV95" i="28"/>
  <c r="BE94" i="28"/>
  <c r="AY94" i="28"/>
  <c r="AX94" i="28"/>
  <c r="AW94" i="28"/>
  <c r="AV94" i="28"/>
  <c r="BE93" i="28"/>
  <c r="AY93" i="28"/>
  <c r="AX93" i="28"/>
  <c r="AW93" i="28"/>
  <c r="AV93" i="28"/>
  <c r="BE92" i="28"/>
  <c r="AY92" i="28"/>
  <c r="AX92" i="28"/>
  <c r="AW92" i="28"/>
  <c r="AV92" i="28"/>
  <c r="BE91" i="28"/>
  <c r="AY91" i="28"/>
  <c r="AX91" i="28"/>
  <c r="AW91" i="28"/>
  <c r="AV91" i="28"/>
  <c r="BE90" i="28"/>
  <c r="AY90" i="28"/>
  <c r="AX90" i="28"/>
  <c r="AW90" i="28"/>
  <c r="AV90" i="28"/>
  <c r="BE87" i="28"/>
  <c r="AY87" i="28"/>
  <c r="AX87" i="28"/>
  <c r="AW87" i="28"/>
  <c r="AV87" i="28"/>
  <c r="BE86" i="28"/>
  <c r="AY86" i="28"/>
  <c r="AX86" i="28"/>
  <c r="AW86" i="28"/>
  <c r="AV86" i="28"/>
  <c r="BE85" i="28"/>
  <c r="AY85" i="28"/>
  <c r="AX85" i="28"/>
  <c r="AW85" i="28"/>
  <c r="AV85" i="28"/>
  <c r="AR85" i="28" s="1"/>
  <c r="BE84" i="28"/>
  <c r="AY84" i="28"/>
  <c r="AX84" i="28"/>
  <c r="AW84" i="28"/>
  <c r="AV84" i="28"/>
  <c r="BE83" i="28"/>
  <c r="AY83" i="28"/>
  <c r="AX83" i="28"/>
  <c r="AW83" i="28"/>
  <c r="AV83" i="28"/>
  <c r="BE82" i="28"/>
  <c r="AY82" i="28"/>
  <c r="AX82" i="28"/>
  <c r="AW82" i="28"/>
  <c r="AV82" i="28"/>
  <c r="BE81" i="28"/>
  <c r="AY81" i="28"/>
  <c r="AX81" i="28"/>
  <c r="AW81" i="28"/>
  <c r="AV81" i="28"/>
  <c r="AR81" i="28" s="1"/>
  <c r="BE78" i="28"/>
  <c r="AY78" i="28"/>
  <c r="AX78" i="28"/>
  <c r="AW78" i="28"/>
  <c r="AV78" i="28"/>
  <c r="BE77" i="28"/>
  <c r="AY77" i="28"/>
  <c r="AX77" i="28"/>
  <c r="AW77" i="28"/>
  <c r="AV77" i="28"/>
  <c r="BE76" i="28"/>
  <c r="AY76" i="28"/>
  <c r="AX76" i="28"/>
  <c r="AW76" i="28"/>
  <c r="AV76" i="28"/>
  <c r="AR76" i="28" s="1"/>
  <c r="BE69" i="28"/>
  <c r="AY69" i="28"/>
  <c r="AX69" i="28"/>
  <c r="AW69" i="28"/>
  <c r="AV69" i="28"/>
  <c r="AR69" i="28" s="1"/>
  <c r="BE68" i="28"/>
  <c r="AY68" i="28"/>
  <c r="AX68" i="28"/>
  <c r="AW68" i="28"/>
  <c r="AV68" i="28"/>
  <c r="AR68" i="28" s="1"/>
  <c r="BE67" i="28"/>
  <c r="AY67" i="28"/>
  <c r="AX67" i="28"/>
  <c r="AW67" i="28"/>
  <c r="AV67" i="28"/>
  <c r="AR67" i="28" s="1"/>
  <c r="BE66" i="28"/>
  <c r="AY66" i="28"/>
  <c r="AX66" i="28"/>
  <c r="AW66" i="28"/>
  <c r="AV66" i="28"/>
  <c r="BE65" i="28"/>
  <c r="AY65" i="28"/>
  <c r="AX65" i="28"/>
  <c r="AW65" i="28"/>
  <c r="AV65" i="28"/>
  <c r="BE64" i="28"/>
  <c r="AY64" i="28"/>
  <c r="AX64" i="28"/>
  <c r="AW64" i="28"/>
  <c r="AV64" i="28"/>
  <c r="BE63" i="28"/>
  <c r="AY63" i="28"/>
  <c r="AX63" i="28"/>
  <c r="AW63" i="28"/>
  <c r="AV63" i="28"/>
  <c r="AR63" i="28" s="1"/>
  <c r="BE60" i="28"/>
  <c r="AY60" i="28"/>
  <c r="AX60" i="28"/>
  <c r="AW60" i="28"/>
  <c r="AV60" i="28"/>
  <c r="AR60" i="28" s="1"/>
  <c r="BE59" i="28"/>
  <c r="AY59" i="28"/>
  <c r="AX59" i="28"/>
  <c r="AW59" i="28"/>
  <c r="AV59" i="28"/>
  <c r="AR59" i="28" s="1"/>
  <c r="BE58" i="28"/>
  <c r="AY58" i="28"/>
  <c r="AX58" i="28"/>
  <c r="AW58" i="28"/>
  <c r="AV58" i="28"/>
  <c r="AR58" i="28" s="1"/>
  <c r="BE57" i="28"/>
  <c r="AY57" i="28"/>
  <c r="AX57" i="28"/>
  <c r="AW57" i="28"/>
  <c r="AV57" i="28"/>
  <c r="BE56" i="28"/>
  <c r="AY56" i="28"/>
  <c r="AX56" i="28"/>
  <c r="AW56" i="28"/>
  <c r="AV56" i="28"/>
  <c r="AR56" i="28" s="1"/>
  <c r="BE55" i="28"/>
  <c r="AY55" i="28"/>
  <c r="AX55" i="28"/>
  <c r="AW55" i="28"/>
  <c r="AV55" i="28"/>
  <c r="BE54" i="28"/>
  <c r="AY54" i="28"/>
  <c r="AX54" i="28"/>
  <c r="AW54" i="28"/>
  <c r="AV54" i="28"/>
  <c r="AR54" i="28" s="1"/>
  <c r="BE51" i="28"/>
  <c r="AY51" i="28"/>
  <c r="AX51" i="28"/>
  <c r="AW51" i="28"/>
  <c r="AV51" i="28"/>
  <c r="BE50" i="28"/>
  <c r="AY50" i="28"/>
  <c r="AX50" i="28"/>
  <c r="AW50" i="28"/>
  <c r="AV50" i="28"/>
  <c r="AR50" i="28" s="1"/>
  <c r="BE42" i="28"/>
  <c r="AY42" i="28"/>
  <c r="AX42" i="28"/>
  <c r="AW42" i="28"/>
  <c r="AV42" i="28"/>
  <c r="BE41" i="28"/>
  <c r="AY41" i="28"/>
  <c r="AX41" i="28"/>
  <c r="AW41" i="28"/>
  <c r="AV41" i="28"/>
  <c r="BE40" i="28"/>
  <c r="AY40" i="28"/>
  <c r="AX40" i="28"/>
  <c r="AW40" i="28"/>
  <c r="AV40" i="28"/>
  <c r="AR40" i="28" s="1"/>
  <c r="AH8" i="28"/>
  <c r="AI228" i="28" l="1"/>
  <c r="BD228" i="28"/>
  <c r="BC228" i="28"/>
  <c r="BB228" i="28"/>
  <c r="BA228" i="28"/>
  <c r="AZ228" i="28"/>
  <c r="AI237" i="28"/>
  <c r="BC237" i="28"/>
  <c r="BB237" i="28"/>
  <c r="BA237" i="28"/>
  <c r="AZ237" i="28"/>
  <c r="BD237" i="28"/>
  <c r="AI282" i="28"/>
  <c r="AI345" i="28"/>
  <c r="BD345" i="28"/>
  <c r="BC345" i="28"/>
  <c r="BB345" i="28"/>
  <c r="BA345" i="28"/>
  <c r="AZ345" i="28"/>
  <c r="AI149" i="28"/>
  <c r="BD149" i="28"/>
  <c r="BB149" i="28"/>
  <c r="BA149" i="28"/>
  <c r="BC149" i="28"/>
  <c r="AZ149" i="28"/>
  <c r="AI192" i="28"/>
  <c r="BB192" i="28"/>
  <c r="BA192" i="28"/>
  <c r="AZ192" i="28"/>
  <c r="BD192" i="28"/>
  <c r="BC192" i="28"/>
  <c r="AI336" i="28"/>
  <c r="BB336" i="28"/>
  <c r="BA336" i="28"/>
  <c r="AZ336" i="28"/>
  <c r="BD336" i="28"/>
  <c r="BC336" i="28"/>
  <c r="AI246" i="28"/>
  <c r="AI201" i="28"/>
  <c r="AI156" i="28"/>
  <c r="AI309" i="28"/>
  <c r="AI183" i="28"/>
  <c r="BD183" i="28"/>
  <c r="BC183" i="28"/>
  <c r="BB183" i="28"/>
  <c r="AZ183" i="28"/>
  <c r="BA183" i="28"/>
  <c r="AI219" i="28"/>
  <c r="BA219" i="28"/>
  <c r="AZ219" i="28"/>
  <c r="BD219" i="28"/>
  <c r="BC219" i="28"/>
  <c r="BB219" i="28"/>
  <c r="AI255" i="28"/>
  <c r="BD255" i="28"/>
  <c r="BC255" i="28"/>
  <c r="BB255" i="28"/>
  <c r="BA255" i="28"/>
  <c r="AZ255" i="28"/>
  <c r="AI264" i="28"/>
  <c r="BB264" i="28"/>
  <c r="BA264" i="28"/>
  <c r="AZ264" i="28"/>
  <c r="BD264" i="28"/>
  <c r="BC264" i="28"/>
  <c r="AI300" i="28"/>
  <c r="AI165" i="28"/>
  <c r="BC165" i="28"/>
  <c r="BB165" i="28"/>
  <c r="BA165" i="28"/>
  <c r="AZ165" i="28"/>
  <c r="BD165" i="28"/>
  <c r="AI318" i="28"/>
  <c r="AZ318" i="28"/>
  <c r="BD318" i="28"/>
  <c r="BC318" i="28"/>
  <c r="BB318" i="28"/>
  <c r="BA318" i="28"/>
  <c r="AI327" i="28"/>
  <c r="BD327" i="28"/>
  <c r="BC327" i="28"/>
  <c r="BB327" i="28"/>
  <c r="BA327" i="28"/>
  <c r="AZ327" i="28"/>
  <c r="AI174" i="28"/>
  <c r="AZ174" i="28"/>
  <c r="BC174" i="28"/>
  <c r="BB174" i="28"/>
  <c r="BD174" i="28"/>
  <c r="BA174" i="28"/>
  <c r="AI210" i="28"/>
  <c r="BD210" i="28"/>
  <c r="BC210" i="28"/>
  <c r="BB210" i="28"/>
  <c r="BA210" i="28"/>
  <c r="AZ210" i="28"/>
  <c r="AI291" i="28"/>
  <c r="AI273" i="28"/>
  <c r="BD273" i="28"/>
  <c r="BC273" i="28"/>
  <c r="BB273" i="28"/>
  <c r="BA273" i="28"/>
  <c r="AZ273" i="28"/>
  <c r="BQ144" i="28"/>
  <c r="BM144" i="28"/>
  <c r="BI144" i="28"/>
  <c r="BT144" i="28"/>
  <c r="BP144" i="28"/>
  <c r="BL144" i="28"/>
  <c r="BH144" i="28"/>
  <c r="BN144" i="28"/>
  <c r="BF144" i="28"/>
  <c r="BS144" i="28"/>
  <c r="BK144" i="28"/>
  <c r="BR144" i="28"/>
  <c r="BJ144" i="28"/>
  <c r="BO144" i="28"/>
  <c r="BG144" i="28"/>
  <c r="BQ154" i="28"/>
  <c r="BM154" i="28"/>
  <c r="BI154" i="28"/>
  <c r="BT154" i="28"/>
  <c r="BP154" i="28"/>
  <c r="BL154" i="28"/>
  <c r="BH154" i="28"/>
  <c r="BN154" i="28"/>
  <c r="BF154" i="28"/>
  <c r="BS154" i="28"/>
  <c r="BK154" i="28"/>
  <c r="BR154" i="28"/>
  <c r="BJ154" i="28"/>
  <c r="BO154" i="28"/>
  <c r="BG154" i="28"/>
  <c r="BQ275" i="28"/>
  <c r="BM275" i="28"/>
  <c r="BI275" i="28"/>
  <c r="BT275" i="28"/>
  <c r="BO275" i="28"/>
  <c r="BJ275" i="28"/>
  <c r="BS275" i="28"/>
  <c r="BN275" i="28"/>
  <c r="BH275" i="28"/>
  <c r="BR275" i="28"/>
  <c r="BG275" i="28"/>
  <c r="BP275" i="28"/>
  <c r="BF275" i="28"/>
  <c r="BL275" i="28"/>
  <c r="BK275" i="28"/>
  <c r="BQ285" i="28"/>
  <c r="BM285" i="28"/>
  <c r="BI285" i="28"/>
  <c r="BR285" i="28"/>
  <c r="BL285" i="28"/>
  <c r="BG285" i="28"/>
  <c r="BP285" i="28"/>
  <c r="BK285" i="28"/>
  <c r="BF285" i="28"/>
  <c r="BO285" i="28"/>
  <c r="BN285" i="28"/>
  <c r="BT285" i="28"/>
  <c r="BJ285" i="28"/>
  <c r="BH285" i="28"/>
  <c r="BS285" i="28"/>
  <c r="BQ148" i="28"/>
  <c r="BM148" i="28"/>
  <c r="BI148" i="28"/>
  <c r="BT148" i="28"/>
  <c r="BP148" i="28"/>
  <c r="BL148" i="28"/>
  <c r="BH148" i="28"/>
  <c r="BR148" i="28"/>
  <c r="BJ148" i="28"/>
  <c r="BO148" i="28"/>
  <c r="BG148" i="28"/>
  <c r="BN148" i="28"/>
  <c r="BF148" i="28"/>
  <c r="BS148" i="28"/>
  <c r="BK148" i="28"/>
  <c r="BR207" i="28"/>
  <c r="BN207" i="28"/>
  <c r="BJ207" i="28"/>
  <c r="BF207" i="28"/>
  <c r="BQ207" i="28"/>
  <c r="BM207" i="28"/>
  <c r="BI207" i="28"/>
  <c r="BO207" i="28"/>
  <c r="BG207" i="28"/>
  <c r="BT207" i="28"/>
  <c r="BL207" i="28"/>
  <c r="BS207" i="28"/>
  <c r="BK207" i="28"/>
  <c r="BP207" i="28"/>
  <c r="BH207" i="28"/>
  <c r="BQ253" i="28"/>
  <c r="BM253" i="28"/>
  <c r="BI253" i="28"/>
  <c r="BT253" i="28"/>
  <c r="BP253" i="28"/>
  <c r="BL253" i="28"/>
  <c r="BH253" i="28"/>
  <c r="BO253" i="28"/>
  <c r="BG253" i="28"/>
  <c r="BN253" i="28"/>
  <c r="BF253" i="28"/>
  <c r="BS253" i="28"/>
  <c r="BK253" i="28"/>
  <c r="BJ253" i="28"/>
  <c r="BR253" i="28"/>
  <c r="BR346" i="28"/>
  <c r="BN346" i="28"/>
  <c r="BJ346" i="28"/>
  <c r="BF346" i="28"/>
  <c r="BQ346" i="28"/>
  <c r="BM346" i="28"/>
  <c r="BI346" i="28"/>
  <c r="BT346" i="28"/>
  <c r="BP346" i="28"/>
  <c r="BL346" i="28"/>
  <c r="BH346" i="28"/>
  <c r="BS346" i="28"/>
  <c r="BO346" i="28"/>
  <c r="BK346" i="28"/>
  <c r="BG346" i="28"/>
  <c r="BR139" i="28"/>
  <c r="BN139" i="28"/>
  <c r="BJ139" i="28"/>
  <c r="BF139" i="28"/>
  <c r="BQ139" i="28"/>
  <c r="BM139" i="28"/>
  <c r="BI139" i="28"/>
  <c r="BS139" i="28"/>
  <c r="BK139" i="28"/>
  <c r="BP139" i="28"/>
  <c r="BH139" i="28"/>
  <c r="BO139" i="28"/>
  <c r="BG139" i="28"/>
  <c r="BT139" i="28"/>
  <c r="BL139" i="28"/>
  <c r="BT173" i="28"/>
  <c r="BP173" i="28"/>
  <c r="BL173" i="28"/>
  <c r="BH173" i="28"/>
  <c r="BS173" i="28"/>
  <c r="BO173" i="28"/>
  <c r="BK173" i="28"/>
  <c r="BG173" i="28"/>
  <c r="BM173" i="28"/>
  <c r="BR173" i="28"/>
  <c r="BJ173" i="28"/>
  <c r="BQ173" i="28"/>
  <c r="BI173" i="28"/>
  <c r="BN173" i="28"/>
  <c r="BF173" i="28"/>
  <c r="BR230" i="28"/>
  <c r="BN230" i="28"/>
  <c r="BJ230" i="28"/>
  <c r="BF230" i="28"/>
  <c r="BQ230" i="28"/>
  <c r="BM230" i="28"/>
  <c r="BI230" i="28"/>
  <c r="BT230" i="28"/>
  <c r="BP230" i="28"/>
  <c r="BL230" i="28"/>
  <c r="BH230" i="28"/>
  <c r="BG230" i="28"/>
  <c r="BS230" i="28"/>
  <c r="BO230" i="28"/>
  <c r="BK230" i="28"/>
  <c r="BS263" i="28"/>
  <c r="BO263" i="28"/>
  <c r="BK263" i="28"/>
  <c r="BG263" i="28"/>
  <c r="BP263" i="28"/>
  <c r="BJ263" i="28"/>
  <c r="BT263" i="28"/>
  <c r="BN263" i="28"/>
  <c r="BI263" i="28"/>
  <c r="BR263" i="28"/>
  <c r="BH263" i="28"/>
  <c r="BQ263" i="28"/>
  <c r="BF263" i="28"/>
  <c r="BM263" i="28"/>
  <c r="BL263" i="28"/>
  <c r="BS293" i="28"/>
  <c r="BO293" i="28"/>
  <c r="BK293" i="28"/>
  <c r="BG293" i="28"/>
  <c r="BR293" i="28"/>
  <c r="BM293" i="28"/>
  <c r="BH293" i="28"/>
  <c r="BQ293" i="28"/>
  <c r="BL293" i="28"/>
  <c r="BF293" i="28"/>
  <c r="BJ293" i="28"/>
  <c r="BT293" i="28"/>
  <c r="BI293" i="28"/>
  <c r="BP293" i="28"/>
  <c r="BN293" i="28"/>
  <c r="BS166" i="28"/>
  <c r="BO166" i="28"/>
  <c r="BK166" i="28"/>
  <c r="BG166" i="28"/>
  <c r="BR166" i="28"/>
  <c r="BN166" i="28"/>
  <c r="BJ166" i="28"/>
  <c r="BF166" i="28"/>
  <c r="BP166" i="28"/>
  <c r="BH166" i="28"/>
  <c r="BM166" i="28"/>
  <c r="BT166" i="28"/>
  <c r="BL166" i="28"/>
  <c r="BQ166" i="28"/>
  <c r="BI166" i="28"/>
  <c r="BS176" i="28"/>
  <c r="BO176" i="28"/>
  <c r="BK176" i="28"/>
  <c r="BG176" i="28"/>
  <c r="BR176" i="28"/>
  <c r="BN176" i="28"/>
  <c r="BJ176" i="28"/>
  <c r="BF176" i="28"/>
  <c r="BP176" i="28"/>
  <c r="BH176" i="28"/>
  <c r="BM176" i="28"/>
  <c r="BT176" i="28"/>
  <c r="BL176" i="28"/>
  <c r="BI176" i="28"/>
  <c r="BQ176" i="28"/>
  <c r="BT193" i="28"/>
  <c r="BP193" i="28"/>
  <c r="BL193" i="28"/>
  <c r="BH193" i="28"/>
  <c r="BS193" i="28"/>
  <c r="BO193" i="28"/>
  <c r="BK193" i="28"/>
  <c r="BG193" i="28"/>
  <c r="BM193" i="28"/>
  <c r="BR193" i="28"/>
  <c r="BJ193" i="28"/>
  <c r="BQ193" i="28"/>
  <c r="BI193" i="28"/>
  <c r="BF193" i="28"/>
  <c r="BN193" i="28"/>
  <c r="BS283" i="28"/>
  <c r="BO283" i="28"/>
  <c r="BK283" i="28"/>
  <c r="BG283" i="28"/>
  <c r="BP283" i="28"/>
  <c r="BJ283" i="28"/>
  <c r="BT283" i="28"/>
  <c r="BN283" i="28"/>
  <c r="BI283" i="28"/>
  <c r="BM283" i="28"/>
  <c r="BL283" i="28"/>
  <c r="BR283" i="28"/>
  <c r="BH283" i="28"/>
  <c r="BQ283" i="28"/>
  <c r="BF283" i="28"/>
  <c r="AS236" i="28"/>
  <c r="AS275" i="28"/>
  <c r="AS144" i="28"/>
  <c r="AS213" i="28"/>
  <c r="AS163" i="28"/>
  <c r="AS164" i="28"/>
  <c r="AS270" i="28"/>
  <c r="AS208" i="28"/>
  <c r="AS166" i="28"/>
  <c r="AS111" i="28"/>
  <c r="AS262" i="28"/>
  <c r="AS347" i="28"/>
  <c r="AS327" i="28"/>
  <c r="AS261" i="28"/>
  <c r="AS239" i="28"/>
  <c r="AS219" i="28"/>
  <c r="AS177" i="28"/>
  <c r="AS157" i="28"/>
  <c r="AS137" i="28"/>
  <c r="AS344" i="28"/>
  <c r="AS138" i="28"/>
  <c r="AS220" i="28"/>
  <c r="AS158" i="28"/>
  <c r="AS336" i="28"/>
  <c r="AS316" i="28"/>
  <c r="AS264" i="28"/>
  <c r="AS222" i="28"/>
  <c r="AS182" i="28"/>
  <c r="AS156" i="28"/>
  <c r="AS136" i="28"/>
  <c r="AS114" i="28"/>
  <c r="AS230" i="28"/>
  <c r="AS339" i="28"/>
  <c r="AS319" i="28"/>
  <c r="AS257" i="28"/>
  <c r="AS237" i="28"/>
  <c r="AS217" i="28"/>
  <c r="AS195" i="28"/>
  <c r="AS175" i="28"/>
  <c r="AS155" i="28"/>
  <c r="AS135" i="28"/>
  <c r="AS113" i="28"/>
  <c r="AS132" i="28"/>
  <c r="AS238" i="28"/>
  <c r="AS162" i="28"/>
  <c r="AS174" i="28"/>
  <c r="AS338" i="28"/>
  <c r="AS256" i="28"/>
  <c r="AS343" i="28"/>
  <c r="AS321" i="28"/>
  <c r="AS255" i="28"/>
  <c r="AS235" i="28"/>
  <c r="AS193" i="28"/>
  <c r="AS173" i="28"/>
  <c r="AS153" i="28"/>
  <c r="AS131" i="28"/>
  <c r="AS334" i="28"/>
  <c r="AS190" i="28"/>
  <c r="AS128" i="28"/>
  <c r="AS330" i="28"/>
  <c r="AS258" i="28"/>
  <c r="AS218" i="28"/>
  <c r="AS176" i="28"/>
  <c r="AS150" i="28"/>
  <c r="AS130" i="28"/>
  <c r="AS110" i="28"/>
  <c r="AS168" i="28"/>
  <c r="AS154" i="28"/>
  <c r="AS335" i="28"/>
  <c r="AS315" i="28"/>
  <c r="AS273" i="28"/>
  <c r="AS253" i="28"/>
  <c r="AS231" i="28"/>
  <c r="AS211" i="28"/>
  <c r="AS191" i="28"/>
  <c r="AS171" i="28"/>
  <c r="AS149" i="28"/>
  <c r="AS129" i="28"/>
  <c r="AS328" i="28"/>
  <c r="AS112" i="28"/>
  <c r="AS172" i="28"/>
  <c r="AS318" i="28"/>
  <c r="AS252" i="28"/>
  <c r="AS337" i="28"/>
  <c r="AS317" i="28"/>
  <c r="AS271" i="28"/>
  <c r="AS229" i="28"/>
  <c r="AS209" i="28"/>
  <c r="AS189" i="28"/>
  <c r="AS167" i="28"/>
  <c r="AS147" i="28"/>
  <c r="AS240" i="28"/>
  <c r="AS348" i="28"/>
  <c r="AS272" i="28"/>
  <c r="AS184" i="28"/>
  <c r="AS346" i="28"/>
  <c r="AS326" i="28"/>
  <c r="AS254" i="28"/>
  <c r="AS234" i="28"/>
  <c r="AS212" i="28"/>
  <c r="AS192" i="28"/>
  <c r="AS146" i="28"/>
  <c r="AS126" i="28"/>
  <c r="AS109" i="28"/>
  <c r="AS226" i="28"/>
  <c r="AS148" i="28"/>
  <c r="AS108" i="28"/>
  <c r="AS329" i="28"/>
  <c r="AS267" i="28"/>
  <c r="AS227" i="28"/>
  <c r="AS207" i="28"/>
  <c r="AS185" i="28"/>
  <c r="AS165" i="28"/>
  <c r="AS145" i="28"/>
  <c r="AS210" i="28"/>
  <c r="AS274" i="28"/>
  <c r="AS127" i="28"/>
  <c r="AS333" i="28"/>
  <c r="AS265" i="28"/>
  <c r="AS225" i="28"/>
  <c r="AS183" i="28"/>
  <c r="AS141" i="28"/>
  <c r="AS180" i="28"/>
  <c r="AS324" i="28"/>
  <c r="AS266" i="28"/>
  <c r="AS342" i="28"/>
  <c r="AS320" i="28"/>
  <c r="AS228" i="28"/>
  <c r="AS186" i="28"/>
  <c r="AS140" i="28"/>
  <c r="AS276" i="28"/>
  <c r="AS345" i="28"/>
  <c r="AS325" i="28"/>
  <c r="AS263" i="28"/>
  <c r="AS221" i="28"/>
  <c r="AS181" i="28"/>
  <c r="AS159" i="28"/>
  <c r="AS139" i="28"/>
  <c r="AS216" i="28"/>
  <c r="AS194" i="28"/>
  <c r="AU55" i="28"/>
  <c r="AR55" i="28"/>
  <c r="AT78" i="28"/>
  <c r="AR78" i="28"/>
  <c r="AQ93" i="28"/>
  <c r="AR93" i="28"/>
  <c r="AN65" i="28"/>
  <c r="AR65" i="28"/>
  <c r="AU84" i="28"/>
  <c r="AR84" i="28"/>
  <c r="AQ90" i="28"/>
  <c r="AR90" i="28"/>
  <c r="AT94" i="28"/>
  <c r="AR94" i="28"/>
  <c r="AU83" i="28"/>
  <c r="AR83" i="28"/>
  <c r="AO51" i="28"/>
  <c r="AR51" i="28"/>
  <c r="AU66" i="28"/>
  <c r="AR66" i="28"/>
  <c r="AQ100" i="28"/>
  <c r="AR100" i="28"/>
  <c r="AN104" i="28"/>
  <c r="AR104" i="28"/>
  <c r="AU87" i="28"/>
  <c r="AR87" i="28"/>
  <c r="AT41" i="28"/>
  <c r="AR41" i="28"/>
  <c r="AU57" i="28"/>
  <c r="AR57" i="28"/>
  <c r="AN91" i="28"/>
  <c r="AR91" i="28"/>
  <c r="AT95" i="28"/>
  <c r="AR95" i="28"/>
  <c r="AQ14" i="28"/>
  <c r="AR14" i="28"/>
  <c r="AM64" i="28"/>
  <c r="AR64" i="28"/>
  <c r="AQ82" i="28"/>
  <c r="AR82" i="28"/>
  <c r="AQ86" i="28"/>
  <c r="AR86" i="28"/>
  <c r="AO105" i="28"/>
  <c r="AR105" i="28"/>
  <c r="AN42" i="28"/>
  <c r="AR42" i="28"/>
  <c r="AU77" i="28"/>
  <c r="AR77" i="28"/>
  <c r="AO92" i="28"/>
  <c r="AR92" i="28"/>
  <c r="AT96" i="28"/>
  <c r="AR96" i="28"/>
  <c r="BE10" i="28"/>
  <c r="BE12" i="28"/>
  <c r="AN138" i="28"/>
  <c r="AN333" i="28"/>
  <c r="AN327" i="28"/>
  <c r="AN321" i="28"/>
  <c r="AQ346" i="28"/>
  <c r="BB10" i="28"/>
  <c r="BB12" i="28"/>
  <c r="AQ54" i="28"/>
  <c r="AQ318" i="28"/>
  <c r="AT67" i="28"/>
  <c r="AU67" i="28"/>
  <c r="AM284" i="28"/>
  <c r="AN284" i="28"/>
  <c r="AQ180" i="28"/>
  <c r="AO284" i="28"/>
  <c r="AO155" i="28"/>
  <c r="AM319" i="28"/>
  <c r="AM67" i="28"/>
  <c r="AQ135" i="28"/>
  <c r="AN67" i="28"/>
  <c r="AT100" i="28"/>
  <c r="AM292" i="28"/>
  <c r="BB11" i="28"/>
  <c r="AO67" i="28"/>
  <c r="AT104" i="28"/>
  <c r="AN193" i="28"/>
  <c r="AM65" i="28"/>
  <c r="AQ67" i="28"/>
  <c r="AQ68" i="28"/>
  <c r="AM123" i="28"/>
  <c r="AQ147" i="28"/>
  <c r="AQ193" i="28"/>
  <c r="AQ319" i="28"/>
  <c r="BE11" i="28"/>
  <c r="AN346" i="28"/>
  <c r="AN63" i="28"/>
  <c r="AN131" i="28"/>
  <c r="AQ155" i="28"/>
  <c r="AO293" i="28"/>
  <c r="AN318" i="28"/>
  <c r="AU56" i="28"/>
  <c r="AM63" i="28"/>
  <c r="AN105" i="28"/>
  <c r="AM164" i="28"/>
  <c r="AQ126" i="28"/>
  <c r="AM60" i="28"/>
  <c r="AM55" i="28"/>
  <c r="AN60" i="28"/>
  <c r="AU63" i="28"/>
  <c r="AO66" i="28"/>
  <c r="AN92" i="28"/>
  <c r="AM204" i="28"/>
  <c r="AQ207" i="28"/>
  <c r="AM236" i="28"/>
  <c r="AN292" i="28"/>
  <c r="AN315" i="28"/>
  <c r="AO60" i="28"/>
  <c r="AU86" i="28"/>
  <c r="AM175" i="28"/>
  <c r="AN226" i="28"/>
  <c r="AN262" i="28"/>
  <c r="AO292" i="28"/>
  <c r="AQ60" i="28"/>
  <c r="AN283" i="28"/>
  <c r="AO320" i="28"/>
  <c r="AQ328" i="28"/>
  <c r="AT60" i="28"/>
  <c r="AO84" i="28"/>
  <c r="AM56" i="28"/>
  <c r="AU60" i="28"/>
  <c r="AQ78" i="28"/>
  <c r="AN81" i="28"/>
  <c r="AQ84" i="28"/>
  <c r="AO87" i="28"/>
  <c r="AQ111" i="28"/>
  <c r="AM131" i="28"/>
  <c r="AQ140" i="28"/>
  <c r="AO147" i="28"/>
  <c r="AO221" i="28"/>
  <c r="AO263" i="28"/>
  <c r="AQ285" i="28"/>
  <c r="AQ302" i="28"/>
  <c r="AQ316" i="28"/>
  <c r="AN56" i="28"/>
  <c r="AO218" i="28"/>
  <c r="AQ221" i="28"/>
  <c r="AQ235" i="28"/>
  <c r="AM14" i="28"/>
  <c r="AT56" i="28"/>
  <c r="AT63" i="28"/>
  <c r="AT66" i="28"/>
  <c r="AQ92" i="28"/>
  <c r="AM95" i="28"/>
  <c r="AQ114" i="28"/>
  <c r="AM147" i="28"/>
  <c r="AN157" i="28"/>
  <c r="AQ192" i="28"/>
  <c r="AM221" i="28"/>
  <c r="AQ284" i="28"/>
  <c r="AQ292" i="28"/>
  <c r="AN302" i="28"/>
  <c r="AN14" i="28"/>
  <c r="AM86" i="28"/>
  <c r="AU14" i="28"/>
  <c r="AN86" i="28"/>
  <c r="AM334" i="28"/>
  <c r="AT55" i="28"/>
  <c r="AO86" i="28"/>
  <c r="AM121" i="28"/>
  <c r="AO202" i="28"/>
  <c r="AQ263" i="28"/>
  <c r="AM326" i="28"/>
  <c r="AN334" i="28"/>
  <c r="AM336" i="28"/>
  <c r="AN338" i="28"/>
  <c r="AQ344" i="28"/>
  <c r="BB9" i="28"/>
  <c r="AM66" i="28"/>
  <c r="AU82" i="28"/>
  <c r="AM91" i="28"/>
  <c r="AQ109" i="28"/>
  <c r="AO162" i="28"/>
  <c r="AQ176" i="28"/>
  <c r="AQ202" i="28"/>
  <c r="AQ216" i="28"/>
  <c r="AQ261" i="28"/>
  <c r="AM303" i="28"/>
  <c r="AM312" i="28"/>
  <c r="AM320" i="28"/>
  <c r="AO334" i="28"/>
  <c r="AO336" i="28"/>
  <c r="AO338" i="28"/>
  <c r="AN66" i="28"/>
  <c r="AO68" i="28"/>
  <c r="AT86" i="28"/>
  <c r="AQ94" i="28"/>
  <c r="AO146" i="28"/>
  <c r="AQ148" i="28"/>
  <c r="AQ154" i="28"/>
  <c r="AQ162" i="28"/>
  <c r="AN171" i="28"/>
  <c r="AM182" i="28"/>
  <c r="AQ228" i="28"/>
  <c r="AO235" i="28"/>
  <c r="AN237" i="28"/>
  <c r="AN285" i="28"/>
  <c r="AM317" i="28"/>
  <c r="AN320" i="28"/>
  <c r="BE9" i="28"/>
  <c r="AT14" i="28"/>
  <c r="AQ51" i="28"/>
  <c r="AO209" i="28"/>
  <c r="AQ209" i="28"/>
  <c r="AM58" i="28"/>
  <c r="AQ58" i="28"/>
  <c r="AU59" i="28"/>
  <c r="AQ59" i="28"/>
  <c r="AO59" i="28"/>
  <c r="AN59" i="28"/>
  <c r="AM59" i="28"/>
  <c r="AT59" i="28"/>
  <c r="AO50" i="28"/>
  <c r="AN50" i="28"/>
  <c r="AU50" i="28"/>
  <c r="AQ50" i="28"/>
  <c r="AO163" i="28"/>
  <c r="AO229" i="28"/>
  <c r="AM229" i="28"/>
  <c r="AQ229" i="28"/>
  <c r="AT102" i="28"/>
  <c r="AO238" i="28"/>
  <c r="AO99" i="28"/>
  <c r="AQ345" i="28"/>
  <c r="AO345" i="28"/>
  <c r="AN345" i="28"/>
  <c r="AM345" i="28"/>
  <c r="AO191" i="28"/>
  <c r="AM212" i="28"/>
  <c r="AN247" i="28"/>
  <c r="AM315" i="28"/>
  <c r="AO317" i="28"/>
  <c r="AQ326" i="28"/>
  <c r="AM327" i="28"/>
  <c r="AN328" i="28"/>
  <c r="AO346" i="28"/>
  <c r="AT13" i="28"/>
  <c r="AO56" i="28"/>
  <c r="AO63" i="28"/>
  <c r="AQ65" i="28"/>
  <c r="AQ66" i="28"/>
  <c r="AU68" i="28"/>
  <c r="AM77" i="28"/>
  <c r="AM78" i="28"/>
  <c r="AM82" i="28"/>
  <c r="AM105" i="28"/>
  <c r="AN109" i="28"/>
  <c r="AM114" i="28"/>
  <c r="AO123" i="28"/>
  <c r="AN126" i="28"/>
  <c r="AM138" i="28"/>
  <c r="AM140" i="28"/>
  <c r="AM157" i="28"/>
  <c r="AN174" i="28"/>
  <c r="AO189" i="28"/>
  <c r="AO228" i="28"/>
  <c r="AQ271" i="28"/>
  <c r="AO285" i="28"/>
  <c r="AQ293" i="28"/>
  <c r="AO312" i="28"/>
  <c r="AO315" i="28"/>
  <c r="AQ321" i="28"/>
  <c r="AO327" i="28"/>
  <c r="AM51" i="28"/>
  <c r="AO77" i="28"/>
  <c r="AN78" i="28"/>
  <c r="AM81" i="28"/>
  <c r="AN82" i="28"/>
  <c r="AN83" i="28"/>
  <c r="AQ77" i="28"/>
  <c r="AO82" i="28"/>
  <c r="AQ91" i="28"/>
  <c r="AM93" i="28"/>
  <c r="AN112" i="28"/>
  <c r="AO157" i="28"/>
  <c r="AN230" i="28"/>
  <c r="AM254" i="28"/>
  <c r="AN311" i="28"/>
  <c r="AN339" i="28"/>
  <c r="AM42" i="28"/>
  <c r="AO57" i="28"/>
  <c r="AO64" i="28"/>
  <c r="AT81" i="28"/>
  <c r="AO93" i="28"/>
  <c r="AM104" i="28"/>
  <c r="AU105" i="28"/>
  <c r="AQ112" i="28"/>
  <c r="AN146" i="28"/>
  <c r="AO230" i="28"/>
  <c r="AO231" i="28"/>
  <c r="AO234" i="28"/>
  <c r="AQ236" i="28"/>
  <c r="AN240" i="28"/>
  <c r="AN254" i="28"/>
  <c r="AO266" i="28"/>
  <c r="AO303" i="28"/>
  <c r="AQ311" i="28"/>
  <c r="AN319" i="28"/>
  <c r="AM338" i="28"/>
  <c r="AO339" i="28"/>
  <c r="AM344" i="28"/>
  <c r="AO42" i="28"/>
  <c r="AT82" i="28"/>
  <c r="AQ104" i="28"/>
  <c r="AM135" i="28"/>
  <c r="AN139" i="28"/>
  <c r="AQ156" i="28"/>
  <c r="AO168" i="28"/>
  <c r="AO175" i="28"/>
  <c r="AN248" i="28"/>
  <c r="AQ254" i="28"/>
  <c r="AM276" i="28"/>
  <c r="AM329" i="28"/>
  <c r="AM337" i="28"/>
  <c r="AQ339" i="28"/>
  <c r="AN135" i="28"/>
  <c r="AO139" i="28"/>
  <c r="AM171" i="28"/>
  <c r="AN191" i="28"/>
  <c r="AN217" i="28"/>
  <c r="AO220" i="28"/>
  <c r="AM247" i="28"/>
  <c r="AM257" i="28"/>
  <c r="AQ329" i="28"/>
  <c r="AQ337" i="28"/>
  <c r="AM13" i="28"/>
  <c r="AO283" i="28"/>
  <c r="AN325" i="28"/>
  <c r="AQ325" i="28"/>
  <c r="AO325" i="28"/>
  <c r="AM325" i="28"/>
  <c r="AQ283" i="28"/>
  <c r="AM294" i="28"/>
  <c r="AO294" i="28"/>
  <c r="AQ294" i="28"/>
  <c r="AO330" i="28"/>
  <c r="AQ330" i="28"/>
  <c r="AN330" i="28"/>
  <c r="AM330" i="28"/>
  <c r="AN293" i="28"/>
  <c r="AO302" i="28"/>
  <c r="AM302" i="28"/>
  <c r="AN324" i="28"/>
  <c r="AO326" i="28"/>
  <c r="AM333" i="28"/>
  <c r="AN337" i="28"/>
  <c r="AM339" i="28"/>
  <c r="AO324" i="28"/>
  <c r="AM335" i="28"/>
  <c r="AM343" i="28"/>
  <c r="AM311" i="28"/>
  <c r="AN312" i="28"/>
  <c r="AM318" i="28"/>
  <c r="AO319" i="28"/>
  <c r="AO321" i="28"/>
  <c r="AQ324" i="28"/>
  <c r="AO329" i="28"/>
  <c r="AQ333" i="28"/>
  <c r="AN342" i="28"/>
  <c r="AO343" i="28"/>
  <c r="AN336" i="28"/>
  <c r="AO342" i="28"/>
  <c r="AQ343" i="28"/>
  <c r="AO344" i="28"/>
  <c r="AN303" i="28"/>
  <c r="AO311" i="28"/>
  <c r="AQ312" i="28"/>
  <c r="AM316" i="28"/>
  <c r="AN317" i="28"/>
  <c r="AO318" i="28"/>
  <c r="AN326" i="28"/>
  <c r="AM328" i="28"/>
  <c r="AN335" i="28"/>
  <c r="AO337" i="28"/>
  <c r="AQ348" i="28"/>
  <c r="AO348" i="28"/>
  <c r="AN348" i="28"/>
  <c r="AM348" i="28"/>
  <c r="AU15" i="28"/>
  <c r="AT15" i="28"/>
  <c r="AQ15" i="28"/>
  <c r="AO15" i="28"/>
  <c r="AN15" i="28"/>
  <c r="AM15" i="28"/>
  <c r="AN316" i="28"/>
  <c r="AM324" i="28"/>
  <c r="AO333" i="28"/>
  <c r="AO335" i="28"/>
  <c r="AN343" i="28"/>
  <c r="AM321" i="28"/>
  <c r="AN329" i="28"/>
  <c r="AQ335" i="28"/>
  <c r="AQ342" i="28"/>
  <c r="AM342" i="28"/>
  <c r="AU13" i="28"/>
  <c r="AM347" i="28"/>
  <c r="AN13" i="28"/>
  <c r="AO14" i="28"/>
  <c r="AN347" i="28"/>
  <c r="AO13" i="28"/>
  <c r="AO347" i="28"/>
  <c r="AQ13" i="28"/>
  <c r="AQ99" i="28"/>
  <c r="AM102" i="28"/>
  <c r="AO111" i="28"/>
  <c r="AM256" i="28"/>
  <c r="AO256" i="28"/>
  <c r="AQ256" i="28"/>
  <c r="AM130" i="28"/>
  <c r="AO130" i="28"/>
  <c r="AN136" i="28"/>
  <c r="AO91" i="28"/>
  <c r="AN93" i="28"/>
  <c r="AT99" i="28"/>
  <c r="AU100" i="28"/>
  <c r="AU102" i="28"/>
  <c r="AO104" i="28"/>
  <c r="AQ105" i="28"/>
  <c r="AM112" i="28"/>
  <c r="AM132" i="28"/>
  <c r="AO132" i="28"/>
  <c r="AN132" i="28"/>
  <c r="AM225" i="28"/>
  <c r="AO149" i="28"/>
  <c r="AQ149" i="28"/>
  <c r="AM167" i="28"/>
  <c r="AN167" i="28"/>
  <c r="AO249" i="28"/>
  <c r="AM249" i="28"/>
  <c r="AQ249" i="28"/>
  <c r="AM272" i="28"/>
  <c r="AO272" i="28"/>
  <c r="AN272" i="28"/>
  <c r="AT93" i="28"/>
  <c r="AN96" i="28"/>
  <c r="AM100" i="28"/>
  <c r="AO103" i="28"/>
  <c r="AO128" i="28"/>
  <c r="AN128" i="28"/>
  <c r="AM128" i="28"/>
  <c r="AM141" i="28"/>
  <c r="AQ141" i="28"/>
  <c r="AO141" i="28"/>
  <c r="AN141" i="28"/>
  <c r="AT92" i="28"/>
  <c r="AU93" i="28"/>
  <c r="AU95" i="28"/>
  <c r="AM99" i="28"/>
  <c r="AN100" i="28"/>
  <c r="AU103" i="28"/>
  <c r="AM109" i="28"/>
  <c r="AM186" i="28"/>
  <c r="AQ186" i="28"/>
  <c r="AO186" i="28"/>
  <c r="AN186" i="28"/>
  <c r="AO195" i="28"/>
  <c r="AQ195" i="28"/>
  <c r="AN195" i="28"/>
  <c r="AM195" i="28"/>
  <c r="AQ219" i="28"/>
  <c r="AN219" i="28"/>
  <c r="AM219" i="28"/>
  <c r="AN99" i="28"/>
  <c r="AO100" i="28"/>
  <c r="AM111" i="28"/>
  <c r="AQ153" i="28"/>
  <c r="AO153" i="28"/>
  <c r="AN153" i="28"/>
  <c r="AM153" i="28"/>
  <c r="AQ121" i="28"/>
  <c r="AO140" i="28"/>
  <c r="AM146" i="28"/>
  <c r="AO148" i="28"/>
  <c r="AO154" i="28"/>
  <c r="AM162" i="28"/>
  <c r="AN176" i="28"/>
  <c r="AO177" i="28"/>
  <c r="AN180" i="28"/>
  <c r="AO184" i="28"/>
  <c r="AM191" i="28"/>
  <c r="AO192" i="28"/>
  <c r="AO193" i="28"/>
  <c r="AM202" i="28"/>
  <c r="AN207" i="28"/>
  <c r="AN209" i="28"/>
  <c r="AM216" i="28"/>
  <c r="AN220" i="28"/>
  <c r="AM228" i="28"/>
  <c r="AN229" i="28"/>
  <c r="AN231" i="28"/>
  <c r="AM235" i="28"/>
  <c r="AN236" i="28"/>
  <c r="AN261" i="28"/>
  <c r="AO262" i="28"/>
  <c r="AM266" i="28"/>
  <c r="AQ231" i="28"/>
  <c r="AN255" i="28"/>
  <c r="AM264" i="28"/>
  <c r="AM270" i="28"/>
  <c r="AM137" i="28"/>
  <c r="AQ138" i="28"/>
  <c r="AM145" i="28"/>
  <c r="AN147" i="28"/>
  <c r="AM168" i="28"/>
  <c r="AN212" i="28"/>
  <c r="AO248" i="28"/>
  <c r="AO255" i="28"/>
  <c r="AQ264" i="28"/>
  <c r="AO270" i="28"/>
  <c r="AM271" i="28"/>
  <c r="AN276" i="28"/>
  <c r="AO137" i="28"/>
  <c r="AN145" i="28"/>
  <c r="AM150" i="28"/>
  <c r="AN168" i="28"/>
  <c r="AO171" i="28"/>
  <c r="AM174" i="28"/>
  <c r="AM185" i="28"/>
  <c r="AN210" i="28"/>
  <c r="AQ212" i="28"/>
  <c r="AM218" i="28"/>
  <c r="AM237" i="28"/>
  <c r="AM240" i="28"/>
  <c r="AQ270" i="28"/>
  <c r="AN271" i="28"/>
  <c r="AN185" i="28"/>
  <c r="AM222" i="28"/>
  <c r="AQ131" i="28"/>
  <c r="AM177" i="28"/>
  <c r="AM184" i="28"/>
  <c r="AO185" i="28"/>
  <c r="AM192" i="28"/>
  <c r="AN222" i="28"/>
  <c r="AM226" i="28"/>
  <c r="AO237" i="28"/>
  <c r="AQ240" i="28"/>
  <c r="AQ257" i="28"/>
  <c r="AO273" i="28"/>
  <c r="AN121" i="28"/>
  <c r="AN140" i="28"/>
  <c r="AN148" i="28"/>
  <c r="AN154" i="28"/>
  <c r="AQ163" i="28"/>
  <c r="AN177" i="28"/>
  <c r="AM180" i="28"/>
  <c r="AN184" i="28"/>
  <c r="AQ185" i="28"/>
  <c r="AM209" i="28"/>
  <c r="AQ222" i="28"/>
  <c r="AM231" i="28"/>
  <c r="AQ237" i="28"/>
  <c r="AM261" i="28"/>
  <c r="AQ273" i="28"/>
  <c r="AO85" i="28"/>
  <c r="AU85" i="28"/>
  <c r="AQ85" i="28"/>
  <c r="AN85" i="28"/>
  <c r="AM85" i="28"/>
  <c r="AT85" i="28"/>
  <c r="AM76" i="28"/>
  <c r="AT76" i="28"/>
  <c r="AQ76" i="28"/>
  <c r="AO76" i="28"/>
  <c r="AN76" i="28"/>
  <c r="AU76" i="28"/>
  <c r="AT54" i="28"/>
  <c r="AO54" i="28"/>
  <c r="AN54" i="28"/>
  <c r="AM54" i="28"/>
  <c r="AU54" i="28"/>
  <c r="AN51" i="28"/>
  <c r="AU51" i="28"/>
  <c r="AT51" i="28"/>
  <c r="AT69" i="28"/>
  <c r="AQ69" i="28"/>
  <c r="AO69" i="28"/>
  <c r="AN69" i="28"/>
  <c r="AM69" i="28"/>
  <c r="AU69" i="28"/>
  <c r="AM57" i="28"/>
  <c r="AT57" i="28"/>
  <c r="AQ57" i="28"/>
  <c r="AN57" i="28"/>
  <c r="AU42" i="28"/>
  <c r="AT42" i="28"/>
  <c r="AN58" i="28"/>
  <c r="AU58" i="28"/>
  <c r="AT58" i="28"/>
  <c r="AO58" i="28"/>
  <c r="AM50" i="28"/>
  <c r="AT50" i="28"/>
  <c r="AN64" i="28"/>
  <c r="AO65" i="28"/>
  <c r="AT68" i="28"/>
  <c r="AN84" i="28"/>
  <c r="AT84" i="28"/>
  <c r="AN87" i="28"/>
  <c r="AN55" i="28"/>
  <c r="AQ64" i="28"/>
  <c r="AU81" i="28"/>
  <c r="AO81" i="28"/>
  <c r="AO83" i="28"/>
  <c r="AQ87" i="28"/>
  <c r="AU40" i="28"/>
  <c r="AO55" i="28"/>
  <c r="AQ56" i="28"/>
  <c r="AQ63" i="28"/>
  <c r="AT65" i="28"/>
  <c r="AM68" i="28"/>
  <c r="AN77" i="28"/>
  <c r="AT77" i="28"/>
  <c r="AQ83" i="28"/>
  <c r="AM84" i="28"/>
  <c r="AT87" i="28"/>
  <c r="AN90" i="28"/>
  <c r="AU101" i="28"/>
  <c r="AT101" i="28"/>
  <c r="AQ101" i="28"/>
  <c r="AO101" i="28"/>
  <c r="AN101" i="28"/>
  <c r="AM101" i="28"/>
  <c r="AQ55" i="28"/>
  <c r="AT64" i="28"/>
  <c r="AU65" i="28"/>
  <c r="AN68" i="28"/>
  <c r="AO78" i="28"/>
  <c r="AU78" i="28"/>
  <c r="AT83" i="28"/>
  <c r="AO90" i="28"/>
  <c r="AU94" i="28"/>
  <c r="AO94" i="28"/>
  <c r="AN94" i="28"/>
  <c r="AM94" i="28"/>
  <c r="AU64" i="28"/>
  <c r="AM87" i="28"/>
  <c r="AM83" i="28"/>
  <c r="AM90" i="28"/>
  <c r="AU90" i="28"/>
  <c r="AT90" i="28"/>
  <c r="AQ81" i="28"/>
  <c r="AM96" i="28"/>
  <c r="AU96" i="28"/>
  <c r="AQ96" i="28"/>
  <c r="AO96" i="28"/>
  <c r="AT91" i="28"/>
  <c r="AU92" i="28"/>
  <c r="AN95" i="28"/>
  <c r="AU99" i="28"/>
  <c r="AN102" i="28"/>
  <c r="AM108" i="28"/>
  <c r="AN110" i="28"/>
  <c r="AU91" i="28"/>
  <c r="AO95" i="28"/>
  <c r="AO102" i="28"/>
  <c r="AO108" i="28"/>
  <c r="AO110" i="28"/>
  <c r="AQ122" i="28"/>
  <c r="AO122" i="28"/>
  <c r="AM122" i="28"/>
  <c r="AQ159" i="28"/>
  <c r="AO159" i="28"/>
  <c r="AN159" i="28"/>
  <c r="AM159" i="28"/>
  <c r="AM92" i="28"/>
  <c r="AQ95" i="28"/>
  <c r="AQ102" i="28"/>
  <c r="AN103" i="28"/>
  <c r="AQ113" i="28"/>
  <c r="AO113" i="28"/>
  <c r="AN113" i="28"/>
  <c r="AM113" i="28"/>
  <c r="AQ108" i="28"/>
  <c r="AN108" i="28"/>
  <c r="AM110" i="28"/>
  <c r="AQ110" i="28"/>
  <c r="AQ127" i="28"/>
  <c r="AO127" i="28"/>
  <c r="AN127" i="28"/>
  <c r="AM127" i="28"/>
  <c r="AM103" i="28"/>
  <c r="AT103" i="28"/>
  <c r="AQ103" i="28"/>
  <c r="AQ129" i="28"/>
  <c r="AO129" i="28"/>
  <c r="AM129" i="28"/>
  <c r="AT105" i="28"/>
  <c r="AO109" i="28"/>
  <c r="AN123" i="28"/>
  <c r="AN130" i="28"/>
  <c r="AO131" i="28"/>
  <c r="AQ132" i="28"/>
  <c r="AM136" i="28"/>
  <c r="AN137" i="28"/>
  <c r="AO138" i="28"/>
  <c r="AQ139" i="28"/>
  <c r="AQ144" i="28"/>
  <c r="AO144" i="28"/>
  <c r="AN144" i="28"/>
  <c r="AU104" i="28"/>
  <c r="AN114" i="28"/>
  <c r="AQ123" i="28"/>
  <c r="AQ130" i="28"/>
  <c r="AO136" i="28"/>
  <c r="AQ137" i="28"/>
  <c r="AO190" i="28"/>
  <c r="AQ190" i="28"/>
  <c r="AN190" i="28"/>
  <c r="AM190" i="28"/>
  <c r="AO114" i="28"/>
  <c r="AM126" i="28"/>
  <c r="AQ136" i="28"/>
  <c r="AQ158" i="28"/>
  <c r="AO158" i="28"/>
  <c r="AN158" i="28"/>
  <c r="AM158" i="28"/>
  <c r="AO183" i="28"/>
  <c r="AN183" i="28"/>
  <c r="AM183" i="28"/>
  <c r="AQ173" i="28"/>
  <c r="AO173" i="28"/>
  <c r="AN173" i="28"/>
  <c r="AQ166" i="28"/>
  <c r="AO166" i="28"/>
  <c r="AN166" i="28"/>
  <c r="AQ227" i="28"/>
  <c r="AM227" i="28"/>
  <c r="AN227" i="28"/>
  <c r="AQ172" i="28"/>
  <c r="AO172" i="28"/>
  <c r="AN172" i="28"/>
  <c r="AM172" i="28"/>
  <c r="AQ211" i="28"/>
  <c r="AN211" i="28"/>
  <c r="AO211" i="28"/>
  <c r="AM211" i="28"/>
  <c r="AQ165" i="28"/>
  <c r="AO165" i="28"/>
  <c r="AN165" i="28"/>
  <c r="AM165" i="28"/>
  <c r="AO194" i="28"/>
  <c r="AN194" i="28"/>
  <c r="AM194" i="28"/>
  <c r="AQ194" i="28"/>
  <c r="AO145" i="28"/>
  <c r="AQ146" i="28"/>
  <c r="AO167" i="28"/>
  <c r="AQ168" i="28"/>
  <c r="AO174" i="28"/>
  <c r="AQ181" i="28"/>
  <c r="AO181" i="28"/>
  <c r="AM181" i="28"/>
  <c r="AM189" i="28"/>
  <c r="AQ145" i="28"/>
  <c r="AQ167" i="28"/>
  <c r="AQ174" i="28"/>
  <c r="AQ175" i="28"/>
  <c r="AN175" i="28"/>
  <c r="AM149" i="28"/>
  <c r="AN150" i="28"/>
  <c r="AM156" i="28"/>
  <c r="AM163" i="28"/>
  <c r="AN164" i="28"/>
  <c r="AN208" i="28"/>
  <c r="AM208" i="28"/>
  <c r="AQ208" i="28"/>
  <c r="AO208" i="28"/>
  <c r="AN149" i="28"/>
  <c r="AO150" i="28"/>
  <c r="AM155" i="28"/>
  <c r="AN156" i="28"/>
  <c r="AN163" i="28"/>
  <c r="AO164" i="28"/>
  <c r="AQ189" i="28"/>
  <c r="AN189" i="28"/>
  <c r="AQ204" i="28"/>
  <c r="AN204" i="28"/>
  <c r="AQ213" i="28"/>
  <c r="AM213" i="28"/>
  <c r="AO213" i="28"/>
  <c r="AN213" i="28"/>
  <c r="AO176" i="28"/>
  <c r="AQ182" i="28"/>
  <c r="AN182" i="28"/>
  <c r="AQ203" i="28"/>
  <c r="AO203" i="28"/>
  <c r="AM203" i="28"/>
  <c r="AN203" i="28"/>
  <c r="AQ234" i="28"/>
  <c r="AM234" i="28"/>
  <c r="AQ177" i="28"/>
  <c r="AQ184" i="28"/>
  <c r="AQ191" i="28"/>
  <c r="AQ218" i="28"/>
  <c r="AN218" i="28"/>
  <c r="AQ220" i="28"/>
  <c r="AM220" i="28"/>
  <c r="AQ210" i="28"/>
  <c r="AO210" i="28"/>
  <c r="AM210" i="28"/>
  <c r="AQ225" i="28"/>
  <c r="AO225" i="28"/>
  <c r="AN225" i="28"/>
  <c r="AQ217" i="28"/>
  <c r="AO217" i="28"/>
  <c r="AM217" i="28"/>
  <c r="AQ239" i="28"/>
  <c r="AO239" i="28"/>
  <c r="AN239" i="28"/>
  <c r="AM239" i="28"/>
  <c r="AO207" i="28"/>
  <c r="AN221" i="28"/>
  <c r="AO222" i="28"/>
  <c r="AN228" i="28"/>
  <c r="AQ230" i="28"/>
  <c r="AN235" i="28"/>
  <c r="AO236" i="28"/>
  <c r="AO212" i="28"/>
  <c r="AO219" i="28"/>
  <c r="AO226" i="28"/>
  <c r="AQ238" i="28"/>
  <c r="AN238" i="28"/>
  <c r="AM238" i="28"/>
  <c r="AQ267" i="28"/>
  <c r="AO267" i="28"/>
  <c r="AN267" i="28"/>
  <c r="AM267" i="28"/>
  <c r="AQ275" i="28"/>
  <c r="AO275" i="28"/>
  <c r="AN275" i="28"/>
  <c r="AQ226" i="28"/>
  <c r="AQ253" i="28"/>
  <c r="AO253" i="28"/>
  <c r="AN253" i="28"/>
  <c r="AN216" i="28"/>
  <c r="AQ274" i="28"/>
  <c r="AO274" i="28"/>
  <c r="AN274" i="28"/>
  <c r="AM274" i="28"/>
  <c r="AQ252" i="28"/>
  <c r="AO252" i="28"/>
  <c r="AN252" i="28"/>
  <c r="AM252" i="28"/>
  <c r="AM248" i="28"/>
  <c r="AN249" i="28"/>
  <c r="AM255" i="28"/>
  <c r="AN256" i="28"/>
  <c r="AO257" i="28"/>
  <c r="AQ258" i="28"/>
  <c r="AM262" i="28"/>
  <c r="AN263" i="28"/>
  <c r="AO264" i="28"/>
  <c r="AQ265" i="28"/>
  <c r="AN270" i="28"/>
  <c r="AO271" i="28"/>
  <c r="AQ272" i="28"/>
  <c r="AO247" i="28"/>
  <c r="AQ248" i="28"/>
  <c r="AQ255" i="28"/>
  <c r="AO261" i="28"/>
  <c r="AQ262" i="28"/>
  <c r="AO276" i="28"/>
  <c r="AM273" i="28"/>
  <c r="AQ276" i="28"/>
  <c r="AM258" i="28"/>
  <c r="AM265" i="28"/>
  <c r="AN266" i="28"/>
  <c r="AN258" i="28"/>
  <c r="AN265" i="28"/>
  <c r="AT40" i="28"/>
  <c r="AU41" i="28"/>
  <c r="AM41" i="28"/>
  <c r="AM40" i="28"/>
  <c r="AN41" i="28"/>
  <c r="AN40" i="28"/>
  <c r="AO41" i="28"/>
  <c r="AQ42" i="28"/>
  <c r="AO40" i="28"/>
  <c r="AQ41" i="28"/>
  <c r="AQ40" i="28"/>
  <c r="BS15" i="28" l="1"/>
  <c r="BK15" i="28"/>
  <c r="BR15" i="28"/>
  <c r="BJ15" i="28"/>
  <c r="BT15" i="28"/>
  <c r="BQ15" i="28"/>
  <c r="BI15" i="28"/>
  <c r="BP15" i="28"/>
  <c r="BH15" i="28"/>
  <c r="BO15" i="28"/>
  <c r="BG15" i="28"/>
  <c r="BN15" i="28"/>
  <c r="BL15" i="28"/>
  <c r="BM15" i="28"/>
  <c r="BO13" i="28"/>
  <c r="BG13" i="28"/>
  <c r="BN13" i="28"/>
  <c r="BM13" i="28"/>
  <c r="BT13" i="28"/>
  <c r="BL13" i="28"/>
  <c r="BP13" i="28"/>
  <c r="BS13" i="28"/>
  <c r="BK13" i="28"/>
  <c r="BR13" i="28"/>
  <c r="BJ13" i="28"/>
  <c r="BQ13" i="28"/>
  <c r="BI13" i="28"/>
  <c r="BH13" i="28"/>
  <c r="BQ14" i="28"/>
  <c r="BI14" i="28"/>
  <c r="BJ14" i="28"/>
  <c r="BP14" i="28"/>
  <c r="BH14" i="28"/>
  <c r="BO14" i="28"/>
  <c r="BG14" i="28"/>
  <c r="BR14" i="28"/>
  <c r="BN14" i="28"/>
  <c r="BM14" i="28"/>
  <c r="BT14" i="28"/>
  <c r="BL14" i="28"/>
  <c r="BS14" i="28"/>
  <c r="BK14" i="28"/>
  <c r="AI193" i="28"/>
  <c r="BD193" i="28"/>
  <c r="BC193" i="28"/>
  <c r="BB193" i="28"/>
  <c r="BA193" i="28"/>
  <c r="AZ193" i="28"/>
  <c r="AI274" i="28"/>
  <c r="BB274" i="28"/>
  <c r="BA274" i="28"/>
  <c r="AZ274" i="28"/>
  <c r="BD274" i="28"/>
  <c r="BC274" i="28"/>
  <c r="AI328" i="28"/>
  <c r="AZ328" i="28"/>
  <c r="BD328" i="28"/>
  <c r="BC328" i="28"/>
  <c r="BB328" i="28"/>
  <c r="BA328" i="28"/>
  <c r="AI265" i="28"/>
  <c r="BD265" i="28"/>
  <c r="BC265" i="28"/>
  <c r="BB265" i="28"/>
  <c r="BA265" i="28"/>
  <c r="AZ265" i="28"/>
  <c r="AI310" i="28"/>
  <c r="AI337" i="28"/>
  <c r="BD337" i="28"/>
  <c r="BC337" i="28"/>
  <c r="BB337" i="28"/>
  <c r="BA337" i="28"/>
  <c r="AZ337" i="28"/>
  <c r="AI283" i="28"/>
  <c r="BD283" i="28"/>
  <c r="BC283" i="28"/>
  <c r="BB283" i="28"/>
  <c r="BA283" i="28"/>
  <c r="AZ283" i="28"/>
  <c r="AI292" i="28"/>
  <c r="BD292" i="28"/>
  <c r="BC292" i="28"/>
  <c r="BB292" i="28"/>
  <c r="BA292" i="28"/>
  <c r="AZ292" i="28"/>
  <c r="AI319" i="28"/>
  <c r="BC319" i="28"/>
  <c r="BB319" i="28"/>
  <c r="BA319" i="28"/>
  <c r="AZ319" i="28"/>
  <c r="BD319" i="28"/>
  <c r="AI256" i="28"/>
  <c r="AZ256" i="28"/>
  <c r="BD256" i="28"/>
  <c r="BC256" i="28"/>
  <c r="BB256" i="28"/>
  <c r="BA256" i="28"/>
  <c r="AI157" i="28"/>
  <c r="BA157" i="28"/>
  <c r="AZ157" i="28"/>
  <c r="BD157" i="28"/>
  <c r="BC157" i="28"/>
  <c r="BB157" i="28"/>
  <c r="AI238" i="28"/>
  <c r="BD238" i="28"/>
  <c r="BC238" i="28"/>
  <c r="BB238" i="28"/>
  <c r="BA238" i="28"/>
  <c r="AZ238" i="28"/>
  <c r="AI175" i="28"/>
  <c r="BC175" i="28"/>
  <c r="BB175" i="28"/>
  <c r="BA175" i="28"/>
  <c r="AZ175" i="28"/>
  <c r="BD175" i="28"/>
  <c r="AI301" i="28"/>
  <c r="AI184" i="28"/>
  <c r="AZ184" i="28"/>
  <c r="BD184" i="28"/>
  <c r="BC184" i="28"/>
  <c r="BB184" i="28"/>
  <c r="BA184" i="28"/>
  <c r="AI247" i="28"/>
  <c r="BC247" i="28"/>
  <c r="BB247" i="28"/>
  <c r="BA247" i="28"/>
  <c r="AZ247" i="28"/>
  <c r="BD247" i="28"/>
  <c r="AI346" i="28"/>
  <c r="BB346" i="28"/>
  <c r="BA346" i="28"/>
  <c r="AZ346" i="28"/>
  <c r="BD346" i="28"/>
  <c r="BC346" i="28"/>
  <c r="AI211" i="28"/>
  <c r="BD211" i="28"/>
  <c r="BC211" i="28"/>
  <c r="BB211" i="28"/>
  <c r="BA211" i="28"/>
  <c r="AZ211" i="28"/>
  <c r="AI166" i="28"/>
  <c r="BD166" i="28"/>
  <c r="BC166" i="28"/>
  <c r="BA166" i="28"/>
  <c r="AZ166" i="28"/>
  <c r="BB166" i="28"/>
  <c r="AI220" i="28"/>
  <c r="BD220" i="28"/>
  <c r="BC220" i="28"/>
  <c r="BB220" i="28"/>
  <c r="BA220" i="28"/>
  <c r="AZ220" i="28"/>
  <c r="AI202" i="28"/>
  <c r="BB202" i="28"/>
  <c r="BA202" i="28"/>
  <c r="AZ202" i="28"/>
  <c r="BD202" i="28"/>
  <c r="BC202" i="28"/>
  <c r="AI150" i="28"/>
  <c r="BB150" i="28"/>
  <c r="BA150" i="28"/>
  <c r="AZ150" i="28"/>
  <c r="BD150" i="28"/>
  <c r="BC150" i="28"/>
  <c r="AI229" i="28"/>
  <c r="BA229" i="28"/>
  <c r="AZ229" i="28"/>
  <c r="BD229" i="28"/>
  <c r="BC229" i="28"/>
  <c r="BB229" i="28"/>
  <c r="BR181" i="28"/>
  <c r="BN181" i="28"/>
  <c r="BJ181" i="28"/>
  <c r="BF181" i="28"/>
  <c r="BQ181" i="28"/>
  <c r="BM181" i="28"/>
  <c r="BI181" i="28"/>
  <c r="BS181" i="28"/>
  <c r="BK181" i="28"/>
  <c r="BP181" i="28"/>
  <c r="BH181" i="28"/>
  <c r="BO181" i="28"/>
  <c r="BG181" i="28"/>
  <c r="BT181" i="28"/>
  <c r="BL181" i="28"/>
  <c r="BQ190" i="28"/>
  <c r="BM190" i="28"/>
  <c r="BI190" i="28"/>
  <c r="BT190" i="28"/>
  <c r="BP190" i="28"/>
  <c r="BL190" i="28"/>
  <c r="BH190" i="28"/>
  <c r="BR190" i="28"/>
  <c r="BJ190" i="28"/>
  <c r="BO190" i="28"/>
  <c r="BG190" i="28"/>
  <c r="BN190" i="28"/>
  <c r="BF190" i="28"/>
  <c r="BS190" i="28"/>
  <c r="BK190" i="28"/>
  <c r="BQ168" i="28"/>
  <c r="BM168" i="28"/>
  <c r="BI168" i="28"/>
  <c r="BT168" i="28"/>
  <c r="BP168" i="28"/>
  <c r="BL168" i="28"/>
  <c r="BH168" i="28"/>
  <c r="BR168" i="28"/>
  <c r="BJ168" i="28"/>
  <c r="BO168" i="28"/>
  <c r="BG168" i="28"/>
  <c r="BN168" i="28"/>
  <c r="BF168" i="28"/>
  <c r="BS168" i="28"/>
  <c r="BK168" i="28"/>
  <c r="BT228" i="28"/>
  <c r="BP228" i="28"/>
  <c r="BL228" i="28"/>
  <c r="BH228" i="28"/>
  <c r="BS228" i="28"/>
  <c r="BO228" i="28"/>
  <c r="BK228" i="28"/>
  <c r="BG228" i="28"/>
  <c r="BR228" i="28"/>
  <c r="BN228" i="28"/>
  <c r="BJ228" i="28"/>
  <c r="BF228" i="28"/>
  <c r="BQ228" i="28"/>
  <c r="BM228" i="28"/>
  <c r="BI228" i="28"/>
  <c r="BR272" i="28"/>
  <c r="BN272" i="28"/>
  <c r="BJ272" i="28"/>
  <c r="BF272" i="28"/>
  <c r="BQ272" i="28"/>
  <c r="BL272" i="28"/>
  <c r="BG272" i="28"/>
  <c r="BP272" i="28"/>
  <c r="BK272" i="28"/>
  <c r="BT272" i="28"/>
  <c r="BI272" i="28"/>
  <c r="BS272" i="28"/>
  <c r="BH272" i="28"/>
  <c r="BO272" i="28"/>
  <c r="BM272" i="28"/>
  <c r="BT112" i="28"/>
  <c r="BP112" i="28"/>
  <c r="BL112" i="28"/>
  <c r="BH112" i="28"/>
  <c r="BO112" i="28"/>
  <c r="BJ112" i="28"/>
  <c r="BS112" i="28"/>
  <c r="BN112" i="28"/>
  <c r="BI112" i="28"/>
  <c r="BR112" i="28"/>
  <c r="BM112" i="28"/>
  <c r="BG112" i="28"/>
  <c r="BF112" i="28"/>
  <c r="BQ112" i="28"/>
  <c r="BK112" i="28"/>
  <c r="BS343" i="28"/>
  <c r="BO343" i="28"/>
  <c r="BK343" i="28"/>
  <c r="BG343" i="28"/>
  <c r="BR343" i="28"/>
  <c r="BN343" i="28"/>
  <c r="BJ343" i="28"/>
  <c r="BF343" i="28"/>
  <c r="BQ343" i="28"/>
  <c r="BM343" i="28"/>
  <c r="BI343" i="28"/>
  <c r="BT343" i="28"/>
  <c r="BP343" i="28"/>
  <c r="BL343" i="28"/>
  <c r="BH343" i="28"/>
  <c r="BQ345" i="28"/>
  <c r="BM345" i="28"/>
  <c r="BI345" i="28"/>
  <c r="BT345" i="28"/>
  <c r="BP345" i="28"/>
  <c r="BL345" i="28"/>
  <c r="BH345" i="28"/>
  <c r="BS345" i="28"/>
  <c r="BO345" i="28"/>
  <c r="BK345" i="28"/>
  <c r="BG345" i="28"/>
  <c r="BR345" i="28"/>
  <c r="BN345" i="28"/>
  <c r="BJ345" i="28"/>
  <c r="BF345" i="28"/>
  <c r="BR336" i="28"/>
  <c r="BN336" i="28"/>
  <c r="BJ336" i="28"/>
  <c r="BF336" i="28"/>
  <c r="BQ336" i="28"/>
  <c r="BM336" i="28"/>
  <c r="BI336" i="28"/>
  <c r="BT336" i="28"/>
  <c r="BP336" i="28"/>
  <c r="BL336" i="28"/>
  <c r="BH336" i="28"/>
  <c r="BS336" i="28"/>
  <c r="BO336" i="28"/>
  <c r="BK336" i="28"/>
  <c r="BG336" i="28"/>
  <c r="BS221" i="28"/>
  <c r="BO221" i="28"/>
  <c r="BK221" i="28"/>
  <c r="BG221" i="28"/>
  <c r="BR221" i="28"/>
  <c r="BN221" i="28"/>
  <c r="BJ221" i="28"/>
  <c r="BF221" i="28"/>
  <c r="BQ221" i="28"/>
  <c r="BM221" i="28"/>
  <c r="BI221" i="28"/>
  <c r="BP221" i="28"/>
  <c r="BL221" i="28"/>
  <c r="BH221" i="28"/>
  <c r="BT221" i="28"/>
  <c r="BQ164" i="28"/>
  <c r="BM164" i="28"/>
  <c r="BI164" i="28"/>
  <c r="BT164" i="28"/>
  <c r="BP164" i="28"/>
  <c r="BL164" i="28"/>
  <c r="BH164" i="28"/>
  <c r="BN164" i="28"/>
  <c r="BF164" i="28"/>
  <c r="BS164" i="28"/>
  <c r="BK164" i="28"/>
  <c r="BR164" i="28"/>
  <c r="BJ164" i="28"/>
  <c r="BO164" i="28"/>
  <c r="BG164" i="28"/>
  <c r="BR40" i="28"/>
  <c r="BN40" i="28"/>
  <c r="BJ40" i="28"/>
  <c r="BF40" i="28"/>
  <c r="BQ40" i="28"/>
  <c r="BM40" i="28"/>
  <c r="BI40" i="28"/>
  <c r="BT40" i="28"/>
  <c r="BP40" i="28"/>
  <c r="BL40" i="28"/>
  <c r="BH40" i="28"/>
  <c r="BS40" i="28"/>
  <c r="BO40" i="28"/>
  <c r="BK40" i="28"/>
  <c r="BG40" i="28"/>
  <c r="BR258" i="28"/>
  <c r="BN258" i="28"/>
  <c r="BJ258" i="28"/>
  <c r="BF258" i="28"/>
  <c r="BQ258" i="28"/>
  <c r="BM258" i="28"/>
  <c r="BI258" i="28"/>
  <c r="BT258" i="28"/>
  <c r="BL258" i="28"/>
  <c r="BS258" i="28"/>
  <c r="BK258" i="28"/>
  <c r="BP258" i="28"/>
  <c r="BH258" i="28"/>
  <c r="BO258" i="28"/>
  <c r="BG258" i="28"/>
  <c r="BT262" i="28"/>
  <c r="BP262" i="28"/>
  <c r="BL262" i="28"/>
  <c r="BH262" i="28"/>
  <c r="BS262" i="28"/>
  <c r="BO262" i="28"/>
  <c r="BK262" i="28"/>
  <c r="BG262" i="28"/>
  <c r="BN262" i="28"/>
  <c r="BF262" i="28"/>
  <c r="BM262" i="28"/>
  <c r="BR262" i="28"/>
  <c r="BJ262" i="28"/>
  <c r="BQ262" i="28"/>
  <c r="BI262" i="28"/>
  <c r="BS255" i="28"/>
  <c r="BO255" i="28"/>
  <c r="BK255" i="28"/>
  <c r="BG255" i="28"/>
  <c r="BR255" i="28"/>
  <c r="BN255" i="28"/>
  <c r="BJ255" i="28"/>
  <c r="BF255" i="28"/>
  <c r="BQ255" i="28"/>
  <c r="BI255" i="28"/>
  <c r="BP255" i="28"/>
  <c r="BH255" i="28"/>
  <c r="BM255" i="28"/>
  <c r="BL255" i="28"/>
  <c r="BT255" i="28"/>
  <c r="BT252" i="28"/>
  <c r="BP252" i="28"/>
  <c r="BL252" i="28"/>
  <c r="BH252" i="28"/>
  <c r="BS252" i="28"/>
  <c r="BO252" i="28"/>
  <c r="BK252" i="28"/>
  <c r="BG252" i="28"/>
  <c r="BN252" i="28"/>
  <c r="BF252" i="28"/>
  <c r="BM252" i="28"/>
  <c r="BR252" i="28"/>
  <c r="BJ252" i="28"/>
  <c r="BQ252" i="28"/>
  <c r="BI252" i="28"/>
  <c r="BT274" i="28"/>
  <c r="BP274" i="28"/>
  <c r="BL274" i="28"/>
  <c r="BH274" i="28"/>
  <c r="BS274" i="28"/>
  <c r="BN274" i="28"/>
  <c r="BI274" i="28"/>
  <c r="BR274" i="28"/>
  <c r="BM274" i="28"/>
  <c r="BG274" i="28"/>
  <c r="BK274" i="28"/>
  <c r="BJ274" i="28"/>
  <c r="BQ274" i="28"/>
  <c r="BF274" i="28"/>
  <c r="BO274" i="28"/>
  <c r="BS267" i="28"/>
  <c r="BO267" i="28"/>
  <c r="BK267" i="28"/>
  <c r="BG267" i="28"/>
  <c r="BT267" i="28"/>
  <c r="BN267" i="28"/>
  <c r="BI267" i="28"/>
  <c r="BR267" i="28"/>
  <c r="BM267" i="28"/>
  <c r="BH267" i="28"/>
  <c r="BL267" i="28"/>
  <c r="BJ267" i="28"/>
  <c r="BQ267" i="28"/>
  <c r="BF267" i="28"/>
  <c r="BP267" i="28"/>
  <c r="BT238" i="28"/>
  <c r="BP238" i="28"/>
  <c r="BL238" i="28"/>
  <c r="BH238" i="28"/>
  <c r="BS238" i="28"/>
  <c r="BO238" i="28"/>
  <c r="BK238" i="28"/>
  <c r="BG238" i="28"/>
  <c r="BR238" i="28"/>
  <c r="BN238" i="28"/>
  <c r="BJ238" i="28"/>
  <c r="BF238" i="28"/>
  <c r="BM238" i="28"/>
  <c r="BI238" i="28"/>
  <c r="BQ238" i="28"/>
  <c r="BR149" i="28"/>
  <c r="BN149" i="28"/>
  <c r="BJ149" i="28"/>
  <c r="BF149" i="28"/>
  <c r="BQ149" i="28"/>
  <c r="BM149" i="28"/>
  <c r="BI149" i="28"/>
  <c r="BS149" i="28"/>
  <c r="BK149" i="28"/>
  <c r="BP149" i="28"/>
  <c r="BH149" i="28"/>
  <c r="BO149" i="28"/>
  <c r="BG149" i="28"/>
  <c r="BT149" i="28"/>
  <c r="BL149" i="28"/>
  <c r="BQ194" i="28"/>
  <c r="BM194" i="28"/>
  <c r="BI194" i="28"/>
  <c r="BT194" i="28"/>
  <c r="BP194" i="28"/>
  <c r="BL194" i="28"/>
  <c r="BH194" i="28"/>
  <c r="BN194" i="28"/>
  <c r="BF194" i="28"/>
  <c r="BS194" i="28"/>
  <c r="BK194" i="28"/>
  <c r="BR194" i="28"/>
  <c r="BJ194" i="28"/>
  <c r="BO194" i="28"/>
  <c r="BG194" i="28"/>
  <c r="BS227" i="28"/>
  <c r="BO227" i="28"/>
  <c r="BK227" i="28"/>
  <c r="BG227" i="28"/>
  <c r="BR227" i="28"/>
  <c r="BN227" i="28"/>
  <c r="BJ227" i="28"/>
  <c r="BF227" i="28"/>
  <c r="BQ227" i="28"/>
  <c r="BM227" i="28"/>
  <c r="BI227" i="28"/>
  <c r="BT227" i="28"/>
  <c r="BP227" i="28"/>
  <c r="BL227" i="28"/>
  <c r="BH227" i="28"/>
  <c r="BT183" i="28"/>
  <c r="BP183" i="28"/>
  <c r="BL183" i="28"/>
  <c r="BH183" i="28"/>
  <c r="BS183" i="28"/>
  <c r="BO183" i="28"/>
  <c r="BK183" i="28"/>
  <c r="BG183" i="28"/>
  <c r="BM183" i="28"/>
  <c r="BR183" i="28"/>
  <c r="BJ183" i="28"/>
  <c r="BQ183" i="28"/>
  <c r="BI183" i="28"/>
  <c r="BN183" i="28"/>
  <c r="BF183" i="28"/>
  <c r="BR126" i="28"/>
  <c r="BN126" i="28"/>
  <c r="BJ126" i="28"/>
  <c r="BF126" i="28"/>
  <c r="BT126" i="28"/>
  <c r="BO126" i="28"/>
  <c r="BI126" i="28"/>
  <c r="BS126" i="28"/>
  <c r="BM126" i="28"/>
  <c r="BH126" i="28"/>
  <c r="BQ126" i="28"/>
  <c r="BL126" i="28"/>
  <c r="BG126" i="28"/>
  <c r="BP126" i="28"/>
  <c r="BK126" i="28"/>
  <c r="BS103" i="28"/>
  <c r="BO103" i="28"/>
  <c r="BK103" i="28"/>
  <c r="BG103" i="28"/>
  <c r="BR103" i="28"/>
  <c r="BN103" i="28"/>
  <c r="BJ103" i="28"/>
  <c r="BF103" i="28"/>
  <c r="BQ103" i="28"/>
  <c r="BM103" i="28"/>
  <c r="BI103" i="28"/>
  <c r="BL103" i="28"/>
  <c r="BH103" i="28"/>
  <c r="BT103" i="28"/>
  <c r="BP103" i="28"/>
  <c r="BR92" i="28"/>
  <c r="BN92" i="28"/>
  <c r="BJ92" i="28"/>
  <c r="BF92" i="28"/>
  <c r="BQ92" i="28"/>
  <c r="BM92" i="28"/>
  <c r="BI92" i="28"/>
  <c r="BT92" i="28"/>
  <c r="BP92" i="28"/>
  <c r="BL92" i="28"/>
  <c r="BH92" i="28"/>
  <c r="BS92" i="28"/>
  <c r="BO92" i="28"/>
  <c r="BK92" i="28"/>
  <c r="BG92" i="28"/>
  <c r="BT90" i="28"/>
  <c r="BP90" i="28"/>
  <c r="BL90" i="28"/>
  <c r="BH90" i="28"/>
  <c r="BS90" i="28"/>
  <c r="BO90" i="28"/>
  <c r="BK90" i="28"/>
  <c r="BG90" i="28"/>
  <c r="BR90" i="28"/>
  <c r="BN90" i="28"/>
  <c r="BJ90" i="28"/>
  <c r="BF90" i="28"/>
  <c r="BQ90" i="28"/>
  <c r="BM90" i="28"/>
  <c r="BI90" i="28"/>
  <c r="BQ101" i="28"/>
  <c r="BM101" i="28"/>
  <c r="BI101" i="28"/>
  <c r="BT101" i="28"/>
  <c r="BP101" i="28"/>
  <c r="BL101" i="28"/>
  <c r="BH101" i="28"/>
  <c r="BS101" i="28"/>
  <c r="BO101" i="28"/>
  <c r="BK101" i="28"/>
  <c r="BG101" i="28"/>
  <c r="BJ101" i="28"/>
  <c r="BF101" i="28"/>
  <c r="BR101" i="28"/>
  <c r="BN101" i="28"/>
  <c r="BT84" i="28"/>
  <c r="BP84" i="28"/>
  <c r="BL84" i="28"/>
  <c r="BH84" i="28"/>
  <c r="BS84" i="28"/>
  <c r="BO84" i="28"/>
  <c r="BK84" i="28"/>
  <c r="BG84" i="28"/>
  <c r="BR84" i="28"/>
  <c r="BN84" i="28"/>
  <c r="BJ84" i="28"/>
  <c r="BF84" i="28"/>
  <c r="BM84" i="28"/>
  <c r="BI84" i="28"/>
  <c r="BQ84" i="28"/>
  <c r="BT68" i="28"/>
  <c r="BP68" i="28"/>
  <c r="BL68" i="28"/>
  <c r="BH68" i="28"/>
  <c r="BS68" i="28"/>
  <c r="BO68" i="28"/>
  <c r="BK68" i="28"/>
  <c r="BG68" i="28"/>
  <c r="BR68" i="28"/>
  <c r="BN68" i="28"/>
  <c r="BJ68" i="28"/>
  <c r="BF68" i="28"/>
  <c r="BQ68" i="28"/>
  <c r="BM68" i="28"/>
  <c r="BI68" i="28"/>
  <c r="BS57" i="28"/>
  <c r="BO57" i="28"/>
  <c r="BK57" i="28"/>
  <c r="BG57" i="28"/>
  <c r="BR57" i="28"/>
  <c r="BN57" i="28"/>
  <c r="BJ57" i="28"/>
  <c r="BF57" i="28"/>
  <c r="BQ57" i="28"/>
  <c r="BM57" i="28"/>
  <c r="BI57" i="28"/>
  <c r="BH57" i="28"/>
  <c r="BT57" i="28"/>
  <c r="BP57" i="28"/>
  <c r="BL57" i="28"/>
  <c r="BR76" i="28"/>
  <c r="BN76" i="28"/>
  <c r="BJ76" i="28"/>
  <c r="BF76" i="28"/>
  <c r="BQ76" i="28"/>
  <c r="BM76" i="28"/>
  <c r="BI76" i="28"/>
  <c r="BT76" i="28"/>
  <c r="BP76" i="28"/>
  <c r="BL76" i="28"/>
  <c r="BH76" i="28"/>
  <c r="BG76" i="28"/>
  <c r="BS76" i="28"/>
  <c r="BO76" i="28"/>
  <c r="BK76" i="28"/>
  <c r="BS261" i="28"/>
  <c r="BO261" i="28"/>
  <c r="BK261" i="28"/>
  <c r="BG261" i="28"/>
  <c r="BR261" i="28"/>
  <c r="BN261" i="28"/>
  <c r="BJ261" i="28"/>
  <c r="BF261" i="28"/>
  <c r="BM261" i="28"/>
  <c r="BT261" i="28"/>
  <c r="BL261" i="28"/>
  <c r="BQ261" i="28"/>
  <c r="BI261" i="28"/>
  <c r="BP261" i="28"/>
  <c r="BH261" i="28"/>
  <c r="BQ180" i="28"/>
  <c r="BM180" i="28"/>
  <c r="BI180" i="28"/>
  <c r="BT180" i="28"/>
  <c r="BP180" i="28"/>
  <c r="BL180" i="28"/>
  <c r="BH180" i="28"/>
  <c r="BR180" i="28"/>
  <c r="BJ180" i="28"/>
  <c r="BO180" i="28"/>
  <c r="BG180" i="28"/>
  <c r="BN180" i="28"/>
  <c r="BF180" i="28"/>
  <c r="BK180" i="28"/>
  <c r="BS180" i="28"/>
  <c r="BR226" i="28"/>
  <c r="BN226" i="28"/>
  <c r="BJ226" i="28"/>
  <c r="BF226" i="28"/>
  <c r="BQ226" i="28"/>
  <c r="BM226" i="28"/>
  <c r="BI226" i="28"/>
  <c r="BT226" i="28"/>
  <c r="BP226" i="28"/>
  <c r="BL226" i="28"/>
  <c r="BH226" i="28"/>
  <c r="BS226" i="28"/>
  <c r="BO226" i="28"/>
  <c r="BK226" i="28"/>
  <c r="BG226" i="28"/>
  <c r="BQ184" i="28"/>
  <c r="BM184" i="28"/>
  <c r="BI184" i="28"/>
  <c r="BT184" i="28"/>
  <c r="BP184" i="28"/>
  <c r="BL184" i="28"/>
  <c r="BH184" i="28"/>
  <c r="BN184" i="28"/>
  <c r="BF184" i="28"/>
  <c r="BS184" i="28"/>
  <c r="BK184" i="28"/>
  <c r="BR184" i="28"/>
  <c r="BJ184" i="28"/>
  <c r="BO184" i="28"/>
  <c r="BG184" i="28"/>
  <c r="BS237" i="28"/>
  <c r="BO237" i="28"/>
  <c r="BK237" i="28"/>
  <c r="BG237" i="28"/>
  <c r="BR237" i="28"/>
  <c r="BN237" i="28"/>
  <c r="BJ237" i="28"/>
  <c r="BF237" i="28"/>
  <c r="BQ237" i="28"/>
  <c r="BM237" i="28"/>
  <c r="BI237" i="28"/>
  <c r="BL237" i="28"/>
  <c r="BH237" i="28"/>
  <c r="BT237" i="28"/>
  <c r="BP237" i="28"/>
  <c r="BT270" i="28"/>
  <c r="BP270" i="28"/>
  <c r="BL270" i="28"/>
  <c r="BH270" i="28"/>
  <c r="BO270" i="28"/>
  <c r="BJ270" i="28"/>
  <c r="BS270" i="28"/>
  <c r="BN270" i="28"/>
  <c r="BI270" i="28"/>
  <c r="BR270" i="28"/>
  <c r="BG270" i="28"/>
  <c r="BQ270" i="28"/>
  <c r="BF270" i="28"/>
  <c r="BM270" i="28"/>
  <c r="BK270" i="28"/>
  <c r="BR266" i="28"/>
  <c r="BN266" i="28"/>
  <c r="BJ266" i="28"/>
  <c r="BF266" i="28"/>
  <c r="BS266" i="28"/>
  <c r="BM266" i="28"/>
  <c r="BH266" i="28"/>
  <c r="BQ266" i="28"/>
  <c r="BL266" i="28"/>
  <c r="BG266" i="28"/>
  <c r="BP266" i="28"/>
  <c r="BO266" i="28"/>
  <c r="BK266" i="28"/>
  <c r="BT266" i="28"/>
  <c r="BI266" i="28"/>
  <c r="BQ235" i="28"/>
  <c r="BM235" i="28"/>
  <c r="BI235" i="28"/>
  <c r="BT235" i="28"/>
  <c r="BP235" i="28"/>
  <c r="BL235" i="28"/>
  <c r="BH235" i="28"/>
  <c r="BS235" i="28"/>
  <c r="BO235" i="28"/>
  <c r="BK235" i="28"/>
  <c r="BG235" i="28"/>
  <c r="BJ235" i="28"/>
  <c r="BF235" i="28"/>
  <c r="BR235" i="28"/>
  <c r="BN235" i="28"/>
  <c r="BS202" i="28"/>
  <c r="BO202" i="28"/>
  <c r="BK202" i="28"/>
  <c r="BG202" i="28"/>
  <c r="BR202" i="28"/>
  <c r="BN202" i="28"/>
  <c r="BJ202" i="28"/>
  <c r="BF202" i="28"/>
  <c r="BT202" i="28"/>
  <c r="BL202" i="28"/>
  <c r="BQ202" i="28"/>
  <c r="BI202" i="28"/>
  <c r="BP202" i="28"/>
  <c r="BH202" i="28"/>
  <c r="BM202" i="28"/>
  <c r="BR191" i="28"/>
  <c r="BN191" i="28"/>
  <c r="BJ191" i="28"/>
  <c r="BF191" i="28"/>
  <c r="BQ191" i="28"/>
  <c r="BM191" i="28"/>
  <c r="BI191" i="28"/>
  <c r="BS191" i="28"/>
  <c r="BK191" i="28"/>
  <c r="BP191" i="28"/>
  <c r="BH191" i="28"/>
  <c r="BO191" i="28"/>
  <c r="BG191" i="28"/>
  <c r="BT191" i="28"/>
  <c r="BL191" i="28"/>
  <c r="BS146" i="28"/>
  <c r="BO146" i="28"/>
  <c r="BK146" i="28"/>
  <c r="BG146" i="28"/>
  <c r="BR146" i="28"/>
  <c r="BN146" i="28"/>
  <c r="BJ146" i="28"/>
  <c r="BF146" i="28"/>
  <c r="BP146" i="28"/>
  <c r="BH146" i="28"/>
  <c r="BM146" i="28"/>
  <c r="BT146" i="28"/>
  <c r="BL146" i="28"/>
  <c r="BQ146" i="28"/>
  <c r="BI146" i="28"/>
  <c r="BQ219" i="28"/>
  <c r="BM219" i="28"/>
  <c r="BI219" i="28"/>
  <c r="BT219" i="28"/>
  <c r="BP219" i="28"/>
  <c r="BL219" i="28"/>
  <c r="BH219" i="28"/>
  <c r="BS219" i="28"/>
  <c r="BO219" i="28"/>
  <c r="BK219" i="28"/>
  <c r="BG219" i="28"/>
  <c r="BN219" i="28"/>
  <c r="BJ219" i="28"/>
  <c r="BF219" i="28"/>
  <c r="BR219" i="28"/>
  <c r="BT167" i="28"/>
  <c r="BP167" i="28"/>
  <c r="BL167" i="28"/>
  <c r="BH167" i="28"/>
  <c r="BS167" i="28"/>
  <c r="BO167" i="28"/>
  <c r="BK167" i="28"/>
  <c r="BG167" i="28"/>
  <c r="BQ167" i="28"/>
  <c r="BI167" i="28"/>
  <c r="BN167" i="28"/>
  <c r="BF167" i="28"/>
  <c r="BM167" i="28"/>
  <c r="BR167" i="28"/>
  <c r="BJ167" i="28"/>
  <c r="BT256" i="28"/>
  <c r="BP256" i="28"/>
  <c r="BL256" i="28"/>
  <c r="BH256" i="28"/>
  <c r="BS256" i="28"/>
  <c r="BO256" i="28"/>
  <c r="BK256" i="28"/>
  <c r="BG256" i="28"/>
  <c r="BR256" i="28"/>
  <c r="BJ256" i="28"/>
  <c r="BQ256" i="28"/>
  <c r="BI256" i="28"/>
  <c r="BN256" i="28"/>
  <c r="BF256" i="28"/>
  <c r="BM256" i="28"/>
  <c r="BR342" i="28"/>
  <c r="BN342" i="28"/>
  <c r="BJ342" i="28"/>
  <c r="BF342" i="28"/>
  <c r="BQ342" i="28"/>
  <c r="BM342" i="28"/>
  <c r="BI342" i="28"/>
  <c r="BT342" i="28"/>
  <c r="BP342" i="28"/>
  <c r="BL342" i="28"/>
  <c r="BH342" i="28"/>
  <c r="BS342" i="28"/>
  <c r="BO342" i="28"/>
  <c r="BK342" i="28"/>
  <c r="BG342" i="28"/>
  <c r="BS321" i="28"/>
  <c r="BO321" i="28"/>
  <c r="BK321" i="28"/>
  <c r="BG321" i="28"/>
  <c r="BR321" i="28"/>
  <c r="BN321" i="28"/>
  <c r="BJ321" i="28"/>
  <c r="BF321" i="28"/>
  <c r="BQ321" i="28"/>
  <c r="BM321" i="28"/>
  <c r="BI321" i="28"/>
  <c r="BT321" i="28"/>
  <c r="BP321" i="28"/>
  <c r="BL321" i="28"/>
  <c r="BH321" i="28"/>
  <c r="BT324" i="28"/>
  <c r="BP324" i="28"/>
  <c r="BL324" i="28"/>
  <c r="BH324" i="28"/>
  <c r="BS324" i="28"/>
  <c r="BO324" i="28"/>
  <c r="BK324" i="28"/>
  <c r="BG324" i="28"/>
  <c r="BR324" i="28"/>
  <c r="BN324" i="28"/>
  <c r="BJ324" i="28"/>
  <c r="BF324" i="28"/>
  <c r="BQ324" i="28"/>
  <c r="BM324" i="28"/>
  <c r="BI324" i="28"/>
  <c r="BT348" i="28"/>
  <c r="BP348" i="28"/>
  <c r="BL348" i="28"/>
  <c r="BH348" i="28"/>
  <c r="BS348" i="28"/>
  <c r="BO348" i="28"/>
  <c r="BK348" i="28"/>
  <c r="BG348" i="28"/>
  <c r="BR348" i="28"/>
  <c r="BN348" i="28"/>
  <c r="BJ348" i="28"/>
  <c r="BF348" i="28"/>
  <c r="BQ348" i="28"/>
  <c r="BM348" i="28"/>
  <c r="BI348" i="28"/>
  <c r="BQ335" i="28"/>
  <c r="BM335" i="28"/>
  <c r="BI335" i="28"/>
  <c r="BT335" i="28"/>
  <c r="BP335" i="28"/>
  <c r="BL335" i="28"/>
  <c r="BH335" i="28"/>
  <c r="BS335" i="28"/>
  <c r="BO335" i="28"/>
  <c r="BK335" i="28"/>
  <c r="BG335" i="28"/>
  <c r="BR335" i="28"/>
  <c r="BN335" i="28"/>
  <c r="BJ335" i="28"/>
  <c r="BF335" i="28"/>
  <c r="BQ294" i="28"/>
  <c r="BT294" i="28"/>
  <c r="BP294" i="28"/>
  <c r="BL294" i="28"/>
  <c r="BH294" i="28"/>
  <c r="BN294" i="28"/>
  <c r="BI294" i="28"/>
  <c r="BS294" i="28"/>
  <c r="BM294" i="28"/>
  <c r="BG294" i="28"/>
  <c r="BR294" i="28"/>
  <c r="BF294" i="28"/>
  <c r="BO294" i="28"/>
  <c r="BK294" i="28"/>
  <c r="BJ294" i="28"/>
  <c r="BQ325" i="28"/>
  <c r="BM325" i="28"/>
  <c r="BI325" i="28"/>
  <c r="BT325" i="28"/>
  <c r="BP325" i="28"/>
  <c r="BL325" i="28"/>
  <c r="BH325" i="28"/>
  <c r="BS325" i="28"/>
  <c r="BO325" i="28"/>
  <c r="BK325" i="28"/>
  <c r="BG325" i="28"/>
  <c r="BR325" i="28"/>
  <c r="BN325" i="28"/>
  <c r="BJ325" i="28"/>
  <c r="BF325" i="28"/>
  <c r="BQ257" i="28"/>
  <c r="BM257" i="28"/>
  <c r="BI257" i="28"/>
  <c r="BT257" i="28"/>
  <c r="BP257" i="28"/>
  <c r="BL257" i="28"/>
  <c r="BH257" i="28"/>
  <c r="BS257" i="28"/>
  <c r="BK257" i="28"/>
  <c r="BR257" i="28"/>
  <c r="BJ257" i="28"/>
  <c r="BO257" i="28"/>
  <c r="BG257" i="28"/>
  <c r="BN257" i="28"/>
  <c r="BF257" i="28"/>
  <c r="BT338" i="28"/>
  <c r="BP338" i="28"/>
  <c r="BL338" i="28"/>
  <c r="BH338" i="28"/>
  <c r="BS338" i="28"/>
  <c r="BO338" i="28"/>
  <c r="BK338" i="28"/>
  <c r="BG338" i="28"/>
  <c r="BR338" i="28"/>
  <c r="BN338" i="28"/>
  <c r="BJ338" i="28"/>
  <c r="BF338" i="28"/>
  <c r="BQ338" i="28"/>
  <c r="BM338" i="28"/>
  <c r="BI338" i="28"/>
  <c r="BQ105" i="28"/>
  <c r="BM105" i="28"/>
  <c r="BI105" i="28"/>
  <c r="BT105" i="28"/>
  <c r="BP105" i="28"/>
  <c r="BL105" i="28"/>
  <c r="BH105" i="28"/>
  <c r="BS105" i="28"/>
  <c r="BO105" i="28"/>
  <c r="BK105" i="28"/>
  <c r="BG105" i="28"/>
  <c r="BN105" i="28"/>
  <c r="BJ105" i="28"/>
  <c r="BF105" i="28"/>
  <c r="BR105" i="28"/>
  <c r="BQ59" i="28"/>
  <c r="BM59" i="28"/>
  <c r="BI59" i="28"/>
  <c r="BT59" i="28"/>
  <c r="BP59" i="28"/>
  <c r="BL59" i="28"/>
  <c r="BH59" i="28"/>
  <c r="BS59" i="28"/>
  <c r="BO59" i="28"/>
  <c r="BK59" i="28"/>
  <c r="BG59" i="28"/>
  <c r="BJ59" i="28"/>
  <c r="BF59" i="28"/>
  <c r="BR59" i="28"/>
  <c r="BN59" i="28"/>
  <c r="BR317" i="28"/>
  <c r="BN317" i="28"/>
  <c r="BJ317" i="28"/>
  <c r="BF317" i="28"/>
  <c r="BQ317" i="28"/>
  <c r="BM317" i="28"/>
  <c r="BI317" i="28"/>
  <c r="BO317" i="28"/>
  <c r="BG317" i="28"/>
  <c r="BT317" i="28"/>
  <c r="BL317" i="28"/>
  <c r="BS317" i="28"/>
  <c r="BP317" i="28"/>
  <c r="BK317" i="28"/>
  <c r="BH317" i="28"/>
  <c r="BT303" i="28"/>
  <c r="BP303" i="28"/>
  <c r="BL303" i="28"/>
  <c r="BH303" i="28"/>
  <c r="BS303" i="28"/>
  <c r="BO303" i="28"/>
  <c r="BK303" i="28"/>
  <c r="BG303" i="28"/>
  <c r="BM303" i="28"/>
  <c r="BR303" i="28"/>
  <c r="BJ303" i="28"/>
  <c r="BI303" i="28"/>
  <c r="BF303" i="28"/>
  <c r="BQ303" i="28"/>
  <c r="BN303" i="28"/>
  <c r="BS121" i="28"/>
  <c r="BO121" i="28"/>
  <c r="BK121" i="28"/>
  <c r="BG121" i="28"/>
  <c r="BQ121" i="28"/>
  <c r="BL121" i="28"/>
  <c r="BF121" i="28"/>
  <c r="BP121" i="28"/>
  <c r="BJ121" i="28"/>
  <c r="BT121" i="28"/>
  <c r="BN121" i="28"/>
  <c r="BI121" i="28"/>
  <c r="BH121" i="28"/>
  <c r="BR121" i="28"/>
  <c r="BM121" i="28"/>
  <c r="BT334" i="28"/>
  <c r="BP334" i="28"/>
  <c r="BL334" i="28"/>
  <c r="BH334" i="28"/>
  <c r="BS334" i="28"/>
  <c r="BO334" i="28"/>
  <c r="BK334" i="28"/>
  <c r="BG334" i="28"/>
  <c r="BR334" i="28"/>
  <c r="BN334" i="28"/>
  <c r="BJ334" i="28"/>
  <c r="BF334" i="28"/>
  <c r="BQ334" i="28"/>
  <c r="BM334" i="28"/>
  <c r="BI334" i="28"/>
  <c r="BR86" i="28"/>
  <c r="BN86" i="28"/>
  <c r="BJ86" i="28"/>
  <c r="BF86" i="28"/>
  <c r="BQ86" i="28"/>
  <c r="BM86" i="28"/>
  <c r="BI86" i="28"/>
  <c r="BT86" i="28"/>
  <c r="BP86" i="28"/>
  <c r="BL86" i="28"/>
  <c r="BH86" i="28"/>
  <c r="BO86" i="28"/>
  <c r="BK86" i="28"/>
  <c r="BG86" i="28"/>
  <c r="BS86" i="28"/>
  <c r="BQ95" i="28"/>
  <c r="BM95" i="28"/>
  <c r="BI95" i="28"/>
  <c r="BT95" i="28"/>
  <c r="BP95" i="28"/>
  <c r="BL95" i="28"/>
  <c r="BH95" i="28"/>
  <c r="BS95" i="28"/>
  <c r="BO95" i="28"/>
  <c r="BK95" i="28"/>
  <c r="BG95" i="28"/>
  <c r="BF95" i="28"/>
  <c r="BR95" i="28"/>
  <c r="BN95" i="28"/>
  <c r="BJ95" i="28"/>
  <c r="BR236" i="28"/>
  <c r="BN236" i="28"/>
  <c r="BJ236" i="28"/>
  <c r="BF236" i="28"/>
  <c r="BQ236" i="28"/>
  <c r="BM236" i="28"/>
  <c r="BI236" i="28"/>
  <c r="BT236" i="28"/>
  <c r="BP236" i="28"/>
  <c r="BL236" i="28"/>
  <c r="BH236" i="28"/>
  <c r="BK236" i="28"/>
  <c r="BG236" i="28"/>
  <c r="BS236" i="28"/>
  <c r="BO236" i="28"/>
  <c r="BR60" i="28"/>
  <c r="BN60" i="28"/>
  <c r="BJ60" i="28"/>
  <c r="BF60" i="28"/>
  <c r="BQ60" i="28"/>
  <c r="BM60" i="28"/>
  <c r="BI60" i="28"/>
  <c r="BT60" i="28"/>
  <c r="BP60" i="28"/>
  <c r="BL60" i="28"/>
  <c r="BH60" i="28"/>
  <c r="BK60" i="28"/>
  <c r="BG60" i="28"/>
  <c r="BS60" i="28"/>
  <c r="BO60" i="28"/>
  <c r="BQ123" i="28"/>
  <c r="BM123" i="28"/>
  <c r="BI123" i="28"/>
  <c r="BS123" i="28"/>
  <c r="BN123" i="28"/>
  <c r="BH123" i="28"/>
  <c r="BR123" i="28"/>
  <c r="BL123" i="28"/>
  <c r="BG123" i="28"/>
  <c r="BP123" i="28"/>
  <c r="BK123" i="28"/>
  <c r="BF123" i="28"/>
  <c r="BT123" i="28"/>
  <c r="BO123" i="28"/>
  <c r="BJ123" i="28"/>
  <c r="BQ65" i="28"/>
  <c r="BM65" i="28"/>
  <c r="BI65" i="28"/>
  <c r="BT65" i="28"/>
  <c r="BP65" i="28"/>
  <c r="BL65" i="28"/>
  <c r="BH65" i="28"/>
  <c r="BS65" i="28"/>
  <c r="BO65" i="28"/>
  <c r="BK65" i="28"/>
  <c r="BG65" i="28"/>
  <c r="BN65" i="28"/>
  <c r="BJ65" i="28"/>
  <c r="BF65" i="28"/>
  <c r="BR65" i="28"/>
  <c r="BS67" i="28"/>
  <c r="BO67" i="28"/>
  <c r="BK67" i="28"/>
  <c r="BG67" i="28"/>
  <c r="BR67" i="28"/>
  <c r="BN67" i="28"/>
  <c r="BJ67" i="28"/>
  <c r="BF67" i="28"/>
  <c r="BQ67" i="28"/>
  <c r="BM67" i="28"/>
  <c r="BI67" i="28"/>
  <c r="BP67" i="28"/>
  <c r="BL67" i="28"/>
  <c r="BH67" i="28"/>
  <c r="BT67" i="28"/>
  <c r="BT64" i="28"/>
  <c r="BP64" i="28"/>
  <c r="BL64" i="28"/>
  <c r="BH64" i="28"/>
  <c r="BS64" i="28"/>
  <c r="BO64" i="28"/>
  <c r="BK64" i="28"/>
  <c r="BG64" i="28"/>
  <c r="BR64" i="28"/>
  <c r="BN64" i="28"/>
  <c r="BJ64" i="28"/>
  <c r="BF64" i="28"/>
  <c r="BM64" i="28"/>
  <c r="BI64" i="28"/>
  <c r="BQ64" i="28"/>
  <c r="BQ265" i="28"/>
  <c r="BM265" i="28"/>
  <c r="BI265" i="28"/>
  <c r="BR265" i="28"/>
  <c r="BL265" i="28"/>
  <c r="BG265" i="28"/>
  <c r="BP265" i="28"/>
  <c r="BK265" i="28"/>
  <c r="BF265" i="28"/>
  <c r="BT265" i="28"/>
  <c r="BJ265" i="28"/>
  <c r="BS265" i="28"/>
  <c r="BH265" i="28"/>
  <c r="BO265" i="28"/>
  <c r="BN265" i="28"/>
  <c r="BS211" i="28"/>
  <c r="BO211" i="28"/>
  <c r="BK211" i="28"/>
  <c r="BG211" i="28"/>
  <c r="BR211" i="28"/>
  <c r="BN211" i="28"/>
  <c r="BJ211" i="28"/>
  <c r="BF211" i="28"/>
  <c r="BQ211" i="28"/>
  <c r="BM211" i="28"/>
  <c r="BI211" i="28"/>
  <c r="BH211" i="28"/>
  <c r="BT211" i="28"/>
  <c r="BP211" i="28"/>
  <c r="BL211" i="28"/>
  <c r="BQ129" i="28"/>
  <c r="BM129" i="28"/>
  <c r="BI129" i="28"/>
  <c r="BR129" i="28"/>
  <c r="BL129" i="28"/>
  <c r="BG129" i="28"/>
  <c r="BP129" i="28"/>
  <c r="BK129" i="28"/>
  <c r="BF129" i="28"/>
  <c r="BT129" i="28"/>
  <c r="BO129" i="28"/>
  <c r="BJ129" i="28"/>
  <c r="BS129" i="28"/>
  <c r="BN129" i="28"/>
  <c r="BH129" i="28"/>
  <c r="BT54" i="28"/>
  <c r="BP54" i="28"/>
  <c r="BL54" i="28"/>
  <c r="BH54" i="28"/>
  <c r="BS54" i="28"/>
  <c r="BO54" i="28"/>
  <c r="BK54" i="28"/>
  <c r="BG54" i="28"/>
  <c r="BR54" i="28"/>
  <c r="BN54" i="28"/>
  <c r="BJ54" i="28"/>
  <c r="BF54" i="28"/>
  <c r="BQ54" i="28"/>
  <c r="BM54" i="28"/>
  <c r="BI54" i="28"/>
  <c r="BT222" i="28"/>
  <c r="BP222" i="28"/>
  <c r="BL222" i="28"/>
  <c r="BH222" i="28"/>
  <c r="BS222" i="28"/>
  <c r="BO222" i="28"/>
  <c r="BK222" i="28"/>
  <c r="BG222" i="28"/>
  <c r="BR222" i="28"/>
  <c r="BN222" i="28"/>
  <c r="BJ222" i="28"/>
  <c r="BF222" i="28"/>
  <c r="BQ222" i="28"/>
  <c r="BM222" i="28"/>
  <c r="BI222" i="28"/>
  <c r="BT137" i="28"/>
  <c r="BP137" i="28"/>
  <c r="BL137" i="28"/>
  <c r="BH137" i="28"/>
  <c r="BS137" i="28"/>
  <c r="BO137" i="28"/>
  <c r="BK137" i="28"/>
  <c r="BG137" i="28"/>
  <c r="BQ137" i="28"/>
  <c r="BI137" i="28"/>
  <c r="BN137" i="28"/>
  <c r="BF137" i="28"/>
  <c r="BM137" i="28"/>
  <c r="BR137" i="28"/>
  <c r="BJ137" i="28"/>
  <c r="BS109" i="28"/>
  <c r="BO109" i="28"/>
  <c r="BK109" i="28"/>
  <c r="BG109" i="28"/>
  <c r="BR109" i="28"/>
  <c r="BN109" i="28"/>
  <c r="BJ109" i="28"/>
  <c r="BF109" i="28"/>
  <c r="BQ109" i="28"/>
  <c r="BM109" i="28"/>
  <c r="BI109" i="28"/>
  <c r="BP109" i="28"/>
  <c r="BL109" i="28"/>
  <c r="BH109" i="28"/>
  <c r="BT109" i="28"/>
  <c r="BQ225" i="28"/>
  <c r="BM225" i="28"/>
  <c r="BI225" i="28"/>
  <c r="BT225" i="28"/>
  <c r="BP225" i="28"/>
  <c r="BL225" i="28"/>
  <c r="BH225" i="28"/>
  <c r="BS225" i="28"/>
  <c r="BO225" i="28"/>
  <c r="BK225" i="28"/>
  <c r="BG225" i="28"/>
  <c r="BR225" i="28"/>
  <c r="BN225" i="28"/>
  <c r="BJ225" i="28"/>
  <c r="BF225" i="28"/>
  <c r="BS318" i="28"/>
  <c r="BO318" i="28"/>
  <c r="BK318" i="28"/>
  <c r="BG318" i="28"/>
  <c r="BR318" i="28"/>
  <c r="BN318" i="28"/>
  <c r="BJ318" i="28"/>
  <c r="BF318" i="28"/>
  <c r="BP318" i="28"/>
  <c r="BH318" i="28"/>
  <c r="BM318" i="28"/>
  <c r="BT318" i="28"/>
  <c r="BQ318" i="28"/>
  <c r="BL318" i="28"/>
  <c r="BI318" i="28"/>
  <c r="BQ329" i="28"/>
  <c r="BM329" i="28"/>
  <c r="BI329" i="28"/>
  <c r="BT329" i="28"/>
  <c r="BP329" i="28"/>
  <c r="BL329" i="28"/>
  <c r="BH329" i="28"/>
  <c r="BS329" i="28"/>
  <c r="BO329" i="28"/>
  <c r="BK329" i="28"/>
  <c r="BG329" i="28"/>
  <c r="BR329" i="28"/>
  <c r="BN329" i="28"/>
  <c r="BJ329" i="28"/>
  <c r="BF329" i="28"/>
  <c r="BQ138" i="28"/>
  <c r="BM138" i="28"/>
  <c r="BI138" i="28"/>
  <c r="BT138" i="28"/>
  <c r="BP138" i="28"/>
  <c r="BL138" i="28"/>
  <c r="BH138" i="28"/>
  <c r="BR138" i="28"/>
  <c r="BJ138" i="28"/>
  <c r="BO138" i="28"/>
  <c r="BG138" i="28"/>
  <c r="BN138" i="28"/>
  <c r="BF138" i="28"/>
  <c r="BK138" i="28"/>
  <c r="BS138" i="28"/>
  <c r="BS217" i="28"/>
  <c r="BO217" i="28"/>
  <c r="BK217" i="28"/>
  <c r="BG217" i="28"/>
  <c r="BR217" i="28"/>
  <c r="BN217" i="28"/>
  <c r="BJ217" i="28"/>
  <c r="BF217" i="28"/>
  <c r="BQ217" i="28"/>
  <c r="BM217" i="28"/>
  <c r="BI217" i="28"/>
  <c r="BL217" i="28"/>
  <c r="BH217" i="28"/>
  <c r="BT217" i="28"/>
  <c r="BP217" i="28"/>
  <c r="BQ213" i="28"/>
  <c r="BM213" i="28"/>
  <c r="BI213" i="28"/>
  <c r="BT213" i="28"/>
  <c r="BP213" i="28"/>
  <c r="BL213" i="28"/>
  <c r="BH213" i="28"/>
  <c r="BS213" i="28"/>
  <c r="BO213" i="28"/>
  <c r="BK213" i="28"/>
  <c r="BG213" i="28"/>
  <c r="BJ213" i="28"/>
  <c r="BF213" i="28"/>
  <c r="BR213" i="28"/>
  <c r="BN213" i="28"/>
  <c r="BR155" i="28"/>
  <c r="BN155" i="28"/>
  <c r="BJ155" i="28"/>
  <c r="BF155" i="28"/>
  <c r="BQ155" i="28"/>
  <c r="BM155" i="28"/>
  <c r="BI155" i="28"/>
  <c r="BO155" i="28"/>
  <c r="BG155" i="28"/>
  <c r="BT155" i="28"/>
  <c r="BL155" i="28"/>
  <c r="BS155" i="28"/>
  <c r="BK155" i="28"/>
  <c r="BH155" i="28"/>
  <c r="BP155" i="28"/>
  <c r="BS127" i="28"/>
  <c r="BO127" i="28"/>
  <c r="BK127" i="28"/>
  <c r="BG127" i="28"/>
  <c r="BP127" i="28"/>
  <c r="BJ127" i="28"/>
  <c r="BT127" i="28"/>
  <c r="BN127" i="28"/>
  <c r="BI127" i="28"/>
  <c r="BR127" i="28"/>
  <c r="BM127" i="28"/>
  <c r="BH127" i="28"/>
  <c r="BL127" i="28"/>
  <c r="BF127" i="28"/>
  <c r="BQ127" i="28"/>
  <c r="BQ113" i="28"/>
  <c r="BM113" i="28"/>
  <c r="BI113" i="28"/>
  <c r="BP113" i="28"/>
  <c r="BK113" i="28"/>
  <c r="BF113" i="28"/>
  <c r="BT113" i="28"/>
  <c r="BO113" i="28"/>
  <c r="BJ113" i="28"/>
  <c r="BS113" i="28"/>
  <c r="BN113" i="28"/>
  <c r="BH113" i="28"/>
  <c r="BL113" i="28"/>
  <c r="BG113" i="28"/>
  <c r="BR113" i="28"/>
  <c r="BR159" i="28"/>
  <c r="BN159" i="28"/>
  <c r="BJ159" i="28"/>
  <c r="BF159" i="28"/>
  <c r="BQ159" i="28"/>
  <c r="BM159" i="28"/>
  <c r="BI159" i="28"/>
  <c r="BS159" i="28"/>
  <c r="BK159" i="28"/>
  <c r="BP159" i="28"/>
  <c r="BH159" i="28"/>
  <c r="BO159" i="28"/>
  <c r="BG159" i="28"/>
  <c r="BL159" i="28"/>
  <c r="BT159" i="28"/>
  <c r="BT122" i="28"/>
  <c r="BP122" i="28"/>
  <c r="BL122" i="28"/>
  <c r="BH122" i="28"/>
  <c r="BR122" i="28"/>
  <c r="BM122" i="28"/>
  <c r="BG122" i="28"/>
  <c r="BQ122" i="28"/>
  <c r="BK122" i="28"/>
  <c r="BF122" i="28"/>
  <c r="BO122" i="28"/>
  <c r="BJ122" i="28"/>
  <c r="BN122" i="28"/>
  <c r="BI122" i="28"/>
  <c r="BS122" i="28"/>
  <c r="BS83" i="28"/>
  <c r="BO83" i="28"/>
  <c r="BK83" i="28"/>
  <c r="BG83" i="28"/>
  <c r="BR83" i="28"/>
  <c r="BN83" i="28"/>
  <c r="BJ83" i="28"/>
  <c r="BF83" i="28"/>
  <c r="BQ83" i="28"/>
  <c r="BM83" i="28"/>
  <c r="BI83" i="28"/>
  <c r="BL83" i="28"/>
  <c r="BH83" i="28"/>
  <c r="BT83" i="28"/>
  <c r="BP83" i="28"/>
  <c r="BQ209" i="28"/>
  <c r="BM209" i="28"/>
  <c r="BT209" i="28"/>
  <c r="BP209" i="28"/>
  <c r="BL209" i="28"/>
  <c r="BH209" i="28"/>
  <c r="BS209" i="28"/>
  <c r="BO209" i="28"/>
  <c r="BK209" i="28"/>
  <c r="BG209" i="28"/>
  <c r="BI209" i="28"/>
  <c r="BR209" i="28"/>
  <c r="BF209" i="28"/>
  <c r="BN209" i="28"/>
  <c r="BJ209" i="28"/>
  <c r="BT177" i="28"/>
  <c r="BP177" i="28"/>
  <c r="BL177" i="28"/>
  <c r="BH177" i="28"/>
  <c r="BS177" i="28"/>
  <c r="BO177" i="28"/>
  <c r="BK177" i="28"/>
  <c r="BG177" i="28"/>
  <c r="BQ177" i="28"/>
  <c r="BI177" i="28"/>
  <c r="BN177" i="28"/>
  <c r="BF177" i="28"/>
  <c r="BM177" i="28"/>
  <c r="BR177" i="28"/>
  <c r="BJ177" i="28"/>
  <c r="BT218" i="28"/>
  <c r="BP218" i="28"/>
  <c r="BL218" i="28"/>
  <c r="BH218" i="28"/>
  <c r="BS218" i="28"/>
  <c r="BO218" i="28"/>
  <c r="BK218" i="28"/>
  <c r="BG218" i="28"/>
  <c r="BR218" i="28"/>
  <c r="BN218" i="28"/>
  <c r="BJ218" i="28"/>
  <c r="BF218" i="28"/>
  <c r="BM218" i="28"/>
  <c r="BI218" i="28"/>
  <c r="BQ218" i="28"/>
  <c r="BR185" i="28"/>
  <c r="BN185" i="28"/>
  <c r="BJ185" i="28"/>
  <c r="BF185" i="28"/>
  <c r="BQ185" i="28"/>
  <c r="BM185" i="28"/>
  <c r="BI185" i="28"/>
  <c r="BO185" i="28"/>
  <c r="BG185" i="28"/>
  <c r="BT185" i="28"/>
  <c r="BL185" i="28"/>
  <c r="BS185" i="28"/>
  <c r="BK185" i="28"/>
  <c r="BP185" i="28"/>
  <c r="BH185" i="28"/>
  <c r="BS150" i="28"/>
  <c r="BO150" i="28"/>
  <c r="BK150" i="28"/>
  <c r="BG150" i="28"/>
  <c r="BR150" i="28"/>
  <c r="BN150" i="28"/>
  <c r="BJ150" i="28"/>
  <c r="BF150" i="28"/>
  <c r="BT150" i="28"/>
  <c r="BL150" i="28"/>
  <c r="BQ150" i="28"/>
  <c r="BI150" i="28"/>
  <c r="BP150" i="28"/>
  <c r="BH150" i="28"/>
  <c r="BM150" i="28"/>
  <c r="BQ271" i="28"/>
  <c r="BM271" i="28"/>
  <c r="BI271" i="28"/>
  <c r="BP271" i="28"/>
  <c r="BK271" i="28"/>
  <c r="BF271" i="28"/>
  <c r="BT271" i="28"/>
  <c r="BO271" i="28"/>
  <c r="BJ271" i="28"/>
  <c r="BN271" i="28"/>
  <c r="BL271" i="28"/>
  <c r="BS271" i="28"/>
  <c r="BH271" i="28"/>
  <c r="BR271" i="28"/>
  <c r="BG271" i="28"/>
  <c r="BR145" i="28"/>
  <c r="BN145" i="28"/>
  <c r="BJ145" i="28"/>
  <c r="BF145" i="28"/>
  <c r="BQ145" i="28"/>
  <c r="BM145" i="28"/>
  <c r="BI145" i="28"/>
  <c r="BO145" i="28"/>
  <c r="BG145" i="28"/>
  <c r="BT145" i="28"/>
  <c r="BL145" i="28"/>
  <c r="BS145" i="28"/>
  <c r="BK145" i="28"/>
  <c r="BP145" i="28"/>
  <c r="BH145" i="28"/>
  <c r="BT264" i="28"/>
  <c r="BP264" i="28"/>
  <c r="BL264" i="28"/>
  <c r="BH264" i="28"/>
  <c r="BQ264" i="28"/>
  <c r="BK264" i="28"/>
  <c r="BF264" i="28"/>
  <c r="BO264" i="28"/>
  <c r="BJ264" i="28"/>
  <c r="BN264" i="28"/>
  <c r="BM264" i="28"/>
  <c r="BS264" i="28"/>
  <c r="BI264" i="28"/>
  <c r="BG264" i="28"/>
  <c r="BR264" i="28"/>
  <c r="BR216" i="28"/>
  <c r="BN216" i="28"/>
  <c r="BJ216" i="28"/>
  <c r="BF216" i="28"/>
  <c r="BQ216" i="28"/>
  <c r="BM216" i="28"/>
  <c r="BI216" i="28"/>
  <c r="BT216" i="28"/>
  <c r="BP216" i="28"/>
  <c r="BL216" i="28"/>
  <c r="BH216" i="28"/>
  <c r="BK216" i="28"/>
  <c r="BG216" i="28"/>
  <c r="BS216" i="28"/>
  <c r="BO216" i="28"/>
  <c r="BS162" i="28"/>
  <c r="BO162" i="28"/>
  <c r="BK162" i="28"/>
  <c r="BG162" i="28"/>
  <c r="BR162" i="28"/>
  <c r="BN162" i="28"/>
  <c r="BJ162" i="28"/>
  <c r="BF162" i="28"/>
  <c r="BT162" i="28"/>
  <c r="BL162" i="28"/>
  <c r="BQ162" i="28"/>
  <c r="BI162" i="28"/>
  <c r="BP162" i="28"/>
  <c r="BH162" i="28"/>
  <c r="BM162" i="28"/>
  <c r="BS111" i="28"/>
  <c r="BO111" i="28"/>
  <c r="BK111" i="28"/>
  <c r="BT111" i="28"/>
  <c r="BN111" i="28"/>
  <c r="BI111" i="28"/>
  <c r="BR111" i="28"/>
  <c r="BM111" i="28"/>
  <c r="BH111" i="28"/>
  <c r="BQ111" i="28"/>
  <c r="BL111" i="28"/>
  <c r="BG111" i="28"/>
  <c r="BP111" i="28"/>
  <c r="BJ111" i="28"/>
  <c r="BF111" i="28"/>
  <c r="BT141" i="28"/>
  <c r="BP141" i="28"/>
  <c r="BL141" i="28"/>
  <c r="BH141" i="28"/>
  <c r="BS141" i="28"/>
  <c r="BO141" i="28"/>
  <c r="BK141" i="28"/>
  <c r="BG141" i="28"/>
  <c r="BM141" i="28"/>
  <c r="BR141" i="28"/>
  <c r="BJ141" i="28"/>
  <c r="BQ141" i="28"/>
  <c r="BI141" i="28"/>
  <c r="BN141" i="28"/>
  <c r="BF141" i="28"/>
  <c r="BS249" i="28"/>
  <c r="BO249" i="28"/>
  <c r="BK249" i="28"/>
  <c r="BG249" i="28"/>
  <c r="BR249" i="28"/>
  <c r="BN249" i="28"/>
  <c r="BJ249" i="28"/>
  <c r="BF249" i="28"/>
  <c r="BM249" i="28"/>
  <c r="BT249" i="28"/>
  <c r="BL249" i="28"/>
  <c r="BQ249" i="28"/>
  <c r="BI249" i="28"/>
  <c r="BH249" i="28"/>
  <c r="BP249" i="28"/>
  <c r="BS130" i="28"/>
  <c r="BR130" i="28"/>
  <c r="BN130" i="28"/>
  <c r="BJ130" i="28"/>
  <c r="BF130" i="28"/>
  <c r="BT130" i="28"/>
  <c r="BM130" i="28"/>
  <c r="BH130" i="28"/>
  <c r="BQ130" i="28"/>
  <c r="BL130" i="28"/>
  <c r="BG130" i="28"/>
  <c r="BP130" i="28"/>
  <c r="BK130" i="28"/>
  <c r="BI130" i="28"/>
  <c r="BO130" i="28"/>
  <c r="BR311" i="28"/>
  <c r="BN311" i="28"/>
  <c r="BJ311" i="28"/>
  <c r="BF311" i="28"/>
  <c r="BQ311" i="28"/>
  <c r="BM311" i="28"/>
  <c r="BI311" i="28"/>
  <c r="BS311" i="28"/>
  <c r="BK311" i="28"/>
  <c r="BP311" i="28"/>
  <c r="BH311" i="28"/>
  <c r="BO311" i="28"/>
  <c r="BL311" i="28"/>
  <c r="BG311" i="28"/>
  <c r="BT311" i="28"/>
  <c r="BS333" i="28"/>
  <c r="BO333" i="28"/>
  <c r="BK333" i="28"/>
  <c r="BG333" i="28"/>
  <c r="BR333" i="28"/>
  <c r="BN333" i="28"/>
  <c r="BJ333" i="28"/>
  <c r="BF333" i="28"/>
  <c r="BQ333" i="28"/>
  <c r="BM333" i="28"/>
  <c r="BI333" i="28"/>
  <c r="BT333" i="28"/>
  <c r="BP333" i="28"/>
  <c r="BL333" i="28"/>
  <c r="BH333" i="28"/>
  <c r="BS302" i="28"/>
  <c r="BO302" i="28"/>
  <c r="BK302" i="28"/>
  <c r="BG302" i="28"/>
  <c r="BR302" i="28"/>
  <c r="BN302" i="28"/>
  <c r="BJ302" i="28"/>
  <c r="BF302" i="28"/>
  <c r="BT302" i="28"/>
  <c r="BL302" i="28"/>
  <c r="BQ302" i="28"/>
  <c r="BI302" i="28"/>
  <c r="BH302" i="28"/>
  <c r="BP302" i="28"/>
  <c r="BM302" i="28"/>
  <c r="BQ247" i="28"/>
  <c r="BM247" i="28"/>
  <c r="BI247" i="28"/>
  <c r="BT247" i="28"/>
  <c r="BP247" i="28"/>
  <c r="BL247" i="28"/>
  <c r="BH247" i="28"/>
  <c r="BS247" i="28"/>
  <c r="BK247" i="28"/>
  <c r="BR247" i="28"/>
  <c r="BJ247" i="28"/>
  <c r="BO247" i="28"/>
  <c r="BG247" i="28"/>
  <c r="BF247" i="28"/>
  <c r="BN247" i="28"/>
  <c r="BR276" i="28"/>
  <c r="BN276" i="28"/>
  <c r="BJ276" i="28"/>
  <c r="BF276" i="28"/>
  <c r="BP276" i="28"/>
  <c r="BK276" i="28"/>
  <c r="BT276" i="28"/>
  <c r="BO276" i="28"/>
  <c r="BI276" i="28"/>
  <c r="BM276" i="28"/>
  <c r="BL276" i="28"/>
  <c r="BS276" i="28"/>
  <c r="BH276" i="28"/>
  <c r="BQ276" i="28"/>
  <c r="BG276" i="28"/>
  <c r="BR135" i="28"/>
  <c r="BN135" i="28"/>
  <c r="BJ135" i="28"/>
  <c r="BF135" i="28"/>
  <c r="BQ135" i="28"/>
  <c r="BM135" i="28"/>
  <c r="BI135" i="28"/>
  <c r="BO135" i="28"/>
  <c r="BG135" i="28"/>
  <c r="BT135" i="28"/>
  <c r="BL135" i="28"/>
  <c r="BS135" i="28"/>
  <c r="BK135" i="28"/>
  <c r="BP135" i="28"/>
  <c r="BH135" i="28"/>
  <c r="BT104" i="28"/>
  <c r="BP104" i="28"/>
  <c r="BL104" i="28"/>
  <c r="BH104" i="28"/>
  <c r="BS104" i="28"/>
  <c r="BO104" i="28"/>
  <c r="BK104" i="28"/>
  <c r="BG104" i="28"/>
  <c r="BR104" i="28"/>
  <c r="BN104" i="28"/>
  <c r="BJ104" i="28"/>
  <c r="BF104" i="28"/>
  <c r="BM104" i="28"/>
  <c r="BI104" i="28"/>
  <c r="BQ104" i="28"/>
  <c r="BT42" i="28"/>
  <c r="BP42" i="28"/>
  <c r="BL42" i="28"/>
  <c r="BH42" i="28"/>
  <c r="BS42" i="28"/>
  <c r="BO42" i="28"/>
  <c r="BK42" i="28"/>
  <c r="BG42" i="28"/>
  <c r="BR42" i="28"/>
  <c r="BN42" i="28"/>
  <c r="BJ42" i="28"/>
  <c r="BF42" i="28"/>
  <c r="BQ42" i="28"/>
  <c r="BM42" i="28"/>
  <c r="BI42" i="28"/>
  <c r="BT157" i="28"/>
  <c r="BP157" i="28"/>
  <c r="BL157" i="28"/>
  <c r="BH157" i="28"/>
  <c r="BS157" i="28"/>
  <c r="BO157" i="28"/>
  <c r="BK157" i="28"/>
  <c r="BG157" i="28"/>
  <c r="BQ157" i="28"/>
  <c r="BI157" i="28"/>
  <c r="BN157" i="28"/>
  <c r="BF157" i="28"/>
  <c r="BM157" i="28"/>
  <c r="BJ157" i="28"/>
  <c r="BR157" i="28"/>
  <c r="BR82" i="28"/>
  <c r="BN82" i="28"/>
  <c r="BJ82" i="28"/>
  <c r="BF82" i="28"/>
  <c r="BQ82" i="28"/>
  <c r="BM82" i="28"/>
  <c r="BI82" i="28"/>
  <c r="BT82" i="28"/>
  <c r="BP82" i="28"/>
  <c r="BL82" i="28"/>
  <c r="BH82" i="28"/>
  <c r="BK82" i="28"/>
  <c r="BG82" i="28"/>
  <c r="BS82" i="28"/>
  <c r="BO82" i="28"/>
  <c r="BT315" i="28"/>
  <c r="BP315" i="28"/>
  <c r="BL315" i="28"/>
  <c r="BH315" i="28"/>
  <c r="BS315" i="28"/>
  <c r="BO315" i="28"/>
  <c r="BK315" i="28"/>
  <c r="BG315" i="28"/>
  <c r="BM315" i="28"/>
  <c r="BR315" i="28"/>
  <c r="BJ315" i="28"/>
  <c r="BQ315" i="28"/>
  <c r="BN315" i="28"/>
  <c r="BI315" i="28"/>
  <c r="BF315" i="28"/>
  <c r="BT212" i="28"/>
  <c r="BR212" i="28"/>
  <c r="BP212" i="28"/>
  <c r="BL212" i="28"/>
  <c r="BH212" i="28"/>
  <c r="BO212" i="28"/>
  <c r="BK212" i="28"/>
  <c r="BG212" i="28"/>
  <c r="BS212" i="28"/>
  <c r="BN212" i="28"/>
  <c r="BJ212" i="28"/>
  <c r="BF212" i="28"/>
  <c r="BI212" i="28"/>
  <c r="BQ212" i="28"/>
  <c r="BM212" i="28"/>
  <c r="BS182" i="28"/>
  <c r="BO182" i="28"/>
  <c r="BK182" i="28"/>
  <c r="BG182" i="28"/>
  <c r="BR182" i="28"/>
  <c r="BN182" i="28"/>
  <c r="BJ182" i="28"/>
  <c r="BF182" i="28"/>
  <c r="BT182" i="28"/>
  <c r="BL182" i="28"/>
  <c r="BQ182" i="28"/>
  <c r="BI182" i="28"/>
  <c r="BP182" i="28"/>
  <c r="BH182" i="28"/>
  <c r="BM182" i="28"/>
  <c r="BQ91" i="28"/>
  <c r="BM91" i="28"/>
  <c r="BI91" i="28"/>
  <c r="BT91" i="28"/>
  <c r="BP91" i="28"/>
  <c r="BL91" i="28"/>
  <c r="BH91" i="28"/>
  <c r="BS91" i="28"/>
  <c r="BO91" i="28"/>
  <c r="BK91" i="28"/>
  <c r="BG91" i="28"/>
  <c r="BR91" i="28"/>
  <c r="BN91" i="28"/>
  <c r="BJ91" i="28"/>
  <c r="BF91" i="28"/>
  <c r="BR326" i="28"/>
  <c r="BN326" i="28"/>
  <c r="BJ326" i="28"/>
  <c r="BF326" i="28"/>
  <c r="BQ326" i="28"/>
  <c r="BM326" i="28"/>
  <c r="BI326" i="28"/>
  <c r="BT326" i="28"/>
  <c r="BP326" i="28"/>
  <c r="BL326" i="28"/>
  <c r="BH326" i="28"/>
  <c r="BS326" i="28"/>
  <c r="BO326" i="28"/>
  <c r="BK326" i="28"/>
  <c r="BG326" i="28"/>
  <c r="BR175" i="28"/>
  <c r="BN175" i="28"/>
  <c r="BJ175" i="28"/>
  <c r="BF175" i="28"/>
  <c r="BQ175" i="28"/>
  <c r="BM175" i="28"/>
  <c r="BI175" i="28"/>
  <c r="BO175" i="28"/>
  <c r="BG175" i="28"/>
  <c r="BT175" i="28"/>
  <c r="BL175" i="28"/>
  <c r="BS175" i="28"/>
  <c r="BK175" i="28"/>
  <c r="BP175" i="28"/>
  <c r="BH175" i="28"/>
  <c r="BT319" i="28"/>
  <c r="BP319" i="28"/>
  <c r="BL319" i="28"/>
  <c r="BH319" i="28"/>
  <c r="BS319" i="28"/>
  <c r="BO319" i="28"/>
  <c r="BK319" i="28"/>
  <c r="BG319" i="28"/>
  <c r="BQ319" i="28"/>
  <c r="BI319" i="28"/>
  <c r="BN319" i="28"/>
  <c r="BF319" i="28"/>
  <c r="BR319" i="28"/>
  <c r="BM319" i="28"/>
  <c r="BJ319" i="28"/>
  <c r="BR210" i="28"/>
  <c r="BN210" i="28"/>
  <c r="BJ210" i="28"/>
  <c r="BF210" i="28"/>
  <c r="BQ210" i="28"/>
  <c r="BM210" i="28"/>
  <c r="BI210" i="28"/>
  <c r="BT210" i="28"/>
  <c r="BP210" i="28"/>
  <c r="BL210" i="28"/>
  <c r="BH210" i="28"/>
  <c r="BG210" i="28"/>
  <c r="BS210" i="28"/>
  <c r="BO210" i="28"/>
  <c r="BK210" i="28"/>
  <c r="BR165" i="28"/>
  <c r="BN165" i="28"/>
  <c r="BJ165" i="28"/>
  <c r="BF165" i="28"/>
  <c r="BQ165" i="28"/>
  <c r="BM165" i="28"/>
  <c r="BI165" i="28"/>
  <c r="BO165" i="28"/>
  <c r="BG165" i="28"/>
  <c r="BT165" i="28"/>
  <c r="BL165" i="28"/>
  <c r="BS165" i="28"/>
  <c r="BK165" i="28"/>
  <c r="BP165" i="28"/>
  <c r="BH165" i="28"/>
  <c r="BS172" i="28"/>
  <c r="BO172" i="28"/>
  <c r="BK172" i="28"/>
  <c r="BG172" i="28"/>
  <c r="BR172" i="28"/>
  <c r="BN172" i="28"/>
  <c r="BJ172" i="28"/>
  <c r="BF172" i="28"/>
  <c r="BT172" i="28"/>
  <c r="BL172" i="28"/>
  <c r="BQ172" i="28"/>
  <c r="BI172" i="28"/>
  <c r="BP172" i="28"/>
  <c r="BH172" i="28"/>
  <c r="BM172" i="28"/>
  <c r="BQ158" i="28"/>
  <c r="BM158" i="28"/>
  <c r="BI158" i="28"/>
  <c r="BT158" i="28"/>
  <c r="BP158" i="28"/>
  <c r="BL158" i="28"/>
  <c r="BH158" i="28"/>
  <c r="BR158" i="28"/>
  <c r="BJ158" i="28"/>
  <c r="BO158" i="28"/>
  <c r="BG158" i="28"/>
  <c r="BN158" i="28"/>
  <c r="BF158" i="28"/>
  <c r="BS158" i="28"/>
  <c r="BK158" i="28"/>
  <c r="BS136" i="28"/>
  <c r="BO136" i="28"/>
  <c r="BK136" i="28"/>
  <c r="BG136" i="28"/>
  <c r="BR136" i="28"/>
  <c r="BN136" i="28"/>
  <c r="BJ136" i="28"/>
  <c r="BF136" i="28"/>
  <c r="BP136" i="28"/>
  <c r="BH136" i="28"/>
  <c r="BM136" i="28"/>
  <c r="BT136" i="28"/>
  <c r="BL136" i="28"/>
  <c r="BI136" i="28"/>
  <c r="BQ136" i="28"/>
  <c r="BR96" i="28"/>
  <c r="BN96" i="28"/>
  <c r="BJ96" i="28"/>
  <c r="BF96" i="28"/>
  <c r="BQ96" i="28"/>
  <c r="BM96" i="28"/>
  <c r="BI96" i="28"/>
  <c r="BT96" i="28"/>
  <c r="BP96" i="28"/>
  <c r="BL96" i="28"/>
  <c r="BH96" i="28"/>
  <c r="BG96" i="28"/>
  <c r="BS96" i="28"/>
  <c r="BO96" i="28"/>
  <c r="BK96" i="28"/>
  <c r="BS231" i="28"/>
  <c r="BO231" i="28"/>
  <c r="BK231" i="28"/>
  <c r="BG231" i="28"/>
  <c r="BR231" i="28"/>
  <c r="BN231" i="28"/>
  <c r="BJ231" i="28"/>
  <c r="BF231" i="28"/>
  <c r="BQ231" i="28"/>
  <c r="BM231" i="28"/>
  <c r="BI231" i="28"/>
  <c r="BH231" i="28"/>
  <c r="BT231" i="28"/>
  <c r="BP231" i="28"/>
  <c r="BL231" i="28"/>
  <c r="BT240" i="28"/>
  <c r="BR240" i="28"/>
  <c r="BN240" i="28"/>
  <c r="BJ240" i="28"/>
  <c r="BF240" i="28"/>
  <c r="BQ240" i="28"/>
  <c r="BM240" i="28"/>
  <c r="BI240" i="28"/>
  <c r="BP240" i="28"/>
  <c r="BL240" i="28"/>
  <c r="BH240" i="28"/>
  <c r="BO240" i="28"/>
  <c r="BK240" i="28"/>
  <c r="BG240" i="28"/>
  <c r="BS240" i="28"/>
  <c r="BT153" i="28"/>
  <c r="BP153" i="28"/>
  <c r="BL153" i="28"/>
  <c r="BH153" i="28"/>
  <c r="BS153" i="28"/>
  <c r="BO153" i="28"/>
  <c r="BK153" i="28"/>
  <c r="BG153" i="28"/>
  <c r="BM153" i="28"/>
  <c r="BR153" i="28"/>
  <c r="BJ153" i="28"/>
  <c r="BQ153" i="28"/>
  <c r="BI153" i="28"/>
  <c r="BF153" i="28"/>
  <c r="BN153" i="28"/>
  <c r="BR195" i="28"/>
  <c r="BN195" i="28"/>
  <c r="BJ195" i="28"/>
  <c r="BF195" i="28"/>
  <c r="BQ195" i="28"/>
  <c r="BM195" i="28"/>
  <c r="BI195" i="28"/>
  <c r="BO195" i="28"/>
  <c r="BG195" i="28"/>
  <c r="BT195" i="28"/>
  <c r="BL195" i="28"/>
  <c r="BS195" i="28"/>
  <c r="BK195" i="28"/>
  <c r="BH195" i="28"/>
  <c r="BP195" i="28"/>
  <c r="BQ339" i="28"/>
  <c r="BM339" i="28"/>
  <c r="BI339" i="28"/>
  <c r="BT339" i="28"/>
  <c r="BP339" i="28"/>
  <c r="BL339" i="28"/>
  <c r="BH339" i="28"/>
  <c r="BS339" i="28"/>
  <c r="BO339" i="28"/>
  <c r="BK339" i="28"/>
  <c r="BG339" i="28"/>
  <c r="BR339" i="28"/>
  <c r="BN339" i="28"/>
  <c r="BJ339" i="28"/>
  <c r="BF339" i="28"/>
  <c r="BS77" i="28"/>
  <c r="BO77" i="28"/>
  <c r="BK77" i="28"/>
  <c r="BG77" i="28"/>
  <c r="BR77" i="28"/>
  <c r="BN77" i="28"/>
  <c r="BJ77" i="28"/>
  <c r="BF77" i="28"/>
  <c r="BQ77" i="28"/>
  <c r="BM77" i="28"/>
  <c r="BI77" i="28"/>
  <c r="BH77" i="28"/>
  <c r="BT77" i="28"/>
  <c r="BP77" i="28"/>
  <c r="BL77" i="28"/>
  <c r="BQ229" i="28"/>
  <c r="BM229" i="28"/>
  <c r="BI229" i="28"/>
  <c r="BT229" i="28"/>
  <c r="BP229" i="28"/>
  <c r="BL229" i="28"/>
  <c r="BH229" i="28"/>
  <c r="BS229" i="28"/>
  <c r="BO229" i="28"/>
  <c r="BK229" i="28"/>
  <c r="BG229" i="28"/>
  <c r="BF229" i="28"/>
  <c r="BR229" i="28"/>
  <c r="BN229" i="28"/>
  <c r="BJ229" i="28"/>
  <c r="BS312" i="28"/>
  <c r="BO312" i="28"/>
  <c r="BK312" i="28"/>
  <c r="BG312" i="28"/>
  <c r="BR312" i="28"/>
  <c r="BN312" i="28"/>
  <c r="BJ312" i="28"/>
  <c r="BF312" i="28"/>
  <c r="BT312" i="28"/>
  <c r="BL312" i="28"/>
  <c r="BQ312" i="28"/>
  <c r="BI312" i="28"/>
  <c r="BP312" i="28"/>
  <c r="BM312" i="28"/>
  <c r="BH312" i="28"/>
  <c r="BR66" i="28"/>
  <c r="BN66" i="28"/>
  <c r="BJ66" i="28"/>
  <c r="BF66" i="28"/>
  <c r="BQ66" i="28"/>
  <c r="BM66" i="28"/>
  <c r="BI66" i="28"/>
  <c r="BT66" i="28"/>
  <c r="BP66" i="28"/>
  <c r="BL66" i="28"/>
  <c r="BH66" i="28"/>
  <c r="BO66" i="28"/>
  <c r="BK66" i="28"/>
  <c r="BG66" i="28"/>
  <c r="BS66" i="28"/>
  <c r="BR56" i="28"/>
  <c r="BN56" i="28"/>
  <c r="BJ56" i="28"/>
  <c r="BF56" i="28"/>
  <c r="BQ56" i="28"/>
  <c r="BM56" i="28"/>
  <c r="BI56" i="28"/>
  <c r="BT56" i="28"/>
  <c r="BP56" i="28"/>
  <c r="BL56" i="28"/>
  <c r="BH56" i="28"/>
  <c r="BG56" i="28"/>
  <c r="BS56" i="28"/>
  <c r="BO56" i="28"/>
  <c r="BK56" i="28"/>
  <c r="BQ55" i="28"/>
  <c r="BM55" i="28"/>
  <c r="BI55" i="28"/>
  <c r="BT55" i="28"/>
  <c r="BP55" i="28"/>
  <c r="BL55" i="28"/>
  <c r="BH55" i="28"/>
  <c r="BS55" i="28"/>
  <c r="BO55" i="28"/>
  <c r="BK55" i="28"/>
  <c r="BG55" i="28"/>
  <c r="BF55" i="28"/>
  <c r="BR55" i="28"/>
  <c r="BN55" i="28"/>
  <c r="BJ55" i="28"/>
  <c r="BS41" i="28"/>
  <c r="BO41" i="28"/>
  <c r="BK41" i="28"/>
  <c r="BG41" i="28"/>
  <c r="BR41" i="28"/>
  <c r="BN41" i="28"/>
  <c r="BJ41" i="28"/>
  <c r="BF41" i="28"/>
  <c r="BQ41" i="28"/>
  <c r="BM41" i="28"/>
  <c r="BI41" i="28"/>
  <c r="BT41" i="28"/>
  <c r="BP41" i="28"/>
  <c r="BL41" i="28"/>
  <c r="BH41" i="28"/>
  <c r="BQ239" i="28"/>
  <c r="BM239" i="28"/>
  <c r="BI239" i="28"/>
  <c r="BT239" i="28"/>
  <c r="BP239" i="28"/>
  <c r="BL239" i="28"/>
  <c r="BH239" i="28"/>
  <c r="BS239" i="28"/>
  <c r="BO239" i="28"/>
  <c r="BK239" i="28"/>
  <c r="BG239" i="28"/>
  <c r="BN239" i="28"/>
  <c r="BJ239" i="28"/>
  <c r="BF239" i="28"/>
  <c r="BR239" i="28"/>
  <c r="BT203" i="28"/>
  <c r="BP203" i="28"/>
  <c r="BL203" i="28"/>
  <c r="BH203" i="28"/>
  <c r="BS203" i="28"/>
  <c r="BO203" i="28"/>
  <c r="BK203" i="28"/>
  <c r="BG203" i="28"/>
  <c r="BM203" i="28"/>
  <c r="BR203" i="28"/>
  <c r="BJ203" i="28"/>
  <c r="BQ203" i="28"/>
  <c r="BI203" i="28"/>
  <c r="BN203" i="28"/>
  <c r="BF203" i="28"/>
  <c r="BT163" i="28"/>
  <c r="BP163" i="28"/>
  <c r="BL163" i="28"/>
  <c r="BH163" i="28"/>
  <c r="BS163" i="28"/>
  <c r="BO163" i="28"/>
  <c r="BK163" i="28"/>
  <c r="BG163" i="28"/>
  <c r="BM163" i="28"/>
  <c r="BR163" i="28"/>
  <c r="BJ163" i="28"/>
  <c r="BQ163" i="28"/>
  <c r="BI163" i="28"/>
  <c r="BN163" i="28"/>
  <c r="BF163" i="28"/>
  <c r="BS273" i="28"/>
  <c r="BO273" i="28"/>
  <c r="BK273" i="28"/>
  <c r="BG273" i="28"/>
  <c r="BR273" i="28"/>
  <c r="BM273" i="28"/>
  <c r="BH273" i="28"/>
  <c r="BQ273" i="28"/>
  <c r="BL273" i="28"/>
  <c r="BF273" i="28"/>
  <c r="BP273" i="28"/>
  <c r="BN273" i="28"/>
  <c r="BJ273" i="28"/>
  <c r="BT273" i="28"/>
  <c r="BI273" i="28"/>
  <c r="BR248" i="28"/>
  <c r="BN248" i="28"/>
  <c r="BJ248" i="28"/>
  <c r="BF248" i="28"/>
  <c r="BQ248" i="28"/>
  <c r="BM248" i="28"/>
  <c r="BI248" i="28"/>
  <c r="BT248" i="28"/>
  <c r="BL248" i="28"/>
  <c r="BS248" i="28"/>
  <c r="BK248" i="28"/>
  <c r="BP248" i="28"/>
  <c r="BH248" i="28"/>
  <c r="BO248" i="28"/>
  <c r="BG248" i="28"/>
  <c r="BR220" i="28"/>
  <c r="BN220" i="28"/>
  <c r="BJ220" i="28"/>
  <c r="BF220" i="28"/>
  <c r="BQ220" i="28"/>
  <c r="BM220" i="28"/>
  <c r="BI220" i="28"/>
  <c r="BT220" i="28"/>
  <c r="BP220" i="28"/>
  <c r="BL220" i="28"/>
  <c r="BH220" i="28"/>
  <c r="BO220" i="28"/>
  <c r="BK220" i="28"/>
  <c r="BG220" i="28"/>
  <c r="BS220" i="28"/>
  <c r="BT234" i="28"/>
  <c r="BP234" i="28"/>
  <c r="BL234" i="28"/>
  <c r="BH234" i="28"/>
  <c r="BS234" i="28"/>
  <c r="BO234" i="28"/>
  <c r="BK234" i="28"/>
  <c r="BG234" i="28"/>
  <c r="BR234" i="28"/>
  <c r="BN234" i="28"/>
  <c r="BJ234" i="28"/>
  <c r="BF234" i="28"/>
  <c r="BI234" i="28"/>
  <c r="BQ234" i="28"/>
  <c r="BM234" i="28"/>
  <c r="BS208" i="28"/>
  <c r="BO208" i="28"/>
  <c r="BK208" i="28"/>
  <c r="BG208" i="28"/>
  <c r="BR208" i="28"/>
  <c r="BN208" i="28"/>
  <c r="BJ208" i="28"/>
  <c r="BF208" i="28"/>
  <c r="BP208" i="28"/>
  <c r="BH208" i="28"/>
  <c r="BM208" i="28"/>
  <c r="BT208" i="28"/>
  <c r="BL208" i="28"/>
  <c r="BQ208" i="28"/>
  <c r="BI208" i="28"/>
  <c r="BS156" i="28"/>
  <c r="BO156" i="28"/>
  <c r="BK156" i="28"/>
  <c r="BG156" i="28"/>
  <c r="BR156" i="28"/>
  <c r="BN156" i="28"/>
  <c r="BJ156" i="28"/>
  <c r="BF156" i="28"/>
  <c r="BP156" i="28"/>
  <c r="BH156" i="28"/>
  <c r="BM156" i="28"/>
  <c r="BT156" i="28"/>
  <c r="BL156" i="28"/>
  <c r="BQ156" i="28"/>
  <c r="BI156" i="28"/>
  <c r="BT189" i="28"/>
  <c r="BP189" i="28"/>
  <c r="BL189" i="28"/>
  <c r="BH189" i="28"/>
  <c r="BS189" i="28"/>
  <c r="BO189" i="28"/>
  <c r="BK189" i="28"/>
  <c r="BG189" i="28"/>
  <c r="BQ189" i="28"/>
  <c r="BI189" i="28"/>
  <c r="BN189" i="28"/>
  <c r="BF189" i="28"/>
  <c r="BM189" i="28"/>
  <c r="BR189" i="28"/>
  <c r="BJ189" i="28"/>
  <c r="BT110" i="28"/>
  <c r="BP110" i="28"/>
  <c r="BL110" i="28"/>
  <c r="BH110" i="28"/>
  <c r="BS110" i="28"/>
  <c r="BO110" i="28"/>
  <c r="BK110" i="28"/>
  <c r="BG110" i="28"/>
  <c r="BR110" i="28"/>
  <c r="BN110" i="28"/>
  <c r="BJ110" i="28"/>
  <c r="BF110" i="28"/>
  <c r="BQ110" i="28"/>
  <c r="BM110" i="28"/>
  <c r="BI110" i="28"/>
  <c r="BR108" i="28"/>
  <c r="BN108" i="28"/>
  <c r="BJ108" i="28"/>
  <c r="BF108" i="28"/>
  <c r="BQ108" i="28"/>
  <c r="BM108" i="28"/>
  <c r="BI108" i="28"/>
  <c r="BT108" i="28"/>
  <c r="BP108" i="28"/>
  <c r="BL108" i="28"/>
  <c r="BH108" i="28"/>
  <c r="BO108" i="28"/>
  <c r="BK108" i="28"/>
  <c r="BG108" i="28"/>
  <c r="BS108" i="28"/>
  <c r="BS87" i="28"/>
  <c r="BO87" i="28"/>
  <c r="BK87" i="28"/>
  <c r="BG87" i="28"/>
  <c r="BR87" i="28"/>
  <c r="BN87" i="28"/>
  <c r="BJ87" i="28"/>
  <c r="BF87" i="28"/>
  <c r="BQ87" i="28"/>
  <c r="BM87" i="28"/>
  <c r="BI87" i="28"/>
  <c r="BP87" i="28"/>
  <c r="BL87" i="28"/>
  <c r="BH87" i="28"/>
  <c r="BT87" i="28"/>
  <c r="BT94" i="28"/>
  <c r="BP94" i="28"/>
  <c r="BL94" i="28"/>
  <c r="BH94" i="28"/>
  <c r="BS94" i="28"/>
  <c r="BO94" i="28"/>
  <c r="BK94" i="28"/>
  <c r="BG94" i="28"/>
  <c r="BR94" i="28"/>
  <c r="BN94" i="28"/>
  <c r="BJ94" i="28"/>
  <c r="BF94" i="28"/>
  <c r="BQ94" i="28"/>
  <c r="BM94" i="28"/>
  <c r="BI94" i="28"/>
  <c r="BR50" i="28"/>
  <c r="BN50" i="28"/>
  <c r="BJ50" i="28"/>
  <c r="BF50" i="28"/>
  <c r="BQ50" i="28"/>
  <c r="BM50" i="28"/>
  <c r="BI50" i="28"/>
  <c r="BT50" i="28"/>
  <c r="BP50" i="28"/>
  <c r="BL50" i="28"/>
  <c r="BH50" i="28"/>
  <c r="BS50" i="28"/>
  <c r="BO50" i="28"/>
  <c r="BK50" i="28"/>
  <c r="BG50" i="28"/>
  <c r="BQ69" i="28"/>
  <c r="BM69" i="28"/>
  <c r="BI69" i="28"/>
  <c r="BT69" i="28"/>
  <c r="BP69" i="28"/>
  <c r="BL69" i="28"/>
  <c r="BH69" i="28"/>
  <c r="BS69" i="28"/>
  <c r="BO69" i="28"/>
  <c r="BK69" i="28"/>
  <c r="BG69" i="28"/>
  <c r="BR69" i="28"/>
  <c r="BN69" i="28"/>
  <c r="BJ69" i="28"/>
  <c r="BF69" i="28"/>
  <c r="BQ85" i="28"/>
  <c r="BM85" i="28"/>
  <c r="BI85" i="28"/>
  <c r="BT85" i="28"/>
  <c r="BP85" i="28"/>
  <c r="BL85" i="28"/>
  <c r="BH85" i="28"/>
  <c r="BS85" i="28"/>
  <c r="BO85" i="28"/>
  <c r="BK85" i="28"/>
  <c r="BG85" i="28"/>
  <c r="BN85" i="28"/>
  <c r="BJ85" i="28"/>
  <c r="BF85" i="28"/>
  <c r="BR85" i="28"/>
  <c r="BS192" i="28"/>
  <c r="BO192" i="28"/>
  <c r="BK192" i="28"/>
  <c r="BG192" i="28"/>
  <c r="BR192" i="28"/>
  <c r="BN192" i="28"/>
  <c r="BJ192" i="28"/>
  <c r="BF192" i="28"/>
  <c r="BT192" i="28"/>
  <c r="BL192" i="28"/>
  <c r="BQ192" i="28"/>
  <c r="BI192" i="28"/>
  <c r="BP192" i="28"/>
  <c r="BH192" i="28"/>
  <c r="BM192" i="28"/>
  <c r="BQ174" i="28"/>
  <c r="BM174" i="28"/>
  <c r="BI174" i="28"/>
  <c r="BT174" i="28"/>
  <c r="BP174" i="28"/>
  <c r="BL174" i="28"/>
  <c r="BH174" i="28"/>
  <c r="BN174" i="28"/>
  <c r="BF174" i="28"/>
  <c r="BS174" i="28"/>
  <c r="BK174" i="28"/>
  <c r="BR174" i="28"/>
  <c r="BJ174" i="28"/>
  <c r="BG174" i="28"/>
  <c r="BO174" i="28"/>
  <c r="BS186" i="28"/>
  <c r="BO186" i="28"/>
  <c r="BK186" i="28"/>
  <c r="BG186" i="28"/>
  <c r="BR186" i="28"/>
  <c r="BN186" i="28"/>
  <c r="BJ186" i="28"/>
  <c r="BF186" i="28"/>
  <c r="BP186" i="28"/>
  <c r="BH186" i="28"/>
  <c r="BM186" i="28"/>
  <c r="BT186" i="28"/>
  <c r="BL186" i="28"/>
  <c r="BQ186" i="28"/>
  <c r="BI186" i="28"/>
  <c r="BS99" i="28"/>
  <c r="BO99" i="28"/>
  <c r="BK99" i="28"/>
  <c r="BG99" i="28"/>
  <c r="BR99" i="28"/>
  <c r="BN99" i="28"/>
  <c r="BJ99" i="28"/>
  <c r="BF99" i="28"/>
  <c r="BQ99" i="28"/>
  <c r="BM99" i="28"/>
  <c r="BI99" i="28"/>
  <c r="BH99" i="28"/>
  <c r="BT99" i="28"/>
  <c r="BP99" i="28"/>
  <c r="BL99" i="28"/>
  <c r="BT128" i="28"/>
  <c r="BP128" i="28"/>
  <c r="BL128" i="28"/>
  <c r="BH128" i="28"/>
  <c r="BQ128" i="28"/>
  <c r="BK128" i="28"/>
  <c r="BF128" i="28"/>
  <c r="BO128" i="28"/>
  <c r="BJ128" i="28"/>
  <c r="BS128" i="28"/>
  <c r="BN128" i="28"/>
  <c r="BI128" i="28"/>
  <c r="BR128" i="28"/>
  <c r="BM128" i="28"/>
  <c r="BG128" i="28"/>
  <c r="BT100" i="28"/>
  <c r="BP100" i="28"/>
  <c r="BL100" i="28"/>
  <c r="BH100" i="28"/>
  <c r="BS100" i="28"/>
  <c r="BO100" i="28"/>
  <c r="BK100" i="28"/>
  <c r="BG100" i="28"/>
  <c r="BR100" i="28"/>
  <c r="BN100" i="28"/>
  <c r="BJ100" i="28"/>
  <c r="BF100" i="28"/>
  <c r="BI100" i="28"/>
  <c r="BQ100" i="28"/>
  <c r="BM100" i="28"/>
  <c r="BQ132" i="28"/>
  <c r="BM132" i="28"/>
  <c r="BI132" i="28"/>
  <c r="BT132" i="28"/>
  <c r="BP132" i="28"/>
  <c r="BL132" i="28"/>
  <c r="BH132" i="28"/>
  <c r="BN132" i="28"/>
  <c r="BF132" i="28"/>
  <c r="BS132" i="28"/>
  <c r="BK132" i="28"/>
  <c r="BR132" i="28"/>
  <c r="BJ132" i="28"/>
  <c r="BG132" i="28"/>
  <c r="BO132" i="28"/>
  <c r="BR102" i="28"/>
  <c r="BN102" i="28"/>
  <c r="BJ102" i="28"/>
  <c r="BF102" i="28"/>
  <c r="BQ102" i="28"/>
  <c r="BM102" i="28"/>
  <c r="BI102" i="28"/>
  <c r="BT102" i="28"/>
  <c r="BP102" i="28"/>
  <c r="BL102" i="28"/>
  <c r="BH102" i="28"/>
  <c r="BK102" i="28"/>
  <c r="BG102" i="28"/>
  <c r="BS102" i="28"/>
  <c r="BO102" i="28"/>
  <c r="BS347" i="28"/>
  <c r="BO347" i="28"/>
  <c r="BK347" i="28"/>
  <c r="BG347" i="28"/>
  <c r="BR347" i="28"/>
  <c r="BN347" i="28"/>
  <c r="BJ347" i="28"/>
  <c r="BF347" i="28"/>
  <c r="BQ347" i="28"/>
  <c r="BM347" i="28"/>
  <c r="BI347" i="28"/>
  <c r="BT347" i="28"/>
  <c r="BP347" i="28"/>
  <c r="BL347" i="28"/>
  <c r="BH347" i="28"/>
  <c r="BT328" i="28"/>
  <c r="BP328" i="28"/>
  <c r="BL328" i="28"/>
  <c r="BH328" i="28"/>
  <c r="BS328" i="28"/>
  <c r="BO328" i="28"/>
  <c r="BK328" i="28"/>
  <c r="BG328" i="28"/>
  <c r="BR328" i="28"/>
  <c r="BN328" i="28"/>
  <c r="BJ328" i="28"/>
  <c r="BF328" i="28"/>
  <c r="BQ328" i="28"/>
  <c r="BM328" i="28"/>
  <c r="BI328" i="28"/>
  <c r="BQ316" i="28"/>
  <c r="BM316" i="28"/>
  <c r="BI316" i="28"/>
  <c r="BT316" i="28"/>
  <c r="BP316" i="28"/>
  <c r="BL316" i="28"/>
  <c r="BH316" i="28"/>
  <c r="BN316" i="28"/>
  <c r="BF316" i="28"/>
  <c r="BS316" i="28"/>
  <c r="BK316" i="28"/>
  <c r="BR316" i="28"/>
  <c r="BO316" i="28"/>
  <c r="BJ316" i="28"/>
  <c r="BG316" i="28"/>
  <c r="BR330" i="28"/>
  <c r="BN330" i="28"/>
  <c r="BJ330" i="28"/>
  <c r="BF330" i="28"/>
  <c r="BQ330" i="28"/>
  <c r="BM330" i="28"/>
  <c r="BI330" i="28"/>
  <c r="BT330" i="28"/>
  <c r="BP330" i="28"/>
  <c r="BL330" i="28"/>
  <c r="BH330" i="28"/>
  <c r="BS330" i="28"/>
  <c r="BO330" i="28"/>
  <c r="BK330" i="28"/>
  <c r="BG330" i="28"/>
  <c r="BR171" i="28"/>
  <c r="BN171" i="28"/>
  <c r="BJ171" i="28"/>
  <c r="BF171" i="28"/>
  <c r="BQ171" i="28"/>
  <c r="BM171" i="28"/>
  <c r="BI171" i="28"/>
  <c r="BS171" i="28"/>
  <c r="BK171" i="28"/>
  <c r="BP171" i="28"/>
  <c r="BH171" i="28"/>
  <c r="BO171" i="28"/>
  <c r="BG171" i="28"/>
  <c r="BT171" i="28"/>
  <c r="BL171" i="28"/>
  <c r="BS337" i="28"/>
  <c r="BO337" i="28"/>
  <c r="BK337" i="28"/>
  <c r="BG337" i="28"/>
  <c r="BR337" i="28"/>
  <c r="BN337" i="28"/>
  <c r="BJ337" i="28"/>
  <c r="BF337" i="28"/>
  <c r="BQ337" i="28"/>
  <c r="BM337" i="28"/>
  <c r="BI337" i="28"/>
  <c r="BT337" i="28"/>
  <c r="BP337" i="28"/>
  <c r="BL337" i="28"/>
  <c r="BH337" i="28"/>
  <c r="BT344" i="28"/>
  <c r="BP344" i="28"/>
  <c r="BL344" i="28"/>
  <c r="BH344" i="28"/>
  <c r="BS344" i="28"/>
  <c r="BO344" i="28"/>
  <c r="BK344" i="28"/>
  <c r="BG344" i="28"/>
  <c r="BR344" i="28"/>
  <c r="BN344" i="28"/>
  <c r="BJ344" i="28"/>
  <c r="BF344" i="28"/>
  <c r="BQ344" i="28"/>
  <c r="BM344" i="28"/>
  <c r="BI344" i="28"/>
  <c r="BR254" i="28"/>
  <c r="BN254" i="28"/>
  <c r="BJ254" i="28"/>
  <c r="BF254" i="28"/>
  <c r="BQ254" i="28"/>
  <c r="BM254" i="28"/>
  <c r="BI254" i="28"/>
  <c r="BP254" i="28"/>
  <c r="BH254" i="28"/>
  <c r="BO254" i="28"/>
  <c r="BG254" i="28"/>
  <c r="BT254" i="28"/>
  <c r="BL254" i="28"/>
  <c r="BS254" i="28"/>
  <c r="BK254" i="28"/>
  <c r="BS93" i="28"/>
  <c r="BO93" i="28"/>
  <c r="BK93" i="28"/>
  <c r="BG93" i="28"/>
  <c r="BR93" i="28"/>
  <c r="BN93" i="28"/>
  <c r="BJ93" i="28"/>
  <c r="BF93" i="28"/>
  <c r="BQ93" i="28"/>
  <c r="BM93" i="28"/>
  <c r="BI93" i="28"/>
  <c r="BT93" i="28"/>
  <c r="BP93" i="28"/>
  <c r="BL93" i="28"/>
  <c r="BH93" i="28"/>
  <c r="BQ81" i="28"/>
  <c r="BM81" i="28"/>
  <c r="BI81" i="28"/>
  <c r="BT81" i="28"/>
  <c r="BP81" i="28"/>
  <c r="BL81" i="28"/>
  <c r="BH81" i="28"/>
  <c r="BS81" i="28"/>
  <c r="BO81" i="28"/>
  <c r="BK81" i="28"/>
  <c r="BG81" i="28"/>
  <c r="BJ81" i="28"/>
  <c r="BF81" i="28"/>
  <c r="BR81" i="28"/>
  <c r="BN81" i="28"/>
  <c r="BS51" i="28"/>
  <c r="BO51" i="28"/>
  <c r="BK51" i="28"/>
  <c r="BG51" i="28"/>
  <c r="BR51" i="28"/>
  <c r="BN51" i="28"/>
  <c r="BJ51" i="28"/>
  <c r="BF51" i="28"/>
  <c r="BQ51" i="28"/>
  <c r="BM51" i="28"/>
  <c r="BI51" i="28"/>
  <c r="BT51" i="28"/>
  <c r="BP51" i="28"/>
  <c r="BL51" i="28"/>
  <c r="BH51" i="28"/>
  <c r="BS140" i="28"/>
  <c r="BO140" i="28"/>
  <c r="BK140" i="28"/>
  <c r="BG140" i="28"/>
  <c r="BR140" i="28"/>
  <c r="BN140" i="28"/>
  <c r="BJ140" i="28"/>
  <c r="BF140" i="28"/>
  <c r="BT140" i="28"/>
  <c r="BL140" i="28"/>
  <c r="BQ140" i="28"/>
  <c r="BI140" i="28"/>
  <c r="BP140" i="28"/>
  <c r="BH140" i="28"/>
  <c r="BM140" i="28"/>
  <c r="BR114" i="28"/>
  <c r="BN114" i="28"/>
  <c r="BJ114" i="28"/>
  <c r="BF114" i="28"/>
  <c r="BQ114" i="28"/>
  <c r="BL114" i="28"/>
  <c r="BG114" i="28"/>
  <c r="BP114" i="28"/>
  <c r="BK114" i="28"/>
  <c r="BT114" i="28"/>
  <c r="BO114" i="28"/>
  <c r="BI114" i="28"/>
  <c r="BS114" i="28"/>
  <c r="BM114" i="28"/>
  <c r="BH114" i="28"/>
  <c r="BT78" i="28"/>
  <c r="BP78" i="28"/>
  <c r="BL78" i="28"/>
  <c r="BH78" i="28"/>
  <c r="BS78" i="28"/>
  <c r="BO78" i="28"/>
  <c r="BK78" i="28"/>
  <c r="BG78" i="28"/>
  <c r="BR78" i="28"/>
  <c r="BN78" i="28"/>
  <c r="BJ78" i="28"/>
  <c r="BF78" i="28"/>
  <c r="BI78" i="28"/>
  <c r="BQ78" i="28"/>
  <c r="BM78" i="28"/>
  <c r="BS327" i="28"/>
  <c r="BO327" i="28"/>
  <c r="BK327" i="28"/>
  <c r="BG327" i="28"/>
  <c r="BR327" i="28"/>
  <c r="BN327" i="28"/>
  <c r="BJ327" i="28"/>
  <c r="BF327" i="28"/>
  <c r="BQ327" i="28"/>
  <c r="BM327" i="28"/>
  <c r="BI327" i="28"/>
  <c r="BT327" i="28"/>
  <c r="BP327" i="28"/>
  <c r="BL327" i="28"/>
  <c r="BH327" i="28"/>
  <c r="BT58" i="28"/>
  <c r="BP58" i="28"/>
  <c r="BL58" i="28"/>
  <c r="BH58" i="28"/>
  <c r="BS58" i="28"/>
  <c r="BO58" i="28"/>
  <c r="BK58" i="28"/>
  <c r="BG58" i="28"/>
  <c r="BR58" i="28"/>
  <c r="BN58" i="28"/>
  <c r="BJ58" i="28"/>
  <c r="BF58" i="28"/>
  <c r="BI58" i="28"/>
  <c r="BQ58" i="28"/>
  <c r="BM58" i="28"/>
  <c r="BR320" i="28"/>
  <c r="BN320" i="28"/>
  <c r="BQ320" i="28"/>
  <c r="BM320" i="28"/>
  <c r="BT320" i="28"/>
  <c r="BP320" i="28"/>
  <c r="BL320" i="28"/>
  <c r="BS320" i="28"/>
  <c r="BO320" i="28"/>
  <c r="BK320" i="28"/>
  <c r="BI320" i="28"/>
  <c r="BH320" i="28"/>
  <c r="BJ320" i="28"/>
  <c r="BG320" i="28"/>
  <c r="BF320" i="28"/>
  <c r="BT147" i="28"/>
  <c r="BP147" i="28"/>
  <c r="BL147" i="28"/>
  <c r="BH147" i="28"/>
  <c r="BS147" i="28"/>
  <c r="BO147" i="28"/>
  <c r="BK147" i="28"/>
  <c r="BG147" i="28"/>
  <c r="BQ147" i="28"/>
  <c r="BI147" i="28"/>
  <c r="BN147" i="28"/>
  <c r="BF147" i="28"/>
  <c r="BM147" i="28"/>
  <c r="BR147" i="28"/>
  <c r="BJ147" i="28"/>
  <c r="BT131" i="28"/>
  <c r="BP131" i="28"/>
  <c r="BL131" i="28"/>
  <c r="BH131" i="28"/>
  <c r="BS131" i="28"/>
  <c r="BO131" i="28"/>
  <c r="BK131" i="28"/>
  <c r="BG131" i="28"/>
  <c r="BM131" i="28"/>
  <c r="BR131" i="28"/>
  <c r="BJ131" i="28"/>
  <c r="BQ131" i="28"/>
  <c r="BI131" i="28"/>
  <c r="BN131" i="28"/>
  <c r="BF131" i="28"/>
  <c r="BQ204" i="28"/>
  <c r="BM204" i="28"/>
  <c r="BI204" i="28"/>
  <c r="BT204" i="28"/>
  <c r="BP204" i="28"/>
  <c r="BL204" i="28"/>
  <c r="BH204" i="28"/>
  <c r="BN204" i="28"/>
  <c r="BF204" i="28"/>
  <c r="BS204" i="28"/>
  <c r="BK204" i="28"/>
  <c r="BR204" i="28"/>
  <c r="BJ204" i="28"/>
  <c r="BO204" i="28"/>
  <c r="BG204" i="28"/>
  <c r="BS63" i="28"/>
  <c r="BO63" i="28"/>
  <c r="BK63" i="28"/>
  <c r="BG63" i="28"/>
  <c r="BR63" i="28"/>
  <c r="BN63" i="28"/>
  <c r="BJ63" i="28"/>
  <c r="BF63" i="28"/>
  <c r="BQ63" i="28"/>
  <c r="BM63" i="28"/>
  <c r="BI63" i="28"/>
  <c r="BL63" i="28"/>
  <c r="BH63" i="28"/>
  <c r="BT63" i="28"/>
  <c r="BP63" i="28"/>
  <c r="BR292" i="28"/>
  <c r="BN292" i="28"/>
  <c r="BJ292" i="28"/>
  <c r="BF292" i="28"/>
  <c r="BQ292" i="28"/>
  <c r="BL292" i="28"/>
  <c r="BG292" i="28"/>
  <c r="BP292" i="28"/>
  <c r="BK292" i="28"/>
  <c r="BO292" i="28"/>
  <c r="BM292" i="28"/>
  <c r="BT292" i="28"/>
  <c r="BI292" i="28"/>
  <c r="BS292" i="28"/>
  <c r="BH292" i="28"/>
  <c r="BT284" i="28"/>
  <c r="BP284" i="28"/>
  <c r="BL284" i="28"/>
  <c r="BH284" i="28"/>
  <c r="BQ284" i="28"/>
  <c r="BK284" i="28"/>
  <c r="BF284" i="28"/>
  <c r="BO284" i="28"/>
  <c r="BJ284" i="28"/>
  <c r="BS284" i="28"/>
  <c r="BI284" i="28"/>
  <c r="BR284" i="28"/>
  <c r="BG284" i="28"/>
  <c r="BN284" i="28"/>
  <c r="BM284" i="28"/>
  <c r="AS64" i="28"/>
  <c r="AS85" i="28"/>
  <c r="AP257" i="28"/>
  <c r="AS63" i="28"/>
  <c r="AP158" i="28"/>
  <c r="AP135" i="28"/>
  <c r="AP236" i="28"/>
  <c r="AP258" i="28"/>
  <c r="AP227" i="28"/>
  <c r="AP321" i="28"/>
  <c r="AP194" i="28"/>
  <c r="AP212" i="28"/>
  <c r="AP267" i="28"/>
  <c r="AS87" i="28"/>
  <c r="AS86" i="28"/>
  <c r="AP276" i="28"/>
  <c r="AP219" i="28"/>
  <c r="AP337" i="28"/>
  <c r="AP343" i="28"/>
  <c r="AP165" i="28"/>
  <c r="AP330" i="28"/>
  <c r="AP319" i="28"/>
  <c r="AP316" i="28"/>
  <c r="AP150" i="28"/>
  <c r="AP228" i="28"/>
  <c r="AS82" i="28"/>
  <c r="AP172" i="28"/>
  <c r="AP108" i="28"/>
  <c r="AP192" i="28"/>
  <c r="AP325" i="28"/>
  <c r="AP136" i="28"/>
  <c r="AP261" i="28"/>
  <c r="AP275" i="28"/>
  <c r="AP176" i="28"/>
  <c r="AP145" i="28"/>
  <c r="AP173" i="28"/>
  <c r="AP190" i="28"/>
  <c r="AS92" i="28"/>
  <c r="AP193" i="28"/>
  <c r="AP154" i="28"/>
  <c r="AP335" i="28"/>
  <c r="AP326" i="28"/>
  <c r="AS68" i="28"/>
  <c r="AP191" i="28"/>
  <c r="AS60" i="28"/>
  <c r="AP155" i="28"/>
  <c r="AS57" i="28"/>
  <c r="AS55" i="28"/>
  <c r="AP264" i="28"/>
  <c r="AP274" i="28"/>
  <c r="AP217" i="28"/>
  <c r="AP126" i="28"/>
  <c r="AP113" i="28"/>
  <c r="AP159" i="28"/>
  <c r="AS90" i="28"/>
  <c r="AP237" i="28"/>
  <c r="AP137" i="28"/>
  <c r="AP148" i="28"/>
  <c r="AP141" i="28"/>
  <c r="AP333" i="28"/>
  <c r="AP329" i="28"/>
  <c r="AP139" i="28"/>
  <c r="AP240" i="28"/>
  <c r="AP189" i="28"/>
  <c r="AP338" i="28"/>
  <c r="AS56" i="28"/>
  <c r="AP213" i="28"/>
  <c r="AP91" i="28"/>
  <c r="AS91" i="28"/>
  <c r="AS103" i="28"/>
  <c r="AP130" i="28"/>
  <c r="AP318" i="28"/>
  <c r="AP344" i="28"/>
  <c r="AP231" i="28"/>
  <c r="AP317" i="28"/>
  <c r="AP229" i="28"/>
  <c r="AP336" i="28"/>
  <c r="AS66" i="28"/>
  <c r="AP265" i="28"/>
  <c r="AP208" i="28"/>
  <c r="AP138" i="28"/>
  <c r="AP109" i="28"/>
  <c r="AP94" i="28"/>
  <c r="AS94" i="28"/>
  <c r="AS65" i="28"/>
  <c r="AP101" i="28"/>
  <c r="AS101" i="28"/>
  <c r="AP81" i="28"/>
  <c r="AS81" i="28"/>
  <c r="AS58" i="28"/>
  <c r="AS69" i="28"/>
  <c r="AP262" i="28"/>
  <c r="AP140" i="28"/>
  <c r="AP132" i="28"/>
  <c r="AP347" i="28"/>
  <c r="AP324" i="28"/>
  <c r="AP175" i="28"/>
  <c r="AP230" i="28"/>
  <c r="AP345" i="28"/>
  <c r="AP163" i="28"/>
  <c r="AP334" i="28"/>
  <c r="AP253" i="28"/>
  <c r="AP114" i="28"/>
  <c r="AS96" i="28"/>
  <c r="AS54" i="28"/>
  <c r="AP270" i="28"/>
  <c r="AP195" i="28"/>
  <c r="AP272" i="28"/>
  <c r="AP149" i="28"/>
  <c r="AS102" i="28"/>
  <c r="AP348" i="28"/>
  <c r="AP342" i="28"/>
  <c r="AP168" i="28"/>
  <c r="AP146" i="28"/>
  <c r="AP263" i="28"/>
  <c r="AP222" i="28"/>
  <c r="AP164" i="28"/>
  <c r="AP174" i="28"/>
  <c r="AP183" i="28"/>
  <c r="AP271" i="28"/>
  <c r="AP226" i="28"/>
  <c r="AP166" i="28"/>
  <c r="AP273" i="28"/>
  <c r="AP185" i="28"/>
  <c r="AP171" i="28"/>
  <c r="AP177" i="28"/>
  <c r="AS95" i="28"/>
  <c r="AS100" i="28"/>
  <c r="AP256" i="28"/>
  <c r="AP220" i="28"/>
  <c r="AP339" i="28"/>
  <c r="AP266" i="28"/>
  <c r="AP327" i="28"/>
  <c r="AP235" i="28"/>
  <c r="AP162" i="28"/>
  <c r="AP221" i="28"/>
  <c r="AP320" i="28"/>
  <c r="AP156" i="28"/>
  <c r="AP111" i="28"/>
  <c r="AP209" i="28"/>
  <c r="AP210" i="28"/>
  <c r="AP167" i="28"/>
  <c r="AP104" i="28"/>
  <c r="AS104" i="28"/>
  <c r="AP129" i="28"/>
  <c r="AP110" i="28"/>
  <c r="AP99" i="28"/>
  <c r="AS99" i="28"/>
  <c r="AP255" i="28"/>
  <c r="AP181" i="28"/>
  <c r="AP93" i="28"/>
  <c r="AS93" i="28"/>
  <c r="AP128" i="28"/>
  <c r="AP105" i="28"/>
  <c r="AS105" i="28"/>
  <c r="AP157" i="28"/>
  <c r="AP346" i="28"/>
  <c r="AP238" i="28"/>
  <c r="AS59" i="28"/>
  <c r="AP218" i="28"/>
  <c r="AP147" i="28"/>
  <c r="AS67" i="28"/>
  <c r="AP83" i="28"/>
  <c r="AS83" i="28"/>
  <c r="AP84" i="28"/>
  <c r="AS84" i="28"/>
  <c r="AP144" i="28"/>
  <c r="AP131" i="28"/>
  <c r="AP64" i="28"/>
  <c r="AP63" i="28"/>
  <c r="AP112" i="28"/>
  <c r="AP153" i="28"/>
  <c r="AP67" i="28"/>
  <c r="AP180" i="28"/>
  <c r="AP211" i="28"/>
  <c r="AP239" i="28"/>
  <c r="AP92" i="28"/>
  <c r="AP68" i="28"/>
  <c r="AP82" i="28"/>
  <c r="AP60" i="28"/>
  <c r="AP57" i="28"/>
  <c r="AP55" i="28"/>
  <c r="AP234" i="28"/>
  <c r="AP90" i="28"/>
  <c r="AP56" i="28"/>
  <c r="AP254" i="28"/>
  <c r="AP328" i="28"/>
  <c r="AP103" i="28"/>
  <c r="AP66" i="28"/>
  <c r="AP216" i="28"/>
  <c r="AP315" i="28"/>
  <c r="AP59" i="28"/>
  <c r="AP184" i="28"/>
  <c r="AP65" i="28"/>
  <c r="AP58" i="28"/>
  <c r="AP69" i="28"/>
  <c r="AP85" i="28"/>
  <c r="AP127" i="28"/>
  <c r="AP207" i="28"/>
  <c r="AP182" i="28"/>
  <c r="AP96" i="28"/>
  <c r="AP54" i="28"/>
  <c r="AP102" i="28"/>
  <c r="AP86" i="28"/>
  <c r="AP87" i="28"/>
  <c r="AP186" i="28"/>
  <c r="AP225" i="28"/>
  <c r="AP252" i="28"/>
  <c r="AP95" i="28"/>
  <c r="AP100" i="28"/>
  <c r="AI212" i="28" l="1"/>
  <c r="BB212" i="28"/>
  <c r="BA212" i="28"/>
  <c r="AZ212" i="28"/>
  <c r="BD212" i="28"/>
  <c r="BC212" i="28"/>
  <c r="AI257" i="28"/>
  <c r="BC257" i="28"/>
  <c r="BB257" i="28"/>
  <c r="BA257" i="28"/>
  <c r="AZ257" i="28"/>
  <c r="BD257" i="28"/>
  <c r="AI275" i="28"/>
  <c r="BD275" i="28"/>
  <c r="BC275" i="28"/>
  <c r="BB275" i="28"/>
  <c r="BA275" i="28"/>
  <c r="AZ275" i="28"/>
  <c r="AI302" i="28"/>
  <c r="BD302" i="28"/>
  <c r="BC302" i="28"/>
  <c r="BB302" i="28"/>
  <c r="BA302" i="28"/>
  <c r="AZ302" i="28"/>
  <c r="AI338" i="28"/>
  <c r="AZ338" i="28"/>
  <c r="BD338" i="28"/>
  <c r="BC338" i="28"/>
  <c r="BB338" i="28"/>
  <c r="BA338" i="28"/>
  <c r="AI230" i="28"/>
  <c r="BD230" i="28"/>
  <c r="BC230" i="28"/>
  <c r="BB230" i="28"/>
  <c r="BA230" i="28"/>
  <c r="AZ230" i="28"/>
  <c r="AI167" i="28"/>
  <c r="BA167" i="28"/>
  <c r="AZ167" i="28"/>
  <c r="BD167" i="28"/>
  <c r="BC167" i="28"/>
  <c r="BB167" i="28"/>
  <c r="AI185" i="28"/>
  <c r="BC185" i="28"/>
  <c r="BB185" i="28"/>
  <c r="BA185" i="28"/>
  <c r="AZ185" i="28"/>
  <c r="BD185" i="28"/>
  <c r="AI158" i="28"/>
  <c r="BD158" i="28"/>
  <c r="BC158" i="28"/>
  <c r="BB158" i="28"/>
  <c r="BA158" i="28"/>
  <c r="AZ158" i="28"/>
  <c r="AI284" i="28"/>
  <c r="BB284" i="28"/>
  <c r="BA284" i="28"/>
  <c r="AZ284" i="28"/>
  <c r="BD284" i="28"/>
  <c r="BC284" i="28"/>
  <c r="AI329" i="28"/>
  <c r="BC329" i="28"/>
  <c r="BB329" i="28"/>
  <c r="BA329" i="28"/>
  <c r="AZ329" i="28"/>
  <c r="BD329" i="28"/>
  <c r="AI221" i="28"/>
  <c r="BD221" i="28"/>
  <c r="BC221" i="28"/>
  <c r="BB221" i="28"/>
  <c r="BA221" i="28"/>
  <c r="AZ221" i="28"/>
  <c r="AI248" i="28"/>
  <c r="BD248" i="28"/>
  <c r="BC248" i="28"/>
  <c r="BB248" i="28"/>
  <c r="BA248" i="28"/>
  <c r="AZ248" i="28"/>
  <c r="AI239" i="28"/>
  <c r="BA239" i="28"/>
  <c r="AZ239" i="28"/>
  <c r="BD239" i="28"/>
  <c r="BC239" i="28"/>
  <c r="BB239" i="28"/>
  <c r="AI293" i="28"/>
  <c r="BD293" i="28"/>
  <c r="BC293" i="28"/>
  <c r="BB293" i="28"/>
  <c r="BA293" i="28"/>
  <c r="AZ293" i="28"/>
  <c r="AI266" i="28"/>
  <c r="AZ266" i="28"/>
  <c r="BD266" i="28"/>
  <c r="BC266" i="28"/>
  <c r="BB266" i="28"/>
  <c r="BA266" i="28"/>
  <c r="AI203" i="28"/>
  <c r="BD203" i="28"/>
  <c r="BC203" i="28"/>
  <c r="BB203" i="28"/>
  <c r="BA203" i="28"/>
  <c r="AZ203" i="28"/>
  <c r="AI347" i="28"/>
  <c r="BD347" i="28"/>
  <c r="BC347" i="28"/>
  <c r="BB347" i="28"/>
  <c r="BA347" i="28"/>
  <c r="AZ347" i="28"/>
  <c r="AI176" i="28"/>
  <c r="BD176" i="28"/>
  <c r="BC176" i="28"/>
  <c r="BA176" i="28"/>
  <c r="AZ176" i="28"/>
  <c r="BB176" i="28"/>
  <c r="AI320" i="28"/>
  <c r="BD320" i="28"/>
  <c r="BC320" i="28"/>
  <c r="BB320" i="28"/>
  <c r="BA320" i="28"/>
  <c r="AZ320" i="28"/>
  <c r="AI311" i="28"/>
  <c r="BA311" i="28"/>
  <c r="AZ311" i="28"/>
  <c r="BD311" i="28"/>
  <c r="BC311" i="28"/>
  <c r="BB311" i="28"/>
  <c r="AI194" i="28"/>
  <c r="AZ194" i="28"/>
  <c r="BD194" i="28"/>
  <c r="BC194" i="28"/>
  <c r="BB194" i="28"/>
  <c r="BA194" i="28"/>
  <c r="BE33" i="28"/>
  <c r="AY33" i="28"/>
  <c r="AX33" i="28"/>
  <c r="AW33" i="28"/>
  <c r="AV33" i="28"/>
  <c r="AR33" i="28" s="1"/>
  <c r="BE32" i="28"/>
  <c r="AY32" i="28"/>
  <c r="AX32" i="28"/>
  <c r="AW32" i="28"/>
  <c r="AV32" i="28"/>
  <c r="AN32" i="28" s="1"/>
  <c r="BE31" i="28"/>
  <c r="AY31" i="28"/>
  <c r="AX31" i="28"/>
  <c r="AW31" i="28"/>
  <c r="AV31" i="28"/>
  <c r="P31" i="28"/>
  <c r="P32" i="28"/>
  <c r="P38" i="28"/>
  <c r="P39" i="28"/>
  <c r="P45" i="28"/>
  <c r="P46" i="28"/>
  <c r="P52" i="28"/>
  <c r="P53" i="28"/>
  <c r="P59" i="28"/>
  <c r="P60" i="28"/>
  <c r="P66" i="28"/>
  <c r="P67" i="28"/>
  <c r="P73" i="28"/>
  <c r="P74" i="28"/>
  <c r="P80" i="28"/>
  <c r="P81" i="28"/>
  <c r="P87" i="28"/>
  <c r="P88" i="28"/>
  <c r="P94" i="28"/>
  <c r="P95" i="28"/>
  <c r="P101" i="28"/>
  <c r="P102" i="28"/>
  <c r="P108" i="28"/>
  <c r="P109" i="28"/>
  <c r="P115" i="28"/>
  <c r="P116" i="28"/>
  <c r="P122" i="28"/>
  <c r="P123" i="28"/>
  <c r="P129" i="28"/>
  <c r="P130" i="28"/>
  <c r="P136" i="28"/>
  <c r="P137" i="28"/>
  <c r="P143" i="28"/>
  <c r="P144" i="28"/>
  <c r="P150" i="28"/>
  <c r="P151" i="28"/>
  <c r="P157" i="28"/>
  <c r="P158" i="28"/>
  <c r="P164" i="28"/>
  <c r="P165" i="28"/>
  <c r="P171" i="28"/>
  <c r="P172" i="28"/>
  <c r="P178" i="28"/>
  <c r="P179" i="28"/>
  <c r="P185" i="28"/>
  <c r="P186" i="28"/>
  <c r="P192" i="28"/>
  <c r="P193" i="28"/>
  <c r="P199" i="28"/>
  <c r="P200" i="28"/>
  <c r="P206" i="28"/>
  <c r="P207" i="28"/>
  <c r="P213" i="28"/>
  <c r="P214" i="28"/>
  <c r="P220" i="28"/>
  <c r="P221" i="28"/>
  <c r="P227" i="28"/>
  <c r="P228" i="28"/>
  <c r="P234" i="28"/>
  <c r="P235" i="28"/>
  <c r="P241" i="28"/>
  <c r="P242" i="28"/>
  <c r="P248" i="28"/>
  <c r="P249" i="28"/>
  <c r="P255" i="28"/>
  <c r="P256" i="28"/>
  <c r="P262" i="28"/>
  <c r="P263" i="28"/>
  <c r="P269" i="28"/>
  <c r="P270" i="28"/>
  <c r="P276" i="28"/>
  <c r="P277" i="28"/>
  <c r="P283" i="28"/>
  <c r="P284" i="28"/>
  <c r="P290" i="28"/>
  <c r="P291" i="28"/>
  <c r="P297" i="28"/>
  <c r="P298" i="28"/>
  <c r="P304" i="28"/>
  <c r="P305" i="28"/>
  <c r="P311" i="28"/>
  <c r="P312" i="28"/>
  <c r="P318" i="28"/>
  <c r="P319" i="28"/>
  <c r="P325" i="28"/>
  <c r="P326" i="28"/>
  <c r="P332" i="28"/>
  <c r="P333" i="28"/>
  <c r="P339" i="28"/>
  <c r="P340" i="28"/>
  <c r="P346" i="28"/>
  <c r="P347" i="28"/>
  <c r="P353" i="28"/>
  <c r="P354" i="28"/>
  <c r="P360" i="28"/>
  <c r="P361" i="28"/>
  <c r="P367" i="28"/>
  <c r="P368" i="28"/>
  <c r="P374" i="28"/>
  <c r="P375" i="28"/>
  <c r="P381" i="28"/>
  <c r="P382" i="28"/>
  <c r="P388" i="28"/>
  <c r="P389" i="28"/>
  <c r="P395" i="28"/>
  <c r="P396" i="28"/>
  <c r="P402" i="28"/>
  <c r="P403" i="28"/>
  <c r="P409" i="28"/>
  <c r="P410" i="28"/>
  <c r="P416" i="28"/>
  <c r="P417" i="28"/>
  <c r="P423" i="28"/>
  <c r="P424" i="28"/>
  <c r="P430" i="28"/>
  <c r="P431" i="28"/>
  <c r="P437" i="28"/>
  <c r="P438" i="28"/>
  <c r="P444" i="28"/>
  <c r="P445" i="28"/>
  <c r="P451" i="28"/>
  <c r="P452" i="28"/>
  <c r="P458" i="28"/>
  <c r="P459" i="28"/>
  <c r="P465" i="28"/>
  <c r="P466" i="28"/>
  <c r="P472" i="28"/>
  <c r="P473" i="28"/>
  <c r="P479" i="28"/>
  <c r="P480" i="28"/>
  <c r="P486" i="28"/>
  <c r="P487" i="28"/>
  <c r="P493" i="28"/>
  <c r="P494" i="28"/>
  <c r="P500" i="28"/>
  <c r="P501" i="28"/>
  <c r="P507" i="28"/>
  <c r="P508" i="28"/>
  <c r="P514" i="28"/>
  <c r="P515" i="28"/>
  <c r="P521" i="28"/>
  <c r="P522" i="28"/>
  <c r="P528" i="28"/>
  <c r="P529" i="28"/>
  <c r="P535" i="28"/>
  <c r="P536" i="28"/>
  <c r="P542" i="28"/>
  <c r="P543" i="28"/>
  <c r="P549" i="28"/>
  <c r="P550" i="28"/>
  <c r="P556" i="28"/>
  <c r="P557" i="28"/>
  <c r="P563" i="28"/>
  <c r="P564" i="28"/>
  <c r="P570" i="28"/>
  <c r="P571" i="28"/>
  <c r="P577" i="28"/>
  <c r="P578" i="28"/>
  <c r="P584" i="28"/>
  <c r="P585" i="28"/>
  <c r="P591" i="28"/>
  <c r="P592" i="28"/>
  <c r="P598" i="28"/>
  <c r="P599" i="28"/>
  <c r="P605" i="28"/>
  <c r="P606" i="28"/>
  <c r="P612" i="28"/>
  <c r="P613" i="28"/>
  <c r="P619" i="28"/>
  <c r="P620" i="28"/>
  <c r="P626" i="28"/>
  <c r="P627" i="28"/>
  <c r="P633" i="28"/>
  <c r="P634" i="28"/>
  <c r="P640" i="28"/>
  <c r="P641" i="28"/>
  <c r="P647" i="28"/>
  <c r="P648" i="28"/>
  <c r="P654" i="28"/>
  <c r="P655" i="28"/>
  <c r="P661" i="28"/>
  <c r="P662" i="28"/>
  <c r="P668" i="28"/>
  <c r="P669" i="28"/>
  <c r="P675" i="28"/>
  <c r="P676" i="28"/>
  <c r="P682" i="28"/>
  <c r="P683" i="28"/>
  <c r="P689" i="28"/>
  <c r="P690" i="28"/>
  <c r="P696" i="28"/>
  <c r="P697" i="28"/>
  <c r="P703" i="28"/>
  <c r="P704" i="28"/>
  <c r="P710" i="28"/>
  <c r="P711" i="28"/>
  <c r="P717" i="28"/>
  <c r="P718" i="28"/>
  <c r="P724" i="28"/>
  <c r="P725" i="28"/>
  <c r="P731" i="28"/>
  <c r="P732" i="28"/>
  <c r="P738" i="28"/>
  <c r="P739" i="28"/>
  <c r="P745" i="28"/>
  <c r="P746" i="28"/>
  <c r="P752" i="28"/>
  <c r="P753" i="28"/>
  <c r="P759" i="28"/>
  <c r="P760" i="28"/>
  <c r="P766" i="28"/>
  <c r="P767" i="28"/>
  <c r="P773" i="28"/>
  <c r="P774" i="28"/>
  <c r="P780" i="28"/>
  <c r="P781" i="28"/>
  <c r="P787" i="28"/>
  <c r="P788" i="28"/>
  <c r="P794" i="28"/>
  <c r="P795" i="28"/>
  <c r="P801" i="28"/>
  <c r="P802" i="28"/>
  <c r="P808" i="28"/>
  <c r="P809" i="28"/>
  <c r="P815" i="28"/>
  <c r="P816" i="28"/>
  <c r="P822" i="28"/>
  <c r="P823" i="28"/>
  <c r="P829" i="28"/>
  <c r="P830" i="28"/>
  <c r="P836" i="28"/>
  <c r="P837" i="28"/>
  <c r="P843" i="28"/>
  <c r="P844" i="28"/>
  <c r="P850" i="28"/>
  <c r="P851" i="28"/>
  <c r="P857" i="28"/>
  <c r="P858" i="28"/>
  <c r="P864" i="28"/>
  <c r="P865" i="28"/>
  <c r="P871" i="28"/>
  <c r="P872" i="28"/>
  <c r="P878" i="28"/>
  <c r="P879" i="28"/>
  <c r="P885" i="28"/>
  <c r="P886" i="28"/>
  <c r="P892" i="28"/>
  <c r="P893" i="28"/>
  <c r="P899" i="28"/>
  <c r="P900" i="28"/>
  <c r="P906" i="28"/>
  <c r="P907" i="28"/>
  <c r="P913" i="28"/>
  <c r="P914" i="28"/>
  <c r="P920" i="28"/>
  <c r="P921" i="28"/>
  <c r="O31" i="28"/>
  <c r="O32" i="28"/>
  <c r="O38" i="28"/>
  <c r="O39" i="28"/>
  <c r="O45" i="28"/>
  <c r="O46" i="28"/>
  <c r="O52" i="28"/>
  <c r="O53" i="28"/>
  <c r="O59" i="28"/>
  <c r="O60" i="28"/>
  <c r="O66" i="28"/>
  <c r="O67" i="28"/>
  <c r="O73" i="28"/>
  <c r="O74" i="28"/>
  <c r="O80" i="28"/>
  <c r="O81" i="28"/>
  <c r="O87" i="28"/>
  <c r="O88" i="28"/>
  <c r="O94" i="28"/>
  <c r="O95" i="28"/>
  <c r="O101" i="28"/>
  <c r="O102" i="28"/>
  <c r="O108" i="28"/>
  <c r="O109" i="28"/>
  <c r="O115" i="28"/>
  <c r="O116" i="28"/>
  <c r="O122" i="28"/>
  <c r="O123" i="28"/>
  <c r="O129" i="28"/>
  <c r="O130" i="28"/>
  <c r="O136" i="28"/>
  <c r="O137" i="28"/>
  <c r="O143" i="28"/>
  <c r="O144" i="28"/>
  <c r="O150" i="28"/>
  <c r="O151" i="28"/>
  <c r="O157" i="28"/>
  <c r="O158" i="28"/>
  <c r="O164" i="28"/>
  <c r="O165" i="28"/>
  <c r="O171" i="28"/>
  <c r="O172" i="28"/>
  <c r="O178" i="28"/>
  <c r="O179" i="28"/>
  <c r="O185" i="28"/>
  <c r="O186" i="28"/>
  <c r="O192" i="28"/>
  <c r="O193" i="28"/>
  <c r="O199" i="28"/>
  <c r="O200" i="28"/>
  <c r="O206" i="28"/>
  <c r="O207" i="28"/>
  <c r="O213" i="28"/>
  <c r="O214" i="28"/>
  <c r="O220" i="28"/>
  <c r="O221" i="28"/>
  <c r="O227" i="28"/>
  <c r="O228" i="28"/>
  <c r="O234" i="28"/>
  <c r="O235" i="28"/>
  <c r="O241" i="28"/>
  <c r="O242" i="28"/>
  <c r="O248" i="28"/>
  <c r="O249" i="28"/>
  <c r="O255" i="28"/>
  <c r="O256" i="28"/>
  <c r="O262" i="28"/>
  <c r="O263" i="28"/>
  <c r="O269" i="28"/>
  <c r="O270" i="28"/>
  <c r="O276" i="28"/>
  <c r="O277" i="28"/>
  <c r="O283" i="28"/>
  <c r="O284" i="28"/>
  <c r="O290" i="28"/>
  <c r="O291" i="28"/>
  <c r="O297" i="28"/>
  <c r="O298" i="28"/>
  <c r="O304" i="28"/>
  <c r="O305" i="28"/>
  <c r="O311" i="28"/>
  <c r="O312" i="28"/>
  <c r="O318" i="28"/>
  <c r="O319" i="28"/>
  <c r="O325" i="28"/>
  <c r="O326" i="28"/>
  <c r="O332" i="28"/>
  <c r="O333" i="28"/>
  <c r="O339" i="28"/>
  <c r="O340" i="28"/>
  <c r="O346" i="28"/>
  <c r="O347" i="28"/>
  <c r="O353" i="28"/>
  <c r="O354" i="28"/>
  <c r="O360" i="28"/>
  <c r="O361" i="28"/>
  <c r="O367" i="28"/>
  <c r="O368" i="28"/>
  <c r="O374" i="28"/>
  <c r="O375" i="28"/>
  <c r="O381" i="28"/>
  <c r="O382" i="28"/>
  <c r="O388" i="28"/>
  <c r="O389" i="28"/>
  <c r="O395" i="28"/>
  <c r="O396" i="28"/>
  <c r="O402" i="28"/>
  <c r="O403" i="28"/>
  <c r="O409" i="28"/>
  <c r="O410" i="28"/>
  <c r="O416" i="28"/>
  <c r="O417" i="28"/>
  <c r="O423" i="28"/>
  <c r="O424" i="28"/>
  <c r="O430" i="28"/>
  <c r="O431" i="28"/>
  <c r="O437" i="28"/>
  <c r="O438" i="28"/>
  <c r="O444" i="28"/>
  <c r="O445" i="28"/>
  <c r="O451" i="28"/>
  <c r="O452" i="28"/>
  <c r="O458" i="28"/>
  <c r="O459" i="28"/>
  <c r="O465" i="28"/>
  <c r="O466" i="28"/>
  <c r="O472" i="28"/>
  <c r="O473" i="28"/>
  <c r="O479" i="28"/>
  <c r="O480" i="28"/>
  <c r="O486" i="28"/>
  <c r="O487" i="28"/>
  <c r="O493" i="28"/>
  <c r="O494" i="28"/>
  <c r="O500" i="28"/>
  <c r="O501" i="28"/>
  <c r="O507" i="28"/>
  <c r="O508" i="28"/>
  <c r="O514" i="28"/>
  <c r="O515" i="28"/>
  <c r="O521" i="28"/>
  <c r="O522" i="28"/>
  <c r="O528" i="28"/>
  <c r="O529" i="28"/>
  <c r="O535" i="28"/>
  <c r="O536" i="28"/>
  <c r="O542" i="28"/>
  <c r="O543" i="28"/>
  <c r="O549" i="28"/>
  <c r="O550" i="28"/>
  <c r="O556" i="28"/>
  <c r="O557" i="28"/>
  <c r="O563" i="28"/>
  <c r="O564" i="28"/>
  <c r="O570" i="28"/>
  <c r="O571" i="28"/>
  <c r="O577" i="28"/>
  <c r="O578" i="28"/>
  <c r="O584" i="28"/>
  <c r="O585" i="28"/>
  <c r="O591" i="28"/>
  <c r="O592" i="28"/>
  <c r="O598" i="28"/>
  <c r="O599" i="28"/>
  <c r="O605" i="28"/>
  <c r="O606" i="28"/>
  <c r="O612" i="28"/>
  <c r="O613" i="28"/>
  <c r="O619" i="28"/>
  <c r="O620" i="28"/>
  <c r="O626" i="28"/>
  <c r="O627" i="28"/>
  <c r="O633" i="28"/>
  <c r="O634" i="28"/>
  <c r="O640" i="28"/>
  <c r="O641" i="28"/>
  <c r="O647" i="28"/>
  <c r="O648" i="28"/>
  <c r="O654" i="28"/>
  <c r="O655" i="28"/>
  <c r="O661" i="28"/>
  <c r="O662" i="28"/>
  <c r="O668" i="28"/>
  <c r="O669" i="28"/>
  <c r="O675" i="28"/>
  <c r="O676" i="28"/>
  <c r="O682" i="28"/>
  <c r="O683" i="28"/>
  <c r="O689" i="28"/>
  <c r="O690" i="28"/>
  <c r="O696" i="28"/>
  <c r="O697" i="28"/>
  <c r="O703" i="28"/>
  <c r="O704" i="28"/>
  <c r="O710" i="28"/>
  <c r="O711" i="28"/>
  <c r="O717" i="28"/>
  <c r="O718" i="28"/>
  <c r="O724" i="28"/>
  <c r="O725" i="28"/>
  <c r="O731" i="28"/>
  <c r="O732" i="28"/>
  <c r="O738" i="28"/>
  <c r="O739" i="28"/>
  <c r="O745" i="28"/>
  <c r="O746" i="28"/>
  <c r="O752" i="28"/>
  <c r="O753" i="28"/>
  <c r="O759" i="28"/>
  <c r="O760" i="28"/>
  <c r="O766" i="28"/>
  <c r="O767" i="28"/>
  <c r="O773" i="28"/>
  <c r="O774" i="28"/>
  <c r="O780" i="28"/>
  <c r="O781" i="28"/>
  <c r="O787" i="28"/>
  <c r="O788" i="28"/>
  <c r="O794" i="28"/>
  <c r="O795" i="28"/>
  <c r="O801" i="28"/>
  <c r="O802" i="28"/>
  <c r="O808" i="28"/>
  <c r="O809" i="28"/>
  <c r="O815" i="28"/>
  <c r="O816" i="28"/>
  <c r="O822" i="28"/>
  <c r="O823" i="28"/>
  <c r="O829" i="28"/>
  <c r="O830" i="28"/>
  <c r="O836" i="28"/>
  <c r="O837" i="28"/>
  <c r="O843" i="28"/>
  <c r="O844" i="28"/>
  <c r="O850" i="28"/>
  <c r="O851" i="28"/>
  <c r="O857" i="28"/>
  <c r="O858" i="28"/>
  <c r="O864" i="28"/>
  <c r="O865" i="28"/>
  <c r="O871" i="28"/>
  <c r="O872" i="28"/>
  <c r="O878" i="28"/>
  <c r="O879" i="28"/>
  <c r="O885" i="28"/>
  <c r="O886" i="28"/>
  <c r="O892" i="28"/>
  <c r="O893" i="28"/>
  <c r="O899" i="28"/>
  <c r="O900" i="28"/>
  <c r="O906" i="28"/>
  <c r="O907" i="28"/>
  <c r="O913" i="28"/>
  <c r="O914" i="28"/>
  <c r="O920" i="28"/>
  <c r="O921" i="28"/>
  <c r="R27" i="28"/>
  <c r="R28" i="28"/>
  <c r="R29" i="28"/>
  <c r="R30" i="28"/>
  <c r="R31" i="28"/>
  <c r="R32" i="28"/>
  <c r="R34" i="28"/>
  <c r="R35" i="28"/>
  <c r="R36" i="28"/>
  <c r="R37" i="28"/>
  <c r="R38" i="28"/>
  <c r="R39" i="28"/>
  <c r="R41" i="28"/>
  <c r="R42" i="28"/>
  <c r="R43" i="28"/>
  <c r="R44" i="28"/>
  <c r="R45" i="28"/>
  <c r="R46" i="28"/>
  <c r="R48" i="28"/>
  <c r="R49" i="28"/>
  <c r="R50" i="28"/>
  <c r="R51" i="28"/>
  <c r="R52" i="28"/>
  <c r="R53" i="28"/>
  <c r="R55" i="28"/>
  <c r="R56" i="28"/>
  <c r="R57" i="28"/>
  <c r="R58" i="28"/>
  <c r="R59" i="28"/>
  <c r="R60" i="28"/>
  <c r="R62" i="28"/>
  <c r="R63" i="28"/>
  <c r="R64" i="28"/>
  <c r="R65" i="28"/>
  <c r="R66" i="28"/>
  <c r="R67" i="28"/>
  <c r="R69" i="28"/>
  <c r="R70" i="28"/>
  <c r="R71" i="28"/>
  <c r="R72" i="28"/>
  <c r="R73" i="28"/>
  <c r="R74" i="28"/>
  <c r="R76" i="28"/>
  <c r="R77" i="28"/>
  <c r="R78" i="28"/>
  <c r="R79" i="28"/>
  <c r="R80" i="28"/>
  <c r="R81" i="28"/>
  <c r="R83" i="28"/>
  <c r="R84" i="28"/>
  <c r="R85" i="28"/>
  <c r="R86" i="28"/>
  <c r="R87" i="28"/>
  <c r="R88" i="28"/>
  <c r="R90" i="28"/>
  <c r="R91" i="28"/>
  <c r="R92" i="28"/>
  <c r="R93" i="28"/>
  <c r="R94" i="28"/>
  <c r="R95" i="28"/>
  <c r="R97" i="28"/>
  <c r="R98" i="28"/>
  <c r="R99" i="28"/>
  <c r="R100" i="28"/>
  <c r="R101" i="28"/>
  <c r="R102" i="28"/>
  <c r="R104" i="28"/>
  <c r="R105" i="28"/>
  <c r="R106" i="28"/>
  <c r="R107" i="28"/>
  <c r="R108" i="28"/>
  <c r="R109" i="28"/>
  <c r="R111" i="28"/>
  <c r="R112" i="28"/>
  <c r="R113" i="28"/>
  <c r="R114" i="28"/>
  <c r="R115" i="28"/>
  <c r="R116" i="28"/>
  <c r="R118" i="28"/>
  <c r="R119" i="28"/>
  <c r="R120" i="28"/>
  <c r="R121" i="28"/>
  <c r="R122" i="28"/>
  <c r="R123" i="28"/>
  <c r="R125" i="28"/>
  <c r="R126" i="28"/>
  <c r="R127" i="28"/>
  <c r="R128" i="28"/>
  <c r="R129" i="28"/>
  <c r="R130" i="28"/>
  <c r="R132" i="28"/>
  <c r="R133" i="28"/>
  <c r="R134" i="28"/>
  <c r="R135" i="28"/>
  <c r="R136" i="28"/>
  <c r="R137" i="28"/>
  <c r="R139" i="28"/>
  <c r="R140" i="28"/>
  <c r="R141" i="28"/>
  <c r="R142" i="28"/>
  <c r="R143" i="28"/>
  <c r="R144" i="28"/>
  <c r="R146" i="28"/>
  <c r="R147" i="28"/>
  <c r="R148" i="28"/>
  <c r="R149" i="28"/>
  <c r="R150" i="28"/>
  <c r="R151" i="28"/>
  <c r="R153" i="28"/>
  <c r="R154" i="28"/>
  <c r="R155" i="28"/>
  <c r="R156" i="28"/>
  <c r="R157" i="28"/>
  <c r="R158" i="28"/>
  <c r="R160" i="28"/>
  <c r="R161" i="28"/>
  <c r="R162" i="28"/>
  <c r="R163" i="28"/>
  <c r="R164" i="28"/>
  <c r="R165" i="28"/>
  <c r="R167" i="28"/>
  <c r="R168" i="28"/>
  <c r="R169" i="28"/>
  <c r="R170" i="28"/>
  <c r="R171" i="28"/>
  <c r="R172" i="28"/>
  <c r="R174" i="28"/>
  <c r="R175" i="28"/>
  <c r="R176" i="28"/>
  <c r="R177" i="28"/>
  <c r="R178" i="28"/>
  <c r="R179" i="28"/>
  <c r="R181" i="28"/>
  <c r="R182" i="28"/>
  <c r="R183" i="28"/>
  <c r="R184" i="28"/>
  <c r="R185" i="28"/>
  <c r="R186" i="28"/>
  <c r="R188" i="28"/>
  <c r="R189" i="28"/>
  <c r="R190" i="28"/>
  <c r="R191" i="28"/>
  <c r="R192" i="28"/>
  <c r="R193" i="28"/>
  <c r="R195" i="28"/>
  <c r="R196" i="28"/>
  <c r="R197" i="28"/>
  <c r="R198" i="28"/>
  <c r="R199" i="28"/>
  <c r="R200" i="28"/>
  <c r="R202" i="28"/>
  <c r="R203" i="28"/>
  <c r="R204" i="28"/>
  <c r="R205" i="28"/>
  <c r="R206" i="28"/>
  <c r="R207" i="28"/>
  <c r="R209" i="28"/>
  <c r="R210" i="28"/>
  <c r="R211" i="28"/>
  <c r="R212" i="28"/>
  <c r="R213" i="28"/>
  <c r="R214" i="28"/>
  <c r="R216" i="28"/>
  <c r="R217" i="28"/>
  <c r="R218" i="28"/>
  <c r="R219" i="28"/>
  <c r="R220" i="28"/>
  <c r="R221" i="28"/>
  <c r="R223" i="28"/>
  <c r="R224" i="28"/>
  <c r="R225" i="28"/>
  <c r="R226" i="28"/>
  <c r="R227" i="28"/>
  <c r="R228" i="28"/>
  <c r="R230" i="28"/>
  <c r="R231" i="28"/>
  <c r="R232" i="28"/>
  <c r="R233" i="28"/>
  <c r="R234" i="28"/>
  <c r="R235" i="28"/>
  <c r="R237" i="28"/>
  <c r="R238" i="28"/>
  <c r="R239" i="28"/>
  <c r="R240" i="28"/>
  <c r="R241" i="28"/>
  <c r="R242" i="28"/>
  <c r="R244" i="28"/>
  <c r="R245" i="28"/>
  <c r="R246" i="28"/>
  <c r="R247" i="28"/>
  <c r="R248" i="28"/>
  <c r="R249" i="28"/>
  <c r="R251" i="28"/>
  <c r="R252" i="28"/>
  <c r="R253" i="28"/>
  <c r="R254" i="28"/>
  <c r="R255" i="28"/>
  <c r="R256" i="28"/>
  <c r="R258" i="28"/>
  <c r="R259" i="28"/>
  <c r="R260" i="28"/>
  <c r="R261" i="28"/>
  <c r="R262" i="28"/>
  <c r="R263" i="28"/>
  <c r="R265" i="28"/>
  <c r="R266" i="28"/>
  <c r="R267" i="28"/>
  <c r="R268" i="28"/>
  <c r="R269" i="28"/>
  <c r="R270" i="28"/>
  <c r="R272" i="28"/>
  <c r="R273" i="28"/>
  <c r="R274" i="28"/>
  <c r="R275" i="28"/>
  <c r="R276" i="28"/>
  <c r="R277" i="28"/>
  <c r="R279" i="28"/>
  <c r="R280" i="28"/>
  <c r="R281" i="28"/>
  <c r="R282" i="28"/>
  <c r="R283" i="28"/>
  <c r="R284" i="28"/>
  <c r="R286" i="28"/>
  <c r="R287" i="28"/>
  <c r="R288" i="28"/>
  <c r="R289" i="28"/>
  <c r="R290" i="28"/>
  <c r="R291" i="28"/>
  <c r="R293" i="28"/>
  <c r="R294" i="28"/>
  <c r="R295" i="28"/>
  <c r="R296" i="28"/>
  <c r="R297" i="28"/>
  <c r="R298" i="28"/>
  <c r="R300" i="28"/>
  <c r="R301" i="28"/>
  <c r="R302" i="28"/>
  <c r="R303" i="28"/>
  <c r="R304" i="28"/>
  <c r="R305" i="28"/>
  <c r="R307" i="28"/>
  <c r="R308" i="28"/>
  <c r="R309" i="28"/>
  <c r="R310" i="28"/>
  <c r="R311" i="28"/>
  <c r="R312" i="28"/>
  <c r="R314" i="28"/>
  <c r="R315" i="28"/>
  <c r="R316" i="28"/>
  <c r="R317" i="28"/>
  <c r="R318" i="28"/>
  <c r="R319" i="28"/>
  <c r="R321" i="28"/>
  <c r="R322" i="28"/>
  <c r="R323" i="28"/>
  <c r="R324" i="28"/>
  <c r="R325" i="28"/>
  <c r="R326" i="28"/>
  <c r="R328" i="28"/>
  <c r="R329" i="28"/>
  <c r="R330" i="28"/>
  <c r="R331" i="28"/>
  <c r="R332" i="28"/>
  <c r="R333" i="28"/>
  <c r="R335" i="28"/>
  <c r="R336" i="28"/>
  <c r="R337" i="28"/>
  <c r="R338" i="28"/>
  <c r="R339" i="28"/>
  <c r="R340" i="28"/>
  <c r="R342" i="28"/>
  <c r="R343" i="28"/>
  <c r="R344" i="28"/>
  <c r="R345" i="28"/>
  <c r="R346" i="28"/>
  <c r="R347" i="28"/>
  <c r="R349" i="28"/>
  <c r="R350" i="28"/>
  <c r="R351" i="28"/>
  <c r="R352" i="28"/>
  <c r="R353" i="28"/>
  <c r="R354" i="28"/>
  <c r="R356" i="28"/>
  <c r="R357" i="28"/>
  <c r="R358" i="28"/>
  <c r="R359" i="28"/>
  <c r="R360" i="28"/>
  <c r="R361" i="28"/>
  <c r="R363" i="28"/>
  <c r="R364" i="28"/>
  <c r="R365" i="28"/>
  <c r="R366" i="28"/>
  <c r="R367" i="28"/>
  <c r="R368" i="28"/>
  <c r="R370" i="28"/>
  <c r="R371" i="28"/>
  <c r="R372" i="28"/>
  <c r="R373" i="28"/>
  <c r="R374" i="28"/>
  <c r="R375" i="28"/>
  <c r="R377" i="28"/>
  <c r="R378" i="28"/>
  <c r="R379" i="28"/>
  <c r="R380" i="28"/>
  <c r="R381" i="28"/>
  <c r="R382" i="28"/>
  <c r="R384" i="28"/>
  <c r="R385" i="28"/>
  <c r="R386" i="28"/>
  <c r="R387" i="28"/>
  <c r="R388" i="28"/>
  <c r="R389" i="28"/>
  <c r="R391" i="28"/>
  <c r="R392" i="28"/>
  <c r="R393" i="28"/>
  <c r="R394" i="28"/>
  <c r="R395" i="28"/>
  <c r="R396" i="28"/>
  <c r="R398" i="28"/>
  <c r="R399" i="28"/>
  <c r="R400" i="28"/>
  <c r="R401" i="28"/>
  <c r="R402" i="28"/>
  <c r="R403" i="28"/>
  <c r="R405" i="28"/>
  <c r="R406" i="28"/>
  <c r="R407" i="28"/>
  <c r="R408" i="28"/>
  <c r="R409" i="28"/>
  <c r="R410" i="28"/>
  <c r="R412" i="28"/>
  <c r="R413" i="28"/>
  <c r="R414" i="28"/>
  <c r="R415" i="28"/>
  <c r="R416" i="28"/>
  <c r="R417" i="28"/>
  <c r="R419" i="28"/>
  <c r="R420" i="28"/>
  <c r="R421" i="28"/>
  <c r="R422" i="28"/>
  <c r="R423" i="28"/>
  <c r="R424" i="28"/>
  <c r="R426" i="28"/>
  <c r="R427" i="28"/>
  <c r="R428" i="28"/>
  <c r="R429" i="28"/>
  <c r="R430" i="28"/>
  <c r="R431" i="28"/>
  <c r="R433" i="28"/>
  <c r="R434" i="28"/>
  <c r="R435" i="28"/>
  <c r="R436" i="28"/>
  <c r="R437" i="28"/>
  <c r="R438" i="28"/>
  <c r="R440" i="28"/>
  <c r="R441" i="28"/>
  <c r="R442" i="28"/>
  <c r="R443" i="28"/>
  <c r="R444" i="28"/>
  <c r="R445" i="28"/>
  <c r="R447" i="28"/>
  <c r="R448" i="28"/>
  <c r="R449" i="28"/>
  <c r="R450" i="28"/>
  <c r="R451" i="28"/>
  <c r="R452" i="28"/>
  <c r="R454" i="28"/>
  <c r="R455" i="28"/>
  <c r="R456" i="28"/>
  <c r="R457" i="28"/>
  <c r="R458" i="28"/>
  <c r="R459" i="28"/>
  <c r="R461" i="28"/>
  <c r="R462" i="28"/>
  <c r="R463" i="28"/>
  <c r="R464" i="28"/>
  <c r="R465" i="28"/>
  <c r="R466" i="28"/>
  <c r="R468" i="28"/>
  <c r="R469" i="28"/>
  <c r="R470" i="28"/>
  <c r="R471" i="28"/>
  <c r="R472" i="28"/>
  <c r="R473" i="28"/>
  <c r="R475" i="28"/>
  <c r="R476" i="28"/>
  <c r="R477" i="28"/>
  <c r="R478" i="28"/>
  <c r="R479" i="28"/>
  <c r="R480" i="28"/>
  <c r="R482" i="28"/>
  <c r="R483" i="28"/>
  <c r="R484" i="28"/>
  <c r="R485" i="28"/>
  <c r="R486" i="28"/>
  <c r="R487" i="28"/>
  <c r="R489" i="28"/>
  <c r="R490" i="28"/>
  <c r="R491" i="28"/>
  <c r="R492" i="28"/>
  <c r="R493" i="28"/>
  <c r="R494" i="28"/>
  <c r="R496" i="28"/>
  <c r="R497" i="28"/>
  <c r="R498" i="28"/>
  <c r="R499" i="28"/>
  <c r="R500" i="28"/>
  <c r="R501" i="28"/>
  <c r="R503" i="28"/>
  <c r="R504" i="28"/>
  <c r="R505" i="28"/>
  <c r="R506" i="28"/>
  <c r="R507" i="28"/>
  <c r="R508" i="28"/>
  <c r="R510" i="28"/>
  <c r="R511" i="28"/>
  <c r="R512" i="28"/>
  <c r="R513" i="28"/>
  <c r="R514" i="28"/>
  <c r="R515" i="28"/>
  <c r="R517" i="28"/>
  <c r="R518" i="28"/>
  <c r="R519" i="28"/>
  <c r="R520" i="28"/>
  <c r="R521" i="28"/>
  <c r="R522" i="28"/>
  <c r="R524" i="28"/>
  <c r="R525" i="28"/>
  <c r="R526" i="28"/>
  <c r="R527" i="28"/>
  <c r="R528" i="28"/>
  <c r="R529" i="28"/>
  <c r="R531" i="28"/>
  <c r="R532" i="28"/>
  <c r="R533" i="28"/>
  <c r="R534" i="28"/>
  <c r="R535" i="28"/>
  <c r="R536" i="28"/>
  <c r="R538" i="28"/>
  <c r="R539" i="28"/>
  <c r="R540" i="28"/>
  <c r="R541" i="28"/>
  <c r="R542" i="28"/>
  <c r="R543" i="28"/>
  <c r="R545" i="28"/>
  <c r="R546" i="28"/>
  <c r="R547" i="28"/>
  <c r="R548" i="28"/>
  <c r="R549" i="28"/>
  <c r="R550" i="28"/>
  <c r="R552" i="28"/>
  <c r="R553" i="28"/>
  <c r="R554" i="28"/>
  <c r="R555" i="28"/>
  <c r="R556" i="28"/>
  <c r="R557" i="28"/>
  <c r="R559" i="28"/>
  <c r="R560" i="28"/>
  <c r="R561" i="28"/>
  <c r="R562" i="28"/>
  <c r="R563" i="28"/>
  <c r="R564" i="28"/>
  <c r="R566" i="28"/>
  <c r="R567" i="28"/>
  <c r="R568" i="28"/>
  <c r="R569" i="28"/>
  <c r="R570" i="28"/>
  <c r="R571" i="28"/>
  <c r="R573" i="28"/>
  <c r="R574" i="28"/>
  <c r="R575" i="28"/>
  <c r="R576" i="28"/>
  <c r="R577" i="28"/>
  <c r="R578" i="28"/>
  <c r="R580" i="28"/>
  <c r="R581" i="28"/>
  <c r="R582" i="28"/>
  <c r="R583" i="28"/>
  <c r="R584" i="28"/>
  <c r="R585" i="28"/>
  <c r="R587" i="28"/>
  <c r="R588" i="28"/>
  <c r="R589" i="28"/>
  <c r="R590" i="28"/>
  <c r="R591" i="28"/>
  <c r="R592" i="28"/>
  <c r="R594" i="28"/>
  <c r="R595" i="28"/>
  <c r="R596" i="28"/>
  <c r="R597" i="28"/>
  <c r="R598" i="28"/>
  <c r="R599" i="28"/>
  <c r="R601" i="28"/>
  <c r="R602" i="28"/>
  <c r="R603" i="28"/>
  <c r="R604" i="28"/>
  <c r="R605" i="28"/>
  <c r="R606" i="28"/>
  <c r="R608" i="28"/>
  <c r="R609" i="28"/>
  <c r="R610" i="28"/>
  <c r="R611" i="28"/>
  <c r="R612" i="28"/>
  <c r="R613" i="28"/>
  <c r="R615" i="28"/>
  <c r="R616" i="28"/>
  <c r="R617" i="28"/>
  <c r="R618" i="28"/>
  <c r="R619" i="28"/>
  <c r="R620" i="28"/>
  <c r="R622" i="28"/>
  <c r="R623" i="28"/>
  <c r="R624" i="28"/>
  <c r="R625" i="28"/>
  <c r="R626" i="28"/>
  <c r="R627" i="28"/>
  <c r="R629" i="28"/>
  <c r="R630" i="28"/>
  <c r="R631" i="28"/>
  <c r="R632" i="28"/>
  <c r="R633" i="28"/>
  <c r="R634" i="28"/>
  <c r="R636" i="28"/>
  <c r="R637" i="28"/>
  <c r="R638" i="28"/>
  <c r="R639" i="28"/>
  <c r="R640" i="28"/>
  <c r="R641" i="28"/>
  <c r="R643" i="28"/>
  <c r="R644" i="28"/>
  <c r="R645" i="28"/>
  <c r="R646" i="28"/>
  <c r="R647" i="28"/>
  <c r="R648" i="28"/>
  <c r="R650" i="28"/>
  <c r="R651" i="28"/>
  <c r="R652" i="28"/>
  <c r="R653" i="28"/>
  <c r="R654" i="28"/>
  <c r="R655" i="28"/>
  <c r="R657" i="28"/>
  <c r="R658" i="28"/>
  <c r="R659" i="28"/>
  <c r="R660" i="28"/>
  <c r="R661" i="28"/>
  <c r="R662" i="28"/>
  <c r="R664" i="28"/>
  <c r="R665" i="28"/>
  <c r="R666" i="28"/>
  <c r="R667" i="28"/>
  <c r="R668" i="28"/>
  <c r="R669" i="28"/>
  <c r="R671" i="28"/>
  <c r="R672" i="28"/>
  <c r="R673" i="28"/>
  <c r="R674" i="28"/>
  <c r="R675" i="28"/>
  <c r="R676" i="28"/>
  <c r="R678" i="28"/>
  <c r="R679" i="28"/>
  <c r="R680" i="28"/>
  <c r="R681" i="28"/>
  <c r="R682" i="28"/>
  <c r="R683" i="28"/>
  <c r="R685" i="28"/>
  <c r="R686" i="28"/>
  <c r="R687" i="28"/>
  <c r="R688" i="28"/>
  <c r="R689" i="28"/>
  <c r="R690" i="28"/>
  <c r="R692" i="28"/>
  <c r="R693" i="28"/>
  <c r="R694" i="28"/>
  <c r="R695" i="28"/>
  <c r="R696" i="28"/>
  <c r="R697" i="28"/>
  <c r="R699" i="28"/>
  <c r="R700" i="28"/>
  <c r="R701" i="28"/>
  <c r="R702" i="28"/>
  <c r="R703" i="28"/>
  <c r="R704" i="28"/>
  <c r="R706" i="28"/>
  <c r="R707" i="28"/>
  <c r="R708" i="28"/>
  <c r="R709" i="28"/>
  <c r="R710" i="28"/>
  <c r="R711" i="28"/>
  <c r="R713" i="28"/>
  <c r="R714" i="28"/>
  <c r="R715" i="28"/>
  <c r="R716" i="28"/>
  <c r="R717" i="28"/>
  <c r="R718" i="28"/>
  <c r="R720" i="28"/>
  <c r="R721" i="28"/>
  <c r="R722" i="28"/>
  <c r="R723" i="28"/>
  <c r="R724" i="28"/>
  <c r="R725" i="28"/>
  <c r="R727" i="28"/>
  <c r="R728" i="28"/>
  <c r="R729" i="28"/>
  <c r="R730" i="28"/>
  <c r="R731" i="28"/>
  <c r="R732" i="28"/>
  <c r="R734" i="28"/>
  <c r="R735" i="28"/>
  <c r="R736" i="28"/>
  <c r="R737" i="28"/>
  <c r="R738" i="28"/>
  <c r="R739" i="28"/>
  <c r="R741" i="28"/>
  <c r="R742" i="28"/>
  <c r="R743" i="28"/>
  <c r="R744" i="28"/>
  <c r="R745" i="28"/>
  <c r="R746" i="28"/>
  <c r="R748" i="28"/>
  <c r="R749" i="28"/>
  <c r="R750" i="28"/>
  <c r="R751" i="28"/>
  <c r="R752" i="28"/>
  <c r="R753" i="28"/>
  <c r="R755" i="28"/>
  <c r="R756" i="28"/>
  <c r="R757" i="28"/>
  <c r="R758" i="28"/>
  <c r="R759" i="28"/>
  <c r="R760" i="28"/>
  <c r="R762" i="28"/>
  <c r="R763" i="28"/>
  <c r="R764" i="28"/>
  <c r="R765" i="28"/>
  <c r="R766" i="28"/>
  <c r="R767" i="28"/>
  <c r="R769" i="28"/>
  <c r="R770" i="28"/>
  <c r="R771" i="28"/>
  <c r="R772" i="28"/>
  <c r="R773" i="28"/>
  <c r="R774" i="28"/>
  <c r="R776" i="28"/>
  <c r="R777" i="28"/>
  <c r="R778" i="28"/>
  <c r="R779" i="28"/>
  <c r="R780" i="28"/>
  <c r="R781" i="28"/>
  <c r="R783" i="28"/>
  <c r="R784" i="28"/>
  <c r="R785" i="28"/>
  <c r="R786" i="28"/>
  <c r="R787" i="28"/>
  <c r="R788" i="28"/>
  <c r="R790" i="28"/>
  <c r="R791" i="28"/>
  <c r="R792" i="28"/>
  <c r="R793" i="28"/>
  <c r="R794" i="28"/>
  <c r="R795" i="28"/>
  <c r="R797" i="28"/>
  <c r="R798" i="28"/>
  <c r="R799" i="28"/>
  <c r="R800" i="28"/>
  <c r="R801" i="28"/>
  <c r="R802" i="28"/>
  <c r="R804" i="28"/>
  <c r="R805" i="28"/>
  <c r="R806" i="28"/>
  <c r="R807" i="28"/>
  <c r="R808" i="28"/>
  <c r="R809" i="28"/>
  <c r="R811" i="28"/>
  <c r="R812" i="28"/>
  <c r="R813" i="28"/>
  <c r="R814" i="28"/>
  <c r="R815" i="28"/>
  <c r="R816" i="28"/>
  <c r="R818" i="28"/>
  <c r="R819" i="28"/>
  <c r="R820" i="28"/>
  <c r="R821" i="28"/>
  <c r="R822" i="28"/>
  <c r="R823" i="28"/>
  <c r="R825" i="28"/>
  <c r="R826" i="28"/>
  <c r="R827" i="28"/>
  <c r="R828" i="28"/>
  <c r="R829" i="28"/>
  <c r="R830" i="28"/>
  <c r="R832" i="28"/>
  <c r="R833" i="28"/>
  <c r="R834" i="28"/>
  <c r="R835" i="28"/>
  <c r="R836" i="28"/>
  <c r="R837" i="28"/>
  <c r="R839" i="28"/>
  <c r="R840" i="28"/>
  <c r="R841" i="28"/>
  <c r="R842" i="28"/>
  <c r="R843" i="28"/>
  <c r="R844" i="28"/>
  <c r="R846" i="28"/>
  <c r="R847" i="28"/>
  <c r="R848" i="28"/>
  <c r="R849" i="28"/>
  <c r="R850" i="28"/>
  <c r="R851" i="28"/>
  <c r="R853" i="28"/>
  <c r="R854" i="28"/>
  <c r="R855" i="28"/>
  <c r="R856" i="28"/>
  <c r="R857" i="28"/>
  <c r="R858" i="28"/>
  <c r="R860" i="28"/>
  <c r="R861" i="28"/>
  <c r="R862" i="28"/>
  <c r="R863" i="28"/>
  <c r="R864" i="28"/>
  <c r="R865" i="28"/>
  <c r="R867" i="28"/>
  <c r="R868" i="28"/>
  <c r="R869" i="28"/>
  <c r="R870" i="28"/>
  <c r="R871" i="28"/>
  <c r="R872" i="28"/>
  <c r="R874" i="28"/>
  <c r="R875" i="28"/>
  <c r="R876" i="28"/>
  <c r="R877" i="28"/>
  <c r="R878" i="28"/>
  <c r="R879" i="28"/>
  <c r="R881" i="28"/>
  <c r="R882" i="28"/>
  <c r="R883" i="28"/>
  <c r="R884" i="28"/>
  <c r="R885" i="28"/>
  <c r="R886" i="28"/>
  <c r="R888" i="28"/>
  <c r="R889" i="28"/>
  <c r="R890" i="28"/>
  <c r="R891" i="28"/>
  <c r="R892" i="28"/>
  <c r="R893" i="28"/>
  <c r="R895" i="28"/>
  <c r="R896" i="28"/>
  <c r="R897" i="28"/>
  <c r="R898" i="28"/>
  <c r="R899" i="28"/>
  <c r="R900" i="28"/>
  <c r="R902" i="28"/>
  <c r="R903" i="28"/>
  <c r="R904" i="28"/>
  <c r="R905" i="28"/>
  <c r="R906" i="28"/>
  <c r="R907" i="28"/>
  <c r="R909" i="28"/>
  <c r="R910" i="28"/>
  <c r="R911" i="28"/>
  <c r="R912" i="28"/>
  <c r="R913" i="28"/>
  <c r="R914" i="28"/>
  <c r="R916" i="28"/>
  <c r="R917" i="28"/>
  <c r="R918" i="28"/>
  <c r="R919" i="28"/>
  <c r="R920" i="28"/>
  <c r="R921" i="28"/>
  <c r="Q27" i="28"/>
  <c r="N27" i="28" s="1"/>
  <c r="Q28" i="28"/>
  <c r="N28" i="28" s="1"/>
  <c r="Q29" i="28"/>
  <c r="N29" i="28" s="1"/>
  <c r="Q30" i="28"/>
  <c r="Q31" i="28"/>
  <c r="N31" i="28" s="1"/>
  <c r="Q32" i="28"/>
  <c r="N32" i="28" s="1"/>
  <c r="Q34" i="28"/>
  <c r="N34" i="28" s="1"/>
  <c r="Q35" i="28"/>
  <c r="N35" i="28" s="1"/>
  <c r="Q36" i="28"/>
  <c r="N36" i="28" s="1"/>
  <c r="Q37" i="28"/>
  <c r="N37" i="28" s="1"/>
  <c r="Q38" i="28"/>
  <c r="N38" i="28" s="1"/>
  <c r="Q39" i="28"/>
  <c r="N39" i="28" s="1"/>
  <c r="Q41" i="28"/>
  <c r="N41" i="28" s="1"/>
  <c r="Q42" i="28"/>
  <c r="N42" i="28" s="1"/>
  <c r="Q43" i="28"/>
  <c r="N43" i="28" s="1"/>
  <c r="Q44" i="28"/>
  <c r="N44" i="28" s="1"/>
  <c r="Q45" i="28"/>
  <c r="N45" i="28" s="1"/>
  <c r="Q46" i="28"/>
  <c r="N46" i="28" s="1"/>
  <c r="Q48" i="28"/>
  <c r="N48" i="28" s="1"/>
  <c r="Q49" i="28"/>
  <c r="Q50" i="28"/>
  <c r="N50" i="28" s="1"/>
  <c r="Q51" i="28"/>
  <c r="N51" i="28" s="1"/>
  <c r="Q52" i="28"/>
  <c r="N52" i="28" s="1"/>
  <c r="Q53" i="28"/>
  <c r="N53" i="28" s="1"/>
  <c r="Q55" i="28"/>
  <c r="N55" i="28" s="1"/>
  <c r="Q56" i="28"/>
  <c r="N56" i="28" s="1"/>
  <c r="Q57" i="28"/>
  <c r="N57" i="28" s="1"/>
  <c r="Q58" i="28"/>
  <c r="N58" i="28" s="1"/>
  <c r="Q59" i="28"/>
  <c r="N59" i="28" s="1"/>
  <c r="Q60" i="28"/>
  <c r="N60" i="28" s="1"/>
  <c r="Q62" i="28"/>
  <c r="N62" i="28" s="1"/>
  <c r="Q63" i="28"/>
  <c r="N63" i="28" s="1"/>
  <c r="Q64" i="28"/>
  <c r="N64" i="28" s="1"/>
  <c r="Q65" i="28"/>
  <c r="N65" i="28" s="1"/>
  <c r="Q66" i="28"/>
  <c r="N66" i="28" s="1"/>
  <c r="Q67" i="28"/>
  <c r="N67" i="28" s="1"/>
  <c r="Q69" i="28"/>
  <c r="N69" i="28" s="1"/>
  <c r="Q70" i="28"/>
  <c r="N70" i="28" s="1"/>
  <c r="Q71" i="28"/>
  <c r="N71" i="28" s="1"/>
  <c r="Q72" i="28"/>
  <c r="N72" i="28" s="1"/>
  <c r="Q73" i="28"/>
  <c r="N73" i="28" s="1"/>
  <c r="Q74" i="28"/>
  <c r="N74" i="28" s="1"/>
  <c r="Q76" i="28"/>
  <c r="N76" i="28" s="1"/>
  <c r="Q77" i="28"/>
  <c r="N77" i="28" s="1"/>
  <c r="Q78" i="28"/>
  <c r="N78" i="28" s="1"/>
  <c r="Q79" i="28"/>
  <c r="N79" i="28" s="1"/>
  <c r="Q80" i="28"/>
  <c r="N80" i="28" s="1"/>
  <c r="Q81" i="28"/>
  <c r="N81" i="28" s="1"/>
  <c r="Q83" i="28"/>
  <c r="N83" i="28" s="1"/>
  <c r="Q84" i="28"/>
  <c r="N84" i="28" s="1"/>
  <c r="Q85" i="28"/>
  <c r="N85" i="28" s="1"/>
  <c r="Q86" i="28"/>
  <c r="N86" i="28" s="1"/>
  <c r="Q87" i="28"/>
  <c r="N87" i="28" s="1"/>
  <c r="Q88" i="28"/>
  <c r="N88" i="28" s="1"/>
  <c r="Q90" i="28"/>
  <c r="N90" i="28" s="1"/>
  <c r="Q91" i="28"/>
  <c r="N91" i="28" s="1"/>
  <c r="Q92" i="28"/>
  <c r="N92" i="28" s="1"/>
  <c r="Q93" i="28"/>
  <c r="N93" i="28" s="1"/>
  <c r="Q94" i="28"/>
  <c r="N94" i="28" s="1"/>
  <c r="Q95" i="28"/>
  <c r="N95" i="28" s="1"/>
  <c r="Q97" i="28"/>
  <c r="N97" i="28" s="1"/>
  <c r="Q98" i="28"/>
  <c r="N98" i="28" s="1"/>
  <c r="Q99" i="28"/>
  <c r="N99" i="28" s="1"/>
  <c r="Q100" i="28"/>
  <c r="N100" i="28" s="1"/>
  <c r="Q101" i="28"/>
  <c r="N101" i="28" s="1"/>
  <c r="Q102" i="28"/>
  <c r="N102" i="28" s="1"/>
  <c r="Q104" i="28"/>
  <c r="N104" i="28" s="1"/>
  <c r="Q105" i="28"/>
  <c r="N105" i="28" s="1"/>
  <c r="Q106" i="28"/>
  <c r="N106" i="28" s="1"/>
  <c r="Q107" i="28"/>
  <c r="Q108" i="28"/>
  <c r="N108" i="28" s="1"/>
  <c r="Q109" i="28"/>
  <c r="N109" i="28" s="1"/>
  <c r="Q111" i="28"/>
  <c r="Q112" i="28"/>
  <c r="N112" i="28" s="1"/>
  <c r="Q113" i="28"/>
  <c r="N113" i="28" s="1"/>
  <c r="Q114" i="28"/>
  <c r="N114" i="28" s="1"/>
  <c r="Q115" i="28"/>
  <c r="N115" i="28" s="1"/>
  <c r="Q116" i="28"/>
  <c r="N116" i="28" s="1"/>
  <c r="Q118" i="28"/>
  <c r="N118" i="28" s="1"/>
  <c r="Q119" i="28"/>
  <c r="N119" i="28" s="1"/>
  <c r="Q120" i="28"/>
  <c r="N120" i="28" s="1"/>
  <c r="Q121" i="28"/>
  <c r="N121" i="28" s="1"/>
  <c r="Q122" i="28"/>
  <c r="N122" i="28" s="1"/>
  <c r="Q123" i="28"/>
  <c r="N123" i="28" s="1"/>
  <c r="Q125" i="28"/>
  <c r="N125" i="28" s="1"/>
  <c r="Q126" i="28"/>
  <c r="N126" i="28" s="1"/>
  <c r="Q127" i="28"/>
  <c r="N127" i="28" s="1"/>
  <c r="Q128" i="28"/>
  <c r="N128" i="28" s="1"/>
  <c r="Q129" i="28"/>
  <c r="N129" i="28" s="1"/>
  <c r="Q130" i="28"/>
  <c r="N130" i="28" s="1"/>
  <c r="Q132" i="28"/>
  <c r="N132" i="28" s="1"/>
  <c r="Q133" i="28"/>
  <c r="N133" i="28" s="1"/>
  <c r="Q134" i="28"/>
  <c r="N134" i="28" s="1"/>
  <c r="Q135" i="28"/>
  <c r="N135" i="28" s="1"/>
  <c r="Q136" i="28"/>
  <c r="N136" i="28" s="1"/>
  <c r="Q137" i="28"/>
  <c r="N137" i="28" s="1"/>
  <c r="Q139" i="28"/>
  <c r="Q140" i="28"/>
  <c r="N140" i="28" s="1"/>
  <c r="Q141" i="28"/>
  <c r="Q142" i="28"/>
  <c r="N142" i="28" s="1"/>
  <c r="Q143" i="28"/>
  <c r="N143" i="28" s="1"/>
  <c r="Q144" i="28"/>
  <c r="N144" i="28" s="1"/>
  <c r="Q146" i="28"/>
  <c r="N146" i="28" s="1"/>
  <c r="Q147" i="28"/>
  <c r="N147" i="28" s="1"/>
  <c r="Q148" i="28"/>
  <c r="N148" i="28" s="1"/>
  <c r="Q149" i="28"/>
  <c r="N149" i="28" s="1"/>
  <c r="Q150" i="28"/>
  <c r="N150" i="28" s="1"/>
  <c r="Q151" i="28"/>
  <c r="N151" i="28" s="1"/>
  <c r="Q153" i="28"/>
  <c r="Q154" i="28"/>
  <c r="N154" i="28" s="1"/>
  <c r="Q155" i="28"/>
  <c r="N155" i="28" s="1"/>
  <c r="Q156" i="28"/>
  <c r="N156" i="28" s="1"/>
  <c r="Q157" i="28"/>
  <c r="N157" i="28" s="1"/>
  <c r="Q158" i="28"/>
  <c r="N158" i="28" s="1"/>
  <c r="Q160" i="28"/>
  <c r="N160" i="28" s="1"/>
  <c r="Q161" i="28"/>
  <c r="N161" i="28" s="1"/>
  <c r="Q162" i="28"/>
  <c r="N162" i="28" s="1"/>
  <c r="Q163" i="28"/>
  <c r="N163" i="28" s="1"/>
  <c r="Q164" i="28"/>
  <c r="N164" i="28" s="1"/>
  <c r="Q165" i="28"/>
  <c r="N165" i="28" s="1"/>
  <c r="Q167" i="28"/>
  <c r="N167" i="28" s="1"/>
  <c r="Q168" i="28"/>
  <c r="N168" i="28" s="1"/>
  <c r="Q169" i="28"/>
  <c r="N169" i="28" s="1"/>
  <c r="Q170" i="28"/>
  <c r="N170" i="28" s="1"/>
  <c r="Q171" i="28"/>
  <c r="N171" i="28" s="1"/>
  <c r="Q172" i="28"/>
  <c r="N172" i="28" s="1"/>
  <c r="Q174" i="28"/>
  <c r="N174" i="28" s="1"/>
  <c r="Q175" i="28"/>
  <c r="N175" i="28" s="1"/>
  <c r="Q176" i="28"/>
  <c r="N176" i="28" s="1"/>
  <c r="Q177" i="28"/>
  <c r="N177" i="28" s="1"/>
  <c r="Q178" i="28"/>
  <c r="N178" i="28" s="1"/>
  <c r="Q179" i="28"/>
  <c r="N179" i="28" s="1"/>
  <c r="Q181" i="28"/>
  <c r="N181" i="28" s="1"/>
  <c r="Q182" i="28"/>
  <c r="N182" i="28" s="1"/>
  <c r="Q183" i="28"/>
  <c r="N183" i="28" s="1"/>
  <c r="Q184" i="28"/>
  <c r="N184" i="28" s="1"/>
  <c r="Q185" i="28"/>
  <c r="N185" i="28" s="1"/>
  <c r="Q186" i="28"/>
  <c r="N186" i="28" s="1"/>
  <c r="Q188" i="28"/>
  <c r="N188" i="28" s="1"/>
  <c r="Q189" i="28"/>
  <c r="N189" i="28" s="1"/>
  <c r="Q190" i="28"/>
  <c r="N190" i="28" s="1"/>
  <c r="Q191" i="28"/>
  <c r="N191" i="28" s="1"/>
  <c r="Q192" i="28"/>
  <c r="N192" i="28" s="1"/>
  <c r="Q193" i="28"/>
  <c r="N193" i="28" s="1"/>
  <c r="Q195" i="28"/>
  <c r="Q196" i="28"/>
  <c r="N196" i="28" s="1"/>
  <c r="Q197" i="28"/>
  <c r="N197" i="28" s="1"/>
  <c r="Q198" i="28"/>
  <c r="N198" i="28" s="1"/>
  <c r="Q199" i="28"/>
  <c r="N199" i="28" s="1"/>
  <c r="Q200" i="28"/>
  <c r="N200" i="28" s="1"/>
  <c r="Q202" i="28"/>
  <c r="N202" i="28" s="1"/>
  <c r="Q203" i="28"/>
  <c r="Q204" i="28"/>
  <c r="N204" i="28" s="1"/>
  <c r="Q205" i="28"/>
  <c r="N205" i="28" s="1"/>
  <c r="Q206" i="28"/>
  <c r="N206" i="28" s="1"/>
  <c r="Q207" i="28"/>
  <c r="N207" i="28" s="1"/>
  <c r="Q209" i="28"/>
  <c r="N209" i="28" s="1"/>
  <c r="Q210" i="28"/>
  <c r="N210" i="28" s="1"/>
  <c r="Q211" i="28"/>
  <c r="N211" i="28" s="1"/>
  <c r="Q212" i="28"/>
  <c r="N212" i="28" s="1"/>
  <c r="Q213" i="28"/>
  <c r="N213" i="28" s="1"/>
  <c r="Q214" i="28"/>
  <c r="N214" i="28" s="1"/>
  <c r="Q216" i="28"/>
  <c r="N216" i="28" s="1"/>
  <c r="Q217" i="28"/>
  <c r="Q218" i="28"/>
  <c r="N218" i="28" s="1"/>
  <c r="Q219" i="28"/>
  <c r="N219" i="28" s="1"/>
  <c r="Q220" i="28"/>
  <c r="N220" i="28" s="1"/>
  <c r="Q221" i="28"/>
  <c r="N221" i="28" s="1"/>
  <c r="Q223" i="28"/>
  <c r="N223" i="28" s="1"/>
  <c r="Q224" i="28"/>
  <c r="N224" i="28" s="1"/>
  <c r="Q225" i="28"/>
  <c r="N225" i="28" s="1"/>
  <c r="Q226" i="28"/>
  <c r="N226" i="28" s="1"/>
  <c r="Q227" i="28"/>
  <c r="N227" i="28" s="1"/>
  <c r="Q228" i="28"/>
  <c r="N228" i="28" s="1"/>
  <c r="Q230" i="28"/>
  <c r="N230" i="28" s="1"/>
  <c r="Q231" i="28"/>
  <c r="N231" i="28" s="1"/>
  <c r="Q232" i="28"/>
  <c r="N232" i="28" s="1"/>
  <c r="Q233" i="28"/>
  <c r="N233" i="28" s="1"/>
  <c r="Q234" i="28"/>
  <c r="N234" i="28" s="1"/>
  <c r="Q235" i="28"/>
  <c r="N235" i="28" s="1"/>
  <c r="Q237" i="28"/>
  <c r="N237" i="28" s="1"/>
  <c r="Q238" i="28"/>
  <c r="N238" i="28" s="1"/>
  <c r="Q239" i="28"/>
  <c r="N239" i="28" s="1"/>
  <c r="Q240" i="28"/>
  <c r="N240" i="28" s="1"/>
  <c r="Q241" i="28"/>
  <c r="N241" i="28" s="1"/>
  <c r="Q242" i="28"/>
  <c r="N242" i="28" s="1"/>
  <c r="Q244" i="28"/>
  <c r="N244" i="28" s="1"/>
  <c r="Q245" i="28"/>
  <c r="N245" i="28" s="1"/>
  <c r="Q246" i="28"/>
  <c r="N246" i="28" s="1"/>
  <c r="Q247" i="28"/>
  <c r="N247" i="28" s="1"/>
  <c r="Q248" i="28"/>
  <c r="N248" i="28" s="1"/>
  <c r="Q249" i="28"/>
  <c r="N249" i="28" s="1"/>
  <c r="Q251" i="28"/>
  <c r="Q252" i="28"/>
  <c r="N252" i="28" s="1"/>
  <c r="Q253" i="28"/>
  <c r="N253" i="28" s="1"/>
  <c r="Q254" i="28"/>
  <c r="N254" i="28" s="1"/>
  <c r="Q255" i="28"/>
  <c r="N255" i="28" s="1"/>
  <c r="Q256" i="28"/>
  <c r="N256" i="28" s="1"/>
  <c r="Q258" i="28"/>
  <c r="N258" i="28" s="1"/>
  <c r="Q259" i="28"/>
  <c r="Q260" i="28"/>
  <c r="N260" i="28" s="1"/>
  <c r="Q261" i="28"/>
  <c r="N261" i="28" s="1"/>
  <c r="Q262" i="28"/>
  <c r="N262" i="28" s="1"/>
  <c r="Q263" i="28"/>
  <c r="N263" i="28" s="1"/>
  <c r="Q265" i="28"/>
  <c r="N265" i="28" s="1"/>
  <c r="Q266" i="28"/>
  <c r="N266" i="28" s="1"/>
  <c r="Q267" i="28"/>
  <c r="Q268" i="28"/>
  <c r="N268" i="28" s="1"/>
  <c r="Q269" i="28"/>
  <c r="N269" i="28" s="1"/>
  <c r="Q270" i="28"/>
  <c r="N270" i="28" s="1"/>
  <c r="Q272" i="28"/>
  <c r="N272" i="28" s="1"/>
  <c r="Q273" i="28"/>
  <c r="N273" i="28" s="1"/>
  <c r="Q274" i="28"/>
  <c r="N274" i="28" s="1"/>
  <c r="Q275" i="28"/>
  <c r="Q276" i="28"/>
  <c r="N276" i="28" s="1"/>
  <c r="Q277" i="28"/>
  <c r="N277" i="28" s="1"/>
  <c r="Q279" i="28"/>
  <c r="N279" i="28" s="1"/>
  <c r="Q280" i="28"/>
  <c r="N280" i="28" s="1"/>
  <c r="Q281" i="28"/>
  <c r="N281" i="28" s="1"/>
  <c r="Q282" i="28"/>
  <c r="N282" i="28" s="1"/>
  <c r="Q283" i="28"/>
  <c r="N283" i="28" s="1"/>
  <c r="Q284" i="28"/>
  <c r="N284" i="28" s="1"/>
  <c r="Q286" i="28"/>
  <c r="N286" i="28" s="1"/>
  <c r="Q287" i="28"/>
  <c r="N287" i="28" s="1"/>
  <c r="Q288" i="28"/>
  <c r="N288" i="28" s="1"/>
  <c r="Q289" i="28"/>
  <c r="N289" i="28" s="1"/>
  <c r="Q290" i="28"/>
  <c r="N290" i="28" s="1"/>
  <c r="Q291" i="28"/>
  <c r="N291" i="28" s="1"/>
  <c r="Q293" i="28"/>
  <c r="N293" i="28" s="1"/>
  <c r="Q294" i="28"/>
  <c r="N294" i="28" s="1"/>
  <c r="Q295" i="28"/>
  <c r="Q296" i="28"/>
  <c r="N296" i="28" s="1"/>
  <c r="Q297" i="28"/>
  <c r="N297" i="28" s="1"/>
  <c r="Q298" i="28"/>
  <c r="N298" i="28" s="1"/>
  <c r="Q300" i="28"/>
  <c r="N300" i="28" s="1"/>
  <c r="Q301" i="28"/>
  <c r="N301" i="28" s="1"/>
  <c r="Q302" i="28"/>
  <c r="N302" i="28" s="1"/>
  <c r="Q303" i="28"/>
  <c r="N303" i="28" s="1"/>
  <c r="Q304" i="28"/>
  <c r="N304" i="28" s="1"/>
  <c r="Q305" i="28"/>
  <c r="N305" i="28" s="1"/>
  <c r="Q307" i="28"/>
  <c r="Q308" i="28"/>
  <c r="N308" i="28" s="1"/>
  <c r="Q309" i="28"/>
  <c r="N309" i="28" s="1"/>
  <c r="Q310" i="28"/>
  <c r="N310" i="28" s="1"/>
  <c r="Q311" i="28"/>
  <c r="N311" i="28" s="1"/>
  <c r="Q312" i="28"/>
  <c r="N312" i="28" s="1"/>
  <c r="Q314" i="28"/>
  <c r="N314" i="28" s="1"/>
  <c r="Q315" i="28"/>
  <c r="Q316" i="28"/>
  <c r="N316" i="28" s="1"/>
  <c r="Q317" i="28"/>
  <c r="N317" i="28" s="1"/>
  <c r="Q318" i="28"/>
  <c r="N318" i="28" s="1"/>
  <c r="Q319" i="28"/>
  <c r="N319" i="28" s="1"/>
  <c r="Q321" i="28"/>
  <c r="N321" i="28" s="1"/>
  <c r="Q322" i="28"/>
  <c r="N322" i="28" s="1"/>
  <c r="Q323" i="28"/>
  <c r="Q324" i="28"/>
  <c r="N324" i="28" s="1"/>
  <c r="Q325" i="28"/>
  <c r="N325" i="28" s="1"/>
  <c r="Q326" i="28"/>
  <c r="N326" i="28" s="1"/>
  <c r="Q328" i="28"/>
  <c r="N328" i="28" s="1"/>
  <c r="Q329" i="28"/>
  <c r="N329" i="28" s="1"/>
  <c r="Q330" i="28"/>
  <c r="N330" i="28" s="1"/>
  <c r="Q331" i="28"/>
  <c r="Q332" i="28"/>
  <c r="N332" i="28" s="1"/>
  <c r="Q333" i="28"/>
  <c r="N333" i="28" s="1"/>
  <c r="Q335" i="28"/>
  <c r="N335" i="28" s="1"/>
  <c r="Q336" i="28"/>
  <c r="N336" i="28" s="1"/>
  <c r="Q337" i="28"/>
  <c r="N337" i="28" s="1"/>
  <c r="Q338" i="28"/>
  <c r="N338" i="28" s="1"/>
  <c r="Q339" i="28"/>
  <c r="N339" i="28" s="1"/>
  <c r="Q340" i="28"/>
  <c r="N340" i="28" s="1"/>
  <c r="Q342" i="28"/>
  <c r="N342" i="28" s="1"/>
  <c r="Q343" i="28"/>
  <c r="N343" i="28" s="1"/>
  <c r="Q344" i="28"/>
  <c r="N344" i="28" s="1"/>
  <c r="Q345" i="28"/>
  <c r="Q346" i="28"/>
  <c r="N346" i="28" s="1"/>
  <c r="Q347" i="28"/>
  <c r="N347" i="28" s="1"/>
  <c r="Q349" i="28"/>
  <c r="N349" i="28" s="1"/>
  <c r="Q350" i="28"/>
  <c r="N350" i="28" s="1"/>
  <c r="Q351" i="28"/>
  <c r="N351" i="28" s="1"/>
  <c r="Q352" i="28"/>
  <c r="N352" i="28" s="1"/>
  <c r="Q353" i="28"/>
  <c r="N353" i="28" s="1"/>
  <c r="Q354" i="28"/>
  <c r="N354" i="28" s="1"/>
  <c r="Q356" i="28"/>
  <c r="N356" i="28" s="1"/>
  <c r="Q357" i="28"/>
  <c r="N357" i="28" s="1"/>
  <c r="Q358" i="28"/>
  <c r="N358" i="28" s="1"/>
  <c r="Q359" i="28"/>
  <c r="N359" i="28" s="1"/>
  <c r="Q360" i="28"/>
  <c r="N360" i="28" s="1"/>
  <c r="Q361" i="28"/>
  <c r="N361" i="28" s="1"/>
  <c r="Q363" i="28"/>
  <c r="N363" i="28" s="1"/>
  <c r="Q364" i="28"/>
  <c r="N364" i="28" s="1"/>
  <c r="Q365" i="28"/>
  <c r="N365" i="28" s="1"/>
  <c r="Q366" i="28"/>
  <c r="N366" i="28" s="1"/>
  <c r="Q367" i="28"/>
  <c r="N367" i="28" s="1"/>
  <c r="Q368" i="28"/>
  <c r="N368" i="28" s="1"/>
  <c r="Q370" i="28"/>
  <c r="N370" i="28" s="1"/>
  <c r="Q371" i="28"/>
  <c r="N371" i="28" s="1"/>
  <c r="Q372" i="28"/>
  <c r="N372" i="28" s="1"/>
  <c r="Q373" i="28"/>
  <c r="N373" i="28" s="1"/>
  <c r="Q374" i="28"/>
  <c r="N374" i="28" s="1"/>
  <c r="Q375" i="28"/>
  <c r="N375" i="28" s="1"/>
  <c r="Q377" i="28"/>
  <c r="N377" i="28" s="1"/>
  <c r="Q378" i="28"/>
  <c r="N378" i="28" s="1"/>
  <c r="Q379" i="28"/>
  <c r="Q380" i="28"/>
  <c r="N380" i="28" s="1"/>
  <c r="Q381" i="28"/>
  <c r="N381" i="28" s="1"/>
  <c r="Q382" i="28"/>
  <c r="N382" i="28" s="1"/>
  <c r="Q384" i="28"/>
  <c r="N384" i="28" s="1"/>
  <c r="Q385" i="28"/>
  <c r="N385" i="28" s="1"/>
  <c r="Q386" i="28"/>
  <c r="N386" i="28" s="1"/>
  <c r="Q387" i="28"/>
  <c r="Q388" i="28"/>
  <c r="N388" i="28" s="1"/>
  <c r="Q389" i="28"/>
  <c r="N389" i="28" s="1"/>
  <c r="Q391" i="28"/>
  <c r="N391" i="28" s="1"/>
  <c r="Q392" i="28"/>
  <c r="N392" i="28" s="1"/>
  <c r="Q393" i="28"/>
  <c r="N393" i="28" s="1"/>
  <c r="Q394" i="28"/>
  <c r="N394" i="28" s="1"/>
  <c r="Q395" i="28"/>
  <c r="N395" i="28" s="1"/>
  <c r="Q396" i="28"/>
  <c r="N396" i="28" s="1"/>
  <c r="Q398" i="28"/>
  <c r="N398" i="28" s="1"/>
  <c r="Q399" i="28"/>
  <c r="N399" i="28" s="1"/>
  <c r="Q400" i="28"/>
  <c r="N400" i="28" s="1"/>
  <c r="Q401" i="28"/>
  <c r="N401" i="28" s="1"/>
  <c r="Q402" i="28"/>
  <c r="N402" i="28" s="1"/>
  <c r="Q403" i="28"/>
  <c r="N403" i="28" s="1"/>
  <c r="Q405" i="28"/>
  <c r="Q406" i="28"/>
  <c r="N406" i="28" s="1"/>
  <c r="Q407" i="28"/>
  <c r="N407" i="28" s="1"/>
  <c r="Q408" i="28"/>
  <c r="N408" i="28" s="1"/>
  <c r="Q409" i="28"/>
  <c r="N409" i="28" s="1"/>
  <c r="Q410" i="28"/>
  <c r="N410" i="28" s="1"/>
  <c r="Q412" i="28"/>
  <c r="N412" i="28" s="1"/>
  <c r="Q413" i="28"/>
  <c r="N413" i="28" s="1"/>
  <c r="Q414" i="28"/>
  <c r="N414" i="28" s="1"/>
  <c r="Q415" i="28"/>
  <c r="N415" i="28" s="1"/>
  <c r="Q416" i="28"/>
  <c r="N416" i="28" s="1"/>
  <c r="Q417" i="28"/>
  <c r="N417" i="28" s="1"/>
  <c r="Q419" i="28"/>
  <c r="N419" i="28" s="1"/>
  <c r="Q420" i="28"/>
  <c r="N420" i="28" s="1"/>
  <c r="Q421" i="28"/>
  <c r="N421" i="28" s="1"/>
  <c r="Q422" i="28"/>
  <c r="N422" i="28" s="1"/>
  <c r="Q423" i="28"/>
  <c r="N423" i="28" s="1"/>
  <c r="Q424" i="28"/>
  <c r="N424" i="28" s="1"/>
  <c r="Q426" i="28"/>
  <c r="N426" i="28" s="1"/>
  <c r="Q427" i="28"/>
  <c r="N427" i="28" s="1"/>
  <c r="Q428" i="28"/>
  <c r="N428" i="28" s="1"/>
  <c r="Q429" i="28"/>
  <c r="N429" i="28" s="1"/>
  <c r="Q430" i="28"/>
  <c r="N430" i="28" s="1"/>
  <c r="Q431" i="28"/>
  <c r="N431" i="28" s="1"/>
  <c r="Q433" i="28"/>
  <c r="Q434" i="28"/>
  <c r="N434" i="28" s="1"/>
  <c r="Q435" i="28"/>
  <c r="N435" i="28" s="1"/>
  <c r="Q436" i="28"/>
  <c r="N436" i="28" s="1"/>
  <c r="Q437" i="28"/>
  <c r="N437" i="28" s="1"/>
  <c r="Q438" i="28"/>
  <c r="N438" i="28" s="1"/>
  <c r="Q440" i="28"/>
  <c r="N440" i="28" s="1"/>
  <c r="Q441" i="28"/>
  <c r="Q442" i="28"/>
  <c r="N442" i="28" s="1"/>
  <c r="Q443" i="28"/>
  <c r="N443" i="28" s="1"/>
  <c r="Q444" i="28"/>
  <c r="N444" i="28" s="1"/>
  <c r="Q445" i="28"/>
  <c r="N445" i="28" s="1"/>
  <c r="Q447" i="28"/>
  <c r="N447" i="28" s="1"/>
  <c r="Q448" i="28"/>
  <c r="N448" i="28" s="1"/>
  <c r="Q449" i="28"/>
  <c r="Q450" i="28"/>
  <c r="N450" i="28" s="1"/>
  <c r="Q451" i="28"/>
  <c r="N451" i="28" s="1"/>
  <c r="Q452" i="28"/>
  <c r="N452" i="28" s="1"/>
  <c r="Q454" i="28"/>
  <c r="N454" i="28" s="1"/>
  <c r="Q455" i="28"/>
  <c r="N455" i="28" s="1"/>
  <c r="Q456" i="28"/>
  <c r="N456" i="28" s="1"/>
  <c r="Q457" i="28"/>
  <c r="Q458" i="28"/>
  <c r="N458" i="28" s="1"/>
  <c r="Q459" i="28"/>
  <c r="N459" i="28" s="1"/>
  <c r="Q461" i="28"/>
  <c r="N461" i="28" s="1"/>
  <c r="Q462" i="28"/>
  <c r="N462" i="28" s="1"/>
  <c r="Q463" i="28"/>
  <c r="N463" i="28" s="1"/>
  <c r="Q464" i="28"/>
  <c r="N464" i="28" s="1"/>
  <c r="Q465" i="28"/>
  <c r="N465" i="28" s="1"/>
  <c r="Q466" i="28"/>
  <c r="N466" i="28" s="1"/>
  <c r="Q468" i="28"/>
  <c r="N468" i="28" s="1"/>
  <c r="Q469" i="28"/>
  <c r="N469" i="28" s="1"/>
  <c r="Q470" i="28"/>
  <c r="N470" i="28" s="1"/>
  <c r="Q471" i="28"/>
  <c r="N471" i="28" s="1"/>
  <c r="Q472" i="28"/>
  <c r="N472" i="28" s="1"/>
  <c r="Q473" i="28"/>
  <c r="N473" i="28" s="1"/>
  <c r="Q475" i="28"/>
  <c r="N475" i="28" s="1"/>
  <c r="Q476" i="28"/>
  <c r="N476" i="28" s="1"/>
  <c r="Q477" i="28"/>
  <c r="N477" i="28" s="1"/>
  <c r="Q478" i="28"/>
  <c r="N478" i="28" s="1"/>
  <c r="Q479" i="28"/>
  <c r="N479" i="28" s="1"/>
  <c r="Q480" i="28"/>
  <c r="N480" i="28" s="1"/>
  <c r="Q482" i="28"/>
  <c r="N482" i="28" s="1"/>
  <c r="Q483" i="28"/>
  <c r="N483" i="28" s="1"/>
  <c r="Q484" i="28"/>
  <c r="N484" i="28" s="1"/>
  <c r="Q485" i="28"/>
  <c r="N485" i="28" s="1"/>
  <c r="Q486" i="28"/>
  <c r="N486" i="28" s="1"/>
  <c r="Q487" i="28"/>
  <c r="N487" i="28" s="1"/>
  <c r="Q489" i="28"/>
  <c r="N489" i="28" s="1"/>
  <c r="Q490" i="28"/>
  <c r="N490" i="28" s="1"/>
  <c r="Q491" i="28"/>
  <c r="N491" i="28" s="1"/>
  <c r="Q492" i="28"/>
  <c r="N492" i="28" s="1"/>
  <c r="Q493" i="28"/>
  <c r="N493" i="28" s="1"/>
  <c r="Q494" i="28"/>
  <c r="N494" i="28" s="1"/>
  <c r="Q496" i="28"/>
  <c r="N496" i="28" s="1"/>
  <c r="Q497" i="28"/>
  <c r="N497" i="28" s="1"/>
  <c r="Q498" i="28"/>
  <c r="N498" i="28" s="1"/>
  <c r="Q499" i="28"/>
  <c r="N499" i="28" s="1"/>
  <c r="Q500" i="28"/>
  <c r="N500" i="28" s="1"/>
  <c r="Q501" i="28"/>
  <c r="N501" i="28" s="1"/>
  <c r="Q503" i="28"/>
  <c r="N503" i="28" s="1"/>
  <c r="Q504" i="28"/>
  <c r="N504" i="28" s="1"/>
  <c r="Q505" i="28"/>
  <c r="N505" i="28" s="1"/>
  <c r="Q506" i="28"/>
  <c r="N506" i="28" s="1"/>
  <c r="Q507" i="28"/>
  <c r="N507" i="28" s="1"/>
  <c r="Q508" i="28"/>
  <c r="N508" i="28" s="1"/>
  <c r="Q510" i="28"/>
  <c r="N510" i="28" s="1"/>
  <c r="Q511" i="28"/>
  <c r="N511" i="28" s="1"/>
  <c r="Q512" i="28"/>
  <c r="N512" i="28" s="1"/>
  <c r="Q513" i="28"/>
  <c r="N513" i="28" s="1"/>
  <c r="Q514" i="28"/>
  <c r="Q515" i="28"/>
  <c r="N515" i="28" s="1"/>
  <c r="Q517" i="28"/>
  <c r="N517" i="28" s="1"/>
  <c r="Q518" i="28"/>
  <c r="N518" i="28" s="1"/>
  <c r="Q519" i="28"/>
  <c r="N519" i="28" s="1"/>
  <c r="Q520" i="28"/>
  <c r="N520" i="28" s="1"/>
  <c r="Q521" i="28"/>
  <c r="N521" i="28" s="1"/>
  <c r="Q522" i="28"/>
  <c r="N522" i="28" s="1"/>
  <c r="Q524" i="28"/>
  <c r="N524" i="28" s="1"/>
  <c r="Q525" i="28"/>
  <c r="N525" i="28" s="1"/>
  <c r="Q526" i="28"/>
  <c r="N526" i="28" s="1"/>
  <c r="Q527" i="28"/>
  <c r="N527" i="28" s="1"/>
  <c r="Q528" i="28"/>
  <c r="N528" i="28" s="1"/>
  <c r="Q529" i="28"/>
  <c r="N529" i="28" s="1"/>
  <c r="Q531" i="28"/>
  <c r="N531" i="28" s="1"/>
  <c r="Q532" i="28"/>
  <c r="N532" i="28" s="1"/>
  <c r="Q533" i="28"/>
  <c r="N533" i="28" s="1"/>
  <c r="Q534" i="28"/>
  <c r="N534" i="28" s="1"/>
  <c r="Q535" i="28"/>
  <c r="N535" i="28" s="1"/>
  <c r="Q536" i="28"/>
  <c r="N536" i="28" s="1"/>
  <c r="Q538" i="28"/>
  <c r="N538" i="28" s="1"/>
  <c r="Q539" i="28"/>
  <c r="N539" i="28" s="1"/>
  <c r="Q540" i="28"/>
  <c r="Q541" i="28"/>
  <c r="N541" i="28" s="1"/>
  <c r="Q542" i="28"/>
  <c r="N542" i="28" s="1"/>
  <c r="Q543" i="28"/>
  <c r="N543" i="28" s="1"/>
  <c r="Q545" i="28"/>
  <c r="Q546" i="28"/>
  <c r="N546" i="28" s="1"/>
  <c r="Q547" i="28"/>
  <c r="N547" i="28" s="1"/>
  <c r="Q548" i="28"/>
  <c r="Q549" i="28"/>
  <c r="N549" i="28" s="1"/>
  <c r="Q550" i="28"/>
  <c r="N550" i="28" s="1"/>
  <c r="Q552" i="28"/>
  <c r="N552" i="28" s="1"/>
  <c r="Q553" i="28"/>
  <c r="N553" i="28" s="1"/>
  <c r="Q554" i="28"/>
  <c r="N554" i="28" s="1"/>
  <c r="Q555" i="28"/>
  <c r="N555" i="28" s="1"/>
  <c r="Q556" i="28"/>
  <c r="N556" i="28" s="1"/>
  <c r="Q557" i="28"/>
  <c r="N557" i="28" s="1"/>
  <c r="Q559" i="28"/>
  <c r="N559" i="28" s="1"/>
  <c r="Q560" i="28"/>
  <c r="N560" i="28" s="1"/>
  <c r="Q561" i="28"/>
  <c r="N561" i="28" s="1"/>
  <c r="Q562" i="28"/>
  <c r="N562" i="28" s="1"/>
  <c r="Q563" i="28"/>
  <c r="N563" i="28" s="1"/>
  <c r="Q564" i="28"/>
  <c r="N564" i="28" s="1"/>
  <c r="Q566" i="28"/>
  <c r="N566" i="28" s="1"/>
  <c r="Q567" i="28"/>
  <c r="N567" i="28" s="1"/>
  <c r="Q568" i="28"/>
  <c r="N568" i="28" s="1"/>
  <c r="Q569" i="28"/>
  <c r="Q570" i="28"/>
  <c r="N570" i="28" s="1"/>
  <c r="Q571" i="28"/>
  <c r="N571" i="28" s="1"/>
  <c r="Q573" i="28"/>
  <c r="N573" i="28" s="1"/>
  <c r="Q574" i="28"/>
  <c r="N574" i="28" s="1"/>
  <c r="Q575" i="28"/>
  <c r="N575" i="28" s="1"/>
  <c r="Q576" i="28"/>
  <c r="N576" i="28" s="1"/>
  <c r="Q577" i="28"/>
  <c r="N577" i="28" s="1"/>
  <c r="Q578" i="28"/>
  <c r="N578" i="28" s="1"/>
  <c r="Q580" i="28"/>
  <c r="Q581" i="28"/>
  <c r="N581" i="28" s="1"/>
  <c r="Q582" i="28"/>
  <c r="N582" i="28" s="1"/>
  <c r="Q583" i="28"/>
  <c r="N583" i="28" s="1"/>
  <c r="Q584" i="28"/>
  <c r="N584" i="28" s="1"/>
  <c r="Q585" i="28"/>
  <c r="N585" i="28" s="1"/>
  <c r="Q587" i="28"/>
  <c r="N587" i="28" s="1"/>
  <c r="Q588" i="28"/>
  <c r="Q589" i="28"/>
  <c r="N589" i="28" s="1"/>
  <c r="Q590" i="28"/>
  <c r="N590" i="28" s="1"/>
  <c r="Q591" i="28"/>
  <c r="N591" i="28" s="1"/>
  <c r="Q592" i="28"/>
  <c r="N592" i="28" s="1"/>
  <c r="Q594" i="28"/>
  <c r="N594" i="28" s="1"/>
  <c r="Q595" i="28"/>
  <c r="N595" i="28" s="1"/>
  <c r="Q596" i="28"/>
  <c r="N596" i="28" s="1"/>
  <c r="Q597" i="28"/>
  <c r="N597" i="28" s="1"/>
  <c r="Q598" i="28"/>
  <c r="N598" i="28" s="1"/>
  <c r="Q599" i="28"/>
  <c r="N599" i="28" s="1"/>
  <c r="Q601" i="28"/>
  <c r="N601" i="28" s="1"/>
  <c r="Q602" i="28"/>
  <c r="N602" i="28" s="1"/>
  <c r="Q603" i="28"/>
  <c r="N603" i="28" s="1"/>
  <c r="Q604" i="28"/>
  <c r="N604" i="28" s="1"/>
  <c r="Q605" i="28"/>
  <c r="N605" i="28" s="1"/>
  <c r="Q606" i="28"/>
  <c r="N606" i="28" s="1"/>
  <c r="Q608" i="28"/>
  <c r="N608" i="28" s="1"/>
  <c r="Q609" i="28"/>
  <c r="N609" i="28" s="1"/>
  <c r="Q610" i="28"/>
  <c r="N610" i="28" s="1"/>
  <c r="Q611" i="28"/>
  <c r="N611" i="28" s="1"/>
  <c r="Q612" i="28"/>
  <c r="N612" i="28" s="1"/>
  <c r="Q613" i="28"/>
  <c r="N613" i="28" s="1"/>
  <c r="Q615" i="28"/>
  <c r="N615" i="28" s="1"/>
  <c r="Q616" i="28"/>
  <c r="N616" i="28" s="1"/>
  <c r="Q617" i="28"/>
  <c r="N617" i="28" s="1"/>
  <c r="Q618" i="28"/>
  <c r="N618" i="28" s="1"/>
  <c r="Q619" i="28"/>
  <c r="N619" i="28" s="1"/>
  <c r="Q620" i="28"/>
  <c r="N620" i="28" s="1"/>
  <c r="Q622" i="28"/>
  <c r="N622" i="28" s="1"/>
  <c r="Q623" i="28"/>
  <c r="N623" i="28" s="1"/>
  <c r="Q624" i="28"/>
  <c r="Q625" i="28"/>
  <c r="N625" i="28" s="1"/>
  <c r="Q626" i="28"/>
  <c r="N626" i="28" s="1"/>
  <c r="Q627" i="28"/>
  <c r="N627" i="28" s="1"/>
  <c r="Q629" i="28"/>
  <c r="N629" i="28" s="1"/>
  <c r="Q630" i="28"/>
  <c r="N630" i="28" s="1"/>
  <c r="Q631" i="28"/>
  <c r="N631" i="28" s="1"/>
  <c r="Q632" i="28"/>
  <c r="N632" i="28" s="1"/>
  <c r="Q633" i="28"/>
  <c r="N633" i="28" s="1"/>
  <c r="Q634" i="28"/>
  <c r="N634" i="28" s="1"/>
  <c r="Q636" i="28"/>
  <c r="N636" i="28" s="1"/>
  <c r="Q637" i="28"/>
  <c r="N637" i="28" s="1"/>
  <c r="Q638" i="28"/>
  <c r="N638" i="28" s="1"/>
  <c r="Q639" i="28"/>
  <c r="N639" i="28" s="1"/>
  <c r="Q640" i="28"/>
  <c r="N640" i="28" s="1"/>
  <c r="Q641" i="28"/>
  <c r="N641" i="28" s="1"/>
  <c r="Q643" i="28"/>
  <c r="N643" i="28" s="1"/>
  <c r="Q644" i="28"/>
  <c r="N644" i="28" s="1"/>
  <c r="Q645" i="28"/>
  <c r="Q646" i="28"/>
  <c r="N646" i="28" s="1"/>
  <c r="Q647" i="28"/>
  <c r="N647" i="28" s="1"/>
  <c r="Q648" i="28"/>
  <c r="N648" i="28" s="1"/>
  <c r="Q650" i="28"/>
  <c r="N650" i="28" s="1"/>
  <c r="Q651" i="28"/>
  <c r="N651" i="28" s="1"/>
  <c r="Q652" i="28"/>
  <c r="N652" i="28" s="1"/>
  <c r="Q653" i="28"/>
  <c r="N653" i="28" s="1"/>
  <c r="Q654" i="28"/>
  <c r="N654" i="28" s="1"/>
  <c r="Q655" i="28"/>
  <c r="N655" i="28" s="1"/>
  <c r="Q657" i="28"/>
  <c r="N657" i="28" s="1"/>
  <c r="Q658" i="28"/>
  <c r="N658" i="28" s="1"/>
  <c r="Q659" i="28"/>
  <c r="N659" i="28" s="1"/>
  <c r="Q660" i="28"/>
  <c r="N660" i="28" s="1"/>
  <c r="Q661" i="28"/>
  <c r="N661" i="28" s="1"/>
  <c r="Q662" i="28"/>
  <c r="N662" i="28" s="1"/>
  <c r="Q664" i="28"/>
  <c r="N664" i="28" s="1"/>
  <c r="Q665" i="28"/>
  <c r="N665" i="28" s="1"/>
  <c r="Q666" i="28"/>
  <c r="N666" i="28" s="1"/>
  <c r="Q667" i="28"/>
  <c r="N667" i="28" s="1"/>
  <c r="Q668" i="28"/>
  <c r="Q669" i="28"/>
  <c r="N669" i="28" s="1"/>
  <c r="Q671" i="28"/>
  <c r="N671" i="28" s="1"/>
  <c r="Q672" i="28"/>
  <c r="N672" i="28" s="1"/>
  <c r="Q673" i="28"/>
  <c r="N673" i="28" s="1"/>
  <c r="Q674" i="28"/>
  <c r="N674" i="28" s="1"/>
  <c r="Q675" i="28"/>
  <c r="N675" i="28" s="1"/>
  <c r="Q676" i="28"/>
  <c r="N676" i="28" s="1"/>
  <c r="Q678" i="28"/>
  <c r="N678" i="28" s="1"/>
  <c r="Q679" i="28"/>
  <c r="N679" i="28" s="1"/>
  <c r="Q680" i="28"/>
  <c r="N680" i="28" s="1"/>
  <c r="Q681" i="28"/>
  <c r="N681" i="28" s="1"/>
  <c r="Q682" i="28"/>
  <c r="N682" i="28" s="1"/>
  <c r="Q683" i="28"/>
  <c r="N683" i="28" s="1"/>
  <c r="Q685" i="28"/>
  <c r="N685" i="28" s="1"/>
  <c r="Q686" i="28"/>
  <c r="N686" i="28" s="1"/>
  <c r="Q687" i="28"/>
  <c r="N687" i="28" s="1"/>
  <c r="Q688" i="28"/>
  <c r="N688" i="28" s="1"/>
  <c r="Q689" i="28"/>
  <c r="N689" i="28" s="1"/>
  <c r="Q690" i="28"/>
  <c r="N690" i="28" s="1"/>
  <c r="Q692" i="28"/>
  <c r="N692" i="28" s="1"/>
  <c r="Q693" i="28"/>
  <c r="N693" i="28" s="1"/>
  <c r="Q694" i="28"/>
  <c r="N694" i="28" s="1"/>
  <c r="Q695" i="28"/>
  <c r="N695" i="28" s="1"/>
  <c r="Q696" i="28"/>
  <c r="N696" i="28" s="1"/>
  <c r="Q697" i="28"/>
  <c r="N697" i="28" s="1"/>
  <c r="Q699" i="28"/>
  <c r="N699" i="28" s="1"/>
  <c r="Q700" i="28"/>
  <c r="N700" i="28" s="1"/>
  <c r="Q701" i="28"/>
  <c r="N701" i="28" s="1"/>
  <c r="Q702" i="28"/>
  <c r="N702" i="28" s="1"/>
  <c r="Q703" i="28"/>
  <c r="N703" i="28" s="1"/>
  <c r="Q704" i="28"/>
  <c r="N704" i="28" s="1"/>
  <c r="Q706" i="28"/>
  <c r="N706" i="28" s="1"/>
  <c r="Q707" i="28"/>
  <c r="N707" i="28" s="1"/>
  <c r="Q708" i="28"/>
  <c r="Q709" i="28"/>
  <c r="N709" i="28" s="1"/>
  <c r="Q710" i="28"/>
  <c r="N710" i="28" s="1"/>
  <c r="Q711" i="28"/>
  <c r="N711" i="28" s="1"/>
  <c r="Q713" i="28"/>
  <c r="N713" i="28" s="1"/>
  <c r="Q714" i="28"/>
  <c r="N714" i="28" s="1"/>
  <c r="Q715" i="28"/>
  <c r="N715" i="28" s="1"/>
  <c r="Q716" i="28"/>
  <c r="Q717" i="28"/>
  <c r="N717" i="28" s="1"/>
  <c r="Q718" i="28"/>
  <c r="N718" i="28" s="1"/>
  <c r="Q720" i="28"/>
  <c r="N720" i="28" s="1"/>
  <c r="Q721" i="28"/>
  <c r="N721" i="28" s="1"/>
  <c r="Q722" i="28"/>
  <c r="N722" i="28" s="1"/>
  <c r="Q723" i="28"/>
  <c r="N723" i="28" s="1"/>
  <c r="Q724" i="28"/>
  <c r="N724" i="28" s="1"/>
  <c r="Q725" i="28"/>
  <c r="N725" i="28" s="1"/>
  <c r="Q727" i="28"/>
  <c r="N727" i="28" s="1"/>
  <c r="Q728" i="28"/>
  <c r="N728" i="28" s="1"/>
  <c r="Q729" i="28"/>
  <c r="N729" i="28" s="1"/>
  <c r="Q730" i="28"/>
  <c r="N730" i="28" s="1"/>
  <c r="Q731" i="28"/>
  <c r="N731" i="28" s="1"/>
  <c r="Q732" i="28"/>
  <c r="N732" i="28" s="1"/>
  <c r="Q734" i="28"/>
  <c r="N734" i="28" s="1"/>
  <c r="Q735" i="28"/>
  <c r="N735" i="28" s="1"/>
  <c r="Q736" i="28"/>
  <c r="N736" i="28" s="1"/>
  <c r="Q737" i="28"/>
  <c r="N737" i="28" s="1"/>
  <c r="Q738" i="28"/>
  <c r="N738" i="28" s="1"/>
  <c r="Q739" i="28"/>
  <c r="N739" i="28" s="1"/>
  <c r="Q741" i="28"/>
  <c r="N741" i="28" s="1"/>
  <c r="Q742" i="28"/>
  <c r="N742" i="28" s="1"/>
  <c r="Q743" i="28"/>
  <c r="N743" i="28" s="1"/>
  <c r="Q744" i="28"/>
  <c r="N744" i="28" s="1"/>
  <c r="Q745" i="28"/>
  <c r="N745" i="28" s="1"/>
  <c r="Q746" i="28"/>
  <c r="N746" i="28" s="1"/>
  <c r="Q748" i="28"/>
  <c r="N748" i="28" s="1"/>
  <c r="Q749" i="28"/>
  <c r="N749" i="28" s="1"/>
  <c r="Q750" i="28"/>
  <c r="N750" i="28" s="1"/>
  <c r="Q751" i="28"/>
  <c r="N751" i="28" s="1"/>
  <c r="Q752" i="28"/>
  <c r="N752" i="28" s="1"/>
  <c r="Q753" i="28"/>
  <c r="N753" i="28" s="1"/>
  <c r="Q755" i="28"/>
  <c r="N755" i="28" s="1"/>
  <c r="Q756" i="28"/>
  <c r="N756" i="28" s="1"/>
  <c r="Q757" i="28"/>
  <c r="N757" i="28" s="1"/>
  <c r="Q758" i="28"/>
  <c r="N758" i="28" s="1"/>
  <c r="Q759" i="28"/>
  <c r="N759" i="28" s="1"/>
  <c r="Q760" i="28"/>
  <c r="N760" i="28" s="1"/>
  <c r="Q762" i="28"/>
  <c r="N762" i="28" s="1"/>
  <c r="Q763" i="28"/>
  <c r="N763" i="28" s="1"/>
  <c r="Q764" i="28"/>
  <c r="N764" i="28" s="1"/>
  <c r="Q765" i="28"/>
  <c r="N765" i="28" s="1"/>
  <c r="Q766" i="28"/>
  <c r="N766" i="28" s="1"/>
  <c r="Q767" i="28"/>
  <c r="N767" i="28" s="1"/>
  <c r="Q769" i="28"/>
  <c r="N769" i="28" s="1"/>
  <c r="Q770" i="28"/>
  <c r="N770" i="28" s="1"/>
  <c r="Q771" i="28"/>
  <c r="N771" i="28" s="1"/>
  <c r="Q772" i="28"/>
  <c r="Q773" i="28"/>
  <c r="N773" i="28" s="1"/>
  <c r="Q774" i="28"/>
  <c r="N774" i="28" s="1"/>
  <c r="Q776" i="28"/>
  <c r="N776" i="28" s="1"/>
  <c r="Q777" i="28"/>
  <c r="N777" i="28" s="1"/>
  <c r="Q778" i="28"/>
  <c r="N778" i="28" s="1"/>
  <c r="Q779" i="28"/>
  <c r="N779" i="28" s="1"/>
  <c r="Q780" i="28"/>
  <c r="N780" i="28" s="1"/>
  <c r="Q781" i="28"/>
  <c r="N781" i="28" s="1"/>
  <c r="Q783" i="28"/>
  <c r="N783" i="28" s="1"/>
  <c r="Q784" i="28"/>
  <c r="N784" i="28" s="1"/>
  <c r="Q785" i="28"/>
  <c r="N785" i="28" s="1"/>
  <c r="Q786" i="28"/>
  <c r="N786" i="28" s="1"/>
  <c r="Q787" i="28"/>
  <c r="N787" i="28" s="1"/>
  <c r="Q788" i="28"/>
  <c r="N788" i="28" s="1"/>
  <c r="Q790" i="28"/>
  <c r="N790" i="28" s="1"/>
  <c r="Q791" i="28"/>
  <c r="N791" i="28" s="1"/>
  <c r="Q792" i="28"/>
  <c r="N792" i="28" s="1"/>
  <c r="Q793" i="28"/>
  <c r="N793" i="28" s="1"/>
  <c r="Q794" i="28"/>
  <c r="N794" i="28" s="1"/>
  <c r="Q795" i="28"/>
  <c r="N795" i="28" s="1"/>
  <c r="Q797" i="28"/>
  <c r="N797" i="28" s="1"/>
  <c r="Q798" i="28"/>
  <c r="N798" i="28" s="1"/>
  <c r="Q799" i="28"/>
  <c r="N799" i="28" s="1"/>
  <c r="Q800" i="28"/>
  <c r="N800" i="28" s="1"/>
  <c r="Q801" i="28"/>
  <c r="N801" i="28" s="1"/>
  <c r="Q802" i="28"/>
  <c r="N802" i="28" s="1"/>
  <c r="Q804" i="28"/>
  <c r="N804" i="28" s="1"/>
  <c r="Q805" i="28"/>
  <c r="N805" i="28" s="1"/>
  <c r="Q806" i="28"/>
  <c r="N806" i="28" s="1"/>
  <c r="Q807" i="28"/>
  <c r="N807" i="28" s="1"/>
  <c r="Q808" i="28"/>
  <c r="N808" i="28" s="1"/>
  <c r="Q809" i="28"/>
  <c r="N809" i="28" s="1"/>
  <c r="Q811" i="28"/>
  <c r="N811" i="28" s="1"/>
  <c r="Q812" i="28"/>
  <c r="N812" i="28" s="1"/>
  <c r="Q813" i="28"/>
  <c r="N813" i="28" s="1"/>
  <c r="Q814" i="28"/>
  <c r="N814" i="28" s="1"/>
  <c r="Q815" i="28"/>
  <c r="N815" i="28" s="1"/>
  <c r="Q816" i="28"/>
  <c r="N816" i="28" s="1"/>
  <c r="Q818" i="28"/>
  <c r="N818" i="28" s="1"/>
  <c r="Q819" i="28"/>
  <c r="N819" i="28" s="1"/>
  <c r="Q820" i="28"/>
  <c r="N820" i="28" s="1"/>
  <c r="Q821" i="28"/>
  <c r="N821" i="28" s="1"/>
  <c r="Q822" i="28"/>
  <c r="N822" i="28" s="1"/>
  <c r="Q823" i="28"/>
  <c r="N823" i="28" s="1"/>
  <c r="Q825" i="28"/>
  <c r="N825" i="28" s="1"/>
  <c r="Q826" i="28"/>
  <c r="N826" i="28" s="1"/>
  <c r="Q827" i="28"/>
  <c r="N827" i="28" s="1"/>
  <c r="Q828" i="28"/>
  <c r="N828" i="28" s="1"/>
  <c r="Q829" i="28"/>
  <c r="N829" i="28" s="1"/>
  <c r="Q830" i="28"/>
  <c r="N830" i="28" s="1"/>
  <c r="Q832" i="28"/>
  <c r="N832" i="28" s="1"/>
  <c r="Q833" i="28"/>
  <c r="N833" i="28" s="1"/>
  <c r="Q834" i="28"/>
  <c r="N834" i="28" s="1"/>
  <c r="Q835" i="28"/>
  <c r="N835" i="28" s="1"/>
  <c r="Q836" i="28"/>
  <c r="N836" i="28" s="1"/>
  <c r="Q837" i="28"/>
  <c r="N837" i="28" s="1"/>
  <c r="Q839" i="28"/>
  <c r="N839" i="28" s="1"/>
  <c r="Q840" i="28"/>
  <c r="N840" i="28" s="1"/>
  <c r="Q841" i="28"/>
  <c r="N841" i="28" s="1"/>
  <c r="Q842" i="28"/>
  <c r="N842" i="28" s="1"/>
  <c r="Q843" i="28"/>
  <c r="N843" i="28" s="1"/>
  <c r="Q844" i="28"/>
  <c r="N844" i="28" s="1"/>
  <c r="Q846" i="28"/>
  <c r="N846" i="28" s="1"/>
  <c r="Q847" i="28"/>
  <c r="N847" i="28" s="1"/>
  <c r="Q848" i="28"/>
  <c r="N848" i="28" s="1"/>
  <c r="Q849" i="28"/>
  <c r="N849" i="28" s="1"/>
  <c r="Q850" i="28"/>
  <c r="N850" i="28" s="1"/>
  <c r="Q851" i="28"/>
  <c r="N851" i="28" s="1"/>
  <c r="Q853" i="28"/>
  <c r="N853" i="28" s="1"/>
  <c r="Q854" i="28"/>
  <c r="N854" i="28" s="1"/>
  <c r="Q855" i="28"/>
  <c r="N855" i="28" s="1"/>
  <c r="Q856" i="28"/>
  <c r="N856" i="28" s="1"/>
  <c r="Q857" i="28"/>
  <c r="N857" i="28" s="1"/>
  <c r="Q858" i="28"/>
  <c r="N858" i="28" s="1"/>
  <c r="Q860" i="28"/>
  <c r="N860" i="28" s="1"/>
  <c r="Q861" i="28"/>
  <c r="N861" i="28" s="1"/>
  <c r="Q862" i="28"/>
  <c r="N862" i="28" s="1"/>
  <c r="Q863" i="28"/>
  <c r="N863" i="28" s="1"/>
  <c r="Q864" i="28"/>
  <c r="N864" i="28" s="1"/>
  <c r="Q865" i="28"/>
  <c r="N865" i="28" s="1"/>
  <c r="Q867" i="28"/>
  <c r="N867" i="28" s="1"/>
  <c r="Q868" i="28"/>
  <c r="N868" i="28" s="1"/>
  <c r="Q869" i="28"/>
  <c r="N869" i="28" s="1"/>
  <c r="Q870" i="28"/>
  <c r="N870" i="28" s="1"/>
  <c r="Q871" i="28"/>
  <c r="N871" i="28" s="1"/>
  <c r="Q872" i="28"/>
  <c r="N872" i="28" s="1"/>
  <c r="Q874" i="28"/>
  <c r="N874" i="28" s="1"/>
  <c r="Q875" i="28"/>
  <c r="N875" i="28" s="1"/>
  <c r="Q876" i="28"/>
  <c r="N876" i="28" s="1"/>
  <c r="Q877" i="28"/>
  <c r="N877" i="28" s="1"/>
  <c r="Q878" i="28"/>
  <c r="N878" i="28" s="1"/>
  <c r="Q879" i="28"/>
  <c r="N879" i="28" s="1"/>
  <c r="Q881" i="28"/>
  <c r="N881" i="28" s="1"/>
  <c r="Q882" i="28"/>
  <c r="N882" i="28" s="1"/>
  <c r="Q883" i="28"/>
  <c r="N883" i="28" s="1"/>
  <c r="Q884" i="28"/>
  <c r="Q885" i="28"/>
  <c r="N885" i="28" s="1"/>
  <c r="Q886" i="28"/>
  <c r="N886" i="28" s="1"/>
  <c r="Q888" i="28"/>
  <c r="N888" i="28" s="1"/>
  <c r="Q889" i="28"/>
  <c r="N889" i="28" s="1"/>
  <c r="Q890" i="28"/>
  <c r="N890" i="28" s="1"/>
  <c r="Q891" i="28"/>
  <c r="N891" i="28" s="1"/>
  <c r="Q892" i="28"/>
  <c r="N892" i="28" s="1"/>
  <c r="Q893" i="28"/>
  <c r="N893" i="28" s="1"/>
  <c r="Q895" i="28"/>
  <c r="N895" i="28" s="1"/>
  <c r="Q896" i="28"/>
  <c r="N896" i="28" s="1"/>
  <c r="Q897" i="28"/>
  <c r="N897" i="28" s="1"/>
  <c r="Q898" i="28"/>
  <c r="N898" i="28" s="1"/>
  <c r="Q899" i="28"/>
  <c r="N899" i="28" s="1"/>
  <c r="Q900" i="28"/>
  <c r="N900" i="28" s="1"/>
  <c r="Q902" i="28"/>
  <c r="N902" i="28" s="1"/>
  <c r="Q903" i="28"/>
  <c r="N903" i="28" s="1"/>
  <c r="Q904" i="28"/>
  <c r="N904" i="28" s="1"/>
  <c r="Q905" i="28"/>
  <c r="N905" i="28" s="1"/>
  <c r="Q906" i="28"/>
  <c r="N906" i="28" s="1"/>
  <c r="Q907" i="28"/>
  <c r="N907" i="28" s="1"/>
  <c r="Q909" i="28"/>
  <c r="N909" i="28" s="1"/>
  <c r="Q910" i="28"/>
  <c r="N910" i="28" s="1"/>
  <c r="Q911" i="28"/>
  <c r="N911" i="28" s="1"/>
  <c r="Q912" i="28"/>
  <c r="N912" i="28" s="1"/>
  <c r="Q913" i="28"/>
  <c r="N913" i="28" s="1"/>
  <c r="Q914" i="28"/>
  <c r="N914" i="28" s="1"/>
  <c r="Q916" i="28"/>
  <c r="N916" i="28" s="1"/>
  <c r="Q917" i="28"/>
  <c r="N917" i="28" s="1"/>
  <c r="Q918" i="28"/>
  <c r="N918" i="28" s="1"/>
  <c r="Q919" i="28"/>
  <c r="N919" i="28" s="1"/>
  <c r="Q920" i="28"/>
  <c r="N920" i="28" s="1"/>
  <c r="Q921" i="28"/>
  <c r="N921" i="28" s="1"/>
  <c r="Q678" i="27"/>
  <c r="P592" i="27"/>
  <c r="P644" i="27"/>
  <c r="P547" i="27"/>
  <c r="P629" i="27"/>
  <c r="Q581" i="27"/>
  <c r="P600" i="27"/>
  <c r="Q506" i="27"/>
  <c r="Q484" i="27"/>
  <c r="P444" i="27"/>
  <c r="Q446" i="27"/>
  <c r="Q378" i="27"/>
  <c r="P492" i="27"/>
  <c r="Q448" i="27"/>
  <c r="Q659" i="27"/>
  <c r="E14" i="2"/>
  <c r="P551" i="27"/>
  <c r="Q458" i="27"/>
  <c r="P511" i="27"/>
  <c r="Q488" i="27"/>
  <c r="P624" i="27"/>
  <c r="Q576" i="27"/>
  <c r="Q467" i="27"/>
  <c r="P432" i="27"/>
  <c r="Q611" i="27"/>
  <c r="Q665" i="27"/>
  <c r="P577" i="27"/>
  <c r="Q673" i="27"/>
  <c r="P635" i="27"/>
  <c r="Q619" i="27"/>
  <c r="Q528" i="27"/>
  <c r="Q552" i="27"/>
  <c r="Q108" i="27"/>
  <c r="P651" i="27"/>
  <c r="P301" i="27"/>
  <c r="P486" i="27"/>
  <c r="Q520" i="27"/>
  <c r="P674" i="27"/>
  <c r="P545" i="27"/>
  <c r="Q347" i="27"/>
  <c r="Q636" i="27"/>
  <c r="Q48" i="27"/>
  <c r="P663" i="27"/>
  <c r="P657" i="27"/>
  <c r="P590" i="27"/>
  <c r="P686" i="27"/>
  <c r="Q592" i="27"/>
  <c r="P471" i="27"/>
  <c r="Q312" i="27"/>
  <c r="Q554" i="27"/>
  <c r="Q426" i="27"/>
  <c r="P648" i="27"/>
  <c r="P531" i="27"/>
  <c r="Q497" i="27"/>
  <c r="Q456" i="27"/>
  <c r="Q25" i="27"/>
  <c r="P555" i="27"/>
  <c r="Q369" i="27"/>
  <c r="P645" i="27"/>
  <c r="P576" i="27"/>
  <c r="P396" i="27"/>
  <c r="P85" i="27"/>
  <c r="Q567" i="27"/>
  <c r="Q93" i="27"/>
  <c r="Q136" i="27"/>
  <c r="Q173" i="27"/>
  <c r="P37" i="27"/>
  <c r="Q36" i="27"/>
  <c r="Q661" i="27"/>
  <c r="Q511" i="27"/>
  <c r="Q459" i="27"/>
  <c r="Q505" i="27"/>
  <c r="Q603" i="27"/>
  <c r="Q527" i="27"/>
  <c r="Q122" i="27"/>
  <c r="P323" i="27"/>
  <c r="P340" i="27"/>
  <c r="E16" i="2"/>
  <c r="P435" i="27"/>
  <c r="P376" i="27"/>
  <c r="P41" i="27"/>
  <c r="P87" i="27"/>
  <c r="Q80" i="27"/>
  <c r="P51" i="27"/>
  <c r="Q483" i="27"/>
  <c r="Q495" i="27"/>
  <c r="P122" i="27"/>
  <c r="P80" i="27"/>
  <c r="Q315" i="27"/>
  <c r="Q140" i="27"/>
  <c r="P415" i="27"/>
  <c r="Q66" i="27"/>
  <c r="P29" i="27"/>
  <c r="P63" i="27"/>
  <c r="Q111" i="27"/>
  <c r="Q288" i="27"/>
  <c r="P324" i="27"/>
  <c r="Q162" i="27"/>
  <c r="Q105" i="27"/>
  <c r="P401" i="27"/>
  <c r="Q289" i="27"/>
  <c r="P509" i="27"/>
  <c r="Q633" i="27"/>
  <c r="P374" i="27"/>
  <c r="Q130" i="27"/>
  <c r="P523" i="27"/>
  <c r="P158" i="27"/>
  <c r="Q356" i="27"/>
  <c r="Q482" i="27"/>
  <c r="P332" i="27"/>
  <c r="P617" i="27"/>
  <c r="Q34" i="27"/>
  <c r="Q405" i="27"/>
  <c r="P622" i="27"/>
  <c r="P351" i="27"/>
  <c r="P70" i="27"/>
  <c r="Q468" i="27"/>
  <c r="Q667" i="27"/>
  <c r="P48" i="27"/>
  <c r="P304" i="27"/>
  <c r="Q463" i="27"/>
  <c r="Q70" i="27"/>
  <c r="P375" i="27"/>
  <c r="P342" i="27"/>
  <c r="P114" i="27"/>
  <c r="P142" i="27"/>
  <c r="Q107" i="27"/>
  <c r="P679" i="27"/>
  <c r="P168" i="27"/>
  <c r="P639" i="27"/>
  <c r="P322" i="27"/>
  <c r="Q412" i="27"/>
  <c r="Q135" i="27"/>
  <c r="Q595" i="27"/>
  <c r="Q571" i="27"/>
  <c r="Q479" i="27"/>
  <c r="Q536" i="27"/>
  <c r="Q441" i="27"/>
  <c r="Q668" i="27"/>
  <c r="Q630" i="27"/>
  <c r="P497" i="27"/>
  <c r="Q654" i="27"/>
  <c r="P647" i="27"/>
  <c r="Q548" i="27"/>
  <c r="Q601" i="27"/>
  <c r="Q508" i="27"/>
  <c r="Q544" i="27"/>
  <c r="P507" i="27"/>
  <c r="P568" i="27"/>
  <c r="Q462" i="27"/>
  <c r="P449" i="27"/>
  <c r="P614" i="27"/>
  <c r="Q662" i="27"/>
  <c r="P572" i="27"/>
  <c r="P671" i="27"/>
  <c r="Q625" i="27"/>
  <c r="P630" i="27"/>
  <c r="Q523" i="27"/>
  <c r="Q466" i="27"/>
  <c r="P348" i="27"/>
  <c r="Q564" i="27"/>
  <c r="P40" i="27"/>
  <c r="P658" i="27"/>
  <c r="P536" i="27"/>
  <c r="Q580" i="27"/>
  <c r="P466" i="27"/>
  <c r="P165" i="27"/>
  <c r="P565" i="27"/>
  <c r="Q375" i="27"/>
  <c r="Q643" i="27"/>
  <c r="P581" i="27"/>
  <c r="P148" i="27"/>
  <c r="P362" i="27"/>
  <c r="P58" i="27"/>
  <c r="P457" i="27"/>
  <c r="P27" i="27"/>
  <c r="Q551" i="27"/>
  <c r="P82" i="27"/>
  <c r="P640" i="27"/>
  <c r="Q440" i="27"/>
  <c r="P62" i="27"/>
  <c r="Q629" i="27"/>
  <c r="Q134" i="27"/>
  <c r="Q469" i="27"/>
  <c r="Q343" i="27"/>
  <c r="P562" i="27"/>
  <c r="Q565" i="27"/>
  <c r="Q406" i="27"/>
  <c r="P429" i="27"/>
  <c r="Q314" i="27"/>
  <c r="Q362" i="27"/>
  <c r="P331" i="27"/>
  <c r="P364" i="27"/>
  <c r="Q119" i="27"/>
  <c r="P407" i="27"/>
  <c r="P288" i="27"/>
  <c r="P517" i="27"/>
  <c r="P638" i="27"/>
  <c r="Q391" i="27"/>
  <c r="Q164" i="27"/>
  <c r="P533" i="27"/>
  <c r="Q321" i="27"/>
  <c r="P126" i="27"/>
  <c r="Q84" i="27"/>
  <c r="Q417" i="27"/>
  <c r="P454" i="27"/>
  <c r="Q76" i="27"/>
  <c r="Q23" i="27"/>
  <c r="P459" i="27"/>
  <c r="Q112" i="27"/>
  <c r="Q400" i="27"/>
  <c r="P478" i="27"/>
  <c r="Q672" i="27"/>
  <c r="Q132" i="27"/>
  <c r="Q339" i="27"/>
  <c r="Q186" i="27"/>
  <c r="P55" i="27"/>
  <c r="Q180" i="27"/>
  <c r="P424" i="27"/>
  <c r="P134" i="27"/>
  <c r="P130" i="27"/>
  <c r="Q64" i="27"/>
  <c r="P109" i="27"/>
  <c r="P146" i="27"/>
  <c r="P115" i="27"/>
  <c r="P161" i="27"/>
  <c r="P312" i="27"/>
  <c r="Q442" i="27"/>
  <c r="Q502" i="27"/>
  <c r="Q627" i="27"/>
  <c r="P352" i="27"/>
  <c r="P50" i="27"/>
  <c r="Q432" i="27"/>
  <c r="Q57" i="27"/>
  <c r="P91" i="27"/>
  <c r="Q653" i="27"/>
  <c r="Q59" i="27"/>
  <c r="P349" i="27"/>
  <c r="Q72" i="27"/>
  <c r="P366" i="27"/>
  <c r="Q348" i="27"/>
  <c r="Q156" i="27"/>
  <c r="Q114" i="27"/>
  <c r="Q640" i="27"/>
  <c r="Q471" i="27"/>
  <c r="P330" i="27"/>
  <c r="Q58" i="27"/>
  <c r="Q413" i="27"/>
  <c r="P112" i="27"/>
  <c r="P102" i="27"/>
  <c r="P104" i="27"/>
  <c r="P341" i="27"/>
  <c r="Q424" i="27"/>
  <c r="Q304" i="27"/>
  <c r="P510" i="27"/>
  <c r="Q671" i="27"/>
  <c r="Q465" i="27"/>
  <c r="P633" i="27"/>
  <c r="P537" i="27"/>
  <c r="Q677" i="27"/>
  <c r="Q685" i="27"/>
  <c r="Q585" i="27"/>
  <c r="P575" i="27"/>
  <c r="P484" i="27"/>
  <c r="Q526" i="27"/>
  <c r="P441" i="27"/>
  <c r="P594" i="27"/>
  <c r="P548" i="27"/>
  <c r="P493" i="27"/>
  <c r="P660" i="27"/>
  <c r="P637" i="27"/>
  <c r="Q543" i="27"/>
  <c r="Q593" i="27"/>
  <c r="P505" i="27"/>
  <c r="P465" i="27"/>
  <c r="P678" i="27"/>
  <c r="P558" i="27"/>
  <c r="P467" i="27"/>
  <c r="Q439" i="27"/>
  <c r="P606" i="27"/>
  <c r="Q652" i="27"/>
  <c r="Q561" i="27"/>
  <c r="P589" i="27"/>
  <c r="Q545" i="27"/>
  <c r="P620" i="27"/>
  <c r="Q513" i="27"/>
  <c r="P634" i="27"/>
  <c r="Q182" i="27"/>
  <c r="Q474" i="27"/>
  <c r="P400" i="27"/>
  <c r="P567" i="27"/>
  <c r="P445" i="27"/>
  <c r="P297" i="27"/>
  <c r="P431" i="27"/>
  <c r="Q94" i="27"/>
  <c r="P474" i="27"/>
  <c r="P339" i="27"/>
  <c r="P367" i="27"/>
  <c r="Q560" i="27"/>
  <c r="P98" i="27"/>
  <c r="Q90" i="27"/>
  <c r="Q37" i="27"/>
  <c r="P72" i="27"/>
  <c r="Q374" i="27"/>
  <c r="P35" i="27"/>
  <c r="Q92" i="27"/>
  <c r="Q433" i="27"/>
  <c r="Q430" i="27"/>
  <c r="P409" i="27"/>
  <c r="Q144" i="27"/>
  <c r="Q349" i="27"/>
  <c r="Q360" i="27"/>
  <c r="Q41" i="27"/>
  <c r="P613" i="27"/>
  <c r="P561" i="27"/>
  <c r="P383" i="27"/>
  <c r="Q148" i="27"/>
  <c r="Q381" i="27"/>
  <c r="P49" i="27"/>
  <c r="Q143" i="27"/>
  <c r="Q189" i="27"/>
  <c r="P181" i="27"/>
  <c r="Q46" i="27"/>
  <c r="P174" i="27"/>
  <c r="Q563" i="27"/>
  <c r="Q622" i="27"/>
  <c r="Q40" i="27"/>
  <c r="P302" i="27"/>
  <c r="P81" i="27"/>
  <c r="P430" i="27"/>
  <c r="P71" i="27"/>
  <c r="P659" i="27"/>
  <c r="Q62" i="27"/>
  <c r="P284" i="27"/>
  <c r="Q577" i="27"/>
  <c r="P107" i="27"/>
  <c r="Q28" i="27"/>
  <c r="P382" i="27"/>
  <c r="P611" i="27"/>
  <c r="Q587" i="27"/>
  <c r="P677" i="27"/>
  <c r="P525" i="27"/>
  <c r="P619" i="27"/>
  <c r="Q332" i="27"/>
  <c r="P503" i="27"/>
  <c r="Q139" i="27"/>
  <c r="P141" i="27"/>
  <c r="P487" i="27"/>
  <c r="Q429" i="27"/>
  <c r="P418" i="27"/>
  <c r="P405" i="27"/>
  <c r="Q507" i="27"/>
  <c r="Q666" i="27"/>
  <c r="Q460" i="27"/>
  <c r="Q628" i="27"/>
  <c r="P460" i="27"/>
  <c r="Q674" i="27"/>
  <c r="P684" i="27"/>
  <c r="P596" i="27"/>
  <c r="P570" i="27"/>
  <c r="Q655" i="27"/>
  <c r="Q521" i="27"/>
  <c r="P623" i="27"/>
  <c r="P584" i="27"/>
  <c r="P543" i="27"/>
  <c r="Q669" i="27"/>
  <c r="Q575" i="27"/>
  <c r="Q632" i="27"/>
  <c r="P541" i="27"/>
  <c r="Q588" i="27"/>
  <c r="Q682" i="27"/>
  <c r="Q455" i="27"/>
  <c r="Q670" i="27"/>
  <c r="P553" i="27"/>
  <c r="Q639" i="27"/>
  <c r="P631" i="27"/>
  <c r="Q524" i="27"/>
  <c r="Q583" i="27"/>
  <c r="P491" i="27"/>
  <c r="Q579" i="27"/>
  <c r="Q540" i="27"/>
  <c r="Q542" i="27"/>
  <c r="P453" i="27"/>
  <c r="Q390" i="27"/>
  <c r="P108" i="27"/>
  <c r="P95" i="27"/>
  <c r="P26" i="27"/>
  <c r="P443" i="27"/>
  <c r="Q435" i="27"/>
  <c r="P54" i="27"/>
  <c r="P296" i="27"/>
  <c r="Q373" i="27"/>
  <c r="Q408" i="27"/>
  <c r="Q55" i="27"/>
  <c r="Q615" i="27"/>
  <c r="P566" i="27"/>
  <c r="Q403" i="27"/>
  <c r="P129" i="27"/>
  <c r="Q477" i="27"/>
  <c r="Q42" i="27"/>
  <c r="Q185" i="27"/>
  <c r="P361" i="27"/>
  <c r="P403" i="27"/>
  <c r="P608" i="27"/>
  <c r="P615" i="27"/>
  <c r="Q377" i="27"/>
  <c r="P44" i="27"/>
  <c r="Q118" i="27"/>
  <c r="Q169" i="27"/>
  <c r="P86" i="27"/>
  <c r="Q600" i="27"/>
  <c r="P485" i="27"/>
  <c r="P74" i="27"/>
  <c r="P65" i="27"/>
  <c r="P428" i="27"/>
  <c r="Q401" i="27"/>
  <c r="P131" i="27"/>
  <c r="Q160" i="27"/>
  <c r="Q357" i="27"/>
  <c r="Q382" i="27"/>
  <c r="P179" i="27"/>
  <c r="Q478" i="27"/>
  <c r="P628" i="27"/>
  <c r="P184" i="27"/>
  <c r="Q428" i="27"/>
  <c r="Q310" i="27"/>
  <c r="P105" i="27"/>
  <c r="Q319" i="27"/>
  <c r="P573" i="27"/>
  <c r="P434" i="27"/>
  <c r="Q163" i="27"/>
  <c r="Q49" i="27"/>
  <c r="Q350" i="27"/>
  <c r="P319" i="27"/>
  <c r="P490" i="27"/>
  <c r="Q516" i="27"/>
  <c r="P593" i="27"/>
  <c r="P585" i="27"/>
  <c r="Q679" i="27"/>
  <c r="Q532" i="27"/>
  <c r="P69" i="27"/>
  <c r="Q379" i="27"/>
  <c r="Q302" i="27"/>
  <c r="P68" i="27"/>
  <c r="Q96" i="27"/>
  <c r="P180" i="27"/>
  <c r="P173" i="27"/>
  <c r="Q530" i="27"/>
  <c r="P388" i="27"/>
  <c r="P350" i="27"/>
  <c r="Q535" i="27"/>
  <c r="Q65" i="27"/>
  <c r="Q175" i="27"/>
  <c r="P655" i="27"/>
  <c r="Q541" i="27"/>
  <c r="P116" i="27"/>
  <c r="Q150" i="27"/>
  <c r="P177" i="27"/>
  <c r="P152" i="27"/>
  <c r="P680" i="27"/>
  <c r="P315" i="27"/>
  <c r="P295" i="27"/>
  <c r="Q323" i="27"/>
  <c r="Q24" i="27"/>
  <c r="P285" i="27"/>
  <c r="P402" i="27"/>
  <c r="Q380" i="27"/>
  <c r="P512" i="27"/>
  <c r="P508" i="27"/>
  <c r="P395" i="27"/>
  <c r="P77" i="27"/>
  <c r="P528" i="27"/>
  <c r="P310" i="27"/>
  <c r="P414" i="27"/>
  <c r="P286" i="27"/>
  <c r="P410" i="27"/>
  <c r="Q121" i="27"/>
  <c r="E12" i="2"/>
  <c r="Q687" i="27"/>
  <c r="Q591" i="27"/>
  <c r="Q647" i="27"/>
  <c r="P556" i="27"/>
  <c r="P456" i="27"/>
  <c r="P673" i="27"/>
  <c r="Q607" i="27"/>
  <c r="P518" i="27"/>
  <c r="Q493" i="27"/>
  <c r="Q650" i="27"/>
  <c r="P455" i="27"/>
  <c r="P618" i="27"/>
  <c r="Q574" i="27"/>
  <c r="P538" i="27"/>
  <c r="P672" i="27"/>
  <c r="Q570" i="27"/>
  <c r="P564" i="27"/>
  <c r="P473" i="27"/>
  <c r="P526" i="27"/>
  <c r="P682" i="27"/>
  <c r="Q451" i="27"/>
  <c r="P668" i="27"/>
  <c r="P482" i="27"/>
  <c r="P646" i="27"/>
  <c r="P626" i="27"/>
  <c r="Q519" i="27"/>
  <c r="Q578" i="27"/>
  <c r="Q486" i="27"/>
  <c r="P583" i="27"/>
  <c r="Q534" i="27"/>
  <c r="P540" i="27"/>
  <c r="P448" i="27"/>
  <c r="P149" i="27"/>
  <c r="Q102" i="27"/>
  <c r="P363" i="27"/>
  <c r="P163" i="27"/>
  <c r="Q610" i="27"/>
  <c r="Q681" i="27"/>
  <c r="Q376" i="27"/>
  <c r="Q167" i="27"/>
  <c r="P185" i="27"/>
  <c r="Q77" i="27"/>
  <c r="P398" i="27"/>
  <c r="Q605" i="27"/>
  <c r="Q475" i="27"/>
  <c r="Q178" i="27"/>
  <c r="Q396" i="27"/>
  <c r="Q648" i="27"/>
  <c r="P39" i="27"/>
  <c r="Q152" i="27"/>
  <c r="P170" i="27"/>
  <c r="P370" i="27"/>
  <c r="Q596" i="27"/>
  <c r="Q606" i="27"/>
  <c r="Q124" i="27"/>
  <c r="Q158" i="27"/>
  <c r="P123" i="27"/>
  <c r="Q372" i="27"/>
  <c r="P287" i="27"/>
  <c r="P524" i="27"/>
  <c r="P475" i="27"/>
  <c r="Q329" i="27"/>
  <c r="P31" i="27"/>
  <c r="Q67" i="27"/>
  <c r="Q621" i="27"/>
  <c r="P125" i="27"/>
  <c r="Q83" i="27"/>
  <c r="Q626" i="27"/>
  <c r="Q165" i="27"/>
  <c r="P120" i="27"/>
  <c r="Q473" i="27"/>
  <c r="P544" i="27"/>
  <c r="P90" i="27"/>
  <c r="Q331" i="27"/>
  <c r="P136" i="27"/>
  <c r="Q97" i="27"/>
  <c r="P520" i="27"/>
  <c r="Q395" i="27"/>
  <c r="Q155" i="27"/>
  <c r="P390" i="27"/>
  <c r="Q385" i="27"/>
  <c r="P166" i="27"/>
  <c r="Q116" i="27"/>
  <c r="Q44" i="27"/>
  <c r="P522" i="27"/>
  <c r="Q510" i="27"/>
  <c r="P60" i="27"/>
  <c r="Q359" i="27"/>
  <c r="Q512" i="27"/>
  <c r="Q363" i="27"/>
  <c r="Q52" i="27"/>
  <c r="P43" i="27"/>
  <c r="Q612" i="27"/>
  <c r="P462" i="27"/>
  <c r="Q487" i="27"/>
  <c r="Q146" i="27"/>
  <c r="P389" i="27"/>
  <c r="Q29" i="27"/>
  <c r="P365" i="27"/>
  <c r="Q184" i="27"/>
  <c r="P427" i="27"/>
  <c r="Q292" i="27"/>
  <c r="P433" i="27"/>
  <c r="P683" i="27"/>
  <c r="P157" i="27"/>
  <c r="P121" i="27"/>
  <c r="Q392" i="27"/>
  <c r="P38" i="27"/>
  <c r="Q409" i="27"/>
  <c r="Q71" i="27"/>
  <c r="Q170" i="27"/>
  <c r="Q145" i="27"/>
  <c r="P187" i="27"/>
  <c r="Q388" i="27"/>
  <c r="Q311" i="27"/>
  <c r="Q386" i="27"/>
  <c r="Q683" i="27"/>
  <c r="P504" i="27"/>
  <c r="P359" i="27"/>
  <c r="P127" i="27"/>
  <c r="Q437" i="27"/>
  <c r="Q425" i="27"/>
  <c r="Q51" i="27"/>
  <c r="P305" i="27"/>
  <c r="Q371" i="27"/>
  <c r="Q383" i="27"/>
  <c r="P59" i="27"/>
  <c r="Q686" i="27"/>
  <c r="Q586" i="27"/>
  <c r="Q642" i="27"/>
  <c r="P552" i="27"/>
  <c r="P452" i="27"/>
  <c r="Q664" i="27"/>
  <c r="P605" i="27"/>
  <c r="P513" i="27"/>
  <c r="P494" i="27"/>
  <c r="P661" i="27"/>
  <c r="Q450" i="27"/>
  <c r="Q613" i="27"/>
  <c r="P578" i="27"/>
  <c r="Q529" i="27"/>
  <c r="P667" i="27"/>
  <c r="P579" i="27"/>
  <c r="P559" i="27"/>
  <c r="P468" i="27"/>
  <c r="P521" i="27"/>
  <c r="P681" i="27"/>
  <c r="Q447" i="27"/>
  <c r="Q660" i="27"/>
  <c r="P477" i="27"/>
  <c r="P641" i="27"/>
  <c r="P621" i="27"/>
  <c r="Q514" i="27"/>
  <c r="Q573" i="27"/>
  <c r="Q481" i="27"/>
  <c r="Q496" i="27"/>
  <c r="Q457" i="27"/>
  <c r="Q537" i="27"/>
  <c r="Q443" i="27"/>
  <c r="P113" i="27"/>
  <c r="Q179" i="27"/>
  <c r="P328" i="27"/>
  <c r="Q397" i="27"/>
  <c r="P603" i="27"/>
  <c r="P610" i="27"/>
  <c r="Q127" i="27"/>
  <c r="P175" i="27"/>
  <c r="P437" i="27"/>
  <c r="Q133" i="27"/>
  <c r="P479" i="27"/>
  <c r="P534" i="27"/>
  <c r="P480" i="27"/>
  <c r="Q56" i="27"/>
  <c r="P93" i="27"/>
  <c r="Q644" i="27"/>
  <c r="P61" i="27"/>
  <c r="Q109" i="27"/>
  <c r="Q305" i="27"/>
  <c r="Q188" i="27"/>
  <c r="P519" i="27"/>
  <c r="P347" i="27"/>
  <c r="P550" i="27"/>
  <c r="Q402" i="27"/>
  <c r="Q646" i="27"/>
  <c r="Q43" i="27"/>
  <c r="P481" i="27"/>
  <c r="P662" i="27"/>
  <c r="Q594" i="27"/>
  <c r="P439" i="27"/>
  <c r="P155" i="27"/>
  <c r="P145" i="27"/>
  <c r="Q419" i="27"/>
  <c r="Q45" i="27"/>
  <c r="P393" i="27"/>
  <c r="Q420" i="27"/>
  <c r="Q31" i="27"/>
  <c r="P78" i="27"/>
  <c r="Q645" i="27"/>
  <c r="P539" i="27"/>
  <c r="P394" i="27"/>
  <c r="P436" i="27"/>
  <c r="P419" i="27"/>
  <c r="P147" i="27"/>
  <c r="Q125" i="27"/>
  <c r="P133" i="27"/>
  <c r="P289" i="27"/>
  <c r="Q147" i="27"/>
  <c r="P408" i="27"/>
  <c r="Q421" i="27"/>
  <c r="P96" i="27"/>
  <c r="P167" i="27"/>
  <c r="Q431" i="27"/>
  <c r="Q503" i="27"/>
  <c r="Q296" i="27"/>
  <c r="Q410" i="27"/>
  <c r="P447" i="27"/>
  <c r="Q631" i="27"/>
  <c r="P46" i="27"/>
  <c r="Q106" i="27"/>
  <c r="P154" i="27"/>
  <c r="Q181" i="27"/>
  <c r="P654" i="27"/>
  <c r="P57" i="27"/>
  <c r="P412" i="27"/>
  <c r="Q656" i="27"/>
  <c r="P358" i="27"/>
  <c r="P417" i="27"/>
  <c r="Q499" i="27"/>
  <c r="P602" i="27"/>
  <c r="P464" i="27"/>
  <c r="P595" i="27"/>
  <c r="Q680" i="27"/>
  <c r="P612" i="27"/>
  <c r="P294" i="27"/>
  <c r="Q452" i="27"/>
  <c r="Q47" i="27"/>
  <c r="P386" i="27"/>
  <c r="Q161" i="27"/>
  <c r="Q69" i="27"/>
  <c r="P189" i="27"/>
  <c r="Q35" i="27"/>
  <c r="Q176" i="27"/>
  <c r="P119" i="27"/>
  <c r="Q558" i="27"/>
  <c r="P500" i="27"/>
  <c r="Q30" i="27"/>
  <c r="P117" i="27"/>
  <c r="Q88" i="27"/>
  <c r="Q63" i="27"/>
  <c r="E17" i="2"/>
  <c r="P669" i="27"/>
  <c r="Q572" i="27"/>
  <c r="Q100" i="27"/>
  <c r="Q153" i="27"/>
  <c r="Q637" i="27"/>
  <c r="Q472" i="27"/>
  <c r="Q490" i="27"/>
  <c r="Q461" i="27"/>
  <c r="P469" i="27"/>
  <c r="Q154" i="27"/>
  <c r="P178" i="27"/>
  <c r="P103" i="27"/>
  <c r="P488" i="27"/>
  <c r="P110" i="27"/>
  <c r="Q61" i="27"/>
  <c r="Q320" i="27"/>
  <c r="P379" i="27"/>
  <c r="Q74" i="27"/>
  <c r="E15" i="2"/>
  <c r="Q340" i="27"/>
  <c r="Q101" i="27"/>
  <c r="Q634" i="27"/>
  <c r="Q590" i="27"/>
  <c r="P446" i="27"/>
  <c r="Q649" i="27"/>
  <c r="Q504" i="27"/>
  <c r="P472" i="27"/>
  <c r="Q566" i="27"/>
  <c r="Q518" i="27"/>
  <c r="Q370" i="27"/>
  <c r="Q635" i="27"/>
  <c r="Q556" i="27"/>
  <c r="Q86" i="27"/>
  <c r="Q338" i="27"/>
  <c r="Q389" i="27"/>
  <c r="P438" i="27"/>
  <c r="Q79" i="27"/>
  <c r="P425" i="27"/>
  <c r="P632" i="27"/>
  <c r="Q538" i="27"/>
  <c r="Q177" i="27"/>
  <c r="Q54" i="27"/>
  <c r="P404" i="27"/>
  <c r="Q449" i="27"/>
  <c r="P385" i="27"/>
  <c r="P67" i="27"/>
  <c r="Q367" i="27"/>
  <c r="P153" i="27"/>
  <c r="P83" i="27"/>
  <c r="P649" i="27"/>
  <c r="Q394" i="27"/>
  <c r="P118" i="27"/>
  <c r="P598" i="27"/>
  <c r="P124" i="27"/>
  <c r="P47" i="27"/>
  <c r="Q287" i="27"/>
  <c r="P387" i="27"/>
  <c r="P627" i="27"/>
  <c r="P314" i="27"/>
  <c r="Q187" i="27"/>
  <c r="P137" i="27"/>
  <c r="Q38" i="27"/>
  <c r="P75" i="27"/>
  <c r="Q398" i="27"/>
  <c r="Q99" i="27"/>
  <c r="P293" i="27"/>
  <c r="P92" i="27"/>
  <c r="P580" i="27"/>
  <c r="Q539" i="27"/>
  <c r="P599" i="27"/>
  <c r="P450" i="27"/>
  <c r="Q555" i="27"/>
  <c r="Q387" i="27"/>
  <c r="P527" i="27"/>
  <c r="P164" i="27"/>
  <c r="P421" i="27"/>
  <c r="Q549" i="27"/>
  <c r="Q509" i="27"/>
  <c r="Q608" i="27"/>
  <c r="P574" i="27"/>
  <c r="P676" i="27"/>
  <c r="P636" i="27"/>
  <c r="Q476" i="27"/>
  <c r="Q438" i="27"/>
  <c r="P360" i="27"/>
  <c r="Q50" i="27"/>
  <c r="Q651" i="27"/>
  <c r="Q547" i="27"/>
  <c r="P476" i="27"/>
  <c r="P84" i="27"/>
  <c r="P652" i="27"/>
  <c r="Q33" i="27"/>
  <c r="P34" i="27"/>
  <c r="Q599" i="27"/>
  <c r="P665" i="27"/>
  <c r="E13" i="2"/>
  <c r="P66" i="27"/>
  <c r="Q368" i="27"/>
  <c r="P135" i="27"/>
  <c r="Q120" i="27"/>
  <c r="P171" i="27"/>
  <c r="Q142" i="27"/>
  <c r="Q404" i="27"/>
  <c r="P369" i="27"/>
  <c r="Q562" i="27"/>
  <c r="Q485" i="27"/>
  <c r="P99" i="27"/>
  <c r="P588" i="27"/>
  <c r="Q609" i="27"/>
  <c r="P426" i="27"/>
  <c r="Q364" i="27"/>
  <c r="P321" i="27"/>
  <c r="P106" i="27"/>
  <c r="Q22" i="27"/>
  <c r="P329" i="27"/>
  <c r="P470" i="27"/>
  <c r="P416" i="27"/>
  <c r="Q98" i="27"/>
  <c r="Q95" i="27"/>
  <c r="P32" i="27"/>
  <c r="Q454" i="27"/>
  <c r="Q53" i="27"/>
  <c r="P514" i="27"/>
  <c r="P666" i="27"/>
  <c r="P642" i="27"/>
  <c r="Q444" i="27"/>
  <c r="P461" i="27"/>
  <c r="P571" i="27"/>
  <c r="P52" i="27"/>
  <c r="Q416" i="27"/>
  <c r="P422" i="27"/>
  <c r="Q675" i="27"/>
  <c r="P176" i="27"/>
  <c r="P542" i="27"/>
  <c r="Q638" i="27"/>
  <c r="P501" i="27"/>
  <c r="Q418" i="27"/>
  <c r="P42" i="27"/>
  <c r="P685" i="27"/>
  <c r="Q623" i="27"/>
  <c r="Q489" i="27"/>
  <c r="P496" i="27"/>
  <c r="P554" i="27"/>
  <c r="Q618" i="27"/>
  <c r="P616" i="27"/>
  <c r="Q491" i="27"/>
  <c r="Q436" i="27"/>
  <c r="P529" i="27"/>
  <c r="Q91" i="27"/>
  <c r="Q676" i="27"/>
  <c r="Q352" i="27"/>
  <c r="Q515" i="27"/>
  <c r="Q559" i="27"/>
  <c r="P506" i="27"/>
  <c r="P111" i="27"/>
  <c r="P381" i="27"/>
  <c r="P515" i="27"/>
  <c r="Q301" i="27"/>
  <c r="P356" i="27"/>
  <c r="Q568" i="27"/>
  <c r="Q89" i="27"/>
  <c r="P313" i="27"/>
  <c r="P372" i="27"/>
  <c r="Q297" i="27"/>
  <c r="Q553" i="27"/>
  <c r="Q294" i="27"/>
  <c r="P392" i="27"/>
  <c r="P73" i="27"/>
  <c r="Q75" i="27"/>
  <c r="Q423" i="27"/>
  <c r="Q589" i="27"/>
  <c r="P311" i="27"/>
  <c r="P100" i="27"/>
  <c r="P24" i="27"/>
  <c r="Q82" i="27"/>
  <c r="Q358" i="27"/>
  <c r="Q104" i="27"/>
  <c r="P373" i="27"/>
  <c r="Q73" i="27"/>
  <c r="P411" i="27"/>
  <c r="P338" i="27"/>
  <c r="Q151" i="27"/>
  <c r="Q342" i="27"/>
  <c r="Q174" i="27"/>
  <c r="P675" i="27"/>
  <c r="P502" i="27"/>
  <c r="P489" i="27"/>
  <c r="Q620" i="27"/>
  <c r="P546" i="27"/>
  <c r="Q498" i="27"/>
  <c r="P609" i="27"/>
  <c r="Q550" i="27"/>
  <c r="P160" i="27"/>
  <c r="Q445" i="27"/>
  <c r="P549" i="27"/>
  <c r="P303" i="27"/>
  <c r="Q131" i="27"/>
  <c r="P440" i="27"/>
  <c r="Q81" i="27"/>
  <c r="P88" i="27"/>
  <c r="P292" i="27"/>
  <c r="P413" i="27"/>
  <c r="Q32" i="27"/>
  <c r="Q663" i="27"/>
  <c r="Q328" i="27"/>
  <c r="P650" i="27"/>
  <c r="Q149" i="27"/>
  <c r="Q414" i="27"/>
  <c r="P399" i="27"/>
  <c r="P377" i="27"/>
  <c r="P483" i="27"/>
  <c r="Q128" i="27"/>
  <c r="Q172" i="27"/>
  <c r="Q39" i="27"/>
  <c r="Q365" i="27"/>
  <c r="P169" i="27"/>
  <c r="Q501" i="27"/>
  <c r="Q366" i="27"/>
  <c r="P97" i="27"/>
  <c r="Q87" i="27"/>
  <c r="P172" i="27"/>
  <c r="Q60" i="27"/>
  <c r="Q616" i="27"/>
  <c r="Q427" i="27"/>
  <c r="P587" i="27"/>
  <c r="Q285" i="27"/>
  <c r="P56" i="27"/>
  <c r="P25" i="27"/>
  <c r="Q115" i="27"/>
  <c r="P30" i="27"/>
  <c r="P664" i="27"/>
  <c r="Q533" i="27"/>
  <c r="P188" i="27"/>
  <c r="P653" i="27"/>
  <c r="Q171" i="27"/>
  <c r="P45" i="27"/>
  <c r="Q546" i="27"/>
  <c r="P76" i="27"/>
  <c r="P368" i="27"/>
  <c r="Q422" i="27"/>
  <c r="Q157" i="27"/>
  <c r="Q313" i="27"/>
  <c r="P380" i="27"/>
  <c r="Q411" i="27"/>
  <c r="Q582" i="27"/>
  <c r="Q113" i="27"/>
  <c r="P397" i="27"/>
  <c r="P597" i="27"/>
  <c r="P591" i="27"/>
  <c r="P656" i="27"/>
  <c r="P458" i="27"/>
  <c r="P463" i="27"/>
  <c r="P586" i="27"/>
  <c r="P535" i="27"/>
  <c r="Q453" i="27"/>
  <c r="P144" i="27"/>
  <c r="P604" i="27"/>
  <c r="Q300" i="27"/>
  <c r="P530" i="27"/>
  <c r="Q641" i="27"/>
  <c r="Q584" i="27"/>
  <c r="P23" i="27"/>
  <c r="P601" i="27"/>
  <c r="P499" i="27"/>
  <c r="P607" i="27"/>
  <c r="Q614" i="27"/>
  <c r="Q110" i="27"/>
  <c r="P186" i="27"/>
  <c r="Q500" i="27"/>
  <c r="P140" i="27"/>
  <c r="P94" i="27"/>
  <c r="Q393" i="27"/>
  <c r="P300" i="27"/>
  <c r="P643" i="27"/>
  <c r="Q26" i="27"/>
  <c r="P162" i="27"/>
  <c r="P406" i="27"/>
  <c r="Q78" i="27"/>
  <c r="Q604" i="27"/>
  <c r="P378" i="27"/>
  <c r="P151" i="27"/>
  <c r="Q330" i="27"/>
  <c r="Q525" i="27"/>
  <c r="P333" i="27"/>
  <c r="P495" i="27"/>
  <c r="P79" i="27"/>
  <c r="P53" i="27"/>
  <c r="P64" i="27"/>
  <c r="Q494" i="27"/>
  <c r="Q293" i="27"/>
  <c r="P156" i="27"/>
  <c r="Q103" i="27"/>
  <c r="Q27" i="27"/>
  <c r="P36" i="27"/>
  <c r="P420" i="27"/>
  <c r="Q129" i="27"/>
  <c r="P371" i="27"/>
  <c r="Q602" i="27"/>
  <c r="P582" i="27"/>
  <c r="Q322" i="27"/>
  <c r="Q658" i="27"/>
  <c r="P101" i="27"/>
  <c r="Q557" i="27"/>
  <c r="P384" i="27"/>
  <c r="P183" i="27"/>
  <c r="P28" i="27"/>
  <c r="Q341" i="27"/>
  <c r="Q624" i="27"/>
  <c r="Q159" i="27"/>
  <c r="Q126" i="27"/>
  <c r="Q522" i="27"/>
  <c r="Q138" i="27"/>
  <c r="Q407" i="27"/>
  <c r="Q470" i="27"/>
  <c r="P687" i="27"/>
  <c r="Q531" i="27"/>
  <c r="Q492" i="27"/>
  <c r="Q598" i="27"/>
  <c r="P563" i="27"/>
  <c r="Q657" i="27"/>
  <c r="P625" i="27"/>
  <c r="P560" i="27"/>
  <c r="P33" i="27"/>
  <c r="P498" i="27"/>
  <c r="Q415" i="27"/>
  <c r="Q464" i="27"/>
  <c r="Q351" i="27"/>
  <c r="P150" i="27"/>
  <c r="Q295" i="27"/>
  <c r="Q324" i="27"/>
  <c r="Q684" i="27"/>
  <c r="P442" i="27"/>
  <c r="Q168" i="27"/>
  <c r="P182" i="27"/>
  <c r="P670" i="27"/>
  <c r="P343" i="27"/>
  <c r="Q68" i="27"/>
  <c r="P143" i="27"/>
  <c r="Q85" i="27"/>
  <c r="Q617" i="27"/>
  <c r="Q517" i="27"/>
  <c r="Q333" i="27"/>
  <c r="Q141" i="27"/>
  <c r="P128" i="27"/>
  <c r="P532" i="27"/>
  <c r="Q434" i="27"/>
  <c r="P132" i="27"/>
  <c r="Q166" i="27"/>
  <c r="Q123" i="27"/>
  <c r="P89" i="27"/>
  <c r="Q284" i="27"/>
  <c r="P159" i="27"/>
  <c r="Q384" i="27"/>
  <c r="P138" i="27"/>
  <c r="P320" i="27"/>
  <c r="P451" i="27"/>
  <c r="P516" i="27"/>
  <c r="Q480" i="27"/>
  <c r="Q117" i="27"/>
  <c r="Q399" i="27"/>
  <c r="Q303" i="27"/>
  <c r="Q183" i="27"/>
  <c r="P22" i="27"/>
  <c r="Q597" i="27"/>
  <c r="P139" i="27"/>
  <c r="P357" i="27"/>
  <c r="Q361" i="27"/>
  <c r="P557" i="27"/>
  <c r="Q286" i="27"/>
  <c r="P423" i="27"/>
  <c r="P391" i="27"/>
  <c r="Q137" i="27"/>
  <c r="N514" i="28" l="1"/>
  <c r="N111" i="28"/>
  <c r="N295" i="28"/>
  <c r="N141" i="28"/>
  <c r="AI195" i="28"/>
  <c r="BC195" i="28"/>
  <c r="BB195" i="28"/>
  <c r="BA195" i="28"/>
  <c r="AZ195" i="28"/>
  <c r="BD195" i="28"/>
  <c r="AI348" i="28"/>
  <c r="AZ348" i="28"/>
  <c r="BD348" i="28"/>
  <c r="BC348" i="28"/>
  <c r="BB348" i="28"/>
  <c r="BA348" i="28"/>
  <c r="AI240" i="28"/>
  <c r="BD240" i="28"/>
  <c r="BC240" i="28"/>
  <c r="BB240" i="28"/>
  <c r="BA240" i="28"/>
  <c r="AZ240" i="28"/>
  <c r="AI285" i="28"/>
  <c r="BD285" i="28"/>
  <c r="BC285" i="28"/>
  <c r="BB285" i="28"/>
  <c r="BA285" i="28"/>
  <c r="AZ285" i="28"/>
  <c r="AI231" i="28"/>
  <c r="BD231" i="28"/>
  <c r="BC231" i="28"/>
  <c r="BB231" i="28"/>
  <c r="BA231" i="28"/>
  <c r="AZ231" i="28"/>
  <c r="AI258" i="28"/>
  <c r="BD258" i="28"/>
  <c r="BC258" i="28"/>
  <c r="BB258" i="28"/>
  <c r="BA258" i="28"/>
  <c r="AZ258" i="28"/>
  <c r="AI177" i="28"/>
  <c r="BA177" i="28"/>
  <c r="AZ177" i="28"/>
  <c r="BD177" i="28"/>
  <c r="BC177" i="28"/>
  <c r="BB177" i="28"/>
  <c r="AI294" i="28"/>
  <c r="BB294" i="28"/>
  <c r="BA294" i="28"/>
  <c r="AZ294" i="28"/>
  <c r="BD294" i="28"/>
  <c r="BC294" i="28"/>
  <c r="AI330" i="28"/>
  <c r="BD330" i="28"/>
  <c r="BC330" i="28"/>
  <c r="BB330" i="28"/>
  <c r="BA330" i="28"/>
  <c r="AZ330" i="28"/>
  <c r="AI168" i="28"/>
  <c r="BD168" i="28"/>
  <c r="BC168" i="28"/>
  <c r="BB168" i="28"/>
  <c r="BA168" i="28"/>
  <c r="AZ168" i="28"/>
  <c r="AI276" i="28"/>
  <c r="AZ276" i="28"/>
  <c r="BD276" i="28"/>
  <c r="BC276" i="28"/>
  <c r="BB276" i="28"/>
  <c r="BA276" i="28"/>
  <c r="AI321" i="28"/>
  <c r="BA321" i="28"/>
  <c r="AZ321" i="28"/>
  <c r="BD321" i="28"/>
  <c r="BC321" i="28"/>
  <c r="BB321" i="28"/>
  <c r="AI267" i="28"/>
  <c r="BC267" i="28"/>
  <c r="BB267" i="28"/>
  <c r="BA267" i="28"/>
  <c r="AZ267" i="28"/>
  <c r="BD267" i="28"/>
  <c r="AI222" i="28"/>
  <c r="BB222" i="28"/>
  <c r="BA222" i="28"/>
  <c r="AZ222" i="28"/>
  <c r="BD222" i="28"/>
  <c r="BC222" i="28"/>
  <c r="AI186" i="28"/>
  <c r="BD186" i="28"/>
  <c r="BC186" i="28"/>
  <c r="BB186" i="28"/>
  <c r="BA186" i="28"/>
  <c r="AZ186" i="28"/>
  <c r="AI303" i="28"/>
  <c r="BD303" i="28"/>
  <c r="BC303" i="28"/>
  <c r="BB303" i="28"/>
  <c r="BA303" i="28"/>
  <c r="AZ303" i="28"/>
  <c r="AI312" i="28"/>
  <c r="BD312" i="28"/>
  <c r="BC312" i="28"/>
  <c r="BB312" i="28"/>
  <c r="BA312" i="28"/>
  <c r="AZ312" i="28"/>
  <c r="AI204" i="28"/>
  <c r="AZ204" i="28"/>
  <c r="BD204" i="28"/>
  <c r="BC204" i="28"/>
  <c r="BB204" i="28"/>
  <c r="BA204" i="28"/>
  <c r="AI249" i="28"/>
  <c r="BA249" i="28"/>
  <c r="AZ249" i="28"/>
  <c r="BD249" i="28"/>
  <c r="BC249" i="28"/>
  <c r="BB249" i="28"/>
  <c r="AI159" i="28"/>
  <c r="BD159" i="28"/>
  <c r="BB159" i="28"/>
  <c r="BA159" i="28"/>
  <c r="AZ159" i="28"/>
  <c r="BC159" i="28"/>
  <c r="AI339" i="28"/>
  <c r="BC339" i="28"/>
  <c r="BB339" i="28"/>
  <c r="BA339" i="28"/>
  <c r="AZ339" i="28"/>
  <c r="BD339" i="28"/>
  <c r="AI213" i="28"/>
  <c r="BD213" i="28"/>
  <c r="BC213" i="28"/>
  <c r="BB213" i="28"/>
  <c r="BA213" i="28"/>
  <c r="AZ213" i="28"/>
  <c r="N405" i="28"/>
  <c r="AM32" i="28"/>
  <c r="BO32" i="28" s="1"/>
  <c r="P708" i="28"/>
  <c r="N708" i="28"/>
  <c r="P624" i="28"/>
  <c r="N624" i="28"/>
  <c r="P540" i="28"/>
  <c r="N540" i="28"/>
  <c r="P307" i="28"/>
  <c r="N307" i="28"/>
  <c r="P251" i="28"/>
  <c r="N251" i="28"/>
  <c r="P195" i="28"/>
  <c r="N195" i="28"/>
  <c r="P139" i="28"/>
  <c r="N139" i="28"/>
  <c r="P569" i="28"/>
  <c r="N569" i="28"/>
  <c r="P884" i="28"/>
  <c r="N884" i="28"/>
  <c r="P772" i="28"/>
  <c r="N772" i="28"/>
  <c r="P716" i="28"/>
  <c r="N716" i="28"/>
  <c r="P548" i="28"/>
  <c r="N548" i="28"/>
  <c r="P315" i="28"/>
  <c r="N315" i="28"/>
  <c r="P259" i="28"/>
  <c r="N259" i="28"/>
  <c r="P203" i="28"/>
  <c r="N203" i="28"/>
  <c r="P588" i="28"/>
  <c r="N588" i="28"/>
  <c r="O345" i="28"/>
  <c r="N345" i="28"/>
  <c r="P267" i="28"/>
  <c r="N267" i="28"/>
  <c r="P387" i="28"/>
  <c r="N387" i="28"/>
  <c r="P331" i="28"/>
  <c r="N331" i="28"/>
  <c r="P275" i="28"/>
  <c r="N275" i="28"/>
  <c r="P107" i="28"/>
  <c r="N107" i="28"/>
  <c r="P457" i="28"/>
  <c r="N457" i="28"/>
  <c r="N668" i="28"/>
  <c r="O545" i="28"/>
  <c r="N545" i="28"/>
  <c r="P433" i="28"/>
  <c r="N433" i="28"/>
  <c r="O153" i="28"/>
  <c r="N153" i="28"/>
  <c r="P441" i="28"/>
  <c r="N441" i="28"/>
  <c r="O217" i="28"/>
  <c r="N217" i="28"/>
  <c r="P49" i="28"/>
  <c r="N49" i="28"/>
  <c r="P30" i="28"/>
  <c r="N30" i="28"/>
  <c r="P379" i="28"/>
  <c r="N379" i="28"/>
  <c r="P323" i="28"/>
  <c r="N323" i="28"/>
  <c r="P645" i="28"/>
  <c r="N645" i="28"/>
  <c r="P580" i="28"/>
  <c r="N580" i="28"/>
  <c r="P449" i="28"/>
  <c r="N449" i="28"/>
  <c r="AT31" i="28"/>
  <c r="AR31" i="28"/>
  <c r="AQ32" i="28"/>
  <c r="AR32" i="28"/>
  <c r="AN33" i="28"/>
  <c r="Q782" i="28"/>
  <c r="Q726" i="28"/>
  <c r="Q502" i="28"/>
  <c r="R670" i="28"/>
  <c r="Q670" i="28"/>
  <c r="P812" i="28"/>
  <c r="O756" i="28"/>
  <c r="Q446" i="28"/>
  <c r="Q390" i="28"/>
  <c r="Q334" i="28"/>
  <c r="Q222" i="28"/>
  <c r="R390" i="28"/>
  <c r="R222" i="28"/>
  <c r="R845" i="28"/>
  <c r="R565" i="28"/>
  <c r="Q677" i="28"/>
  <c r="Q453" i="28"/>
  <c r="R621" i="28"/>
  <c r="R397" i="28"/>
  <c r="R285" i="28"/>
  <c r="R229" i="28"/>
  <c r="Q635" i="28"/>
  <c r="R880" i="28"/>
  <c r="R544" i="28"/>
  <c r="R516" i="28"/>
  <c r="R488" i="28"/>
  <c r="R460" i="28"/>
  <c r="Q852" i="28"/>
  <c r="R446" i="28"/>
  <c r="Q880" i="28"/>
  <c r="R775" i="28"/>
  <c r="P764" i="28"/>
  <c r="R761" i="28"/>
  <c r="R614" i="28"/>
  <c r="R110" i="28"/>
  <c r="AT32" i="28"/>
  <c r="AU32" i="28"/>
  <c r="P163" i="28"/>
  <c r="P99" i="28"/>
  <c r="R61" i="28"/>
  <c r="AM31" i="28"/>
  <c r="AM33" i="28"/>
  <c r="P804" i="28"/>
  <c r="P665" i="28"/>
  <c r="Q61" i="28"/>
  <c r="R901" i="28"/>
  <c r="R789" i="28"/>
  <c r="R537" i="28"/>
  <c r="Q838" i="28"/>
  <c r="Q411" i="28"/>
  <c r="R733" i="28"/>
  <c r="R677" i="28"/>
  <c r="R586" i="28"/>
  <c r="R558" i="28"/>
  <c r="R502" i="28"/>
  <c r="R383" i="28"/>
  <c r="R327" i="28"/>
  <c r="AT33" i="28"/>
  <c r="R313" i="28"/>
  <c r="O433" i="28"/>
  <c r="R824" i="28"/>
  <c r="R768" i="28"/>
  <c r="R740" i="28"/>
  <c r="R712" i="28"/>
  <c r="R684" i="28"/>
  <c r="R509" i="28"/>
  <c r="R453" i="28"/>
  <c r="R362" i="28"/>
  <c r="R334" i="28"/>
  <c r="R278" i="28"/>
  <c r="R138" i="28"/>
  <c r="R47" i="28"/>
  <c r="R341" i="28"/>
  <c r="Q908" i="28"/>
  <c r="Q768" i="28"/>
  <c r="Q712" i="28"/>
  <c r="Q621" i="28"/>
  <c r="Q397" i="28"/>
  <c r="Q110" i="28"/>
  <c r="R894" i="28"/>
  <c r="R173" i="28"/>
  <c r="Q341" i="28"/>
  <c r="Q285" i="28"/>
  <c r="Q229" i="28"/>
  <c r="R838" i="28"/>
  <c r="R810" i="28"/>
  <c r="R782" i="28"/>
  <c r="R726" i="28"/>
  <c r="R607" i="28"/>
  <c r="R551" i="28"/>
  <c r="R320" i="28"/>
  <c r="R292" i="28"/>
  <c r="R264" i="28"/>
  <c r="R236" i="28"/>
  <c r="P83" i="28"/>
  <c r="Q579" i="28"/>
  <c r="P552" i="28"/>
  <c r="P363" i="28"/>
  <c r="P211" i="28"/>
  <c r="Q173" i="28"/>
  <c r="P155" i="28"/>
  <c r="Q117" i="28"/>
  <c r="P91" i="28"/>
  <c r="R887" i="28"/>
  <c r="R719" i="28"/>
  <c r="R656" i="28"/>
  <c r="R628" i="28"/>
  <c r="R495" i="28"/>
  <c r="R432" i="28"/>
  <c r="R404" i="28"/>
  <c r="R271" i="28"/>
  <c r="R208" i="28"/>
  <c r="R180" i="28"/>
  <c r="P596" i="28"/>
  <c r="P371" i="28"/>
  <c r="O281" i="28"/>
  <c r="P219" i="28"/>
  <c r="R859" i="28"/>
  <c r="R705" i="28"/>
  <c r="R481" i="28"/>
  <c r="R257" i="28"/>
  <c r="O645" i="28"/>
  <c r="P756" i="28"/>
  <c r="P604" i="28"/>
  <c r="Q593" i="28"/>
  <c r="R873" i="28"/>
  <c r="R796" i="28"/>
  <c r="R698" i="28"/>
  <c r="R663" i="28"/>
  <c r="R600" i="28"/>
  <c r="R572" i="28"/>
  <c r="R474" i="28"/>
  <c r="R439" i="28"/>
  <c r="R376" i="28"/>
  <c r="R348" i="28"/>
  <c r="R250" i="28"/>
  <c r="R215" i="28"/>
  <c r="R40" i="28"/>
  <c r="O449" i="28"/>
  <c r="O371" i="28"/>
  <c r="R117" i="28"/>
  <c r="P820" i="28"/>
  <c r="P748" i="28"/>
  <c r="Q600" i="28"/>
  <c r="R831" i="28"/>
  <c r="R649" i="28"/>
  <c r="R425" i="28"/>
  <c r="O884" i="28"/>
  <c r="P489" i="28"/>
  <c r="P147" i="28"/>
  <c r="Q278" i="28"/>
  <c r="Q166" i="28"/>
  <c r="Q40" i="28"/>
  <c r="R908" i="28"/>
  <c r="P345" i="28"/>
  <c r="Q54" i="28"/>
  <c r="R852" i="28"/>
  <c r="R915" i="28"/>
  <c r="R817" i="28"/>
  <c r="R593" i="28"/>
  <c r="R369" i="28"/>
  <c r="R166" i="28"/>
  <c r="R54" i="28"/>
  <c r="R33" i="28"/>
  <c r="O307" i="28"/>
  <c r="AQ33" i="28"/>
  <c r="R152" i="28"/>
  <c r="R124" i="28"/>
  <c r="O30" i="28"/>
  <c r="AU31" i="28"/>
  <c r="R201" i="28"/>
  <c r="O49" i="28"/>
  <c r="R159" i="28"/>
  <c r="R96" i="28"/>
  <c r="R68" i="28"/>
  <c r="R145" i="28"/>
  <c r="R103" i="28"/>
  <c r="AU33" i="28"/>
  <c r="AO33" i="28"/>
  <c r="R89" i="28"/>
  <c r="R82" i="28"/>
  <c r="AO31" i="28"/>
  <c r="AN31" i="28"/>
  <c r="AO32" i="28"/>
  <c r="AQ31" i="28"/>
  <c r="P862" i="28"/>
  <c r="O862" i="28"/>
  <c r="P800" i="28"/>
  <c r="O800" i="28"/>
  <c r="P702" i="28"/>
  <c r="O702" i="28"/>
  <c r="P693" i="28"/>
  <c r="O693" i="28"/>
  <c r="Q691" i="28"/>
  <c r="P568" i="28"/>
  <c r="O568" i="28"/>
  <c r="P790" i="28"/>
  <c r="O790" i="28"/>
  <c r="Q789" i="28"/>
  <c r="P888" i="28"/>
  <c r="O888" i="28"/>
  <c r="Q887" i="28"/>
  <c r="P870" i="28"/>
  <c r="O870" i="28"/>
  <c r="P896" i="28"/>
  <c r="O896" i="28"/>
  <c r="Q894" i="28"/>
  <c r="P916" i="28"/>
  <c r="O916" i="28"/>
  <c r="Q915" i="28"/>
  <c r="P854" i="28"/>
  <c r="O854" i="28"/>
  <c r="P846" i="28"/>
  <c r="O846" i="28"/>
  <c r="Q845" i="28"/>
  <c r="P828" i="28"/>
  <c r="O828" i="28"/>
  <c r="P792" i="28"/>
  <c r="O792" i="28"/>
  <c r="P685" i="28"/>
  <c r="O685" i="28"/>
  <c r="Q684" i="28"/>
  <c r="P560" i="28"/>
  <c r="O560" i="28"/>
  <c r="Q558" i="28"/>
  <c r="P912" i="28"/>
  <c r="O912" i="28"/>
  <c r="P904" i="28"/>
  <c r="O904" i="28"/>
  <c r="P860" i="28"/>
  <c r="Q859" i="28"/>
  <c r="O860" i="28"/>
  <c r="P798" i="28"/>
  <c r="O798" i="28"/>
  <c r="Q796" i="28"/>
  <c r="P744" i="28"/>
  <c r="O744" i="28"/>
  <c r="P611" i="28"/>
  <c r="O611" i="28"/>
  <c r="P429" i="28"/>
  <c r="O429" i="28"/>
  <c r="P349" i="28"/>
  <c r="O349" i="28"/>
  <c r="Q348" i="28"/>
  <c r="P197" i="28"/>
  <c r="O197" i="28"/>
  <c r="P125" i="28"/>
  <c r="O125" i="28"/>
  <c r="Q124" i="28"/>
  <c r="P37" i="28"/>
  <c r="O37" i="28"/>
  <c r="Q33" i="28"/>
  <c r="P911" i="28"/>
  <c r="O911" i="28"/>
  <c r="P868" i="28"/>
  <c r="O868" i="28"/>
  <c r="Q824" i="28"/>
  <c r="P806" i="28"/>
  <c r="O806" i="28"/>
  <c r="P734" i="28"/>
  <c r="O734" i="28"/>
  <c r="Q733" i="28"/>
  <c r="P491" i="28"/>
  <c r="O491" i="28"/>
  <c r="O820" i="28"/>
  <c r="P919" i="28"/>
  <c r="O919" i="28"/>
  <c r="P910" i="28"/>
  <c r="O910" i="28"/>
  <c r="P902" i="28"/>
  <c r="O902" i="28"/>
  <c r="Q901" i="28"/>
  <c r="P876" i="28"/>
  <c r="O876" i="28"/>
  <c r="P840" i="28"/>
  <c r="O840" i="28"/>
  <c r="P832" i="28"/>
  <c r="O832" i="28"/>
  <c r="Q831" i="28"/>
  <c r="P814" i="28"/>
  <c r="O814" i="28"/>
  <c r="P742" i="28"/>
  <c r="O742" i="28"/>
  <c r="Q740" i="28"/>
  <c r="P644" i="28"/>
  <c r="O644" i="28"/>
  <c r="P517" i="28"/>
  <c r="O517" i="28"/>
  <c r="Q516" i="28"/>
  <c r="N516" i="28" s="1"/>
  <c r="P918" i="28"/>
  <c r="O918" i="28"/>
  <c r="P856" i="28"/>
  <c r="O856" i="28"/>
  <c r="P848" i="28"/>
  <c r="O848" i="28"/>
  <c r="P750" i="28"/>
  <c r="O750" i="28"/>
  <c r="P652" i="28"/>
  <c r="O652" i="28"/>
  <c r="Q649" i="28"/>
  <c r="P534" i="28"/>
  <c r="O534" i="28"/>
  <c r="P525" i="28"/>
  <c r="O525" i="28"/>
  <c r="Q523" i="28"/>
  <c r="P784" i="28"/>
  <c r="O784" i="28"/>
  <c r="O776" i="28"/>
  <c r="P776" i="28"/>
  <c r="Q775" i="28"/>
  <c r="P758" i="28"/>
  <c r="O758" i="28"/>
  <c r="P660" i="28"/>
  <c r="O660" i="28"/>
  <c r="P917" i="28"/>
  <c r="O917" i="28"/>
  <c r="P909" i="28"/>
  <c r="O909" i="28"/>
  <c r="P877" i="28"/>
  <c r="O877" i="28"/>
  <c r="P869" i="28"/>
  <c r="O869" i="28"/>
  <c r="P861" i="28"/>
  <c r="O861" i="28"/>
  <c r="P853" i="28"/>
  <c r="O853" i="28"/>
  <c r="P821" i="28"/>
  <c r="O821" i="28"/>
  <c r="P813" i="28"/>
  <c r="O813" i="28"/>
  <c r="P805" i="28"/>
  <c r="O805" i="28"/>
  <c r="P797" i="28"/>
  <c r="O797" i="28"/>
  <c r="P765" i="28"/>
  <c r="O765" i="28"/>
  <c r="P757" i="28"/>
  <c r="O757" i="28"/>
  <c r="P749" i="28"/>
  <c r="O749" i="28"/>
  <c r="P741" i="28"/>
  <c r="O741" i="28"/>
  <c r="P709" i="28"/>
  <c r="O709" i="28"/>
  <c r="P701" i="28"/>
  <c r="O701" i="28"/>
  <c r="P692" i="28"/>
  <c r="O692" i="28"/>
  <c r="P659" i="28"/>
  <c r="O659" i="28"/>
  <c r="P651" i="28"/>
  <c r="O651" i="28"/>
  <c r="P643" i="28"/>
  <c r="Q642" i="28"/>
  <c r="O643" i="28"/>
  <c r="P601" i="28"/>
  <c r="O601" i="28"/>
  <c r="P576" i="28"/>
  <c r="O576" i="28"/>
  <c r="P541" i="28"/>
  <c r="O541" i="28"/>
  <c r="P533" i="28"/>
  <c r="O533" i="28"/>
  <c r="P499" i="28"/>
  <c r="O499" i="28"/>
  <c r="P419" i="28"/>
  <c r="O419" i="28"/>
  <c r="Q418" i="28"/>
  <c r="P357" i="28"/>
  <c r="O357" i="28"/>
  <c r="Q355" i="28"/>
  <c r="P205" i="28"/>
  <c r="O205" i="28"/>
  <c r="P133" i="28"/>
  <c r="O133" i="28"/>
  <c r="Q131" i="28"/>
  <c r="R754" i="28"/>
  <c r="R691" i="28"/>
  <c r="R530" i="28"/>
  <c r="R467" i="28"/>
  <c r="R306" i="28"/>
  <c r="R243" i="28"/>
  <c r="O665" i="28"/>
  <c r="P700" i="28"/>
  <c r="O700" i="28"/>
  <c r="P667" i="28"/>
  <c r="O667" i="28"/>
  <c r="P625" i="28"/>
  <c r="O625" i="28"/>
  <c r="P617" i="28"/>
  <c r="O617" i="28"/>
  <c r="P609" i="28"/>
  <c r="O609" i="28"/>
  <c r="P566" i="28"/>
  <c r="O566" i="28"/>
  <c r="P427" i="28"/>
  <c r="Q425" i="28"/>
  <c r="O427" i="28"/>
  <c r="P365" i="28"/>
  <c r="O365" i="28"/>
  <c r="P293" i="28"/>
  <c r="O293" i="28"/>
  <c r="Q292" i="28"/>
  <c r="P141" i="28"/>
  <c r="O141" i="28"/>
  <c r="P69" i="28"/>
  <c r="O69" i="28"/>
  <c r="Q68" i="28"/>
  <c r="R26" i="28"/>
  <c r="O772" i="28"/>
  <c r="O708" i="28"/>
  <c r="P891" i="28"/>
  <c r="O891" i="28"/>
  <c r="P883" i="28"/>
  <c r="O883" i="28"/>
  <c r="P875" i="28"/>
  <c r="O875" i="28"/>
  <c r="P867" i="28"/>
  <c r="O867" i="28"/>
  <c r="P835" i="28"/>
  <c r="O835" i="28"/>
  <c r="P827" i="28"/>
  <c r="O827" i="28"/>
  <c r="P819" i="28"/>
  <c r="O819" i="28"/>
  <c r="P811" i="28"/>
  <c r="O811" i="28"/>
  <c r="Q803" i="28"/>
  <c r="P779" i="28"/>
  <c r="O779" i="28"/>
  <c r="P771" i="28"/>
  <c r="O771" i="28"/>
  <c r="P763" i="28"/>
  <c r="O763" i="28"/>
  <c r="P755" i="28"/>
  <c r="O755" i="28"/>
  <c r="Q747" i="28"/>
  <c r="P723" i="28"/>
  <c r="O723" i="28"/>
  <c r="P715" i="28"/>
  <c r="O715" i="28"/>
  <c r="P707" i="28"/>
  <c r="O707" i="28"/>
  <c r="P699" i="28"/>
  <c r="Q698" i="28"/>
  <c r="P657" i="28"/>
  <c r="O657" i="28"/>
  <c r="P632" i="28"/>
  <c r="O632" i="28"/>
  <c r="P616" i="28"/>
  <c r="O616" i="28"/>
  <c r="P608" i="28"/>
  <c r="Q607" i="28"/>
  <c r="N607" i="28" s="1"/>
  <c r="O608" i="28"/>
  <c r="P582" i="28"/>
  <c r="O582" i="28"/>
  <c r="P574" i="28"/>
  <c r="O574" i="28"/>
  <c r="Q565" i="28"/>
  <c r="P539" i="28"/>
  <c r="O539" i="28"/>
  <c r="P531" i="28"/>
  <c r="O531" i="28"/>
  <c r="Q530" i="28"/>
  <c r="P513" i="28"/>
  <c r="O513" i="28"/>
  <c r="P505" i="28"/>
  <c r="O505" i="28"/>
  <c r="P497" i="28"/>
  <c r="O497" i="28"/>
  <c r="P469" i="28"/>
  <c r="O469" i="28"/>
  <c r="P461" i="28"/>
  <c r="O461" i="28"/>
  <c r="Q460" i="28"/>
  <c r="P435" i="28"/>
  <c r="O435" i="28"/>
  <c r="P373" i="28"/>
  <c r="O373" i="28"/>
  <c r="P301" i="28"/>
  <c r="O301" i="28"/>
  <c r="Q299" i="28"/>
  <c r="P149" i="28"/>
  <c r="O149" i="28"/>
  <c r="Q145" i="28"/>
  <c r="P77" i="28"/>
  <c r="O77" i="28"/>
  <c r="Q75" i="28"/>
  <c r="R635" i="28"/>
  <c r="R411" i="28"/>
  <c r="R187" i="28"/>
  <c r="O812" i="28"/>
  <c r="O748" i="28"/>
  <c r="O569" i="28"/>
  <c r="P898" i="28"/>
  <c r="O898" i="28"/>
  <c r="P890" i="28"/>
  <c r="O890" i="28"/>
  <c r="P882" i="28"/>
  <c r="O882" i="28"/>
  <c r="P874" i="28"/>
  <c r="O874" i="28"/>
  <c r="Q866" i="28"/>
  <c r="P842" i="28"/>
  <c r="O842" i="28"/>
  <c r="P834" i="28"/>
  <c r="O834" i="28"/>
  <c r="P826" i="28"/>
  <c r="O826" i="28"/>
  <c r="P818" i="28"/>
  <c r="O818" i="28"/>
  <c r="Q810" i="28"/>
  <c r="P786" i="28"/>
  <c r="O786" i="28"/>
  <c r="P778" i="28"/>
  <c r="O778" i="28"/>
  <c r="P770" i="28"/>
  <c r="O770" i="28"/>
  <c r="P762" i="28"/>
  <c r="O762" i="28"/>
  <c r="Q754" i="28"/>
  <c r="N754" i="28" s="1"/>
  <c r="P730" i="28"/>
  <c r="O730" i="28"/>
  <c r="P722" i="28"/>
  <c r="O722" i="28"/>
  <c r="P714" i="28"/>
  <c r="O714" i="28"/>
  <c r="P706" i="28"/>
  <c r="O706" i="28"/>
  <c r="P681" i="28"/>
  <c r="O681" i="28"/>
  <c r="P673" i="28"/>
  <c r="O673" i="28"/>
  <c r="Q656" i="28"/>
  <c r="N656" i="28" s="1"/>
  <c r="P590" i="28"/>
  <c r="O590" i="28"/>
  <c r="P581" i="28"/>
  <c r="O581" i="28"/>
  <c r="P573" i="28"/>
  <c r="O573" i="28"/>
  <c r="Q572" i="28"/>
  <c r="P547" i="28"/>
  <c r="O547" i="28"/>
  <c r="P477" i="28"/>
  <c r="O477" i="28"/>
  <c r="P443" i="28"/>
  <c r="O443" i="28"/>
  <c r="P309" i="28"/>
  <c r="O309" i="28"/>
  <c r="P237" i="28"/>
  <c r="O237" i="28"/>
  <c r="Q236" i="28"/>
  <c r="P85" i="28"/>
  <c r="O85" i="28"/>
  <c r="R866" i="28"/>
  <c r="P905" i="28"/>
  <c r="O905" i="28"/>
  <c r="P897" i="28"/>
  <c r="O897" i="28"/>
  <c r="P889" i="28"/>
  <c r="O889" i="28"/>
  <c r="P881" i="28"/>
  <c r="O881" i="28"/>
  <c r="Q873" i="28"/>
  <c r="N873" i="28" s="1"/>
  <c r="O849" i="28"/>
  <c r="P849" i="28"/>
  <c r="P841" i="28"/>
  <c r="O841" i="28"/>
  <c r="P833" i="28"/>
  <c r="O833" i="28"/>
  <c r="P825" i="28"/>
  <c r="O825" i="28"/>
  <c r="Q817" i="28"/>
  <c r="P793" i="28"/>
  <c r="O793" i="28"/>
  <c r="P785" i="28"/>
  <c r="O785" i="28"/>
  <c r="P777" i="28"/>
  <c r="O777" i="28"/>
  <c r="P769" i="28"/>
  <c r="O769" i="28"/>
  <c r="Q761" i="28"/>
  <c r="N761" i="28" s="1"/>
  <c r="P737" i="28"/>
  <c r="O737" i="28"/>
  <c r="P729" i="28"/>
  <c r="O729" i="28"/>
  <c r="P721" i="28"/>
  <c r="O721" i="28"/>
  <c r="O713" i="28"/>
  <c r="P713" i="28"/>
  <c r="Q705" i="28"/>
  <c r="N705" i="28" s="1"/>
  <c r="P688" i="28"/>
  <c r="O688" i="28"/>
  <c r="P680" i="28"/>
  <c r="O680" i="28"/>
  <c r="P672" i="28"/>
  <c r="O672" i="28"/>
  <c r="Q663" i="28"/>
  <c r="O664" i="28"/>
  <c r="P664" i="28"/>
  <c r="P638" i="28"/>
  <c r="O638" i="28"/>
  <c r="P630" i="28"/>
  <c r="O630" i="28"/>
  <c r="P622" i="28"/>
  <c r="O622" i="28"/>
  <c r="Q614" i="28"/>
  <c r="P597" i="28"/>
  <c r="O597" i="28"/>
  <c r="P589" i="28"/>
  <c r="O589" i="28"/>
  <c r="P555" i="28"/>
  <c r="O555" i="28"/>
  <c r="Q537" i="28"/>
  <c r="P485" i="28"/>
  <c r="O485" i="28"/>
  <c r="Q467" i="28"/>
  <c r="P317" i="28"/>
  <c r="O317" i="28"/>
  <c r="P245" i="28"/>
  <c r="O245" i="28"/>
  <c r="Q243" i="28"/>
  <c r="P93" i="28"/>
  <c r="O93" i="28"/>
  <c r="Q89" i="28"/>
  <c r="R803" i="28"/>
  <c r="R642" i="28"/>
  <c r="R579" i="28"/>
  <c r="R418" i="28"/>
  <c r="R355" i="28"/>
  <c r="R194" i="28"/>
  <c r="R131" i="28"/>
  <c r="O764" i="28"/>
  <c r="O699" i="28"/>
  <c r="P736" i="28"/>
  <c r="O736" i="28"/>
  <c r="O728" i="28"/>
  <c r="P728" i="28"/>
  <c r="P720" i="28"/>
  <c r="O720" i="28"/>
  <c r="P695" i="28"/>
  <c r="O695" i="28"/>
  <c r="P687" i="28"/>
  <c r="O687" i="28"/>
  <c r="P679" i="28"/>
  <c r="O679" i="28"/>
  <c r="P646" i="28"/>
  <c r="O646" i="28"/>
  <c r="P637" i="28"/>
  <c r="O637" i="28"/>
  <c r="P629" i="28"/>
  <c r="O629" i="28"/>
  <c r="P545" i="28"/>
  <c r="Q544" i="28"/>
  <c r="P510" i="28"/>
  <c r="O510" i="28"/>
  <c r="P475" i="28"/>
  <c r="Q474" i="28"/>
  <c r="O475" i="28"/>
  <c r="P413" i="28"/>
  <c r="O413" i="28"/>
  <c r="P405" i="28"/>
  <c r="O405" i="28"/>
  <c r="Q404" i="28"/>
  <c r="P253" i="28"/>
  <c r="O253" i="28"/>
  <c r="P181" i="28"/>
  <c r="O181" i="28"/>
  <c r="Q180" i="28"/>
  <c r="N180" i="28" s="1"/>
  <c r="O804" i="28"/>
  <c r="P903" i="28"/>
  <c r="O903" i="28"/>
  <c r="P895" i="28"/>
  <c r="O895" i="28"/>
  <c r="P863" i="28"/>
  <c r="O863" i="28"/>
  <c r="P855" i="28"/>
  <c r="O855" i="28"/>
  <c r="P847" i="28"/>
  <c r="O847" i="28"/>
  <c r="P839" i="28"/>
  <c r="O839" i="28"/>
  <c r="P807" i="28"/>
  <c r="O807" i="28"/>
  <c r="P799" i="28"/>
  <c r="O799" i="28"/>
  <c r="P791" i="28"/>
  <c r="O791" i="28"/>
  <c r="P783" i="28"/>
  <c r="O783" i="28"/>
  <c r="P751" i="28"/>
  <c r="O751" i="28"/>
  <c r="P743" i="28"/>
  <c r="O743" i="28"/>
  <c r="P735" i="28"/>
  <c r="O735" i="28"/>
  <c r="P727" i="28"/>
  <c r="O727" i="28"/>
  <c r="Q719" i="28"/>
  <c r="P694" i="28"/>
  <c r="O694" i="28"/>
  <c r="P686" i="28"/>
  <c r="O686" i="28"/>
  <c r="P678" i="28"/>
  <c r="O678" i="28"/>
  <c r="P653" i="28"/>
  <c r="O653" i="28"/>
  <c r="P636" i="28"/>
  <c r="O636" i="28"/>
  <c r="Q628" i="28"/>
  <c r="P603" i="28"/>
  <c r="O603" i="28"/>
  <c r="P595" i="28"/>
  <c r="O595" i="28"/>
  <c r="P587" i="28"/>
  <c r="O587" i="28"/>
  <c r="Q586" i="28"/>
  <c r="N586" i="28" s="1"/>
  <c r="P561" i="28"/>
  <c r="O561" i="28"/>
  <c r="P553" i="28"/>
  <c r="O553" i="28"/>
  <c r="P526" i="28"/>
  <c r="O526" i="28"/>
  <c r="P518" i="28"/>
  <c r="O518" i="28"/>
  <c r="Q509" i="28"/>
  <c r="N509" i="28" s="1"/>
  <c r="P483" i="28"/>
  <c r="O483" i="28"/>
  <c r="Q481" i="28"/>
  <c r="P421" i="28"/>
  <c r="O421" i="28"/>
  <c r="P261" i="28"/>
  <c r="O261" i="28"/>
  <c r="P189" i="28"/>
  <c r="O189" i="28"/>
  <c r="Q187" i="28"/>
  <c r="P29" i="28"/>
  <c r="O29" i="28"/>
  <c r="R747" i="28"/>
  <c r="R523" i="28"/>
  <c r="R299" i="28"/>
  <c r="R75" i="28"/>
  <c r="O716" i="28"/>
  <c r="O624" i="28"/>
  <c r="P478" i="28"/>
  <c r="O478" i="28"/>
  <c r="P470" i="28"/>
  <c r="O470" i="28"/>
  <c r="P462" i="28"/>
  <c r="O462" i="28"/>
  <c r="P454" i="28"/>
  <c r="O454" i="28"/>
  <c r="P422" i="28"/>
  <c r="O422" i="28"/>
  <c r="P414" i="28"/>
  <c r="O414" i="28"/>
  <c r="P406" i="28"/>
  <c r="O406" i="28"/>
  <c r="P398" i="28"/>
  <c r="O398" i="28"/>
  <c r="P366" i="28"/>
  <c r="O366" i="28"/>
  <c r="P358" i="28"/>
  <c r="O358" i="28"/>
  <c r="P350" i="28"/>
  <c r="O350" i="28"/>
  <c r="P342" i="28"/>
  <c r="O342" i="28"/>
  <c r="P310" i="28"/>
  <c r="O310" i="28"/>
  <c r="P302" i="28"/>
  <c r="O302" i="28"/>
  <c r="P294" i="28"/>
  <c r="O294" i="28"/>
  <c r="P286" i="28"/>
  <c r="O286" i="28"/>
  <c r="P254" i="28"/>
  <c r="O254" i="28"/>
  <c r="P246" i="28"/>
  <c r="O246" i="28"/>
  <c r="P238" i="28"/>
  <c r="O238" i="28"/>
  <c r="P230" i="28"/>
  <c r="O230" i="28"/>
  <c r="P198" i="28"/>
  <c r="O198" i="28"/>
  <c r="P190" i="28"/>
  <c r="O190" i="28"/>
  <c r="P182" i="28"/>
  <c r="O182" i="28"/>
  <c r="P174" i="28"/>
  <c r="O174" i="28"/>
  <c r="P142" i="28"/>
  <c r="O142" i="28"/>
  <c r="P134" i="28"/>
  <c r="O134" i="28"/>
  <c r="P126" i="28"/>
  <c r="O126" i="28"/>
  <c r="P118" i="28"/>
  <c r="O118" i="28"/>
  <c r="P86" i="28"/>
  <c r="O86" i="28"/>
  <c r="P78" i="28"/>
  <c r="O78" i="28"/>
  <c r="P70" i="28"/>
  <c r="O70" i="28"/>
  <c r="P62" i="28"/>
  <c r="O62" i="28"/>
  <c r="O580" i="28"/>
  <c r="O331" i="28"/>
  <c r="O267" i="28"/>
  <c r="O203" i="28"/>
  <c r="O139" i="28"/>
  <c r="P532" i="28"/>
  <c r="O532" i="28"/>
  <c r="P524" i="28"/>
  <c r="O524" i="28"/>
  <c r="P492" i="28"/>
  <c r="O492" i="28"/>
  <c r="P484" i="28"/>
  <c r="O484" i="28"/>
  <c r="P476" i="28"/>
  <c r="O476" i="28"/>
  <c r="P468" i="28"/>
  <c r="O468" i="28"/>
  <c r="P436" i="28"/>
  <c r="O436" i="28"/>
  <c r="P428" i="28"/>
  <c r="O428" i="28"/>
  <c r="P420" i="28"/>
  <c r="O420" i="28"/>
  <c r="P412" i="28"/>
  <c r="O412" i="28"/>
  <c r="P380" i="28"/>
  <c r="O380" i="28"/>
  <c r="P372" i="28"/>
  <c r="O372" i="28"/>
  <c r="P364" i="28"/>
  <c r="O364" i="28"/>
  <c r="P356" i="28"/>
  <c r="O356" i="28"/>
  <c r="P324" i="28"/>
  <c r="O324" i="28"/>
  <c r="P316" i="28"/>
  <c r="O316" i="28"/>
  <c r="P308" i="28"/>
  <c r="O308" i="28"/>
  <c r="P300" i="28"/>
  <c r="O300" i="28"/>
  <c r="P268" i="28"/>
  <c r="O268" i="28"/>
  <c r="P260" i="28"/>
  <c r="O260" i="28"/>
  <c r="P252" i="28"/>
  <c r="O252" i="28"/>
  <c r="P244" i="28"/>
  <c r="O244" i="28"/>
  <c r="P212" i="28"/>
  <c r="O212" i="28"/>
  <c r="P204" i="28"/>
  <c r="O204" i="28"/>
  <c r="P196" i="28"/>
  <c r="O196" i="28"/>
  <c r="P188" i="28"/>
  <c r="O188" i="28"/>
  <c r="P156" i="28"/>
  <c r="O156" i="28"/>
  <c r="P148" i="28"/>
  <c r="O148" i="28"/>
  <c r="P140" i="28"/>
  <c r="O140" i="28"/>
  <c r="P132" i="28"/>
  <c r="O132" i="28"/>
  <c r="P100" i="28"/>
  <c r="O100" i="28"/>
  <c r="P92" i="28"/>
  <c r="O92" i="28"/>
  <c r="P84" i="28"/>
  <c r="O84" i="28"/>
  <c r="P76" i="28"/>
  <c r="O76" i="28"/>
  <c r="P44" i="28"/>
  <c r="O44" i="28"/>
  <c r="P36" i="28"/>
  <c r="O36" i="28"/>
  <c r="P28" i="28"/>
  <c r="O28" i="28"/>
  <c r="O489" i="28"/>
  <c r="O219" i="28"/>
  <c r="O155" i="28"/>
  <c r="O91" i="28"/>
  <c r="P153" i="28"/>
  <c r="P51" i="28"/>
  <c r="O51" i="28"/>
  <c r="P43" i="28"/>
  <c r="O43" i="28"/>
  <c r="P35" i="28"/>
  <c r="O35" i="28"/>
  <c r="P27" i="28"/>
  <c r="O27" i="28"/>
  <c r="O588" i="28"/>
  <c r="O387" i="28"/>
  <c r="O323" i="28"/>
  <c r="O259" i="28"/>
  <c r="O195" i="28"/>
  <c r="P674" i="28"/>
  <c r="O674" i="28"/>
  <c r="P666" i="28"/>
  <c r="O666" i="28"/>
  <c r="P658" i="28"/>
  <c r="O658" i="28"/>
  <c r="P650" i="28"/>
  <c r="O650" i="28"/>
  <c r="P618" i="28"/>
  <c r="O618" i="28"/>
  <c r="P610" i="28"/>
  <c r="O610" i="28"/>
  <c r="P602" i="28"/>
  <c r="O602" i="28"/>
  <c r="P594" i="28"/>
  <c r="O594" i="28"/>
  <c r="P562" i="28"/>
  <c r="O562" i="28"/>
  <c r="P554" i="28"/>
  <c r="O554" i="28"/>
  <c r="P546" i="28"/>
  <c r="O546" i="28"/>
  <c r="P538" i="28"/>
  <c r="O538" i="28"/>
  <c r="P506" i="28"/>
  <c r="O506" i="28"/>
  <c r="P498" i="28"/>
  <c r="O498" i="28"/>
  <c r="P490" i="28"/>
  <c r="O490" i="28"/>
  <c r="P482" i="28"/>
  <c r="O482" i="28"/>
  <c r="P450" i="28"/>
  <c r="O450" i="28"/>
  <c r="P442" i="28"/>
  <c r="O442" i="28"/>
  <c r="P434" i="28"/>
  <c r="O434" i="28"/>
  <c r="P426" i="28"/>
  <c r="O426" i="28"/>
  <c r="P394" i="28"/>
  <c r="O394" i="28"/>
  <c r="P386" i="28"/>
  <c r="O386" i="28"/>
  <c r="P378" i="28"/>
  <c r="O378" i="28"/>
  <c r="P370" i="28"/>
  <c r="O370" i="28"/>
  <c r="Q362" i="28"/>
  <c r="P338" i="28"/>
  <c r="O338" i="28"/>
  <c r="P330" i="28"/>
  <c r="O330" i="28"/>
  <c r="P322" i="28"/>
  <c r="O322" i="28"/>
  <c r="P314" i="28"/>
  <c r="O314" i="28"/>
  <c r="Q306" i="28"/>
  <c r="P282" i="28"/>
  <c r="O282" i="28"/>
  <c r="P274" i="28"/>
  <c r="O274" i="28"/>
  <c r="P266" i="28"/>
  <c r="O266" i="28"/>
  <c r="P258" i="28"/>
  <c r="O258" i="28"/>
  <c r="Q250" i="28"/>
  <c r="N250" i="28" s="1"/>
  <c r="P226" i="28"/>
  <c r="O226" i="28"/>
  <c r="P218" i="28"/>
  <c r="O218" i="28"/>
  <c r="P210" i="28"/>
  <c r="O210" i="28"/>
  <c r="P202" i="28"/>
  <c r="O202" i="28"/>
  <c r="Q194" i="28"/>
  <c r="P170" i="28"/>
  <c r="O170" i="28"/>
  <c r="P162" i="28"/>
  <c r="O162" i="28"/>
  <c r="P154" i="28"/>
  <c r="O154" i="28"/>
  <c r="P146" i="28"/>
  <c r="O146" i="28"/>
  <c r="Q138" i="28"/>
  <c r="P114" i="28"/>
  <c r="O114" i="28"/>
  <c r="P106" i="28"/>
  <c r="O106" i="28"/>
  <c r="P98" i="28"/>
  <c r="O98" i="28"/>
  <c r="P90" i="28"/>
  <c r="O90" i="28"/>
  <c r="Q82" i="28"/>
  <c r="P58" i="28"/>
  <c r="O58" i="28"/>
  <c r="P50" i="28"/>
  <c r="O50" i="28"/>
  <c r="P42" i="28"/>
  <c r="O42" i="28"/>
  <c r="P34" i="28"/>
  <c r="O34" i="28"/>
  <c r="Q26" i="28"/>
  <c r="O552" i="28"/>
  <c r="O363" i="28"/>
  <c r="O107" i="28"/>
  <c r="P281" i="28"/>
  <c r="P401" i="28"/>
  <c r="O401" i="28"/>
  <c r="P393" i="28"/>
  <c r="O393" i="28"/>
  <c r="O385" i="28"/>
  <c r="P385" i="28"/>
  <c r="P377" i="28"/>
  <c r="O377" i="28"/>
  <c r="Q369" i="28"/>
  <c r="P337" i="28"/>
  <c r="O337" i="28"/>
  <c r="P329" i="28"/>
  <c r="O329" i="28"/>
  <c r="O321" i="28"/>
  <c r="P321" i="28"/>
  <c r="Q313" i="28"/>
  <c r="P289" i="28"/>
  <c r="O289" i="28"/>
  <c r="P273" i="28"/>
  <c r="O273" i="28"/>
  <c r="P265" i="28"/>
  <c r="O265" i="28"/>
  <c r="Q257" i="28"/>
  <c r="P233" i="28"/>
  <c r="O233" i="28"/>
  <c r="P225" i="28"/>
  <c r="O225" i="28"/>
  <c r="P209" i="28"/>
  <c r="O209" i="28"/>
  <c r="Q201" i="28"/>
  <c r="P177" i="28"/>
  <c r="O177" i="28"/>
  <c r="P169" i="28"/>
  <c r="O169" i="28"/>
  <c r="P161" i="28"/>
  <c r="O161" i="28"/>
  <c r="P121" i="28"/>
  <c r="O121" i="28"/>
  <c r="P113" i="28"/>
  <c r="O113" i="28"/>
  <c r="P105" i="28"/>
  <c r="O105" i="28"/>
  <c r="P97" i="28"/>
  <c r="O97" i="28"/>
  <c r="O65" i="28"/>
  <c r="P65" i="28"/>
  <c r="P57" i="28"/>
  <c r="O57" i="28"/>
  <c r="O41" i="28"/>
  <c r="P41" i="28"/>
  <c r="O596" i="28"/>
  <c r="O457" i="28"/>
  <c r="O441" i="28"/>
  <c r="O275" i="28"/>
  <c r="O211" i="28"/>
  <c r="O147" i="28"/>
  <c r="O83" i="28"/>
  <c r="P520" i="28"/>
  <c r="O520" i="28"/>
  <c r="P512" i="28"/>
  <c r="O512" i="28"/>
  <c r="P504" i="28"/>
  <c r="O504" i="28"/>
  <c r="P496" i="28"/>
  <c r="O496" i="28"/>
  <c r="Q488" i="28"/>
  <c r="N488" i="28" s="1"/>
  <c r="P464" i="28"/>
  <c r="O464" i="28"/>
  <c r="P456" i="28"/>
  <c r="O456" i="28"/>
  <c r="P448" i="28"/>
  <c r="O448" i="28"/>
  <c r="P440" i="28"/>
  <c r="O440" i="28"/>
  <c r="Q432" i="28"/>
  <c r="P408" i="28"/>
  <c r="O408" i="28"/>
  <c r="P400" i="28"/>
  <c r="O400" i="28"/>
  <c r="P392" i="28"/>
  <c r="O392" i="28"/>
  <c r="P384" i="28"/>
  <c r="O384" i="28"/>
  <c r="Q376" i="28"/>
  <c r="P352" i="28"/>
  <c r="O352" i="28"/>
  <c r="P344" i="28"/>
  <c r="O344" i="28"/>
  <c r="P336" i="28"/>
  <c r="O336" i="28"/>
  <c r="P328" i="28"/>
  <c r="O328" i="28"/>
  <c r="Q320" i="28"/>
  <c r="P296" i="28"/>
  <c r="O296" i="28"/>
  <c r="P288" i="28"/>
  <c r="O288" i="28"/>
  <c r="P280" i="28"/>
  <c r="O280" i="28"/>
  <c r="P272" i="28"/>
  <c r="O272" i="28"/>
  <c r="Q264" i="28"/>
  <c r="P240" i="28"/>
  <c r="O240" i="28"/>
  <c r="P232" i="28"/>
  <c r="O232" i="28"/>
  <c r="P224" i="28"/>
  <c r="O224" i="28"/>
  <c r="P216" i="28"/>
  <c r="O216" i="28"/>
  <c r="Q208" i="28"/>
  <c r="P184" i="28"/>
  <c r="O184" i="28"/>
  <c r="P176" i="28"/>
  <c r="O176" i="28"/>
  <c r="P168" i="28"/>
  <c r="O168" i="28"/>
  <c r="P160" i="28"/>
  <c r="O160" i="28"/>
  <c r="Q152" i="28"/>
  <c r="P128" i="28"/>
  <c r="O128" i="28"/>
  <c r="P120" i="28"/>
  <c r="O120" i="28"/>
  <c r="P112" i="28"/>
  <c r="O112" i="28"/>
  <c r="P104" i="28"/>
  <c r="O104" i="28"/>
  <c r="Q96" i="28"/>
  <c r="P72" i="28"/>
  <c r="O72" i="28"/>
  <c r="P64" i="28"/>
  <c r="O64" i="28"/>
  <c r="P56" i="28"/>
  <c r="O56" i="28"/>
  <c r="P48" i="28"/>
  <c r="O48" i="28"/>
  <c r="O604" i="28"/>
  <c r="O540" i="28"/>
  <c r="O379" i="28"/>
  <c r="O315" i="28"/>
  <c r="O251" i="28"/>
  <c r="P671" i="28"/>
  <c r="O671" i="28"/>
  <c r="P639" i="28"/>
  <c r="O639" i="28"/>
  <c r="P631" i="28"/>
  <c r="O631" i="28"/>
  <c r="P623" i="28"/>
  <c r="O623" i="28"/>
  <c r="P615" i="28"/>
  <c r="O615" i="28"/>
  <c r="P583" i="28"/>
  <c r="O583" i="28"/>
  <c r="P575" i="28"/>
  <c r="O575" i="28"/>
  <c r="P567" i="28"/>
  <c r="O567" i="28"/>
  <c r="P559" i="28"/>
  <c r="O559" i="28"/>
  <c r="Q551" i="28"/>
  <c r="P527" i="28"/>
  <c r="O527" i="28"/>
  <c r="P519" i="28"/>
  <c r="O519" i="28"/>
  <c r="P511" i="28"/>
  <c r="O511" i="28"/>
  <c r="P503" i="28"/>
  <c r="O503" i="28"/>
  <c r="Q495" i="28"/>
  <c r="P471" i="28"/>
  <c r="O471" i="28"/>
  <c r="P463" i="28"/>
  <c r="O463" i="28"/>
  <c r="P455" i="28"/>
  <c r="O455" i="28"/>
  <c r="P447" i="28"/>
  <c r="O447" i="28"/>
  <c r="Q439" i="28"/>
  <c r="P415" i="28"/>
  <c r="O415" i="28"/>
  <c r="P407" i="28"/>
  <c r="O407" i="28"/>
  <c r="P399" i="28"/>
  <c r="O399" i="28"/>
  <c r="P391" i="28"/>
  <c r="O391" i="28"/>
  <c r="Q383" i="28"/>
  <c r="P359" i="28"/>
  <c r="O359" i="28"/>
  <c r="P351" i="28"/>
  <c r="O351" i="28"/>
  <c r="P343" i="28"/>
  <c r="O343" i="28"/>
  <c r="P335" i="28"/>
  <c r="O335" i="28"/>
  <c r="Q327" i="28"/>
  <c r="P303" i="28"/>
  <c r="O303" i="28"/>
  <c r="P295" i="28"/>
  <c r="O295" i="28"/>
  <c r="P287" i="28"/>
  <c r="O287" i="28"/>
  <c r="P279" i="28"/>
  <c r="O279" i="28"/>
  <c r="Q271" i="28"/>
  <c r="P247" i="28"/>
  <c r="O247" i="28"/>
  <c r="P239" i="28"/>
  <c r="O239" i="28"/>
  <c r="P231" i="28"/>
  <c r="O231" i="28"/>
  <c r="P223" i="28"/>
  <c r="O223" i="28"/>
  <c r="Q215" i="28"/>
  <c r="P191" i="28"/>
  <c r="O191" i="28"/>
  <c r="P183" i="28"/>
  <c r="O183" i="28"/>
  <c r="P175" i="28"/>
  <c r="O175" i="28"/>
  <c r="P167" i="28"/>
  <c r="O167" i="28"/>
  <c r="Q159" i="28"/>
  <c r="P135" i="28"/>
  <c r="O135" i="28"/>
  <c r="P127" i="28"/>
  <c r="O127" i="28"/>
  <c r="P119" i="28"/>
  <c r="O119" i="28"/>
  <c r="P111" i="28"/>
  <c r="O111" i="28"/>
  <c r="Q103" i="28"/>
  <c r="P79" i="28"/>
  <c r="O79" i="28"/>
  <c r="P71" i="28"/>
  <c r="O71" i="28"/>
  <c r="P63" i="28"/>
  <c r="O63" i="28"/>
  <c r="P55" i="28"/>
  <c r="O55" i="28"/>
  <c r="Q47" i="28"/>
  <c r="O548" i="28"/>
  <c r="O163" i="28"/>
  <c r="O99" i="28"/>
  <c r="P217" i="28"/>
  <c r="N817" i="28" l="1"/>
  <c r="N740" i="28"/>
  <c r="N733" i="28"/>
  <c r="N719" i="28"/>
  <c r="N698" i="28"/>
  <c r="N663" i="28"/>
  <c r="N649" i="28"/>
  <c r="N614" i="28"/>
  <c r="N544" i="28"/>
  <c r="N572" i="28"/>
  <c r="N537" i="28"/>
  <c r="N551" i="28"/>
  <c r="BC300" i="28"/>
  <c r="BC291" i="28"/>
  <c r="BC297" i="28"/>
  <c r="BC282" i="28"/>
  <c r="BC288" i="28"/>
  <c r="BD280" i="28"/>
  <c r="BC308" i="28"/>
  <c r="BC306" i="28"/>
  <c r="BD282" i="28"/>
  <c r="N621" i="28"/>
  <c r="N460" i="28"/>
  <c r="BC307" i="28"/>
  <c r="BC279" i="28"/>
  <c r="BD291" i="28"/>
  <c r="BD288" i="28"/>
  <c r="BD310" i="28"/>
  <c r="BD307" i="28"/>
  <c r="BC280" i="28"/>
  <c r="BD300" i="28"/>
  <c r="BC289" i="28"/>
  <c r="BD279" i="28"/>
  <c r="N327" i="28"/>
  <c r="BC290" i="28"/>
  <c r="N369" i="28"/>
  <c r="BC299" i="28"/>
  <c r="BD299" i="28"/>
  <c r="BD308" i="28"/>
  <c r="BD306" i="28"/>
  <c r="BD289" i="28"/>
  <c r="BD290" i="28"/>
  <c r="BD309" i="28"/>
  <c r="BC310" i="28"/>
  <c r="BC298" i="28"/>
  <c r="N383" i="28"/>
  <c r="BC301" i="28"/>
  <c r="BD281" i="28"/>
  <c r="BC281" i="28"/>
  <c r="BD297" i="28"/>
  <c r="BD301" i="28"/>
  <c r="BD298" i="28"/>
  <c r="BC309" i="28"/>
  <c r="N481" i="28"/>
  <c r="N376" i="28"/>
  <c r="N404" i="28"/>
  <c r="N425" i="28"/>
  <c r="N320" i="28"/>
  <c r="N313" i="28"/>
  <c r="N257" i="28"/>
  <c r="N47" i="28"/>
  <c r="BC245" i="28"/>
  <c r="BD246" i="28"/>
  <c r="N243" i="28"/>
  <c r="BD245" i="28"/>
  <c r="BC246" i="28"/>
  <c r="BD243" i="28"/>
  <c r="BC244" i="28"/>
  <c r="BC243" i="28"/>
  <c r="BD244" i="28"/>
  <c r="N208" i="28"/>
  <c r="N215" i="28"/>
  <c r="BD199" i="28"/>
  <c r="BC200" i="28"/>
  <c r="BC199" i="28"/>
  <c r="BD200" i="28"/>
  <c r="BD198" i="28"/>
  <c r="BC201" i="28"/>
  <c r="N194" i="28"/>
  <c r="BC198" i="28"/>
  <c r="BD201" i="28"/>
  <c r="BC155" i="28"/>
  <c r="N145" i="28"/>
  <c r="BD154" i="28"/>
  <c r="BC156" i="28"/>
  <c r="BC154" i="28"/>
  <c r="BD156" i="28"/>
  <c r="BD73" i="28"/>
  <c r="BD117" i="28"/>
  <c r="BC119" i="28"/>
  <c r="BC118" i="28"/>
  <c r="BD119" i="28"/>
  <c r="BD72" i="28"/>
  <c r="BC75" i="28"/>
  <c r="BC74" i="28"/>
  <c r="BD118" i="28"/>
  <c r="N152" i="28"/>
  <c r="BD155" i="28"/>
  <c r="BC73" i="28"/>
  <c r="BD75" i="28"/>
  <c r="BC72" i="28"/>
  <c r="BD74" i="28"/>
  <c r="BC120" i="28"/>
  <c r="N110" i="28"/>
  <c r="BC117" i="28"/>
  <c r="BD120" i="28"/>
  <c r="N96" i="28"/>
  <c r="N40" i="28"/>
  <c r="BC30" i="28"/>
  <c r="BD29" i="28"/>
  <c r="N33" i="28"/>
  <c r="BC29" i="28"/>
  <c r="BD30" i="28"/>
  <c r="BD27" i="28"/>
  <c r="BC28" i="28"/>
  <c r="BC27" i="28"/>
  <c r="BD28" i="28"/>
  <c r="N495" i="28"/>
  <c r="N138" i="28"/>
  <c r="N775" i="28"/>
  <c r="N565" i="28"/>
  <c r="N292" i="28"/>
  <c r="N796" i="28"/>
  <c r="N271" i="28"/>
  <c r="N264" i="28"/>
  <c r="N474" i="28"/>
  <c r="N89" i="28"/>
  <c r="N467" i="28"/>
  <c r="N824" i="28"/>
  <c r="N229" i="28"/>
  <c r="N68" i="28"/>
  <c r="N166" i="28"/>
  <c r="N600" i="28"/>
  <c r="P712" i="28"/>
  <c r="N684" i="28"/>
  <c r="N397" i="28"/>
  <c r="N880" i="28"/>
  <c r="N831" i="28"/>
  <c r="N894" i="28"/>
  <c r="N26" i="28"/>
  <c r="BH32" i="28"/>
  <c r="BG32" i="28"/>
  <c r="BK32" i="28"/>
  <c r="BL32" i="28"/>
  <c r="BT32" i="28"/>
  <c r="BJ32" i="28"/>
  <c r="BP32" i="28"/>
  <c r="BM32" i="28"/>
  <c r="BI32" i="28"/>
  <c r="BN32" i="28"/>
  <c r="BQ32" i="28"/>
  <c r="BF32" i="28"/>
  <c r="BR32" i="28"/>
  <c r="BS32" i="28"/>
  <c r="BF33" i="28"/>
  <c r="BS33" i="28"/>
  <c r="BK33" i="28"/>
  <c r="BR33" i="28"/>
  <c r="BJ33" i="28"/>
  <c r="BQ33" i="28"/>
  <c r="BI33" i="28"/>
  <c r="BP33" i="28"/>
  <c r="BO33" i="28"/>
  <c r="BM33" i="28"/>
  <c r="BN33" i="28"/>
  <c r="BT33" i="28"/>
  <c r="BL33" i="28"/>
  <c r="BS31" i="28"/>
  <c r="BK31" i="28"/>
  <c r="BR31" i="28"/>
  <c r="BJ31" i="28"/>
  <c r="BN31" i="28"/>
  <c r="BF31" i="28"/>
  <c r="BQ31" i="28"/>
  <c r="BI31" i="28"/>
  <c r="BP31" i="28"/>
  <c r="BO31" i="28"/>
  <c r="BM31" i="28"/>
  <c r="BT31" i="28"/>
  <c r="BL31" i="28"/>
  <c r="N747" i="28"/>
  <c r="N593" i="28"/>
  <c r="N635" i="28"/>
  <c r="N838" i="28"/>
  <c r="N453" i="28"/>
  <c r="N334" i="28"/>
  <c r="N348" i="28"/>
  <c r="N61" i="28"/>
  <c r="N355" i="28"/>
  <c r="N712" i="28"/>
  <c r="N726" i="28"/>
  <c r="N103" i="28"/>
  <c r="N159" i="28"/>
  <c r="N803" i="28"/>
  <c r="N54" i="28"/>
  <c r="N173" i="28"/>
  <c r="N222" i="28"/>
  <c r="N502" i="28"/>
  <c r="N299" i="28"/>
  <c r="N642" i="28"/>
  <c r="N915" i="28"/>
  <c r="N887" i="28"/>
  <c r="N691" i="28"/>
  <c r="N285" i="28"/>
  <c r="N768" i="28"/>
  <c r="N390" i="28"/>
  <c r="N782" i="28"/>
  <c r="N523" i="28"/>
  <c r="N124" i="28"/>
  <c r="N558" i="28"/>
  <c r="N341" i="28"/>
  <c r="N908" i="28"/>
  <c r="N411" i="28"/>
  <c r="N446" i="28"/>
  <c r="N306" i="28"/>
  <c r="N362" i="28"/>
  <c r="N187" i="28"/>
  <c r="N236" i="28"/>
  <c r="N810" i="28"/>
  <c r="N75" i="28"/>
  <c r="N530" i="28"/>
  <c r="N131" i="28"/>
  <c r="N418" i="28"/>
  <c r="N901" i="28"/>
  <c r="N579" i="28"/>
  <c r="N201" i="28"/>
  <c r="N432" i="28"/>
  <c r="N82" i="28"/>
  <c r="N866" i="28"/>
  <c r="N859" i="28"/>
  <c r="N845" i="28"/>
  <c r="N789" i="28"/>
  <c r="N278" i="28"/>
  <c r="N677" i="28"/>
  <c r="N852" i="28"/>
  <c r="N439" i="28"/>
  <c r="N628" i="28"/>
  <c r="N117" i="28"/>
  <c r="N670" i="28"/>
  <c r="O481" i="28"/>
  <c r="O110" i="28"/>
  <c r="O726" i="28"/>
  <c r="O432" i="28"/>
  <c r="P362" i="28"/>
  <c r="P579" i="28"/>
  <c r="O782" i="28"/>
  <c r="O698" i="28"/>
  <c r="O257" i="28"/>
  <c r="O320" i="28"/>
  <c r="BH33" i="28"/>
  <c r="BG33" i="28"/>
  <c r="BH31" i="28"/>
  <c r="BG31" i="28"/>
  <c r="O152" i="28"/>
  <c r="P803" i="28"/>
  <c r="BE49" i="28"/>
  <c r="P264" i="28"/>
  <c r="O369" i="28"/>
  <c r="O649" i="28"/>
  <c r="O838" i="28"/>
  <c r="BE37" i="28"/>
  <c r="BE36" i="28"/>
  <c r="BE38" i="28"/>
  <c r="BE47" i="28"/>
  <c r="BE46" i="28"/>
  <c r="O908" i="28"/>
  <c r="BE39" i="28"/>
  <c r="P82" i="28"/>
  <c r="P194" i="28"/>
  <c r="P103" i="28"/>
  <c r="P320" i="28"/>
  <c r="P376" i="28"/>
  <c r="P201" i="28"/>
  <c r="P26" i="28"/>
  <c r="P824" i="28"/>
  <c r="O264" i="28"/>
  <c r="P915" i="28"/>
  <c r="O796" i="28"/>
  <c r="O852" i="28"/>
  <c r="O740" i="28"/>
  <c r="O495" i="28"/>
  <c r="O768" i="28"/>
  <c r="P908" i="28"/>
  <c r="P488" i="28"/>
  <c r="P495" i="28"/>
  <c r="O873" i="28"/>
  <c r="P257" i="28"/>
  <c r="P768" i="28"/>
  <c r="P432" i="28"/>
  <c r="P607" i="28"/>
  <c r="P698" i="28"/>
  <c r="O754" i="28"/>
  <c r="P138" i="28"/>
  <c r="P222" i="28"/>
  <c r="P215" i="28"/>
  <c r="O271" i="28"/>
  <c r="O894" i="28"/>
  <c r="O880" i="28"/>
  <c r="P572" i="28"/>
  <c r="P754" i="28"/>
  <c r="O866" i="28"/>
  <c r="O278" i="28"/>
  <c r="P278" i="28"/>
  <c r="O334" i="28"/>
  <c r="P271" i="28"/>
  <c r="P369" i="28"/>
  <c r="P481" i="28"/>
  <c r="O243" i="28"/>
  <c r="O299" i="28"/>
  <c r="O355" i="28"/>
  <c r="O467" i="28"/>
  <c r="O523" i="28"/>
  <c r="O579" i="28"/>
  <c r="P306" i="28"/>
  <c r="P726" i="28"/>
  <c r="P782" i="28"/>
  <c r="P838" i="28"/>
  <c r="P894" i="28"/>
  <c r="P250" i="28"/>
  <c r="P866" i="28"/>
  <c r="P327" i="28"/>
  <c r="O544" i="28"/>
  <c r="O488" i="28"/>
  <c r="P243" i="28"/>
  <c r="P299" i="28"/>
  <c r="P467" i="28"/>
  <c r="P551" i="28"/>
  <c r="O719" i="28"/>
  <c r="O306" i="28"/>
  <c r="O915" i="28"/>
  <c r="O887" i="28"/>
  <c r="P89" i="28"/>
  <c r="P747" i="28"/>
  <c r="O859" i="28"/>
  <c r="O75" i="28"/>
  <c r="O131" i="28"/>
  <c r="O187" i="28"/>
  <c r="P40" i="28"/>
  <c r="P33" i="28"/>
  <c r="O89" i="28"/>
  <c r="P75" i="28"/>
  <c r="P131" i="28"/>
  <c r="P187" i="28"/>
  <c r="O54" i="28"/>
  <c r="O40" i="28"/>
  <c r="P54" i="28"/>
  <c r="O201" i="28"/>
  <c r="P159" i="28"/>
  <c r="O208" i="28"/>
  <c r="P208" i="28"/>
  <c r="O516" i="28"/>
  <c r="O362" i="28"/>
  <c r="O313" i="28"/>
  <c r="P523" i="28"/>
  <c r="P880" i="28"/>
  <c r="P334" i="28"/>
  <c r="O390" i="28"/>
  <c r="O383" i="28"/>
  <c r="P96" i="28"/>
  <c r="O551" i="28"/>
  <c r="P313" i="28"/>
  <c r="O425" i="28"/>
  <c r="O537" i="28"/>
  <c r="O593" i="28"/>
  <c r="O194" i="28"/>
  <c r="O61" i="28"/>
  <c r="O117" i="28"/>
  <c r="O173" i="28"/>
  <c r="O229" i="28"/>
  <c r="O285" i="28"/>
  <c r="O341" i="28"/>
  <c r="O397" i="28"/>
  <c r="O453" i="28"/>
  <c r="P677" i="28"/>
  <c r="O509" i="28"/>
  <c r="O705" i="28"/>
  <c r="O460" i="28"/>
  <c r="P810" i="28"/>
  <c r="O292" i="28"/>
  <c r="O565" i="28"/>
  <c r="O600" i="28"/>
  <c r="P740" i="28"/>
  <c r="P796" i="28"/>
  <c r="P852" i="28"/>
  <c r="O901" i="28"/>
  <c r="P124" i="28"/>
  <c r="O96" i="28"/>
  <c r="P411" i="28"/>
  <c r="O810" i="28"/>
  <c r="P418" i="28"/>
  <c r="P390" i="28"/>
  <c r="O446" i="28"/>
  <c r="P383" i="28"/>
  <c r="O439" i="28"/>
  <c r="P425" i="28"/>
  <c r="P537" i="28"/>
  <c r="P593" i="28"/>
  <c r="P649" i="28"/>
  <c r="P61" i="28"/>
  <c r="P117" i="28"/>
  <c r="P173" i="28"/>
  <c r="P229" i="28"/>
  <c r="P285" i="28"/>
  <c r="P341" i="28"/>
  <c r="P397" i="28"/>
  <c r="P453" i="28"/>
  <c r="O404" i="28"/>
  <c r="P509" i="28"/>
  <c r="P719" i="28"/>
  <c r="P663" i="28"/>
  <c r="P705" i="28"/>
  <c r="O761" i="28"/>
  <c r="P460" i="28"/>
  <c r="P292" i="28"/>
  <c r="P565" i="28"/>
  <c r="P600" i="28"/>
  <c r="O691" i="28"/>
  <c r="P775" i="28"/>
  <c r="O831" i="28"/>
  <c r="P901" i="28"/>
  <c r="P859" i="28"/>
  <c r="O845" i="28"/>
  <c r="O789" i="28"/>
  <c r="O124" i="28"/>
  <c r="P446" i="28"/>
  <c r="O502" i="28"/>
  <c r="O47" i="28"/>
  <c r="P439" i="28"/>
  <c r="O82" i="28"/>
  <c r="O33" i="28"/>
  <c r="O803" i="28"/>
  <c r="P404" i="28"/>
  <c r="O663" i="28"/>
  <c r="O236" i="28"/>
  <c r="P761" i="28"/>
  <c r="O817" i="28"/>
  <c r="O642" i="28"/>
  <c r="P691" i="28"/>
  <c r="O775" i="28"/>
  <c r="P831" i="28"/>
  <c r="O733" i="28"/>
  <c r="O684" i="28"/>
  <c r="P845" i="28"/>
  <c r="P789" i="28"/>
  <c r="O327" i="28"/>
  <c r="O677" i="28"/>
  <c r="P516" i="28"/>
  <c r="P502" i="28"/>
  <c r="O558" i="28"/>
  <c r="O614" i="28"/>
  <c r="O670" i="28"/>
  <c r="P47" i="28"/>
  <c r="O103" i="28"/>
  <c r="P152" i="28"/>
  <c r="O138" i="28"/>
  <c r="O635" i="28"/>
  <c r="P544" i="28"/>
  <c r="O621" i="28"/>
  <c r="P236" i="28"/>
  <c r="P817" i="28"/>
  <c r="O530" i="28"/>
  <c r="O656" i="28"/>
  <c r="O68" i="28"/>
  <c r="P733" i="28"/>
  <c r="P684" i="28"/>
  <c r="P355" i="28"/>
  <c r="P474" i="28"/>
  <c r="P110" i="28"/>
  <c r="O166" i="28"/>
  <c r="P558" i="28"/>
  <c r="P614" i="28"/>
  <c r="P670" i="28"/>
  <c r="O159" i="28"/>
  <c r="O376" i="28"/>
  <c r="O145" i="28"/>
  <c r="O586" i="28"/>
  <c r="P635" i="28"/>
  <c r="O180" i="28"/>
  <c r="O628" i="28"/>
  <c r="P621" i="28"/>
  <c r="O712" i="28"/>
  <c r="P873" i="28"/>
  <c r="P530" i="28"/>
  <c r="O607" i="28"/>
  <c r="P656" i="28"/>
  <c r="P68" i="28"/>
  <c r="P642" i="28"/>
  <c r="O348" i="28"/>
  <c r="O411" i="28"/>
  <c r="O418" i="28"/>
  <c r="P887" i="28"/>
  <c r="P166" i="28"/>
  <c r="O222" i="28"/>
  <c r="O250" i="28"/>
  <c r="O215" i="28"/>
  <c r="P145" i="28"/>
  <c r="O26" i="28"/>
  <c r="P586" i="28"/>
  <c r="P180" i="28"/>
  <c r="O474" i="28"/>
  <c r="P628" i="28"/>
  <c r="O824" i="28"/>
  <c r="O572" i="28"/>
  <c r="O747" i="28"/>
  <c r="P348" i="28"/>
  <c r="BE291" i="28" l="1"/>
  <c r="BE280" i="28"/>
  <c r="BE306" i="28"/>
  <c r="BE300" i="28"/>
  <c r="BE297" i="28"/>
  <c r="BE282" i="28"/>
  <c r="BE288" i="28"/>
  <c r="BA309" i="28"/>
  <c r="BA291" i="28"/>
  <c r="AZ290" i="28"/>
  <c r="BA307" i="28"/>
  <c r="BA301" i="28"/>
  <c r="AZ307" i="28"/>
  <c r="AZ310" i="28"/>
  <c r="BA290" i="28"/>
  <c r="BA306" i="28"/>
  <c r="AZ282" i="28"/>
  <c r="BE309" i="28"/>
  <c r="BE308" i="28"/>
  <c r="AZ300" i="28"/>
  <c r="BA310" i="28"/>
  <c r="AZ308" i="28"/>
  <c r="BE310" i="28"/>
  <c r="BA308" i="28"/>
  <c r="BE289" i="28"/>
  <c r="AZ291" i="28"/>
  <c r="BA289" i="28"/>
  <c r="AZ297" i="28"/>
  <c r="BA297" i="28"/>
  <c r="BE290" i="28"/>
  <c r="BE279" i="28"/>
  <c r="AZ298" i="28"/>
  <c r="BA280" i="28"/>
  <c r="AZ280" i="28"/>
  <c r="AZ309" i="28"/>
  <c r="BA300" i="28"/>
  <c r="BB300" i="28" s="1"/>
  <c r="BA298" i="28"/>
  <c r="AZ289" i="28"/>
  <c r="BA279" i="28"/>
  <c r="BA288" i="28"/>
  <c r="AZ306" i="28"/>
  <c r="BE298" i="28"/>
  <c r="BE299" i="28"/>
  <c r="BE307" i="28"/>
  <c r="AZ301" i="28"/>
  <c r="BA281" i="28"/>
  <c r="BA282" i="28"/>
  <c r="BA299" i="28"/>
  <c r="AZ279" i="28"/>
  <c r="AZ299" i="28"/>
  <c r="AZ288" i="28"/>
  <c r="BE281" i="28"/>
  <c r="BE301" i="28"/>
  <c r="AZ281" i="28"/>
  <c r="BE117" i="28"/>
  <c r="BE246" i="28"/>
  <c r="BE245" i="28"/>
  <c r="AZ245" i="28"/>
  <c r="BA246" i="28"/>
  <c r="BA245" i="28"/>
  <c r="AZ246" i="28"/>
  <c r="BE244" i="28"/>
  <c r="BE243" i="28"/>
  <c r="BA243" i="28"/>
  <c r="AZ244" i="28"/>
  <c r="AZ243" i="28"/>
  <c r="BA244" i="28"/>
  <c r="BE200" i="28"/>
  <c r="BE199" i="28"/>
  <c r="BE201" i="28"/>
  <c r="BA199" i="28"/>
  <c r="AZ200" i="28"/>
  <c r="AZ199" i="28"/>
  <c r="BA200" i="28"/>
  <c r="BE198" i="28"/>
  <c r="AZ198" i="28"/>
  <c r="BA201" i="28"/>
  <c r="BA198" i="28"/>
  <c r="AZ201" i="28"/>
  <c r="BE72" i="28"/>
  <c r="AZ155" i="28"/>
  <c r="BA155" i="28"/>
  <c r="BE73" i="28"/>
  <c r="AZ154" i="28"/>
  <c r="BA156" i="28"/>
  <c r="BA154" i="28"/>
  <c r="AZ156" i="28"/>
  <c r="BA72" i="28"/>
  <c r="BA120" i="28"/>
  <c r="BA119" i="28"/>
  <c r="BE119" i="28"/>
  <c r="AZ72" i="28"/>
  <c r="BA75" i="28"/>
  <c r="BA73" i="28"/>
  <c r="AZ117" i="28"/>
  <c r="BA117" i="28"/>
  <c r="BA118" i="28"/>
  <c r="AZ74" i="28"/>
  <c r="AZ120" i="28"/>
  <c r="BA74" i="28"/>
  <c r="AZ119" i="28"/>
  <c r="AZ75" i="28"/>
  <c r="AZ118" i="28"/>
  <c r="AZ73" i="28"/>
  <c r="BE120" i="28"/>
  <c r="BE74" i="28"/>
  <c r="BE118" i="28"/>
  <c r="BE75" i="28"/>
  <c r="BE29" i="28"/>
  <c r="BA30" i="28"/>
  <c r="AZ29" i="28"/>
  <c r="BA29" i="28"/>
  <c r="AZ30" i="28"/>
  <c r="AZ27" i="28"/>
  <c r="BA28" i="28"/>
  <c r="BA27" i="28"/>
  <c r="AZ28" i="28"/>
  <c r="BE48" i="28"/>
  <c r="BE45" i="28"/>
  <c r="BE30" i="28"/>
  <c r="BE28" i="28"/>
  <c r="BE27" i="28"/>
  <c r="BB307" i="28" l="1"/>
  <c r="BB309" i="28"/>
  <c r="BB291" i="28"/>
  <c r="BB310" i="28"/>
  <c r="BB290" i="28"/>
  <c r="BB301" i="28"/>
  <c r="BB306" i="28"/>
  <c r="BB282" i="28"/>
  <c r="BB289" i="28"/>
  <c r="BB279" i="28"/>
  <c r="BB299" i="28"/>
  <c r="BB280" i="28"/>
  <c r="BB308" i="28"/>
  <c r="BB288" i="28"/>
  <c r="BB297" i="28"/>
  <c r="BB281" i="28"/>
  <c r="BB298" i="28"/>
  <c r="BB245" i="28"/>
  <c r="BB246" i="28"/>
  <c r="BB244" i="28"/>
  <c r="BB243" i="28"/>
  <c r="BB72" i="28"/>
  <c r="BB199" i="28"/>
  <c r="BB200" i="28"/>
  <c r="BB201" i="28"/>
  <c r="BB198" i="28"/>
  <c r="BB155" i="28"/>
  <c r="BB119" i="28"/>
  <c r="BB156" i="28"/>
  <c r="BB154" i="28"/>
  <c r="BB118" i="28"/>
  <c r="BB120" i="28"/>
  <c r="BB75" i="28"/>
  <c r="BB73" i="28"/>
  <c r="BB117" i="28"/>
  <c r="BB74" i="28"/>
  <c r="BB30" i="28"/>
  <c r="BB29" i="28"/>
  <c r="BB28" i="28"/>
  <c r="BB27" i="28"/>
  <c r="AT605" i="27" l="1"/>
  <c r="AS605" i="27"/>
  <c r="AT604" i="27"/>
  <c r="AS604" i="27"/>
  <c r="AT603" i="27"/>
  <c r="AS603" i="27"/>
  <c r="AT602" i="27"/>
  <c r="AS602" i="27"/>
  <c r="AT601" i="27"/>
  <c r="AS601" i="27"/>
  <c r="AT600" i="27"/>
  <c r="AS600" i="27"/>
  <c r="AT599" i="27"/>
  <c r="AS599" i="27"/>
  <c r="AT596" i="27"/>
  <c r="AS596" i="27"/>
  <c r="AT595" i="27"/>
  <c r="AS595" i="27"/>
  <c r="AT594" i="27"/>
  <c r="AS594" i="27"/>
  <c r="AT593" i="27"/>
  <c r="AS593" i="27"/>
  <c r="AT592" i="27"/>
  <c r="AS592" i="27"/>
  <c r="AT591" i="27"/>
  <c r="AS591" i="27"/>
  <c r="AT590" i="27"/>
  <c r="AS590" i="27"/>
  <c r="AT587" i="27"/>
  <c r="AS587" i="27"/>
  <c r="AT586" i="27"/>
  <c r="AS586" i="27"/>
  <c r="AT585" i="27"/>
  <c r="AS585" i="27"/>
  <c r="AT584" i="27"/>
  <c r="AS584" i="27"/>
  <c r="AT583" i="27"/>
  <c r="AS583" i="27"/>
  <c r="AT582" i="27"/>
  <c r="AS582" i="27"/>
  <c r="AT581" i="27"/>
  <c r="AS581" i="27"/>
  <c r="AT578" i="27"/>
  <c r="AS578" i="27"/>
  <c r="AT577" i="27"/>
  <c r="AS577" i="27"/>
  <c r="AT576" i="27"/>
  <c r="AS576" i="27"/>
  <c r="AT575" i="27"/>
  <c r="AS575" i="27"/>
  <c r="AT574" i="27"/>
  <c r="AS574" i="27"/>
  <c r="AT573" i="27"/>
  <c r="AS573" i="27"/>
  <c r="AT572" i="27"/>
  <c r="AS572" i="27"/>
  <c r="AT569" i="27"/>
  <c r="AS569" i="27"/>
  <c r="AT568" i="27"/>
  <c r="AS568" i="27"/>
  <c r="AT567" i="27"/>
  <c r="AS567" i="27"/>
  <c r="AT566" i="27"/>
  <c r="AS566" i="27"/>
  <c r="AT565" i="27"/>
  <c r="AS565" i="27"/>
  <c r="AT564" i="27"/>
  <c r="AS564" i="27"/>
  <c r="AT563" i="27"/>
  <c r="AS563" i="27"/>
  <c r="AT560" i="27"/>
  <c r="AS560" i="27"/>
  <c r="AT559" i="27"/>
  <c r="AS559" i="27"/>
  <c r="AT558" i="27"/>
  <c r="AS558" i="27"/>
  <c r="AT557" i="27"/>
  <c r="AS557" i="27"/>
  <c r="AT556" i="27"/>
  <c r="AS556" i="27"/>
  <c r="AT555" i="27"/>
  <c r="AS555" i="27"/>
  <c r="AT554" i="27"/>
  <c r="AS554" i="27"/>
  <c r="AT551" i="27"/>
  <c r="AS551" i="27"/>
  <c r="AT550" i="27"/>
  <c r="AS550" i="27"/>
  <c r="AT549" i="27"/>
  <c r="AS549" i="27"/>
  <c r="AT548" i="27"/>
  <c r="AS548" i="27"/>
  <c r="AT547" i="27"/>
  <c r="AS547" i="27"/>
  <c r="AT546" i="27"/>
  <c r="AS546" i="27"/>
  <c r="AT545" i="27"/>
  <c r="AS545" i="27"/>
  <c r="AT542" i="27"/>
  <c r="AS542" i="27"/>
  <c r="AT541" i="27"/>
  <c r="AS541" i="27"/>
  <c r="AT540" i="27"/>
  <c r="AS540" i="27"/>
  <c r="AT539" i="27"/>
  <c r="AS539" i="27"/>
  <c r="AT538" i="27"/>
  <c r="AS538" i="27"/>
  <c r="AT537" i="27"/>
  <c r="AS537" i="27"/>
  <c r="AT536" i="27"/>
  <c r="AS536" i="27"/>
  <c r="AT533" i="27"/>
  <c r="AS533" i="27"/>
  <c r="AT532" i="27"/>
  <c r="AS532" i="27"/>
  <c r="AT531" i="27"/>
  <c r="AS531" i="27"/>
  <c r="AT530" i="27"/>
  <c r="AS530" i="27"/>
  <c r="AT529" i="27"/>
  <c r="AS529" i="27"/>
  <c r="AT528" i="27"/>
  <c r="AS528" i="27"/>
  <c r="AT527" i="27"/>
  <c r="AS527" i="27"/>
  <c r="AT524" i="27"/>
  <c r="AS524" i="27"/>
  <c r="AT523" i="27"/>
  <c r="AS523" i="27"/>
  <c r="AT522" i="27"/>
  <c r="AS522" i="27"/>
  <c r="AT521" i="27"/>
  <c r="AS521" i="27"/>
  <c r="AT520" i="27"/>
  <c r="AS520" i="27"/>
  <c r="AT519" i="27"/>
  <c r="AS519" i="27"/>
  <c r="AT518" i="27"/>
  <c r="AS518" i="27"/>
  <c r="AT515" i="27"/>
  <c r="AS515" i="27"/>
  <c r="AT514" i="27"/>
  <c r="AS514" i="27"/>
  <c r="AT513" i="27"/>
  <c r="AS513" i="27"/>
  <c r="AT512" i="27"/>
  <c r="AS512" i="27"/>
  <c r="AT506" i="27"/>
  <c r="AS506" i="27"/>
  <c r="AT505" i="27"/>
  <c r="AS505" i="27"/>
  <c r="AT504" i="27"/>
  <c r="AS504" i="27"/>
  <c r="AT497" i="27"/>
  <c r="AS497" i="27"/>
  <c r="AT496" i="27"/>
  <c r="AS496" i="27"/>
  <c r="AT495" i="27"/>
  <c r="AS495" i="27"/>
  <c r="AT488" i="27"/>
  <c r="AS488" i="27"/>
  <c r="AT487" i="27"/>
  <c r="AS487" i="27"/>
  <c r="AT486" i="27"/>
  <c r="AS486" i="27"/>
  <c r="AT479" i="27"/>
  <c r="AS479" i="27"/>
  <c r="AT470" i="27"/>
  <c r="AS470" i="27"/>
  <c r="AT461" i="27"/>
  <c r="AS461" i="27"/>
  <c r="AT460" i="27"/>
  <c r="AS460" i="27"/>
  <c r="AT459" i="27"/>
  <c r="AS459" i="27"/>
  <c r="AT452" i="27"/>
  <c r="AS452" i="27"/>
  <c r="AT451" i="27"/>
  <c r="AS451" i="27"/>
  <c r="AT450" i="27"/>
  <c r="AS450" i="27"/>
  <c r="AT443" i="27"/>
  <c r="AS443" i="27"/>
  <c r="AT442" i="27"/>
  <c r="AS442" i="27"/>
  <c r="AT434" i="27"/>
  <c r="AS434" i="27"/>
  <c r="AT433" i="27"/>
  <c r="AS433" i="27"/>
  <c r="AT425" i="27"/>
  <c r="AS425" i="27"/>
  <c r="AT424" i="27"/>
  <c r="AS424" i="27"/>
  <c r="AT416" i="27"/>
  <c r="AS416" i="27"/>
  <c r="AT415" i="27"/>
  <c r="AS415" i="27"/>
  <c r="AT407" i="27"/>
  <c r="AS407" i="27"/>
  <c r="AT406" i="27"/>
  <c r="AS406" i="27"/>
  <c r="AT398" i="27"/>
  <c r="AS398" i="27"/>
  <c r="AT397" i="27"/>
  <c r="AS397" i="27"/>
  <c r="AT389" i="27"/>
  <c r="AS389" i="27"/>
  <c r="AT388" i="27"/>
  <c r="AS388" i="27"/>
  <c r="AT380" i="27"/>
  <c r="AS380" i="27"/>
  <c r="AT379" i="27"/>
  <c r="AS379" i="27"/>
  <c r="AT371" i="27"/>
  <c r="AS371" i="27"/>
  <c r="AT370" i="27"/>
  <c r="AS370" i="27"/>
  <c r="AT369" i="27"/>
  <c r="AS369" i="27"/>
  <c r="AT362" i="27"/>
  <c r="AS362" i="27"/>
  <c r="AT361" i="27"/>
  <c r="AS361" i="27"/>
  <c r="AT360" i="27"/>
  <c r="AS360" i="27"/>
  <c r="AT353" i="27"/>
  <c r="AS353" i="27"/>
  <c r="AT352" i="27"/>
  <c r="AS352" i="27"/>
  <c r="AT351" i="27"/>
  <c r="AS351" i="27"/>
  <c r="AT344" i="27"/>
  <c r="AS344" i="27"/>
  <c r="AT343" i="27"/>
  <c r="AS343" i="27"/>
  <c r="AT342" i="27"/>
  <c r="AS342" i="27"/>
  <c r="AT335" i="27"/>
  <c r="AS335" i="27"/>
  <c r="AT334" i="27"/>
  <c r="AS334" i="27"/>
  <c r="AT333" i="27"/>
  <c r="AS333" i="27"/>
  <c r="AT326" i="27"/>
  <c r="AS326" i="27"/>
  <c r="AT325" i="27"/>
  <c r="AS325" i="27"/>
  <c r="AT324" i="27"/>
  <c r="AS324" i="27"/>
  <c r="AT317" i="27"/>
  <c r="AS317" i="27"/>
  <c r="AT316" i="27"/>
  <c r="AS316" i="27"/>
  <c r="AT315" i="27"/>
  <c r="AS315" i="27"/>
  <c r="AT308" i="27"/>
  <c r="AS308" i="27"/>
  <c r="AT307" i="27"/>
  <c r="AS307" i="27"/>
  <c r="AT306" i="27"/>
  <c r="AS306" i="27"/>
  <c r="AT299" i="27"/>
  <c r="AS299" i="27"/>
  <c r="AT298" i="27"/>
  <c r="AS298" i="27"/>
  <c r="AT297" i="27"/>
  <c r="AS297" i="27"/>
  <c r="AT290" i="27"/>
  <c r="AS290" i="27"/>
  <c r="AT289" i="27"/>
  <c r="AS289" i="27"/>
  <c r="AT288" i="27"/>
  <c r="AS288" i="27"/>
  <c r="AT281" i="27"/>
  <c r="AS281" i="27"/>
  <c r="AT280" i="27"/>
  <c r="AS280" i="27"/>
  <c r="AT279" i="27"/>
  <c r="AS279" i="27"/>
  <c r="AT272" i="27"/>
  <c r="AS272" i="27"/>
  <c r="AT271" i="27"/>
  <c r="AS271" i="27"/>
  <c r="AT270" i="27"/>
  <c r="AS270" i="27"/>
  <c r="AT263" i="27"/>
  <c r="AS263" i="27"/>
  <c r="AT262" i="27"/>
  <c r="AS262" i="27"/>
  <c r="AT261" i="27"/>
  <c r="AS261" i="27"/>
  <c r="AT254" i="27"/>
  <c r="AS254" i="27"/>
  <c r="AT253" i="27"/>
  <c r="AS253" i="27"/>
  <c r="AT252" i="27"/>
  <c r="AS252" i="27"/>
  <c r="AT245" i="27"/>
  <c r="AS245" i="27"/>
  <c r="AT244" i="27"/>
  <c r="AS244" i="27"/>
  <c r="AT243" i="27"/>
  <c r="AS243" i="27"/>
  <c r="AT236" i="27"/>
  <c r="AS236" i="27"/>
  <c r="AT235" i="27"/>
  <c r="AS235" i="27"/>
  <c r="AT234" i="27"/>
  <c r="AS234" i="27"/>
  <c r="AT227" i="27"/>
  <c r="AS227" i="27"/>
  <c r="AT226" i="27"/>
  <c r="AS226" i="27"/>
  <c r="AT225" i="27"/>
  <c r="AS225" i="27"/>
  <c r="AT218" i="27"/>
  <c r="AS218" i="27"/>
  <c r="AT217" i="27"/>
  <c r="AS217" i="27"/>
  <c r="AT216" i="27"/>
  <c r="AS216" i="27"/>
  <c r="AT209" i="27"/>
  <c r="AS209" i="27"/>
  <c r="AT208" i="27"/>
  <c r="AS208" i="27"/>
  <c r="AT207" i="27"/>
  <c r="AS207" i="27"/>
  <c r="AT200" i="27"/>
  <c r="AS200" i="27"/>
  <c r="AT199" i="27"/>
  <c r="AS199" i="27"/>
  <c r="AT198" i="27"/>
  <c r="AS198" i="27"/>
  <c r="AT195" i="27"/>
  <c r="AS195" i="27"/>
  <c r="AT191" i="27"/>
  <c r="AS191" i="27"/>
  <c r="AT190" i="27"/>
  <c r="AS190" i="27"/>
  <c r="AT189" i="27"/>
  <c r="AS189" i="27"/>
  <c r="AT182" i="27"/>
  <c r="AS182" i="27"/>
  <c r="AT181" i="27"/>
  <c r="AS181" i="27"/>
  <c r="AT180" i="27"/>
  <c r="AS180" i="27"/>
  <c r="AT173" i="27"/>
  <c r="AS173" i="27"/>
  <c r="AT172" i="27"/>
  <c r="AS172" i="27"/>
  <c r="AT171" i="27"/>
  <c r="AS171" i="27"/>
  <c r="AT164" i="27"/>
  <c r="AS164" i="27"/>
  <c r="AT163" i="27"/>
  <c r="AS163" i="27"/>
  <c r="AT162" i="27"/>
  <c r="AS162" i="27"/>
  <c r="AT155" i="27"/>
  <c r="AS155" i="27"/>
  <c r="AT154" i="27"/>
  <c r="AS154" i="27"/>
  <c r="AT153" i="27"/>
  <c r="AS153" i="27"/>
  <c r="AT146" i="27"/>
  <c r="AS146" i="27"/>
  <c r="AT145" i="27"/>
  <c r="AS145" i="27"/>
  <c r="AT144" i="27"/>
  <c r="AS144" i="27"/>
  <c r="AT137" i="27"/>
  <c r="AS137" i="27"/>
  <c r="AT136" i="27"/>
  <c r="AS136" i="27"/>
  <c r="AT135" i="27"/>
  <c r="AS135" i="27"/>
  <c r="AT128" i="27"/>
  <c r="AS128" i="27"/>
  <c r="AT127" i="27"/>
  <c r="AS127" i="27"/>
  <c r="AT126" i="27"/>
  <c r="AS126" i="27"/>
  <c r="AT119" i="27"/>
  <c r="AS119" i="27"/>
  <c r="AT118" i="27"/>
  <c r="AS118" i="27"/>
  <c r="AT117" i="27"/>
  <c r="AS117" i="27"/>
  <c r="AT110" i="27"/>
  <c r="AS110" i="27"/>
  <c r="AT109" i="27"/>
  <c r="AS109" i="27"/>
  <c r="AT108" i="27"/>
  <c r="AS108" i="27"/>
  <c r="AT101" i="27"/>
  <c r="AS101" i="27"/>
  <c r="AT100" i="27"/>
  <c r="AS100" i="27"/>
  <c r="AT99" i="27"/>
  <c r="AS99" i="27"/>
  <c r="AT92" i="27"/>
  <c r="AS92" i="27"/>
  <c r="AT91" i="27"/>
  <c r="AS91" i="27"/>
  <c r="AT90" i="27"/>
  <c r="AS90" i="27"/>
  <c r="AT83" i="27"/>
  <c r="AS83" i="27"/>
  <c r="AT82" i="27"/>
  <c r="AS82" i="27"/>
  <c r="AT81" i="27"/>
  <c r="AS81" i="27"/>
  <c r="AT79" i="27"/>
  <c r="AS79" i="27"/>
  <c r="AT74" i="27"/>
  <c r="AS74" i="27"/>
  <c r="AT73" i="27"/>
  <c r="AS73" i="27"/>
  <c r="AT72" i="27"/>
  <c r="AS72" i="27"/>
  <c r="AT65" i="27"/>
  <c r="AS65" i="27"/>
  <c r="AT64" i="27"/>
  <c r="AS64" i="27"/>
  <c r="AT63" i="27"/>
  <c r="AS63" i="27"/>
  <c r="AT56" i="27"/>
  <c r="AS56" i="27"/>
  <c r="AT55" i="27"/>
  <c r="AS55" i="27"/>
  <c r="AT54" i="27"/>
  <c r="AS54" i="27"/>
  <c r="AT47" i="27"/>
  <c r="AS47" i="27"/>
  <c r="AT46" i="27"/>
  <c r="AS46" i="27"/>
  <c r="AT45" i="27"/>
  <c r="AS45" i="27"/>
  <c r="AT38" i="27"/>
  <c r="AS38" i="27"/>
  <c r="AT37" i="27"/>
  <c r="AS37" i="27"/>
  <c r="AT36" i="27"/>
  <c r="AS36" i="27"/>
  <c r="AT29" i="27"/>
  <c r="AS29" i="27"/>
  <c r="AT28" i="27"/>
  <c r="AS28" i="27"/>
  <c r="AT27" i="27"/>
  <c r="AS27" i="27"/>
  <c r="AT14" i="27"/>
  <c r="AS14" i="27"/>
  <c r="AT13" i="27"/>
  <c r="AS13" i="27"/>
  <c r="AT12" i="27"/>
  <c r="AS12" i="27"/>
  <c r="AT11" i="27"/>
  <c r="AS11" i="27"/>
  <c r="AT10" i="27"/>
  <c r="AS10" i="27"/>
  <c r="AT9" i="27"/>
  <c r="AS9" i="27"/>
  <c r="AT8" i="27"/>
  <c r="AS8"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5" i="27"/>
  <c r="O186" i="27"/>
  <c r="O187" i="27"/>
  <c r="O188" i="27"/>
  <c r="O189" i="27"/>
  <c r="O190" i="27"/>
  <c r="O191" i="27"/>
  <c r="O192" i="27"/>
  <c r="O193" i="27"/>
  <c r="O194" i="27"/>
  <c r="O195" i="27"/>
  <c r="O196" i="27"/>
  <c r="O197" i="27"/>
  <c r="O198" i="27"/>
  <c r="O199" i="27"/>
  <c r="O200" i="27"/>
  <c r="O201" i="27"/>
  <c r="O202" i="27"/>
  <c r="O203" i="27"/>
  <c r="O204" i="27"/>
  <c r="O205" i="27"/>
  <c r="O206" i="27"/>
  <c r="O207" i="27"/>
  <c r="O208" i="27"/>
  <c r="O209" i="27"/>
  <c r="O210" i="27"/>
  <c r="O211" i="27"/>
  <c r="O212" i="27"/>
  <c r="O213" i="27"/>
  <c r="O214" i="27"/>
  <c r="O215" i="27"/>
  <c r="O216" i="27"/>
  <c r="O217" i="27"/>
  <c r="O218" i="27"/>
  <c r="O219" i="27"/>
  <c r="O220" i="27"/>
  <c r="O221" i="27"/>
  <c r="O222" i="27"/>
  <c r="O223" i="27"/>
  <c r="O224" i="27"/>
  <c r="O225" i="27"/>
  <c r="O226" i="27"/>
  <c r="O227" i="27"/>
  <c r="O228"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O261" i="27"/>
  <c r="O262" i="27"/>
  <c r="O263" i="27"/>
  <c r="O264" i="27"/>
  <c r="O265" i="27"/>
  <c r="O266" i="27"/>
  <c r="O267" i="27"/>
  <c r="O268" i="27"/>
  <c r="O269" i="27"/>
  <c r="O270" i="27"/>
  <c r="O271" i="27"/>
  <c r="O272" i="27"/>
  <c r="O273" i="27"/>
  <c r="O274" i="27"/>
  <c r="O275" i="27"/>
  <c r="O276" i="27"/>
  <c r="O277" i="27"/>
  <c r="O278" i="27"/>
  <c r="O279" i="27"/>
  <c r="O280" i="27"/>
  <c r="O281" i="27"/>
  <c r="O282" i="27"/>
  <c r="O283" i="27"/>
  <c r="O284" i="27"/>
  <c r="O285" i="27"/>
  <c r="O286" i="27"/>
  <c r="O287" i="27"/>
  <c r="O288" i="27"/>
  <c r="O289" i="27"/>
  <c r="O290" i="27"/>
  <c r="O291" i="27"/>
  <c r="O292" i="27"/>
  <c r="O293" i="27"/>
  <c r="O294" i="27"/>
  <c r="O295" i="27"/>
  <c r="O296" i="27"/>
  <c r="O297" i="27"/>
  <c r="O298" i="27"/>
  <c r="O299" i="27"/>
  <c r="O300" i="27"/>
  <c r="AT302" i="27" s="1"/>
  <c r="O301" i="27"/>
  <c r="O302" i="27"/>
  <c r="O303" i="27"/>
  <c r="O304" i="27"/>
  <c r="O305" i="27"/>
  <c r="O306" i="27"/>
  <c r="O307" i="27"/>
  <c r="O308" i="27"/>
  <c r="O309" i="27"/>
  <c r="O310" i="27"/>
  <c r="O311" i="27"/>
  <c r="O312" i="27"/>
  <c r="O313" i="27"/>
  <c r="O314" i="27"/>
  <c r="O315" i="27"/>
  <c r="O316" i="27"/>
  <c r="O317" i="27"/>
  <c r="O318" i="27"/>
  <c r="O319" i="27"/>
  <c r="O320" i="27"/>
  <c r="O321" i="27"/>
  <c r="O322" i="27"/>
  <c r="O323" i="27"/>
  <c r="O324" i="27"/>
  <c r="O325" i="27"/>
  <c r="O326" i="27"/>
  <c r="O327" i="27"/>
  <c r="O328" i="27"/>
  <c r="O329" i="27"/>
  <c r="O330" i="27"/>
  <c r="O331" i="27"/>
  <c r="O332" i="27"/>
  <c r="O333" i="27"/>
  <c r="O335" i="27"/>
  <c r="O336" i="27"/>
  <c r="O337" i="27"/>
  <c r="O338" i="27"/>
  <c r="O339" i="27"/>
  <c r="O340" i="27"/>
  <c r="O341" i="27"/>
  <c r="O342" i="27"/>
  <c r="O343" i="27"/>
  <c r="O344" i="27"/>
  <c r="O345" i="27"/>
  <c r="O346" i="27"/>
  <c r="O347" i="27"/>
  <c r="O348" i="27"/>
  <c r="O349" i="27"/>
  <c r="O350" i="27"/>
  <c r="O351" i="27"/>
  <c r="O352" i="27"/>
  <c r="O353" i="27"/>
  <c r="O354" i="27"/>
  <c r="O355" i="27"/>
  <c r="O356" i="27"/>
  <c r="O357" i="27"/>
  <c r="O358" i="27"/>
  <c r="O359" i="27"/>
  <c r="O360" i="27"/>
  <c r="O361" i="27"/>
  <c r="O362" i="27"/>
  <c r="O363" i="27"/>
  <c r="O364" i="27"/>
  <c r="O365" i="27"/>
  <c r="O366" i="27"/>
  <c r="O367" i="27"/>
  <c r="O368" i="27"/>
  <c r="O369" i="27"/>
  <c r="O370" i="27"/>
  <c r="O371" i="27"/>
  <c r="O372" i="27"/>
  <c r="O373" i="27"/>
  <c r="O374" i="27"/>
  <c r="O375" i="27"/>
  <c r="O376" i="27"/>
  <c r="O377" i="27"/>
  <c r="O378" i="27"/>
  <c r="O379" i="27"/>
  <c r="O380" i="27"/>
  <c r="O381" i="27"/>
  <c r="O382" i="27"/>
  <c r="O383" i="27"/>
  <c r="O384" i="27"/>
  <c r="O385" i="27"/>
  <c r="O386" i="27"/>
  <c r="O387" i="27"/>
  <c r="O388" i="27"/>
  <c r="O389" i="27"/>
  <c r="AS395" i="27" s="1"/>
  <c r="O390" i="27"/>
  <c r="O391" i="27"/>
  <c r="O392" i="27"/>
  <c r="O393" i="27"/>
  <c r="O394" i="27"/>
  <c r="O395" i="27"/>
  <c r="O396" i="27"/>
  <c r="O397" i="27"/>
  <c r="O398" i="27"/>
  <c r="O399" i="27"/>
  <c r="O400" i="27"/>
  <c r="O401" i="27"/>
  <c r="O402" i="27"/>
  <c r="O403" i="27"/>
  <c r="O404" i="27"/>
  <c r="O405" i="27"/>
  <c r="O406" i="27"/>
  <c r="O407" i="27"/>
  <c r="O408" i="27"/>
  <c r="O409" i="27"/>
  <c r="O410" i="27"/>
  <c r="O411" i="27"/>
  <c r="O412" i="27"/>
  <c r="O413" i="27"/>
  <c r="O414" i="27"/>
  <c r="O415" i="27"/>
  <c r="O416" i="27"/>
  <c r="O417" i="27"/>
  <c r="O418" i="27"/>
  <c r="O419" i="27"/>
  <c r="O420" i="27"/>
  <c r="O421" i="27"/>
  <c r="O422" i="27"/>
  <c r="O423" i="27"/>
  <c r="O424" i="27"/>
  <c r="O425" i="27"/>
  <c r="O426" i="27"/>
  <c r="O427" i="27"/>
  <c r="O428" i="27"/>
  <c r="O429" i="27"/>
  <c r="O430" i="27"/>
  <c r="O431" i="27"/>
  <c r="O432" i="27"/>
  <c r="O433" i="27"/>
  <c r="O434" i="27"/>
  <c r="O435" i="27"/>
  <c r="O436" i="27"/>
  <c r="O437" i="27"/>
  <c r="O438" i="27"/>
  <c r="O439" i="27"/>
  <c r="O440" i="27"/>
  <c r="O441" i="27"/>
  <c r="O442" i="27"/>
  <c r="O443" i="27"/>
  <c r="O444" i="27"/>
  <c r="O445" i="27"/>
  <c r="O446" i="27"/>
  <c r="O447" i="27"/>
  <c r="O448" i="27"/>
  <c r="O449" i="27"/>
  <c r="O450" i="27"/>
  <c r="O451" i="27"/>
  <c r="O452" i="27"/>
  <c r="O453" i="27"/>
  <c r="O454" i="27"/>
  <c r="O455" i="27"/>
  <c r="O456" i="27"/>
  <c r="O457" i="27"/>
  <c r="O458" i="27"/>
  <c r="O459" i="27"/>
  <c r="O460" i="27"/>
  <c r="O461" i="27"/>
  <c r="O462" i="27"/>
  <c r="O463" i="27"/>
  <c r="O464" i="27"/>
  <c r="O465" i="27"/>
  <c r="O466" i="27"/>
  <c r="O467" i="27"/>
  <c r="O468" i="27"/>
  <c r="O469" i="27"/>
  <c r="O470" i="27"/>
  <c r="O471" i="27"/>
  <c r="O472" i="27"/>
  <c r="O473" i="27"/>
  <c r="O474" i="27"/>
  <c r="O475" i="27"/>
  <c r="O476" i="27"/>
  <c r="O477" i="27"/>
  <c r="O478" i="27"/>
  <c r="O479" i="27"/>
  <c r="O480" i="27"/>
  <c r="O481" i="27"/>
  <c r="O482" i="27"/>
  <c r="O483" i="27"/>
  <c r="O484" i="27"/>
  <c r="O485" i="27"/>
  <c r="O486" i="27"/>
  <c r="O487" i="27"/>
  <c r="O488" i="27"/>
  <c r="O489" i="27"/>
  <c r="O490" i="27"/>
  <c r="O491" i="27"/>
  <c r="O492" i="27"/>
  <c r="O493" i="27"/>
  <c r="O494" i="27"/>
  <c r="O495" i="27"/>
  <c r="O496" i="27"/>
  <c r="O497" i="27"/>
  <c r="O498" i="27"/>
  <c r="O499" i="27"/>
  <c r="O500" i="27"/>
  <c r="O501" i="27"/>
  <c r="AS493" i="27" s="1"/>
  <c r="O502" i="27"/>
  <c r="O503" i="27"/>
  <c r="O504" i="27"/>
  <c r="O505" i="27"/>
  <c r="O506" i="27"/>
  <c r="O507" i="27"/>
  <c r="O508" i="27"/>
  <c r="O509" i="27"/>
  <c r="AT511" i="27" s="1"/>
  <c r="O510" i="27"/>
  <c r="O511" i="27"/>
  <c r="O512" i="27"/>
  <c r="O513" i="27"/>
  <c r="O514" i="27"/>
  <c r="O515" i="27"/>
  <c r="O516" i="27"/>
  <c r="O517" i="27"/>
  <c r="O518" i="27"/>
  <c r="O519" i="27"/>
  <c r="O520" i="27"/>
  <c r="O521" i="27"/>
  <c r="O522" i="27"/>
  <c r="O523" i="27"/>
  <c r="O524" i="27"/>
  <c r="O525" i="27"/>
  <c r="O526" i="27"/>
  <c r="O527" i="27"/>
  <c r="O528" i="27"/>
  <c r="O529" i="27"/>
  <c r="O530" i="27"/>
  <c r="O531" i="27"/>
  <c r="O532" i="27"/>
  <c r="O533" i="27"/>
  <c r="O534" i="27"/>
  <c r="O535" i="27"/>
  <c r="O536" i="27"/>
  <c r="O537" i="27"/>
  <c r="O538" i="27"/>
  <c r="O539" i="27"/>
  <c r="O540" i="27"/>
  <c r="O541" i="27"/>
  <c r="O542" i="27"/>
  <c r="O543" i="27"/>
  <c r="O544" i="27"/>
  <c r="O545" i="27"/>
  <c r="O546" i="27"/>
  <c r="O547" i="27"/>
  <c r="O548" i="27"/>
  <c r="O549" i="27"/>
  <c r="O550" i="27"/>
  <c r="O551" i="27"/>
  <c r="O552" i="27"/>
  <c r="O553" i="27"/>
  <c r="O554" i="27"/>
  <c r="O555" i="27"/>
  <c r="O556" i="27"/>
  <c r="O557" i="27"/>
  <c r="O558" i="27"/>
  <c r="O559" i="27"/>
  <c r="O560" i="27"/>
  <c r="O561" i="27"/>
  <c r="O562" i="27"/>
  <c r="O563" i="27"/>
  <c r="O564" i="27"/>
  <c r="O565" i="27"/>
  <c r="O566" i="27"/>
  <c r="O567" i="27"/>
  <c r="O568" i="27"/>
  <c r="O570" i="27"/>
  <c r="O571" i="27"/>
  <c r="O572" i="27"/>
  <c r="O573" i="27"/>
  <c r="O574" i="27"/>
  <c r="O575" i="27"/>
  <c r="O576" i="27"/>
  <c r="O577" i="27"/>
  <c r="O578" i="27"/>
  <c r="O579" i="27"/>
  <c r="O580" i="27"/>
  <c r="O581" i="27"/>
  <c r="O582" i="27"/>
  <c r="O583" i="27"/>
  <c r="O584" i="27"/>
  <c r="O585" i="27"/>
  <c r="O586" i="27"/>
  <c r="O587" i="27"/>
  <c r="O588" i="27"/>
  <c r="O589" i="27"/>
  <c r="O590" i="27"/>
  <c r="O591" i="27"/>
  <c r="O592" i="27"/>
  <c r="O593" i="27"/>
  <c r="O594" i="27"/>
  <c r="O595" i="27"/>
  <c r="O596" i="27"/>
  <c r="O597" i="27"/>
  <c r="O598" i="27"/>
  <c r="O599" i="27"/>
  <c r="O600" i="27"/>
  <c r="O601" i="27"/>
  <c r="O602" i="27"/>
  <c r="O603" i="27"/>
  <c r="O604" i="27"/>
  <c r="O605" i="27"/>
  <c r="O606" i="27"/>
  <c r="O607" i="27"/>
  <c r="O608" i="27"/>
  <c r="O609" i="27"/>
  <c r="O610" i="27"/>
  <c r="O611" i="27"/>
  <c r="O612" i="27"/>
  <c r="O613" i="27"/>
  <c r="O614" i="27"/>
  <c r="O615" i="27"/>
  <c r="O616" i="27"/>
  <c r="O617" i="27"/>
  <c r="O618" i="27"/>
  <c r="O619" i="27"/>
  <c r="O620" i="27"/>
  <c r="O621" i="27"/>
  <c r="O622" i="27"/>
  <c r="O623" i="27"/>
  <c r="O624" i="27"/>
  <c r="O625" i="27"/>
  <c r="O626" i="27"/>
  <c r="O627" i="27"/>
  <c r="O628" i="27"/>
  <c r="O629" i="27"/>
  <c r="O630" i="27"/>
  <c r="O631" i="27"/>
  <c r="O632" i="27"/>
  <c r="O633" i="27"/>
  <c r="O634" i="27"/>
  <c r="O635" i="27"/>
  <c r="O636" i="27"/>
  <c r="O637" i="27"/>
  <c r="O638" i="27"/>
  <c r="O639" i="27"/>
  <c r="O640" i="27"/>
  <c r="O641" i="27"/>
  <c r="O642" i="27"/>
  <c r="O643" i="27"/>
  <c r="O644" i="27"/>
  <c r="O645" i="27"/>
  <c r="O646" i="27"/>
  <c r="O647" i="27"/>
  <c r="O648" i="27"/>
  <c r="O649" i="27"/>
  <c r="O650" i="27"/>
  <c r="O651" i="27"/>
  <c r="O652" i="27"/>
  <c r="O653" i="27"/>
  <c r="O654" i="27"/>
  <c r="O655" i="27"/>
  <c r="O656" i="27"/>
  <c r="O657" i="27"/>
  <c r="O658" i="27"/>
  <c r="O659" i="27"/>
  <c r="O660" i="27"/>
  <c r="O661" i="27"/>
  <c r="O662" i="27"/>
  <c r="O663" i="27"/>
  <c r="O664" i="27"/>
  <c r="O665" i="27"/>
  <c r="O666" i="27"/>
  <c r="O667" i="27"/>
  <c r="O668" i="27"/>
  <c r="O669" i="27"/>
  <c r="O670" i="27"/>
  <c r="O671" i="27"/>
  <c r="O672" i="27"/>
  <c r="O673" i="27"/>
  <c r="O674" i="27"/>
  <c r="O675" i="27"/>
  <c r="O676" i="27"/>
  <c r="O677" i="27"/>
  <c r="O678" i="27"/>
  <c r="O679" i="27"/>
  <c r="O680" i="27"/>
  <c r="O681" i="27"/>
  <c r="O682" i="27"/>
  <c r="O683" i="27"/>
  <c r="O684" i="27"/>
  <c r="O685" i="27"/>
  <c r="O686" i="27"/>
  <c r="O687" i="27"/>
  <c r="O688" i="27"/>
  <c r="O689" i="27"/>
  <c r="O690" i="27"/>
  <c r="O691" i="27"/>
  <c r="O692" i="27"/>
  <c r="O693" i="27"/>
  <c r="O694" i="27"/>
  <c r="O695" i="27"/>
  <c r="O696" i="27"/>
  <c r="O697" i="27"/>
  <c r="O698" i="27"/>
  <c r="O699" i="27"/>
  <c r="O700" i="27"/>
  <c r="O701" i="27"/>
  <c r="O702" i="27"/>
  <c r="O703" i="27"/>
  <c r="O704" i="27"/>
  <c r="O705" i="27"/>
  <c r="O706" i="27"/>
  <c r="O707" i="27"/>
  <c r="O708" i="27"/>
  <c r="O709" i="27"/>
  <c r="O710" i="27"/>
  <c r="O711" i="27"/>
  <c r="O712" i="27"/>
  <c r="O713" i="27"/>
  <c r="O714" i="27"/>
  <c r="O715" i="27"/>
  <c r="O716" i="27"/>
  <c r="O717" i="27"/>
  <c r="O718" i="27"/>
  <c r="O719" i="27"/>
  <c r="O720" i="27"/>
  <c r="O721" i="27"/>
  <c r="O722" i="27"/>
  <c r="O723" i="27"/>
  <c r="O724" i="27"/>
  <c r="O725" i="27"/>
  <c r="O726" i="27"/>
  <c r="O727" i="27"/>
  <c r="O728" i="27"/>
  <c r="O729" i="27"/>
  <c r="O730" i="27"/>
  <c r="O731" i="27"/>
  <c r="O732" i="27"/>
  <c r="O733" i="27"/>
  <c r="O734" i="27"/>
  <c r="O735" i="27"/>
  <c r="O736" i="27"/>
  <c r="O737" i="27"/>
  <c r="O738" i="27"/>
  <c r="O739" i="27"/>
  <c r="O740" i="27"/>
  <c r="O741" i="27"/>
  <c r="O742" i="27"/>
  <c r="O743" i="27"/>
  <c r="O744" i="27"/>
  <c r="O745" i="27"/>
  <c r="O746" i="27"/>
  <c r="O747" i="27"/>
  <c r="O748" i="27"/>
  <c r="O749" i="27"/>
  <c r="O750" i="27"/>
  <c r="O751" i="27"/>
  <c r="O752" i="27"/>
  <c r="O753" i="27"/>
  <c r="O754" i="27"/>
  <c r="O755" i="27"/>
  <c r="O756" i="27"/>
  <c r="O757" i="27"/>
  <c r="O758" i="27"/>
  <c r="O759" i="27"/>
  <c r="O760" i="27"/>
  <c r="O761" i="27"/>
  <c r="O762" i="27"/>
  <c r="O763" i="27"/>
  <c r="O764" i="27"/>
  <c r="O765" i="27"/>
  <c r="O766" i="27"/>
  <c r="O767" i="27"/>
  <c r="O768" i="27"/>
  <c r="O769" i="27"/>
  <c r="O770" i="27"/>
  <c r="O771" i="27"/>
  <c r="O772" i="27"/>
  <c r="O773" i="27"/>
  <c r="O774" i="27"/>
  <c r="O775" i="27"/>
  <c r="O776" i="27"/>
  <c r="O777" i="27"/>
  <c r="O778" i="27"/>
  <c r="O779" i="27"/>
  <c r="O780" i="27"/>
  <c r="O781" i="27"/>
  <c r="O782" i="27"/>
  <c r="O783" i="27"/>
  <c r="O784" i="27"/>
  <c r="O785" i="27"/>
  <c r="O786" i="27"/>
  <c r="O787" i="27"/>
  <c r="O788" i="27"/>
  <c r="O789" i="27"/>
  <c r="O790" i="27"/>
  <c r="O791" i="27"/>
  <c r="O792" i="27"/>
  <c r="O793" i="27"/>
  <c r="O794" i="27"/>
  <c r="O795" i="27"/>
  <c r="O796" i="27"/>
  <c r="O797" i="27"/>
  <c r="O798" i="27"/>
  <c r="O799" i="27"/>
  <c r="O800" i="27"/>
  <c r="O801" i="27"/>
  <c r="O802" i="27"/>
  <c r="O803" i="27"/>
  <c r="O804" i="27"/>
  <c r="O805" i="27"/>
  <c r="O806" i="27"/>
  <c r="O807" i="27"/>
  <c r="O808" i="27"/>
  <c r="O809" i="27"/>
  <c r="O810" i="27"/>
  <c r="O811" i="27"/>
  <c r="O812" i="27"/>
  <c r="O813" i="27"/>
  <c r="O814" i="27"/>
  <c r="O815" i="27"/>
  <c r="O816" i="27"/>
  <c r="O817" i="27"/>
  <c r="O818" i="27"/>
  <c r="O819" i="27"/>
  <c r="O820" i="27"/>
  <c r="O821" i="27"/>
  <c r="O822" i="27"/>
  <c r="O823" i="27"/>
  <c r="O824" i="27"/>
  <c r="O825" i="27"/>
  <c r="O826" i="27"/>
  <c r="O827" i="27"/>
  <c r="O828" i="27"/>
  <c r="O829" i="27"/>
  <c r="O830" i="27"/>
  <c r="O831" i="27"/>
  <c r="O832" i="27"/>
  <c r="O833" i="27"/>
  <c r="O834" i="27"/>
  <c r="O835" i="27"/>
  <c r="O836" i="27"/>
  <c r="O837" i="27"/>
  <c r="O838" i="27"/>
  <c r="O839" i="27"/>
  <c r="O840" i="27"/>
  <c r="O841" i="27"/>
  <c r="O842" i="27"/>
  <c r="O843" i="27"/>
  <c r="O844" i="27"/>
  <c r="O845" i="27"/>
  <c r="O846" i="27"/>
  <c r="O847" i="27"/>
  <c r="O848" i="27"/>
  <c r="O849" i="27"/>
  <c r="O850" i="27"/>
  <c r="O851" i="27"/>
  <c r="O852" i="27"/>
  <c r="O853" i="27"/>
  <c r="O854" i="27"/>
  <c r="O855" i="27"/>
  <c r="O856" i="27"/>
  <c r="O857" i="27"/>
  <c r="O858" i="27"/>
  <c r="O859" i="27"/>
  <c r="O860" i="27"/>
  <c r="O861" i="27"/>
  <c r="O862" i="27"/>
  <c r="O863" i="27"/>
  <c r="O864" i="27"/>
  <c r="O865" i="27"/>
  <c r="O866" i="27"/>
  <c r="O867" i="27"/>
  <c r="O868" i="27"/>
  <c r="O869" i="27"/>
  <c r="O870" i="27"/>
  <c r="O871" i="27"/>
  <c r="O872" i="27"/>
  <c r="O873" i="27"/>
  <c r="O874" i="27"/>
  <c r="O875" i="27"/>
  <c r="O876" i="27"/>
  <c r="O877" i="27"/>
  <c r="O878" i="27"/>
  <c r="O879" i="27"/>
  <c r="O880" i="27"/>
  <c r="O881" i="27"/>
  <c r="O882" i="27"/>
  <c r="O883" i="27"/>
  <c r="O884" i="27"/>
  <c r="O885" i="27"/>
  <c r="O886" i="27"/>
  <c r="O887" i="27"/>
  <c r="O888" i="27"/>
  <c r="O889" i="27"/>
  <c r="O890" i="27"/>
  <c r="O891" i="27"/>
  <c r="O892" i="27"/>
  <c r="O893" i="27"/>
  <c r="O894" i="27"/>
  <c r="O895" i="27"/>
  <c r="O896" i="27"/>
  <c r="O897" i="27"/>
  <c r="O898" i="27"/>
  <c r="O899" i="27"/>
  <c r="O900" i="27"/>
  <c r="O901" i="27"/>
  <c r="O902" i="27"/>
  <c r="O903" i="27"/>
  <c r="O904" i="27"/>
  <c r="O905" i="27"/>
  <c r="O906" i="27"/>
  <c r="O907" i="27"/>
  <c r="O908" i="27"/>
  <c r="O909" i="27"/>
  <c r="O910" i="27"/>
  <c r="O911" i="27"/>
  <c r="O912" i="27"/>
  <c r="O913" i="27"/>
  <c r="O914" i="27"/>
  <c r="O915" i="27"/>
  <c r="O916" i="27"/>
  <c r="O917" i="27"/>
  <c r="O918" i="27"/>
  <c r="O919" i="27"/>
  <c r="O920" i="27"/>
  <c r="O921" i="27"/>
  <c r="O922" i="27"/>
  <c r="O923" i="27"/>
  <c r="O924" i="27"/>
  <c r="O925" i="27"/>
  <c r="O926" i="27"/>
  <c r="O927" i="27"/>
  <c r="O928" i="27"/>
  <c r="O929" i="27"/>
  <c r="O930" i="27"/>
  <c r="O931" i="27"/>
  <c r="O932" i="27"/>
  <c r="O933" i="27"/>
  <c r="O934" i="27"/>
  <c r="O935" i="27"/>
  <c r="O936" i="27"/>
  <c r="O937" i="27"/>
  <c r="O938" i="27"/>
  <c r="O939" i="27"/>
  <c r="O940" i="27"/>
  <c r="O941" i="27"/>
  <c r="O942" i="27"/>
  <c r="O943" i="27"/>
  <c r="O944" i="27"/>
  <c r="O945" i="27"/>
  <c r="O946" i="27"/>
  <c r="O947" i="27"/>
  <c r="O948" i="27"/>
  <c r="O949" i="27"/>
  <c r="O950" i="27"/>
  <c r="O951" i="27"/>
  <c r="O952" i="27"/>
  <c r="O953" i="27"/>
  <c r="O954" i="27"/>
  <c r="O955" i="27"/>
  <c r="O956" i="27"/>
  <c r="O957" i="27"/>
  <c r="O958" i="27"/>
  <c r="O959" i="27"/>
  <c r="O960" i="27"/>
  <c r="O961" i="27"/>
  <c r="O962" i="27"/>
  <c r="O963" i="27"/>
  <c r="O964" i="27"/>
  <c r="O965" i="27"/>
  <c r="O966" i="27"/>
  <c r="O967" i="27"/>
  <c r="O968" i="27"/>
  <c r="O969" i="27"/>
  <c r="O970" i="27"/>
  <c r="O971" i="27"/>
  <c r="O972" i="27"/>
  <c r="O973" i="27"/>
  <c r="O974" i="27"/>
  <c r="O975" i="27"/>
  <c r="O976" i="27"/>
  <c r="O977" i="27"/>
  <c r="O978" i="27"/>
  <c r="O979" i="27"/>
  <c r="O980" i="27"/>
  <c r="O981" i="27"/>
  <c r="O982" i="27"/>
  <c r="O983" i="27"/>
  <c r="O984" i="27"/>
  <c r="O985" i="27"/>
  <c r="O986" i="27"/>
  <c r="O987" i="27"/>
  <c r="O988" i="27"/>
  <c r="O989" i="27"/>
  <c r="O990" i="27"/>
  <c r="O991" i="27"/>
  <c r="O992" i="27"/>
  <c r="O993" i="27"/>
  <c r="O994" i="27"/>
  <c r="O995" i="27"/>
  <c r="O996" i="27"/>
  <c r="O997" i="27"/>
  <c r="O998" i="27"/>
  <c r="O999" i="27"/>
  <c r="O1000" i="27"/>
  <c r="O1001" i="27"/>
  <c r="O1002" i="27"/>
  <c r="O1003" i="27"/>
  <c r="O1004" i="27"/>
  <c r="O1005" i="27"/>
  <c r="O1006" i="27"/>
  <c r="O1007" i="27"/>
  <c r="O1008" i="27"/>
  <c r="O1009" i="27"/>
  <c r="O1010" i="27"/>
  <c r="O1011" i="27"/>
  <c r="O1012" i="27"/>
  <c r="O1013" i="27"/>
  <c r="O1014" i="27"/>
  <c r="O1015" i="27"/>
  <c r="O1016" i="27"/>
  <c r="O1017" i="27"/>
  <c r="O1018" i="27"/>
  <c r="O1019" i="27"/>
  <c r="O1020" i="27"/>
  <c r="O1021" i="27"/>
  <c r="O1022" i="27"/>
  <c r="O1023" i="27"/>
  <c r="O1024" i="27"/>
  <c r="O1025" i="27"/>
  <c r="O1026" i="27"/>
  <c r="O1027" i="27"/>
  <c r="O1028" i="27"/>
  <c r="O1029" i="27"/>
  <c r="O1030" i="27"/>
  <c r="O1031" i="27"/>
  <c r="O1032" i="27"/>
  <c r="O1033" i="27"/>
  <c r="O1034" i="27"/>
  <c r="O1035" i="27"/>
  <c r="O1036" i="27"/>
  <c r="O1037" i="27"/>
  <c r="O1038" i="27"/>
  <c r="O1039" i="27"/>
  <c r="O1040" i="27"/>
  <c r="O1041" i="27"/>
  <c r="O1042" i="27"/>
  <c r="O1043" i="27"/>
  <c r="O1044" i="27"/>
  <c r="O1045" i="27"/>
  <c r="O1046" i="27"/>
  <c r="O1047" i="27"/>
  <c r="O1048" i="27"/>
  <c r="O1049" i="27"/>
  <c r="O1050" i="27"/>
  <c r="O1051" i="27"/>
  <c r="O1052" i="27"/>
  <c r="O1053" i="27"/>
  <c r="O1054" i="27"/>
  <c r="O1055" i="27"/>
  <c r="O1056" i="27"/>
  <c r="O1057" i="27"/>
  <c r="O1058" i="27"/>
  <c r="O1059" i="27"/>
  <c r="O1060" i="27"/>
  <c r="O1061" i="27"/>
  <c r="O1062" i="27"/>
  <c r="O1063" i="27"/>
  <c r="O1064" i="27"/>
  <c r="O1065" i="27"/>
  <c r="O1066" i="27"/>
  <c r="O1067" i="27"/>
  <c r="O1068" i="27"/>
  <c r="O1069" i="27"/>
  <c r="O1070" i="27"/>
  <c r="O1071" i="27"/>
  <c r="O1072" i="27"/>
  <c r="O1073" i="27"/>
  <c r="O1074" i="27"/>
  <c r="O1075" i="27"/>
  <c r="O1076" i="27"/>
  <c r="O1077" i="27"/>
  <c r="O1078" i="27"/>
  <c r="O1079" i="27"/>
  <c r="O1080" i="27"/>
  <c r="O1081" i="27"/>
  <c r="O1082" i="27"/>
  <c r="O1083" i="27"/>
  <c r="O1084" i="27"/>
  <c r="O1085" i="27"/>
  <c r="O1086" i="27"/>
  <c r="O1087" i="27"/>
  <c r="O1088" i="27"/>
  <c r="O1089" i="27"/>
  <c r="O1090" i="27"/>
  <c r="O1091" i="27"/>
  <c r="O1092" i="27"/>
  <c r="O1093" i="27"/>
  <c r="O1094" i="27"/>
  <c r="O1095" i="27"/>
  <c r="O1096" i="27"/>
  <c r="O1097" i="27"/>
  <c r="O1098" i="27"/>
  <c r="O1099" i="27"/>
  <c r="O1100" i="27"/>
  <c r="O1101" i="27"/>
  <c r="O1102" i="27"/>
  <c r="O1103" i="27"/>
  <c r="O1104" i="27"/>
  <c r="O1105" i="27"/>
  <c r="O1106" i="27"/>
  <c r="O1107" i="27"/>
  <c r="O1108" i="27"/>
  <c r="O1109" i="27"/>
  <c r="O1110" i="27"/>
  <c r="O1111" i="27"/>
  <c r="O1112" i="27"/>
  <c r="O1113" i="27"/>
  <c r="O1114" i="27"/>
  <c r="O1115" i="27"/>
  <c r="O1116" i="27"/>
  <c r="O1117" i="27"/>
  <c r="O1118" i="27"/>
  <c r="O1119" i="27"/>
  <c r="O1120" i="27"/>
  <c r="O1121" i="27"/>
  <c r="O1122" i="27"/>
  <c r="O1123" i="27"/>
  <c r="O1124" i="27"/>
  <c r="O1125" i="27"/>
  <c r="O1126" i="27"/>
  <c r="O1127" i="27"/>
  <c r="O1128" i="27"/>
  <c r="O1129" i="27"/>
  <c r="O1130" i="27"/>
  <c r="O1131" i="27"/>
  <c r="O1132" i="27"/>
  <c r="O1133" i="27"/>
  <c r="O1134" i="27"/>
  <c r="O1135" i="27"/>
  <c r="O1136" i="27"/>
  <c r="O1137"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5" i="27"/>
  <c r="N336" i="27"/>
  <c r="N337" i="27"/>
  <c r="N338" i="27"/>
  <c r="N339" i="27"/>
  <c r="AS340" i="27" s="1"/>
  <c r="N340" i="27"/>
  <c r="N341" i="27"/>
  <c r="N342" i="27"/>
  <c r="N343" i="27"/>
  <c r="N344" i="27"/>
  <c r="N345" i="27"/>
  <c r="N346" i="27"/>
  <c r="N347" i="27"/>
  <c r="AT350" i="27" s="1"/>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AT385" i="27" s="1"/>
  <c r="N379" i="27"/>
  <c r="N380" i="27"/>
  <c r="AS386" i="27" s="1"/>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N404" i="27"/>
  <c r="N405" i="27"/>
  <c r="N406" i="27"/>
  <c r="N407" i="27"/>
  <c r="N408" i="27"/>
  <c r="AS411" i="27" s="1"/>
  <c r="N409" i="27"/>
  <c r="N410" i="27"/>
  <c r="N411" i="27"/>
  <c r="N412" i="27"/>
  <c r="N413" i="27"/>
  <c r="N414" i="27"/>
  <c r="N415" i="27"/>
  <c r="N416" i="27"/>
  <c r="N417" i="27"/>
  <c r="N418" i="27"/>
  <c r="N419" i="27"/>
  <c r="AS421" i="27" s="1"/>
  <c r="N420" i="27"/>
  <c r="N421" i="27"/>
  <c r="N422" i="27"/>
  <c r="N423" i="27"/>
  <c r="N424" i="27"/>
  <c r="N425" i="27"/>
  <c r="N426" i="27"/>
  <c r="N427" i="27"/>
  <c r="N428" i="27"/>
  <c r="AS428" i="27" s="1"/>
  <c r="N429" i="27"/>
  <c r="N430" i="27"/>
  <c r="N431" i="27"/>
  <c r="N432" i="27"/>
  <c r="N433" i="27"/>
  <c r="N434" i="27"/>
  <c r="N435" i="27"/>
  <c r="N436" i="27"/>
  <c r="N437" i="27"/>
  <c r="N438" i="27"/>
  <c r="N439" i="27"/>
  <c r="N440" i="27"/>
  <c r="N441" i="27"/>
  <c r="N442" i="27"/>
  <c r="AS441" i="27" s="1"/>
  <c r="N443" i="27"/>
  <c r="N444" i="27"/>
  <c r="N445" i="27"/>
  <c r="N446" i="27"/>
  <c r="N447" i="27"/>
  <c r="N448" i="27"/>
  <c r="N449" i="27"/>
  <c r="N450" i="27"/>
  <c r="N451" i="27"/>
  <c r="AS448" i="27" s="1"/>
  <c r="N452" i="27"/>
  <c r="AS447" i="27" s="1"/>
  <c r="N453" i="27"/>
  <c r="N454" i="27"/>
  <c r="N455" i="27"/>
  <c r="AT455" i="27" s="1"/>
  <c r="N456" i="27"/>
  <c r="N457" i="27"/>
  <c r="N458" i="27"/>
  <c r="AT457" i="27" s="1"/>
  <c r="N459" i="27"/>
  <c r="N460" i="27"/>
  <c r="N461" i="27"/>
  <c r="N462" i="27"/>
  <c r="N463" i="27"/>
  <c r="N464" i="27"/>
  <c r="N465" i="27"/>
  <c r="N466" i="27"/>
  <c r="N467" i="27"/>
  <c r="AT465" i="27" s="1"/>
  <c r="N468" i="27"/>
  <c r="AT468" i="27" s="1"/>
  <c r="N469" i="27"/>
  <c r="N470" i="27"/>
  <c r="N471" i="27"/>
  <c r="N472" i="27"/>
  <c r="N473" i="27"/>
  <c r="N474" i="27"/>
  <c r="N475" i="27"/>
  <c r="N476" i="27"/>
  <c r="N477" i="27"/>
  <c r="N478" i="27"/>
  <c r="N479" i="27"/>
  <c r="N480" i="27"/>
  <c r="N481" i="27"/>
  <c r="N482" i="27"/>
  <c r="N483" i="27"/>
  <c r="N484" i="27"/>
  <c r="N485" i="27"/>
  <c r="N486" i="27"/>
  <c r="N487" i="27"/>
  <c r="N488" i="27"/>
  <c r="N489" i="27"/>
  <c r="N490" i="27"/>
  <c r="N491" i="27"/>
  <c r="N492" i="27"/>
  <c r="N493" i="27"/>
  <c r="N494" i="27"/>
  <c r="N495" i="27"/>
  <c r="N496" i="27"/>
  <c r="N497" i="27"/>
  <c r="N498" i="27"/>
  <c r="AS491" i="27" s="1"/>
  <c r="N499" i="27"/>
  <c r="N500" i="27"/>
  <c r="AS492" i="27" s="1"/>
  <c r="N501" i="27"/>
  <c r="N502" i="27"/>
  <c r="N503" i="27"/>
  <c r="AS502" i="27" s="1"/>
  <c r="N504" i="27"/>
  <c r="N505" i="27"/>
  <c r="N506" i="27"/>
  <c r="N507" i="27"/>
  <c r="N508" i="27"/>
  <c r="AS509" i="27" s="1"/>
  <c r="N509" i="27"/>
  <c r="AS511" i="27" s="1"/>
  <c r="N510" i="27"/>
  <c r="N511" i="27"/>
  <c r="N512" i="27"/>
  <c r="N513" i="27"/>
  <c r="N514" i="27"/>
  <c r="N515" i="27"/>
  <c r="N516" i="27"/>
  <c r="N517" i="27"/>
  <c r="N518" i="27"/>
  <c r="N519" i="27"/>
  <c r="N520" i="27"/>
  <c r="N521" i="27"/>
  <c r="N522" i="27"/>
  <c r="N523" i="27"/>
  <c r="N524"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70" i="27"/>
  <c r="N571" i="27"/>
  <c r="N572" i="27"/>
  <c r="N573" i="27"/>
  <c r="N574" i="27"/>
  <c r="N575" i="27"/>
  <c r="N576" i="27"/>
  <c r="N577" i="27"/>
  <c r="N578" i="27"/>
  <c r="N579" i="27"/>
  <c r="N580" i="27"/>
  <c r="N581" i="27"/>
  <c r="N582" i="27"/>
  <c r="N583" i="27"/>
  <c r="N584" i="27"/>
  <c r="N585" i="27"/>
  <c r="N586" i="27"/>
  <c r="N587" i="27"/>
  <c r="N588" i="27"/>
  <c r="N589" i="27"/>
  <c r="N590" i="27"/>
  <c r="N591" i="27"/>
  <c r="N592" i="27"/>
  <c r="N593" i="27"/>
  <c r="N594" i="27"/>
  <c r="N595" i="27"/>
  <c r="N596" i="27"/>
  <c r="N597" i="27"/>
  <c r="N598" i="27"/>
  <c r="N599" i="27"/>
  <c r="N600" i="27"/>
  <c r="N601" i="27"/>
  <c r="N602" i="27"/>
  <c r="N603" i="27"/>
  <c r="N604" i="27"/>
  <c r="N605" i="27"/>
  <c r="N606" i="27"/>
  <c r="N607" i="27"/>
  <c r="N608" i="27"/>
  <c r="N609" i="27"/>
  <c r="N610" i="27"/>
  <c r="N611" i="27"/>
  <c r="N612" i="27"/>
  <c r="N613" i="27"/>
  <c r="N614" i="27"/>
  <c r="N615" i="27"/>
  <c r="N616" i="27"/>
  <c r="N617" i="27"/>
  <c r="N618" i="27"/>
  <c r="N619" i="27"/>
  <c r="N620" i="27"/>
  <c r="N621" i="27"/>
  <c r="N622" i="27"/>
  <c r="N623" i="27"/>
  <c r="N624" i="27"/>
  <c r="N625" i="27"/>
  <c r="N626" i="27"/>
  <c r="N627" i="27"/>
  <c r="N628" i="27"/>
  <c r="N629" i="27"/>
  <c r="N630" i="27"/>
  <c r="N631" i="27"/>
  <c r="N632" i="27"/>
  <c r="N633" i="27"/>
  <c r="N634" i="27"/>
  <c r="N635" i="27"/>
  <c r="N636" i="27"/>
  <c r="N637" i="27"/>
  <c r="N638" i="27"/>
  <c r="N639" i="27"/>
  <c r="N640" i="27"/>
  <c r="N641" i="27"/>
  <c r="N642" i="27"/>
  <c r="N643" i="27"/>
  <c r="N644" i="27"/>
  <c r="N645" i="27"/>
  <c r="N646" i="27"/>
  <c r="N647" i="27"/>
  <c r="N648" i="27"/>
  <c r="N649" i="27"/>
  <c r="N650" i="27"/>
  <c r="N651" i="27"/>
  <c r="N652" i="27"/>
  <c r="N653" i="27"/>
  <c r="N654" i="27"/>
  <c r="N655" i="27"/>
  <c r="N656" i="27"/>
  <c r="N657" i="27"/>
  <c r="N658" i="27"/>
  <c r="N659" i="27"/>
  <c r="N660" i="27"/>
  <c r="N661" i="27"/>
  <c r="N662" i="27"/>
  <c r="N663" i="27"/>
  <c r="N664" i="27"/>
  <c r="N665" i="27"/>
  <c r="N666" i="27"/>
  <c r="N667" i="27"/>
  <c r="N668" i="27"/>
  <c r="N669" i="27"/>
  <c r="N670" i="27"/>
  <c r="N671" i="27"/>
  <c r="N672" i="27"/>
  <c r="N673" i="27"/>
  <c r="N674" i="27"/>
  <c r="N675" i="27"/>
  <c r="N676" i="27"/>
  <c r="N677" i="27"/>
  <c r="N678" i="27"/>
  <c r="N679" i="27"/>
  <c r="N680" i="27"/>
  <c r="N681" i="27"/>
  <c r="N682" i="27"/>
  <c r="N683" i="27"/>
  <c r="N684" i="27"/>
  <c r="N685" i="27"/>
  <c r="N686" i="27"/>
  <c r="N687" i="27"/>
  <c r="N688" i="27"/>
  <c r="N689" i="27"/>
  <c r="N690" i="27"/>
  <c r="N691" i="27"/>
  <c r="N692" i="27"/>
  <c r="N693" i="27"/>
  <c r="N694" i="27"/>
  <c r="N695" i="27"/>
  <c r="N696" i="27"/>
  <c r="N697" i="27"/>
  <c r="N698" i="27"/>
  <c r="N699" i="27"/>
  <c r="N700" i="27"/>
  <c r="N701" i="27"/>
  <c r="N702" i="27"/>
  <c r="N703" i="27"/>
  <c r="N704" i="27"/>
  <c r="N705" i="27"/>
  <c r="N706" i="27"/>
  <c r="N707" i="27"/>
  <c r="N708" i="27"/>
  <c r="N709" i="27"/>
  <c r="N710" i="27"/>
  <c r="N711" i="27"/>
  <c r="N712" i="27"/>
  <c r="N713" i="27"/>
  <c r="N714" i="27"/>
  <c r="N715" i="27"/>
  <c r="N716" i="27"/>
  <c r="N717" i="27"/>
  <c r="N718" i="27"/>
  <c r="N719" i="27"/>
  <c r="N720" i="27"/>
  <c r="N721" i="27"/>
  <c r="N722" i="27"/>
  <c r="N723" i="27"/>
  <c r="N724" i="27"/>
  <c r="N725" i="27"/>
  <c r="N726" i="27"/>
  <c r="N727" i="27"/>
  <c r="N728" i="27"/>
  <c r="N729" i="27"/>
  <c r="N730" i="27"/>
  <c r="N731" i="27"/>
  <c r="N732" i="27"/>
  <c r="N733" i="27"/>
  <c r="N734" i="27"/>
  <c r="N735" i="27"/>
  <c r="N736" i="27"/>
  <c r="N737" i="27"/>
  <c r="N738" i="27"/>
  <c r="N739" i="27"/>
  <c r="N740" i="27"/>
  <c r="N741" i="27"/>
  <c r="N742" i="27"/>
  <c r="N743" i="27"/>
  <c r="N744" i="27"/>
  <c r="N745" i="27"/>
  <c r="N746" i="27"/>
  <c r="N747" i="27"/>
  <c r="N748" i="27"/>
  <c r="N749" i="27"/>
  <c r="N750" i="27"/>
  <c r="N751" i="27"/>
  <c r="N752" i="27"/>
  <c r="N753" i="27"/>
  <c r="N754" i="27"/>
  <c r="N755" i="27"/>
  <c r="N756" i="27"/>
  <c r="N757" i="27"/>
  <c r="N758" i="27"/>
  <c r="N759" i="27"/>
  <c r="N760" i="27"/>
  <c r="N761" i="27"/>
  <c r="N762" i="27"/>
  <c r="N763" i="27"/>
  <c r="N764" i="27"/>
  <c r="N765" i="27"/>
  <c r="N766" i="27"/>
  <c r="N767" i="27"/>
  <c r="N768" i="27"/>
  <c r="N769" i="27"/>
  <c r="N770" i="27"/>
  <c r="N771" i="27"/>
  <c r="N772" i="27"/>
  <c r="N773" i="27"/>
  <c r="N774" i="27"/>
  <c r="N775" i="27"/>
  <c r="N776" i="27"/>
  <c r="N777" i="27"/>
  <c r="N778" i="27"/>
  <c r="N779" i="27"/>
  <c r="N780" i="27"/>
  <c r="N781" i="27"/>
  <c r="N782" i="27"/>
  <c r="N783" i="27"/>
  <c r="N784" i="27"/>
  <c r="N785" i="27"/>
  <c r="N786" i="27"/>
  <c r="N787" i="27"/>
  <c r="N788" i="27"/>
  <c r="N789" i="27"/>
  <c r="N790" i="27"/>
  <c r="N791" i="27"/>
  <c r="N792" i="27"/>
  <c r="N793" i="27"/>
  <c r="N794" i="27"/>
  <c r="N795" i="27"/>
  <c r="N796" i="27"/>
  <c r="N797" i="27"/>
  <c r="N798" i="27"/>
  <c r="N799" i="27"/>
  <c r="N800" i="27"/>
  <c r="N801" i="27"/>
  <c r="N802" i="27"/>
  <c r="N803" i="27"/>
  <c r="N804" i="27"/>
  <c r="N805" i="27"/>
  <c r="N806" i="27"/>
  <c r="N807" i="27"/>
  <c r="N808" i="27"/>
  <c r="N809" i="27"/>
  <c r="N810" i="27"/>
  <c r="N811" i="27"/>
  <c r="N812" i="27"/>
  <c r="N813" i="27"/>
  <c r="N814" i="27"/>
  <c r="N815" i="27"/>
  <c r="N816" i="27"/>
  <c r="N817" i="27"/>
  <c r="N818" i="27"/>
  <c r="N819" i="27"/>
  <c r="N820" i="27"/>
  <c r="N821" i="27"/>
  <c r="N822" i="27"/>
  <c r="N823" i="27"/>
  <c r="N824" i="27"/>
  <c r="N825" i="27"/>
  <c r="N826" i="27"/>
  <c r="N827" i="27"/>
  <c r="N828" i="27"/>
  <c r="N829" i="27"/>
  <c r="N830" i="27"/>
  <c r="N831" i="27"/>
  <c r="N832" i="27"/>
  <c r="N833" i="27"/>
  <c r="N834" i="27"/>
  <c r="N835" i="27"/>
  <c r="N836" i="27"/>
  <c r="N837" i="27"/>
  <c r="N838" i="27"/>
  <c r="N839" i="27"/>
  <c r="N840" i="27"/>
  <c r="N841" i="27"/>
  <c r="N842" i="27"/>
  <c r="N843" i="27"/>
  <c r="N844" i="27"/>
  <c r="N845" i="27"/>
  <c r="N846" i="27"/>
  <c r="N847" i="27"/>
  <c r="N848" i="27"/>
  <c r="N849" i="27"/>
  <c r="N850" i="27"/>
  <c r="N851" i="27"/>
  <c r="N852" i="27"/>
  <c r="N853" i="27"/>
  <c r="N854" i="27"/>
  <c r="N855" i="27"/>
  <c r="N856" i="27"/>
  <c r="N857" i="27"/>
  <c r="N858" i="27"/>
  <c r="N859" i="27"/>
  <c r="N860" i="27"/>
  <c r="N861" i="27"/>
  <c r="N862" i="27"/>
  <c r="N863" i="27"/>
  <c r="N864" i="27"/>
  <c r="N865" i="27"/>
  <c r="N866" i="27"/>
  <c r="N867" i="27"/>
  <c r="N868" i="27"/>
  <c r="N869" i="27"/>
  <c r="N870" i="27"/>
  <c r="N871" i="27"/>
  <c r="N872" i="27"/>
  <c r="N873" i="27"/>
  <c r="N874" i="27"/>
  <c r="N875" i="27"/>
  <c r="N876" i="27"/>
  <c r="N877" i="27"/>
  <c r="N878" i="27"/>
  <c r="N879" i="27"/>
  <c r="N880" i="27"/>
  <c r="N881" i="27"/>
  <c r="N882" i="27"/>
  <c r="N883" i="27"/>
  <c r="N884" i="27"/>
  <c r="N885" i="27"/>
  <c r="N886" i="27"/>
  <c r="N887" i="27"/>
  <c r="N888" i="27"/>
  <c r="N889" i="27"/>
  <c r="N890" i="27"/>
  <c r="N891" i="27"/>
  <c r="N892" i="27"/>
  <c r="N893" i="27"/>
  <c r="N894" i="27"/>
  <c r="N895" i="27"/>
  <c r="N896" i="27"/>
  <c r="N897" i="27"/>
  <c r="N898" i="27"/>
  <c r="N899" i="27"/>
  <c r="N900" i="27"/>
  <c r="N901" i="27"/>
  <c r="N902" i="27"/>
  <c r="N903" i="27"/>
  <c r="N904" i="27"/>
  <c r="N905" i="27"/>
  <c r="N906" i="27"/>
  <c r="N907" i="27"/>
  <c r="N908" i="27"/>
  <c r="N909" i="27"/>
  <c r="N910" i="27"/>
  <c r="N911" i="27"/>
  <c r="N912" i="27"/>
  <c r="N913" i="27"/>
  <c r="N914" i="27"/>
  <c r="N915" i="27"/>
  <c r="N916" i="27"/>
  <c r="N917" i="27"/>
  <c r="N918" i="27"/>
  <c r="N919" i="27"/>
  <c r="N920" i="27"/>
  <c r="N921" i="27"/>
  <c r="N922" i="27"/>
  <c r="N923" i="27"/>
  <c r="N924" i="27"/>
  <c r="N925" i="27"/>
  <c r="N926" i="27"/>
  <c r="N927" i="27"/>
  <c r="N928" i="27"/>
  <c r="N929" i="27"/>
  <c r="N930" i="27"/>
  <c r="N931" i="27"/>
  <c r="N932" i="27"/>
  <c r="N933" i="27"/>
  <c r="N934" i="27"/>
  <c r="N935" i="27"/>
  <c r="N936" i="27"/>
  <c r="N937" i="27"/>
  <c r="N938" i="27"/>
  <c r="N939" i="27"/>
  <c r="N940" i="27"/>
  <c r="N941" i="27"/>
  <c r="N942" i="27"/>
  <c r="N943" i="27"/>
  <c r="N944" i="27"/>
  <c r="N945" i="27"/>
  <c r="N946" i="27"/>
  <c r="N947" i="27"/>
  <c r="N948" i="27"/>
  <c r="N949" i="27"/>
  <c r="N950" i="27"/>
  <c r="N951" i="27"/>
  <c r="N952" i="27"/>
  <c r="N953" i="27"/>
  <c r="N954" i="27"/>
  <c r="N955" i="27"/>
  <c r="N956" i="27"/>
  <c r="N957" i="27"/>
  <c r="N958" i="27"/>
  <c r="N959" i="27"/>
  <c r="N960" i="27"/>
  <c r="N961" i="27"/>
  <c r="N962" i="27"/>
  <c r="N963" i="27"/>
  <c r="N964" i="27"/>
  <c r="N965" i="27"/>
  <c r="N966" i="27"/>
  <c r="N967" i="27"/>
  <c r="N968" i="27"/>
  <c r="N969" i="27"/>
  <c r="N970" i="27"/>
  <c r="N971" i="27"/>
  <c r="N972" i="27"/>
  <c r="N973" i="27"/>
  <c r="N974" i="27"/>
  <c r="N975" i="27"/>
  <c r="N976" i="27"/>
  <c r="N977" i="27"/>
  <c r="N978" i="27"/>
  <c r="N979" i="27"/>
  <c r="N980" i="27"/>
  <c r="N981" i="27"/>
  <c r="N982" i="27"/>
  <c r="N983" i="27"/>
  <c r="N984" i="27"/>
  <c r="N985" i="27"/>
  <c r="N986" i="27"/>
  <c r="N987" i="27"/>
  <c r="N988" i="27"/>
  <c r="N989" i="27"/>
  <c r="N990" i="27"/>
  <c r="N991" i="27"/>
  <c r="N992" i="27"/>
  <c r="N993" i="27"/>
  <c r="N994" i="27"/>
  <c r="N995" i="27"/>
  <c r="N996" i="27"/>
  <c r="N997" i="27"/>
  <c r="N998" i="27"/>
  <c r="N999" i="27"/>
  <c r="N1000" i="27"/>
  <c r="N1001" i="27"/>
  <c r="N1002" i="27"/>
  <c r="N1003" i="27"/>
  <c r="N1004" i="27"/>
  <c r="N1005" i="27"/>
  <c r="N1006" i="27"/>
  <c r="N1007" i="27"/>
  <c r="N1008" i="27"/>
  <c r="N1009" i="27"/>
  <c r="N1010" i="27"/>
  <c r="N1011" i="27"/>
  <c r="N1012" i="27"/>
  <c r="N1013" i="27"/>
  <c r="N1014" i="27"/>
  <c r="N1015" i="27"/>
  <c r="N1016" i="27"/>
  <c r="N1017" i="27"/>
  <c r="N1018" i="27"/>
  <c r="N1019" i="27"/>
  <c r="N1020" i="27"/>
  <c r="N1021" i="27"/>
  <c r="N1022" i="27"/>
  <c r="N1023" i="27"/>
  <c r="N1024" i="27"/>
  <c r="N1025" i="27"/>
  <c r="N1026" i="27"/>
  <c r="N1027" i="27"/>
  <c r="N1028" i="27"/>
  <c r="N1029" i="27"/>
  <c r="N1030" i="27"/>
  <c r="N1031" i="27"/>
  <c r="N1032" i="27"/>
  <c r="N1033" i="27"/>
  <c r="N1034" i="27"/>
  <c r="N1035" i="27"/>
  <c r="N1036" i="27"/>
  <c r="N1037" i="27"/>
  <c r="N1038" i="27"/>
  <c r="N1039" i="27"/>
  <c r="N1040" i="27"/>
  <c r="N1041" i="27"/>
  <c r="N1042" i="27"/>
  <c r="N1043" i="27"/>
  <c r="N1044" i="27"/>
  <c r="N1045" i="27"/>
  <c r="N1046" i="27"/>
  <c r="N1047" i="27"/>
  <c r="N1048" i="27"/>
  <c r="N1049" i="27"/>
  <c r="N1050" i="27"/>
  <c r="N1051" i="27"/>
  <c r="N1052" i="27"/>
  <c r="N1053" i="27"/>
  <c r="N1054" i="27"/>
  <c r="N1055" i="27"/>
  <c r="N1056" i="27"/>
  <c r="N1057" i="27"/>
  <c r="N1058" i="27"/>
  <c r="N1059" i="27"/>
  <c r="N1060" i="27"/>
  <c r="N1061" i="27"/>
  <c r="N1062" i="27"/>
  <c r="N1063" i="27"/>
  <c r="N1064" i="27"/>
  <c r="N1065" i="27"/>
  <c r="N1066" i="27"/>
  <c r="N1067" i="27"/>
  <c r="N1068" i="27"/>
  <c r="N1069" i="27"/>
  <c r="N1070" i="27"/>
  <c r="N1071" i="27"/>
  <c r="N1072" i="27"/>
  <c r="N1073" i="27"/>
  <c r="N1074" i="27"/>
  <c r="N1075" i="27"/>
  <c r="N1076" i="27"/>
  <c r="N1077" i="27"/>
  <c r="N1078" i="27"/>
  <c r="N1079" i="27"/>
  <c r="N1080" i="27"/>
  <c r="N1081" i="27"/>
  <c r="N1082" i="27"/>
  <c r="N1083" i="27"/>
  <c r="N1084" i="27"/>
  <c r="N1085" i="27"/>
  <c r="N1086" i="27"/>
  <c r="N1087" i="27"/>
  <c r="N1088" i="27"/>
  <c r="N1089" i="27"/>
  <c r="N1090" i="27"/>
  <c r="N1091" i="27"/>
  <c r="N1092" i="27"/>
  <c r="N1093" i="27"/>
  <c r="N1094" i="27"/>
  <c r="N1095" i="27"/>
  <c r="N1096" i="27"/>
  <c r="N1097" i="27"/>
  <c r="N1098" i="27"/>
  <c r="N1099" i="27"/>
  <c r="N1100" i="27"/>
  <c r="N1101" i="27"/>
  <c r="N1102" i="27"/>
  <c r="N1103" i="27"/>
  <c r="N1104" i="27"/>
  <c r="N1105" i="27"/>
  <c r="N1106" i="27"/>
  <c r="N1107" i="27"/>
  <c r="N1108" i="27"/>
  <c r="N1109" i="27"/>
  <c r="N1110" i="27"/>
  <c r="N1111" i="27"/>
  <c r="N1112" i="27"/>
  <c r="N1113" i="27"/>
  <c r="N1114" i="27"/>
  <c r="N1115" i="27"/>
  <c r="N1116" i="27"/>
  <c r="N1117" i="27"/>
  <c r="N1118" i="27"/>
  <c r="N1119" i="27"/>
  <c r="N1120" i="27"/>
  <c r="N1121" i="27"/>
  <c r="N1122" i="27"/>
  <c r="N1123" i="27"/>
  <c r="N1124" i="27"/>
  <c r="N1125" i="27"/>
  <c r="N1126" i="27"/>
  <c r="N1127" i="27"/>
  <c r="N1128" i="27"/>
  <c r="N1129" i="27"/>
  <c r="N1130" i="27"/>
  <c r="N1131" i="27"/>
  <c r="N1132" i="27"/>
  <c r="N1133" i="27"/>
  <c r="N1134" i="27"/>
  <c r="N1135" i="27"/>
  <c r="N1136" i="27"/>
  <c r="N1137" i="27"/>
  <c r="AS378" i="27" l="1"/>
  <c r="AS329" i="27"/>
  <c r="AS322" i="27"/>
  <c r="AT394" i="27"/>
  <c r="AS368" i="27"/>
  <c r="AS456" i="27"/>
  <c r="AS485" i="27"/>
  <c r="AS432" i="27"/>
  <c r="AT494" i="27"/>
  <c r="AT458" i="27"/>
  <c r="AT448" i="27"/>
  <c r="AS455" i="27"/>
  <c r="AS403" i="27"/>
  <c r="AT475" i="27"/>
  <c r="AT366" i="27"/>
  <c r="AS414" i="27"/>
  <c r="AS476" i="27"/>
  <c r="AT437" i="27"/>
  <c r="AT404" i="27"/>
  <c r="AT469" i="27"/>
  <c r="AS394" i="27"/>
  <c r="AS482" i="27"/>
  <c r="AS401" i="27"/>
  <c r="AS365" i="27"/>
  <c r="AS510" i="27"/>
  <c r="AT509" i="27"/>
  <c r="AT510" i="27"/>
  <c r="AS503" i="27"/>
  <c r="AT500" i="27"/>
  <c r="AT503" i="27"/>
  <c r="AT502" i="27"/>
  <c r="AS501" i="27"/>
  <c r="AT501" i="27"/>
  <c r="AS500" i="27"/>
  <c r="AT492" i="27"/>
  <c r="AS494" i="27"/>
  <c r="AT493" i="27"/>
  <c r="AT491" i="27"/>
  <c r="AT484" i="27"/>
  <c r="AT483" i="27"/>
  <c r="AT485" i="27"/>
  <c r="AS483" i="27"/>
  <c r="AS484" i="27"/>
  <c r="AT482" i="27"/>
  <c r="AT474" i="27"/>
  <c r="AS475" i="27"/>
  <c r="AT477" i="27"/>
  <c r="AS473" i="27"/>
  <c r="AT476" i="27"/>
  <c r="AS474" i="27"/>
  <c r="AS477" i="27"/>
  <c r="AS478" i="27"/>
  <c r="AT473" i="27"/>
  <c r="AT478" i="27"/>
  <c r="AS468" i="27"/>
  <c r="AS469" i="27"/>
  <c r="AS466" i="27"/>
  <c r="AT467" i="27"/>
  <c r="AT466" i="27"/>
  <c r="AS465" i="27"/>
  <c r="AT464" i="27"/>
  <c r="AS467" i="27"/>
  <c r="AS464" i="27"/>
  <c r="AS457" i="27"/>
  <c r="AS458" i="27"/>
  <c r="AT456" i="27"/>
  <c r="AS449" i="27"/>
  <c r="AT449" i="27"/>
  <c r="AT446" i="27"/>
  <c r="AT447" i="27"/>
  <c r="AS446" i="27"/>
  <c r="AS439" i="27"/>
  <c r="AT440" i="27"/>
  <c r="AS437" i="27"/>
  <c r="AT441" i="27"/>
  <c r="AT439" i="27"/>
  <c r="AT438" i="27"/>
  <c r="AS440" i="27"/>
  <c r="AS438" i="27"/>
  <c r="AS430" i="27"/>
  <c r="AT432" i="27"/>
  <c r="AS431" i="27"/>
  <c r="AT430" i="27"/>
  <c r="AT429" i="27"/>
  <c r="AS429" i="27"/>
  <c r="AT428" i="27"/>
  <c r="AT431" i="27"/>
  <c r="AS420" i="27"/>
  <c r="AT420" i="27"/>
  <c r="AS423" i="27"/>
  <c r="AT423" i="27"/>
  <c r="AS419" i="27"/>
  <c r="AS422" i="27"/>
  <c r="AT422" i="27"/>
  <c r="AT421" i="27"/>
  <c r="AT419" i="27"/>
  <c r="AT414" i="27"/>
  <c r="AS412" i="27"/>
  <c r="AT413" i="27"/>
  <c r="AS413" i="27"/>
  <c r="AT410" i="27"/>
  <c r="AS410" i="27"/>
  <c r="AT411" i="27"/>
  <c r="AT412" i="27"/>
  <c r="AS405" i="27"/>
  <c r="AS402" i="27"/>
  <c r="AT402" i="27"/>
  <c r="AT405" i="27"/>
  <c r="AT401" i="27"/>
  <c r="AT403" i="27"/>
  <c r="AS404" i="27"/>
  <c r="AT392" i="27"/>
  <c r="AS393" i="27"/>
  <c r="AT393" i="27"/>
  <c r="AT396" i="27"/>
  <c r="AS396" i="27"/>
  <c r="AT395" i="27"/>
  <c r="AS392" i="27"/>
  <c r="AS387" i="27"/>
  <c r="AT384" i="27"/>
  <c r="AS384" i="27"/>
  <c r="AT387" i="27"/>
  <c r="AS385" i="27"/>
  <c r="AT386" i="27"/>
  <c r="AT383" i="27"/>
  <c r="AS383" i="27"/>
  <c r="AS377" i="27"/>
  <c r="AS375" i="27"/>
  <c r="AS374" i="27"/>
  <c r="AT375" i="27"/>
  <c r="AT378" i="27"/>
  <c r="AT377" i="27"/>
  <c r="AS376" i="27"/>
  <c r="AT374" i="27"/>
  <c r="AT376" i="27"/>
  <c r="AS367" i="27"/>
  <c r="AT368" i="27"/>
  <c r="AT365" i="27"/>
  <c r="AT367" i="27"/>
  <c r="AS366" i="27"/>
  <c r="AT323" i="27"/>
  <c r="AS356" i="27"/>
  <c r="AT322" i="27"/>
  <c r="AT286" i="27"/>
  <c r="AS296" i="27"/>
  <c r="AS357" i="27"/>
  <c r="AS358" i="27"/>
  <c r="AS348" i="27"/>
  <c r="AT329" i="27"/>
  <c r="AT304" i="27"/>
  <c r="AT295" i="27"/>
  <c r="AS294" i="27"/>
  <c r="AT341" i="27"/>
  <c r="AS339" i="27"/>
  <c r="AS321" i="27"/>
  <c r="AT151" i="27"/>
  <c r="AS293" i="27"/>
  <c r="AS251" i="27"/>
  <c r="AT332" i="27"/>
  <c r="AS350" i="27"/>
  <c r="AS338" i="27"/>
  <c r="AS331" i="27"/>
  <c r="AS320" i="27"/>
  <c r="AS303" i="27"/>
  <c r="AT294" i="27"/>
  <c r="AT296" i="27"/>
  <c r="AS151" i="27"/>
  <c r="AT356" i="27"/>
  <c r="AT358" i="27"/>
  <c r="AS359" i="27"/>
  <c r="AT359" i="27"/>
  <c r="AT357" i="27"/>
  <c r="AS349" i="27"/>
  <c r="AT349" i="27"/>
  <c r="AT348" i="27"/>
  <c r="AT347" i="27"/>
  <c r="AS347" i="27"/>
  <c r="AS341" i="27"/>
  <c r="AT340" i="27"/>
  <c r="AT338" i="27"/>
  <c r="AT339" i="27"/>
  <c r="AT331" i="27"/>
  <c r="AS330" i="27"/>
  <c r="AS332" i="27"/>
  <c r="AT330" i="27"/>
  <c r="AS323" i="27"/>
  <c r="AT320" i="27"/>
  <c r="AT321" i="27"/>
  <c r="AT312" i="27"/>
  <c r="AS313" i="27"/>
  <c r="AS314" i="27"/>
  <c r="AS312" i="27"/>
  <c r="AS311" i="27"/>
  <c r="AT313" i="27"/>
  <c r="AT311" i="27"/>
  <c r="AT314" i="27"/>
  <c r="AT303" i="27"/>
  <c r="AS305" i="27"/>
  <c r="AT305" i="27"/>
  <c r="AS304" i="27"/>
  <c r="AS302" i="27"/>
  <c r="AT293" i="27"/>
  <c r="AS295" i="27"/>
  <c r="AT287" i="27"/>
  <c r="AS286" i="27"/>
  <c r="AS287" i="27"/>
  <c r="AS285" i="27"/>
  <c r="AT285" i="27"/>
  <c r="AT284" i="27"/>
  <c r="AS284" i="27"/>
  <c r="AS152" i="27"/>
  <c r="AT152" i="27"/>
  <c r="AT233" i="27"/>
  <c r="AS95" i="27"/>
  <c r="AT150" i="27"/>
  <c r="AS266" i="27"/>
  <c r="AS97" i="27"/>
  <c r="AS241" i="27"/>
  <c r="AS223" i="27"/>
  <c r="AT97" i="27"/>
  <c r="AT98" i="27"/>
  <c r="AS250" i="27"/>
  <c r="AS275" i="27"/>
  <c r="AT231" i="27"/>
  <c r="AT278" i="27"/>
  <c r="AS150" i="27"/>
  <c r="AS267" i="27"/>
  <c r="AT260" i="27"/>
  <c r="AT95" i="27"/>
  <c r="AS53" i="27"/>
  <c r="AS221" i="27"/>
  <c r="AT69" i="27"/>
  <c r="AS240" i="27"/>
  <c r="AS232" i="27"/>
  <c r="AS214" i="27"/>
  <c r="AS98" i="27"/>
  <c r="AS233" i="27"/>
  <c r="AT213" i="27"/>
  <c r="AT188" i="27"/>
  <c r="AT116" i="27"/>
  <c r="AS96" i="27"/>
  <c r="AS88" i="27"/>
  <c r="AS44" i="27"/>
  <c r="AS259" i="27"/>
  <c r="AS249" i="27"/>
  <c r="AS213" i="27"/>
  <c r="AS179" i="27"/>
  <c r="AT96" i="27"/>
  <c r="AS70" i="27"/>
  <c r="AT50" i="27"/>
  <c r="AS260" i="27"/>
  <c r="AS230" i="27"/>
  <c r="AT276" i="27"/>
  <c r="AT277" i="27"/>
  <c r="AT275" i="27"/>
  <c r="AS276" i="27"/>
  <c r="AS277" i="27"/>
  <c r="AT266" i="27"/>
  <c r="AS268" i="27"/>
  <c r="AT268" i="27"/>
  <c r="AS269" i="27"/>
  <c r="AT269" i="27"/>
  <c r="AT267" i="27"/>
  <c r="AT258" i="27"/>
  <c r="AS258" i="27"/>
  <c r="AT259" i="27"/>
  <c r="AT257" i="27"/>
  <c r="AS257" i="27"/>
  <c r="AT249" i="27"/>
  <c r="AT248" i="27"/>
  <c r="AT250" i="27"/>
  <c r="AT251" i="27"/>
  <c r="AS248" i="27"/>
  <c r="AT239" i="27"/>
  <c r="AT241" i="27"/>
  <c r="AS239" i="27"/>
  <c r="AS242" i="27"/>
  <c r="AT242" i="27"/>
  <c r="AT240" i="27"/>
  <c r="AT131" i="27"/>
  <c r="AS231" i="27"/>
  <c r="AT232" i="27"/>
  <c r="AT230" i="27"/>
  <c r="AT223" i="27"/>
  <c r="AT221" i="27"/>
  <c r="AS224" i="27"/>
  <c r="AT224" i="27"/>
  <c r="AS222" i="27"/>
  <c r="AT222" i="27"/>
  <c r="AS215" i="27"/>
  <c r="AT215" i="27"/>
  <c r="AT214" i="27"/>
  <c r="AT212" i="27"/>
  <c r="AS212" i="27"/>
  <c r="AS204" i="27"/>
  <c r="AS205" i="27"/>
  <c r="AT205" i="27"/>
  <c r="AS203" i="27"/>
  <c r="AS206" i="27"/>
  <c r="AT206" i="27"/>
  <c r="AT203" i="27"/>
  <c r="AT204" i="27"/>
  <c r="AS278" i="27"/>
  <c r="AS196" i="27"/>
  <c r="AT194" i="27"/>
  <c r="AT52" i="27"/>
  <c r="AT125" i="27"/>
  <c r="AS87" i="27"/>
  <c r="AT77" i="27"/>
  <c r="AS32" i="27"/>
  <c r="AS170" i="27"/>
  <c r="AS77" i="27"/>
  <c r="AT59" i="27"/>
  <c r="AS89" i="27"/>
  <c r="AS34" i="27"/>
  <c r="AT169" i="27"/>
  <c r="AS141" i="27"/>
  <c r="AT32" i="27"/>
  <c r="AT68" i="27"/>
  <c r="AS69" i="27"/>
  <c r="AT196" i="27"/>
  <c r="AS149" i="27"/>
  <c r="AT88" i="27"/>
  <c r="AS60" i="27"/>
  <c r="AT62" i="27"/>
  <c r="AT80" i="27"/>
  <c r="AS197" i="27"/>
  <c r="AS194" i="27"/>
  <c r="AT197" i="27"/>
  <c r="AT186" i="27"/>
  <c r="AT185" i="27"/>
  <c r="AS187" i="27"/>
  <c r="AT187" i="27"/>
  <c r="AS185" i="27"/>
  <c r="AS188" i="27"/>
  <c r="AS186" i="27"/>
  <c r="AS176" i="27"/>
  <c r="AS177" i="27"/>
  <c r="AS178" i="27"/>
  <c r="AT178" i="27"/>
  <c r="AT179" i="27"/>
  <c r="AT176" i="27"/>
  <c r="AS169" i="27"/>
  <c r="AS168" i="27"/>
  <c r="AS167" i="27"/>
  <c r="AT170" i="27"/>
  <c r="AT167" i="27"/>
  <c r="AT168" i="27"/>
  <c r="AT159" i="27"/>
  <c r="AT161" i="27"/>
  <c r="AS158" i="27"/>
  <c r="AS161" i="27"/>
  <c r="AS159" i="27"/>
  <c r="AS160" i="27"/>
  <c r="AT160" i="27"/>
  <c r="AT158" i="27"/>
  <c r="AT142" i="27"/>
  <c r="AT149" i="27"/>
  <c r="AS142" i="27"/>
  <c r="AS143" i="27"/>
  <c r="AT143" i="27"/>
  <c r="AT141" i="27"/>
  <c r="AT140" i="27"/>
  <c r="AS140" i="27"/>
  <c r="AT133" i="27"/>
  <c r="AT134" i="27"/>
  <c r="AS134" i="27"/>
  <c r="AS132" i="27"/>
  <c r="AS131" i="27"/>
  <c r="AS133" i="27"/>
  <c r="AT132" i="27"/>
  <c r="AS124" i="27"/>
  <c r="AT115" i="27"/>
  <c r="AS125" i="27"/>
  <c r="AS123" i="27"/>
  <c r="AT124" i="27"/>
  <c r="AS122" i="27"/>
  <c r="AT177" i="27"/>
  <c r="AT122" i="27"/>
  <c r="AT123" i="27"/>
  <c r="AS115" i="27"/>
  <c r="AS116" i="27"/>
  <c r="AS114" i="27"/>
  <c r="AT113" i="27"/>
  <c r="AS113" i="27"/>
  <c r="AT114" i="27"/>
  <c r="AS106" i="27"/>
  <c r="AS104" i="27"/>
  <c r="AT104" i="27"/>
  <c r="AT106" i="27"/>
  <c r="AS105" i="27"/>
  <c r="AS107" i="27"/>
  <c r="AT107" i="27"/>
  <c r="AT105" i="27"/>
  <c r="AT86" i="27"/>
  <c r="AS86" i="27"/>
  <c r="AT89" i="27"/>
  <c r="AT87" i="27"/>
  <c r="AS80" i="27"/>
  <c r="AS71" i="27"/>
  <c r="AT71" i="27"/>
  <c r="AT70" i="27"/>
  <c r="AS68" i="27"/>
  <c r="AT61" i="27"/>
  <c r="AS59" i="27"/>
  <c r="AS62" i="27"/>
  <c r="AT60" i="27"/>
  <c r="AS61" i="27"/>
  <c r="AS52" i="27"/>
  <c r="AS51" i="27"/>
  <c r="AS50" i="27"/>
  <c r="AT53" i="27"/>
  <c r="AT51" i="27"/>
  <c r="AT42" i="27"/>
  <c r="AS43" i="27"/>
  <c r="AS42" i="27"/>
  <c r="AT43" i="27"/>
  <c r="AT41" i="27"/>
  <c r="AT44" i="27"/>
  <c r="AS41" i="27"/>
  <c r="AS35" i="27"/>
  <c r="AT34" i="27"/>
  <c r="AS33" i="27"/>
  <c r="AT35" i="27"/>
  <c r="AT33" i="27"/>
  <c r="AT26" i="27"/>
  <c r="AT25" i="27"/>
  <c r="AT78" i="27"/>
  <c r="M1135" i="27"/>
  <c r="W1135" i="27" s="1"/>
  <c r="M1119" i="27"/>
  <c r="W1119" i="27" s="1"/>
  <c r="M1103" i="27"/>
  <c r="X1103" i="27" s="1"/>
  <c r="M1087" i="27"/>
  <c r="U1087" i="27" s="1"/>
  <c r="M1071" i="27"/>
  <c r="W1071" i="27" s="1"/>
  <c r="M1055" i="27"/>
  <c r="T1055" i="27" s="1"/>
  <c r="M1039" i="27"/>
  <c r="M1023" i="27"/>
  <c r="U1023" i="27" s="1"/>
  <c r="M1007" i="27"/>
  <c r="U1007" i="27" s="1"/>
  <c r="M991" i="27"/>
  <c r="W991" i="27" s="1"/>
  <c r="M975" i="27"/>
  <c r="M951" i="27"/>
  <c r="U951" i="27" s="1"/>
  <c r="M935" i="27"/>
  <c r="X935" i="27" s="1"/>
  <c r="M927" i="27"/>
  <c r="S927" i="27" s="1"/>
  <c r="AS78" i="27"/>
  <c r="M1137" i="27"/>
  <c r="R1137" i="27" s="1"/>
  <c r="M1129" i="27"/>
  <c r="W1129" i="27" s="1"/>
  <c r="M1121" i="27"/>
  <c r="U1121" i="27" s="1"/>
  <c r="M1113" i="27"/>
  <c r="M1105" i="27"/>
  <c r="X1105" i="27" s="1"/>
  <c r="M1097" i="27"/>
  <c r="W1097" i="27" s="1"/>
  <c r="M1089" i="27"/>
  <c r="U1089" i="27" s="1"/>
  <c r="M1081" i="27"/>
  <c r="T1081" i="27" s="1"/>
  <c r="M1073" i="27"/>
  <c r="X1073" i="27" s="1"/>
  <c r="M1065" i="27"/>
  <c r="U1065" i="27" s="1"/>
  <c r="M1057" i="27"/>
  <c r="U1057" i="27" s="1"/>
  <c r="M1049" i="27"/>
  <c r="W1049" i="27" s="1"/>
  <c r="M1041" i="27"/>
  <c r="X1041" i="27" s="1"/>
  <c r="M1033" i="27"/>
  <c r="R1033" i="27" s="1"/>
  <c r="M1025" i="27"/>
  <c r="U1025" i="27" s="1"/>
  <c r="M1017" i="27"/>
  <c r="T1017" i="27" s="1"/>
  <c r="M1009" i="27"/>
  <c r="X1009" i="27" s="1"/>
  <c r="M1001" i="27"/>
  <c r="W1001" i="27" s="1"/>
  <c r="M993" i="27"/>
  <c r="U993" i="27" s="1"/>
  <c r="M985" i="27"/>
  <c r="W985" i="27" s="1"/>
  <c r="M977" i="27"/>
  <c r="X977" i="27" s="1"/>
  <c r="M969" i="27"/>
  <c r="W969" i="27" s="1"/>
  <c r="M961" i="27"/>
  <c r="U961" i="27" s="1"/>
  <c r="M953" i="27"/>
  <c r="X953" i="27" s="1"/>
  <c r="M945" i="27"/>
  <c r="R945" i="27" s="1"/>
  <c r="M937" i="27"/>
  <c r="T937" i="27" s="1"/>
  <c r="M929" i="27"/>
  <c r="W929" i="27" s="1"/>
  <c r="M921" i="27"/>
  <c r="M1127" i="27"/>
  <c r="W1127" i="27" s="1"/>
  <c r="M1111" i="27"/>
  <c r="S1111" i="27" s="1"/>
  <c r="M1095" i="27"/>
  <c r="R1095" i="27" s="1"/>
  <c r="M1079" i="27"/>
  <c r="S1079" i="27" s="1"/>
  <c r="M1063" i="27"/>
  <c r="U1063" i="27" s="1"/>
  <c r="M1047" i="27"/>
  <c r="R1047" i="27" s="1"/>
  <c r="M1031" i="27"/>
  <c r="T1031" i="27" s="1"/>
  <c r="M1015" i="27"/>
  <c r="M999" i="27"/>
  <c r="U999" i="27" s="1"/>
  <c r="M983" i="27"/>
  <c r="R983" i="27" s="1"/>
  <c r="M967" i="27"/>
  <c r="X967" i="27" s="1"/>
  <c r="M959" i="27"/>
  <c r="S959" i="27" s="1"/>
  <c r="M943" i="27"/>
  <c r="W943" i="27" s="1"/>
  <c r="M919" i="27"/>
  <c r="R919" i="27" s="1"/>
  <c r="M1130" i="27"/>
  <c r="W1130" i="27" s="1"/>
  <c r="M1122" i="27"/>
  <c r="M1114" i="27"/>
  <c r="U1114" i="27" s="1"/>
  <c r="M1106" i="27"/>
  <c r="X1106" i="27" s="1"/>
  <c r="M1098" i="27"/>
  <c r="W1098" i="27" s="1"/>
  <c r="M1090" i="27"/>
  <c r="X1090" i="27" s="1"/>
  <c r="M1082" i="27"/>
  <c r="U1082" i="27" s="1"/>
  <c r="M1074" i="27"/>
  <c r="R1074" i="27" s="1"/>
  <c r="M1066" i="27"/>
  <c r="W1066" i="27" s="1"/>
  <c r="M1058" i="27"/>
  <c r="M1050" i="27"/>
  <c r="U1050" i="27" s="1"/>
  <c r="M1042" i="27"/>
  <c r="S1042" i="27" s="1"/>
  <c r="M1034" i="27"/>
  <c r="W1034" i="27" s="1"/>
  <c r="M1026" i="27"/>
  <c r="X1026" i="27" s="1"/>
  <c r="M1018" i="27"/>
  <c r="U1018" i="27" s="1"/>
  <c r="M1010" i="27"/>
  <c r="R1010" i="27" s="1"/>
  <c r="M1002" i="27"/>
  <c r="T1002" i="27" s="1"/>
  <c r="M994" i="27"/>
  <c r="M986" i="27"/>
  <c r="U986" i="27" s="1"/>
  <c r="M978" i="27"/>
  <c r="T978" i="27" s="1"/>
  <c r="M970" i="27"/>
  <c r="T970" i="27" s="1"/>
  <c r="M962" i="27"/>
  <c r="T962" i="27" s="1"/>
  <c r="M954" i="27"/>
  <c r="U954" i="27" s="1"/>
  <c r="M946" i="27"/>
  <c r="R946" i="27" s="1"/>
  <c r="M938" i="27"/>
  <c r="U938" i="27" s="1"/>
  <c r="M930" i="27"/>
  <c r="T930" i="27" s="1"/>
  <c r="M922" i="27"/>
  <c r="U922" i="27" s="1"/>
  <c r="M1136" i="27"/>
  <c r="S1136" i="27" s="1"/>
  <c r="M1120" i="27"/>
  <c r="W1120" i="27" s="1"/>
  <c r="M1112" i="27"/>
  <c r="S1112" i="27" s="1"/>
  <c r="M1096" i="27"/>
  <c r="W1096" i="27" s="1"/>
  <c r="M1088" i="27"/>
  <c r="X1088" i="27" s="1"/>
  <c r="M1080" i="27"/>
  <c r="T1080" i="27" s="1"/>
  <c r="M1072" i="27"/>
  <c r="M1064" i="27"/>
  <c r="X1064" i="27" s="1"/>
  <c r="M1056" i="27"/>
  <c r="T1056" i="27" s="1"/>
  <c r="M1048" i="27"/>
  <c r="R1048" i="27" s="1"/>
  <c r="M1040" i="27"/>
  <c r="R1040" i="27" s="1"/>
  <c r="M1032" i="27"/>
  <c r="T1032" i="27" s="1"/>
  <c r="M1024" i="27"/>
  <c r="X1024" i="27" s="1"/>
  <c r="M1016" i="27"/>
  <c r="X1016" i="27" s="1"/>
  <c r="M1008" i="27"/>
  <c r="R1008" i="27" s="1"/>
  <c r="M1000" i="27"/>
  <c r="X1000" i="27" s="1"/>
  <c r="M992" i="27"/>
  <c r="M984" i="27"/>
  <c r="S984" i="27" s="1"/>
  <c r="M976" i="27"/>
  <c r="U976" i="27" s="1"/>
  <c r="M968" i="27"/>
  <c r="X968" i="27" s="1"/>
  <c r="M960" i="27"/>
  <c r="M952" i="27"/>
  <c r="R952" i="27" s="1"/>
  <c r="M944" i="27"/>
  <c r="S944" i="27" s="1"/>
  <c r="M936" i="27"/>
  <c r="X936" i="27" s="1"/>
  <c r="M928" i="27"/>
  <c r="U928" i="27" s="1"/>
  <c r="M920" i="27"/>
  <c r="R920" i="27" s="1"/>
  <c r="M1128" i="27"/>
  <c r="M1104" i="27"/>
  <c r="R1104" i="27" s="1"/>
  <c r="M1125" i="27"/>
  <c r="R1125" i="27" s="1"/>
  <c r="M1093" i="27"/>
  <c r="W1093" i="27" s="1"/>
  <c r="M1077" i="27"/>
  <c r="T1077" i="27" s="1"/>
  <c r="M1061" i="27"/>
  <c r="U1061" i="27" s="1"/>
  <c r="M1045" i="27"/>
  <c r="W1045" i="27" s="1"/>
  <c r="M1037" i="27"/>
  <c r="T1037" i="27" s="1"/>
  <c r="M1021" i="27"/>
  <c r="M1013" i="27"/>
  <c r="R1013" i="27" s="1"/>
  <c r="M1005" i="27"/>
  <c r="M997" i="27"/>
  <c r="M989" i="27"/>
  <c r="W989" i="27" s="1"/>
  <c r="M981" i="27"/>
  <c r="R981" i="27" s="1"/>
  <c r="M973" i="27"/>
  <c r="X973" i="27" s="1"/>
  <c r="M965" i="27"/>
  <c r="U965" i="27" s="1"/>
  <c r="M957" i="27"/>
  <c r="S957" i="27" s="1"/>
  <c r="M949" i="27"/>
  <c r="R949" i="27" s="1"/>
  <c r="M941" i="27"/>
  <c r="X941" i="27" s="1"/>
  <c r="M933" i="27"/>
  <c r="M925" i="27"/>
  <c r="W925" i="27" s="1"/>
  <c r="M1133" i="27"/>
  <c r="W1133" i="27" s="1"/>
  <c r="M1117" i="27"/>
  <c r="X1117" i="27" s="1"/>
  <c r="M1101" i="27"/>
  <c r="U1101" i="27" s="1"/>
  <c r="M1085" i="27"/>
  <c r="U1085" i="27" s="1"/>
  <c r="M1069" i="27"/>
  <c r="R1069" i="27" s="1"/>
  <c r="M1053" i="27"/>
  <c r="U1053" i="27" s="1"/>
  <c r="M1029" i="27"/>
  <c r="M1109" i="27"/>
  <c r="U1109" i="27" s="1"/>
  <c r="AS26" i="27"/>
  <c r="AT24" i="27"/>
  <c r="AS25" i="27"/>
  <c r="AT23" i="27"/>
  <c r="AS24" i="27"/>
  <c r="AS23" i="27"/>
  <c r="M1134" i="27"/>
  <c r="M1126" i="27"/>
  <c r="S1126" i="27" s="1"/>
  <c r="M1118" i="27"/>
  <c r="M1110" i="27"/>
  <c r="X1110" i="27" s="1"/>
  <c r="M1102" i="27"/>
  <c r="M1094" i="27"/>
  <c r="M1086" i="27"/>
  <c r="M1078" i="27"/>
  <c r="M1070" i="27"/>
  <c r="M1062" i="27"/>
  <c r="U1062" i="27" s="1"/>
  <c r="M1054" i="27"/>
  <c r="M1046" i="27"/>
  <c r="X1046" i="27" s="1"/>
  <c r="M1038" i="27"/>
  <c r="M1030" i="27"/>
  <c r="M1022" i="27"/>
  <c r="X1022" i="27" s="1"/>
  <c r="M1014" i="27"/>
  <c r="R1014" i="27" s="1"/>
  <c r="M1006" i="27"/>
  <c r="M998" i="27"/>
  <c r="X998" i="27" s="1"/>
  <c r="M990" i="27"/>
  <c r="W990" i="27" s="1"/>
  <c r="M982" i="27"/>
  <c r="T982" i="27" s="1"/>
  <c r="M974" i="27"/>
  <c r="M966" i="27"/>
  <c r="M958" i="27"/>
  <c r="W958" i="27" s="1"/>
  <c r="M950" i="27"/>
  <c r="M942" i="27"/>
  <c r="U942" i="27" s="1"/>
  <c r="M934" i="27"/>
  <c r="W934" i="27" s="1"/>
  <c r="M926" i="27"/>
  <c r="W926" i="27" s="1"/>
  <c r="M1131" i="27"/>
  <c r="W1131" i="27" s="1"/>
  <c r="M1123" i="27"/>
  <c r="M1115" i="27"/>
  <c r="S1115" i="27" s="1"/>
  <c r="M1107" i="27"/>
  <c r="R1107" i="27" s="1"/>
  <c r="M1099" i="27"/>
  <c r="R1099" i="27" s="1"/>
  <c r="M1091" i="27"/>
  <c r="M1083" i="27"/>
  <c r="T1083" i="27" s="1"/>
  <c r="M1075" i="27"/>
  <c r="R1075" i="27" s="1"/>
  <c r="M1067" i="27"/>
  <c r="T1067" i="27" s="1"/>
  <c r="M1059" i="27"/>
  <c r="M1051" i="27"/>
  <c r="M1043" i="27"/>
  <c r="R1043" i="27" s="1"/>
  <c r="M1035" i="27"/>
  <c r="R1035" i="27" s="1"/>
  <c r="M1027" i="27"/>
  <c r="W1027" i="27" s="1"/>
  <c r="M1019" i="27"/>
  <c r="T1019" i="27" s="1"/>
  <c r="M1011" i="27"/>
  <c r="R1011" i="27" s="1"/>
  <c r="M1003" i="27"/>
  <c r="W1003" i="27" s="1"/>
  <c r="M995" i="27"/>
  <c r="M987" i="27"/>
  <c r="U987" i="27" s="1"/>
  <c r="M979" i="27"/>
  <c r="R979" i="27" s="1"/>
  <c r="M971" i="27"/>
  <c r="R971" i="27" s="1"/>
  <c r="M963" i="27"/>
  <c r="M955" i="27"/>
  <c r="T955" i="27" s="1"/>
  <c r="M947" i="27"/>
  <c r="R947" i="27" s="1"/>
  <c r="M939" i="27"/>
  <c r="U939" i="27" s="1"/>
  <c r="M931" i="27"/>
  <c r="M923" i="27"/>
  <c r="W945" i="27"/>
  <c r="W1032" i="27"/>
  <c r="X944" i="27"/>
  <c r="M912" i="27"/>
  <c r="M904" i="27"/>
  <c r="AC899" i="28"/>
  <c r="M896" i="27"/>
  <c r="M888" i="27"/>
  <c r="M880" i="27"/>
  <c r="M872" i="27"/>
  <c r="AC867" i="28"/>
  <c r="M864" i="27"/>
  <c r="M856" i="27"/>
  <c r="M848" i="27"/>
  <c r="M840" i="27"/>
  <c r="M832" i="27"/>
  <c r="M824" i="27"/>
  <c r="M816" i="27"/>
  <c r="M808" i="27"/>
  <c r="M800" i="27"/>
  <c r="M792" i="27"/>
  <c r="M784" i="27"/>
  <c r="M776" i="27"/>
  <c r="AC771" i="28"/>
  <c r="M768" i="27"/>
  <c r="M760" i="27"/>
  <c r="M752" i="27"/>
  <c r="M744" i="27"/>
  <c r="AC739" i="28"/>
  <c r="M736" i="27"/>
  <c r="M728" i="27"/>
  <c r="M720" i="27"/>
  <c r="M712" i="27"/>
  <c r="M704" i="27"/>
  <c r="M696" i="27"/>
  <c r="M688" i="27"/>
  <c r="M680" i="27"/>
  <c r="M672" i="27"/>
  <c r="M664" i="27"/>
  <c r="M656" i="27"/>
  <c r="M648" i="27"/>
  <c r="M640" i="27"/>
  <c r="M632" i="27"/>
  <c r="M624" i="27"/>
  <c r="M616" i="27"/>
  <c r="AC611" i="28"/>
  <c r="M608" i="27"/>
  <c r="M600" i="27"/>
  <c r="M592" i="27"/>
  <c r="M584" i="27"/>
  <c r="M576" i="27"/>
  <c r="M568" i="27"/>
  <c r="M560" i="27"/>
  <c r="M552" i="27"/>
  <c r="M544" i="27"/>
  <c r="M536" i="27"/>
  <c r="M528" i="27"/>
  <c r="M520" i="27"/>
  <c r="AC515" i="28"/>
  <c r="M512" i="27"/>
  <c r="M504" i="27"/>
  <c r="M496" i="27"/>
  <c r="M488" i="27"/>
  <c r="M480" i="27"/>
  <c r="M472" i="27"/>
  <c r="M464" i="27"/>
  <c r="M456" i="27"/>
  <c r="AC451" i="28"/>
  <c r="M448" i="27"/>
  <c r="M440" i="27"/>
  <c r="M432" i="27"/>
  <c r="M424" i="27"/>
  <c r="M416" i="27"/>
  <c r="M408" i="27"/>
  <c r="M400" i="27"/>
  <c r="M392" i="27"/>
  <c r="M384" i="27"/>
  <c r="M376" i="27"/>
  <c r="M368" i="27"/>
  <c r="M360" i="27"/>
  <c r="M352" i="27"/>
  <c r="M344" i="27"/>
  <c r="M336" i="27"/>
  <c r="M328" i="27"/>
  <c r="M320" i="27"/>
  <c r="M312" i="27"/>
  <c r="M304" i="27"/>
  <c r="M296" i="27"/>
  <c r="M288" i="27"/>
  <c r="M280" i="27"/>
  <c r="M272" i="27"/>
  <c r="M264" i="27"/>
  <c r="M256" i="27"/>
  <c r="M248" i="27"/>
  <c r="M240" i="27"/>
  <c r="M232" i="27"/>
  <c r="M224" i="27"/>
  <c r="M216" i="27"/>
  <c r="M208" i="27"/>
  <c r="M200" i="27"/>
  <c r="AC195" i="28"/>
  <c r="M192" i="27"/>
  <c r="M176" i="27"/>
  <c r="M168" i="27"/>
  <c r="AC163" i="28"/>
  <c r="M160" i="27"/>
  <c r="M152" i="27"/>
  <c r="M144" i="27"/>
  <c r="R1063" i="27"/>
  <c r="T1023" i="27"/>
  <c r="S1023" i="27"/>
  <c r="W959" i="27"/>
  <c r="S943" i="27"/>
  <c r="M911" i="27"/>
  <c r="M903" i="27"/>
  <c r="M895" i="27"/>
  <c r="M887" i="27"/>
  <c r="M879" i="27"/>
  <c r="M871" i="27"/>
  <c r="M863" i="27"/>
  <c r="M855" i="27"/>
  <c r="M847" i="27"/>
  <c r="M839" i="27"/>
  <c r="M831" i="27"/>
  <c r="M823" i="27"/>
  <c r="M815" i="27"/>
  <c r="M807" i="27"/>
  <c r="M799" i="27"/>
  <c r="M791" i="27"/>
  <c r="M783" i="27"/>
  <c r="M775" i="27"/>
  <c r="M767" i="27"/>
  <c r="M759" i="27"/>
  <c r="M751" i="27"/>
  <c r="M743" i="27"/>
  <c r="M735" i="27"/>
  <c r="M727" i="27"/>
  <c r="M719" i="27"/>
  <c r="M711" i="27"/>
  <c r="M703" i="27"/>
  <c r="M695" i="27"/>
  <c r="M687" i="27"/>
  <c r="M679" i="27"/>
  <c r="M671" i="27"/>
  <c r="M663" i="27"/>
  <c r="M655" i="27"/>
  <c r="M647" i="27"/>
  <c r="M639" i="27"/>
  <c r="M631" i="27"/>
  <c r="M623" i="27"/>
  <c r="M615" i="27"/>
  <c r="M607" i="27"/>
  <c r="M599" i="27"/>
  <c r="M591" i="27"/>
  <c r="M583" i="27"/>
  <c r="M575" i="27"/>
  <c r="M567" i="27"/>
  <c r="M559" i="27"/>
  <c r="M551" i="27"/>
  <c r="M543" i="27"/>
  <c r="M535" i="27"/>
  <c r="M527" i="27"/>
  <c r="M519" i="27"/>
  <c r="M511" i="27"/>
  <c r="M503" i="27"/>
  <c r="M495" i="27"/>
  <c r="M487" i="27"/>
  <c r="M479" i="27"/>
  <c r="M471" i="27"/>
  <c r="M463" i="27"/>
  <c r="M455" i="27"/>
  <c r="M447" i="27"/>
  <c r="M439" i="27"/>
  <c r="M431" i="27"/>
  <c r="M423" i="27"/>
  <c r="M415" i="27"/>
  <c r="M407" i="27"/>
  <c r="M399" i="27"/>
  <c r="M391" i="27"/>
  <c r="M383" i="27"/>
  <c r="M375" i="27"/>
  <c r="M367" i="27"/>
  <c r="M359" i="27"/>
  <c r="M351" i="27"/>
  <c r="M343" i="27"/>
  <c r="M335" i="27"/>
  <c r="M327" i="27"/>
  <c r="M319" i="27"/>
  <c r="M311" i="27"/>
  <c r="M303" i="27"/>
  <c r="M295" i="27"/>
  <c r="M287" i="27"/>
  <c r="M279" i="27"/>
  <c r="M271" i="27"/>
  <c r="M263" i="27"/>
  <c r="M255" i="27"/>
  <c r="M247" i="27"/>
  <c r="M239" i="27"/>
  <c r="M231" i="27"/>
  <c r="M223" i="27"/>
  <c r="M215" i="27"/>
  <c r="M207" i="27"/>
  <c r="M199" i="27"/>
  <c r="M191" i="27"/>
  <c r="M183" i="27"/>
  <c r="M175" i="27"/>
  <c r="M167" i="27"/>
  <c r="M159" i="27"/>
  <c r="M151" i="27"/>
  <c r="M143" i="27"/>
  <c r="U1071" i="27"/>
  <c r="X1134" i="27"/>
  <c r="X1126" i="27"/>
  <c r="M918" i="27"/>
  <c r="M910" i="27"/>
  <c r="M902" i="27"/>
  <c r="M894" i="27"/>
  <c r="M886" i="27"/>
  <c r="M878" i="27"/>
  <c r="M870" i="27"/>
  <c r="M862" i="27"/>
  <c r="M854" i="27"/>
  <c r="M846" i="27"/>
  <c r="M838" i="27"/>
  <c r="M830" i="27"/>
  <c r="M822" i="27"/>
  <c r="M814" i="27"/>
  <c r="M806" i="27"/>
  <c r="M798" i="27"/>
  <c r="M790" i="27"/>
  <c r="M782" i="27"/>
  <c r="M774" i="27"/>
  <c r="M766" i="27"/>
  <c r="M758" i="27"/>
  <c r="M750" i="27"/>
  <c r="M742" i="27"/>
  <c r="M734" i="27"/>
  <c r="M726" i="27"/>
  <c r="M718" i="27"/>
  <c r="M710" i="27"/>
  <c r="M702" i="27"/>
  <c r="M694" i="27"/>
  <c r="M686" i="27"/>
  <c r="M678" i="27"/>
  <c r="M670" i="27"/>
  <c r="M662" i="27"/>
  <c r="M654" i="27"/>
  <c r="M646" i="27"/>
  <c r="M638" i="27"/>
  <c r="M630" i="27"/>
  <c r="M622" i="27"/>
  <c r="M614" i="27"/>
  <c r="M606" i="27"/>
  <c r="M598" i="27"/>
  <c r="M590" i="27"/>
  <c r="M582" i="27"/>
  <c r="M574" i="27"/>
  <c r="M566" i="27"/>
  <c r="M558" i="27"/>
  <c r="M550" i="27"/>
  <c r="M542" i="27"/>
  <c r="M534" i="27"/>
  <c r="M526" i="27"/>
  <c r="M518" i="27"/>
  <c r="M510" i="27"/>
  <c r="M502" i="27"/>
  <c r="M494" i="27"/>
  <c r="M486" i="27"/>
  <c r="M478" i="27"/>
  <c r="M470" i="27"/>
  <c r="M462" i="27"/>
  <c r="M454" i="27"/>
  <c r="M446" i="27"/>
  <c r="M438" i="27"/>
  <c r="M430" i="27"/>
  <c r="M422" i="27"/>
  <c r="M414" i="27"/>
  <c r="M406" i="27"/>
  <c r="M398" i="27"/>
  <c r="M390" i="27"/>
  <c r="M382" i="27"/>
  <c r="M374" i="27"/>
  <c r="M366" i="27"/>
  <c r="M358" i="27"/>
  <c r="M350" i="27"/>
  <c r="M342" i="27"/>
  <c r="M326" i="27"/>
  <c r="M318" i="27"/>
  <c r="M310" i="27"/>
  <c r="M302" i="27"/>
  <c r="M294" i="27"/>
  <c r="M286" i="27"/>
  <c r="M278" i="27"/>
  <c r="M270" i="27"/>
  <c r="M262" i="27"/>
  <c r="M254" i="27"/>
  <c r="M246" i="27"/>
  <c r="M238" i="27"/>
  <c r="M230" i="27"/>
  <c r="M222" i="27"/>
  <c r="M214" i="27"/>
  <c r="M206" i="27"/>
  <c r="M198" i="27"/>
  <c r="M190" i="27"/>
  <c r="M182" i="27"/>
  <c r="M174" i="27"/>
  <c r="M166" i="27"/>
  <c r="M158" i="27"/>
  <c r="M150" i="27"/>
  <c r="M142" i="27"/>
  <c r="M917" i="27"/>
  <c r="M901" i="27"/>
  <c r="M893" i="27"/>
  <c r="M877" i="27"/>
  <c r="M861" i="27"/>
  <c r="M845" i="27"/>
  <c r="M829" i="27"/>
  <c r="M821" i="27"/>
  <c r="M805" i="27"/>
  <c r="M797" i="27"/>
  <c r="M781" i="27"/>
  <c r="M765" i="27"/>
  <c r="M749" i="27"/>
  <c r="M741" i="27"/>
  <c r="M725" i="27"/>
  <c r="M709" i="27"/>
  <c r="M701" i="27"/>
  <c r="M685" i="27"/>
  <c r="M669" i="27"/>
  <c r="M661" i="27"/>
  <c r="M645" i="27"/>
  <c r="M629" i="27"/>
  <c r="M621" i="27"/>
  <c r="M605" i="27"/>
  <c r="M589" i="27"/>
  <c r="M573" i="27"/>
  <c r="M557" i="27"/>
  <c r="M541" i="27"/>
  <c r="M525" i="27"/>
  <c r="M509" i="27"/>
  <c r="M501" i="27"/>
  <c r="M485" i="27"/>
  <c r="M469" i="27"/>
  <c r="M453" i="27"/>
  <c r="M437" i="27"/>
  <c r="M421" i="27"/>
  <c r="M405" i="27"/>
  <c r="M389" i="27"/>
  <c r="M373" i="27"/>
  <c r="M357" i="27"/>
  <c r="M341" i="27"/>
  <c r="M325" i="27"/>
  <c r="M309" i="27"/>
  <c r="AC296" i="28"/>
  <c r="M293" i="27"/>
  <c r="M277" i="27"/>
  <c r="M261" i="27"/>
  <c r="M245" i="27"/>
  <c r="M229" i="27"/>
  <c r="M213" i="27"/>
  <c r="M197" i="27"/>
  <c r="M189" i="27"/>
  <c r="M181" i="27"/>
  <c r="M165" i="27"/>
  <c r="M157" i="27"/>
  <c r="M149" i="27"/>
  <c r="M141" i="27"/>
  <c r="M909" i="27"/>
  <c r="M885" i="27"/>
  <c r="M869" i="27"/>
  <c r="M853" i="27"/>
  <c r="M837" i="27"/>
  <c r="M813" i="27"/>
  <c r="M789" i="27"/>
  <c r="M773" i="27"/>
  <c r="AC776" i="28"/>
  <c r="M757" i="27"/>
  <c r="M733" i="27"/>
  <c r="M717" i="27"/>
  <c r="M693" i="27"/>
  <c r="M677" i="27"/>
  <c r="M653" i="27"/>
  <c r="M637" i="27"/>
  <c r="M613" i="27"/>
  <c r="M597" i="27"/>
  <c r="M581" i="27"/>
  <c r="M565" i="27"/>
  <c r="M549" i="27"/>
  <c r="M533" i="27"/>
  <c r="M517" i="27"/>
  <c r="M493" i="27"/>
  <c r="M477" i="27"/>
  <c r="M461" i="27"/>
  <c r="M445" i="27"/>
  <c r="M429" i="27"/>
  <c r="M413" i="27"/>
  <c r="M397" i="27"/>
  <c r="M381" i="27"/>
  <c r="M365" i="27"/>
  <c r="M349" i="27"/>
  <c r="M333" i="27"/>
  <c r="M317" i="27"/>
  <c r="M301" i="27"/>
  <c r="M285" i="27"/>
  <c r="M269" i="27"/>
  <c r="M253" i="27"/>
  <c r="M237" i="27"/>
  <c r="M221" i="27"/>
  <c r="M205" i="27"/>
  <c r="M173" i="27"/>
  <c r="M1132" i="27"/>
  <c r="M1124" i="27"/>
  <c r="M1116" i="27"/>
  <c r="M1108" i="27"/>
  <c r="M1100" i="27"/>
  <c r="M1092" i="27"/>
  <c r="M1084" i="27"/>
  <c r="M1076" i="27"/>
  <c r="M1068" i="27"/>
  <c r="M1060" i="27"/>
  <c r="M1052" i="27"/>
  <c r="M1044" i="27"/>
  <c r="M1036" i="27"/>
  <c r="M1028" i="27"/>
  <c r="M1020" i="27"/>
  <c r="M1012" i="27"/>
  <c r="M1004" i="27"/>
  <c r="M996" i="27"/>
  <c r="M988" i="27"/>
  <c r="M980" i="27"/>
  <c r="M972" i="27"/>
  <c r="M964" i="27"/>
  <c r="M956" i="27"/>
  <c r="M948" i="27"/>
  <c r="M940" i="27"/>
  <c r="M932" i="27"/>
  <c r="M924" i="27"/>
  <c r="M916" i="27"/>
  <c r="M908" i="27"/>
  <c r="M900" i="27"/>
  <c r="M892" i="27"/>
  <c r="M884" i="27"/>
  <c r="M876" i="27"/>
  <c r="M868" i="27"/>
  <c r="M860" i="27"/>
  <c r="M852" i="27"/>
  <c r="M844" i="27"/>
  <c r="M836" i="27"/>
  <c r="M828" i="27"/>
  <c r="AC823" i="28"/>
  <c r="M820" i="27"/>
  <c r="M812" i="27"/>
  <c r="M804" i="27"/>
  <c r="M796" i="27"/>
  <c r="M788" i="27"/>
  <c r="M780" i="27"/>
  <c r="M772" i="27"/>
  <c r="M764" i="27"/>
  <c r="M756" i="27"/>
  <c r="M748" i="27"/>
  <c r="M740" i="27"/>
  <c r="M732" i="27"/>
  <c r="M724" i="27"/>
  <c r="M716" i="27"/>
  <c r="M708" i="27"/>
  <c r="M700" i="27"/>
  <c r="M692" i="27"/>
  <c r="M684" i="27"/>
  <c r="M676" i="27"/>
  <c r="M668" i="27"/>
  <c r="M660" i="27"/>
  <c r="M652" i="27"/>
  <c r="M644" i="27"/>
  <c r="M636" i="27"/>
  <c r="M628" i="27"/>
  <c r="M620" i="27"/>
  <c r="M612" i="27"/>
  <c r="M604" i="27"/>
  <c r="M596" i="27"/>
  <c r="M588" i="27"/>
  <c r="M580" i="27"/>
  <c r="M572" i="27"/>
  <c r="M564" i="27"/>
  <c r="M556" i="27"/>
  <c r="M548" i="27"/>
  <c r="M540" i="27"/>
  <c r="M532" i="27"/>
  <c r="M524" i="27"/>
  <c r="M516" i="27"/>
  <c r="M508" i="27"/>
  <c r="M500" i="27"/>
  <c r="M492" i="27"/>
  <c r="M484" i="27"/>
  <c r="M476" i="27"/>
  <c r="M468" i="27"/>
  <c r="M460" i="27"/>
  <c r="M452" i="27"/>
  <c r="M444" i="27"/>
  <c r="M436" i="27"/>
  <c r="M428" i="27"/>
  <c r="M420" i="27"/>
  <c r="M412" i="27"/>
  <c r="AC407" i="28"/>
  <c r="M404" i="27"/>
  <c r="M396" i="27"/>
  <c r="M388" i="27"/>
  <c r="M380" i="27"/>
  <c r="M372" i="27"/>
  <c r="M364" i="27"/>
  <c r="M356" i="27"/>
  <c r="M348" i="27"/>
  <c r="M340" i="27"/>
  <c r="M332" i="27"/>
  <c r="M324" i="27"/>
  <c r="M316" i="27"/>
  <c r="M308" i="27"/>
  <c r="M300" i="27"/>
  <c r="M292" i="27"/>
  <c r="M284" i="27"/>
  <c r="M276" i="27"/>
  <c r="M268" i="27"/>
  <c r="M260" i="27"/>
  <c r="M252" i="27"/>
  <c r="M244" i="27"/>
  <c r="M236" i="27"/>
  <c r="M228" i="27"/>
  <c r="M220" i="27"/>
  <c r="M212" i="27"/>
  <c r="M204" i="27"/>
  <c r="M196" i="27"/>
  <c r="M188" i="27"/>
  <c r="M180" i="27"/>
  <c r="M172" i="27"/>
  <c r="M164" i="27"/>
  <c r="M156" i="27"/>
  <c r="M148" i="27"/>
  <c r="M140" i="27"/>
  <c r="M23" i="27"/>
  <c r="X23" i="27" s="1"/>
  <c r="X1109" i="27"/>
  <c r="U1027" i="27"/>
  <c r="W955" i="27"/>
  <c r="T923" i="27"/>
  <c r="M915" i="27"/>
  <c r="M907" i="27"/>
  <c r="M899" i="27"/>
  <c r="M891" i="27"/>
  <c r="AC886" i="28"/>
  <c r="M883" i="27"/>
  <c r="M875" i="27"/>
  <c r="M867" i="27"/>
  <c r="M859" i="27"/>
  <c r="M851" i="27"/>
  <c r="M843" i="27"/>
  <c r="M835" i="27"/>
  <c r="M827" i="27"/>
  <c r="M819" i="27"/>
  <c r="M811" i="27"/>
  <c r="M803" i="27"/>
  <c r="M795" i="27"/>
  <c r="M787" i="27"/>
  <c r="M779" i="27"/>
  <c r="M771" i="27"/>
  <c r="M763" i="27"/>
  <c r="M755" i="27"/>
  <c r="M747" i="27"/>
  <c r="M739" i="27"/>
  <c r="M731" i="27"/>
  <c r="M723" i="27"/>
  <c r="M715" i="27"/>
  <c r="M707" i="27"/>
  <c r="M699" i="27"/>
  <c r="M691" i="27"/>
  <c r="M683" i="27"/>
  <c r="M675" i="27"/>
  <c r="M667" i="27"/>
  <c r="M659" i="27"/>
  <c r="M651" i="27"/>
  <c r="M643" i="27"/>
  <c r="M635" i="27"/>
  <c r="M627" i="27"/>
  <c r="M619" i="27"/>
  <c r="M611" i="27"/>
  <c r="M603" i="27"/>
  <c r="M595" i="27"/>
  <c r="M587" i="27"/>
  <c r="M579" i="27"/>
  <c r="M571" i="27"/>
  <c r="M563" i="27"/>
  <c r="M555" i="27"/>
  <c r="M547" i="27"/>
  <c r="M539" i="27"/>
  <c r="M531" i="27"/>
  <c r="M523" i="27"/>
  <c r="M515" i="27"/>
  <c r="M507" i="27"/>
  <c r="M499" i="27"/>
  <c r="M491" i="27"/>
  <c r="M483" i="27"/>
  <c r="M475" i="27"/>
  <c r="M467" i="27"/>
  <c r="M459" i="27"/>
  <c r="M451" i="27"/>
  <c r="M443" i="27"/>
  <c r="M435" i="27"/>
  <c r="M427" i="27"/>
  <c r="M419" i="27"/>
  <c r="M411" i="27"/>
  <c r="AC406" i="28"/>
  <c r="M403" i="27"/>
  <c r="M395" i="27"/>
  <c r="M387" i="27"/>
  <c r="M379" i="27"/>
  <c r="AC374" i="28"/>
  <c r="M371" i="27"/>
  <c r="M363" i="27"/>
  <c r="M355" i="27"/>
  <c r="M347" i="27"/>
  <c r="M339" i="27"/>
  <c r="M331" i="27"/>
  <c r="M323" i="27"/>
  <c r="M315" i="27"/>
  <c r="M307" i="27"/>
  <c r="M299" i="27"/>
  <c r="M291" i="27"/>
  <c r="M283" i="27"/>
  <c r="M275" i="27"/>
  <c r="M267" i="27"/>
  <c r="M259" i="27"/>
  <c r="M251" i="27"/>
  <c r="M243" i="27"/>
  <c r="M235" i="27"/>
  <c r="M227" i="27"/>
  <c r="M219" i="27"/>
  <c r="M211" i="27"/>
  <c r="M203" i="27"/>
  <c r="M195" i="27"/>
  <c r="M187" i="27"/>
  <c r="AC182" i="28"/>
  <c r="M179" i="27"/>
  <c r="M171" i="27"/>
  <c r="M163" i="27"/>
  <c r="M155" i="27"/>
  <c r="M147" i="27"/>
  <c r="X1115" i="27"/>
  <c r="X1082" i="27"/>
  <c r="W1082" i="27"/>
  <c r="W1058" i="27"/>
  <c r="X1018" i="27"/>
  <c r="S1018" i="27"/>
  <c r="X978" i="27"/>
  <c r="T954" i="27"/>
  <c r="S954" i="27"/>
  <c r="T922" i="27"/>
  <c r="M914" i="27"/>
  <c r="M906" i="27"/>
  <c r="M898" i="27"/>
  <c r="M890" i="27"/>
  <c r="M882" i="27"/>
  <c r="M874" i="27"/>
  <c r="M866" i="27"/>
  <c r="M858" i="27"/>
  <c r="M850" i="27"/>
  <c r="M842" i="27"/>
  <c r="M834" i="27"/>
  <c r="M826" i="27"/>
  <c r="M818" i="27"/>
  <c r="M810" i="27"/>
  <c r="M802" i="27"/>
  <c r="M794" i="27"/>
  <c r="M786" i="27"/>
  <c r="M778" i="27"/>
  <c r="M770" i="27"/>
  <c r="M762" i="27"/>
  <c r="M754" i="27"/>
  <c r="M746" i="27"/>
  <c r="M738" i="27"/>
  <c r="M730" i="27"/>
  <c r="M722" i="27"/>
  <c r="M714" i="27"/>
  <c r="M706" i="27"/>
  <c r="AC701" i="28"/>
  <c r="M698" i="27"/>
  <c r="M690" i="27"/>
  <c r="M682" i="27"/>
  <c r="M674" i="27"/>
  <c r="M666" i="27"/>
  <c r="M658" i="27"/>
  <c r="M650" i="27"/>
  <c r="M642" i="27"/>
  <c r="AC637" i="28"/>
  <c r="M634" i="27"/>
  <c r="M626" i="27"/>
  <c r="M618" i="27"/>
  <c r="M610" i="27"/>
  <c r="M602" i="27"/>
  <c r="M594" i="27"/>
  <c r="M586" i="27"/>
  <c r="M578" i="27"/>
  <c r="M570" i="27"/>
  <c r="M562" i="27"/>
  <c r="M554" i="27"/>
  <c r="M546" i="27"/>
  <c r="M538" i="27"/>
  <c r="M530" i="27"/>
  <c r="M522" i="27"/>
  <c r="M514" i="27"/>
  <c r="M506" i="27"/>
  <c r="M498" i="27"/>
  <c r="M490" i="27"/>
  <c r="M482" i="27"/>
  <c r="M474" i="27"/>
  <c r="M466" i="27"/>
  <c r="M458" i="27"/>
  <c r="M450" i="27"/>
  <c r="M442" i="27"/>
  <c r="M434" i="27"/>
  <c r="M426" i="27"/>
  <c r="M418" i="27"/>
  <c r="M410" i="27"/>
  <c r="M402" i="27"/>
  <c r="M394" i="27"/>
  <c r="M386" i="27"/>
  <c r="M378" i="27"/>
  <c r="M370" i="27"/>
  <c r="M362" i="27"/>
  <c r="M354" i="27"/>
  <c r="M346" i="27"/>
  <c r="M338" i="27"/>
  <c r="M330" i="27"/>
  <c r="M322" i="27"/>
  <c r="M314" i="27"/>
  <c r="M306" i="27"/>
  <c r="M298" i="27"/>
  <c r="M290" i="27"/>
  <c r="M282" i="27"/>
  <c r="M274" i="27"/>
  <c r="M266" i="27"/>
  <c r="M258" i="27"/>
  <c r="M250" i="27"/>
  <c r="M242" i="27"/>
  <c r="M234" i="27"/>
  <c r="M226" i="27"/>
  <c r="M218" i="27"/>
  <c r="M210" i="27"/>
  <c r="M202" i="27"/>
  <c r="M194" i="27"/>
  <c r="M186" i="27"/>
  <c r="M178" i="27"/>
  <c r="M170" i="27"/>
  <c r="M162" i="27"/>
  <c r="M154" i="27"/>
  <c r="M146" i="27"/>
  <c r="T1137" i="27"/>
  <c r="S1137" i="27"/>
  <c r="T1105" i="27"/>
  <c r="T1073" i="27"/>
  <c r="R1073" i="27"/>
  <c r="R1025" i="27"/>
  <c r="U1009" i="27"/>
  <c r="T1009" i="27"/>
  <c r="X921" i="27"/>
  <c r="M913" i="27"/>
  <c r="M905" i="27"/>
  <c r="M897" i="27"/>
  <c r="M889" i="27"/>
  <c r="M881" i="27"/>
  <c r="M873" i="27"/>
  <c r="M865" i="27"/>
  <c r="M857" i="27"/>
  <c r="M849" i="27"/>
  <c r="M841" i="27"/>
  <c r="M833" i="27"/>
  <c r="M825" i="27"/>
  <c r="M817" i="27"/>
  <c r="M809" i="27"/>
  <c r="M801" i="27"/>
  <c r="M793" i="27"/>
  <c r="M785" i="27"/>
  <c r="M777" i="27"/>
  <c r="M769" i="27"/>
  <c r="M761" i="27"/>
  <c r="M753" i="27"/>
  <c r="M745" i="27"/>
  <c r="M737" i="27"/>
  <c r="AC732" i="28"/>
  <c r="M729" i="27"/>
  <c r="M721" i="27"/>
  <c r="M713" i="27"/>
  <c r="M705" i="27"/>
  <c r="M697" i="27"/>
  <c r="M689" i="27"/>
  <c r="M681" i="27"/>
  <c r="M673" i="27"/>
  <c r="M665" i="27"/>
  <c r="M657" i="27"/>
  <c r="M649" i="27"/>
  <c r="M641" i="27"/>
  <c r="M633" i="27"/>
  <c r="M625" i="27"/>
  <c r="M617" i="27"/>
  <c r="M609" i="27"/>
  <c r="AC604" i="28"/>
  <c r="M601" i="27"/>
  <c r="M593" i="27"/>
  <c r="M585" i="27"/>
  <c r="M577" i="27"/>
  <c r="M561" i="27"/>
  <c r="M553" i="27"/>
  <c r="M545" i="27"/>
  <c r="M537" i="27"/>
  <c r="M529" i="27"/>
  <c r="M521" i="27"/>
  <c r="M513" i="27"/>
  <c r="AC508" i="28"/>
  <c r="M505" i="27"/>
  <c r="M497" i="27"/>
  <c r="M489" i="27"/>
  <c r="M481" i="27"/>
  <c r="M473" i="27"/>
  <c r="M465" i="27"/>
  <c r="M457" i="27"/>
  <c r="M449" i="27"/>
  <c r="M441" i="27"/>
  <c r="M433" i="27"/>
  <c r="M425" i="27"/>
  <c r="M417" i="27"/>
  <c r="M409" i="27"/>
  <c r="M401" i="27"/>
  <c r="M393" i="27"/>
  <c r="M385" i="27"/>
  <c r="M377" i="27"/>
  <c r="M369" i="27"/>
  <c r="M361" i="27"/>
  <c r="M353" i="27"/>
  <c r="M345" i="27"/>
  <c r="M337" i="27"/>
  <c r="M329" i="27"/>
  <c r="M321" i="27"/>
  <c r="AC316" i="28"/>
  <c r="M313" i="27"/>
  <c r="M305" i="27"/>
  <c r="M297" i="27"/>
  <c r="M289" i="27"/>
  <c r="M281" i="27"/>
  <c r="M273" i="27"/>
  <c r="M265" i="27"/>
  <c r="M257" i="27"/>
  <c r="M249" i="27"/>
  <c r="M241" i="27"/>
  <c r="M233" i="27"/>
  <c r="M225" i="27"/>
  <c r="M217" i="27"/>
  <c r="M209" i="27"/>
  <c r="M201" i="27"/>
  <c r="M193" i="27"/>
  <c r="M185" i="27"/>
  <c r="M177" i="27"/>
  <c r="M169" i="27"/>
  <c r="M161" i="27"/>
  <c r="M153" i="27"/>
  <c r="M145" i="27"/>
  <c r="R1080" i="27"/>
  <c r="M138" i="27"/>
  <c r="M133" i="27"/>
  <c r="M125" i="27"/>
  <c r="M117" i="27"/>
  <c r="M109" i="27"/>
  <c r="M101" i="27"/>
  <c r="M93" i="27"/>
  <c r="M85" i="27"/>
  <c r="M77" i="27"/>
  <c r="M69" i="27"/>
  <c r="M61" i="27"/>
  <c r="M53" i="27"/>
  <c r="M45" i="27"/>
  <c r="M37" i="27"/>
  <c r="M29" i="27"/>
  <c r="M119" i="27"/>
  <c r="M87" i="27"/>
  <c r="M63" i="27"/>
  <c r="M47" i="27"/>
  <c r="M118" i="27"/>
  <c r="M86" i="27"/>
  <c r="M54" i="27"/>
  <c r="M30" i="27"/>
  <c r="M111" i="27"/>
  <c r="M79" i="27"/>
  <c r="M55" i="27"/>
  <c r="M39" i="27"/>
  <c r="M134" i="27"/>
  <c r="M102" i="27"/>
  <c r="M70" i="27"/>
  <c r="M46" i="27"/>
  <c r="M132" i="27"/>
  <c r="M116" i="27"/>
  <c r="M100" i="27"/>
  <c r="M84" i="27"/>
  <c r="M68" i="27"/>
  <c r="M52" i="27"/>
  <c r="M28" i="27"/>
  <c r="M127" i="27"/>
  <c r="M95" i="27"/>
  <c r="M71" i="27"/>
  <c r="M31" i="27"/>
  <c r="M139" i="27"/>
  <c r="M110" i="27"/>
  <c r="M78" i="27"/>
  <c r="M22" i="27"/>
  <c r="R22" i="27" s="1"/>
  <c r="M135" i="27"/>
  <c r="M103" i="27"/>
  <c r="M126" i="27"/>
  <c r="M94" i="27"/>
  <c r="M62" i="27"/>
  <c r="M38" i="27"/>
  <c r="M137" i="27"/>
  <c r="M124" i="27"/>
  <c r="M108" i="27"/>
  <c r="M92" i="27"/>
  <c r="M76" i="27"/>
  <c r="M60" i="27"/>
  <c r="M44" i="27"/>
  <c r="M36" i="27"/>
  <c r="M136" i="27"/>
  <c r="M131" i="27"/>
  <c r="M123" i="27"/>
  <c r="M115" i="27"/>
  <c r="M107" i="27"/>
  <c r="M99" i="27"/>
  <c r="M91" i="27"/>
  <c r="M83" i="27"/>
  <c r="M75" i="27"/>
  <c r="M67" i="27"/>
  <c r="M59" i="27"/>
  <c r="M51" i="27"/>
  <c r="M43" i="27"/>
  <c r="M35" i="27"/>
  <c r="M27" i="27"/>
  <c r="M130" i="27"/>
  <c r="M122" i="27"/>
  <c r="M114" i="27"/>
  <c r="M106" i="27"/>
  <c r="M98" i="27"/>
  <c r="M90" i="27"/>
  <c r="M82" i="27"/>
  <c r="M74" i="27"/>
  <c r="M66" i="27"/>
  <c r="M58" i="27"/>
  <c r="M50" i="27"/>
  <c r="M42" i="27"/>
  <c r="M34" i="27"/>
  <c r="M26" i="27"/>
  <c r="M129" i="27"/>
  <c r="M121" i="27"/>
  <c r="M113" i="27"/>
  <c r="M105" i="27"/>
  <c r="M97" i="27"/>
  <c r="M89" i="27"/>
  <c r="M81" i="27"/>
  <c r="M73" i="27"/>
  <c r="M65" i="27"/>
  <c r="M57" i="27"/>
  <c r="M49" i="27"/>
  <c r="M41" i="27"/>
  <c r="M33" i="27"/>
  <c r="M25" i="27"/>
  <c r="M128" i="27"/>
  <c r="M120" i="27"/>
  <c r="M112" i="27"/>
  <c r="M104" i="27"/>
  <c r="M96" i="27"/>
  <c r="M88" i="27"/>
  <c r="M80" i="27"/>
  <c r="M72" i="27"/>
  <c r="M64" i="27"/>
  <c r="M56" i="27"/>
  <c r="M48" i="27"/>
  <c r="M40" i="27"/>
  <c r="M32" i="27"/>
  <c r="M24" i="27"/>
  <c r="AC921" i="28"/>
  <c r="AC897" i="28"/>
  <c r="AC889" i="28"/>
  <c r="AC857" i="28"/>
  <c r="AC833" i="28"/>
  <c r="AC825" i="28"/>
  <c r="AC809" i="28"/>
  <c r="AC793" i="28"/>
  <c r="AC785" i="28"/>
  <c r="AC769" i="28"/>
  <c r="AC745" i="28"/>
  <c r="AC729" i="28"/>
  <c r="AC713" i="28"/>
  <c r="AC697" i="28"/>
  <c r="AC681" i="28"/>
  <c r="AC673" i="28"/>
  <c r="AC665" i="28"/>
  <c r="AC641" i="28"/>
  <c r="AC633" i="28"/>
  <c r="AC617" i="28"/>
  <c r="AC609" i="28"/>
  <c r="AC601" i="28"/>
  <c r="AC585" i="28"/>
  <c r="AC577" i="28"/>
  <c r="AC569" i="28"/>
  <c r="AC561" i="28"/>
  <c r="AC553" i="28"/>
  <c r="AC545" i="28"/>
  <c r="AC521" i="28"/>
  <c r="AC513" i="28"/>
  <c r="AC505" i="28"/>
  <c r="AC489" i="28"/>
  <c r="AC473" i="28"/>
  <c r="AC457" i="28"/>
  <c r="AC449" i="28"/>
  <c r="AC441" i="28"/>
  <c r="AC417" i="28"/>
  <c r="AC409" i="28"/>
  <c r="AC393" i="28"/>
  <c r="AC385" i="28"/>
  <c r="AC377" i="28"/>
  <c r="AC361" i="28"/>
  <c r="AC353" i="28"/>
  <c r="AC345" i="28"/>
  <c r="AC337" i="28"/>
  <c r="AC329" i="28"/>
  <c r="AC321" i="28"/>
  <c r="AC297" i="28"/>
  <c r="AC289" i="28"/>
  <c r="AC281" i="28"/>
  <c r="AC265" i="28"/>
  <c r="AC249" i="28"/>
  <c r="AC233" i="28"/>
  <c r="AC225" i="28"/>
  <c r="AC217" i="28"/>
  <c r="AC193" i="28"/>
  <c r="AC185" i="28"/>
  <c r="AC169" i="28"/>
  <c r="AC161" i="28"/>
  <c r="AC153" i="28"/>
  <c r="AC912" i="28"/>
  <c r="AC616" i="28"/>
  <c r="AC536" i="28"/>
  <c r="AC288" i="28"/>
  <c r="AC240" i="28"/>
  <c r="AC48" i="28"/>
  <c r="AC911" i="28"/>
  <c r="AC879" i="28"/>
  <c r="AC847" i="28"/>
  <c r="AC815" i="28"/>
  <c r="AC783" i="28"/>
  <c r="AC751" i="28"/>
  <c r="AC687" i="28"/>
  <c r="AC655" i="28"/>
  <c r="AC623" i="28"/>
  <c r="AC591" i="28"/>
  <c r="AC567" i="28"/>
  <c r="AC559" i="28"/>
  <c r="AC527" i="28"/>
  <c r="AC519" i="28"/>
  <c r="AC511" i="28"/>
  <c r="AC503" i="28"/>
  <c r="AC487" i="28"/>
  <c r="AC479" i="28"/>
  <c r="AC471" i="28"/>
  <c r="AC463" i="28"/>
  <c r="AC455" i="28"/>
  <c r="AC447" i="28"/>
  <c r="AC423" i="28"/>
  <c r="AC415" i="28"/>
  <c r="AC391" i="28"/>
  <c r="AC359" i="28"/>
  <c r="AC351" i="28"/>
  <c r="AC319" i="28"/>
  <c r="AC295" i="28"/>
  <c r="AC287" i="28"/>
  <c r="AC263" i="28"/>
  <c r="AC247" i="28"/>
  <c r="AC239" i="28"/>
  <c r="AC223" i="28"/>
  <c r="AC199" i="28"/>
  <c r="AC183" i="28"/>
  <c r="AC119" i="28"/>
  <c r="AC111" i="28"/>
  <c r="AC95" i="28"/>
  <c r="AC87" i="28"/>
  <c r="AC79" i="28"/>
  <c r="AC71" i="28"/>
  <c r="AC816" i="28"/>
  <c r="AC760" i="28"/>
  <c r="AC704" i="28"/>
  <c r="AC584" i="28"/>
  <c r="AC528" i="28"/>
  <c r="AC472" i="28"/>
  <c r="AC424" i="28"/>
  <c r="AC344" i="28"/>
  <c r="AC910" i="28"/>
  <c r="AC878" i="28"/>
  <c r="AC846" i="28"/>
  <c r="AC814" i="28"/>
  <c r="AC750" i="28"/>
  <c r="AC718" i="28"/>
  <c r="AC686" i="28"/>
  <c r="AC654" i="28"/>
  <c r="AC622" i="28"/>
  <c r="AC590" i="28"/>
  <c r="AC526" i="28"/>
  <c r="AC494" i="28"/>
  <c r="AC486" i="28"/>
  <c r="AC462" i="28"/>
  <c r="AC430" i="28"/>
  <c r="AC398" i="28"/>
  <c r="AC366" i="28"/>
  <c r="AC302" i="28"/>
  <c r="AC270" i="28"/>
  <c r="AC238" i="28"/>
  <c r="AC206" i="28"/>
  <c r="AC174" i="28"/>
  <c r="AC134" i="28"/>
  <c r="AC118" i="28"/>
  <c r="AC102" i="28"/>
  <c r="AC86" i="28"/>
  <c r="AC78" i="28"/>
  <c r="AC46" i="28"/>
  <c r="AC30" i="28"/>
  <c r="AC920" i="28"/>
  <c r="AC872" i="28"/>
  <c r="AC680" i="28"/>
  <c r="AC648" i="28"/>
  <c r="AC552" i="28"/>
  <c r="AC416" i="28"/>
  <c r="AC280" i="28"/>
  <c r="AC917" i="28"/>
  <c r="AC893" i="28"/>
  <c r="AC885" i="28"/>
  <c r="AC853" i="28"/>
  <c r="AC821" i="28"/>
  <c r="AC781" i="28"/>
  <c r="AC765" i="28"/>
  <c r="AC757" i="28"/>
  <c r="AC749" i="28"/>
  <c r="AC725" i="28"/>
  <c r="AC709" i="28"/>
  <c r="AC693" i="28"/>
  <c r="AC645" i="28"/>
  <c r="AC629" i="28"/>
  <c r="AC613" i="28"/>
  <c r="AC605" i="28"/>
  <c r="AC597" i="28"/>
  <c r="AC581" i="28"/>
  <c r="AC557" i="28"/>
  <c r="AC549" i="28"/>
  <c r="AC541" i="28"/>
  <c r="AC517" i="28"/>
  <c r="AC501" i="28"/>
  <c r="AC493" i="28"/>
  <c r="AC485" i="28"/>
  <c r="AC469" i="28"/>
  <c r="AC445" i="28"/>
  <c r="AC437" i="28"/>
  <c r="AC429" i="28"/>
  <c r="AC421" i="28"/>
  <c r="AC405" i="28"/>
  <c r="AC381" i="28"/>
  <c r="AC373" i="28"/>
  <c r="AC309" i="28"/>
  <c r="AC277" i="28"/>
  <c r="AC261" i="28"/>
  <c r="AC245" i="28"/>
  <c r="AC213" i="28"/>
  <c r="AC197" i="28"/>
  <c r="AC181" i="28"/>
  <c r="AC149" i="28"/>
  <c r="AC141" i="28"/>
  <c r="AC109" i="28"/>
  <c r="AC93" i="28"/>
  <c r="AC85" i="28"/>
  <c r="AC77" i="28"/>
  <c r="AC45" i="28"/>
  <c r="AC29" i="28"/>
  <c r="AC840" i="28"/>
  <c r="AC720" i="28"/>
  <c r="AC568" i="28"/>
  <c r="AC464" i="28"/>
  <c r="AC400" i="28"/>
  <c r="AC352" i="28"/>
  <c r="AC304" i="28"/>
  <c r="AC248" i="28"/>
  <c r="AC104" i="28"/>
  <c r="AC72" i="28"/>
  <c r="AC916" i="28"/>
  <c r="AC884" i="28"/>
  <c r="AC828" i="28"/>
  <c r="AC820" i="28"/>
  <c r="AC788" i="28"/>
  <c r="AC756" i="28"/>
  <c r="AC724" i="28"/>
  <c r="AC692" i="28"/>
  <c r="AC660" i="28"/>
  <c r="AC636" i="28"/>
  <c r="AC596" i="28"/>
  <c r="AC564" i="28"/>
  <c r="AC532" i="28"/>
  <c r="AC500" i="28"/>
  <c r="AC492" i="28"/>
  <c r="AC468" i="28"/>
  <c r="AC436" i="28"/>
  <c r="AC372" i="28"/>
  <c r="AC340" i="28"/>
  <c r="AC308" i="28"/>
  <c r="AC276" i="28"/>
  <c r="AC244" i="28"/>
  <c r="AC212" i="28"/>
  <c r="AC148" i="28"/>
  <c r="AC140" i="28"/>
  <c r="AC116" i="28"/>
  <c r="AC92" i="28"/>
  <c r="AC76" i="28"/>
  <c r="AC60" i="28"/>
  <c r="AC52" i="28"/>
  <c r="AC36" i="28"/>
  <c r="AC904" i="28"/>
  <c r="AC808" i="28"/>
  <c r="AC736" i="28"/>
  <c r="AC696" i="28"/>
  <c r="AC608" i="28"/>
  <c r="AC520" i="28"/>
  <c r="AC480" i="28"/>
  <c r="AC384" i="28"/>
  <c r="AC336" i="28"/>
  <c r="AC256" i="28"/>
  <c r="AC216" i="28"/>
  <c r="AC184" i="28"/>
  <c r="AC168" i="28"/>
  <c r="AC907" i="28"/>
  <c r="AC891" i="28"/>
  <c r="AC851" i="28"/>
  <c r="AC843" i="28"/>
  <c r="AC835" i="28"/>
  <c r="AC827" i="28"/>
  <c r="AC795" i="28"/>
  <c r="AC779" i="28"/>
  <c r="AC763" i="28"/>
  <c r="AC731" i="28"/>
  <c r="AC707" i="28"/>
  <c r="AC699" i="28"/>
  <c r="AC667" i="28"/>
  <c r="AC603" i="28"/>
  <c r="AC571" i="28"/>
  <c r="AC547" i="28"/>
  <c r="AC539" i="28"/>
  <c r="AC507" i="28"/>
  <c r="AC475" i="28"/>
  <c r="AC443" i="28"/>
  <c r="AC419" i="28"/>
  <c r="AC379" i="28"/>
  <c r="AC363" i="28"/>
  <c r="AC347" i="28"/>
  <c r="AC315" i="28"/>
  <c r="AC283" i="28"/>
  <c r="AC251" i="28"/>
  <c r="AC219" i="28"/>
  <c r="AC155" i="28"/>
  <c r="AC139" i="28"/>
  <c r="AC115" i="28"/>
  <c r="AC107" i="28"/>
  <c r="AC83" i="28"/>
  <c r="AC51" i="28"/>
  <c r="AC43" i="28"/>
  <c r="AC35" i="28"/>
  <c r="AC800" i="28"/>
  <c r="AC640" i="28"/>
  <c r="AC592" i="28"/>
  <c r="AC496" i="28"/>
  <c r="AC448" i="28"/>
  <c r="AC408" i="28"/>
  <c r="AC368" i="28"/>
  <c r="AC272" i="28"/>
  <c r="AC224" i="28"/>
  <c r="AC176" i="28"/>
  <c r="AC136" i="28"/>
  <c r="AC112" i="28"/>
  <c r="AC914" i="28"/>
  <c r="AC906" i="28"/>
  <c r="AC898" i="28"/>
  <c r="AC890" i="28"/>
  <c r="AC882" i="28"/>
  <c r="AC874" i="28"/>
  <c r="AC858" i="28"/>
  <c r="AC850" i="28"/>
  <c r="AC842" i="28"/>
  <c r="AC834" i="28"/>
  <c r="AC826" i="28"/>
  <c r="AC818" i="28"/>
  <c r="AC802" i="28"/>
  <c r="AC794" i="28"/>
  <c r="AC786" i="28"/>
  <c r="AC778" i="28"/>
  <c r="AC770" i="28"/>
  <c r="AC762" i="28"/>
  <c r="AC746" i="28"/>
  <c r="AC738" i="28"/>
  <c r="AC730" i="28"/>
  <c r="AC722" i="28"/>
  <c r="AC714" i="28"/>
  <c r="AC706" i="28"/>
  <c r="AC690" i="28"/>
  <c r="AC682" i="28"/>
  <c r="AC674" i="28"/>
  <c r="AC666" i="28"/>
  <c r="AC658" i="28"/>
  <c r="AC650" i="28"/>
  <c r="AC634" i="28"/>
  <c r="AC626" i="28"/>
  <c r="AC618" i="28"/>
  <c r="AC610" i="28"/>
  <c r="AC602" i="28"/>
  <c r="AC594" i="28"/>
  <c r="AC578" i="28"/>
  <c r="AC570" i="28"/>
  <c r="AC562" i="28"/>
  <c r="AC554" i="28"/>
  <c r="AC546" i="28"/>
  <c r="AC538" i="28"/>
  <c r="AC522" i="28"/>
  <c r="AC514" i="28"/>
  <c r="AC506" i="28"/>
  <c r="AC498" i="28"/>
  <c r="AC490" i="28"/>
  <c r="AC482" i="28"/>
  <c r="AC466" i="28"/>
  <c r="AC458" i="28"/>
  <c r="AC450" i="28"/>
  <c r="AC442" i="28"/>
  <c r="AC434" i="28"/>
  <c r="AC426" i="28"/>
  <c r="AC410" i="28"/>
  <c r="AC402" i="28"/>
  <c r="AC394" i="28"/>
  <c r="AC386" i="28"/>
  <c r="AC378" i="28"/>
  <c r="AC370" i="28"/>
  <c r="AC354" i="28"/>
  <c r="AC346" i="28"/>
  <c r="AC338" i="28"/>
  <c r="AC330" i="28"/>
  <c r="AC322" i="28"/>
  <c r="AC314" i="28"/>
  <c r="AC298" i="28"/>
  <c r="AC290" i="28"/>
  <c r="AC282" i="28"/>
  <c r="AC274" i="28"/>
  <c r="AC266" i="28"/>
  <c r="AC258" i="28"/>
  <c r="AC242" i="28"/>
  <c r="AC234" i="28"/>
  <c r="AC226" i="28"/>
  <c r="AC218" i="28"/>
  <c r="AC210" i="28"/>
  <c r="AC202" i="28"/>
  <c r="AC186" i="28"/>
  <c r="AC178" i="28"/>
  <c r="AC170" i="28"/>
  <c r="AC162" i="28"/>
  <c r="AC154" i="28"/>
  <c r="AC146" i="28"/>
  <c r="AC130" i="28"/>
  <c r="AC106" i="28"/>
  <c r="AC98" i="28"/>
  <c r="AC74" i="28"/>
  <c r="AC66" i="28"/>
  <c r="AC42" i="28"/>
  <c r="AC34" i="28"/>
  <c r="W922" i="27" l="1"/>
  <c r="S1050" i="27"/>
  <c r="T999" i="27"/>
  <c r="S968" i="27"/>
  <c r="X1050" i="27"/>
  <c r="S1087" i="27"/>
  <c r="R1041" i="27"/>
  <c r="R922" i="27"/>
  <c r="X1087" i="27"/>
  <c r="U1041" i="27"/>
  <c r="R986" i="27"/>
  <c r="S986" i="27"/>
  <c r="T1127" i="27"/>
  <c r="X986" i="27"/>
  <c r="W1114" i="27"/>
  <c r="T951" i="27"/>
  <c r="U1127" i="27"/>
  <c r="U977" i="27"/>
  <c r="T977" i="27"/>
  <c r="R1105" i="27"/>
  <c r="X1114" i="27"/>
  <c r="W951" i="27"/>
  <c r="X990" i="27"/>
  <c r="W968" i="27"/>
  <c r="U1096" i="27"/>
  <c r="S1022" i="27"/>
  <c r="U943" i="27"/>
  <c r="S999" i="27"/>
  <c r="T1063" i="27"/>
  <c r="X1096" i="27"/>
  <c r="S1032" i="27"/>
  <c r="U945" i="27"/>
  <c r="X1135" i="27"/>
  <c r="W977" i="27"/>
  <c r="W1009" i="27"/>
  <c r="T1041" i="27"/>
  <c r="U1073" i="27"/>
  <c r="U1105" i="27"/>
  <c r="U1137" i="27"/>
  <c r="R1050" i="27"/>
  <c r="X922" i="27"/>
  <c r="W954" i="27"/>
  <c r="T986" i="27"/>
  <c r="T1018" i="27"/>
  <c r="T1050" i="27"/>
  <c r="S1082" i="27"/>
  <c r="S1114" i="27"/>
  <c r="S947" i="27"/>
  <c r="R1096" i="27"/>
  <c r="T1087" i="27"/>
  <c r="X951" i="27"/>
  <c r="W999" i="27"/>
  <c r="X1063" i="27"/>
  <c r="X1032" i="27"/>
  <c r="U1104" i="27"/>
  <c r="T1045" i="27"/>
  <c r="T973" i="27"/>
  <c r="R977" i="27"/>
  <c r="R1009" i="27"/>
  <c r="W1041" i="27"/>
  <c r="W1073" i="27"/>
  <c r="W1105" i="27"/>
  <c r="X1137" i="27"/>
  <c r="R1114" i="27"/>
  <c r="S922" i="27"/>
  <c r="S946" i="27"/>
  <c r="X954" i="27"/>
  <c r="W986" i="27"/>
  <c r="W1018" i="27"/>
  <c r="W1050" i="27"/>
  <c r="T1082" i="27"/>
  <c r="T1114" i="27"/>
  <c r="R1127" i="27"/>
  <c r="X926" i="27"/>
  <c r="W1087" i="27"/>
  <c r="X919" i="27"/>
  <c r="S951" i="27"/>
  <c r="X999" i="27"/>
  <c r="S1063" i="27"/>
  <c r="S1127" i="27"/>
  <c r="T1096" i="27"/>
  <c r="W962" i="27"/>
  <c r="U1106" i="27"/>
  <c r="S983" i="27"/>
  <c r="S1026" i="27"/>
  <c r="S1117" i="27"/>
  <c r="R1085" i="27"/>
  <c r="T1085" i="27"/>
  <c r="W1085" i="27"/>
  <c r="X957" i="27"/>
  <c r="T957" i="27"/>
  <c r="W957" i="27"/>
  <c r="U957" i="27"/>
  <c r="W1021" i="27"/>
  <c r="X1021" i="27"/>
  <c r="X1128" i="27"/>
  <c r="R1128" i="27"/>
  <c r="S1128" i="27"/>
  <c r="S976" i="27"/>
  <c r="W976" i="27"/>
  <c r="X1040" i="27"/>
  <c r="S1040" i="27"/>
  <c r="R930" i="27"/>
  <c r="U930" i="27"/>
  <c r="X930" i="27"/>
  <c r="S930" i="27"/>
  <c r="R994" i="27"/>
  <c r="U994" i="27"/>
  <c r="X994" i="27"/>
  <c r="S994" i="27"/>
  <c r="R1058" i="27"/>
  <c r="X1058" i="27"/>
  <c r="S1058" i="27"/>
  <c r="U1058" i="27"/>
  <c r="R1122" i="27"/>
  <c r="X1122" i="27"/>
  <c r="S1122" i="27"/>
  <c r="U1122" i="27"/>
  <c r="W1015" i="27"/>
  <c r="S1015" i="27"/>
  <c r="T1015" i="27"/>
  <c r="R1015" i="27"/>
  <c r="X1015" i="27"/>
  <c r="T921" i="27"/>
  <c r="W921" i="27"/>
  <c r="R921" i="27"/>
  <c r="U1017" i="27"/>
  <c r="X1017" i="27"/>
  <c r="S1017" i="27"/>
  <c r="W1017" i="27"/>
  <c r="R1017" i="27"/>
  <c r="S953" i="27"/>
  <c r="W930" i="27"/>
  <c r="S921" i="27"/>
  <c r="U953" i="27"/>
  <c r="T994" i="27"/>
  <c r="U1090" i="27"/>
  <c r="W1122" i="27"/>
  <c r="R976" i="27"/>
  <c r="S1109" i="27"/>
  <c r="R1062" i="27"/>
  <c r="R957" i="27"/>
  <c r="U925" i="27"/>
  <c r="S998" i="27"/>
  <c r="R985" i="27"/>
  <c r="X923" i="27"/>
  <c r="S923" i="27"/>
  <c r="R923" i="27"/>
  <c r="U923" i="27"/>
  <c r="T987" i="27"/>
  <c r="R987" i="27"/>
  <c r="W987" i="27"/>
  <c r="U1051" i="27"/>
  <c r="W1051" i="27"/>
  <c r="X966" i="27"/>
  <c r="S966" i="27"/>
  <c r="U975" i="27"/>
  <c r="X975" i="27"/>
  <c r="R975" i="27"/>
  <c r="W975" i="27"/>
  <c r="S975" i="27"/>
  <c r="U1039" i="27"/>
  <c r="X1039" i="27"/>
  <c r="R1039" i="27"/>
  <c r="S1039" i="27"/>
  <c r="W1039" i="27"/>
  <c r="T1103" i="27"/>
  <c r="W1103" i="27"/>
  <c r="S1103" i="27"/>
  <c r="U1103" i="27"/>
  <c r="U921" i="27"/>
  <c r="W994" i="27"/>
  <c r="T1058" i="27"/>
  <c r="X987" i="27"/>
  <c r="X1051" i="27"/>
  <c r="R1126" i="27"/>
  <c r="R1103" i="27"/>
  <c r="U1015" i="27"/>
  <c r="T1039" i="27"/>
  <c r="U955" i="27"/>
  <c r="X955" i="27"/>
  <c r="S955" i="27"/>
  <c r="R955" i="27"/>
  <c r="X1019" i="27"/>
  <c r="S1019" i="27"/>
  <c r="U1019" i="27"/>
  <c r="R1019" i="27"/>
  <c r="X1083" i="27"/>
  <c r="S1083" i="27"/>
  <c r="U1083" i="27"/>
  <c r="R1115" i="27"/>
  <c r="T1115" i="27"/>
  <c r="X934" i="27"/>
  <c r="S934" i="27"/>
  <c r="U934" i="27"/>
  <c r="R934" i="27"/>
  <c r="T934" i="27"/>
  <c r="T998" i="27"/>
  <c r="R998" i="27"/>
  <c r="W998" i="27"/>
  <c r="U998" i="27"/>
  <c r="S1030" i="27"/>
  <c r="X1030" i="27"/>
  <c r="U1030" i="27"/>
  <c r="T1030" i="27"/>
  <c r="W1062" i="27"/>
  <c r="T1062" i="27"/>
  <c r="S1062" i="27"/>
  <c r="X1062" i="27"/>
  <c r="X1094" i="27"/>
  <c r="S1094" i="27"/>
  <c r="R1094" i="27"/>
  <c r="T1126" i="27"/>
  <c r="W1126" i="27"/>
  <c r="U1126" i="27"/>
  <c r="R1109" i="27"/>
  <c r="W1109" i="27"/>
  <c r="T1109" i="27"/>
  <c r="T925" i="27"/>
  <c r="R925" i="27"/>
  <c r="X925" i="27"/>
  <c r="S925" i="27"/>
  <c r="X989" i="27"/>
  <c r="S989" i="27"/>
  <c r="U989" i="27"/>
  <c r="R989" i="27"/>
  <c r="T989" i="27"/>
  <c r="R1077" i="27"/>
  <c r="U1077" i="27"/>
  <c r="X1077" i="27"/>
  <c r="S1077" i="27"/>
  <c r="W1077" i="27"/>
  <c r="T944" i="27"/>
  <c r="W944" i="27"/>
  <c r="U944" i="27"/>
  <c r="W1008" i="27"/>
  <c r="T1008" i="27"/>
  <c r="S1008" i="27"/>
  <c r="X1008" i="27"/>
  <c r="U1072" i="27"/>
  <c r="R1072" i="27"/>
  <c r="X1072" i="27"/>
  <c r="S1072" i="27"/>
  <c r="W1072" i="27"/>
  <c r="X1112" i="27"/>
  <c r="T1112" i="27"/>
  <c r="R1112" i="27"/>
  <c r="R962" i="27"/>
  <c r="X962" i="27"/>
  <c r="S962" i="27"/>
  <c r="U962" i="27"/>
  <c r="R1026" i="27"/>
  <c r="T1026" i="27"/>
  <c r="W1026" i="27"/>
  <c r="R1090" i="27"/>
  <c r="W1090" i="27"/>
  <c r="T1090" i="27"/>
  <c r="X959" i="27"/>
  <c r="R959" i="27"/>
  <c r="U959" i="27"/>
  <c r="T959" i="27"/>
  <c r="X1079" i="27"/>
  <c r="R1079" i="27"/>
  <c r="U1079" i="27"/>
  <c r="T1079" i="27"/>
  <c r="W953" i="27"/>
  <c r="R953" i="27"/>
  <c r="T953" i="27"/>
  <c r="X985" i="27"/>
  <c r="S985" i="27"/>
  <c r="U985" i="27"/>
  <c r="T985" i="27"/>
  <c r="X1049" i="27"/>
  <c r="S1049" i="27"/>
  <c r="U1049" i="27"/>
  <c r="T1049" i="27"/>
  <c r="U1081" i="27"/>
  <c r="X1081" i="27"/>
  <c r="S1081" i="27"/>
  <c r="W1081" i="27"/>
  <c r="R1081" i="27"/>
  <c r="W1113" i="27"/>
  <c r="R1113" i="27"/>
  <c r="U1113" i="27"/>
  <c r="X1113" i="27"/>
  <c r="S1113" i="27"/>
  <c r="U1026" i="27"/>
  <c r="S1090" i="27"/>
  <c r="T1122" i="27"/>
  <c r="R944" i="27"/>
  <c r="R1083" i="27"/>
  <c r="W923" i="27"/>
  <c r="S987" i="27"/>
  <c r="W1019" i="27"/>
  <c r="W1083" i="27"/>
  <c r="R966" i="27"/>
  <c r="X1085" i="27"/>
  <c r="W1030" i="27"/>
  <c r="T975" i="27"/>
  <c r="W1079" i="27"/>
  <c r="T1113" i="27"/>
  <c r="U1008" i="27"/>
  <c r="T1072" i="27"/>
  <c r="R1049" i="27"/>
  <c r="T1106" i="27"/>
  <c r="U1136" i="27"/>
  <c r="T969" i="27"/>
  <c r="T939" i="27"/>
  <c r="S982" i="27"/>
  <c r="S1110" i="27"/>
  <c r="T1095" i="27"/>
  <c r="T920" i="27"/>
  <c r="U1131" i="27"/>
  <c r="W1046" i="27"/>
  <c r="S928" i="27"/>
  <c r="R1001" i="27"/>
  <c r="T929" i="27"/>
  <c r="U1034" i="27"/>
  <c r="U1066" i="27"/>
  <c r="S967" i="27"/>
  <c r="S991" i="27"/>
  <c r="S937" i="27"/>
  <c r="T961" i="27"/>
  <c r="W1057" i="27"/>
  <c r="W970" i="27"/>
  <c r="W1002" i="27"/>
  <c r="U1042" i="27"/>
  <c r="U1003" i="27"/>
  <c r="R1056" i="27"/>
  <c r="S935" i="27"/>
  <c r="U1129" i="27"/>
  <c r="X1025" i="27"/>
  <c r="S1055" i="27"/>
  <c r="U937" i="27"/>
  <c r="S993" i="27"/>
  <c r="T1089" i="27"/>
  <c r="S978" i="27"/>
  <c r="S1010" i="27"/>
  <c r="X1042" i="27"/>
  <c r="T1098" i="27"/>
  <c r="T1130" i="27"/>
  <c r="T1131" i="27"/>
  <c r="S1067" i="27"/>
  <c r="W935" i="27"/>
  <c r="S952" i="27"/>
  <c r="T1048" i="27"/>
  <c r="X1033" i="27"/>
  <c r="X931" i="27"/>
  <c r="S931" i="27"/>
  <c r="W931" i="27"/>
  <c r="U931" i="27"/>
  <c r="R931" i="27"/>
  <c r="R963" i="27"/>
  <c r="U963" i="27"/>
  <c r="U995" i="27"/>
  <c r="T995" i="27"/>
  <c r="W995" i="27"/>
  <c r="S995" i="27"/>
  <c r="X1059" i="27"/>
  <c r="S1059" i="27"/>
  <c r="W1059" i="27"/>
  <c r="T1059" i="27"/>
  <c r="R1059" i="27"/>
  <c r="T1091" i="27"/>
  <c r="X1091" i="27"/>
  <c r="T1123" i="27"/>
  <c r="X1123" i="27"/>
  <c r="S1123" i="27"/>
  <c r="U1123" i="27"/>
  <c r="W1123" i="27"/>
  <c r="R1123" i="27"/>
  <c r="X942" i="27"/>
  <c r="S942" i="27"/>
  <c r="T942" i="27"/>
  <c r="W942" i="27"/>
  <c r="X974" i="27"/>
  <c r="S974" i="27"/>
  <c r="W974" i="27"/>
  <c r="U974" i="27"/>
  <c r="T974" i="27"/>
  <c r="R974" i="27"/>
  <c r="X1006" i="27"/>
  <c r="S1006" i="27"/>
  <c r="U1006" i="27"/>
  <c r="T1006" i="27"/>
  <c r="R1006" i="27"/>
  <c r="U1038" i="27"/>
  <c r="T1038" i="27"/>
  <c r="S1038" i="27"/>
  <c r="X1038" i="27"/>
  <c r="W1038" i="27"/>
  <c r="U1070" i="27"/>
  <c r="S1070" i="27"/>
  <c r="X1070" i="27"/>
  <c r="T1070" i="27"/>
  <c r="R1070" i="27"/>
  <c r="U1102" i="27"/>
  <c r="W1102" i="27"/>
  <c r="T1102" i="27"/>
  <c r="X1102" i="27"/>
  <c r="R1102" i="27"/>
  <c r="S1102" i="27"/>
  <c r="U1134" i="27"/>
  <c r="T1134" i="27"/>
  <c r="S1134" i="27"/>
  <c r="R1134" i="27"/>
  <c r="W1134" i="27"/>
  <c r="W1029" i="27"/>
  <c r="S1029" i="27"/>
  <c r="X1029" i="27"/>
  <c r="T1029" i="27"/>
  <c r="R1029" i="27"/>
  <c r="W1006" i="27"/>
  <c r="R942" i="27"/>
  <c r="X995" i="27"/>
  <c r="U1029" i="27"/>
  <c r="R995" i="27"/>
  <c r="R1038" i="27"/>
  <c r="T931" i="27"/>
  <c r="U1059" i="27"/>
  <c r="W1070" i="27"/>
  <c r="U933" i="27"/>
  <c r="R933" i="27"/>
  <c r="S933" i="27"/>
  <c r="X933" i="27"/>
  <c r="X997" i="27"/>
  <c r="S997" i="27"/>
  <c r="W997" i="27"/>
  <c r="X1093" i="27"/>
  <c r="S1093" i="27"/>
  <c r="U1093" i="27"/>
  <c r="T1093" i="27"/>
  <c r="U984" i="27"/>
  <c r="X984" i="27"/>
  <c r="W984" i="27"/>
  <c r="R1016" i="27"/>
  <c r="U929" i="27"/>
  <c r="T993" i="27"/>
  <c r="R1057" i="27"/>
  <c r="X1057" i="27"/>
  <c r="W1089" i="27"/>
  <c r="U1098" i="27"/>
  <c r="R1093" i="27"/>
  <c r="W967" i="27"/>
  <c r="S1031" i="27"/>
  <c r="S1016" i="27"/>
  <c r="U1048" i="27"/>
  <c r="U1080" i="27"/>
  <c r="R939" i="27"/>
  <c r="W939" i="27"/>
  <c r="R950" i="27"/>
  <c r="S950" i="27"/>
  <c r="R982" i="27"/>
  <c r="W982" i="27"/>
  <c r="X982" i="27"/>
  <c r="U982" i="27"/>
  <c r="R1046" i="27"/>
  <c r="T1046" i="27"/>
  <c r="U1046" i="27"/>
  <c r="S1046" i="27"/>
  <c r="R1110" i="27"/>
  <c r="T1110" i="27"/>
  <c r="W1110" i="27"/>
  <c r="U1110" i="27"/>
  <c r="U960" i="27"/>
  <c r="R960" i="27"/>
  <c r="T992" i="27"/>
  <c r="R992" i="27"/>
  <c r="X992" i="27"/>
  <c r="W992" i="27"/>
  <c r="W937" i="27"/>
  <c r="R961" i="27"/>
  <c r="X961" i="27"/>
  <c r="W993" i="27"/>
  <c r="T1025" i="27"/>
  <c r="S1057" i="27"/>
  <c r="R1089" i="27"/>
  <c r="X1089" i="27"/>
  <c r="S1074" i="27"/>
  <c r="X1131" i="27"/>
  <c r="R997" i="27"/>
  <c r="X939" i="27"/>
  <c r="W933" i="27"/>
  <c r="U997" i="27"/>
  <c r="W1053" i="27"/>
  <c r="W960" i="27"/>
  <c r="S992" i="27"/>
  <c r="X1101" i="27"/>
  <c r="T1101" i="27"/>
  <c r="R1101" i="27"/>
  <c r="W1101" i="27"/>
  <c r="X965" i="27"/>
  <c r="S965" i="27"/>
  <c r="W965" i="27"/>
  <c r="W1037" i="27"/>
  <c r="X1037" i="27"/>
  <c r="R1037" i="27"/>
  <c r="U1037" i="27"/>
  <c r="U920" i="27"/>
  <c r="X920" i="27"/>
  <c r="W920" i="27"/>
  <c r="W952" i="27"/>
  <c r="T952" i="27"/>
  <c r="U952" i="27"/>
  <c r="W1016" i="27"/>
  <c r="T1016" i="27"/>
  <c r="U1016" i="27"/>
  <c r="W1048" i="27"/>
  <c r="S1048" i="27"/>
  <c r="X1048" i="27"/>
  <c r="X1080" i="27"/>
  <c r="S1080" i="27"/>
  <c r="W1080" i="27"/>
  <c r="T1120" i="27"/>
  <c r="S1120" i="27"/>
  <c r="X1120" i="27"/>
  <c r="R938" i="27"/>
  <c r="X938" i="27"/>
  <c r="S938" i="27"/>
  <c r="R970" i="27"/>
  <c r="X970" i="27"/>
  <c r="S970" i="27"/>
  <c r="R1002" i="27"/>
  <c r="X1002" i="27"/>
  <c r="S1002" i="27"/>
  <c r="R1034" i="27"/>
  <c r="X1034" i="27"/>
  <c r="S1034" i="27"/>
  <c r="R1066" i="27"/>
  <c r="X1066" i="27"/>
  <c r="S1066" i="27"/>
  <c r="R1098" i="27"/>
  <c r="X1098" i="27"/>
  <c r="S1098" i="27"/>
  <c r="R1130" i="27"/>
  <c r="X1130" i="27"/>
  <c r="S1130" i="27"/>
  <c r="U967" i="27"/>
  <c r="R967" i="27"/>
  <c r="T967" i="27"/>
  <c r="U1031" i="27"/>
  <c r="W1031" i="27"/>
  <c r="R1031" i="27"/>
  <c r="U1095" i="27"/>
  <c r="X1095" i="27"/>
  <c r="S1095" i="27"/>
  <c r="W1095" i="27"/>
  <c r="X929" i="27"/>
  <c r="S929" i="27"/>
  <c r="W1121" i="27"/>
  <c r="R1121" i="27"/>
  <c r="T1121" i="27"/>
  <c r="S1121" i="27"/>
  <c r="X927" i="27"/>
  <c r="R927" i="27"/>
  <c r="U927" i="27"/>
  <c r="T927" i="27"/>
  <c r="X991" i="27"/>
  <c r="R991" i="27"/>
  <c r="U991" i="27"/>
  <c r="T991" i="27"/>
  <c r="X1055" i="27"/>
  <c r="R1055" i="27"/>
  <c r="W1055" i="27"/>
  <c r="U1055" i="27"/>
  <c r="U1119" i="27"/>
  <c r="T1119" i="27"/>
  <c r="R1119" i="27"/>
  <c r="W961" i="27"/>
  <c r="S1025" i="27"/>
  <c r="T938" i="27"/>
  <c r="U1130" i="27"/>
  <c r="T933" i="27"/>
  <c r="T997" i="27"/>
  <c r="S1037" i="27"/>
  <c r="S1119" i="27"/>
  <c r="R1120" i="27"/>
  <c r="X952" i="27"/>
  <c r="T984" i="27"/>
  <c r="U1120" i="27"/>
  <c r="R1003" i="27"/>
  <c r="T1003" i="27"/>
  <c r="X1003" i="27"/>
  <c r="S1003" i="27"/>
  <c r="R1067" i="27"/>
  <c r="W1067" i="27"/>
  <c r="U1067" i="27"/>
  <c r="R1078" i="27"/>
  <c r="S1078" i="27"/>
  <c r="W1117" i="27"/>
  <c r="R1117" i="27"/>
  <c r="U1117" i="27"/>
  <c r="T1117" i="27"/>
  <c r="W973" i="27"/>
  <c r="U973" i="27"/>
  <c r="R973" i="27"/>
  <c r="S973" i="27"/>
  <c r="S1005" i="27"/>
  <c r="U1005" i="27"/>
  <c r="R1045" i="27"/>
  <c r="U1045" i="27"/>
  <c r="S1045" i="27"/>
  <c r="X1045" i="27"/>
  <c r="T928" i="27"/>
  <c r="X928" i="27"/>
  <c r="R928" i="27"/>
  <c r="W928" i="27"/>
  <c r="U1056" i="27"/>
  <c r="S1056" i="27"/>
  <c r="X1056" i="27"/>
  <c r="X1136" i="27"/>
  <c r="R1136" i="27"/>
  <c r="R978" i="27"/>
  <c r="W978" i="27"/>
  <c r="R1042" i="27"/>
  <c r="W1042" i="27"/>
  <c r="R1106" i="27"/>
  <c r="W1106" i="27"/>
  <c r="U919" i="27"/>
  <c r="W919" i="27"/>
  <c r="T919" i="27"/>
  <c r="U983" i="27"/>
  <c r="W983" i="27"/>
  <c r="T983" i="27"/>
  <c r="U1047" i="27"/>
  <c r="X1047" i="27"/>
  <c r="S1047" i="27"/>
  <c r="W1047" i="27"/>
  <c r="X1111" i="27"/>
  <c r="R1111" i="27"/>
  <c r="W1111" i="27"/>
  <c r="U1111" i="27"/>
  <c r="U969" i="27"/>
  <c r="S969" i="27"/>
  <c r="X969" i="27"/>
  <c r="R969" i="27"/>
  <c r="T1001" i="27"/>
  <c r="U1001" i="27"/>
  <c r="S1001" i="27"/>
  <c r="U1033" i="27"/>
  <c r="W1033" i="27"/>
  <c r="T1033" i="27"/>
  <c r="T1065" i="27"/>
  <c r="X1065" i="27"/>
  <c r="R1065" i="27"/>
  <c r="W1065" i="27"/>
  <c r="U1097" i="27"/>
  <c r="S1097" i="27"/>
  <c r="R1097" i="27"/>
  <c r="X1097" i="27"/>
  <c r="T1129" i="27"/>
  <c r="S1129" i="27"/>
  <c r="X1129" i="27"/>
  <c r="R1129" i="27"/>
  <c r="U935" i="27"/>
  <c r="T935" i="27"/>
  <c r="R935" i="27"/>
  <c r="X1007" i="27"/>
  <c r="R1007" i="27"/>
  <c r="T1007" i="27"/>
  <c r="S1007" i="27"/>
  <c r="X1071" i="27"/>
  <c r="R1071" i="27"/>
  <c r="T1071" i="27"/>
  <c r="S1071" i="27"/>
  <c r="T1135" i="27"/>
  <c r="U1135" i="27"/>
  <c r="S1135" i="27"/>
  <c r="R1135" i="27"/>
  <c r="R984" i="27"/>
  <c r="R1131" i="27"/>
  <c r="R929" i="27"/>
  <c r="R937" i="27"/>
  <c r="X937" i="27"/>
  <c r="S961" i="27"/>
  <c r="R993" i="27"/>
  <c r="X993" i="27"/>
  <c r="W1025" i="27"/>
  <c r="T1057" i="27"/>
  <c r="S1089" i="27"/>
  <c r="W938" i="27"/>
  <c r="U970" i="27"/>
  <c r="U978" i="27"/>
  <c r="U1002" i="27"/>
  <c r="T1034" i="27"/>
  <c r="T1042" i="27"/>
  <c r="T1066" i="27"/>
  <c r="S1106" i="27"/>
  <c r="S1131" i="27"/>
  <c r="X1125" i="27"/>
  <c r="R965" i="27"/>
  <c r="S939" i="27"/>
  <c r="X1067" i="27"/>
  <c r="T965" i="27"/>
  <c r="S1101" i="27"/>
  <c r="X1119" i="27"/>
  <c r="X1121" i="27"/>
  <c r="S919" i="27"/>
  <c r="W927" i="27"/>
  <c r="X983" i="27"/>
  <c r="W1007" i="27"/>
  <c r="X1031" i="27"/>
  <c r="T1047" i="27"/>
  <c r="T1111" i="27"/>
  <c r="S920" i="27"/>
  <c r="U992" i="27"/>
  <c r="S1024" i="27"/>
  <c r="W1056" i="27"/>
  <c r="X1001" i="27"/>
  <c r="S1033" i="27"/>
  <c r="S1065" i="27"/>
  <c r="T1097" i="27"/>
  <c r="W1054" i="27"/>
  <c r="X1054" i="27"/>
  <c r="W1118" i="27"/>
  <c r="X1118" i="27"/>
  <c r="X945" i="27"/>
  <c r="S945" i="27"/>
  <c r="W1086" i="27"/>
  <c r="X1086" i="27"/>
  <c r="W1104" i="27"/>
  <c r="X1104" i="27"/>
  <c r="T968" i="27"/>
  <c r="R968" i="27"/>
  <c r="X943" i="27"/>
  <c r="R943" i="27"/>
  <c r="X1023" i="27"/>
  <c r="R1023" i="27"/>
  <c r="S977" i="27"/>
  <c r="S1009" i="27"/>
  <c r="S1041" i="27"/>
  <c r="S1073" i="27"/>
  <c r="S1105" i="27"/>
  <c r="W1137" i="27"/>
  <c r="R954" i="27"/>
  <c r="R1018" i="27"/>
  <c r="R1082" i="27"/>
  <c r="W1061" i="27"/>
  <c r="X1133" i="27"/>
  <c r="R1032" i="27"/>
  <c r="X958" i="27"/>
  <c r="R1087" i="27"/>
  <c r="T943" i="27"/>
  <c r="R951" i="27"/>
  <c r="R999" i="27"/>
  <c r="W1023" i="27"/>
  <c r="W1063" i="27"/>
  <c r="X1127" i="27"/>
  <c r="U968" i="27"/>
  <c r="U1032" i="27"/>
  <c r="S1096" i="27"/>
  <c r="S1104" i="27"/>
  <c r="T945" i="27"/>
  <c r="T946" i="27"/>
  <c r="T1074" i="27"/>
  <c r="S1099" i="27"/>
  <c r="W1005" i="27"/>
  <c r="X1053" i="27"/>
  <c r="X960" i="27"/>
  <c r="T976" i="27"/>
  <c r="T1024" i="27"/>
  <c r="U1112" i="27"/>
  <c r="U946" i="27"/>
  <c r="U1010" i="27"/>
  <c r="U1074" i="27"/>
  <c r="S941" i="27"/>
  <c r="X1005" i="27"/>
  <c r="R1024" i="27"/>
  <c r="U1024" i="27"/>
  <c r="T1010" i="27"/>
  <c r="W946" i="27"/>
  <c r="W1010" i="27"/>
  <c r="W1074" i="27"/>
  <c r="S1051" i="27"/>
  <c r="T941" i="27"/>
  <c r="S1021" i="27"/>
  <c r="T966" i="27"/>
  <c r="T1094" i="27"/>
  <c r="X976" i="27"/>
  <c r="W1024" i="27"/>
  <c r="U1040" i="27"/>
  <c r="S1088" i="27"/>
  <c r="W1112" i="27"/>
  <c r="T1128" i="27"/>
  <c r="R941" i="27"/>
  <c r="X946" i="27"/>
  <c r="X1010" i="27"/>
  <c r="X1074" i="27"/>
  <c r="U1115" i="27"/>
  <c r="S1125" i="27"/>
  <c r="T1051" i="27"/>
  <c r="R1030" i="27"/>
  <c r="U941" i="27"/>
  <c r="T1021" i="27"/>
  <c r="U966" i="27"/>
  <c r="S1014" i="27"/>
  <c r="U1094" i="27"/>
  <c r="R1088" i="27"/>
  <c r="T1040" i="27"/>
  <c r="T1088" i="27"/>
  <c r="U1128" i="27"/>
  <c r="W1115" i="27"/>
  <c r="T1125" i="27"/>
  <c r="R1051" i="27"/>
  <c r="U971" i="27"/>
  <c r="R1021" i="27"/>
  <c r="W941" i="27"/>
  <c r="U1021" i="27"/>
  <c r="S1053" i="27"/>
  <c r="W966" i="27"/>
  <c r="W1094" i="27"/>
  <c r="S960" i="27"/>
  <c r="W1040" i="27"/>
  <c r="U1088" i="27"/>
  <c r="W1128" i="27"/>
  <c r="R1005" i="27"/>
  <c r="U1125" i="27"/>
  <c r="S1085" i="27"/>
  <c r="T1005" i="27"/>
  <c r="T1053" i="27"/>
  <c r="T960" i="27"/>
  <c r="W1088" i="27"/>
  <c r="W1125" i="27"/>
  <c r="R1053" i="27"/>
  <c r="T947" i="27"/>
  <c r="S981" i="27"/>
  <c r="X1061" i="27"/>
  <c r="T1136" i="27"/>
  <c r="U947" i="27"/>
  <c r="T981" i="27"/>
  <c r="R936" i="27"/>
  <c r="R1064" i="27"/>
  <c r="S936" i="27"/>
  <c r="S1000" i="27"/>
  <c r="S1064" i="27"/>
  <c r="W1136" i="27"/>
  <c r="S1075" i="27"/>
  <c r="R1133" i="27"/>
  <c r="W947" i="27"/>
  <c r="S1011" i="27"/>
  <c r="U981" i="27"/>
  <c r="T936" i="27"/>
  <c r="U1000" i="27"/>
  <c r="U1064" i="27"/>
  <c r="T1075" i="27"/>
  <c r="X947" i="27"/>
  <c r="T1011" i="27"/>
  <c r="W981" i="27"/>
  <c r="T1133" i="27"/>
  <c r="R926" i="27"/>
  <c r="S926" i="27"/>
  <c r="S990" i="27"/>
  <c r="S1054" i="27"/>
  <c r="S1118" i="27"/>
  <c r="U936" i="27"/>
  <c r="T1000" i="27"/>
  <c r="T1064" i="27"/>
  <c r="U1075" i="27"/>
  <c r="U1011" i="27"/>
  <c r="X981" i="27"/>
  <c r="S1061" i="27"/>
  <c r="S1133" i="27"/>
  <c r="R990" i="27"/>
  <c r="T926" i="27"/>
  <c r="T990" i="27"/>
  <c r="T1054" i="27"/>
  <c r="T1118" i="27"/>
  <c r="W936" i="27"/>
  <c r="W1000" i="27"/>
  <c r="W1064" i="27"/>
  <c r="T1104" i="27"/>
  <c r="W1075" i="27"/>
  <c r="R1061" i="27"/>
  <c r="W1011" i="27"/>
  <c r="T1061" i="27"/>
  <c r="U1133" i="27"/>
  <c r="R1000" i="27"/>
  <c r="R1054" i="27"/>
  <c r="U926" i="27"/>
  <c r="U990" i="27"/>
  <c r="U1054" i="27"/>
  <c r="U1118" i="27"/>
  <c r="X1075" i="27"/>
  <c r="X1011" i="27"/>
  <c r="R1118" i="27"/>
  <c r="U1013" i="27"/>
  <c r="W1013" i="27"/>
  <c r="T1022" i="27"/>
  <c r="S1043" i="27"/>
  <c r="S949" i="27"/>
  <c r="X1013" i="27"/>
  <c r="T1069" i="27"/>
  <c r="R958" i="27"/>
  <c r="U1022" i="27"/>
  <c r="S979" i="27"/>
  <c r="T1043" i="27"/>
  <c r="S1107" i="27"/>
  <c r="U949" i="27"/>
  <c r="S1069" i="27"/>
  <c r="W1022" i="27"/>
  <c r="T979" i="27"/>
  <c r="U1043" i="27"/>
  <c r="T1107" i="27"/>
  <c r="T949" i="27"/>
  <c r="U1069" i="27"/>
  <c r="R1022" i="27"/>
  <c r="S958" i="27"/>
  <c r="S1086" i="27"/>
  <c r="U979" i="27"/>
  <c r="W1043" i="27"/>
  <c r="U1107" i="27"/>
  <c r="W949" i="27"/>
  <c r="W1069" i="27"/>
  <c r="T958" i="27"/>
  <c r="T1086" i="27"/>
  <c r="W979" i="27"/>
  <c r="X1043" i="27"/>
  <c r="W1107" i="27"/>
  <c r="X949" i="27"/>
  <c r="S1013" i="27"/>
  <c r="X1069" i="27"/>
  <c r="R1086" i="27"/>
  <c r="U958" i="27"/>
  <c r="U1086" i="27"/>
  <c r="X979" i="27"/>
  <c r="X1107" i="27"/>
  <c r="T1013" i="27"/>
  <c r="T1099" i="27"/>
  <c r="W971" i="27"/>
  <c r="T950" i="27"/>
  <c r="T1014" i="27"/>
  <c r="T1078" i="27"/>
  <c r="U1099" i="27"/>
  <c r="X971" i="27"/>
  <c r="S1035" i="27"/>
  <c r="U950" i="27"/>
  <c r="U1014" i="27"/>
  <c r="U1078" i="27"/>
  <c r="W1099" i="27"/>
  <c r="T1035" i="27"/>
  <c r="W950" i="27"/>
  <c r="W1014" i="27"/>
  <c r="W1078" i="27"/>
  <c r="X1099" i="27"/>
  <c r="U1035" i="27"/>
  <c r="X950" i="27"/>
  <c r="X1014" i="27"/>
  <c r="X1078" i="27"/>
  <c r="W1035" i="27"/>
  <c r="S971" i="27"/>
  <c r="X1035" i="27"/>
  <c r="T971" i="27"/>
  <c r="U1091" i="27"/>
  <c r="S963" i="27"/>
  <c r="S1027" i="27"/>
  <c r="R1027" i="27"/>
  <c r="W1091" i="27"/>
  <c r="T963" i="27"/>
  <c r="T1027" i="27"/>
  <c r="X963" i="27"/>
  <c r="X1027" i="27"/>
  <c r="W963" i="27"/>
  <c r="S1091" i="27"/>
  <c r="R1091" i="27"/>
  <c r="Y121" i="28"/>
  <c r="Z121" i="28"/>
  <c r="AA121" i="28"/>
  <c r="AC444" i="28"/>
  <c r="Y444" i="28"/>
  <c r="Z444" i="28"/>
  <c r="AA444" i="28"/>
  <c r="AC764" i="28"/>
  <c r="Y764" i="28"/>
  <c r="Z764" i="28"/>
  <c r="AA764" i="28"/>
  <c r="AC221" i="28"/>
  <c r="Y221" i="28"/>
  <c r="Z221" i="28"/>
  <c r="AA221" i="28"/>
  <c r="Y342" i="28"/>
  <c r="Z342" i="28"/>
  <c r="AA342" i="28"/>
  <c r="AC566" i="28"/>
  <c r="Y566" i="28"/>
  <c r="Z566" i="28"/>
  <c r="AA566" i="28"/>
  <c r="Y822" i="28"/>
  <c r="Z822" i="28"/>
  <c r="AA822" i="28"/>
  <c r="Y311" i="28"/>
  <c r="Z311" i="28"/>
  <c r="AA311" i="28"/>
  <c r="Y567" i="28"/>
  <c r="Z567" i="28"/>
  <c r="AA567" i="28"/>
  <c r="Y759" i="28"/>
  <c r="Z759" i="28"/>
  <c r="AA759" i="28"/>
  <c r="Y488" i="28"/>
  <c r="Z488" i="28"/>
  <c r="AA488" i="28"/>
  <c r="Y227" i="28"/>
  <c r="Z227" i="28"/>
  <c r="AA227" i="28"/>
  <c r="Y483" i="28"/>
  <c r="Z483" i="28"/>
  <c r="AA483" i="28"/>
  <c r="Y675" i="28"/>
  <c r="Z675" i="28"/>
  <c r="AA675" i="28"/>
  <c r="AC65" i="28"/>
  <c r="Y65" i="28"/>
  <c r="Z65" i="28"/>
  <c r="AA65" i="28"/>
  <c r="AC38" i="28"/>
  <c r="Y38" i="28"/>
  <c r="Z38" i="28"/>
  <c r="AA38" i="28"/>
  <c r="Y103" i="28"/>
  <c r="Z103" i="28"/>
  <c r="AA103" i="28"/>
  <c r="Y84" i="28"/>
  <c r="Z84" i="28"/>
  <c r="AA84" i="28"/>
  <c r="Y125" i="28"/>
  <c r="Z125" i="28"/>
  <c r="AA125" i="28"/>
  <c r="AC164" i="28"/>
  <c r="Y164" i="28"/>
  <c r="Z164" i="28"/>
  <c r="AA164" i="28"/>
  <c r="AC196" i="28"/>
  <c r="Y196" i="28"/>
  <c r="Z196" i="28"/>
  <c r="AA196" i="28"/>
  <c r="AC228" i="28"/>
  <c r="Y228" i="28"/>
  <c r="Z228" i="28"/>
  <c r="AA228" i="28"/>
  <c r="AC260" i="28"/>
  <c r="Y260" i="28"/>
  <c r="Z260" i="28"/>
  <c r="AA260" i="28"/>
  <c r="Y292" i="28"/>
  <c r="Z292" i="28"/>
  <c r="AA292" i="28"/>
  <c r="AC324" i="28"/>
  <c r="Y324" i="28"/>
  <c r="Z324" i="28"/>
  <c r="AA324" i="28"/>
  <c r="AC356" i="28"/>
  <c r="Y356" i="28"/>
  <c r="Z356" i="28"/>
  <c r="AA356" i="28"/>
  <c r="AC388" i="28"/>
  <c r="Y388" i="28"/>
  <c r="Z388" i="28"/>
  <c r="AA388" i="28"/>
  <c r="AC420" i="28"/>
  <c r="Y420" i="28"/>
  <c r="Z420" i="28"/>
  <c r="AA420" i="28"/>
  <c r="AC452" i="28"/>
  <c r="Y452" i="28"/>
  <c r="Z452" i="28"/>
  <c r="AA452" i="28"/>
  <c r="AC484" i="28"/>
  <c r="Y484" i="28"/>
  <c r="Z484" i="28"/>
  <c r="AA484" i="28"/>
  <c r="Y516" i="28"/>
  <c r="AC548" i="28"/>
  <c r="Y548" i="28"/>
  <c r="Z548" i="28"/>
  <c r="AA548" i="28"/>
  <c r="AC580" i="28"/>
  <c r="Y580" i="28"/>
  <c r="Z580" i="28"/>
  <c r="AA580" i="28"/>
  <c r="AC612" i="28"/>
  <c r="Y612" i="28"/>
  <c r="Z612" i="28"/>
  <c r="AA612" i="28"/>
  <c r="AC644" i="28"/>
  <c r="Y644" i="28"/>
  <c r="Z644" i="28"/>
  <c r="AA644" i="28"/>
  <c r="AC676" i="28"/>
  <c r="Y676" i="28"/>
  <c r="Z676" i="28"/>
  <c r="AA676" i="28"/>
  <c r="AC708" i="28"/>
  <c r="Y708" i="28"/>
  <c r="Z708" i="28"/>
  <c r="AA708" i="28"/>
  <c r="Y740" i="28"/>
  <c r="AC772" i="28"/>
  <c r="Y772" i="28"/>
  <c r="Z772" i="28"/>
  <c r="AA772" i="28"/>
  <c r="AC804" i="28"/>
  <c r="Y804" i="28"/>
  <c r="Z804" i="28"/>
  <c r="AA804" i="28"/>
  <c r="AC836" i="28"/>
  <c r="Y836" i="28"/>
  <c r="Z836" i="28"/>
  <c r="AA836" i="28"/>
  <c r="AC868" i="28"/>
  <c r="Y868" i="28"/>
  <c r="Z868" i="28"/>
  <c r="AA868" i="28"/>
  <c r="AC900" i="28"/>
  <c r="Y900" i="28"/>
  <c r="Z900" i="28"/>
  <c r="AA900" i="28"/>
  <c r="AC165" i="28"/>
  <c r="Y165" i="28"/>
  <c r="Z165" i="28"/>
  <c r="AA165" i="28"/>
  <c r="Y229" i="28"/>
  <c r="Z229" i="28"/>
  <c r="AA229" i="28"/>
  <c r="AC293" i="28"/>
  <c r="Y293" i="28"/>
  <c r="Z293" i="28"/>
  <c r="AA293" i="28"/>
  <c r="AC325" i="28"/>
  <c r="Y325" i="28"/>
  <c r="Z325" i="28"/>
  <c r="AA325" i="28"/>
  <c r="AC357" i="28"/>
  <c r="Y357" i="28"/>
  <c r="Z357" i="28"/>
  <c r="AA357" i="28"/>
  <c r="AC389" i="28"/>
  <c r="Y389" i="28"/>
  <c r="Z389" i="28"/>
  <c r="AA389" i="28"/>
  <c r="AC741" i="28"/>
  <c r="Y741" i="28"/>
  <c r="Z741" i="28"/>
  <c r="AA741" i="28"/>
  <c r="AC773" i="28"/>
  <c r="Y773" i="28"/>
  <c r="Z773" i="28"/>
  <c r="AA773" i="28"/>
  <c r="AC805" i="28"/>
  <c r="Y805" i="28"/>
  <c r="Z805" i="28"/>
  <c r="AA805" i="28"/>
  <c r="AC837" i="28"/>
  <c r="Y837" i="28"/>
  <c r="Z837" i="28"/>
  <c r="AA837" i="28"/>
  <c r="AC869" i="28"/>
  <c r="Y869" i="28"/>
  <c r="Z869" i="28"/>
  <c r="AA869" i="28"/>
  <c r="Y901" i="28"/>
  <c r="Z901" i="28"/>
  <c r="AA901" i="28"/>
  <c r="AC158" i="28"/>
  <c r="Y158" i="28"/>
  <c r="Z158" i="28"/>
  <c r="AA158" i="28"/>
  <c r="AC190" i="28"/>
  <c r="Y190" i="28"/>
  <c r="Z190" i="28"/>
  <c r="AA190" i="28"/>
  <c r="Y222" i="28"/>
  <c r="Z222" i="28"/>
  <c r="AA222" i="28"/>
  <c r="AC254" i="28"/>
  <c r="Y254" i="28"/>
  <c r="Z254" i="28"/>
  <c r="AA254" i="28"/>
  <c r="AC286" i="28"/>
  <c r="Y286" i="28"/>
  <c r="Z286" i="28"/>
  <c r="AA286" i="28"/>
  <c r="AC318" i="28"/>
  <c r="Y318" i="28"/>
  <c r="Z318" i="28"/>
  <c r="AA318" i="28"/>
  <c r="AC350" i="28"/>
  <c r="Y350" i="28"/>
  <c r="Z350" i="28"/>
  <c r="AA350" i="28"/>
  <c r="AC382" i="28"/>
  <c r="Y382" i="28"/>
  <c r="Z382" i="28"/>
  <c r="AA382" i="28"/>
  <c r="AC414" i="28"/>
  <c r="Y414" i="28"/>
  <c r="Z414" i="28"/>
  <c r="AA414" i="28"/>
  <c r="Y446" i="28"/>
  <c r="Z446" i="28"/>
  <c r="AA446" i="28"/>
  <c r="AC478" i="28"/>
  <c r="Y478" i="28"/>
  <c r="Z478" i="28"/>
  <c r="AA478" i="28"/>
  <c r="AC510" i="28"/>
  <c r="Y510" i="28"/>
  <c r="Z510" i="28"/>
  <c r="AA510" i="28"/>
  <c r="AC542" i="28"/>
  <c r="Y542" i="28"/>
  <c r="Z542" i="28"/>
  <c r="AA542" i="28"/>
  <c r="AC574" i="28"/>
  <c r="Y574" i="28"/>
  <c r="Z574" i="28"/>
  <c r="AA574" i="28"/>
  <c r="AC606" i="28"/>
  <c r="Y606" i="28"/>
  <c r="Z606" i="28"/>
  <c r="AA606" i="28"/>
  <c r="AC638" i="28"/>
  <c r="Y638" i="28"/>
  <c r="Z638" i="28"/>
  <c r="AA638" i="28"/>
  <c r="Y670" i="28"/>
  <c r="AC702" i="28"/>
  <c r="Y702" i="28"/>
  <c r="Z702" i="28"/>
  <c r="AA702" i="28"/>
  <c r="AC734" i="28"/>
  <c r="Y734" i="28"/>
  <c r="AA734" i="28"/>
  <c r="Z734" i="28"/>
  <c r="AC766" i="28"/>
  <c r="Y766" i="28"/>
  <c r="Z766" i="28"/>
  <c r="AA766" i="28"/>
  <c r="AC798" i="28"/>
  <c r="Y798" i="28"/>
  <c r="AA798" i="28"/>
  <c r="Z798" i="28"/>
  <c r="AC830" i="28"/>
  <c r="Y830" i="28"/>
  <c r="Z830" i="28"/>
  <c r="AA830" i="28"/>
  <c r="AC862" i="28"/>
  <c r="Y862" i="28"/>
  <c r="AA862" i="28"/>
  <c r="Z862" i="28"/>
  <c r="Y894" i="28"/>
  <c r="AA894" i="28"/>
  <c r="Z894" i="28"/>
  <c r="AC191" i="28"/>
  <c r="Y191" i="28"/>
  <c r="Z191" i="28"/>
  <c r="AA191" i="28"/>
  <c r="AC255" i="28"/>
  <c r="Y255" i="28"/>
  <c r="Z255" i="28"/>
  <c r="AA255" i="28"/>
  <c r="AC543" i="28"/>
  <c r="Y543" i="28"/>
  <c r="AA543" i="28"/>
  <c r="Z543" i="28"/>
  <c r="AC575" i="28"/>
  <c r="Y575" i="28"/>
  <c r="AA575" i="28"/>
  <c r="Z575" i="28"/>
  <c r="Y607" i="28"/>
  <c r="AC639" i="28"/>
  <c r="Y639" i="28"/>
  <c r="Z639" i="28"/>
  <c r="AA639" i="28"/>
  <c r="AC671" i="28"/>
  <c r="Y671" i="28"/>
  <c r="Z671" i="28"/>
  <c r="AA671" i="28"/>
  <c r="AC703" i="28"/>
  <c r="Y703" i="28"/>
  <c r="Z703" i="28"/>
  <c r="AA703" i="28"/>
  <c r="AC735" i="28"/>
  <c r="Y735" i="28"/>
  <c r="Z735" i="28"/>
  <c r="AA735" i="28"/>
  <c r="AC767" i="28"/>
  <c r="Y767" i="28"/>
  <c r="Z767" i="28"/>
  <c r="AA767" i="28"/>
  <c r="AC799" i="28"/>
  <c r="Y799" i="28"/>
  <c r="Z799" i="28"/>
  <c r="AA799" i="28"/>
  <c r="Y831" i="28"/>
  <c r="Z831" i="28"/>
  <c r="AA831" i="28"/>
  <c r="AC863" i="28"/>
  <c r="Y863" i="28"/>
  <c r="Z863" i="28"/>
  <c r="AA863" i="28"/>
  <c r="AC895" i="28"/>
  <c r="Y895" i="28"/>
  <c r="Z895" i="28"/>
  <c r="AA895" i="28"/>
  <c r="AC792" i="28"/>
  <c r="Y792" i="28"/>
  <c r="Z792" i="28"/>
  <c r="AA792" i="28"/>
  <c r="Y152" i="28"/>
  <c r="Z152" i="28"/>
  <c r="AA152" i="28"/>
  <c r="AC192" i="28"/>
  <c r="Y192" i="28"/>
  <c r="Z192" i="28"/>
  <c r="AA192" i="28"/>
  <c r="AC312" i="28"/>
  <c r="Y312" i="28"/>
  <c r="Z312" i="28"/>
  <c r="AA312" i="28"/>
  <c r="Y376" i="28"/>
  <c r="Z376" i="28"/>
  <c r="AA376" i="28"/>
  <c r="AC440" i="28"/>
  <c r="Y440" i="28"/>
  <c r="Z440" i="28"/>
  <c r="AA440" i="28"/>
  <c r="AC504" i="28"/>
  <c r="Z504" i="28"/>
  <c r="Y504" i="28"/>
  <c r="AA504" i="28"/>
  <c r="AC560" i="28"/>
  <c r="Z560" i="28"/>
  <c r="Y560" i="28"/>
  <c r="AA560" i="28"/>
  <c r="AC624" i="28"/>
  <c r="Y624" i="28"/>
  <c r="Z624" i="28"/>
  <c r="AA624" i="28"/>
  <c r="AC672" i="28"/>
  <c r="Y672" i="28"/>
  <c r="Z672" i="28"/>
  <c r="AA672" i="28"/>
  <c r="AC728" i="28"/>
  <c r="Y728" i="28"/>
  <c r="Z728" i="28"/>
  <c r="AA728" i="28"/>
  <c r="AC784" i="28"/>
  <c r="Y784" i="28"/>
  <c r="Z784" i="28"/>
  <c r="AA784" i="28"/>
  <c r="AC832" i="28"/>
  <c r="Y832" i="28"/>
  <c r="Z832" i="28"/>
  <c r="AA832" i="28"/>
  <c r="AC896" i="28"/>
  <c r="Y896" i="28"/>
  <c r="Z896" i="28"/>
  <c r="AA896" i="28"/>
  <c r="AC777" i="28"/>
  <c r="Y777" i="28"/>
  <c r="Z777" i="28"/>
  <c r="AA777" i="28"/>
  <c r="AC841" i="28"/>
  <c r="Y841" i="28"/>
  <c r="Z841" i="28"/>
  <c r="AA841" i="28"/>
  <c r="AC905" i="28"/>
  <c r="Y905" i="28"/>
  <c r="Z905" i="28"/>
  <c r="AA905" i="28"/>
  <c r="AC171" i="28"/>
  <c r="Y171" i="28"/>
  <c r="Z171" i="28"/>
  <c r="AA171" i="28"/>
  <c r="AC203" i="28"/>
  <c r="Y203" i="28"/>
  <c r="Z203" i="28"/>
  <c r="AA203" i="28"/>
  <c r="AC235" i="28"/>
  <c r="Y235" i="28"/>
  <c r="Z235" i="28"/>
  <c r="AA235" i="28"/>
  <c r="AC267" i="28"/>
  <c r="Y267" i="28"/>
  <c r="Z267" i="28"/>
  <c r="AA267" i="28"/>
  <c r="Y299" i="28"/>
  <c r="Z299" i="28"/>
  <c r="AA299" i="28"/>
  <c r="AC331" i="28"/>
  <c r="Y331" i="28"/>
  <c r="Z331" i="28"/>
  <c r="AA331" i="28"/>
  <c r="Y363" i="28"/>
  <c r="Z363" i="28"/>
  <c r="AA363" i="28"/>
  <c r="AC395" i="28"/>
  <c r="Y395" i="28"/>
  <c r="Z395" i="28"/>
  <c r="AA395" i="28"/>
  <c r="AC427" i="28"/>
  <c r="Y427" i="28"/>
  <c r="Z427" i="28"/>
  <c r="AA427" i="28"/>
  <c r="AC459" i="28"/>
  <c r="Y459" i="28"/>
  <c r="Z459" i="28"/>
  <c r="AA459" i="28"/>
  <c r="AC491" i="28"/>
  <c r="Y491" i="28"/>
  <c r="Z491" i="28"/>
  <c r="AA491" i="28"/>
  <c r="Y523" i="28"/>
  <c r="AC555" i="28"/>
  <c r="Y555" i="28"/>
  <c r="Z555" i="28"/>
  <c r="AA555" i="28"/>
  <c r="AC587" i="28"/>
  <c r="Y587" i="28"/>
  <c r="Z587" i="28"/>
  <c r="AA587" i="28"/>
  <c r="AC619" i="28"/>
  <c r="Y619" i="28"/>
  <c r="Z619" i="28"/>
  <c r="AA619" i="28"/>
  <c r="AC651" i="28"/>
  <c r="Y651" i="28"/>
  <c r="Z651" i="28"/>
  <c r="AA651" i="28"/>
  <c r="AC683" i="28"/>
  <c r="Y683" i="28"/>
  <c r="Z683" i="28"/>
  <c r="AA683" i="28"/>
  <c r="AC715" i="28"/>
  <c r="Y715" i="28"/>
  <c r="Z715" i="28"/>
  <c r="AA715" i="28"/>
  <c r="Y747" i="28"/>
  <c r="AC811" i="28"/>
  <c r="Y811" i="28"/>
  <c r="Z811" i="28"/>
  <c r="AA811" i="28"/>
  <c r="AC875" i="28"/>
  <c r="Y875" i="28"/>
  <c r="Z875" i="28"/>
  <c r="AA875" i="28"/>
  <c r="AC156" i="28"/>
  <c r="Y156" i="28"/>
  <c r="Z156" i="28"/>
  <c r="AA156" i="28"/>
  <c r="Y348" i="28"/>
  <c r="Z348" i="28"/>
  <c r="AA348" i="28"/>
  <c r="Y572" i="28"/>
  <c r="Y796" i="28"/>
  <c r="Z796" i="28"/>
  <c r="AA796" i="28"/>
  <c r="AC349" i="28"/>
  <c r="Y349" i="28"/>
  <c r="Z349" i="28"/>
  <c r="AA349" i="28"/>
  <c r="Y669" i="28"/>
  <c r="Z669" i="28"/>
  <c r="AA669" i="28"/>
  <c r="AC246" i="28"/>
  <c r="Y246" i="28"/>
  <c r="Z246" i="28"/>
  <c r="AA246" i="28"/>
  <c r="Y470" i="28"/>
  <c r="Z470" i="28"/>
  <c r="AA470" i="28"/>
  <c r="Y694" i="28"/>
  <c r="Z694" i="28"/>
  <c r="AA694" i="28"/>
  <c r="Y918" i="28"/>
  <c r="Z918" i="28"/>
  <c r="AA918" i="28"/>
  <c r="Y407" i="28"/>
  <c r="Z407" i="28"/>
  <c r="AA407" i="28"/>
  <c r="Y727" i="28"/>
  <c r="Z727" i="28"/>
  <c r="AA727" i="28"/>
  <c r="Y856" i="28"/>
  <c r="Z856" i="28"/>
  <c r="AA856" i="28"/>
  <c r="Y360" i="28"/>
  <c r="Z360" i="28"/>
  <c r="AA360" i="28"/>
  <c r="Y712" i="28"/>
  <c r="AC737" i="28"/>
  <c r="Z737" i="28"/>
  <c r="Y737" i="28"/>
  <c r="AA737" i="28"/>
  <c r="Y323" i="28"/>
  <c r="Z323" i="28"/>
  <c r="AA323" i="28"/>
  <c r="Y707" i="28"/>
  <c r="Z707" i="28"/>
  <c r="AA707" i="28"/>
  <c r="AC323" i="28"/>
  <c r="AC694" i="28"/>
  <c r="AC360" i="28"/>
  <c r="AC56" i="28"/>
  <c r="Y56" i="28"/>
  <c r="Z56" i="28"/>
  <c r="AA56" i="28"/>
  <c r="AC88" i="28"/>
  <c r="Y88" i="28"/>
  <c r="Z88" i="28"/>
  <c r="AA88" i="28"/>
  <c r="Y120" i="28"/>
  <c r="Z120" i="28"/>
  <c r="AA120" i="28"/>
  <c r="AC73" i="28"/>
  <c r="Y73" i="28"/>
  <c r="Z73" i="28"/>
  <c r="AA73" i="28"/>
  <c r="AC50" i="28"/>
  <c r="Y50" i="28"/>
  <c r="Z50" i="28"/>
  <c r="AA50" i="28"/>
  <c r="Y82" i="28"/>
  <c r="Z82" i="28"/>
  <c r="AA82" i="28"/>
  <c r="AC114" i="28"/>
  <c r="Y114" i="28"/>
  <c r="Z114" i="28"/>
  <c r="AA114" i="28"/>
  <c r="AC27" i="28"/>
  <c r="Y27" i="28"/>
  <c r="Z27" i="28"/>
  <c r="AA27" i="28"/>
  <c r="AC59" i="28"/>
  <c r="Y59" i="28"/>
  <c r="Z59" i="28"/>
  <c r="AA59" i="28"/>
  <c r="AC91" i="28"/>
  <c r="Y91" i="28"/>
  <c r="Z91" i="28"/>
  <c r="AA91" i="28"/>
  <c r="AC123" i="28"/>
  <c r="Y123" i="28"/>
  <c r="Z123" i="28"/>
  <c r="AA123" i="28"/>
  <c r="AC44" i="28"/>
  <c r="Y44" i="28"/>
  <c r="Z44" i="28"/>
  <c r="AA44" i="28"/>
  <c r="AC108" i="28"/>
  <c r="Y108" i="28"/>
  <c r="Z108" i="28"/>
  <c r="AA108" i="28"/>
  <c r="AC142" i="28"/>
  <c r="Y142" i="28"/>
  <c r="Z142" i="28"/>
  <c r="AA142" i="28"/>
  <c r="AC127" i="28"/>
  <c r="Y127" i="28"/>
  <c r="Z127" i="28"/>
  <c r="AA127" i="28"/>
  <c r="Y46" i="28"/>
  <c r="Z46" i="28"/>
  <c r="AA46" i="28"/>
  <c r="AC39" i="28"/>
  <c r="Y39" i="28"/>
  <c r="Z39" i="28"/>
  <c r="AA39" i="28"/>
  <c r="Y30" i="28"/>
  <c r="Z30" i="28"/>
  <c r="AA30" i="28"/>
  <c r="Y47" i="28"/>
  <c r="Z47" i="28"/>
  <c r="AA47" i="28"/>
  <c r="Y29" i="28"/>
  <c r="Z29" i="28"/>
  <c r="AA29" i="28"/>
  <c r="Y61" i="28"/>
  <c r="Z61" i="28"/>
  <c r="AA61" i="28"/>
  <c r="Y93" i="28"/>
  <c r="Z93" i="28"/>
  <c r="AA93" i="28"/>
  <c r="Y429" i="28"/>
  <c r="Z429" i="28"/>
  <c r="AA429" i="28"/>
  <c r="Y493" i="28"/>
  <c r="Z493" i="28"/>
  <c r="AA493" i="28"/>
  <c r="Y557" i="28"/>
  <c r="Z557" i="28"/>
  <c r="AA557" i="28"/>
  <c r="Y621" i="28"/>
  <c r="Y749" i="28"/>
  <c r="Z749" i="28"/>
  <c r="AA749" i="28"/>
  <c r="Y781" i="28"/>
  <c r="AA781" i="28"/>
  <c r="Z781" i="28"/>
  <c r="Y845" i="28"/>
  <c r="Z845" i="28"/>
  <c r="AA845" i="28"/>
  <c r="Y199" i="28"/>
  <c r="Z199" i="28"/>
  <c r="AA199" i="28"/>
  <c r="Y263" i="28"/>
  <c r="Z263" i="28"/>
  <c r="AA263" i="28"/>
  <c r="Y295" i="28"/>
  <c r="AA295" i="28"/>
  <c r="Z295" i="28"/>
  <c r="Y327" i="28"/>
  <c r="Z327" i="28"/>
  <c r="AA327" i="28"/>
  <c r="Y359" i="28"/>
  <c r="AA359" i="28"/>
  <c r="Z359" i="28"/>
  <c r="Y391" i="28"/>
  <c r="Z391" i="28"/>
  <c r="AA391" i="28"/>
  <c r="Y423" i="28"/>
  <c r="AA423" i="28"/>
  <c r="Z423" i="28"/>
  <c r="Y455" i="28"/>
  <c r="Z455" i="28"/>
  <c r="AA455" i="28"/>
  <c r="Y487" i="28"/>
  <c r="Z487" i="28"/>
  <c r="AA487" i="28"/>
  <c r="Y519" i="28"/>
  <c r="Z519" i="28"/>
  <c r="AA519" i="28"/>
  <c r="Y240" i="28"/>
  <c r="Z240" i="28"/>
  <c r="AA240" i="28"/>
  <c r="Y304" i="28"/>
  <c r="Z304" i="28"/>
  <c r="AA304" i="28"/>
  <c r="Y368" i="28"/>
  <c r="Z368" i="28"/>
  <c r="AA368" i="28"/>
  <c r="Y432" i="28"/>
  <c r="Z432" i="28"/>
  <c r="AA432" i="28"/>
  <c r="Z496" i="28"/>
  <c r="Y496" i="28"/>
  <c r="AA496" i="28"/>
  <c r="Z568" i="28"/>
  <c r="Y568" i="28"/>
  <c r="AA568" i="28"/>
  <c r="Y640" i="28"/>
  <c r="Z640" i="28"/>
  <c r="AA640" i="28"/>
  <c r="Y720" i="28"/>
  <c r="Z720" i="28"/>
  <c r="AA720" i="28"/>
  <c r="Y872" i="28"/>
  <c r="Z872" i="28"/>
  <c r="AA872" i="28"/>
  <c r="Y800" i="28"/>
  <c r="Z800" i="28"/>
  <c r="AA800" i="28"/>
  <c r="Y904" i="28"/>
  <c r="Z904" i="28"/>
  <c r="AA904" i="28"/>
  <c r="Y169" i="28"/>
  <c r="Z169" i="28"/>
  <c r="AA169" i="28"/>
  <c r="Y201" i="28"/>
  <c r="Z201" i="28"/>
  <c r="AA201" i="28"/>
  <c r="Y233" i="28"/>
  <c r="Z233" i="28"/>
  <c r="AA233" i="28"/>
  <c r="Y265" i="28"/>
  <c r="Z265" i="28"/>
  <c r="AA265" i="28"/>
  <c r="Y297" i="28"/>
  <c r="Z297" i="28"/>
  <c r="AA297" i="28"/>
  <c r="Y329" i="28"/>
  <c r="Z329" i="28"/>
  <c r="AA329" i="28"/>
  <c r="Y361" i="28"/>
  <c r="Z361" i="28"/>
  <c r="AA361" i="28"/>
  <c r="Y393" i="28"/>
  <c r="Z393" i="28"/>
  <c r="AA393" i="28"/>
  <c r="Y425" i="28"/>
  <c r="Z425" i="28"/>
  <c r="AA425" i="28"/>
  <c r="Y457" i="28"/>
  <c r="Z457" i="28"/>
  <c r="AA457" i="28"/>
  <c r="Y489" i="28"/>
  <c r="Z489" i="28"/>
  <c r="AA489" i="28"/>
  <c r="Y521" i="28"/>
  <c r="Z521" i="28"/>
  <c r="AA521" i="28"/>
  <c r="Y553" i="28"/>
  <c r="Z553" i="28"/>
  <c r="AA553" i="28"/>
  <c r="Y585" i="28"/>
  <c r="Z585" i="28"/>
  <c r="AA585" i="28"/>
  <c r="Y617" i="28"/>
  <c r="Z617" i="28"/>
  <c r="AA617" i="28"/>
  <c r="Y649" i="28"/>
  <c r="Y681" i="28"/>
  <c r="Z681" i="28"/>
  <c r="AA681" i="28"/>
  <c r="Y713" i="28"/>
  <c r="Z713" i="28"/>
  <c r="AA713" i="28"/>
  <c r="Y745" i="28"/>
  <c r="Z745" i="28"/>
  <c r="AA745" i="28"/>
  <c r="Y809" i="28"/>
  <c r="Z809" i="28"/>
  <c r="AA809" i="28"/>
  <c r="Y873" i="28"/>
  <c r="Z873" i="28"/>
  <c r="AA873" i="28"/>
  <c r="Y146" i="28"/>
  <c r="Z146" i="28"/>
  <c r="AA146" i="28"/>
  <c r="Y178" i="28"/>
  <c r="Z178" i="28"/>
  <c r="AA178" i="28"/>
  <c r="Y210" i="28"/>
  <c r="Z210" i="28"/>
  <c r="AA210" i="28"/>
  <c r="Y242" i="28"/>
  <c r="Z242" i="28"/>
  <c r="AA242" i="28"/>
  <c r="Y274" i="28"/>
  <c r="Z274" i="28"/>
  <c r="AA274" i="28"/>
  <c r="Y306" i="28"/>
  <c r="Z306" i="28"/>
  <c r="AA306" i="28"/>
  <c r="Y338" i="28"/>
  <c r="Z338" i="28"/>
  <c r="AA338" i="28"/>
  <c r="Y370" i="28"/>
  <c r="Z370" i="28"/>
  <c r="AA370" i="28"/>
  <c r="Y402" i="28"/>
  <c r="Z402" i="28"/>
  <c r="AA402" i="28"/>
  <c r="Y434" i="28"/>
  <c r="Z434" i="28"/>
  <c r="AA434" i="28"/>
  <c r="Y466" i="28"/>
  <c r="Z466" i="28"/>
  <c r="AA466" i="28"/>
  <c r="Y498" i="28"/>
  <c r="Z498" i="28"/>
  <c r="AA498" i="28"/>
  <c r="Y530" i="28"/>
  <c r="Y562" i="28"/>
  <c r="Z562" i="28"/>
  <c r="AA562" i="28"/>
  <c r="Y594" i="28"/>
  <c r="Z594" i="28"/>
  <c r="AA594" i="28"/>
  <c r="Y626" i="28"/>
  <c r="Z626" i="28"/>
  <c r="AA626" i="28"/>
  <c r="Y658" i="28"/>
  <c r="Z658" i="28"/>
  <c r="AA658" i="28"/>
  <c r="Y690" i="28"/>
  <c r="Z690" i="28"/>
  <c r="AA690" i="28"/>
  <c r="Y722" i="28"/>
  <c r="Z722" i="28"/>
  <c r="AA722" i="28"/>
  <c r="Y754" i="28"/>
  <c r="Y786" i="28"/>
  <c r="Z786" i="28"/>
  <c r="AA786" i="28"/>
  <c r="Y818" i="28"/>
  <c r="Z818" i="28"/>
  <c r="AA818" i="28"/>
  <c r="Y850" i="28"/>
  <c r="Z850" i="28"/>
  <c r="AA850" i="28"/>
  <c r="Y882" i="28"/>
  <c r="Z882" i="28"/>
  <c r="AA882" i="28"/>
  <c r="Y914" i="28"/>
  <c r="Z914" i="28"/>
  <c r="AA914" i="28"/>
  <c r="AC126" i="28"/>
  <c r="Y126" i="28"/>
  <c r="Z126" i="28"/>
  <c r="AA126" i="28"/>
  <c r="Y220" i="28"/>
  <c r="Z220" i="28"/>
  <c r="AA220" i="28"/>
  <c r="Y412" i="28"/>
  <c r="Z412" i="28"/>
  <c r="AA412" i="28"/>
  <c r="Y636" i="28"/>
  <c r="AA636" i="28"/>
  <c r="Z636" i="28"/>
  <c r="AC860" i="28"/>
  <c r="Y860" i="28"/>
  <c r="Z860" i="28"/>
  <c r="AA860" i="28"/>
  <c r="AC253" i="28"/>
  <c r="Y253" i="28"/>
  <c r="Z253" i="28"/>
  <c r="AA253" i="28"/>
  <c r="Y637" i="28"/>
  <c r="Z637" i="28"/>
  <c r="AA637" i="28"/>
  <c r="AC310" i="28"/>
  <c r="Y310" i="28"/>
  <c r="Z310" i="28"/>
  <c r="AA310" i="28"/>
  <c r="Y534" i="28"/>
  <c r="Z534" i="28"/>
  <c r="AA534" i="28"/>
  <c r="Y790" i="28"/>
  <c r="Z790" i="28"/>
  <c r="AA790" i="28"/>
  <c r="AC343" i="28"/>
  <c r="Y343" i="28"/>
  <c r="Z343" i="28"/>
  <c r="AA343" i="28"/>
  <c r="AC631" i="28"/>
  <c r="Y631" i="28"/>
  <c r="Z631" i="28"/>
  <c r="AA631" i="28"/>
  <c r="Y855" i="28"/>
  <c r="Z855" i="28"/>
  <c r="AA855" i="28"/>
  <c r="Y296" i="28"/>
  <c r="Z296" i="28"/>
  <c r="AA296" i="28"/>
  <c r="Y768" i="28"/>
  <c r="Z768" i="28"/>
  <c r="AA768" i="28"/>
  <c r="Y259" i="28"/>
  <c r="Z259" i="28"/>
  <c r="AA259" i="28"/>
  <c r="Y451" i="28"/>
  <c r="Z451" i="28"/>
  <c r="AA451" i="28"/>
  <c r="Y579" i="28"/>
  <c r="Y643" i="28"/>
  <c r="Z643" i="28"/>
  <c r="AA643" i="28"/>
  <c r="Y803" i="28"/>
  <c r="Z803" i="28"/>
  <c r="AA803" i="28"/>
  <c r="AC483" i="28"/>
  <c r="AC643" i="28"/>
  <c r="AC856" i="28"/>
  <c r="AC41" i="28"/>
  <c r="Y41" i="28"/>
  <c r="Z41" i="28"/>
  <c r="AA41" i="28"/>
  <c r="AC105" i="28"/>
  <c r="Y105" i="28"/>
  <c r="Z105" i="28"/>
  <c r="AA105" i="28"/>
  <c r="AC137" i="28"/>
  <c r="Y137" i="28"/>
  <c r="Z137" i="28"/>
  <c r="AA137" i="28"/>
  <c r="AC62" i="28"/>
  <c r="Y62" i="28"/>
  <c r="Z62" i="28"/>
  <c r="AA62" i="28"/>
  <c r="AC135" i="28"/>
  <c r="Y135" i="28"/>
  <c r="Z135" i="28"/>
  <c r="AA135" i="28"/>
  <c r="AC28" i="28"/>
  <c r="Y28" i="28"/>
  <c r="Z28" i="28"/>
  <c r="AA28" i="28"/>
  <c r="AC100" i="28"/>
  <c r="Y100" i="28"/>
  <c r="Z100" i="28"/>
  <c r="AA100" i="28"/>
  <c r="AC69" i="28"/>
  <c r="Y69" i="28"/>
  <c r="Z69" i="28"/>
  <c r="AA69" i="28"/>
  <c r="AC101" i="28"/>
  <c r="Y101" i="28"/>
  <c r="Z101" i="28"/>
  <c r="AA101" i="28"/>
  <c r="AC172" i="28"/>
  <c r="Y172" i="28"/>
  <c r="Z172" i="28"/>
  <c r="AA172" i="28"/>
  <c r="AC204" i="28"/>
  <c r="Y204" i="28"/>
  <c r="Z204" i="28"/>
  <c r="AA204" i="28"/>
  <c r="Y236" i="28"/>
  <c r="Z236" i="28"/>
  <c r="AA236" i="28"/>
  <c r="AC268" i="28"/>
  <c r="Y268" i="28"/>
  <c r="Z268" i="28"/>
  <c r="AA268" i="28"/>
  <c r="AC300" i="28"/>
  <c r="Y300" i="28"/>
  <c r="Z300" i="28"/>
  <c r="AA300" i="28"/>
  <c r="AC332" i="28"/>
  <c r="Y332" i="28"/>
  <c r="Z332" i="28"/>
  <c r="AA332" i="28"/>
  <c r="AC364" i="28"/>
  <c r="Y364" i="28"/>
  <c r="Z364" i="28"/>
  <c r="AA364" i="28"/>
  <c r="AC396" i="28"/>
  <c r="Y396" i="28"/>
  <c r="Z396" i="28"/>
  <c r="AA396" i="28"/>
  <c r="AC428" i="28"/>
  <c r="Y428" i="28"/>
  <c r="Z428" i="28"/>
  <c r="AA428" i="28"/>
  <c r="Y460" i="28"/>
  <c r="Z460" i="28"/>
  <c r="AA460" i="28"/>
  <c r="Y492" i="28"/>
  <c r="Z492" i="28"/>
  <c r="AA492" i="28"/>
  <c r="AC524" i="28"/>
  <c r="Y524" i="28"/>
  <c r="Z524" i="28"/>
  <c r="AA524" i="28"/>
  <c r="AC556" i="28"/>
  <c r="Y556" i="28"/>
  <c r="Z556" i="28"/>
  <c r="AA556" i="28"/>
  <c r="AC588" i="28"/>
  <c r="Y588" i="28"/>
  <c r="Z588" i="28"/>
  <c r="AA588" i="28"/>
  <c r="AC620" i="28"/>
  <c r="Y620" i="28"/>
  <c r="Z620" i="28"/>
  <c r="AA620" i="28"/>
  <c r="AC652" i="28"/>
  <c r="Y652" i="28"/>
  <c r="Z652" i="28"/>
  <c r="AA652" i="28"/>
  <c r="Y684" i="28"/>
  <c r="AC716" i="28"/>
  <c r="Y716" i="28"/>
  <c r="Z716" i="28"/>
  <c r="AA716" i="28"/>
  <c r="AC748" i="28"/>
  <c r="Y748" i="28"/>
  <c r="Z748" i="28"/>
  <c r="AA748" i="28"/>
  <c r="AC780" i="28"/>
  <c r="Y780" i="28"/>
  <c r="Z780" i="28"/>
  <c r="AA780" i="28"/>
  <c r="AC812" i="28"/>
  <c r="Y812" i="28"/>
  <c r="Z812" i="28"/>
  <c r="AA812" i="28"/>
  <c r="AC844" i="28"/>
  <c r="Y844" i="28"/>
  <c r="Z844" i="28"/>
  <c r="AA844" i="28"/>
  <c r="AC876" i="28"/>
  <c r="Y876" i="28"/>
  <c r="Z876" i="28"/>
  <c r="AA876" i="28"/>
  <c r="Y908" i="28"/>
  <c r="Z908" i="28"/>
  <c r="AA908" i="28"/>
  <c r="Y173" i="28"/>
  <c r="Z173" i="28"/>
  <c r="AA173" i="28"/>
  <c r="AC205" i="28"/>
  <c r="Y205" i="28"/>
  <c r="Z205" i="28"/>
  <c r="AA205" i="28"/>
  <c r="AC237" i="28"/>
  <c r="Y237" i="28"/>
  <c r="Z237" i="28"/>
  <c r="AA237" i="28"/>
  <c r="AC269" i="28"/>
  <c r="Y269" i="28"/>
  <c r="Z269" i="28"/>
  <c r="AA269" i="28"/>
  <c r="AC301" i="28"/>
  <c r="Y301" i="28"/>
  <c r="Z301" i="28"/>
  <c r="AA301" i="28"/>
  <c r="AC333" i="28"/>
  <c r="Y333" i="28"/>
  <c r="Z333" i="28"/>
  <c r="AA333" i="28"/>
  <c r="AC365" i="28"/>
  <c r="Y365" i="28"/>
  <c r="Z365" i="28"/>
  <c r="AA365" i="28"/>
  <c r="Y397" i="28"/>
  <c r="Z397" i="28"/>
  <c r="AA397" i="28"/>
  <c r="AC461" i="28"/>
  <c r="Y461" i="28"/>
  <c r="Z461" i="28"/>
  <c r="AA461" i="28"/>
  <c r="AC525" i="28"/>
  <c r="Y525" i="28"/>
  <c r="Z525" i="28"/>
  <c r="AA525" i="28"/>
  <c r="AC589" i="28"/>
  <c r="Y589" i="28"/>
  <c r="Z589" i="28"/>
  <c r="AA589" i="28"/>
  <c r="AC653" i="28"/>
  <c r="Y653" i="28"/>
  <c r="AA653" i="28"/>
  <c r="Z653" i="28"/>
  <c r="AC685" i="28"/>
  <c r="Y685" i="28"/>
  <c r="Z685" i="28"/>
  <c r="AA685" i="28"/>
  <c r="AC717" i="28"/>
  <c r="Y717" i="28"/>
  <c r="AA717" i="28"/>
  <c r="Z717" i="28"/>
  <c r="AC813" i="28"/>
  <c r="Y813" i="28"/>
  <c r="AA813" i="28"/>
  <c r="Z813" i="28"/>
  <c r="AC877" i="28"/>
  <c r="Y877" i="28"/>
  <c r="AA877" i="28"/>
  <c r="Z877" i="28"/>
  <c r="AC909" i="28"/>
  <c r="Y909" i="28"/>
  <c r="AA909" i="28"/>
  <c r="Z909" i="28"/>
  <c r="Y166" i="28"/>
  <c r="Z166" i="28"/>
  <c r="AA166" i="28"/>
  <c r="AC198" i="28"/>
  <c r="Y198" i="28"/>
  <c r="Z198" i="28"/>
  <c r="AA198" i="28"/>
  <c r="AC230" i="28"/>
  <c r="Y230" i="28"/>
  <c r="Z230" i="28"/>
  <c r="AA230" i="28"/>
  <c r="AC262" i="28"/>
  <c r="Y262" i="28"/>
  <c r="Z262" i="28"/>
  <c r="AA262" i="28"/>
  <c r="AC294" i="28"/>
  <c r="Y294" i="28"/>
  <c r="Z294" i="28"/>
  <c r="AA294" i="28"/>
  <c r="AC326" i="28"/>
  <c r="Y326" i="28"/>
  <c r="Z326" i="28"/>
  <c r="AA326" i="28"/>
  <c r="AC358" i="28"/>
  <c r="Y358" i="28"/>
  <c r="Z358" i="28"/>
  <c r="AA358" i="28"/>
  <c r="Y390" i="28"/>
  <c r="Z390" i="28"/>
  <c r="AA390" i="28"/>
  <c r="AC422" i="28"/>
  <c r="Y422" i="28"/>
  <c r="Z422" i="28"/>
  <c r="AA422" i="28"/>
  <c r="AC454" i="28"/>
  <c r="Y454" i="28"/>
  <c r="Z454" i="28"/>
  <c r="AA454" i="28"/>
  <c r="Y486" i="28"/>
  <c r="Z486" i="28"/>
  <c r="AA486" i="28"/>
  <c r="AC518" i="28"/>
  <c r="Y518" i="28"/>
  <c r="Z518" i="28"/>
  <c r="AA518" i="28"/>
  <c r="AC550" i="28"/>
  <c r="Y550" i="28"/>
  <c r="Z550" i="28"/>
  <c r="AA550" i="28"/>
  <c r="AC582" i="28"/>
  <c r="Y582" i="28"/>
  <c r="Z582" i="28"/>
  <c r="AA582" i="28"/>
  <c r="Y614" i="28"/>
  <c r="AC646" i="28"/>
  <c r="Y646" i="28"/>
  <c r="Z646" i="28"/>
  <c r="AA646" i="28"/>
  <c r="AC678" i="28"/>
  <c r="Y678" i="28"/>
  <c r="Z678" i="28"/>
  <c r="AA678" i="28"/>
  <c r="AC710" i="28"/>
  <c r="Y710" i="28"/>
  <c r="Z710" i="28"/>
  <c r="AA710" i="28"/>
  <c r="AC742" i="28"/>
  <c r="Y742" i="28"/>
  <c r="Z742" i="28"/>
  <c r="AA742" i="28"/>
  <c r="AC774" i="28"/>
  <c r="Y774" i="28"/>
  <c r="Z774" i="28"/>
  <c r="AA774" i="28"/>
  <c r="AC806" i="28"/>
  <c r="Y806" i="28"/>
  <c r="Z806" i="28"/>
  <c r="AA806" i="28"/>
  <c r="Y838" i="28"/>
  <c r="Z838" i="28"/>
  <c r="AA838" i="28"/>
  <c r="AC870" i="28"/>
  <c r="Y870" i="28"/>
  <c r="Z870" i="28"/>
  <c r="AA870" i="28"/>
  <c r="AC902" i="28"/>
  <c r="Y902" i="28"/>
  <c r="Z902" i="28"/>
  <c r="AA902" i="28"/>
  <c r="AC167" i="28"/>
  <c r="Y167" i="28"/>
  <c r="Z167" i="28"/>
  <c r="AA167" i="28"/>
  <c r="AC231" i="28"/>
  <c r="Y231" i="28"/>
  <c r="Z231" i="28"/>
  <c r="AA231" i="28"/>
  <c r="Y551" i="28"/>
  <c r="AC583" i="28"/>
  <c r="Y583" i="28"/>
  <c r="Z583" i="28"/>
  <c r="AA583" i="28"/>
  <c r="AC615" i="28"/>
  <c r="Y615" i="28"/>
  <c r="Z615" i="28"/>
  <c r="AA615" i="28"/>
  <c r="AC647" i="28"/>
  <c r="Y647" i="28"/>
  <c r="Z647" i="28"/>
  <c r="AA647" i="28"/>
  <c r="AC679" i="28"/>
  <c r="Y679" i="28"/>
  <c r="Z679" i="28"/>
  <c r="AA679" i="28"/>
  <c r="AC711" i="28"/>
  <c r="Y711" i="28"/>
  <c r="Z711" i="28"/>
  <c r="AA711" i="28"/>
  <c r="AC743" i="28"/>
  <c r="Y743" i="28"/>
  <c r="Z743" i="28"/>
  <c r="AA743" i="28"/>
  <c r="Y775" i="28"/>
  <c r="Z775" i="28"/>
  <c r="AA775" i="28"/>
  <c r="AC807" i="28"/>
  <c r="Y807" i="28"/>
  <c r="Z807" i="28"/>
  <c r="AA807" i="28"/>
  <c r="AC839" i="28"/>
  <c r="Y839" i="28"/>
  <c r="Z839" i="28"/>
  <c r="AA839" i="28"/>
  <c r="AC871" i="28"/>
  <c r="Y871" i="28"/>
  <c r="Z871" i="28"/>
  <c r="AA871" i="28"/>
  <c r="AC903" i="28"/>
  <c r="Y903" i="28"/>
  <c r="Z903" i="28"/>
  <c r="AA903" i="28"/>
  <c r="Y816" i="28"/>
  <c r="Z816" i="28"/>
  <c r="AA816" i="28"/>
  <c r="AC160" i="28"/>
  <c r="Y160" i="28"/>
  <c r="Z160" i="28"/>
  <c r="AA160" i="28"/>
  <c r="AC200" i="28"/>
  <c r="Y200" i="28"/>
  <c r="Z200" i="28"/>
  <c r="AA200" i="28"/>
  <c r="Y264" i="28"/>
  <c r="Z264" i="28"/>
  <c r="AA264" i="28"/>
  <c r="AC328" i="28"/>
  <c r="Y328" i="28"/>
  <c r="Z328" i="28"/>
  <c r="AA328" i="28"/>
  <c r="AC392" i="28"/>
  <c r="Y392" i="28"/>
  <c r="Z392" i="28"/>
  <c r="AA392" i="28"/>
  <c r="AC456" i="28"/>
  <c r="Y456" i="28"/>
  <c r="Z456" i="28"/>
  <c r="AA456" i="28"/>
  <c r="AC512" i="28"/>
  <c r="Z512" i="28"/>
  <c r="Y512" i="28"/>
  <c r="AA512" i="28"/>
  <c r="AC576" i="28"/>
  <c r="Z576" i="28"/>
  <c r="Y576" i="28"/>
  <c r="AA576" i="28"/>
  <c r="AC632" i="28"/>
  <c r="Y632" i="28"/>
  <c r="Z632" i="28"/>
  <c r="AA632" i="28"/>
  <c r="AC688" i="28"/>
  <c r="Y688" i="28"/>
  <c r="Z688" i="28"/>
  <c r="AA688" i="28"/>
  <c r="AC744" i="28"/>
  <c r="Y744" i="28"/>
  <c r="Z744" i="28"/>
  <c r="AA744" i="28"/>
  <c r="AC848" i="28"/>
  <c r="Y848" i="28"/>
  <c r="Z848" i="28"/>
  <c r="AA848" i="28"/>
  <c r="AC273" i="28"/>
  <c r="Y273" i="28"/>
  <c r="Z273" i="28"/>
  <c r="AA273" i="28"/>
  <c r="Y369" i="28"/>
  <c r="Z369" i="28"/>
  <c r="AA369" i="28"/>
  <c r="AC753" i="28"/>
  <c r="Y753" i="28"/>
  <c r="Z753" i="28"/>
  <c r="AA753" i="28"/>
  <c r="Y817" i="28"/>
  <c r="Z817" i="28"/>
  <c r="AA817" i="28"/>
  <c r="AC881" i="28"/>
  <c r="Y881" i="28"/>
  <c r="Z881" i="28"/>
  <c r="AA881" i="28"/>
  <c r="AC147" i="28"/>
  <c r="Y147" i="28"/>
  <c r="Z147" i="28"/>
  <c r="AA147" i="28"/>
  <c r="AC179" i="28"/>
  <c r="Y179" i="28"/>
  <c r="Z179" i="28"/>
  <c r="AA179" i="28"/>
  <c r="AC211" i="28"/>
  <c r="Y211" i="28"/>
  <c r="Z211" i="28"/>
  <c r="AA211" i="28"/>
  <c r="Y243" i="28"/>
  <c r="Z243" i="28"/>
  <c r="AA243" i="28"/>
  <c r="AC275" i="28"/>
  <c r="Y275" i="28"/>
  <c r="Z275" i="28"/>
  <c r="AA275" i="28"/>
  <c r="AC307" i="28"/>
  <c r="Y307" i="28"/>
  <c r="Z307" i="28"/>
  <c r="AA307" i="28"/>
  <c r="AC339" i="28"/>
  <c r="Y339" i="28"/>
  <c r="Z339" i="28"/>
  <c r="AA339" i="28"/>
  <c r="AC371" i="28"/>
  <c r="Y371" i="28"/>
  <c r="Z371" i="28"/>
  <c r="AA371" i="28"/>
  <c r="AC403" i="28"/>
  <c r="Y403" i="28"/>
  <c r="Z403" i="28"/>
  <c r="AA403" i="28"/>
  <c r="AC435" i="28"/>
  <c r="Y435" i="28"/>
  <c r="Z435" i="28"/>
  <c r="AA435" i="28"/>
  <c r="Y467" i="28"/>
  <c r="Z467" i="28"/>
  <c r="AA467" i="28"/>
  <c r="AC499" i="28"/>
  <c r="Y499" i="28"/>
  <c r="Z499" i="28"/>
  <c r="AA499" i="28"/>
  <c r="AC531" i="28"/>
  <c r="Y531" i="28"/>
  <c r="Z531" i="28"/>
  <c r="AA531" i="28"/>
  <c r="AC563" i="28"/>
  <c r="Y563" i="28"/>
  <c r="Z563" i="28"/>
  <c r="AA563" i="28"/>
  <c r="AC595" i="28"/>
  <c r="Y595" i="28"/>
  <c r="Z595" i="28"/>
  <c r="AA595" i="28"/>
  <c r="AC627" i="28"/>
  <c r="Y627" i="28"/>
  <c r="Z627" i="28"/>
  <c r="AA627" i="28"/>
  <c r="AC659" i="28"/>
  <c r="Y659" i="28"/>
  <c r="Z659" i="28"/>
  <c r="AA659" i="28"/>
  <c r="Y691" i="28"/>
  <c r="AC723" i="28"/>
  <c r="Y723" i="28"/>
  <c r="Z723" i="28"/>
  <c r="AA723" i="28"/>
  <c r="AC755" i="28"/>
  <c r="Y755" i="28"/>
  <c r="Z755" i="28"/>
  <c r="AA755" i="28"/>
  <c r="AC787" i="28"/>
  <c r="Y787" i="28"/>
  <c r="Z787" i="28"/>
  <c r="AA787" i="28"/>
  <c r="AC819" i="28"/>
  <c r="Y819" i="28"/>
  <c r="Z819" i="28"/>
  <c r="AA819" i="28"/>
  <c r="Y851" i="28"/>
  <c r="Z851" i="28"/>
  <c r="AA851" i="28"/>
  <c r="AC883" i="28"/>
  <c r="Y883" i="28"/>
  <c r="Z883" i="28"/>
  <c r="AA883" i="28"/>
  <c r="Y915" i="28"/>
  <c r="Z915" i="28"/>
  <c r="AA915" i="28"/>
  <c r="Y89" i="28"/>
  <c r="Z89" i="28"/>
  <c r="AA89" i="28"/>
  <c r="Y68" i="28"/>
  <c r="Z68" i="28"/>
  <c r="AA68" i="28"/>
  <c r="Y316" i="28"/>
  <c r="AA316" i="28"/>
  <c r="Z316" i="28"/>
  <c r="AC540" i="28"/>
  <c r="Y540" i="28"/>
  <c r="Z540" i="28"/>
  <c r="AA540" i="28"/>
  <c r="Y732" i="28"/>
  <c r="Z732" i="28"/>
  <c r="AA732" i="28"/>
  <c r="AC317" i="28"/>
  <c r="Y317" i="28"/>
  <c r="Z317" i="28"/>
  <c r="AA317" i="28"/>
  <c r="AC829" i="28"/>
  <c r="Y829" i="28"/>
  <c r="Z829" i="28"/>
  <c r="AA829" i="28"/>
  <c r="AC150" i="28"/>
  <c r="Y150" i="28"/>
  <c r="Z150" i="28"/>
  <c r="AA150" i="28"/>
  <c r="Y374" i="28"/>
  <c r="Z374" i="28"/>
  <c r="AA374" i="28"/>
  <c r="Y598" i="28"/>
  <c r="Z598" i="28"/>
  <c r="AA598" i="28"/>
  <c r="Y758" i="28"/>
  <c r="Z758" i="28"/>
  <c r="AA758" i="28"/>
  <c r="AC279" i="28"/>
  <c r="Y279" i="28"/>
  <c r="Z279" i="28"/>
  <c r="AA279" i="28"/>
  <c r="AC695" i="28"/>
  <c r="Y695" i="28"/>
  <c r="Z695" i="28"/>
  <c r="AA695" i="28"/>
  <c r="Y887" i="28"/>
  <c r="Z887" i="28"/>
  <c r="AA887" i="28"/>
  <c r="Z608" i="28"/>
  <c r="Y608" i="28"/>
  <c r="AA608" i="28"/>
  <c r="Y195" i="28"/>
  <c r="Z195" i="28"/>
  <c r="AA195" i="28"/>
  <c r="Y387" i="28"/>
  <c r="Z387" i="28"/>
  <c r="AA387" i="28"/>
  <c r="Y835" i="28"/>
  <c r="Z835" i="28"/>
  <c r="AA835" i="28"/>
  <c r="AC227" i="28"/>
  <c r="AC669" i="28"/>
  <c r="AC534" i="28"/>
  <c r="AC311" i="28"/>
  <c r="AC727" i="28"/>
  <c r="AC855" i="28"/>
  <c r="AC32" i="28"/>
  <c r="Y32" i="28"/>
  <c r="Z32" i="28"/>
  <c r="AA32" i="28"/>
  <c r="AC64" i="28"/>
  <c r="Y64" i="28"/>
  <c r="Z64" i="28"/>
  <c r="AA64" i="28"/>
  <c r="Y96" i="28"/>
  <c r="Z96" i="28"/>
  <c r="AA96" i="28"/>
  <c r="AC128" i="28"/>
  <c r="Y128" i="28"/>
  <c r="Z128" i="28"/>
  <c r="AA128" i="28"/>
  <c r="AC49" i="28"/>
  <c r="Y49" i="28"/>
  <c r="Z49" i="28"/>
  <c r="AA49" i="28"/>
  <c r="AC113" i="28"/>
  <c r="Y113" i="28"/>
  <c r="AA113" i="28"/>
  <c r="Z113" i="28"/>
  <c r="Y26" i="28"/>
  <c r="Z26" i="28"/>
  <c r="AA26" i="28"/>
  <c r="AC58" i="28"/>
  <c r="Y58" i="28"/>
  <c r="Z58" i="28"/>
  <c r="AA58" i="28"/>
  <c r="AC90" i="28"/>
  <c r="Y90" i="28"/>
  <c r="Z90" i="28"/>
  <c r="AA90" i="28"/>
  <c r="AC122" i="28"/>
  <c r="Y122" i="28"/>
  <c r="Z122" i="28"/>
  <c r="AA122" i="28"/>
  <c r="Y35" i="28"/>
  <c r="Z35" i="28"/>
  <c r="AA35" i="28"/>
  <c r="AC67" i="28"/>
  <c r="Y67" i="28"/>
  <c r="Z67" i="28"/>
  <c r="AA67" i="28"/>
  <c r="AC99" i="28"/>
  <c r="Y99" i="28"/>
  <c r="Z99" i="28"/>
  <c r="AA99" i="28"/>
  <c r="Y131" i="28"/>
  <c r="Z131" i="28"/>
  <c r="AA131" i="28"/>
  <c r="Y60" i="28"/>
  <c r="Z60" i="28"/>
  <c r="AA60" i="28"/>
  <c r="Y124" i="28"/>
  <c r="Z124" i="28"/>
  <c r="AA124" i="28"/>
  <c r="AC31" i="28"/>
  <c r="Y31" i="28"/>
  <c r="Z31" i="28"/>
  <c r="AA31" i="28"/>
  <c r="AC70" i="28"/>
  <c r="Z70" i="28"/>
  <c r="Y70" i="28"/>
  <c r="AA70" i="28"/>
  <c r="AC55" i="28"/>
  <c r="Y55" i="28"/>
  <c r="Z55" i="28"/>
  <c r="AA55" i="28"/>
  <c r="Y54" i="28"/>
  <c r="Z54" i="28"/>
  <c r="AA54" i="28"/>
  <c r="AC63" i="28"/>
  <c r="Y63" i="28"/>
  <c r="Z63" i="28"/>
  <c r="AA63" i="28"/>
  <c r="AC37" i="28"/>
  <c r="Y37" i="28"/>
  <c r="Z37" i="28"/>
  <c r="AA37" i="28"/>
  <c r="AC133" i="28"/>
  <c r="Y133" i="28"/>
  <c r="Z133" i="28"/>
  <c r="AA133" i="28"/>
  <c r="AC533" i="28"/>
  <c r="Y533" i="28"/>
  <c r="Z533" i="28"/>
  <c r="AA533" i="28"/>
  <c r="Y565" i="28"/>
  <c r="Y597" i="28"/>
  <c r="Z597" i="28"/>
  <c r="AA597" i="28"/>
  <c r="Y629" i="28"/>
  <c r="Z629" i="28"/>
  <c r="AA629" i="28"/>
  <c r="AC661" i="28"/>
  <c r="Y661" i="28"/>
  <c r="Z661" i="28"/>
  <c r="AA661" i="28"/>
  <c r="Y693" i="28"/>
  <c r="Z693" i="28"/>
  <c r="AA693" i="28"/>
  <c r="Y821" i="28"/>
  <c r="Z821" i="28"/>
  <c r="AA821" i="28"/>
  <c r="Y917" i="28"/>
  <c r="Z917" i="28"/>
  <c r="AA917" i="28"/>
  <c r="AC143" i="28"/>
  <c r="Y143" i="28"/>
  <c r="AA143" i="28"/>
  <c r="Z143" i="28"/>
  <c r="AC175" i="28"/>
  <c r="Y175" i="28"/>
  <c r="Z175" i="28"/>
  <c r="AA175" i="28"/>
  <c r="AC207" i="28"/>
  <c r="Y207" i="28"/>
  <c r="Z207" i="28"/>
  <c r="AA207" i="28"/>
  <c r="Y239" i="28"/>
  <c r="Z239" i="28"/>
  <c r="AA239" i="28"/>
  <c r="Y271" i="28"/>
  <c r="AA271" i="28"/>
  <c r="Z271" i="28"/>
  <c r="AC303" i="28"/>
  <c r="Y303" i="28"/>
  <c r="Z303" i="28"/>
  <c r="AA303" i="28"/>
  <c r="AC335" i="28"/>
  <c r="Y335" i="28"/>
  <c r="Z335" i="28"/>
  <c r="AA335" i="28"/>
  <c r="AC367" i="28"/>
  <c r="Y367" i="28"/>
  <c r="Z367" i="28"/>
  <c r="AA367" i="28"/>
  <c r="AC399" i="28"/>
  <c r="Y399" i="28"/>
  <c r="AA399" i="28"/>
  <c r="Z399" i="28"/>
  <c r="AC431" i="28"/>
  <c r="Y431" i="28"/>
  <c r="Z431" i="28"/>
  <c r="AA431" i="28"/>
  <c r="Y463" i="28"/>
  <c r="AA463" i="28"/>
  <c r="Z463" i="28"/>
  <c r="Y495" i="28"/>
  <c r="AA495" i="28"/>
  <c r="Z495" i="28"/>
  <c r="Y176" i="28"/>
  <c r="Z176" i="28"/>
  <c r="AA176" i="28"/>
  <c r="Y256" i="28"/>
  <c r="Z256" i="28"/>
  <c r="AA256" i="28"/>
  <c r="Y320" i="28"/>
  <c r="Z320" i="28"/>
  <c r="AA320" i="28"/>
  <c r="Y384" i="28"/>
  <c r="Z384" i="28"/>
  <c r="AA384" i="28"/>
  <c r="Z448" i="28"/>
  <c r="Y448" i="28"/>
  <c r="AA448" i="28"/>
  <c r="Y520" i="28"/>
  <c r="Z520" i="28"/>
  <c r="AA520" i="28"/>
  <c r="Y584" i="28"/>
  <c r="Z584" i="28"/>
  <c r="AA584" i="28"/>
  <c r="Y656" i="28"/>
  <c r="Y736" i="28"/>
  <c r="Z736" i="28"/>
  <c r="AA736" i="28"/>
  <c r="AC888" i="28"/>
  <c r="Y888" i="28"/>
  <c r="Z888" i="28"/>
  <c r="AA888" i="28"/>
  <c r="AC752" i="28"/>
  <c r="Y752" i="28"/>
  <c r="Z752" i="28"/>
  <c r="AA752" i="28"/>
  <c r="AC864" i="28"/>
  <c r="Y864" i="28"/>
  <c r="Z864" i="28"/>
  <c r="AA864" i="28"/>
  <c r="Y145" i="28"/>
  <c r="Z145" i="28"/>
  <c r="AA145" i="28"/>
  <c r="AC177" i="28"/>
  <c r="Y177" i="28"/>
  <c r="Z177" i="28"/>
  <c r="AA177" i="28"/>
  <c r="AC209" i="28"/>
  <c r="Y209" i="28"/>
  <c r="Z209" i="28"/>
  <c r="AA209" i="28"/>
  <c r="AC241" i="28"/>
  <c r="Y241" i="28"/>
  <c r="Z241" i="28"/>
  <c r="AA241" i="28"/>
  <c r="AC305" i="28"/>
  <c r="Y305" i="28"/>
  <c r="Z305" i="28"/>
  <c r="AA305" i="28"/>
  <c r="Y337" i="28"/>
  <c r="Z337" i="28"/>
  <c r="AA337" i="28"/>
  <c r="AC401" i="28"/>
  <c r="Y401" i="28"/>
  <c r="Z401" i="28"/>
  <c r="AA401" i="28"/>
  <c r="AC433" i="28"/>
  <c r="Y433" i="28"/>
  <c r="Z433" i="28"/>
  <c r="AA433" i="28"/>
  <c r="AC465" i="28"/>
  <c r="Z465" i="28"/>
  <c r="Y465" i="28"/>
  <c r="AA465" i="28"/>
  <c r="AC497" i="28"/>
  <c r="Z497" i="28"/>
  <c r="Y497" i="28"/>
  <c r="AA497" i="28"/>
  <c r="AC529" i="28"/>
  <c r="Z529" i="28"/>
  <c r="Y529" i="28"/>
  <c r="AA529" i="28"/>
  <c r="Z561" i="28"/>
  <c r="Y561" i="28"/>
  <c r="AA561" i="28"/>
  <c r="Y593" i="28"/>
  <c r="AC625" i="28"/>
  <c r="Z625" i="28"/>
  <c r="Y625" i="28"/>
  <c r="AA625" i="28"/>
  <c r="AC657" i="28"/>
  <c r="Y657" i="28"/>
  <c r="Z657" i="28"/>
  <c r="AA657" i="28"/>
  <c r="AC689" i="28"/>
  <c r="Y689" i="28"/>
  <c r="Z689" i="28"/>
  <c r="AA689" i="28"/>
  <c r="AC721" i="28"/>
  <c r="Y721" i="28"/>
  <c r="Z721" i="28"/>
  <c r="AA721" i="28"/>
  <c r="Y785" i="28"/>
  <c r="Z785" i="28"/>
  <c r="AA785" i="28"/>
  <c r="AC849" i="28"/>
  <c r="Y849" i="28"/>
  <c r="Z849" i="28"/>
  <c r="AA849" i="28"/>
  <c r="AC913" i="28"/>
  <c r="Y913" i="28"/>
  <c r="Z913" i="28"/>
  <c r="AA913" i="28"/>
  <c r="Y154" i="28"/>
  <c r="Z154" i="28"/>
  <c r="AA154" i="28"/>
  <c r="Y186" i="28"/>
  <c r="Z186" i="28"/>
  <c r="AA186" i="28"/>
  <c r="Y218" i="28"/>
  <c r="Z218" i="28"/>
  <c r="AA218" i="28"/>
  <c r="Y250" i="28"/>
  <c r="Z250" i="28"/>
  <c r="AA250" i="28"/>
  <c r="Y282" i="28"/>
  <c r="Z282" i="28"/>
  <c r="AA282" i="28"/>
  <c r="Y314" i="28"/>
  <c r="Z314" i="28"/>
  <c r="AA314" i="28"/>
  <c r="Y346" i="28"/>
  <c r="Z346" i="28"/>
  <c r="AA346" i="28"/>
  <c r="Y378" i="28"/>
  <c r="Z378" i="28"/>
  <c r="AA378" i="28"/>
  <c r="Y410" i="28"/>
  <c r="Z410" i="28"/>
  <c r="AA410" i="28"/>
  <c r="Y442" i="28"/>
  <c r="Z442" i="28"/>
  <c r="AA442" i="28"/>
  <c r="Y474" i="28"/>
  <c r="Z474" i="28"/>
  <c r="AA474" i="28"/>
  <c r="Y506" i="28"/>
  <c r="Z506" i="28"/>
  <c r="AA506" i="28"/>
  <c r="Y538" i="28"/>
  <c r="Z538" i="28"/>
  <c r="AA538" i="28"/>
  <c r="Y570" i="28"/>
  <c r="Z570" i="28"/>
  <c r="AA570" i="28"/>
  <c r="Y602" i="28"/>
  <c r="Z602" i="28"/>
  <c r="AA602" i="28"/>
  <c r="Y634" i="28"/>
  <c r="Z634" i="28"/>
  <c r="AA634" i="28"/>
  <c r="Y666" i="28"/>
  <c r="Z666" i="28"/>
  <c r="AA666" i="28"/>
  <c r="Y698" i="28"/>
  <c r="Y730" i="28"/>
  <c r="Z730" i="28"/>
  <c r="AA730" i="28"/>
  <c r="Y762" i="28"/>
  <c r="Z762" i="28"/>
  <c r="AA762" i="28"/>
  <c r="Y794" i="28"/>
  <c r="Z794" i="28"/>
  <c r="AA794" i="28"/>
  <c r="Y826" i="28"/>
  <c r="Z826" i="28"/>
  <c r="AA826" i="28"/>
  <c r="Y858" i="28"/>
  <c r="Z858" i="28"/>
  <c r="AA858" i="28"/>
  <c r="Y890" i="28"/>
  <c r="Z890" i="28"/>
  <c r="AA890" i="28"/>
  <c r="Y132" i="28"/>
  <c r="Z132" i="28"/>
  <c r="AA132" i="28"/>
  <c r="AC284" i="28"/>
  <c r="Y284" i="28"/>
  <c r="Z284" i="28"/>
  <c r="AA284" i="28"/>
  <c r="Y508" i="28"/>
  <c r="Z508" i="28"/>
  <c r="AA508" i="28"/>
  <c r="AC700" i="28"/>
  <c r="Y700" i="28"/>
  <c r="Z700" i="28"/>
  <c r="AA700" i="28"/>
  <c r="Y157" i="28"/>
  <c r="Z157" i="28"/>
  <c r="AA157" i="28"/>
  <c r="Y477" i="28"/>
  <c r="Z477" i="28"/>
  <c r="AA477" i="28"/>
  <c r="Y797" i="28"/>
  <c r="Z797" i="28"/>
  <c r="AA797" i="28"/>
  <c r="Y182" i="28"/>
  <c r="Z182" i="28"/>
  <c r="AA182" i="28"/>
  <c r="Y406" i="28"/>
  <c r="Z406" i="28"/>
  <c r="AA406" i="28"/>
  <c r="AC630" i="28"/>
  <c r="Y630" i="28"/>
  <c r="Z630" i="28"/>
  <c r="AA630" i="28"/>
  <c r="Y886" i="28"/>
  <c r="Z886" i="28"/>
  <c r="AA886" i="28"/>
  <c r="AC375" i="28"/>
  <c r="Y375" i="28"/>
  <c r="Z375" i="28"/>
  <c r="AA375" i="28"/>
  <c r="Y663" i="28"/>
  <c r="AC919" i="28"/>
  <c r="Y919" i="28"/>
  <c r="Z919" i="28"/>
  <c r="AA919" i="28"/>
  <c r="AC144" i="28"/>
  <c r="Y144" i="28"/>
  <c r="Z144" i="28"/>
  <c r="AA144" i="28"/>
  <c r="Y544" i="28"/>
  <c r="AC801" i="28"/>
  <c r="Z801" i="28"/>
  <c r="Y801" i="28"/>
  <c r="AA801" i="28"/>
  <c r="Y163" i="28"/>
  <c r="Z163" i="28"/>
  <c r="AA163" i="28"/>
  <c r="Y419" i="28"/>
  <c r="Z419" i="28"/>
  <c r="AA419" i="28"/>
  <c r="Y739" i="28"/>
  <c r="Z739" i="28"/>
  <c r="AA739" i="28"/>
  <c r="AC675" i="28"/>
  <c r="AC412" i="28"/>
  <c r="AC157" i="28"/>
  <c r="AC477" i="28"/>
  <c r="AC797" i="28"/>
  <c r="AC758" i="28"/>
  <c r="AC918" i="28"/>
  <c r="Y81" i="28"/>
  <c r="Z81" i="28"/>
  <c r="AA81" i="28"/>
  <c r="AC94" i="28"/>
  <c r="Y94" i="28"/>
  <c r="Z94" i="28"/>
  <c r="AA94" i="28"/>
  <c r="Y52" i="28"/>
  <c r="Z52" i="28"/>
  <c r="AA52" i="28"/>
  <c r="Y116" i="28"/>
  <c r="Z116" i="28"/>
  <c r="AA116" i="28"/>
  <c r="Y45" i="28"/>
  <c r="Z45" i="28"/>
  <c r="AA45" i="28"/>
  <c r="Y77" i="28"/>
  <c r="Z77" i="28"/>
  <c r="AA77" i="28"/>
  <c r="Y109" i="28"/>
  <c r="Z109" i="28"/>
  <c r="AA109" i="28"/>
  <c r="Y141" i="28"/>
  <c r="Z141" i="28"/>
  <c r="AA141" i="28"/>
  <c r="Y148" i="28"/>
  <c r="Z148" i="28"/>
  <c r="AA148" i="28"/>
  <c r="Y180" i="28"/>
  <c r="Z180" i="28"/>
  <c r="AA180" i="28"/>
  <c r="Y212" i="28"/>
  <c r="Z212" i="28"/>
  <c r="AA212" i="28"/>
  <c r="Y244" i="28"/>
  <c r="Z244" i="28"/>
  <c r="AA244" i="28"/>
  <c r="Y276" i="28"/>
  <c r="Z276" i="28"/>
  <c r="AA276" i="28"/>
  <c r="Y308" i="28"/>
  <c r="Z308" i="28"/>
  <c r="AA308" i="28"/>
  <c r="Y340" i="28"/>
  <c r="Z340" i="28"/>
  <c r="AA340" i="28"/>
  <c r="Y372" i="28"/>
  <c r="Z372" i="28"/>
  <c r="AA372" i="28"/>
  <c r="Y404" i="28"/>
  <c r="AA404" i="28"/>
  <c r="Z404" i="28"/>
  <c r="Y436" i="28"/>
  <c r="Z436" i="28"/>
  <c r="AA436" i="28"/>
  <c r="Y468" i="28"/>
  <c r="Z468" i="28"/>
  <c r="AA468" i="28"/>
  <c r="Y500" i="28"/>
  <c r="Z500" i="28"/>
  <c r="AA500" i="28"/>
  <c r="Y532" i="28"/>
  <c r="Z532" i="28"/>
  <c r="AA532" i="28"/>
  <c r="Y564" i="28"/>
  <c r="Z564" i="28"/>
  <c r="AA564" i="28"/>
  <c r="Y596" i="28"/>
  <c r="Z596" i="28"/>
  <c r="AA596" i="28"/>
  <c r="Y628" i="28"/>
  <c r="Y660" i="28"/>
  <c r="Z660" i="28"/>
  <c r="AA660" i="28"/>
  <c r="Y692" i="28"/>
  <c r="Z692" i="28"/>
  <c r="AA692" i="28"/>
  <c r="Y724" i="28"/>
  <c r="Z724" i="28"/>
  <c r="AA724" i="28"/>
  <c r="Y756" i="28"/>
  <c r="Z756" i="28"/>
  <c r="AA756" i="28"/>
  <c r="Y788" i="28"/>
  <c r="Z788" i="28"/>
  <c r="AA788" i="28"/>
  <c r="Y820" i="28"/>
  <c r="Z820" i="28"/>
  <c r="AA820" i="28"/>
  <c r="Y852" i="28"/>
  <c r="Z852" i="28"/>
  <c r="AA852" i="28"/>
  <c r="Y884" i="28"/>
  <c r="Z884" i="28"/>
  <c r="AA884" i="28"/>
  <c r="Y916" i="28"/>
  <c r="Z916" i="28"/>
  <c r="AA916" i="28"/>
  <c r="Y149" i="28"/>
  <c r="Z149" i="28"/>
  <c r="AA149" i="28"/>
  <c r="Y181" i="28"/>
  <c r="Z181" i="28"/>
  <c r="AA181" i="28"/>
  <c r="Y213" i="28"/>
  <c r="Z213" i="28"/>
  <c r="AA213" i="28"/>
  <c r="Y245" i="28"/>
  <c r="Z245" i="28"/>
  <c r="AA245" i="28"/>
  <c r="Y277" i="28"/>
  <c r="Z277" i="28"/>
  <c r="AA277" i="28"/>
  <c r="Y309" i="28"/>
  <c r="Z309" i="28"/>
  <c r="AA309" i="28"/>
  <c r="Y341" i="28"/>
  <c r="Z341" i="28"/>
  <c r="AA341" i="28"/>
  <c r="Y373" i="28"/>
  <c r="Z373" i="28"/>
  <c r="AA373" i="28"/>
  <c r="Y405" i="28"/>
  <c r="Z405" i="28"/>
  <c r="AA405" i="28"/>
  <c r="Y437" i="28"/>
  <c r="Z437" i="28"/>
  <c r="AA437" i="28"/>
  <c r="Y469" i="28"/>
  <c r="Z469" i="28"/>
  <c r="AA469" i="28"/>
  <c r="Y501" i="28"/>
  <c r="Z501" i="28"/>
  <c r="AA501" i="28"/>
  <c r="Y725" i="28"/>
  <c r="Z725" i="28"/>
  <c r="AA725" i="28"/>
  <c r="Y757" i="28"/>
  <c r="Z757" i="28"/>
  <c r="AA757" i="28"/>
  <c r="Y789" i="28"/>
  <c r="Z789" i="28"/>
  <c r="AA789" i="28"/>
  <c r="Y853" i="28"/>
  <c r="Z853" i="28"/>
  <c r="AA853" i="28"/>
  <c r="Y885" i="28"/>
  <c r="Z885" i="28"/>
  <c r="AA885" i="28"/>
  <c r="Y174" i="28"/>
  <c r="Z174" i="28"/>
  <c r="AA174" i="28"/>
  <c r="Y206" i="28"/>
  <c r="Z206" i="28"/>
  <c r="AA206" i="28"/>
  <c r="Y238" i="28"/>
  <c r="Z238" i="28"/>
  <c r="AA238" i="28"/>
  <c r="Y270" i="28"/>
  <c r="Z270" i="28"/>
  <c r="AA270" i="28"/>
  <c r="Y302" i="28"/>
  <c r="Z302" i="28"/>
  <c r="AA302" i="28"/>
  <c r="Y334" i="28"/>
  <c r="Z334" i="28"/>
  <c r="AA334" i="28"/>
  <c r="Y366" i="28"/>
  <c r="Z366" i="28"/>
  <c r="AA366" i="28"/>
  <c r="Y398" i="28"/>
  <c r="Z398" i="28"/>
  <c r="AA398" i="28"/>
  <c r="Y430" i="28"/>
  <c r="Z430" i="28"/>
  <c r="AA430" i="28"/>
  <c r="Y462" i="28"/>
  <c r="Z462" i="28"/>
  <c r="AA462" i="28"/>
  <c r="Y494" i="28"/>
  <c r="Z494" i="28"/>
  <c r="AA494" i="28"/>
  <c r="Y526" i="28"/>
  <c r="Z526" i="28"/>
  <c r="AA526" i="28"/>
  <c r="Y558" i="28"/>
  <c r="Y590" i="28"/>
  <c r="Z590" i="28"/>
  <c r="AA590" i="28"/>
  <c r="Y622" i="28"/>
  <c r="Z622" i="28"/>
  <c r="AA622" i="28"/>
  <c r="Y654" i="28"/>
  <c r="Z654" i="28"/>
  <c r="AA654" i="28"/>
  <c r="Y686" i="28"/>
  <c r="AA686" i="28"/>
  <c r="Z686" i="28"/>
  <c r="Y718" i="28"/>
  <c r="AA718" i="28"/>
  <c r="Z718" i="28"/>
  <c r="Y750" i="28"/>
  <c r="Z750" i="28"/>
  <c r="AA750" i="28"/>
  <c r="Y782" i="28"/>
  <c r="AA782" i="28"/>
  <c r="Z782" i="28"/>
  <c r="Y814" i="28"/>
  <c r="AA814" i="28"/>
  <c r="Z814" i="28"/>
  <c r="Y846" i="28"/>
  <c r="Z846" i="28"/>
  <c r="AA846" i="28"/>
  <c r="Y878" i="28"/>
  <c r="AA878" i="28"/>
  <c r="Z878" i="28"/>
  <c r="Y910" i="28"/>
  <c r="Z910" i="28"/>
  <c r="AA910" i="28"/>
  <c r="Y527" i="28"/>
  <c r="AA527" i="28"/>
  <c r="Z527" i="28"/>
  <c r="Y559" i="28"/>
  <c r="AA559" i="28"/>
  <c r="Z559" i="28"/>
  <c r="Y591" i="28"/>
  <c r="AA591" i="28"/>
  <c r="Z591" i="28"/>
  <c r="Y623" i="28"/>
  <c r="AA623" i="28"/>
  <c r="Z623" i="28"/>
  <c r="Y655" i="28"/>
  <c r="Z655" i="28"/>
  <c r="AA655" i="28"/>
  <c r="Y687" i="28"/>
  <c r="Z687" i="28"/>
  <c r="AA687" i="28"/>
  <c r="Y719" i="28"/>
  <c r="Y751" i="28"/>
  <c r="Z751" i="28"/>
  <c r="AA751" i="28"/>
  <c r="Y783" i="28"/>
  <c r="Z783" i="28"/>
  <c r="AA783" i="28"/>
  <c r="Y815" i="28"/>
  <c r="Z815" i="28"/>
  <c r="AA815" i="28"/>
  <c r="Y847" i="28"/>
  <c r="Z847" i="28"/>
  <c r="AA847" i="28"/>
  <c r="Y879" i="28"/>
  <c r="Z879" i="28"/>
  <c r="AA879" i="28"/>
  <c r="Y911" i="28"/>
  <c r="Z911" i="28"/>
  <c r="AA911" i="28"/>
  <c r="Y760" i="28"/>
  <c r="Z760" i="28"/>
  <c r="AA760" i="28"/>
  <c r="Y840" i="28"/>
  <c r="Z840" i="28"/>
  <c r="AA840" i="28"/>
  <c r="Y168" i="28"/>
  <c r="Z168" i="28"/>
  <c r="AA168" i="28"/>
  <c r="Y216" i="28"/>
  <c r="Z216" i="28"/>
  <c r="AA216" i="28"/>
  <c r="Y280" i="28"/>
  <c r="Z280" i="28"/>
  <c r="AA280" i="28"/>
  <c r="Y344" i="28"/>
  <c r="Z344" i="28"/>
  <c r="AA344" i="28"/>
  <c r="Y408" i="28"/>
  <c r="Z408" i="28"/>
  <c r="AA408" i="28"/>
  <c r="Z472" i="28"/>
  <c r="Y472" i="28"/>
  <c r="AA472" i="28"/>
  <c r="Z528" i="28"/>
  <c r="Y528" i="28"/>
  <c r="AA528" i="28"/>
  <c r="Z592" i="28"/>
  <c r="Y592" i="28"/>
  <c r="AA592" i="28"/>
  <c r="Y648" i="28"/>
  <c r="Z648" i="28"/>
  <c r="AA648" i="28"/>
  <c r="Y704" i="28"/>
  <c r="Z704" i="28"/>
  <c r="AA704" i="28"/>
  <c r="Y808" i="28"/>
  <c r="Z808" i="28"/>
  <c r="AA808" i="28"/>
  <c r="Y920" i="28"/>
  <c r="Z920" i="28"/>
  <c r="AA920" i="28"/>
  <c r="Y155" i="28"/>
  <c r="Z155" i="28"/>
  <c r="AA155" i="28"/>
  <c r="Y187" i="28"/>
  <c r="Z187" i="28"/>
  <c r="AA187" i="28"/>
  <c r="Y219" i="28"/>
  <c r="Z219" i="28"/>
  <c r="AA219" i="28"/>
  <c r="Y251" i="28"/>
  <c r="Z251" i="28"/>
  <c r="AA251" i="28"/>
  <c r="Y283" i="28"/>
  <c r="Z283" i="28"/>
  <c r="AA283" i="28"/>
  <c r="Y315" i="28"/>
  <c r="Z315" i="28"/>
  <c r="AA315" i="28"/>
  <c r="Y347" i="28"/>
  <c r="Z347" i="28"/>
  <c r="AA347" i="28"/>
  <c r="Y379" i="28"/>
  <c r="Z379" i="28"/>
  <c r="AA379" i="28"/>
  <c r="Y411" i="28"/>
  <c r="Z411" i="28"/>
  <c r="AA411" i="28"/>
  <c r="Y443" i="28"/>
  <c r="Z443" i="28"/>
  <c r="AA443" i="28"/>
  <c r="Y475" i="28"/>
  <c r="Z475" i="28"/>
  <c r="AA475" i="28"/>
  <c r="Y507" i="28"/>
  <c r="Z507" i="28"/>
  <c r="AA507" i="28"/>
  <c r="Y539" i="28"/>
  <c r="Z539" i="28"/>
  <c r="AA539" i="28"/>
  <c r="Y571" i="28"/>
  <c r="Z571" i="28"/>
  <c r="AA571" i="28"/>
  <c r="Y603" i="28"/>
  <c r="Z603" i="28"/>
  <c r="AA603" i="28"/>
  <c r="Y635" i="28"/>
  <c r="Y667" i="28"/>
  <c r="Z667" i="28"/>
  <c r="AA667" i="28"/>
  <c r="Y699" i="28"/>
  <c r="Z699" i="28"/>
  <c r="AA699" i="28"/>
  <c r="Y731" i="28"/>
  <c r="Z731" i="28"/>
  <c r="AA731" i="28"/>
  <c r="Y763" i="28"/>
  <c r="Z763" i="28"/>
  <c r="AA763" i="28"/>
  <c r="Y795" i="28"/>
  <c r="Z795" i="28"/>
  <c r="AA795" i="28"/>
  <c r="Y827" i="28"/>
  <c r="Z827" i="28"/>
  <c r="AA827" i="28"/>
  <c r="Y859" i="28"/>
  <c r="Z859" i="28"/>
  <c r="AA859" i="28"/>
  <c r="Y891" i="28"/>
  <c r="Z891" i="28"/>
  <c r="AA891" i="28"/>
  <c r="AC252" i="28"/>
  <c r="Y252" i="28"/>
  <c r="Z252" i="28"/>
  <c r="AA252" i="28"/>
  <c r="AC476" i="28"/>
  <c r="Y476" i="28"/>
  <c r="Z476" i="28"/>
  <c r="AA476" i="28"/>
  <c r="AC668" i="28"/>
  <c r="Y668" i="28"/>
  <c r="Z668" i="28"/>
  <c r="AA668" i="28"/>
  <c r="AC892" i="28"/>
  <c r="Y892" i="28"/>
  <c r="Z892" i="28"/>
  <c r="AA892" i="28"/>
  <c r="AC189" i="28"/>
  <c r="Y189" i="28"/>
  <c r="Z189" i="28"/>
  <c r="AA189" i="28"/>
  <c r="AC573" i="28"/>
  <c r="Y573" i="28"/>
  <c r="Z573" i="28"/>
  <c r="AA573" i="28"/>
  <c r="Y861" i="28"/>
  <c r="Z861" i="28"/>
  <c r="AA861" i="28"/>
  <c r="AC214" i="28"/>
  <c r="Y214" i="28"/>
  <c r="Z214" i="28"/>
  <c r="AA214" i="28"/>
  <c r="Y438" i="28"/>
  <c r="Z438" i="28"/>
  <c r="AA438" i="28"/>
  <c r="AC662" i="28"/>
  <c r="Y662" i="28"/>
  <c r="Z662" i="28"/>
  <c r="AA662" i="28"/>
  <c r="AC854" i="28"/>
  <c r="Y854" i="28"/>
  <c r="Z854" i="28"/>
  <c r="AA854" i="28"/>
  <c r="Y215" i="28"/>
  <c r="AA215" i="28"/>
  <c r="Z215" i="28"/>
  <c r="AC535" i="28"/>
  <c r="Y535" i="28"/>
  <c r="Z535" i="28"/>
  <c r="AA535" i="28"/>
  <c r="Y823" i="28"/>
  <c r="Z823" i="28"/>
  <c r="AA823" i="28"/>
  <c r="Y776" i="28"/>
  <c r="Z776" i="28"/>
  <c r="AA776" i="28"/>
  <c r="Y424" i="28"/>
  <c r="Z424" i="28"/>
  <c r="AA424" i="28"/>
  <c r="Y824" i="28"/>
  <c r="Z824" i="28"/>
  <c r="AA824" i="28"/>
  <c r="Y355" i="28"/>
  <c r="Z355" i="28"/>
  <c r="AA355" i="28"/>
  <c r="Y771" i="28"/>
  <c r="Z771" i="28"/>
  <c r="AA771" i="28"/>
  <c r="AC259" i="28"/>
  <c r="AC387" i="28"/>
  <c r="AC220" i="28"/>
  <c r="AC438" i="28"/>
  <c r="AC598" i="28"/>
  <c r="AC790" i="28"/>
  <c r="AC759" i="28"/>
  <c r="Y40" i="28"/>
  <c r="Z40" i="28"/>
  <c r="AA40" i="28"/>
  <c r="Y72" i="28"/>
  <c r="Z72" i="28"/>
  <c r="AA72" i="28"/>
  <c r="Y104" i="28"/>
  <c r="Z104" i="28"/>
  <c r="AA104" i="28"/>
  <c r="Y136" i="28"/>
  <c r="Z136" i="28"/>
  <c r="AA136" i="28"/>
  <c r="AC57" i="28"/>
  <c r="Y57" i="28"/>
  <c r="Z57" i="28"/>
  <c r="AA57" i="28"/>
  <c r="Y34" i="28"/>
  <c r="Z34" i="28"/>
  <c r="AA34" i="28"/>
  <c r="Y66" i="28"/>
  <c r="Z66" i="28"/>
  <c r="AA66" i="28"/>
  <c r="Y98" i="28"/>
  <c r="Z98" i="28"/>
  <c r="AA98" i="28"/>
  <c r="Y130" i="28"/>
  <c r="Z130" i="28"/>
  <c r="AA130" i="28"/>
  <c r="Y43" i="28"/>
  <c r="Z43" i="28"/>
  <c r="AA43" i="28"/>
  <c r="Y75" i="28"/>
  <c r="Z75" i="28"/>
  <c r="AA75" i="28"/>
  <c r="Y107" i="28"/>
  <c r="Z107" i="28"/>
  <c r="AA107" i="28"/>
  <c r="Y139" i="28"/>
  <c r="Z139" i="28"/>
  <c r="AA139" i="28"/>
  <c r="Y76" i="28"/>
  <c r="Z76" i="28"/>
  <c r="AA76" i="28"/>
  <c r="Y140" i="28"/>
  <c r="Z140" i="28"/>
  <c r="AA140" i="28"/>
  <c r="Z78" i="28"/>
  <c r="Y78" i="28"/>
  <c r="AA78" i="28"/>
  <c r="Y71" i="28"/>
  <c r="Z71" i="28"/>
  <c r="AA71" i="28"/>
  <c r="Y102" i="28"/>
  <c r="Z102" i="28"/>
  <c r="AA102" i="28"/>
  <c r="Y79" i="28"/>
  <c r="Z79" i="28"/>
  <c r="AA79" i="28"/>
  <c r="Z86" i="28"/>
  <c r="Y86" i="28"/>
  <c r="AA86" i="28"/>
  <c r="Y87" i="28"/>
  <c r="Z87" i="28"/>
  <c r="AA87" i="28"/>
  <c r="Y285" i="28"/>
  <c r="Z285" i="28"/>
  <c r="AA285" i="28"/>
  <c r="Y381" i="28"/>
  <c r="Z381" i="28"/>
  <c r="AA381" i="28"/>
  <c r="Y445" i="28"/>
  <c r="Z445" i="28"/>
  <c r="AA445" i="28"/>
  <c r="Y509" i="28"/>
  <c r="Y541" i="28"/>
  <c r="Z541" i="28"/>
  <c r="AA541" i="28"/>
  <c r="Y605" i="28"/>
  <c r="Z605" i="28"/>
  <c r="AA605" i="28"/>
  <c r="Y733" i="28"/>
  <c r="Y765" i="28"/>
  <c r="Z765" i="28"/>
  <c r="AA765" i="28"/>
  <c r="Y893" i="28"/>
  <c r="Z893" i="28"/>
  <c r="AA893" i="28"/>
  <c r="Y183" i="28"/>
  <c r="Z183" i="28"/>
  <c r="AA183" i="28"/>
  <c r="Y247" i="28"/>
  <c r="Z247" i="28"/>
  <c r="AA247" i="28"/>
  <c r="Y439" i="28"/>
  <c r="Z439" i="28"/>
  <c r="AA439" i="28"/>
  <c r="Y471" i="28"/>
  <c r="Z471" i="28"/>
  <c r="AA471" i="28"/>
  <c r="Y503" i="28"/>
  <c r="Z503" i="28"/>
  <c r="AA503" i="28"/>
  <c r="Y208" i="28"/>
  <c r="Z208" i="28"/>
  <c r="AA208" i="28"/>
  <c r="Y272" i="28"/>
  <c r="Z272" i="28"/>
  <c r="AA272" i="28"/>
  <c r="Y336" i="28"/>
  <c r="Z336" i="28"/>
  <c r="AA336" i="28"/>
  <c r="Y400" i="28"/>
  <c r="Z400" i="28"/>
  <c r="AA400" i="28"/>
  <c r="Z464" i="28"/>
  <c r="Y464" i="28"/>
  <c r="AA464" i="28"/>
  <c r="Z536" i="28"/>
  <c r="Y536" i="28"/>
  <c r="AA536" i="28"/>
  <c r="Y600" i="28"/>
  <c r="Y680" i="28"/>
  <c r="Z680" i="28"/>
  <c r="AA680" i="28"/>
  <c r="Y912" i="28"/>
  <c r="Z912" i="28"/>
  <c r="AA912" i="28"/>
  <c r="Y184" i="28"/>
  <c r="Z184" i="28"/>
  <c r="AA184" i="28"/>
  <c r="Y880" i="28"/>
  <c r="Z880" i="28"/>
  <c r="AA880" i="28"/>
  <c r="Y153" i="28"/>
  <c r="Z153" i="28"/>
  <c r="AA153" i="28"/>
  <c r="Y185" i="28"/>
  <c r="Z185" i="28"/>
  <c r="AA185" i="28"/>
  <c r="Y217" i="28"/>
  <c r="Z217" i="28"/>
  <c r="AA217" i="28"/>
  <c r="Y249" i="28"/>
  <c r="Z249" i="28"/>
  <c r="AA249" i="28"/>
  <c r="Y281" i="28"/>
  <c r="Z281" i="28"/>
  <c r="AA281" i="28"/>
  <c r="Y313" i="28"/>
  <c r="Z313" i="28"/>
  <c r="AA313" i="28"/>
  <c r="Y345" i="28"/>
  <c r="Z345" i="28"/>
  <c r="AA345" i="28"/>
  <c r="Y377" i="28"/>
  <c r="Z377" i="28"/>
  <c r="AA377" i="28"/>
  <c r="Y409" i="28"/>
  <c r="Z409" i="28"/>
  <c r="AA409" i="28"/>
  <c r="Y441" i="28"/>
  <c r="Z441" i="28"/>
  <c r="AA441" i="28"/>
  <c r="Z473" i="28"/>
  <c r="Y473" i="28"/>
  <c r="AA473" i="28"/>
  <c r="Z505" i="28"/>
  <c r="Y505" i="28"/>
  <c r="AA505" i="28"/>
  <c r="Y537" i="28"/>
  <c r="Z569" i="28"/>
  <c r="Y569" i="28"/>
  <c r="AA569" i="28"/>
  <c r="Z601" i="28"/>
  <c r="Y601" i="28"/>
  <c r="AA601" i="28"/>
  <c r="Z633" i="28"/>
  <c r="Y633" i="28"/>
  <c r="AA633" i="28"/>
  <c r="Y665" i="28"/>
  <c r="Z665" i="28"/>
  <c r="AA665" i="28"/>
  <c r="Y697" i="28"/>
  <c r="Z697" i="28"/>
  <c r="AA697" i="28"/>
  <c r="Y729" i="28"/>
  <c r="Z729" i="28"/>
  <c r="AA729" i="28"/>
  <c r="Y761" i="28"/>
  <c r="Y793" i="28"/>
  <c r="Z793" i="28"/>
  <c r="AA793" i="28"/>
  <c r="Y825" i="28"/>
  <c r="Z825" i="28"/>
  <c r="AA825" i="28"/>
  <c r="Y857" i="28"/>
  <c r="Z857" i="28"/>
  <c r="AA857" i="28"/>
  <c r="Y889" i="28"/>
  <c r="Z889" i="28"/>
  <c r="AA889" i="28"/>
  <c r="Y921" i="28"/>
  <c r="Z921" i="28"/>
  <c r="AA921" i="28"/>
  <c r="Y162" i="28"/>
  <c r="Z162" i="28"/>
  <c r="AA162" i="28"/>
  <c r="Y194" i="28"/>
  <c r="Z194" i="28"/>
  <c r="AA194" i="28"/>
  <c r="Y226" i="28"/>
  <c r="Z226" i="28"/>
  <c r="AA226" i="28"/>
  <c r="Y258" i="28"/>
  <c r="Z258" i="28"/>
  <c r="AA258" i="28"/>
  <c r="Y290" i="28"/>
  <c r="Z290" i="28"/>
  <c r="AA290" i="28"/>
  <c r="Y322" i="28"/>
  <c r="Z322" i="28"/>
  <c r="AA322" i="28"/>
  <c r="Y354" i="28"/>
  <c r="Z354" i="28"/>
  <c r="AA354" i="28"/>
  <c r="Y386" i="28"/>
  <c r="Z386" i="28"/>
  <c r="AA386" i="28"/>
  <c r="Y418" i="28"/>
  <c r="Z418" i="28"/>
  <c r="AA418" i="28"/>
  <c r="Y450" i="28"/>
  <c r="Z450" i="28"/>
  <c r="AA450" i="28"/>
  <c r="Y482" i="28"/>
  <c r="Z482" i="28"/>
  <c r="AA482" i="28"/>
  <c r="Y514" i="28"/>
  <c r="Z514" i="28"/>
  <c r="AA514" i="28"/>
  <c r="Y546" i="28"/>
  <c r="Z546" i="28"/>
  <c r="AA546" i="28"/>
  <c r="Y578" i="28"/>
  <c r="Z578" i="28"/>
  <c r="AA578" i="28"/>
  <c r="Y610" i="28"/>
  <c r="Z610" i="28"/>
  <c r="AA610" i="28"/>
  <c r="Y642" i="28"/>
  <c r="Y674" i="28"/>
  <c r="Z674" i="28"/>
  <c r="AA674" i="28"/>
  <c r="Y706" i="28"/>
  <c r="Z706" i="28"/>
  <c r="AA706" i="28"/>
  <c r="Y738" i="28"/>
  <c r="Z738" i="28"/>
  <c r="AA738" i="28"/>
  <c r="Y770" i="28"/>
  <c r="Z770" i="28"/>
  <c r="AA770" i="28"/>
  <c r="Y802" i="28"/>
  <c r="Z802" i="28"/>
  <c r="AA802" i="28"/>
  <c r="Y834" i="28"/>
  <c r="Z834" i="28"/>
  <c r="AA834" i="28"/>
  <c r="Y866" i="28"/>
  <c r="Z866" i="28"/>
  <c r="AA866" i="28"/>
  <c r="Y898" i="28"/>
  <c r="Z898" i="28"/>
  <c r="AA898" i="28"/>
  <c r="Y899" i="28"/>
  <c r="Z899" i="28"/>
  <c r="AA899" i="28"/>
  <c r="Y53" i="28"/>
  <c r="Z53" i="28"/>
  <c r="AA53" i="28"/>
  <c r="AC188" i="28"/>
  <c r="Y188" i="28"/>
  <c r="Z188" i="28"/>
  <c r="AA188" i="28"/>
  <c r="AC380" i="28"/>
  <c r="Y380" i="28"/>
  <c r="Z380" i="28"/>
  <c r="AA380" i="28"/>
  <c r="Y604" i="28"/>
  <c r="Z604" i="28"/>
  <c r="AA604" i="28"/>
  <c r="Y828" i="28"/>
  <c r="Z828" i="28"/>
  <c r="AA828" i="28"/>
  <c r="AC413" i="28"/>
  <c r="Y413" i="28"/>
  <c r="Z413" i="28"/>
  <c r="AA413" i="28"/>
  <c r="Y701" i="28"/>
  <c r="Z701" i="28"/>
  <c r="AA701" i="28"/>
  <c r="Z278" i="28"/>
  <c r="Y278" i="28"/>
  <c r="AA278" i="28"/>
  <c r="Y502" i="28"/>
  <c r="Y726" i="28"/>
  <c r="AC151" i="28"/>
  <c r="Y151" i="28"/>
  <c r="Z151" i="28"/>
  <c r="AA151" i="28"/>
  <c r="AC599" i="28"/>
  <c r="Y599" i="28"/>
  <c r="Z599" i="28"/>
  <c r="AA599" i="28"/>
  <c r="Y791" i="28"/>
  <c r="Z791" i="28"/>
  <c r="AA791" i="28"/>
  <c r="AC232" i="28"/>
  <c r="Y232" i="28"/>
  <c r="Z232" i="28"/>
  <c r="AA232" i="28"/>
  <c r="AC664" i="28"/>
  <c r="Y664" i="28"/>
  <c r="Z664" i="28"/>
  <c r="AA664" i="28"/>
  <c r="AC865" i="28"/>
  <c r="Z865" i="28"/>
  <c r="Y865" i="28"/>
  <c r="AA865" i="28"/>
  <c r="Y291" i="28"/>
  <c r="Z291" i="28"/>
  <c r="AA291" i="28"/>
  <c r="Y515" i="28"/>
  <c r="Z515" i="28"/>
  <c r="AA515" i="28"/>
  <c r="Y547" i="28"/>
  <c r="Z547" i="28"/>
  <c r="AA547" i="28"/>
  <c r="Y611" i="28"/>
  <c r="Z611" i="28"/>
  <c r="AA611" i="28"/>
  <c r="Y867" i="28"/>
  <c r="Z867" i="28"/>
  <c r="AA867" i="28"/>
  <c r="AC291" i="28"/>
  <c r="AC861" i="28"/>
  <c r="AC342" i="28"/>
  <c r="AC470" i="28"/>
  <c r="AC822" i="28"/>
  <c r="AC791" i="28"/>
  <c r="Y48" i="28"/>
  <c r="Z48" i="28"/>
  <c r="AA48" i="28"/>
  <c r="AC80" i="28"/>
  <c r="Y80" i="28"/>
  <c r="Z80" i="28"/>
  <c r="AA80" i="28"/>
  <c r="Y112" i="28"/>
  <c r="Z112" i="28"/>
  <c r="AA112" i="28"/>
  <c r="Y33" i="28"/>
  <c r="AC97" i="28"/>
  <c r="Y97" i="28"/>
  <c r="Z97" i="28"/>
  <c r="AA97" i="28"/>
  <c r="AC129" i="28"/>
  <c r="Y129" i="28"/>
  <c r="Z129" i="28"/>
  <c r="AA129" i="28"/>
  <c r="Y42" i="28"/>
  <c r="Z42" i="28"/>
  <c r="AA42" i="28"/>
  <c r="Y74" i="28"/>
  <c r="Z74" i="28"/>
  <c r="AA74" i="28"/>
  <c r="Y106" i="28"/>
  <c r="Z106" i="28"/>
  <c r="AA106" i="28"/>
  <c r="Y138" i="28"/>
  <c r="Z138" i="28"/>
  <c r="AA138" i="28"/>
  <c r="Y51" i="28"/>
  <c r="Z51" i="28"/>
  <c r="AA51" i="28"/>
  <c r="Y83" i="28"/>
  <c r="Z83" i="28"/>
  <c r="AA83" i="28"/>
  <c r="Y115" i="28"/>
  <c r="Z115" i="28"/>
  <c r="AA115" i="28"/>
  <c r="Y36" i="28"/>
  <c r="Z36" i="28"/>
  <c r="AA36" i="28"/>
  <c r="Y92" i="28"/>
  <c r="Z92" i="28"/>
  <c r="AA92" i="28"/>
  <c r="Y110" i="28"/>
  <c r="Z110" i="28"/>
  <c r="AA110" i="28"/>
  <c r="Y95" i="28"/>
  <c r="Z95" i="28"/>
  <c r="AA95" i="28"/>
  <c r="Z134" i="28"/>
  <c r="Y134" i="28"/>
  <c r="AA134" i="28"/>
  <c r="Y111" i="28"/>
  <c r="Z111" i="28"/>
  <c r="AA111" i="28"/>
  <c r="Y118" i="28"/>
  <c r="Z118" i="28"/>
  <c r="AA118" i="28"/>
  <c r="Y119" i="28"/>
  <c r="Z119" i="28"/>
  <c r="AA119" i="28"/>
  <c r="Y85" i="28"/>
  <c r="Z85" i="28"/>
  <c r="AA85" i="28"/>
  <c r="Y117" i="28"/>
  <c r="Z117" i="28"/>
  <c r="AA117" i="28"/>
  <c r="Y197" i="28"/>
  <c r="Z197" i="28"/>
  <c r="AA197" i="28"/>
  <c r="Y261" i="28"/>
  <c r="Z261" i="28"/>
  <c r="AA261" i="28"/>
  <c r="Y421" i="28"/>
  <c r="Z421" i="28"/>
  <c r="AA421" i="28"/>
  <c r="Y453" i="28"/>
  <c r="Z453" i="28"/>
  <c r="AA453" i="28"/>
  <c r="Y485" i="28"/>
  <c r="Z485" i="28"/>
  <c r="AA485" i="28"/>
  <c r="Y517" i="28"/>
  <c r="Z517" i="28"/>
  <c r="AA517" i="28"/>
  <c r="Y549" i="28"/>
  <c r="Z549" i="28"/>
  <c r="AA549" i="28"/>
  <c r="Y581" i="28"/>
  <c r="Z581" i="28"/>
  <c r="AA581" i="28"/>
  <c r="Y613" i="28"/>
  <c r="Z613" i="28"/>
  <c r="AA613" i="28"/>
  <c r="Y645" i="28"/>
  <c r="Z645" i="28"/>
  <c r="AA645" i="28"/>
  <c r="Y677" i="28"/>
  <c r="Y709" i="28"/>
  <c r="Z709" i="28"/>
  <c r="AA709" i="28"/>
  <c r="Y159" i="28"/>
  <c r="Z159" i="28"/>
  <c r="AA159" i="28"/>
  <c r="Y223" i="28"/>
  <c r="Z223" i="28"/>
  <c r="AA223" i="28"/>
  <c r="Y287" i="28"/>
  <c r="Z287" i="28"/>
  <c r="AA287" i="28"/>
  <c r="Y319" i="28"/>
  <c r="Z319" i="28"/>
  <c r="AA319" i="28"/>
  <c r="Y351" i="28"/>
  <c r="Z351" i="28"/>
  <c r="AA351" i="28"/>
  <c r="Y383" i="28"/>
  <c r="Z383" i="28"/>
  <c r="AA383" i="28"/>
  <c r="Y415" i="28"/>
  <c r="Z415" i="28"/>
  <c r="AA415" i="28"/>
  <c r="Y447" i="28"/>
  <c r="Z447" i="28"/>
  <c r="AA447" i="28"/>
  <c r="Y479" i="28"/>
  <c r="AA479" i="28"/>
  <c r="Z479" i="28"/>
  <c r="Y511" i="28"/>
  <c r="AA511" i="28"/>
  <c r="Z511" i="28"/>
  <c r="Y224" i="28"/>
  <c r="Z224" i="28"/>
  <c r="AA224" i="28"/>
  <c r="Y288" i="28"/>
  <c r="Z288" i="28"/>
  <c r="AA288" i="28"/>
  <c r="Y352" i="28"/>
  <c r="Z352" i="28"/>
  <c r="AA352" i="28"/>
  <c r="Y416" i="28"/>
  <c r="Z416" i="28"/>
  <c r="AA416" i="28"/>
  <c r="Z480" i="28"/>
  <c r="Y480" i="28"/>
  <c r="AA480" i="28"/>
  <c r="Y552" i="28"/>
  <c r="Z552" i="28"/>
  <c r="AA552" i="28"/>
  <c r="Y616" i="28"/>
  <c r="Z616" i="28"/>
  <c r="AA616" i="28"/>
  <c r="Y696" i="28"/>
  <c r="Z696" i="28"/>
  <c r="AA696" i="28"/>
  <c r="Y248" i="28"/>
  <c r="Z248" i="28"/>
  <c r="AA248" i="28"/>
  <c r="Y161" i="28"/>
  <c r="Z161" i="28"/>
  <c r="AA161" i="28"/>
  <c r="Y193" i="28"/>
  <c r="Z193" i="28"/>
  <c r="AA193" i="28"/>
  <c r="Y225" i="28"/>
  <c r="Z225" i="28"/>
  <c r="AA225" i="28"/>
  <c r="Y257" i="28"/>
  <c r="Z257" i="28"/>
  <c r="AA257" i="28"/>
  <c r="Y289" i="28"/>
  <c r="Z289" i="28"/>
  <c r="AA289" i="28"/>
  <c r="Y321" i="28"/>
  <c r="Z321" i="28"/>
  <c r="AA321" i="28"/>
  <c r="Y353" i="28"/>
  <c r="Z353" i="28"/>
  <c r="AA353" i="28"/>
  <c r="Y385" i="28"/>
  <c r="Z385" i="28"/>
  <c r="AA385" i="28"/>
  <c r="Y417" i="28"/>
  <c r="Z417" i="28"/>
  <c r="AA417" i="28"/>
  <c r="Z449" i="28"/>
  <c r="Y449" i="28"/>
  <c r="AA449" i="28"/>
  <c r="Z481" i="28"/>
  <c r="Y481" i="28"/>
  <c r="AA481" i="28"/>
  <c r="Z513" i="28"/>
  <c r="Y513" i="28"/>
  <c r="AA513" i="28"/>
  <c r="Z545" i="28"/>
  <c r="Y545" i="28"/>
  <c r="AA545" i="28"/>
  <c r="Z577" i="28"/>
  <c r="Y577" i="28"/>
  <c r="AA577" i="28"/>
  <c r="Z609" i="28"/>
  <c r="Y609" i="28"/>
  <c r="AA609" i="28"/>
  <c r="Z641" i="28"/>
  <c r="Y641" i="28"/>
  <c r="AA641" i="28"/>
  <c r="Y673" i="28"/>
  <c r="Z673" i="28"/>
  <c r="AA673" i="28"/>
  <c r="Y705" i="28"/>
  <c r="Z769" i="28"/>
  <c r="Y769" i="28"/>
  <c r="AA769" i="28"/>
  <c r="Z833" i="28"/>
  <c r="Y833" i="28"/>
  <c r="AA833" i="28"/>
  <c r="Y897" i="28"/>
  <c r="Z897" i="28"/>
  <c r="AA897" i="28"/>
  <c r="Y170" i="28"/>
  <c r="Z170" i="28"/>
  <c r="AA170" i="28"/>
  <c r="Y202" i="28"/>
  <c r="Z202" i="28"/>
  <c r="AA202" i="28"/>
  <c r="Y234" i="28"/>
  <c r="Z234" i="28"/>
  <c r="AA234" i="28"/>
  <c r="Y266" i="28"/>
  <c r="Z266" i="28"/>
  <c r="AA266" i="28"/>
  <c r="Y298" i="28"/>
  <c r="Z298" i="28"/>
  <c r="AA298" i="28"/>
  <c r="Y330" i="28"/>
  <c r="Z330" i="28"/>
  <c r="AA330" i="28"/>
  <c r="Y362" i="28"/>
  <c r="Z362" i="28"/>
  <c r="AA362" i="28"/>
  <c r="Y394" i="28"/>
  <c r="Z394" i="28"/>
  <c r="AA394" i="28"/>
  <c r="Y426" i="28"/>
  <c r="Z426" i="28"/>
  <c r="AA426" i="28"/>
  <c r="Y458" i="28"/>
  <c r="Z458" i="28"/>
  <c r="AA458" i="28"/>
  <c r="Y490" i="28"/>
  <c r="Z490" i="28"/>
  <c r="AA490" i="28"/>
  <c r="Y522" i="28"/>
  <c r="Z522" i="28"/>
  <c r="AA522" i="28"/>
  <c r="Y554" i="28"/>
  <c r="Z554" i="28"/>
  <c r="AA554" i="28"/>
  <c r="Y586" i="28"/>
  <c r="Y618" i="28"/>
  <c r="Z618" i="28"/>
  <c r="AA618" i="28"/>
  <c r="Y650" i="28"/>
  <c r="Z650" i="28"/>
  <c r="AA650" i="28"/>
  <c r="Y682" i="28"/>
  <c r="Z682" i="28"/>
  <c r="AA682" i="28"/>
  <c r="Y714" i="28"/>
  <c r="Z714" i="28"/>
  <c r="AA714" i="28"/>
  <c r="Y746" i="28"/>
  <c r="Z746" i="28"/>
  <c r="AA746" i="28"/>
  <c r="Y778" i="28"/>
  <c r="Z778" i="28"/>
  <c r="AA778" i="28"/>
  <c r="Y810" i="28"/>
  <c r="Z810" i="28"/>
  <c r="AA810" i="28"/>
  <c r="Y842" i="28"/>
  <c r="Z842" i="28"/>
  <c r="AA842" i="28"/>
  <c r="Y874" i="28"/>
  <c r="Z874" i="28"/>
  <c r="AA874" i="28"/>
  <c r="Y906" i="28"/>
  <c r="Z906" i="28"/>
  <c r="AA906" i="28"/>
  <c r="Y779" i="28"/>
  <c r="Z779" i="28"/>
  <c r="AA779" i="28"/>
  <c r="Y843" i="28"/>
  <c r="Z843" i="28"/>
  <c r="AA843" i="28"/>
  <c r="Y907" i="28"/>
  <c r="Z907" i="28"/>
  <c r="AA907" i="28"/>
  <c r="W23" i="27"/>
  <c r="R23" i="27"/>
  <c r="U23" i="27"/>
  <c r="T23" i="27"/>
  <c r="S23" i="27"/>
  <c r="W194" i="27"/>
  <c r="X194" i="27"/>
  <c r="U194" i="27"/>
  <c r="T194" i="27"/>
  <c r="S194" i="27"/>
  <c r="R194" i="27"/>
  <c r="W258" i="27"/>
  <c r="X258" i="27"/>
  <c r="U258" i="27"/>
  <c r="T258" i="27"/>
  <c r="S258" i="27"/>
  <c r="R258" i="27"/>
  <c r="W418" i="27"/>
  <c r="X418" i="27"/>
  <c r="U418" i="27"/>
  <c r="T418" i="27"/>
  <c r="S418" i="27"/>
  <c r="R418" i="27"/>
  <c r="W450" i="27"/>
  <c r="X450" i="27"/>
  <c r="U450" i="27"/>
  <c r="T450" i="27"/>
  <c r="R450" i="27"/>
  <c r="S450" i="27"/>
  <c r="W482" i="27"/>
  <c r="X482" i="27"/>
  <c r="U482" i="27"/>
  <c r="T482" i="27"/>
  <c r="R482" i="27"/>
  <c r="S482" i="27"/>
  <c r="U514" i="27"/>
  <c r="T514" i="27"/>
  <c r="R514" i="27"/>
  <c r="S514" i="27"/>
  <c r="X546" i="27"/>
  <c r="W546" i="27"/>
  <c r="U546" i="27"/>
  <c r="T546" i="27"/>
  <c r="R546" i="27"/>
  <c r="S546" i="27"/>
  <c r="X578" i="27"/>
  <c r="W578" i="27"/>
  <c r="U578" i="27"/>
  <c r="T578" i="27"/>
  <c r="R578" i="27"/>
  <c r="S578" i="27"/>
  <c r="U610" i="27"/>
  <c r="T610" i="27"/>
  <c r="S610" i="27"/>
  <c r="R610" i="27"/>
  <c r="U642" i="27"/>
  <c r="T642" i="27"/>
  <c r="S642" i="27"/>
  <c r="R642" i="27"/>
  <c r="U674" i="27"/>
  <c r="T674" i="27"/>
  <c r="S674" i="27"/>
  <c r="R674" i="27"/>
  <c r="X706" i="27"/>
  <c r="W706" i="27"/>
  <c r="U706" i="27"/>
  <c r="T706" i="27"/>
  <c r="S706" i="27"/>
  <c r="R706" i="27"/>
  <c r="X156" i="27"/>
  <c r="W156" i="27"/>
  <c r="U156" i="27"/>
  <c r="T156" i="27"/>
  <c r="S156" i="27"/>
  <c r="R156" i="27"/>
  <c r="X220" i="27"/>
  <c r="W220" i="27"/>
  <c r="U220" i="27"/>
  <c r="T220" i="27"/>
  <c r="S220" i="27"/>
  <c r="R220" i="27"/>
  <c r="X284" i="27"/>
  <c r="W284" i="27"/>
  <c r="U284" i="27"/>
  <c r="T284" i="27"/>
  <c r="R284" i="27"/>
  <c r="S284" i="27"/>
  <c r="X316" i="27"/>
  <c r="W316" i="27"/>
  <c r="U316" i="27"/>
  <c r="T316" i="27"/>
  <c r="R316" i="27"/>
  <c r="S316" i="27"/>
  <c r="X348" i="27"/>
  <c r="W348" i="27"/>
  <c r="U348" i="27"/>
  <c r="T348" i="27"/>
  <c r="R348" i="27"/>
  <c r="S348" i="27"/>
  <c r="X380" i="27"/>
  <c r="W380" i="27"/>
  <c r="U380" i="27"/>
  <c r="T380" i="27"/>
  <c r="R380" i="27"/>
  <c r="S380" i="27"/>
  <c r="X412" i="27"/>
  <c r="W412" i="27"/>
  <c r="U412" i="27"/>
  <c r="T412" i="27"/>
  <c r="R412" i="27"/>
  <c r="S412" i="27"/>
  <c r="X444" i="27"/>
  <c r="W444" i="27"/>
  <c r="U444" i="27"/>
  <c r="T444" i="27"/>
  <c r="R444" i="27"/>
  <c r="S444" i="27"/>
  <c r="X476" i="27"/>
  <c r="W476" i="27"/>
  <c r="U476" i="27"/>
  <c r="T476" i="27"/>
  <c r="R476" i="27"/>
  <c r="S476" i="27"/>
  <c r="X508" i="27"/>
  <c r="W508" i="27"/>
  <c r="U508" i="27"/>
  <c r="T508" i="27"/>
  <c r="R508" i="27"/>
  <c r="S508" i="27"/>
  <c r="X932" i="27"/>
  <c r="W932" i="27"/>
  <c r="U932" i="27"/>
  <c r="T932" i="27"/>
  <c r="S932" i="27"/>
  <c r="R932" i="27"/>
  <c r="X996" i="27"/>
  <c r="W996" i="27"/>
  <c r="T996" i="27"/>
  <c r="U996" i="27"/>
  <c r="S996" i="27"/>
  <c r="R996" i="27"/>
  <c r="X1060" i="27"/>
  <c r="W1060" i="27"/>
  <c r="T1060" i="27"/>
  <c r="U1060" i="27"/>
  <c r="S1060" i="27"/>
  <c r="R1060" i="27"/>
  <c r="X1124" i="27"/>
  <c r="W1124" i="27"/>
  <c r="T1124" i="27"/>
  <c r="U1124" i="27"/>
  <c r="S1124" i="27"/>
  <c r="R1124" i="27"/>
  <c r="X237" i="27"/>
  <c r="W237" i="27"/>
  <c r="U237" i="27"/>
  <c r="T237" i="27"/>
  <c r="S237" i="27"/>
  <c r="R237" i="27"/>
  <c r="X301" i="27"/>
  <c r="W301" i="27"/>
  <c r="U301" i="27"/>
  <c r="T301" i="27"/>
  <c r="R301" i="27"/>
  <c r="S301" i="27"/>
  <c r="X365" i="27"/>
  <c r="W365" i="27"/>
  <c r="U365" i="27"/>
  <c r="T365" i="27"/>
  <c r="R365" i="27"/>
  <c r="S365" i="27"/>
  <c r="X429" i="27"/>
  <c r="W429" i="27"/>
  <c r="U429" i="27"/>
  <c r="T429" i="27"/>
  <c r="S429" i="27"/>
  <c r="R429" i="27"/>
  <c r="X493" i="27"/>
  <c r="W493" i="27"/>
  <c r="U493" i="27"/>
  <c r="T493" i="27"/>
  <c r="R493" i="27"/>
  <c r="S493" i="27"/>
  <c r="X565" i="27"/>
  <c r="W565" i="27"/>
  <c r="U565" i="27"/>
  <c r="T565" i="27"/>
  <c r="S565" i="27"/>
  <c r="R565" i="27"/>
  <c r="U637" i="27"/>
  <c r="T637" i="27"/>
  <c r="S637" i="27"/>
  <c r="R637" i="27"/>
  <c r="X717" i="27"/>
  <c r="W717" i="27"/>
  <c r="T717" i="27"/>
  <c r="U717" i="27"/>
  <c r="S717" i="27"/>
  <c r="R717" i="27"/>
  <c r="X869" i="27"/>
  <c r="W869" i="27"/>
  <c r="T869" i="27"/>
  <c r="U869" i="27"/>
  <c r="S869" i="27"/>
  <c r="R869" i="27"/>
  <c r="X245" i="27"/>
  <c r="W245" i="27"/>
  <c r="U245" i="27"/>
  <c r="T245" i="27"/>
  <c r="S245" i="27"/>
  <c r="R245" i="27"/>
  <c r="W166" i="27"/>
  <c r="X166" i="27"/>
  <c r="U166" i="27"/>
  <c r="S166" i="27"/>
  <c r="T166" i="27"/>
  <c r="R166" i="27"/>
  <c r="W198" i="27"/>
  <c r="X198" i="27"/>
  <c r="U198" i="27"/>
  <c r="S198" i="27"/>
  <c r="T198" i="27"/>
  <c r="R198" i="27"/>
  <c r="W230" i="27"/>
  <c r="X230" i="27"/>
  <c r="U230" i="27"/>
  <c r="S230" i="27"/>
  <c r="T230" i="27"/>
  <c r="R230" i="27"/>
  <c r="W262" i="27"/>
  <c r="X262" i="27"/>
  <c r="U262" i="27"/>
  <c r="S262" i="27"/>
  <c r="T262" i="27"/>
  <c r="R262" i="27"/>
  <c r="W294" i="27"/>
  <c r="X294" i="27"/>
  <c r="U294" i="27"/>
  <c r="S294" i="27"/>
  <c r="T294" i="27"/>
  <c r="R294" i="27"/>
  <c r="W326" i="27"/>
  <c r="X326" i="27"/>
  <c r="U326" i="27"/>
  <c r="S326" i="27"/>
  <c r="T326" i="27"/>
  <c r="R326" i="27"/>
  <c r="W358" i="27"/>
  <c r="X358" i="27"/>
  <c r="U358" i="27"/>
  <c r="S358" i="27"/>
  <c r="T358" i="27"/>
  <c r="R358" i="27"/>
  <c r="W390" i="27"/>
  <c r="X390" i="27"/>
  <c r="U390" i="27"/>
  <c r="T390" i="27"/>
  <c r="S390" i="27"/>
  <c r="R390" i="27"/>
  <c r="W422" i="27"/>
  <c r="X422" i="27"/>
  <c r="U422" i="27"/>
  <c r="T422" i="27"/>
  <c r="S422" i="27"/>
  <c r="R422" i="27"/>
  <c r="W454" i="27"/>
  <c r="X454" i="27"/>
  <c r="U454" i="27"/>
  <c r="T454" i="27"/>
  <c r="R454" i="27"/>
  <c r="S454" i="27"/>
  <c r="W486" i="27"/>
  <c r="X486" i="27"/>
  <c r="U486" i="27"/>
  <c r="T486" i="27"/>
  <c r="R486" i="27"/>
  <c r="S486" i="27"/>
  <c r="U518" i="27"/>
  <c r="T518" i="27"/>
  <c r="R518" i="27"/>
  <c r="S518" i="27"/>
  <c r="X550" i="27"/>
  <c r="W550" i="27"/>
  <c r="U550" i="27"/>
  <c r="T550" i="27"/>
  <c r="R550" i="27"/>
  <c r="S550" i="27"/>
  <c r="X582" i="27"/>
  <c r="W582" i="27"/>
  <c r="U582" i="27"/>
  <c r="T582" i="27"/>
  <c r="R582" i="27"/>
  <c r="S582" i="27"/>
  <c r="U614" i="27"/>
  <c r="T614" i="27"/>
  <c r="S614" i="27"/>
  <c r="R614" i="27"/>
  <c r="U646" i="27"/>
  <c r="T646" i="27"/>
  <c r="S646" i="27"/>
  <c r="R646" i="27"/>
  <c r="U678" i="27"/>
  <c r="T678" i="27"/>
  <c r="S678" i="27"/>
  <c r="R678" i="27"/>
  <c r="X710" i="27"/>
  <c r="W710" i="27"/>
  <c r="U710" i="27"/>
  <c r="T710" i="27"/>
  <c r="S710" i="27"/>
  <c r="R710" i="27"/>
  <c r="X742" i="27"/>
  <c r="W742" i="27"/>
  <c r="U742" i="27"/>
  <c r="T742" i="27"/>
  <c r="S742" i="27"/>
  <c r="R742" i="27"/>
  <c r="X806" i="27"/>
  <c r="W806" i="27"/>
  <c r="U806" i="27"/>
  <c r="T806" i="27"/>
  <c r="S806" i="27"/>
  <c r="R806" i="27"/>
  <c r="X870" i="27"/>
  <c r="W870" i="27"/>
  <c r="U870" i="27"/>
  <c r="T870" i="27"/>
  <c r="S870" i="27"/>
  <c r="R870" i="27"/>
  <c r="W143" i="27"/>
  <c r="X143" i="27"/>
  <c r="U143" i="27"/>
  <c r="T143" i="27"/>
  <c r="S143" i="27"/>
  <c r="R143" i="27"/>
  <c r="W175" i="27"/>
  <c r="X175" i="27"/>
  <c r="U175" i="27"/>
  <c r="T175" i="27"/>
  <c r="S175" i="27"/>
  <c r="R175" i="27"/>
  <c r="W207" i="27"/>
  <c r="X207" i="27"/>
  <c r="U207" i="27"/>
  <c r="T207" i="27"/>
  <c r="S207" i="27"/>
  <c r="R207" i="27"/>
  <c r="W239" i="27"/>
  <c r="X239" i="27"/>
  <c r="U239" i="27"/>
  <c r="T239" i="27"/>
  <c r="S239" i="27"/>
  <c r="R239" i="27"/>
  <c r="W271" i="27"/>
  <c r="X271" i="27"/>
  <c r="U271" i="27"/>
  <c r="T271" i="27"/>
  <c r="R271" i="27"/>
  <c r="S271" i="27"/>
  <c r="W303" i="27"/>
  <c r="X303" i="27"/>
  <c r="U303" i="27"/>
  <c r="T303" i="27"/>
  <c r="R303" i="27"/>
  <c r="S303" i="27"/>
  <c r="W335" i="27"/>
  <c r="X335" i="27"/>
  <c r="U335" i="27"/>
  <c r="T335" i="27"/>
  <c r="R335" i="27"/>
  <c r="S335" i="27"/>
  <c r="W367" i="27"/>
  <c r="X367" i="27"/>
  <c r="U367" i="27"/>
  <c r="T367" i="27"/>
  <c r="R367" i="27"/>
  <c r="S367" i="27"/>
  <c r="W399" i="27"/>
  <c r="X399" i="27"/>
  <c r="U399" i="27"/>
  <c r="T399" i="27"/>
  <c r="S399" i="27"/>
  <c r="R399" i="27"/>
  <c r="W431" i="27"/>
  <c r="X431" i="27"/>
  <c r="U431" i="27"/>
  <c r="T431" i="27"/>
  <c r="S431" i="27"/>
  <c r="R431" i="27"/>
  <c r="W463" i="27"/>
  <c r="X463" i="27"/>
  <c r="U463" i="27"/>
  <c r="T463" i="27"/>
  <c r="R463" i="27"/>
  <c r="S463" i="27"/>
  <c r="W495" i="27"/>
  <c r="X495" i="27"/>
  <c r="U495" i="27"/>
  <c r="T495" i="27"/>
  <c r="R495" i="27"/>
  <c r="S495" i="27"/>
  <c r="U527" i="27"/>
  <c r="T527" i="27"/>
  <c r="R527" i="27"/>
  <c r="S527" i="27"/>
  <c r="X559" i="27"/>
  <c r="U559" i="27"/>
  <c r="W559" i="27"/>
  <c r="T559" i="27"/>
  <c r="R559" i="27"/>
  <c r="S559" i="27"/>
  <c r="X591" i="27"/>
  <c r="U591" i="27"/>
  <c r="W591" i="27"/>
  <c r="T591" i="27"/>
  <c r="R591" i="27"/>
  <c r="S591" i="27"/>
  <c r="U623" i="27"/>
  <c r="T623" i="27"/>
  <c r="R623" i="27"/>
  <c r="S623" i="27"/>
  <c r="U655" i="27"/>
  <c r="T655" i="27"/>
  <c r="R655" i="27"/>
  <c r="S655" i="27"/>
  <c r="U687" i="27"/>
  <c r="T687" i="27"/>
  <c r="R687" i="27"/>
  <c r="S687" i="27"/>
  <c r="X719" i="27"/>
  <c r="U719" i="27"/>
  <c r="W719" i="27"/>
  <c r="T719" i="27"/>
  <c r="R719" i="27"/>
  <c r="S719" i="27"/>
  <c r="X751" i="27"/>
  <c r="U751" i="27"/>
  <c r="W751" i="27"/>
  <c r="T751" i="27"/>
  <c r="R751" i="27"/>
  <c r="S751" i="27"/>
  <c r="X783" i="27"/>
  <c r="U783" i="27"/>
  <c r="W783" i="27"/>
  <c r="T783" i="27"/>
  <c r="R783" i="27"/>
  <c r="S783" i="27"/>
  <c r="X815" i="27"/>
  <c r="U815" i="27"/>
  <c r="W815" i="27"/>
  <c r="T815" i="27"/>
  <c r="R815" i="27"/>
  <c r="S815" i="27"/>
  <c r="X847" i="27"/>
  <c r="W847" i="27"/>
  <c r="T847" i="27"/>
  <c r="U847" i="27"/>
  <c r="R847" i="27"/>
  <c r="S847" i="27"/>
  <c r="X879" i="27"/>
  <c r="W879" i="27"/>
  <c r="U879" i="27"/>
  <c r="T879" i="27"/>
  <c r="R879" i="27"/>
  <c r="S879" i="27"/>
  <c r="X911" i="27"/>
  <c r="W911" i="27"/>
  <c r="T911" i="27"/>
  <c r="U911" i="27"/>
  <c r="R911" i="27"/>
  <c r="S911" i="27"/>
  <c r="X776" i="27"/>
  <c r="W776" i="27"/>
  <c r="U776" i="27"/>
  <c r="T776" i="27"/>
  <c r="S776" i="27"/>
  <c r="R776" i="27"/>
  <c r="X840" i="27"/>
  <c r="W840" i="27"/>
  <c r="U840" i="27"/>
  <c r="T840" i="27"/>
  <c r="S840" i="27"/>
  <c r="R840" i="27"/>
  <c r="X904" i="27"/>
  <c r="W904" i="27"/>
  <c r="U904" i="27"/>
  <c r="T904" i="27"/>
  <c r="S904" i="27"/>
  <c r="R904" i="27"/>
  <c r="W169" i="27"/>
  <c r="X169" i="27"/>
  <c r="U169" i="27"/>
  <c r="T169" i="27"/>
  <c r="S169" i="27"/>
  <c r="R169" i="27"/>
  <c r="W201" i="27"/>
  <c r="X201" i="27"/>
  <c r="U201" i="27"/>
  <c r="T201" i="27"/>
  <c r="S201" i="27"/>
  <c r="R201" i="27"/>
  <c r="W233" i="27"/>
  <c r="X233" i="27"/>
  <c r="U233" i="27"/>
  <c r="T233" i="27"/>
  <c r="S233" i="27"/>
  <c r="R233" i="27"/>
  <c r="W265" i="27"/>
  <c r="X265" i="27"/>
  <c r="U265" i="27"/>
  <c r="T265" i="27"/>
  <c r="S265" i="27"/>
  <c r="R265" i="27"/>
  <c r="W297" i="27"/>
  <c r="X297" i="27"/>
  <c r="U297" i="27"/>
  <c r="T297" i="27"/>
  <c r="S297" i="27"/>
  <c r="R297" i="27"/>
  <c r="W329" i="27"/>
  <c r="X329" i="27"/>
  <c r="U329" i="27"/>
  <c r="T329" i="27"/>
  <c r="S329" i="27"/>
  <c r="R329" i="27"/>
  <c r="W361" i="27"/>
  <c r="X361" i="27"/>
  <c r="U361" i="27"/>
  <c r="T361" i="27"/>
  <c r="S361" i="27"/>
  <c r="R361" i="27"/>
  <c r="W393" i="27"/>
  <c r="X393" i="27"/>
  <c r="U393" i="27"/>
  <c r="T393" i="27"/>
  <c r="S393" i="27"/>
  <c r="R393" i="27"/>
  <c r="W425" i="27"/>
  <c r="X425" i="27"/>
  <c r="U425" i="27"/>
  <c r="T425" i="27"/>
  <c r="S425" i="27"/>
  <c r="R425" i="27"/>
  <c r="W457" i="27"/>
  <c r="X457" i="27"/>
  <c r="U457" i="27"/>
  <c r="T457" i="27"/>
  <c r="S457" i="27"/>
  <c r="R457" i="27"/>
  <c r="W489" i="27"/>
  <c r="X489" i="27"/>
  <c r="U489" i="27"/>
  <c r="T489" i="27"/>
  <c r="S489" i="27"/>
  <c r="R489" i="27"/>
  <c r="U521" i="27"/>
  <c r="T521" i="27"/>
  <c r="S521" i="27"/>
  <c r="R521" i="27"/>
  <c r="X553" i="27"/>
  <c r="W553" i="27"/>
  <c r="U553" i="27"/>
  <c r="T553" i="27"/>
  <c r="S553" i="27"/>
  <c r="R553" i="27"/>
  <c r="X585" i="27"/>
  <c r="W585" i="27"/>
  <c r="U585" i="27"/>
  <c r="T585" i="27"/>
  <c r="S585" i="27"/>
  <c r="R585" i="27"/>
  <c r="U617" i="27"/>
  <c r="T617" i="27"/>
  <c r="S617" i="27"/>
  <c r="R617" i="27"/>
  <c r="U649" i="27"/>
  <c r="T649" i="27"/>
  <c r="S649" i="27"/>
  <c r="R649" i="27"/>
  <c r="U681" i="27"/>
  <c r="T681" i="27"/>
  <c r="S681" i="27"/>
  <c r="R681" i="27"/>
  <c r="X713" i="27"/>
  <c r="W713" i="27"/>
  <c r="U713" i="27"/>
  <c r="T713" i="27"/>
  <c r="S713" i="27"/>
  <c r="R713" i="27"/>
  <c r="X745" i="27"/>
  <c r="W745" i="27"/>
  <c r="U745" i="27"/>
  <c r="T745" i="27"/>
  <c r="S745" i="27"/>
  <c r="R745" i="27"/>
  <c r="X777" i="27"/>
  <c r="W777" i="27"/>
  <c r="U777" i="27"/>
  <c r="T777" i="27"/>
  <c r="S777" i="27"/>
  <c r="R777" i="27"/>
  <c r="X809" i="27"/>
  <c r="W809" i="27"/>
  <c r="U809" i="27"/>
  <c r="T809" i="27"/>
  <c r="S809" i="27"/>
  <c r="R809" i="27"/>
  <c r="X841" i="27"/>
  <c r="W841" i="27"/>
  <c r="U841" i="27"/>
  <c r="T841" i="27"/>
  <c r="S841" i="27"/>
  <c r="R841" i="27"/>
  <c r="X873" i="27"/>
  <c r="W873" i="27"/>
  <c r="T873" i="27"/>
  <c r="U873" i="27"/>
  <c r="S873" i="27"/>
  <c r="R873" i="27"/>
  <c r="X905" i="27"/>
  <c r="W905" i="27"/>
  <c r="U905" i="27"/>
  <c r="T905" i="27"/>
  <c r="S905" i="27"/>
  <c r="R905" i="27"/>
  <c r="W170" i="27"/>
  <c r="X170" i="27"/>
  <c r="U170" i="27"/>
  <c r="S170" i="27"/>
  <c r="T170" i="27"/>
  <c r="R170" i="27"/>
  <c r="W202" i="27"/>
  <c r="X202" i="27"/>
  <c r="U202" i="27"/>
  <c r="S202" i="27"/>
  <c r="T202" i="27"/>
  <c r="R202" i="27"/>
  <c r="W234" i="27"/>
  <c r="X234" i="27"/>
  <c r="U234" i="27"/>
  <c r="S234" i="27"/>
  <c r="T234" i="27"/>
  <c r="R234" i="27"/>
  <c r="W266" i="27"/>
  <c r="X266" i="27"/>
  <c r="U266" i="27"/>
  <c r="S266" i="27"/>
  <c r="T266" i="27"/>
  <c r="R266" i="27"/>
  <c r="W298" i="27"/>
  <c r="X298" i="27"/>
  <c r="U298" i="27"/>
  <c r="S298" i="27"/>
  <c r="T298" i="27"/>
  <c r="R298" i="27"/>
  <c r="W330" i="27"/>
  <c r="X330" i="27"/>
  <c r="U330" i="27"/>
  <c r="S330" i="27"/>
  <c r="T330" i="27"/>
  <c r="R330" i="27"/>
  <c r="W362" i="27"/>
  <c r="X362" i="27"/>
  <c r="U362" i="27"/>
  <c r="S362" i="27"/>
  <c r="T362" i="27"/>
  <c r="R362" i="27"/>
  <c r="W394" i="27"/>
  <c r="X394" i="27"/>
  <c r="U394" i="27"/>
  <c r="S394" i="27"/>
  <c r="T394" i="27"/>
  <c r="R394" i="27"/>
  <c r="W458" i="27"/>
  <c r="X458" i="27"/>
  <c r="U458" i="27"/>
  <c r="T458" i="27"/>
  <c r="R458" i="27"/>
  <c r="S458" i="27"/>
  <c r="U522" i="27"/>
  <c r="T522" i="27"/>
  <c r="R522" i="27"/>
  <c r="S522" i="27"/>
  <c r="X586" i="27"/>
  <c r="W586" i="27"/>
  <c r="U586" i="27"/>
  <c r="T586" i="27"/>
  <c r="R586" i="27"/>
  <c r="S586" i="27"/>
  <c r="U650" i="27"/>
  <c r="T650" i="27"/>
  <c r="S650" i="27"/>
  <c r="R650" i="27"/>
  <c r="U682" i="27"/>
  <c r="T682" i="27"/>
  <c r="S682" i="27"/>
  <c r="R682" i="27"/>
  <c r="X714" i="27"/>
  <c r="W714" i="27"/>
  <c r="U714" i="27"/>
  <c r="T714" i="27"/>
  <c r="S714" i="27"/>
  <c r="R714" i="27"/>
  <c r="X810" i="27"/>
  <c r="W810" i="27"/>
  <c r="U810" i="27"/>
  <c r="T810" i="27"/>
  <c r="S810" i="27"/>
  <c r="R810" i="27"/>
  <c r="X874" i="27"/>
  <c r="W874" i="27"/>
  <c r="U874" i="27"/>
  <c r="T874" i="27"/>
  <c r="S874" i="27"/>
  <c r="R874" i="27"/>
  <c r="X906" i="27"/>
  <c r="W906" i="27"/>
  <c r="U906" i="27"/>
  <c r="T906" i="27"/>
  <c r="S906" i="27"/>
  <c r="R906" i="27"/>
  <c r="W163" i="27"/>
  <c r="X163" i="27"/>
  <c r="U163" i="27"/>
  <c r="T163" i="27"/>
  <c r="S163" i="27"/>
  <c r="R163" i="27"/>
  <c r="W195" i="27"/>
  <c r="X195" i="27"/>
  <c r="U195" i="27"/>
  <c r="T195" i="27"/>
  <c r="S195" i="27"/>
  <c r="R195" i="27"/>
  <c r="W227" i="27"/>
  <c r="X227" i="27"/>
  <c r="U227" i="27"/>
  <c r="T227" i="27"/>
  <c r="S227" i="27"/>
  <c r="R227" i="27"/>
  <c r="W259" i="27"/>
  <c r="X259" i="27"/>
  <c r="U259" i="27"/>
  <c r="T259" i="27"/>
  <c r="S259" i="27"/>
  <c r="R259" i="27"/>
  <c r="W291" i="27"/>
  <c r="X291" i="27"/>
  <c r="U291" i="27"/>
  <c r="T291" i="27"/>
  <c r="S291" i="27"/>
  <c r="R291" i="27"/>
  <c r="W323" i="27"/>
  <c r="X323" i="27"/>
  <c r="U323" i="27"/>
  <c r="T323" i="27"/>
  <c r="S323" i="27"/>
  <c r="R323" i="27"/>
  <c r="W355" i="27"/>
  <c r="X355" i="27"/>
  <c r="U355" i="27"/>
  <c r="T355" i="27"/>
  <c r="S355" i="27"/>
  <c r="R355" i="27"/>
  <c r="W387" i="27"/>
  <c r="X387" i="27"/>
  <c r="U387" i="27"/>
  <c r="T387" i="27"/>
  <c r="S387" i="27"/>
  <c r="R387" i="27"/>
  <c r="W419" i="27"/>
  <c r="X419" i="27"/>
  <c r="U419" i="27"/>
  <c r="T419" i="27"/>
  <c r="S419" i="27"/>
  <c r="R419" i="27"/>
  <c r="W451" i="27"/>
  <c r="X451" i="27"/>
  <c r="U451" i="27"/>
  <c r="T451" i="27"/>
  <c r="R451" i="27"/>
  <c r="S451" i="27"/>
  <c r="W483" i="27"/>
  <c r="X483" i="27"/>
  <c r="U483" i="27"/>
  <c r="T483" i="27"/>
  <c r="R483" i="27"/>
  <c r="S483" i="27"/>
  <c r="U515" i="27"/>
  <c r="T515" i="27"/>
  <c r="R515" i="27"/>
  <c r="S515" i="27"/>
  <c r="X547" i="27"/>
  <c r="W547" i="27"/>
  <c r="U547" i="27"/>
  <c r="T547" i="27"/>
  <c r="R547" i="27"/>
  <c r="S547" i="27"/>
  <c r="X579" i="27"/>
  <c r="W579" i="27"/>
  <c r="U579" i="27"/>
  <c r="T579" i="27"/>
  <c r="R579" i="27"/>
  <c r="S579" i="27"/>
  <c r="T611" i="27"/>
  <c r="U611" i="27"/>
  <c r="R611" i="27"/>
  <c r="S611" i="27"/>
  <c r="T643" i="27"/>
  <c r="U643" i="27"/>
  <c r="S643" i="27"/>
  <c r="R643" i="27"/>
  <c r="U675" i="27"/>
  <c r="T675" i="27"/>
  <c r="S675" i="27"/>
  <c r="R675" i="27"/>
  <c r="X707" i="27"/>
  <c r="W707" i="27"/>
  <c r="U707" i="27"/>
  <c r="T707" i="27"/>
  <c r="S707" i="27"/>
  <c r="R707" i="27"/>
  <c r="X739" i="27"/>
  <c r="W739" i="27"/>
  <c r="U739" i="27"/>
  <c r="T739" i="27"/>
  <c r="S739" i="27"/>
  <c r="R739" i="27"/>
  <c r="X771" i="27"/>
  <c r="W771" i="27"/>
  <c r="U771" i="27"/>
  <c r="T771" i="27"/>
  <c r="S771" i="27"/>
  <c r="R771" i="27"/>
  <c r="X803" i="27"/>
  <c r="W803" i="27"/>
  <c r="U803" i="27"/>
  <c r="T803" i="27"/>
  <c r="S803" i="27"/>
  <c r="R803" i="27"/>
  <c r="X835" i="27"/>
  <c r="W835" i="27"/>
  <c r="U835" i="27"/>
  <c r="T835" i="27"/>
  <c r="S835" i="27"/>
  <c r="R835" i="27"/>
  <c r="X867" i="27"/>
  <c r="W867" i="27"/>
  <c r="U867" i="27"/>
  <c r="T867" i="27"/>
  <c r="S867" i="27"/>
  <c r="R867" i="27"/>
  <c r="X899" i="27"/>
  <c r="W899" i="27"/>
  <c r="U899" i="27"/>
  <c r="T899" i="27"/>
  <c r="S899" i="27"/>
  <c r="R899" i="27"/>
  <c r="X164" i="27"/>
  <c r="W164" i="27"/>
  <c r="U164" i="27"/>
  <c r="T164" i="27"/>
  <c r="S164" i="27"/>
  <c r="R164" i="27"/>
  <c r="X228" i="27"/>
  <c r="W228" i="27"/>
  <c r="U228" i="27"/>
  <c r="T228" i="27"/>
  <c r="S228" i="27"/>
  <c r="R228" i="27"/>
  <c r="X548" i="27"/>
  <c r="W548" i="27"/>
  <c r="U548" i="27"/>
  <c r="T548" i="27"/>
  <c r="R548" i="27"/>
  <c r="S548" i="27"/>
  <c r="X580" i="27"/>
  <c r="W580" i="27"/>
  <c r="U580" i="27"/>
  <c r="T580" i="27"/>
  <c r="S580" i="27"/>
  <c r="R580" i="27"/>
  <c r="U612" i="27"/>
  <c r="T612" i="27"/>
  <c r="S612" i="27"/>
  <c r="R612" i="27"/>
  <c r="U644" i="27"/>
  <c r="T644" i="27"/>
  <c r="S644" i="27"/>
  <c r="R644" i="27"/>
  <c r="U676" i="27"/>
  <c r="T676" i="27"/>
  <c r="S676" i="27"/>
  <c r="R676" i="27"/>
  <c r="X708" i="27"/>
  <c r="W708" i="27"/>
  <c r="U708" i="27"/>
  <c r="T708" i="27"/>
  <c r="S708" i="27"/>
  <c r="R708" i="27"/>
  <c r="X740" i="27"/>
  <c r="W740" i="27"/>
  <c r="U740" i="27"/>
  <c r="T740" i="27"/>
  <c r="S740" i="27"/>
  <c r="R740" i="27"/>
  <c r="X772" i="27"/>
  <c r="W772" i="27"/>
  <c r="U772" i="27"/>
  <c r="T772" i="27"/>
  <c r="S772" i="27"/>
  <c r="R772" i="27"/>
  <c r="X804" i="27"/>
  <c r="W804" i="27"/>
  <c r="U804" i="27"/>
  <c r="T804" i="27"/>
  <c r="S804" i="27"/>
  <c r="R804" i="27"/>
  <c r="X836" i="27"/>
  <c r="W836" i="27"/>
  <c r="U836" i="27"/>
  <c r="T836" i="27"/>
  <c r="S836" i="27"/>
  <c r="R836" i="27"/>
  <c r="X868" i="27"/>
  <c r="W868" i="27"/>
  <c r="U868" i="27"/>
  <c r="T868" i="27"/>
  <c r="S868" i="27"/>
  <c r="R868" i="27"/>
  <c r="X900" i="27"/>
  <c r="W900" i="27"/>
  <c r="U900" i="27"/>
  <c r="T900" i="27"/>
  <c r="S900" i="27"/>
  <c r="R900" i="27"/>
  <c r="X940" i="27"/>
  <c r="W940" i="27"/>
  <c r="U940" i="27"/>
  <c r="T940" i="27"/>
  <c r="S940" i="27"/>
  <c r="R940" i="27"/>
  <c r="X1004" i="27"/>
  <c r="W1004" i="27"/>
  <c r="T1004" i="27"/>
  <c r="U1004" i="27"/>
  <c r="S1004" i="27"/>
  <c r="R1004" i="27"/>
  <c r="X1068" i="27"/>
  <c r="W1068" i="27"/>
  <c r="T1068" i="27"/>
  <c r="U1068" i="27"/>
  <c r="S1068" i="27"/>
  <c r="R1068" i="27"/>
  <c r="X1132" i="27"/>
  <c r="W1132" i="27"/>
  <c r="T1132" i="27"/>
  <c r="U1132" i="27"/>
  <c r="S1132" i="27"/>
  <c r="R1132" i="27"/>
  <c r="X789" i="27"/>
  <c r="W789" i="27"/>
  <c r="U789" i="27"/>
  <c r="T789" i="27"/>
  <c r="S789" i="27"/>
  <c r="R789" i="27"/>
  <c r="X157" i="27"/>
  <c r="W157" i="27"/>
  <c r="U157" i="27"/>
  <c r="T157" i="27"/>
  <c r="S157" i="27"/>
  <c r="R157" i="27"/>
  <c r="X197" i="27"/>
  <c r="W197" i="27"/>
  <c r="U197" i="27"/>
  <c r="T197" i="27"/>
  <c r="S197" i="27"/>
  <c r="R197" i="27"/>
  <c r="X261" i="27"/>
  <c r="W261" i="27"/>
  <c r="U261" i="27"/>
  <c r="T261" i="27"/>
  <c r="S261" i="27"/>
  <c r="R261" i="27"/>
  <c r="X325" i="27"/>
  <c r="W325" i="27"/>
  <c r="U325" i="27"/>
  <c r="T325" i="27"/>
  <c r="S325" i="27"/>
  <c r="R325" i="27"/>
  <c r="X389" i="27"/>
  <c r="W389" i="27"/>
  <c r="U389" i="27"/>
  <c r="T389" i="27"/>
  <c r="S389" i="27"/>
  <c r="R389" i="27"/>
  <c r="X453" i="27"/>
  <c r="W453" i="27"/>
  <c r="U453" i="27"/>
  <c r="T453" i="27"/>
  <c r="R453" i="27"/>
  <c r="S453" i="27"/>
  <c r="X509" i="27"/>
  <c r="W509" i="27"/>
  <c r="U509" i="27"/>
  <c r="T509" i="27"/>
  <c r="R509" i="27"/>
  <c r="S509" i="27"/>
  <c r="X573" i="27"/>
  <c r="W573" i="27"/>
  <c r="U573" i="27"/>
  <c r="T573" i="27"/>
  <c r="S573" i="27"/>
  <c r="R573" i="27"/>
  <c r="U629" i="27"/>
  <c r="T629" i="27"/>
  <c r="S629" i="27"/>
  <c r="R629" i="27"/>
  <c r="T685" i="27"/>
  <c r="U685" i="27"/>
  <c r="S685" i="27"/>
  <c r="R685" i="27"/>
  <c r="X741" i="27"/>
  <c r="W741" i="27"/>
  <c r="T741" i="27"/>
  <c r="U741" i="27"/>
  <c r="S741" i="27"/>
  <c r="R741" i="27"/>
  <c r="X845" i="27"/>
  <c r="W845" i="27"/>
  <c r="T845" i="27"/>
  <c r="U845" i="27"/>
  <c r="S845" i="27"/>
  <c r="R845" i="27"/>
  <c r="X774" i="27"/>
  <c r="W774" i="27"/>
  <c r="U774" i="27"/>
  <c r="T774" i="27"/>
  <c r="S774" i="27"/>
  <c r="R774" i="27"/>
  <c r="X838" i="27"/>
  <c r="W838" i="27"/>
  <c r="U838" i="27"/>
  <c r="T838" i="27"/>
  <c r="S838" i="27"/>
  <c r="R838" i="27"/>
  <c r="X902" i="27"/>
  <c r="W902" i="27"/>
  <c r="U902" i="27"/>
  <c r="T902" i="27"/>
  <c r="S902" i="27"/>
  <c r="R902" i="27"/>
  <c r="W144" i="27"/>
  <c r="X144" i="27"/>
  <c r="U144" i="27"/>
  <c r="T144" i="27"/>
  <c r="S144" i="27"/>
  <c r="R144" i="27"/>
  <c r="W176" i="27"/>
  <c r="X176" i="27"/>
  <c r="T176" i="27"/>
  <c r="U176" i="27"/>
  <c r="S176" i="27"/>
  <c r="R176" i="27"/>
  <c r="W208" i="27"/>
  <c r="X208" i="27"/>
  <c r="T208" i="27"/>
  <c r="U208" i="27"/>
  <c r="S208" i="27"/>
  <c r="R208" i="27"/>
  <c r="W240" i="27"/>
  <c r="X240" i="27"/>
  <c r="T240" i="27"/>
  <c r="U240" i="27"/>
  <c r="S240" i="27"/>
  <c r="R240" i="27"/>
  <c r="W272" i="27"/>
  <c r="X272" i="27"/>
  <c r="T272" i="27"/>
  <c r="U272" i="27"/>
  <c r="S272" i="27"/>
  <c r="R272" i="27"/>
  <c r="W304" i="27"/>
  <c r="X304" i="27"/>
  <c r="T304" i="27"/>
  <c r="U304" i="27"/>
  <c r="S304" i="27"/>
  <c r="R304" i="27"/>
  <c r="W336" i="27"/>
  <c r="X336" i="27"/>
  <c r="T336" i="27"/>
  <c r="U336" i="27"/>
  <c r="S336" i="27"/>
  <c r="R336" i="27"/>
  <c r="W368" i="27"/>
  <c r="X368" i="27"/>
  <c r="T368" i="27"/>
  <c r="U368" i="27"/>
  <c r="S368" i="27"/>
  <c r="R368" i="27"/>
  <c r="W400" i="27"/>
  <c r="X400" i="27"/>
  <c r="T400" i="27"/>
  <c r="U400" i="27"/>
  <c r="S400" i="27"/>
  <c r="R400" i="27"/>
  <c r="W432" i="27"/>
  <c r="X432" i="27"/>
  <c r="T432" i="27"/>
  <c r="U432" i="27"/>
  <c r="S432" i="27"/>
  <c r="R432" i="27"/>
  <c r="W464" i="27"/>
  <c r="X464" i="27"/>
  <c r="T464" i="27"/>
  <c r="U464" i="27"/>
  <c r="S464" i="27"/>
  <c r="R464" i="27"/>
  <c r="W496" i="27"/>
  <c r="X496" i="27"/>
  <c r="T496" i="27"/>
  <c r="U496" i="27"/>
  <c r="S496" i="27"/>
  <c r="R496" i="27"/>
  <c r="T528" i="27"/>
  <c r="U528" i="27"/>
  <c r="S528" i="27"/>
  <c r="R528" i="27"/>
  <c r="X560" i="27"/>
  <c r="W560" i="27"/>
  <c r="T560" i="27"/>
  <c r="U560" i="27"/>
  <c r="S560" i="27"/>
  <c r="R560" i="27"/>
  <c r="X592" i="27"/>
  <c r="W592" i="27"/>
  <c r="T592" i="27"/>
  <c r="U592" i="27"/>
  <c r="S592" i="27"/>
  <c r="R592" i="27"/>
  <c r="T624" i="27"/>
  <c r="U624" i="27"/>
  <c r="S624" i="27"/>
  <c r="R624" i="27"/>
  <c r="T656" i="27"/>
  <c r="U656" i="27"/>
  <c r="S656" i="27"/>
  <c r="R656" i="27"/>
  <c r="X688" i="27"/>
  <c r="W688" i="27"/>
  <c r="U688" i="27"/>
  <c r="T688" i="27"/>
  <c r="S688" i="27"/>
  <c r="R688" i="27"/>
  <c r="X720" i="27"/>
  <c r="W720" i="27"/>
  <c r="T720" i="27"/>
  <c r="U720" i="27"/>
  <c r="S720" i="27"/>
  <c r="R720" i="27"/>
  <c r="X752" i="27"/>
  <c r="W752" i="27"/>
  <c r="T752" i="27"/>
  <c r="U752" i="27"/>
  <c r="S752" i="27"/>
  <c r="R752" i="27"/>
  <c r="X784" i="27"/>
  <c r="W784" i="27"/>
  <c r="U784" i="27"/>
  <c r="T784" i="27"/>
  <c r="S784" i="27"/>
  <c r="R784" i="27"/>
  <c r="X816" i="27"/>
  <c r="W816" i="27"/>
  <c r="U816" i="27"/>
  <c r="T816" i="27"/>
  <c r="S816" i="27"/>
  <c r="R816" i="27"/>
  <c r="X848" i="27"/>
  <c r="W848" i="27"/>
  <c r="U848" i="27"/>
  <c r="T848" i="27"/>
  <c r="S848" i="27"/>
  <c r="R848" i="27"/>
  <c r="X880" i="27"/>
  <c r="W880" i="27"/>
  <c r="U880" i="27"/>
  <c r="T880" i="27"/>
  <c r="S880" i="27"/>
  <c r="R880" i="27"/>
  <c r="X912" i="27"/>
  <c r="W912" i="27"/>
  <c r="U912" i="27"/>
  <c r="T912" i="27"/>
  <c r="S912" i="27"/>
  <c r="R912" i="27"/>
  <c r="W426" i="27"/>
  <c r="X426" i="27"/>
  <c r="U426" i="27"/>
  <c r="S426" i="27"/>
  <c r="T426" i="27"/>
  <c r="R426" i="27"/>
  <c r="W490" i="27"/>
  <c r="X490" i="27"/>
  <c r="U490" i="27"/>
  <c r="T490" i="27"/>
  <c r="R490" i="27"/>
  <c r="S490" i="27"/>
  <c r="X554" i="27"/>
  <c r="W554" i="27"/>
  <c r="U554" i="27"/>
  <c r="T554" i="27"/>
  <c r="R554" i="27"/>
  <c r="S554" i="27"/>
  <c r="U618" i="27"/>
  <c r="T618" i="27"/>
  <c r="S618" i="27"/>
  <c r="R618" i="27"/>
  <c r="X746" i="27"/>
  <c r="W746" i="27"/>
  <c r="U746" i="27"/>
  <c r="T746" i="27"/>
  <c r="S746" i="27"/>
  <c r="R746" i="27"/>
  <c r="X778" i="27"/>
  <c r="W778" i="27"/>
  <c r="U778" i="27"/>
  <c r="T778" i="27"/>
  <c r="S778" i="27"/>
  <c r="R778" i="27"/>
  <c r="X842" i="27"/>
  <c r="W842" i="27"/>
  <c r="U842" i="27"/>
  <c r="T842" i="27"/>
  <c r="S842" i="27"/>
  <c r="R842" i="27"/>
  <c r="X196" i="27"/>
  <c r="W196" i="27"/>
  <c r="U196" i="27"/>
  <c r="T196" i="27"/>
  <c r="S196" i="27"/>
  <c r="R196" i="27"/>
  <c r="X260" i="27"/>
  <c r="W260" i="27"/>
  <c r="U260" i="27"/>
  <c r="T260" i="27"/>
  <c r="S260" i="27"/>
  <c r="R260" i="27"/>
  <c r="X292" i="27"/>
  <c r="W292" i="27"/>
  <c r="U292" i="27"/>
  <c r="T292" i="27"/>
  <c r="S292" i="27"/>
  <c r="R292" i="27"/>
  <c r="X324" i="27"/>
  <c r="W324" i="27"/>
  <c r="U324" i="27"/>
  <c r="T324" i="27"/>
  <c r="S324" i="27"/>
  <c r="R324" i="27"/>
  <c r="X356" i="27"/>
  <c r="W356" i="27"/>
  <c r="U356" i="27"/>
  <c r="T356" i="27"/>
  <c r="S356" i="27"/>
  <c r="R356" i="27"/>
  <c r="X388" i="27"/>
  <c r="W388" i="27"/>
  <c r="U388" i="27"/>
  <c r="T388" i="27"/>
  <c r="S388" i="27"/>
  <c r="R388" i="27"/>
  <c r="X420" i="27"/>
  <c r="W420" i="27"/>
  <c r="U420" i="27"/>
  <c r="T420" i="27"/>
  <c r="S420" i="27"/>
  <c r="R420" i="27"/>
  <c r="X452" i="27"/>
  <c r="W452" i="27"/>
  <c r="U452" i="27"/>
  <c r="T452" i="27"/>
  <c r="R452" i="27"/>
  <c r="S452" i="27"/>
  <c r="X484" i="27"/>
  <c r="W484" i="27"/>
  <c r="U484" i="27"/>
  <c r="T484" i="27"/>
  <c r="R484" i="27"/>
  <c r="S484" i="27"/>
  <c r="U516" i="27"/>
  <c r="T516" i="27"/>
  <c r="R516" i="27"/>
  <c r="S516" i="27"/>
  <c r="X948" i="27"/>
  <c r="W948" i="27"/>
  <c r="T948" i="27"/>
  <c r="U948" i="27"/>
  <c r="S948" i="27"/>
  <c r="R948" i="27"/>
  <c r="X1012" i="27"/>
  <c r="W1012" i="27"/>
  <c r="T1012" i="27"/>
  <c r="U1012" i="27"/>
  <c r="S1012" i="27"/>
  <c r="R1012" i="27"/>
  <c r="X1076" i="27"/>
  <c r="W1076" i="27"/>
  <c r="T1076" i="27"/>
  <c r="U1076" i="27"/>
  <c r="S1076" i="27"/>
  <c r="R1076" i="27"/>
  <c r="X173" i="27"/>
  <c r="W173" i="27"/>
  <c r="U173" i="27"/>
  <c r="T173" i="27"/>
  <c r="S173" i="27"/>
  <c r="R173" i="27"/>
  <c r="X253" i="27"/>
  <c r="W253" i="27"/>
  <c r="U253" i="27"/>
  <c r="T253" i="27"/>
  <c r="S253" i="27"/>
  <c r="R253" i="27"/>
  <c r="X317" i="27"/>
  <c r="W317" i="27"/>
  <c r="U317" i="27"/>
  <c r="T317" i="27"/>
  <c r="R317" i="27"/>
  <c r="S317" i="27"/>
  <c r="X381" i="27"/>
  <c r="W381" i="27"/>
  <c r="U381" i="27"/>
  <c r="T381" i="27"/>
  <c r="R381" i="27"/>
  <c r="S381" i="27"/>
  <c r="X445" i="27"/>
  <c r="W445" i="27"/>
  <c r="U445" i="27"/>
  <c r="T445" i="27"/>
  <c r="R445" i="27"/>
  <c r="S445" i="27"/>
  <c r="U517" i="27"/>
  <c r="T517" i="27"/>
  <c r="R517" i="27"/>
  <c r="S517" i="27"/>
  <c r="X581" i="27"/>
  <c r="W581" i="27"/>
  <c r="U581" i="27"/>
  <c r="T581" i="27"/>
  <c r="S581" i="27"/>
  <c r="R581" i="27"/>
  <c r="T653" i="27"/>
  <c r="U653" i="27"/>
  <c r="S653" i="27"/>
  <c r="R653" i="27"/>
  <c r="X733" i="27"/>
  <c r="W733" i="27"/>
  <c r="U733" i="27"/>
  <c r="T733" i="27"/>
  <c r="S733" i="27"/>
  <c r="R733" i="27"/>
  <c r="X885" i="27"/>
  <c r="W885" i="27"/>
  <c r="T885" i="27"/>
  <c r="U885" i="27"/>
  <c r="S885" i="27"/>
  <c r="R885" i="27"/>
  <c r="X797" i="27"/>
  <c r="W797" i="27"/>
  <c r="U797" i="27"/>
  <c r="T797" i="27"/>
  <c r="S797" i="27"/>
  <c r="R797" i="27"/>
  <c r="X901" i="27"/>
  <c r="W901" i="27"/>
  <c r="U901" i="27"/>
  <c r="T901" i="27"/>
  <c r="S901" i="27"/>
  <c r="R901" i="27"/>
  <c r="W142" i="27"/>
  <c r="X142" i="27"/>
  <c r="U142" i="27"/>
  <c r="S142" i="27"/>
  <c r="T142" i="27"/>
  <c r="R142" i="27"/>
  <c r="W174" i="27"/>
  <c r="X174" i="27"/>
  <c r="U174" i="27"/>
  <c r="S174" i="27"/>
  <c r="T174" i="27"/>
  <c r="R174" i="27"/>
  <c r="W206" i="27"/>
  <c r="X206" i="27"/>
  <c r="U206" i="27"/>
  <c r="S206" i="27"/>
  <c r="T206" i="27"/>
  <c r="R206" i="27"/>
  <c r="W238" i="27"/>
  <c r="X238" i="27"/>
  <c r="U238" i="27"/>
  <c r="S238" i="27"/>
  <c r="T238" i="27"/>
  <c r="R238" i="27"/>
  <c r="W302" i="27"/>
  <c r="X302" i="27"/>
  <c r="U302" i="27"/>
  <c r="S302" i="27"/>
  <c r="T302" i="27"/>
  <c r="R302" i="27"/>
  <c r="W398" i="27"/>
  <c r="X398" i="27"/>
  <c r="U398" i="27"/>
  <c r="T398" i="27"/>
  <c r="S398" i="27"/>
  <c r="R398" i="27"/>
  <c r="W430" i="27"/>
  <c r="X430" i="27"/>
  <c r="U430" i="27"/>
  <c r="T430" i="27"/>
  <c r="S430" i="27"/>
  <c r="R430" i="27"/>
  <c r="W462" i="27"/>
  <c r="X462" i="27"/>
  <c r="U462" i="27"/>
  <c r="T462" i="27"/>
  <c r="R462" i="27"/>
  <c r="S462" i="27"/>
  <c r="W494" i="27"/>
  <c r="X494" i="27"/>
  <c r="U494" i="27"/>
  <c r="T494" i="27"/>
  <c r="R494" i="27"/>
  <c r="S494" i="27"/>
  <c r="U526" i="27"/>
  <c r="T526" i="27"/>
  <c r="R526" i="27"/>
  <c r="S526" i="27"/>
  <c r="X558" i="27"/>
  <c r="W558" i="27"/>
  <c r="U558" i="27"/>
  <c r="T558" i="27"/>
  <c r="R558" i="27"/>
  <c r="S558" i="27"/>
  <c r="X590" i="27"/>
  <c r="W590" i="27"/>
  <c r="U590" i="27"/>
  <c r="T590" i="27"/>
  <c r="R590" i="27"/>
  <c r="S590" i="27"/>
  <c r="U622" i="27"/>
  <c r="T622" i="27"/>
  <c r="S622" i="27"/>
  <c r="R622" i="27"/>
  <c r="U654" i="27"/>
  <c r="T654" i="27"/>
  <c r="S654" i="27"/>
  <c r="R654" i="27"/>
  <c r="U686" i="27"/>
  <c r="T686" i="27"/>
  <c r="S686" i="27"/>
  <c r="R686" i="27"/>
  <c r="X718" i="27"/>
  <c r="W718" i="27"/>
  <c r="U718" i="27"/>
  <c r="T718" i="27"/>
  <c r="S718" i="27"/>
  <c r="R718" i="27"/>
  <c r="X782" i="27"/>
  <c r="W782" i="27"/>
  <c r="U782" i="27"/>
  <c r="T782" i="27"/>
  <c r="S782" i="27"/>
  <c r="R782" i="27"/>
  <c r="X846" i="27"/>
  <c r="W846" i="27"/>
  <c r="U846" i="27"/>
  <c r="T846" i="27"/>
  <c r="S846" i="27"/>
  <c r="R846" i="27"/>
  <c r="X910" i="27"/>
  <c r="W910" i="27"/>
  <c r="U910" i="27"/>
  <c r="T910" i="27"/>
  <c r="S910" i="27"/>
  <c r="R910" i="27"/>
  <c r="W151" i="27"/>
  <c r="X151" i="27"/>
  <c r="U151" i="27"/>
  <c r="T151" i="27"/>
  <c r="S151" i="27"/>
  <c r="R151" i="27"/>
  <c r="W183" i="27"/>
  <c r="X183" i="27"/>
  <c r="U183" i="27"/>
  <c r="T183" i="27"/>
  <c r="S183" i="27"/>
  <c r="R183" i="27"/>
  <c r="W215" i="27"/>
  <c r="X215" i="27"/>
  <c r="U215" i="27"/>
  <c r="T215" i="27"/>
  <c r="S215" i="27"/>
  <c r="R215" i="27"/>
  <c r="W247" i="27"/>
  <c r="X247" i="27"/>
  <c r="U247" i="27"/>
  <c r="T247" i="27"/>
  <c r="S247" i="27"/>
  <c r="R247" i="27"/>
  <c r="W279" i="27"/>
  <c r="X279" i="27"/>
  <c r="U279" i="27"/>
  <c r="T279" i="27"/>
  <c r="S279" i="27"/>
  <c r="R279" i="27"/>
  <c r="W311" i="27"/>
  <c r="X311" i="27"/>
  <c r="U311" i="27"/>
  <c r="T311" i="27"/>
  <c r="S311" i="27"/>
  <c r="R311" i="27"/>
  <c r="W343" i="27"/>
  <c r="X343" i="27"/>
  <c r="U343" i="27"/>
  <c r="T343" i="27"/>
  <c r="S343" i="27"/>
  <c r="R343" i="27"/>
  <c r="W375" i="27"/>
  <c r="X375" i="27"/>
  <c r="U375" i="27"/>
  <c r="T375" i="27"/>
  <c r="S375" i="27"/>
  <c r="R375" i="27"/>
  <c r="W407" i="27"/>
  <c r="X407" i="27"/>
  <c r="U407" i="27"/>
  <c r="T407" i="27"/>
  <c r="S407" i="27"/>
  <c r="R407" i="27"/>
  <c r="W439" i="27"/>
  <c r="X439" i="27"/>
  <c r="U439" i="27"/>
  <c r="T439" i="27"/>
  <c r="S439" i="27"/>
  <c r="R439" i="27"/>
  <c r="W471" i="27"/>
  <c r="X471" i="27"/>
  <c r="U471" i="27"/>
  <c r="T471" i="27"/>
  <c r="R471" i="27"/>
  <c r="S471" i="27"/>
  <c r="X503" i="27"/>
  <c r="U503" i="27"/>
  <c r="W503" i="27"/>
  <c r="T503" i="27"/>
  <c r="R503" i="27"/>
  <c r="S503" i="27"/>
  <c r="U535" i="27"/>
  <c r="T535" i="27"/>
  <c r="R535" i="27"/>
  <c r="S535" i="27"/>
  <c r="X567" i="27"/>
  <c r="U567" i="27"/>
  <c r="W567" i="27"/>
  <c r="T567" i="27"/>
  <c r="R567" i="27"/>
  <c r="S567" i="27"/>
  <c r="X599" i="27"/>
  <c r="U599" i="27"/>
  <c r="W599" i="27"/>
  <c r="T599" i="27"/>
  <c r="R599" i="27"/>
  <c r="S599" i="27"/>
  <c r="U631" i="27"/>
  <c r="T631" i="27"/>
  <c r="R631" i="27"/>
  <c r="S631" i="27"/>
  <c r="U663" i="27"/>
  <c r="T663" i="27"/>
  <c r="R663" i="27"/>
  <c r="S663" i="27"/>
  <c r="X695" i="27"/>
  <c r="U695" i="27"/>
  <c r="W695" i="27"/>
  <c r="T695" i="27"/>
  <c r="R695" i="27"/>
  <c r="S695" i="27"/>
  <c r="X727" i="27"/>
  <c r="U727" i="27"/>
  <c r="W727" i="27"/>
  <c r="T727" i="27"/>
  <c r="R727" i="27"/>
  <c r="S727" i="27"/>
  <c r="X759" i="27"/>
  <c r="U759" i="27"/>
  <c r="W759" i="27"/>
  <c r="T759" i="27"/>
  <c r="R759" i="27"/>
  <c r="S759" i="27"/>
  <c r="X791" i="27"/>
  <c r="U791" i="27"/>
  <c r="W791" i="27"/>
  <c r="T791" i="27"/>
  <c r="R791" i="27"/>
  <c r="S791" i="27"/>
  <c r="X823" i="27"/>
  <c r="U823" i="27"/>
  <c r="W823" i="27"/>
  <c r="T823" i="27"/>
  <c r="R823" i="27"/>
  <c r="S823" i="27"/>
  <c r="X855" i="27"/>
  <c r="W855" i="27"/>
  <c r="U855" i="27"/>
  <c r="T855" i="27"/>
  <c r="R855" i="27"/>
  <c r="S855" i="27"/>
  <c r="X887" i="27"/>
  <c r="W887" i="27"/>
  <c r="T887" i="27"/>
  <c r="U887" i="27"/>
  <c r="R887" i="27"/>
  <c r="S887" i="27"/>
  <c r="W145" i="27"/>
  <c r="X145" i="27"/>
  <c r="U145" i="27"/>
  <c r="T145" i="27"/>
  <c r="S145" i="27"/>
  <c r="R145" i="27"/>
  <c r="W177" i="27"/>
  <c r="X177" i="27"/>
  <c r="U177" i="27"/>
  <c r="T177" i="27"/>
  <c r="S177" i="27"/>
  <c r="R177" i="27"/>
  <c r="W209" i="27"/>
  <c r="X209" i="27"/>
  <c r="U209" i="27"/>
  <c r="T209" i="27"/>
  <c r="S209" i="27"/>
  <c r="R209" i="27"/>
  <c r="W241" i="27"/>
  <c r="X241" i="27"/>
  <c r="U241" i="27"/>
  <c r="T241" i="27"/>
  <c r="S241" i="27"/>
  <c r="R241" i="27"/>
  <c r="W273" i="27"/>
  <c r="X273" i="27"/>
  <c r="U273" i="27"/>
  <c r="T273" i="27"/>
  <c r="S273" i="27"/>
  <c r="R273" i="27"/>
  <c r="W305" i="27"/>
  <c r="X305" i="27"/>
  <c r="U305" i="27"/>
  <c r="T305" i="27"/>
  <c r="S305" i="27"/>
  <c r="R305" i="27"/>
  <c r="W337" i="27"/>
  <c r="X337" i="27"/>
  <c r="U337" i="27"/>
  <c r="T337" i="27"/>
  <c r="S337" i="27"/>
  <c r="R337" i="27"/>
  <c r="W369" i="27"/>
  <c r="X369" i="27"/>
  <c r="U369" i="27"/>
  <c r="T369" i="27"/>
  <c r="S369" i="27"/>
  <c r="R369" i="27"/>
  <c r="W401" i="27"/>
  <c r="X401" i="27"/>
  <c r="U401" i="27"/>
  <c r="T401" i="27"/>
  <c r="S401" i="27"/>
  <c r="R401" i="27"/>
  <c r="W433" i="27"/>
  <c r="X433" i="27"/>
  <c r="U433" i="27"/>
  <c r="T433" i="27"/>
  <c r="S433" i="27"/>
  <c r="R433" i="27"/>
  <c r="W465" i="27"/>
  <c r="X465" i="27"/>
  <c r="U465" i="27"/>
  <c r="T465" i="27"/>
  <c r="S465" i="27"/>
  <c r="R465" i="27"/>
  <c r="W497" i="27"/>
  <c r="X497" i="27"/>
  <c r="U497" i="27"/>
  <c r="T497" i="27"/>
  <c r="S497" i="27"/>
  <c r="R497" i="27"/>
  <c r="U529" i="27"/>
  <c r="T529" i="27"/>
  <c r="S529" i="27"/>
  <c r="R529" i="27"/>
  <c r="X561" i="27"/>
  <c r="W561" i="27"/>
  <c r="U561" i="27"/>
  <c r="T561" i="27"/>
  <c r="S561" i="27"/>
  <c r="R561" i="27"/>
  <c r="X593" i="27"/>
  <c r="W593" i="27"/>
  <c r="U593" i="27"/>
  <c r="T593" i="27"/>
  <c r="S593" i="27"/>
  <c r="R593" i="27"/>
  <c r="U625" i="27"/>
  <c r="T625" i="27"/>
  <c r="S625" i="27"/>
  <c r="R625" i="27"/>
  <c r="U657" i="27"/>
  <c r="T657" i="27"/>
  <c r="S657" i="27"/>
  <c r="R657" i="27"/>
  <c r="X689" i="27"/>
  <c r="W689" i="27"/>
  <c r="U689" i="27"/>
  <c r="T689" i="27"/>
  <c r="S689" i="27"/>
  <c r="R689" i="27"/>
  <c r="X721" i="27"/>
  <c r="W721" i="27"/>
  <c r="U721" i="27"/>
  <c r="T721" i="27"/>
  <c r="S721" i="27"/>
  <c r="R721" i="27"/>
  <c r="X753" i="27"/>
  <c r="W753" i="27"/>
  <c r="U753" i="27"/>
  <c r="T753" i="27"/>
  <c r="S753" i="27"/>
  <c r="R753" i="27"/>
  <c r="X785" i="27"/>
  <c r="W785" i="27"/>
  <c r="U785" i="27"/>
  <c r="T785" i="27"/>
  <c r="S785" i="27"/>
  <c r="R785" i="27"/>
  <c r="X817" i="27"/>
  <c r="W817" i="27"/>
  <c r="U817" i="27"/>
  <c r="T817" i="27"/>
  <c r="S817" i="27"/>
  <c r="R817" i="27"/>
  <c r="X849" i="27"/>
  <c r="W849" i="27"/>
  <c r="U849" i="27"/>
  <c r="T849" i="27"/>
  <c r="S849" i="27"/>
  <c r="R849" i="27"/>
  <c r="X881" i="27"/>
  <c r="W881" i="27"/>
  <c r="U881" i="27"/>
  <c r="T881" i="27"/>
  <c r="S881" i="27"/>
  <c r="R881" i="27"/>
  <c r="X913" i="27"/>
  <c r="W913" i="27"/>
  <c r="T913" i="27"/>
  <c r="U913" i="27"/>
  <c r="S913" i="27"/>
  <c r="R913" i="27"/>
  <c r="W146" i="27"/>
  <c r="X146" i="27"/>
  <c r="U146" i="27"/>
  <c r="S146" i="27"/>
  <c r="T146" i="27"/>
  <c r="R146" i="27"/>
  <c r="W178" i="27"/>
  <c r="X178" i="27"/>
  <c r="U178" i="27"/>
  <c r="S178" i="27"/>
  <c r="T178" i="27"/>
  <c r="R178" i="27"/>
  <c r="W210" i="27"/>
  <c r="X210" i="27"/>
  <c r="U210" i="27"/>
  <c r="S210" i="27"/>
  <c r="T210" i="27"/>
  <c r="R210" i="27"/>
  <c r="W242" i="27"/>
  <c r="X242" i="27"/>
  <c r="U242" i="27"/>
  <c r="S242" i="27"/>
  <c r="T242" i="27"/>
  <c r="R242" i="27"/>
  <c r="W274" i="27"/>
  <c r="X274" i="27"/>
  <c r="U274" i="27"/>
  <c r="S274" i="27"/>
  <c r="T274" i="27"/>
  <c r="R274" i="27"/>
  <c r="W306" i="27"/>
  <c r="X306" i="27"/>
  <c r="U306" i="27"/>
  <c r="S306" i="27"/>
  <c r="T306" i="27"/>
  <c r="R306" i="27"/>
  <c r="W338" i="27"/>
  <c r="X338" i="27"/>
  <c r="U338" i="27"/>
  <c r="S338" i="27"/>
  <c r="T338" i="27"/>
  <c r="R338" i="27"/>
  <c r="W370" i="27"/>
  <c r="X370" i="27"/>
  <c r="U370" i="27"/>
  <c r="S370" i="27"/>
  <c r="T370" i="27"/>
  <c r="R370" i="27"/>
  <c r="W402" i="27"/>
  <c r="X402" i="27"/>
  <c r="U402" i="27"/>
  <c r="S402" i="27"/>
  <c r="T402" i="27"/>
  <c r="R402" i="27"/>
  <c r="W434" i="27"/>
  <c r="X434" i="27"/>
  <c r="U434" i="27"/>
  <c r="S434" i="27"/>
  <c r="T434" i="27"/>
  <c r="R434" i="27"/>
  <c r="W466" i="27"/>
  <c r="X466" i="27"/>
  <c r="U466" i="27"/>
  <c r="T466" i="27"/>
  <c r="R466" i="27"/>
  <c r="S466" i="27"/>
  <c r="X498" i="27"/>
  <c r="W498" i="27"/>
  <c r="U498" i="27"/>
  <c r="T498" i="27"/>
  <c r="R498" i="27"/>
  <c r="S498" i="27"/>
  <c r="X722" i="27"/>
  <c r="W722" i="27"/>
  <c r="U722" i="27"/>
  <c r="T722" i="27"/>
  <c r="S722" i="27"/>
  <c r="R722" i="27"/>
  <c r="X754" i="27"/>
  <c r="W754" i="27"/>
  <c r="U754" i="27"/>
  <c r="T754" i="27"/>
  <c r="S754" i="27"/>
  <c r="R754" i="27"/>
  <c r="X786" i="27"/>
  <c r="W786" i="27"/>
  <c r="U786" i="27"/>
  <c r="T786" i="27"/>
  <c r="S786" i="27"/>
  <c r="R786" i="27"/>
  <c r="X850" i="27"/>
  <c r="W850" i="27"/>
  <c r="U850" i="27"/>
  <c r="T850" i="27"/>
  <c r="S850" i="27"/>
  <c r="R850" i="27"/>
  <c r="X882" i="27"/>
  <c r="W882" i="27"/>
  <c r="U882" i="27"/>
  <c r="T882" i="27"/>
  <c r="S882" i="27"/>
  <c r="R882" i="27"/>
  <c r="W171" i="27"/>
  <c r="X171" i="27"/>
  <c r="U171" i="27"/>
  <c r="T171" i="27"/>
  <c r="S171" i="27"/>
  <c r="R171" i="27"/>
  <c r="W203" i="27"/>
  <c r="X203" i="27"/>
  <c r="U203" i="27"/>
  <c r="T203" i="27"/>
  <c r="S203" i="27"/>
  <c r="R203" i="27"/>
  <c r="W235" i="27"/>
  <c r="X235" i="27"/>
  <c r="U235" i="27"/>
  <c r="T235" i="27"/>
  <c r="S235" i="27"/>
  <c r="R235" i="27"/>
  <c r="W267" i="27"/>
  <c r="X267" i="27"/>
  <c r="U267" i="27"/>
  <c r="T267" i="27"/>
  <c r="S267" i="27"/>
  <c r="R267" i="27"/>
  <c r="W299" i="27"/>
  <c r="X299" i="27"/>
  <c r="U299" i="27"/>
  <c r="T299" i="27"/>
  <c r="S299" i="27"/>
  <c r="R299" i="27"/>
  <c r="W331" i="27"/>
  <c r="X331" i="27"/>
  <c r="U331" i="27"/>
  <c r="T331" i="27"/>
  <c r="S331" i="27"/>
  <c r="R331" i="27"/>
  <c r="W363" i="27"/>
  <c r="X363" i="27"/>
  <c r="U363" i="27"/>
  <c r="T363" i="27"/>
  <c r="S363" i="27"/>
  <c r="R363" i="27"/>
  <c r="W395" i="27"/>
  <c r="X395" i="27"/>
  <c r="U395" i="27"/>
  <c r="T395" i="27"/>
  <c r="S395" i="27"/>
  <c r="R395" i="27"/>
  <c r="W427" i="27"/>
  <c r="X427" i="27"/>
  <c r="U427" i="27"/>
  <c r="T427" i="27"/>
  <c r="S427" i="27"/>
  <c r="R427" i="27"/>
  <c r="W459" i="27"/>
  <c r="X459" i="27"/>
  <c r="U459" i="27"/>
  <c r="T459" i="27"/>
  <c r="R459" i="27"/>
  <c r="S459" i="27"/>
  <c r="W491" i="27"/>
  <c r="X491" i="27"/>
  <c r="U491" i="27"/>
  <c r="T491" i="27"/>
  <c r="R491" i="27"/>
  <c r="S491" i="27"/>
  <c r="U523" i="27"/>
  <c r="T523" i="27"/>
  <c r="R523" i="27"/>
  <c r="S523" i="27"/>
  <c r="X555" i="27"/>
  <c r="W555" i="27"/>
  <c r="U555" i="27"/>
  <c r="T555" i="27"/>
  <c r="R555" i="27"/>
  <c r="S555" i="27"/>
  <c r="X587" i="27"/>
  <c r="W587" i="27"/>
  <c r="U587" i="27"/>
  <c r="T587" i="27"/>
  <c r="R587" i="27"/>
  <c r="S587" i="27"/>
  <c r="U619" i="27"/>
  <c r="T619" i="27"/>
  <c r="S619" i="27"/>
  <c r="R619" i="27"/>
  <c r="U651" i="27"/>
  <c r="T651" i="27"/>
  <c r="S651" i="27"/>
  <c r="R651" i="27"/>
  <c r="U683" i="27"/>
  <c r="T683" i="27"/>
  <c r="S683" i="27"/>
  <c r="R683" i="27"/>
  <c r="X715" i="27"/>
  <c r="W715" i="27"/>
  <c r="U715" i="27"/>
  <c r="T715" i="27"/>
  <c r="S715" i="27"/>
  <c r="R715" i="27"/>
  <c r="X747" i="27"/>
  <c r="W747" i="27"/>
  <c r="U747" i="27"/>
  <c r="T747" i="27"/>
  <c r="S747" i="27"/>
  <c r="R747" i="27"/>
  <c r="X779" i="27"/>
  <c r="W779" i="27"/>
  <c r="U779" i="27"/>
  <c r="T779" i="27"/>
  <c r="S779" i="27"/>
  <c r="R779" i="27"/>
  <c r="X811" i="27"/>
  <c r="W811" i="27"/>
  <c r="U811" i="27"/>
  <c r="T811" i="27"/>
  <c r="S811" i="27"/>
  <c r="R811" i="27"/>
  <c r="X843" i="27"/>
  <c r="W843" i="27"/>
  <c r="U843" i="27"/>
  <c r="T843" i="27"/>
  <c r="S843" i="27"/>
  <c r="R843" i="27"/>
  <c r="X875" i="27"/>
  <c r="W875" i="27"/>
  <c r="U875" i="27"/>
  <c r="T875" i="27"/>
  <c r="S875" i="27"/>
  <c r="R875" i="27"/>
  <c r="X907" i="27"/>
  <c r="W907" i="27"/>
  <c r="U907" i="27"/>
  <c r="T907" i="27"/>
  <c r="S907" i="27"/>
  <c r="R907" i="27"/>
  <c r="U524" i="27"/>
  <c r="T524" i="27"/>
  <c r="R524" i="27"/>
  <c r="S524" i="27"/>
  <c r="X556" i="27"/>
  <c r="W556" i="27"/>
  <c r="U556" i="27"/>
  <c r="T556" i="27"/>
  <c r="S556" i="27"/>
  <c r="R556" i="27"/>
  <c r="X588" i="27"/>
  <c r="W588" i="27"/>
  <c r="U588" i="27"/>
  <c r="T588" i="27"/>
  <c r="S588" i="27"/>
  <c r="R588" i="27"/>
  <c r="U620" i="27"/>
  <c r="T620" i="27"/>
  <c r="S620" i="27"/>
  <c r="R620" i="27"/>
  <c r="U652" i="27"/>
  <c r="T652" i="27"/>
  <c r="S652" i="27"/>
  <c r="R652" i="27"/>
  <c r="U684" i="27"/>
  <c r="T684" i="27"/>
  <c r="S684" i="27"/>
  <c r="R684" i="27"/>
  <c r="X716" i="27"/>
  <c r="W716" i="27"/>
  <c r="U716" i="27"/>
  <c r="T716" i="27"/>
  <c r="S716" i="27"/>
  <c r="R716" i="27"/>
  <c r="X748" i="27"/>
  <c r="W748" i="27"/>
  <c r="U748" i="27"/>
  <c r="T748" i="27"/>
  <c r="S748" i="27"/>
  <c r="R748" i="27"/>
  <c r="X780" i="27"/>
  <c r="W780" i="27"/>
  <c r="U780" i="27"/>
  <c r="T780" i="27"/>
  <c r="S780" i="27"/>
  <c r="R780" i="27"/>
  <c r="X812" i="27"/>
  <c r="W812" i="27"/>
  <c r="U812" i="27"/>
  <c r="T812" i="27"/>
  <c r="S812" i="27"/>
  <c r="R812" i="27"/>
  <c r="X844" i="27"/>
  <c r="W844" i="27"/>
  <c r="U844" i="27"/>
  <c r="T844" i="27"/>
  <c r="S844" i="27"/>
  <c r="R844" i="27"/>
  <c r="X876" i="27"/>
  <c r="W876" i="27"/>
  <c r="U876" i="27"/>
  <c r="T876" i="27"/>
  <c r="S876" i="27"/>
  <c r="R876" i="27"/>
  <c r="X908" i="27"/>
  <c r="W908" i="27"/>
  <c r="U908" i="27"/>
  <c r="T908" i="27"/>
  <c r="S908" i="27"/>
  <c r="R908" i="27"/>
  <c r="X956" i="27"/>
  <c r="W956" i="27"/>
  <c r="T956" i="27"/>
  <c r="U956" i="27"/>
  <c r="S956" i="27"/>
  <c r="R956" i="27"/>
  <c r="X1020" i="27"/>
  <c r="W1020" i="27"/>
  <c r="T1020" i="27"/>
  <c r="U1020" i="27"/>
  <c r="S1020" i="27"/>
  <c r="R1020" i="27"/>
  <c r="X1084" i="27"/>
  <c r="W1084" i="27"/>
  <c r="T1084" i="27"/>
  <c r="U1084" i="27"/>
  <c r="S1084" i="27"/>
  <c r="R1084" i="27"/>
  <c r="X813" i="27"/>
  <c r="W813" i="27"/>
  <c r="U813" i="27"/>
  <c r="T813" i="27"/>
  <c r="S813" i="27"/>
  <c r="R813" i="27"/>
  <c r="X165" i="27"/>
  <c r="W165" i="27"/>
  <c r="U165" i="27"/>
  <c r="T165" i="27"/>
  <c r="S165" i="27"/>
  <c r="R165" i="27"/>
  <c r="X213" i="27"/>
  <c r="W213" i="27"/>
  <c r="U213" i="27"/>
  <c r="T213" i="27"/>
  <c r="S213" i="27"/>
  <c r="R213" i="27"/>
  <c r="X277" i="27"/>
  <c r="W277" i="27"/>
  <c r="U277" i="27"/>
  <c r="T277" i="27"/>
  <c r="S277" i="27"/>
  <c r="R277" i="27"/>
  <c r="X341" i="27"/>
  <c r="W341" i="27"/>
  <c r="U341" i="27"/>
  <c r="T341" i="27"/>
  <c r="S341" i="27"/>
  <c r="R341" i="27"/>
  <c r="X405" i="27"/>
  <c r="W405" i="27"/>
  <c r="U405" i="27"/>
  <c r="T405" i="27"/>
  <c r="R405" i="27"/>
  <c r="S405" i="27"/>
  <c r="X469" i="27"/>
  <c r="W469" i="27"/>
  <c r="U469" i="27"/>
  <c r="T469" i="27"/>
  <c r="R469" i="27"/>
  <c r="S469" i="27"/>
  <c r="U525" i="27"/>
  <c r="T525" i="27"/>
  <c r="R525" i="27"/>
  <c r="S525" i="27"/>
  <c r="X589" i="27"/>
  <c r="W589" i="27"/>
  <c r="U589" i="27"/>
  <c r="T589" i="27"/>
  <c r="S589" i="27"/>
  <c r="R589" i="27"/>
  <c r="U645" i="27"/>
  <c r="T645" i="27"/>
  <c r="S645" i="27"/>
  <c r="R645" i="27"/>
  <c r="X701" i="27"/>
  <c r="W701" i="27"/>
  <c r="U701" i="27"/>
  <c r="T701" i="27"/>
  <c r="S701" i="27"/>
  <c r="R701" i="27"/>
  <c r="X805" i="27"/>
  <c r="W805" i="27"/>
  <c r="T805" i="27"/>
  <c r="U805" i="27"/>
  <c r="S805" i="27"/>
  <c r="R805" i="27"/>
  <c r="X917" i="27"/>
  <c r="W917" i="27"/>
  <c r="T917" i="27"/>
  <c r="U917" i="27"/>
  <c r="S917" i="27"/>
  <c r="R917" i="27"/>
  <c r="W270" i="27"/>
  <c r="X270" i="27"/>
  <c r="U270" i="27"/>
  <c r="S270" i="27"/>
  <c r="T270" i="27"/>
  <c r="R270" i="27"/>
  <c r="W366" i="27"/>
  <c r="X366" i="27"/>
  <c r="U366" i="27"/>
  <c r="S366" i="27"/>
  <c r="T366" i="27"/>
  <c r="R366" i="27"/>
  <c r="X750" i="27"/>
  <c r="W750" i="27"/>
  <c r="U750" i="27"/>
  <c r="T750" i="27"/>
  <c r="S750" i="27"/>
  <c r="R750" i="27"/>
  <c r="X814" i="27"/>
  <c r="W814" i="27"/>
  <c r="U814" i="27"/>
  <c r="T814" i="27"/>
  <c r="S814" i="27"/>
  <c r="R814" i="27"/>
  <c r="X878" i="27"/>
  <c r="W878" i="27"/>
  <c r="U878" i="27"/>
  <c r="T878" i="27"/>
  <c r="S878" i="27"/>
  <c r="R878" i="27"/>
  <c r="W152" i="27"/>
  <c r="X152" i="27"/>
  <c r="U152" i="27"/>
  <c r="T152" i="27"/>
  <c r="S152" i="27"/>
  <c r="R152" i="27"/>
  <c r="W216" i="27"/>
  <c r="X216" i="27"/>
  <c r="U216" i="27"/>
  <c r="T216" i="27"/>
  <c r="S216" i="27"/>
  <c r="R216" i="27"/>
  <c r="W248" i="27"/>
  <c r="X248" i="27"/>
  <c r="U248" i="27"/>
  <c r="T248" i="27"/>
  <c r="S248" i="27"/>
  <c r="R248" i="27"/>
  <c r="W280" i="27"/>
  <c r="X280" i="27"/>
  <c r="U280" i="27"/>
  <c r="T280" i="27"/>
  <c r="S280" i="27"/>
  <c r="R280" i="27"/>
  <c r="W312" i="27"/>
  <c r="X312" i="27"/>
  <c r="U312" i="27"/>
  <c r="T312" i="27"/>
  <c r="S312" i="27"/>
  <c r="R312" i="27"/>
  <c r="W344" i="27"/>
  <c r="X344" i="27"/>
  <c r="U344" i="27"/>
  <c r="T344" i="27"/>
  <c r="S344" i="27"/>
  <c r="R344" i="27"/>
  <c r="W376" i="27"/>
  <c r="X376" i="27"/>
  <c r="U376" i="27"/>
  <c r="T376" i="27"/>
  <c r="S376" i="27"/>
  <c r="R376" i="27"/>
  <c r="W408" i="27"/>
  <c r="X408" i="27"/>
  <c r="U408" i="27"/>
  <c r="T408" i="27"/>
  <c r="S408" i="27"/>
  <c r="R408" i="27"/>
  <c r="W440" i="27"/>
  <c r="X440" i="27"/>
  <c r="U440" i="27"/>
  <c r="T440" i="27"/>
  <c r="S440" i="27"/>
  <c r="R440" i="27"/>
  <c r="W472" i="27"/>
  <c r="X472" i="27"/>
  <c r="U472" i="27"/>
  <c r="T472" i="27"/>
  <c r="S472" i="27"/>
  <c r="R472" i="27"/>
  <c r="X504" i="27"/>
  <c r="W504" i="27"/>
  <c r="U504" i="27"/>
  <c r="T504" i="27"/>
  <c r="S504" i="27"/>
  <c r="R504" i="27"/>
  <c r="U536" i="27"/>
  <c r="T536" i="27"/>
  <c r="S536" i="27"/>
  <c r="R536" i="27"/>
  <c r="X568" i="27"/>
  <c r="W568" i="27"/>
  <c r="U568" i="27"/>
  <c r="T568" i="27"/>
  <c r="S568" i="27"/>
  <c r="R568" i="27"/>
  <c r="T600" i="27"/>
  <c r="U600" i="27"/>
  <c r="S600" i="27"/>
  <c r="R600" i="27"/>
  <c r="T632" i="27"/>
  <c r="U632" i="27"/>
  <c r="S632" i="27"/>
  <c r="R632" i="27"/>
  <c r="T664" i="27"/>
  <c r="U664" i="27"/>
  <c r="S664" i="27"/>
  <c r="R664" i="27"/>
  <c r="X696" i="27"/>
  <c r="W696" i="27"/>
  <c r="U696" i="27"/>
  <c r="T696" i="27"/>
  <c r="S696" i="27"/>
  <c r="R696" i="27"/>
  <c r="X728" i="27"/>
  <c r="W728" i="27"/>
  <c r="U728" i="27"/>
  <c r="T728" i="27"/>
  <c r="S728" i="27"/>
  <c r="R728" i="27"/>
  <c r="X760" i="27"/>
  <c r="W760" i="27"/>
  <c r="T760" i="27"/>
  <c r="U760" i="27"/>
  <c r="S760" i="27"/>
  <c r="R760" i="27"/>
  <c r="X792" i="27"/>
  <c r="W792" i="27"/>
  <c r="U792" i="27"/>
  <c r="T792" i="27"/>
  <c r="S792" i="27"/>
  <c r="R792" i="27"/>
  <c r="X824" i="27"/>
  <c r="W824" i="27"/>
  <c r="U824" i="27"/>
  <c r="T824" i="27"/>
  <c r="S824" i="27"/>
  <c r="R824" i="27"/>
  <c r="X856" i="27"/>
  <c r="W856" i="27"/>
  <c r="U856" i="27"/>
  <c r="T856" i="27"/>
  <c r="S856" i="27"/>
  <c r="R856" i="27"/>
  <c r="X888" i="27"/>
  <c r="W888" i="27"/>
  <c r="U888" i="27"/>
  <c r="T888" i="27"/>
  <c r="S888" i="27"/>
  <c r="R888" i="27"/>
  <c r="U530" i="27"/>
  <c r="T530" i="27"/>
  <c r="R530" i="27"/>
  <c r="S530" i="27"/>
  <c r="X562" i="27"/>
  <c r="W562" i="27"/>
  <c r="U562" i="27"/>
  <c r="T562" i="27"/>
  <c r="R562" i="27"/>
  <c r="S562" i="27"/>
  <c r="X594" i="27"/>
  <c r="W594" i="27"/>
  <c r="U594" i="27"/>
  <c r="T594" i="27"/>
  <c r="R594" i="27"/>
  <c r="S594" i="27"/>
  <c r="U626" i="27"/>
  <c r="T626" i="27"/>
  <c r="S626" i="27"/>
  <c r="R626" i="27"/>
  <c r="U658" i="27"/>
  <c r="T658" i="27"/>
  <c r="S658" i="27"/>
  <c r="R658" i="27"/>
  <c r="X690" i="27"/>
  <c r="W690" i="27"/>
  <c r="U690" i="27"/>
  <c r="T690" i="27"/>
  <c r="S690" i="27"/>
  <c r="R690" i="27"/>
  <c r="X818" i="27"/>
  <c r="W818" i="27"/>
  <c r="U818" i="27"/>
  <c r="T818" i="27"/>
  <c r="S818" i="27"/>
  <c r="R818" i="27"/>
  <c r="X914" i="27"/>
  <c r="W914" i="27"/>
  <c r="U914" i="27"/>
  <c r="T914" i="27"/>
  <c r="S914" i="27"/>
  <c r="R914" i="27"/>
  <c r="X140" i="27"/>
  <c r="W140" i="27"/>
  <c r="U140" i="27"/>
  <c r="T140" i="27"/>
  <c r="S140" i="27"/>
  <c r="R140" i="27"/>
  <c r="X172" i="27"/>
  <c r="W172" i="27"/>
  <c r="U172" i="27"/>
  <c r="T172" i="27"/>
  <c r="S172" i="27"/>
  <c r="R172" i="27"/>
  <c r="X204" i="27"/>
  <c r="W204" i="27"/>
  <c r="U204" i="27"/>
  <c r="T204" i="27"/>
  <c r="S204" i="27"/>
  <c r="R204" i="27"/>
  <c r="X236" i="27"/>
  <c r="W236" i="27"/>
  <c r="U236" i="27"/>
  <c r="T236" i="27"/>
  <c r="S236" i="27"/>
  <c r="R236" i="27"/>
  <c r="X268" i="27"/>
  <c r="W268" i="27"/>
  <c r="U268" i="27"/>
  <c r="T268" i="27"/>
  <c r="R268" i="27"/>
  <c r="S268" i="27"/>
  <c r="X300" i="27"/>
  <c r="W300" i="27"/>
  <c r="U300" i="27"/>
  <c r="T300" i="27"/>
  <c r="R300" i="27"/>
  <c r="S300" i="27"/>
  <c r="X332" i="27"/>
  <c r="W332" i="27"/>
  <c r="U332" i="27"/>
  <c r="T332" i="27"/>
  <c r="R332" i="27"/>
  <c r="S332" i="27"/>
  <c r="X364" i="27"/>
  <c r="W364" i="27"/>
  <c r="U364" i="27"/>
  <c r="T364" i="27"/>
  <c r="R364" i="27"/>
  <c r="S364" i="27"/>
  <c r="X396" i="27"/>
  <c r="W396" i="27"/>
  <c r="U396" i="27"/>
  <c r="T396" i="27"/>
  <c r="R396" i="27"/>
  <c r="S396" i="27"/>
  <c r="X428" i="27"/>
  <c r="W428" i="27"/>
  <c r="U428" i="27"/>
  <c r="T428" i="27"/>
  <c r="R428" i="27"/>
  <c r="S428" i="27"/>
  <c r="X460" i="27"/>
  <c r="W460" i="27"/>
  <c r="U460" i="27"/>
  <c r="T460" i="27"/>
  <c r="R460" i="27"/>
  <c r="S460" i="27"/>
  <c r="X492" i="27"/>
  <c r="W492" i="27"/>
  <c r="U492" i="27"/>
  <c r="T492" i="27"/>
  <c r="R492" i="27"/>
  <c r="S492" i="27"/>
  <c r="X964" i="27"/>
  <c r="W964" i="27"/>
  <c r="T964" i="27"/>
  <c r="U964" i="27"/>
  <c r="S964" i="27"/>
  <c r="R964" i="27"/>
  <c r="X1028" i="27"/>
  <c r="W1028" i="27"/>
  <c r="T1028" i="27"/>
  <c r="U1028" i="27"/>
  <c r="S1028" i="27"/>
  <c r="R1028" i="27"/>
  <c r="X1092" i="27"/>
  <c r="W1092" i="27"/>
  <c r="T1092" i="27"/>
  <c r="U1092" i="27"/>
  <c r="S1092" i="27"/>
  <c r="R1092" i="27"/>
  <c r="X205" i="27"/>
  <c r="W205" i="27"/>
  <c r="U205" i="27"/>
  <c r="T205" i="27"/>
  <c r="S205" i="27"/>
  <c r="R205" i="27"/>
  <c r="X269" i="27"/>
  <c r="W269" i="27"/>
  <c r="U269" i="27"/>
  <c r="T269" i="27"/>
  <c r="R269" i="27"/>
  <c r="S269" i="27"/>
  <c r="X333" i="27"/>
  <c r="W333" i="27"/>
  <c r="U333" i="27"/>
  <c r="T333" i="27"/>
  <c r="R333" i="27"/>
  <c r="S333" i="27"/>
  <c r="X397" i="27"/>
  <c r="W397" i="27"/>
  <c r="U397" i="27"/>
  <c r="T397" i="27"/>
  <c r="S397" i="27"/>
  <c r="R397" i="27"/>
  <c r="X461" i="27"/>
  <c r="W461" i="27"/>
  <c r="U461" i="27"/>
  <c r="T461" i="27"/>
  <c r="R461" i="27"/>
  <c r="S461" i="27"/>
  <c r="U533" i="27"/>
  <c r="T533" i="27"/>
  <c r="R533" i="27"/>
  <c r="S533" i="27"/>
  <c r="X597" i="27"/>
  <c r="W597" i="27"/>
  <c r="U597" i="27"/>
  <c r="T597" i="27"/>
  <c r="S597" i="27"/>
  <c r="R597" i="27"/>
  <c r="U677" i="27"/>
  <c r="T677" i="27"/>
  <c r="S677" i="27"/>
  <c r="R677" i="27"/>
  <c r="X909" i="27"/>
  <c r="W909" i="27"/>
  <c r="T909" i="27"/>
  <c r="U909" i="27"/>
  <c r="S909" i="27"/>
  <c r="R909" i="27"/>
  <c r="X749" i="27"/>
  <c r="W749" i="27"/>
  <c r="T749" i="27"/>
  <c r="U749" i="27"/>
  <c r="S749" i="27"/>
  <c r="R749" i="27"/>
  <c r="X861" i="27"/>
  <c r="W861" i="27"/>
  <c r="T861" i="27"/>
  <c r="U861" i="27"/>
  <c r="S861" i="27"/>
  <c r="R861" i="27"/>
  <c r="W150" i="27"/>
  <c r="X150" i="27"/>
  <c r="U150" i="27"/>
  <c r="T150" i="27"/>
  <c r="S150" i="27"/>
  <c r="R150" i="27"/>
  <c r="W182" i="27"/>
  <c r="X182" i="27"/>
  <c r="U182" i="27"/>
  <c r="T182" i="27"/>
  <c r="S182" i="27"/>
  <c r="R182" i="27"/>
  <c r="W214" i="27"/>
  <c r="X214" i="27"/>
  <c r="U214" i="27"/>
  <c r="T214" i="27"/>
  <c r="S214" i="27"/>
  <c r="R214" i="27"/>
  <c r="W246" i="27"/>
  <c r="X246" i="27"/>
  <c r="U246" i="27"/>
  <c r="T246" i="27"/>
  <c r="S246" i="27"/>
  <c r="R246" i="27"/>
  <c r="W278" i="27"/>
  <c r="X278" i="27"/>
  <c r="U278" i="27"/>
  <c r="T278" i="27"/>
  <c r="S278" i="27"/>
  <c r="R278" i="27"/>
  <c r="W310" i="27"/>
  <c r="X310" i="27"/>
  <c r="U310" i="27"/>
  <c r="T310" i="27"/>
  <c r="S310" i="27"/>
  <c r="R310" i="27"/>
  <c r="W342" i="27"/>
  <c r="X342" i="27"/>
  <c r="U342" i="27"/>
  <c r="T342" i="27"/>
  <c r="S342" i="27"/>
  <c r="R342" i="27"/>
  <c r="W374" i="27"/>
  <c r="X374" i="27"/>
  <c r="U374" i="27"/>
  <c r="T374" i="27"/>
  <c r="S374" i="27"/>
  <c r="R374" i="27"/>
  <c r="W406" i="27"/>
  <c r="X406" i="27"/>
  <c r="U406" i="27"/>
  <c r="T406" i="27"/>
  <c r="R406" i="27"/>
  <c r="S406" i="27"/>
  <c r="W438" i="27"/>
  <c r="X438" i="27"/>
  <c r="U438" i="27"/>
  <c r="T438" i="27"/>
  <c r="R438" i="27"/>
  <c r="S438" i="27"/>
  <c r="W470" i="27"/>
  <c r="X470" i="27"/>
  <c r="U470" i="27"/>
  <c r="T470" i="27"/>
  <c r="R470" i="27"/>
  <c r="S470" i="27"/>
  <c r="X502" i="27"/>
  <c r="W502" i="27"/>
  <c r="U502" i="27"/>
  <c r="T502" i="27"/>
  <c r="R502" i="27"/>
  <c r="S502" i="27"/>
  <c r="U534" i="27"/>
  <c r="T534" i="27"/>
  <c r="R534" i="27"/>
  <c r="S534" i="27"/>
  <c r="X566" i="27"/>
  <c r="W566" i="27"/>
  <c r="U566" i="27"/>
  <c r="T566" i="27"/>
  <c r="R566" i="27"/>
  <c r="S566" i="27"/>
  <c r="X598" i="27"/>
  <c r="W598" i="27"/>
  <c r="U598" i="27"/>
  <c r="T598" i="27"/>
  <c r="S598" i="27"/>
  <c r="R598" i="27"/>
  <c r="U630" i="27"/>
  <c r="T630" i="27"/>
  <c r="S630" i="27"/>
  <c r="R630" i="27"/>
  <c r="U662" i="27"/>
  <c r="T662" i="27"/>
  <c r="S662" i="27"/>
  <c r="R662" i="27"/>
  <c r="X694" i="27"/>
  <c r="W694" i="27"/>
  <c r="U694" i="27"/>
  <c r="T694" i="27"/>
  <c r="S694" i="27"/>
  <c r="R694" i="27"/>
  <c r="X726" i="27"/>
  <c r="W726" i="27"/>
  <c r="U726" i="27"/>
  <c r="T726" i="27"/>
  <c r="S726" i="27"/>
  <c r="R726" i="27"/>
  <c r="X758" i="27"/>
  <c r="W758" i="27"/>
  <c r="U758" i="27"/>
  <c r="T758" i="27"/>
  <c r="S758" i="27"/>
  <c r="R758" i="27"/>
  <c r="X790" i="27"/>
  <c r="W790" i="27"/>
  <c r="U790" i="27"/>
  <c r="T790" i="27"/>
  <c r="S790" i="27"/>
  <c r="R790" i="27"/>
  <c r="X822" i="27"/>
  <c r="W822" i="27"/>
  <c r="U822" i="27"/>
  <c r="T822" i="27"/>
  <c r="S822" i="27"/>
  <c r="R822" i="27"/>
  <c r="X854" i="27"/>
  <c r="W854" i="27"/>
  <c r="U854" i="27"/>
  <c r="T854" i="27"/>
  <c r="S854" i="27"/>
  <c r="R854" i="27"/>
  <c r="X886" i="27"/>
  <c r="W886" i="27"/>
  <c r="U886" i="27"/>
  <c r="T886" i="27"/>
  <c r="S886" i="27"/>
  <c r="R886" i="27"/>
  <c r="X918" i="27"/>
  <c r="W918" i="27"/>
  <c r="U918" i="27"/>
  <c r="T918" i="27"/>
  <c r="S918" i="27"/>
  <c r="R918" i="27"/>
  <c r="W159" i="27"/>
  <c r="X159" i="27"/>
  <c r="U159" i="27"/>
  <c r="T159" i="27"/>
  <c r="S159" i="27"/>
  <c r="R159" i="27"/>
  <c r="W191" i="27"/>
  <c r="X191" i="27"/>
  <c r="U191" i="27"/>
  <c r="T191" i="27"/>
  <c r="S191" i="27"/>
  <c r="R191" i="27"/>
  <c r="W223" i="27"/>
  <c r="X223" i="27"/>
  <c r="U223" i="27"/>
  <c r="T223" i="27"/>
  <c r="S223" i="27"/>
  <c r="R223" i="27"/>
  <c r="W255" i="27"/>
  <c r="X255" i="27"/>
  <c r="U255" i="27"/>
  <c r="T255" i="27"/>
  <c r="R255" i="27"/>
  <c r="S255" i="27"/>
  <c r="W287" i="27"/>
  <c r="X287" i="27"/>
  <c r="U287" i="27"/>
  <c r="T287" i="27"/>
  <c r="R287" i="27"/>
  <c r="S287" i="27"/>
  <c r="W319" i="27"/>
  <c r="X319" i="27"/>
  <c r="U319" i="27"/>
  <c r="T319" i="27"/>
  <c r="R319" i="27"/>
  <c r="S319" i="27"/>
  <c r="W351" i="27"/>
  <c r="X351" i="27"/>
  <c r="U351" i="27"/>
  <c r="T351" i="27"/>
  <c r="R351" i="27"/>
  <c r="S351" i="27"/>
  <c r="W383" i="27"/>
  <c r="X383" i="27"/>
  <c r="U383" i="27"/>
  <c r="T383" i="27"/>
  <c r="R383" i="27"/>
  <c r="S383" i="27"/>
  <c r="W415" i="27"/>
  <c r="X415" i="27"/>
  <c r="U415" i="27"/>
  <c r="T415" i="27"/>
  <c r="R415" i="27"/>
  <c r="S415" i="27"/>
  <c r="W447" i="27"/>
  <c r="X447" i="27"/>
  <c r="U447" i="27"/>
  <c r="T447" i="27"/>
  <c r="R447" i="27"/>
  <c r="S447" i="27"/>
  <c r="W479" i="27"/>
  <c r="X479" i="27"/>
  <c r="U479" i="27"/>
  <c r="T479" i="27"/>
  <c r="R479" i="27"/>
  <c r="S479" i="27"/>
  <c r="U511" i="27"/>
  <c r="T511" i="27"/>
  <c r="R511" i="27"/>
  <c r="S511" i="27"/>
  <c r="X543" i="27"/>
  <c r="U543" i="27"/>
  <c r="W543" i="27"/>
  <c r="T543" i="27"/>
  <c r="R543" i="27"/>
  <c r="S543" i="27"/>
  <c r="X575" i="27"/>
  <c r="U575" i="27"/>
  <c r="W575" i="27"/>
  <c r="T575" i="27"/>
  <c r="R575" i="27"/>
  <c r="S575" i="27"/>
  <c r="U607" i="27"/>
  <c r="T607" i="27"/>
  <c r="R607" i="27"/>
  <c r="S607" i="27"/>
  <c r="U639" i="27"/>
  <c r="T639" i="27"/>
  <c r="R639" i="27"/>
  <c r="S639" i="27"/>
  <c r="U671" i="27"/>
  <c r="T671" i="27"/>
  <c r="R671" i="27"/>
  <c r="S671" i="27"/>
  <c r="X703" i="27"/>
  <c r="U703" i="27"/>
  <c r="W703" i="27"/>
  <c r="T703" i="27"/>
  <c r="R703" i="27"/>
  <c r="S703" i="27"/>
  <c r="X735" i="27"/>
  <c r="U735" i="27"/>
  <c r="W735" i="27"/>
  <c r="T735" i="27"/>
  <c r="R735" i="27"/>
  <c r="S735" i="27"/>
  <c r="X767" i="27"/>
  <c r="U767" i="27"/>
  <c r="W767" i="27"/>
  <c r="T767" i="27"/>
  <c r="R767" i="27"/>
  <c r="S767" i="27"/>
  <c r="X799" i="27"/>
  <c r="U799" i="27"/>
  <c r="W799" i="27"/>
  <c r="T799" i="27"/>
  <c r="R799" i="27"/>
  <c r="S799" i="27"/>
  <c r="X831" i="27"/>
  <c r="U831" i="27"/>
  <c r="W831" i="27"/>
  <c r="T831" i="27"/>
  <c r="R831" i="27"/>
  <c r="S831" i="27"/>
  <c r="X863" i="27"/>
  <c r="W863" i="27"/>
  <c r="U863" i="27"/>
  <c r="T863" i="27"/>
  <c r="R863" i="27"/>
  <c r="S863" i="27"/>
  <c r="X895" i="27"/>
  <c r="W895" i="27"/>
  <c r="T895" i="27"/>
  <c r="U895" i="27"/>
  <c r="R895" i="27"/>
  <c r="S895" i="27"/>
  <c r="W153" i="27"/>
  <c r="X153" i="27"/>
  <c r="U153" i="27"/>
  <c r="T153" i="27"/>
  <c r="S153" i="27"/>
  <c r="R153" i="27"/>
  <c r="W185" i="27"/>
  <c r="X185" i="27"/>
  <c r="U185" i="27"/>
  <c r="T185" i="27"/>
  <c r="S185" i="27"/>
  <c r="R185" i="27"/>
  <c r="W217" i="27"/>
  <c r="X217" i="27"/>
  <c r="U217" i="27"/>
  <c r="T217" i="27"/>
  <c r="S217" i="27"/>
  <c r="R217" i="27"/>
  <c r="W249" i="27"/>
  <c r="X249" i="27"/>
  <c r="U249" i="27"/>
  <c r="T249" i="27"/>
  <c r="S249" i="27"/>
  <c r="R249" i="27"/>
  <c r="W281" i="27"/>
  <c r="X281" i="27"/>
  <c r="U281" i="27"/>
  <c r="T281" i="27"/>
  <c r="S281" i="27"/>
  <c r="R281" i="27"/>
  <c r="W313" i="27"/>
  <c r="X313" i="27"/>
  <c r="U313" i="27"/>
  <c r="T313" i="27"/>
  <c r="S313" i="27"/>
  <c r="R313" i="27"/>
  <c r="W345" i="27"/>
  <c r="X345" i="27"/>
  <c r="U345" i="27"/>
  <c r="T345" i="27"/>
  <c r="S345" i="27"/>
  <c r="R345" i="27"/>
  <c r="W377" i="27"/>
  <c r="X377" i="27"/>
  <c r="U377" i="27"/>
  <c r="T377" i="27"/>
  <c r="S377" i="27"/>
  <c r="R377" i="27"/>
  <c r="W409" i="27"/>
  <c r="X409" i="27"/>
  <c r="U409" i="27"/>
  <c r="T409" i="27"/>
  <c r="S409" i="27"/>
  <c r="R409" i="27"/>
  <c r="W441" i="27"/>
  <c r="X441" i="27"/>
  <c r="U441" i="27"/>
  <c r="T441" i="27"/>
  <c r="S441" i="27"/>
  <c r="R441" i="27"/>
  <c r="W473" i="27"/>
  <c r="X473" i="27"/>
  <c r="U473" i="27"/>
  <c r="T473" i="27"/>
  <c r="S473" i="27"/>
  <c r="R473" i="27"/>
  <c r="X505" i="27"/>
  <c r="W505" i="27"/>
  <c r="U505" i="27"/>
  <c r="T505" i="27"/>
  <c r="S505" i="27"/>
  <c r="R505" i="27"/>
  <c r="U537" i="27"/>
  <c r="T537" i="27"/>
  <c r="S537" i="27"/>
  <c r="R537" i="27"/>
  <c r="U601" i="27"/>
  <c r="T601" i="27"/>
  <c r="S601" i="27"/>
  <c r="R601" i="27"/>
  <c r="U633" i="27"/>
  <c r="T633" i="27"/>
  <c r="S633" i="27"/>
  <c r="R633" i="27"/>
  <c r="U665" i="27"/>
  <c r="T665" i="27"/>
  <c r="S665" i="27"/>
  <c r="R665" i="27"/>
  <c r="X697" i="27"/>
  <c r="W697" i="27"/>
  <c r="U697" i="27"/>
  <c r="T697" i="27"/>
  <c r="S697" i="27"/>
  <c r="R697" i="27"/>
  <c r="X729" i="27"/>
  <c r="W729" i="27"/>
  <c r="U729" i="27"/>
  <c r="T729" i="27"/>
  <c r="S729" i="27"/>
  <c r="R729" i="27"/>
  <c r="X761" i="27"/>
  <c r="W761" i="27"/>
  <c r="U761" i="27"/>
  <c r="T761" i="27"/>
  <c r="S761" i="27"/>
  <c r="R761" i="27"/>
  <c r="X793" i="27"/>
  <c r="W793" i="27"/>
  <c r="U793" i="27"/>
  <c r="T793" i="27"/>
  <c r="S793" i="27"/>
  <c r="R793" i="27"/>
  <c r="X825" i="27"/>
  <c r="W825" i="27"/>
  <c r="U825" i="27"/>
  <c r="T825" i="27"/>
  <c r="S825" i="27"/>
  <c r="R825" i="27"/>
  <c r="X857" i="27"/>
  <c r="W857" i="27"/>
  <c r="U857" i="27"/>
  <c r="T857" i="27"/>
  <c r="S857" i="27"/>
  <c r="R857" i="27"/>
  <c r="X889" i="27"/>
  <c r="W889" i="27"/>
  <c r="U889" i="27"/>
  <c r="T889" i="27"/>
  <c r="S889" i="27"/>
  <c r="R889" i="27"/>
  <c r="W154" i="27"/>
  <c r="X154" i="27"/>
  <c r="U154" i="27"/>
  <c r="T154" i="27"/>
  <c r="S154" i="27"/>
  <c r="R154" i="27"/>
  <c r="W186" i="27"/>
  <c r="X186" i="27"/>
  <c r="U186" i="27"/>
  <c r="T186" i="27"/>
  <c r="S186" i="27"/>
  <c r="R186" i="27"/>
  <c r="W218" i="27"/>
  <c r="X218" i="27"/>
  <c r="U218" i="27"/>
  <c r="T218" i="27"/>
  <c r="S218" i="27"/>
  <c r="R218" i="27"/>
  <c r="W250" i="27"/>
  <c r="X250" i="27"/>
  <c r="U250" i="27"/>
  <c r="T250" i="27"/>
  <c r="S250" i="27"/>
  <c r="R250" i="27"/>
  <c r="W314" i="27"/>
  <c r="X314" i="27"/>
  <c r="U314" i="27"/>
  <c r="T314" i="27"/>
  <c r="S314" i="27"/>
  <c r="R314" i="27"/>
  <c r="W346" i="27"/>
  <c r="X346" i="27"/>
  <c r="U346" i="27"/>
  <c r="T346" i="27"/>
  <c r="S346" i="27"/>
  <c r="R346" i="27"/>
  <c r="W410" i="27"/>
  <c r="X410" i="27"/>
  <c r="U410" i="27"/>
  <c r="T410" i="27"/>
  <c r="S410" i="27"/>
  <c r="R410" i="27"/>
  <c r="W474" i="27"/>
  <c r="X474" i="27"/>
  <c r="U474" i="27"/>
  <c r="T474" i="27"/>
  <c r="R474" i="27"/>
  <c r="S474" i="27"/>
  <c r="X570" i="27"/>
  <c r="W570" i="27"/>
  <c r="U570" i="27"/>
  <c r="T570" i="27"/>
  <c r="R570" i="27"/>
  <c r="S570" i="27"/>
  <c r="U634" i="27"/>
  <c r="T634" i="27"/>
  <c r="S634" i="27"/>
  <c r="R634" i="27"/>
  <c r="U666" i="27"/>
  <c r="T666" i="27"/>
  <c r="S666" i="27"/>
  <c r="R666" i="27"/>
  <c r="X698" i="27"/>
  <c r="W698" i="27"/>
  <c r="U698" i="27"/>
  <c r="T698" i="27"/>
  <c r="S698" i="27"/>
  <c r="R698" i="27"/>
  <c r="X794" i="27"/>
  <c r="W794" i="27"/>
  <c r="U794" i="27"/>
  <c r="T794" i="27"/>
  <c r="S794" i="27"/>
  <c r="R794" i="27"/>
  <c r="X826" i="27"/>
  <c r="W826" i="27"/>
  <c r="U826" i="27"/>
  <c r="T826" i="27"/>
  <c r="S826" i="27"/>
  <c r="R826" i="27"/>
  <c r="X858" i="27"/>
  <c r="W858" i="27"/>
  <c r="U858" i="27"/>
  <c r="T858" i="27"/>
  <c r="S858" i="27"/>
  <c r="R858" i="27"/>
  <c r="W147" i="27"/>
  <c r="X147" i="27"/>
  <c r="U147" i="27"/>
  <c r="S147" i="27"/>
  <c r="T147" i="27"/>
  <c r="R147" i="27"/>
  <c r="W179" i="27"/>
  <c r="X179" i="27"/>
  <c r="U179" i="27"/>
  <c r="S179" i="27"/>
  <c r="T179" i="27"/>
  <c r="R179" i="27"/>
  <c r="W211" i="27"/>
  <c r="X211" i="27"/>
  <c r="U211" i="27"/>
  <c r="S211" i="27"/>
  <c r="T211" i="27"/>
  <c r="R211" i="27"/>
  <c r="W243" i="27"/>
  <c r="X243" i="27"/>
  <c r="U243" i="27"/>
  <c r="S243" i="27"/>
  <c r="T243" i="27"/>
  <c r="R243" i="27"/>
  <c r="W275" i="27"/>
  <c r="X275" i="27"/>
  <c r="U275" i="27"/>
  <c r="S275" i="27"/>
  <c r="T275" i="27"/>
  <c r="R275" i="27"/>
  <c r="W307" i="27"/>
  <c r="X307" i="27"/>
  <c r="U307" i="27"/>
  <c r="S307" i="27"/>
  <c r="T307" i="27"/>
  <c r="R307" i="27"/>
  <c r="W339" i="27"/>
  <c r="X339" i="27"/>
  <c r="U339" i="27"/>
  <c r="S339" i="27"/>
  <c r="T339" i="27"/>
  <c r="R339" i="27"/>
  <c r="W371" i="27"/>
  <c r="X371" i="27"/>
  <c r="U371" i="27"/>
  <c r="S371" i="27"/>
  <c r="T371" i="27"/>
  <c r="R371" i="27"/>
  <c r="W403" i="27"/>
  <c r="X403" i="27"/>
  <c r="U403" i="27"/>
  <c r="S403" i="27"/>
  <c r="T403" i="27"/>
  <c r="R403" i="27"/>
  <c r="W435" i="27"/>
  <c r="X435" i="27"/>
  <c r="U435" i="27"/>
  <c r="S435" i="27"/>
  <c r="T435" i="27"/>
  <c r="R435" i="27"/>
  <c r="W467" i="27"/>
  <c r="X467" i="27"/>
  <c r="U467" i="27"/>
  <c r="T467" i="27"/>
  <c r="R467" i="27"/>
  <c r="S467" i="27"/>
  <c r="X499" i="27"/>
  <c r="W499" i="27"/>
  <c r="U499" i="27"/>
  <c r="T499" i="27"/>
  <c r="R499" i="27"/>
  <c r="S499" i="27"/>
  <c r="U531" i="27"/>
  <c r="T531" i="27"/>
  <c r="R531" i="27"/>
  <c r="S531" i="27"/>
  <c r="X563" i="27"/>
  <c r="W563" i="27"/>
  <c r="U563" i="27"/>
  <c r="T563" i="27"/>
  <c r="R563" i="27"/>
  <c r="S563" i="27"/>
  <c r="X595" i="27"/>
  <c r="W595" i="27"/>
  <c r="U595" i="27"/>
  <c r="T595" i="27"/>
  <c r="R595" i="27"/>
  <c r="S595" i="27"/>
  <c r="U627" i="27"/>
  <c r="T627" i="27"/>
  <c r="S627" i="27"/>
  <c r="R627" i="27"/>
  <c r="U659" i="27"/>
  <c r="T659" i="27"/>
  <c r="S659" i="27"/>
  <c r="R659" i="27"/>
  <c r="X691" i="27"/>
  <c r="W691" i="27"/>
  <c r="U691" i="27"/>
  <c r="T691" i="27"/>
  <c r="S691" i="27"/>
  <c r="R691" i="27"/>
  <c r="X723" i="27"/>
  <c r="W723" i="27"/>
  <c r="U723" i="27"/>
  <c r="T723" i="27"/>
  <c r="S723" i="27"/>
  <c r="R723" i="27"/>
  <c r="X755" i="27"/>
  <c r="W755" i="27"/>
  <c r="U755" i="27"/>
  <c r="T755" i="27"/>
  <c r="S755" i="27"/>
  <c r="R755" i="27"/>
  <c r="X787" i="27"/>
  <c r="W787" i="27"/>
  <c r="U787" i="27"/>
  <c r="T787" i="27"/>
  <c r="S787" i="27"/>
  <c r="R787" i="27"/>
  <c r="X819" i="27"/>
  <c r="W819" i="27"/>
  <c r="U819" i="27"/>
  <c r="T819" i="27"/>
  <c r="S819" i="27"/>
  <c r="R819" i="27"/>
  <c r="X851" i="27"/>
  <c r="W851" i="27"/>
  <c r="U851" i="27"/>
  <c r="T851" i="27"/>
  <c r="S851" i="27"/>
  <c r="R851" i="27"/>
  <c r="X883" i="27"/>
  <c r="W883" i="27"/>
  <c r="U883" i="27"/>
  <c r="T883" i="27"/>
  <c r="S883" i="27"/>
  <c r="R883" i="27"/>
  <c r="X915" i="27"/>
  <c r="W915" i="27"/>
  <c r="U915" i="27"/>
  <c r="T915" i="27"/>
  <c r="S915" i="27"/>
  <c r="R915" i="27"/>
  <c r="X148" i="27"/>
  <c r="W148" i="27"/>
  <c r="U148" i="27"/>
  <c r="T148" i="27"/>
  <c r="S148" i="27"/>
  <c r="R148" i="27"/>
  <c r="X212" i="27"/>
  <c r="W212" i="27"/>
  <c r="U212" i="27"/>
  <c r="T212" i="27"/>
  <c r="S212" i="27"/>
  <c r="R212" i="27"/>
  <c r="X276" i="27"/>
  <c r="W276" i="27"/>
  <c r="U276" i="27"/>
  <c r="T276" i="27"/>
  <c r="S276" i="27"/>
  <c r="R276" i="27"/>
  <c r="X308" i="27"/>
  <c r="W308" i="27"/>
  <c r="U308" i="27"/>
  <c r="T308" i="27"/>
  <c r="S308" i="27"/>
  <c r="R308" i="27"/>
  <c r="X340" i="27"/>
  <c r="W340" i="27"/>
  <c r="U340" i="27"/>
  <c r="T340" i="27"/>
  <c r="S340" i="27"/>
  <c r="R340" i="27"/>
  <c r="X372" i="27"/>
  <c r="W372" i="27"/>
  <c r="U372" i="27"/>
  <c r="T372" i="27"/>
  <c r="S372" i="27"/>
  <c r="R372" i="27"/>
  <c r="X404" i="27"/>
  <c r="W404" i="27"/>
  <c r="U404" i="27"/>
  <c r="T404" i="27"/>
  <c r="R404" i="27"/>
  <c r="S404" i="27"/>
  <c r="U532" i="27"/>
  <c r="T532" i="27"/>
  <c r="R532" i="27"/>
  <c r="S532" i="27"/>
  <c r="X564" i="27"/>
  <c r="W564" i="27"/>
  <c r="U564" i="27"/>
  <c r="T564" i="27"/>
  <c r="S564" i="27"/>
  <c r="R564" i="27"/>
  <c r="X596" i="27"/>
  <c r="W596" i="27"/>
  <c r="U596" i="27"/>
  <c r="T596" i="27"/>
  <c r="S596" i="27"/>
  <c r="R596" i="27"/>
  <c r="U628" i="27"/>
  <c r="T628" i="27"/>
  <c r="S628" i="27"/>
  <c r="R628" i="27"/>
  <c r="U660" i="27"/>
  <c r="T660" i="27"/>
  <c r="S660" i="27"/>
  <c r="R660" i="27"/>
  <c r="X692" i="27"/>
  <c r="W692" i="27"/>
  <c r="U692" i="27"/>
  <c r="T692" i="27"/>
  <c r="S692" i="27"/>
  <c r="R692" i="27"/>
  <c r="X724" i="27"/>
  <c r="W724" i="27"/>
  <c r="U724" i="27"/>
  <c r="T724" i="27"/>
  <c r="S724" i="27"/>
  <c r="R724" i="27"/>
  <c r="X756" i="27"/>
  <c r="W756" i="27"/>
  <c r="U756" i="27"/>
  <c r="T756" i="27"/>
  <c r="S756" i="27"/>
  <c r="R756" i="27"/>
  <c r="X788" i="27"/>
  <c r="W788" i="27"/>
  <c r="U788" i="27"/>
  <c r="T788" i="27"/>
  <c r="S788" i="27"/>
  <c r="R788" i="27"/>
  <c r="X820" i="27"/>
  <c r="W820" i="27"/>
  <c r="U820" i="27"/>
  <c r="T820" i="27"/>
  <c r="S820" i="27"/>
  <c r="R820" i="27"/>
  <c r="X852" i="27"/>
  <c r="W852" i="27"/>
  <c r="U852" i="27"/>
  <c r="T852" i="27"/>
  <c r="S852" i="27"/>
  <c r="R852" i="27"/>
  <c r="X884" i="27"/>
  <c r="W884" i="27"/>
  <c r="U884" i="27"/>
  <c r="T884" i="27"/>
  <c r="S884" i="27"/>
  <c r="R884" i="27"/>
  <c r="X916" i="27"/>
  <c r="W916" i="27"/>
  <c r="U916" i="27"/>
  <c r="T916" i="27"/>
  <c r="S916" i="27"/>
  <c r="R916" i="27"/>
  <c r="X972" i="27"/>
  <c r="W972" i="27"/>
  <c r="T972" i="27"/>
  <c r="U972" i="27"/>
  <c r="S972" i="27"/>
  <c r="R972" i="27"/>
  <c r="X1036" i="27"/>
  <c r="W1036" i="27"/>
  <c r="T1036" i="27"/>
  <c r="U1036" i="27"/>
  <c r="S1036" i="27"/>
  <c r="R1036" i="27"/>
  <c r="X1100" i="27"/>
  <c r="W1100" i="27"/>
  <c r="T1100" i="27"/>
  <c r="U1100" i="27"/>
  <c r="S1100" i="27"/>
  <c r="R1100" i="27"/>
  <c r="X757" i="27"/>
  <c r="W757" i="27"/>
  <c r="U757" i="27"/>
  <c r="T757" i="27"/>
  <c r="S757" i="27"/>
  <c r="R757" i="27"/>
  <c r="X837" i="27"/>
  <c r="W837" i="27"/>
  <c r="T837" i="27"/>
  <c r="U837" i="27"/>
  <c r="S837" i="27"/>
  <c r="R837" i="27"/>
  <c r="X141" i="27"/>
  <c r="W141" i="27"/>
  <c r="U141" i="27"/>
  <c r="T141" i="27"/>
  <c r="S141" i="27"/>
  <c r="R141" i="27"/>
  <c r="X229" i="27"/>
  <c r="W229" i="27"/>
  <c r="U229" i="27"/>
  <c r="T229" i="27"/>
  <c r="S229" i="27"/>
  <c r="R229" i="27"/>
  <c r="X293" i="27"/>
  <c r="W293" i="27"/>
  <c r="U293" i="27"/>
  <c r="T293" i="27"/>
  <c r="S293" i="27"/>
  <c r="R293" i="27"/>
  <c r="X357" i="27"/>
  <c r="W357" i="27"/>
  <c r="U357" i="27"/>
  <c r="T357" i="27"/>
  <c r="S357" i="27"/>
  <c r="R357" i="27"/>
  <c r="X421" i="27"/>
  <c r="W421" i="27"/>
  <c r="U421" i="27"/>
  <c r="T421" i="27"/>
  <c r="S421" i="27"/>
  <c r="R421" i="27"/>
  <c r="X485" i="27"/>
  <c r="W485" i="27"/>
  <c r="U485" i="27"/>
  <c r="T485" i="27"/>
  <c r="R485" i="27"/>
  <c r="S485" i="27"/>
  <c r="X541" i="27"/>
  <c r="W541" i="27"/>
  <c r="U541" i="27"/>
  <c r="T541" i="27"/>
  <c r="R541" i="27"/>
  <c r="S541" i="27"/>
  <c r="U605" i="27"/>
  <c r="T605" i="27"/>
  <c r="S605" i="27"/>
  <c r="R605" i="27"/>
  <c r="U661" i="27"/>
  <c r="T661" i="27"/>
  <c r="S661" i="27"/>
  <c r="R661" i="27"/>
  <c r="X709" i="27"/>
  <c r="W709" i="27"/>
  <c r="T709" i="27"/>
  <c r="U709" i="27"/>
  <c r="S709" i="27"/>
  <c r="R709" i="27"/>
  <c r="X765" i="27"/>
  <c r="W765" i="27"/>
  <c r="U765" i="27"/>
  <c r="T765" i="27"/>
  <c r="S765" i="27"/>
  <c r="R765" i="27"/>
  <c r="X821" i="27"/>
  <c r="W821" i="27"/>
  <c r="U821" i="27"/>
  <c r="T821" i="27"/>
  <c r="S821" i="27"/>
  <c r="R821" i="27"/>
  <c r="W160" i="27"/>
  <c r="X160" i="27"/>
  <c r="T160" i="27"/>
  <c r="U160" i="27"/>
  <c r="S160" i="27"/>
  <c r="R160" i="27"/>
  <c r="W192" i="27"/>
  <c r="X192" i="27"/>
  <c r="U192" i="27"/>
  <c r="T192" i="27"/>
  <c r="S192" i="27"/>
  <c r="R192" i="27"/>
  <c r="W224" i="27"/>
  <c r="X224" i="27"/>
  <c r="U224" i="27"/>
  <c r="T224" i="27"/>
  <c r="S224" i="27"/>
  <c r="R224" i="27"/>
  <c r="W256" i="27"/>
  <c r="X256" i="27"/>
  <c r="U256" i="27"/>
  <c r="T256" i="27"/>
  <c r="S256" i="27"/>
  <c r="R256" i="27"/>
  <c r="W288" i="27"/>
  <c r="X288" i="27"/>
  <c r="U288" i="27"/>
  <c r="T288" i="27"/>
  <c r="S288" i="27"/>
  <c r="R288" i="27"/>
  <c r="W320" i="27"/>
  <c r="X320" i="27"/>
  <c r="U320" i="27"/>
  <c r="T320" i="27"/>
  <c r="S320" i="27"/>
  <c r="R320" i="27"/>
  <c r="W352" i="27"/>
  <c r="X352" i="27"/>
  <c r="U352" i="27"/>
  <c r="T352" i="27"/>
  <c r="S352" i="27"/>
  <c r="R352" i="27"/>
  <c r="W384" i="27"/>
  <c r="X384" i="27"/>
  <c r="U384" i="27"/>
  <c r="T384" i="27"/>
  <c r="R384" i="27"/>
  <c r="S384" i="27"/>
  <c r="W416" i="27"/>
  <c r="X416" i="27"/>
  <c r="U416" i="27"/>
  <c r="T416" i="27"/>
  <c r="R416" i="27"/>
  <c r="S416" i="27"/>
  <c r="W448" i="27"/>
  <c r="X448" i="27"/>
  <c r="U448" i="27"/>
  <c r="T448" i="27"/>
  <c r="S448" i="27"/>
  <c r="R448" i="27"/>
  <c r="W480" i="27"/>
  <c r="X480" i="27"/>
  <c r="U480" i="27"/>
  <c r="T480" i="27"/>
  <c r="S480" i="27"/>
  <c r="R480" i="27"/>
  <c r="U512" i="27"/>
  <c r="T512" i="27"/>
  <c r="S512" i="27"/>
  <c r="R512" i="27"/>
  <c r="X544" i="27"/>
  <c r="W544" i="27"/>
  <c r="U544" i="27"/>
  <c r="T544" i="27"/>
  <c r="S544" i="27"/>
  <c r="R544" i="27"/>
  <c r="X576" i="27"/>
  <c r="W576" i="27"/>
  <c r="U576" i="27"/>
  <c r="T576" i="27"/>
  <c r="S576" i="27"/>
  <c r="R576" i="27"/>
  <c r="U608" i="27"/>
  <c r="T608" i="27"/>
  <c r="S608" i="27"/>
  <c r="R608" i="27"/>
  <c r="U640" i="27"/>
  <c r="T640" i="27"/>
  <c r="S640" i="27"/>
  <c r="R640" i="27"/>
  <c r="U672" i="27"/>
  <c r="T672" i="27"/>
  <c r="S672" i="27"/>
  <c r="R672" i="27"/>
  <c r="X704" i="27"/>
  <c r="W704" i="27"/>
  <c r="U704" i="27"/>
  <c r="T704" i="27"/>
  <c r="S704" i="27"/>
  <c r="R704" i="27"/>
  <c r="X736" i="27"/>
  <c r="W736" i="27"/>
  <c r="U736" i="27"/>
  <c r="T736" i="27"/>
  <c r="S736" i="27"/>
  <c r="R736" i="27"/>
  <c r="X768" i="27"/>
  <c r="W768" i="27"/>
  <c r="U768" i="27"/>
  <c r="T768" i="27"/>
  <c r="S768" i="27"/>
  <c r="R768" i="27"/>
  <c r="X800" i="27"/>
  <c r="W800" i="27"/>
  <c r="U800" i="27"/>
  <c r="T800" i="27"/>
  <c r="S800" i="27"/>
  <c r="R800" i="27"/>
  <c r="X832" i="27"/>
  <c r="W832" i="27"/>
  <c r="U832" i="27"/>
  <c r="T832" i="27"/>
  <c r="S832" i="27"/>
  <c r="R832" i="27"/>
  <c r="X864" i="27"/>
  <c r="W864" i="27"/>
  <c r="U864" i="27"/>
  <c r="T864" i="27"/>
  <c r="S864" i="27"/>
  <c r="R864" i="27"/>
  <c r="X896" i="27"/>
  <c r="W896" i="27"/>
  <c r="U896" i="27"/>
  <c r="T896" i="27"/>
  <c r="S896" i="27"/>
  <c r="R896" i="27"/>
  <c r="W282" i="27"/>
  <c r="X282" i="27"/>
  <c r="U282" i="27"/>
  <c r="T282" i="27"/>
  <c r="S282" i="27"/>
  <c r="R282" i="27"/>
  <c r="W378" i="27"/>
  <c r="X378" i="27"/>
  <c r="U378" i="27"/>
  <c r="T378" i="27"/>
  <c r="S378" i="27"/>
  <c r="R378" i="27"/>
  <c r="W442" i="27"/>
  <c r="X442" i="27"/>
  <c r="U442" i="27"/>
  <c r="T442" i="27"/>
  <c r="S442" i="27"/>
  <c r="R442" i="27"/>
  <c r="X506" i="27"/>
  <c r="W506" i="27"/>
  <c r="U506" i="27"/>
  <c r="T506" i="27"/>
  <c r="R506" i="27"/>
  <c r="S506" i="27"/>
  <c r="U538" i="27"/>
  <c r="T538" i="27"/>
  <c r="R538" i="27"/>
  <c r="S538" i="27"/>
  <c r="U602" i="27"/>
  <c r="T602" i="27"/>
  <c r="S602" i="27"/>
  <c r="R602" i="27"/>
  <c r="X730" i="27"/>
  <c r="W730" i="27"/>
  <c r="U730" i="27"/>
  <c r="T730" i="27"/>
  <c r="S730" i="27"/>
  <c r="R730" i="27"/>
  <c r="X762" i="27"/>
  <c r="W762" i="27"/>
  <c r="U762" i="27"/>
  <c r="T762" i="27"/>
  <c r="S762" i="27"/>
  <c r="R762" i="27"/>
  <c r="X890" i="27"/>
  <c r="W890" i="27"/>
  <c r="U890" i="27"/>
  <c r="T890" i="27"/>
  <c r="S890" i="27"/>
  <c r="R890" i="27"/>
  <c r="X180" i="27"/>
  <c r="W180" i="27"/>
  <c r="U180" i="27"/>
  <c r="T180" i="27"/>
  <c r="S180" i="27"/>
  <c r="R180" i="27"/>
  <c r="X244" i="27"/>
  <c r="W244" i="27"/>
  <c r="U244" i="27"/>
  <c r="T244" i="27"/>
  <c r="R244" i="27"/>
  <c r="S244" i="27"/>
  <c r="X436" i="27"/>
  <c r="W436" i="27"/>
  <c r="U436" i="27"/>
  <c r="T436" i="27"/>
  <c r="R436" i="27"/>
  <c r="S436" i="27"/>
  <c r="X468" i="27"/>
  <c r="W468" i="27"/>
  <c r="U468" i="27"/>
  <c r="T468" i="27"/>
  <c r="R468" i="27"/>
  <c r="S468" i="27"/>
  <c r="X500" i="27"/>
  <c r="W500" i="27"/>
  <c r="U500" i="27"/>
  <c r="T500" i="27"/>
  <c r="R500" i="27"/>
  <c r="S500" i="27"/>
  <c r="X980" i="27"/>
  <c r="W980" i="27"/>
  <c r="U980" i="27"/>
  <c r="T980" i="27"/>
  <c r="S980" i="27"/>
  <c r="R980" i="27"/>
  <c r="X1044" i="27"/>
  <c r="W1044" i="27"/>
  <c r="U1044" i="27"/>
  <c r="T1044" i="27"/>
  <c r="S1044" i="27"/>
  <c r="R1044" i="27"/>
  <c r="X1108" i="27"/>
  <c r="W1108" i="27"/>
  <c r="T1108" i="27"/>
  <c r="U1108" i="27"/>
  <c r="S1108" i="27"/>
  <c r="R1108" i="27"/>
  <c r="X221" i="27"/>
  <c r="W221" i="27"/>
  <c r="U221" i="27"/>
  <c r="T221" i="27"/>
  <c r="S221" i="27"/>
  <c r="R221" i="27"/>
  <c r="X285" i="27"/>
  <c r="W285" i="27"/>
  <c r="U285" i="27"/>
  <c r="T285" i="27"/>
  <c r="R285" i="27"/>
  <c r="S285" i="27"/>
  <c r="X349" i="27"/>
  <c r="W349" i="27"/>
  <c r="U349" i="27"/>
  <c r="T349" i="27"/>
  <c r="R349" i="27"/>
  <c r="S349" i="27"/>
  <c r="X413" i="27"/>
  <c r="W413" i="27"/>
  <c r="U413" i="27"/>
  <c r="T413" i="27"/>
  <c r="R413" i="27"/>
  <c r="S413" i="27"/>
  <c r="X477" i="27"/>
  <c r="W477" i="27"/>
  <c r="U477" i="27"/>
  <c r="T477" i="27"/>
  <c r="R477" i="27"/>
  <c r="S477" i="27"/>
  <c r="X549" i="27"/>
  <c r="W549" i="27"/>
  <c r="U549" i="27"/>
  <c r="T549" i="27"/>
  <c r="R549" i="27"/>
  <c r="S549" i="27"/>
  <c r="U613" i="27"/>
  <c r="T613" i="27"/>
  <c r="S613" i="27"/>
  <c r="R613" i="27"/>
  <c r="X693" i="27"/>
  <c r="W693" i="27"/>
  <c r="U693" i="27"/>
  <c r="T693" i="27"/>
  <c r="S693" i="27"/>
  <c r="R693" i="27"/>
  <c r="X181" i="27"/>
  <c r="W181" i="27"/>
  <c r="U181" i="27"/>
  <c r="T181" i="27"/>
  <c r="S181" i="27"/>
  <c r="R181" i="27"/>
  <c r="X877" i="27"/>
  <c r="W877" i="27"/>
  <c r="U877" i="27"/>
  <c r="T877" i="27"/>
  <c r="S877" i="27"/>
  <c r="R877" i="27"/>
  <c r="W158" i="27"/>
  <c r="X158" i="27"/>
  <c r="U158" i="27"/>
  <c r="S158" i="27"/>
  <c r="T158" i="27"/>
  <c r="R158" i="27"/>
  <c r="W190" i="27"/>
  <c r="X190" i="27"/>
  <c r="U190" i="27"/>
  <c r="S190" i="27"/>
  <c r="T190" i="27"/>
  <c r="R190" i="27"/>
  <c r="W222" i="27"/>
  <c r="X222" i="27"/>
  <c r="U222" i="27"/>
  <c r="S222" i="27"/>
  <c r="T222" i="27"/>
  <c r="R222" i="27"/>
  <c r="W254" i="27"/>
  <c r="X254" i="27"/>
  <c r="U254" i="27"/>
  <c r="S254" i="27"/>
  <c r="T254" i="27"/>
  <c r="R254" i="27"/>
  <c r="W286" i="27"/>
  <c r="X286" i="27"/>
  <c r="U286" i="27"/>
  <c r="S286" i="27"/>
  <c r="T286" i="27"/>
  <c r="R286" i="27"/>
  <c r="W318" i="27"/>
  <c r="X318" i="27"/>
  <c r="U318" i="27"/>
  <c r="S318" i="27"/>
  <c r="T318" i="27"/>
  <c r="R318" i="27"/>
  <c r="W350" i="27"/>
  <c r="X350" i="27"/>
  <c r="U350" i="27"/>
  <c r="S350" i="27"/>
  <c r="T350" i="27"/>
  <c r="R350" i="27"/>
  <c r="W382" i="27"/>
  <c r="X382" i="27"/>
  <c r="U382" i="27"/>
  <c r="S382" i="27"/>
  <c r="T382" i="27"/>
  <c r="R382" i="27"/>
  <c r="W414" i="27"/>
  <c r="X414" i="27"/>
  <c r="U414" i="27"/>
  <c r="T414" i="27"/>
  <c r="R414" i="27"/>
  <c r="S414" i="27"/>
  <c r="W446" i="27"/>
  <c r="X446" i="27"/>
  <c r="U446" i="27"/>
  <c r="T446" i="27"/>
  <c r="R446" i="27"/>
  <c r="S446" i="27"/>
  <c r="W478" i="27"/>
  <c r="X478" i="27"/>
  <c r="U478" i="27"/>
  <c r="T478" i="27"/>
  <c r="R478" i="27"/>
  <c r="S478" i="27"/>
  <c r="X510" i="27"/>
  <c r="W510" i="27"/>
  <c r="U510" i="27"/>
  <c r="T510" i="27"/>
  <c r="R510" i="27"/>
  <c r="S510" i="27"/>
  <c r="X542" i="27"/>
  <c r="W542" i="27"/>
  <c r="U542" i="27"/>
  <c r="T542" i="27"/>
  <c r="R542" i="27"/>
  <c r="S542" i="27"/>
  <c r="X574" i="27"/>
  <c r="W574" i="27"/>
  <c r="U574" i="27"/>
  <c r="T574" i="27"/>
  <c r="R574" i="27"/>
  <c r="S574" i="27"/>
  <c r="U606" i="27"/>
  <c r="T606" i="27"/>
  <c r="S606" i="27"/>
  <c r="R606" i="27"/>
  <c r="U638" i="27"/>
  <c r="T638" i="27"/>
  <c r="S638" i="27"/>
  <c r="R638" i="27"/>
  <c r="U670" i="27"/>
  <c r="T670" i="27"/>
  <c r="S670" i="27"/>
  <c r="R670" i="27"/>
  <c r="X702" i="27"/>
  <c r="W702" i="27"/>
  <c r="U702" i="27"/>
  <c r="T702" i="27"/>
  <c r="S702" i="27"/>
  <c r="R702" i="27"/>
  <c r="X766" i="27"/>
  <c r="W766" i="27"/>
  <c r="U766" i="27"/>
  <c r="T766" i="27"/>
  <c r="S766" i="27"/>
  <c r="R766" i="27"/>
  <c r="X830" i="27"/>
  <c r="W830" i="27"/>
  <c r="U830" i="27"/>
  <c r="T830" i="27"/>
  <c r="S830" i="27"/>
  <c r="R830" i="27"/>
  <c r="X894" i="27"/>
  <c r="W894" i="27"/>
  <c r="U894" i="27"/>
  <c r="T894" i="27"/>
  <c r="S894" i="27"/>
  <c r="R894" i="27"/>
  <c r="W167" i="27"/>
  <c r="X167" i="27"/>
  <c r="U167" i="27"/>
  <c r="T167" i="27"/>
  <c r="R167" i="27"/>
  <c r="S167" i="27"/>
  <c r="W199" i="27"/>
  <c r="X199" i="27"/>
  <c r="U199" i="27"/>
  <c r="T199" i="27"/>
  <c r="R199" i="27"/>
  <c r="S199" i="27"/>
  <c r="W231" i="27"/>
  <c r="X231" i="27"/>
  <c r="U231" i="27"/>
  <c r="T231" i="27"/>
  <c r="R231" i="27"/>
  <c r="S231" i="27"/>
  <c r="W263" i="27"/>
  <c r="X263" i="27"/>
  <c r="U263" i="27"/>
  <c r="T263" i="27"/>
  <c r="S263" i="27"/>
  <c r="R263" i="27"/>
  <c r="W295" i="27"/>
  <c r="X295" i="27"/>
  <c r="U295" i="27"/>
  <c r="T295" i="27"/>
  <c r="S295" i="27"/>
  <c r="R295" i="27"/>
  <c r="W327" i="27"/>
  <c r="X327" i="27"/>
  <c r="U327" i="27"/>
  <c r="T327" i="27"/>
  <c r="S327" i="27"/>
  <c r="R327" i="27"/>
  <c r="W359" i="27"/>
  <c r="X359" i="27"/>
  <c r="U359" i="27"/>
  <c r="T359" i="27"/>
  <c r="S359" i="27"/>
  <c r="R359" i="27"/>
  <c r="W391" i="27"/>
  <c r="X391" i="27"/>
  <c r="U391" i="27"/>
  <c r="T391" i="27"/>
  <c r="S391" i="27"/>
  <c r="R391" i="27"/>
  <c r="W423" i="27"/>
  <c r="X423" i="27"/>
  <c r="U423" i="27"/>
  <c r="T423" i="27"/>
  <c r="S423" i="27"/>
  <c r="R423" i="27"/>
  <c r="W455" i="27"/>
  <c r="X455" i="27"/>
  <c r="U455" i="27"/>
  <c r="T455" i="27"/>
  <c r="R455" i="27"/>
  <c r="S455" i="27"/>
  <c r="W487" i="27"/>
  <c r="X487" i="27"/>
  <c r="U487" i="27"/>
  <c r="T487" i="27"/>
  <c r="R487" i="27"/>
  <c r="S487" i="27"/>
  <c r="U519" i="27"/>
  <c r="T519" i="27"/>
  <c r="R519" i="27"/>
  <c r="S519" i="27"/>
  <c r="X551" i="27"/>
  <c r="U551" i="27"/>
  <c r="W551" i="27"/>
  <c r="T551" i="27"/>
  <c r="R551" i="27"/>
  <c r="S551" i="27"/>
  <c r="X583" i="27"/>
  <c r="U583" i="27"/>
  <c r="W583" i="27"/>
  <c r="T583" i="27"/>
  <c r="R583" i="27"/>
  <c r="S583" i="27"/>
  <c r="U615" i="27"/>
  <c r="T615" i="27"/>
  <c r="R615" i="27"/>
  <c r="S615" i="27"/>
  <c r="U647" i="27"/>
  <c r="T647" i="27"/>
  <c r="R647" i="27"/>
  <c r="S647" i="27"/>
  <c r="U679" i="27"/>
  <c r="T679" i="27"/>
  <c r="R679" i="27"/>
  <c r="S679" i="27"/>
  <c r="X711" i="27"/>
  <c r="U711" i="27"/>
  <c r="W711" i="27"/>
  <c r="T711" i="27"/>
  <c r="R711" i="27"/>
  <c r="S711" i="27"/>
  <c r="X743" i="27"/>
  <c r="U743" i="27"/>
  <c r="W743" i="27"/>
  <c r="T743" i="27"/>
  <c r="R743" i="27"/>
  <c r="S743" i="27"/>
  <c r="X775" i="27"/>
  <c r="U775" i="27"/>
  <c r="W775" i="27"/>
  <c r="T775" i="27"/>
  <c r="R775" i="27"/>
  <c r="S775" i="27"/>
  <c r="X807" i="27"/>
  <c r="U807" i="27"/>
  <c r="W807" i="27"/>
  <c r="T807" i="27"/>
  <c r="R807" i="27"/>
  <c r="S807" i="27"/>
  <c r="X839" i="27"/>
  <c r="U839" i="27"/>
  <c r="W839" i="27"/>
  <c r="T839" i="27"/>
  <c r="R839" i="27"/>
  <c r="S839" i="27"/>
  <c r="X871" i="27"/>
  <c r="W871" i="27"/>
  <c r="T871" i="27"/>
  <c r="U871" i="27"/>
  <c r="R871" i="27"/>
  <c r="S871" i="27"/>
  <c r="X903" i="27"/>
  <c r="W903" i="27"/>
  <c r="U903" i="27"/>
  <c r="T903" i="27"/>
  <c r="R903" i="27"/>
  <c r="S903" i="27"/>
  <c r="W161" i="27"/>
  <c r="X161" i="27"/>
  <c r="U161" i="27"/>
  <c r="T161" i="27"/>
  <c r="S161" i="27"/>
  <c r="R161" i="27"/>
  <c r="W193" i="27"/>
  <c r="X193" i="27"/>
  <c r="U193" i="27"/>
  <c r="T193" i="27"/>
  <c r="S193" i="27"/>
  <c r="R193" i="27"/>
  <c r="W225" i="27"/>
  <c r="X225" i="27"/>
  <c r="U225" i="27"/>
  <c r="T225" i="27"/>
  <c r="S225" i="27"/>
  <c r="R225" i="27"/>
  <c r="W257" i="27"/>
  <c r="X257" i="27"/>
  <c r="U257" i="27"/>
  <c r="T257" i="27"/>
  <c r="S257" i="27"/>
  <c r="R257" i="27"/>
  <c r="W289" i="27"/>
  <c r="X289" i="27"/>
  <c r="U289" i="27"/>
  <c r="T289" i="27"/>
  <c r="S289" i="27"/>
  <c r="R289" i="27"/>
  <c r="W321" i="27"/>
  <c r="X321" i="27"/>
  <c r="U321" i="27"/>
  <c r="T321" i="27"/>
  <c r="S321" i="27"/>
  <c r="R321" i="27"/>
  <c r="W353" i="27"/>
  <c r="X353" i="27"/>
  <c r="U353" i="27"/>
  <c r="T353" i="27"/>
  <c r="S353" i="27"/>
  <c r="R353" i="27"/>
  <c r="W385" i="27"/>
  <c r="X385" i="27"/>
  <c r="U385" i="27"/>
  <c r="T385" i="27"/>
  <c r="S385" i="27"/>
  <c r="R385" i="27"/>
  <c r="W417" i="27"/>
  <c r="X417" i="27"/>
  <c r="U417" i="27"/>
  <c r="T417" i="27"/>
  <c r="S417" i="27"/>
  <c r="R417" i="27"/>
  <c r="W449" i="27"/>
  <c r="X449" i="27"/>
  <c r="U449" i="27"/>
  <c r="T449" i="27"/>
  <c r="S449" i="27"/>
  <c r="R449" i="27"/>
  <c r="W481" i="27"/>
  <c r="X481" i="27"/>
  <c r="U481" i="27"/>
  <c r="T481" i="27"/>
  <c r="S481" i="27"/>
  <c r="R481" i="27"/>
  <c r="U513" i="27"/>
  <c r="T513" i="27"/>
  <c r="S513" i="27"/>
  <c r="R513" i="27"/>
  <c r="X545" i="27"/>
  <c r="W545" i="27"/>
  <c r="U545" i="27"/>
  <c r="T545" i="27"/>
  <c r="S545" i="27"/>
  <c r="R545" i="27"/>
  <c r="X577" i="27"/>
  <c r="W577" i="27"/>
  <c r="U577" i="27"/>
  <c r="T577" i="27"/>
  <c r="S577" i="27"/>
  <c r="R577" i="27"/>
  <c r="U609" i="27"/>
  <c r="T609" i="27"/>
  <c r="S609" i="27"/>
  <c r="R609" i="27"/>
  <c r="U641" i="27"/>
  <c r="T641" i="27"/>
  <c r="S641" i="27"/>
  <c r="R641" i="27"/>
  <c r="U673" i="27"/>
  <c r="T673" i="27"/>
  <c r="S673" i="27"/>
  <c r="R673" i="27"/>
  <c r="X705" i="27"/>
  <c r="W705" i="27"/>
  <c r="U705" i="27"/>
  <c r="T705" i="27"/>
  <c r="S705" i="27"/>
  <c r="R705" i="27"/>
  <c r="X737" i="27"/>
  <c r="W737" i="27"/>
  <c r="U737" i="27"/>
  <c r="T737" i="27"/>
  <c r="S737" i="27"/>
  <c r="R737" i="27"/>
  <c r="X769" i="27"/>
  <c r="W769" i="27"/>
  <c r="U769" i="27"/>
  <c r="T769" i="27"/>
  <c r="S769" i="27"/>
  <c r="R769" i="27"/>
  <c r="X801" i="27"/>
  <c r="W801" i="27"/>
  <c r="U801" i="27"/>
  <c r="T801" i="27"/>
  <c r="S801" i="27"/>
  <c r="R801" i="27"/>
  <c r="X833" i="27"/>
  <c r="W833" i="27"/>
  <c r="U833" i="27"/>
  <c r="T833" i="27"/>
  <c r="S833" i="27"/>
  <c r="R833" i="27"/>
  <c r="X865" i="27"/>
  <c r="W865" i="27"/>
  <c r="U865" i="27"/>
  <c r="T865" i="27"/>
  <c r="S865" i="27"/>
  <c r="R865" i="27"/>
  <c r="X897" i="27"/>
  <c r="W897" i="27"/>
  <c r="U897" i="27"/>
  <c r="T897" i="27"/>
  <c r="S897" i="27"/>
  <c r="R897" i="27"/>
  <c r="W162" i="27"/>
  <c r="X162" i="27"/>
  <c r="U162" i="27"/>
  <c r="T162" i="27"/>
  <c r="S162" i="27"/>
  <c r="R162" i="27"/>
  <c r="W226" i="27"/>
  <c r="X226" i="27"/>
  <c r="U226" i="27"/>
  <c r="T226" i="27"/>
  <c r="S226" i="27"/>
  <c r="R226" i="27"/>
  <c r="W290" i="27"/>
  <c r="X290" i="27"/>
  <c r="U290" i="27"/>
  <c r="T290" i="27"/>
  <c r="S290" i="27"/>
  <c r="R290" i="27"/>
  <c r="W322" i="27"/>
  <c r="X322" i="27"/>
  <c r="U322" i="27"/>
  <c r="T322" i="27"/>
  <c r="S322" i="27"/>
  <c r="R322" i="27"/>
  <c r="W354" i="27"/>
  <c r="X354" i="27"/>
  <c r="U354" i="27"/>
  <c r="T354" i="27"/>
  <c r="S354" i="27"/>
  <c r="R354" i="27"/>
  <c r="W386" i="27"/>
  <c r="X386" i="27"/>
  <c r="U386" i="27"/>
  <c r="T386" i="27"/>
  <c r="S386" i="27"/>
  <c r="R386" i="27"/>
  <c r="X738" i="27"/>
  <c r="W738" i="27"/>
  <c r="U738" i="27"/>
  <c r="T738" i="27"/>
  <c r="S738" i="27"/>
  <c r="R738" i="27"/>
  <c r="X770" i="27"/>
  <c r="W770" i="27"/>
  <c r="U770" i="27"/>
  <c r="T770" i="27"/>
  <c r="S770" i="27"/>
  <c r="R770" i="27"/>
  <c r="X802" i="27"/>
  <c r="W802" i="27"/>
  <c r="U802" i="27"/>
  <c r="T802" i="27"/>
  <c r="S802" i="27"/>
  <c r="R802" i="27"/>
  <c r="X834" i="27"/>
  <c r="W834" i="27"/>
  <c r="U834" i="27"/>
  <c r="T834" i="27"/>
  <c r="S834" i="27"/>
  <c r="R834" i="27"/>
  <c r="X866" i="27"/>
  <c r="W866" i="27"/>
  <c r="U866" i="27"/>
  <c r="T866" i="27"/>
  <c r="S866" i="27"/>
  <c r="R866" i="27"/>
  <c r="X898" i="27"/>
  <c r="W898" i="27"/>
  <c r="U898" i="27"/>
  <c r="T898" i="27"/>
  <c r="S898" i="27"/>
  <c r="R898" i="27"/>
  <c r="W155" i="27"/>
  <c r="X155" i="27"/>
  <c r="U155" i="27"/>
  <c r="T155" i="27"/>
  <c r="S155" i="27"/>
  <c r="R155" i="27"/>
  <c r="W187" i="27"/>
  <c r="X187" i="27"/>
  <c r="U187" i="27"/>
  <c r="T187" i="27"/>
  <c r="S187" i="27"/>
  <c r="R187" i="27"/>
  <c r="W219" i="27"/>
  <c r="X219" i="27"/>
  <c r="U219" i="27"/>
  <c r="T219" i="27"/>
  <c r="S219" i="27"/>
  <c r="R219" i="27"/>
  <c r="W251" i="27"/>
  <c r="X251" i="27"/>
  <c r="U251" i="27"/>
  <c r="T251" i="27"/>
  <c r="S251" i="27"/>
  <c r="R251" i="27"/>
  <c r="W283" i="27"/>
  <c r="X283" i="27"/>
  <c r="U283" i="27"/>
  <c r="T283" i="27"/>
  <c r="S283" i="27"/>
  <c r="R283" i="27"/>
  <c r="W315" i="27"/>
  <c r="X315" i="27"/>
  <c r="U315" i="27"/>
  <c r="T315" i="27"/>
  <c r="S315" i="27"/>
  <c r="R315" i="27"/>
  <c r="W347" i="27"/>
  <c r="X347" i="27"/>
  <c r="U347" i="27"/>
  <c r="T347" i="27"/>
  <c r="S347" i="27"/>
  <c r="R347" i="27"/>
  <c r="W379" i="27"/>
  <c r="X379" i="27"/>
  <c r="U379" i="27"/>
  <c r="T379" i="27"/>
  <c r="S379" i="27"/>
  <c r="R379" i="27"/>
  <c r="W411" i="27"/>
  <c r="X411" i="27"/>
  <c r="U411" i="27"/>
  <c r="T411" i="27"/>
  <c r="S411" i="27"/>
  <c r="R411" i="27"/>
  <c r="W443" i="27"/>
  <c r="X443" i="27"/>
  <c r="U443" i="27"/>
  <c r="T443" i="27"/>
  <c r="R443" i="27"/>
  <c r="S443" i="27"/>
  <c r="W475" i="27"/>
  <c r="X475" i="27"/>
  <c r="U475" i="27"/>
  <c r="T475" i="27"/>
  <c r="R475" i="27"/>
  <c r="S475" i="27"/>
  <c r="X507" i="27"/>
  <c r="W507" i="27"/>
  <c r="U507" i="27"/>
  <c r="T507" i="27"/>
  <c r="R507" i="27"/>
  <c r="S507" i="27"/>
  <c r="X539" i="27"/>
  <c r="W539" i="27"/>
  <c r="U539" i="27"/>
  <c r="T539" i="27"/>
  <c r="R539" i="27"/>
  <c r="S539" i="27"/>
  <c r="X571" i="27"/>
  <c r="W571" i="27"/>
  <c r="U571" i="27"/>
  <c r="T571" i="27"/>
  <c r="R571" i="27"/>
  <c r="S571" i="27"/>
  <c r="U603" i="27"/>
  <c r="T603" i="27"/>
  <c r="R603" i="27"/>
  <c r="S603" i="27"/>
  <c r="U635" i="27"/>
  <c r="T635" i="27"/>
  <c r="S635" i="27"/>
  <c r="R635" i="27"/>
  <c r="U667" i="27"/>
  <c r="T667" i="27"/>
  <c r="S667" i="27"/>
  <c r="R667" i="27"/>
  <c r="X699" i="27"/>
  <c r="W699" i="27"/>
  <c r="U699" i="27"/>
  <c r="T699" i="27"/>
  <c r="S699" i="27"/>
  <c r="R699" i="27"/>
  <c r="X731" i="27"/>
  <c r="W731" i="27"/>
  <c r="U731" i="27"/>
  <c r="T731" i="27"/>
  <c r="S731" i="27"/>
  <c r="R731" i="27"/>
  <c r="X763" i="27"/>
  <c r="W763" i="27"/>
  <c r="U763" i="27"/>
  <c r="T763" i="27"/>
  <c r="S763" i="27"/>
  <c r="R763" i="27"/>
  <c r="X795" i="27"/>
  <c r="W795" i="27"/>
  <c r="U795" i="27"/>
  <c r="T795" i="27"/>
  <c r="S795" i="27"/>
  <c r="R795" i="27"/>
  <c r="X827" i="27"/>
  <c r="W827" i="27"/>
  <c r="U827" i="27"/>
  <c r="T827" i="27"/>
  <c r="S827" i="27"/>
  <c r="R827" i="27"/>
  <c r="X859" i="27"/>
  <c r="W859" i="27"/>
  <c r="U859" i="27"/>
  <c r="T859" i="27"/>
  <c r="S859" i="27"/>
  <c r="R859" i="27"/>
  <c r="X891" i="27"/>
  <c r="W891" i="27"/>
  <c r="U891" i="27"/>
  <c r="T891" i="27"/>
  <c r="S891" i="27"/>
  <c r="R891" i="27"/>
  <c r="X188" i="27"/>
  <c r="W188" i="27"/>
  <c r="U188" i="27"/>
  <c r="T188" i="27"/>
  <c r="S188" i="27"/>
  <c r="R188" i="27"/>
  <c r="X252" i="27"/>
  <c r="W252" i="27"/>
  <c r="U252" i="27"/>
  <c r="T252" i="27"/>
  <c r="R252" i="27"/>
  <c r="S252" i="27"/>
  <c r="X540" i="27"/>
  <c r="W540" i="27"/>
  <c r="U540" i="27"/>
  <c r="T540" i="27"/>
  <c r="R540" i="27"/>
  <c r="S540" i="27"/>
  <c r="X572" i="27"/>
  <c r="W572" i="27"/>
  <c r="U572" i="27"/>
  <c r="T572" i="27"/>
  <c r="S572" i="27"/>
  <c r="R572" i="27"/>
  <c r="U604" i="27"/>
  <c r="T604" i="27"/>
  <c r="S604" i="27"/>
  <c r="R604" i="27"/>
  <c r="U636" i="27"/>
  <c r="T636" i="27"/>
  <c r="S636" i="27"/>
  <c r="R636" i="27"/>
  <c r="U668" i="27"/>
  <c r="T668" i="27"/>
  <c r="S668" i="27"/>
  <c r="R668" i="27"/>
  <c r="X700" i="27"/>
  <c r="W700" i="27"/>
  <c r="U700" i="27"/>
  <c r="T700" i="27"/>
  <c r="S700" i="27"/>
  <c r="R700" i="27"/>
  <c r="X732" i="27"/>
  <c r="W732" i="27"/>
  <c r="U732" i="27"/>
  <c r="T732" i="27"/>
  <c r="S732" i="27"/>
  <c r="R732" i="27"/>
  <c r="X764" i="27"/>
  <c r="W764" i="27"/>
  <c r="U764" i="27"/>
  <c r="T764" i="27"/>
  <c r="S764" i="27"/>
  <c r="R764" i="27"/>
  <c r="X796" i="27"/>
  <c r="W796" i="27"/>
  <c r="U796" i="27"/>
  <c r="T796" i="27"/>
  <c r="S796" i="27"/>
  <c r="R796" i="27"/>
  <c r="X828" i="27"/>
  <c r="W828" i="27"/>
  <c r="U828" i="27"/>
  <c r="T828" i="27"/>
  <c r="S828" i="27"/>
  <c r="R828" i="27"/>
  <c r="X860" i="27"/>
  <c r="W860" i="27"/>
  <c r="U860" i="27"/>
  <c r="T860" i="27"/>
  <c r="S860" i="27"/>
  <c r="R860" i="27"/>
  <c r="X892" i="27"/>
  <c r="W892" i="27"/>
  <c r="U892" i="27"/>
  <c r="T892" i="27"/>
  <c r="S892" i="27"/>
  <c r="R892" i="27"/>
  <c r="X924" i="27"/>
  <c r="W924" i="27"/>
  <c r="U924" i="27"/>
  <c r="T924" i="27"/>
  <c r="S924" i="27"/>
  <c r="R924" i="27"/>
  <c r="X988" i="27"/>
  <c r="W988" i="27"/>
  <c r="T988" i="27"/>
  <c r="U988" i="27"/>
  <c r="S988" i="27"/>
  <c r="R988" i="27"/>
  <c r="X1052" i="27"/>
  <c r="W1052" i="27"/>
  <c r="T1052" i="27"/>
  <c r="U1052" i="27"/>
  <c r="S1052" i="27"/>
  <c r="R1052" i="27"/>
  <c r="X1116" i="27"/>
  <c r="W1116" i="27"/>
  <c r="U1116" i="27"/>
  <c r="T1116" i="27"/>
  <c r="S1116" i="27"/>
  <c r="R1116" i="27"/>
  <c r="X773" i="27"/>
  <c r="W773" i="27"/>
  <c r="U773" i="27"/>
  <c r="T773" i="27"/>
  <c r="S773" i="27"/>
  <c r="R773" i="27"/>
  <c r="X853" i="27"/>
  <c r="W853" i="27"/>
  <c r="U853" i="27"/>
  <c r="T853" i="27"/>
  <c r="S853" i="27"/>
  <c r="R853" i="27"/>
  <c r="X149" i="27"/>
  <c r="W149" i="27"/>
  <c r="U149" i="27"/>
  <c r="T149" i="27"/>
  <c r="S149" i="27"/>
  <c r="R149" i="27"/>
  <c r="X189" i="27"/>
  <c r="W189" i="27"/>
  <c r="U189" i="27"/>
  <c r="T189" i="27"/>
  <c r="S189" i="27"/>
  <c r="R189" i="27"/>
  <c r="X309" i="27"/>
  <c r="W309" i="27"/>
  <c r="U309" i="27"/>
  <c r="T309" i="27"/>
  <c r="S309" i="27"/>
  <c r="R309" i="27"/>
  <c r="X373" i="27"/>
  <c r="W373" i="27"/>
  <c r="U373" i="27"/>
  <c r="T373" i="27"/>
  <c r="S373" i="27"/>
  <c r="R373" i="27"/>
  <c r="X437" i="27"/>
  <c r="W437" i="27"/>
  <c r="U437" i="27"/>
  <c r="T437" i="27"/>
  <c r="R437" i="27"/>
  <c r="S437" i="27"/>
  <c r="X501" i="27"/>
  <c r="W501" i="27"/>
  <c r="U501" i="27"/>
  <c r="T501" i="27"/>
  <c r="R501" i="27"/>
  <c r="S501" i="27"/>
  <c r="X557" i="27"/>
  <c r="W557" i="27"/>
  <c r="U557" i="27"/>
  <c r="T557" i="27"/>
  <c r="S557" i="27"/>
  <c r="R557" i="27"/>
  <c r="T621" i="27"/>
  <c r="U621" i="27"/>
  <c r="S621" i="27"/>
  <c r="R621" i="27"/>
  <c r="U669" i="27"/>
  <c r="T669" i="27"/>
  <c r="S669" i="27"/>
  <c r="R669" i="27"/>
  <c r="X725" i="27"/>
  <c r="W725" i="27"/>
  <c r="U725" i="27"/>
  <c r="T725" i="27"/>
  <c r="S725" i="27"/>
  <c r="R725" i="27"/>
  <c r="X781" i="27"/>
  <c r="W781" i="27"/>
  <c r="T781" i="27"/>
  <c r="U781" i="27"/>
  <c r="S781" i="27"/>
  <c r="R781" i="27"/>
  <c r="X829" i="27"/>
  <c r="W829" i="27"/>
  <c r="U829" i="27"/>
  <c r="T829" i="27"/>
  <c r="S829" i="27"/>
  <c r="R829" i="27"/>
  <c r="X893" i="27"/>
  <c r="W893" i="27"/>
  <c r="T893" i="27"/>
  <c r="U893" i="27"/>
  <c r="S893" i="27"/>
  <c r="R893" i="27"/>
  <c r="X734" i="27"/>
  <c r="W734" i="27"/>
  <c r="U734" i="27"/>
  <c r="T734" i="27"/>
  <c r="S734" i="27"/>
  <c r="R734" i="27"/>
  <c r="X798" i="27"/>
  <c r="W798" i="27"/>
  <c r="U798" i="27"/>
  <c r="T798" i="27"/>
  <c r="S798" i="27"/>
  <c r="R798" i="27"/>
  <c r="X862" i="27"/>
  <c r="W862" i="27"/>
  <c r="U862" i="27"/>
  <c r="T862" i="27"/>
  <c r="S862" i="27"/>
  <c r="R862" i="27"/>
  <c r="W168" i="27"/>
  <c r="X168" i="27"/>
  <c r="U168" i="27"/>
  <c r="T168" i="27"/>
  <c r="S168" i="27"/>
  <c r="R168" i="27"/>
  <c r="W200" i="27"/>
  <c r="X200" i="27"/>
  <c r="T200" i="27"/>
  <c r="U200" i="27"/>
  <c r="S200" i="27"/>
  <c r="R200" i="27"/>
  <c r="W232" i="27"/>
  <c r="X232" i="27"/>
  <c r="T232" i="27"/>
  <c r="U232" i="27"/>
  <c r="S232" i="27"/>
  <c r="R232" i="27"/>
  <c r="W264" i="27"/>
  <c r="X264" i="27"/>
  <c r="T264" i="27"/>
  <c r="U264" i="27"/>
  <c r="S264" i="27"/>
  <c r="R264" i="27"/>
  <c r="W296" i="27"/>
  <c r="X296" i="27"/>
  <c r="T296" i="27"/>
  <c r="U296" i="27"/>
  <c r="S296" i="27"/>
  <c r="R296" i="27"/>
  <c r="W328" i="27"/>
  <c r="X328" i="27"/>
  <c r="T328" i="27"/>
  <c r="U328" i="27"/>
  <c r="S328" i="27"/>
  <c r="R328" i="27"/>
  <c r="W360" i="27"/>
  <c r="X360" i="27"/>
  <c r="T360" i="27"/>
  <c r="U360" i="27"/>
  <c r="S360" i="27"/>
  <c r="R360" i="27"/>
  <c r="W392" i="27"/>
  <c r="X392" i="27"/>
  <c r="T392" i="27"/>
  <c r="U392" i="27"/>
  <c r="S392" i="27"/>
  <c r="R392" i="27"/>
  <c r="W424" i="27"/>
  <c r="X424" i="27"/>
  <c r="T424" i="27"/>
  <c r="U424" i="27"/>
  <c r="S424" i="27"/>
  <c r="R424" i="27"/>
  <c r="W456" i="27"/>
  <c r="X456" i="27"/>
  <c r="T456" i="27"/>
  <c r="U456" i="27"/>
  <c r="S456" i="27"/>
  <c r="R456" i="27"/>
  <c r="W488" i="27"/>
  <c r="X488" i="27"/>
  <c r="T488" i="27"/>
  <c r="U488" i="27"/>
  <c r="S488" i="27"/>
  <c r="R488" i="27"/>
  <c r="T520" i="27"/>
  <c r="U520" i="27"/>
  <c r="S520" i="27"/>
  <c r="R520" i="27"/>
  <c r="X552" i="27"/>
  <c r="W552" i="27"/>
  <c r="T552" i="27"/>
  <c r="U552" i="27"/>
  <c r="S552" i="27"/>
  <c r="R552" i="27"/>
  <c r="X584" i="27"/>
  <c r="W584" i="27"/>
  <c r="T584" i="27"/>
  <c r="U584" i="27"/>
  <c r="S584" i="27"/>
  <c r="R584" i="27"/>
  <c r="T616" i="27"/>
  <c r="U616" i="27"/>
  <c r="S616" i="27"/>
  <c r="R616" i="27"/>
  <c r="T648" i="27"/>
  <c r="U648" i="27"/>
  <c r="S648" i="27"/>
  <c r="R648" i="27"/>
  <c r="T680" i="27"/>
  <c r="U680" i="27"/>
  <c r="S680" i="27"/>
  <c r="R680" i="27"/>
  <c r="X712" i="27"/>
  <c r="W712" i="27"/>
  <c r="U712" i="27"/>
  <c r="T712" i="27"/>
  <c r="S712" i="27"/>
  <c r="R712" i="27"/>
  <c r="X744" i="27"/>
  <c r="W744" i="27"/>
  <c r="U744" i="27"/>
  <c r="T744" i="27"/>
  <c r="S744" i="27"/>
  <c r="R744" i="27"/>
  <c r="X808" i="27"/>
  <c r="W808" i="27"/>
  <c r="U808" i="27"/>
  <c r="T808" i="27"/>
  <c r="S808" i="27"/>
  <c r="R808" i="27"/>
  <c r="X872" i="27"/>
  <c r="W872" i="27"/>
  <c r="U872" i="27"/>
  <c r="T872" i="27"/>
  <c r="S872" i="27"/>
  <c r="R872" i="27"/>
  <c r="X40" i="27"/>
  <c r="S40" i="27"/>
  <c r="T40" i="27"/>
  <c r="W40" i="27"/>
  <c r="U40" i="27"/>
  <c r="R40" i="27"/>
  <c r="X72" i="27"/>
  <c r="S72" i="27"/>
  <c r="T72" i="27"/>
  <c r="W72" i="27"/>
  <c r="U72" i="27"/>
  <c r="R72" i="27"/>
  <c r="X104" i="27"/>
  <c r="S104" i="27"/>
  <c r="T104" i="27"/>
  <c r="W104" i="27"/>
  <c r="R104" i="27"/>
  <c r="U104" i="27"/>
  <c r="W49" i="27"/>
  <c r="R49" i="27"/>
  <c r="X49" i="27"/>
  <c r="S49" i="27"/>
  <c r="T49" i="27"/>
  <c r="U49" i="27"/>
  <c r="W113" i="27"/>
  <c r="X113" i="27"/>
  <c r="S113" i="27"/>
  <c r="T113" i="27"/>
  <c r="U113" i="27"/>
  <c r="R113" i="27"/>
  <c r="W26" i="27"/>
  <c r="R26" i="27"/>
  <c r="X26" i="27"/>
  <c r="S26" i="27"/>
  <c r="U26" i="27"/>
  <c r="T26" i="27"/>
  <c r="W58" i="27"/>
  <c r="R58" i="27"/>
  <c r="X58" i="27"/>
  <c r="S58" i="27"/>
  <c r="U58" i="27"/>
  <c r="T58" i="27"/>
  <c r="W90" i="27"/>
  <c r="R90" i="27"/>
  <c r="X90" i="27"/>
  <c r="S90" i="27"/>
  <c r="U90" i="27"/>
  <c r="T90" i="27"/>
  <c r="S122" i="27"/>
  <c r="U122" i="27"/>
  <c r="R122" i="27"/>
  <c r="T122" i="27"/>
  <c r="U35" i="27"/>
  <c r="W35" i="27"/>
  <c r="R35" i="27"/>
  <c r="X35" i="27"/>
  <c r="S35" i="27"/>
  <c r="T35" i="27"/>
  <c r="U67" i="27"/>
  <c r="W67" i="27"/>
  <c r="R67" i="27"/>
  <c r="X67" i="27"/>
  <c r="S67" i="27"/>
  <c r="T67" i="27"/>
  <c r="U99" i="27"/>
  <c r="W99" i="27"/>
  <c r="R99" i="27"/>
  <c r="X99" i="27"/>
  <c r="S99" i="27"/>
  <c r="T99" i="27"/>
  <c r="U131" i="27"/>
  <c r="S131" i="27"/>
  <c r="T131" i="27"/>
  <c r="R131" i="27"/>
  <c r="U60" i="27"/>
  <c r="W60" i="27"/>
  <c r="R60" i="27"/>
  <c r="T60" i="27"/>
  <c r="S60" i="27"/>
  <c r="X60" i="27"/>
  <c r="U124" i="27"/>
  <c r="T124" i="27"/>
  <c r="S124" i="27"/>
  <c r="R124" i="27"/>
  <c r="T110" i="27"/>
  <c r="U110" i="27"/>
  <c r="X110" i="27"/>
  <c r="S110" i="27"/>
  <c r="W110" i="27"/>
  <c r="R110" i="27"/>
  <c r="X95" i="27"/>
  <c r="S95" i="27"/>
  <c r="T95" i="27"/>
  <c r="U95" i="27"/>
  <c r="W95" i="27"/>
  <c r="R95" i="27"/>
  <c r="T134" i="27"/>
  <c r="U134" i="27"/>
  <c r="S134" i="27"/>
  <c r="R134" i="27"/>
  <c r="X111" i="27"/>
  <c r="S111" i="27"/>
  <c r="T111" i="27"/>
  <c r="U111" i="27"/>
  <c r="W111" i="27"/>
  <c r="R111" i="27"/>
  <c r="T118" i="27"/>
  <c r="U118" i="27"/>
  <c r="S118" i="27"/>
  <c r="R118" i="27"/>
  <c r="S119" i="27"/>
  <c r="T119" i="27"/>
  <c r="U119" i="27"/>
  <c r="R119" i="27"/>
  <c r="T85" i="27"/>
  <c r="U85" i="27"/>
  <c r="W85" i="27"/>
  <c r="R85" i="27"/>
  <c r="X85" i="27"/>
  <c r="S85" i="27"/>
  <c r="T117" i="27"/>
  <c r="U117" i="27"/>
  <c r="S117" i="27"/>
  <c r="R117" i="27"/>
  <c r="W89" i="27"/>
  <c r="R89" i="27"/>
  <c r="X89" i="27"/>
  <c r="S89" i="27"/>
  <c r="T89" i="27"/>
  <c r="U89" i="27"/>
  <c r="S121" i="27"/>
  <c r="T121" i="27"/>
  <c r="U121" i="27"/>
  <c r="R121" i="27"/>
  <c r="T126" i="27"/>
  <c r="U126" i="27"/>
  <c r="S126" i="27"/>
  <c r="R126" i="27"/>
  <c r="X103" i="27"/>
  <c r="S103" i="27"/>
  <c r="T103" i="27"/>
  <c r="U103" i="27"/>
  <c r="W103" i="27"/>
  <c r="R103" i="27"/>
  <c r="U68" i="27"/>
  <c r="W68" i="27"/>
  <c r="R68" i="27"/>
  <c r="T68" i="27"/>
  <c r="S68" i="27"/>
  <c r="X68" i="27"/>
  <c r="U132" i="27"/>
  <c r="T132" i="27"/>
  <c r="S132" i="27"/>
  <c r="R132" i="27"/>
  <c r="T53" i="27"/>
  <c r="U53" i="27"/>
  <c r="W53" i="27"/>
  <c r="R53" i="27"/>
  <c r="X53" i="27"/>
  <c r="S53" i="27"/>
  <c r="X112" i="27"/>
  <c r="S112" i="27"/>
  <c r="T112" i="27"/>
  <c r="W112" i="27"/>
  <c r="R112" i="27"/>
  <c r="U112" i="27"/>
  <c r="W57" i="27"/>
  <c r="R57" i="27"/>
  <c r="X57" i="27"/>
  <c r="S57" i="27"/>
  <c r="T57" i="27"/>
  <c r="U57" i="27"/>
  <c r="S130" i="27"/>
  <c r="U130" i="27"/>
  <c r="R130" i="27"/>
  <c r="T130" i="27"/>
  <c r="U75" i="27"/>
  <c r="W75" i="27"/>
  <c r="R75" i="27"/>
  <c r="X75" i="27"/>
  <c r="S75" i="27"/>
  <c r="T75" i="27"/>
  <c r="U136" i="27"/>
  <c r="S136" i="27"/>
  <c r="T136" i="27"/>
  <c r="R136" i="27"/>
  <c r="U137" i="27"/>
  <c r="T137" i="27"/>
  <c r="S137" i="27"/>
  <c r="R137" i="27"/>
  <c r="S127" i="27"/>
  <c r="T127" i="27"/>
  <c r="U127" i="27"/>
  <c r="R127" i="27"/>
  <c r="T46" i="27"/>
  <c r="U46" i="27"/>
  <c r="X46" i="27"/>
  <c r="S46" i="27"/>
  <c r="R46" i="27"/>
  <c r="W46" i="27"/>
  <c r="T30" i="27"/>
  <c r="U30" i="27"/>
  <c r="X30" i="27"/>
  <c r="S30" i="27"/>
  <c r="R30" i="27"/>
  <c r="W30" i="27"/>
  <c r="T29" i="27"/>
  <c r="U29" i="27"/>
  <c r="W29" i="27"/>
  <c r="R29" i="27"/>
  <c r="X29" i="27"/>
  <c r="S29" i="27"/>
  <c r="AC125" i="28"/>
  <c r="W65" i="27"/>
  <c r="R65" i="27"/>
  <c r="X65" i="27"/>
  <c r="S65" i="27"/>
  <c r="T65" i="27"/>
  <c r="U65" i="27"/>
  <c r="T38" i="27"/>
  <c r="U38" i="27"/>
  <c r="X38" i="27"/>
  <c r="S38" i="27"/>
  <c r="W38" i="27"/>
  <c r="R38" i="27"/>
  <c r="S135" i="27"/>
  <c r="T135" i="27"/>
  <c r="U135" i="27"/>
  <c r="R135" i="27"/>
  <c r="U84" i="27"/>
  <c r="W84" i="27"/>
  <c r="R84" i="27"/>
  <c r="T84" i="27"/>
  <c r="X84" i="27"/>
  <c r="S84" i="27"/>
  <c r="T125" i="27"/>
  <c r="U125" i="27"/>
  <c r="S125" i="27"/>
  <c r="R125" i="27"/>
  <c r="AC81" i="28"/>
  <c r="X48" i="27"/>
  <c r="S48" i="27"/>
  <c r="T48" i="27"/>
  <c r="W48" i="27"/>
  <c r="R48" i="27"/>
  <c r="U48" i="27"/>
  <c r="X80" i="27"/>
  <c r="S80" i="27"/>
  <c r="T80" i="27"/>
  <c r="W80" i="27"/>
  <c r="U80" i="27"/>
  <c r="R80" i="27"/>
  <c r="W25" i="27"/>
  <c r="R25" i="27"/>
  <c r="X25" i="27"/>
  <c r="S25" i="27"/>
  <c r="T25" i="27"/>
  <c r="U25" i="27"/>
  <c r="W34" i="27"/>
  <c r="R34" i="27"/>
  <c r="X34" i="27"/>
  <c r="S34" i="27"/>
  <c r="U34" i="27"/>
  <c r="T34" i="27"/>
  <c r="U43" i="27"/>
  <c r="W43" i="27"/>
  <c r="R43" i="27"/>
  <c r="X43" i="27"/>
  <c r="S43" i="27"/>
  <c r="T43" i="27"/>
  <c r="U107" i="27"/>
  <c r="W107" i="27"/>
  <c r="X107" i="27"/>
  <c r="S107" i="27"/>
  <c r="T107" i="27"/>
  <c r="R107" i="27"/>
  <c r="U76" i="27"/>
  <c r="W76" i="27"/>
  <c r="R76" i="27"/>
  <c r="T76" i="27"/>
  <c r="S76" i="27"/>
  <c r="X76" i="27"/>
  <c r="T139" i="27"/>
  <c r="U139" i="27"/>
  <c r="S139" i="27"/>
  <c r="R139" i="27"/>
  <c r="X39" i="27"/>
  <c r="S39" i="27"/>
  <c r="T39" i="27"/>
  <c r="U39" i="27"/>
  <c r="W39" i="27"/>
  <c r="R39" i="27"/>
  <c r="X47" i="27"/>
  <c r="S47" i="27"/>
  <c r="T47" i="27"/>
  <c r="U47" i="27"/>
  <c r="W47" i="27"/>
  <c r="R47" i="27"/>
  <c r="T61" i="27"/>
  <c r="U61" i="27"/>
  <c r="W61" i="27"/>
  <c r="R61" i="27"/>
  <c r="X61" i="27"/>
  <c r="S61" i="27"/>
  <c r="T93" i="27"/>
  <c r="U93" i="27"/>
  <c r="W93" i="27"/>
  <c r="R93" i="27"/>
  <c r="X93" i="27"/>
  <c r="S93" i="27"/>
  <c r="AC132" i="28"/>
  <c r="AC53" i="28"/>
  <c r="X56" i="27"/>
  <c r="S56" i="27"/>
  <c r="T56" i="27"/>
  <c r="W56" i="27"/>
  <c r="R56" i="27"/>
  <c r="U56" i="27"/>
  <c r="X88" i="27"/>
  <c r="S88" i="27"/>
  <c r="T88" i="27"/>
  <c r="W88" i="27"/>
  <c r="R88" i="27"/>
  <c r="U88" i="27"/>
  <c r="S120" i="27"/>
  <c r="T120" i="27"/>
  <c r="U120" i="27"/>
  <c r="R120" i="27"/>
  <c r="W33" i="27"/>
  <c r="R33" i="27"/>
  <c r="X33" i="27"/>
  <c r="S33" i="27"/>
  <c r="T33" i="27"/>
  <c r="U33" i="27"/>
  <c r="W97" i="27"/>
  <c r="R97" i="27"/>
  <c r="X97" i="27"/>
  <c r="S97" i="27"/>
  <c r="T97" i="27"/>
  <c r="U97" i="27"/>
  <c r="S129" i="27"/>
  <c r="T129" i="27"/>
  <c r="U129" i="27"/>
  <c r="R129" i="27"/>
  <c r="W42" i="27"/>
  <c r="R42" i="27"/>
  <c r="X42" i="27"/>
  <c r="S42" i="27"/>
  <c r="U42" i="27"/>
  <c r="T42" i="27"/>
  <c r="W74" i="27"/>
  <c r="R74" i="27"/>
  <c r="X74" i="27"/>
  <c r="S74" i="27"/>
  <c r="U74" i="27"/>
  <c r="T74" i="27"/>
  <c r="W106" i="27"/>
  <c r="X106" i="27"/>
  <c r="S106" i="27"/>
  <c r="U106" i="27"/>
  <c r="R106" i="27"/>
  <c r="T106" i="27"/>
  <c r="U51" i="27"/>
  <c r="W51" i="27"/>
  <c r="R51" i="27"/>
  <c r="X51" i="27"/>
  <c r="S51" i="27"/>
  <c r="T51" i="27"/>
  <c r="U83" i="27"/>
  <c r="W83" i="27"/>
  <c r="R83" i="27"/>
  <c r="X83" i="27"/>
  <c r="S83" i="27"/>
  <c r="T83" i="27"/>
  <c r="U115" i="27"/>
  <c r="S115" i="27"/>
  <c r="T115" i="27"/>
  <c r="R115" i="27"/>
  <c r="U36" i="27"/>
  <c r="W36" i="27"/>
  <c r="R36" i="27"/>
  <c r="T36" i="27"/>
  <c r="X36" i="27"/>
  <c r="S36" i="27"/>
  <c r="U92" i="27"/>
  <c r="W92" i="27"/>
  <c r="R92" i="27"/>
  <c r="T92" i="27"/>
  <c r="X92" i="27"/>
  <c r="S92" i="27"/>
  <c r="X31" i="27"/>
  <c r="S31" i="27"/>
  <c r="T31" i="27"/>
  <c r="U31" i="27"/>
  <c r="W31" i="27"/>
  <c r="R31" i="27"/>
  <c r="T70" i="27"/>
  <c r="U70" i="27"/>
  <c r="X70" i="27"/>
  <c r="S70" i="27"/>
  <c r="W70" i="27"/>
  <c r="R70" i="27"/>
  <c r="X55" i="27"/>
  <c r="S55" i="27"/>
  <c r="T55" i="27"/>
  <c r="U55" i="27"/>
  <c r="W55" i="27"/>
  <c r="R55" i="27"/>
  <c r="T54" i="27"/>
  <c r="U54" i="27"/>
  <c r="X54" i="27"/>
  <c r="S54" i="27"/>
  <c r="W54" i="27"/>
  <c r="R54" i="27"/>
  <c r="X63" i="27"/>
  <c r="S63" i="27"/>
  <c r="T63" i="27"/>
  <c r="U63" i="27"/>
  <c r="W63" i="27"/>
  <c r="R63" i="27"/>
  <c r="T37" i="27"/>
  <c r="U37" i="27"/>
  <c r="W37" i="27"/>
  <c r="R37" i="27"/>
  <c r="X37" i="27"/>
  <c r="S37" i="27"/>
  <c r="T133" i="27"/>
  <c r="U133" i="27"/>
  <c r="S133" i="27"/>
  <c r="R133" i="27"/>
  <c r="X24" i="27"/>
  <c r="S24" i="27"/>
  <c r="T24" i="27"/>
  <c r="W24" i="27"/>
  <c r="R24" i="27"/>
  <c r="U24" i="27"/>
  <c r="W41" i="27"/>
  <c r="R41" i="27"/>
  <c r="X41" i="27"/>
  <c r="S41" i="27"/>
  <c r="T41" i="27"/>
  <c r="U41" i="27"/>
  <c r="W105" i="27"/>
  <c r="X105" i="27"/>
  <c r="S105" i="27"/>
  <c r="T105" i="27"/>
  <c r="U105" i="27"/>
  <c r="R105" i="27"/>
  <c r="T62" i="27"/>
  <c r="U62" i="27"/>
  <c r="X62" i="27"/>
  <c r="S62" i="27"/>
  <c r="W62" i="27"/>
  <c r="R62" i="27"/>
  <c r="U28" i="27"/>
  <c r="W28" i="27"/>
  <c r="R28" i="27"/>
  <c r="T28" i="27"/>
  <c r="X28" i="27"/>
  <c r="S28" i="27"/>
  <c r="U100" i="27"/>
  <c r="W100" i="27"/>
  <c r="R100" i="27"/>
  <c r="T100" i="27"/>
  <c r="X100" i="27"/>
  <c r="S100" i="27"/>
  <c r="T69" i="27"/>
  <c r="U69" i="27"/>
  <c r="W69" i="27"/>
  <c r="R69" i="27"/>
  <c r="X69" i="27"/>
  <c r="S69" i="27"/>
  <c r="T101" i="27"/>
  <c r="U101" i="27"/>
  <c r="W101" i="27"/>
  <c r="R101" i="27"/>
  <c r="X101" i="27"/>
  <c r="S101" i="27"/>
  <c r="W98" i="27"/>
  <c r="R98" i="27"/>
  <c r="X98" i="27"/>
  <c r="S98" i="27"/>
  <c r="U98" i="27"/>
  <c r="T98" i="27"/>
  <c r="AC120" i="28"/>
  <c r="AC121" i="28"/>
  <c r="X32" i="27"/>
  <c r="S32" i="27"/>
  <c r="T32" i="27"/>
  <c r="W32" i="27"/>
  <c r="U32" i="27"/>
  <c r="R32" i="27"/>
  <c r="X64" i="27"/>
  <c r="S64" i="27"/>
  <c r="T64" i="27"/>
  <c r="W64" i="27"/>
  <c r="U64" i="27"/>
  <c r="R64" i="27"/>
  <c r="X96" i="27"/>
  <c r="S96" i="27"/>
  <c r="T96" i="27"/>
  <c r="W96" i="27"/>
  <c r="U96" i="27"/>
  <c r="R96" i="27"/>
  <c r="S128" i="27"/>
  <c r="T128" i="27"/>
  <c r="R128" i="27"/>
  <c r="U128" i="27"/>
  <c r="W73" i="27"/>
  <c r="R73" i="27"/>
  <c r="X73" i="27"/>
  <c r="S73" i="27"/>
  <c r="T73" i="27"/>
  <c r="U73" i="27"/>
  <c r="W50" i="27"/>
  <c r="R50" i="27"/>
  <c r="X50" i="27"/>
  <c r="S50" i="27"/>
  <c r="U50" i="27"/>
  <c r="T50" i="27"/>
  <c r="W82" i="27"/>
  <c r="R82" i="27"/>
  <c r="X82" i="27"/>
  <c r="S82" i="27"/>
  <c r="U82" i="27"/>
  <c r="T82" i="27"/>
  <c r="W114" i="27"/>
  <c r="X114" i="27"/>
  <c r="S114" i="27"/>
  <c r="U114" i="27"/>
  <c r="R114" i="27"/>
  <c r="T114" i="27"/>
  <c r="U27" i="27"/>
  <c r="W27" i="27"/>
  <c r="R27" i="27"/>
  <c r="X27" i="27"/>
  <c r="S27" i="27"/>
  <c r="T27" i="27"/>
  <c r="U59" i="27"/>
  <c r="W59" i="27"/>
  <c r="R59" i="27"/>
  <c r="X59" i="27"/>
  <c r="S59" i="27"/>
  <c r="T59" i="27"/>
  <c r="U91" i="27"/>
  <c r="W91" i="27"/>
  <c r="R91" i="27"/>
  <c r="X91" i="27"/>
  <c r="S91" i="27"/>
  <c r="T91" i="27"/>
  <c r="U123" i="27"/>
  <c r="S123" i="27"/>
  <c r="T123" i="27"/>
  <c r="R123" i="27"/>
  <c r="U44" i="27"/>
  <c r="W44" i="27"/>
  <c r="R44" i="27"/>
  <c r="T44" i="27"/>
  <c r="S44" i="27"/>
  <c r="X44" i="27"/>
  <c r="U108" i="27"/>
  <c r="W108" i="27"/>
  <c r="T108" i="27"/>
  <c r="S108" i="27"/>
  <c r="X108" i="27"/>
  <c r="R108" i="27"/>
  <c r="T78" i="27"/>
  <c r="U78" i="27"/>
  <c r="X78" i="27"/>
  <c r="S78" i="27"/>
  <c r="R78" i="27"/>
  <c r="W78" i="27"/>
  <c r="X71" i="27"/>
  <c r="S71" i="27"/>
  <c r="T71" i="27"/>
  <c r="U71" i="27"/>
  <c r="W71" i="27"/>
  <c r="R71" i="27"/>
  <c r="T102" i="27"/>
  <c r="U102" i="27"/>
  <c r="X102" i="27"/>
  <c r="S102" i="27"/>
  <c r="W102" i="27"/>
  <c r="R102" i="27"/>
  <c r="X79" i="27"/>
  <c r="S79" i="27"/>
  <c r="T79" i="27"/>
  <c r="U79" i="27"/>
  <c r="W79" i="27"/>
  <c r="R79" i="27"/>
  <c r="T86" i="27"/>
  <c r="U86" i="27"/>
  <c r="X86" i="27"/>
  <c r="S86" i="27"/>
  <c r="R86" i="27"/>
  <c r="W86" i="27"/>
  <c r="X87" i="27"/>
  <c r="S87" i="27"/>
  <c r="T87" i="27"/>
  <c r="U87" i="27"/>
  <c r="W87" i="27"/>
  <c r="R87" i="27"/>
  <c r="W66" i="27"/>
  <c r="R66" i="27"/>
  <c r="X66" i="27"/>
  <c r="S66" i="27"/>
  <c r="U66" i="27"/>
  <c r="T66" i="27"/>
  <c r="AC84" i="28"/>
  <c r="W81" i="27"/>
  <c r="R81" i="27"/>
  <c r="X81" i="27"/>
  <c r="S81" i="27"/>
  <c r="T81" i="27"/>
  <c r="U81" i="27"/>
  <c r="T94" i="27"/>
  <c r="U94" i="27"/>
  <c r="X94" i="27"/>
  <c r="S94" i="27"/>
  <c r="R94" i="27"/>
  <c r="W94" i="27"/>
  <c r="U52" i="27"/>
  <c r="W52" i="27"/>
  <c r="R52" i="27"/>
  <c r="T52" i="27"/>
  <c r="X52" i="27"/>
  <c r="S52" i="27"/>
  <c r="U116" i="27"/>
  <c r="T116" i="27"/>
  <c r="R116" i="27"/>
  <c r="S116" i="27"/>
  <c r="T45" i="27"/>
  <c r="U45" i="27"/>
  <c r="W45" i="27"/>
  <c r="R45" i="27"/>
  <c r="X45" i="27"/>
  <c r="S45" i="27"/>
  <c r="T77" i="27"/>
  <c r="U77" i="27"/>
  <c r="W77" i="27"/>
  <c r="R77" i="27"/>
  <c r="X77" i="27"/>
  <c r="S77" i="27"/>
  <c r="T109" i="27"/>
  <c r="U109" i="27"/>
  <c r="W109" i="27"/>
  <c r="X109" i="27"/>
  <c r="S109" i="27"/>
  <c r="R109" i="27"/>
  <c r="T138" i="27"/>
  <c r="U138" i="27"/>
  <c r="S138" i="27"/>
  <c r="R138" i="27"/>
  <c r="X22" i="27"/>
  <c r="W22" i="27"/>
  <c r="U22" i="27"/>
  <c r="T22" i="27"/>
  <c r="S22" i="27"/>
  <c r="D58" i="2" l="1"/>
  <c r="D57" i="2"/>
  <c r="D56" i="2"/>
  <c r="D55" i="2"/>
  <c r="D54" i="2"/>
  <c r="D53" i="2"/>
  <c r="D52" i="2"/>
  <c r="D48" i="2"/>
  <c r="D47" i="2"/>
  <c r="D46" i="2"/>
  <c r="D45" i="2"/>
  <c r="D44" i="2"/>
  <c r="D43" i="2"/>
  <c r="D42" i="2"/>
  <c r="D38" i="2"/>
  <c r="D37" i="2"/>
  <c r="D36" i="2"/>
  <c r="D35" i="2"/>
  <c r="D34" i="2"/>
  <c r="D33" i="2"/>
  <c r="D32" i="2"/>
  <c r="X3" i="28" l="1"/>
  <c r="W3" i="28"/>
  <c r="V3" i="28"/>
  <c r="U3" i="28"/>
  <c r="T3" i="28"/>
  <c r="X2" i="28"/>
  <c r="W2" i="28"/>
  <c r="V2" i="28"/>
  <c r="U2" i="28"/>
  <c r="T2" i="28"/>
  <c r="X8" i="28"/>
  <c r="W8" i="28"/>
  <c r="V8" i="28"/>
  <c r="U8" i="28"/>
  <c r="T8" i="28"/>
  <c r="X7" i="28"/>
  <c r="W7" i="28"/>
  <c r="V7" i="28"/>
  <c r="U7" i="28"/>
  <c r="T7" i="28"/>
  <c r="S7" i="28"/>
  <c r="X6" i="28"/>
  <c r="W6" i="28"/>
  <c r="V6" i="28"/>
  <c r="U6" i="28"/>
  <c r="T6" i="28"/>
  <c r="S6" i="28"/>
  <c r="X5" i="28"/>
  <c r="W5" i="28"/>
  <c r="V5" i="28"/>
  <c r="U5" i="28"/>
  <c r="T5" i="28"/>
  <c r="S5" i="28"/>
  <c r="X4" i="28"/>
  <c r="W4" i="28"/>
  <c r="V4" i="28"/>
  <c r="U4" i="28"/>
  <c r="T4" i="28"/>
  <c r="S4" i="28"/>
  <c r="S8" i="28"/>
  <c r="AA761" i="28" l="1"/>
  <c r="Z761" i="28"/>
  <c r="Z754" i="28"/>
  <c r="AA754" i="28"/>
  <c r="Z747" i="28"/>
  <c r="AA747" i="28"/>
  <c r="Z740" i="28"/>
  <c r="AA740" i="28"/>
  <c r="Z733" i="28"/>
  <c r="AA733" i="28"/>
  <c r="Z726" i="28"/>
  <c r="AA726" i="28"/>
  <c r="Z712" i="28"/>
  <c r="AA712" i="28"/>
  <c r="Z705" i="28"/>
  <c r="Z719" i="28"/>
  <c r="AA705" i="28"/>
  <c r="AA719" i="28"/>
  <c r="AA698" i="28"/>
  <c r="Z698" i="28"/>
  <c r="Z684" i="28"/>
  <c r="AA691" i="28"/>
  <c r="AA677" i="28"/>
  <c r="AA684" i="28"/>
  <c r="Z691" i="28"/>
  <c r="Z677" i="28"/>
  <c r="Z670" i="28"/>
  <c r="AA670" i="28"/>
  <c r="AA621" i="28"/>
  <c r="AA649" i="28"/>
  <c r="AA628" i="28"/>
  <c r="Z635" i="28"/>
  <c r="Z663" i="28"/>
  <c r="AA635" i="28"/>
  <c r="Z656" i="28"/>
  <c r="AA663" i="28"/>
  <c r="Z642" i="28"/>
  <c r="Z621" i="28"/>
  <c r="Z649" i="28"/>
  <c r="AA656" i="28"/>
  <c r="Z628" i="28"/>
  <c r="AA642" i="28"/>
  <c r="AA614" i="28"/>
  <c r="Z614" i="28"/>
  <c r="Z607" i="28"/>
  <c r="AA593" i="28"/>
  <c r="AA600" i="28"/>
  <c r="Z579" i="28"/>
  <c r="AA579" i="28"/>
  <c r="Z593" i="28"/>
  <c r="Z600" i="28"/>
  <c r="Z586" i="28"/>
  <c r="AA607" i="28"/>
  <c r="AA586" i="28"/>
  <c r="Z572" i="28"/>
  <c r="AA572" i="28"/>
  <c r="AA537" i="28"/>
  <c r="Z537" i="28"/>
  <c r="Z530" i="28"/>
  <c r="AA530" i="28"/>
  <c r="S3" i="28"/>
  <c r="Z33" i="28"/>
  <c r="AA33" i="28"/>
  <c r="Z558" i="28" l="1"/>
  <c r="Z565" i="28"/>
  <c r="AA558" i="28"/>
  <c r="AA565" i="28"/>
  <c r="AA551" i="28"/>
  <c r="Z551" i="28"/>
  <c r="Z544" i="28"/>
  <c r="AA544" i="28"/>
  <c r="S2" i="28"/>
  <c r="Z523" i="28"/>
  <c r="AA523" i="28"/>
  <c r="AA502" i="28"/>
  <c r="Z516" i="28"/>
  <c r="AA516" i="28"/>
  <c r="Z502" i="28"/>
  <c r="Z509" i="28"/>
  <c r="AA509" i="28"/>
  <c r="AR605" i="27"/>
  <c r="AQ605" i="27"/>
  <c r="AP605" i="27"/>
  <c r="AR604" i="27"/>
  <c r="AQ604" i="27"/>
  <c r="AP604" i="27"/>
  <c r="AR603" i="27"/>
  <c r="AQ603" i="27"/>
  <c r="AP603" i="27"/>
  <c r="AR602" i="27"/>
  <c r="AQ602" i="27"/>
  <c r="AP602" i="27"/>
  <c r="AR601" i="27"/>
  <c r="AQ601" i="27"/>
  <c r="AP601" i="27"/>
  <c r="AR600" i="27"/>
  <c r="AQ600" i="27"/>
  <c r="AP600" i="27"/>
  <c r="AR599" i="27"/>
  <c r="AQ599" i="27"/>
  <c r="AP599" i="27"/>
  <c r="AR596" i="27"/>
  <c r="AQ596" i="27"/>
  <c r="AP596" i="27"/>
  <c r="AR595" i="27"/>
  <c r="AQ595" i="27"/>
  <c r="AP595" i="27"/>
  <c r="AR594" i="27"/>
  <c r="AQ594" i="27"/>
  <c r="AP594" i="27"/>
  <c r="AR593" i="27"/>
  <c r="AQ593" i="27"/>
  <c r="AP593" i="27"/>
  <c r="AR592" i="27"/>
  <c r="AQ592" i="27"/>
  <c r="AP592" i="27"/>
  <c r="AR591" i="27"/>
  <c r="AQ591" i="27"/>
  <c r="AP591" i="27"/>
  <c r="AR590" i="27"/>
  <c r="AQ590" i="27"/>
  <c r="AP590" i="27"/>
  <c r="AR587" i="27"/>
  <c r="AQ587" i="27"/>
  <c r="AP587" i="27"/>
  <c r="AR586" i="27"/>
  <c r="AQ586" i="27"/>
  <c r="AP586" i="27"/>
  <c r="AR585" i="27"/>
  <c r="AQ585" i="27"/>
  <c r="AP585" i="27"/>
  <c r="AR584" i="27"/>
  <c r="AQ584" i="27"/>
  <c r="AP584" i="27"/>
  <c r="AR583" i="27"/>
  <c r="AQ583" i="27"/>
  <c r="AP583" i="27"/>
  <c r="AR582" i="27"/>
  <c r="AQ582" i="27"/>
  <c r="AP582" i="27"/>
  <c r="AR581" i="27"/>
  <c r="AQ581" i="27"/>
  <c r="AP581" i="27"/>
  <c r="AR578" i="27"/>
  <c r="AQ578" i="27"/>
  <c r="AP578" i="27"/>
  <c r="AR577" i="27"/>
  <c r="AQ577" i="27"/>
  <c r="AP577" i="27"/>
  <c r="AR576" i="27"/>
  <c r="AQ576" i="27"/>
  <c r="AP576" i="27"/>
  <c r="AR575" i="27"/>
  <c r="AQ575" i="27"/>
  <c r="AP575" i="27"/>
  <c r="AR574" i="27"/>
  <c r="AQ574" i="27"/>
  <c r="AP574" i="27"/>
  <c r="AR573" i="27"/>
  <c r="AQ573" i="27"/>
  <c r="AP573" i="27"/>
  <c r="AR572" i="27"/>
  <c r="AQ572" i="27"/>
  <c r="AP572" i="27"/>
  <c r="AR569" i="27"/>
  <c r="AQ569" i="27"/>
  <c r="AP569" i="27"/>
  <c r="AR568" i="27"/>
  <c r="AQ568" i="27"/>
  <c r="AP568" i="27"/>
  <c r="AR567" i="27"/>
  <c r="AQ567" i="27"/>
  <c r="AP567" i="27"/>
  <c r="AR566" i="27"/>
  <c r="AQ566" i="27"/>
  <c r="AP566" i="27"/>
  <c r="AR565" i="27"/>
  <c r="AQ565" i="27"/>
  <c r="AP565" i="27"/>
  <c r="AR564" i="27"/>
  <c r="AQ564" i="27"/>
  <c r="AP564" i="27"/>
  <c r="AR563" i="27"/>
  <c r="AQ563" i="27"/>
  <c r="AP563" i="27"/>
  <c r="AR560" i="27"/>
  <c r="AQ560" i="27"/>
  <c r="AP560" i="27"/>
  <c r="AR559" i="27"/>
  <c r="AQ559" i="27"/>
  <c r="AP559" i="27"/>
  <c r="AR558" i="27"/>
  <c r="AQ558" i="27"/>
  <c r="AP558" i="27"/>
  <c r="AR557" i="27"/>
  <c r="AQ557" i="27"/>
  <c r="AP557" i="27"/>
  <c r="AR556" i="27"/>
  <c r="AQ556" i="27"/>
  <c r="AP556" i="27"/>
  <c r="AR555" i="27"/>
  <c r="AQ555" i="27"/>
  <c r="AP555" i="27"/>
  <c r="AR554" i="27"/>
  <c r="AQ554" i="27"/>
  <c r="AP554" i="27"/>
  <c r="AR551" i="27"/>
  <c r="AQ551" i="27"/>
  <c r="AP551" i="27"/>
  <c r="AR550" i="27"/>
  <c r="AQ550" i="27"/>
  <c r="AP550" i="27"/>
  <c r="AR549" i="27"/>
  <c r="AQ549" i="27"/>
  <c r="AP549" i="27"/>
  <c r="AR548" i="27"/>
  <c r="AQ548" i="27"/>
  <c r="AP548" i="27"/>
  <c r="AR547" i="27"/>
  <c r="AQ547" i="27"/>
  <c r="AP547" i="27"/>
  <c r="AR546" i="27"/>
  <c r="AQ546" i="27"/>
  <c r="AP546" i="27"/>
  <c r="AR545" i="27"/>
  <c r="AQ545" i="27"/>
  <c r="AP545" i="27"/>
  <c r="AR542" i="27"/>
  <c r="AQ542" i="27"/>
  <c r="AP542" i="27"/>
  <c r="AR541" i="27"/>
  <c r="AQ541" i="27"/>
  <c r="AP541" i="27"/>
  <c r="AR540" i="27"/>
  <c r="AQ540" i="27"/>
  <c r="AP540" i="27"/>
  <c r="AR539" i="27"/>
  <c r="AQ539" i="27"/>
  <c r="AP539" i="27"/>
  <c r="AR538" i="27"/>
  <c r="AQ538" i="27"/>
  <c r="AP538" i="27"/>
  <c r="AR537" i="27"/>
  <c r="AQ537" i="27"/>
  <c r="AP537" i="27"/>
  <c r="AR536" i="27"/>
  <c r="AQ536" i="27"/>
  <c r="AP536" i="27"/>
  <c r="AR533" i="27"/>
  <c r="AQ533" i="27"/>
  <c r="AP533" i="27"/>
  <c r="AR532" i="27"/>
  <c r="AQ532" i="27"/>
  <c r="AP532" i="27"/>
  <c r="AR531" i="27"/>
  <c r="AQ531" i="27"/>
  <c r="AP531" i="27"/>
  <c r="AR530" i="27"/>
  <c r="AQ530" i="27"/>
  <c r="AP530" i="27"/>
  <c r="AR529" i="27"/>
  <c r="AQ529" i="27"/>
  <c r="AP529" i="27"/>
  <c r="AR528" i="27"/>
  <c r="AQ528" i="27"/>
  <c r="AP528" i="27"/>
  <c r="AR527" i="27"/>
  <c r="AQ527" i="27"/>
  <c r="AP527" i="27"/>
  <c r="AR524" i="27"/>
  <c r="AQ524" i="27"/>
  <c r="AP524" i="27"/>
  <c r="AR523" i="27"/>
  <c r="AQ523" i="27"/>
  <c r="AP523" i="27"/>
  <c r="AR522" i="27"/>
  <c r="AQ522" i="27"/>
  <c r="AP522" i="27"/>
  <c r="AR521" i="27"/>
  <c r="AQ521" i="27"/>
  <c r="AP521" i="27"/>
  <c r="AR520" i="27"/>
  <c r="AQ520" i="27"/>
  <c r="AP520" i="27"/>
  <c r="AR519" i="27"/>
  <c r="AQ519" i="27"/>
  <c r="AP519" i="27"/>
  <c r="AR518" i="27"/>
  <c r="AQ518" i="27"/>
  <c r="AP518" i="27"/>
  <c r="AR515" i="27"/>
  <c r="AQ515" i="27"/>
  <c r="AP515" i="27"/>
  <c r="AR514" i="27"/>
  <c r="AQ514" i="27"/>
  <c r="AP514" i="27"/>
  <c r="AR513" i="27"/>
  <c r="AQ513" i="27"/>
  <c r="AP513" i="27"/>
  <c r="AR512" i="27"/>
  <c r="AQ512" i="27"/>
  <c r="AP512" i="27"/>
  <c r="AR511" i="27"/>
  <c r="AQ511" i="27"/>
  <c r="AP511" i="27"/>
  <c r="AR510" i="27"/>
  <c r="AQ510" i="27"/>
  <c r="AP510" i="27"/>
  <c r="AR509" i="27"/>
  <c r="AQ509" i="27"/>
  <c r="AP509" i="27"/>
  <c r="AR506" i="27"/>
  <c r="AQ506" i="27"/>
  <c r="AP506" i="27"/>
  <c r="AR505" i="27"/>
  <c r="AQ505" i="27"/>
  <c r="AP505" i="27"/>
  <c r="AR504" i="27"/>
  <c r="AQ504" i="27"/>
  <c r="AP504" i="27"/>
  <c r="AR503" i="27"/>
  <c r="AQ503" i="27"/>
  <c r="AP503" i="27"/>
  <c r="AR502" i="27"/>
  <c r="AQ502" i="27"/>
  <c r="AP502" i="27"/>
  <c r="AR501" i="27"/>
  <c r="AQ501" i="27"/>
  <c r="AP501" i="27"/>
  <c r="AR500" i="27"/>
  <c r="AQ500" i="27"/>
  <c r="AP500" i="27"/>
  <c r="AR497" i="27"/>
  <c r="AQ497" i="27"/>
  <c r="AP497" i="27"/>
  <c r="AR496" i="27"/>
  <c r="AQ496" i="27"/>
  <c r="AP496" i="27"/>
  <c r="AR495" i="27"/>
  <c r="AQ495" i="27"/>
  <c r="AP495" i="27"/>
  <c r="AR494" i="27"/>
  <c r="AQ494" i="27"/>
  <c r="AP494" i="27"/>
  <c r="AR493" i="27"/>
  <c r="AQ493" i="27"/>
  <c r="AP493" i="27"/>
  <c r="AR492" i="27"/>
  <c r="AQ492" i="27"/>
  <c r="AP492" i="27"/>
  <c r="AR491" i="27"/>
  <c r="AQ491" i="27"/>
  <c r="AP491" i="27"/>
  <c r="AR488" i="27"/>
  <c r="AQ488" i="27"/>
  <c r="AP488" i="27"/>
  <c r="AR487" i="27"/>
  <c r="AQ487" i="27"/>
  <c r="AP487" i="27"/>
  <c r="AR486" i="27"/>
  <c r="AQ486" i="27"/>
  <c r="AP486" i="27"/>
  <c r="AR485" i="27"/>
  <c r="AQ485" i="27"/>
  <c r="AP485" i="27"/>
  <c r="AR484" i="27"/>
  <c r="AQ484" i="27"/>
  <c r="AP484" i="27"/>
  <c r="AR483" i="27"/>
  <c r="AQ483" i="27"/>
  <c r="AP483" i="27"/>
  <c r="AR482" i="27"/>
  <c r="AQ482" i="27"/>
  <c r="AP482" i="27"/>
  <c r="AR479" i="27"/>
  <c r="AQ479" i="27"/>
  <c r="AP479" i="27"/>
  <c r="AR478" i="27"/>
  <c r="AQ478" i="27"/>
  <c r="AP478" i="27"/>
  <c r="AR477" i="27"/>
  <c r="AQ477" i="27"/>
  <c r="AP477" i="27"/>
  <c r="AR476" i="27"/>
  <c r="AQ476" i="27"/>
  <c r="AP476" i="27"/>
  <c r="AR475" i="27"/>
  <c r="AQ475" i="27"/>
  <c r="AP475" i="27"/>
  <c r="AR474" i="27"/>
  <c r="AQ474" i="27"/>
  <c r="AP474" i="27"/>
  <c r="AR473" i="27"/>
  <c r="AQ473" i="27"/>
  <c r="AP473" i="27"/>
  <c r="AR470" i="27"/>
  <c r="AQ470" i="27"/>
  <c r="AP470" i="27"/>
  <c r="AR469" i="27"/>
  <c r="AQ469" i="27"/>
  <c r="AP469" i="27"/>
  <c r="AR468" i="27"/>
  <c r="AQ468" i="27"/>
  <c r="AP468" i="27"/>
  <c r="AR467" i="27"/>
  <c r="AQ467" i="27"/>
  <c r="AP467" i="27"/>
  <c r="AR466" i="27"/>
  <c r="AQ466" i="27"/>
  <c r="AP466" i="27"/>
  <c r="AR465" i="27"/>
  <c r="AQ465" i="27"/>
  <c r="AP465" i="27"/>
  <c r="AR464" i="27"/>
  <c r="AQ464" i="27"/>
  <c r="AP464" i="27"/>
  <c r="AR461" i="27"/>
  <c r="AQ461" i="27"/>
  <c r="AP461" i="27"/>
  <c r="AR460" i="27"/>
  <c r="AQ460" i="27"/>
  <c r="AP460" i="27"/>
  <c r="AR459" i="27"/>
  <c r="AQ459" i="27"/>
  <c r="AP459" i="27"/>
  <c r="AR458" i="27"/>
  <c r="AQ458" i="27"/>
  <c r="AP458" i="27"/>
  <c r="AR457" i="27"/>
  <c r="AQ457" i="27"/>
  <c r="AP457" i="27"/>
  <c r="AR456" i="27"/>
  <c r="AQ456" i="27"/>
  <c r="AP456" i="27"/>
  <c r="AR455" i="27"/>
  <c r="AQ455" i="27"/>
  <c r="AP455" i="27"/>
  <c r="AR452" i="27"/>
  <c r="AQ452" i="27"/>
  <c r="AP452" i="27"/>
  <c r="AR451" i="27"/>
  <c r="AQ451" i="27"/>
  <c r="AP451" i="27"/>
  <c r="AR450" i="27"/>
  <c r="AQ450" i="27"/>
  <c r="AP450" i="27"/>
  <c r="AR449" i="27"/>
  <c r="AQ449" i="27"/>
  <c r="AP449" i="27"/>
  <c r="AR448" i="27"/>
  <c r="AQ448" i="27"/>
  <c r="AP448" i="27"/>
  <c r="AR447" i="27"/>
  <c r="AQ447" i="27"/>
  <c r="AP447" i="27"/>
  <c r="AR446" i="27"/>
  <c r="AQ446" i="27"/>
  <c r="AP446" i="27"/>
  <c r="AR443" i="27"/>
  <c r="AQ443" i="27"/>
  <c r="AP443" i="27"/>
  <c r="AR442" i="27"/>
  <c r="AQ442" i="27"/>
  <c r="AP442" i="27"/>
  <c r="AR441" i="27"/>
  <c r="AQ441" i="27"/>
  <c r="AP441" i="27"/>
  <c r="AR440" i="27"/>
  <c r="AQ440" i="27"/>
  <c r="AP440" i="27"/>
  <c r="AR439" i="27"/>
  <c r="AQ439" i="27"/>
  <c r="AP439" i="27"/>
  <c r="AR438" i="27"/>
  <c r="AQ438" i="27"/>
  <c r="AP438" i="27"/>
  <c r="AR437" i="27"/>
  <c r="AQ437" i="27"/>
  <c r="AP437" i="27"/>
  <c r="AR434" i="27"/>
  <c r="AQ434" i="27"/>
  <c r="AP434" i="27"/>
  <c r="AR433" i="27"/>
  <c r="AQ433" i="27"/>
  <c r="AP433" i="27"/>
  <c r="AR432" i="27"/>
  <c r="AQ432" i="27"/>
  <c r="AP432" i="27"/>
  <c r="AR431" i="27"/>
  <c r="AQ431" i="27"/>
  <c r="AP431" i="27"/>
  <c r="AR430" i="27"/>
  <c r="AQ430" i="27"/>
  <c r="AP430" i="27"/>
  <c r="AR429" i="27"/>
  <c r="AQ429" i="27"/>
  <c r="AP429" i="27"/>
  <c r="AR428" i="27"/>
  <c r="AQ428" i="27"/>
  <c r="AP428" i="27"/>
  <c r="AR425" i="27"/>
  <c r="AQ425" i="27"/>
  <c r="AP425" i="27"/>
  <c r="AR424" i="27"/>
  <c r="AQ424" i="27"/>
  <c r="AP424" i="27"/>
  <c r="AR423" i="27"/>
  <c r="AQ423" i="27"/>
  <c r="AP423" i="27"/>
  <c r="AR422" i="27"/>
  <c r="AQ422" i="27"/>
  <c r="AP422" i="27"/>
  <c r="AR421" i="27"/>
  <c r="AQ421" i="27"/>
  <c r="AP421" i="27"/>
  <c r="AR420" i="27"/>
  <c r="AQ420" i="27"/>
  <c r="AP420" i="27"/>
  <c r="AR419" i="27"/>
  <c r="AQ419" i="27"/>
  <c r="AP419" i="27"/>
  <c r="AR416" i="27"/>
  <c r="AQ416" i="27"/>
  <c r="AP416" i="27"/>
  <c r="AR415" i="27"/>
  <c r="AQ415" i="27"/>
  <c r="AP415" i="27"/>
  <c r="AR414" i="27"/>
  <c r="AQ414" i="27"/>
  <c r="AP414" i="27"/>
  <c r="AR413" i="27"/>
  <c r="AQ413" i="27"/>
  <c r="AP413" i="27"/>
  <c r="AR412" i="27"/>
  <c r="AQ412" i="27"/>
  <c r="AP412" i="27"/>
  <c r="AR411" i="27"/>
  <c r="AQ411" i="27"/>
  <c r="AP411" i="27"/>
  <c r="AR410" i="27"/>
  <c r="AQ410" i="27"/>
  <c r="AP410" i="27"/>
  <c r="AR407" i="27"/>
  <c r="AQ407" i="27"/>
  <c r="AP407" i="27"/>
  <c r="AR406" i="27"/>
  <c r="AQ406" i="27"/>
  <c r="AP406" i="27"/>
  <c r="AR405" i="27"/>
  <c r="AQ405" i="27"/>
  <c r="AP405" i="27"/>
  <c r="AR404" i="27"/>
  <c r="AQ404" i="27"/>
  <c r="AP404" i="27"/>
  <c r="AR403" i="27"/>
  <c r="AQ403" i="27"/>
  <c r="AP403" i="27"/>
  <c r="AR402" i="27"/>
  <c r="AQ402" i="27"/>
  <c r="AP402" i="27"/>
  <c r="AR401" i="27"/>
  <c r="AQ401" i="27"/>
  <c r="AP401" i="27"/>
  <c r="AR398" i="27"/>
  <c r="AQ398" i="27"/>
  <c r="AP398" i="27"/>
  <c r="AR397" i="27"/>
  <c r="AQ397" i="27"/>
  <c r="AP397" i="27"/>
  <c r="AR396" i="27"/>
  <c r="AQ396" i="27"/>
  <c r="AP396" i="27"/>
  <c r="AR395" i="27"/>
  <c r="AQ395" i="27"/>
  <c r="AP395" i="27"/>
  <c r="AR394" i="27"/>
  <c r="AQ394" i="27"/>
  <c r="AP394" i="27"/>
  <c r="AR393" i="27"/>
  <c r="AQ393" i="27"/>
  <c r="AP393" i="27"/>
  <c r="AR392" i="27"/>
  <c r="AQ392" i="27"/>
  <c r="AP392" i="27"/>
  <c r="AR389" i="27"/>
  <c r="AQ389" i="27"/>
  <c r="AP389" i="27"/>
  <c r="AR388" i="27"/>
  <c r="AQ388" i="27"/>
  <c r="AP388" i="27"/>
  <c r="AR387" i="27"/>
  <c r="AQ387" i="27"/>
  <c r="AP387" i="27"/>
  <c r="AR386" i="27"/>
  <c r="AQ386" i="27"/>
  <c r="AP386" i="27"/>
  <c r="AR385" i="27"/>
  <c r="AQ385" i="27"/>
  <c r="AP385" i="27"/>
  <c r="AR384" i="27"/>
  <c r="AQ384" i="27"/>
  <c r="AP384" i="27"/>
  <c r="AR383" i="27"/>
  <c r="AQ383" i="27"/>
  <c r="AP383" i="27"/>
  <c r="AR380" i="27"/>
  <c r="AQ380" i="27"/>
  <c r="AP380" i="27"/>
  <c r="AR379" i="27"/>
  <c r="AQ379" i="27"/>
  <c r="AP379" i="27"/>
  <c r="AR378" i="27"/>
  <c r="AQ378" i="27"/>
  <c r="AP378" i="27"/>
  <c r="AR377" i="27"/>
  <c r="AQ377" i="27"/>
  <c r="AP377" i="27"/>
  <c r="AR376" i="27"/>
  <c r="AQ376" i="27"/>
  <c r="AP376" i="27"/>
  <c r="AR375" i="27"/>
  <c r="AQ375" i="27"/>
  <c r="AP375" i="27"/>
  <c r="AR374" i="27"/>
  <c r="AQ374" i="27"/>
  <c r="AP374" i="27"/>
  <c r="AR371" i="27"/>
  <c r="AQ371" i="27"/>
  <c r="AP371" i="27"/>
  <c r="AR370" i="27"/>
  <c r="AQ370" i="27"/>
  <c r="AP370" i="27"/>
  <c r="AR369" i="27"/>
  <c r="AQ369" i="27"/>
  <c r="AP369" i="27"/>
  <c r="AR368" i="27"/>
  <c r="AQ368" i="27"/>
  <c r="AP368" i="27"/>
  <c r="AR367" i="27"/>
  <c r="AQ367" i="27"/>
  <c r="AP367" i="27"/>
  <c r="AR366" i="27"/>
  <c r="AQ366" i="27"/>
  <c r="AP366" i="27"/>
  <c r="AR365" i="27"/>
  <c r="AQ365" i="27"/>
  <c r="AP365" i="27"/>
  <c r="AR362" i="27"/>
  <c r="AQ362" i="27"/>
  <c r="AP362" i="27"/>
  <c r="AR361" i="27"/>
  <c r="AQ361" i="27"/>
  <c r="AP361" i="27"/>
  <c r="AR360" i="27"/>
  <c r="AQ360" i="27"/>
  <c r="AP360" i="27"/>
  <c r="AR359" i="27"/>
  <c r="AQ359" i="27"/>
  <c r="AP359" i="27"/>
  <c r="AR358" i="27"/>
  <c r="AQ358" i="27"/>
  <c r="AP358" i="27"/>
  <c r="AR357" i="27"/>
  <c r="AQ357" i="27"/>
  <c r="AP357" i="27"/>
  <c r="AR356" i="27"/>
  <c r="AQ356" i="27"/>
  <c r="AP356" i="27"/>
  <c r="AR353" i="27"/>
  <c r="AQ353" i="27"/>
  <c r="AP353" i="27"/>
  <c r="AR352" i="27"/>
  <c r="AQ352" i="27"/>
  <c r="AP352" i="27"/>
  <c r="AR351" i="27"/>
  <c r="AQ351" i="27"/>
  <c r="AP351" i="27"/>
  <c r="AR350" i="27"/>
  <c r="AQ350" i="27"/>
  <c r="AP350" i="27"/>
  <c r="AR349" i="27"/>
  <c r="AQ349" i="27"/>
  <c r="AP349" i="27"/>
  <c r="AR348" i="27"/>
  <c r="AQ348" i="27"/>
  <c r="AP348" i="27"/>
  <c r="AR347" i="27"/>
  <c r="AQ347" i="27"/>
  <c r="AP347" i="27"/>
  <c r="AR344" i="27"/>
  <c r="AQ344" i="27"/>
  <c r="AP344" i="27"/>
  <c r="AR343" i="27"/>
  <c r="AQ343" i="27"/>
  <c r="AP343" i="27"/>
  <c r="AR342" i="27"/>
  <c r="AQ342" i="27"/>
  <c r="AP342" i="27"/>
  <c r="AR341" i="27"/>
  <c r="AQ341" i="27"/>
  <c r="AP341" i="27"/>
  <c r="AR340" i="27"/>
  <c r="AQ340" i="27"/>
  <c r="AP340" i="27"/>
  <c r="AR339" i="27"/>
  <c r="AQ339" i="27"/>
  <c r="AP339" i="27"/>
  <c r="AR338" i="27"/>
  <c r="AQ338" i="27"/>
  <c r="AP338" i="27"/>
  <c r="AR335" i="27"/>
  <c r="AQ335" i="27"/>
  <c r="AP335" i="27"/>
  <c r="AR334" i="27"/>
  <c r="AQ334" i="27"/>
  <c r="AP334" i="27"/>
  <c r="AR333" i="27"/>
  <c r="AQ333" i="27"/>
  <c r="AP333" i="27"/>
  <c r="AR332" i="27"/>
  <c r="AQ332" i="27"/>
  <c r="AP332" i="27"/>
  <c r="AR331" i="27"/>
  <c r="AQ331" i="27"/>
  <c r="AP331" i="27"/>
  <c r="AR330" i="27"/>
  <c r="AQ330" i="27"/>
  <c r="AP330" i="27"/>
  <c r="AR329" i="27"/>
  <c r="AQ329" i="27"/>
  <c r="AP329" i="27"/>
  <c r="AR326" i="27"/>
  <c r="AQ326" i="27"/>
  <c r="AP326" i="27"/>
  <c r="AR325" i="27"/>
  <c r="AQ325" i="27"/>
  <c r="AP325" i="27"/>
  <c r="AR324" i="27"/>
  <c r="AQ324" i="27"/>
  <c r="AP324" i="27"/>
  <c r="AR323" i="27"/>
  <c r="AQ323" i="27"/>
  <c r="AP323" i="27"/>
  <c r="AR322" i="27"/>
  <c r="AQ322" i="27"/>
  <c r="AP322" i="27"/>
  <c r="AR321" i="27"/>
  <c r="AQ321" i="27"/>
  <c r="AP321" i="27"/>
  <c r="AR320" i="27"/>
  <c r="AQ320" i="27"/>
  <c r="AP320" i="27"/>
  <c r="AR317" i="27"/>
  <c r="AQ317" i="27"/>
  <c r="AP317" i="27"/>
  <c r="AR316" i="27"/>
  <c r="AQ316" i="27"/>
  <c r="AP316" i="27"/>
  <c r="AR315" i="27"/>
  <c r="AQ315" i="27"/>
  <c r="AP315" i="27"/>
  <c r="AR314" i="27"/>
  <c r="AQ314" i="27"/>
  <c r="AP314" i="27"/>
  <c r="AR313" i="27"/>
  <c r="AQ313" i="27"/>
  <c r="AP313" i="27"/>
  <c r="AR312" i="27"/>
  <c r="AQ312" i="27"/>
  <c r="AP312" i="27"/>
  <c r="AR311" i="27"/>
  <c r="AQ311" i="27"/>
  <c r="AP311" i="27"/>
  <c r="AR308" i="27"/>
  <c r="AQ308" i="27"/>
  <c r="AP308" i="27"/>
  <c r="AR307" i="27"/>
  <c r="AQ307" i="27"/>
  <c r="AP307" i="27"/>
  <c r="AR306" i="27"/>
  <c r="AQ306" i="27"/>
  <c r="AP306" i="27"/>
  <c r="AR305" i="27"/>
  <c r="AQ305" i="27"/>
  <c r="AP305" i="27"/>
  <c r="AR304" i="27"/>
  <c r="AQ304" i="27"/>
  <c r="AP304" i="27"/>
  <c r="AR303" i="27"/>
  <c r="AQ303" i="27"/>
  <c r="AP303" i="27"/>
  <c r="AR302" i="27"/>
  <c r="AQ302" i="27"/>
  <c r="AP302" i="27"/>
  <c r="AR299" i="27"/>
  <c r="AQ299" i="27"/>
  <c r="AP299" i="27"/>
  <c r="AR298" i="27"/>
  <c r="AQ298" i="27"/>
  <c r="AP298" i="27"/>
  <c r="AR297" i="27"/>
  <c r="AQ297" i="27"/>
  <c r="AP297" i="27"/>
  <c r="AR296" i="27"/>
  <c r="AQ296" i="27"/>
  <c r="AP296" i="27"/>
  <c r="AR295" i="27"/>
  <c r="AQ295" i="27"/>
  <c r="AP295" i="27"/>
  <c r="AR294" i="27"/>
  <c r="AQ294" i="27"/>
  <c r="AP294" i="27"/>
  <c r="AR293" i="27"/>
  <c r="AQ293" i="27"/>
  <c r="AP293" i="27"/>
  <c r="AR290" i="27"/>
  <c r="AQ290" i="27"/>
  <c r="AP290" i="27"/>
  <c r="AR289" i="27"/>
  <c r="AQ289" i="27"/>
  <c r="AP289" i="27"/>
  <c r="AR288" i="27"/>
  <c r="AQ288" i="27"/>
  <c r="AP288" i="27"/>
  <c r="AR287" i="27"/>
  <c r="AQ287" i="27"/>
  <c r="AP287" i="27"/>
  <c r="AR286" i="27"/>
  <c r="AQ286" i="27"/>
  <c r="AP286" i="27"/>
  <c r="AR285" i="27"/>
  <c r="AQ285" i="27"/>
  <c r="AP285" i="27"/>
  <c r="AR284" i="27"/>
  <c r="AQ284" i="27"/>
  <c r="AP284" i="27"/>
  <c r="AR281" i="27"/>
  <c r="AQ281" i="27"/>
  <c r="AP281" i="27"/>
  <c r="AR280" i="27"/>
  <c r="AQ280" i="27"/>
  <c r="AP280" i="27"/>
  <c r="AR279" i="27"/>
  <c r="AQ279" i="27"/>
  <c r="AP279" i="27"/>
  <c r="AR278" i="27"/>
  <c r="AQ278" i="27"/>
  <c r="AP278" i="27"/>
  <c r="AR277" i="27"/>
  <c r="AQ277" i="27"/>
  <c r="AP277" i="27"/>
  <c r="AR276" i="27"/>
  <c r="AQ276" i="27"/>
  <c r="AP276" i="27"/>
  <c r="AR275" i="27"/>
  <c r="AQ275" i="27"/>
  <c r="AP275" i="27"/>
  <c r="AR272" i="27"/>
  <c r="AQ272" i="27"/>
  <c r="AP272" i="27"/>
  <c r="AR271" i="27"/>
  <c r="AQ271" i="27"/>
  <c r="AP271" i="27"/>
  <c r="AR270" i="27"/>
  <c r="AQ270" i="27"/>
  <c r="AP270" i="27"/>
  <c r="AR269" i="27"/>
  <c r="AQ269" i="27"/>
  <c r="AP269" i="27"/>
  <c r="AR268" i="27"/>
  <c r="AQ268" i="27"/>
  <c r="AP268" i="27"/>
  <c r="AR267" i="27"/>
  <c r="AQ267" i="27"/>
  <c r="AP267" i="27"/>
  <c r="AR266" i="27"/>
  <c r="AQ266" i="27"/>
  <c r="AP266" i="27"/>
  <c r="AR263" i="27"/>
  <c r="AQ263" i="27"/>
  <c r="AP263" i="27"/>
  <c r="AR262" i="27"/>
  <c r="AQ262" i="27"/>
  <c r="AP262" i="27"/>
  <c r="AR261" i="27"/>
  <c r="AQ261" i="27"/>
  <c r="AP261" i="27"/>
  <c r="AR260" i="27"/>
  <c r="AQ260" i="27"/>
  <c r="AP260" i="27"/>
  <c r="AR259" i="27"/>
  <c r="AQ259" i="27"/>
  <c r="AP259" i="27"/>
  <c r="AR258" i="27"/>
  <c r="AQ258" i="27"/>
  <c r="AP258" i="27"/>
  <c r="AR257" i="27"/>
  <c r="AQ257" i="27"/>
  <c r="AP257" i="27"/>
  <c r="AR254" i="27"/>
  <c r="AQ254" i="27"/>
  <c r="AP254" i="27"/>
  <c r="AR253" i="27"/>
  <c r="AQ253" i="27"/>
  <c r="AP253" i="27"/>
  <c r="AR252" i="27"/>
  <c r="AQ252" i="27"/>
  <c r="AP252" i="27"/>
  <c r="AR251" i="27"/>
  <c r="AQ251" i="27"/>
  <c r="AP251" i="27"/>
  <c r="AR250" i="27"/>
  <c r="AQ250" i="27"/>
  <c r="AP250" i="27"/>
  <c r="AR249" i="27"/>
  <c r="AQ249" i="27"/>
  <c r="AP249" i="27"/>
  <c r="AR248" i="27"/>
  <c r="AQ248" i="27"/>
  <c r="AP248" i="27"/>
  <c r="AR245" i="27"/>
  <c r="AQ245" i="27"/>
  <c r="AP245" i="27"/>
  <c r="AR244" i="27"/>
  <c r="AQ244" i="27"/>
  <c r="AP244" i="27"/>
  <c r="AR243" i="27"/>
  <c r="AQ243" i="27"/>
  <c r="AP243" i="27"/>
  <c r="AR242" i="27"/>
  <c r="AQ242" i="27"/>
  <c r="AP242" i="27"/>
  <c r="AR241" i="27"/>
  <c r="AQ241" i="27"/>
  <c r="AP241" i="27"/>
  <c r="AR240" i="27"/>
  <c r="AQ240" i="27"/>
  <c r="AP240" i="27"/>
  <c r="AR239" i="27"/>
  <c r="AQ239" i="27"/>
  <c r="AP239" i="27"/>
  <c r="AR236" i="27"/>
  <c r="AQ236" i="27"/>
  <c r="AP236" i="27"/>
  <c r="AR235" i="27"/>
  <c r="AQ235" i="27"/>
  <c r="AP235" i="27"/>
  <c r="AR234" i="27"/>
  <c r="AQ234" i="27"/>
  <c r="AP234" i="27"/>
  <c r="AR233" i="27"/>
  <c r="AQ233" i="27"/>
  <c r="AP233" i="27"/>
  <c r="AR232" i="27"/>
  <c r="AQ232" i="27"/>
  <c r="AP232" i="27"/>
  <c r="AR231" i="27"/>
  <c r="AQ231" i="27"/>
  <c r="AP231" i="27"/>
  <c r="AR230" i="27"/>
  <c r="AQ230" i="27"/>
  <c r="AP230" i="27"/>
  <c r="AR227" i="27"/>
  <c r="AQ227" i="27"/>
  <c r="AP227" i="27"/>
  <c r="AR226" i="27"/>
  <c r="AQ226" i="27"/>
  <c r="AP226" i="27"/>
  <c r="AR225" i="27"/>
  <c r="AQ225" i="27"/>
  <c r="AP225" i="27"/>
  <c r="AR224" i="27"/>
  <c r="AQ224" i="27"/>
  <c r="AP224" i="27"/>
  <c r="AR223" i="27"/>
  <c r="AQ223" i="27"/>
  <c r="AP223" i="27"/>
  <c r="AR222" i="27"/>
  <c r="AQ222" i="27"/>
  <c r="AP222" i="27"/>
  <c r="AR221" i="27"/>
  <c r="AQ221" i="27"/>
  <c r="AP221" i="27"/>
  <c r="AR218" i="27"/>
  <c r="AQ218" i="27"/>
  <c r="AP218" i="27"/>
  <c r="AR217" i="27"/>
  <c r="AQ217" i="27"/>
  <c r="AP217" i="27"/>
  <c r="AR216" i="27"/>
  <c r="AQ216" i="27"/>
  <c r="AP216" i="27"/>
  <c r="AR215" i="27"/>
  <c r="AQ215" i="27"/>
  <c r="AP215" i="27"/>
  <c r="AR214" i="27"/>
  <c r="AQ214" i="27"/>
  <c r="AP214" i="27"/>
  <c r="AR213" i="27"/>
  <c r="AQ213" i="27"/>
  <c r="AP213" i="27"/>
  <c r="AR212" i="27"/>
  <c r="AQ212" i="27"/>
  <c r="AP212" i="27"/>
  <c r="AR209" i="27"/>
  <c r="AQ209" i="27"/>
  <c r="AP209" i="27"/>
  <c r="AR208" i="27"/>
  <c r="AQ208" i="27"/>
  <c r="AP208" i="27"/>
  <c r="AR207" i="27"/>
  <c r="AQ207" i="27"/>
  <c r="AP207" i="27"/>
  <c r="AR206" i="27"/>
  <c r="AQ206" i="27"/>
  <c r="AP206" i="27"/>
  <c r="AR205" i="27"/>
  <c r="AQ205" i="27"/>
  <c r="AP205" i="27"/>
  <c r="AR204" i="27"/>
  <c r="AQ204" i="27"/>
  <c r="AP204" i="27"/>
  <c r="AR203" i="27"/>
  <c r="AQ203" i="27"/>
  <c r="AP203" i="27"/>
  <c r="AR200" i="27"/>
  <c r="AQ200" i="27"/>
  <c r="AP200" i="27"/>
  <c r="AR199" i="27"/>
  <c r="AQ199" i="27"/>
  <c r="AP199" i="27"/>
  <c r="AR198" i="27"/>
  <c r="AQ198" i="27"/>
  <c r="AP198" i="27"/>
  <c r="AR197" i="27"/>
  <c r="AQ197" i="27"/>
  <c r="AP197" i="27"/>
  <c r="AR196" i="27"/>
  <c r="AQ196" i="27"/>
  <c r="AP196" i="27"/>
  <c r="AR195" i="27"/>
  <c r="AQ195" i="27"/>
  <c r="AP195" i="27"/>
  <c r="AR194" i="27"/>
  <c r="AQ194" i="27"/>
  <c r="AP194" i="27"/>
  <c r="AR191" i="27"/>
  <c r="AQ191" i="27"/>
  <c r="AP191" i="27"/>
  <c r="AR190" i="27"/>
  <c r="AQ190" i="27"/>
  <c r="AP190" i="27"/>
  <c r="AR189" i="27"/>
  <c r="AQ189" i="27"/>
  <c r="AP189" i="27"/>
  <c r="AR188" i="27"/>
  <c r="AQ188" i="27"/>
  <c r="AP188" i="27"/>
  <c r="AR187" i="27"/>
  <c r="AQ187" i="27"/>
  <c r="AP187" i="27"/>
  <c r="AR186" i="27"/>
  <c r="AQ186" i="27"/>
  <c r="AP186" i="27"/>
  <c r="AR185" i="27"/>
  <c r="AQ185" i="27"/>
  <c r="AP185" i="27"/>
  <c r="AR182" i="27"/>
  <c r="AQ182" i="27"/>
  <c r="AP182" i="27"/>
  <c r="AR181" i="27"/>
  <c r="AQ181" i="27"/>
  <c r="AP181" i="27"/>
  <c r="AR180" i="27"/>
  <c r="AQ180" i="27"/>
  <c r="AP180" i="27"/>
  <c r="AR179" i="27"/>
  <c r="AQ179" i="27"/>
  <c r="AP179" i="27"/>
  <c r="AR178" i="27"/>
  <c r="AQ178" i="27"/>
  <c r="AP178" i="27"/>
  <c r="AR177" i="27"/>
  <c r="AQ177" i="27"/>
  <c r="AP177" i="27"/>
  <c r="AR176" i="27"/>
  <c r="AQ176" i="27"/>
  <c r="AP176" i="27"/>
  <c r="AR173" i="27"/>
  <c r="AQ173" i="27"/>
  <c r="AP173" i="27"/>
  <c r="AR172" i="27"/>
  <c r="AQ172" i="27"/>
  <c r="AP172" i="27"/>
  <c r="AR171" i="27"/>
  <c r="AQ171" i="27"/>
  <c r="AP171" i="27"/>
  <c r="AR170" i="27"/>
  <c r="AQ170" i="27"/>
  <c r="AP170" i="27"/>
  <c r="AR169" i="27"/>
  <c r="AQ169" i="27"/>
  <c r="AP169" i="27"/>
  <c r="AR168" i="27"/>
  <c r="AQ168" i="27"/>
  <c r="AP168" i="27"/>
  <c r="AR167" i="27"/>
  <c r="AQ167" i="27"/>
  <c r="AP167" i="27"/>
  <c r="AR164" i="27"/>
  <c r="AQ164" i="27"/>
  <c r="AP164" i="27"/>
  <c r="AR163" i="27"/>
  <c r="AQ163" i="27"/>
  <c r="AP163" i="27"/>
  <c r="AR162" i="27"/>
  <c r="AQ162" i="27"/>
  <c r="AP162" i="27"/>
  <c r="AR161" i="27"/>
  <c r="AQ161" i="27"/>
  <c r="AP161" i="27"/>
  <c r="AR160" i="27"/>
  <c r="AQ160" i="27"/>
  <c r="AP160" i="27"/>
  <c r="AR159" i="27"/>
  <c r="AQ159" i="27"/>
  <c r="AP159" i="27"/>
  <c r="AR158" i="27"/>
  <c r="AQ158" i="27"/>
  <c r="AP158" i="27"/>
  <c r="AR155" i="27"/>
  <c r="AQ155" i="27"/>
  <c r="AP155" i="27"/>
  <c r="AR154" i="27"/>
  <c r="AQ154" i="27"/>
  <c r="AP154" i="27"/>
  <c r="AR153" i="27"/>
  <c r="AQ153" i="27"/>
  <c r="AP153" i="27"/>
  <c r="AR152" i="27"/>
  <c r="AQ152" i="27"/>
  <c r="AP152" i="27"/>
  <c r="AR151" i="27"/>
  <c r="AQ151" i="27"/>
  <c r="AP151" i="27"/>
  <c r="AR150" i="27"/>
  <c r="AQ150" i="27"/>
  <c r="AP150" i="27"/>
  <c r="AR149" i="27"/>
  <c r="AQ149" i="27"/>
  <c r="AP149" i="27"/>
  <c r="AR146" i="27"/>
  <c r="AQ146" i="27"/>
  <c r="AP146" i="27"/>
  <c r="AR145" i="27"/>
  <c r="AQ145" i="27"/>
  <c r="AP145" i="27"/>
  <c r="AR144" i="27"/>
  <c r="AQ144" i="27"/>
  <c r="AP144" i="27"/>
  <c r="AR143" i="27"/>
  <c r="AQ143" i="27"/>
  <c r="AP143" i="27"/>
  <c r="AR142" i="27"/>
  <c r="AQ142" i="27"/>
  <c r="AP142" i="27"/>
  <c r="AR141" i="27"/>
  <c r="AQ141" i="27"/>
  <c r="AP141" i="27"/>
  <c r="AR140" i="27"/>
  <c r="AQ140" i="27"/>
  <c r="AP140" i="27"/>
  <c r="AR137" i="27"/>
  <c r="AQ137" i="27"/>
  <c r="AP137" i="27"/>
  <c r="AR136" i="27"/>
  <c r="AQ136" i="27"/>
  <c r="AP136" i="27"/>
  <c r="AR135" i="27"/>
  <c r="AQ135" i="27"/>
  <c r="AP135" i="27"/>
  <c r="AR134" i="27"/>
  <c r="AQ134" i="27"/>
  <c r="AP134" i="27"/>
  <c r="AR133" i="27"/>
  <c r="AQ133" i="27"/>
  <c r="AP133" i="27"/>
  <c r="AR132" i="27"/>
  <c r="AQ132" i="27"/>
  <c r="AP132" i="27"/>
  <c r="AR131" i="27"/>
  <c r="AQ131" i="27"/>
  <c r="AP131" i="27"/>
  <c r="AR128" i="27"/>
  <c r="AQ128" i="27"/>
  <c r="AP128" i="27"/>
  <c r="AR127" i="27"/>
  <c r="AQ127" i="27"/>
  <c r="AP127" i="27"/>
  <c r="AR126" i="27"/>
  <c r="AQ126" i="27"/>
  <c r="AP126" i="27"/>
  <c r="AR125" i="27"/>
  <c r="AQ125" i="27"/>
  <c r="AP125" i="27"/>
  <c r="AR124" i="27"/>
  <c r="AQ124" i="27"/>
  <c r="AP124" i="27"/>
  <c r="AR123" i="27"/>
  <c r="AQ123" i="27"/>
  <c r="AP123" i="27"/>
  <c r="AR122" i="27"/>
  <c r="AQ122" i="27"/>
  <c r="AP122" i="27"/>
  <c r="AR119" i="27"/>
  <c r="AQ119" i="27"/>
  <c r="AP119" i="27"/>
  <c r="AR118" i="27"/>
  <c r="AQ118" i="27"/>
  <c r="AP118" i="27"/>
  <c r="AR117" i="27"/>
  <c r="AQ117" i="27"/>
  <c r="AP117" i="27"/>
  <c r="AR116" i="27"/>
  <c r="AQ116" i="27"/>
  <c r="AP116" i="27"/>
  <c r="AR115" i="27"/>
  <c r="AQ115" i="27"/>
  <c r="AP115" i="27"/>
  <c r="AR114" i="27"/>
  <c r="AQ114" i="27"/>
  <c r="AP114" i="27"/>
  <c r="AR113" i="27"/>
  <c r="AQ113" i="27"/>
  <c r="AP113" i="27"/>
  <c r="AR110" i="27"/>
  <c r="AQ110" i="27"/>
  <c r="AP110" i="27"/>
  <c r="AR109" i="27"/>
  <c r="AQ109" i="27"/>
  <c r="AP109" i="27"/>
  <c r="AR108" i="27"/>
  <c r="AQ108" i="27"/>
  <c r="AP108" i="27"/>
  <c r="AR107" i="27"/>
  <c r="AQ107" i="27"/>
  <c r="AP107" i="27"/>
  <c r="AR106" i="27"/>
  <c r="AQ106" i="27"/>
  <c r="AP106" i="27"/>
  <c r="AR105" i="27"/>
  <c r="AQ105" i="27"/>
  <c r="AP105" i="27"/>
  <c r="AR104" i="27"/>
  <c r="AQ104" i="27"/>
  <c r="AP104" i="27"/>
  <c r="AR101" i="27"/>
  <c r="AQ101" i="27"/>
  <c r="AP101" i="27"/>
  <c r="AR100" i="27"/>
  <c r="AQ100" i="27"/>
  <c r="AP100" i="27"/>
  <c r="AR99" i="27"/>
  <c r="AQ99" i="27"/>
  <c r="AP99" i="27"/>
  <c r="AR98" i="27"/>
  <c r="AQ98" i="27"/>
  <c r="AP98" i="27"/>
  <c r="AR97" i="27"/>
  <c r="AQ97" i="27"/>
  <c r="AP97" i="27"/>
  <c r="AR96" i="27"/>
  <c r="AQ96" i="27"/>
  <c r="AP96" i="27"/>
  <c r="AR95" i="27"/>
  <c r="AQ95" i="27"/>
  <c r="AP95" i="27"/>
  <c r="AR92" i="27"/>
  <c r="AQ92" i="27"/>
  <c r="AP92" i="27"/>
  <c r="AR91" i="27"/>
  <c r="AQ91" i="27"/>
  <c r="AP91" i="27"/>
  <c r="AR90" i="27"/>
  <c r="AQ90" i="27"/>
  <c r="AP90" i="27"/>
  <c r="AR89" i="27"/>
  <c r="AQ89" i="27"/>
  <c r="AP89" i="27"/>
  <c r="AR88" i="27"/>
  <c r="AQ88" i="27"/>
  <c r="AP88" i="27"/>
  <c r="AR87" i="27"/>
  <c r="AQ87" i="27"/>
  <c r="AP87" i="27"/>
  <c r="AR86" i="27"/>
  <c r="AQ86" i="27"/>
  <c r="AP86" i="27"/>
  <c r="AR83" i="27"/>
  <c r="AQ83" i="27"/>
  <c r="AP83" i="27"/>
  <c r="AR82" i="27"/>
  <c r="AQ82" i="27"/>
  <c r="AP82" i="27"/>
  <c r="AR81" i="27"/>
  <c r="AQ81" i="27"/>
  <c r="AP81" i="27"/>
  <c r="AR80" i="27"/>
  <c r="AQ80" i="27"/>
  <c r="AP80" i="27"/>
  <c r="AR79" i="27"/>
  <c r="AQ79" i="27"/>
  <c r="AP79" i="27"/>
  <c r="AR78" i="27"/>
  <c r="AQ78" i="27"/>
  <c r="AP78" i="27"/>
  <c r="AR77" i="27"/>
  <c r="AQ77" i="27"/>
  <c r="AP77" i="27"/>
  <c r="AR74" i="27"/>
  <c r="AQ74" i="27"/>
  <c r="AP74" i="27"/>
  <c r="AR73" i="27"/>
  <c r="AQ73" i="27"/>
  <c r="AP73" i="27"/>
  <c r="AR72" i="27"/>
  <c r="AQ72" i="27"/>
  <c r="AP72" i="27"/>
  <c r="AR71" i="27"/>
  <c r="AQ71" i="27"/>
  <c r="AP71" i="27"/>
  <c r="AR70" i="27"/>
  <c r="AQ70" i="27"/>
  <c r="AP70" i="27"/>
  <c r="AR69" i="27"/>
  <c r="AQ69" i="27"/>
  <c r="AP69" i="27"/>
  <c r="AR68" i="27"/>
  <c r="AQ68" i="27"/>
  <c r="AP68" i="27"/>
  <c r="AR65" i="27"/>
  <c r="AQ65" i="27"/>
  <c r="AP65" i="27"/>
  <c r="AR64" i="27"/>
  <c r="AQ64" i="27"/>
  <c r="AP64" i="27"/>
  <c r="AR63" i="27"/>
  <c r="AQ63" i="27"/>
  <c r="AP63" i="27"/>
  <c r="AR62" i="27"/>
  <c r="AQ62" i="27"/>
  <c r="AP62" i="27"/>
  <c r="AR61" i="27"/>
  <c r="AQ61" i="27"/>
  <c r="AP61" i="27"/>
  <c r="AR60" i="27"/>
  <c r="AQ60" i="27"/>
  <c r="AP60" i="27"/>
  <c r="AR59" i="27"/>
  <c r="AQ59" i="27"/>
  <c r="AP59" i="27"/>
  <c r="AR56" i="27"/>
  <c r="AQ56" i="27"/>
  <c r="AP56" i="27"/>
  <c r="AR55" i="27"/>
  <c r="AQ55" i="27"/>
  <c r="AP55" i="27"/>
  <c r="AR54" i="27"/>
  <c r="AQ54" i="27"/>
  <c r="AP54" i="27"/>
  <c r="AR53" i="27"/>
  <c r="AQ53" i="27"/>
  <c r="AP53" i="27"/>
  <c r="AR52" i="27"/>
  <c r="AQ52" i="27"/>
  <c r="AP52" i="27"/>
  <c r="AR51" i="27"/>
  <c r="AQ51" i="27"/>
  <c r="AP51" i="27"/>
  <c r="AR50" i="27"/>
  <c r="AQ50" i="27"/>
  <c r="AP50" i="27"/>
  <c r="AR47" i="27"/>
  <c r="AQ47" i="27"/>
  <c r="AP47" i="27"/>
  <c r="AR46" i="27"/>
  <c r="AQ46" i="27"/>
  <c r="AP46" i="27"/>
  <c r="AR45" i="27"/>
  <c r="AQ45" i="27"/>
  <c r="AP45" i="27"/>
  <c r="AR44" i="27"/>
  <c r="AQ44" i="27"/>
  <c r="AP44" i="27"/>
  <c r="AR43" i="27"/>
  <c r="AQ43" i="27"/>
  <c r="AP43" i="27"/>
  <c r="AR42" i="27"/>
  <c r="AQ42" i="27"/>
  <c r="AP42" i="27"/>
  <c r="AR41" i="27"/>
  <c r="AQ41" i="27"/>
  <c r="AP41" i="27"/>
  <c r="AR38" i="27"/>
  <c r="AQ38" i="27"/>
  <c r="AP38" i="27"/>
  <c r="AR37" i="27"/>
  <c r="AQ37" i="27"/>
  <c r="AP37" i="27"/>
  <c r="AR36" i="27"/>
  <c r="AQ36" i="27"/>
  <c r="AP36" i="27"/>
  <c r="AR35" i="27"/>
  <c r="AQ35" i="27"/>
  <c r="AP35" i="27"/>
  <c r="AR34" i="27"/>
  <c r="AQ34" i="27"/>
  <c r="AP34" i="27"/>
  <c r="AR33" i="27"/>
  <c r="AQ33" i="27"/>
  <c r="AP33" i="27"/>
  <c r="AR32" i="27"/>
  <c r="AQ32" i="27"/>
  <c r="AP32" i="27"/>
  <c r="AR29" i="27"/>
  <c r="AQ29" i="27"/>
  <c r="AP29" i="27"/>
  <c r="AR28" i="27"/>
  <c r="AQ28" i="27"/>
  <c r="AP28" i="27"/>
  <c r="AR27" i="27"/>
  <c r="AQ27" i="27"/>
  <c r="AP27" i="27"/>
  <c r="AR26" i="27"/>
  <c r="AQ26" i="27"/>
  <c r="AP26" i="27"/>
  <c r="AR25" i="27"/>
  <c r="AQ25" i="27"/>
  <c r="AP25" i="27"/>
  <c r="AR24" i="27"/>
  <c r="AQ24" i="27"/>
  <c r="AP24" i="27"/>
  <c r="AR23" i="27"/>
  <c r="AQ23" i="27"/>
  <c r="AP23" i="27"/>
  <c r="AR14" i="27"/>
  <c r="AQ14" i="27"/>
  <c r="AP14" i="27"/>
  <c r="AG14" i="27" s="1"/>
  <c r="AR13" i="27"/>
  <c r="AQ13" i="27"/>
  <c r="AP13" i="27"/>
  <c r="AH13" i="27" s="1"/>
  <c r="AR12" i="27"/>
  <c r="AQ12" i="27"/>
  <c r="AP12" i="27"/>
  <c r="AG12" i="27" s="1"/>
  <c r="AR11" i="27"/>
  <c r="AQ11" i="27"/>
  <c r="AP11" i="27"/>
  <c r="AB7" i="27"/>
  <c r="AD26" i="28"/>
  <c r="AD33" i="28"/>
  <c r="AD40" i="28"/>
  <c r="AD47" i="28"/>
  <c r="AD54" i="28"/>
  <c r="AD61" i="28"/>
  <c r="AD68" i="28"/>
  <c r="AD75" i="28"/>
  <c r="AD82" i="28"/>
  <c r="AD89" i="28"/>
  <c r="AD96" i="28"/>
  <c r="AD103" i="28"/>
  <c r="AD110" i="28"/>
  <c r="AD117" i="28"/>
  <c r="AD124" i="28"/>
  <c r="AD131" i="28"/>
  <c r="AD138" i="28"/>
  <c r="AD145" i="28"/>
  <c r="AD152" i="28"/>
  <c r="AD159" i="28"/>
  <c r="AD166" i="28"/>
  <c r="AD173" i="28"/>
  <c r="AD180" i="28"/>
  <c r="AD187" i="28"/>
  <c r="AD194" i="28"/>
  <c r="AD201" i="28"/>
  <c r="AD208" i="28"/>
  <c r="AD215" i="28"/>
  <c r="AD222" i="28"/>
  <c r="AD229" i="28"/>
  <c r="AD236" i="28"/>
  <c r="AD243" i="28"/>
  <c r="AD250" i="28"/>
  <c r="AD257" i="28"/>
  <c r="AD264" i="28"/>
  <c r="AD271" i="28"/>
  <c r="AD278" i="28"/>
  <c r="AD285" i="28"/>
  <c r="AD292" i="28"/>
  <c r="AD299" i="28"/>
  <c r="AD306" i="28"/>
  <c r="AD313" i="28"/>
  <c r="AD320" i="28"/>
  <c r="AD327" i="28"/>
  <c r="AD334" i="28"/>
  <c r="AD341" i="28"/>
  <c r="AD348" i="28"/>
  <c r="AD355" i="28"/>
  <c r="AD362" i="28"/>
  <c r="AD369" i="28"/>
  <c r="AD376" i="28"/>
  <c r="AD383" i="28"/>
  <c r="AD390" i="28"/>
  <c r="AD397" i="28"/>
  <c r="AD404" i="28"/>
  <c r="AD411" i="28"/>
  <c r="AD418" i="28"/>
  <c r="AD425" i="28"/>
  <c r="AD432" i="28"/>
  <c r="AD439" i="28"/>
  <c r="AD446" i="28"/>
  <c r="AD453" i="28"/>
  <c r="AD460" i="28"/>
  <c r="AD467" i="28"/>
  <c r="AD474" i="28"/>
  <c r="AD481" i="28"/>
  <c r="AD488" i="28"/>
  <c r="AD495" i="28"/>
  <c r="AD502" i="28"/>
  <c r="AD509" i="28"/>
  <c r="AD516" i="28"/>
  <c r="AD523" i="28"/>
  <c r="AD530" i="28"/>
  <c r="AD537" i="28"/>
  <c r="AD544" i="28"/>
  <c r="AD551" i="28"/>
  <c r="AD558" i="28"/>
  <c r="AD565" i="28"/>
  <c r="AD572" i="28"/>
  <c r="AD579" i="28"/>
  <c r="AD586" i="28"/>
  <c r="AD593" i="28"/>
  <c r="AD600" i="28"/>
  <c r="AD607" i="28"/>
  <c r="AD614" i="28"/>
  <c r="AD621" i="28"/>
  <c r="AD628" i="28"/>
  <c r="AD635" i="28"/>
  <c r="AD642" i="28"/>
  <c r="AD649" i="28"/>
  <c r="AD656" i="28"/>
  <c r="AD663" i="28"/>
  <c r="AD670" i="28"/>
  <c r="AD677" i="28"/>
  <c r="AD684" i="28"/>
  <c r="AD691" i="28"/>
  <c r="AD698" i="28"/>
  <c r="AD705" i="28"/>
  <c r="AD712" i="28"/>
  <c r="AD719" i="28"/>
  <c r="AD726" i="28"/>
  <c r="AD733" i="28"/>
  <c r="AD740" i="28"/>
  <c r="AD747" i="28"/>
  <c r="AD754" i="28"/>
  <c r="AD761" i="28"/>
  <c r="AD768" i="28"/>
  <c r="AD775" i="28"/>
  <c r="AD782" i="28"/>
  <c r="AD789" i="28"/>
  <c r="AD796" i="28"/>
  <c r="AD803" i="28"/>
  <c r="AD810" i="28"/>
  <c r="AD817" i="28"/>
  <c r="AD824" i="28"/>
  <c r="AD831" i="28"/>
  <c r="AD838" i="28"/>
  <c r="AD845" i="28"/>
  <c r="AD852" i="28"/>
  <c r="AD859" i="28"/>
  <c r="AD866" i="28"/>
  <c r="AD873" i="28"/>
  <c r="AD880" i="28"/>
  <c r="AD887" i="28"/>
  <c r="AD894" i="28"/>
  <c r="AD901" i="28"/>
  <c r="AD908" i="28"/>
  <c r="AD915" i="28"/>
  <c r="AB921" i="28"/>
  <c r="T921" i="28"/>
  <c r="S921" i="28"/>
  <c r="AB920" i="28"/>
  <c r="T920" i="28"/>
  <c r="S920" i="28"/>
  <c r="AB919" i="28"/>
  <c r="T919" i="28"/>
  <c r="S919" i="28"/>
  <c r="AB918" i="28"/>
  <c r="T918" i="28"/>
  <c r="S918" i="28"/>
  <c r="AB917" i="28"/>
  <c r="T917" i="28"/>
  <c r="S917" i="28"/>
  <c r="AB916" i="28"/>
  <c r="T916" i="28"/>
  <c r="S916" i="28"/>
  <c r="AB915" i="28"/>
  <c r="AC915" i="28" s="1"/>
  <c r="T915" i="28"/>
  <c r="S915" i="28"/>
  <c r="AB914" i="28"/>
  <c r="T914" i="28"/>
  <c r="S914" i="28"/>
  <c r="AB913" i="28"/>
  <c r="T913" i="28"/>
  <c r="S913" i="28"/>
  <c r="AB912" i="28"/>
  <c r="T912" i="28"/>
  <c r="S912" i="28"/>
  <c r="AB911" i="28"/>
  <c r="T911" i="28"/>
  <c r="S911" i="28"/>
  <c r="AB910" i="28"/>
  <c r="T910" i="28"/>
  <c r="S910" i="28"/>
  <c r="AB909" i="28"/>
  <c r="T909" i="28"/>
  <c r="S909" i="28"/>
  <c r="AB908" i="28"/>
  <c r="AC908" i="28" s="1"/>
  <c r="T908" i="28"/>
  <c r="S908" i="28"/>
  <c r="AB907" i="28"/>
  <c r="T907" i="28"/>
  <c r="S907" i="28"/>
  <c r="AB906" i="28"/>
  <c r="T906" i="28"/>
  <c r="S906" i="28"/>
  <c r="AB905" i="28"/>
  <c r="T905" i="28"/>
  <c r="S905" i="28"/>
  <c r="AB904" i="28"/>
  <c r="T904" i="28"/>
  <c r="S904" i="28"/>
  <c r="AB903" i="28"/>
  <c r="T903" i="28"/>
  <c r="S903" i="28"/>
  <c r="AB902" i="28"/>
  <c r="T902" i="28"/>
  <c r="S902" i="28"/>
  <c r="AB901" i="28"/>
  <c r="AC901" i="28" s="1"/>
  <c r="T901" i="28"/>
  <c r="S901" i="28"/>
  <c r="AB900" i="28"/>
  <c r="T900" i="28"/>
  <c r="S900" i="28"/>
  <c r="AB899" i="28"/>
  <c r="T899" i="28"/>
  <c r="S899" i="28"/>
  <c r="AB898" i="28"/>
  <c r="T898" i="28"/>
  <c r="S898" i="28"/>
  <c r="AB897" i="28"/>
  <c r="T897" i="28"/>
  <c r="S897" i="28"/>
  <c r="AB896" i="28"/>
  <c r="T896" i="28"/>
  <c r="S896" i="28"/>
  <c r="AB895" i="28"/>
  <c r="T895" i="28"/>
  <c r="S895" i="28"/>
  <c r="AB894" i="28"/>
  <c r="AC894" i="28" s="1"/>
  <c r="T894" i="28"/>
  <c r="S894" i="28"/>
  <c r="AB893" i="28"/>
  <c r="T893" i="28"/>
  <c r="S893" i="28"/>
  <c r="AB892" i="28"/>
  <c r="T892" i="28"/>
  <c r="S892" i="28"/>
  <c r="AB891" i="28"/>
  <c r="T891" i="28"/>
  <c r="S891" i="28"/>
  <c r="AB890" i="28"/>
  <c r="T890" i="28"/>
  <c r="S890" i="28"/>
  <c r="AB889" i="28"/>
  <c r="T889" i="28"/>
  <c r="S889" i="28"/>
  <c r="AB888" i="28"/>
  <c r="T888" i="28"/>
  <c r="S888" i="28"/>
  <c r="AB887" i="28"/>
  <c r="AC887" i="28" s="1"/>
  <c r="T887" i="28"/>
  <c r="S887" i="28"/>
  <c r="AB886" i="28"/>
  <c r="T886" i="28"/>
  <c r="S886" i="28"/>
  <c r="AB885" i="28"/>
  <c r="T885" i="28"/>
  <c r="S885" i="28"/>
  <c r="AB884" i="28"/>
  <c r="T884" i="28"/>
  <c r="S884" i="28"/>
  <c r="AB883" i="28"/>
  <c r="T883" i="28"/>
  <c r="S883" i="28"/>
  <c r="AB882" i="28"/>
  <c r="T882" i="28"/>
  <c r="S882" i="28"/>
  <c r="AB881" i="28"/>
  <c r="T881" i="28"/>
  <c r="S881" i="28"/>
  <c r="AB880" i="28"/>
  <c r="AC880" i="28" s="1"/>
  <c r="T880" i="28"/>
  <c r="S880" i="28"/>
  <c r="AB879" i="28"/>
  <c r="T879" i="28"/>
  <c r="S879" i="28"/>
  <c r="AB878" i="28"/>
  <c r="T878" i="28"/>
  <c r="S878" i="28"/>
  <c r="AB877" i="28"/>
  <c r="T877" i="28"/>
  <c r="S877" i="28"/>
  <c r="AB876" i="28"/>
  <c r="T876" i="28"/>
  <c r="S876" i="28"/>
  <c r="AB875" i="28"/>
  <c r="T875" i="28"/>
  <c r="S875" i="28"/>
  <c r="AB874" i="28"/>
  <c r="T874" i="28"/>
  <c r="S874" i="28"/>
  <c r="AB873" i="28"/>
  <c r="AC873" i="28" s="1"/>
  <c r="T873" i="28"/>
  <c r="S873" i="28"/>
  <c r="AB872" i="28"/>
  <c r="T872" i="28"/>
  <c r="S872" i="28"/>
  <c r="AB871" i="28"/>
  <c r="T871" i="28"/>
  <c r="S871" i="28"/>
  <c r="AB870" i="28"/>
  <c r="T870" i="28"/>
  <c r="S870" i="28"/>
  <c r="AB869" i="28"/>
  <c r="T869" i="28"/>
  <c r="S869" i="28"/>
  <c r="AB868" i="28"/>
  <c r="T868" i="28"/>
  <c r="S868" i="28"/>
  <c r="AB867" i="28"/>
  <c r="T867" i="28"/>
  <c r="S867" i="28"/>
  <c r="AB866" i="28"/>
  <c r="AC866" i="28" s="1"/>
  <c r="T866" i="28"/>
  <c r="S866" i="28"/>
  <c r="AB865" i="28"/>
  <c r="T865" i="28"/>
  <c r="S865" i="28"/>
  <c r="AB864" i="28"/>
  <c r="T864" i="28"/>
  <c r="S864" i="28"/>
  <c r="AB863" i="28"/>
  <c r="T863" i="28"/>
  <c r="S863" i="28"/>
  <c r="AB862" i="28"/>
  <c r="T862" i="28"/>
  <c r="S862" i="28"/>
  <c r="AB861" i="28"/>
  <c r="T861" i="28"/>
  <c r="S861" i="28"/>
  <c r="AB860" i="28"/>
  <c r="T860" i="28"/>
  <c r="S860" i="28"/>
  <c r="AB859" i="28"/>
  <c r="AC859" i="28" s="1"/>
  <c r="T859" i="28"/>
  <c r="S859" i="28"/>
  <c r="AB858" i="28"/>
  <c r="T858" i="28"/>
  <c r="S858" i="28"/>
  <c r="AB857" i="28"/>
  <c r="T857" i="28"/>
  <c r="S857" i="28"/>
  <c r="AB856" i="28"/>
  <c r="T856" i="28"/>
  <c r="S856" i="28"/>
  <c r="AB855" i="28"/>
  <c r="T855" i="28"/>
  <c r="S855" i="28"/>
  <c r="AB854" i="28"/>
  <c r="T854" i="28"/>
  <c r="S854" i="28"/>
  <c r="AB853" i="28"/>
  <c r="T853" i="28"/>
  <c r="S853" i="28"/>
  <c r="AB852" i="28"/>
  <c r="AC852" i="28" s="1"/>
  <c r="T852" i="28"/>
  <c r="S852" i="28"/>
  <c r="AB851" i="28"/>
  <c r="T851" i="28"/>
  <c r="S851" i="28"/>
  <c r="AB850" i="28"/>
  <c r="T850" i="28"/>
  <c r="S850" i="28"/>
  <c r="AB849" i="28"/>
  <c r="T849" i="28"/>
  <c r="S849" i="28"/>
  <c r="AB848" i="28"/>
  <c r="T848" i="28"/>
  <c r="S848" i="28"/>
  <c r="AB847" i="28"/>
  <c r="T847" i="28"/>
  <c r="S847" i="28"/>
  <c r="AB846" i="28"/>
  <c r="T846" i="28"/>
  <c r="S846" i="28"/>
  <c r="AB845" i="28"/>
  <c r="AC845" i="28" s="1"/>
  <c r="T845" i="28"/>
  <c r="S845" i="28"/>
  <c r="AB844" i="28"/>
  <c r="T844" i="28"/>
  <c r="S844" i="28"/>
  <c r="AB843" i="28"/>
  <c r="T843" i="28"/>
  <c r="S843" i="28"/>
  <c r="AB842" i="28"/>
  <c r="T842" i="28"/>
  <c r="S842" i="28"/>
  <c r="AB841" i="28"/>
  <c r="T841" i="28"/>
  <c r="S841" i="28"/>
  <c r="AB840" i="28"/>
  <c r="T840" i="28"/>
  <c r="S840" i="28"/>
  <c r="AB839" i="28"/>
  <c r="T839" i="28"/>
  <c r="S839" i="28"/>
  <c r="AB838" i="28"/>
  <c r="AC838" i="28" s="1"/>
  <c r="T838" i="28"/>
  <c r="S838" i="28"/>
  <c r="AB837" i="28"/>
  <c r="T837" i="28"/>
  <c r="S837" i="28"/>
  <c r="AB836" i="28"/>
  <c r="T836" i="28"/>
  <c r="S836" i="28"/>
  <c r="AB835" i="28"/>
  <c r="T835" i="28"/>
  <c r="S835" i="28"/>
  <c r="AB834" i="28"/>
  <c r="T834" i="28"/>
  <c r="S834" i="28"/>
  <c r="AB833" i="28"/>
  <c r="T833" i="28"/>
  <c r="S833" i="28"/>
  <c r="AB832" i="28"/>
  <c r="T832" i="28"/>
  <c r="S832" i="28"/>
  <c r="AB831" i="28"/>
  <c r="AC831" i="28" s="1"/>
  <c r="T831" i="28"/>
  <c r="S831" i="28"/>
  <c r="AB830" i="28"/>
  <c r="T830" i="28"/>
  <c r="S830" i="28"/>
  <c r="AB829" i="28"/>
  <c r="T829" i="28"/>
  <c r="S829" i="28"/>
  <c r="AB828" i="28"/>
  <c r="T828" i="28"/>
  <c r="S828" i="28"/>
  <c r="AB827" i="28"/>
  <c r="T827" i="28"/>
  <c r="S827" i="28"/>
  <c r="AB826" i="28"/>
  <c r="T826" i="28"/>
  <c r="S826" i="28"/>
  <c r="AB825" i="28"/>
  <c r="T825" i="28"/>
  <c r="S825" i="28"/>
  <c r="AB824" i="28"/>
  <c r="AC824" i="28" s="1"/>
  <c r="T824" i="28"/>
  <c r="S824" i="28"/>
  <c r="AB823" i="28"/>
  <c r="T823" i="28"/>
  <c r="S823" i="28"/>
  <c r="AB822" i="28"/>
  <c r="T822" i="28"/>
  <c r="S822" i="28"/>
  <c r="AB821" i="28"/>
  <c r="T821" i="28"/>
  <c r="S821" i="28"/>
  <c r="AB820" i="28"/>
  <c r="T820" i="28"/>
  <c r="S820" i="28"/>
  <c r="AB819" i="28"/>
  <c r="T819" i="28"/>
  <c r="S819" i="28"/>
  <c r="AB818" i="28"/>
  <c r="T818" i="28"/>
  <c r="S818" i="28"/>
  <c r="AB817" i="28"/>
  <c r="AC817" i="28" s="1"/>
  <c r="T817" i="28"/>
  <c r="S817" i="28"/>
  <c r="AB816" i="28"/>
  <c r="T816" i="28"/>
  <c r="S816" i="28"/>
  <c r="AB815" i="28"/>
  <c r="T815" i="28"/>
  <c r="S815" i="28"/>
  <c r="AB814" i="28"/>
  <c r="T814" i="28"/>
  <c r="S814" i="28"/>
  <c r="AB813" i="28"/>
  <c r="T813" i="28"/>
  <c r="S813" i="28"/>
  <c r="AB812" i="28"/>
  <c r="T812" i="28"/>
  <c r="S812" i="28"/>
  <c r="AB811" i="28"/>
  <c r="T811" i="28"/>
  <c r="S811" i="28"/>
  <c r="AB810" i="28"/>
  <c r="AC810" i="28" s="1"/>
  <c r="T810" i="28"/>
  <c r="S810" i="28"/>
  <c r="AB809" i="28"/>
  <c r="T809" i="28"/>
  <c r="S809" i="28"/>
  <c r="AB808" i="28"/>
  <c r="T808" i="28"/>
  <c r="S808" i="28"/>
  <c r="AB807" i="28"/>
  <c r="T807" i="28"/>
  <c r="S807" i="28"/>
  <c r="AB806" i="28"/>
  <c r="T806" i="28"/>
  <c r="S806" i="28"/>
  <c r="AB805" i="28"/>
  <c r="T805" i="28"/>
  <c r="S805" i="28"/>
  <c r="AB804" i="28"/>
  <c r="T804" i="28"/>
  <c r="S804" i="28"/>
  <c r="AB803" i="28"/>
  <c r="AC803" i="28" s="1"/>
  <c r="T803" i="28"/>
  <c r="S803" i="28"/>
  <c r="AB802" i="28"/>
  <c r="T802" i="28"/>
  <c r="S802" i="28"/>
  <c r="AB801" i="28"/>
  <c r="T801" i="28"/>
  <c r="S801" i="28"/>
  <c r="AB800" i="28"/>
  <c r="T800" i="28"/>
  <c r="S800" i="28"/>
  <c r="AB799" i="28"/>
  <c r="T799" i="28"/>
  <c r="S799" i="28"/>
  <c r="AB798" i="28"/>
  <c r="T798" i="28"/>
  <c r="S798" i="28"/>
  <c r="AB797" i="28"/>
  <c r="T797" i="28"/>
  <c r="S797" i="28"/>
  <c r="AB796" i="28"/>
  <c r="AC796" i="28" s="1"/>
  <c r="T796" i="28"/>
  <c r="S796" i="28"/>
  <c r="AB795" i="28"/>
  <c r="T795" i="28"/>
  <c r="S795" i="28"/>
  <c r="AB794" i="28"/>
  <c r="T794" i="28"/>
  <c r="S794" i="28"/>
  <c r="AB793" i="28"/>
  <c r="T793" i="28"/>
  <c r="S793" i="28"/>
  <c r="AB792" i="28"/>
  <c r="T792" i="28"/>
  <c r="S792" i="28"/>
  <c r="AB791" i="28"/>
  <c r="T791" i="28"/>
  <c r="S791" i="28"/>
  <c r="AB790" i="28"/>
  <c r="T790" i="28"/>
  <c r="S790" i="28"/>
  <c r="AB789" i="28"/>
  <c r="AC789" i="28" s="1"/>
  <c r="T789" i="28"/>
  <c r="S789" i="28"/>
  <c r="AB788" i="28"/>
  <c r="T788" i="28"/>
  <c r="S788" i="28"/>
  <c r="AB787" i="28"/>
  <c r="T787" i="28"/>
  <c r="S787" i="28"/>
  <c r="AB786" i="28"/>
  <c r="T786" i="28"/>
  <c r="S786" i="28"/>
  <c r="AB785" i="28"/>
  <c r="T785" i="28"/>
  <c r="S785" i="28"/>
  <c r="AB784" i="28"/>
  <c r="T784" i="28"/>
  <c r="S784" i="28"/>
  <c r="AB783" i="28"/>
  <c r="T783" i="28"/>
  <c r="S783" i="28"/>
  <c r="AB782" i="28"/>
  <c r="AC782" i="28" s="1"/>
  <c r="T782" i="28"/>
  <c r="S782" i="28"/>
  <c r="AB781" i="28"/>
  <c r="T781" i="28"/>
  <c r="S781" i="28"/>
  <c r="AB780" i="28"/>
  <c r="T780" i="28"/>
  <c r="S780" i="28"/>
  <c r="AB779" i="28"/>
  <c r="T779" i="28"/>
  <c r="S779" i="28"/>
  <c r="AB778" i="28"/>
  <c r="T778" i="28"/>
  <c r="S778" i="28"/>
  <c r="AB777" i="28"/>
  <c r="T777" i="28"/>
  <c r="S777" i="28"/>
  <c r="AB776" i="28"/>
  <c r="T776" i="28"/>
  <c r="S776" i="28"/>
  <c r="AB775" i="28"/>
  <c r="AC775" i="28" s="1"/>
  <c r="T775" i="28"/>
  <c r="S775" i="28"/>
  <c r="AB774" i="28"/>
  <c r="T774" i="28"/>
  <c r="S774" i="28"/>
  <c r="AB773" i="28"/>
  <c r="T773" i="28"/>
  <c r="S773" i="28"/>
  <c r="AB772" i="28"/>
  <c r="T772" i="28"/>
  <c r="S772" i="28"/>
  <c r="AB771" i="28"/>
  <c r="T771" i="28"/>
  <c r="S771" i="28"/>
  <c r="AB770" i="28"/>
  <c r="T770" i="28"/>
  <c r="S770" i="28"/>
  <c r="AB769" i="28"/>
  <c r="T769" i="28"/>
  <c r="S769" i="28"/>
  <c r="AB768" i="28"/>
  <c r="AC768" i="28" s="1"/>
  <c r="T768" i="28"/>
  <c r="S768" i="28"/>
  <c r="AB767" i="28"/>
  <c r="T767" i="28"/>
  <c r="S767" i="28"/>
  <c r="AB766" i="28"/>
  <c r="T766" i="28"/>
  <c r="S766" i="28"/>
  <c r="AB765" i="28"/>
  <c r="T765" i="28"/>
  <c r="S765" i="28"/>
  <c r="AB764" i="28"/>
  <c r="T764" i="28"/>
  <c r="S764" i="28"/>
  <c r="AB763" i="28"/>
  <c r="T763" i="28"/>
  <c r="S763" i="28"/>
  <c r="AB762" i="28"/>
  <c r="T762" i="28"/>
  <c r="S762" i="28"/>
  <c r="AB761" i="28"/>
  <c r="AC761" i="28" s="1"/>
  <c r="AB760" i="28"/>
  <c r="T760" i="28"/>
  <c r="S760" i="28"/>
  <c r="AB759" i="28"/>
  <c r="T759" i="28"/>
  <c r="S759" i="28"/>
  <c r="AB758" i="28"/>
  <c r="T758" i="28"/>
  <c r="S758" i="28"/>
  <c r="AB757" i="28"/>
  <c r="T757" i="28"/>
  <c r="S757" i="28"/>
  <c r="AB756" i="28"/>
  <c r="T756" i="28"/>
  <c r="S756" i="28"/>
  <c r="AB755" i="28"/>
  <c r="T755" i="28"/>
  <c r="S755" i="28"/>
  <c r="AB754" i="28"/>
  <c r="AC754" i="28" s="1"/>
  <c r="AB753" i="28"/>
  <c r="T753" i="28"/>
  <c r="S753" i="28"/>
  <c r="AB752" i="28"/>
  <c r="T752" i="28"/>
  <c r="S752" i="28"/>
  <c r="AB751" i="28"/>
  <c r="T751" i="28"/>
  <c r="S751" i="28"/>
  <c r="AB750" i="28"/>
  <c r="T750" i="28"/>
  <c r="S750" i="28"/>
  <c r="AB749" i="28"/>
  <c r="T749" i="28"/>
  <c r="S749" i="28"/>
  <c r="AB748" i="28"/>
  <c r="T748" i="28"/>
  <c r="S748" i="28"/>
  <c r="AB747" i="28"/>
  <c r="AC747" i="28" s="1"/>
  <c r="AB746" i="28"/>
  <c r="T746" i="28"/>
  <c r="S746" i="28"/>
  <c r="AB745" i="28"/>
  <c r="T745" i="28"/>
  <c r="S745" i="28"/>
  <c r="AB744" i="28"/>
  <c r="T744" i="28"/>
  <c r="S744" i="28"/>
  <c r="AB743" i="28"/>
  <c r="T743" i="28"/>
  <c r="S743" i="28"/>
  <c r="AB742" i="28"/>
  <c r="T742" i="28"/>
  <c r="S742" i="28"/>
  <c r="AB741" i="28"/>
  <c r="T741" i="28"/>
  <c r="S741" i="28"/>
  <c r="AB740" i="28"/>
  <c r="AC740" i="28" s="1"/>
  <c r="AB739" i="28"/>
  <c r="T739" i="28"/>
  <c r="S739" i="28"/>
  <c r="AB738" i="28"/>
  <c r="T738" i="28"/>
  <c r="S738" i="28"/>
  <c r="AB737" i="28"/>
  <c r="T737" i="28"/>
  <c r="S737" i="28"/>
  <c r="AB736" i="28"/>
  <c r="T736" i="28"/>
  <c r="S736" i="28"/>
  <c r="AB735" i="28"/>
  <c r="T735" i="28"/>
  <c r="S735" i="28"/>
  <c r="AB734" i="28"/>
  <c r="T734" i="28"/>
  <c r="S734" i="28"/>
  <c r="AB733" i="28"/>
  <c r="AC733" i="28" s="1"/>
  <c r="AB732" i="28"/>
  <c r="T732" i="28"/>
  <c r="S732" i="28"/>
  <c r="AB731" i="28"/>
  <c r="T731" i="28"/>
  <c r="S731" i="28"/>
  <c r="AB730" i="28"/>
  <c r="T730" i="28"/>
  <c r="S730" i="28"/>
  <c r="AB729" i="28"/>
  <c r="T729" i="28"/>
  <c r="S729" i="28"/>
  <c r="AB728" i="28"/>
  <c r="T728" i="28"/>
  <c r="S728" i="28"/>
  <c r="AB727" i="28"/>
  <c r="T727" i="28"/>
  <c r="S727" i="28"/>
  <c r="AB726" i="28"/>
  <c r="AC726" i="28" s="1"/>
  <c r="AB725" i="28"/>
  <c r="T725" i="28"/>
  <c r="S725" i="28"/>
  <c r="AB724" i="28"/>
  <c r="T724" i="28"/>
  <c r="S724" i="28"/>
  <c r="AB723" i="28"/>
  <c r="T723" i="28"/>
  <c r="S723" i="28"/>
  <c r="AB722" i="28"/>
  <c r="T722" i="28"/>
  <c r="S722" i="28"/>
  <c r="AB721" i="28"/>
  <c r="T721" i="28"/>
  <c r="S721" i="28"/>
  <c r="AB720" i="28"/>
  <c r="T720" i="28"/>
  <c r="S720" i="28"/>
  <c r="AB719" i="28"/>
  <c r="AC719" i="28" s="1"/>
  <c r="AB718" i="28"/>
  <c r="T718" i="28"/>
  <c r="S718" i="28"/>
  <c r="AB717" i="28"/>
  <c r="T717" i="28"/>
  <c r="S717" i="28"/>
  <c r="AB716" i="28"/>
  <c r="T716" i="28"/>
  <c r="S716" i="28"/>
  <c r="AB715" i="28"/>
  <c r="T715" i="28"/>
  <c r="S715" i="28"/>
  <c r="AB714" i="28"/>
  <c r="T714" i="28"/>
  <c r="S714" i="28"/>
  <c r="AB713" i="28"/>
  <c r="T713" i="28"/>
  <c r="S713" i="28"/>
  <c r="AB712" i="28"/>
  <c r="AC712" i="28" s="1"/>
  <c r="AB711" i="28"/>
  <c r="T711" i="28"/>
  <c r="S711" i="28"/>
  <c r="AB710" i="28"/>
  <c r="T710" i="28"/>
  <c r="S710" i="28"/>
  <c r="AB709" i="28"/>
  <c r="T709" i="28"/>
  <c r="S709" i="28"/>
  <c r="AB708" i="28"/>
  <c r="T708" i="28"/>
  <c r="S708" i="28"/>
  <c r="AB707" i="28"/>
  <c r="T707" i="28"/>
  <c r="S707" i="28"/>
  <c r="AB706" i="28"/>
  <c r="T706" i="28"/>
  <c r="S706" i="28"/>
  <c r="AB705" i="28"/>
  <c r="AC705" i="28" s="1"/>
  <c r="AB704" i="28"/>
  <c r="T704" i="28"/>
  <c r="S704" i="28"/>
  <c r="AB703" i="28"/>
  <c r="T703" i="28"/>
  <c r="S703" i="28"/>
  <c r="AB702" i="28"/>
  <c r="T702" i="28"/>
  <c r="S702" i="28"/>
  <c r="AB701" i="28"/>
  <c r="T701" i="28"/>
  <c r="S701" i="28"/>
  <c r="AB700" i="28"/>
  <c r="T700" i="28"/>
  <c r="S700" i="28"/>
  <c r="AB699" i="28"/>
  <c r="T699" i="28"/>
  <c r="S699" i="28"/>
  <c r="AB698" i="28"/>
  <c r="AC698" i="28" s="1"/>
  <c r="AB697" i="28"/>
  <c r="T697" i="28"/>
  <c r="S697" i="28"/>
  <c r="AB696" i="28"/>
  <c r="T696" i="28"/>
  <c r="S696" i="28"/>
  <c r="AB695" i="28"/>
  <c r="T695" i="28"/>
  <c r="S695" i="28"/>
  <c r="AB694" i="28"/>
  <c r="T694" i="28"/>
  <c r="S694" i="28"/>
  <c r="AB693" i="28"/>
  <c r="T693" i="28"/>
  <c r="S693" i="28"/>
  <c r="AB692" i="28"/>
  <c r="T692" i="28"/>
  <c r="S692" i="28"/>
  <c r="AB691" i="28"/>
  <c r="AC691" i="28" s="1"/>
  <c r="AB690" i="28"/>
  <c r="T690" i="28"/>
  <c r="S690" i="28"/>
  <c r="AB689" i="28"/>
  <c r="T689" i="28"/>
  <c r="S689" i="28"/>
  <c r="AB688" i="28"/>
  <c r="T688" i="28"/>
  <c r="S688" i="28"/>
  <c r="AB687" i="28"/>
  <c r="T687" i="28"/>
  <c r="S687" i="28"/>
  <c r="AB686" i="28"/>
  <c r="T686" i="28"/>
  <c r="S686" i="28"/>
  <c r="AB685" i="28"/>
  <c r="T685" i="28"/>
  <c r="S685" i="28"/>
  <c r="AB684" i="28"/>
  <c r="AC684" i="28" s="1"/>
  <c r="AB683" i="28"/>
  <c r="T683" i="28"/>
  <c r="S683" i="28"/>
  <c r="AB682" i="28"/>
  <c r="T682" i="28"/>
  <c r="S682" i="28"/>
  <c r="AB681" i="28"/>
  <c r="T681" i="28"/>
  <c r="S681" i="28"/>
  <c r="AB680" i="28"/>
  <c r="T680" i="28"/>
  <c r="S680" i="28"/>
  <c r="AB679" i="28"/>
  <c r="T679" i="28"/>
  <c r="S679" i="28"/>
  <c r="AB678" i="28"/>
  <c r="T678" i="28"/>
  <c r="S678" i="28"/>
  <c r="AB677" i="28"/>
  <c r="AC677" i="28" s="1"/>
  <c r="AB676" i="28"/>
  <c r="T676" i="28"/>
  <c r="S676" i="28"/>
  <c r="AB675" i="28"/>
  <c r="T675" i="28"/>
  <c r="S675" i="28"/>
  <c r="AB674" i="28"/>
  <c r="T674" i="28"/>
  <c r="S674" i="28"/>
  <c r="AB673" i="28"/>
  <c r="T673" i="28"/>
  <c r="S673" i="28"/>
  <c r="AB672" i="28"/>
  <c r="T672" i="28"/>
  <c r="S672" i="28"/>
  <c r="AB671" i="28"/>
  <c r="T671" i="28"/>
  <c r="S671" i="28"/>
  <c r="AB670" i="28"/>
  <c r="AC670" i="28" s="1"/>
  <c r="AB669" i="28"/>
  <c r="T669" i="28"/>
  <c r="S669" i="28"/>
  <c r="AB668" i="28"/>
  <c r="T668" i="28"/>
  <c r="S668" i="28"/>
  <c r="AB667" i="28"/>
  <c r="T667" i="28"/>
  <c r="S667" i="28"/>
  <c r="AB666" i="28"/>
  <c r="T666" i="28"/>
  <c r="S666" i="28"/>
  <c r="AB665" i="28"/>
  <c r="T665" i="28"/>
  <c r="S665" i="28"/>
  <c r="AB664" i="28"/>
  <c r="T664" i="28"/>
  <c r="S664" i="28"/>
  <c r="AB663" i="28"/>
  <c r="AC663" i="28" s="1"/>
  <c r="AB662" i="28"/>
  <c r="T662" i="28"/>
  <c r="S662" i="28"/>
  <c r="AB661" i="28"/>
  <c r="T661" i="28"/>
  <c r="S661" i="28"/>
  <c r="AB660" i="28"/>
  <c r="T660" i="28"/>
  <c r="S660" i="28"/>
  <c r="AB659" i="28"/>
  <c r="T659" i="28"/>
  <c r="S659" i="28"/>
  <c r="AB658" i="28"/>
  <c r="T658" i="28"/>
  <c r="S658" i="28"/>
  <c r="AB657" i="28"/>
  <c r="T657" i="28"/>
  <c r="S657" i="28"/>
  <c r="AB656" i="28"/>
  <c r="AC656" i="28" s="1"/>
  <c r="AB655" i="28"/>
  <c r="T655" i="28"/>
  <c r="S655" i="28"/>
  <c r="AB654" i="28"/>
  <c r="T654" i="28"/>
  <c r="S654" i="28"/>
  <c r="AB653" i="28"/>
  <c r="T653" i="28"/>
  <c r="S653" i="28"/>
  <c r="AB652" i="28"/>
  <c r="T652" i="28"/>
  <c r="S652" i="28"/>
  <c r="AB651" i="28"/>
  <c r="T651" i="28"/>
  <c r="S651" i="28"/>
  <c r="AB650" i="28"/>
  <c r="T650" i="28"/>
  <c r="S650" i="28"/>
  <c r="AB649" i="28"/>
  <c r="AC649" i="28" s="1"/>
  <c r="AB648" i="28"/>
  <c r="T648" i="28"/>
  <c r="S648" i="28"/>
  <c r="AB647" i="28"/>
  <c r="T647" i="28"/>
  <c r="S647" i="28"/>
  <c r="AB646" i="28"/>
  <c r="T646" i="28"/>
  <c r="S646" i="28"/>
  <c r="AB645" i="28"/>
  <c r="T645" i="28"/>
  <c r="S645" i="28"/>
  <c r="AB644" i="28"/>
  <c r="T644" i="28"/>
  <c r="S644" i="28"/>
  <c r="AB643" i="28"/>
  <c r="T643" i="28"/>
  <c r="S643" i="28"/>
  <c r="AB642" i="28"/>
  <c r="AC642" i="28" s="1"/>
  <c r="AB641" i="28"/>
  <c r="T641" i="28"/>
  <c r="S641" i="28"/>
  <c r="AB640" i="28"/>
  <c r="T640" i="28"/>
  <c r="S640" i="28"/>
  <c r="AB639" i="28"/>
  <c r="T639" i="28"/>
  <c r="S639" i="28"/>
  <c r="AB638" i="28"/>
  <c r="T638" i="28"/>
  <c r="S638" i="28"/>
  <c r="AB637" i="28"/>
  <c r="T637" i="28"/>
  <c r="S637" i="28"/>
  <c r="AB636" i="28"/>
  <c r="T636" i="28"/>
  <c r="S636" i="28"/>
  <c r="AB634" i="28"/>
  <c r="T634" i="28"/>
  <c r="S634" i="28"/>
  <c r="AB633" i="28"/>
  <c r="T633" i="28"/>
  <c r="S633" i="28"/>
  <c r="AB632" i="28"/>
  <c r="T632" i="28"/>
  <c r="S632" i="28"/>
  <c r="AB631" i="28"/>
  <c r="T631" i="28"/>
  <c r="S631" i="28"/>
  <c r="AB630" i="28"/>
  <c r="T630" i="28"/>
  <c r="S630" i="28"/>
  <c r="AB629" i="28"/>
  <c r="T629" i="28"/>
  <c r="S629" i="28"/>
  <c r="AB628" i="28"/>
  <c r="AC628" i="28" s="1"/>
  <c r="AB627" i="28"/>
  <c r="T627" i="28"/>
  <c r="S627" i="28"/>
  <c r="AB626" i="28"/>
  <c r="T626" i="28"/>
  <c r="S626" i="28"/>
  <c r="AB625" i="28"/>
  <c r="T625" i="28"/>
  <c r="S625" i="28"/>
  <c r="AB624" i="28"/>
  <c r="T624" i="28"/>
  <c r="S624" i="28"/>
  <c r="AB623" i="28"/>
  <c r="T623" i="28"/>
  <c r="S623" i="28"/>
  <c r="AB622" i="28"/>
  <c r="T622" i="28"/>
  <c r="S622" i="28"/>
  <c r="AB621" i="28"/>
  <c r="AC621" i="28" s="1"/>
  <c r="AB620" i="28"/>
  <c r="T620" i="28"/>
  <c r="S620" i="28"/>
  <c r="AB619" i="28"/>
  <c r="T619" i="28"/>
  <c r="S619" i="28"/>
  <c r="AB618" i="28"/>
  <c r="T618" i="28"/>
  <c r="S618" i="28"/>
  <c r="AB617" i="28"/>
  <c r="T617" i="28"/>
  <c r="S617" i="28"/>
  <c r="AB616" i="28"/>
  <c r="T616" i="28"/>
  <c r="S616" i="28"/>
  <c r="AB615" i="28"/>
  <c r="T615" i="28"/>
  <c r="S615" i="28"/>
  <c r="AB614" i="28"/>
  <c r="AC614" i="28" s="1"/>
  <c r="AB613" i="28"/>
  <c r="T613" i="28"/>
  <c r="S613" i="28"/>
  <c r="AB612" i="28"/>
  <c r="T612" i="28"/>
  <c r="S612" i="28"/>
  <c r="AB611" i="28"/>
  <c r="T611" i="28"/>
  <c r="S611" i="28"/>
  <c r="AB610" i="28"/>
  <c r="T610" i="28"/>
  <c r="S610" i="28"/>
  <c r="AB609" i="28"/>
  <c r="T609" i="28"/>
  <c r="S609" i="28"/>
  <c r="AB608" i="28"/>
  <c r="T608" i="28"/>
  <c r="S608" i="28"/>
  <c r="AB607" i="28"/>
  <c r="AC607" i="28" s="1"/>
  <c r="AB606" i="28"/>
  <c r="T606" i="28"/>
  <c r="S606" i="28"/>
  <c r="AB605" i="28"/>
  <c r="T605" i="28"/>
  <c r="S605" i="28"/>
  <c r="AB604" i="28"/>
  <c r="T604" i="28"/>
  <c r="S604" i="28"/>
  <c r="AB603" i="28"/>
  <c r="T603" i="28"/>
  <c r="S603" i="28"/>
  <c r="AB602" i="28"/>
  <c r="T602" i="28"/>
  <c r="S602" i="28"/>
  <c r="AB601" i="28"/>
  <c r="T601" i="28"/>
  <c r="S601" i="28"/>
  <c r="AB600" i="28"/>
  <c r="AC600" i="28" s="1"/>
  <c r="AB599" i="28"/>
  <c r="T599" i="28"/>
  <c r="S599" i="28"/>
  <c r="AB598" i="28"/>
  <c r="T598" i="28"/>
  <c r="S598" i="28"/>
  <c r="AB597" i="28"/>
  <c r="T597" i="28"/>
  <c r="S597" i="28"/>
  <c r="AB596" i="28"/>
  <c r="T596" i="28"/>
  <c r="S596" i="28"/>
  <c r="AB595" i="28"/>
  <c r="T595" i="28"/>
  <c r="S595" i="28"/>
  <c r="AB594" i="28"/>
  <c r="T594" i="28"/>
  <c r="S594" i="28"/>
  <c r="AB593" i="28"/>
  <c r="AC593" i="28" s="1"/>
  <c r="AB592" i="28"/>
  <c r="T592" i="28"/>
  <c r="S592" i="28"/>
  <c r="AB591" i="28"/>
  <c r="T591" i="28"/>
  <c r="S591" i="28"/>
  <c r="AB590" i="28"/>
  <c r="T590" i="28"/>
  <c r="S590" i="28"/>
  <c r="AB589" i="28"/>
  <c r="T589" i="28"/>
  <c r="S589" i="28"/>
  <c r="AB588" i="28"/>
  <c r="T588" i="28"/>
  <c r="S588" i="28"/>
  <c r="AB587" i="28"/>
  <c r="T587" i="28"/>
  <c r="S587" i="28"/>
  <c r="AB585" i="28"/>
  <c r="T585" i="28"/>
  <c r="S585" i="28"/>
  <c r="AB584" i="28"/>
  <c r="T584" i="28"/>
  <c r="S584" i="28"/>
  <c r="AB583" i="28"/>
  <c r="T583" i="28"/>
  <c r="S583" i="28"/>
  <c r="AB582" i="28"/>
  <c r="T582" i="28"/>
  <c r="S582" i="28"/>
  <c r="AB581" i="28"/>
  <c r="T581" i="28"/>
  <c r="S581" i="28"/>
  <c r="AB580" i="28"/>
  <c r="T580" i="28"/>
  <c r="S580" i="28"/>
  <c r="AB578" i="28"/>
  <c r="T578" i="28"/>
  <c r="S578" i="28"/>
  <c r="AB577" i="28"/>
  <c r="T577" i="28"/>
  <c r="S577" i="28"/>
  <c r="AB576" i="28"/>
  <c r="T576" i="28"/>
  <c r="S576" i="28"/>
  <c r="AB575" i="28"/>
  <c r="T575" i="28"/>
  <c r="S575" i="28"/>
  <c r="AB574" i="28"/>
  <c r="T574" i="28"/>
  <c r="S574" i="28"/>
  <c r="AB573" i="28"/>
  <c r="T573" i="28"/>
  <c r="S573" i="28"/>
  <c r="AB572" i="28"/>
  <c r="AC572" i="28" s="1"/>
  <c r="AB571" i="28"/>
  <c r="T571" i="28"/>
  <c r="S571" i="28"/>
  <c r="AB570" i="28"/>
  <c r="T570" i="28"/>
  <c r="S570" i="28"/>
  <c r="AB569" i="28"/>
  <c r="T569" i="28"/>
  <c r="S569" i="28"/>
  <c r="AB568" i="28"/>
  <c r="T568" i="28"/>
  <c r="S568" i="28"/>
  <c r="AB567" i="28"/>
  <c r="T567" i="28"/>
  <c r="S567" i="28"/>
  <c r="AB566" i="28"/>
  <c r="T566" i="28"/>
  <c r="S566" i="28"/>
  <c r="AB565" i="28"/>
  <c r="AC565" i="28" s="1"/>
  <c r="AB564" i="28"/>
  <c r="T564" i="28"/>
  <c r="S564" i="28"/>
  <c r="AB563" i="28"/>
  <c r="T563" i="28"/>
  <c r="S563" i="28"/>
  <c r="AB562" i="28"/>
  <c r="T562" i="28"/>
  <c r="S562" i="28"/>
  <c r="AB561" i="28"/>
  <c r="T561" i="28"/>
  <c r="S561" i="28"/>
  <c r="AB560" i="28"/>
  <c r="T560" i="28"/>
  <c r="S560" i="28"/>
  <c r="AB559" i="28"/>
  <c r="T559" i="28"/>
  <c r="S559" i="28"/>
  <c r="AB558" i="28"/>
  <c r="AC558" i="28" s="1"/>
  <c r="AB557" i="28"/>
  <c r="T557" i="28"/>
  <c r="S557" i="28"/>
  <c r="AB556" i="28"/>
  <c r="T556" i="28"/>
  <c r="S556" i="28"/>
  <c r="AB555" i="28"/>
  <c r="T555" i="28"/>
  <c r="S555" i="28"/>
  <c r="AB554" i="28"/>
  <c r="T554" i="28"/>
  <c r="S554" i="28"/>
  <c r="AB553" i="28"/>
  <c r="T553" i="28"/>
  <c r="S553" i="28"/>
  <c r="AB552" i="28"/>
  <c r="T552" i="28"/>
  <c r="S552" i="28"/>
  <c r="AB551" i="28"/>
  <c r="AC551" i="28" s="1"/>
  <c r="AB550" i="28"/>
  <c r="T550" i="28"/>
  <c r="S550" i="28"/>
  <c r="AB549" i="28"/>
  <c r="T549" i="28"/>
  <c r="S549" i="28"/>
  <c r="AB548" i="28"/>
  <c r="T548" i="28"/>
  <c r="S548" i="28"/>
  <c r="AB547" i="28"/>
  <c r="T547" i="28"/>
  <c r="S547" i="28"/>
  <c r="AB546" i="28"/>
  <c r="T546" i="28"/>
  <c r="S546" i="28"/>
  <c r="AB545" i="28"/>
  <c r="T545" i="28"/>
  <c r="S545" i="28"/>
  <c r="AB544" i="28"/>
  <c r="AC544" i="28" s="1"/>
  <c r="AB543" i="28"/>
  <c r="T543" i="28"/>
  <c r="S543" i="28"/>
  <c r="AB542" i="28"/>
  <c r="T542" i="28"/>
  <c r="S542" i="28"/>
  <c r="AB541" i="28"/>
  <c r="T541" i="28"/>
  <c r="S541" i="28"/>
  <c r="AB540" i="28"/>
  <c r="T540" i="28"/>
  <c r="S540" i="28"/>
  <c r="AB539" i="28"/>
  <c r="T539" i="28"/>
  <c r="S539" i="28"/>
  <c r="AB538" i="28"/>
  <c r="T538" i="28"/>
  <c r="S538" i="28"/>
  <c r="AB537" i="28"/>
  <c r="AC537" i="28" s="1"/>
  <c r="AB536" i="28"/>
  <c r="T536" i="28"/>
  <c r="S536" i="28"/>
  <c r="AB535" i="28"/>
  <c r="T535" i="28"/>
  <c r="S535" i="28"/>
  <c r="AB534" i="28"/>
  <c r="T534" i="28"/>
  <c r="S534" i="28"/>
  <c r="AB533" i="28"/>
  <c r="T533" i="28"/>
  <c r="S533" i="28"/>
  <c r="AB532" i="28"/>
  <c r="T532" i="28"/>
  <c r="S532" i="28"/>
  <c r="AB531" i="28"/>
  <c r="T531" i="28"/>
  <c r="S531" i="28"/>
  <c r="AB530" i="28"/>
  <c r="AC530" i="28" s="1"/>
  <c r="AB529" i="28"/>
  <c r="T529" i="28"/>
  <c r="S529" i="28"/>
  <c r="AB528" i="28"/>
  <c r="T528" i="28"/>
  <c r="S528" i="28"/>
  <c r="AB527" i="28"/>
  <c r="T527" i="28"/>
  <c r="S527" i="28"/>
  <c r="AB526" i="28"/>
  <c r="T526" i="28"/>
  <c r="S526" i="28"/>
  <c r="AB525" i="28"/>
  <c r="T525" i="28"/>
  <c r="S525" i="28"/>
  <c r="AB524" i="28"/>
  <c r="T524" i="28"/>
  <c r="S524" i="28"/>
  <c r="AB522" i="28"/>
  <c r="T522" i="28"/>
  <c r="S522" i="28"/>
  <c r="AB521" i="28"/>
  <c r="T521" i="28"/>
  <c r="S521" i="28"/>
  <c r="AB520" i="28"/>
  <c r="T520" i="28"/>
  <c r="S520" i="28"/>
  <c r="AB519" i="28"/>
  <c r="T519" i="28"/>
  <c r="S519" i="28"/>
  <c r="AB518" i="28"/>
  <c r="T518" i="28"/>
  <c r="S518" i="28"/>
  <c r="AB517" i="28"/>
  <c r="T517" i="28"/>
  <c r="S517" i="28"/>
  <c r="AB515" i="28"/>
  <c r="T515" i="28"/>
  <c r="S515" i="28"/>
  <c r="AB514" i="28"/>
  <c r="T514" i="28"/>
  <c r="S514" i="28"/>
  <c r="AB513" i="28"/>
  <c r="T513" i="28"/>
  <c r="S513" i="28"/>
  <c r="AB512" i="28"/>
  <c r="T512" i="28"/>
  <c r="S512" i="28"/>
  <c r="AB511" i="28"/>
  <c r="T511" i="28"/>
  <c r="S511" i="28"/>
  <c r="AB510" i="28"/>
  <c r="T510" i="28"/>
  <c r="S510" i="28"/>
  <c r="AB508" i="28"/>
  <c r="T508" i="28"/>
  <c r="S508" i="28"/>
  <c r="AB507" i="28"/>
  <c r="T507" i="28"/>
  <c r="S507" i="28"/>
  <c r="AB506" i="28"/>
  <c r="T506" i="28"/>
  <c r="S506" i="28"/>
  <c r="AB505" i="28"/>
  <c r="T505" i="28"/>
  <c r="S505" i="28"/>
  <c r="AB504" i="28"/>
  <c r="T504" i="28"/>
  <c r="S504" i="28"/>
  <c r="AB503" i="28"/>
  <c r="T503" i="28"/>
  <c r="S503" i="28"/>
  <c r="AB501" i="28"/>
  <c r="T501" i="28"/>
  <c r="S501" i="28"/>
  <c r="AB500" i="28"/>
  <c r="T500" i="28"/>
  <c r="S500" i="28"/>
  <c r="AB499" i="28"/>
  <c r="T499" i="28"/>
  <c r="S499" i="28"/>
  <c r="AB498" i="28"/>
  <c r="T498" i="28"/>
  <c r="S498" i="28"/>
  <c r="AB497" i="28"/>
  <c r="T497" i="28"/>
  <c r="S497" i="28"/>
  <c r="AB496" i="28"/>
  <c r="T496" i="28"/>
  <c r="S496" i="28"/>
  <c r="AB494" i="28"/>
  <c r="T494" i="28"/>
  <c r="S494" i="28"/>
  <c r="AB493" i="28"/>
  <c r="T493" i="28"/>
  <c r="S493" i="28"/>
  <c r="AB492" i="28"/>
  <c r="T492" i="28"/>
  <c r="S492" i="28"/>
  <c r="AB491" i="28"/>
  <c r="T491" i="28"/>
  <c r="S491" i="28"/>
  <c r="AB490" i="28"/>
  <c r="T490" i="28"/>
  <c r="S490" i="28"/>
  <c r="AB489" i="28"/>
  <c r="T489" i="28"/>
  <c r="S489" i="28"/>
  <c r="AB487" i="28"/>
  <c r="T487" i="28"/>
  <c r="S487" i="28"/>
  <c r="AB486" i="28"/>
  <c r="T486" i="28"/>
  <c r="S486" i="28"/>
  <c r="AB485" i="28"/>
  <c r="T485" i="28"/>
  <c r="S485" i="28"/>
  <c r="AB484" i="28"/>
  <c r="T484" i="28"/>
  <c r="S484" i="28"/>
  <c r="AB483" i="28"/>
  <c r="T483" i="28"/>
  <c r="S483" i="28"/>
  <c r="AB482" i="28"/>
  <c r="T482" i="28"/>
  <c r="S482" i="28"/>
  <c r="AB480" i="28"/>
  <c r="T480" i="28"/>
  <c r="S480" i="28"/>
  <c r="AB479" i="28"/>
  <c r="T479" i="28"/>
  <c r="S479" i="28"/>
  <c r="AB478" i="28"/>
  <c r="T478" i="28"/>
  <c r="S478" i="28"/>
  <c r="AB477" i="28"/>
  <c r="T477" i="28"/>
  <c r="S477" i="28"/>
  <c r="AB476" i="28"/>
  <c r="T476" i="28"/>
  <c r="S476" i="28"/>
  <c r="AB475" i="28"/>
  <c r="T475" i="28"/>
  <c r="S475" i="28"/>
  <c r="AB473" i="28"/>
  <c r="T473" i="28"/>
  <c r="S473" i="28"/>
  <c r="AB472" i="28"/>
  <c r="T472" i="28"/>
  <c r="S472" i="28"/>
  <c r="AB471" i="28"/>
  <c r="T471" i="28"/>
  <c r="S471" i="28"/>
  <c r="AB470" i="28"/>
  <c r="T470" i="28"/>
  <c r="S470" i="28"/>
  <c r="AB469" i="28"/>
  <c r="T469" i="28"/>
  <c r="S469" i="28"/>
  <c r="AB468" i="28"/>
  <c r="T468" i="28"/>
  <c r="S468" i="28"/>
  <c r="AB466" i="28"/>
  <c r="T466" i="28"/>
  <c r="S466" i="28"/>
  <c r="AB465" i="28"/>
  <c r="T465" i="28"/>
  <c r="S465" i="28"/>
  <c r="AB464" i="28"/>
  <c r="T464" i="28"/>
  <c r="S464" i="28"/>
  <c r="AB463" i="28"/>
  <c r="T463" i="28"/>
  <c r="S463" i="28"/>
  <c r="AB462" i="28"/>
  <c r="T462" i="28"/>
  <c r="S462" i="28"/>
  <c r="AB461" i="28"/>
  <c r="T461" i="28"/>
  <c r="S461" i="28"/>
  <c r="AB459" i="28"/>
  <c r="T459" i="28"/>
  <c r="S459" i="28"/>
  <c r="AB458" i="28"/>
  <c r="T458" i="28"/>
  <c r="S458" i="28"/>
  <c r="AB457" i="28"/>
  <c r="T457" i="28"/>
  <c r="S457" i="28"/>
  <c r="AB456" i="28"/>
  <c r="T456" i="28"/>
  <c r="S456" i="28"/>
  <c r="AB455" i="28"/>
  <c r="T455" i="28"/>
  <c r="S455" i="28"/>
  <c r="AB454" i="28"/>
  <c r="T454" i="28"/>
  <c r="S454" i="28"/>
  <c r="AB452" i="28"/>
  <c r="T452" i="28"/>
  <c r="S452" i="28"/>
  <c r="AB451" i="28"/>
  <c r="T451" i="28"/>
  <c r="S451" i="28"/>
  <c r="AB450" i="28"/>
  <c r="T450" i="28"/>
  <c r="S450" i="28"/>
  <c r="AB449" i="28"/>
  <c r="T449" i="28"/>
  <c r="S449" i="28"/>
  <c r="AB448" i="28"/>
  <c r="T448" i="28"/>
  <c r="S448" i="28"/>
  <c r="AB447" i="28"/>
  <c r="T447" i="28"/>
  <c r="S447" i="28"/>
  <c r="AB445" i="28"/>
  <c r="T445" i="28"/>
  <c r="S445" i="28"/>
  <c r="AB444" i="28"/>
  <c r="T444" i="28"/>
  <c r="S444" i="28"/>
  <c r="AB443" i="28"/>
  <c r="T443" i="28"/>
  <c r="S443" i="28"/>
  <c r="AB442" i="28"/>
  <c r="T442" i="28"/>
  <c r="S442" i="28"/>
  <c r="AB441" i="28"/>
  <c r="T441" i="28"/>
  <c r="S441" i="28"/>
  <c r="AB440" i="28"/>
  <c r="T440" i="28"/>
  <c r="S440" i="28"/>
  <c r="AB438" i="28"/>
  <c r="T438" i="28"/>
  <c r="S438" i="28"/>
  <c r="AB437" i="28"/>
  <c r="T437" i="28"/>
  <c r="S437" i="28"/>
  <c r="AB436" i="28"/>
  <c r="T436" i="28"/>
  <c r="S436" i="28"/>
  <c r="AB435" i="28"/>
  <c r="T435" i="28"/>
  <c r="S435" i="28"/>
  <c r="AB434" i="28"/>
  <c r="T434" i="28"/>
  <c r="S434" i="28"/>
  <c r="AB433" i="28"/>
  <c r="T433" i="28"/>
  <c r="S433" i="28"/>
  <c r="AB431" i="28"/>
  <c r="T431" i="28"/>
  <c r="S431" i="28"/>
  <c r="AB430" i="28"/>
  <c r="T430" i="28"/>
  <c r="S430" i="28"/>
  <c r="AB429" i="28"/>
  <c r="T429" i="28"/>
  <c r="S429" i="28"/>
  <c r="AB428" i="28"/>
  <c r="T428" i="28"/>
  <c r="S428" i="28"/>
  <c r="AB427" i="28"/>
  <c r="T427" i="28"/>
  <c r="S427" i="28"/>
  <c r="AB426" i="28"/>
  <c r="T426" i="28"/>
  <c r="S426" i="28"/>
  <c r="AB424" i="28"/>
  <c r="T424" i="28"/>
  <c r="S424" i="28"/>
  <c r="AB423" i="28"/>
  <c r="T423" i="28"/>
  <c r="S423" i="28"/>
  <c r="AB422" i="28"/>
  <c r="T422" i="28"/>
  <c r="S422" i="28"/>
  <c r="AB421" i="28"/>
  <c r="T421" i="28"/>
  <c r="S421" i="28"/>
  <c r="AB420" i="28"/>
  <c r="T420" i="28"/>
  <c r="S420" i="28"/>
  <c r="AB419" i="28"/>
  <c r="T419" i="28"/>
  <c r="S419" i="28"/>
  <c r="AB417" i="28"/>
  <c r="T417" i="28"/>
  <c r="S417" i="28"/>
  <c r="AB416" i="28"/>
  <c r="T416" i="28"/>
  <c r="S416" i="28"/>
  <c r="AB415" i="28"/>
  <c r="T415" i="28"/>
  <c r="S415" i="28"/>
  <c r="AB414" i="28"/>
  <c r="T414" i="28"/>
  <c r="S414" i="28"/>
  <c r="AB413" i="28"/>
  <c r="T413" i="28"/>
  <c r="S413" i="28"/>
  <c r="AB412" i="28"/>
  <c r="T412" i="28"/>
  <c r="S412" i="28"/>
  <c r="AB410" i="28"/>
  <c r="T410" i="28"/>
  <c r="S410" i="28"/>
  <c r="AB409" i="28"/>
  <c r="T409" i="28"/>
  <c r="S409" i="28"/>
  <c r="AB408" i="28"/>
  <c r="T408" i="28"/>
  <c r="S408" i="28"/>
  <c r="AB407" i="28"/>
  <c r="T407" i="28"/>
  <c r="S407" i="28"/>
  <c r="AB406" i="28"/>
  <c r="T406" i="28"/>
  <c r="S406" i="28"/>
  <c r="AB405" i="28"/>
  <c r="T405" i="28"/>
  <c r="S405" i="28"/>
  <c r="AB403" i="28"/>
  <c r="T403" i="28"/>
  <c r="S403" i="28"/>
  <c r="AB402" i="28"/>
  <c r="T402" i="28"/>
  <c r="S402" i="28"/>
  <c r="AB401" i="28"/>
  <c r="T401" i="28"/>
  <c r="S401" i="28"/>
  <c r="AB400" i="28"/>
  <c r="T400" i="28"/>
  <c r="S400" i="28"/>
  <c r="AB399" i="28"/>
  <c r="T399" i="28"/>
  <c r="S399" i="28"/>
  <c r="AB398" i="28"/>
  <c r="T398" i="28"/>
  <c r="S398" i="28"/>
  <c r="AB396" i="28"/>
  <c r="T396" i="28"/>
  <c r="S396" i="28"/>
  <c r="AB395" i="28"/>
  <c r="T395" i="28"/>
  <c r="S395" i="28"/>
  <c r="AB394" i="28"/>
  <c r="T394" i="28"/>
  <c r="S394" i="28"/>
  <c r="AB393" i="28"/>
  <c r="T393" i="28"/>
  <c r="S393" i="28"/>
  <c r="AB392" i="28"/>
  <c r="T392" i="28"/>
  <c r="S392" i="28"/>
  <c r="AB391" i="28"/>
  <c r="T391" i="28"/>
  <c r="S391" i="28"/>
  <c r="AB389" i="28"/>
  <c r="T389" i="28"/>
  <c r="S389" i="28"/>
  <c r="AB388" i="28"/>
  <c r="T388" i="28"/>
  <c r="S388" i="28"/>
  <c r="AB387" i="28"/>
  <c r="T387" i="28"/>
  <c r="S387" i="28"/>
  <c r="AB386" i="28"/>
  <c r="T386" i="28"/>
  <c r="S386" i="28"/>
  <c r="AB385" i="28"/>
  <c r="T385" i="28"/>
  <c r="S385" i="28"/>
  <c r="AB384" i="28"/>
  <c r="T384" i="28"/>
  <c r="S384" i="28"/>
  <c r="AB382" i="28"/>
  <c r="T382" i="28"/>
  <c r="S382" i="28"/>
  <c r="AB381" i="28"/>
  <c r="T381" i="28"/>
  <c r="S381" i="28"/>
  <c r="AB380" i="28"/>
  <c r="T380" i="28"/>
  <c r="S380" i="28"/>
  <c r="AB379" i="28"/>
  <c r="T379" i="28"/>
  <c r="S379" i="28"/>
  <c r="AB378" i="28"/>
  <c r="T378" i="28"/>
  <c r="S378" i="28"/>
  <c r="AB377" i="28"/>
  <c r="T377" i="28"/>
  <c r="S377" i="28"/>
  <c r="AB375" i="28"/>
  <c r="T375" i="28"/>
  <c r="S375" i="28"/>
  <c r="AB374" i="28"/>
  <c r="T374" i="28"/>
  <c r="S374" i="28"/>
  <c r="AB373" i="28"/>
  <c r="T373" i="28"/>
  <c r="S373" i="28"/>
  <c r="AB372" i="28"/>
  <c r="T372" i="28"/>
  <c r="S372" i="28"/>
  <c r="AB371" i="28"/>
  <c r="T371" i="28"/>
  <c r="S371" i="28"/>
  <c r="AB370" i="28"/>
  <c r="T370" i="28"/>
  <c r="S370" i="28"/>
  <c r="AB368" i="28"/>
  <c r="T368" i="28"/>
  <c r="S368" i="28"/>
  <c r="AB367" i="28"/>
  <c r="T367" i="28"/>
  <c r="S367" i="28"/>
  <c r="AB366" i="28"/>
  <c r="T366" i="28"/>
  <c r="S366" i="28"/>
  <c r="AB365" i="28"/>
  <c r="T365" i="28"/>
  <c r="S365" i="28"/>
  <c r="AB364" i="28"/>
  <c r="T364" i="28"/>
  <c r="S364" i="28"/>
  <c r="AB363" i="28"/>
  <c r="T363" i="28"/>
  <c r="S363" i="28"/>
  <c r="AB361" i="28"/>
  <c r="T361" i="28"/>
  <c r="S361" i="28"/>
  <c r="AB360" i="28"/>
  <c r="T360" i="28"/>
  <c r="S360" i="28"/>
  <c r="AB359" i="28"/>
  <c r="T359" i="28"/>
  <c r="S359" i="28"/>
  <c r="AB358" i="28"/>
  <c r="T358" i="28"/>
  <c r="S358" i="28"/>
  <c r="AB357" i="28"/>
  <c r="T357" i="28"/>
  <c r="S357" i="28"/>
  <c r="AB356" i="28"/>
  <c r="T356" i="28"/>
  <c r="S356" i="28"/>
  <c r="AB354" i="28"/>
  <c r="T354" i="28"/>
  <c r="S354" i="28"/>
  <c r="AB353" i="28"/>
  <c r="T353" i="28"/>
  <c r="S353" i="28"/>
  <c r="AB352" i="28"/>
  <c r="T352" i="28"/>
  <c r="S352" i="28"/>
  <c r="AB351" i="28"/>
  <c r="T351" i="28"/>
  <c r="S351" i="28"/>
  <c r="AB350" i="28"/>
  <c r="T350" i="28"/>
  <c r="S350" i="28"/>
  <c r="AB349" i="28"/>
  <c r="T349" i="28"/>
  <c r="S349" i="28"/>
  <c r="AB347" i="28"/>
  <c r="T347" i="28"/>
  <c r="S347" i="28"/>
  <c r="AB346" i="28"/>
  <c r="T346" i="28"/>
  <c r="S346" i="28"/>
  <c r="AB345" i="28"/>
  <c r="T345" i="28"/>
  <c r="S345" i="28"/>
  <c r="AB344" i="28"/>
  <c r="T344" i="28"/>
  <c r="S344" i="28"/>
  <c r="AB343" i="28"/>
  <c r="T343" i="28"/>
  <c r="S343" i="28"/>
  <c r="AB342" i="28"/>
  <c r="T342" i="28"/>
  <c r="S342" i="28"/>
  <c r="AB340" i="28"/>
  <c r="T340" i="28"/>
  <c r="S340" i="28"/>
  <c r="AB339" i="28"/>
  <c r="T339" i="28"/>
  <c r="S339" i="28"/>
  <c r="AB338" i="28"/>
  <c r="T338" i="28"/>
  <c r="S338" i="28"/>
  <c r="AB337" i="28"/>
  <c r="T337" i="28"/>
  <c r="S337" i="28"/>
  <c r="AB336" i="28"/>
  <c r="T336" i="28"/>
  <c r="S336" i="28"/>
  <c r="AB335" i="28"/>
  <c r="T335" i="28"/>
  <c r="S335" i="28"/>
  <c r="AB333" i="28"/>
  <c r="T333" i="28"/>
  <c r="S333" i="28"/>
  <c r="AB332" i="28"/>
  <c r="T332" i="28"/>
  <c r="S332" i="28"/>
  <c r="AB331" i="28"/>
  <c r="T331" i="28"/>
  <c r="S331" i="28"/>
  <c r="AB330" i="28"/>
  <c r="T330" i="28"/>
  <c r="S330" i="28"/>
  <c r="AB329" i="28"/>
  <c r="T329" i="28"/>
  <c r="S329" i="28"/>
  <c r="AB328" i="28"/>
  <c r="T328" i="28"/>
  <c r="S328" i="28"/>
  <c r="AB326" i="28"/>
  <c r="T326" i="28"/>
  <c r="S326" i="28"/>
  <c r="AB325" i="28"/>
  <c r="T325" i="28"/>
  <c r="S325" i="28"/>
  <c r="AB324" i="28"/>
  <c r="T324" i="28"/>
  <c r="S324" i="28"/>
  <c r="AB323" i="28"/>
  <c r="T323" i="28"/>
  <c r="S323" i="28"/>
  <c r="AB322" i="28"/>
  <c r="T322" i="28"/>
  <c r="S322" i="28"/>
  <c r="AB321" i="28"/>
  <c r="T321" i="28"/>
  <c r="S321" i="28"/>
  <c r="AB319" i="28"/>
  <c r="T319" i="28"/>
  <c r="S319" i="28"/>
  <c r="AB318" i="28"/>
  <c r="T318" i="28"/>
  <c r="S318" i="28"/>
  <c r="AB317" i="28"/>
  <c r="T317" i="28"/>
  <c r="S317" i="28"/>
  <c r="AB316" i="28"/>
  <c r="T316" i="28"/>
  <c r="S316" i="28"/>
  <c r="AB315" i="28"/>
  <c r="T315" i="28"/>
  <c r="S315" i="28"/>
  <c r="AB314" i="28"/>
  <c r="T314" i="28"/>
  <c r="S314" i="28"/>
  <c r="AB312" i="28"/>
  <c r="T312" i="28"/>
  <c r="S312" i="28"/>
  <c r="AB311" i="28"/>
  <c r="T311" i="28"/>
  <c r="S311" i="28"/>
  <c r="AB310" i="28"/>
  <c r="T310" i="28"/>
  <c r="S310" i="28"/>
  <c r="AB309" i="28"/>
  <c r="T309" i="28"/>
  <c r="S309" i="28"/>
  <c r="AB308" i="28"/>
  <c r="T308" i="28"/>
  <c r="S308" i="28"/>
  <c r="AB307" i="28"/>
  <c r="T307" i="28"/>
  <c r="S307" i="28"/>
  <c r="AB305" i="28"/>
  <c r="T305" i="28"/>
  <c r="S305" i="28"/>
  <c r="AB304" i="28"/>
  <c r="T304" i="28"/>
  <c r="S304" i="28"/>
  <c r="AB303" i="28"/>
  <c r="T303" i="28"/>
  <c r="S303" i="28"/>
  <c r="AB302" i="28"/>
  <c r="T302" i="28"/>
  <c r="S302" i="28"/>
  <c r="AB301" i="28"/>
  <c r="T301" i="28"/>
  <c r="S301" i="28"/>
  <c r="AB300" i="28"/>
  <c r="T300" i="28"/>
  <c r="S300" i="28"/>
  <c r="AB298" i="28"/>
  <c r="T298" i="28"/>
  <c r="S298" i="28"/>
  <c r="AB297" i="28"/>
  <c r="T297" i="28"/>
  <c r="S297" i="28"/>
  <c r="AB296" i="28"/>
  <c r="T296" i="28"/>
  <c r="S296" i="28"/>
  <c r="AB295" i="28"/>
  <c r="T295" i="28"/>
  <c r="S295" i="28"/>
  <c r="AB294" i="28"/>
  <c r="T294" i="28"/>
  <c r="S294" i="28"/>
  <c r="AB293" i="28"/>
  <c r="T293" i="28"/>
  <c r="S293" i="28"/>
  <c r="AB291" i="28"/>
  <c r="T291" i="28"/>
  <c r="S291" i="28"/>
  <c r="AB290" i="28"/>
  <c r="T290" i="28"/>
  <c r="S290" i="28"/>
  <c r="AB289" i="28"/>
  <c r="T289" i="28"/>
  <c r="S289" i="28"/>
  <c r="AB288" i="28"/>
  <c r="T288" i="28"/>
  <c r="S288" i="28"/>
  <c r="AB287" i="28"/>
  <c r="T287" i="28"/>
  <c r="S287" i="28"/>
  <c r="AB286" i="28"/>
  <c r="T286" i="28"/>
  <c r="S286" i="28"/>
  <c r="AB284" i="28"/>
  <c r="T284" i="28"/>
  <c r="S284" i="28"/>
  <c r="AB283" i="28"/>
  <c r="T283" i="28"/>
  <c r="S283" i="28"/>
  <c r="AB282" i="28"/>
  <c r="T282" i="28"/>
  <c r="S282" i="28"/>
  <c r="AB281" i="28"/>
  <c r="T281" i="28"/>
  <c r="S281" i="28"/>
  <c r="AB280" i="28"/>
  <c r="T280" i="28"/>
  <c r="S280" i="28"/>
  <c r="AB279" i="28"/>
  <c r="T279" i="28"/>
  <c r="S279" i="28"/>
  <c r="AB277" i="28"/>
  <c r="T277" i="28"/>
  <c r="S277" i="28"/>
  <c r="AB276" i="28"/>
  <c r="T276" i="28"/>
  <c r="S276" i="28"/>
  <c r="AB275" i="28"/>
  <c r="T275" i="28"/>
  <c r="S275" i="28"/>
  <c r="AB274" i="28"/>
  <c r="T274" i="28"/>
  <c r="S274" i="28"/>
  <c r="AB273" i="28"/>
  <c r="T273" i="28"/>
  <c r="S273" i="28"/>
  <c r="AB272" i="28"/>
  <c r="T272" i="28"/>
  <c r="S272" i="28"/>
  <c r="AB270" i="28"/>
  <c r="T270" i="28"/>
  <c r="S270" i="28"/>
  <c r="AB269" i="28"/>
  <c r="T269" i="28"/>
  <c r="S269" i="28"/>
  <c r="AB268" i="28"/>
  <c r="T268" i="28"/>
  <c r="S268" i="28"/>
  <c r="AB267" i="28"/>
  <c r="T267" i="28"/>
  <c r="S267" i="28"/>
  <c r="AB266" i="28"/>
  <c r="T266" i="28"/>
  <c r="S266" i="28"/>
  <c r="AB265" i="28"/>
  <c r="T265" i="28"/>
  <c r="S265" i="28"/>
  <c r="AB263" i="28"/>
  <c r="T263" i="28"/>
  <c r="S263" i="28"/>
  <c r="AB262" i="28"/>
  <c r="T262" i="28"/>
  <c r="S262" i="28"/>
  <c r="AB261" i="28"/>
  <c r="T261" i="28"/>
  <c r="S261" i="28"/>
  <c r="AB260" i="28"/>
  <c r="T260" i="28"/>
  <c r="S260" i="28"/>
  <c r="AB259" i="28"/>
  <c r="T259" i="28"/>
  <c r="S259" i="28"/>
  <c r="AB258" i="28"/>
  <c r="T258" i="28"/>
  <c r="S258" i="28"/>
  <c r="AB256" i="28"/>
  <c r="T256" i="28"/>
  <c r="S256" i="28"/>
  <c r="AB255" i="28"/>
  <c r="T255" i="28"/>
  <c r="S255" i="28"/>
  <c r="AB254" i="28"/>
  <c r="T254" i="28"/>
  <c r="S254" i="28"/>
  <c r="AB253" i="28"/>
  <c r="T253" i="28"/>
  <c r="S253" i="28"/>
  <c r="AB252" i="28"/>
  <c r="T252" i="28"/>
  <c r="S252" i="28"/>
  <c r="AB251" i="28"/>
  <c r="T251" i="28"/>
  <c r="S251" i="28"/>
  <c r="AB249" i="28"/>
  <c r="T249" i="28"/>
  <c r="S249" i="28"/>
  <c r="AB248" i="28"/>
  <c r="T248" i="28"/>
  <c r="S248" i="28"/>
  <c r="AB247" i="28"/>
  <c r="T247" i="28"/>
  <c r="S247" i="28"/>
  <c r="AB246" i="28"/>
  <c r="T246" i="28"/>
  <c r="S246" i="28"/>
  <c r="AB245" i="28"/>
  <c r="T245" i="28"/>
  <c r="S245" i="28"/>
  <c r="AB244" i="28"/>
  <c r="T244" i="28"/>
  <c r="S244" i="28"/>
  <c r="AB242" i="28"/>
  <c r="T242" i="28"/>
  <c r="S242" i="28"/>
  <c r="AB241" i="28"/>
  <c r="T241" i="28"/>
  <c r="S241" i="28"/>
  <c r="AB240" i="28"/>
  <c r="T240" i="28"/>
  <c r="S240" i="28"/>
  <c r="AB239" i="28"/>
  <c r="T239" i="28"/>
  <c r="S239" i="28"/>
  <c r="AB238" i="28"/>
  <c r="T238" i="28"/>
  <c r="S238" i="28"/>
  <c r="AB237" i="28"/>
  <c r="T237" i="28"/>
  <c r="S237" i="28"/>
  <c r="AB235" i="28"/>
  <c r="T235" i="28"/>
  <c r="S235" i="28"/>
  <c r="AB234" i="28"/>
  <c r="T234" i="28"/>
  <c r="S234" i="28"/>
  <c r="AB233" i="28"/>
  <c r="T233" i="28"/>
  <c r="S233" i="28"/>
  <c r="AB232" i="28"/>
  <c r="T232" i="28"/>
  <c r="S232" i="28"/>
  <c r="AB231" i="28"/>
  <c r="T231" i="28"/>
  <c r="S231" i="28"/>
  <c r="AB230" i="28"/>
  <c r="T230" i="28"/>
  <c r="S230" i="28"/>
  <c r="AB228" i="28"/>
  <c r="T228" i="28"/>
  <c r="S228" i="28"/>
  <c r="AB227" i="28"/>
  <c r="T227" i="28"/>
  <c r="S227" i="28"/>
  <c r="AB226" i="28"/>
  <c r="T226" i="28"/>
  <c r="S226" i="28"/>
  <c r="AB225" i="28"/>
  <c r="T225" i="28"/>
  <c r="S225" i="28"/>
  <c r="AB224" i="28"/>
  <c r="T224" i="28"/>
  <c r="S224" i="28"/>
  <c r="AB223" i="28"/>
  <c r="T223" i="28"/>
  <c r="S223" i="28"/>
  <c r="AB221" i="28"/>
  <c r="T221" i="28"/>
  <c r="S221" i="28"/>
  <c r="AB220" i="28"/>
  <c r="T220" i="28"/>
  <c r="S220" i="28"/>
  <c r="AB219" i="28"/>
  <c r="T219" i="28"/>
  <c r="S219" i="28"/>
  <c r="AB218" i="28"/>
  <c r="T218" i="28"/>
  <c r="S218" i="28"/>
  <c r="AB217" i="28"/>
  <c r="T217" i="28"/>
  <c r="S217" i="28"/>
  <c r="AB216" i="28"/>
  <c r="T216" i="28"/>
  <c r="S216" i="28"/>
  <c r="AB214" i="28"/>
  <c r="T214" i="28"/>
  <c r="S214" i="28"/>
  <c r="AB213" i="28"/>
  <c r="T213" i="28"/>
  <c r="S213" i="28"/>
  <c r="AB212" i="28"/>
  <c r="T212" i="28"/>
  <c r="S212" i="28"/>
  <c r="AB211" i="28"/>
  <c r="T211" i="28"/>
  <c r="S211" i="28"/>
  <c r="AB210" i="28"/>
  <c r="T210" i="28"/>
  <c r="S210" i="28"/>
  <c r="AB209" i="28"/>
  <c r="T209" i="28"/>
  <c r="S209" i="28"/>
  <c r="AB207" i="28"/>
  <c r="T207" i="28"/>
  <c r="S207" i="28"/>
  <c r="AB206" i="28"/>
  <c r="T206" i="28"/>
  <c r="S206" i="28"/>
  <c r="AB205" i="28"/>
  <c r="T205" i="28"/>
  <c r="S205" i="28"/>
  <c r="AB204" i="28"/>
  <c r="T204" i="28"/>
  <c r="S204" i="28"/>
  <c r="AB203" i="28"/>
  <c r="T203" i="28"/>
  <c r="S203" i="28"/>
  <c r="AB202" i="28"/>
  <c r="T202" i="28"/>
  <c r="S202" i="28"/>
  <c r="AB200" i="28"/>
  <c r="T200" i="28"/>
  <c r="S200" i="28"/>
  <c r="AB199" i="28"/>
  <c r="T199" i="28"/>
  <c r="S199" i="28"/>
  <c r="AB198" i="28"/>
  <c r="T198" i="28"/>
  <c r="S198" i="28"/>
  <c r="AB197" i="28"/>
  <c r="T197" i="28"/>
  <c r="S197" i="28"/>
  <c r="AB196" i="28"/>
  <c r="T196" i="28"/>
  <c r="S196" i="28"/>
  <c r="AB195" i="28"/>
  <c r="T195" i="28"/>
  <c r="S195" i="28"/>
  <c r="AB193" i="28"/>
  <c r="T193" i="28"/>
  <c r="S193" i="28"/>
  <c r="AB192" i="28"/>
  <c r="T192" i="28"/>
  <c r="S192" i="28"/>
  <c r="AB191" i="28"/>
  <c r="T191" i="28"/>
  <c r="S191" i="28"/>
  <c r="AB190" i="28"/>
  <c r="T190" i="28"/>
  <c r="S190" i="28"/>
  <c r="AB189" i="28"/>
  <c r="T189" i="28"/>
  <c r="S189" i="28"/>
  <c r="AB188" i="28"/>
  <c r="T188" i="28"/>
  <c r="S188" i="28"/>
  <c r="AB186" i="28"/>
  <c r="T186" i="28"/>
  <c r="S186" i="28"/>
  <c r="AB185" i="28"/>
  <c r="T185" i="28"/>
  <c r="S185" i="28"/>
  <c r="AB184" i="28"/>
  <c r="T184" i="28"/>
  <c r="S184" i="28"/>
  <c r="AB183" i="28"/>
  <c r="T183" i="28"/>
  <c r="S183" i="28"/>
  <c r="AB182" i="28"/>
  <c r="T182" i="28"/>
  <c r="S182" i="28"/>
  <c r="AB181" i="28"/>
  <c r="T181" i="28"/>
  <c r="S181" i="28"/>
  <c r="AB179" i="28"/>
  <c r="T179" i="28"/>
  <c r="S179" i="28"/>
  <c r="AB178" i="28"/>
  <c r="T178" i="28"/>
  <c r="S178" i="28"/>
  <c r="AB177" i="28"/>
  <c r="T177" i="28"/>
  <c r="S177" i="28"/>
  <c r="AB176" i="28"/>
  <c r="T176" i="28"/>
  <c r="S176" i="28"/>
  <c r="AB175" i="28"/>
  <c r="T175" i="28"/>
  <c r="S175" i="28"/>
  <c r="AB174" i="28"/>
  <c r="T174" i="28"/>
  <c r="S174" i="28"/>
  <c r="AB172" i="28"/>
  <c r="T172" i="28"/>
  <c r="S172" i="28"/>
  <c r="AB171" i="28"/>
  <c r="T171" i="28"/>
  <c r="S171" i="28"/>
  <c r="AB170" i="28"/>
  <c r="T170" i="28"/>
  <c r="S170" i="28"/>
  <c r="AB169" i="28"/>
  <c r="T169" i="28"/>
  <c r="S169" i="28"/>
  <c r="AB168" i="28"/>
  <c r="T168" i="28"/>
  <c r="S168" i="28"/>
  <c r="AB167" i="28"/>
  <c r="T167" i="28"/>
  <c r="S167" i="28"/>
  <c r="AB165" i="28"/>
  <c r="T165" i="28"/>
  <c r="S165" i="28"/>
  <c r="AB164" i="28"/>
  <c r="T164" i="28"/>
  <c r="S164" i="28"/>
  <c r="AB163" i="28"/>
  <c r="T163" i="28"/>
  <c r="S163" i="28"/>
  <c r="AB162" i="28"/>
  <c r="T162" i="28"/>
  <c r="S162" i="28"/>
  <c r="AB161" i="28"/>
  <c r="T161" i="28"/>
  <c r="S161" i="28"/>
  <c r="AB160" i="28"/>
  <c r="T160" i="28"/>
  <c r="S160" i="28"/>
  <c r="AB158" i="28"/>
  <c r="T158" i="28"/>
  <c r="S158" i="28"/>
  <c r="AB157" i="28"/>
  <c r="T157" i="28"/>
  <c r="S157" i="28"/>
  <c r="AB156" i="28"/>
  <c r="T156" i="28"/>
  <c r="S156" i="28"/>
  <c r="AB155" i="28"/>
  <c r="T155" i="28"/>
  <c r="S155" i="28"/>
  <c r="AB154" i="28"/>
  <c r="T154" i="28"/>
  <c r="S154" i="28"/>
  <c r="AB153" i="28"/>
  <c r="T153" i="28"/>
  <c r="S153" i="28"/>
  <c r="AB151" i="28"/>
  <c r="T151" i="28"/>
  <c r="S151" i="28"/>
  <c r="AB150" i="28"/>
  <c r="T150" i="28"/>
  <c r="S150" i="28"/>
  <c r="AB149" i="28"/>
  <c r="T149" i="28"/>
  <c r="S149" i="28"/>
  <c r="AB148" i="28"/>
  <c r="T148" i="28"/>
  <c r="S148" i="28"/>
  <c r="AB147" i="28"/>
  <c r="T147" i="28"/>
  <c r="S147" i="28"/>
  <c r="AB146" i="28"/>
  <c r="T146" i="28"/>
  <c r="S146" i="28"/>
  <c r="AB144" i="28"/>
  <c r="T144" i="28"/>
  <c r="S144" i="28"/>
  <c r="AB143" i="28"/>
  <c r="T143" i="28"/>
  <c r="S143" i="28"/>
  <c r="AB142" i="28"/>
  <c r="T142" i="28"/>
  <c r="S142" i="28"/>
  <c r="AB141" i="28"/>
  <c r="T141" i="28"/>
  <c r="S141" i="28"/>
  <c r="AB140" i="28"/>
  <c r="T140" i="28"/>
  <c r="S140" i="28"/>
  <c r="AB139" i="28"/>
  <c r="T139" i="28"/>
  <c r="S139" i="28"/>
  <c r="AB137" i="28"/>
  <c r="T137" i="28"/>
  <c r="S137" i="28"/>
  <c r="AB136" i="28"/>
  <c r="T136" i="28"/>
  <c r="S136" i="28"/>
  <c r="AB135" i="28"/>
  <c r="T135" i="28"/>
  <c r="S135" i="28"/>
  <c r="AB134" i="28"/>
  <c r="T134" i="28"/>
  <c r="S134" i="28"/>
  <c r="AB133" i="28"/>
  <c r="T133" i="28"/>
  <c r="S133" i="28"/>
  <c r="AB132" i="28"/>
  <c r="T132" i="28"/>
  <c r="S132" i="28"/>
  <c r="AB130" i="28"/>
  <c r="T130" i="28"/>
  <c r="S130" i="28"/>
  <c r="AB129" i="28"/>
  <c r="T129" i="28"/>
  <c r="S129" i="28"/>
  <c r="AB128" i="28"/>
  <c r="T128" i="28"/>
  <c r="S128" i="28"/>
  <c r="AB127" i="28"/>
  <c r="T127" i="28"/>
  <c r="S127" i="28"/>
  <c r="AB126" i="28"/>
  <c r="T126" i="28"/>
  <c r="S126" i="28"/>
  <c r="AB125" i="28"/>
  <c r="T125" i="28"/>
  <c r="S125" i="28"/>
  <c r="AB123" i="28"/>
  <c r="T123" i="28"/>
  <c r="S123" i="28"/>
  <c r="AB122" i="28"/>
  <c r="T122" i="28"/>
  <c r="S122" i="28"/>
  <c r="AB121" i="28"/>
  <c r="T121" i="28"/>
  <c r="S121" i="28"/>
  <c r="AB120" i="28"/>
  <c r="T120" i="28"/>
  <c r="S120" i="28"/>
  <c r="AB119" i="28"/>
  <c r="T119" i="28"/>
  <c r="S119" i="28"/>
  <c r="AB118" i="28"/>
  <c r="T118" i="28"/>
  <c r="S118" i="28"/>
  <c r="AB116" i="28"/>
  <c r="T116" i="28"/>
  <c r="S116" i="28"/>
  <c r="AB115" i="28"/>
  <c r="T115" i="28"/>
  <c r="S115" i="28"/>
  <c r="AB114" i="28"/>
  <c r="T114" i="28"/>
  <c r="S114" i="28"/>
  <c r="AB113" i="28"/>
  <c r="T113" i="28"/>
  <c r="S113" i="28"/>
  <c r="AB112" i="28"/>
  <c r="T112" i="28"/>
  <c r="S112" i="28"/>
  <c r="AB111" i="28"/>
  <c r="AB109" i="28"/>
  <c r="T109" i="28"/>
  <c r="S109" i="28"/>
  <c r="AB108" i="28"/>
  <c r="T108" i="28"/>
  <c r="S108" i="28"/>
  <c r="AB107" i="28"/>
  <c r="T107" i="28"/>
  <c r="S107" i="28"/>
  <c r="AB106" i="28"/>
  <c r="T106" i="28"/>
  <c r="S106" i="28"/>
  <c r="AB105" i="28"/>
  <c r="T105" i="28"/>
  <c r="S105" i="28"/>
  <c r="AB104" i="28"/>
  <c r="T104" i="28"/>
  <c r="S104" i="28"/>
  <c r="AB102" i="28"/>
  <c r="T102" i="28"/>
  <c r="S102" i="28"/>
  <c r="AB101" i="28"/>
  <c r="T101" i="28"/>
  <c r="S101" i="28"/>
  <c r="AB100" i="28"/>
  <c r="T100" i="28"/>
  <c r="S100" i="28"/>
  <c r="AB99" i="28"/>
  <c r="T99" i="28"/>
  <c r="S99" i="28"/>
  <c r="AB98" i="28"/>
  <c r="T98" i="28"/>
  <c r="S98" i="28"/>
  <c r="AB97" i="28"/>
  <c r="T97" i="28"/>
  <c r="S97" i="28"/>
  <c r="AB95" i="28"/>
  <c r="T95" i="28"/>
  <c r="S95" i="28"/>
  <c r="AB94" i="28"/>
  <c r="T94" i="28"/>
  <c r="S94" i="28"/>
  <c r="AB93" i="28"/>
  <c r="T93" i="28"/>
  <c r="S93" i="28"/>
  <c r="AB92" i="28"/>
  <c r="T92" i="28"/>
  <c r="S92" i="28"/>
  <c r="AB91" i="28"/>
  <c r="T91" i="28"/>
  <c r="S91" i="28"/>
  <c r="AB90" i="28"/>
  <c r="T90" i="28"/>
  <c r="S90" i="28"/>
  <c r="AB88" i="28"/>
  <c r="T88" i="28"/>
  <c r="S88" i="28"/>
  <c r="AB87" i="28"/>
  <c r="T87" i="28"/>
  <c r="S87" i="28"/>
  <c r="AB86" i="28"/>
  <c r="T86" i="28"/>
  <c r="S86" i="28"/>
  <c r="AB85" i="28"/>
  <c r="T85" i="28"/>
  <c r="S85" i="28"/>
  <c r="AB84" i="28"/>
  <c r="T84" i="28"/>
  <c r="S84" i="28"/>
  <c r="AB83" i="28"/>
  <c r="T83" i="28"/>
  <c r="S83" i="28"/>
  <c r="AB81" i="28"/>
  <c r="T81" i="28"/>
  <c r="S81" i="28"/>
  <c r="AB80" i="28"/>
  <c r="T80" i="28"/>
  <c r="S80" i="28"/>
  <c r="AB79" i="28"/>
  <c r="T79" i="28"/>
  <c r="S79" i="28"/>
  <c r="AB78" i="28"/>
  <c r="T78" i="28"/>
  <c r="S78" i="28"/>
  <c r="AB77" i="28"/>
  <c r="T77" i="28"/>
  <c r="S77" i="28"/>
  <c r="AB76" i="28"/>
  <c r="T76" i="28"/>
  <c r="S76" i="28"/>
  <c r="AB74" i="28"/>
  <c r="T74" i="28"/>
  <c r="S74" i="28"/>
  <c r="AB73" i="28"/>
  <c r="T73" i="28"/>
  <c r="S73" i="28"/>
  <c r="AB72" i="28"/>
  <c r="T72" i="28"/>
  <c r="S72" i="28"/>
  <c r="AB71" i="28"/>
  <c r="T71" i="28"/>
  <c r="S71" i="28"/>
  <c r="AB70" i="28"/>
  <c r="T70" i="28"/>
  <c r="S70" i="28"/>
  <c r="AB69" i="28"/>
  <c r="AB67" i="28"/>
  <c r="T67" i="28"/>
  <c r="S67" i="28"/>
  <c r="AB66" i="28"/>
  <c r="T66" i="28"/>
  <c r="S66" i="28"/>
  <c r="AB65" i="28"/>
  <c r="T65" i="28"/>
  <c r="S65" i="28"/>
  <c r="AB64" i="28"/>
  <c r="T64" i="28"/>
  <c r="S64" i="28"/>
  <c r="AB63" i="28"/>
  <c r="T63" i="28"/>
  <c r="S63" i="28"/>
  <c r="AB62" i="28"/>
  <c r="T62" i="28"/>
  <c r="S62" i="28"/>
  <c r="AB60" i="28"/>
  <c r="T60" i="28"/>
  <c r="S60" i="28"/>
  <c r="AB59" i="28"/>
  <c r="T59" i="28"/>
  <c r="S59" i="28"/>
  <c r="AB58" i="28"/>
  <c r="T58" i="28"/>
  <c r="S58" i="28"/>
  <c r="AB57" i="28"/>
  <c r="T57" i="28"/>
  <c r="S57" i="28"/>
  <c r="AB56" i="28"/>
  <c r="T56" i="28"/>
  <c r="S56" i="28"/>
  <c r="AB55" i="28"/>
  <c r="T55" i="28"/>
  <c r="S55" i="28"/>
  <c r="AB53" i="28"/>
  <c r="T53" i="28"/>
  <c r="S53" i="28"/>
  <c r="AB52" i="28"/>
  <c r="T52" i="28"/>
  <c r="S52" i="28"/>
  <c r="AB51" i="28"/>
  <c r="T51" i="28"/>
  <c r="S51" i="28"/>
  <c r="AB50" i="28"/>
  <c r="T50" i="28"/>
  <c r="S50" i="28"/>
  <c r="AB49" i="28"/>
  <c r="T49" i="28"/>
  <c r="S49" i="28"/>
  <c r="AB48" i="28"/>
  <c r="T48" i="28"/>
  <c r="S48" i="28"/>
  <c r="AB46" i="28"/>
  <c r="T46" i="28"/>
  <c r="S46" i="28"/>
  <c r="AB45" i="28"/>
  <c r="T45" i="28"/>
  <c r="S45" i="28"/>
  <c r="AB44" i="28"/>
  <c r="T44" i="28"/>
  <c r="S44" i="28"/>
  <c r="AB43" i="28"/>
  <c r="T43" i="28"/>
  <c r="S43" i="28"/>
  <c r="AB42" i="28"/>
  <c r="T42" i="28"/>
  <c r="S42" i="28"/>
  <c r="AB41" i="28"/>
  <c r="T41" i="28"/>
  <c r="S41" i="28"/>
  <c r="AB39" i="28"/>
  <c r="T39" i="28"/>
  <c r="S39" i="28"/>
  <c r="AB38" i="28"/>
  <c r="T38" i="28"/>
  <c r="S38" i="28"/>
  <c r="AB37" i="28"/>
  <c r="T37" i="28"/>
  <c r="S37" i="28"/>
  <c r="AB36" i="28"/>
  <c r="T36" i="28"/>
  <c r="S36" i="28"/>
  <c r="AB35" i="28"/>
  <c r="T35" i="28"/>
  <c r="S35" i="28"/>
  <c r="AB34" i="28"/>
  <c r="T34" i="28"/>
  <c r="S34" i="28"/>
  <c r="AB32" i="28"/>
  <c r="T32" i="28"/>
  <c r="S32" i="28"/>
  <c r="AB31" i="28"/>
  <c r="T31" i="28"/>
  <c r="S31" i="28"/>
  <c r="AB30" i="28"/>
  <c r="T30" i="28"/>
  <c r="S30" i="28"/>
  <c r="AB29" i="28"/>
  <c r="T29" i="28"/>
  <c r="S29" i="28"/>
  <c r="AB28" i="28"/>
  <c r="T28" i="28"/>
  <c r="S28" i="28"/>
  <c r="AB27" i="28"/>
  <c r="T27" i="28"/>
  <c r="S27" i="28"/>
  <c r="S111" i="28"/>
  <c r="T111" i="28"/>
  <c r="S69" i="28"/>
  <c r="T69" i="28"/>
  <c r="T341" i="28"/>
  <c r="T229" i="28"/>
  <c r="S502" i="28"/>
  <c r="T299" i="28"/>
  <c r="S698" i="28"/>
  <c r="S607" i="28"/>
  <c r="T747" i="28"/>
  <c r="S523" i="28"/>
  <c r="S124" i="28"/>
  <c r="T425" i="28"/>
  <c r="T61" i="28"/>
  <c r="S705" i="28"/>
  <c r="T362" i="28"/>
  <c r="T544" i="28"/>
  <c r="S306" i="28"/>
  <c r="S474" i="28"/>
  <c r="S292" i="28"/>
  <c r="S740" i="28"/>
  <c r="S138" i="28"/>
  <c r="T159" i="28"/>
  <c r="S110" i="28"/>
  <c r="S663" i="28"/>
  <c r="S558" i="28"/>
  <c r="T502" i="28"/>
  <c r="T264" i="28"/>
  <c r="S544" i="28"/>
  <c r="S264" i="28"/>
  <c r="S453" i="28"/>
  <c r="T684" i="28"/>
  <c r="S117" i="28"/>
  <c r="T215" i="28"/>
  <c r="S376" i="28"/>
  <c r="T33" i="28"/>
  <c r="T635" i="28"/>
  <c r="T411" i="28"/>
  <c r="S677" i="28"/>
  <c r="T621" i="28"/>
  <c r="S467" i="28"/>
  <c r="T397" i="28"/>
  <c r="S89" i="28"/>
  <c r="S397" i="28"/>
  <c r="T439" i="28"/>
  <c r="S145" i="28"/>
  <c r="S600" i="28"/>
  <c r="T313" i="28"/>
  <c r="T481" i="28"/>
  <c r="S593" i="28"/>
  <c r="S481" i="28"/>
  <c r="T719" i="28"/>
  <c r="S446" i="28"/>
  <c r="S152" i="28"/>
  <c r="S47" i="28"/>
  <c r="T432" i="28"/>
  <c r="S642" i="28"/>
  <c r="T740" i="28"/>
  <c r="T516" i="28"/>
  <c r="T180" i="28"/>
  <c r="T348" i="28"/>
  <c r="S68" i="28"/>
  <c r="S684" i="28"/>
  <c r="S166" i="28"/>
  <c r="T754" i="28"/>
  <c r="S54" i="28"/>
  <c r="S551" i="28"/>
  <c r="T243" i="28"/>
  <c r="T152" i="28"/>
  <c r="S649" i="28"/>
  <c r="S173" i="28"/>
  <c r="T208" i="28"/>
  <c r="S418" i="28"/>
  <c r="S747" i="28"/>
  <c r="S586" i="28"/>
  <c r="T446" i="28"/>
  <c r="S222" i="28"/>
  <c r="T369" i="28"/>
  <c r="T285" i="28"/>
  <c r="T278" i="28"/>
  <c r="S61" i="28"/>
  <c r="S537" i="28"/>
  <c r="T761" i="28"/>
  <c r="T663" i="28"/>
  <c r="S159" i="28"/>
  <c r="T194" i="28"/>
  <c r="T173" i="28"/>
  <c r="T726" i="28"/>
  <c r="T110" i="28"/>
  <c r="T404" i="28"/>
  <c r="S229" i="28"/>
  <c r="T103" i="28"/>
  <c r="T670" i="28"/>
  <c r="S488" i="28"/>
  <c r="S425" i="28"/>
  <c r="T495" i="28"/>
  <c r="S208" i="28"/>
  <c r="S250" i="28"/>
  <c r="T124" i="28"/>
  <c r="T691" i="28"/>
  <c r="T250" i="28"/>
  <c r="T236" i="28"/>
  <c r="T712" i="28"/>
  <c r="S40" i="28"/>
  <c r="S628" i="28"/>
  <c r="T705" i="28"/>
  <c r="S257" i="28"/>
  <c r="T145" i="28"/>
  <c r="T47" i="28"/>
  <c r="T68" i="28"/>
  <c r="S320" i="28"/>
  <c r="S271" i="28"/>
  <c r="S530" i="28"/>
  <c r="S726" i="28"/>
  <c r="T677" i="28"/>
  <c r="S362" i="28"/>
  <c r="T733" i="28"/>
  <c r="T75" i="28"/>
  <c r="T40" i="28"/>
  <c r="T656" i="28"/>
  <c r="S516" i="28"/>
  <c r="T474" i="28"/>
  <c r="T131" i="28"/>
  <c r="S432" i="28"/>
  <c r="S656" i="28"/>
  <c r="S754" i="28"/>
  <c r="S509" i="28"/>
  <c r="S614" i="28"/>
  <c r="S33" i="28"/>
  <c r="T292" i="28"/>
  <c r="S691" i="28"/>
  <c r="S355" i="28"/>
  <c r="S572" i="28"/>
  <c r="T320" i="28"/>
  <c r="T166" i="28"/>
  <c r="T89" i="28"/>
  <c r="S390" i="28"/>
  <c r="S369" i="28"/>
  <c r="T460" i="28"/>
  <c r="T306" i="28"/>
  <c r="S75" i="28"/>
  <c r="T509" i="28"/>
  <c r="T551" i="28"/>
  <c r="T572" i="28"/>
  <c r="T383" i="28"/>
  <c r="S411" i="28"/>
  <c r="T698" i="28"/>
  <c r="S635" i="28"/>
  <c r="S299" i="28"/>
  <c r="S670" i="28"/>
  <c r="T488" i="28"/>
  <c r="S243" i="28"/>
  <c r="T649" i="28"/>
  <c r="T418" i="28"/>
  <c r="T271" i="28"/>
  <c r="T642" i="28"/>
  <c r="S313" i="28"/>
  <c r="S131" i="28"/>
  <c r="S404" i="28"/>
  <c r="T607" i="28"/>
  <c r="T187" i="28"/>
  <c r="T257" i="28"/>
  <c r="S579" i="28"/>
  <c r="T54" i="28"/>
  <c r="S103" i="28"/>
  <c r="T628" i="28"/>
  <c r="S236" i="28"/>
  <c r="T327" i="28"/>
  <c r="S621" i="28"/>
  <c r="S348" i="28"/>
  <c r="T334" i="28"/>
  <c r="S460" i="28"/>
  <c r="T593" i="28"/>
  <c r="T96" i="28"/>
  <c r="T201" i="28"/>
  <c r="T614" i="28"/>
  <c r="T390" i="28"/>
  <c r="S439" i="28"/>
  <c r="S334" i="28"/>
  <c r="T565" i="28"/>
  <c r="S215" i="28"/>
  <c r="T586" i="28"/>
  <c r="S82" i="28"/>
  <c r="T579" i="28"/>
  <c r="S96" i="28"/>
  <c r="S383" i="28"/>
  <c r="T600" i="28"/>
  <c r="S187" i="28"/>
  <c r="T138" i="28"/>
  <c r="S278" i="28"/>
  <c r="S285" i="28"/>
  <c r="T558" i="28"/>
  <c r="T467" i="28"/>
  <c r="T355" i="28"/>
  <c r="S327" i="28"/>
  <c r="T530" i="28"/>
  <c r="T222" i="28"/>
  <c r="T117" i="28"/>
  <c r="S201" i="28"/>
  <c r="T453" i="28"/>
  <c r="T523" i="28"/>
  <c r="S341" i="28"/>
  <c r="S495" i="28"/>
  <c r="S565" i="28"/>
  <c r="S180" i="28"/>
  <c r="T537" i="28"/>
  <c r="S733" i="28"/>
  <c r="T82" i="28"/>
  <c r="S761" i="28"/>
  <c r="T376" i="28"/>
  <c r="S194" i="28"/>
  <c r="S712" i="28"/>
  <c r="S719" i="28"/>
  <c r="BD14" i="27" l="1"/>
  <c r="AZ14" i="27"/>
  <c r="BC14" i="27"/>
  <c r="AY14" i="27"/>
  <c r="BA14" i="27"/>
  <c r="BF14" i="27"/>
  <c r="BB14" i="27"/>
  <c r="AX14" i="27"/>
  <c r="BE14" i="27"/>
  <c r="BF12" i="27"/>
  <c r="BB12" i="27"/>
  <c r="AX12" i="27"/>
  <c r="BC12" i="27"/>
  <c r="BE12" i="27"/>
  <c r="BA12" i="27"/>
  <c r="AY12" i="27"/>
  <c r="BD12" i="27"/>
  <c r="AZ12" i="27"/>
  <c r="V845" i="28"/>
  <c r="U845" i="28"/>
  <c r="X845" i="28"/>
  <c r="W845" i="28"/>
  <c r="U509" i="28"/>
  <c r="W509" i="28"/>
  <c r="V509" i="28"/>
  <c r="X509" i="28"/>
  <c r="X173" i="28"/>
  <c r="W173" i="28"/>
  <c r="V173" i="28"/>
  <c r="U173" i="28"/>
  <c r="X726" i="28"/>
  <c r="V726" i="28"/>
  <c r="U726" i="28"/>
  <c r="W726" i="28"/>
  <c r="X446" i="28"/>
  <c r="W446" i="28"/>
  <c r="V446" i="28"/>
  <c r="U446" i="28"/>
  <c r="U278" i="28"/>
  <c r="V278" i="28"/>
  <c r="X278" i="28"/>
  <c r="W278" i="28"/>
  <c r="X887" i="28"/>
  <c r="W887" i="28"/>
  <c r="U887" i="28"/>
  <c r="V887" i="28"/>
  <c r="V831" i="28"/>
  <c r="U831" i="28"/>
  <c r="W831" i="28"/>
  <c r="X831" i="28"/>
  <c r="V775" i="28"/>
  <c r="U775" i="28"/>
  <c r="X775" i="28"/>
  <c r="W775" i="28"/>
  <c r="X719" i="28"/>
  <c r="V719" i="28"/>
  <c r="U719" i="28"/>
  <c r="W719" i="28"/>
  <c r="V663" i="28"/>
  <c r="U663" i="28"/>
  <c r="X663" i="28"/>
  <c r="W663" i="28"/>
  <c r="X607" i="28"/>
  <c r="W607" i="28"/>
  <c r="V607" i="28"/>
  <c r="U607" i="28"/>
  <c r="U551" i="28"/>
  <c r="X551" i="28"/>
  <c r="W551" i="28"/>
  <c r="V551" i="28"/>
  <c r="X495" i="28"/>
  <c r="W495" i="28"/>
  <c r="V495" i="28"/>
  <c r="U495" i="28"/>
  <c r="U439" i="28"/>
  <c r="W439" i="28"/>
  <c r="V439" i="28"/>
  <c r="X439" i="28"/>
  <c r="V383" i="28"/>
  <c r="W383" i="28"/>
  <c r="U383" i="28"/>
  <c r="X383" i="28"/>
  <c r="U327" i="28"/>
  <c r="X327" i="28"/>
  <c r="W327" i="28"/>
  <c r="V327" i="28"/>
  <c r="U271" i="28"/>
  <c r="X271" i="28"/>
  <c r="V271" i="28"/>
  <c r="W271" i="28"/>
  <c r="X215" i="28"/>
  <c r="W215" i="28"/>
  <c r="U215" i="28"/>
  <c r="V215" i="28"/>
  <c r="X159" i="28"/>
  <c r="W159" i="28"/>
  <c r="V159" i="28"/>
  <c r="U159" i="28"/>
  <c r="X103" i="28"/>
  <c r="W103" i="28"/>
  <c r="V103" i="28"/>
  <c r="U103" i="28"/>
  <c r="V47" i="28"/>
  <c r="U47" i="28"/>
  <c r="X47" i="28"/>
  <c r="W47" i="28"/>
  <c r="W789" i="28"/>
  <c r="V789" i="28"/>
  <c r="X789" i="28"/>
  <c r="U789" i="28"/>
  <c r="U565" i="28"/>
  <c r="X565" i="28"/>
  <c r="W565" i="28"/>
  <c r="V565" i="28"/>
  <c r="X229" i="28"/>
  <c r="W229" i="28"/>
  <c r="V229" i="28"/>
  <c r="U229" i="28"/>
  <c r="W782" i="28"/>
  <c r="X782" i="28"/>
  <c r="V782" i="28"/>
  <c r="U782" i="28"/>
  <c r="U502" i="28"/>
  <c r="X502" i="28"/>
  <c r="W502" i="28"/>
  <c r="V502" i="28"/>
  <c r="X54" i="28"/>
  <c r="W54" i="28"/>
  <c r="U54" i="28"/>
  <c r="V54" i="28"/>
  <c r="V880" i="28"/>
  <c r="U880" i="28"/>
  <c r="W880" i="28"/>
  <c r="X880" i="28"/>
  <c r="V824" i="28"/>
  <c r="U824" i="28"/>
  <c r="W824" i="28"/>
  <c r="X824" i="28"/>
  <c r="V768" i="28"/>
  <c r="U768" i="28"/>
  <c r="W768" i="28"/>
  <c r="X768" i="28"/>
  <c r="X712" i="28"/>
  <c r="V712" i="28"/>
  <c r="U712" i="28"/>
  <c r="W712" i="28"/>
  <c r="W656" i="28"/>
  <c r="V656" i="28"/>
  <c r="U656" i="28"/>
  <c r="X656" i="28"/>
  <c r="X600" i="28"/>
  <c r="W600" i="28"/>
  <c r="U600" i="28"/>
  <c r="V600" i="28"/>
  <c r="V544" i="28"/>
  <c r="U544" i="28"/>
  <c r="X544" i="28"/>
  <c r="W544" i="28"/>
  <c r="U488" i="28"/>
  <c r="X488" i="28"/>
  <c r="W488" i="28"/>
  <c r="V488" i="28"/>
  <c r="V432" i="28"/>
  <c r="U432" i="28"/>
  <c r="X432" i="28"/>
  <c r="W432" i="28"/>
  <c r="X376" i="28"/>
  <c r="W376" i="28"/>
  <c r="V376" i="28"/>
  <c r="U376" i="28"/>
  <c r="X320" i="28"/>
  <c r="V320" i="28"/>
  <c r="U320" i="28"/>
  <c r="W320" i="28"/>
  <c r="U264" i="28"/>
  <c r="W264" i="28"/>
  <c r="V264" i="28"/>
  <c r="X264" i="28"/>
  <c r="X208" i="28"/>
  <c r="W208" i="28"/>
  <c r="V208" i="28"/>
  <c r="U208" i="28"/>
  <c r="X152" i="28"/>
  <c r="W152" i="28"/>
  <c r="V152" i="28"/>
  <c r="U152" i="28"/>
  <c r="W96" i="28"/>
  <c r="V96" i="28"/>
  <c r="U96" i="28"/>
  <c r="X96" i="28"/>
  <c r="X40" i="28"/>
  <c r="W40" i="28"/>
  <c r="U40" i="28"/>
  <c r="V40" i="28"/>
  <c r="X61" i="28"/>
  <c r="W61" i="28"/>
  <c r="V61" i="28"/>
  <c r="U61" i="28"/>
  <c r="W894" i="28"/>
  <c r="X894" i="28"/>
  <c r="V894" i="28"/>
  <c r="U894" i="28"/>
  <c r="X334" i="28"/>
  <c r="W334" i="28"/>
  <c r="U334" i="28"/>
  <c r="V334" i="28"/>
  <c r="V873" i="28"/>
  <c r="U873" i="28"/>
  <c r="X873" i="28"/>
  <c r="W873" i="28"/>
  <c r="V817" i="28"/>
  <c r="X817" i="28"/>
  <c r="W817" i="28"/>
  <c r="U817" i="28"/>
  <c r="W761" i="28"/>
  <c r="U761" i="28"/>
  <c r="V761" i="28"/>
  <c r="X761" i="28"/>
  <c r="U705" i="28"/>
  <c r="X705" i="28"/>
  <c r="V705" i="28"/>
  <c r="W705" i="28"/>
  <c r="V649" i="28"/>
  <c r="U649" i="28"/>
  <c r="X649" i="28"/>
  <c r="W649" i="28"/>
  <c r="W593" i="28"/>
  <c r="V593" i="28"/>
  <c r="U593" i="28"/>
  <c r="X593" i="28"/>
  <c r="U537" i="28"/>
  <c r="X537" i="28"/>
  <c r="W537" i="28"/>
  <c r="V537" i="28"/>
  <c r="V481" i="28"/>
  <c r="W481" i="28"/>
  <c r="U481" i="28"/>
  <c r="X481" i="28"/>
  <c r="W425" i="28"/>
  <c r="V425" i="28"/>
  <c r="U425" i="28"/>
  <c r="X425" i="28"/>
  <c r="U369" i="28"/>
  <c r="W369" i="28"/>
  <c r="V369" i="28"/>
  <c r="X369" i="28"/>
  <c r="U313" i="28"/>
  <c r="X313" i="28"/>
  <c r="W313" i="28"/>
  <c r="V313" i="28"/>
  <c r="X257" i="28"/>
  <c r="V257" i="28"/>
  <c r="W257" i="28"/>
  <c r="U257" i="28"/>
  <c r="V201" i="28"/>
  <c r="X201" i="28"/>
  <c r="W201" i="28"/>
  <c r="U201" i="28"/>
  <c r="X145" i="28"/>
  <c r="W145" i="28"/>
  <c r="V145" i="28"/>
  <c r="U145" i="28"/>
  <c r="V89" i="28"/>
  <c r="W89" i="28"/>
  <c r="U89" i="28"/>
  <c r="X89" i="28"/>
  <c r="X33" i="28"/>
  <c r="W33" i="28"/>
  <c r="U33" i="28"/>
  <c r="V33" i="28"/>
  <c r="V621" i="28"/>
  <c r="U621" i="28"/>
  <c r="X621" i="28"/>
  <c r="W621" i="28"/>
  <c r="U341" i="28"/>
  <c r="X341" i="28"/>
  <c r="V341" i="28"/>
  <c r="W341" i="28"/>
  <c r="X670" i="28"/>
  <c r="W670" i="28"/>
  <c r="V670" i="28"/>
  <c r="U670" i="28"/>
  <c r="U390" i="28"/>
  <c r="X390" i="28"/>
  <c r="W390" i="28"/>
  <c r="V390" i="28"/>
  <c r="V110" i="28"/>
  <c r="U110" i="28"/>
  <c r="W110" i="28"/>
  <c r="X110" i="28"/>
  <c r="X866" i="28"/>
  <c r="V866" i="28"/>
  <c r="W866" i="28"/>
  <c r="U866" i="28"/>
  <c r="U810" i="28"/>
  <c r="W810" i="28"/>
  <c r="X810" i="28"/>
  <c r="V810" i="28"/>
  <c r="W754" i="28"/>
  <c r="X754" i="28"/>
  <c r="V754" i="28"/>
  <c r="U754" i="28"/>
  <c r="W698" i="28"/>
  <c r="V698" i="28"/>
  <c r="U698" i="28"/>
  <c r="X698" i="28"/>
  <c r="W642" i="28"/>
  <c r="X642" i="28"/>
  <c r="V642" i="28"/>
  <c r="U642" i="28"/>
  <c r="U586" i="28"/>
  <c r="V586" i="28"/>
  <c r="X586" i="28"/>
  <c r="W586" i="28"/>
  <c r="U530" i="28"/>
  <c r="X530" i="28"/>
  <c r="W530" i="28"/>
  <c r="V530" i="28"/>
  <c r="U474" i="28"/>
  <c r="W474" i="28"/>
  <c r="V474" i="28"/>
  <c r="X474" i="28"/>
  <c r="V418" i="28"/>
  <c r="X418" i="28"/>
  <c r="W418" i="28"/>
  <c r="U418" i="28"/>
  <c r="U362" i="28"/>
  <c r="X362" i="28"/>
  <c r="W362" i="28"/>
  <c r="V362" i="28"/>
  <c r="X306" i="28"/>
  <c r="W306" i="28"/>
  <c r="V306" i="28"/>
  <c r="U306" i="28"/>
  <c r="X250" i="28"/>
  <c r="V250" i="28"/>
  <c r="U250" i="28"/>
  <c r="W250" i="28"/>
  <c r="X194" i="28"/>
  <c r="V194" i="28"/>
  <c r="U194" i="28"/>
  <c r="W194" i="28"/>
  <c r="U138" i="28"/>
  <c r="X138" i="28"/>
  <c r="W138" i="28"/>
  <c r="V138" i="28"/>
  <c r="X82" i="28"/>
  <c r="W82" i="28"/>
  <c r="V82" i="28"/>
  <c r="U82" i="28"/>
  <c r="X26" i="28"/>
  <c r="U26" i="28"/>
  <c r="V26" i="28"/>
  <c r="W26" i="28"/>
  <c r="V901" i="28"/>
  <c r="U901" i="28"/>
  <c r="W901" i="28"/>
  <c r="X901" i="28"/>
  <c r="U677" i="28"/>
  <c r="W677" i="28"/>
  <c r="X677" i="28"/>
  <c r="V677" i="28"/>
  <c r="U453" i="28"/>
  <c r="X453" i="28"/>
  <c r="W453" i="28"/>
  <c r="V453" i="28"/>
  <c r="W117" i="28"/>
  <c r="V117" i="28"/>
  <c r="U117" i="28"/>
  <c r="X117" i="28"/>
  <c r="V614" i="28"/>
  <c r="U614" i="28"/>
  <c r="X614" i="28"/>
  <c r="W614" i="28"/>
  <c r="V166" i="28"/>
  <c r="U166" i="28"/>
  <c r="X166" i="28"/>
  <c r="W166" i="28"/>
  <c r="X915" i="28"/>
  <c r="U915" i="28"/>
  <c r="W915" i="28"/>
  <c r="V915" i="28"/>
  <c r="X859" i="28"/>
  <c r="W859" i="28"/>
  <c r="V859" i="28"/>
  <c r="U859" i="28"/>
  <c r="V803" i="28"/>
  <c r="X803" i="28"/>
  <c r="W803" i="28"/>
  <c r="U803" i="28"/>
  <c r="U747" i="28"/>
  <c r="X747" i="28"/>
  <c r="W747" i="28"/>
  <c r="V747" i="28"/>
  <c r="W691" i="28"/>
  <c r="V691" i="28"/>
  <c r="U691" i="28"/>
  <c r="X691" i="28"/>
  <c r="U635" i="28"/>
  <c r="X635" i="28"/>
  <c r="W635" i="28"/>
  <c r="V635" i="28"/>
  <c r="X579" i="28"/>
  <c r="W579" i="28"/>
  <c r="V579" i="28"/>
  <c r="U579" i="28"/>
  <c r="X523" i="28"/>
  <c r="W523" i="28"/>
  <c r="V523" i="28"/>
  <c r="U523" i="28"/>
  <c r="U467" i="28"/>
  <c r="X467" i="28"/>
  <c r="W467" i="28"/>
  <c r="V467" i="28"/>
  <c r="V411" i="28"/>
  <c r="X411" i="28"/>
  <c r="W411" i="28"/>
  <c r="U411" i="28"/>
  <c r="W355" i="28"/>
  <c r="V355" i="28"/>
  <c r="U355" i="28"/>
  <c r="X355" i="28"/>
  <c r="U299" i="28"/>
  <c r="X299" i="28"/>
  <c r="W299" i="28"/>
  <c r="V299" i="28"/>
  <c r="X243" i="28"/>
  <c r="W243" i="28"/>
  <c r="U243" i="28"/>
  <c r="V243" i="28"/>
  <c r="X187" i="28"/>
  <c r="V187" i="28"/>
  <c r="U187" i="28"/>
  <c r="W187" i="28"/>
  <c r="X131" i="28"/>
  <c r="V131" i="28"/>
  <c r="U131" i="28"/>
  <c r="W131" i="28"/>
  <c r="X75" i="28"/>
  <c r="W75" i="28"/>
  <c r="U75" i="28"/>
  <c r="V75" i="28"/>
  <c r="U733" i="28"/>
  <c r="X733" i="28"/>
  <c r="W733" i="28"/>
  <c r="V733" i="28"/>
  <c r="X397" i="28"/>
  <c r="W397" i="28"/>
  <c r="V397" i="28"/>
  <c r="U397" i="28"/>
  <c r="X285" i="28"/>
  <c r="V285" i="28"/>
  <c r="W285" i="28"/>
  <c r="U285" i="28"/>
  <c r="W838" i="28"/>
  <c r="U838" i="28"/>
  <c r="X838" i="28"/>
  <c r="V838" i="28"/>
  <c r="X558" i="28"/>
  <c r="V558" i="28"/>
  <c r="U558" i="28"/>
  <c r="W558" i="28"/>
  <c r="X222" i="28"/>
  <c r="W222" i="28"/>
  <c r="V222" i="28"/>
  <c r="U222" i="28"/>
  <c r="X908" i="28"/>
  <c r="V908" i="28"/>
  <c r="U908" i="28"/>
  <c r="W908" i="28"/>
  <c r="X852" i="28"/>
  <c r="U852" i="28"/>
  <c r="W852" i="28"/>
  <c r="V852" i="28"/>
  <c r="X796" i="28"/>
  <c r="V796" i="28"/>
  <c r="U796" i="28"/>
  <c r="W796" i="28"/>
  <c r="X740" i="28"/>
  <c r="V740" i="28"/>
  <c r="U740" i="28"/>
  <c r="W740" i="28"/>
  <c r="U684" i="28"/>
  <c r="W684" i="28"/>
  <c r="V684" i="28"/>
  <c r="X684" i="28"/>
  <c r="X628" i="28"/>
  <c r="W628" i="28"/>
  <c r="U628" i="28"/>
  <c r="V628" i="28"/>
  <c r="X572" i="28"/>
  <c r="W572" i="28"/>
  <c r="V572" i="28"/>
  <c r="U572" i="28"/>
  <c r="U516" i="28"/>
  <c r="X516" i="28"/>
  <c r="W516" i="28"/>
  <c r="V516" i="28"/>
  <c r="X460" i="28"/>
  <c r="W460" i="28"/>
  <c r="V460" i="28"/>
  <c r="U460" i="28"/>
  <c r="X404" i="28"/>
  <c r="W404" i="28"/>
  <c r="V404" i="28"/>
  <c r="U404" i="28"/>
  <c r="U348" i="28"/>
  <c r="X348" i="28"/>
  <c r="W348" i="28"/>
  <c r="V348" i="28"/>
  <c r="V292" i="28"/>
  <c r="U292" i="28"/>
  <c r="X292" i="28"/>
  <c r="W292" i="28"/>
  <c r="U236" i="28"/>
  <c r="X236" i="28"/>
  <c r="W236" i="28"/>
  <c r="V236" i="28"/>
  <c r="X180" i="28"/>
  <c r="W180" i="28"/>
  <c r="V180" i="28"/>
  <c r="U180" i="28"/>
  <c r="X124" i="28"/>
  <c r="V124" i="28"/>
  <c r="W124" i="28"/>
  <c r="U124" i="28"/>
  <c r="X68" i="28"/>
  <c r="V68" i="28"/>
  <c r="U68" i="28"/>
  <c r="W68" i="28"/>
  <c r="AO26" i="27"/>
  <c r="AO55" i="27"/>
  <c r="AL55" i="27"/>
  <c r="AK55" i="27"/>
  <c r="AI55" i="27"/>
  <c r="AH55" i="27"/>
  <c r="AG55" i="27"/>
  <c r="AO62" i="27"/>
  <c r="AN69" i="27"/>
  <c r="AO91" i="27"/>
  <c r="AH91" i="27"/>
  <c r="AG91" i="27"/>
  <c r="AL91" i="27"/>
  <c r="AK91" i="27"/>
  <c r="AI91" i="27"/>
  <c r="AO127" i="27"/>
  <c r="AL127" i="27"/>
  <c r="AK127" i="27"/>
  <c r="AI127" i="27"/>
  <c r="AH127" i="27"/>
  <c r="AG127" i="27"/>
  <c r="AN134" i="27"/>
  <c r="AN141" i="27"/>
  <c r="AU163" i="27"/>
  <c r="AH163" i="27"/>
  <c r="AL163" i="27"/>
  <c r="AG163" i="27"/>
  <c r="AK163" i="27"/>
  <c r="AI163" i="27"/>
  <c r="AU170" i="27"/>
  <c r="AK199" i="27"/>
  <c r="AI199" i="27"/>
  <c r="AH199" i="27"/>
  <c r="AG199" i="27"/>
  <c r="AL199" i="27"/>
  <c r="AU213" i="27"/>
  <c r="AN235" i="27"/>
  <c r="AI235" i="27"/>
  <c r="AH235" i="27"/>
  <c r="AG235" i="27"/>
  <c r="AL235" i="27"/>
  <c r="AK235" i="27"/>
  <c r="AN242" i="27"/>
  <c r="AO271" i="27"/>
  <c r="AL271" i="27"/>
  <c r="AK271" i="27"/>
  <c r="AI271" i="27"/>
  <c r="AH271" i="27"/>
  <c r="AG271" i="27"/>
  <c r="AO285" i="27"/>
  <c r="AL307" i="27"/>
  <c r="AK307" i="27"/>
  <c r="AI307" i="27"/>
  <c r="AH307" i="27"/>
  <c r="AG307" i="27"/>
  <c r="AN321" i="27"/>
  <c r="AN343" i="27"/>
  <c r="AI343" i="27"/>
  <c r="AH343" i="27"/>
  <c r="AG343" i="27"/>
  <c r="AL343" i="27"/>
  <c r="AK343" i="27"/>
  <c r="AN350" i="27"/>
  <c r="AO357" i="27"/>
  <c r="AN379" i="27"/>
  <c r="AL379" i="27"/>
  <c r="AK379" i="27"/>
  <c r="AI379" i="27"/>
  <c r="AH379" i="27"/>
  <c r="AG379" i="27"/>
  <c r="AU386" i="27"/>
  <c r="AU393" i="27"/>
  <c r="AN415" i="27"/>
  <c r="AI415" i="27"/>
  <c r="AH415" i="27"/>
  <c r="AG415" i="27"/>
  <c r="AL415" i="27"/>
  <c r="AK415" i="27"/>
  <c r="AN422" i="27"/>
  <c r="AU429" i="27"/>
  <c r="AN451" i="27"/>
  <c r="AL451" i="27"/>
  <c r="AK451" i="27"/>
  <c r="AH451" i="27"/>
  <c r="AG451" i="27"/>
  <c r="AI451" i="27"/>
  <c r="AN458" i="27"/>
  <c r="AN465" i="27"/>
  <c r="AG487" i="27"/>
  <c r="AL487" i="27"/>
  <c r="AK487" i="27"/>
  <c r="AI487" i="27"/>
  <c r="AH487" i="27"/>
  <c r="AN523" i="27"/>
  <c r="AL523" i="27"/>
  <c r="AK523" i="27"/>
  <c r="AH523" i="27"/>
  <c r="AG523" i="27"/>
  <c r="AI523" i="27"/>
  <c r="AO530" i="27"/>
  <c r="AK530" i="27"/>
  <c r="AI530" i="27"/>
  <c r="AG530" i="27"/>
  <c r="AL530" i="27"/>
  <c r="AH530" i="27"/>
  <c r="AU537" i="27"/>
  <c r="AI537" i="27"/>
  <c r="AH537" i="27"/>
  <c r="AL537" i="27"/>
  <c r="AK537" i="27"/>
  <c r="AG537" i="27"/>
  <c r="AN559" i="27"/>
  <c r="AG559" i="27"/>
  <c r="AL559" i="27"/>
  <c r="AK559" i="27"/>
  <c r="AI559" i="27"/>
  <c r="AH559" i="27"/>
  <c r="AN566" i="27"/>
  <c r="AL566" i="27"/>
  <c r="AK566" i="27"/>
  <c r="AI566" i="27"/>
  <c r="AH566" i="27"/>
  <c r="AG566" i="27"/>
  <c r="AN573" i="27"/>
  <c r="AK573" i="27"/>
  <c r="AI573" i="27"/>
  <c r="AH573" i="27"/>
  <c r="AG573" i="27"/>
  <c r="AL573" i="27"/>
  <c r="AL595" i="27"/>
  <c r="AK595" i="27"/>
  <c r="AH595" i="27"/>
  <c r="AG595" i="27"/>
  <c r="AI595" i="27"/>
  <c r="AO602" i="27"/>
  <c r="AK602" i="27"/>
  <c r="AI602" i="27"/>
  <c r="AG602" i="27"/>
  <c r="AL602" i="27"/>
  <c r="AH602" i="27"/>
  <c r="AO29" i="27"/>
  <c r="AH29" i="27"/>
  <c r="AL29" i="27"/>
  <c r="AK29" i="27"/>
  <c r="AI29" i="27"/>
  <c r="AG29" i="27"/>
  <c r="AO36" i="27"/>
  <c r="AG36" i="27"/>
  <c r="AL36" i="27"/>
  <c r="AK36" i="27"/>
  <c r="AI36" i="27"/>
  <c r="AH36" i="27"/>
  <c r="AO65" i="27"/>
  <c r="AL65" i="27"/>
  <c r="AK65" i="27"/>
  <c r="AI65" i="27"/>
  <c r="AH65" i="27"/>
  <c r="AG65" i="27"/>
  <c r="AO72" i="27"/>
  <c r="AL72" i="27"/>
  <c r="AK72" i="27"/>
  <c r="AI72" i="27"/>
  <c r="AH72" i="27"/>
  <c r="AG72" i="27"/>
  <c r="AH101" i="27"/>
  <c r="AG101" i="27"/>
  <c r="AL101" i="27"/>
  <c r="AK101" i="27"/>
  <c r="AI101" i="27"/>
  <c r="AO108" i="27"/>
  <c r="AG108" i="27"/>
  <c r="AL108" i="27"/>
  <c r="AK108" i="27"/>
  <c r="AI108" i="27"/>
  <c r="AH108" i="27"/>
  <c r="AL137" i="27"/>
  <c r="AK137" i="27"/>
  <c r="AI137" i="27"/>
  <c r="AH137" i="27"/>
  <c r="AG137" i="27"/>
  <c r="AL144" i="27"/>
  <c r="AK144" i="27"/>
  <c r="AI144" i="27"/>
  <c r="AH144" i="27"/>
  <c r="AG144" i="27"/>
  <c r="AH173" i="27"/>
  <c r="AL173" i="27"/>
  <c r="AI173" i="27"/>
  <c r="AG173" i="27"/>
  <c r="AK173" i="27"/>
  <c r="AU180" i="27"/>
  <c r="AG180" i="27"/>
  <c r="AL180" i="27"/>
  <c r="AK180" i="27"/>
  <c r="AI180" i="27"/>
  <c r="AH180" i="27"/>
  <c r="AL209" i="27"/>
  <c r="AK209" i="27"/>
  <c r="AI209" i="27"/>
  <c r="AH209" i="27"/>
  <c r="AG209" i="27"/>
  <c r="AO216" i="27"/>
  <c r="AL216" i="27"/>
  <c r="AK216" i="27"/>
  <c r="AI216" i="27"/>
  <c r="AH216" i="27"/>
  <c r="AG216" i="27"/>
  <c r="AO230" i="27"/>
  <c r="AO245" i="27"/>
  <c r="AI245" i="27"/>
  <c r="AH245" i="27"/>
  <c r="AG245" i="27"/>
  <c r="AL245" i="27"/>
  <c r="AK245" i="27"/>
  <c r="AU252" i="27"/>
  <c r="AH252" i="27"/>
  <c r="AG252" i="27"/>
  <c r="AL252" i="27"/>
  <c r="AK252" i="27"/>
  <c r="AI252" i="27"/>
  <c r="AN259" i="27"/>
  <c r="AO266" i="27"/>
  <c r="AU281" i="27"/>
  <c r="AL281" i="27"/>
  <c r="AK281" i="27"/>
  <c r="AI281" i="27"/>
  <c r="AH281" i="27"/>
  <c r="AG281" i="27"/>
  <c r="AU288" i="27"/>
  <c r="AL288" i="27"/>
  <c r="AK288" i="27"/>
  <c r="AI288" i="27"/>
  <c r="AH288" i="27"/>
  <c r="AG288" i="27"/>
  <c r="AO295" i="27"/>
  <c r="AN302" i="27"/>
  <c r="AL317" i="27"/>
  <c r="AK317" i="27"/>
  <c r="AI317" i="27"/>
  <c r="AH317" i="27"/>
  <c r="AG317" i="27"/>
  <c r="AN324" i="27"/>
  <c r="AL324" i="27"/>
  <c r="AK324" i="27"/>
  <c r="AI324" i="27"/>
  <c r="AH324" i="27"/>
  <c r="AG324" i="27"/>
  <c r="AN353" i="27"/>
  <c r="AI353" i="27"/>
  <c r="AH353" i="27"/>
  <c r="AG353" i="27"/>
  <c r="AL353" i="27"/>
  <c r="AK353" i="27"/>
  <c r="AU360" i="27"/>
  <c r="AH360" i="27"/>
  <c r="AG360" i="27"/>
  <c r="AL360" i="27"/>
  <c r="AK360" i="27"/>
  <c r="AI360" i="27"/>
  <c r="AO367" i="27"/>
  <c r="AU374" i="27"/>
  <c r="AU389" i="27"/>
  <c r="AL389" i="27"/>
  <c r="AK389" i="27"/>
  <c r="AI389" i="27"/>
  <c r="AH389" i="27"/>
  <c r="AG389" i="27"/>
  <c r="AO396" i="27"/>
  <c r="AN403" i="27"/>
  <c r="AI425" i="27"/>
  <c r="AH425" i="27"/>
  <c r="AG425" i="27"/>
  <c r="AL425" i="27"/>
  <c r="AK425" i="27"/>
  <c r="AN432" i="27"/>
  <c r="AN439" i="27"/>
  <c r="AO446" i="27"/>
  <c r="AU461" i="27"/>
  <c r="AL461" i="27"/>
  <c r="AK461" i="27"/>
  <c r="AH461" i="27"/>
  <c r="AG461" i="27"/>
  <c r="AI461" i="27"/>
  <c r="AU475" i="27"/>
  <c r="AO497" i="27"/>
  <c r="AG497" i="27"/>
  <c r="AL497" i="27"/>
  <c r="AK497" i="27"/>
  <c r="AI497" i="27"/>
  <c r="AH497" i="27"/>
  <c r="AO504" i="27"/>
  <c r="AL504" i="27"/>
  <c r="AK504" i="27"/>
  <c r="AI504" i="27"/>
  <c r="AH504" i="27"/>
  <c r="AG504" i="27"/>
  <c r="AU518" i="27"/>
  <c r="AL518" i="27"/>
  <c r="AI518" i="27"/>
  <c r="AH518" i="27"/>
  <c r="AG518" i="27"/>
  <c r="AK518" i="27"/>
  <c r="AO533" i="27"/>
  <c r="AL533" i="27"/>
  <c r="AK533" i="27"/>
  <c r="AH533" i="27"/>
  <c r="AG533" i="27"/>
  <c r="AI533" i="27"/>
  <c r="AU540" i="27"/>
  <c r="AK540" i="27"/>
  <c r="AI540" i="27"/>
  <c r="AG540" i="27"/>
  <c r="AL540" i="27"/>
  <c r="AH540" i="27"/>
  <c r="AU547" i="27"/>
  <c r="AI547" i="27"/>
  <c r="AH547" i="27"/>
  <c r="AL547" i="27"/>
  <c r="AK547" i="27"/>
  <c r="AG547" i="27"/>
  <c r="AU554" i="27"/>
  <c r="AH554" i="27"/>
  <c r="AG554" i="27"/>
  <c r="AL554" i="27"/>
  <c r="AK554" i="27"/>
  <c r="AI554" i="27"/>
  <c r="AU569" i="27"/>
  <c r="AG569" i="27"/>
  <c r="AL569" i="27"/>
  <c r="AK569" i="27"/>
  <c r="AI569" i="27"/>
  <c r="AH569" i="27"/>
  <c r="AU576" i="27"/>
  <c r="AL576" i="27"/>
  <c r="AK576" i="27"/>
  <c r="AI576" i="27"/>
  <c r="AH576" i="27"/>
  <c r="AG576" i="27"/>
  <c r="AK583" i="27"/>
  <c r="AI583" i="27"/>
  <c r="AH583" i="27"/>
  <c r="AG583" i="27"/>
  <c r="AL583" i="27"/>
  <c r="AL590" i="27"/>
  <c r="AI590" i="27"/>
  <c r="AH590" i="27"/>
  <c r="AG590" i="27"/>
  <c r="AK590" i="27"/>
  <c r="AL605" i="27"/>
  <c r="AK605" i="27"/>
  <c r="AI605" i="27"/>
  <c r="AH605" i="27"/>
  <c r="AG605" i="27"/>
  <c r="AN24" i="27"/>
  <c r="AU46" i="27"/>
  <c r="AG46" i="27"/>
  <c r="AL46" i="27"/>
  <c r="AK46" i="27"/>
  <c r="AI46" i="27"/>
  <c r="AH46" i="27"/>
  <c r="AN53" i="27"/>
  <c r="AN60" i="27"/>
  <c r="AL82" i="27"/>
  <c r="AK82" i="27"/>
  <c r="AI82" i="27"/>
  <c r="AH82" i="27"/>
  <c r="AG82" i="27"/>
  <c r="AN118" i="27"/>
  <c r="AG118" i="27"/>
  <c r="AL118" i="27"/>
  <c r="AK118" i="27"/>
  <c r="AI118" i="27"/>
  <c r="AH118" i="27"/>
  <c r="AN154" i="27"/>
  <c r="AL154" i="27"/>
  <c r="AI154" i="27"/>
  <c r="AH154" i="27"/>
  <c r="AG154" i="27"/>
  <c r="AK154" i="27"/>
  <c r="AG190" i="27"/>
  <c r="AL190" i="27"/>
  <c r="AK190" i="27"/>
  <c r="AH190" i="27"/>
  <c r="AI190" i="27"/>
  <c r="AO197" i="27"/>
  <c r="AL226" i="27"/>
  <c r="AK226" i="27"/>
  <c r="AI226" i="27"/>
  <c r="AH226" i="27"/>
  <c r="AG226" i="27"/>
  <c r="AO240" i="27"/>
  <c r="AN262" i="27"/>
  <c r="AH262" i="27"/>
  <c r="AG262" i="27"/>
  <c r="AL262" i="27"/>
  <c r="AK262" i="27"/>
  <c r="AI262" i="27"/>
  <c r="AL298" i="27"/>
  <c r="AK298" i="27"/>
  <c r="AI298" i="27"/>
  <c r="AH298" i="27"/>
  <c r="AG298" i="27"/>
  <c r="AO305" i="27"/>
  <c r="AO312" i="27"/>
  <c r="AU334" i="27"/>
  <c r="AL334" i="27"/>
  <c r="AK334" i="27"/>
  <c r="AI334" i="27"/>
  <c r="AH334" i="27"/>
  <c r="AG334" i="27"/>
  <c r="AO341" i="27"/>
  <c r="AH370" i="27"/>
  <c r="AG370" i="27"/>
  <c r="AL370" i="27"/>
  <c r="AK370" i="27"/>
  <c r="AI370" i="27"/>
  <c r="AO377" i="27"/>
  <c r="AO384" i="27"/>
  <c r="AL406" i="27"/>
  <c r="AK406" i="27"/>
  <c r="AI406" i="27"/>
  <c r="AH406" i="27"/>
  <c r="AG406" i="27"/>
  <c r="AO413" i="27"/>
  <c r="AO442" i="27"/>
  <c r="AL442" i="27"/>
  <c r="AK442" i="27"/>
  <c r="AI442" i="27"/>
  <c r="AH442" i="27"/>
  <c r="AG442" i="27"/>
  <c r="AN449" i="27"/>
  <c r="AN456" i="27"/>
  <c r="AU485" i="27"/>
  <c r="AO514" i="27"/>
  <c r="AL514" i="27"/>
  <c r="AK514" i="27"/>
  <c r="AI514" i="27"/>
  <c r="AH514" i="27"/>
  <c r="AG514" i="27"/>
  <c r="AK521" i="27"/>
  <c r="AI521" i="27"/>
  <c r="AH521" i="27"/>
  <c r="AG521" i="27"/>
  <c r="AL521" i="27"/>
  <c r="AO528" i="27"/>
  <c r="AL528" i="27"/>
  <c r="AI528" i="27"/>
  <c r="AH528" i="27"/>
  <c r="AG528" i="27"/>
  <c r="AK528" i="27"/>
  <c r="AO550" i="27"/>
  <c r="AK550" i="27"/>
  <c r="AI550" i="27"/>
  <c r="AG550" i="27"/>
  <c r="AL550" i="27"/>
  <c r="AH550" i="27"/>
  <c r="AU557" i="27"/>
  <c r="AI557" i="27"/>
  <c r="AH557" i="27"/>
  <c r="AL557" i="27"/>
  <c r="AK557" i="27"/>
  <c r="AG557" i="27"/>
  <c r="AO564" i="27"/>
  <c r="AH564" i="27"/>
  <c r="AG564" i="27"/>
  <c r="AL564" i="27"/>
  <c r="AK564" i="27"/>
  <c r="AI564" i="27"/>
  <c r="AL586" i="27"/>
  <c r="AK586" i="27"/>
  <c r="AI586" i="27"/>
  <c r="AH586" i="27"/>
  <c r="AG586" i="27"/>
  <c r="AN593" i="27"/>
  <c r="AK593" i="27"/>
  <c r="AI593" i="27"/>
  <c r="AH593" i="27"/>
  <c r="AG593" i="27"/>
  <c r="AL593" i="27"/>
  <c r="AN600" i="27"/>
  <c r="AL600" i="27"/>
  <c r="AI600" i="27"/>
  <c r="AH600" i="27"/>
  <c r="AG600" i="27"/>
  <c r="AK600" i="27"/>
  <c r="AU27" i="27"/>
  <c r="AK27" i="27"/>
  <c r="AG27" i="27"/>
  <c r="AH27" i="27"/>
  <c r="AL27" i="27"/>
  <c r="AI27" i="27"/>
  <c r="AU34" i="27"/>
  <c r="AN41" i="27"/>
  <c r="AO56" i="27"/>
  <c r="AG56" i="27"/>
  <c r="AL56" i="27"/>
  <c r="AK56" i="27"/>
  <c r="AI56" i="27"/>
  <c r="AH56" i="27"/>
  <c r="AO63" i="27"/>
  <c r="AL63" i="27"/>
  <c r="AK63" i="27"/>
  <c r="AI63" i="27"/>
  <c r="AH63" i="27"/>
  <c r="AG63" i="27"/>
  <c r="AO77" i="27"/>
  <c r="AL92" i="27"/>
  <c r="AK92" i="27"/>
  <c r="AI92" i="27"/>
  <c r="AH92" i="27"/>
  <c r="AG92" i="27"/>
  <c r="AK99" i="27"/>
  <c r="AI99" i="27"/>
  <c r="AH99" i="27"/>
  <c r="AG99" i="27"/>
  <c r="AL99" i="27"/>
  <c r="AN128" i="27"/>
  <c r="AG128" i="27"/>
  <c r="AL128" i="27"/>
  <c r="AK128" i="27"/>
  <c r="AI128" i="27"/>
  <c r="AH128" i="27"/>
  <c r="AL135" i="27"/>
  <c r="AK135" i="27"/>
  <c r="AI135" i="27"/>
  <c r="AH135" i="27"/>
  <c r="AG135" i="27"/>
  <c r="AO164" i="27"/>
  <c r="AL164" i="27"/>
  <c r="AI164" i="27"/>
  <c r="AH164" i="27"/>
  <c r="AG164" i="27"/>
  <c r="AK164" i="27"/>
  <c r="AK171" i="27"/>
  <c r="AH171" i="27"/>
  <c r="AG171" i="27"/>
  <c r="AL171" i="27"/>
  <c r="AI171" i="27"/>
  <c r="AG200" i="27"/>
  <c r="AL200" i="27"/>
  <c r="AK200" i="27"/>
  <c r="AI200" i="27"/>
  <c r="AH200" i="27"/>
  <c r="AN207" i="27"/>
  <c r="AG207" i="27"/>
  <c r="AL207" i="27"/>
  <c r="AK207" i="27"/>
  <c r="AI207" i="27"/>
  <c r="AH207" i="27"/>
  <c r="AN214" i="27"/>
  <c r="AN221" i="27"/>
  <c r="AU236" i="27"/>
  <c r="AL236" i="27"/>
  <c r="AK236" i="27"/>
  <c r="AI236" i="27"/>
  <c r="AH236" i="27"/>
  <c r="AG236" i="27"/>
  <c r="AU243" i="27"/>
  <c r="AL243" i="27"/>
  <c r="AK243" i="27"/>
  <c r="AI243" i="27"/>
  <c r="AH243" i="27"/>
  <c r="AG243" i="27"/>
  <c r="AU250" i="27"/>
  <c r="AU272" i="27"/>
  <c r="AH272" i="27"/>
  <c r="AG272" i="27"/>
  <c r="AL272" i="27"/>
  <c r="AK272" i="27"/>
  <c r="AI272" i="27"/>
  <c r="AU279" i="27"/>
  <c r="AG279" i="27"/>
  <c r="AL279" i="27"/>
  <c r="AK279" i="27"/>
  <c r="AI279" i="27"/>
  <c r="AH279" i="27"/>
  <c r="AN293" i="27"/>
  <c r="AH308" i="27"/>
  <c r="AG308" i="27"/>
  <c r="AL308" i="27"/>
  <c r="AK308" i="27"/>
  <c r="AI308" i="27"/>
  <c r="AG315" i="27"/>
  <c r="AL315" i="27"/>
  <c r="AK315" i="27"/>
  <c r="AI315" i="27"/>
  <c r="AH315" i="27"/>
  <c r="AN322" i="27"/>
  <c r="AU329" i="27"/>
  <c r="AN344" i="27"/>
  <c r="AL344" i="27"/>
  <c r="AK344" i="27"/>
  <c r="AI344" i="27"/>
  <c r="AH344" i="27"/>
  <c r="AG344" i="27"/>
  <c r="AN351" i="27"/>
  <c r="AL351" i="27"/>
  <c r="AK351" i="27"/>
  <c r="AI351" i="27"/>
  <c r="AH351" i="27"/>
  <c r="AG351" i="27"/>
  <c r="AO358" i="27"/>
  <c r="AO365" i="27"/>
  <c r="AH380" i="27"/>
  <c r="AG380" i="27"/>
  <c r="AL380" i="27"/>
  <c r="AK380" i="27"/>
  <c r="AI380" i="27"/>
  <c r="AN394" i="27"/>
  <c r="AO416" i="27"/>
  <c r="AL416" i="27"/>
  <c r="AK416" i="27"/>
  <c r="AI416" i="27"/>
  <c r="AH416" i="27"/>
  <c r="AG416" i="27"/>
  <c r="AO423" i="27"/>
  <c r="AN430" i="27"/>
  <c r="AO437" i="27"/>
  <c r="AL452" i="27"/>
  <c r="AK452" i="27"/>
  <c r="AI452" i="27"/>
  <c r="AH452" i="27"/>
  <c r="AG452" i="27"/>
  <c r="AK459" i="27"/>
  <c r="AI459" i="27"/>
  <c r="AH459" i="27"/>
  <c r="AG459" i="27"/>
  <c r="AL459" i="27"/>
  <c r="AO473" i="27"/>
  <c r="AK488" i="27"/>
  <c r="AI488" i="27"/>
  <c r="AG488" i="27"/>
  <c r="AL488" i="27"/>
  <c r="AH488" i="27"/>
  <c r="AN495" i="27"/>
  <c r="AI495" i="27"/>
  <c r="AH495" i="27"/>
  <c r="AL495" i="27"/>
  <c r="AK495" i="27"/>
  <c r="AG495" i="27"/>
  <c r="AN502" i="27"/>
  <c r="AL524" i="27"/>
  <c r="AK524" i="27"/>
  <c r="AI524" i="27"/>
  <c r="AH524" i="27"/>
  <c r="AG524" i="27"/>
  <c r="AK531" i="27"/>
  <c r="AI531" i="27"/>
  <c r="AH531" i="27"/>
  <c r="AG531" i="27"/>
  <c r="AL531" i="27"/>
  <c r="AL538" i="27"/>
  <c r="AI538" i="27"/>
  <c r="AH538" i="27"/>
  <c r="AG538" i="27"/>
  <c r="AK538" i="27"/>
  <c r="AL545" i="27"/>
  <c r="AK545" i="27"/>
  <c r="AH545" i="27"/>
  <c r="AG545" i="27"/>
  <c r="AI545" i="27"/>
  <c r="AK560" i="27"/>
  <c r="AI560" i="27"/>
  <c r="AG560" i="27"/>
  <c r="AL560" i="27"/>
  <c r="AH560" i="27"/>
  <c r="AN567" i="27"/>
  <c r="AI567" i="27"/>
  <c r="AH567" i="27"/>
  <c r="AL567" i="27"/>
  <c r="AK567" i="27"/>
  <c r="AG567" i="27"/>
  <c r="AO574" i="27"/>
  <c r="AH574" i="27"/>
  <c r="AG574" i="27"/>
  <c r="AL574" i="27"/>
  <c r="AK574" i="27"/>
  <c r="AI574" i="27"/>
  <c r="AN581" i="27"/>
  <c r="AG581" i="27"/>
  <c r="AL581" i="27"/>
  <c r="AK581" i="27"/>
  <c r="AI581" i="27"/>
  <c r="AH581" i="27"/>
  <c r="AU596" i="27"/>
  <c r="AL596" i="27"/>
  <c r="AK596" i="27"/>
  <c r="AI596" i="27"/>
  <c r="AH596" i="27"/>
  <c r="AG596" i="27"/>
  <c r="AU603" i="27"/>
  <c r="AK603" i="27"/>
  <c r="AI603" i="27"/>
  <c r="AH603" i="27"/>
  <c r="AG603" i="27"/>
  <c r="AL603" i="27"/>
  <c r="AK37" i="27"/>
  <c r="AI37" i="27"/>
  <c r="AH37" i="27"/>
  <c r="AG37" i="27"/>
  <c r="AL37" i="27"/>
  <c r="AN73" i="27"/>
  <c r="AL73" i="27"/>
  <c r="AK73" i="27"/>
  <c r="AI73" i="27"/>
  <c r="AH73" i="27"/>
  <c r="AG73" i="27"/>
  <c r="AU80" i="27"/>
  <c r="AK109" i="27"/>
  <c r="AI109" i="27"/>
  <c r="AH109" i="27"/>
  <c r="AG109" i="27"/>
  <c r="AL109" i="27"/>
  <c r="AL145" i="27"/>
  <c r="AK145" i="27"/>
  <c r="AI145" i="27"/>
  <c r="AH145" i="27"/>
  <c r="AG145" i="27"/>
  <c r="AO159" i="27"/>
  <c r="AK181" i="27"/>
  <c r="AH181" i="27"/>
  <c r="AG181" i="27"/>
  <c r="AL181" i="27"/>
  <c r="AI181" i="27"/>
  <c r="AO195" i="27"/>
  <c r="AU217" i="27"/>
  <c r="AG217" i="27"/>
  <c r="AL217" i="27"/>
  <c r="AK217" i="27"/>
  <c r="AI217" i="27"/>
  <c r="AH217" i="27"/>
  <c r="AN224" i="27"/>
  <c r="AN231" i="27"/>
  <c r="AL253" i="27"/>
  <c r="AK253" i="27"/>
  <c r="AI253" i="27"/>
  <c r="AH253" i="27"/>
  <c r="AG253" i="27"/>
  <c r="AO260" i="27"/>
  <c r="AO289" i="27"/>
  <c r="AG289" i="27"/>
  <c r="AL289" i="27"/>
  <c r="AK289" i="27"/>
  <c r="AI289" i="27"/>
  <c r="AH289" i="27"/>
  <c r="AO296" i="27"/>
  <c r="AN325" i="27"/>
  <c r="AG325" i="27"/>
  <c r="AL325" i="27"/>
  <c r="AK325" i="27"/>
  <c r="AI325" i="27"/>
  <c r="AH325" i="27"/>
  <c r="AN332" i="27"/>
  <c r="AU339" i="27"/>
  <c r="AO361" i="27"/>
  <c r="AL361" i="27"/>
  <c r="AK361" i="27"/>
  <c r="AI361" i="27"/>
  <c r="AH361" i="27"/>
  <c r="AG361" i="27"/>
  <c r="AN375" i="27"/>
  <c r="AG397" i="27"/>
  <c r="AL397" i="27"/>
  <c r="AK397" i="27"/>
  <c r="AI397" i="27"/>
  <c r="AH397" i="27"/>
  <c r="AO411" i="27"/>
  <c r="AU433" i="27"/>
  <c r="AI433" i="27"/>
  <c r="AH433" i="27"/>
  <c r="AL433" i="27"/>
  <c r="AK433" i="27"/>
  <c r="AG433" i="27"/>
  <c r="AU447" i="27"/>
  <c r="AN476" i="27"/>
  <c r="AN505" i="27"/>
  <c r="AI505" i="27"/>
  <c r="AH505" i="27"/>
  <c r="AL505" i="27"/>
  <c r="AK505" i="27"/>
  <c r="AG505" i="27"/>
  <c r="AN512" i="27"/>
  <c r="AN519" i="27"/>
  <c r="AG519" i="27"/>
  <c r="AL519" i="27"/>
  <c r="AK519" i="27"/>
  <c r="AI519" i="27"/>
  <c r="AH519" i="27"/>
  <c r="AN541" i="27"/>
  <c r="AK541" i="27"/>
  <c r="AI541" i="27"/>
  <c r="AH541" i="27"/>
  <c r="AG541" i="27"/>
  <c r="AL541" i="27"/>
  <c r="AN548" i="27"/>
  <c r="AL548" i="27"/>
  <c r="AI548" i="27"/>
  <c r="AH548" i="27"/>
  <c r="AG548" i="27"/>
  <c r="AK548" i="27"/>
  <c r="AN555" i="27"/>
  <c r="AL555" i="27"/>
  <c r="AK555" i="27"/>
  <c r="AH555" i="27"/>
  <c r="AG555" i="27"/>
  <c r="AI555" i="27"/>
  <c r="AN577" i="27"/>
  <c r="AI577" i="27"/>
  <c r="AH577" i="27"/>
  <c r="AL577" i="27"/>
  <c r="AK577" i="27"/>
  <c r="AG577" i="27"/>
  <c r="AO584" i="27"/>
  <c r="AH584" i="27"/>
  <c r="AG584" i="27"/>
  <c r="AL584" i="27"/>
  <c r="AK584" i="27"/>
  <c r="AI584" i="27"/>
  <c r="AG591" i="27"/>
  <c r="AL591" i="27"/>
  <c r="AK591" i="27"/>
  <c r="AI591" i="27"/>
  <c r="AH591" i="27"/>
  <c r="AK47" i="27"/>
  <c r="AI47" i="27"/>
  <c r="AH47" i="27"/>
  <c r="AG47" i="27"/>
  <c r="AL47" i="27"/>
  <c r="AN54" i="27"/>
  <c r="AI54" i="27"/>
  <c r="AH54" i="27"/>
  <c r="AG54" i="27"/>
  <c r="AL54" i="27"/>
  <c r="AK54" i="27"/>
  <c r="AO83" i="27"/>
  <c r="AL83" i="27"/>
  <c r="AK83" i="27"/>
  <c r="AI83" i="27"/>
  <c r="AH83" i="27"/>
  <c r="AG83" i="27"/>
  <c r="AL90" i="27"/>
  <c r="AK90" i="27"/>
  <c r="AI90" i="27"/>
  <c r="AH90" i="27"/>
  <c r="AG90" i="27"/>
  <c r="AK119" i="27"/>
  <c r="AI119" i="27"/>
  <c r="AH119" i="27"/>
  <c r="AG119" i="27"/>
  <c r="AL119" i="27"/>
  <c r="AI126" i="27"/>
  <c r="AH126" i="27"/>
  <c r="AG126" i="27"/>
  <c r="AL126" i="27"/>
  <c r="AK126" i="27"/>
  <c r="AL155" i="27"/>
  <c r="AK155" i="27"/>
  <c r="AI155" i="27"/>
  <c r="AH155" i="27"/>
  <c r="AG155" i="27"/>
  <c r="AO162" i="27"/>
  <c r="AL162" i="27"/>
  <c r="AK162" i="27"/>
  <c r="AI162" i="27"/>
  <c r="AH162" i="27"/>
  <c r="AG162" i="27"/>
  <c r="AO169" i="27"/>
  <c r="AN176" i="27"/>
  <c r="AU191" i="27"/>
  <c r="AK191" i="27"/>
  <c r="AH191" i="27"/>
  <c r="AG191" i="27"/>
  <c r="AL191" i="27"/>
  <c r="AI191" i="27"/>
  <c r="AI198" i="27"/>
  <c r="AG198" i="27"/>
  <c r="AL198" i="27"/>
  <c r="AK198" i="27"/>
  <c r="AH198" i="27"/>
  <c r="AU205" i="27"/>
  <c r="AO212" i="27"/>
  <c r="AO227" i="27"/>
  <c r="AG227" i="27"/>
  <c r="AL227" i="27"/>
  <c r="AK227" i="27"/>
  <c r="AI227" i="27"/>
  <c r="AH227" i="27"/>
  <c r="AO234" i="27"/>
  <c r="AL234" i="27"/>
  <c r="AK234" i="27"/>
  <c r="AI234" i="27"/>
  <c r="AH234" i="27"/>
  <c r="AG234" i="27"/>
  <c r="AO241" i="27"/>
  <c r="AO263" i="27"/>
  <c r="AL263" i="27"/>
  <c r="AK263" i="27"/>
  <c r="AI263" i="27"/>
  <c r="AH263" i="27"/>
  <c r="AG263" i="27"/>
  <c r="AK270" i="27"/>
  <c r="AI270" i="27"/>
  <c r="AH270" i="27"/>
  <c r="AG270" i="27"/>
  <c r="AL270" i="27"/>
  <c r="AU277" i="27"/>
  <c r="AU284" i="27"/>
  <c r="AL299" i="27"/>
  <c r="AG299" i="27"/>
  <c r="AK299" i="27"/>
  <c r="AI299" i="27"/>
  <c r="AH299" i="27"/>
  <c r="AN306" i="27"/>
  <c r="AK306" i="27"/>
  <c r="AI306" i="27"/>
  <c r="AH306" i="27"/>
  <c r="AG306" i="27"/>
  <c r="AL306" i="27"/>
  <c r="AN320" i="27"/>
  <c r="AG335" i="27"/>
  <c r="AL335" i="27"/>
  <c r="AK335" i="27"/>
  <c r="AI335" i="27"/>
  <c r="AH335" i="27"/>
  <c r="AL342" i="27"/>
  <c r="AK342" i="27"/>
  <c r="AI342" i="27"/>
  <c r="AH342" i="27"/>
  <c r="AG342" i="27"/>
  <c r="AN349" i="27"/>
  <c r="AN356" i="27"/>
  <c r="AU371" i="27"/>
  <c r="AL371" i="27"/>
  <c r="AK371" i="27"/>
  <c r="AI371" i="27"/>
  <c r="AH371" i="27"/>
  <c r="AG371" i="27"/>
  <c r="AU378" i="27"/>
  <c r="AU385" i="27"/>
  <c r="AU392" i="27"/>
  <c r="AG407" i="27"/>
  <c r="AL407" i="27"/>
  <c r="AK407" i="27"/>
  <c r="AI407" i="27"/>
  <c r="AH407" i="27"/>
  <c r="AN421" i="27"/>
  <c r="AO443" i="27"/>
  <c r="AI443" i="27"/>
  <c r="AH443" i="27"/>
  <c r="AL443" i="27"/>
  <c r="AK443" i="27"/>
  <c r="AG443" i="27"/>
  <c r="AU450" i="27"/>
  <c r="AH450" i="27"/>
  <c r="AG450" i="27"/>
  <c r="AL450" i="27"/>
  <c r="AK450" i="27"/>
  <c r="AI450" i="27"/>
  <c r="AU457" i="27"/>
  <c r="AU464" i="27"/>
  <c r="AK479" i="27"/>
  <c r="AI479" i="27"/>
  <c r="AH479" i="27"/>
  <c r="AG479" i="27"/>
  <c r="AL479" i="27"/>
  <c r="AL486" i="27"/>
  <c r="AI486" i="27"/>
  <c r="AH486" i="27"/>
  <c r="AG486" i="27"/>
  <c r="AK486" i="27"/>
  <c r="AO515" i="27"/>
  <c r="AI515" i="27"/>
  <c r="AH515" i="27"/>
  <c r="AL515" i="27"/>
  <c r="AK515" i="27"/>
  <c r="AG515" i="27"/>
  <c r="AN522" i="27"/>
  <c r="AH522" i="27"/>
  <c r="AG522" i="27"/>
  <c r="AL522" i="27"/>
  <c r="AK522" i="27"/>
  <c r="AI522" i="27"/>
  <c r="AN529" i="27"/>
  <c r="AG529" i="27"/>
  <c r="AL529" i="27"/>
  <c r="AK529" i="27"/>
  <c r="AI529" i="27"/>
  <c r="AH529" i="27"/>
  <c r="AL536" i="27"/>
  <c r="AK536" i="27"/>
  <c r="AI536" i="27"/>
  <c r="AH536" i="27"/>
  <c r="AG536" i="27"/>
  <c r="AU551" i="27"/>
  <c r="AK551" i="27"/>
  <c r="AI551" i="27"/>
  <c r="AH551" i="27"/>
  <c r="AG551" i="27"/>
  <c r="AL551" i="27"/>
  <c r="AU558" i="27"/>
  <c r="AL558" i="27"/>
  <c r="AI558" i="27"/>
  <c r="AH558" i="27"/>
  <c r="AG558" i="27"/>
  <c r="AK558" i="27"/>
  <c r="AU565" i="27"/>
  <c r="AL565" i="27"/>
  <c r="AK565" i="27"/>
  <c r="AH565" i="27"/>
  <c r="AG565" i="27"/>
  <c r="AI565" i="27"/>
  <c r="AU572" i="27"/>
  <c r="AK572" i="27"/>
  <c r="AI572" i="27"/>
  <c r="AG572" i="27"/>
  <c r="AL572" i="27"/>
  <c r="AH572" i="27"/>
  <c r="AI587" i="27"/>
  <c r="AH587" i="27"/>
  <c r="AL587" i="27"/>
  <c r="AK587" i="27"/>
  <c r="AG587" i="27"/>
  <c r="AH594" i="27"/>
  <c r="AG594" i="27"/>
  <c r="AL594" i="27"/>
  <c r="AK594" i="27"/>
  <c r="AI594" i="27"/>
  <c r="AG601" i="27"/>
  <c r="AL601" i="27"/>
  <c r="AK601" i="27"/>
  <c r="AI601" i="27"/>
  <c r="AH601" i="27"/>
  <c r="AN28" i="27"/>
  <c r="AK28" i="27"/>
  <c r="AI28" i="27"/>
  <c r="AH28" i="27"/>
  <c r="AG28" i="27"/>
  <c r="AL28" i="27"/>
  <c r="AN64" i="27"/>
  <c r="AI64" i="27"/>
  <c r="AH64" i="27"/>
  <c r="AG64" i="27"/>
  <c r="AL64" i="27"/>
  <c r="AK64" i="27"/>
  <c r="AL100" i="27"/>
  <c r="AK100" i="27"/>
  <c r="AI100" i="27"/>
  <c r="AH100" i="27"/>
  <c r="AG100" i="27"/>
  <c r="AI136" i="27"/>
  <c r="AH136" i="27"/>
  <c r="AG136" i="27"/>
  <c r="AL136" i="27"/>
  <c r="AK136" i="27"/>
  <c r="AL172" i="27"/>
  <c r="AK172" i="27"/>
  <c r="AI172" i="27"/>
  <c r="AH172" i="27"/>
  <c r="AG172" i="27"/>
  <c r="AN179" i="27"/>
  <c r="AN186" i="27"/>
  <c r="AN208" i="27"/>
  <c r="AK208" i="27"/>
  <c r="AI208" i="27"/>
  <c r="AG208" i="27"/>
  <c r="AL208" i="27"/>
  <c r="AH208" i="27"/>
  <c r="AU222" i="27"/>
  <c r="AL244" i="27"/>
  <c r="AK244" i="27"/>
  <c r="AI244" i="27"/>
  <c r="AH244" i="27"/>
  <c r="AG244" i="27"/>
  <c r="AK280" i="27"/>
  <c r="AI280" i="27"/>
  <c r="AH280" i="27"/>
  <c r="AG280" i="27"/>
  <c r="AL280" i="27"/>
  <c r="AN316" i="27"/>
  <c r="AK316" i="27"/>
  <c r="AI316" i="27"/>
  <c r="AH316" i="27"/>
  <c r="AG316" i="27"/>
  <c r="AL316" i="27"/>
  <c r="AO323" i="27"/>
  <c r="AN330" i="27"/>
  <c r="AO352" i="27"/>
  <c r="AL352" i="27"/>
  <c r="AK352" i="27"/>
  <c r="AI352" i="27"/>
  <c r="AH352" i="27"/>
  <c r="AG352" i="27"/>
  <c r="AO359" i="27"/>
  <c r="AN366" i="27"/>
  <c r="AK388" i="27"/>
  <c r="AI388" i="27"/>
  <c r="AH388" i="27"/>
  <c r="AG388" i="27"/>
  <c r="AL388" i="27"/>
  <c r="AU402" i="27"/>
  <c r="AO424" i="27"/>
  <c r="AL424" i="27"/>
  <c r="AK424" i="27"/>
  <c r="AI424" i="27"/>
  <c r="AH424" i="27"/>
  <c r="AG424" i="27"/>
  <c r="AO431" i="27"/>
  <c r="AO438" i="27"/>
  <c r="AH460" i="27"/>
  <c r="AG460" i="27"/>
  <c r="AL460" i="27"/>
  <c r="AK460" i="27"/>
  <c r="AI460" i="27"/>
  <c r="AN496" i="27"/>
  <c r="AL496" i="27"/>
  <c r="AI496" i="27"/>
  <c r="AH496" i="27"/>
  <c r="AG496" i="27"/>
  <c r="AK496" i="27"/>
  <c r="AO503" i="27"/>
  <c r="AH532" i="27"/>
  <c r="AG532" i="27"/>
  <c r="AL532" i="27"/>
  <c r="AK532" i="27"/>
  <c r="AI532" i="27"/>
  <c r="AO539" i="27"/>
  <c r="AG539" i="27"/>
  <c r="AL539" i="27"/>
  <c r="AK539" i="27"/>
  <c r="AI539" i="27"/>
  <c r="AH539" i="27"/>
  <c r="AU546" i="27"/>
  <c r="AL546" i="27"/>
  <c r="AK546" i="27"/>
  <c r="AI546" i="27"/>
  <c r="AH546" i="27"/>
  <c r="AG546" i="27"/>
  <c r="AL568" i="27"/>
  <c r="AI568" i="27"/>
  <c r="AH568" i="27"/>
  <c r="AG568" i="27"/>
  <c r="AK568" i="27"/>
  <c r="AO575" i="27"/>
  <c r="AL575" i="27"/>
  <c r="AK575" i="27"/>
  <c r="AH575" i="27"/>
  <c r="AG575" i="27"/>
  <c r="AI575" i="27"/>
  <c r="AK582" i="27"/>
  <c r="AI582" i="27"/>
  <c r="AG582" i="27"/>
  <c r="AL582" i="27"/>
  <c r="AH582" i="27"/>
  <c r="AN604" i="27"/>
  <c r="AH604" i="27"/>
  <c r="AG604" i="27"/>
  <c r="AL604" i="27"/>
  <c r="AK604" i="27"/>
  <c r="AI604" i="27"/>
  <c r="AU23" i="27"/>
  <c r="AO38" i="27"/>
  <c r="AL38" i="27"/>
  <c r="AK38" i="27"/>
  <c r="AI38" i="27"/>
  <c r="AH38" i="27"/>
  <c r="AG38" i="27"/>
  <c r="AU45" i="27"/>
  <c r="AL45" i="27"/>
  <c r="AK45" i="27"/>
  <c r="AI45" i="27"/>
  <c r="AH45" i="27"/>
  <c r="AG45" i="27"/>
  <c r="AU59" i="27"/>
  <c r="AI74" i="27"/>
  <c r="AH74" i="27"/>
  <c r="AG74" i="27"/>
  <c r="AL74" i="27"/>
  <c r="AK74" i="27"/>
  <c r="AO81" i="27"/>
  <c r="AH81" i="27"/>
  <c r="AG81" i="27"/>
  <c r="AL81" i="27"/>
  <c r="AK81" i="27"/>
  <c r="AI81" i="27"/>
  <c r="AL110" i="27"/>
  <c r="AK110" i="27"/>
  <c r="AI110" i="27"/>
  <c r="AH110" i="27"/>
  <c r="AG110" i="27"/>
  <c r="AL117" i="27"/>
  <c r="AK117" i="27"/>
  <c r="AI117" i="27"/>
  <c r="AH117" i="27"/>
  <c r="AG117" i="27"/>
  <c r="AU146" i="27"/>
  <c r="AI146" i="27"/>
  <c r="AH146" i="27"/>
  <c r="AG146" i="27"/>
  <c r="AL146" i="27"/>
  <c r="AK146" i="27"/>
  <c r="AU153" i="27"/>
  <c r="AH153" i="27"/>
  <c r="AL153" i="27"/>
  <c r="AK153" i="27"/>
  <c r="AI153" i="27"/>
  <c r="AG153" i="27"/>
  <c r="AL182" i="27"/>
  <c r="AK182" i="27"/>
  <c r="AI182" i="27"/>
  <c r="AH182" i="27"/>
  <c r="AG182" i="27"/>
  <c r="AK189" i="27"/>
  <c r="AI189" i="27"/>
  <c r="AH189" i="27"/>
  <c r="AG189" i="27"/>
  <c r="AL189" i="27"/>
  <c r="AU196" i="27"/>
  <c r="AN218" i="27"/>
  <c r="AK218" i="27"/>
  <c r="AI218" i="27"/>
  <c r="AH218" i="27"/>
  <c r="AG218" i="27"/>
  <c r="AL218" i="27"/>
  <c r="AU225" i="27"/>
  <c r="AI225" i="27"/>
  <c r="AH225" i="27"/>
  <c r="AG225" i="27"/>
  <c r="AL225" i="27"/>
  <c r="AK225" i="27"/>
  <c r="AU232" i="27"/>
  <c r="AU239" i="27"/>
  <c r="AU254" i="27"/>
  <c r="AL254" i="27"/>
  <c r="AK254" i="27"/>
  <c r="AI254" i="27"/>
  <c r="AH254" i="27"/>
  <c r="AG254" i="27"/>
  <c r="AL261" i="27"/>
  <c r="AK261" i="27"/>
  <c r="AI261" i="27"/>
  <c r="AH261" i="27"/>
  <c r="AG261" i="27"/>
  <c r="AK290" i="27"/>
  <c r="AI290" i="27"/>
  <c r="AH290" i="27"/>
  <c r="AG290" i="27"/>
  <c r="AL290" i="27"/>
  <c r="AN297" i="27"/>
  <c r="AI297" i="27"/>
  <c r="AH297" i="27"/>
  <c r="AG297" i="27"/>
  <c r="AL297" i="27"/>
  <c r="AK297" i="27"/>
  <c r="AK326" i="27"/>
  <c r="AI326" i="27"/>
  <c r="AH326" i="27"/>
  <c r="AG326" i="27"/>
  <c r="AL326" i="27"/>
  <c r="AU333" i="27"/>
  <c r="AI333" i="27"/>
  <c r="AH333" i="27"/>
  <c r="AG333" i="27"/>
  <c r="AL333" i="27"/>
  <c r="AK333" i="27"/>
  <c r="AN340" i="27"/>
  <c r="AN347" i="27"/>
  <c r="AL362" i="27"/>
  <c r="AK362" i="27"/>
  <c r="AI362" i="27"/>
  <c r="AH362" i="27"/>
  <c r="AG362" i="27"/>
  <c r="AO369" i="27"/>
  <c r="AL369" i="27"/>
  <c r="AK369" i="27"/>
  <c r="AI369" i="27"/>
  <c r="AH369" i="27"/>
  <c r="AG369" i="27"/>
  <c r="AO376" i="27"/>
  <c r="AO398" i="27"/>
  <c r="AK398" i="27"/>
  <c r="AI398" i="27"/>
  <c r="AH398" i="27"/>
  <c r="AG398" i="27"/>
  <c r="AL398" i="27"/>
  <c r="AN405" i="27"/>
  <c r="AL434" i="27"/>
  <c r="AI434" i="27"/>
  <c r="AH434" i="27"/>
  <c r="AG434" i="27"/>
  <c r="AK434" i="27"/>
  <c r="AH470" i="27"/>
  <c r="AG470" i="27"/>
  <c r="AL470" i="27"/>
  <c r="AK470" i="27"/>
  <c r="AI470" i="27"/>
  <c r="AO477" i="27"/>
  <c r="AO484" i="27"/>
  <c r="AN491" i="27"/>
  <c r="AL506" i="27"/>
  <c r="AI506" i="27"/>
  <c r="AH506" i="27"/>
  <c r="AG506" i="27"/>
  <c r="AK506" i="27"/>
  <c r="AO513" i="27"/>
  <c r="AL513" i="27"/>
  <c r="AK513" i="27"/>
  <c r="AH513" i="27"/>
  <c r="AG513" i="27"/>
  <c r="AI513" i="27"/>
  <c r="AO520" i="27"/>
  <c r="AK520" i="27"/>
  <c r="AI520" i="27"/>
  <c r="AG520" i="27"/>
  <c r="AL520" i="27"/>
  <c r="AH520" i="27"/>
  <c r="AI527" i="27"/>
  <c r="AH527" i="27"/>
  <c r="AL527" i="27"/>
  <c r="AK527" i="27"/>
  <c r="AG527" i="27"/>
  <c r="AH542" i="27"/>
  <c r="AG542" i="27"/>
  <c r="AL542" i="27"/>
  <c r="AK542" i="27"/>
  <c r="AI542" i="27"/>
  <c r="AG549" i="27"/>
  <c r="AL549" i="27"/>
  <c r="AK549" i="27"/>
  <c r="AI549" i="27"/>
  <c r="AH549" i="27"/>
  <c r="AL556" i="27"/>
  <c r="AK556" i="27"/>
  <c r="AI556" i="27"/>
  <c r="AH556" i="27"/>
  <c r="AG556" i="27"/>
  <c r="AN563" i="27"/>
  <c r="AK563" i="27"/>
  <c r="AI563" i="27"/>
  <c r="AH563" i="27"/>
  <c r="AG563" i="27"/>
  <c r="AL563" i="27"/>
  <c r="AO578" i="27"/>
  <c r="AL578" i="27"/>
  <c r="AI578" i="27"/>
  <c r="AH578" i="27"/>
  <c r="AG578" i="27"/>
  <c r="AK578" i="27"/>
  <c r="AL585" i="27"/>
  <c r="AK585" i="27"/>
  <c r="AH585" i="27"/>
  <c r="AG585" i="27"/>
  <c r="AI585" i="27"/>
  <c r="AO592" i="27"/>
  <c r="AK592" i="27"/>
  <c r="AI592" i="27"/>
  <c r="AG592" i="27"/>
  <c r="AL592" i="27"/>
  <c r="AH592" i="27"/>
  <c r="AU599" i="27"/>
  <c r="AI599" i="27"/>
  <c r="AH599" i="27"/>
  <c r="AL599" i="27"/>
  <c r="AK599" i="27"/>
  <c r="AG599" i="27"/>
  <c r="AO43" i="27"/>
  <c r="AO86" i="27"/>
  <c r="AO158" i="27"/>
  <c r="AN87" i="27"/>
  <c r="AO116" i="27"/>
  <c r="AO25" i="27"/>
  <c r="AO32" i="27"/>
  <c r="AO61" i="27"/>
  <c r="AN97" i="27"/>
  <c r="AO35" i="27"/>
  <c r="AO71" i="27"/>
  <c r="AO78" i="27"/>
  <c r="AN88" i="27"/>
  <c r="AN95" i="27"/>
  <c r="AN124" i="27"/>
  <c r="AN131" i="27"/>
  <c r="AO160" i="27"/>
  <c r="AD776" i="28"/>
  <c r="AD384" i="28"/>
  <c r="AD895" i="28"/>
  <c r="AD839" i="28"/>
  <c r="AD783" i="28"/>
  <c r="AD727" i="28"/>
  <c r="AD671" i="28"/>
  <c r="AD615" i="28"/>
  <c r="AD559" i="28"/>
  <c r="AD503" i="28"/>
  <c r="AD447" i="28"/>
  <c r="AD391" i="28"/>
  <c r="AD335" i="28"/>
  <c r="AD279" i="28"/>
  <c r="AD223" i="28"/>
  <c r="AD167" i="28"/>
  <c r="AD111" i="28"/>
  <c r="AD55" i="28"/>
  <c r="AD664" i="28"/>
  <c r="AD440" i="28"/>
  <c r="AD104" i="28"/>
  <c r="AD881" i="28"/>
  <c r="AD825" i="28"/>
  <c r="AD769" i="28"/>
  <c r="AD713" i="28"/>
  <c r="AD657" i="28"/>
  <c r="AD601" i="28"/>
  <c r="AD545" i="28"/>
  <c r="AD489" i="28"/>
  <c r="AD433" i="28"/>
  <c r="AD377" i="28"/>
  <c r="AD321" i="28"/>
  <c r="AD265" i="28"/>
  <c r="AD209" i="28"/>
  <c r="AD153" i="28"/>
  <c r="AD97" i="28"/>
  <c r="AD41" i="28"/>
  <c r="AD608" i="28"/>
  <c r="AD272" i="28"/>
  <c r="AD874" i="28"/>
  <c r="AD818" i="28"/>
  <c r="AD762" i="28"/>
  <c r="AD706" i="28"/>
  <c r="AD650" i="28"/>
  <c r="AD594" i="28"/>
  <c r="AD538" i="28"/>
  <c r="AD482" i="28"/>
  <c r="AD426" i="28"/>
  <c r="AD370" i="28"/>
  <c r="AD314" i="28"/>
  <c r="AD258" i="28"/>
  <c r="AD202" i="28"/>
  <c r="AD146" i="28"/>
  <c r="AD90" i="28"/>
  <c r="AD34" i="28"/>
  <c r="AD720" i="28"/>
  <c r="AD328" i="28"/>
  <c r="AD867" i="28"/>
  <c r="AD811" i="28"/>
  <c r="AD755" i="28"/>
  <c r="AD699" i="28"/>
  <c r="AD643" i="28"/>
  <c r="AD587" i="28"/>
  <c r="AD531" i="28"/>
  <c r="AD475" i="28"/>
  <c r="AD419" i="28"/>
  <c r="AD363" i="28"/>
  <c r="AD307" i="28"/>
  <c r="AD251" i="28"/>
  <c r="AD195" i="28"/>
  <c r="AD139" i="28"/>
  <c r="AD83" i="28"/>
  <c r="AD27" i="28"/>
  <c r="AD832" i="28"/>
  <c r="AD496" i="28"/>
  <c r="AD160" i="28"/>
  <c r="AD916" i="28"/>
  <c r="AD860" i="28"/>
  <c r="AD804" i="28"/>
  <c r="AD748" i="28"/>
  <c r="AD692" i="28"/>
  <c r="AD636" i="28"/>
  <c r="AD580" i="28"/>
  <c r="AD524" i="28"/>
  <c r="AD468" i="28"/>
  <c r="AD412" i="28"/>
  <c r="AD356" i="28"/>
  <c r="AD300" i="28"/>
  <c r="AD244" i="28"/>
  <c r="AD188" i="28"/>
  <c r="AD132" i="28"/>
  <c r="AD76" i="28"/>
  <c r="AD48" i="28"/>
  <c r="AD909" i="28"/>
  <c r="AD853" i="28"/>
  <c r="AD797" i="28"/>
  <c r="AD741" i="28"/>
  <c r="AD685" i="28"/>
  <c r="AD629" i="28"/>
  <c r="AD573" i="28"/>
  <c r="AD517" i="28"/>
  <c r="AD461" i="28"/>
  <c r="AD405" i="28"/>
  <c r="AD349" i="28"/>
  <c r="AD293" i="28"/>
  <c r="AD237" i="28"/>
  <c r="AD181" i="28"/>
  <c r="AD125" i="28"/>
  <c r="AD69" i="28"/>
  <c r="AD888" i="28"/>
  <c r="AD552" i="28"/>
  <c r="AD216" i="28"/>
  <c r="AD902" i="28"/>
  <c r="AD846" i="28"/>
  <c r="AD790" i="28"/>
  <c r="AD734" i="28"/>
  <c r="AD678" i="28"/>
  <c r="AD622" i="28"/>
  <c r="AD566" i="28"/>
  <c r="AD510" i="28"/>
  <c r="AD454" i="28"/>
  <c r="AD398" i="28"/>
  <c r="AD342" i="28"/>
  <c r="AD286" i="28"/>
  <c r="AD230" i="28"/>
  <c r="AD174" i="28"/>
  <c r="AD118" i="28"/>
  <c r="AD62" i="28"/>
  <c r="AI13" i="27"/>
  <c r="AO100" i="27"/>
  <c r="AU83" i="27"/>
  <c r="AK12" i="27"/>
  <c r="AN78" i="27"/>
  <c r="AN547" i="27"/>
  <c r="AN371" i="27"/>
  <c r="AO302" i="27"/>
  <c r="AU127" i="27"/>
  <c r="AN258" i="27"/>
  <c r="AN287" i="27"/>
  <c r="AN574" i="27"/>
  <c r="AN180" i="27"/>
  <c r="AU495" i="27"/>
  <c r="AO537" i="27"/>
  <c r="AN540" i="27"/>
  <c r="AO14" i="27"/>
  <c r="AO51" i="27"/>
  <c r="AN71" i="27"/>
  <c r="AO434" i="27"/>
  <c r="AU100" i="27"/>
  <c r="AN145" i="27"/>
  <c r="AO190" i="27"/>
  <c r="AO353" i="27"/>
  <c r="AO33" i="27"/>
  <c r="AO145" i="27"/>
  <c r="AO180" i="27"/>
  <c r="AO235" i="27"/>
  <c r="AU415" i="27"/>
  <c r="AO521" i="27"/>
  <c r="AO527" i="27"/>
  <c r="AN557" i="27"/>
  <c r="AO277" i="27"/>
  <c r="AU434" i="27"/>
  <c r="AO495" i="27"/>
  <c r="AN100" i="27"/>
  <c r="AN243" i="27"/>
  <c r="AN276" i="27"/>
  <c r="AU340" i="27"/>
  <c r="AO393" i="27"/>
  <c r="AO394" i="27"/>
  <c r="AU411" i="27"/>
  <c r="AO415" i="27"/>
  <c r="AU519" i="27"/>
  <c r="AU502" i="27"/>
  <c r="AU584" i="27"/>
  <c r="AN162" i="27"/>
  <c r="AN163" i="27"/>
  <c r="AN190" i="27"/>
  <c r="AO242" i="27"/>
  <c r="AO392" i="27"/>
  <c r="AO519" i="27"/>
  <c r="AN575" i="27"/>
  <c r="AO12" i="27"/>
  <c r="AN42" i="27"/>
  <c r="AO186" i="27"/>
  <c r="AU257" i="27"/>
  <c r="AN46" i="27"/>
  <c r="AO124" i="27"/>
  <c r="AO179" i="27"/>
  <c r="AO181" i="27"/>
  <c r="AU190" i="27"/>
  <c r="AN252" i="27"/>
  <c r="AU268" i="27"/>
  <c r="AN323" i="27"/>
  <c r="AO356" i="27"/>
  <c r="AU377" i="27"/>
  <c r="AN404" i="27"/>
  <c r="AO405" i="27"/>
  <c r="AU413" i="27"/>
  <c r="AO422" i="27"/>
  <c r="AU512" i="27"/>
  <c r="AU513" i="27"/>
  <c r="AN524" i="27"/>
  <c r="AN546" i="27"/>
  <c r="AO554" i="27"/>
  <c r="AN558" i="27"/>
  <c r="AO37" i="27"/>
  <c r="AO46" i="27"/>
  <c r="AN50" i="27"/>
  <c r="AO224" i="27"/>
  <c r="AN225" i="27"/>
  <c r="AO252" i="27"/>
  <c r="AN294" i="27"/>
  <c r="AN457" i="27"/>
  <c r="AU493" i="27"/>
  <c r="AO502" i="27"/>
  <c r="AO523" i="27"/>
  <c r="AO524" i="27"/>
  <c r="AN550" i="27"/>
  <c r="AO600" i="27"/>
  <c r="AK13" i="27"/>
  <c r="AH12" i="27"/>
  <c r="AN72" i="27"/>
  <c r="AO73" i="27"/>
  <c r="AN108" i="27"/>
  <c r="AU116" i="27"/>
  <c r="AO141" i="27"/>
  <c r="AU145" i="27"/>
  <c r="AU160" i="27"/>
  <c r="AN205" i="27"/>
  <c r="AN277" i="27"/>
  <c r="AU359" i="27"/>
  <c r="AU384" i="27"/>
  <c r="AN411" i="27"/>
  <c r="AN429" i="27"/>
  <c r="AO430" i="27"/>
  <c r="AN434" i="27"/>
  <c r="AO493" i="27"/>
  <c r="AN530" i="27"/>
  <c r="AL13" i="27"/>
  <c r="AN83" i="27"/>
  <c r="AN222" i="27"/>
  <c r="AU263" i="27"/>
  <c r="AU515" i="27"/>
  <c r="AN596" i="27"/>
  <c r="AN152" i="27"/>
  <c r="AN160" i="27"/>
  <c r="AN169" i="27"/>
  <c r="AO213" i="27"/>
  <c r="AN216" i="27"/>
  <c r="AU287" i="27"/>
  <c r="AO314" i="27"/>
  <c r="AN315" i="27"/>
  <c r="AO316" i="27"/>
  <c r="AN334" i="27"/>
  <c r="AN384" i="27"/>
  <c r="AN389" i="27"/>
  <c r="AN407" i="27"/>
  <c r="AU421" i="27"/>
  <c r="AU574" i="27"/>
  <c r="AO596" i="27"/>
  <c r="AU13" i="27"/>
  <c r="AH14" i="27"/>
  <c r="AU62" i="27"/>
  <c r="AN86" i="27"/>
  <c r="AO146" i="27"/>
  <c r="AO152" i="27"/>
  <c r="AO217" i="27"/>
  <c r="AU231" i="27"/>
  <c r="AU351" i="27"/>
  <c r="AN385" i="27"/>
  <c r="AN392" i="27"/>
  <c r="AU404" i="27"/>
  <c r="AN447" i="27"/>
  <c r="AO485" i="27"/>
  <c r="AO555" i="27"/>
  <c r="AG13" i="27"/>
  <c r="AU33" i="27"/>
  <c r="AN63" i="27"/>
  <c r="AO64" i="27"/>
  <c r="AU71" i="27"/>
  <c r="AO80" i="27"/>
  <c r="AU86" i="27"/>
  <c r="AO128" i="27"/>
  <c r="AN153" i="27"/>
  <c r="AU161" i="27"/>
  <c r="AU169" i="27"/>
  <c r="AO191" i="27"/>
  <c r="AO222" i="27"/>
  <c r="AN33" i="27"/>
  <c r="AO60" i="27"/>
  <c r="AU95" i="27"/>
  <c r="AO97" i="27"/>
  <c r="AO131" i="27"/>
  <c r="AO153" i="27"/>
  <c r="AO154" i="27"/>
  <c r="AU197" i="27"/>
  <c r="AU208" i="27"/>
  <c r="AN212" i="27"/>
  <c r="AU91" i="27"/>
  <c r="AU107" i="27"/>
  <c r="AU235" i="27"/>
  <c r="AO34" i="27"/>
  <c r="AN45" i="27"/>
  <c r="AO69" i="27"/>
  <c r="AU72" i="27"/>
  <c r="AN107" i="27"/>
  <c r="AO134" i="27"/>
  <c r="AU152" i="27"/>
  <c r="AU162" i="27"/>
  <c r="AO170" i="27"/>
  <c r="AO176" i="27"/>
  <c r="AO258" i="27"/>
  <c r="AU258" i="27"/>
  <c r="AN27" i="27"/>
  <c r="AO87" i="27"/>
  <c r="AO107" i="27"/>
  <c r="AN159" i="27"/>
  <c r="AN240" i="27"/>
  <c r="AO251" i="27"/>
  <c r="AN251" i="27"/>
  <c r="AU259" i="27"/>
  <c r="AO259" i="27"/>
  <c r="AO262" i="27"/>
  <c r="AU262" i="27"/>
  <c r="AO276" i="27"/>
  <c r="AN244" i="27"/>
  <c r="AU286" i="27"/>
  <c r="AU36" i="27"/>
  <c r="AO297" i="27"/>
  <c r="AN360" i="27"/>
  <c r="AO332" i="27"/>
  <c r="AO360" i="27"/>
  <c r="AO371" i="27"/>
  <c r="AN396" i="27"/>
  <c r="AN437" i="27"/>
  <c r="AO457" i="27"/>
  <c r="AO458" i="27"/>
  <c r="AN484" i="27"/>
  <c r="AO547" i="27"/>
  <c r="AO548" i="27"/>
  <c r="AN551" i="27"/>
  <c r="AO557" i="27"/>
  <c r="AO565" i="27"/>
  <c r="AO581" i="27"/>
  <c r="AN510" i="27"/>
  <c r="AO559" i="27"/>
  <c r="AU266" i="27"/>
  <c r="AO287" i="27"/>
  <c r="AU295" i="27"/>
  <c r="AN329" i="27"/>
  <c r="AO330" i="27"/>
  <c r="AN339" i="27"/>
  <c r="AN357" i="27"/>
  <c r="AN359" i="27"/>
  <c r="AO401" i="27"/>
  <c r="AO404" i="27"/>
  <c r="AO451" i="27"/>
  <c r="AN461" i="27"/>
  <c r="AO510" i="27"/>
  <c r="AU530" i="27"/>
  <c r="AU532" i="27"/>
  <c r="AO563" i="27"/>
  <c r="AO572" i="27"/>
  <c r="AO576" i="27"/>
  <c r="AN288" i="27"/>
  <c r="AN295" i="27"/>
  <c r="AU321" i="27"/>
  <c r="AU325" i="27"/>
  <c r="AN374" i="27"/>
  <c r="AN378" i="27"/>
  <c r="AU424" i="27"/>
  <c r="AU533" i="27"/>
  <c r="AU539" i="27"/>
  <c r="AU592" i="27"/>
  <c r="AO288" i="27"/>
  <c r="AU297" i="27"/>
  <c r="AN305" i="27"/>
  <c r="AO306" i="27"/>
  <c r="AN312" i="27"/>
  <c r="AU323" i="27"/>
  <c r="AO344" i="27"/>
  <c r="AO349" i="27"/>
  <c r="AO374" i="27"/>
  <c r="AO378" i="27"/>
  <c r="AO379" i="27"/>
  <c r="AO385" i="27"/>
  <c r="AO386" i="27"/>
  <c r="AN416" i="27"/>
  <c r="AU439" i="27"/>
  <c r="AN450" i="27"/>
  <c r="AN464" i="27"/>
  <c r="AN475" i="27"/>
  <c r="AU501" i="27"/>
  <c r="AN520" i="27"/>
  <c r="AU523" i="27"/>
  <c r="AO546" i="27"/>
  <c r="AU550" i="27"/>
  <c r="AO567" i="27"/>
  <c r="AN599" i="27"/>
  <c r="AO347" i="27"/>
  <c r="AO432" i="27"/>
  <c r="AN433" i="27"/>
  <c r="AU437" i="27"/>
  <c r="AU443" i="27"/>
  <c r="AO449" i="27"/>
  <c r="AO456" i="27"/>
  <c r="AO464" i="27"/>
  <c r="AO465" i="27"/>
  <c r="AU484" i="27"/>
  <c r="AU511" i="27"/>
  <c r="AN537" i="27"/>
  <c r="AN539" i="27"/>
  <c r="AO599" i="27"/>
  <c r="AU41" i="27"/>
  <c r="AU42" i="27"/>
  <c r="AO42" i="27"/>
  <c r="AO44" i="27"/>
  <c r="AU44" i="27"/>
  <c r="AO47" i="27"/>
  <c r="AO96" i="27"/>
  <c r="AN96" i="27"/>
  <c r="AU96" i="27"/>
  <c r="AN110" i="27"/>
  <c r="AU110" i="27"/>
  <c r="AN114" i="27"/>
  <c r="AO114" i="27"/>
  <c r="AO117" i="27"/>
  <c r="AN117" i="27"/>
  <c r="AU117" i="27"/>
  <c r="AN125" i="27"/>
  <c r="AO125" i="27"/>
  <c r="AN132" i="27"/>
  <c r="AO132" i="27"/>
  <c r="AN136" i="27"/>
  <c r="AO136" i="27"/>
  <c r="AN143" i="27"/>
  <c r="AO143" i="27"/>
  <c r="AU177" i="27"/>
  <c r="AO177" i="27"/>
  <c r="AN177" i="27"/>
  <c r="AU198" i="27"/>
  <c r="AO198" i="27"/>
  <c r="AN198" i="27"/>
  <c r="AO204" i="27"/>
  <c r="AN204" i="27"/>
  <c r="AU204" i="27"/>
  <c r="AN448" i="27"/>
  <c r="AU448" i="27"/>
  <c r="AO478" i="27"/>
  <c r="AN478" i="27"/>
  <c r="AU478" i="27"/>
  <c r="AU37" i="27"/>
  <c r="AN37" i="27"/>
  <c r="AO53" i="27"/>
  <c r="AN55" i="27"/>
  <c r="AO70" i="27"/>
  <c r="AO74" i="27"/>
  <c r="AO79" i="27"/>
  <c r="AN79" i="27"/>
  <c r="AU79" i="27"/>
  <c r="AO123" i="27"/>
  <c r="AN123" i="27"/>
  <c r="AU123" i="27"/>
  <c r="AU178" i="27"/>
  <c r="AU194" i="27"/>
  <c r="AO194" i="27"/>
  <c r="AN194" i="27"/>
  <c r="AU11" i="27"/>
  <c r="AO28" i="27"/>
  <c r="AU32" i="27"/>
  <c r="AN34" i="27"/>
  <c r="AU50" i="27"/>
  <c r="AO50" i="27"/>
  <c r="AN51" i="27"/>
  <c r="AU53" i="27"/>
  <c r="AU149" i="27"/>
  <c r="AO149" i="27"/>
  <c r="AN149" i="27"/>
  <c r="AU187" i="27"/>
  <c r="AO187" i="27"/>
  <c r="AN187" i="27"/>
  <c r="AN203" i="27"/>
  <c r="AO52" i="27"/>
  <c r="AU54" i="27"/>
  <c r="AO54" i="27"/>
  <c r="AU68" i="27"/>
  <c r="AO68" i="27"/>
  <c r="AN68" i="27"/>
  <c r="AO89" i="27"/>
  <c r="AN89" i="27"/>
  <c r="AU89" i="27"/>
  <c r="AN99" i="27"/>
  <c r="AU99" i="27"/>
  <c r="AO105" i="27"/>
  <c r="AU105" i="27"/>
  <c r="AO109" i="27"/>
  <c r="AU113" i="27"/>
  <c r="AO113" i="27"/>
  <c r="AN113" i="27"/>
  <c r="AU135" i="27"/>
  <c r="AO135" i="27"/>
  <c r="AN135" i="27"/>
  <c r="AU142" i="27"/>
  <c r="AO142" i="27"/>
  <c r="AN142" i="27"/>
  <c r="AN150" i="27"/>
  <c r="AO150" i="27"/>
  <c r="AO173" i="27"/>
  <c r="AN173" i="27"/>
  <c r="AU173" i="27"/>
  <c r="AO248" i="27"/>
  <c r="AO269" i="27"/>
  <c r="AN269" i="27"/>
  <c r="AU269" i="27"/>
  <c r="AU275" i="27"/>
  <c r="AO299" i="27"/>
  <c r="AN299" i="27"/>
  <c r="AU299" i="27"/>
  <c r="AN308" i="27"/>
  <c r="AO308" i="27"/>
  <c r="AU308" i="27"/>
  <c r="AO348" i="27"/>
  <c r="AO280" i="27"/>
  <c r="AN280" i="27"/>
  <c r="AU280" i="27"/>
  <c r="AO313" i="27"/>
  <c r="AN313" i="27"/>
  <c r="AN342" i="27"/>
  <c r="AO342" i="27"/>
  <c r="AU342" i="27"/>
  <c r="AO397" i="27"/>
  <c r="AN397" i="27"/>
  <c r="AU397" i="27"/>
  <c r="AU60" i="27"/>
  <c r="AU63" i="27"/>
  <c r="AU64" i="27"/>
  <c r="AU78" i="27"/>
  <c r="AU82" i="27"/>
  <c r="AU87" i="27"/>
  <c r="AU106" i="27"/>
  <c r="AN116" i="27"/>
  <c r="AO118" i="27"/>
  <c r="AU124" i="27"/>
  <c r="AN127" i="27"/>
  <c r="AU128" i="27"/>
  <c r="AU131" i="27"/>
  <c r="AU134" i="27"/>
  <c r="AU141" i="27"/>
  <c r="AU159" i="27"/>
  <c r="AO163" i="27"/>
  <c r="AU176" i="27"/>
  <c r="AU179" i="27"/>
  <c r="AU182" i="27"/>
  <c r="AU186" i="27"/>
  <c r="AN197" i="27"/>
  <c r="AO205" i="27"/>
  <c r="AO215" i="27"/>
  <c r="AU215" i="27"/>
  <c r="AN226" i="27"/>
  <c r="AO226" i="27"/>
  <c r="AO249" i="27"/>
  <c r="AN249" i="27"/>
  <c r="AU249" i="27"/>
  <c r="AU270" i="27"/>
  <c r="AO270" i="27"/>
  <c r="AN270" i="27"/>
  <c r="AO298" i="27"/>
  <c r="AN298" i="27"/>
  <c r="AN304" i="27"/>
  <c r="AO304" i="27"/>
  <c r="AU304" i="27"/>
  <c r="AO338" i="27"/>
  <c r="AN338" i="27"/>
  <c r="AU338" i="27"/>
  <c r="AN469" i="27"/>
  <c r="AO469" i="27"/>
  <c r="AN80" i="27"/>
  <c r="AN146" i="27"/>
  <c r="AN170" i="27"/>
  <c r="AN191" i="27"/>
  <c r="AU206" i="27"/>
  <c r="AO206" i="27"/>
  <c r="AO209" i="27"/>
  <c r="AN209" i="27"/>
  <c r="AN233" i="27"/>
  <c r="AO233" i="27"/>
  <c r="AU233" i="27"/>
  <c r="AO278" i="27"/>
  <c r="AN311" i="27"/>
  <c r="AO311" i="27"/>
  <c r="AU311" i="27"/>
  <c r="AU326" i="27"/>
  <c r="AN326" i="27"/>
  <c r="AO388" i="27"/>
  <c r="AN388" i="27"/>
  <c r="AU388" i="27"/>
  <c r="AU440" i="27"/>
  <c r="AN440" i="27"/>
  <c r="AN250" i="27"/>
  <c r="AN263" i="27"/>
  <c r="AN266" i="27"/>
  <c r="AN281" i="27"/>
  <c r="AN284" i="27"/>
  <c r="AN361" i="27"/>
  <c r="AU367" i="27"/>
  <c r="AN368" i="27"/>
  <c r="AO368" i="27"/>
  <c r="AO370" i="27"/>
  <c r="AN370" i="27"/>
  <c r="AU370" i="27"/>
  <c r="AO395" i="27"/>
  <c r="AU395" i="27"/>
  <c r="AO419" i="27"/>
  <c r="AN419" i="27"/>
  <c r="AN428" i="27"/>
  <c r="AO428" i="27"/>
  <c r="AU428" i="27"/>
  <c r="AO467" i="27"/>
  <c r="AN467" i="27"/>
  <c r="AU467" i="27"/>
  <c r="AO479" i="27"/>
  <c r="AO208" i="27"/>
  <c r="AU224" i="27"/>
  <c r="AO231" i="27"/>
  <c r="AN239" i="27"/>
  <c r="AU242" i="27"/>
  <c r="AO244" i="27"/>
  <c r="AO250" i="27"/>
  <c r="AU251" i="27"/>
  <c r="AU276" i="27"/>
  <c r="AO281" i="27"/>
  <c r="AO284" i="27"/>
  <c r="AU302" i="27"/>
  <c r="AU306" i="27"/>
  <c r="AU314" i="27"/>
  <c r="AU316" i="27"/>
  <c r="AO321" i="27"/>
  <c r="AO325" i="27"/>
  <c r="AU330" i="27"/>
  <c r="AU332" i="27"/>
  <c r="AN333" i="27"/>
  <c r="AO334" i="27"/>
  <c r="AO340" i="27"/>
  <c r="AU344" i="27"/>
  <c r="AU347" i="27"/>
  <c r="AO351" i="27"/>
  <c r="AU353" i="27"/>
  <c r="AU356" i="27"/>
  <c r="AO362" i="27"/>
  <c r="AO366" i="27"/>
  <c r="AO380" i="27"/>
  <c r="AN387" i="27"/>
  <c r="AO441" i="27"/>
  <c r="AN441" i="27"/>
  <c r="AU441" i="27"/>
  <c r="AO474" i="27"/>
  <c r="AN474" i="27"/>
  <c r="AU474" i="27"/>
  <c r="AO488" i="27"/>
  <c r="AN488" i="27"/>
  <c r="AU488" i="27"/>
  <c r="AO582" i="27"/>
  <c r="AU349" i="27"/>
  <c r="AU366" i="27"/>
  <c r="AN367" i="27"/>
  <c r="AO460" i="27"/>
  <c r="AN460" i="27"/>
  <c r="AU460" i="27"/>
  <c r="AU468" i="27"/>
  <c r="AO468" i="27"/>
  <c r="AN468" i="27"/>
  <c r="AO491" i="27"/>
  <c r="AO568" i="27"/>
  <c r="AN586" i="27"/>
  <c r="AO586" i="27"/>
  <c r="AO375" i="27"/>
  <c r="AN377" i="27"/>
  <c r="AO389" i="27"/>
  <c r="AU396" i="27"/>
  <c r="AU403" i="27"/>
  <c r="AU407" i="27"/>
  <c r="AN410" i="27"/>
  <c r="AU422" i="27"/>
  <c r="AU430" i="27"/>
  <c r="AU432" i="27"/>
  <c r="AO439" i="27"/>
  <c r="AU446" i="27"/>
  <c r="AU449" i="27"/>
  <c r="AU456" i="27"/>
  <c r="AO461" i="27"/>
  <c r="AO475" i="27"/>
  <c r="AO476" i="27"/>
  <c r="AU491" i="27"/>
  <c r="AO591" i="27"/>
  <c r="AU591" i="27"/>
  <c r="AN485" i="27"/>
  <c r="AO496" i="27"/>
  <c r="AN501" i="27"/>
  <c r="AO506" i="27"/>
  <c r="AN506" i="27"/>
  <c r="AU506" i="27"/>
  <c r="AO509" i="27"/>
  <c r="AN509" i="27"/>
  <c r="AU509" i="27"/>
  <c r="AO536" i="27"/>
  <c r="AN536" i="27"/>
  <c r="AU536" i="27"/>
  <c r="AO585" i="27"/>
  <c r="AN585" i="27"/>
  <c r="AU585" i="27"/>
  <c r="AO595" i="27"/>
  <c r="AU595" i="27"/>
  <c r="AN513" i="27"/>
  <c r="AN592" i="27"/>
  <c r="AN602" i="27"/>
  <c r="AN603" i="27"/>
  <c r="AO604" i="27"/>
  <c r="AU504" i="27"/>
  <c r="AU522" i="27"/>
  <c r="AU528" i="27"/>
  <c r="AN533" i="27"/>
  <c r="AO540" i="27"/>
  <c r="AO541" i="27"/>
  <c r="AO569" i="27"/>
  <c r="AU578" i="27"/>
  <c r="AU581" i="27"/>
  <c r="AN584" i="27"/>
  <c r="AO593" i="27"/>
  <c r="AO603" i="27"/>
  <c r="AN554" i="27"/>
  <c r="AU602" i="27"/>
  <c r="AU564" i="27"/>
  <c r="AN565" i="27"/>
  <c r="AO566" i="27"/>
  <c r="AU568" i="27"/>
  <c r="AN569" i="27"/>
  <c r="AN572" i="27"/>
  <c r="AO573" i="27"/>
  <c r="AU575" i="27"/>
  <c r="AN576" i="27"/>
  <c r="AO577" i="27"/>
  <c r="AO583" i="27"/>
  <c r="AN583" i="27"/>
  <c r="AU583" i="27"/>
  <c r="AO587" i="27"/>
  <c r="AN587" i="27"/>
  <c r="AU587" i="27"/>
  <c r="AU563" i="27"/>
  <c r="AN564" i="27"/>
  <c r="AU567" i="27"/>
  <c r="AN568" i="27"/>
  <c r="AO590" i="27"/>
  <c r="AN590" i="27"/>
  <c r="AU590" i="27"/>
  <c r="AO605" i="27"/>
  <c r="AN605" i="27"/>
  <c r="AU605" i="27"/>
  <c r="AU566" i="27"/>
  <c r="AU573" i="27"/>
  <c r="AU577" i="27"/>
  <c r="AN578" i="27"/>
  <c r="AO601" i="27"/>
  <c r="AN601" i="27"/>
  <c r="AU601" i="27"/>
  <c r="AN582" i="27"/>
  <c r="AU582" i="27"/>
  <c r="AO594" i="27"/>
  <c r="AN594" i="27"/>
  <c r="AU594" i="27"/>
  <c r="AN591" i="27"/>
  <c r="AN595" i="27"/>
  <c r="AU586" i="27"/>
  <c r="AU593" i="27"/>
  <c r="AU600" i="27"/>
  <c r="AU604" i="27"/>
  <c r="AN521" i="27"/>
  <c r="AU527" i="27"/>
  <c r="AO529" i="27"/>
  <c r="AO532" i="27"/>
  <c r="AN532" i="27"/>
  <c r="AO518" i="27"/>
  <c r="AN531" i="27"/>
  <c r="AU531" i="27"/>
  <c r="AU521" i="27"/>
  <c r="AU524" i="27"/>
  <c r="AU529" i="27"/>
  <c r="AO542" i="27"/>
  <c r="AN542" i="27"/>
  <c r="AU542" i="27"/>
  <c r="AO545" i="27"/>
  <c r="AN545" i="27"/>
  <c r="AU545" i="27"/>
  <c r="AO549" i="27"/>
  <c r="AN549" i="27"/>
  <c r="AU549" i="27"/>
  <c r="AO538" i="27"/>
  <c r="AU538" i="27"/>
  <c r="AN518" i="27"/>
  <c r="AU520" i="27"/>
  <c r="AO522" i="27"/>
  <c r="AN527" i="27"/>
  <c r="AN528" i="27"/>
  <c r="AO531" i="27"/>
  <c r="AN538" i="27"/>
  <c r="AO560" i="27"/>
  <c r="AN560" i="27"/>
  <c r="AU560" i="27"/>
  <c r="AO556" i="27"/>
  <c r="AN556" i="27"/>
  <c r="AU556" i="27"/>
  <c r="AO551" i="27"/>
  <c r="AO558" i="27"/>
  <c r="AU541" i="27"/>
  <c r="AU548" i="27"/>
  <c r="AU555" i="27"/>
  <c r="AU559" i="27"/>
  <c r="AN486" i="27"/>
  <c r="AU486" i="27"/>
  <c r="AO494" i="27"/>
  <c r="AN494" i="27"/>
  <c r="AU473" i="27"/>
  <c r="AU477" i="27"/>
  <c r="AO483" i="27"/>
  <c r="AN483" i="27"/>
  <c r="AO487" i="27"/>
  <c r="AN487" i="27"/>
  <c r="AU494" i="27"/>
  <c r="AN497" i="27"/>
  <c r="AU497" i="27"/>
  <c r="AN500" i="27"/>
  <c r="AO500" i="27"/>
  <c r="AU503" i="27"/>
  <c r="AN503" i="27"/>
  <c r="AO505" i="27"/>
  <c r="AU505" i="27"/>
  <c r="AN482" i="27"/>
  <c r="AU482" i="27"/>
  <c r="AN473" i="27"/>
  <c r="AU476" i="27"/>
  <c r="AN477" i="27"/>
  <c r="AN479" i="27"/>
  <c r="AU479" i="27"/>
  <c r="AU483" i="27"/>
  <c r="AU487" i="27"/>
  <c r="AU492" i="27"/>
  <c r="AO492" i="27"/>
  <c r="AN492" i="27"/>
  <c r="AU500" i="27"/>
  <c r="AO482" i="27"/>
  <c r="AO486" i="27"/>
  <c r="AN511" i="27"/>
  <c r="AO511" i="27"/>
  <c r="AU514" i="27"/>
  <c r="AN514" i="27"/>
  <c r="AN493" i="27"/>
  <c r="AO501" i="27"/>
  <c r="AU510" i="27"/>
  <c r="AO512" i="27"/>
  <c r="AU496" i="27"/>
  <c r="AN504" i="27"/>
  <c r="AN515" i="27"/>
  <c r="AO429" i="27"/>
  <c r="AU431" i="27"/>
  <c r="AO433" i="27"/>
  <c r="AU438" i="27"/>
  <c r="AO440" i="27"/>
  <c r="AU442" i="27"/>
  <c r="AN443" i="27"/>
  <c r="AN446" i="27"/>
  <c r="AO447" i="27"/>
  <c r="AO448" i="27"/>
  <c r="AO452" i="27"/>
  <c r="AN452" i="27"/>
  <c r="AU452" i="27"/>
  <c r="AO459" i="27"/>
  <c r="AN459" i="27"/>
  <c r="AU459" i="27"/>
  <c r="AO470" i="27"/>
  <c r="AN470" i="27"/>
  <c r="AU470" i="27"/>
  <c r="AN431" i="27"/>
  <c r="AN438" i="27"/>
  <c r="AN442" i="27"/>
  <c r="AO455" i="27"/>
  <c r="AN455" i="27"/>
  <c r="AU455" i="27"/>
  <c r="AO466" i="27"/>
  <c r="AN466" i="27"/>
  <c r="AU466" i="27"/>
  <c r="AO450" i="27"/>
  <c r="AU451" i="27"/>
  <c r="AU458" i="27"/>
  <c r="AU465" i="27"/>
  <c r="AU469" i="27"/>
  <c r="AN383" i="27"/>
  <c r="AU383" i="27"/>
  <c r="AO383" i="27"/>
  <c r="AO425" i="27"/>
  <c r="AU425" i="27"/>
  <c r="AN386" i="27"/>
  <c r="AO387" i="27"/>
  <c r="AN393" i="27"/>
  <c r="AN395" i="27"/>
  <c r="AN398" i="27"/>
  <c r="AU398" i="27"/>
  <c r="AU412" i="27"/>
  <c r="AO412" i="27"/>
  <c r="AN412" i="27"/>
  <c r="AN425" i="27"/>
  <c r="AN420" i="27"/>
  <c r="AO420" i="27"/>
  <c r="AU423" i="27"/>
  <c r="AN423" i="27"/>
  <c r="AU387" i="27"/>
  <c r="AU394" i="27"/>
  <c r="AN401" i="27"/>
  <c r="AU401" i="27"/>
  <c r="AN406" i="27"/>
  <c r="AO406" i="27"/>
  <c r="AO410" i="27"/>
  <c r="AU410" i="27"/>
  <c r="AO414" i="27"/>
  <c r="AN414" i="27"/>
  <c r="AU420" i="27"/>
  <c r="AO402" i="27"/>
  <c r="AN402" i="27"/>
  <c r="AU406" i="27"/>
  <c r="AU414" i="27"/>
  <c r="AU405" i="27"/>
  <c r="AO407" i="27"/>
  <c r="AN413" i="27"/>
  <c r="AU419" i="27"/>
  <c r="AO421" i="27"/>
  <c r="AO403" i="27"/>
  <c r="AU416" i="27"/>
  <c r="AN424" i="27"/>
  <c r="AO339" i="27"/>
  <c r="AU341" i="27"/>
  <c r="AO343" i="27"/>
  <c r="AU348" i="27"/>
  <c r="AO350" i="27"/>
  <c r="AU352" i="27"/>
  <c r="AN341" i="27"/>
  <c r="AN348" i="27"/>
  <c r="AN352" i="27"/>
  <c r="AN358" i="27"/>
  <c r="AU343" i="27"/>
  <c r="AU350" i="27"/>
  <c r="AU358" i="27"/>
  <c r="AU357" i="27"/>
  <c r="AU362" i="27"/>
  <c r="AU365" i="27"/>
  <c r="AU369" i="27"/>
  <c r="AU376" i="27"/>
  <c r="AU380" i="27"/>
  <c r="AU361" i="27"/>
  <c r="AN362" i="27"/>
  <c r="AN365" i="27"/>
  <c r="AU368" i="27"/>
  <c r="AN369" i="27"/>
  <c r="AU375" i="27"/>
  <c r="AN376" i="27"/>
  <c r="AU379" i="27"/>
  <c r="AN380" i="27"/>
  <c r="AN307" i="27"/>
  <c r="AU307" i="27"/>
  <c r="AO307" i="27"/>
  <c r="AO293" i="27"/>
  <c r="AU296" i="27"/>
  <c r="AN303" i="27"/>
  <c r="AU303" i="27"/>
  <c r="AO303" i="27"/>
  <c r="AU293" i="27"/>
  <c r="AO294" i="27"/>
  <c r="AU294" i="27"/>
  <c r="AN296" i="27"/>
  <c r="AO317" i="27"/>
  <c r="AU317" i="27"/>
  <c r="AN317" i="27"/>
  <c r="AO335" i="27"/>
  <c r="AN335" i="27"/>
  <c r="AU335" i="27"/>
  <c r="AU298" i="27"/>
  <c r="AU305" i="27"/>
  <c r="AU312" i="27"/>
  <c r="AN314" i="27"/>
  <c r="AU322" i="27"/>
  <c r="AO322" i="27"/>
  <c r="AU313" i="27"/>
  <c r="AU315" i="27"/>
  <c r="AO315" i="27"/>
  <c r="AO331" i="27"/>
  <c r="AN331" i="27"/>
  <c r="AU331" i="27"/>
  <c r="AO320" i="27"/>
  <c r="AU320" i="27"/>
  <c r="AO324" i="27"/>
  <c r="AU324" i="27"/>
  <c r="AO326" i="27"/>
  <c r="AO329" i="27"/>
  <c r="AO333" i="27"/>
  <c r="AN248" i="27"/>
  <c r="AO272" i="27"/>
  <c r="AN272" i="27"/>
  <c r="AO279" i="27"/>
  <c r="AN279" i="27"/>
  <c r="AN285" i="27"/>
  <c r="AU285" i="27"/>
  <c r="AN253" i="27"/>
  <c r="AU253" i="27"/>
  <c r="AO261" i="27"/>
  <c r="AN261" i="27"/>
  <c r="AU267" i="27"/>
  <c r="AN267" i="27"/>
  <c r="AU248" i="27"/>
  <c r="AO254" i="27"/>
  <c r="AN254" i="27"/>
  <c r="AU261" i="27"/>
  <c r="AO253" i="27"/>
  <c r="AO257" i="27"/>
  <c r="AN257" i="27"/>
  <c r="AN260" i="27"/>
  <c r="AU260" i="27"/>
  <c r="AO267" i="27"/>
  <c r="AN289" i="27"/>
  <c r="AU289" i="27"/>
  <c r="AO268" i="27"/>
  <c r="AN268" i="27"/>
  <c r="AO275" i="27"/>
  <c r="AN275" i="27"/>
  <c r="AO286" i="27"/>
  <c r="AN286" i="27"/>
  <c r="AO290" i="27"/>
  <c r="AN290" i="27"/>
  <c r="AN271" i="27"/>
  <c r="AU271" i="27"/>
  <c r="AN278" i="27"/>
  <c r="AU278" i="27"/>
  <c r="AU290" i="27"/>
  <c r="AO203" i="27"/>
  <c r="AN206" i="27"/>
  <c r="AO207" i="27"/>
  <c r="AU209" i="27"/>
  <c r="AU212" i="27"/>
  <c r="AN213" i="27"/>
  <c r="AO214" i="27"/>
  <c r="AU216" i="27"/>
  <c r="AN217" i="27"/>
  <c r="AO218" i="27"/>
  <c r="AO221" i="27"/>
  <c r="AO223" i="27"/>
  <c r="AN223" i="27"/>
  <c r="AU223" i="27"/>
  <c r="AU203" i="27"/>
  <c r="AU207" i="27"/>
  <c r="AU214" i="27"/>
  <c r="AN215" i="27"/>
  <c r="AU218" i="27"/>
  <c r="AU221" i="27"/>
  <c r="AN232" i="27"/>
  <c r="AN236" i="27"/>
  <c r="AO225" i="27"/>
  <c r="AU227" i="27"/>
  <c r="AU230" i="27"/>
  <c r="AO232" i="27"/>
  <c r="AU234" i="27"/>
  <c r="AO236" i="27"/>
  <c r="AO239" i="27"/>
  <c r="AU241" i="27"/>
  <c r="AO243" i="27"/>
  <c r="AU245" i="27"/>
  <c r="AU226" i="27"/>
  <c r="AN227" i="27"/>
  <c r="AN230" i="27"/>
  <c r="AN234" i="27"/>
  <c r="AU240" i="27"/>
  <c r="AN241" i="27"/>
  <c r="AU244" i="27"/>
  <c r="AN245" i="27"/>
  <c r="AU167" i="27"/>
  <c r="AN167" i="27"/>
  <c r="AU171" i="27"/>
  <c r="AN171" i="27"/>
  <c r="AO189" i="27"/>
  <c r="AN189" i="27"/>
  <c r="AU189" i="27"/>
  <c r="AN199" i="27"/>
  <c r="AU199" i="27"/>
  <c r="AO199" i="27"/>
  <c r="AU158" i="27"/>
  <c r="AN168" i="27"/>
  <c r="AO168" i="27"/>
  <c r="AN172" i="27"/>
  <c r="AO172" i="27"/>
  <c r="AO200" i="27"/>
  <c r="AN200" i="27"/>
  <c r="AU200" i="27"/>
  <c r="AN158" i="27"/>
  <c r="AU164" i="27"/>
  <c r="AN164" i="27"/>
  <c r="AU168" i="27"/>
  <c r="AU172" i="27"/>
  <c r="AO185" i="27"/>
  <c r="AN185" i="27"/>
  <c r="AU185" i="27"/>
  <c r="AN195" i="27"/>
  <c r="AU195" i="27"/>
  <c r="AN161" i="27"/>
  <c r="AO161" i="27"/>
  <c r="AO167" i="27"/>
  <c r="AO171" i="27"/>
  <c r="AN188" i="27"/>
  <c r="AU188" i="27"/>
  <c r="AO188" i="27"/>
  <c r="AO178" i="27"/>
  <c r="AN178" i="27"/>
  <c r="AO182" i="27"/>
  <c r="AN182" i="27"/>
  <c r="AN181" i="27"/>
  <c r="AU181" i="27"/>
  <c r="AO196" i="27"/>
  <c r="AN196" i="27"/>
  <c r="AO133" i="27"/>
  <c r="AN133" i="27"/>
  <c r="AU133" i="27"/>
  <c r="AO119" i="27"/>
  <c r="AN119" i="27"/>
  <c r="AU119" i="27"/>
  <c r="AO126" i="27"/>
  <c r="AN126" i="27"/>
  <c r="AU126" i="27"/>
  <c r="AO115" i="27"/>
  <c r="AN115" i="27"/>
  <c r="AU115" i="27"/>
  <c r="AO122" i="27"/>
  <c r="AN122" i="27"/>
  <c r="AU122" i="27"/>
  <c r="AO137" i="27"/>
  <c r="AN137" i="27"/>
  <c r="AU137" i="27"/>
  <c r="AO144" i="27"/>
  <c r="AN144" i="27"/>
  <c r="AU144" i="27"/>
  <c r="AO155" i="27"/>
  <c r="AN155" i="27"/>
  <c r="AU155" i="27"/>
  <c r="AU114" i="27"/>
  <c r="AU118" i="27"/>
  <c r="AU125" i="27"/>
  <c r="AU132" i="27"/>
  <c r="AO140" i="27"/>
  <c r="AN140" i="27"/>
  <c r="AU140" i="27"/>
  <c r="AO151" i="27"/>
  <c r="AN151" i="27"/>
  <c r="AU151" i="27"/>
  <c r="AU136" i="27"/>
  <c r="AU143" i="27"/>
  <c r="AU150" i="27"/>
  <c r="AU154" i="27"/>
  <c r="AN98" i="27"/>
  <c r="AO98" i="27"/>
  <c r="AU101" i="27"/>
  <c r="AN101" i="27"/>
  <c r="AU104" i="27"/>
  <c r="AO104" i="27"/>
  <c r="AN104" i="27"/>
  <c r="AU70" i="27"/>
  <c r="AU74" i="27"/>
  <c r="AU77" i="27"/>
  <c r="AN81" i="27"/>
  <c r="AU81" i="27"/>
  <c r="AO88" i="27"/>
  <c r="AU88" i="27"/>
  <c r="AO92" i="27"/>
  <c r="AN92" i="27"/>
  <c r="AU98" i="27"/>
  <c r="AU69" i="27"/>
  <c r="AN70" i="27"/>
  <c r="AU73" i="27"/>
  <c r="AN74" i="27"/>
  <c r="AN77" i="27"/>
  <c r="AO82" i="27"/>
  <c r="AN82" i="27"/>
  <c r="AU92" i="27"/>
  <c r="AO106" i="27"/>
  <c r="AN106" i="27"/>
  <c r="AU90" i="27"/>
  <c r="AO90" i="27"/>
  <c r="AN90" i="27"/>
  <c r="AO101" i="27"/>
  <c r="AN109" i="27"/>
  <c r="AU109" i="27"/>
  <c r="AN91" i="27"/>
  <c r="AU97" i="27"/>
  <c r="AO99" i="27"/>
  <c r="AN105" i="27"/>
  <c r="AO95" i="27"/>
  <c r="AU108" i="27"/>
  <c r="AO110" i="27"/>
  <c r="AN59" i="27"/>
  <c r="AO59" i="27"/>
  <c r="AU61" i="27"/>
  <c r="AN62" i="27"/>
  <c r="AU65" i="27"/>
  <c r="AN61" i="27"/>
  <c r="AN65" i="27"/>
  <c r="AU52" i="27"/>
  <c r="AU51" i="27"/>
  <c r="AN52" i="27"/>
  <c r="AU55" i="27"/>
  <c r="AN56" i="27"/>
  <c r="AU56" i="27"/>
  <c r="AO41" i="27"/>
  <c r="AU43" i="27"/>
  <c r="AN44" i="27"/>
  <c r="AO45" i="27"/>
  <c r="AU47" i="27"/>
  <c r="AN43" i="27"/>
  <c r="AN47" i="27"/>
  <c r="AN32" i="27"/>
  <c r="AU35" i="27"/>
  <c r="AN36" i="27"/>
  <c r="AN35" i="27"/>
  <c r="AU38" i="27"/>
  <c r="AN38" i="27"/>
  <c r="AO24" i="27"/>
  <c r="AU26" i="27"/>
  <c r="AN23" i="27"/>
  <c r="AO23" i="27"/>
  <c r="AU25" i="27"/>
  <c r="AN26" i="27"/>
  <c r="AO27" i="27"/>
  <c r="AU29" i="27"/>
  <c r="AU24" i="27"/>
  <c r="AN25" i="27"/>
  <c r="AU28" i="27"/>
  <c r="AN29" i="27"/>
  <c r="AN11" i="27"/>
  <c r="AN13" i="27"/>
  <c r="AL12" i="27"/>
  <c r="AI14" i="27"/>
  <c r="AO11" i="27"/>
  <c r="AU12" i="27"/>
  <c r="AO13" i="27"/>
  <c r="AU14" i="27"/>
  <c r="AK14" i="27"/>
  <c r="AN12" i="27"/>
  <c r="AN14" i="27"/>
  <c r="AI12" i="27"/>
  <c r="AL14" i="27"/>
  <c r="T26" i="28"/>
  <c r="S26" i="28"/>
  <c r="BE13" i="27" l="1"/>
  <c r="BA13" i="27"/>
  <c r="BF13" i="27"/>
  <c r="BD13" i="27"/>
  <c r="AZ13" i="27"/>
  <c r="BB13" i="27"/>
  <c r="BC13" i="27"/>
  <c r="AY13" i="27"/>
  <c r="AX13" i="27"/>
  <c r="AZ527" i="27"/>
  <c r="AY527" i="27"/>
  <c r="BF527" i="27"/>
  <c r="AX527" i="27"/>
  <c r="BE527" i="27"/>
  <c r="AW527" i="27"/>
  <c r="BD527" i="27"/>
  <c r="AV527" i="27"/>
  <c r="BC527" i="27"/>
  <c r="BB527" i="27"/>
  <c r="BA527" i="27"/>
  <c r="AZ254" i="27"/>
  <c r="AY254" i="27"/>
  <c r="BE254" i="27"/>
  <c r="AW254" i="27"/>
  <c r="BD254" i="27"/>
  <c r="AV254" i="27"/>
  <c r="AX254" i="27"/>
  <c r="BF254" i="27"/>
  <c r="BC254" i="27"/>
  <c r="BB254" i="27"/>
  <c r="BA254" i="27"/>
  <c r="BB407" i="27"/>
  <c r="BA407" i="27"/>
  <c r="AY407" i="27"/>
  <c r="BF407" i="27"/>
  <c r="AX407" i="27"/>
  <c r="BE407" i="27"/>
  <c r="AW407" i="27"/>
  <c r="BD407" i="27"/>
  <c r="AV407" i="27"/>
  <c r="BC407" i="27"/>
  <c r="AZ407" i="27"/>
  <c r="AZ505" i="27"/>
  <c r="AY505" i="27"/>
  <c r="BF505" i="27"/>
  <c r="AX505" i="27"/>
  <c r="BE505" i="27"/>
  <c r="AW505" i="27"/>
  <c r="BD505" i="27"/>
  <c r="AV505" i="27"/>
  <c r="BC505" i="27"/>
  <c r="BB505" i="27"/>
  <c r="BA505" i="27"/>
  <c r="BB581" i="27"/>
  <c r="BA581" i="27"/>
  <c r="AZ581" i="27"/>
  <c r="AY581" i="27"/>
  <c r="BF581" i="27"/>
  <c r="AX581" i="27"/>
  <c r="BE581" i="27"/>
  <c r="AW581" i="27"/>
  <c r="BD581" i="27"/>
  <c r="AV581" i="27"/>
  <c r="BC581" i="27"/>
  <c r="BD593" i="27"/>
  <c r="AV593" i="27"/>
  <c r="BC593" i="27"/>
  <c r="BB593" i="27"/>
  <c r="BA593" i="27"/>
  <c r="AZ593" i="27"/>
  <c r="AY593" i="27"/>
  <c r="BF593" i="27"/>
  <c r="AX593" i="27"/>
  <c r="BE593" i="27"/>
  <c r="AW593" i="27"/>
  <c r="BE578" i="27"/>
  <c r="AW578" i="27"/>
  <c r="BD578" i="27"/>
  <c r="AV578" i="27"/>
  <c r="BC578" i="27"/>
  <c r="BB578" i="27"/>
  <c r="BA578" i="27"/>
  <c r="AZ578" i="27"/>
  <c r="AY578" i="27"/>
  <c r="BF578" i="27"/>
  <c r="AX578" i="27"/>
  <c r="BA542" i="27"/>
  <c r="AZ542" i="27"/>
  <c r="AY542" i="27"/>
  <c r="BF542" i="27"/>
  <c r="AX542" i="27"/>
  <c r="BE542" i="27"/>
  <c r="AW542" i="27"/>
  <c r="BD542" i="27"/>
  <c r="AV542" i="27"/>
  <c r="BC542" i="27"/>
  <c r="BB542" i="27"/>
  <c r="AZ182" i="27"/>
  <c r="AY182" i="27"/>
  <c r="BF182" i="27"/>
  <c r="AX182" i="27"/>
  <c r="BE182" i="27"/>
  <c r="AW182" i="27"/>
  <c r="BD182" i="27"/>
  <c r="AV182" i="27"/>
  <c r="BC182" i="27"/>
  <c r="BB182" i="27"/>
  <c r="BA182" i="27"/>
  <c r="BF81" i="27"/>
  <c r="AX81" i="27"/>
  <c r="BD81" i="27"/>
  <c r="AV81" i="27"/>
  <c r="BC81" i="27"/>
  <c r="BB81" i="27"/>
  <c r="BA81" i="27"/>
  <c r="AZ81" i="27"/>
  <c r="BE81" i="27"/>
  <c r="AY81" i="27"/>
  <c r="AW81" i="27"/>
  <c r="BE64" i="27"/>
  <c r="AW64" i="27"/>
  <c r="BC64" i="27"/>
  <c r="BB64" i="27"/>
  <c r="BA64" i="27"/>
  <c r="AZ64" i="27"/>
  <c r="AY64" i="27"/>
  <c r="AV64" i="27"/>
  <c r="AX64" i="27"/>
  <c r="BF64" i="27"/>
  <c r="BD64" i="27"/>
  <c r="BB601" i="27"/>
  <c r="BA601" i="27"/>
  <c r="AZ601" i="27"/>
  <c r="AY601" i="27"/>
  <c r="BF601" i="27"/>
  <c r="AX601" i="27"/>
  <c r="BE601" i="27"/>
  <c r="AW601" i="27"/>
  <c r="BD601" i="27"/>
  <c r="AV601" i="27"/>
  <c r="BC601" i="27"/>
  <c r="BE558" i="27"/>
  <c r="AW558" i="27"/>
  <c r="BD558" i="27"/>
  <c r="AV558" i="27"/>
  <c r="BC558" i="27"/>
  <c r="BB558" i="27"/>
  <c r="BA558" i="27"/>
  <c r="AZ558" i="27"/>
  <c r="AY558" i="27"/>
  <c r="AX558" i="27"/>
  <c r="BF558" i="27"/>
  <c r="BF443" i="27"/>
  <c r="AX443" i="27"/>
  <c r="BE443" i="27"/>
  <c r="AW443" i="27"/>
  <c r="BC443" i="27"/>
  <c r="BB443" i="27"/>
  <c r="BA443" i="27"/>
  <c r="AZ443" i="27"/>
  <c r="AY443" i="27"/>
  <c r="BD443" i="27"/>
  <c r="AV443" i="27"/>
  <c r="BD335" i="27"/>
  <c r="AV335" i="27"/>
  <c r="BC335" i="27"/>
  <c r="BB335" i="27"/>
  <c r="AZ335" i="27"/>
  <c r="AY335" i="27"/>
  <c r="BF335" i="27"/>
  <c r="BE335" i="27"/>
  <c r="BA335" i="27"/>
  <c r="AX335" i="27"/>
  <c r="AW335" i="27"/>
  <c r="BC263" i="27"/>
  <c r="BB263" i="27"/>
  <c r="AZ263" i="27"/>
  <c r="AY263" i="27"/>
  <c r="BA263" i="27"/>
  <c r="AX263" i="27"/>
  <c r="AW263" i="27"/>
  <c r="AV263" i="27"/>
  <c r="BF263" i="27"/>
  <c r="BE263" i="27"/>
  <c r="BD263" i="27"/>
  <c r="BC191" i="27"/>
  <c r="BB191" i="27"/>
  <c r="BA191" i="27"/>
  <c r="AZ191" i="27"/>
  <c r="AY191" i="27"/>
  <c r="BF191" i="27"/>
  <c r="AX191" i="27"/>
  <c r="BE191" i="27"/>
  <c r="AW191" i="27"/>
  <c r="AV191" i="27"/>
  <c r="BD191" i="27"/>
  <c r="AZ162" i="27"/>
  <c r="AY162" i="27"/>
  <c r="BF162" i="27"/>
  <c r="AX162" i="27"/>
  <c r="BE162" i="27"/>
  <c r="AW162" i="27"/>
  <c r="BD162" i="27"/>
  <c r="AV162" i="27"/>
  <c r="BC162" i="27"/>
  <c r="BB162" i="27"/>
  <c r="BA162" i="27"/>
  <c r="BE54" i="27"/>
  <c r="AW54" i="27"/>
  <c r="BC54" i="27"/>
  <c r="BB54" i="27"/>
  <c r="BA54" i="27"/>
  <c r="AZ54" i="27"/>
  <c r="AY54" i="27"/>
  <c r="AV54" i="27"/>
  <c r="BF54" i="27"/>
  <c r="BD54" i="27"/>
  <c r="AX54" i="27"/>
  <c r="BB397" i="27"/>
  <c r="BA397" i="27"/>
  <c r="AY397" i="27"/>
  <c r="BF397" i="27"/>
  <c r="AX397" i="27"/>
  <c r="BE397" i="27"/>
  <c r="AW397" i="27"/>
  <c r="AV397" i="27"/>
  <c r="BD397" i="27"/>
  <c r="BC397" i="27"/>
  <c r="AZ397" i="27"/>
  <c r="BC253" i="27"/>
  <c r="BB253" i="27"/>
  <c r="AZ253" i="27"/>
  <c r="AY253" i="27"/>
  <c r="BF253" i="27"/>
  <c r="BE253" i="27"/>
  <c r="BD253" i="27"/>
  <c r="BA253" i="27"/>
  <c r="AX253" i="27"/>
  <c r="AW253" i="27"/>
  <c r="AV253" i="27"/>
  <c r="BC596" i="27"/>
  <c r="BB596" i="27"/>
  <c r="BA596" i="27"/>
  <c r="AZ596" i="27"/>
  <c r="AY596" i="27"/>
  <c r="BF596" i="27"/>
  <c r="AX596" i="27"/>
  <c r="BE596" i="27"/>
  <c r="AW596" i="27"/>
  <c r="BD596" i="27"/>
  <c r="AV596" i="27"/>
  <c r="BD531" i="27"/>
  <c r="AV531" i="27"/>
  <c r="BC531" i="27"/>
  <c r="BB531" i="27"/>
  <c r="BA531" i="27"/>
  <c r="AZ531" i="27"/>
  <c r="AY531" i="27"/>
  <c r="BF531" i="27"/>
  <c r="AX531" i="27"/>
  <c r="AW531" i="27"/>
  <c r="BE531" i="27"/>
  <c r="BC171" i="27"/>
  <c r="BB171" i="27"/>
  <c r="BA171" i="27"/>
  <c r="AZ171" i="27"/>
  <c r="AY171" i="27"/>
  <c r="BF171" i="27"/>
  <c r="AX171" i="27"/>
  <c r="BE171" i="27"/>
  <c r="AW171" i="27"/>
  <c r="BD171" i="27"/>
  <c r="AV171" i="27"/>
  <c r="BD27" i="27"/>
  <c r="AV27" i="27"/>
  <c r="BB27" i="27"/>
  <c r="BA27" i="27"/>
  <c r="AZ27" i="27"/>
  <c r="AY27" i="27"/>
  <c r="BF27" i="27"/>
  <c r="AX27" i="27"/>
  <c r="BE27" i="27"/>
  <c r="AW27" i="27"/>
  <c r="BC27" i="27"/>
  <c r="BC370" i="27"/>
  <c r="BB370" i="27"/>
  <c r="BA370" i="27"/>
  <c r="AY370" i="27"/>
  <c r="BF370" i="27"/>
  <c r="AX370" i="27"/>
  <c r="BE370" i="27"/>
  <c r="BD370" i="27"/>
  <c r="AZ370" i="27"/>
  <c r="AW370" i="27"/>
  <c r="AV370" i="27"/>
  <c r="BC360" i="27"/>
  <c r="BB360" i="27"/>
  <c r="BA360" i="27"/>
  <c r="AY360" i="27"/>
  <c r="BF360" i="27"/>
  <c r="AX360" i="27"/>
  <c r="BE360" i="27"/>
  <c r="BD360" i="27"/>
  <c r="AZ360" i="27"/>
  <c r="AW360" i="27"/>
  <c r="AV360" i="27"/>
  <c r="BA281" i="27"/>
  <c r="AZ281" i="27"/>
  <c r="BF281" i="27"/>
  <c r="AX281" i="27"/>
  <c r="BE281" i="27"/>
  <c r="AW281" i="27"/>
  <c r="BD281" i="27"/>
  <c r="BC281" i="27"/>
  <c r="BB281" i="27"/>
  <c r="AY281" i="27"/>
  <c r="AV281" i="27"/>
  <c r="BB137" i="27"/>
  <c r="AZ137" i="27"/>
  <c r="AY137" i="27"/>
  <c r="BF137" i="27"/>
  <c r="AX137" i="27"/>
  <c r="BC137" i="27"/>
  <c r="BE137" i="27"/>
  <c r="AW137" i="27"/>
  <c r="BD137" i="27"/>
  <c r="AV137" i="27"/>
  <c r="BA137" i="27"/>
  <c r="BF101" i="27"/>
  <c r="AX101" i="27"/>
  <c r="BD101" i="27"/>
  <c r="AV101" i="27"/>
  <c r="BC101" i="27"/>
  <c r="BB101" i="27"/>
  <c r="BA101" i="27"/>
  <c r="AZ101" i="27"/>
  <c r="AW101" i="27"/>
  <c r="AY101" i="27"/>
  <c r="BE101" i="27"/>
  <c r="BF29" i="27"/>
  <c r="AX29" i="27"/>
  <c r="BD29" i="27"/>
  <c r="AV29" i="27"/>
  <c r="BC29" i="27"/>
  <c r="BB29" i="27"/>
  <c r="BA29" i="27"/>
  <c r="AZ29" i="27"/>
  <c r="AY29" i="27"/>
  <c r="AW29" i="27"/>
  <c r="BE29" i="27"/>
  <c r="AY602" i="27"/>
  <c r="BF602" i="27"/>
  <c r="AX602" i="27"/>
  <c r="BE602" i="27"/>
  <c r="AW602" i="27"/>
  <c r="BD602" i="27"/>
  <c r="AV602" i="27"/>
  <c r="BC602" i="27"/>
  <c r="BB602" i="27"/>
  <c r="BA602" i="27"/>
  <c r="AZ602" i="27"/>
  <c r="BF523" i="27"/>
  <c r="AX523" i="27"/>
  <c r="BE523" i="27"/>
  <c r="AW523" i="27"/>
  <c r="BD523" i="27"/>
  <c r="AV523" i="27"/>
  <c r="BC523" i="27"/>
  <c r="BB523" i="27"/>
  <c r="BA523" i="27"/>
  <c r="AZ523" i="27"/>
  <c r="AY523" i="27"/>
  <c r="BB343" i="27"/>
  <c r="BA343" i="27"/>
  <c r="AZ343" i="27"/>
  <c r="BF343" i="27"/>
  <c r="AX343" i="27"/>
  <c r="BE343" i="27"/>
  <c r="AW343" i="27"/>
  <c r="BD343" i="27"/>
  <c r="BC343" i="27"/>
  <c r="AY343" i="27"/>
  <c r="AV343" i="27"/>
  <c r="BE362" i="27"/>
  <c r="AW362" i="27"/>
  <c r="BD362" i="27"/>
  <c r="AV362" i="27"/>
  <c r="BC362" i="27"/>
  <c r="BA362" i="27"/>
  <c r="AZ362" i="27"/>
  <c r="BF362" i="27"/>
  <c r="BB362" i="27"/>
  <c r="AY362" i="27"/>
  <c r="AX362" i="27"/>
  <c r="BF297" i="27"/>
  <c r="AX297" i="27"/>
  <c r="BE297" i="27"/>
  <c r="AW297" i="27"/>
  <c r="BD297" i="27"/>
  <c r="AV297" i="27"/>
  <c r="BB297" i="27"/>
  <c r="BA297" i="27"/>
  <c r="AY297" i="27"/>
  <c r="BC297" i="27"/>
  <c r="AZ297" i="27"/>
  <c r="BB519" i="27"/>
  <c r="BA519" i="27"/>
  <c r="AZ519" i="27"/>
  <c r="AY519" i="27"/>
  <c r="BF519" i="27"/>
  <c r="AX519" i="27"/>
  <c r="BE519" i="27"/>
  <c r="AW519" i="27"/>
  <c r="BD519" i="27"/>
  <c r="AV519" i="27"/>
  <c r="BC519" i="27"/>
  <c r="BB288" i="27"/>
  <c r="BA288" i="27"/>
  <c r="AY288" i="27"/>
  <c r="BF288" i="27"/>
  <c r="AX288" i="27"/>
  <c r="AZ288" i="27"/>
  <c r="AW288" i="27"/>
  <c r="AV288" i="27"/>
  <c r="BE288" i="27"/>
  <c r="BD288" i="27"/>
  <c r="BC288" i="27"/>
  <c r="BD573" i="27"/>
  <c r="AV573" i="27"/>
  <c r="BC573" i="27"/>
  <c r="BB573" i="27"/>
  <c r="BA573" i="27"/>
  <c r="AZ573" i="27"/>
  <c r="AY573" i="27"/>
  <c r="BF573" i="27"/>
  <c r="AX573" i="27"/>
  <c r="BE573" i="27"/>
  <c r="AW573" i="27"/>
  <c r="BE235" i="27"/>
  <c r="AW235" i="27"/>
  <c r="BD235" i="27"/>
  <c r="AV235" i="27"/>
  <c r="BC235" i="27"/>
  <c r="BB235" i="27"/>
  <c r="BA235" i="27"/>
  <c r="AZ235" i="27"/>
  <c r="AY235" i="27"/>
  <c r="AX235" i="27"/>
  <c r="BF235" i="27"/>
  <c r="AY520" i="27"/>
  <c r="BF520" i="27"/>
  <c r="AX520" i="27"/>
  <c r="BE520" i="27"/>
  <c r="AW520" i="27"/>
  <c r="BD520" i="27"/>
  <c r="AV520" i="27"/>
  <c r="BC520" i="27"/>
  <c r="BB520" i="27"/>
  <c r="BA520" i="27"/>
  <c r="AZ520" i="27"/>
  <c r="BB117" i="27"/>
  <c r="AZ117" i="27"/>
  <c r="AY117" i="27"/>
  <c r="BF117" i="27"/>
  <c r="AX117" i="27"/>
  <c r="BE117" i="27"/>
  <c r="AW117" i="27"/>
  <c r="BD117" i="27"/>
  <c r="AV117" i="27"/>
  <c r="BA117" i="27"/>
  <c r="BC117" i="27"/>
  <c r="BA38" i="27"/>
  <c r="AY38" i="27"/>
  <c r="BF38" i="27"/>
  <c r="AX38" i="27"/>
  <c r="BE38" i="27"/>
  <c r="AW38" i="27"/>
  <c r="BD38" i="27"/>
  <c r="AV38" i="27"/>
  <c r="BC38" i="27"/>
  <c r="BB38" i="27"/>
  <c r="AZ38" i="27"/>
  <c r="AY582" i="27"/>
  <c r="BF582" i="27"/>
  <c r="AX582" i="27"/>
  <c r="BE582" i="27"/>
  <c r="AW582" i="27"/>
  <c r="BD582" i="27"/>
  <c r="AV582" i="27"/>
  <c r="BC582" i="27"/>
  <c r="BB582" i="27"/>
  <c r="BA582" i="27"/>
  <c r="AZ582" i="27"/>
  <c r="BB539" i="27"/>
  <c r="BA539" i="27"/>
  <c r="AZ539" i="27"/>
  <c r="AY539" i="27"/>
  <c r="BF539" i="27"/>
  <c r="AX539" i="27"/>
  <c r="BE539" i="27"/>
  <c r="AW539" i="27"/>
  <c r="BD539" i="27"/>
  <c r="AV539" i="27"/>
  <c r="BC539" i="27"/>
  <c r="BA316" i="27"/>
  <c r="AZ316" i="27"/>
  <c r="AY316" i="27"/>
  <c r="BE316" i="27"/>
  <c r="AW316" i="27"/>
  <c r="BD316" i="27"/>
  <c r="AV316" i="27"/>
  <c r="BC316" i="27"/>
  <c r="BB316" i="27"/>
  <c r="AX316" i="27"/>
  <c r="BF316" i="27"/>
  <c r="BD280" i="27"/>
  <c r="AV280" i="27"/>
  <c r="BC280" i="27"/>
  <c r="BA280" i="27"/>
  <c r="AZ280" i="27"/>
  <c r="BB280" i="27"/>
  <c r="AY280" i="27"/>
  <c r="AX280" i="27"/>
  <c r="AW280" i="27"/>
  <c r="BF280" i="27"/>
  <c r="BE280" i="27"/>
  <c r="BD208" i="27"/>
  <c r="AV208" i="27"/>
  <c r="BC208" i="27"/>
  <c r="BB208" i="27"/>
  <c r="BA208" i="27"/>
  <c r="AZ208" i="27"/>
  <c r="AY208" i="27"/>
  <c r="BF208" i="27"/>
  <c r="AX208" i="27"/>
  <c r="BE208" i="27"/>
  <c r="AW208" i="27"/>
  <c r="AZ172" i="27"/>
  <c r="AY172" i="27"/>
  <c r="BF172" i="27"/>
  <c r="AX172" i="27"/>
  <c r="BE172" i="27"/>
  <c r="AW172" i="27"/>
  <c r="BD172" i="27"/>
  <c r="AV172" i="27"/>
  <c r="BC172" i="27"/>
  <c r="BB172" i="27"/>
  <c r="BA172" i="27"/>
  <c r="BA522" i="27"/>
  <c r="AZ522" i="27"/>
  <c r="AY522" i="27"/>
  <c r="BF522" i="27"/>
  <c r="AX522" i="27"/>
  <c r="BE522" i="27"/>
  <c r="AW522" i="27"/>
  <c r="BD522" i="27"/>
  <c r="AV522" i="27"/>
  <c r="BC522" i="27"/>
  <c r="BB522" i="27"/>
  <c r="AZ234" i="27"/>
  <c r="AY234" i="27"/>
  <c r="BF234" i="27"/>
  <c r="AX234" i="27"/>
  <c r="BE234" i="27"/>
  <c r="AW234" i="27"/>
  <c r="BD234" i="27"/>
  <c r="AV234" i="27"/>
  <c r="BC234" i="27"/>
  <c r="BB234" i="27"/>
  <c r="BA234" i="27"/>
  <c r="BA90" i="27"/>
  <c r="AY90" i="27"/>
  <c r="BF90" i="27"/>
  <c r="AX90" i="27"/>
  <c r="BE90" i="27"/>
  <c r="AW90" i="27"/>
  <c r="BD90" i="27"/>
  <c r="AV90" i="27"/>
  <c r="BC90" i="27"/>
  <c r="AZ90" i="27"/>
  <c r="BB90" i="27"/>
  <c r="BD541" i="27"/>
  <c r="AV541" i="27"/>
  <c r="BC541" i="27"/>
  <c r="BB541" i="27"/>
  <c r="BA541" i="27"/>
  <c r="AZ541" i="27"/>
  <c r="AY541" i="27"/>
  <c r="BF541" i="27"/>
  <c r="AX541" i="27"/>
  <c r="BE541" i="27"/>
  <c r="AW541" i="27"/>
  <c r="BD315" i="27"/>
  <c r="AV315" i="27"/>
  <c r="BC315" i="27"/>
  <c r="BB315" i="27"/>
  <c r="AZ315" i="27"/>
  <c r="AY315" i="27"/>
  <c r="BF315" i="27"/>
  <c r="BE315" i="27"/>
  <c r="BA315" i="27"/>
  <c r="AX315" i="27"/>
  <c r="AW315" i="27"/>
  <c r="BC243" i="27"/>
  <c r="BB243" i="27"/>
  <c r="BA243" i="27"/>
  <c r="AZ243" i="27"/>
  <c r="AY243" i="27"/>
  <c r="BF243" i="27"/>
  <c r="AX243" i="27"/>
  <c r="BE243" i="27"/>
  <c r="AW243" i="27"/>
  <c r="AV243" i="27"/>
  <c r="BD243" i="27"/>
  <c r="BD99" i="27"/>
  <c r="AV99" i="27"/>
  <c r="BB99" i="27"/>
  <c r="BA99" i="27"/>
  <c r="AZ99" i="27"/>
  <c r="AY99" i="27"/>
  <c r="BF99" i="27"/>
  <c r="AX99" i="27"/>
  <c r="BE99" i="27"/>
  <c r="BC99" i="27"/>
  <c r="AW99" i="27"/>
  <c r="BC514" i="27"/>
  <c r="BB514" i="27"/>
  <c r="BA514" i="27"/>
  <c r="AZ514" i="27"/>
  <c r="AY514" i="27"/>
  <c r="BF514" i="27"/>
  <c r="AX514" i="27"/>
  <c r="BE514" i="27"/>
  <c r="AW514" i="27"/>
  <c r="BD514" i="27"/>
  <c r="AV514" i="27"/>
  <c r="BF262" i="27"/>
  <c r="AX262" i="27"/>
  <c r="BE262" i="27"/>
  <c r="AW262" i="27"/>
  <c r="BC262" i="27"/>
  <c r="BB262" i="27"/>
  <c r="AV262" i="27"/>
  <c r="BD262" i="27"/>
  <c r="BA262" i="27"/>
  <c r="AZ262" i="27"/>
  <c r="AY262" i="27"/>
  <c r="BE590" i="27"/>
  <c r="AW590" i="27"/>
  <c r="BD590" i="27"/>
  <c r="AV590" i="27"/>
  <c r="BC590" i="27"/>
  <c r="BB590" i="27"/>
  <c r="BA590" i="27"/>
  <c r="AZ590" i="27"/>
  <c r="AY590" i="27"/>
  <c r="BF590" i="27"/>
  <c r="AX590" i="27"/>
  <c r="BA554" i="27"/>
  <c r="AZ554" i="27"/>
  <c r="AY554" i="27"/>
  <c r="BF554" i="27"/>
  <c r="AX554" i="27"/>
  <c r="BE554" i="27"/>
  <c r="AW554" i="27"/>
  <c r="BD554" i="27"/>
  <c r="AV554" i="27"/>
  <c r="BC554" i="27"/>
  <c r="BB554" i="27"/>
  <c r="BF533" i="27"/>
  <c r="AX533" i="27"/>
  <c r="BE533" i="27"/>
  <c r="AW533" i="27"/>
  <c r="BD533" i="27"/>
  <c r="AV533" i="27"/>
  <c r="BC533" i="27"/>
  <c r="BB533" i="27"/>
  <c r="BA533" i="27"/>
  <c r="AZ533" i="27"/>
  <c r="AY533" i="27"/>
  <c r="BC504" i="27"/>
  <c r="BB504" i="27"/>
  <c r="BA504" i="27"/>
  <c r="AZ504" i="27"/>
  <c r="AY504" i="27"/>
  <c r="BF504" i="27"/>
  <c r="AX504" i="27"/>
  <c r="BE504" i="27"/>
  <c r="AW504" i="27"/>
  <c r="BD504" i="27"/>
  <c r="AV504" i="27"/>
  <c r="BF317" i="27"/>
  <c r="AX317" i="27"/>
  <c r="BE317" i="27"/>
  <c r="AW317" i="27"/>
  <c r="BD317" i="27"/>
  <c r="AV317" i="27"/>
  <c r="BB317" i="27"/>
  <c r="BA317" i="27"/>
  <c r="BC317" i="27"/>
  <c r="AZ317" i="27"/>
  <c r="AY317" i="27"/>
  <c r="BB216" i="27"/>
  <c r="BA216" i="27"/>
  <c r="AZ216" i="27"/>
  <c r="AY216" i="27"/>
  <c r="BF216" i="27"/>
  <c r="AX216" i="27"/>
  <c r="BE216" i="27"/>
  <c r="AW216" i="27"/>
  <c r="BD216" i="27"/>
  <c r="AV216" i="27"/>
  <c r="BC216" i="27"/>
  <c r="BB559" i="27"/>
  <c r="BA559" i="27"/>
  <c r="AZ559" i="27"/>
  <c r="AY559" i="27"/>
  <c r="BF559" i="27"/>
  <c r="AX559" i="27"/>
  <c r="BE559" i="27"/>
  <c r="AW559" i="27"/>
  <c r="BD559" i="27"/>
  <c r="AV559" i="27"/>
  <c r="BC559" i="27"/>
  <c r="BE451" i="27"/>
  <c r="AW451" i="27"/>
  <c r="BD451" i="27"/>
  <c r="AV451" i="27"/>
  <c r="BB451" i="27"/>
  <c r="BA451" i="27"/>
  <c r="AZ451" i="27"/>
  <c r="BC451" i="27"/>
  <c r="AY451" i="27"/>
  <c r="BF451" i="27"/>
  <c r="AX451" i="27"/>
  <c r="BD325" i="27"/>
  <c r="AV325" i="27"/>
  <c r="BC325" i="27"/>
  <c r="BB325" i="27"/>
  <c r="AZ325" i="27"/>
  <c r="AY325" i="27"/>
  <c r="BF325" i="27"/>
  <c r="BE325" i="27"/>
  <c r="BA325" i="27"/>
  <c r="AX325" i="27"/>
  <c r="AW325" i="27"/>
  <c r="AZ567" i="27"/>
  <c r="AY567" i="27"/>
  <c r="BF567" i="27"/>
  <c r="AX567" i="27"/>
  <c r="BE567" i="27"/>
  <c r="AW567" i="27"/>
  <c r="BD567" i="27"/>
  <c r="AV567" i="27"/>
  <c r="BC567" i="27"/>
  <c r="BB567" i="27"/>
  <c r="BA567" i="27"/>
  <c r="BC82" i="27"/>
  <c r="BA82" i="27"/>
  <c r="AZ82" i="27"/>
  <c r="AY82" i="27"/>
  <c r="BF82" i="27"/>
  <c r="AX82" i="27"/>
  <c r="BE82" i="27"/>
  <c r="AW82" i="27"/>
  <c r="BB82" i="27"/>
  <c r="AV82" i="27"/>
  <c r="BD82" i="27"/>
  <c r="BF585" i="27"/>
  <c r="AX585" i="27"/>
  <c r="BE585" i="27"/>
  <c r="AW585" i="27"/>
  <c r="BD585" i="27"/>
  <c r="AV585" i="27"/>
  <c r="BC585" i="27"/>
  <c r="BB585" i="27"/>
  <c r="BA585" i="27"/>
  <c r="AZ585" i="27"/>
  <c r="AY585" i="27"/>
  <c r="BC556" i="27"/>
  <c r="BB556" i="27"/>
  <c r="BA556" i="27"/>
  <c r="AZ556" i="27"/>
  <c r="AY556" i="27"/>
  <c r="BF556" i="27"/>
  <c r="AX556" i="27"/>
  <c r="BE556" i="27"/>
  <c r="AW556" i="27"/>
  <c r="BD556" i="27"/>
  <c r="AV556" i="27"/>
  <c r="BD218" i="27"/>
  <c r="AV218" i="27"/>
  <c r="BC218" i="27"/>
  <c r="BB218" i="27"/>
  <c r="BA218" i="27"/>
  <c r="AZ218" i="27"/>
  <c r="AY218" i="27"/>
  <c r="BF218" i="27"/>
  <c r="AX218" i="27"/>
  <c r="AW218" i="27"/>
  <c r="BE218" i="27"/>
  <c r="BE153" i="27"/>
  <c r="AW153" i="27"/>
  <c r="BD153" i="27"/>
  <c r="AV153" i="27"/>
  <c r="BC153" i="27"/>
  <c r="BB153" i="27"/>
  <c r="BA153" i="27"/>
  <c r="AZ153" i="27"/>
  <c r="AY153" i="27"/>
  <c r="AX153" i="27"/>
  <c r="BF153" i="27"/>
  <c r="BE146" i="27"/>
  <c r="AW146" i="27"/>
  <c r="BC146" i="27"/>
  <c r="AX146" i="27"/>
  <c r="BB146" i="27"/>
  <c r="BA146" i="27"/>
  <c r="AZ146" i="27"/>
  <c r="AY146" i="27"/>
  <c r="BF146" i="27"/>
  <c r="BD146" i="27"/>
  <c r="AV146" i="27"/>
  <c r="BB45" i="27"/>
  <c r="AZ45" i="27"/>
  <c r="AY45" i="27"/>
  <c r="BF45" i="27"/>
  <c r="AX45" i="27"/>
  <c r="BE45" i="27"/>
  <c r="AW45" i="27"/>
  <c r="BD45" i="27"/>
  <c r="AV45" i="27"/>
  <c r="BA45" i="27"/>
  <c r="BC45" i="27"/>
  <c r="BE568" i="27"/>
  <c r="AW568" i="27"/>
  <c r="BD568" i="27"/>
  <c r="AV568" i="27"/>
  <c r="BC568" i="27"/>
  <c r="BB568" i="27"/>
  <c r="BA568" i="27"/>
  <c r="AZ568" i="27"/>
  <c r="AY568" i="27"/>
  <c r="AX568" i="27"/>
  <c r="BF568" i="27"/>
  <c r="BC536" i="27"/>
  <c r="BB536" i="27"/>
  <c r="BA536" i="27"/>
  <c r="AZ536" i="27"/>
  <c r="AY536" i="27"/>
  <c r="BF536" i="27"/>
  <c r="AX536" i="27"/>
  <c r="BE536" i="27"/>
  <c r="AW536" i="27"/>
  <c r="BD536" i="27"/>
  <c r="AV536" i="27"/>
  <c r="AY227" i="27"/>
  <c r="BF227" i="27"/>
  <c r="AX227" i="27"/>
  <c r="BE227" i="27"/>
  <c r="AW227" i="27"/>
  <c r="BD227" i="27"/>
  <c r="AV227" i="27"/>
  <c r="BC227" i="27"/>
  <c r="BB227" i="27"/>
  <c r="BA227" i="27"/>
  <c r="AZ227" i="27"/>
  <c r="BD119" i="27"/>
  <c r="AV119" i="27"/>
  <c r="BB119" i="27"/>
  <c r="BA119" i="27"/>
  <c r="AZ119" i="27"/>
  <c r="AY119" i="27"/>
  <c r="BF119" i="27"/>
  <c r="AX119" i="27"/>
  <c r="BC119" i="27"/>
  <c r="AW119" i="27"/>
  <c r="BE119" i="27"/>
  <c r="BA584" i="27"/>
  <c r="AZ584" i="27"/>
  <c r="AY584" i="27"/>
  <c r="BF584" i="27"/>
  <c r="AX584" i="27"/>
  <c r="BE584" i="27"/>
  <c r="AW584" i="27"/>
  <c r="BD584" i="27"/>
  <c r="AV584" i="27"/>
  <c r="BC584" i="27"/>
  <c r="BB584" i="27"/>
  <c r="BE548" i="27"/>
  <c r="AW548" i="27"/>
  <c r="BD548" i="27"/>
  <c r="AV548" i="27"/>
  <c r="BC548" i="27"/>
  <c r="BB548" i="27"/>
  <c r="BA548" i="27"/>
  <c r="AZ548" i="27"/>
  <c r="AY548" i="27"/>
  <c r="BF548" i="27"/>
  <c r="AX548" i="27"/>
  <c r="BF433" i="27"/>
  <c r="AX433" i="27"/>
  <c r="BE433" i="27"/>
  <c r="AW433" i="27"/>
  <c r="BC433" i="27"/>
  <c r="BB433" i="27"/>
  <c r="BA433" i="27"/>
  <c r="AZ433" i="27"/>
  <c r="AY433" i="27"/>
  <c r="BD433" i="27"/>
  <c r="AV433" i="27"/>
  <c r="AY289" i="27"/>
  <c r="BF289" i="27"/>
  <c r="AX289" i="27"/>
  <c r="BD289" i="27"/>
  <c r="AV289" i="27"/>
  <c r="BC289" i="27"/>
  <c r="BE289" i="27"/>
  <c r="BB289" i="27"/>
  <c r="BA289" i="27"/>
  <c r="AZ289" i="27"/>
  <c r="AW289" i="27"/>
  <c r="BD603" i="27"/>
  <c r="AV603" i="27"/>
  <c r="BC603" i="27"/>
  <c r="BB603" i="27"/>
  <c r="BA603" i="27"/>
  <c r="AZ603" i="27"/>
  <c r="AY603" i="27"/>
  <c r="BF603" i="27"/>
  <c r="AX603" i="27"/>
  <c r="AW603" i="27"/>
  <c r="BE603" i="27"/>
  <c r="BE538" i="27"/>
  <c r="AW538" i="27"/>
  <c r="BD538" i="27"/>
  <c r="AV538" i="27"/>
  <c r="BC538" i="27"/>
  <c r="BB538" i="27"/>
  <c r="BA538" i="27"/>
  <c r="AZ538" i="27"/>
  <c r="AY538" i="27"/>
  <c r="BF538" i="27"/>
  <c r="AX538" i="27"/>
  <c r="BC459" i="27"/>
  <c r="BB459" i="27"/>
  <c r="AZ459" i="27"/>
  <c r="AY459" i="27"/>
  <c r="BF459" i="27"/>
  <c r="AX459" i="27"/>
  <c r="BA459" i="27"/>
  <c r="AW459" i="27"/>
  <c r="BE459" i="27"/>
  <c r="BD459" i="27"/>
  <c r="AV459" i="27"/>
  <c r="AY344" i="27"/>
  <c r="BF344" i="27"/>
  <c r="AX344" i="27"/>
  <c r="BE344" i="27"/>
  <c r="AW344" i="27"/>
  <c r="BC344" i="27"/>
  <c r="BB344" i="27"/>
  <c r="AV344" i="27"/>
  <c r="BD344" i="27"/>
  <c r="BA344" i="27"/>
  <c r="AZ344" i="27"/>
  <c r="BF272" i="27"/>
  <c r="AX272" i="27"/>
  <c r="BE272" i="27"/>
  <c r="AW272" i="27"/>
  <c r="BC272" i="27"/>
  <c r="BB272" i="27"/>
  <c r="BD272" i="27"/>
  <c r="BA272" i="27"/>
  <c r="AZ272" i="27"/>
  <c r="AY272" i="27"/>
  <c r="AV272" i="27"/>
  <c r="BF200" i="27"/>
  <c r="AX200" i="27"/>
  <c r="BE200" i="27"/>
  <c r="AW200" i="27"/>
  <c r="BD200" i="27"/>
  <c r="AV200" i="27"/>
  <c r="BC200" i="27"/>
  <c r="BB200" i="27"/>
  <c r="BA200" i="27"/>
  <c r="AZ200" i="27"/>
  <c r="AY200" i="27"/>
  <c r="AZ135" i="27"/>
  <c r="BF135" i="27"/>
  <c r="AX135" i="27"/>
  <c r="BE135" i="27"/>
  <c r="AW135" i="27"/>
  <c r="BD135" i="27"/>
  <c r="AV135" i="27"/>
  <c r="BC135" i="27"/>
  <c r="BB135" i="27"/>
  <c r="AY135" i="27"/>
  <c r="BA135" i="27"/>
  <c r="BA442" i="27"/>
  <c r="AZ442" i="27"/>
  <c r="BF442" i="27"/>
  <c r="AX442" i="27"/>
  <c r="BE442" i="27"/>
  <c r="AW442" i="27"/>
  <c r="BD442" i="27"/>
  <c r="AV442" i="27"/>
  <c r="BC442" i="27"/>
  <c r="BB442" i="27"/>
  <c r="AY442" i="27"/>
  <c r="BF190" i="27"/>
  <c r="AX190" i="27"/>
  <c r="BE190" i="27"/>
  <c r="AW190" i="27"/>
  <c r="BD190" i="27"/>
  <c r="AV190" i="27"/>
  <c r="BC190" i="27"/>
  <c r="BB190" i="27"/>
  <c r="BA190" i="27"/>
  <c r="AZ190" i="27"/>
  <c r="AY190" i="27"/>
  <c r="BB154" i="27"/>
  <c r="BA154" i="27"/>
  <c r="AZ154" i="27"/>
  <c r="AY154" i="27"/>
  <c r="BF154" i="27"/>
  <c r="AX154" i="27"/>
  <c r="BE154" i="27"/>
  <c r="AW154" i="27"/>
  <c r="BD154" i="27"/>
  <c r="AV154" i="27"/>
  <c r="BC154" i="27"/>
  <c r="BF605" i="27"/>
  <c r="AX605" i="27"/>
  <c r="BE605" i="27"/>
  <c r="AW605" i="27"/>
  <c r="BD605" i="27"/>
  <c r="AV605" i="27"/>
  <c r="BC605" i="27"/>
  <c r="BB605" i="27"/>
  <c r="BA605" i="27"/>
  <c r="AZ605" i="27"/>
  <c r="AY605" i="27"/>
  <c r="BA497" i="27"/>
  <c r="AZ497" i="27"/>
  <c r="BF497" i="27"/>
  <c r="AX497" i="27"/>
  <c r="BE497" i="27"/>
  <c r="AW497" i="27"/>
  <c r="BD497" i="27"/>
  <c r="AV497" i="27"/>
  <c r="BC497" i="27"/>
  <c r="BB497" i="27"/>
  <c r="AY497" i="27"/>
  <c r="BF389" i="27"/>
  <c r="AX389" i="27"/>
  <c r="BE389" i="27"/>
  <c r="AW389" i="27"/>
  <c r="BD389" i="27"/>
  <c r="AV389" i="27"/>
  <c r="BB389" i="27"/>
  <c r="BA389" i="27"/>
  <c r="BC389" i="27"/>
  <c r="AZ389" i="27"/>
  <c r="AY389" i="27"/>
  <c r="AY324" i="27"/>
  <c r="BF324" i="27"/>
  <c r="AX324" i="27"/>
  <c r="BE324" i="27"/>
  <c r="AW324" i="27"/>
  <c r="BC324" i="27"/>
  <c r="BB324" i="27"/>
  <c r="BA324" i="27"/>
  <c r="AZ324" i="27"/>
  <c r="AV324" i="27"/>
  <c r="BD324" i="27"/>
  <c r="BC144" i="27"/>
  <c r="BA144" i="27"/>
  <c r="AV144" i="27"/>
  <c r="AZ144" i="27"/>
  <c r="AY144" i="27"/>
  <c r="BD144" i="27"/>
  <c r="BF144" i="27"/>
  <c r="AX144" i="27"/>
  <c r="BE144" i="27"/>
  <c r="AW144" i="27"/>
  <c r="BB144" i="27"/>
  <c r="AY108" i="27"/>
  <c r="BE108" i="27"/>
  <c r="AW108" i="27"/>
  <c r="BD108" i="27"/>
  <c r="AV108" i="27"/>
  <c r="BC108" i="27"/>
  <c r="BB108" i="27"/>
  <c r="BA108" i="27"/>
  <c r="BF108" i="27"/>
  <c r="AZ108" i="27"/>
  <c r="AX108" i="27"/>
  <c r="AZ537" i="27"/>
  <c r="AY537" i="27"/>
  <c r="BF537" i="27"/>
  <c r="AX537" i="27"/>
  <c r="BE537" i="27"/>
  <c r="AW537" i="27"/>
  <c r="BD537" i="27"/>
  <c r="AV537" i="27"/>
  <c r="BC537" i="27"/>
  <c r="BB537" i="27"/>
  <c r="BA537" i="27"/>
  <c r="AY530" i="27"/>
  <c r="BF530" i="27"/>
  <c r="AX530" i="27"/>
  <c r="BE530" i="27"/>
  <c r="AW530" i="27"/>
  <c r="BD530" i="27"/>
  <c r="AV530" i="27"/>
  <c r="BC530" i="27"/>
  <c r="BB530" i="27"/>
  <c r="BA530" i="27"/>
  <c r="AZ530" i="27"/>
  <c r="BA487" i="27"/>
  <c r="AZ487" i="27"/>
  <c r="BF487" i="27"/>
  <c r="AX487" i="27"/>
  <c r="BE487" i="27"/>
  <c r="AW487" i="27"/>
  <c r="BD487" i="27"/>
  <c r="AV487" i="27"/>
  <c r="BC487" i="27"/>
  <c r="BB487" i="27"/>
  <c r="AY487" i="27"/>
  <c r="BE163" i="27"/>
  <c r="AW163" i="27"/>
  <c r="BD163" i="27"/>
  <c r="AV163" i="27"/>
  <c r="BC163" i="27"/>
  <c r="BB163" i="27"/>
  <c r="BA163" i="27"/>
  <c r="AZ163" i="27"/>
  <c r="AY163" i="27"/>
  <c r="BF163" i="27"/>
  <c r="AX163" i="27"/>
  <c r="BB127" i="27"/>
  <c r="AZ127" i="27"/>
  <c r="AY127" i="27"/>
  <c r="BF127" i="27"/>
  <c r="AX127" i="27"/>
  <c r="BE127" i="27"/>
  <c r="AW127" i="27"/>
  <c r="BD127" i="27"/>
  <c r="AV127" i="27"/>
  <c r="BA127" i="27"/>
  <c r="BC127" i="27"/>
  <c r="BE136" i="27"/>
  <c r="AW136" i="27"/>
  <c r="BC136" i="27"/>
  <c r="BB136" i="27"/>
  <c r="BF136" i="27"/>
  <c r="BA136" i="27"/>
  <c r="AZ136" i="27"/>
  <c r="AY136" i="27"/>
  <c r="BD136" i="27"/>
  <c r="AV136" i="27"/>
  <c r="AX136" i="27"/>
  <c r="BF565" i="27"/>
  <c r="AX565" i="27"/>
  <c r="BE565" i="27"/>
  <c r="AW565" i="27"/>
  <c r="BD565" i="27"/>
  <c r="AV565" i="27"/>
  <c r="BC565" i="27"/>
  <c r="BB565" i="27"/>
  <c r="BA565" i="27"/>
  <c r="AZ565" i="27"/>
  <c r="AY565" i="27"/>
  <c r="BC479" i="27"/>
  <c r="BB479" i="27"/>
  <c r="AZ479" i="27"/>
  <c r="AY479" i="27"/>
  <c r="BF479" i="27"/>
  <c r="AX479" i="27"/>
  <c r="AV479" i="27"/>
  <c r="BE479" i="27"/>
  <c r="BD479" i="27"/>
  <c r="BA479" i="27"/>
  <c r="AW479" i="27"/>
  <c r="AZ557" i="27"/>
  <c r="AY557" i="27"/>
  <c r="BF557" i="27"/>
  <c r="AX557" i="27"/>
  <c r="BE557" i="27"/>
  <c r="AW557" i="27"/>
  <c r="BD557" i="27"/>
  <c r="AV557" i="27"/>
  <c r="BC557" i="27"/>
  <c r="BB557" i="27"/>
  <c r="BA557" i="27"/>
  <c r="BB549" i="27"/>
  <c r="BA549" i="27"/>
  <c r="AZ549" i="27"/>
  <c r="AY549" i="27"/>
  <c r="BF549" i="27"/>
  <c r="AX549" i="27"/>
  <c r="BE549" i="27"/>
  <c r="AW549" i="27"/>
  <c r="BD549" i="27"/>
  <c r="AV549" i="27"/>
  <c r="BC549" i="27"/>
  <c r="BE506" i="27"/>
  <c r="AW506" i="27"/>
  <c r="BD506" i="27"/>
  <c r="AV506" i="27"/>
  <c r="BC506" i="27"/>
  <c r="BB506" i="27"/>
  <c r="BA506" i="27"/>
  <c r="AZ506" i="27"/>
  <c r="AY506" i="27"/>
  <c r="BF506" i="27"/>
  <c r="AX506" i="27"/>
  <c r="AY398" i="27"/>
  <c r="BF398" i="27"/>
  <c r="AX398" i="27"/>
  <c r="BD398" i="27"/>
  <c r="AV398" i="27"/>
  <c r="BC398" i="27"/>
  <c r="BB398" i="27"/>
  <c r="BE398" i="27"/>
  <c r="BA398" i="27"/>
  <c r="AW398" i="27"/>
  <c r="AZ398" i="27"/>
  <c r="BF369" i="27"/>
  <c r="AX369" i="27"/>
  <c r="BE369" i="27"/>
  <c r="AW369" i="27"/>
  <c r="BD369" i="27"/>
  <c r="AV369" i="27"/>
  <c r="BB369" i="27"/>
  <c r="BA369" i="27"/>
  <c r="AZ369" i="27"/>
  <c r="AY369" i="27"/>
  <c r="BC369" i="27"/>
  <c r="BA189" i="27"/>
  <c r="AZ189" i="27"/>
  <c r="AY189" i="27"/>
  <c r="BF189" i="27"/>
  <c r="AX189" i="27"/>
  <c r="BE189" i="27"/>
  <c r="AW189" i="27"/>
  <c r="BD189" i="27"/>
  <c r="AV189" i="27"/>
  <c r="BC189" i="27"/>
  <c r="BB189" i="27"/>
  <c r="BA604" i="27"/>
  <c r="AZ604" i="27"/>
  <c r="AY604" i="27"/>
  <c r="BF604" i="27"/>
  <c r="AX604" i="27"/>
  <c r="BE604" i="27"/>
  <c r="AW604" i="27"/>
  <c r="BD604" i="27"/>
  <c r="AV604" i="27"/>
  <c r="BC604" i="27"/>
  <c r="BB604" i="27"/>
  <c r="BD496" i="27"/>
  <c r="AV496" i="27"/>
  <c r="BC496" i="27"/>
  <c r="BA496" i="27"/>
  <c r="AZ496" i="27"/>
  <c r="AY496" i="27"/>
  <c r="BB496" i="27"/>
  <c r="AX496" i="27"/>
  <c r="BF496" i="27"/>
  <c r="BE496" i="27"/>
  <c r="AW496" i="27"/>
  <c r="BC424" i="27"/>
  <c r="BB424" i="27"/>
  <c r="AZ424" i="27"/>
  <c r="AY424" i="27"/>
  <c r="BF424" i="27"/>
  <c r="AX424" i="27"/>
  <c r="BE424" i="27"/>
  <c r="AW424" i="27"/>
  <c r="BD424" i="27"/>
  <c r="AV424" i="27"/>
  <c r="BA424" i="27"/>
  <c r="BA594" i="27"/>
  <c r="AZ594" i="27"/>
  <c r="AY594" i="27"/>
  <c r="BF594" i="27"/>
  <c r="AX594" i="27"/>
  <c r="BE594" i="27"/>
  <c r="AW594" i="27"/>
  <c r="BD594" i="27"/>
  <c r="AV594" i="27"/>
  <c r="BC594" i="27"/>
  <c r="BB594" i="27"/>
  <c r="BB529" i="27"/>
  <c r="BA529" i="27"/>
  <c r="AZ529" i="27"/>
  <c r="AY529" i="27"/>
  <c r="BF529" i="27"/>
  <c r="AX529" i="27"/>
  <c r="BE529" i="27"/>
  <c r="AW529" i="27"/>
  <c r="BD529" i="27"/>
  <c r="AV529" i="27"/>
  <c r="BC529" i="27"/>
  <c r="AZ515" i="27"/>
  <c r="AY515" i="27"/>
  <c r="BF515" i="27"/>
  <c r="AX515" i="27"/>
  <c r="BE515" i="27"/>
  <c r="AW515" i="27"/>
  <c r="BD515" i="27"/>
  <c r="AV515" i="27"/>
  <c r="BC515" i="27"/>
  <c r="BB515" i="27"/>
  <c r="BA515" i="27"/>
  <c r="BD270" i="27"/>
  <c r="AV270" i="27"/>
  <c r="BC270" i="27"/>
  <c r="BA270" i="27"/>
  <c r="AZ270" i="27"/>
  <c r="BF270" i="27"/>
  <c r="BE270" i="27"/>
  <c r="BB270" i="27"/>
  <c r="AY270" i="27"/>
  <c r="AX270" i="27"/>
  <c r="AW270" i="27"/>
  <c r="BD198" i="27"/>
  <c r="AV198" i="27"/>
  <c r="BC198" i="27"/>
  <c r="BB198" i="27"/>
  <c r="BA198" i="27"/>
  <c r="AZ198" i="27"/>
  <c r="AY198" i="27"/>
  <c r="BF198" i="27"/>
  <c r="AX198" i="27"/>
  <c r="AW198" i="27"/>
  <c r="BE198" i="27"/>
  <c r="AZ361" i="27"/>
  <c r="AY361" i="27"/>
  <c r="BF361" i="27"/>
  <c r="AX361" i="27"/>
  <c r="BD361" i="27"/>
  <c r="AV361" i="27"/>
  <c r="BC361" i="27"/>
  <c r="BB361" i="27"/>
  <c r="BA361" i="27"/>
  <c r="AW361" i="27"/>
  <c r="BE361" i="27"/>
  <c r="BC181" i="27"/>
  <c r="BB181" i="27"/>
  <c r="BA181" i="27"/>
  <c r="AZ181" i="27"/>
  <c r="AY181" i="27"/>
  <c r="BF181" i="27"/>
  <c r="AX181" i="27"/>
  <c r="BE181" i="27"/>
  <c r="AW181" i="27"/>
  <c r="AV181" i="27"/>
  <c r="BD181" i="27"/>
  <c r="BC524" i="27"/>
  <c r="BB524" i="27"/>
  <c r="BA524" i="27"/>
  <c r="AZ524" i="27"/>
  <c r="AY524" i="27"/>
  <c r="BF524" i="27"/>
  <c r="AX524" i="27"/>
  <c r="BE524" i="27"/>
  <c r="AW524" i="27"/>
  <c r="BD524" i="27"/>
  <c r="AV524" i="27"/>
  <c r="AY495" i="27"/>
  <c r="BF495" i="27"/>
  <c r="AX495" i="27"/>
  <c r="BD495" i="27"/>
  <c r="AV495" i="27"/>
  <c r="BC495" i="27"/>
  <c r="BB495" i="27"/>
  <c r="BE495" i="27"/>
  <c r="BA495" i="27"/>
  <c r="AZ495" i="27"/>
  <c r="AW495" i="27"/>
  <c r="BF488" i="27"/>
  <c r="AX488" i="27"/>
  <c r="BE488" i="27"/>
  <c r="AW488" i="27"/>
  <c r="BC488" i="27"/>
  <c r="BB488" i="27"/>
  <c r="BA488" i="27"/>
  <c r="BD488" i="27"/>
  <c r="AZ488" i="27"/>
  <c r="AV488" i="27"/>
  <c r="AY488" i="27"/>
  <c r="BB164" i="27"/>
  <c r="BA164" i="27"/>
  <c r="AZ164" i="27"/>
  <c r="AY164" i="27"/>
  <c r="BF164" i="27"/>
  <c r="AX164" i="27"/>
  <c r="BE164" i="27"/>
  <c r="AW164" i="27"/>
  <c r="BD164" i="27"/>
  <c r="AV164" i="27"/>
  <c r="BC164" i="27"/>
  <c r="AY128" i="27"/>
  <c r="BE128" i="27"/>
  <c r="AW128" i="27"/>
  <c r="BD128" i="27"/>
  <c r="AV128" i="27"/>
  <c r="BC128" i="27"/>
  <c r="BB128" i="27"/>
  <c r="BA128" i="27"/>
  <c r="AX128" i="27"/>
  <c r="BF128" i="27"/>
  <c r="AZ128" i="27"/>
  <c r="BE600" i="27"/>
  <c r="AW600" i="27"/>
  <c r="BD600" i="27"/>
  <c r="AV600" i="27"/>
  <c r="BC600" i="27"/>
  <c r="BB600" i="27"/>
  <c r="BA600" i="27"/>
  <c r="AZ600" i="27"/>
  <c r="AY600" i="27"/>
  <c r="BF600" i="27"/>
  <c r="AX600" i="27"/>
  <c r="BE406" i="27"/>
  <c r="AW406" i="27"/>
  <c r="BD406" i="27"/>
  <c r="AV406" i="27"/>
  <c r="BB406" i="27"/>
  <c r="BA406" i="27"/>
  <c r="AZ406" i="27"/>
  <c r="AY406" i="27"/>
  <c r="BF406" i="27"/>
  <c r="AX406" i="27"/>
  <c r="BC406" i="27"/>
  <c r="BB569" i="27"/>
  <c r="BA569" i="27"/>
  <c r="AZ569" i="27"/>
  <c r="AY569" i="27"/>
  <c r="BF569" i="27"/>
  <c r="AX569" i="27"/>
  <c r="BE569" i="27"/>
  <c r="AW569" i="27"/>
  <c r="BD569" i="27"/>
  <c r="AV569" i="27"/>
  <c r="BC569" i="27"/>
  <c r="AZ547" i="27"/>
  <c r="AY547" i="27"/>
  <c r="BF547" i="27"/>
  <c r="AX547" i="27"/>
  <c r="BE547" i="27"/>
  <c r="AW547" i="27"/>
  <c r="BD547" i="27"/>
  <c r="AV547" i="27"/>
  <c r="BC547" i="27"/>
  <c r="BB547" i="27"/>
  <c r="BA547" i="27"/>
  <c r="AY540" i="27"/>
  <c r="BF540" i="27"/>
  <c r="AX540" i="27"/>
  <c r="BE540" i="27"/>
  <c r="AW540" i="27"/>
  <c r="BD540" i="27"/>
  <c r="AV540" i="27"/>
  <c r="BC540" i="27"/>
  <c r="BB540" i="27"/>
  <c r="BA540" i="27"/>
  <c r="AZ540" i="27"/>
  <c r="BC72" i="27"/>
  <c r="BA72" i="27"/>
  <c r="AZ72" i="27"/>
  <c r="AY72" i="27"/>
  <c r="BF72" i="27"/>
  <c r="AX72" i="27"/>
  <c r="BE72" i="27"/>
  <c r="AW72" i="27"/>
  <c r="BB72" i="27"/>
  <c r="BD72" i="27"/>
  <c r="AV72" i="27"/>
  <c r="AZ415" i="27"/>
  <c r="AY415" i="27"/>
  <c r="BE415" i="27"/>
  <c r="AW415" i="27"/>
  <c r="BD415" i="27"/>
  <c r="AV415" i="27"/>
  <c r="BC415" i="27"/>
  <c r="BB415" i="27"/>
  <c r="BA415" i="27"/>
  <c r="BF415" i="27"/>
  <c r="AX415" i="27"/>
  <c r="BF379" i="27"/>
  <c r="AX379" i="27"/>
  <c r="BE379" i="27"/>
  <c r="AW379" i="27"/>
  <c r="BD379" i="27"/>
  <c r="AV379" i="27"/>
  <c r="BB379" i="27"/>
  <c r="BA379" i="27"/>
  <c r="AY379" i="27"/>
  <c r="BC379" i="27"/>
  <c r="AZ379" i="27"/>
  <c r="BA326" i="27"/>
  <c r="AZ326" i="27"/>
  <c r="AY326" i="27"/>
  <c r="BE326" i="27"/>
  <c r="AW326" i="27"/>
  <c r="BD326" i="27"/>
  <c r="AV326" i="27"/>
  <c r="BB326" i="27"/>
  <c r="AX326" i="27"/>
  <c r="BF326" i="27"/>
  <c r="BC326" i="27"/>
  <c r="BC576" i="27"/>
  <c r="BB576" i="27"/>
  <c r="BA576" i="27"/>
  <c r="AZ576" i="27"/>
  <c r="AY576" i="27"/>
  <c r="BF576" i="27"/>
  <c r="AX576" i="27"/>
  <c r="BE576" i="27"/>
  <c r="AW576" i="27"/>
  <c r="AV576" i="27"/>
  <c r="BD576" i="27"/>
  <c r="BB65" i="27"/>
  <c r="AZ65" i="27"/>
  <c r="AY65" i="27"/>
  <c r="BF65" i="27"/>
  <c r="AX65" i="27"/>
  <c r="BE65" i="27"/>
  <c r="AW65" i="27"/>
  <c r="BD65" i="27"/>
  <c r="AV65" i="27"/>
  <c r="BC65" i="27"/>
  <c r="BA65" i="27"/>
  <c r="AZ470" i="27"/>
  <c r="AY470" i="27"/>
  <c r="BE470" i="27"/>
  <c r="AW470" i="27"/>
  <c r="BD470" i="27"/>
  <c r="AV470" i="27"/>
  <c r="BC470" i="27"/>
  <c r="BF470" i="27"/>
  <c r="BA470" i="27"/>
  <c r="AX470" i="27"/>
  <c r="BB470" i="27"/>
  <c r="BB333" i="27"/>
  <c r="BA333" i="27"/>
  <c r="AZ333" i="27"/>
  <c r="BF333" i="27"/>
  <c r="AX333" i="27"/>
  <c r="BE333" i="27"/>
  <c r="AW333" i="27"/>
  <c r="BD333" i="27"/>
  <c r="BC333" i="27"/>
  <c r="AY333" i="27"/>
  <c r="AV333" i="27"/>
  <c r="BA261" i="27"/>
  <c r="AZ261" i="27"/>
  <c r="BF261" i="27"/>
  <c r="AX261" i="27"/>
  <c r="BE261" i="27"/>
  <c r="AW261" i="27"/>
  <c r="BD261" i="27"/>
  <c r="BC261" i="27"/>
  <c r="BB261" i="27"/>
  <c r="AY261" i="27"/>
  <c r="AV261" i="27"/>
  <c r="BE74" i="27"/>
  <c r="AW74" i="27"/>
  <c r="BC74" i="27"/>
  <c r="BB74" i="27"/>
  <c r="BA74" i="27"/>
  <c r="AZ74" i="27"/>
  <c r="AY74" i="27"/>
  <c r="BD74" i="27"/>
  <c r="AX74" i="27"/>
  <c r="AV74" i="27"/>
  <c r="BF74" i="27"/>
  <c r="BF575" i="27"/>
  <c r="AX575" i="27"/>
  <c r="BE575" i="27"/>
  <c r="AW575" i="27"/>
  <c r="BD575" i="27"/>
  <c r="AV575" i="27"/>
  <c r="BC575" i="27"/>
  <c r="BB575" i="27"/>
  <c r="BA575" i="27"/>
  <c r="AZ575" i="27"/>
  <c r="AY575" i="27"/>
  <c r="AY572" i="27"/>
  <c r="BF572" i="27"/>
  <c r="AX572" i="27"/>
  <c r="BE572" i="27"/>
  <c r="AW572" i="27"/>
  <c r="BD572" i="27"/>
  <c r="AV572" i="27"/>
  <c r="BC572" i="27"/>
  <c r="BB572" i="27"/>
  <c r="BA572" i="27"/>
  <c r="AZ572" i="27"/>
  <c r="BD486" i="27"/>
  <c r="AV486" i="27"/>
  <c r="BC486" i="27"/>
  <c r="BA486" i="27"/>
  <c r="AZ486" i="27"/>
  <c r="AY486" i="27"/>
  <c r="BE486" i="27"/>
  <c r="BB486" i="27"/>
  <c r="AW486" i="27"/>
  <c r="BF486" i="27"/>
  <c r="AX486" i="27"/>
  <c r="AZ450" i="27"/>
  <c r="AY450" i="27"/>
  <c r="BE450" i="27"/>
  <c r="AW450" i="27"/>
  <c r="BD450" i="27"/>
  <c r="AV450" i="27"/>
  <c r="BC450" i="27"/>
  <c r="BF450" i="27"/>
  <c r="BB450" i="27"/>
  <c r="BA450" i="27"/>
  <c r="AX450" i="27"/>
  <c r="AZ371" i="27"/>
  <c r="AY371" i="27"/>
  <c r="BF371" i="27"/>
  <c r="AX371" i="27"/>
  <c r="BD371" i="27"/>
  <c r="AV371" i="27"/>
  <c r="BC371" i="27"/>
  <c r="BA371" i="27"/>
  <c r="AW371" i="27"/>
  <c r="BE371" i="27"/>
  <c r="BB371" i="27"/>
  <c r="BA306" i="27"/>
  <c r="AZ306" i="27"/>
  <c r="AY306" i="27"/>
  <c r="BE306" i="27"/>
  <c r="AW306" i="27"/>
  <c r="BD306" i="27"/>
  <c r="AV306" i="27"/>
  <c r="BF306" i="27"/>
  <c r="BC306" i="27"/>
  <c r="BB306" i="27"/>
  <c r="AX306" i="27"/>
  <c r="AZ299" i="27"/>
  <c r="AY299" i="27"/>
  <c r="BF299" i="27"/>
  <c r="AX299" i="27"/>
  <c r="BD299" i="27"/>
  <c r="AV299" i="27"/>
  <c r="BC299" i="27"/>
  <c r="AW299" i="27"/>
  <c r="BE299" i="27"/>
  <c r="BB299" i="27"/>
  <c r="BA299" i="27"/>
  <c r="BD47" i="27"/>
  <c r="AV47" i="27"/>
  <c r="BB47" i="27"/>
  <c r="BA47" i="27"/>
  <c r="AZ47" i="27"/>
  <c r="AY47" i="27"/>
  <c r="BF47" i="27"/>
  <c r="AX47" i="27"/>
  <c r="BE47" i="27"/>
  <c r="BC47" i="27"/>
  <c r="AW47" i="27"/>
  <c r="BF555" i="27"/>
  <c r="AX555" i="27"/>
  <c r="BE555" i="27"/>
  <c r="AW555" i="27"/>
  <c r="BD555" i="27"/>
  <c r="AV555" i="27"/>
  <c r="BC555" i="27"/>
  <c r="BB555" i="27"/>
  <c r="BA555" i="27"/>
  <c r="AZ555" i="27"/>
  <c r="AY555" i="27"/>
  <c r="AY217" i="27"/>
  <c r="BF217" i="27"/>
  <c r="AX217" i="27"/>
  <c r="BE217" i="27"/>
  <c r="AW217" i="27"/>
  <c r="BD217" i="27"/>
  <c r="AV217" i="27"/>
  <c r="BC217" i="27"/>
  <c r="BB217" i="27"/>
  <c r="BA217" i="27"/>
  <c r="AZ217" i="27"/>
  <c r="AZ73" i="27"/>
  <c r="BF73" i="27"/>
  <c r="AX73" i="27"/>
  <c r="BE73" i="27"/>
  <c r="AW73" i="27"/>
  <c r="BD73" i="27"/>
  <c r="AV73" i="27"/>
  <c r="BC73" i="27"/>
  <c r="BB73" i="27"/>
  <c r="BA73" i="27"/>
  <c r="AY73" i="27"/>
  <c r="AZ351" i="27"/>
  <c r="AY351" i="27"/>
  <c r="BF351" i="27"/>
  <c r="AX351" i="27"/>
  <c r="BD351" i="27"/>
  <c r="AV351" i="27"/>
  <c r="BC351" i="27"/>
  <c r="BE351" i="27"/>
  <c r="BB351" i="27"/>
  <c r="BA351" i="27"/>
  <c r="AW351" i="27"/>
  <c r="BC308" i="27"/>
  <c r="BB308" i="27"/>
  <c r="BA308" i="27"/>
  <c r="AY308" i="27"/>
  <c r="BF308" i="27"/>
  <c r="AX308" i="27"/>
  <c r="BE308" i="27"/>
  <c r="BD308" i="27"/>
  <c r="AZ308" i="27"/>
  <c r="AW308" i="27"/>
  <c r="AV308" i="27"/>
  <c r="AY207" i="27"/>
  <c r="BF207" i="27"/>
  <c r="AX207" i="27"/>
  <c r="BE207" i="27"/>
  <c r="AW207" i="27"/>
  <c r="BD207" i="27"/>
  <c r="AV207" i="27"/>
  <c r="BC207" i="27"/>
  <c r="BB207" i="27"/>
  <c r="BA207" i="27"/>
  <c r="AZ207" i="27"/>
  <c r="BC92" i="27"/>
  <c r="BA92" i="27"/>
  <c r="AZ92" i="27"/>
  <c r="AY92" i="27"/>
  <c r="BF92" i="27"/>
  <c r="AX92" i="27"/>
  <c r="BE92" i="27"/>
  <c r="AW92" i="27"/>
  <c r="BD92" i="27"/>
  <c r="BB92" i="27"/>
  <c r="AV92" i="27"/>
  <c r="AZ63" i="27"/>
  <c r="BF63" i="27"/>
  <c r="AX63" i="27"/>
  <c r="BE63" i="27"/>
  <c r="AW63" i="27"/>
  <c r="BD63" i="27"/>
  <c r="AV63" i="27"/>
  <c r="BC63" i="27"/>
  <c r="BB63" i="27"/>
  <c r="BA63" i="27"/>
  <c r="AY63" i="27"/>
  <c r="BD521" i="27"/>
  <c r="AV521" i="27"/>
  <c r="BC521" i="27"/>
  <c r="BB521" i="27"/>
  <c r="BA521" i="27"/>
  <c r="AZ521" i="27"/>
  <c r="AY521" i="27"/>
  <c r="BF521" i="27"/>
  <c r="AX521" i="27"/>
  <c r="AW521" i="27"/>
  <c r="BE521" i="27"/>
  <c r="AY334" i="27"/>
  <c r="BF334" i="27"/>
  <c r="AX334" i="27"/>
  <c r="BE334" i="27"/>
  <c r="AW334" i="27"/>
  <c r="BC334" i="27"/>
  <c r="BB334" i="27"/>
  <c r="AZ334" i="27"/>
  <c r="AV334" i="27"/>
  <c r="BD334" i="27"/>
  <c r="BA334" i="27"/>
  <c r="BB353" i="27"/>
  <c r="BA353" i="27"/>
  <c r="AZ353" i="27"/>
  <c r="BF353" i="27"/>
  <c r="AX353" i="27"/>
  <c r="BE353" i="27"/>
  <c r="AW353" i="27"/>
  <c r="BD353" i="27"/>
  <c r="BC353" i="27"/>
  <c r="AY353" i="27"/>
  <c r="AV353" i="27"/>
  <c r="BF252" i="27"/>
  <c r="AX252" i="27"/>
  <c r="BE252" i="27"/>
  <c r="AW252" i="27"/>
  <c r="BC252" i="27"/>
  <c r="BB252" i="27"/>
  <c r="BD252" i="27"/>
  <c r="BA252" i="27"/>
  <c r="AZ252" i="27"/>
  <c r="AY252" i="27"/>
  <c r="AV252" i="27"/>
  <c r="BE173" i="27"/>
  <c r="AW173" i="27"/>
  <c r="BD173" i="27"/>
  <c r="AV173" i="27"/>
  <c r="BC173" i="27"/>
  <c r="BB173" i="27"/>
  <c r="BA173" i="27"/>
  <c r="AZ173" i="27"/>
  <c r="AY173" i="27"/>
  <c r="AX173" i="27"/>
  <c r="BF173" i="27"/>
  <c r="BF595" i="27"/>
  <c r="AX595" i="27"/>
  <c r="BE595" i="27"/>
  <c r="AW595" i="27"/>
  <c r="BD595" i="27"/>
  <c r="AV595" i="27"/>
  <c r="BC595" i="27"/>
  <c r="BB595" i="27"/>
  <c r="BA595" i="27"/>
  <c r="AZ595" i="27"/>
  <c r="AY595" i="27"/>
  <c r="BB55" i="27"/>
  <c r="AZ55" i="27"/>
  <c r="AY55" i="27"/>
  <c r="BF55" i="27"/>
  <c r="AX55" i="27"/>
  <c r="BE55" i="27"/>
  <c r="AW55" i="27"/>
  <c r="BD55" i="27"/>
  <c r="AV55" i="27"/>
  <c r="BC55" i="27"/>
  <c r="BA55" i="27"/>
  <c r="AY560" i="27"/>
  <c r="BF560" i="27"/>
  <c r="AX560" i="27"/>
  <c r="BE560" i="27"/>
  <c r="AW560" i="27"/>
  <c r="BD560" i="27"/>
  <c r="AV560" i="27"/>
  <c r="BC560" i="27"/>
  <c r="BB560" i="27"/>
  <c r="BA560" i="27"/>
  <c r="AZ560" i="27"/>
  <c r="AY550" i="27"/>
  <c r="BF550" i="27"/>
  <c r="AX550" i="27"/>
  <c r="BE550" i="27"/>
  <c r="AW550" i="27"/>
  <c r="BD550" i="27"/>
  <c r="AV550" i="27"/>
  <c r="BC550" i="27"/>
  <c r="BB550" i="27"/>
  <c r="BA550" i="27"/>
  <c r="AZ550" i="27"/>
  <c r="BE245" i="27"/>
  <c r="BD245" i="27"/>
  <c r="BB245" i="27"/>
  <c r="BA245" i="27"/>
  <c r="AW245" i="27"/>
  <c r="AV245" i="27"/>
  <c r="BF245" i="27"/>
  <c r="BC245" i="27"/>
  <c r="AZ245" i="27"/>
  <c r="AY245" i="27"/>
  <c r="AX245" i="27"/>
  <c r="AZ599" i="27"/>
  <c r="AY599" i="27"/>
  <c r="BF599" i="27"/>
  <c r="AX599" i="27"/>
  <c r="BE599" i="27"/>
  <c r="AW599" i="27"/>
  <c r="BD599" i="27"/>
  <c r="AV599" i="27"/>
  <c r="BC599" i="27"/>
  <c r="BB599" i="27"/>
  <c r="BA599" i="27"/>
  <c r="AY592" i="27"/>
  <c r="BF592" i="27"/>
  <c r="AX592" i="27"/>
  <c r="BE592" i="27"/>
  <c r="AW592" i="27"/>
  <c r="BD592" i="27"/>
  <c r="AV592" i="27"/>
  <c r="BC592" i="27"/>
  <c r="BB592" i="27"/>
  <c r="BA592" i="27"/>
  <c r="AZ592" i="27"/>
  <c r="BD563" i="27"/>
  <c r="AV563" i="27"/>
  <c r="BC563" i="27"/>
  <c r="BB563" i="27"/>
  <c r="BA563" i="27"/>
  <c r="AZ563" i="27"/>
  <c r="AY563" i="27"/>
  <c r="BF563" i="27"/>
  <c r="AX563" i="27"/>
  <c r="BE563" i="27"/>
  <c r="AW563" i="27"/>
  <c r="BF513" i="27"/>
  <c r="AX513" i="27"/>
  <c r="BE513" i="27"/>
  <c r="AW513" i="27"/>
  <c r="BD513" i="27"/>
  <c r="AV513" i="27"/>
  <c r="BC513" i="27"/>
  <c r="BB513" i="27"/>
  <c r="BA513" i="27"/>
  <c r="AZ513" i="27"/>
  <c r="AY513" i="27"/>
  <c r="BE225" i="27"/>
  <c r="AW225" i="27"/>
  <c r="BD225" i="27"/>
  <c r="AV225" i="27"/>
  <c r="BC225" i="27"/>
  <c r="BB225" i="27"/>
  <c r="BA225" i="27"/>
  <c r="AZ225" i="27"/>
  <c r="AY225" i="27"/>
  <c r="BF225" i="27"/>
  <c r="AX225" i="27"/>
  <c r="BA110" i="27"/>
  <c r="AY110" i="27"/>
  <c r="BF110" i="27"/>
  <c r="AX110" i="27"/>
  <c r="BE110" i="27"/>
  <c r="AW110" i="27"/>
  <c r="BD110" i="27"/>
  <c r="AV110" i="27"/>
  <c r="BC110" i="27"/>
  <c r="BB110" i="27"/>
  <c r="AZ110" i="27"/>
  <c r="BA532" i="27"/>
  <c r="AZ532" i="27"/>
  <c r="AY532" i="27"/>
  <c r="BF532" i="27"/>
  <c r="AX532" i="27"/>
  <c r="BE532" i="27"/>
  <c r="AW532" i="27"/>
  <c r="BD532" i="27"/>
  <c r="AV532" i="27"/>
  <c r="BC532" i="27"/>
  <c r="BB532" i="27"/>
  <c r="AZ460" i="27"/>
  <c r="AY460" i="27"/>
  <c r="BE460" i="27"/>
  <c r="AW460" i="27"/>
  <c r="BD460" i="27"/>
  <c r="AV460" i="27"/>
  <c r="BC460" i="27"/>
  <c r="BB460" i="27"/>
  <c r="BA460" i="27"/>
  <c r="AX460" i="27"/>
  <c r="BF460" i="27"/>
  <c r="BA388" i="27"/>
  <c r="AZ388" i="27"/>
  <c r="AY388" i="27"/>
  <c r="BE388" i="27"/>
  <c r="AW388" i="27"/>
  <c r="BD388" i="27"/>
  <c r="AV388" i="27"/>
  <c r="BF388" i="27"/>
  <c r="BC388" i="27"/>
  <c r="BB388" i="27"/>
  <c r="AX388" i="27"/>
  <c r="BE352" i="27"/>
  <c r="AW352" i="27"/>
  <c r="BD352" i="27"/>
  <c r="AV352" i="27"/>
  <c r="BC352" i="27"/>
  <c r="BA352" i="27"/>
  <c r="AZ352" i="27"/>
  <c r="BF352" i="27"/>
  <c r="BB352" i="27"/>
  <c r="AY352" i="27"/>
  <c r="AX352" i="27"/>
  <c r="AZ587" i="27"/>
  <c r="AY587" i="27"/>
  <c r="BF587" i="27"/>
  <c r="AX587" i="27"/>
  <c r="BE587" i="27"/>
  <c r="AW587" i="27"/>
  <c r="BD587" i="27"/>
  <c r="AV587" i="27"/>
  <c r="BC587" i="27"/>
  <c r="BB587" i="27"/>
  <c r="BA587" i="27"/>
  <c r="BD551" i="27"/>
  <c r="AV551" i="27"/>
  <c r="BC551" i="27"/>
  <c r="BB551" i="27"/>
  <c r="BA551" i="27"/>
  <c r="AZ551" i="27"/>
  <c r="AY551" i="27"/>
  <c r="BF551" i="27"/>
  <c r="AX551" i="27"/>
  <c r="BE551" i="27"/>
  <c r="AW551" i="27"/>
  <c r="AY155" i="27"/>
  <c r="BF155" i="27"/>
  <c r="AX155" i="27"/>
  <c r="BE155" i="27"/>
  <c r="AW155" i="27"/>
  <c r="BD155" i="27"/>
  <c r="AV155" i="27"/>
  <c r="BC155" i="27"/>
  <c r="BB155" i="27"/>
  <c r="BA155" i="27"/>
  <c r="AZ155" i="27"/>
  <c r="AZ83" i="27"/>
  <c r="BF83" i="27"/>
  <c r="AX83" i="27"/>
  <c r="BE83" i="27"/>
  <c r="AW83" i="27"/>
  <c r="BD83" i="27"/>
  <c r="AV83" i="27"/>
  <c r="BC83" i="27"/>
  <c r="BB83" i="27"/>
  <c r="BA83" i="27"/>
  <c r="AY83" i="27"/>
  <c r="AZ577" i="27"/>
  <c r="AY577" i="27"/>
  <c r="BF577" i="27"/>
  <c r="AX577" i="27"/>
  <c r="BE577" i="27"/>
  <c r="AW577" i="27"/>
  <c r="BD577" i="27"/>
  <c r="AV577" i="27"/>
  <c r="BC577" i="27"/>
  <c r="BB577" i="27"/>
  <c r="BA577" i="27"/>
  <c r="AZ145" i="27"/>
  <c r="BF145" i="27"/>
  <c r="AX145" i="27"/>
  <c r="BE145" i="27"/>
  <c r="AW145" i="27"/>
  <c r="BD145" i="27"/>
  <c r="AV145" i="27"/>
  <c r="BC145" i="27"/>
  <c r="BA145" i="27"/>
  <c r="BB145" i="27"/>
  <c r="AY145" i="27"/>
  <c r="BD109" i="27"/>
  <c r="AV109" i="27"/>
  <c r="BB109" i="27"/>
  <c r="BA109" i="27"/>
  <c r="AZ109" i="27"/>
  <c r="AY109" i="27"/>
  <c r="BF109" i="27"/>
  <c r="AX109" i="27"/>
  <c r="AW109" i="27"/>
  <c r="BC109" i="27"/>
  <c r="BE109" i="27"/>
  <c r="BD37" i="27"/>
  <c r="AV37" i="27"/>
  <c r="BB37" i="27"/>
  <c r="BA37" i="27"/>
  <c r="AZ37" i="27"/>
  <c r="AY37" i="27"/>
  <c r="BF37" i="27"/>
  <c r="AX37" i="27"/>
  <c r="BC37" i="27"/>
  <c r="AW37" i="27"/>
  <c r="BE37" i="27"/>
  <c r="BF545" i="27"/>
  <c r="AX545" i="27"/>
  <c r="BE545" i="27"/>
  <c r="AW545" i="27"/>
  <c r="BD545" i="27"/>
  <c r="AV545" i="27"/>
  <c r="BC545" i="27"/>
  <c r="BB545" i="27"/>
  <c r="BA545" i="27"/>
  <c r="AZ545" i="27"/>
  <c r="AY545" i="27"/>
  <c r="BE416" i="27"/>
  <c r="AW416" i="27"/>
  <c r="BD416" i="27"/>
  <c r="AV416" i="27"/>
  <c r="BB416" i="27"/>
  <c r="BA416" i="27"/>
  <c r="AZ416" i="27"/>
  <c r="AY416" i="27"/>
  <c r="BF416" i="27"/>
  <c r="AX416" i="27"/>
  <c r="BC416" i="27"/>
  <c r="AY279" i="27"/>
  <c r="BF279" i="27"/>
  <c r="AX279" i="27"/>
  <c r="BD279" i="27"/>
  <c r="AV279" i="27"/>
  <c r="BC279" i="27"/>
  <c r="AW279" i="27"/>
  <c r="BE279" i="27"/>
  <c r="BB279" i="27"/>
  <c r="BA279" i="27"/>
  <c r="AZ279" i="27"/>
  <c r="AY118" i="27"/>
  <c r="BE118" i="27"/>
  <c r="AW118" i="27"/>
  <c r="BD118" i="27"/>
  <c r="AV118" i="27"/>
  <c r="BC118" i="27"/>
  <c r="BB118" i="27"/>
  <c r="BA118" i="27"/>
  <c r="BF118" i="27"/>
  <c r="AZ118" i="27"/>
  <c r="AX118" i="27"/>
  <c r="BD583" i="27"/>
  <c r="AV583" i="27"/>
  <c r="BC583" i="27"/>
  <c r="BB583" i="27"/>
  <c r="BA583" i="27"/>
  <c r="AZ583" i="27"/>
  <c r="AY583" i="27"/>
  <c r="BF583" i="27"/>
  <c r="AX583" i="27"/>
  <c r="BE583" i="27"/>
  <c r="AW583" i="27"/>
  <c r="BE461" i="27"/>
  <c r="AW461" i="27"/>
  <c r="BD461" i="27"/>
  <c r="AV461" i="27"/>
  <c r="BB461" i="27"/>
  <c r="BA461" i="27"/>
  <c r="AZ461" i="27"/>
  <c r="AY461" i="27"/>
  <c r="AX461" i="27"/>
  <c r="BF461" i="27"/>
  <c r="BC461" i="27"/>
  <c r="AY36" i="27"/>
  <c r="BE36" i="27"/>
  <c r="AW36" i="27"/>
  <c r="BD36" i="27"/>
  <c r="AV36" i="27"/>
  <c r="BC36" i="27"/>
  <c r="BB36" i="27"/>
  <c r="BA36" i="27"/>
  <c r="BF36" i="27"/>
  <c r="AX36" i="27"/>
  <c r="AZ36" i="27"/>
  <c r="BF91" i="27"/>
  <c r="AX91" i="27"/>
  <c r="BD91" i="27"/>
  <c r="AV91" i="27"/>
  <c r="BC91" i="27"/>
  <c r="BB91" i="27"/>
  <c r="BA91" i="27"/>
  <c r="AZ91" i="27"/>
  <c r="BE91" i="27"/>
  <c r="AW91" i="27"/>
  <c r="AY91" i="27"/>
  <c r="BF180" i="27"/>
  <c r="AX180" i="27"/>
  <c r="BE180" i="27"/>
  <c r="AW180" i="27"/>
  <c r="BD180" i="27"/>
  <c r="AV180" i="27"/>
  <c r="BC180" i="27"/>
  <c r="BB180" i="27"/>
  <c r="BA180" i="27"/>
  <c r="AZ180" i="27"/>
  <c r="AY180" i="27"/>
  <c r="BA199" i="27"/>
  <c r="AZ199" i="27"/>
  <c r="AY199" i="27"/>
  <c r="BF199" i="27"/>
  <c r="AX199" i="27"/>
  <c r="BE199" i="27"/>
  <c r="AW199" i="27"/>
  <c r="BD199" i="27"/>
  <c r="AV199" i="27"/>
  <c r="BC199" i="27"/>
  <c r="BB199" i="27"/>
  <c r="BC434" i="27"/>
  <c r="BB434" i="27"/>
  <c r="AZ434" i="27"/>
  <c r="AY434" i="27"/>
  <c r="BF434" i="27"/>
  <c r="AX434" i="27"/>
  <c r="BE434" i="27"/>
  <c r="AW434" i="27"/>
  <c r="BD434" i="27"/>
  <c r="AV434" i="27"/>
  <c r="BA434" i="27"/>
  <c r="BD290" i="27"/>
  <c r="AV290" i="27"/>
  <c r="BC290" i="27"/>
  <c r="BA290" i="27"/>
  <c r="AZ290" i="27"/>
  <c r="BF290" i="27"/>
  <c r="BE290" i="27"/>
  <c r="BB290" i="27"/>
  <c r="AY290" i="27"/>
  <c r="AX290" i="27"/>
  <c r="AW290" i="27"/>
  <c r="BC546" i="27"/>
  <c r="BB546" i="27"/>
  <c r="BA546" i="27"/>
  <c r="AZ546" i="27"/>
  <c r="AY546" i="27"/>
  <c r="BF546" i="27"/>
  <c r="AX546" i="27"/>
  <c r="BE546" i="27"/>
  <c r="AW546" i="27"/>
  <c r="BD546" i="27"/>
  <c r="AV546" i="27"/>
  <c r="AZ244" i="27"/>
  <c r="AY244" i="27"/>
  <c r="BF244" i="27"/>
  <c r="AX244" i="27"/>
  <c r="BE244" i="27"/>
  <c r="AW244" i="27"/>
  <c r="BD244" i="27"/>
  <c r="AV244" i="27"/>
  <c r="BC244" i="27"/>
  <c r="BB244" i="27"/>
  <c r="BA244" i="27"/>
  <c r="BA100" i="27"/>
  <c r="AY100" i="27"/>
  <c r="BF100" i="27"/>
  <c r="AX100" i="27"/>
  <c r="BE100" i="27"/>
  <c r="AW100" i="27"/>
  <c r="BD100" i="27"/>
  <c r="AV100" i="27"/>
  <c r="BC100" i="27"/>
  <c r="BB100" i="27"/>
  <c r="AZ100" i="27"/>
  <c r="BA28" i="27"/>
  <c r="AY28" i="27"/>
  <c r="BF28" i="27"/>
  <c r="AX28" i="27"/>
  <c r="BE28" i="27"/>
  <c r="AW28" i="27"/>
  <c r="BD28" i="27"/>
  <c r="AV28" i="27"/>
  <c r="BC28" i="27"/>
  <c r="BB28" i="27"/>
  <c r="AZ28" i="27"/>
  <c r="BE342" i="27"/>
  <c r="AW342" i="27"/>
  <c r="BD342" i="27"/>
  <c r="AV342" i="27"/>
  <c r="BC342" i="27"/>
  <c r="BA342" i="27"/>
  <c r="AZ342" i="27"/>
  <c r="AX342" i="27"/>
  <c r="BF342" i="27"/>
  <c r="BB342" i="27"/>
  <c r="AY342" i="27"/>
  <c r="BE126" i="27"/>
  <c r="AW126" i="27"/>
  <c r="BC126" i="27"/>
  <c r="BB126" i="27"/>
  <c r="BA126" i="27"/>
  <c r="AZ126" i="27"/>
  <c r="AY126" i="27"/>
  <c r="BF126" i="27"/>
  <c r="BD126" i="27"/>
  <c r="AX126" i="27"/>
  <c r="AV126" i="27"/>
  <c r="BB591" i="27"/>
  <c r="BA591" i="27"/>
  <c r="AZ591" i="27"/>
  <c r="AY591" i="27"/>
  <c r="BF591" i="27"/>
  <c r="AX591" i="27"/>
  <c r="BE591" i="27"/>
  <c r="AW591" i="27"/>
  <c r="BD591" i="27"/>
  <c r="AV591" i="27"/>
  <c r="BC591" i="27"/>
  <c r="BA574" i="27"/>
  <c r="AZ574" i="27"/>
  <c r="AY574" i="27"/>
  <c r="BF574" i="27"/>
  <c r="AX574" i="27"/>
  <c r="BE574" i="27"/>
  <c r="AW574" i="27"/>
  <c r="BD574" i="27"/>
  <c r="AV574" i="27"/>
  <c r="BC574" i="27"/>
  <c r="BB574" i="27"/>
  <c r="BB452" i="27"/>
  <c r="BA452" i="27"/>
  <c r="AY452" i="27"/>
  <c r="BF452" i="27"/>
  <c r="AX452" i="27"/>
  <c r="BE452" i="27"/>
  <c r="AW452" i="27"/>
  <c r="BD452" i="27"/>
  <c r="BC452" i="27"/>
  <c r="AZ452" i="27"/>
  <c r="AV452" i="27"/>
  <c r="BC380" i="27"/>
  <c r="BB380" i="27"/>
  <c r="BA380" i="27"/>
  <c r="AY380" i="27"/>
  <c r="BF380" i="27"/>
  <c r="AX380" i="27"/>
  <c r="BE380" i="27"/>
  <c r="BD380" i="27"/>
  <c r="AZ380" i="27"/>
  <c r="AW380" i="27"/>
  <c r="AV380" i="27"/>
  <c r="BB236" i="27"/>
  <c r="BA236" i="27"/>
  <c r="AZ236" i="27"/>
  <c r="AY236" i="27"/>
  <c r="BF236" i="27"/>
  <c r="AX236" i="27"/>
  <c r="BE236" i="27"/>
  <c r="AW236" i="27"/>
  <c r="BD236" i="27"/>
  <c r="AV236" i="27"/>
  <c r="BC236" i="27"/>
  <c r="AY56" i="27"/>
  <c r="BE56" i="27"/>
  <c r="AW56" i="27"/>
  <c r="BD56" i="27"/>
  <c r="AV56" i="27"/>
  <c r="BC56" i="27"/>
  <c r="BB56" i="27"/>
  <c r="BA56" i="27"/>
  <c r="AX56" i="27"/>
  <c r="AZ56" i="27"/>
  <c r="BF56" i="27"/>
  <c r="BC586" i="27"/>
  <c r="BB586" i="27"/>
  <c r="BA586" i="27"/>
  <c r="AZ586" i="27"/>
  <c r="AY586" i="27"/>
  <c r="BF586" i="27"/>
  <c r="AX586" i="27"/>
  <c r="BE586" i="27"/>
  <c r="AW586" i="27"/>
  <c r="BD586" i="27"/>
  <c r="AV586" i="27"/>
  <c r="BA564" i="27"/>
  <c r="AZ564" i="27"/>
  <c r="AY564" i="27"/>
  <c r="BF564" i="27"/>
  <c r="AX564" i="27"/>
  <c r="BE564" i="27"/>
  <c r="AW564" i="27"/>
  <c r="BD564" i="27"/>
  <c r="AV564" i="27"/>
  <c r="BC564" i="27"/>
  <c r="BB564" i="27"/>
  <c r="BE528" i="27"/>
  <c r="AW528" i="27"/>
  <c r="BD528" i="27"/>
  <c r="AV528" i="27"/>
  <c r="BC528" i="27"/>
  <c r="BB528" i="27"/>
  <c r="BA528" i="27"/>
  <c r="AZ528" i="27"/>
  <c r="AY528" i="27"/>
  <c r="BF528" i="27"/>
  <c r="AX528" i="27"/>
  <c r="BC298" i="27"/>
  <c r="BB298" i="27"/>
  <c r="BA298" i="27"/>
  <c r="AY298" i="27"/>
  <c r="BF298" i="27"/>
  <c r="AX298" i="27"/>
  <c r="BE298" i="27"/>
  <c r="BD298" i="27"/>
  <c r="AZ298" i="27"/>
  <c r="AW298" i="27"/>
  <c r="AV298" i="27"/>
  <c r="BB226" i="27"/>
  <c r="BA226" i="27"/>
  <c r="AZ226" i="27"/>
  <c r="AY226" i="27"/>
  <c r="BF226" i="27"/>
  <c r="AX226" i="27"/>
  <c r="BE226" i="27"/>
  <c r="AW226" i="27"/>
  <c r="BD226" i="27"/>
  <c r="AV226" i="27"/>
  <c r="BC226" i="27"/>
  <c r="AY46" i="27"/>
  <c r="BE46" i="27"/>
  <c r="AW46" i="27"/>
  <c r="BD46" i="27"/>
  <c r="AV46" i="27"/>
  <c r="BC46" i="27"/>
  <c r="BB46" i="27"/>
  <c r="BA46" i="27"/>
  <c r="BF46" i="27"/>
  <c r="AZ46" i="27"/>
  <c r="AX46" i="27"/>
  <c r="BE518" i="27"/>
  <c r="AW518" i="27"/>
  <c r="BD518" i="27"/>
  <c r="AV518" i="27"/>
  <c r="BC518" i="27"/>
  <c r="BB518" i="27"/>
  <c r="BA518" i="27"/>
  <c r="AZ518" i="27"/>
  <c r="AY518" i="27"/>
  <c r="BF518" i="27"/>
  <c r="AX518" i="27"/>
  <c r="AZ425" i="27"/>
  <c r="AY425" i="27"/>
  <c r="BE425" i="27"/>
  <c r="AW425" i="27"/>
  <c r="BD425" i="27"/>
  <c r="AV425" i="27"/>
  <c r="BC425" i="27"/>
  <c r="BB425" i="27"/>
  <c r="BA425" i="27"/>
  <c r="BF425" i="27"/>
  <c r="AX425" i="27"/>
  <c r="BA209" i="27"/>
  <c r="AZ209" i="27"/>
  <c r="AY209" i="27"/>
  <c r="BF209" i="27"/>
  <c r="AX209" i="27"/>
  <c r="BE209" i="27"/>
  <c r="AW209" i="27"/>
  <c r="BD209" i="27"/>
  <c r="AV209" i="27"/>
  <c r="BC209" i="27"/>
  <c r="BB209" i="27"/>
  <c r="BC566" i="27"/>
  <c r="BB566" i="27"/>
  <c r="BA566" i="27"/>
  <c r="AZ566" i="27"/>
  <c r="AY566" i="27"/>
  <c r="BF566" i="27"/>
  <c r="AX566" i="27"/>
  <c r="BE566" i="27"/>
  <c r="AW566" i="27"/>
  <c r="AV566" i="27"/>
  <c r="BD566" i="27"/>
  <c r="BF307" i="27"/>
  <c r="AX307" i="27"/>
  <c r="BE307" i="27"/>
  <c r="AW307" i="27"/>
  <c r="BD307" i="27"/>
  <c r="AV307" i="27"/>
  <c r="BB307" i="27"/>
  <c r="BA307" i="27"/>
  <c r="BC307" i="27"/>
  <c r="AZ307" i="27"/>
  <c r="AY307" i="27"/>
  <c r="BA271" i="27"/>
  <c r="AZ271" i="27"/>
  <c r="BF271" i="27"/>
  <c r="AX271" i="27"/>
  <c r="BE271" i="27"/>
  <c r="AW271" i="27"/>
  <c r="AY271" i="27"/>
  <c r="AV271" i="27"/>
  <c r="BD271" i="27"/>
  <c r="BC271" i="27"/>
  <c r="BB271" i="27"/>
  <c r="AJ599" i="27"/>
  <c r="AM599" i="27"/>
  <c r="AJ558" i="27"/>
  <c r="AM558" i="27"/>
  <c r="AJ538" i="27"/>
  <c r="AM538" i="27"/>
  <c r="AJ569" i="27"/>
  <c r="AM569" i="27"/>
  <c r="AJ585" i="27"/>
  <c r="AM585" i="27"/>
  <c r="AM546" i="27"/>
  <c r="AJ546" i="27"/>
  <c r="AM576" i="27"/>
  <c r="AJ576" i="27"/>
  <c r="AJ548" i="27"/>
  <c r="AM548" i="27"/>
  <c r="AJ596" i="27"/>
  <c r="AM596" i="27"/>
  <c r="AJ554" i="27"/>
  <c r="AM554" i="27"/>
  <c r="AJ519" i="27"/>
  <c r="AM519" i="27"/>
  <c r="AJ592" i="27"/>
  <c r="AM592" i="27"/>
  <c r="AJ575" i="27"/>
  <c r="AM575" i="27"/>
  <c r="AM574" i="27"/>
  <c r="AJ574" i="27"/>
  <c r="AJ564" i="27"/>
  <c r="AM564" i="27"/>
  <c r="AJ518" i="27"/>
  <c r="AM518" i="27"/>
  <c r="AJ577" i="27"/>
  <c r="AM577" i="27"/>
  <c r="AJ531" i="27"/>
  <c r="AM531" i="27"/>
  <c r="AJ605" i="27"/>
  <c r="AM605" i="27"/>
  <c r="AJ547" i="27"/>
  <c r="AM547" i="27"/>
  <c r="AJ600" i="27"/>
  <c r="AM600" i="27"/>
  <c r="AJ529" i="27"/>
  <c r="AM529" i="27"/>
  <c r="AJ601" i="27"/>
  <c r="AM601" i="27"/>
  <c r="AJ573" i="27"/>
  <c r="AM573" i="27"/>
  <c r="AJ540" i="27"/>
  <c r="AM540" i="27"/>
  <c r="AJ563" i="27"/>
  <c r="AM563" i="27"/>
  <c r="AJ559" i="27"/>
  <c r="AM559" i="27"/>
  <c r="AJ528" i="27"/>
  <c r="AM528" i="27"/>
  <c r="AJ602" i="27"/>
  <c r="AM602" i="27"/>
  <c r="AJ551" i="27"/>
  <c r="AM551" i="27"/>
  <c r="AJ586" i="27"/>
  <c r="AM586" i="27"/>
  <c r="AJ572" i="27"/>
  <c r="AM572" i="27"/>
  <c r="AJ549" i="27"/>
  <c r="AM549" i="27"/>
  <c r="AJ587" i="27"/>
  <c r="AM587" i="27"/>
  <c r="AJ603" i="27"/>
  <c r="AM603" i="27"/>
  <c r="AJ536" i="27"/>
  <c r="AM536" i="27"/>
  <c r="AJ568" i="27"/>
  <c r="AM568" i="27"/>
  <c r="AM524" i="27"/>
  <c r="AJ524" i="27"/>
  <c r="AJ578" i="27"/>
  <c r="AM578" i="27"/>
  <c r="AJ520" i="27"/>
  <c r="AM520" i="27"/>
  <c r="AJ604" i="27"/>
  <c r="AM604" i="27"/>
  <c r="AJ542" i="27"/>
  <c r="AM542" i="27"/>
  <c r="AJ539" i="27"/>
  <c r="AM539" i="27"/>
  <c r="AJ556" i="27"/>
  <c r="AM556" i="27"/>
  <c r="AJ522" i="27"/>
  <c r="AM522" i="27"/>
  <c r="AJ590" i="27"/>
  <c r="AM590" i="27"/>
  <c r="AJ593" i="27"/>
  <c r="AM593" i="27"/>
  <c r="AJ581" i="27"/>
  <c r="AM581" i="27"/>
  <c r="AJ523" i="27"/>
  <c r="AM523" i="27"/>
  <c r="AM584" i="27"/>
  <c r="AJ584" i="27"/>
  <c r="AJ550" i="27"/>
  <c r="AM550" i="27"/>
  <c r="AJ533" i="27"/>
  <c r="AM533" i="27"/>
  <c r="AJ541" i="27"/>
  <c r="AM541" i="27"/>
  <c r="AJ594" i="27"/>
  <c r="AM594" i="27"/>
  <c r="AJ595" i="27"/>
  <c r="AM595" i="27"/>
  <c r="AJ565" i="27"/>
  <c r="AM565" i="27"/>
  <c r="AJ527" i="27"/>
  <c r="AM527" i="27"/>
  <c r="AJ537" i="27"/>
  <c r="AM537" i="27"/>
  <c r="AJ530" i="27"/>
  <c r="AM530" i="27"/>
  <c r="AJ560" i="27"/>
  <c r="AM560" i="27"/>
  <c r="AM532" i="27"/>
  <c r="AJ532" i="27"/>
  <c r="AJ555" i="27"/>
  <c r="AM555" i="27"/>
  <c r="AJ545" i="27"/>
  <c r="AM545" i="27"/>
  <c r="AJ583" i="27"/>
  <c r="AM583" i="27"/>
  <c r="AM566" i="27"/>
  <c r="AJ566" i="27"/>
  <c r="AJ591" i="27"/>
  <c r="AM591" i="27"/>
  <c r="AJ582" i="27"/>
  <c r="AM582" i="27"/>
  <c r="AJ567" i="27"/>
  <c r="AM567" i="27"/>
  <c r="AJ557" i="27"/>
  <c r="AM557" i="27"/>
  <c r="AJ521" i="27"/>
  <c r="AM521" i="27"/>
  <c r="V69" i="28"/>
  <c r="U69" i="28"/>
  <c r="X69" i="28"/>
  <c r="W69" i="28"/>
  <c r="X146" i="28"/>
  <c r="W146" i="28"/>
  <c r="V146" i="28"/>
  <c r="U146" i="28"/>
  <c r="X286" i="28"/>
  <c r="W286" i="28"/>
  <c r="V286" i="28"/>
  <c r="U286" i="28"/>
  <c r="U734" i="28"/>
  <c r="W734" i="28"/>
  <c r="X734" i="28"/>
  <c r="V734" i="28"/>
  <c r="W125" i="28"/>
  <c r="V125" i="28"/>
  <c r="U125" i="28"/>
  <c r="X125" i="28"/>
  <c r="X573" i="28"/>
  <c r="V573" i="28"/>
  <c r="U573" i="28"/>
  <c r="W573" i="28"/>
  <c r="W76" i="28"/>
  <c r="V76" i="28"/>
  <c r="U76" i="28"/>
  <c r="X76" i="28"/>
  <c r="X524" i="28"/>
  <c r="W524" i="28"/>
  <c r="V524" i="28"/>
  <c r="U524" i="28"/>
  <c r="V160" i="28"/>
  <c r="U160" i="28"/>
  <c r="X160" i="28"/>
  <c r="W160" i="28"/>
  <c r="U307" i="28"/>
  <c r="X307" i="28"/>
  <c r="W307" i="28"/>
  <c r="V307" i="28"/>
  <c r="X755" i="28"/>
  <c r="W755" i="28"/>
  <c r="U755" i="28"/>
  <c r="V755" i="28"/>
  <c r="X202" i="28"/>
  <c r="W202" i="28"/>
  <c r="V202" i="28"/>
  <c r="U202" i="28"/>
  <c r="X650" i="28"/>
  <c r="W650" i="28"/>
  <c r="V650" i="28"/>
  <c r="U650" i="28"/>
  <c r="X97" i="28"/>
  <c r="W97" i="28"/>
  <c r="U97" i="28"/>
  <c r="V97" i="28"/>
  <c r="U545" i="28"/>
  <c r="X545" i="28"/>
  <c r="W545" i="28"/>
  <c r="V545" i="28"/>
  <c r="X440" i="28"/>
  <c r="W440" i="28"/>
  <c r="V440" i="28"/>
  <c r="U440" i="28"/>
  <c r="W391" i="28"/>
  <c r="V391" i="28"/>
  <c r="U391" i="28"/>
  <c r="X391" i="28"/>
  <c r="X839" i="28"/>
  <c r="W839" i="28"/>
  <c r="V839" i="28"/>
  <c r="U839" i="28"/>
  <c r="X48" i="28"/>
  <c r="W48" i="28"/>
  <c r="V48" i="28"/>
  <c r="U48" i="28"/>
  <c r="V783" i="28"/>
  <c r="U783" i="28"/>
  <c r="W783" i="28"/>
  <c r="X783" i="28"/>
  <c r="X342" i="28"/>
  <c r="W342" i="28"/>
  <c r="V342" i="28"/>
  <c r="U342" i="28"/>
  <c r="X790" i="28"/>
  <c r="V790" i="28"/>
  <c r="U790" i="28"/>
  <c r="W790" i="28"/>
  <c r="X181" i="28"/>
  <c r="W181" i="28"/>
  <c r="V181" i="28"/>
  <c r="U181" i="28"/>
  <c r="U629" i="28"/>
  <c r="X629" i="28"/>
  <c r="W629" i="28"/>
  <c r="V629" i="28"/>
  <c r="W132" i="28"/>
  <c r="V132" i="28"/>
  <c r="U132" i="28"/>
  <c r="X132" i="28"/>
  <c r="W580" i="28"/>
  <c r="V580" i="28"/>
  <c r="U580" i="28"/>
  <c r="X580" i="28"/>
  <c r="U496" i="28"/>
  <c r="X496" i="28"/>
  <c r="W496" i="28"/>
  <c r="V496" i="28"/>
  <c r="U363" i="28"/>
  <c r="X363" i="28"/>
  <c r="W363" i="28"/>
  <c r="V363" i="28"/>
  <c r="U811" i="28"/>
  <c r="V811" i="28"/>
  <c r="X811" i="28"/>
  <c r="W811" i="28"/>
  <c r="X258" i="28"/>
  <c r="U258" i="28"/>
  <c r="W258" i="28"/>
  <c r="V258" i="28"/>
  <c r="V706" i="28"/>
  <c r="W706" i="28"/>
  <c r="U706" i="28"/>
  <c r="X706" i="28"/>
  <c r="U153" i="28"/>
  <c r="V153" i="28"/>
  <c r="X153" i="28"/>
  <c r="W153" i="28"/>
  <c r="W601" i="28"/>
  <c r="V601" i="28"/>
  <c r="U601" i="28"/>
  <c r="X601" i="28"/>
  <c r="X664" i="28"/>
  <c r="W664" i="28"/>
  <c r="V664" i="28"/>
  <c r="U664" i="28"/>
  <c r="U447" i="28"/>
  <c r="X447" i="28"/>
  <c r="W447" i="28"/>
  <c r="V447" i="28"/>
  <c r="V895" i="28"/>
  <c r="U895" i="28"/>
  <c r="W895" i="28"/>
  <c r="X895" i="28"/>
  <c r="X251" i="28"/>
  <c r="W251" i="28"/>
  <c r="V251" i="28"/>
  <c r="U251" i="28"/>
  <c r="U489" i="28"/>
  <c r="X489" i="28"/>
  <c r="W489" i="28"/>
  <c r="V489" i="28"/>
  <c r="X398" i="28"/>
  <c r="W398" i="28"/>
  <c r="V398" i="28"/>
  <c r="U398" i="28"/>
  <c r="X846" i="28"/>
  <c r="V846" i="28"/>
  <c r="W846" i="28"/>
  <c r="U846" i="28"/>
  <c r="X237" i="28"/>
  <c r="W237" i="28"/>
  <c r="V237" i="28"/>
  <c r="U237" i="28"/>
  <c r="X685" i="28"/>
  <c r="V685" i="28"/>
  <c r="U685" i="28"/>
  <c r="W685" i="28"/>
  <c r="X188" i="28"/>
  <c r="W188" i="28"/>
  <c r="V188" i="28"/>
  <c r="U188" i="28"/>
  <c r="V636" i="28"/>
  <c r="U636" i="28"/>
  <c r="X636" i="28"/>
  <c r="W636" i="28"/>
  <c r="X832" i="28"/>
  <c r="V832" i="28"/>
  <c r="U832" i="28"/>
  <c r="W832" i="28"/>
  <c r="U419" i="28"/>
  <c r="W419" i="28"/>
  <c r="V419" i="28"/>
  <c r="X419" i="28"/>
  <c r="X867" i="28"/>
  <c r="V867" i="28"/>
  <c r="U867" i="28"/>
  <c r="W867" i="28"/>
  <c r="X314" i="28"/>
  <c r="W314" i="28"/>
  <c r="V314" i="28"/>
  <c r="U314" i="28"/>
  <c r="X762" i="28"/>
  <c r="V762" i="28"/>
  <c r="W762" i="28"/>
  <c r="U762" i="28"/>
  <c r="X209" i="28"/>
  <c r="W209" i="28"/>
  <c r="V209" i="28"/>
  <c r="U209" i="28"/>
  <c r="W657" i="28"/>
  <c r="V657" i="28"/>
  <c r="U657" i="28"/>
  <c r="X657" i="28"/>
  <c r="X55" i="28"/>
  <c r="V55" i="28"/>
  <c r="W55" i="28"/>
  <c r="U55" i="28"/>
  <c r="U503" i="28"/>
  <c r="X503" i="28"/>
  <c r="W503" i="28"/>
  <c r="V503" i="28"/>
  <c r="W384" i="28"/>
  <c r="U384" i="28"/>
  <c r="X384" i="28"/>
  <c r="V384" i="28"/>
  <c r="X468" i="28"/>
  <c r="W468" i="28"/>
  <c r="V468" i="28"/>
  <c r="U468" i="28"/>
  <c r="X104" i="28"/>
  <c r="W104" i="28"/>
  <c r="V104" i="28"/>
  <c r="U104" i="28"/>
  <c r="U454" i="28"/>
  <c r="X454" i="28"/>
  <c r="W454" i="28"/>
  <c r="V454" i="28"/>
  <c r="W902" i="28"/>
  <c r="X902" i="28"/>
  <c r="U902" i="28"/>
  <c r="V902" i="28"/>
  <c r="U293" i="28"/>
  <c r="X293" i="28"/>
  <c r="W293" i="28"/>
  <c r="V293" i="28"/>
  <c r="W741" i="28"/>
  <c r="V741" i="28"/>
  <c r="U741" i="28"/>
  <c r="X741" i="28"/>
  <c r="W244" i="28"/>
  <c r="V244" i="28"/>
  <c r="U244" i="28"/>
  <c r="X244" i="28"/>
  <c r="U692" i="28"/>
  <c r="X692" i="28"/>
  <c r="W692" i="28"/>
  <c r="V692" i="28"/>
  <c r="X27" i="28"/>
  <c r="W27" i="28"/>
  <c r="U27" i="28"/>
  <c r="V27" i="28"/>
  <c r="U475" i="28"/>
  <c r="X475" i="28"/>
  <c r="V475" i="28"/>
  <c r="W475" i="28"/>
  <c r="U328" i="28"/>
  <c r="W328" i="28"/>
  <c r="V328" i="28"/>
  <c r="X328" i="28"/>
  <c r="X370" i="28"/>
  <c r="W370" i="28"/>
  <c r="V370" i="28"/>
  <c r="U370" i="28"/>
  <c r="X818" i="28"/>
  <c r="V818" i="28"/>
  <c r="U818" i="28"/>
  <c r="W818" i="28"/>
  <c r="U265" i="28"/>
  <c r="X265" i="28"/>
  <c r="W265" i="28"/>
  <c r="V265" i="28"/>
  <c r="V713" i="28"/>
  <c r="W713" i="28"/>
  <c r="U713" i="28"/>
  <c r="X713" i="28"/>
  <c r="X111" i="28"/>
  <c r="W111" i="28"/>
  <c r="V111" i="28"/>
  <c r="U111" i="28"/>
  <c r="X559" i="28"/>
  <c r="W559" i="28"/>
  <c r="V559" i="28"/>
  <c r="U559" i="28"/>
  <c r="X776" i="28"/>
  <c r="V776" i="28"/>
  <c r="U776" i="28"/>
  <c r="W776" i="28"/>
  <c r="V230" i="28"/>
  <c r="U230" i="28"/>
  <c r="X230" i="28"/>
  <c r="W230" i="28"/>
  <c r="X916" i="28"/>
  <c r="V916" i="28"/>
  <c r="U916" i="28"/>
  <c r="W916" i="28"/>
  <c r="X594" i="28"/>
  <c r="W594" i="28"/>
  <c r="V594" i="28"/>
  <c r="U594" i="28"/>
  <c r="V62" i="28"/>
  <c r="U62" i="28"/>
  <c r="X62" i="28"/>
  <c r="W62" i="28"/>
  <c r="X510" i="28"/>
  <c r="W510" i="28"/>
  <c r="V510" i="28"/>
  <c r="U510" i="28"/>
  <c r="X216" i="28"/>
  <c r="W216" i="28"/>
  <c r="V216" i="28"/>
  <c r="U216" i="28"/>
  <c r="U349" i="28"/>
  <c r="X349" i="28"/>
  <c r="V349" i="28"/>
  <c r="W349" i="28"/>
  <c r="U797" i="28"/>
  <c r="X797" i="28"/>
  <c r="V797" i="28"/>
  <c r="W797" i="28"/>
  <c r="U300" i="28"/>
  <c r="X300" i="28"/>
  <c r="W300" i="28"/>
  <c r="V300" i="28"/>
  <c r="X748" i="28"/>
  <c r="V748" i="28"/>
  <c r="U748" i="28"/>
  <c r="W748" i="28"/>
  <c r="X83" i="28"/>
  <c r="W83" i="28"/>
  <c r="V83" i="28"/>
  <c r="U83" i="28"/>
  <c r="U531" i="28"/>
  <c r="X531" i="28"/>
  <c r="W531" i="28"/>
  <c r="V531" i="28"/>
  <c r="X720" i="28"/>
  <c r="V720" i="28"/>
  <c r="U720" i="28"/>
  <c r="W720" i="28"/>
  <c r="X426" i="28"/>
  <c r="W426" i="28"/>
  <c r="V426" i="28"/>
  <c r="U426" i="28"/>
  <c r="X874" i="28"/>
  <c r="V874" i="28"/>
  <c r="U874" i="28"/>
  <c r="W874" i="28"/>
  <c r="U321" i="28"/>
  <c r="X321" i="28"/>
  <c r="W321" i="28"/>
  <c r="V321" i="28"/>
  <c r="U769" i="28"/>
  <c r="V769" i="28"/>
  <c r="X769" i="28"/>
  <c r="W769" i="28"/>
  <c r="U167" i="28"/>
  <c r="X167" i="28"/>
  <c r="W167" i="28"/>
  <c r="V167" i="28"/>
  <c r="W615" i="28"/>
  <c r="V615" i="28"/>
  <c r="U615" i="28"/>
  <c r="X615" i="28"/>
  <c r="U517" i="28"/>
  <c r="X517" i="28"/>
  <c r="W517" i="28"/>
  <c r="V517" i="28"/>
  <c r="U41" i="28"/>
  <c r="V41" i="28"/>
  <c r="X41" i="28"/>
  <c r="W41" i="28"/>
  <c r="X118" i="28"/>
  <c r="W118" i="28"/>
  <c r="V118" i="28"/>
  <c r="U118" i="28"/>
  <c r="X566" i="28"/>
  <c r="W566" i="28"/>
  <c r="V566" i="28"/>
  <c r="U566" i="28"/>
  <c r="X552" i="28"/>
  <c r="W552" i="28"/>
  <c r="V552" i="28"/>
  <c r="U552" i="28"/>
  <c r="U405" i="28"/>
  <c r="X405" i="28"/>
  <c r="W405" i="28"/>
  <c r="V405" i="28"/>
  <c r="V853" i="28"/>
  <c r="U853" i="28"/>
  <c r="X853" i="28"/>
  <c r="W853" i="28"/>
  <c r="V356" i="28"/>
  <c r="U356" i="28"/>
  <c r="X356" i="28"/>
  <c r="W356" i="28"/>
  <c r="X804" i="28"/>
  <c r="V804" i="28"/>
  <c r="U804" i="28"/>
  <c r="W804" i="28"/>
  <c r="X139" i="28"/>
  <c r="W139" i="28"/>
  <c r="V139" i="28"/>
  <c r="U139" i="28"/>
  <c r="V587" i="28"/>
  <c r="U587" i="28"/>
  <c r="X587" i="28"/>
  <c r="W587" i="28"/>
  <c r="W34" i="28"/>
  <c r="V34" i="28"/>
  <c r="U34" i="28"/>
  <c r="X34" i="28"/>
  <c r="W482" i="28"/>
  <c r="U482" i="28"/>
  <c r="X482" i="28"/>
  <c r="V482" i="28"/>
  <c r="X272" i="28"/>
  <c r="W272" i="28"/>
  <c r="V272" i="28"/>
  <c r="U272" i="28"/>
  <c r="X377" i="28"/>
  <c r="W377" i="28"/>
  <c r="V377" i="28"/>
  <c r="U377" i="28"/>
  <c r="V825" i="28"/>
  <c r="X825" i="28"/>
  <c r="U825" i="28"/>
  <c r="W825" i="28"/>
  <c r="X223" i="28"/>
  <c r="W223" i="28"/>
  <c r="V223" i="28"/>
  <c r="U223" i="28"/>
  <c r="V671" i="28"/>
  <c r="W671" i="28"/>
  <c r="U671" i="28"/>
  <c r="X671" i="28"/>
  <c r="W678" i="28"/>
  <c r="V678" i="28"/>
  <c r="U678" i="28"/>
  <c r="X678" i="28"/>
  <c r="W699" i="28"/>
  <c r="U699" i="28"/>
  <c r="X699" i="28"/>
  <c r="V699" i="28"/>
  <c r="U335" i="28"/>
  <c r="X335" i="28"/>
  <c r="V335" i="28"/>
  <c r="W335" i="28"/>
  <c r="X174" i="28"/>
  <c r="W174" i="28"/>
  <c r="V174" i="28"/>
  <c r="U174" i="28"/>
  <c r="X622" i="28"/>
  <c r="W622" i="28"/>
  <c r="V622" i="28"/>
  <c r="U622" i="28"/>
  <c r="W888" i="28"/>
  <c r="V888" i="28"/>
  <c r="U888" i="28"/>
  <c r="X888" i="28"/>
  <c r="X461" i="28"/>
  <c r="W461" i="28"/>
  <c r="V461" i="28"/>
  <c r="U461" i="28"/>
  <c r="X909" i="28"/>
  <c r="W909" i="28"/>
  <c r="V909" i="28"/>
  <c r="U909" i="28"/>
  <c r="W412" i="28"/>
  <c r="V412" i="28"/>
  <c r="U412" i="28"/>
  <c r="X412" i="28"/>
  <c r="U860" i="28"/>
  <c r="W860" i="28"/>
  <c r="X860" i="28"/>
  <c r="V860" i="28"/>
  <c r="X195" i="28"/>
  <c r="U195" i="28"/>
  <c r="V195" i="28"/>
  <c r="W195" i="28"/>
  <c r="W643" i="28"/>
  <c r="V643" i="28"/>
  <c r="U643" i="28"/>
  <c r="X643" i="28"/>
  <c r="V90" i="28"/>
  <c r="U90" i="28"/>
  <c r="X90" i="28"/>
  <c r="W90" i="28"/>
  <c r="X538" i="28"/>
  <c r="W538" i="28"/>
  <c r="U538" i="28"/>
  <c r="V538" i="28"/>
  <c r="U608" i="28"/>
  <c r="W608" i="28"/>
  <c r="V608" i="28"/>
  <c r="X608" i="28"/>
  <c r="U433" i="28"/>
  <c r="X433" i="28"/>
  <c r="W433" i="28"/>
  <c r="V433" i="28"/>
  <c r="V881" i="28"/>
  <c r="U881" i="28"/>
  <c r="W881" i="28"/>
  <c r="X881" i="28"/>
  <c r="X279" i="28"/>
  <c r="W279" i="28"/>
  <c r="V279" i="28"/>
  <c r="U279" i="28"/>
  <c r="U727" i="28"/>
  <c r="X727" i="28"/>
  <c r="W727" i="28"/>
  <c r="V727" i="28"/>
  <c r="AD756" i="28"/>
  <c r="AD203" i="28"/>
  <c r="AD392" i="28"/>
  <c r="AD399" i="28"/>
  <c r="AD847" i="28"/>
  <c r="AD238" i="28"/>
  <c r="AD686" i="28"/>
  <c r="AD189" i="28"/>
  <c r="AD637" i="28"/>
  <c r="AD833" i="28"/>
  <c r="AD420" i="28"/>
  <c r="AD868" i="28"/>
  <c r="AD315" i="28"/>
  <c r="AD763" i="28"/>
  <c r="AD210" i="28"/>
  <c r="AD658" i="28"/>
  <c r="AD56" i="28"/>
  <c r="AD504" i="28"/>
  <c r="AD385" i="28"/>
  <c r="AD126" i="28"/>
  <c r="AD441" i="28"/>
  <c r="AD805" i="28"/>
  <c r="AD483" i="28"/>
  <c r="AD231" i="28"/>
  <c r="AD679" i="28"/>
  <c r="AD70" i="28"/>
  <c r="AD518" i="28"/>
  <c r="AD49" i="28"/>
  <c r="AD469" i="28"/>
  <c r="AD917" i="28"/>
  <c r="AD252" i="28"/>
  <c r="AD700" i="28"/>
  <c r="AD147" i="28"/>
  <c r="AD595" i="28"/>
  <c r="AD42" i="28"/>
  <c r="AD490" i="28"/>
  <c r="AD105" i="28"/>
  <c r="AD336" i="28"/>
  <c r="AD784" i="28"/>
  <c r="AD287" i="28"/>
  <c r="AD574" i="28"/>
  <c r="AD77" i="28"/>
  <c r="AD525" i="28"/>
  <c r="AD161" i="28"/>
  <c r="AD308" i="28"/>
  <c r="AD651" i="28"/>
  <c r="AD98" i="28"/>
  <c r="AD546" i="28"/>
  <c r="AD273" i="28"/>
  <c r="AD224" i="28"/>
  <c r="AD63" i="28"/>
  <c r="AD511" i="28"/>
  <c r="AD217" i="28"/>
  <c r="AD350" i="28"/>
  <c r="AD798" i="28"/>
  <c r="AD301" i="28"/>
  <c r="AD749" i="28"/>
  <c r="AD84" i="28"/>
  <c r="AD532" i="28"/>
  <c r="AD721" i="28"/>
  <c r="AD427" i="28"/>
  <c r="AD875" i="28"/>
  <c r="AD322" i="28"/>
  <c r="AD770" i="28"/>
  <c r="AD168" i="28"/>
  <c r="AD616" i="28"/>
  <c r="AD735" i="28"/>
  <c r="AD840" i="28"/>
  <c r="AD119" i="28"/>
  <c r="AD567" i="28"/>
  <c r="AD553" i="28"/>
  <c r="AD406" i="28"/>
  <c r="AD140" i="28"/>
  <c r="AD672" i="28"/>
  <c r="AD343" i="28"/>
  <c r="AD791" i="28"/>
  <c r="AD182" i="28"/>
  <c r="AD630" i="28"/>
  <c r="AD133" i="28"/>
  <c r="AD581" i="28"/>
  <c r="AD497" i="28"/>
  <c r="AD364" i="28"/>
  <c r="AD812" i="28"/>
  <c r="AD259" i="28"/>
  <c r="AD707" i="28"/>
  <c r="AD154" i="28"/>
  <c r="AD602" i="28"/>
  <c r="AD665" i="28"/>
  <c r="AD448" i="28"/>
  <c r="AD896" i="28"/>
  <c r="AD357" i="28"/>
  <c r="AD588" i="28"/>
  <c r="AD378" i="28"/>
  <c r="AD175" i="28"/>
  <c r="AD623" i="28"/>
  <c r="AD889" i="28"/>
  <c r="AD462" i="28"/>
  <c r="AD910" i="28"/>
  <c r="AD413" i="28"/>
  <c r="AD861" i="28"/>
  <c r="AD196" i="28"/>
  <c r="AD644" i="28"/>
  <c r="AD91" i="28"/>
  <c r="AD539" i="28"/>
  <c r="AD609" i="28"/>
  <c r="AD434" i="28"/>
  <c r="AD882" i="28"/>
  <c r="AD280" i="28"/>
  <c r="AD728" i="28"/>
  <c r="AD854" i="28"/>
  <c r="AD35" i="28"/>
  <c r="AD826" i="28"/>
  <c r="AD455" i="28"/>
  <c r="AD903" i="28"/>
  <c r="AD294" i="28"/>
  <c r="AD742" i="28"/>
  <c r="AD245" i="28"/>
  <c r="AD693" i="28"/>
  <c r="AD28" i="28"/>
  <c r="AD476" i="28"/>
  <c r="AD329" i="28"/>
  <c r="AD371" i="28"/>
  <c r="AD819" i="28"/>
  <c r="AD266" i="28"/>
  <c r="AD714" i="28"/>
  <c r="AD112" i="28"/>
  <c r="AD560" i="28"/>
  <c r="AD777" i="28"/>
  <c r="AW13" i="27"/>
  <c r="AW12" i="27"/>
  <c r="AW14" i="27"/>
  <c r="E18" i="2"/>
  <c r="U511" i="28" l="1"/>
  <c r="X511" i="28"/>
  <c r="W511" i="28"/>
  <c r="V511" i="28"/>
  <c r="V294" i="28"/>
  <c r="U294" i="28"/>
  <c r="X294" i="28"/>
  <c r="W294" i="28"/>
  <c r="X882" i="28"/>
  <c r="V882" i="28"/>
  <c r="U882" i="28"/>
  <c r="W882" i="28"/>
  <c r="X413" i="28"/>
  <c r="U413" i="28"/>
  <c r="W413" i="28"/>
  <c r="V413" i="28"/>
  <c r="U357" i="28"/>
  <c r="X357" i="28"/>
  <c r="W357" i="28"/>
  <c r="V357" i="28"/>
  <c r="X812" i="28"/>
  <c r="V812" i="28"/>
  <c r="U812" i="28"/>
  <c r="W812" i="28"/>
  <c r="U343" i="28"/>
  <c r="X343" i="28"/>
  <c r="W343" i="28"/>
  <c r="V343" i="28"/>
  <c r="W735" i="28"/>
  <c r="X735" i="28"/>
  <c r="V735" i="28"/>
  <c r="U735" i="28"/>
  <c r="V532" i="28"/>
  <c r="U532" i="28"/>
  <c r="X532" i="28"/>
  <c r="W532" i="28"/>
  <c r="X63" i="28"/>
  <c r="W63" i="28"/>
  <c r="U63" i="28"/>
  <c r="V63" i="28"/>
  <c r="X525" i="28"/>
  <c r="W525" i="28"/>
  <c r="V525" i="28"/>
  <c r="U525" i="28"/>
  <c r="W42" i="28"/>
  <c r="X42" i="28"/>
  <c r="V42" i="28"/>
  <c r="U42" i="28"/>
  <c r="W518" i="28"/>
  <c r="V518" i="28"/>
  <c r="X518" i="28"/>
  <c r="U518" i="28"/>
  <c r="U385" i="28"/>
  <c r="X385" i="28"/>
  <c r="W385" i="28"/>
  <c r="V385" i="28"/>
  <c r="V420" i="28"/>
  <c r="U420" i="28"/>
  <c r="X420" i="28"/>
  <c r="W420" i="28"/>
  <c r="U392" i="28"/>
  <c r="W392" i="28"/>
  <c r="V392" i="28"/>
  <c r="X392" i="28"/>
  <c r="W266" i="28"/>
  <c r="V266" i="28"/>
  <c r="U266" i="28"/>
  <c r="X266" i="28"/>
  <c r="X791" i="28"/>
  <c r="W791" i="28"/>
  <c r="U791" i="28"/>
  <c r="V791" i="28"/>
  <c r="X490" i="28"/>
  <c r="W490" i="28"/>
  <c r="V490" i="28"/>
  <c r="U490" i="28"/>
  <c r="X903" i="28"/>
  <c r="W903" i="28"/>
  <c r="V903" i="28"/>
  <c r="U903" i="28"/>
  <c r="X434" i="28"/>
  <c r="W434" i="28"/>
  <c r="V434" i="28"/>
  <c r="U434" i="28"/>
  <c r="X910" i="28"/>
  <c r="V910" i="28"/>
  <c r="U910" i="28"/>
  <c r="W910" i="28"/>
  <c r="X896" i="28"/>
  <c r="V896" i="28"/>
  <c r="U896" i="28"/>
  <c r="W896" i="28"/>
  <c r="U364" i="28"/>
  <c r="X364" i="28"/>
  <c r="W364" i="28"/>
  <c r="V364" i="28"/>
  <c r="U672" i="28"/>
  <c r="X672" i="28"/>
  <c r="W672" i="28"/>
  <c r="V672" i="28"/>
  <c r="X616" i="28"/>
  <c r="W616" i="28"/>
  <c r="V616" i="28"/>
  <c r="U616" i="28"/>
  <c r="X84" i="28"/>
  <c r="W84" i="28"/>
  <c r="V84" i="28"/>
  <c r="U84" i="28"/>
  <c r="X224" i="28"/>
  <c r="W224" i="28"/>
  <c r="V224" i="28"/>
  <c r="U224" i="28"/>
  <c r="U77" i="28"/>
  <c r="W77" i="28"/>
  <c r="V77" i="28"/>
  <c r="X77" i="28"/>
  <c r="W595" i="28"/>
  <c r="V595" i="28"/>
  <c r="U595" i="28"/>
  <c r="X595" i="28"/>
  <c r="X70" i="28"/>
  <c r="V70" i="28"/>
  <c r="U70" i="28"/>
  <c r="W70" i="28"/>
  <c r="X504" i="28"/>
  <c r="W504" i="28"/>
  <c r="V504" i="28"/>
  <c r="U504" i="28"/>
  <c r="V833" i="28"/>
  <c r="U833" i="28"/>
  <c r="W833" i="28"/>
  <c r="X833" i="28"/>
  <c r="X203" i="28"/>
  <c r="W203" i="28"/>
  <c r="V203" i="28"/>
  <c r="U203" i="28"/>
  <c r="W861" i="28"/>
  <c r="V861" i="28"/>
  <c r="U861" i="28"/>
  <c r="X861" i="28"/>
  <c r="W161" i="28"/>
  <c r="U161" i="28"/>
  <c r="V161" i="28"/>
  <c r="X161" i="28"/>
  <c r="U371" i="28"/>
  <c r="X371" i="28"/>
  <c r="W371" i="28"/>
  <c r="V371" i="28"/>
  <c r="U329" i="28"/>
  <c r="X329" i="28"/>
  <c r="W329" i="28"/>
  <c r="V329" i="28"/>
  <c r="U455" i="28"/>
  <c r="X455" i="28"/>
  <c r="W455" i="28"/>
  <c r="V455" i="28"/>
  <c r="W609" i="28"/>
  <c r="V609" i="28"/>
  <c r="U609" i="28"/>
  <c r="X609" i="28"/>
  <c r="W462" i="28"/>
  <c r="V462" i="28"/>
  <c r="U462" i="28"/>
  <c r="X462" i="28"/>
  <c r="X448" i="28"/>
  <c r="V448" i="28"/>
  <c r="U448" i="28"/>
  <c r="W448" i="28"/>
  <c r="U497" i="28"/>
  <c r="V497" i="28"/>
  <c r="X497" i="28"/>
  <c r="W497" i="28"/>
  <c r="V140" i="28"/>
  <c r="U140" i="28"/>
  <c r="X140" i="28"/>
  <c r="W140" i="28"/>
  <c r="X168" i="28"/>
  <c r="W168" i="28"/>
  <c r="V168" i="28"/>
  <c r="U168" i="28"/>
  <c r="W749" i="28"/>
  <c r="V749" i="28"/>
  <c r="U749" i="28"/>
  <c r="X749" i="28"/>
  <c r="V273" i="28"/>
  <c r="X273" i="28"/>
  <c r="W273" i="28"/>
  <c r="U273" i="28"/>
  <c r="V574" i="28"/>
  <c r="U574" i="28"/>
  <c r="X574" i="28"/>
  <c r="W574" i="28"/>
  <c r="X147" i="28"/>
  <c r="W147" i="28"/>
  <c r="V147" i="28"/>
  <c r="U147" i="28"/>
  <c r="W679" i="28"/>
  <c r="U679" i="28"/>
  <c r="X679" i="28"/>
  <c r="V679" i="28"/>
  <c r="X56" i="28"/>
  <c r="W56" i="28"/>
  <c r="V56" i="28"/>
  <c r="U56" i="28"/>
  <c r="X637" i="28"/>
  <c r="W637" i="28"/>
  <c r="V637" i="28"/>
  <c r="U637" i="28"/>
  <c r="V756" i="28"/>
  <c r="U756" i="28"/>
  <c r="W756" i="28"/>
  <c r="X756" i="28"/>
  <c r="X588" i="28"/>
  <c r="W588" i="28"/>
  <c r="V588" i="28"/>
  <c r="U588" i="28"/>
  <c r="X126" i="28"/>
  <c r="W126" i="28"/>
  <c r="V126" i="28"/>
  <c r="U126" i="28"/>
  <c r="X819" i="28"/>
  <c r="W819" i="28"/>
  <c r="U819" i="28"/>
  <c r="V819" i="28"/>
  <c r="W777" i="28"/>
  <c r="U777" i="28"/>
  <c r="X777" i="28"/>
  <c r="V777" i="28"/>
  <c r="V476" i="28"/>
  <c r="U476" i="28"/>
  <c r="X476" i="28"/>
  <c r="W476" i="28"/>
  <c r="X826" i="28"/>
  <c r="V826" i="28"/>
  <c r="U826" i="28"/>
  <c r="W826" i="28"/>
  <c r="U539" i="28"/>
  <c r="X539" i="28"/>
  <c r="W539" i="28"/>
  <c r="V539" i="28"/>
  <c r="X889" i="28"/>
  <c r="W889" i="28"/>
  <c r="V889" i="28"/>
  <c r="U889" i="28"/>
  <c r="V665" i="28"/>
  <c r="U665" i="28"/>
  <c r="W665" i="28"/>
  <c r="X665" i="28"/>
  <c r="V581" i="28"/>
  <c r="U581" i="28"/>
  <c r="X581" i="28"/>
  <c r="W581" i="28"/>
  <c r="X406" i="28"/>
  <c r="W406" i="28"/>
  <c r="V406" i="28"/>
  <c r="U406" i="28"/>
  <c r="V770" i="28"/>
  <c r="X770" i="28"/>
  <c r="U770" i="28"/>
  <c r="W770" i="28"/>
  <c r="U301" i="28"/>
  <c r="X301" i="28"/>
  <c r="W301" i="28"/>
  <c r="V301" i="28"/>
  <c r="W546" i="28"/>
  <c r="X546" i="28"/>
  <c r="V546" i="28"/>
  <c r="U546" i="28"/>
  <c r="U287" i="28"/>
  <c r="X287" i="28"/>
  <c r="W287" i="28"/>
  <c r="V287" i="28"/>
  <c r="W700" i="28"/>
  <c r="V700" i="28"/>
  <c r="U700" i="28"/>
  <c r="X700" i="28"/>
  <c r="U231" i="28"/>
  <c r="X231" i="28"/>
  <c r="W231" i="28"/>
  <c r="V231" i="28"/>
  <c r="X658" i="28"/>
  <c r="W658" i="28"/>
  <c r="V658" i="28"/>
  <c r="U658" i="28"/>
  <c r="V189" i="28"/>
  <c r="U189" i="28"/>
  <c r="X189" i="28"/>
  <c r="W189" i="28"/>
  <c r="W280" i="28"/>
  <c r="V280" i="28"/>
  <c r="U280" i="28"/>
  <c r="X280" i="28"/>
  <c r="X721" i="28"/>
  <c r="W721" i="28"/>
  <c r="V721" i="28"/>
  <c r="U721" i="28"/>
  <c r="U399" i="28"/>
  <c r="X399" i="28"/>
  <c r="V399" i="28"/>
  <c r="W399" i="28"/>
  <c r="X560" i="28"/>
  <c r="W560" i="28"/>
  <c r="V560" i="28"/>
  <c r="U560" i="28"/>
  <c r="U35" i="28"/>
  <c r="W35" i="28"/>
  <c r="X35" i="28"/>
  <c r="V35" i="28"/>
  <c r="X623" i="28"/>
  <c r="V623" i="28"/>
  <c r="U623" i="28"/>
  <c r="W623" i="28"/>
  <c r="X133" i="28"/>
  <c r="W133" i="28"/>
  <c r="U133" i="28"/>
  <c r="V133" i="28"/>
  <c r="U553" i="28"/>
  <c r="X553" i="28"/>
  <c r="W553" i="28"/>
  <c r="V553" i="28"/>
  <c r="W322" i="28"/>
  <c r="V322" i="28"/>
  <c r="X322" i="28"/>
  <c r="U322" i="28"/>
  <c r="U798" i="28"/>
  <c r="W798" i="28"/>
  <c r="X798" i="28"/>
  <c r="V798" i="28"/>
  <c r="U98" i="28"/>
  <c r="W98" i="28"/>
  <c r="V98" i="28"/>
  <c r="X98" i="28"/>
  <c r="X784" i="28"/>
  <c r="V784" i="28"/>
  <c r="U784" i="28"/>
  <c r="W784" i="28"/>
  <c r="V252" i="28"/>
  <c r="U252" i="28"/>
  <c r="X252" i="28"/>
  <c r="W252" i="28"/>
  <c r="U483" i="28"/>
  <c r="X483" i="28"/>
  <c r="W483" i="28"/>
  <c r="V483" i="28"/>
  <c r="W210" i="28"/>
  <c r="V210" i="28"/>
  <c r="U210" i="28"/>
  <c r="X210" i="28"/>
  <c r="X686" i="28"/>
  <c r="W686" i="28"/>
  <c r="V686" i="28"/>
  <c r="U686" i="28"/>
  <c r="X259" i="28"/>
  <c r="W259" i="28"/>
  <c r="V259" i="28"/>
  <c r="U259" i="28"/>
  <c r="X868" i="28"/>
  <c r="V868" i="28"/>
  <c r="U868" i="28"/>
  <c r="W868" i="28"/>
  <c r="V28" i="28"/>
  <c r="U28" i="28"/>
  <c r="X28" i="28"/>
  <c r="W28" i="28"/>
  <c r="X91" i="28"/>
  <c r="W91" i="28"/>
  <c r="U91" i="28"/>
  <c r="V91" i="28"/>
  <c r="X602" i="28"/>
  <c r="W602" i="28"/>
  <c r="V602" i="28"/>
  <c r="U602" i="28"/>
  <c r="X112" i="28"/>
  <c r="W112" i="28"/>
  <c r="V112" i="28"/>
  <c r="U112" i="28"/>
  <c r="X693" i="28"/>
  <c r="V693" i="28"/>
  <c r="W693" i="28"/>
  <c r="U693" i="28"/>
  <c r="X854" i="28"/>
  <c r="U854" i="28"/>
  <c r="W854" i="28"/>
  <c r="V854" i="28"/>
  <c r="U644" i="28"/>
  <c r="X644" i="28"/>
  <c r="W644" i="28"/>
  <c r="V644" i="28"/>
  <c r="W175" i="28"/>
  <c r="U175" i="28"/>
  <c r="V175" i="28"/>
  <c r="X175" i="28"/>
  <c r="W154" i="28"/>
  <c r="V154" i="28"/>
  <c r="U154" i="28"/>
  <c r="X154" i="28"/>
  <c r="X630" i="28"/>
  <c r="W630" i="28"/>
  <c r="V630" i="28"/>
  <c r="U630" i="28"/>
  <c r="X567" i="28"/>
  <c r="W567" i="28"/>
  <c r="V567" i="28"/>
  <c r="U567" i="28"/>
  <c r="W875" i="28"/>
  <c r="V875" i="28"/>
  <c r="U875" i="28"/>
  <c r="X875" i="28"/>
  <c r="X350" i="28"/>
  <c r="W350" i="28"/>
  <c r="V350" i="28"/>
  <c r="U350" i="28"/>
  <c r="V651" i="28"/>
  <c r="U651" i="28"/>
  <c r="X651" i="28"/>
  <c r="W651" i="28"/>
  <c r="W336" i="28"/>
  <c r="V336" i="28"/>
  <c r="U336" i="28"/>
  <c r="X336" i="28"/>
  <c r="V917" i="28"/>
  <c r="U917" i="28"/>
  <c r="W917" i="28"/>
  <c r="X917" i="28"/>
  <c r="W805" i="28"/>
  <c r="V805" i="28"/>
  <c r="U805" i="28"/>
  <c r="X805" i="28"/>
  <c r="X763" i="28"/>
  <c r="W763" i="28"/>
  <c r="V763" i="28"/>
  <c r="U763" i="28"/>
  <c r="V238" i="28"/>
  <c r="U238" i="28"/>
  <c r="X238" i="28"/>
  <c r="W238" i="28"/>
  <c r="U742" i="28"/>
  <c r="W742" i="28"/>
  <c r="X742" i="28"/>
  <c r="V742" i="28"/>
  <c r="X840" i="28"/>
  <c r="V840" i="28"/>
  <c r="U840" i="28"/>
  <c r="W840" i="28"/>
  <c r="W49" i="28"/>
  <c r="U49" i="28"/>
  <c r="V49" i="28"/>
  <c r="X49" i="28"/>
  <c r="X714" i="28"/>
  <c r="V714" i="28"/>
  <c r="U714" i="28"/>
  <c r="W714" i="28"/>
  <c r="V245" i="28"/>
  <c r="U245" i="28"/>
  <c r="X245" i="28"/>
  <c r="W245" i="28"/>
  <c r="X728" i="28"/>
  <c r="V728" i="28"/>
  <c r="U728" i="28"/>
  <c r="W728" i="28"/>
  <c r="W196" i="28"/>
  <c r="V196" i="28"/>
  <c r="U196" i="28"/>
  <c r="X196" i="28"/>
  <c r="X378" i="28"/>
  <c r="W378" i="28"/>
  <c r="V378" i="28"/>
  <c r="U378" i="28"/>
  <c r="W707" i="28"/>
  <c r="V707" i="28"/>
  <c r="U707" i="28"/>
  <c r="X707" i="28"/>
  <c r="X182" i="28"/>
  <c r="W182" i="28"/>
  <c r="V182" i="28"/>
  <c r="U182" i="28"/>
  <c r="X119" i="28"/>
  <c r="W119" i="28"/>
  <c r="V119" i="28"/>
  <c r="U119" i="28"/>
  <c r="U427" i="28"/>
  <c r="X427" i="28"/>
  <c r="W427" i="28"/>
  <c r="V427" i="28"/>
  <c r="X217" i="28"/>
  <c r="U217" i="28"/>
  <c r="V217" i="28"/>
  <c r="W217" i="28"/>
  <c r="U308" i="28"/>
  <c r="W308" i="28"/>
  <c r="V308" i="28"/>
  <c r="X308" i="28"/>
  <c r="U105" i="28"/>
  <c r="V105" i="28"/>
  <c r="X105" i="28"/>
  <c r="W105" i="28"/>
  <c r="X469" i="28"/>
  <c r="W469" i="28"/>
  <c r="V469" i="28"/>
  <c r="U469" i="28"/>
  <c r="V441" i="28"/>
  <c r="X441" i="28"/>
  <c r="W441" i="28"/>
  <c r="U441" i="28"/>
  <c r="U315" i="28"/>
  <c r="X315" i="28"/>
  <c r="W315" i="28"/>
  <c r="V315" i="28"/>
  <c r="X847" i="28"/>
  <c r="U847" i="28"/>
  <c r="W847" i="28"/>
  <c r="V847" i="28"/>
  <c r="AD624" i="28"/>
  <c r="AD267" i="28"/>
  <c r="AD743" i="28"/>
  <c r="AD281" i="28"/>
  <c r="AD862" i="28"/>
  <c r="AD589" i="28"/>
  <c r="AD260" i="28"/>
  <c r="AD792" i="28"/>
  <c r="AD841" i="28"/>
  <c r="AD722" i="28"/>
  <c r="AD512" i="28"/>
  <c r="AD162" i="28"/>
  <c r="AD491" i="28"/>
  <c r="AD50" i="28"/>
  <c r="AD127" i="28"/>
  <c r="AD869" i="28"/>
  <c r="AD400" i="28"/>
  <c r="AD36" i="28"/>
  <c r="AD484" i="28"/>
  <c r="AD904" i="28"/>
  <c r="AD435" i="28"/>
  <c r="AD617" i="28"/>
  <c r="AD85" i="28"/>
  <c r="AD225" i="28"/>
  <c r="AD78" i="28"/>
  <c r="AD71" i="28"/>
  <c r="AD834" i="28"/>
  <c r="AD204" i="28"/>
  <c r="AD715" i="28"/>
  <c r="AD246" i="28"/>
  <c r="AD729" i="28"/>
  <c r="AD197" i="28"/>
  <c r="AD379" i="28"/>
  <c r="AD708" i="28"/>
  <c r="AD183" i="28"/>
  <c r="AD120" i="28"/>
  <c r="AD428" i="28"/>
  <c r="AD218" i="28"/>
  <c r="AD309" i="28"/>
  <c r="AD106" i="28"/>
  <c r="AD470" i="28"/>
  <c r="AD442" i="28"/>
  <c r="AD316" i="28"/>
  <c r="AD848" i="28"/>
  <c r="AD253" i="28"/>
  <c r="AD372" i="28"/>
  <c r="AD596" i="28"/>
  <c r="AD778" i="28"/>
  <c r="AD477" i="28"/>
  <c r="AD827" i="28"/>
  <c r="AD540" i="28"/>
  <c r="AD890" i="28"/>
  <c r="AD666" i="28"/>
  <c r="AD582" i="28"/>
  <c r="AD407" i="28"/>
  <c r="AD771" i="28"/>
  <c r="AD302" i="28"/>
  <c r="AD547" i="28"/>
  <c r="AD288" i="28"/>
  <c r="AD701" i="28"/>
  <c r="AD232" i="28"/>
  <c r="AD659" i="28"/>
  <c r="AD190" i="28"/>
  <c r="AD561" i="28"/>
  <c r="AD29" i="28"/>
  <c r="AD92" i="28"/>
  <c r="AD603" i="28"/>
  <c r="AD134" i="28"/>
  <c r="AD554" i="28"/>
  <c r="AD323" i="28"/>
  <c r="AD799" i="28"/>
  <c r="AD99" i="28"/>
  <c r="AD785" i="28"/>
  <c r="AD687" i="28"/>
  <c r="AD911" i="28"/>
  <c r="AD897" i="28"/>
  <c r="AD365" i="28"/>
  <c r="AD673" i="28"/>
  <c r="AD820" i="28"/>
  <c r="AD295" i="28"/>
  <c r="AD883" i="28"/>
  <c r="AD414" i="28"/>
  <c r="AD358" i="28"/>
  <c r="AD813" i="28"/>
  <c r="AD344" i="28"/>
  <c r="AD736" i="28"/>
  <c r="AD533" i="28"/>
  <c r="AD64" i="28"/>
  <c r="AD526" i="28"/>
  <c r="AD43" i="28"/>
  <c r="AD519" i="28"/>
  <c r="AD386" i="28"/>
  <c r="AD421" i="28"/>
  <c r="AD393" i="28"/>
  <c r="AD113" i="28"/>
  <c r="AD694" i="28"/>
  <c r="AD855" i="28"/>
  <c r="AD645" i="28"/>
  <c r="AD176" i="28"/>
  <c r="AD155" i="28"/>
  <c r="AD631" i="28"/>
  <c r="AD568" i="28"/>
  <c r="AD876" i="28"/>
  <c r="AD351" i="28"/>
  <c r="AD652" i="28"/>
  <c r="AD337" i="28"/>
  <c r="AD918" i="28"/>
  <c r="AD806" i="28"/>
  <c r="AD764" i="28"/>
  <c r="AD239" i="28"/>
  <c r="AD211" i="28"/>
  <c r="AD505" i="28"/>
  <c r="AD330" i="28"/>
  <c r="AD456" i="28"/>
  <c r="AD610" i="28"/>
  <c r="AD463" i="28"/>
  <c r="AD449" i="28"/>
  <c r="AD498" i="28"/>
  <c r="AD141" i="28"/>
  <c r="AD169" i="28"/>
  <c r="AD750" i="28"/>
  <c r="AD274" i="28"/>
  <c r="AD575" i="28"/>
  <c r="AD148" i="28"/>
  <c r="AD680" i="28"/>
  <c r="AD57" i="28"/>
  <c r="AD638" i="28"/>
  <c r="AD757" i="28"/>
  <c r="G25" i="9"/>
  <c r="G24" i="9"/>
  <c r="G23" i="9"/>
  <c r="G22" i="9"/>
  <c r="G21" i="9"/>
  <c r="G20" i="9"/>
  <c r="G19" i="9"/>
  <c r="G18" i="9"/>
  <c r="G17" i="9"/>
  <c r="G16" i="9"/>
  <c r="G15" i="9"/>
  <c r="G14" i="9"/>
  <c r="G13" i="9"/>
  <c r="W449" i="28" l="1"/>
  <c r="V449" i="28"/>
  <c r="X449" i="28"/>
  <c r="U449" i="28"/>
  <c r="V554" i="28"/>
  <c r="U554" i="28"/>
  <c r="W554" i="28"/>
  <c r="X554" i="28"/>
  <c r="U428" i="28"/>
  <c r="X428" i="28"/>
  <c r="W428" i="28"/>
  <c r="V428" i="28"/>
  <c r="V890" i="28"/>
  <c r="U890" i="28"/>
  <c r="W890" i="28"/>
  <c r="X890" i="28"/>
  <c r="U365" i="28"/>
  <c r="X365" i="28"/>
  <c r="W365" i="28"/>
  <c r="V365" i="28"/>
  <c r="U491" i="28"/>
  <c r="X491" i="28"/>
  <c r="W491" i="28"/>
  <c r="V491" i="28"/>
  <c r="U155" i="28"/>
  <c r="W155" i="28"/>
  <c r="V155" i="28"/>
  <c r="X155" i="28"/>
  <c r="W848" i="28"/>
  <c r="X848" i="28"/>
  <c r="V848" i="28"/>
  <c r="U848" i="28"/>
  <c r="U575" i="28"/>
  <c r="X575" i="28"/>
  <c r="W575" i="28"/>
  <c r="V575" i="28"/>
  <c r="U610" i="28"/>
  <c r="X610" i="28"/>
  <c r="W610" i="28"/>
  <c r="V610" i="28"/>
  <c r="V918" i="28"/>
  <c r="U918" i="28"/>
  <c r="W918" i="28"/>
  <c r="X918" i="28"/>
  <c r="V176" i="28"/>
  <c r="U176" i="28"/>
  <c r="X176" i="28"/>
  <c r="W176" i="28"/>
  <c r="U519" i="28"/>
  <c r="X519" i="28"/>
  <c r="W519" i="28"/>
  <c r="V519" i="28"/>
  <c r="V358" i="28"/>
  <c r="U358" i="28"/>
  <c r="X358" i="28"/>
  <c r="W358" i="28"/>
  <c r="V911" i="28"/>
  <c r="U911" i="28"/>
  <c r="X911" i="28"/>
  <c r="W911" i="28"/>
  <c r="V603" i="28"/>
  <c r="U603" i="28"/>
  <c r="X603" i="28"/>
  <c r="W603" i="28"/>
  <c r="W288" i="28"/>
  <c r="V288" i="28"/>
  <c r="X288" i="28"/>
  <c r="U288" i="28"/>
  <c r="W540" i="28"/>
  <c r="U540" i="28"/>
  <c r="X540" i="28"/>
  <c r="V540" i="28"/>
  <c r="W316" i="28"/>
  <c r="U316" i="28"/>
  <c r="X316" i="28"/>
  <c r="V316" i="28"/>
  <c r="V183" i="28"/>
  <c r="U183" i="28"/>
  <c r="X183" i="28"/>
  <c r="W183" i="28"/>
  <c r="X834" i="28"/>
  <c r="W834" i="28"/>
  <c r="V834" i="28"/>
  <c r="U834" i="28"/>
  <c r="V484" i="28"/>
  <c r="U484" i="28"/>
  <c r="X484" i="28"/>
  <c r="W484" i="28"/>
  <c r="U512" i="28"/>
  <c r="W512" i="28"/>
  <c r="V512" i="28"/>
  <c r="X512" i="28"/>
  <c r="W743" i="28"/>
  <c r="V743" i="28"/>
  <c r="U743" i="28"/>
  <c r="X743" i="28"/>
  <c r="V344" i="28"/>
  <c r="U344" i="28"/>
  <c r="X344" i="28"/>
  <c r="W344" i="28"/>
  <c r="W715" i="28"/>
  <c r="V715" i="28"/>
  <c r="U715" i="28"/>
  <c r="X715" i="28"/>
  <c r="V897" i="28"/>
  <c r="U897" i="28"/>
  <c r="X897" i="28"/>
  <c r="W897" i="28"/>
  <c r="W162" i="28"/>
  <c r="V162" i="28"/>
  <c r="U162" i="28"/>
  <c r="X162" i="28"/>
  <c r="U274" i="28"/>
  <c r="X274" i="28"/>
  <c r="W274" i="28"/>
  <c r="V274" i="28"/>
  <c r="U456" i="28"/>
  <c r="W456" i="28"/>
  <c r="V456" i="28"/>
  <c r="X456" i="28"/>
  <c r="U337" i="28"/>
  <c r="X337" i="28"/>
  <c r="W337" i="28"/>
  <c r="V337" i="28"/>
  <c r="X645" i="28"/>
  <c r="U645" i="28"/>
  <c r="W645" i="28"/>
  <c r="V645" i="28"/>
  <c r="X43" i="28"/>
  <c r="W43" i="28"/>
  <c r="V43" i="28"/>
  <c r="U43" i="28"/>
  <c r="X414" i="28"/>
  <c r="W414" i="28"/>
  <c r="V414" i="28"/>
  <c r="U414" i="28"/>
  <c r="W687" i="28"/>
  <c r="U687" i="28"/>
  <c r="V687" i="28"/>
  <c r="X687" i="28"/>
  <c r="W92" i="28"/>
  <c r="V92" i="28"/>
  <c r="U92" i="28"/>
  <c r="X92" i="28"/>
  <c r="X547" i="28"/>
  <c r="W547" i="28"/>
  <c r="V547" i="28"/>
  <c r="U547" i="28"/>
  <c r="U827" i="28"/>
  <c r="X827" i="28"/>
  <c r="W827" i="28"/>
  <c r="V827" i="28"/>
  <c r="V442" i="28"/>
  <c r="U442" i="28"/>
  <c r="X442" i="28"/>
  <c r="W442" i="28"/>
  <c r="V708" i="28"/>
  <c r="U708" i="28"/>
  <c r="X708" i="28"/>
  <c r="W708" i="28"/>
  <c r="X71" i="28"/>
  <c r="V71" i="28"/>
  <c r="U71" i="28"/>
  <c r="W71" i="28"/>
  <c r="X36" i="28"/>
  <c r="W36" i="28"/>
  <c r="V36" i="28"/>
  <c r="U36" i="28"/>
  <c r="U722" i="28"/>
  <c r="W722" i="28"/>
  <c r="X722" i="28"/>
  <c r="V722" i="28"/>
  <c r="U267" i="28"/>
  <c r="X267" i="28"/>
  <c r="W267" i="28"/>
  <c r="V267" i="28"/>
  <c r="U680" i="28"/>
  <c r="X680" i="28"/>
  <c r="W680" i="28"/>
  <c r="V680" i="28"/>
  <c r="X232" i="28"/>
  <c r="W232" i="28"/>
  <c r="V232" i="28"/>
  <c r="U232" i="28"/>
  <c r="U862" i="28"/>
  <c r="W862" i="28"/>
  <c r="X862" i="28"/>
  <c r="V862" i="28"/>
  <c r="V204" i="28"/>
  <c r="U204" i="28"/>
  <c r="X204" i="28"/>
  <c r="W204" i="28"/>
  <c r="U750" i="28"/>
  <c r="W750" i="28"/>
  <c r="X750" i="28"/>
  <c r="V750" i="28"/>
  <c r="U330" i="28"/>
  <c r="V330" i="28"/>
  <c r="X330" i="28"/>
  <c r="W330" i="28"/>
  <c r="X652" i="28"/>
  <c r="W652" i="28"/>
  <c r="V652" i="28"/>
  <c r="U652" i="28"/>
  <c r="V855" i="28"/>
  <c r="U855" i="28"/>
  <c r="X855" i="28"/>
  <c r="W855" i="28"/>
  <c r="U526" i="28"/>
  <c r="W526" i="28"/>
  <c r="V526" i="28"/>
  <c r="X526" i="28"/>
  <c r="W883" i="28"/>
  <c r="X883" i="28"/>
  <c r="V883" i="28"/>
  <c r="U883" i="28"/>
  <c r="X785" i="28"/>
  <c r="W785" i="28"/>
  <c r="V785" i="28"/>
  <c r="U785" i="28"/>
  <c r="U29" i="28"/>
  <c r="X29" i="28"/>
  <c r="W29" i="28"/>
  <c r="V29" i="28"/>
  <c r="X302" i="28"/>
  <c r="V302" i="28"/>
  <c r="U302" i="28"/>
  <c r="W302" i="28"/>
  <c r="U477" i="28"/>
  <c r="W477" i="28"/>
  <c r="V477" i="28"/>
  <c r="X477" i="28"/>
  <c r="X470" i="28"/>
  <c r="W470" i="28"/>
  <c r="V470" i="28"/>
  <c r="U470" i="28"/>
  <c r="W379" i="28"/>
  <c r="V379" i="28"/>
  <c r="U379" i="28"/>
  <c r="X379" i="28"/>
  <c r="U78" i="28"/>
  <c r="W78" i="28"/>
  <c r="V78" i="28"/>
  <c r="X78" i="28"/>
  <c r="V400" i="28"/>
  <c r="U400" i="28"/>
  <c r="X400" i="28"/>
  <c r="W400" i="28"/>
  <c r="V841" i="28"/>
  <c r="U841" i="28"/>
  <c r="X841" i="28"/>
  <c r="W841" i="28"/>
  <c r="X624" i="28"/>
  <c r="W624" i="28"/>
  <c r="V624" i="28"/>
  <c r="U624" i="28"/>
  <c r="U421" i="28"/>
  <c r="X421" i="28"/>
  <c r="V421" i="28"/>
  <c r="W421" i="28"/>
  <c r="U435" i="28"/>
  <c r="X435" i="28"/>
  <c r="W435" i="28"/>
  <c r="V435" i="28"/>
  <c r="U806" i="28"/>
  <c r="X806" i="28"/>
  <c r="V806" i="28"/>
  <c r="W806" i="28"/>
  <c r="X120" i="28"/>
  <c r="W120" i="28"/>
  <c r="V120" i="28"/>
  <c r="U120" i="28"/>
  <c r="W757" i="28"/>
  <c r="U757" i="28"/>
  <c r="X757" i="28"/>
  <c r="V757" i="28"/>
  <c r="U169" i="28"/>
  <c r="V169" i="28"/>
  <c r="X169" i="28"/>
  <c r="W169" i="28"/>
  <c r="U505" i="28"/>
  <c r="X505" i="28"/>
  <c r="V505" i="28"/>
  <c r="W505" i="28"/>
  <c r="W351" i="28"/>
  <c r="V351" i="28"/>
  <c r="X351" i="28"/>
  <c r="U351" i="28"/>
  <c r="U694" i="28"/>
  <c r="X694" i="28"/>
  <c r="W694" i="28"/>
  <c r="V694" i="28"/>
  <c r="X64" i="28"/>
  <c r="W64" i="28"/>
  <c r="V64" i="28"/>
  <c r="U64" i="28"/>
  <c r="U295" i="28"/>
  <c r="X295" i="28"/>
  <c r="W295" i="28"/>
  <c r="V295" i="28"/>
  <c r="U99" i="28"/>
  <c r="W99" i="28"/>
  <c r="X99" i="28"/>
  <c r="V99" i="28"/>
  <c r="X561" i="28"/>
  <c r="U561" i="28"/>
  <c r="W561" i="28"/>
  <c r="V561" i="28"/>
  <c r="U771" i="28"/>
  <c r="X771" i="28"/>
  <c r="W771" i="28"/>
  <c r="V771" i="28"/>
  <c r="U778" i="28"/>
  <c r="W778" i="28"/>
  <c r="V778" i="28"/>
  <c r="X778" i="28"/>
  <c r="U106" i="28"/>
  <c r="V106" i="28"/>
  <c r="X106" i="28"/>
  <c r="W106" i="28"/>
  <c r="V197" i="28"/>
  <c r="U197" i="28"/>
  <c r="W197" i="28"/>
  <c r="X197" i="28"/>
  <c r="V225" i="28"/>
  <c r="X225" i="28"/>
  <c r="U225" i="28"/>
  <c r="W225" i="28"/>
  <c r="V869" i="28"/>
  <c r="U869" i="28"/>
  <c r="X869" i="28"/>
  <c r="W869" i="28"/>
  <c r="X792" i="28"/>
  <c r="V792" i="28"/>
  <c r="U792" i="28"/>
  <c r="W792" i="28"/>
  <c r="X764" i="28"/>
  <c r="V764" i="28"/>
  <c r="U764" i="28"/>
  <c r="W764" i="28"/>
  <c r="X666" i="28"/>
  <c r="W666" i="28"/>
  <c r="V666" i="28"/>
  <c r="U666" i="28"/>
  <c r="U463" i="28"/>
  <c r="X463" i="28"/>
  <c r="W463" i="28"/>
  <c r="V463" i="28"/>
  <c r="X813" i="28"/>
  <c r="U813" i="28"/>
  <c r="W813" i="28"/>
  <c r="V813" i="28"/>
  <c r="U134" i="28"/>
  <c r="X134" i="28"/>
  <c r="W134" i="28"/>
  <c r="V134" i="28"/>
  <c r="V904" i="28"/>
  <c r="U904" i="28"/>
  <c r="W904" i="28"/>
  <c r="X904" i="28"/>
  <c r="X141" i="28"/>
  <c r="W141" i="28"/>
  <c r="U141" i="28"/>
  <c r="V141" i="28"/>
  <c r="X211" i="28"/>
  <c r="W211" i="28"/>
  <c r="V211" i="28"/>
  <c r="U211" i="28"/>
  <c r="X876" i="28"/>
  <c r="V876" i="28"/>
  <c r="U876" i="28"/>
  <c r="W876" i="28"/>
  <c r="W113" i="28"/>
  <c r="U113" i="28"/>
  <c r="V113" i="28"/>
  <c r="X113" i="28"/>
  <c r="U533" i="28"/>
  <c r="X533" i="28"/>
  <c r="V533" i="28"/>
  <c r="W533" i="28"/>
  <c r="W820" i="28"/>
  <c r="V820" i="28"/>
  <c r="U820" i="28"/>
  <c r="X820" i="28"/>
  <c r="W799" i="28"/>
  <c r="X799" i="28"/>
  <c r="V799" i="28"/>
  <c r="U799" i="28"/>
  <c r="X190" i="28"/>
  <c r="W190" i="28"/>
  <c r="V190" i="28"/>
  <c r="U190" i="28"/>
  <c r="W407" i="28"/>
  <c r="V407" i="28"/>
  <c r="U407" i="28"/>
  <c r="X407" i="28"/>
  <c r="X596" i="28"/>
  <c r="V596" i="28"/>
  <c r="U596" i="28"/>
  <c r="W596" i="28"/>
  <c r="U309" i="28"/>
  <c r="W309" i="28"/>
  <c r="V309" i="28"/>
  <c r="X309" i="28"/>
  <c r="W729" i="28"/>
  <c r="X729" i="28"/>
  <c r="V729" i="28"/>
  <c r="U729" i="28"/>
  <c r="X85" i="28"/>
  <c r="W85" i="28"/>
  <c r="V85" i="28"/>
  <c r="U85" i="28"/>
  <c r="X127" i="28"/>
  <c r="W127" i="28"/>
  <c r="V127" i="28"/>
  <c r="U127" i="28"/>
  <c r="W260" i="28"/>
  <c r="U260" i="28"/>
  <c r="V260" i="28"/>
  <c r="X260" i="28"/>
  <c r="W631" i="28"/>
  <c r="V631" i="28"/>
  <c r="U631" i="28"/>
  <c r="X631" i="28"/>
  <c r="V253" i="28"/>
  <c r="U253" i="28"/>
  <c r="X253" i="28"/>
  <c r="W253" i="28"/>
  <c r="X148" i="28"/>
  <c r="W148" i="28"/>
  <c r="V148" i="28"/>
  <c r="U148" i="28"/>
  <c r="U386" i="28"/>
  <c r="W386" i="28"/>
  <c r="X386" i="28"/>
  <c r="V386" i="28"/>
  <c r="X701" i="28"/>
  <c r="U701" i="28"/>
  <c r="W701" i="28"/>
  <c r="V701" i="28"/>
  <c r="U281" i="28"/>
  <c r="X281" i="28"/>
  <c r="W281" i="28"/>
  <c r="V281" i="28"/>
  <c r="X638" i="28"/>
  <c r="W638" i="28"/>
  <c r="V638" i="28"/>
  <c r="U638" i="28"/>
  <c r="X57" i="28"/>
  <c r="W57" i="28"/>
  <c r="U57" i="28"/>
  <c r="V57" i="28"/>
  <c r="V498" i="28"/>
  <c r="U498" i="28"/>
  <c r="X498" i="28"/>
  <c r="W498" i="28"/>
  <c r="X239" i="28"/>
  <c r="V239" i="28"/>
  <c r="W239" i="28"/>
  <c r="U239" i="28"/>
  <c r="X568" i="28"/>
  <c r="W568" i="28"/>
  <c r="V568" i="28"/>
  <c r="U568" i="28"/>
  <c r="X393" i="28"/>
  <c r="W393" i="28"/>
  <c r="V393" i="28"/>
  <c r="U393" i="28"/>
  <c r="W736" i="28"/>
  <c r="V736" i="28"/>
  <c r="U736" i="28"/>
  <c r="X736" i="28"/>
  <c r="X673" i="28"/>
  <c r="V673" i="28"/>
  <c r="U673" i="28"/>
  <c r="W673" i="28"/>
  <c r="U323" i="28"/>
  <c r="X323" i="28"/>
  <c r="W323" i="28"/>
  <c r="V323" i="28"/>
  <c r="W659" i="28"/>
  <c r="V659" i="28"/>
  <c r="U659" i="28"/>
  <c r="X659" i="28"/>
  <c r="U582" i="28"/>
  <c r="X582" i="28"/>
  <c r="W582" i="28"/>
  <c r="V582" i="28"/>
  <c r="X372" i="28"/>
  <c r="W372" i="28"/>
  <c r="U372" i="28"/>
  <c r="V372" i="28"/>
  <c r="U218" i="28"/>
  <c r="W218" i="28"/>
  <c r="V218" i="28"/>
  <c r="X218" i="28"/>
  <c r="X246" i="28"/>
  <c r="W246" i="28"/>
  <c r="V246" i="28"/>
  <c r="U246" i="28"/>
  <c r="W617" i="28"/>
  <c r="V617" i="28"/>
  <c r="U617" i="28"/>
  <c r="X617" i="28"/>
  <c r="X50" i="28"/>
  <c r="W50" i="28"/>
  <c r="V50" i="28"/>
  <c r="U50" i="28"/>
  <c r="V589" i="28"/>
  <c r="U589" i="28"/>
  <c r="X589" i="28"/>
  <c r="W589" i="28"/>
  <c r="AD821" i="28"/>
  <c r="AD653" i="28"/>
  <c r="AD527" i="28"/>
  <c r="AD149" i="28"/>
  <c r="AD464" i="28"/>
  <c r="AD807" i="28"/>
  <c r="AD156" i="28"/>
  <c r="AD387" i="28"/>
  <c r="AD814" i="28"/>
  <c r="AD898" i="28"/>
  <c r="AD135" i="28"/>
  <c r="AD702" i="28"/>
  <c r="AD891" i="28"/>
  <c r="AD849" i="28"/>
  <c r="AD121" i="28"/>
  <c r="AD205" i="28"/>
  <c r="AD905" i="28"/>
  <c r="AD163" i="28"/>
  <c r="AD282" i="28"/>
  <c r="AD408" i="28"/>
  <c r="AD86" i="28"/>
  <c r="AD261" i="28"/>
  <c r="AD275" i="28"/>
  <c r="AD457" i="28"/>
  <c r="AD338" i="28"/>
  <c r="AD646" i="28"/>
  <c r="AD44" i="28"/>
  <c r="AD415" i="28"/>
  <c r="AD688" i="28"/>
  <c r="AD93" i="28"/>
  <c r="AD548" i="28"/>
  <c r="AD828" i="28"/>
  <c r="AD443" i="28"/>
  <c r="AD709" i="28"/>
  <c r="AD72" i="28"/>
  <c r="AD37" i="28"/>
  <c r="AD723" i="28"/>
  <c r="AD268" i="28"/>
  <c r="AD142" i="28"/>
  <c r="AD366" i="28"/>
  <c r="AD555" i="28"/>
  <c r="AD233" i="28"/>
  <c r="AD667" i="28"/>
  <c r="AD254" i="28"/>
  <c r="AD429" i="28"/>
  <c r="AD716" i="28"/>
  <c r="AD436" i="28"/>
  <c r="AD492" i="28"/>
  <c r="AD863" i="28"/>
  <c r="AD800" i="28"/>
  <c r="AD681" i="28"/>
  <c r="AD765" i="28"/>
  <c r="AD422" i="28"/>
  <c r="AD345" i="28"/>
  <c r="AD506" i="28"/>
  <c r="AD352" i="28"/>
  <c r="AD695" i="28"/>
  <c r="AD65" i="28"/>
  <c r="AD296" i="28"/>
  <c r="AD100" i="28"/>
  <c r="AD562" i="28"/>
  <c r="AD772" i="28"/>
  <c r="AD779" i="28"/>
  <c r="AD107" i="28"/>
  <c r="AD198" i="28"/>
  <c r="AD226" i="28"/>
  <c r="AD870" i="28"/>
  <c r="AD793" i="28"/>
  <c r="AD212" i="28"/>
  <c r="AD597" i="28"/>
  <c r="AD730" i="28"/>
  <c r="AD128" i="28"/>
  <c r="AD450" i="28"/>
  <c r="AD632" i="28"/>
  <c r="AD758" i="28"/>
  <c r="AD170" i="28"/>
  <c r="AD576" i="28"/>
  <c r="AD611" i="28"/>
  <c r="AD919" i="28"/>
  <c r="AD177" i="28"/>
  <c r="AD520" i="28"/>
  <c r="AD359" i="28"/>
  <c r="AD912" i="28"/>
  <c r="AD604" i="28"/>
  <c r="AD289" i="28"/>
  <c r="AD541" i="28"/>
  <c r="AD317" i="28"/>
  <c r="AD184" i="28"/>
  <c r="AD835" i="28"/>
  <c r="AD485" i="28"/>
  <c r="AD513" i="28"/>
  <c r="AD744" i="28"/>
  <c r="AD534" i="28"/>
  <c r="AD310" i="28"/>
  <c r="AD58" i="28"/>
  <c r="AD499" i="28"/>
  <c r="AD240" i="28"/>
  <c r="AD569" i="28"/>
  <c r="AD394" i="28"/>
  <c r="AD737" i="28"/>
  <c r="AD674" i="28"/>
  <c r="AD324" i="28"/>
  <c r="AD660" i="28"/>
  <c r="AD583" i="28"/>
  <c r="AD373" i="28"/>
  <c r="AD219" i="28"/>
  <c r="AD247" i="28"/>
  <c r="AD618" i="28"/>
  <c r="AD51" i="28"/>
  <c r="AD590" i="28"/>
  <c r="AD639" i="28"/>
  <c r="AD877" i="28"/>
  <c r="AD114" i="28"/>
  <c r="AD191" i="28"/>
  <c r="AD751" i="28"/>
  <c r="AD331" i="28"/>
  <c r="AD856" i="28"/>
  <c r="AD884" i="28"/>
  <c r="AD786" i="28"/>
  <c r="AD30" i="28"/>
  <c r="AD303" i="28"/>
  <c r="AD478" i="28"/>
  <c r="AD471" i="28"/>
  <c r="AD380" i="28"/>
  <c r="AD79" i="28"/>
  <c r="AD401" i="28"/>
  <c r="AD842" i="28"/>
  <c r="AD625" i="28"/>
  <c r="F25" i="9"/>
  <c r="E25" i="9"/>
  <c r="D25" i="9"/>
  <c r="F24" i="9"/>
  <c r="E24" i="9"/>
  <c r="D24" i="9"/>
  <c r="F23" i="9"/>
  <c r="E23" i="9"/>
  <c r="D23" i="9"/>
  <c r="F22" i="9"/>
  <c r="E22" i="9"/>
  <c r="D22" i="9"/>
  <c r="F21" i="9"/>
  <c r="E21" i="9"/>
  <c r="D21" i="9"/>
  <c r="F20" i="9"/>
  <c r="E20" i="9"/>
  <c r="D20" i="9"/>
  <c r="F19" i="9"/>
  <c r="E19" i="9"/>
  <c r="D19" i="9"/>
  <c r="F18" i="9"/>
  <c r="E18" i="9"/>
  <c r="D18" i="9"/>
  <c r="F17" i="9"/>
  <c r="E17" i="9"/>
  <c r="D17" i="9"/>
  <c r="F16" i="9"/>
  <c r="E16" i="9"/>
  <c r="D16" i="9"/>
  <c r="F15" i="9"/>
  <c r="E15" i="9"/>
  <c r="D15" i="9"/>
  <c r="F14" i="9"/>
  <c r="E14" i="9"/>
  <c r="D14" i="9"/>
  <c r="F13" i="9"/>
  <c r="E13" i="9"/>
  <c r="D13" i="9"/>
  <c r="G12" i="9"/>
  <c r="F12" i="9"/>
  <c r="E12" i="9"/>
  <c r="D12" i="9"/>
  <c r="G11" i="9"/>
  <c r="F11" i="9"/>
  <c r="E11" i="9"/>
  <c r="D11" i="9"/>
  <c r="G10" i="9"/>
  <c r="F10" i="9"/>
  <c r="E10" i="9"/>
  <c r="D10" i="9"/>
  <c r="X919" i="28" l="1"/>
  <c r="W919" i="28"/>
  <c r="V919" i="28"/>
  <c r="U919" i="28"/>
  <c r="X121" i="28"/>
  <c r="W121" i="28"/>
  <c r="U121" i="28"/>
  <c r="V121" i="28"/>
  <c r="U401" i="28"/>
  <c r="X401" i="28"/>
  <c r="W401" i="28"/>
  <c r="V401" i="28"/>
  <c r="X884" i="28"/>
  <c r="V884" i="28"/>
  <c r="W884" i="28"/>
  <c r="U884" i="28"/>
  <c r="X590" i="28"/>
  <c r="W590" i="28"/>
  <c r="U590" i="28"/>
  <c r="V590" i="28"/>
  <c r="V324" i="28"/>
  <c r="U324" i="28"/>
  <c r="X324" i="28"/>
  <c r="W324" i="28"/>
  <c r="U310" i="28"/>
  <c r="X310" i="28"/>
  <c r="W310" i="28"/>
  <c r="V310" i="28"/>
  <c r="U541" i="28"/>
  <c r="X541" i="28"/>
  <c r="V541" i="28"/>
  <c r="W541" i="28"/>
  <c r="U611" i="28"/>
  <c r="X611" i="28"/>
  <c r="V611" i="28"/>
  <c r="W611" i="28"/>
  <c r="V597" i="28"/>
  <c r="U597" i="28"/>
  <c r="X597" i="28"/>
  <c r="W597" i="28"/>
  <c r="X772" i="28"/>
  <c r="V772" i="28"/>
  <c r="U772" i="28"/>
  <c r="W772" i="28"/>
  <c r="U345" i="28"/>
  <c r="X345" i="28"/>
  <c r="W345" i="28"/>
  <c r="V345" i="28"/>
  <c r="X716" i="28"/>
  <c r="V716" i="28"/>
  <c r="U716" i="28"/>
  <c r="W716" i="28"/>
  <c r="U268" i="28"/>
  <c r="X268" i="28"/>
  <c r="W268" i="28"/>
  <c r="V268" i="28"/>
  <c r="X93" i="28"/>
  <c r="W93" i="28"/>
  <c r="V93" i="28"/>
  <c r="U93" i="28"/>
  <c r="W261" i="28"/>
  <c r="V261" i="28"/>
  <c r="U261" i="28"/>
  <c r="X261" i="28"/>
  <c r="U849" i="28"/>
  <c r="X849" i="28"/>
  <c r="W849" i="28"/>
  <c r="V849" i="28"/>
  <c r="W807" i="28"/>
  <c r="V807" i="28"/>
  <c r="U807" i="28"/>
  <c r="X807" i="28"/>
  <c r="X639" i="28"/>
  <c r="W639" i="28"/>
  <c r="V639" i="28"/>
  <c r="U639" i="28"/>
  <c r="X436" i="28"/>
  <c r="W436" i="28"/>
  <c r="V436" i="28"/>
  <c r="U436" i="28"/>
  <c r="X79" i="28"/>
  <c r="W79" i="28"/>
  <c r="V79" i="28"/>
  <c r="U79" i="28"/>
  <c r="X856" i="28"/>
  <c r="V856" i="28"/>
  <c r="U856" i="28"/>
  <c r="W856" i="28"/>
  <c r="X51" i="28"/>
  <c r="W51" i="28"/>
  <c r="V51" i="28"/>
  <c r="U51" i="28"/>
  <c r="W674" i="28"/>
  <c r="X674" i="28"/>
  <c r="V674" i="28"/>
  <c r="U674" i="28"/>
  <c r="X534" i="28"/>
  <c r="W534" i="28"/>
  <c r="V534" i="28"/>
  <c r="U534" i="28"/>
  <c r="U289" i="28"/>
  <c r="X289" i="28"/>
  <c r="W289" i="28"/>
  <c r="V289" i="28"/>
  <c r="W576" i="28"/>
  <c r="U576" i="28"/>
  <c r="X576" i="28"/>
  <c r="V576" i="28"/>
  <c r="X212" i="28"/>
  <c r="W212" i="28"/>
  <c r="V212" i="28"/>
  <c r="U212" i="28"/>
  <c r="X562" i="28"/>
  <c r="W562" i="28"/>
  <c r="V562" i="28"/>
  <c r="U562" i="28"/>
  <c r="U422" i="28"/>
  <c r="X422" i="28"/>
  <c r="W422" i="28"/>
  <c r="V422" i="28"/>
  <c r="U429" i="28"/>
  <c r="X429" i="28"/>
  <c r="W429" i="28"/>
  <c r="V429" i="28"/>
  <c r="U723" i="28"/>
  <c r="X723" i="28"/>
  <c r="W723" i="28"/>
  <c r="V723" i="28"/>
  <c r="V688" i="28"/>
  <c r="U688" i="28"/>
  <c r="X688" i="28"/>
  <c r="W688" i="28"/>
  <c r="X86" i="28"/>
  <c r="W86" i="28"/>
  <c r="V86" i="28"/>
  <c r="U86" i="28"/>
  <c r="X891" i="28"/>
  <c r="W891" i="28"/>
  <c r="U891" i="28"/>
  <c r="V891" i="28"/>
  <c r="U464" i="28"/>
  <c r="W464" i="28"/>
  <c r="V464" i="28"/>
  <c r="X464" i="28"/>
  <c r="U317" i="28"/>
  <c r="V317" i="28"/>
  <c r="X317" i="28"/>
  <c r="W317" i="28"/>
  <c r="U548" i="28"/>
  <c r="X548" i="28"/>
  <c r="W548" i="28"/>
  <c r="V548" i="28"/>
  <c r="X380" i="28"/>
  <c r="W380" i="28"/>
  <c r="V380" i="28"/>
  <c r="U380" i="28"/>
  <c r="U331" i="28"/>
  <c r="X331" i="28"/>
  <c r="W331" i="28"/>
  <c r="V331" i="28"/>
  <c r="U618" i="28"/>
  <c r="X618" i="28"/>
  <c r="W618" i="28"/>
  <c r="V618" i="28"/>
  <c r="X737" i="28"/>
  <c r="W737" i="28"/>
  <c r="V737" i="28"/>
  <c r="U737" i="28"/>
  <c r="W744" i="28"/>
  <c r="X744" i="28"/>
  <c r="V744" i="28"/>
  <c r="U744" i="28"/>
  <c r="X604" i="28"/>
  <c r="W604" i="28"/>
  <c r="V604" i="28"/>
  <c r="U604" i="28"/>
  <c r="X170" i="28"/>
  <c r="W170" i="28"/>
  <c r="V170" i="28"/>
  <c r="U170" i="28"/>
  <c r="W793" i="28"/>
  <c r="U793" i="28"/>
  <c r="X793" i="28"/>
  <c r="V793" i="28"/>
  <c r="V100" i="28"/>
  <c r="U100" i="28"/>
  <c r="X100" i="28"/>
  <c r="W100" i="28"/>
  <c r="U765" i="28"/>
  <c r="X765" i="28"/>
  <c r="V765" i="28"/>
  <c r="W765" i="28"/>
  <c r="X254" i="28"/>
  <c r="W254" i="28"/>
  <c r="V254" i="28"/>
  <c r="U254" i="28"/>
  <c r="X37" i="28"/>
  <c r="W37" i="28"/>
  <c r="U37" i="28"/>
  <c r="V37" i="28"/>
  <c r="V415" i="28"/>
  <c r="U415" i="28"/>
  <c r="X415" i="28"/>
  <c r="W415" i="28"/>
  <c r="U408" i="28"/>
  <c r="W408" i="28"/>
  <c r="V408" i="28"/>
  <c r="X408" i="28"/>
  <c r="X702" i="28"/>
  <c r="W702" i="28"/>
  <c r="V702" i="28"/>
  <c r="U702" i="28"/>
  <c r="X149" i="28"/>
  <c r="W149" i="28"/>
  <c r="V149" i="28"/>
  <c r="U149" i="28"/>
  <c r="W842" i="28"/>
  <c r="X842" i="28"/>
  <c r="V842" i="28"/>
  <c r="U842" i="28"/>
  <c r="X142" i="28"/>
  <c r="W142" i="28"/>
  <c r="V142" i="28"/>
  <c r="U142" i="28"/>
  <c r="U471" i="28"/>
  <c r="X471" i="28"/>
  <c r="V471" i="28"/>
  <c r="W471" i="28"/>
  <c r="X751" i="28"/>
  <c r="V751" i="28"/>
  <c r="U751" i="28"/>
  <c r="W751" i="28"/>
  <c r="U247" i="28"/>
  <c r="W247" i="28"/>
  <c r="V247" i="28"/>
  <c r="X247" i="28"/>
  <c r="X394" i="28"/>
  <c r="W394" i="28"/>
  <c r="V394" i="28"/>
  <c r="U394" i="28"/>
  <c r="V513" i="28"/>
  <c r="U513" i="28"/>
  <c r="X513" i="28"/>
  <c r="W513" i="28"/>
  <c r="X912" i="28"/>
  <c r="V912" i="28"/>
  <c r="U912" i="28"/>
  <c r="W912" i="28"/>
  <c r="V758" i="28"/>
  <c r="U758" i="28"/>
  <c r="W758" i="28"/>
  <c r="X758" i="28"/>
  <c r="W870" i="28"/>
  <c r="V870" i="28"/>
  <c r="U870" i="28"/>
  <c r="X870" i="28"/>
  <c r="X296" i="28"/>
  <c r="W296" i="28"/>
  <c r="V296" i="28"/>
  <c r="U296" i="28"/>
  <c r="V681" i="28"/>
  <c r="U681" i="28"/>
  <c r="W681" i="28"/>
  <c r="X681" i="28"/>
  <c r="U667" i="28"/>
  <c r="X667" i="28"/>
  <c r="V667" i="28"/>
  <c r="W667" i="28"/>
  <c r="X72" i="28"/>
  <c r="W72" i="28"/>
  <c r="V72" i="28"/>
  <c r="U72" i="28"/>
  <c r="X44" i="28"/>
  <c r="W44" i="28"/>
  <c r="V44" i="28"/>
  <c r="U44" i="28"/>
  <c r="X282" i="28"/>
  <c r="W282" i="28"/>
  <c r="U282" i="28"/>
  <c r="V282" i="28"/>
  <c r="V135" i="28"/>
  <c r="U135" i="28"/>
  <c r="X135" i="28"/>
  <c r="W135" i="28"/>
  <c r="U527" i="28"/>
  <c r="X527" i="28"/>
  <c r="W527" i="28"/>
  <c r="V527" i="28"/>
  <c r="V58" i="28"/>
  <c r="U58" i="28"/>
  <c r="X58" i="28"/>
  <c r="W58" i="28"/>
  <c r="X779" i="28"/>
  <c r="W779" i="28"/>
  <c r="V779" i="28"/>
  <c r="U779" i="28"/>
  <c r="V156" i="28"/>
  <c r="U156" i="28"/>
  <c r="X156" i="28"/>
  <c r="W156" i="28"/>
  <c r="X478" i="28"/>
  <c r="W478" i="28"/>
  <c r="V478" i="28"/>
  <c r="U478" i="28"/>
  <c r="X219" i="28"/>
  <c r="W219" i="28"/>
  <c r="U219" i="28"/>
  <c r="V219" i="28"/>
  <c r="U485" i="28"/>
  <c r="X485" i="28"/>
  <c r="W485" i="28"/>
  <c r="V485" i="28"/>
  <c r="U632" i="28"/>
  <c r="W632" i="28"/>
  <c r="V632" i="28"/>
  <c r="X632" i="28"/>
  <c r="X65" i="28"/>
  <c r="W65" i="28"/>
  <c r="U65" i="28"/>
  <c r="V65" i="28"/>
  <c r="X233" i="28"/>
  <c r="W233" i="28"/>
  <c r="U233" i="28"/>
  <c r="V233" i="28"/>
  <c r="W709" i="28"/>
  <c r="V709" i="28"/>
  <c r="U709" i="28"/>
  <c r="X709" i="28"/>
  <c r="V163" i="28"/>
  <c r="W163" i="28"/>
  <c r="U163" i="28"/>
  <c r="X163" i="28"/>
  <c r="X898" i="28"/>
  <c r="V898" i="28"/>
  <c r="U898" i="28"/>
  <c r="W898" i="28"/>
  <c r="V653" i="28"/>
  <c r="U653" i="28"/>
  <c r="X653" i="28"/>
  <c r="W653" i="28"/>
  <c r="X786" i="28"/>
  <c r="V786" i="28"/>
  <c r="U786" i="28"/>
  <c r="W786" i="28"/>
  <c r="X506" i="28"/>
  <c r="V506" i="28"/>
  <c r="U506" i="28"/>
  <c r="W506" i="28"/>
  <c r="V191" i="28"/>
  <c r="U191" i="28"/>
  <c r="X191" i="28"/>
  <c r="W191" i="28"/>
  <c r="U569" i="28"/>
  <c r="X569" i="28"/>
  <c r="W569" i="28"/>
  <c r="V569" i="28"/>
  <c r="X359" i="28"/>
  <c r="W359" i="28"/>
  <c r="V359" i="28"/>
  <c r="U359" i="28"/>
  <c r="X226" i="28"/>
  <c r="W226" i="28"/>
  <c r="U226" i="28"/>
  <c r="V226" i="28"/>
  <c r="V800" i="28"/>
  <c r="U800" i="28"/>
  <c r="W800" i="28"/>
  <c r="X800" i="28"/>
  <c r="V646" i="28"/>
  <c r="U646" i="28"/>
  <c r="X646" i="28"/>
  <c r="W646" i="28"/>
  <c r="U303" i="28"/>
  <c r="X303" i="28"/>
  <c r="V303" i="28"/>
  <c r="W303" i="28"/>
  <c r="X114" i="28"/>
  <c r="W114" i="28"/>
  <c r="V114" i="28"/>
  <c r="U114" i="28"/>
  <c r="U373" i="28"/>
  <c r="X373" i="28"/>
  <c r="W373" i="28"/>
  <c r="V373" i="28"/>
  <c r="X240" i="28"/>
  <c r="W240" i="28"/>
  <c r="V240" i="28"/>
  <c r="U240" i="28"/>
  <c r="V835" i="28"/>
  <c r="U835" i="28"/>
  <c r="W835" i="28"/>
  <c r="X835" i="28"/>
  <c r="X520" i="28"/>
  <c r="W520" i="28"/>
  <c r="U520" i="28"/>
  <c r="V520" i="28"/>
  <c r="X450" i="28"/>
  <c r="U450" i="28"/>
  <c r="W450" i="28"/>
  <c r="V450" i="28"/>
  <c r="V198" i="28"/>
  <c r="U198" i="28"/>
  <c r="X198" i="28"/>
  <c r="W198" i="28"/>
  <c r="V695" i="28"/>
  <c r="U695" i="28"/>
  <c r="X695" i="28"/>
  <c r="W695" i="28"/>
  <c r="V863" i="28"/>
  <c r="U863" i="28"/>
  <c r="W863" i="28"/>
  <c r="X863" i="28"/>
  <c r="X555" i="28"/>
  <c r="W555" i="28"/>
  <c r="V555" i="28"/>
  <c r="U555" i="28"/>
  <c r="U443" i="28"/>
  <c r="W443" i="28"/>
  <c r="V443" i="28"/>
  <c r="X443" i="28"/>
  <c r="X338" i="28"/>
  <c r="W338" i="28"/>
  <c r="V338" i="28"/>
  <c r="U338" i="28"/>
  <c r="V905" i="28"/>
  <c r="U905" i="28"/>
  <c r="X905" i="28"/>
  <c r="W905" i="28"/>
  <c r="X814" i="28"/>
  <c r="V814" i="28"/>
  <c r="W814" i="28"/>
  <c r="U814" i="28"/>
  <c r="U821" i="28"/>
  <c r="W821" i="28"/>
  <c r="X821" i="28"/>
  <c r="V821" i="28"/>
  <c r="X660" i="28"/>
  <c r="W660" i="28"/>
  <c r="V660" i="28"/>
  <c r="U660" i="28"/>
  <c r="W730" i="28"/>
  <c r="X730" i="28"/>
  <c r="U730" i="28"/>
  <c r="V730" i="28"/>
  <c r="U275" i="28"/>
  <c r="X275" i="28"/>
  <c r="W275" i="28"/>
  <c r="V275" i="28"/>
  <c r="W625" i="28"/>
  <c r="V625" i="28"/>
  <c r="U625" i="28"/>
  <c r="X625" i="28"/>
  <c r="W30" i="28"/>
  <c r="V30" i="28"/>
  <c r="U30" i="28"/>
  <c r="X30" i="28"/>
  <c r="X877" i="28"/>
  <c r="W877" i="28"/>
  <c r="V877" i="28"/>
  <c r="U877" i="28"/>
  <c r="W583" i="28"/>
  <c r="V583" i="28"/>
  <c r="U583" i="28"/>
  <c r="X583" i="28"/>
  <c r="U499" i="28"/>
  <c r="X499" i="28"/>
  <c r="W499" i="28"/>
  <c r="V499" i="28"/>
  <c r="X184" i="28"/>
  <c r="W184" i="28"/>
  <c r="V184" i="28"/>
  <c r="U184" i="28"/>
  <c r="X177" i="28"/>
  <c r="W177" i="28"/>
  <c r="V177" i="28"/>
  <c r="U177" i="28"/>
  <c r="W128" i="28"/>
  <c r="V128" i="28"/>
  <c r="U128" i="28"/>
  <c r="X128" i="28"/>
  <c r="X107" i="28"/>
  <c r="W107" i="28"/>
  <c r="U107" i="28"/>
  <c r="V107" i="28"/>
  <c r="V352" i="28"/>
  <c r="U352" i="28"/>
  <c r="W352" i="28"/>
  <c r="X352" i="28"/>
  <c r="X492" i="28"/>
  <c r="W492" i="28"/>
  <c r="V492" i="28"/>
  <c r="U492" i="28"/>
  <c r="X366" i="28"/>
  <c r="W366" i="28"/>
  <c r="V366" i="28"/>
  <c r="U366" i="28"/>
  <c r="V828" i="28"/>
  <c r="U828" i="28"/>
  <c r="W828" i="28"/>
  <c r="X828" i="28"/>
  <c r="V457" i="28"/>
  <c r="U457" i="28"/>
  <c r="X457" i="28"/>
  <c r="W457" i="28"/>
  <c r="X205" i="28"/>
  <c r="W205" i="28"/>
  <c r="V205" i="28"/>
  <c r="U205" i="28"/>
  <c r="X387" i="28"/>
  <c r="V387" i="28"/>
  <c r="U387" i="28"/>
  <c r="W387" i="28"/>
  <c r="AD318" i="28"/>
  <c r="AD731" i="28"/>
  <c r="AD780" i="28"/>
  <c r="AD507" i="28"/>
  <c r="AD437" i="28"/>
  <c r="AD122" i="28"/>
  <c r="AD479" i="28"/>
  <c r="AD220" i="28"/>
  <c r="AD360" i="28"/>
  <c r="AD374" i="28"/>
  <c r="AD381" i="28"/>
  <c r="AD332" i="28"/>
  <c r="AD619" i="28"/>
  <c r="AD738" i="28"/>
  <c r="AD745" i="28"/>
  <c r="AD605" i="28"/>
  <c r="AD171" i="28"/>
  <c r="AD794" i="28"/>
  <c r="AD101" i="28"/>
  <c r="AD766" i="28"/>
  <c r="AD255" i="28"/>
  <c r="AD38" i="28"/>
  <c r="AD416" i="28"/>
  <c r="AD409" i="28"/>
  <c r="AD703" i="28"/>
  <c r="AD150" i="28"/>
  <c r="AD640" i="28"/>
  <c r="AD633" i="28"/>
  <c r="AD66" i="28"/>
  <c r="AD234" i="28"/>
  <c r="AD710" i="28"/>
  <c r="AD647" i="28"/>
  <c r="AD164" i="28"/>
  <c r="AD654" i="28"/>
  <c r="AD80" i="28"/>
  <c r="AD857" i="28"/>
  <c r="AD52" i="28"/>
  <c r="AD675" i="28"/>
  <c r="AD535" i="28"/>
  <c r="AD290" i="28"/>
  <c r="AD577" i="28"/>
  <c r="AD213" i="28"/>
  <c r="AD563" i="28"/>
  <c r="AD423" i="28"/>
  <c r="AD430" i="28"/>
  <c r="AD724" i="28"/>
  <c r="AD689" i="28"/>
  <c r="AD87" i="28"/>
  <c r="AD892" i="28"/>
  <c r="AD465" i="28"/>
  <c r="AD843" i="28"/>
  <c r="AD549" i="28"/>
  <c r="AD276" i="28"/>
  <c r="AD192" i="28"/>
  <c r="AD570" i="28"/>
  <c r="AD486" i="28"/>
  <c r="AD801" i="28"/>
  <c r="AD626" i="28"/>
  <c r="AD31" i="28"/>
  <c r="AD878" i="28"/>
  <c r="AD584" i="28"/>
  <c r="AD500" i="28"/>
  <c r="AD185" i="28"/>
  <c r="AD178" i="28"/>
  <c r="AD129" i="28"/>
  <c r="AD108" i="28"/>
  <c r="AD353" i="28"/>
  <c r="AD493" i="28"/>
  <c r="AD367" i="28"/>
  <c r="AD829" i="28"/>
  <c r="AD458" i="28"/>
  <c r="AD206" i="28"/>
  <c r="AD388" i="28"/>
  <c r="AD59" i="28"/>
  <c r="AD143" i="28"/>
  <c r="AD157" i="28"/>
  <c r="AD899" i="28"/>
  <c r="AD752" i="28"/>
  <c r="AD395" i="28"/>
  <c r="AD759" i="28"/>
  <c r="AD871" i="28"/>
  <c r="AD297" i="28"/>
  <c r="AD682" i="28"/>
  <c r="AD668" i="28"/>
  <c r="AD73" i="28"/>
  <c r="AD45" i="28"/>
  <c r="AD283" i="28"/>
  <c r="AD136" i="28"/>
  <c r="AD528" i="28"/>
  <c r="AD787" i="28"/>
  <c r="AD920" i="28"/>
  <c r="AD227" i="28"/>
  <c r="AD472" i="28"/>
  <c r="AD248" i="28"/>
  <c r="AD514" i="28"/>
  <c r="AD913" i="28"/>
  <c r="AD402" i="28"/>
  <c r="AD885" i="28"/>
  <c r="AD591" i="28"/>
  <c r="AD325" i="28"/>
  <c r="AD311" i="28"/>
  <c r="AD542" i="28"/>
  <c r="AD612" i="28"/>
  <c r="AD598" i="28"/>
  <c r="AD773" i="28"/>
  <c r="AD346" i="28"/>
  <c r="AD717" i="28"/>
  <c r="AD269" i="28"/>
  <c r="AD94" i="28"/>
  <c r="AD262" i="28"/>
  <c r="AD850" i="28"/>
  <c r="AD808" i="28"/>
  <c r="AD661" i="28"/>
  <c r="AD304" i="28"/>
  <c r="AD115" i="28"/>
  <c r="AD241" i="28"/>
  <c r="AD836" i="28"/>
  <c r="AD521" i="28"/>
  <c r="AD451" i="28"/>
  <c r="AD199" i="28"/>
  <c r="AD696" i="28"/>
  <c r="AD864" i="28"/>
  <c r="AD556" i="28"/>
  <c r="AD444" i="28"/>
  <c r="AD339" i="28"/>
  <c r="AD906" i="28"/>
  <c r="AD815" i="28"/>
  <c r="AD822" i="28"/>
  <c r="X444" i="28" l="1"/>
  <c r="W444" i="28"/>
  <c r="V444" i="28"/>
  <c r="U444" i="28"/>
  <c r="V668" i="28"/>
  <c r="X668" i="28"/>
  <c r="U668" i="28"/>
  <c r="W668" i="28"/>
  <c r="X857" i="28"/>
  <c r="W857" i="28"/>
  <c r="V857" i="28"/>
  <c r="U857" i="28"/>
  <c r="X556" i="28"/>
  <c r="W556" i="28"/>
  <c r="V556" i="28"/>
  <c r="U556" i="28"/>
  <c r="X115" i="28"/>
  <c r="W115" i="28"/>
  <c r="V115" i="28"/>
  <c r="U115" i="28"/>
  <c r="X717" i="28"/>
  <c r="W717" i="28"/>
  <c r="V717" i="28"/>
  <c r="U717" i="28"/>
  <c r="U591" i="28"/>
  <c r="X591" i="28"/>
  <c r="W591" i="28"/>
  <c r="V591" i="28"/>
  <c r="U920" i="28"/>
  <c r="W920" i="28"/>
  <c r="V920" i="28"/>
  <c r="X920" i="28"/>
  <c r="U682" i="28"/>
  <c r="X682" i="28"/>
  <c r="W682" i="28"/>
  <c r="V682" i="28"/>
  <c r="W143" i="28"/>
  <c r="U143" i="28"/>
  <c r="X143" i="28"/>
  <c r="V143" i="28"/>
  <c r="U353" i="28"/>
  <c r="X353" i="28"/>
  <c r="W353" i="28"/>
  <c r="V353" i="28"/>
  <c r="X31" i="28"/>
  <c r="V31" i="28"/>
  <c r="U31" i="28"/>
  <c r="W31" i="28"/>
  <c r="V843" i="28"/>
  <c r="U843" i="28"/>
  <c r="X843" i="28"/>
  <c r="W843" i="28"/>
  <c r="U563" i="28"/>
  <c r="X563" i="28"/>
  <c r="W563" i="28"/>
  <c r="V563" i="28"/>
  <c r="X80" i="28"/>
  <c r="W80" i="28"/>
  <c r="V80" i="28"/>
  <c r="U80" i="28"/>
  <c r="X640" i="28"/>
  <c r="W640" i="28"/>
  <c r="V640" i="28"/>
  <c r="U640" i="28"/>
  <c r="V101" i="28"/>
  <c r="U101" i="28"/>
  <c r="X101" i="28"/>
  <c r="W101" i="28"/>
  <c r="W381" i="28"/>
  <c r="V381" i="28"/>
  <c r="U381" i="28"/>
  <c r="X381" i="28"/>
  <c r="X780" i="28"/>
  <c r="V780" i="28"/>
  <c r="U780" i="28"/>
  <c r="W780" i="28"/>
  <c r="X227" i="28"/>
  <c r="W227" i="28"/>
  <c r="U227" i="28"/>
  <c r="V227" i="28"/>
  <c r="V423" i="28"/>
  <c r="U423" i="28"/>
  <c r="X423" i="28"/>
  <c r="W423" i="28"/>
  <c r="U507" i="28"/>
  <c r="X507" i="28"/>
  <c r="W507" i="28"/>
  <c r="V507" i="28"/>
  <c r="V885" i="28"/>
  <c r="U885" i="28"/>
  <c r="X885" i="28"/>
  <c r="W885" i="28"/>
  <c r="X108" i="28"/>
  <c r="W108" i="28"/>
  <c r="V108" i="28"/>
  <c r="U108" i="28"/>
  <c r="X626" i="28"/>
  <c r="W626" i="28"/>
  <c r="V626" i="28"/>
  <c r="U626" i="28"/>
  <c r="U465" i="28"/>
  <c r="W465" i="28"/>
  <c r="V465" i="28"/>
  <c r="X465" i="28"/>
  <c r="W213" i="28"/>
  <c r="V213" i="28"/>
  <c r="U213" i="28"/>
  <c r="X213" i="28"/>
  <c r="X654" i="28"/>
  <c r="W654" i="28"/>
  <c r="V654" i="28"/>
  <c r="U654" i="28"/>
  <c r="X150" i="28"/>
  <c r="V150" i="28"/>
  <c r="U150" i="28"/>
  <c r="W150" i="28"/>
  <c r="X794" i="28"/>
  <c r="V794" i="28"/>
  <c r="U794" i="28"/>
  <c r="W794" i="28"/>
  <c r="X374" i="28"/>
  <c r="W374" i="28"/>
  <c r="U374" i="28"/>
  <c r="V374" i="28"/>
  <c r="X731" i="28"/>
  <c r="W731" i="28"/>
  <c r="V731" i="28"/>
  <c r="U731" i="28"/>
  <c r="X241" i="28"/>
  <c r="W241" i="28"/>
  <c r="V241" i="28"/>
  <c r="U241" i="28"/>
  <c r="U493" i="28"/>
  <c r="X493" i="28"/>
  <c r="W493" i="28"/>
  <c r="V493" i="28"/>
  <c r="U332" i="28"/>
  <c r="X332" i="28"/>
  <c r="W332" i="28"/>
  <c r="V332" i="28"/>
  <c r="W864" i="28"/>
  <c r="X864" i="28"/>
  <c r="V864" i="28"/>
  <c r="U864" i="28"/>
  <c r="X787" i="28"/>
  <c r="W787" i="28"/>
  <c r="U787" i="28"/>
  <c r="V787" i="28"/>
  <c r="U661" i="28"/>
  <c r="X661" i="28"/>
  <c r="W661" i="28"/>
  <c r="V661" i="28"/>
  <c r="X528" i="28"/>
  <c r="W528" i="28"/>
  <c r="U528" i="28"/>
  <c r="V528" i="28"/>
  <c r="V388" i="28"/>
  <c r="U388" i="28"/>
  <c r="X388" i="28"/>
  <c r="W388" i="28"/>
  <c r="U892" i="28"/>
  <c r="W892" i="28"/>
  <c r="X892" i="28"/>
  <c r="V892" i="28"/>
  <c r="W164" i="28"/>
  <c r="V164" i="28"/>
  <c r="U164" i="28"/>
  <c r="X164" i="28"/>
  <c r="X171" i="28"/>
  <c r="W171" i="28"/>
  <c r="V171" i="28"/>
  <c r="U171" i="28"/>
  <c r="X360" i="28"/>
  <c r="W360" i="28"/>
  <c r="V360" i="28"/>
  <c r="U360" i="28"/>
  <c r="X318" i="28"/>
  <c r="W318" i="28"/>
  <c r="V318" i="28"/>
  <c r="U318" i="28"/>
  <c r="U549" i="28"/>
  <c r="X549" i="28"/>
  <c r="W549" i="28"/>
  <c r="V549" i="28"/>
  <c r="X304" i="28"/>
  <c r="W304" i="28"/>
  <c r="V304" i="28"/>
  <c r="U304" i="28"/>
  <c r="U297" i="28"/>
  <c r="X297" i="28"/>
  <c r="W297" i="28"/>
  <c r="V297" i="28"/>
  <c r="U696" i="28"/>
  <c r="X696" i="28"/>
  <c r="V696" i="28"/>
  <c r="W696" i="28"/>
  <c r="X402" i="28"/>
  <c r="W402" i="28"/>
  <c r="V402" i="28"/>
  <c r="U402" i="28"/>
  <c r="X129" i="28"/>
  <c r="W129" i="28"/>
  <c r="U129" i="28"/>
  <c r="V129" i="28"/>
  <c r="W577" i="28"/>
  <c r="V577" i="28"/>
  <c r="U577" i="28"/>
  <c r="X577" i="28"/>
  <c r="X822" i="28"/>
  <c r="V822" i="28"/>
  <c r="U822" i="28"/>
  <c r="W822" i="28"/>
  <c r="V808" i="28"/>
  <c r="U808" i="28"/>
  <c r="W808" i="28"/>
  <c r="X808" i="28"/>
  <c r="W598" i="28"/>
  <c r="V598" i="28"/>
  <c r="X598" i="28"/>
  <c r="U598" i="28"/>
  <c r="U913" i="28"/>
  <c r="X913" i="28"/>
  <c r="W913" i="28"/>
  <c r="V913" i="28"/>
  <c r="X136" i="28"/>
  <c r="W136" i="28"/>
  <c r="V136" i="28"/>
  <c r="U136" i="28"/>
  <c r="V759" i="28"/>
  <c r="U759" i="28"/>
  <c r="X759" i="28"/>
  <c r="W759" i="28"/>
  <c r="W206" i="28"/>
  <c r="V206" i="28"/>
  <c r="U206" i="28"/>
  <c r="X206" i="28"/>
  <c r="X178" i="28"/>
  <c r="W178" i="28"/>
  <c r="V178" i="28"/>
  <c r="U178" i="28"/>
  <c r="X486" i="28"/>
  <c r="W486" i="28"/>
  <c r="V486" i="28"/>
  <c r="U486" i="28"/>
  <c r="X87" i="28"/>
  <c r="W87" i="28"/>
  <c r="V87" i="28"/>
  <c r="U87" i="28"/>
  <c r="X290" i="28"/>
  <c r="W290" i="28"/>
  <c r="U290" i="28"/>
  <c r="V290" i="28"/>
  <c r="W647" i="28"/>
  <c r="V647" i="28"/>
  <c r="U647" i="28"/>
  <c r="X647" i="28"/>
  <c r="W409" i="28"/>
  <c r="V409" i="28"/>
  <c r="U409" i="28"/>
  <c r="X409" i="28"/>
  <c r="W605" i="28"/>
  <c r="V605" i="28"/>
  <c r="U605" i="28"/>
  <c r="X605" i="28"/>
  <c r="X220" i="28"/>
  <c r="W220" i="28"/>
  <c r="V220" i="28"/>
  <c r="U220" i="28"/>
  <c r="U325" i="28"/>
  <c r="X325" i="28"/>
  <c r="V325" i="28"/>
  <c r="W325" i="28"/>
  <c r="V633" i="28"/>
  <c r="U633" i="28"/>
  <c r="X633" i="28"/>
  <c r="W633" i="28"/>
  <c r="X346" i="28"/>
  <c r="W346" i="28"/>
  <c r="V346" i="28"/>
  <c r="U346" i="28"/>
  <c r="X59" i="28"/>
  <c r="W59" i="28"/>
  <c r="U59" i="28"/>
  <c r="V59" i="28"/>
  <c r="W773" i="28"/>
  <c r="V773" i="28"/>
  <c r="U773" i="28"/>
  <c r="X773" i="28"/>
  <c r="X871" i="28"/>
  <c r="W871" i="28"/>
  <c r="V871" i="28"/>
  <c r="U871" i="28"/>
  <c r="V801" i="28"/>
  <c r="U801" i="28"/>
  <c r="X801" i="28"/>
  <c r="W801" i="28"/>
  <c r="X703" i="28"/>
  <c r="W703" i="28"/>
  <c r="V703" i="28"/>
  <c r="U703" i="28"/>
  <c r="X199" i="28"/>
  <c r="W199" i="28"/>
  <c r="V199" i="28"/>
  <c r="U199" i="28"/>
  <c r="X815" i="28"/>
  <c r="W815" i="28"/>
  <c r="U815" i="28"/>
  <c r="V815" i="28"/>
  <c r="W451" i="28"/>
  <c r="V451" i="28"/>
  <c r="U451" i="28"/>
  <c r="X451" i="28"/>
  <c r="X850" i="28"/>
  <c r="V850" i="28"/>
  <c r="U850" i="28"/>
  <c r="W850" i="28"/>
  <c r="U612" i="28"/>
  <c r="X612" i="28"/>
  <c r="W612" i="28"/>
  <c r="V612" i="28"/>
  <c r="X514" i="28"/>
  <c r="V514" i="28"/>
  <c r="W514" i="28"/>
  <c r="U514" i="28"/>
  <c r="U283" i="28"/>
  <c r="X283" i="28"/>
  <c r="W283" i="28"/>
  <c r="V283" i="28"/>
  <c r="U395" i="28"/>
  <c r="X395" i="28"/>
  <c r="W395" i="28"/>
  <c r="V395" i="28"/>
  <c r="X458" i="28"/>
  <c r="W458" i="28"/>
  <c r="V458" i="28"/>
  <c r="U458" i="28"/>
  <c r="V185" i="28"/>
  <c r="W185" i="28"/>
  <c r="U185" i="28"/>
  <c r="X185" i="28"/>
  <c r="X570" i="28"/>
  <c r="W570" i="28"/>
  <c r="V570" i="28"/>
  <c r="U570" i="28"/>
  <c r="W689" i="28"/>
  <c r="U689" i="28"/>
  <c r="X689" i="28"/>
  <c r="V689" i="28"/>
  <c r="U535" i="28"/>
  <c r="X535" i="28"/>
  <c r="V535" i="28"/>
  <c r="W535" i="28"/>
  <c r="U710" i="28"/>
  <c r="W710" i="28"/>
  <c r="V710" i="28"/>
  <c r="X710" i="28"/>
  <c r="U416" i="28"/>
  <c r="V416" i="28"/>
  <c r="X416" i="28"/>
  <c r="W416" i="28"/>
  <c r="W745" i="28"/>
  <c r="U745" i="28"/>
  <c r="X745" i="28"/>
  <c r="V745" i="28"/>
  <c r="U479" i="28"/>
  <c r="X479" i="28"/>
  <c r="W479" i="28"/>
  <c r="V479" i="28"/>
  <c r="U157" i="28"/>
  <c r="W157" i="28"/>
  <c r="V157" i="28"/>
  <c r="X157" i="28"/>
  <c r="U521" i="28"/>
  <c r="X521" i="28"/>
  <c r="W521" i="28"/>
  <c r="V521" i="28"/>
  <c r="U262" i="28"/>
  <c r="V262" i="28"/>
  <c r="X262" i="28"/>
  <c r="W262" i="28"/>
  <c r="X542" i="28"/>
  <c r="W542" i="28"/>
  <c r="V542" i="28"/>
  <c r="U542" i="28"/>
  <c r="X248" i="28"/>
  <c r="W248" i="28"/>
  <c r="V248" i="28"/>
  <c r="U248" i="28"/>
  <c r="V45" i="28"/>
  <c r="U45" i="28"/>
  <c r="X45" i="28"/>
  <c r="W45" i="28"/>
  <c r="W752" i="28"/>
  <c r="U752" i="28"/>
  <c r="V752" i="28"/>
  <c r="X752" i="28"/>
  <c r="V829" i="28"/>
  <c r="X829" i="28"/>
  <c r="W829" i="28"/>
  <c r="U829" i="28"/>
  <c r="W500" i="28"/>
  <c r="V500" i="28"/>
  <c r="U500" i="28"/>
  <c r="X500" i="28"/>
  <c r="X192" i="28"/>
  <c r="W192" i="28"/>
  <c r="V192" i="28"/>
  <c r="U192" i="28"/>
  <c r="X724" i="28"/>
  <c r="V724" i="28"/>
  <c r="U724" i="28"/>
  <c r="W724" i="28"/>
  <c r="W675" i="28"/>
  <c r="X675" i="28"/>
  <c r="V675" i="28"/>
  <c r="U675" i="28"/>
  <c r="X234" i="28"/>
  <c r="W234" i="28"/>
  <c r="V234" i="28"/>
  <c r="U234" i="28"/>
  <c r="X38" i="28"/>
  <c r="W38" i="28"/>
  <c r="V38" i="28"/>
  <c r="U38" i="28"/>
  <c r="X738" i="28"/>
  <c r="V738" i="28"/>
  <c r="U738" i="28"/>
  <c r="W738" i="28"/>
  <c r="V122" i="28"/>
  <c r="U122" i="28"/>
  <c r="X122" i="28"/>
  <c r="W122" i="28"/>
  <c r="U269" i="28"/>
  <c r="X269" i="28"/>
  <c r="W269" i="28"/>
  <c r="V269" i="28"/>
  <c r="X878" i="28"/>
  <c r="V878" i="28"/>
  <c r="U878" i="28"/>
  <c r="W878" i="28"/>
  <c r="V766" i="28"/>
  <c r="U766" i="28"/>
  <c r="W766" i="28"/>
  <c r="X766" i="28"/>
  <c r="X906" i="28"/>
  <c r="V906" i="28"/>
  <c r="U906" i="28"/>
  <c r="W906" i="28"/>
  <c r="U339" i="28"/>
  <c r="X339" i="28"/>
  <c r="W339" i="28"/>
  <c r="V339" i="28"/>
  <c r="X836" i="28"/>
  <c r="V836" i="28"/>
  <c r="U836" i="28"/>
  <c r="W836" i="28"/>
  <c r="X94" i="28"/>
  <c r="W94" i="28"/>
  <c r="V94" i="28"/>
  <c r="U94" i="28"/>
  <c r="U311" i="28"/>
  <c r="X311" i="28"/>
  <c r="W311" i="28"/>
  <c r="V311" i="28"/>
  <c r="X472" i="28"/>
  <c r="V472" i="28"/>
  <c r="U472" i="28"/>
  <c r="W472" i="28"/>
  <c r="X73" i="28"/>
  <c r="W73" i="28"/>
  <c r="U73" i="28"/>
  <c r="V73" i="28"/>
  <c r="V899" i="28"/>
  <c r="U899" i="28"/>
  <c r="W899" i="28"/>
  <c r="X899" i="28"/>
  <c r="U367" i="28"/>
  <c r="X367" i="28"/>
  <c r="V367" i="28"/>
  <c r="W367" i="28"/>
  <c r="V584" i="28"/>
  <c r="U584" i="28"/>
  <c r="W584" i="28"/>
  <c r="X584" i="28"/>
  <c r="V276" i="28"/>
  <c r="U276" i="28"/>
  <c r="X276" i="28"/>
  <c r="W276" i="28"/>
  <c r="X430" i="28"/>
  <c r="W430" i="28"/>
  <c r="V430" i="28"/>
  <c r="U430" i="28"/>
  <c r="X52" i="28"/>
  <c r="W52" i="28"/>
  <c r="V52" i="28"/>
  <c r="U52" i="28"/>
  <c r="V66" i="28"/>
  <c r="U66" i="28"/>
  <c r="X66" i="28"/>
  <c r="W66" i="28"/>
  <c r="V255" i="28"/>
  <c r="U255" i="28"/>
  <c r="X255" i="28"/>
  <c r="W255" i="28"/>
  <c r="V619" i="28"/>
  <c r="U619" i="28"/>
  <c r="X619" i="28"/>
  <c r="W619" i="28"/>
  <c r="U437" i="28"/>
  <c r="X437" i="28"/>
  <c r="W437" i="28"/>
  <c r="V437" i="28"/>
  <c r="AD452" i="28"/>
  <c r="AD284" i="28"/>
  <c r="AD186" i="28"/>
  <c r="AD662" i="28"/>
  <c r="AD403" i="28"/>
  <c r="AD445" i="28"/>
  <c r="AD242" i="28"/>
  <c r="AD270" i="28"/>
  <c r="AD326" i="28"/>
  <c r="AD228" i="28"/>
  <c r="AD669" i="28"/>
  <c r="AD158" i="28"/>
  <c r="AD494" i="28"/>
  <c r="AD879" i="28"/>
  <c r="AD550" i="28"/>
  <c r="AD424" i="28"/>
  <c r="AD858" i="28"/>
  <c r="AD634" i="28"/>
  <c r="AD767" i="28"/>
  <c r="AD333" i="28"/>
  <c r="AD508" i="28"/>
  <c r="AD571" i="28"/>
  <c r="AD417" i="28"/>
  <c r="AD480" i="28"/>
  <c r="AD865" i="28"/>
  <c r="AD305" i="28"/>
  <c r="AD347" i="28"/>
  <c r="AD886" i="28"/>
  <c r="AD788" i="28"/>
  <c r="AD298" i="28"/>
  <c r="AD60" i="28"/>
  <c r="AD109" i="28"/>
  <c r="AD627" i="28"/>
  <c r="AD466" i="28"/>
  <c r="AD214" i="28"/>
  <c r="AD655" i="28"/>
  <c r="AD151" i="28"/>
  <c r="AD795" i="28"/>
  <c r="AD375" i="28"/>
  <c r="AD732" i="28"/>
  <c r="AD816" i="28"/>
  <c r="AD396" i="28"/>
  <c r="AD95" i="28"/>
  <c r="AD473" i="28"/>
  <c r="AD74" i="28"/>
  <c r="AD900" i="28"/>
  <c r="AD368" i="28"/>
  <c r="AD585" i="28"/>
  <c r="AD277" i="28"/>
  <c r="AD431" i="28"/>
  <c r="AD53" i="28"/>
  <c r="AD67" i="28"/>
  <c r="AD256" i="28"/>
  <c r="AD620" i="28"/>
  <c r="AD438" i="28"/>
  <c r="AD690" i="28"/>
  <c r="AD340" i="28"/>
  <c r="AD312" i="28"/>
  <c r="AD823" i="28"/>
  <c r="AD200" i="28"/>
  <c r="AD809" i="28"/>
  <c r="AD599" i="28"/>
  <c r="AD914" i="28"/>
  <c r="AD137" i="28"/>
  <c r="AD760" i="28"/>
  <c r="AD207" i="28"/>
  <c r="AD179" i="28"/>
  <c r="AD487" i="28"/>
  <c r="AD88" i="28"/>
  <c r="AD291" i="28"/>
  <c r="AD648" i="28"/>
  <c r="AD410" i="28"/>
  <c r="AD606" i="28"/>
  <c r="AD221" i="28"/>
  <c r="AD613" i="28"/>
  <c r="AD515" i="28"/>
  <c r="AD536" i="28"/>
  <c r="AD711" i="28"/>
  <c r="AD746" i="28"/>
  <c r="AD557" i="28"/>
  <c r="AD116" i="28"/>
  <c r="AD718" i="28"/>
  <c r="AD592" i="28"/>
  <c r="AD921" i="28"/>
  <c r="AD683" i="28"/>
  <c r="AD144" i="28"/>
  <c r="AD354" i="28"/>
  <c r="AD32" i="28"/>
  <c r="AD844" i="28"/>
  <c r="AD564" i="28"/>
  <c r="AD81" i="28"/>
  <c r="AD641" i="28"/>
  <c r="AD102" i="28"/>
  <c r="AD382" i="28"/>
  <c r="AD781" i="28"/>
  <c r="AD459" i="28"/>
  <c r="AD837" i="28"/>
  <c r="AD907" i="28"/>
  <c r="AD522" i="28"/>
  <c r="AD263" i="28"/>
  <c r="AD543" i="28"/>
  <c r="AD249" i="28"/>
  <c r="AD46" i="28"/>
  <c r="AD753" i="28"/>
  <c r="AD830" i="28"/>
  <c r="AD501" i="28"/>
  <c r="AD193" i="28"/>
  <c r="AD725" i="28"/>
  <c r="AD676" i="28"/>
  <c r="AD235" i="28"/>
  <c r="AD39" i="28"/>
  <c r="AD739" i="28"/>
  <c r="AD123" i="28"/>
  <c r="AD851" i="28"/>
  <c r="AD697" i="28"/>
  <c r="AD774" i="28"/>
  <c r="AD529" i="28"/>
  <c r="AD872" i="28"/>
  <c r="AD389" i="28"/>
  <c r="AD130" i="28"/>
  <c r="AD802" i="28"/>
  <c r="AD893" i="28"/>
  <c r="AD578" i="28"/>
  <c r="AD165" i="28"/>
  <c r="AD704" i="28"/>
  <c r="AD172" i="28"/>
  <c r="AD361" i="28"/>
  <c r="AD319" i="28"/>
  <c r="V22" i="27"/>
  <c r="V23" i="27"/>
  <c r="V24" i="27"/>
  <c r="V25" i="27"/>
  <c r="V26" i="27"/>
  <c r="X753" i="28" l="1"/>
  <c r="V753" i="28"/>
  <c r="U753" i="28"/>
  <c r="W753" i="28"/>
  <c r="W585" i="28"/>
  <c r="V585" i="28"/>
  <c r="U585" i="28"/>
  <c r="X585" i="28"/>
  <c r="U361" i="28"/>
  <c r="X361" i="28"/>
  <c r="W361" i="28"/>
  <c r="V361" i="28"/>
  <c r="U389" i="28"/>
  <c r="X389" i="28"/>
  <c r="W389" i="28"/>
  <c r="V389" i="28"/>
  <c r="X39" i="28"/>
  <c r="W39" i="28"/>
  <c r="V39" i="28"/>
  <c r="U39" i="28"/>
  <c r="X46" i="28"/>
  <c r="W46" i="28"/>
  <c r="V46" i="28"/>
  <c r="U46" i="28"/>
  <c r="V781" i="28"/>
  <c r="U781" i="28"/>
  <c r="X781" i="28"/>
  <c r="W781" i="28"/>
  <c r="V354" i="28"/>
  <c r="U354" i="28"/>
  <c r="X354" i="28"/>
  <c r="W354" i="28"/>
  <c r="V746" i="28"/>
  <c r="U746" i="28"/>
  <c r="W746" i="28"/>
  <c r="X746" i="28"/>
  <c r="X648" i="28"/>
  <c r="W648" i="28"/>
  <c r="V648" i="28"/>
  <c r="U648" i="28"/>
  <c r="X914" i="28"/>
  <c r="V914" i="28"/>
  <c r="U914" i="28"/>
  <c r="W914" i="28"/>
  <c r="X438" i="28"/>
  <c r="V438" i="28"/>
  <c r="U438" i="28"/>
  <c r="W438" i="28"/>
  <c r="W368" i="28"/>
  <c r="V368" i="28"/>
  <c r="U368" i="28"/>
  <c r="X368" i="28"/>
  <c r="U375" i="28"/>
  <c r="X375" i="28"/>
  <c r="W375" i="28"/>
  <c r="V375" i="28"/>
  <c r="W60" i="28"/>
  <c r="U60" i="28"/>
  <c r="X60" i="28"/>
  <c r="V60" i="28"/>
  <c r="X417" i="28"/>
  <c r="W417" i="28"/>
  <c r="V417" i="28"/>
  <c r="U417" i="28"/>
  <c r="W550" i="28"/>
  <c r="V550" i="28"/>
  <c r="X550" i="28"/>
  <c r="U550" i="28"/>
  <c r="V242" i="28"/>
  <c r="U242" i="28"/>
  <c r="X242" i="28"/>
  <c r="W242" i="28"/>
  <c r="U557" i="28"/>
  <c r="X557" i="28"/>
  <c r="W557" i="28"/>
  <c r="V557" i="28"/>
  <c r="U480" i="28"/>
  <c r="X480" i="28"/>
  <c r="W480" i="28"/>
  <c r="V480" i="28"/>
  <c r="V172" i="28"/>
  <c r="U172" i="28"/>
  <c r="X172" i="28"/>
  <c r="W172" i="28"/>
  <c r="X872" i="28"/>
  <c r="V872" i="28"/>
  <c r="U872" i="28"/>
  <c r="W872" i="28"/>
  <c r="X235" i="28"/>
  <c r="W235" i="28"/>
  <c r="V235" i="28"/>
  <c r="U235" i="28"/>
  <c r="X249" i="28"/>
  <c r="W249" i="28"/>
  <c r="V249" i="28"/>
  <c r="U249" i="28"/>
  <c r="X382" i="28"/>
  <c r="W382" i="28"/>
  <c r="V382" i="28"/>
  <c r="U382" i="28"/>
  <c r="W144" i="28"/>
  <c r="V144" i="28"/>
  <c r="U144" i="28"/>
  <c r="X144" i="28"/>
  <c r="X711" i="28"/>
  <c r="W711" i="28"/>
  <c r="V711" i="28"/>
  <c r="U711" i="28"/>
  <c r="U291" i="28"/>
  <c r="X291" i="28"/>
  <c r="W291" i="28"/>
  <c r="V291" i="28"/>
  <c r="W599" i="28"/>
  <c r="V599" i="28"/>
  <c r="U599" i="28"/>
  <c r="X599" i="28"/>
  <c r="X620" i="28"/>
  <c r="W620" i="28"/>
  <c r="V620" i="28"/>
  <c r="U620" i="28"/>
  <c r="X900" i="28"/>
  <c r="V900" i="28"/>
  <c r="U900" i="28"/>
  <c r="W900" i="28"/>
  <c r="X795" i="28"/>
  <c r="W795" i="28"/>
  <c r="V795" i="28"/>
  <c r="U795" i="28"/>
  <c r="V298" i="28"/>
  <c r="U298" i="28"/>
  <c r="W298" i="28"/>
  <c r="X298" i="28"/>
  <c r="U571" i="28"/>
  <c r="X571" i="28"/>
  <c r="W571" i="28"/>
  <c r="V571" i="28"/>
  <c r="X879" i="28"/>
  <c r="V879" i="28"/>
  <c r="W879" i="28"/>
  <c r="U879" i="28"/>
  <c r="V445" i="28"/>
  <c r="X445" i="28"/>
  <c r="W445" i="28"/>
  <c r="U445" i="28"/>
  <c r="V739" i="28"/>
  <c r="W739" i="28"/>
  <c r="X739" i="28"/>
  <c r="U739" i="28"/>
  <c r="X690" i="28"/>
  <c r="W690" i="28"/>
  <c r="V690" i="28"/>
  <c r="U690" i="28"/>
  <c r="U270" i="28"/>
  <c r="W270" i="28"/>
  <c r="V270" i="28"/>
  <c r="X270" i="28"/>
  <c r="U704" i="28"/>
  <c r="X704" i="28"/>
  <c r="W704" i="28"/>
  <c r="V704" i="28"/>
  <c r="U529" i="28"/>
  <c r="W529" i="28"/>
  <c r="V529" i="28"/>
  <c r="X529" i="28"/>
  <c r="X676" i="28"/>
  <c r="U676" i="28"/>
  <c r="W676" i="28"/>
  <c r="V676" i="28"/>
  <c r="W543" i="28"/>
  <c r="V543" i="28"/>
  <c r="U543" i="28"/>
  <c r="X543" i="28"/>
  <c r="X102" i="28"/>
  <c r="W102" i="28"/>
  <c r="U102" i="28"/>
  <c r="V102" i="28"/>
  <c r="X683" i="28"/>
  <c r="V683" i="28"/>
  <c r="U683" i="28"/>
  <c r="W683" i="28"/>
  <c r="X536" i="28"/>
  <c r="V536" i="28"/>
  <c r="U536" i="28"/>
  <c r="W536" i="28"/>
  <c r="X88" i="28"/>
  <c r="W88" i="28"/>
  <c r="V88" i="28"/>
  <c r="U88" i="28"/>
  <c r="V809" i="28"/>
  <c r="X809" i="28"/>
  <c r="U809" i="28"/>
  <c r="W809" i="28"/>
  <c r="U256" i="28"/>
  <c r="W256" i="28"/>
  <c r="X256" i="28"/>
  <c r="V256" i="28"/>
  <c r="V74" i="28"/>
  <c r="U74" i="28"/>
  <c r="W74" i="28"/>
  <c r="X74" i="28"/>
  <c r="X151" i="28"/>
  <c r="W151" i="28"/>
  <c r="V151" i="28"/>
  <c r="U151" i="28"/>
  <c r="U788" i="28"/>
  <c r="W788" i="28"/>
  <c r="X788" i="28"/>
  <c r="V788" i="28"/>
  <c r="V508" i="28"/>
  <c r="U508" i="28"/>
  <c r="X508" i="28"/>
  <c r="W508" i="28"/>
  <c r="V494" i="28"/>
  <c r="U494" i="28"/>
  <c r="X494" i="28"/>
  <c r="W494" i="28"/>
  <c r="U403" i="28"/>
  <c r="X403" i="28"/>
  <c r="W403" i="28"/>
  <c r="V403" i="28"/>
  <c r="U137" i="28"/>
  <c r="V137" i="28"/>
  <c r="X137" i="28"/>
  <c r="W137" i="28"/>
  <c r="X165" i="28"/>
  <c r="W165" i="28"/>
  <c r="V165" i="28"/>
  <c r="U165" i="28"/>
  <c r="U774" i="28"/>
  <c r="W774" i="28"/>
  <c r="X774" i="28"/>
  <c r="V774" i="28"/>
  <c r="X725" i="28"/>
  <c r="V725" i="28"/>
  <c r="U725" i="28"/>
  <c r="W725" i="28"/>
  <c r="U263" i="28"/>
  <c r="X263" i="28"/>
  <c r="W263" i="28"/>
  <c r="V263" i="28"/>
  <c r="W641" i="28"/>
  <c r="V641" i="28"/>
  <c r="U641" i="28"/>
  <c r="X641" i="28"/>
  <c r="W921" i="28"/>
  <c r="U921" i="28"/>
  <c r="V921" i="28"/>
  <c r="X921" i="28"/>
  <c r="U515" i="28"/>
  <c r="X515" i="28"/>
  <c r="W515" i="28"/>
  <c r="V515" i="28"/>
  <c r="U487" i="28"/>
  <c r="X487" i="28"/>
  <c r="W487" i="28"/>
  <c r="V487" i="28"/>
  <c r="V200" i="28"/>
  <c r="U200" i="28"/>
  <c r="X200" i="28"/>
  <c r="W200" i="28"/>
  <c r="U67" i="28"/>
  <c r="W67" i="28"/>
  <c r="X67" i="28"/>
  <c r="V67" i="28"/>
  <c r="U473" i="28"/>
  <c r="W473" i="28"/>
  <c r="V473" i="28"/>
  <c r="X473" i="28"/>
  <c r="W655" i="28"/>
  <c r="U655" i="28"/>
  <c r="X655" i="28"/>
  <c r="V655" i="28"/>
  <c r="X886" i="28"/>
  <c r="V886" i="28"/>
  <c r="U886" i="28"/>
  <c r="W886" i="28"/>
  <c r="U333" i="28"/>
  <c r="X333" i="28"/>
  <c r="W333" i="28"/>
  <c r="V333" i="28"/>
  <c r="X158" i="28"/>
  <c r="W158" i="28"/>
  <c r="V158" i="28"/>
  <c r="U158" i="28"/>
  <c r="X662" i="28"/>
  <c r="V662" i="28"/>
  <c r="U662" i="28"/>
  <c r="W662" i="28"/>
  <c r="X319" i="28"/>
  <c r="W319" i="28"/>
  <c r="U319" i="28"/>
  <c r="V319" i="28"/>
  <c r="U459" i="28"/>
  <c r="X459" i="28"/>
  <c r="W459" i="28"/>
  <c r="V459" i="28"/>
  <c r="X732" i="28"/>
  <c r="U732" i="28"/>
  <c r="V732" i="28"/>
  <c r="W732" i="28"/>
  <c r="X578" i="28"/>
  <c r="W578" i="28"/>
  <c r="U578" i="28"/>
  <c r="V578" i="28"/>
  <c r="U193" i="28"/>
  <c r="W193" i="28"/>
  <c r="V193" i="28"/>
  <c r="X193" i="28"/>
  <c r="X81" i="28"/>
  <c r="W81" i="28"/>
  <c r="U81" i="28"/>
  <c r="V81" i="28"/>
  <c r="X179" i="28"/>
  <c r="W179" i="28"/>
  <c r="V179" i="28"/>
  <c r="U179" i="28"/>
  <c r="X53" i="28"/>
  <c r="W53" i="28"/>
  <c r="V53" i="28"/>
  <c r="U53" i="28"/>
  <c r="U214" i="28"/>
  <c r="W214" i="28"/>
  <c r="V214" i="28"/>
  <c r="X214" i="28"/>
  <c r="W767" i="28"/>
  <c r="X767" i="28"/>
  <c r="V767" i="28"/>
  <c r="U767" i="28"/>
  <c r="V186" i="28"/>
  <c r="U186" i="28"/>
  <c r="X186" i="28"/>
  <c r="W186" i="28"/>
  <c r="X130" i="28"/>
  <c r="V130" i="28"/>
  <c r="U130" i="28"/>
  <c r="W130" i="28"/>
  <c r="W410" i="28"/>
  <c r="V410" i="28"/>
  <c r="U410" i="28"/>
  <c r="X410" i="28"/>
  <c r="X424" i="28"/>
  <c r="W424" i="28"/>
  <c r="V424" i="28"/>
  <c r="U424" i="28"/>
  <c r="X697" i="28"/>
  <c r="V697" i="28"/>
  <c r="U697" i="28"/>
  <c r="W697" i="28"/>
  <c r="W522" i="28"/>
  <c r="V522" i="28"/>
  <c r="U522" i="28"/>
  <c r="X522" i="28"/>
  <c r="X592" i="28"/>
  <c r="W592" i="28"/>
  <c r="V592" i="28"/>
  <c r="U592" i="28"/>
  <c r="U613" i="28"/>
  <c r="X613" i="28"/>
  <c r="V613" i="28"/>
  <c r="W613" i="28"/>
  <c r="V823" i="28"/>
  <c r="X823" i="28"/>
  <c r="W823" i="28"/>
  <c r="U823" i="28"/>
  <c r="U95" i="28"/>
  <c r="V95" i="28"/>
  <c r="X95" i="28"/>
  <c r="W95" i="28"/>
  <c r="X347" i="28"/>
  <c r="W347" i="28"/>
  <c r="V347" i="28"/>
  <c r="U347" i="28"/>
  <c r="W669" i="28"/>
  <c r="X669" i="28"/>
  <c r="V669" i="28"/>
  <c r="U669" i="28"/>
  <c r="U893" i="28"/>
  <c r="X893" i="28"/>
  <c r="W893" i="28"/>
  <c r="V893" i="28"/>
  <c r="W851" i="28"/>
  <c r="X851" i="28"/>
  <c r="V851" i="28"/>
  <c r="U851" i="28"/>
  <c r="W501" i="28"/>
  <c r="V501" i="28"/>
  <c r="U501" i="28"/>
  <c r="X501" i="28"/>
  <c r="U907" i="28"/>
  <c r="V907" i="28"/>
  <c r="X907" i="28"/>
  <c r="W907" i="28"/>
  <c r="U564" i="28"/>
  <c r="W564" i="28"/>
  <c r="V564" i="28"/>
  <c r="X564" i="28"/>
  <c r="U718" i="28"/>
  <c r="W718" i="28"/>
  <c r="X718" i="28"/>
  <c r="V718" i="28"/>
  <c r="X221" i="28"/>
  <c r="W221" i="28"/>
  <c r="V221" i="28"/>
  <c r="U221" i="28"/>
  <c r="W207" i="28"/>
  <c r="U207" i="28"/>
  <c r="V207" i="28"/>
  <c r="X207" i="28"/>
  <c r="X312" i="28"/>
  <c r="W312" i="28"/>
  <c r="V312" i="28"/>
  <c r="U312" i="28"/>
  <c r="U431" i="28"/>
  <c r="X431" i="28"/>
  <c r="V431" i="28"/>
  <c r="W431" i="28"/>
  <c r="U396" i="28"/>
  <c r="X396" i="28"/>
  <c r="W396" i="28"/>
  <c r="V396" i="28"/>
  <c r="W466" i="28"/>
  <c r="V466" i="28"/>
  <c r="U466" i="28"/>
  <c r="X466" i="28"/>
  <c r="U305" i="28"/>
  <c r="X305" i="28"/>
  <c r="V305" i="28"/>
  <c r="W305" i="28"/>
  <c r="X634" i="28"/>
  <c r="W634" i="28"/>
  <c r="V634" i="28"/>
  <c r="U634" i="28"/>
  <c r="W228" i="28"/>
  <c r="V228" i="28"/>
  <c r="U228" i="28"/>
  <c r="X228" i="28"/>
  <c r="W284" i="28"/>
  <c r="V284" i="28"/>
  <c r="U284" i="28"/>
  <c r="X284" i="28"/>
  <c r="X32" i="28"/>
  <c r="W32" i="28"/>
  <c r="V32" i="28"/>
  <c r="U32" i="28"/>
  <c r="X109" i="28"/>
  <c r="V109" i="28"/>
  <c r="U109" i="28"/>
  <c r="W109" i="28"/>
  <c r="U802" i="28"/>
  <c r="V802" i="28"/>
  <c r="W802" i="28"/>
  <c r="X802" i="28"/>
  <c r="X123" i="28"/>
  <c r="W123" i="28"/>
  <c r="U123" i="28"/>
  <c r="V123" i="28"/>
  <c r="V830" i="28"/>
  <c r="U830" i="28"/>
  <c r="W830" i="28"/>
  <c r="X830" i="28"/>
  <c r="V837" i="28"/>
  <c r="U837" i="28"/>
  <c r="X837" i="28"/>
  <c r="W837" i="28"/>
  <c r="X844" i="28"/>
  <c r="V844" i="28"/>
  <c r="U844" i="28"/>
  <c r="W844" i="28"/>
  <c r="W116" i="28"/>
  <c r="V116" i="28"/>
  <c r="U116" i="28"/>
  <c r="X116" i="28"/>
  <c r="W606" i="28"/>
  <c r="V606" i="28"/>
  <c r="U606" i="28"/>
  <c r="X606" i="28"/>
  <c r="X760" i="28"/>
  <c r="V760" i="28"/>
  <c r="W760" i="28"/>
  <c r="U760" i="28"/>
  <c r="X340" i="28"/>
  <c r="V340" i="28"/>
  <c r="U340" i="28"/>
  <c r="W340" i="28"/>
  <c r="V277" i="28"/>
  <c r="X277" i="28"/>
  <c r="W277" i="28"/>
  <c r="U277" i="28"/>
  <c r="U816" i="28"/>
  <c r="W816" i="28"/>
  <c r="V816" i="28"/>
  <c r="X816" i="28"/>
  <c r="W627" i="28"/>
  <c r="V627" i="28"/>
  <c r="U627" i="28"/>
  <c r="X627" i="28"/>
  <c r="V865" i="28"/>
  <c r="U865" i="28"/>
  <c r="X865" i="28"/>
  <c r="W865" i="28"/>
  <c r="X858" i="28"/>
  <c r="V858" i="28"/>
  <c r="U858" i="28"/>
  <c r="W858" i="28"/>
  <c r="V326" i="28"/>
  <c r="U326" i="28"/>
  <c r="X326" i="28"/>
  <c r="W326" i="28"/>
  <c r="V452" i="28"/>
  <c r="U452" i="28"/>
  <c r="X452" i="28"/>
  <c r="W452" i="28"/>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502" i="27"/>
  <c r="V503" i="27"/>
  <c r="V504" i="27"/>
  <c r="V505" i="27"/>
  <c r="V506" i="27"/>
  <c r="V507" i="27"/>
  <c r="V508" i="27"/>
  <c r="V509" i="27"/>
  <c r="V510" i="27"/>
  <c r="V511" i="27"/>
  <c r="V512" i="27"/>
  <c r="V513" i="27"/>
  <c r="V514" i="27"/>
  <c r="V515" i="27"/>
  <c r="V516" i="27"/>
  <c r="V517" i="27"/>
  <c r="V518" i="27"/>
  <c r="V519" i="27"/>
  <c r="V520" i="27"/>
  <c r="V521" i="27"/>
  <c r="V522" i="27"/>
  <c r="V523" i="27"/>
  <c r="V524" i="27"/>
  <c r="V525" i="27"/>
  <c r="V526" i="27"/>
  <c r="V527" i="27"/>
  <c r="V528" i="27"/>
  <c r="V529" i="27"/>
  <c r="V530" i="27"/>
  <c r="V531" i="27"/>
  <c r="V532" i="27"/>
  <c r="V533" i="27"/>
  <c r="V534" i="27"/>
  <c r="V535" i="27"/>
  <c r="V536" i="27"/>
  <c r="V537" i="27"/>
  <c r="V538" i="27"/>
  <c r="V539" i="27"/>
  <c r="V540" i="27"/>
  <c r="V541" i="27"/>
  <c r="V542" i="27"/>
  <c r="V543" i="27"/>
  <c r="V544" i="27"/>
  <c r="V545" i="27"/>
  <c r="V546" i="27"/>
  <c r="V547" i="27"/>
  <c r="V548" i="27"/>
  <c r="V549" i="27"/>
  <c r="V550" i="27"/>
  <c r="V551" i="27"/>
  <c r="V552" i="27"/>
  <c r="V553" i="27"/>
  <c r="V554" i="27"/>
  <c r="V555" i="27"/>
  <c r="V556" i="27"/>
  <c r="V557" i="27"/>
  <c r="V558" i="27"/>
  <c r="V559" i="27"/>
  <c r="V560" i="27"/>
  <c r="V561" i="27"/>
  <c r="V562" i="27"/>
  <c r="V563" i="27"/>
  <c r="V564" i="27"/>
  <c r="V565" i="27"/>
  <c r="V566" i="27"/>
  <c r="V567" i="27"/>
  <c r="V568" i="27"/>
  <c r="V570" i="27"/>
  <c r="V571" i="27"/>
  <c r="V572" i="27"/>
  <c r="V573" i="27"/>
  <c r="V574" i="27"/>
  <c r="V575" i="27"/>
  <c r="V576" i="27"/>
  <c r="V577" i="27"/>
  <c r="V578" i="27"/>
  <c r="V579" i="27"/>
  <c r="V580" i="27"/>
  <c r="V581" i="27"/>
  <c r="V582" i="27"/>
  <c r="V583" i="27"/>
  <c r="V584" i="27"/>
  <c r="V585" i="27"/>
  <c r="V586" i="27"/>
  <c r="V587" i="27"/>
  <c r="V588" i="27"/>
  <c r="V589" i="27"/>
  <c r="V590" i="27"/>
  <c r="V591" i="27"/>
  <c r="V592" i="27"/>
  <c r="V593" i="27"/>
  <c r="V594" i="27"/>
  <c r="V595" i="27"/>
  <c r="V596" i="27"/>
  <c r="V597" i="27"/>
  <c r="V598" i="27"/>
  <c r="V599" i="27"/>
  <c r="V600" i="27"/>
  <c r="V601" i="27"/>
  <c r="V602" i="27"/>
  <c r="V603" i="27"/>
  <c r="V604" i="27"/>
  <c r="V605" i="27"/>
  <c r="V606" i="27"/>
  <c r="V607" i="27"/>
  <c r="V608" i="27"/>
  <c r="V609" i="27"/>
  <c r="V610" i="27"/>
  <c r="V611" i="27"/>
  <c r="V612" i="27"/>
  <c r="V613" i="27"/>
  <c r="V614" i="27"/>
  <c r="V615" i="27"/>
  <c r="V616" i="27"/>
  <c r="V617" i="27"/>
  <c r="V618" i="27"/>
  <c r="V619" i="27"/>
  <c r="V620" i="27"/>
  <c r="V621" i="27"/>
  <c r="V622" i="27"/>
  <c r="V623" i="27"/>
  <c r="V624" i="27"/>
  <c r="V625" i="27"/>
  <c r="V626" i="27"/>
  <c r="V627" i="27"/>
  <c r="V628" i="27"/>
  <c r="V629" i="27"/>
  <c r="V630" i="27"/>
  <c r="V631" i="27"/>
  <c r="V632" i="27"/>
  <c r="V633" i="27"/>
  <c r="V634" i="27"/>
  <c r="V635" i="27"/>
  <c r="V636" i="27"/>
  <c r="V637" i="27"/>
  <c r="V638" i="27"/>
  <c r="V639" i="27"/>
  <c r="V640" i="27"/>
  <c r="V641" i="27"/>
  <c r="V642" i="27"/>
  <c r="V643" i="27"/>
  <c r="V644" i="27"/>
  <c r="V645" i="27"/>
  <c r="V646" i="27"/>
  <c r="V647" i="27"/>
  <c r="V648" i="27"/>
  <c r="V649" i="27"/>
  <c r="V650" i="27"/>
  <c r="V651" i="27"/>
  <c r="V652" i="27"/>
  <c r="V653" i="27"/>
  <c r="V654" i="27"/>
  <c r="V655" i="27"/>
  <c r="V656" i="27"/>
  <c r="V657" i="27"/>
  <c r="V658" i="27"/>
  <c r="V659" i="27"/>
  <c r="V660" i="27"/>
  <c r="V661" i="27"/>
  <c r="V662" i="27"/>
  <c r="V663" i="27"/>
  <c r="V664" i="27"/>
  <c r="V665" i="27"/>
  <c r="V666" i="27"/>
  <c r="V667" i="27"/>
  <c r="V668" i="27"/>
  <c r="V669" i="27"/>
  <c r="V670" i="27"/>
  <c r="V671" i="27"/>
  <c r="V672" i="27"/>
  <c r="V673" i="27"/>
  <c r="V674" i="27"/>
  <c r="V675" i="27"/>
  <c r="V676" i="27"/>
  <c r="V677" i="27"/>
  <c r="V678" i="27"/>
  <c r="V679" i="27"/>
  <c r="V680" i="27"/>
  <c r="V681" i="27"/>
  <c r="V682" i="27"/>
  <c r="V683" i="27"/>
  <c r="V684" i="27"/>
  <c r="V685" i="27"/>
  <c r="V686" i="27"/>
  <c r="V687" i="27"/>
  <c r="V688" i="27"/>
  <c r="V689" i="27"/>
  <c r="V690" i="27"/>
  <c r="V691" i="27"/>
  <c r="V692" i="27"/>
  <c r="V693" i="27"/>
  <c r="V694" i="27"/>
  <c r="V695" i="27"/>
  <c r="V696" i="27"/>
  <c r="V697" i="27"/>
  <c r="V698" i="27"/>
  <c r="V699" i="27"/>
  <c r="V700" i="27"/>
  <c r="V701" i="27"/>
  <c r="V702" i="27"/>
  <c r="V703" i="27"/>
  <c r="V704" i="27"/>
  <c r="V705" i="27"/>
  <c r="V706" i="27"/>
  <c r="V707" i="27"/>
  <c r="V708" i="27"/>
  <c r="V709" i="27"/>
  <c r="V710" i="27"/>
  <c r="V711" i="27"/>
  <c r="V712" i="27"/>
  <c r="V713" i="27"/>
  <c r="V714" i="27"/>
  <c r="V715" i="27"/>
  <c r="V716" i="27"/>
  <c r="V717" i="27"/>
  <c r="V718" i="27"/>
  <c r="V719" i="27"/>
  <c r="V720" i="27"/>
  <c r="V721" i="27"/>
  <c r="V722" i="27"/>
  <c r="V723" i="27"/>
  <c r="V724" i="27"/>
  <c r="V725" i="27"/>
  <c r="V726" i="27"/>
  <c r="V727" i="27"/>
  <c r="V728" i="27"/>
  <c r="V729" i="27"/>
  <c r="V730" i="27"/>
  <c r="V731" i="27"/>
  <c r="V732" i="27"/>
  <c r="V733" i="27"/>
  <c r="V734" i="27"/>
  <c r="V735" i="27"/>
  <c r="V736" i="27"/>
  <c r="V737" i="27"/>
  <c r="V738" i="27"/>
  <c r="V739" i="27"/>
  <c r="V740" i="27"/>
  <c r="V741" i="27"/>
  <c r="V742" i="27"/>
  <c r="V743" i="27"/>
  <c r="V744" i="27"/>
  <c r="V745" i="27"/>
  <c r="V746" i="27"/>
  <c r="V747" i="27"/>
  <c r="V748" i="27"/>
  <c r="V749" i="27"/>
  <c r="V750" i="27"/>
  <c r="V751" i="27"/>
  <c r="V752" i="27"/>
  <c r="V753" i="27"/>
  <c r="V754" i="27"/>
  <c r="V755" i="27"/>
  <c r="V756" i="27"/>
  <c r="V757" i="27"/>
  <c r="V758" i="27"/>
  <c r="V759" i="27"/>
  <c r="V760" i="27"/>
  <c r="V761" i="27"/>
  <c r="V762" i="27"/>
  <c r="V763" i="27"/>
  <c r="V764" i="27"/>
  <c r="V765" i="27"/>
  <c r="V766" i="27"/>
  <c r="V767" i="27"/>
  <c r="V768" i="27"/>
  <c r="V769" i="27"/>
  <c r="V770" i="27"/>
  <c r="V771" i="27"/>
  <c r="V772" i="27"/>
  <c r="V773" i="27"/>
  <c r="V774" i="27"/>
  <c r="V775" i="27"/>
  <c r="V776" i="27"/>
  <c r="V777" i="27"/>
  <c r="V778" i="27"/>
  <c r="V779" i="27"/>
  <c r="V780" i="27"/>
  <c r="V781" i="27"/>
  <c r="V782" i="27"/>
  <c r="V783" i="27"/>
  <c r="V784" i="27"/>
  <c r="V785" i="27"/>
  <c r="V786" i="27"/>
  <c r="V787" i="27"/>
  <c r="V788" i="27"/>
  <c r="V789" i="27"/>
  <c r="V790" i="27"/>
  <c r="V791" i="27"/>
  <c r="V792" i="27"/>
  <c r="V793" i="27"/>
  <c r="V794" i="27"/>
  <c r="V795" i="27"/>
  <c r="V796" i="27"/>
  <c r="V797" i="27"/>
  <c r="V798" i="27"/>
  <c r="V799" i="27"/>
  <c r="V800" i="27"/>
  <c r="V801" i="27"/>
  <c r="V802" i="27"/>
  <c r="V803" i="27"/>
  <c r="V804" i="27"/>
  <c r="V805" i="27"/>
  <c r="V806" i="27"/>
  <c r="V807" i="27"/>
  <c r="V808" i="27"/>
  <c r="V809" i="27"/>
  <c r="V810" i="27"/>
  <c r="V811" i="27"/>
  <c r="V812" i="27"/>
  <c r="V813" i="27"/>
  <c r="V814" i="27"/>
  <c r="V815" i="27"/>
  <c r="V816" i="27"/>
  <c r="V817" i="27"/>
  <c r="V818" i="27"/>
  <c r="V819" i="27"/>
  <c r="V820" i="27"/>
  <c r="V821" i="27"/>
  <c r="V822" i="27"/>
  <c r="V823" i="27"/>
  <c r="V824" i="27"/>
  <c r="V825" i="27"/>
  <c r="V826" i="27"/>
  <c r="V827" i="27"/>
  <c r="V828" i="27"/>
  <c r="V829" i="27"/>
  <c r="V830" i="27"/>
  <c r="V831" i="27"/>
  <c r="V832" i="27"/>
  <c r="V833" i="27"/>
  <c r="V834" i="27"/>
  <c r="V835" i="27"/>
  <c r="V836" i="27"/>
  <c r="V837" i="27"/>
  <c r="V838" i="27"/>
  <c r="V839" i="27"/>
  <c r="V840" i="27"/>
  <c r="V841" i="27"/>
  <c r="V842" i="27"/>
  <c r="V843" i="27"/>
  <c r="V844" i="27"/>
  <c r="V845" i="27"/>
  <c r="V846" i="27"/>
  <c r="V847" i="27"/>
  <c r="V848" i="27"/>
  <c r="V849" i="27"/>
  <c r="V850" i="27"/>
  <c r="V851" i="27"/>
  <c r="V852" i="27"/>
  <c r="V853" i="27"/>
  <c r="V854" i="27"/>
  <c r="V855" i="27"/>
  <c r="V856" i="27"/>
  <c r="V857" i="27"/>
  <c r="V858" i="27"/>
  <c r="V859" i="27"/>
  <c r="V860" i="27"/>
  <c r="V861" i="27"/>
  <c r="V862" i="27"/>
  <c r="V863" i="27"/>
  <c r="V864" i="27"/>
  <c r="V865" i="27"/>
  <c r="V866" i="27"/>
  <c r="V867" i="27"/>
  <c r="V868" i="27"/>
  <c r="V869" i="27"/>
  <c r="V870" i="27"/>
  <c r="V871" i="27"/>
  <c r="V872" i="27"/>
  <c r="V873" i="27"/>
  <c r="V874" i="27"/>
  <c r="V875" i="27"/>
  <c r="V876" i="27"/>
  <c r="V877" i="27"/>
  <c r="V878" i="27"/>
  <c r="V879" i="27"/>
  <c r="V880" i="27"/>
  <c r="V881" i="27"/>
  <c r="V882" i="27"/>
  <c r="V883" i="27"/>
  <c r="V884" i="27"/>
  <c r="V885" i="27"/>
  <c r="V886" i="27"/>
  <c r="V887" i="27"/>
  <c r="V888" i="27"/>
  <c r="V889" i="27"/>
  <c r="V890" i="27"/>
  <c r="V891" i="27"/>
  <c r="V892" i="27"/>
  <c r="V893" i="27"/>
  <c r="V894" i="27"/>
  <c r="V895" i="27"/>
  <c r="V896" i="27"/>
  <c r="V897" i="27"/>
  <c r="V898" i="27"/>
  <c r="V899" i="27"/>
  <c r="V900" i="27"/>
  <c r="V901" i="27"/>
  <c r="V902" i="27"/>
  <c r="V903" i="27"/>
  <c r="V904" i="27"/>
  <c r="V905" i="27"/>
  <c r="V906" i="27"/>
  <c r="V907" i="27"/>
  <c r="V908" i="27"/>
  <c r="V909" i="27"/>
  <c r="V910" i="27"/>
  <c r="V911" i="27"/>
  <c r="V912" i="27"/>
  <c r="V913" i="27"/>
  <c r="V914" i="27"/>
  <c r="V915" i="27"/>
  <c r="V916" i="27"/>
  <c r="V917" i="27"/>
  <c r="V918" i="27"/>
  <c r="V919" i="27"/>
  <c r="V920" i="27"/>
  <c r="V921" i="27"/>
  <c r="V922" i="27"/>
  <c r="V923" i="27"/>
  <c r="V924" i="27"/>
  <c r="V925" i="27"/>
  <c r="V926" i="27"/>
  <c r="V927" i="27"/>
  <c r="V928" i="27"/>
  <c r="V929" i="27"/>
  <c r="V930" i="27"/>
  <c r="V931" i="27"/>
  <c r="V932" i="27"/>
  <c r="V933" i="27"/>
  <c r="V934" i="27"/>
  <c r="V935" i="27"/>
  <c r="V936" i="27"/>
  <c r="V937" i="27"/>
  <c r="V938" i="27"/>
  <c r="V939" i="27"/>
  <c r="V940" i="27"/>
  <c r="V941" i="27"/>
  <c r="V942" i="27"/>
  <c r="V943" i="27"/>
  <c r="V944" i="27"/>
  <c r="V945" i="27"/>
  <c r="V946" i="27"/>
  <c r="V947" i="27"/>
  <c r="V948" i="27"/>
  <c r="V949" i="27"/>
  <c r="V950" i="27"/>
  <c r="V951" i="27"/>
  <c r="V952" i="27"/>
  <c r="V953" i="27"/>
  <c r="V954" i="27"/>
  <c r="V955" i="27"/>
  <c r="V956" i="27"/>
  <c r="V957" i="27"/>
  <c r="V958" i="27"/>
  <c r="V959" i="27"/>
  <c r="V960" i="27"/>
  <c r="V961" i="27"/>
  <c r="V962" i="27"/>
  <c r="V963" i="27"/>
  <c r="V964" i="27"/>
  <c r="V965" i="27"/>
  <c r="V966" i="27"/>
  <c r="V967" i="27"/>
  <c r="V968" i="27"/>
  <c r="V969" i="27"/>
  <c r="V970" i="27"/>
  <c r="V971" i="27"/>
  <c r="V972" i="27"/>
  <c r="V973" i="27"/>
  <c r="V974" i="27"/>
  <c r="V975" i="27"/>
  <c r="V976" i="27"/>
  <c r="V977" i="27"/>
  <c r="V978" i="27"/>
  <c r="V979" i="27"/>
  <c r="V980" i="27"/>
  <c r="V981" i="27"/>
  <c r="V982" i="27"/>
  <c r="V983" i="27"/>
  <c r="V984" i="27"/>
  <c r="V985" i="27"/>
  <c r="V986" i="27"/>
  <c r="V987" i="27"/>
  <c r="V988" i="27"/>
  <c r="V989" i="27"/>
  <c r="V990" i="27"/>
  <c r="V991" i="27"/>
  <c r="V992" i="27"/>
  <c r="V993" i="27"/>
  <c r="V994" i="27"/>
  <c r="V995" i="27"/>
  <c r="V996" i="27"/>
  <c r="V997" i="27"/>
  <c r="V998" i="27"/>
  <c r="V999" i="27"/>
  <c r="V1000" i="27"/>
  <c r="V1001" i="27"/>
  <c r="V1002" i="27"/>
  <c r="V1003" i="27"/>
  <c r="V1004" i="27"/>
  <c r="V1005" i="27"/>
  <c r="V1006" i="27"/>
  <c r="V1007" i="27"/>
  <c r="V1008" i="27"/>
  <c r="V1009" i="27"/>
  <c r="V1010" i="27"/>
  <c r="V1011" i="27"/>
  <c r="V1012" i="27"/>
  <c r="V1013" i="27"/>
  <c r="V1014" i="27"/>
  <c r="V1015" i="27"/>
  <c r="V1016" i="27"/>
  <c r="V1017" i="27"/>
  <c r="V1018" i="27"/>
  <c r="V1019" i="27"/>
  <c r="V1020" i="27"/>
  <c r="V1021" i="27"/>
  <c r="V1022" i="27"/>
  <c r="V1023" i="27"/>
  <c r="V1024" i="27"/>
  <c r="V1025" i="27"/>
  <c r="V1026" i="27"/>
  <c r="V1027" i="27"/>
  <c r="V1028" i="27"/>
  <c r="V1029" i="27"/>
  <c r="V1030" i="27"/>
  <c r="V1031" i="27"/>
  <c r="V1032" i="27"/>
  <c r="V1033" i="27"/>
  <c r="V1034" i="27"/>
  <c r="V1035" i="27"/>
  <c r="V1036" i="27"/>
  <c r="V1037" i="27"/>
  <c r="V1038" i="27"/>
  <c r="V1039" i="27"/>
  <c r="V1040" i="27"/>
  <c r="V1041" i="27"/>
  <c r="V1042" i="27"/>
  <c r="V1043" i="27"/>
  <c r="V1044" i="27"/>
  <c r="V1045" i="27"/>
  <c r="V1046" i="27"/>
  <c r="V1047" i="27"/>
  <c r="V1048" i="27"/>
  <c r="V1049" i="27"/>
  <c r="V1050" i="27"/>
  <c r="V1051" i="27"/>
  <c r="V1052" i="27"/>
  <c r="V1053" i="27"/>
  <c r="V1054" i="27"/>
  <c r="V1055" i="27"/>
  <c r="V1056" i="27"/>
  <c r="V1057" i="27"/>
  <c r="V1058" i="27"/>
  <c r="V1059" i="27"/>
  <c r="V1060" i="27"/>
  <c r="V1061" i="27"/>
  <c r="V1062" i="27"/>
  <c r="V1063" i="27"/>
  <c r="V1064" i="27"/>
  <c r="V1065" i="27"/>
  <c r="V1066" i="27"/>
  <c r="V1067" i="27"/>
  <c r="V1068" i="27"/>
  <c r="V1069" i="27"/>
  <c r="V1070" i="27"/>
  <c r="V1071" i="27"/>
  <c r="V1072" i="27"/>
  <c r="V1073" i="27"/>
  <c r="V1074" i="27"/>
  <c r="V1075" i="27"/>
  <c r="V1076" i="27"/>
  <c r="V1077" i="27"/>
  <c r="V1078" i="27"/>
  <c r="V1079" i="27"/>
  <c r="V1080" i="27"/>
  <c r="V1081" i="27"/>
  <c r="V1082" i="27"/>
  <c r="V1083" i="27"/>
  <c r="V1084" i="27"/>
  <c r="V1085" i="27"/>
  <c r="V1086" i="27"/>
  <c r="V1087" i="27"/>
  <c r="V1088" i="27"/>
  <c r="V1089" i="27"/>
  <c r="V1090" i="27"/>
  <c r="V1091" i="27"/>
  <c r="V1092" i="27"/>
  <c r="V1093" i="27"/>
  <c r="V1094" i="27"/>
  <c r="V1095" i="27"/>
  <c r="V1096" i="27"/>
  <c r="V1097" i="27"/>
  <c r="V1098" i="27"/>
  <c r="V1099" i="27"/>
  <c r="V1100" i="27"/>
  <c r="V1101" i="27"/>
  <c r="V1102" i="27"/>
  <c r="V1103" i="27"/>
  <c r="V1104" i="27"/>
  <c r="V1105" i="27"/>
  <c r="V1106" i="27"/>
  <c r="V1107" i="27"/>
  <c r="V1108" i="27"/>
  <c r="V1109" i="27"/>
  <c r="V1110" i="27"/>
  <c r="V1111" i="27"/>
  <c r="V1112" i="27"/>
  <c r="V1113" i="27"/>
  <c r="V1114" i="27"/>
  <c r="V1115" i="27"/>
  <c r="V1116" i="27"/>
  <c r="V1117" i="27"/>
  <c r="V1118" i="27"/>
  <c r="V1119" i="27"/>
  <c r="V1120" i="27"/>
  <c r="V1121" i="27"/>
  <c r="V1122" i="27"/>
  <c r="V1123" i="27"/>
  <c r="V1124" i="27"/>
  <c r="V1125" i="27"/>
  <c r="V1126" i="27"/>
  <c r="V1127" i="27"/>
  <c r="V1128" i="27"/>
  <c r="V1129" i="27"/>
  <c r="V1130" i="27"/>
  <c r="V1131" i="27"/>
  <c r="V1132" i="27"/>
  <c r="V1133" i="27"/>
  <c r="V1134" i="27"/>
  <c r="V1135" i="27"/>
  <c r="V1136" i="27"/>
  <c r="V1137" i="27"/>
  <c r="AV291" i="28" l="1"/>
  <c r="AX299" i="28"/>
  <c r="AX310" i="28"/>
  <c r="AV308" i="28"/>
  <c r="AW281" i="28"/>
  <c r="AW298" i="28"/>
  <c r="AX298" i="28"/>
  <c r="AX291" i="28"/>
  <c r="AW279" i="28"/>
  <c r="AX309" i="28"/>
  <c r="AW306" i="28"/>
  <c r="AW310" i="28"/>
  <c r="AX308" i="28"/>
  <c r="AX279" i="28"/>
  <c r="AW307" i="28"/>
  <c r="AX289" i="28"/>
  <c r="AX297" i="28"/>
  <c r="AW290" i="28"/>
  <c r="AW291" i="28"/>
  <c r="AT291" i="28" s="1"/>
  <c r="AV281" i="28"/>
  <c r="AV280" i="28"/>
  <c r="AV282" i="28"/>
  <c r="AV310" i="28"/>
  <c r="AX301" i="28"/>
  <c r="AW308" i="28"/>
  <c r="AW282" i="28"/>
  <c r="AV279" i="28"/>
  <c r="AV309" i="28"/>
  <c r="AW297" i="28"/>
  <c r="AV300" i="28"/>
  <c r="AX307" i="28"/>
  <c r="AV307" i="28"/>
  <c r="AV299" i="28"/>
  <c r="AW299" i="28"/>
  <c r="AW288" i="28"/>
  <c r="AW280" i="28"/>
  <c r="AV298" i="28"/>
  <c r="AW301" i="28"/>
  <c r="AX282" i="28"/>
  <c r="AW289" i="28"/>
  <c r="AX280" i="28"/>
  <c r="AX290" i="28"/>
  <c r="AX306" i="28"/>
  <c r="AV306" i="28"/>
  <c r="AW300" i="28"/>
  <c r="AV288" i="28"/>
  <c r="AV289" i="28"/>
  <c r="AV297" i="28"/>
  <c r="AV290" i="28"/>
  <c r="AX281" i="28"/>
  <c r="AV301" i="28"/>
  <c r="AW309" i="28"/>
  <c r="AX300" i="28"/>
  <c r="AX288" i="28"/>
  <c r="AX246" i="28"/>
  <c r="AX245" i="28"/>
  <c r="AW244" i="28"/>
  <c r="AV243" i="28"/>
  <c r="AV246" i="28"/>
  <c r="AV245" i="28"/>
  <c r="AX243" i="28"/>
  <c r="AW246" i="28"/>
  <c r="AW243" i="28"/>
  <c r="AV244" i="28"/>
  <c r="AX244" i="28"/>
  <c r="AW245" i="28"/>
  <c r="AW199" i="28"/>
  <c r="AV201" i="28"/>
  <c r="AW200" i="28"/>
  <c r="AV199" i="28"/>
  <c r="AX199" i="28"/>
  <c r="AW201" i="28"/>
  <c r="AV198" i="28"/>
  <c r="AV200" i="28"/>
  <c r="AW198" i="28"/>
  <c r="AX198" i="28"/>
  <c r="AX200" i="28"/>
  <c r="AX201" i="28"/>
  <c r="AV73" i="28"/>
  <c r="AX120" i="28"/>
  <c r="AX117" i="28"/>
  <c r="AV120" i="28"/>
  <c r="AW119" i="28"/>
  <c r="AW118" i="28"/>
  <c r="AV119" i="28"/>
  <c r="AV117" i="28"/>
  <c r="AW117" i="28"/>
  <c r="AW120" i="28"/>
  <c r="AX118" i="28"/>
  <c r="AX119" i="28"/>
  <c r="AV118" i="28"/>
  <c r="AW75" i="28"/>
  <c r="AX73" i="28"/>
  <c r="AX75" i="28"/>
  <c r="AX74" i="28"/>
  <c r="AV74" i="28"/>
  <c r="AX72" i="28"/>
  <c r="AV75" i="28"/>
  <c r="AW73" i="28"/>
  <c r="AV72" i="28"/>
  <c r="AW74" i="28"/>
  <c r="AW72" i="28"/>
  <c r="AF26" i="28"/>
  <c r="AF27" i="28" s="1"/>
  <c r="AF28" i="28" s="1"/>
  <c r="AF29" i="28" s="1"/>
  <c r="AF30" i="28" s="1"/>
  <c r="AF31" i="28" s="1"/>
  <c r="AF32" i="28" s="1"/>
  <c r="AF229" i="28"/>
  <c r="AF230" i="28" s="1"/>
  <c r="AF231" i="28" s="1"/>
  <c r="AF232" i="28" s="1"/>
  <c r="AF233" i="28" s="1"/>
  <c r="AF234" i="28" s="1"/>
  <c r="AF235" i="28" s="1"/>
  <c r="AF488" i="28"/>
  <c r="AF489" i="28" s="1"/>
  <c r="AF490" i="28" s="1"/>
  <c r="AF491" i="28" s="1"/>
  <c r="AF492" i="28" s="1"/>
  <c r="AF493" i="28" s="1"/>
  <c r="AF494" i="28" s="1"/>
  <c r="AF677" i="28"/>
  <c r="AF678" i="28" s="1"/>
  <c r="AF679" i="28" s="1"/>
  <c r="AF680" i="28" s="1"/>
  <c r="AF681" i="28" s="1"/>
  <c r="AF682" i="28" s="1"/>
  <c r="AF683" i="28" s="1"/>
  <c r="AF866" i="28"/>
  <c r="AF867" i="28" s="1"/>
  <c r="AF868" i="28" s="1"/>
  <c r="AF869" i="28" s="1"/>
  <c r="AF870" i="28" s="1"/>
  <c r="AF871" i="28" s="1"/>
  <c r="AF872" i="28" s="1"/>
  <c r="AF215" i="28"/>
  <c r="AF216" i="28" s="1"/>
  <c r="AF217" i="28" s="1"/>
  <c r="AF218" i="28" s="1"/>
  <c r="AF219" i="28" s="1"/>
  <c r="AF220" i="28" s="1"/>
  <c r="AF221" i="28" s="1"/>
  <c r="AF68" i="28"/>
  <c r="AF69" i="28" s="1"/>
  <c r="AF70" i="28" s="1"/>
  <c r="AF71" i="28" s="1"/>
  <c r="AF72" i="28" s="1"/>
  <c r="AF73" i="28" s="1"/>
  <c r="AF74" i="28" s="1"/>
  <c r="AF852" i="28"/>
  <c r="AF853" i="28" s="1"/>
  <c r="AF854" i="28" s="1"/>
  <c r="AF855" i="28" s="1"/>
  <c r="AF856" i="28" s="1"/>
  <c r="AF857" i="28" s="1"/>
  <c r="AF858" i="28" s="1"/>
  <c r="AF719" i="28"/>
  <c r="AF720" i="28" s="1"/>
  <c r="AF721" i="28" s="1"/>
  <c r="AF722" i="28" s="1"/>
  <c r="AF723" i="28" s="1"/>
  <c r="AF724" i="28" s="1"/>
  <c r="AF725" i="28" s="1"/>
  <c r="AF138" i="28"/>
  <c r="AF139" i="28" s="1"/>
  <c r="AF140" i="28" s="1"/>
  <c r="AF141" i="28" s="1"/>
  <c r="AF142" i="28" s="1"/>
  <c r="AF143" i="28" s="1"/>
  <c r="AF144" i="28" s="1"/>
  <c r="AF341" i="28"/>
  <c r="AF342" i="28" s="1"/>
  <c r="AF343" i="28" s="1"/>
  <c r="AF344" i="28" s="1"/>
  <c r="AF345" i="28" s="1"/>
  <c r="AF346" i="28" s="1"/>
  <c r="AF347" i="28" s="1"/>
  <c r="AF537" i="28"/>
  <c r="AF538" i="28" s="1"/>
  <c r="AF539" i="28" s="1"/>
  <c r="AF540" i="28" s="1"/>
  <c r="AF541" i="28" s="1"/>
  <c r="AF542" i="28" s="1"/>
  <c r="AF543" i="28" s="1"/>
  <c r="AF733" i="28"/>
  <c r="AF734" i="28" s="1"/>
  <c r="AF735" i="28" s="1"/>
  <c r="AF736" i="28" s="1"/>
  <c r="AF737" i="28" s="1"/>
  <c r="AF738" i="28" s="1"/>
  <c r="AF739" i="28" s="1"/>
  <c r="AF110" i="28"/>
  <c r="AF111" i="28" s="1"/>
  <c r="AF112" i="28" s="1"/>
  <c r="AF113" i="28" s="1"/>
  <c r="AF114" i="28" s="1"/>
  <c r="AF115" i="28" s="1"/>
  <c r="AF116" i="28" s="1"/>
  <c r="AF222" i="28"/>
  <c r="AF223" i="28" s="1"/>
  <c r="AF224" i="28" s="1"/>
  <c r="AF225" i="28" s="1"/>
  <c r="AF226" i="28" s="1"/>
  <c r="AF227" i="28" s="1"/>
  <c r="AF228" i="28" s="1"/>
  <c r="AF383" i="28"/>
  <c r="AF384" i="28" s="1"/>
  <c r="AF385" i="28" s="1"/>
  <c r="AF386" i="28" s="1"/>
  <c r="AF387" i="28" s="1"/>
  <c r="AF388" i="28" s="1"/>
  <c r="AF389" i="28" s="1"/>
  <c r="AF194" i="28"/>
  <c r="AF195" i="28" s="1"/>
  <c r="AF196" i="28" s="1"/>
  <c r="AF197" i="28" s="1"/>
  <c r="AF198" i="28" s="1"/>
  <c r="AF199" i="28" s="1"/>
  <c r="AF200" i="28" s="1"/>
  <c r="AF397" i="28"/>
  <c r="AF398" i="28" s="1"/>
  <c r="AF399" i="28" s="1"/>
  <c r="AF400" i="28" s="1"/>
  <c r="AF401" i="28" s="1"/>
  <c r="AF402" i="28" s="1"/>
  <c r="AF403" i="28" s="1"/>
  <c r="AF740" i="28"/>
  <c r="AF741" i="28" s="1"/>
  <c r="AF742" i="28" s="1"/>
  <c r="AF743" i="28" s="1"/>
  <c r="AF744" i="28" s="1"/>
  <c r="AF745" i="28" s="1"/>
  <c r="AF746" i="28" s="1"/>
  <c r="AF54" i="28"/>
  <c r="AF55" i="28" s="1"/>
  <c r="AF56" i="28" s="1"/>
  <c r="AF57" i="28" s="1"/>
  <c r="AF58" i="28" s="1"/>
  <c r="AF59" i="28" s="1"/>
  <c r="AF60" i="28" s="1"/>
  <c r="AF61" i="28"/>
  <c r="AF62" i="28" s="1"/>
  <c r="AF63" i="28" s="1"/>
  <c r="AF64" i="28" s="1"/>
  <c r="AF65" i="28" s="1"/>
  <c r="AF66" i="28" s="1"/>
  <c r="AF67" i="28" s="1"/>
  <c r="AF117" i="28"/>
  <c r="AF118" i="28" s="1"/>
  <c r="AF119" i="28" s="1"/>
  <c r="AF120" i="28" s="1"/>
  <c r="AF121" i="28" s="1"/>
  <c r="AF122" i="28" s="1"/>
  <c r="AF123" i="28" s="1"/>
  <c r="AF810" i="28"/>
  <c r="AF811" i="28" s="1"/>
  <c r="AF812" i="28" s="1"/>
  <c r="AF813" i="28" s="1"/>
  <c r="AF814" i="28" s="1"/>
  <c r="AF815" i="28" s="1"/>
  <c r="AF816" i="28" s="1"/>
  <c r="AF670" i="28"/>
  <c r="AF671" i="28" s="1"/>
  <c r="AF672" i="28" s="1"/>
  <c r="AF673" i="28" s="1"/>
  <c r="AF674" i="28" s="1"/>
  <c r="AF675" i="28" s="1"/>
  <c r="AF676" i="28" s="1"/>
  <c r="AF145" i="28"/>
  <c r="AF146" i="28" s="1"/>
  <c r="AF147" i="28" s="1"/>
  <c r="AF148" i="28" s="1"/>
  <c r="AF149" i="28" s="1"/>
  <c r="AF150" i="28" s="1"/>
  <c r="AF151" i="28" s="1"/>
  <c r="AF355" i="28"/>
  <c r="AF356" i="28" s="1"/>
  <c r="AF357" i="28" s="1"/>
  <c r="AF358" i="28" s="1"/>
  <c r="AF359" i="28" s="1"/>
  <c r="AF360" i="28" s="1"/>
  <c r="AF361" i="28" s="1"/>
  <c r="AF551" i="28"/>
  <c r="AF552" i="28" s="1"/>
  <c r="AF553" i="28" s="1"/>
  <c r="AF554" i="28" s="1"/>
  <c r="AF555" i="28" s="1"/>
  <c r="AF556" i="28" s="1"/>
  <c r="AF557" i="28" s="1"/>
  <c r="AF789" i="28"/>
  <c r="AF790" i="28" s="1"/>
  <c r="AF791" i="28" s="1"/>
  <c r="AF792" i="28" s="1"/>
  <c r="AF793" i="28" s="1"/>
  <c r="AF794" i="28" s="1"/>
  <c r="AF795" i="28" s="1"/>
  <c r="AF411" i="28"/>
  <c r="AF412" i="28" s="1"/>
  <c r="AF413" i="28" s="1"/>
  <c r="AF414" i="28" s="1"/>
  <c r="AF415" i="28" s="1"/>
  <c r="AF416" i="28" s="1"/>
  <c r="AF417" i="28" s="1"/>
  <c r="AF313" i="28"/>
  <c r="AF314" i="28" s="1"/>
  <c r="AF315" i="28" s="1"/>
  <c r="AF316" i="28" s="1"/>
  <c r="AF317" i="28" s="1"/>
  <c r="AF318" i="28" s="1"/>
  <c r="AF319" i="28" s="1"/>
  <c r="AF166" i="28"/>
  <c r="AF167" i="28" s="1"/>
  <c r="AF168" i="28" s="1"/>
  <c r="AF169" i="28" s="1"/>
  <c r="AF170" i="28" s="1"/>
  <c r="AF171" i="28" s="1"/>
  <c r="AF172" i="28" s="1"/>
  <c r="AF908" i="28"/>
  <c r="AF909" i="28" s="1"/>
  <c r="AF910" i="28" s="1"/>
  <c r="AF911" i="28" s="1"/>
  <c r="AF912" i="28" s="1"/>
  <c r="AF913" i="28" s="1"/>
  <c r="AF914" i="28" s="1"/>
  <c r="AE26" i="28"/>
  <c r="AE257" i="28"/>
  <c r="AE258" i="28" s="1"/>
  <c r="AE259" i="28" s="1"/>
  <c r="AE260" i="28" s="1"/>
  <c r="AE495" i="28"/>
  <c r="AE496" i="28" s="1"/>
  <c r="AE497" i="28" s="1"/>
  <c r="AE498" i="28" s="1"/>
  <c r="AE747" i="28"/>
  <c r="AE748" i="28" s="1"/>
  <c r="AE749" i="28" s="1"/>
  <c r="AE750" i="28" s="1"/>
  <c r="AE278" i="28"/>
  <c r="AE279" i="28" s="1"/>
  <c r="AE280" i="28" s="1"/>
  <c r="AE281" i="28" s="1"/>
  <c r="AE180" i="28"/>
  <c r="AE181" i="28" s="1"/>
  <c r="AE182" i="28" s="1"/>
  <c r="AE183" i="28" s="1"/>
  <c r="AE425" i="28"/>
  <c r="AE426" i="28" s="1"/>
  <c r="AE427" i="28" s="1"/>
  <c r="AE428" i="28" s="1"/>
  <c r="AE705" i="28"/>
  <c r="AE706" i="28" s="1"/>
  <c r="AE707" i="28" s="1"/>
  <c r="AE708" i="28" s="1"/>
  <c r="AE908" i="28"/>
  <c r="AE909" i="28" s="1"/>
  <c r="AE910" i="28" s="1"/>
  <c r="AE911" i="28" s="1"/>
  <c r="AE75" i="28"/>
  <c r="AE76" i="28" s="1"/>
  <c r="AE77" i="28" s="1"/>
  <c r="AE78" i="28" s="1"/>
  <c r="AE285" i="28"/>
  <c r="AE286" i="28" s="1"/>
  <c r="AE287" i="28" s="1"/>
  <c r="AE288" i="28" s="1"/>
  <c r="AE593" i="28"/>
  <c r="AE594" i="28" s="1"/>
  <c r="AE595" i="28" s="1"/>
  <c r="AE596" i="28" s="1"/>
  <c r="AE803" i="28"/>
  <c r="AE804" i="28" s="1"/>
  <c r="AE805" i="28" s="1"/>
  <c r="AE806" i="28" s="1"/>
  <c r="AE201" i="28"/>
  <c r="AE202" i="28" s="1"/>
  <c r="AE203" i="28" s="1"/>
  <c r="AE204" i="28" s="1"/>
  <c r="AE145" i="28"/>
  <c r="AE146" i="28" s="1"/>
  <c r="AE147" i="28" s="1"/>
  <c r="AE148" i="28" s="1"/>
  <c r="AE355" i="28"/>
  <c r="AE356" i="28" s="1"/>
  <c r="AE357" i="28" s="1"/>
  <c r="AE358" i="28" s="1"/>
  <c r="AE551" i="28"/>
  <c r="AE552" i="28" s="1"/>
  <c r="AE553" i="28" s="1"/>
  <c r="AE554" i="28" s="1"/>
  <c r="AE761" i="28"/>
  <c r="AE762" i="28" s="1"/>
  <c r="AE763" i="28" s="1"/>
  <c r="AE764" i="28" s="1"/>
  <c r="AE89" i="28"/>
  <c r="AE90" i="28" s="1"/>
  <c r="AE91" i="28" s="1"/>
  <c r="AE92" i="28" s="1"/>
  <c r="AE103" i="28"/>
  <c r="AE104" i="28" s="1"/>
  <c r="AE105" i="28" s="1"/>
  <c r="AE106" i="28" s="1"/>
  <c r="AE313" i="28"/>
  <c r="AE314" i="28" s="1"/>
  <c r="AE315" i="28" s="1"/>
  <c r="AE316" i="28" s="1"/>
  <c r="AE635" i="28"/>
  <c r="AE636" i="28" s="1"/>
  <c r="AE637" i="28" s="1"/>
  <c r="AE638" i="28" s="1"/>
  <c r="AE845" i="28"/>
  <c r="AE846" i="28" s="1"/>
  <c r="AE847" i="28" s="1"/>
  <c r="AE848" i="28" s="1"/>
  <c r="AE124" i="28"/>
  <c r="AE125" i="28" s="1"/>
  <c r="AE126" i="28" s="1"/>
  <c r="AE127" i="28" s="1"/>
  <c r="AE362" i="28"/>
  <c r="AE363" i="28" s="1"/>
  <c r="AE364" i="28" s="1"/>
  <c r="AE365" i="28" s="1"/>
  <c r="AE509" i="28"/>
  <c r="AE510" i="28" s="1"/>
  <c r="AE511" i="28" s="1"/>
  <c r="AE512" i="28" s="1"/>
  <c r="AE684" i="28"/>
  <c r="AE685" i="28" s="1"/>
  <c r="AE686" i="28" s="1"/>
  <c r="AE687" i="28" s="1"/>
  <c r="AE152" i="28"/>
  <c r="AE153" i="28" s="1"/>
  <c r="AE154" i="28" s="1"/>
  <c r="AE155" i="28" s="1"/>
  <c r="AE131" i="28"/>
  <c r="AE132" i="28" s="1"/>
  <c r="AE133" i="28" s="1"/>
  <c r="AE134" i="28" s="1"/>
  <c r="AE418" i="28"/>
  <c r="AE419" i="28" s="1"/>
  <c r="AE420" i="28" s="1"/>
  <c r="AE421" i="28" s="1"/>
  <c r="AE600" i="28"/>
  <c r="AE601" i="28" s="1"/>
  <c r="AE602" i="28" s="1"/>
  <c r="AE603" i="28" s="1"/>
  <c r="AE852" i="28"/>
  <c r="AE853" i="28" s="1"/>
  <c r="AE854" i="28" s="1"/>
  <c r="AE855" i="28" s="1"/>
  <c r="AF82" i="28"/>
  <c r="AF83" i="28" s="1"/>
  <c r="AF84" i="28" s="1"/>
  <c r="AF85" i="28" s="1"/>
  <c r="AF86" i="28" s="1"/>
  <c r="AF87" i="28" s="1"/>
  <c r="AF88" i="28" s="1"/>
  <c r="AF285" i="28"/>
  <c r="AF286" i="28" s="1"/>
  <c r="AF287" i="28" s="1"/>
  <c r="AF288" i="28" s="1"/>
  <c r="AF289" i="28" s="1"/>
  <c r="AF290" i="28" s="1"/>
  <c r="AF291" i="28" s="1"/>
  <c r="AF530" i="28"/>
  <c r="AF531" i="28" s="1"/>
  <c r="AF532" i="28" s="1"/>
  <c r="AF533" i="28" s="1"/>
  <c r="AF534" i="28" s="1"/>
  <c r="AF535" i="28" s="1"/>
  <c r="AF536" i="28" s="1"/>
  <c r="AF726" i="28"/>
  <c r="AF727" i="28" s="1"/>
  <c r="AF728" i="28" s="1"/>
  <c r="AF729" i="28" s="1"/>
  <c r="AF730" i="28" s="1"/>
  <c r="AF731" i="28" s="1"/>
  <c r="AF732" i="28" s="1"/>
  <c r="AF152" i="28"/>
  <c r="AF153" i="28" s="1"/>
  <c r="AF154" i="28" s="1"/>
  <c r="AF155" i="28" s="1"/>
  <c r="AF156" i="28" s="1"/>
  <c r="AF157" i="28" s="1"/>
  <c r="AF158" i="28" s="1"/>
  <c r="AF369" i="28"/>
  <c r="AF370" i="28" s="1"/>
  <c r="AF371" i="28" s="1"/>
  <c r="AF372" i="28" s="1"/>
  <c r="AF373" i="28" s="1"/>
  <c r="AF374" i="28" s="1"/>
  <c r="AF375" i="28" s="1"/>
  <c r="AF271" i="28"/>
  <c r="AF272" i="28" s="1"/>
  <c r="AF273" i="28" s="1"/>
  <c r="AF274" i="28" s="1"/>
  <c r="AF275" i="28" s="1"/>
  <c r="AF276" i="28" s="1"/>
  <c r="AF277" i="28" s="1"/>
  <c r="AF124" i="28"/>
  <c r="AF125" i="28" s="1"/>
  <c r="AF126" i="28" s="1"/>
  <c r="AF127" i="28" s="1"/>
  <c r="AF128" i="28" s="1"/>
  <c r="AF129" i="28" s="1"/>
  <c r="AF130" i="28" s="1"/>
  <c r="AF915" i="28"/>
  <c r="AF916" i="28" s="1"/>
  <c r="AF917" i="28" s="1"/>
  <c r="AF918" i="28" s="1"/>
  <c r="AF919" i="28" s="1"/>
  <c r="AF920" i="28" s="1"/>
  <c r="AF921" i="28" s="1"/>
  <c r="AF187" i="28"/>
  <c r="AF188" i="28" s="1"/>
  <c r="AF189" i="28" s="1"/>
  <c r="AF190" i="28" s="1"/>
  <c r="AF191" i="28" s="1"/>
  <c r="AF192" i="28" s="1"/>
  <c r="AF193" i="28" s="1"/>
  <c r="AF390" i="28"/>
  <c r="AF391" i="28" s="1"/>
  <c r="AF392" i="28" s="1"/>
  <c r="AF393" i="28" s="1"/>
  <c r="AF394" i="28" s="1"/>
  <c r="AF395" i="28" s="1"/>
  <c r="AF396" i="28" s="1"/>
  <c r="AF586" i="28"/>
  <c r="AF587" i="28" s="1"/>
  <c r="AF588" i="28" s="1"/>
  <c r="AF589" i="28" s="1"/>
  <c r="AF590" i="28" s="1"/>
  <c r="AF591" i="28" s="1"/>
  <c r="AF592" i="28" s="1"/>
  <c r="AF824" i="28"/>
  <c r="AF825" i="28" s="1"/>
  <c r="AF826" i="28" s="1"/>
  <c r="AF827" i="28" s="1"/>
  <c r="AF828" i="28" s="1"/>
  <c r="AF829" i="28" s="1"/>
  <c r="AF830" i="28" s="1"/>
  <c r="AF418" i="28"/>
  <c r="AF419" i="28" s="1"/>
  <c r="AF420" i="28" s="1"/>
  <c r="AF421" i="28" s="1"/>
  <c r="AF422" i="28" s="1"/>
  <c r="AF423" i="28" s="1"/>
  <c r="AF424" i="28" s="1"/>
  <c r="AF516" i="28"/>
  <c r="AF517" i="28" s="1"/>
  <c r="AF518" i="28" s="1"/>
  <c r="AF519" i="28" s="1"/>
  <c r="AF520" i="28" s="1"/>
  <c r="AF521" i="28" s="1"/>
  <c r="AF522" i="28" s="1"/>
  <c r="AF628" i="28"/>
  <c r="AF629" i="28" s="1"/>
  <c r="AF630" i="28" s="1"/>
  <c r="AF631" i="28" s="1"/>
  <c r="AF632" i="28" s="1"/>
  <c r="AF633" i="28" s="1"/>
  <c r="AF634" i="28" s="1"/>
  <c r="AF243" i="28"/>
  <c r="AF244" i="28" s="1"/>
  <c r="AF245" i="28" s="1"/>
  <c r="AF246" i="28" s="1"/>
  <c r="AF247" i="28" s="1"/>
  <c r="AF248" i="28" s="1"/>
  <c r="AF249" i="28" s="1"/>
  <c r="AF544" i="28"/>
  <c r="AF545" i="28" s="1"/>
  <c r="AF546" i="28" s="1"/>
  <c r="AF547" i="28" s="1"/>
  <c r="AF548" i="28" s="1"/>
  <c r="AF549" i="28" s="1"/>
  <c r="AF550" i="28" s="1"/>
  <c r="AF782" i="28"/>
  <c r="AF783" i="28" s="1"/>
  <c r="AF784" i="28" s="1"/>
  <c r="AF785" i="28" s="1"/>
  <c r="AF786" i="28" s="1"/>
  <c r="AF787" i="28" s="1"/>
  <c r="AF788" i="28" s="1"/>
  <c r="AF362" i="28"/>
  <c r="AF363" i="28" s="1"/>
  <c r="AF364" i="28" s="1"/>
  <c r="AF365" i="28" s="1"/>
  <c r="AF366" i="28" s="1"/>
  <c r="AF367" i="28" s="1"/>
  <c r="AF368" i="28" s="1"/>
  <c r="AF264" i="28"/>
  <c r="AF265" i="28" s="1"/>
  <c r="AF266" i="28" s="1"/>
  <c r="AF267" i="28" s="1"/>
  <c r="AF268" i="28" s="1"/>
  <c r="AF269" i="28" s="1"/>
  <c r="AF270" i="28" s="1"/>
  <c r="AF320" i="28"/>
  <c r="AF321" i="28" s="1"/>
  <c r="AF322" i="28" s="1"/>
  <c r="AF323" i="28" s="1"/>
  <c r="AF324" i="28" s="1"/>
  <c r="AF325" i="28" s="1"/>
  <c r="AF326" i="28" s="1"/>
  <c r="AF75" i="28"/>
  <c r="AF76" i="28" s="1"/>
  <c r="AF77" i="28" s="1"/>
  <c r="AF78" i="28" s="1"/>
  <c r="AF79" i="28" s="1"/>
  <c r="AF80" i="28" s="1"/>
  <c r="AF81" i="28" s="1"/>
  <c r="AF859" i="28"/>
  <c r="AF860" i="28" s="1"/>
  <c r="AF861" i="28" s="1"/>
  <c r="AF862" i="28" s="1"/>
  <c r="AF863" i="28" s="1"/>
  <c r="AF864" i="28" s="1"/>
  <c r="AF865" i="28" s="1"/>
  <c r="AF201" i="28"/>
  <c r="AF202" i="28" s="1"/>
  <c r="AF203" i="28" s="1"/>
  <c r="AF204" i="28" s="1"/>
  <c r="AF205" i="28" s="1"/>
  <c r="AF206" i="28" s="1"/>
  <c r="AF207" i="28" s="1"/>
  <c r="AF404" i="28"/>
  <c r="AF405" i="28" s="1"/>
  <c r="AF406" i="28" s="1"/>
  <c r="AF407" i="28" s="1"/>
  <c r="AF408" i="28" s="1"/>
  <c r="AF409" i="28" s="1"/>
  <c r="AF410" i="28" s="1"/>
  <c r="AF600" i="28"/>
  <c r="AF601" i="28" s="1"/>
  <c r="AF602" i="28" s="1"/>
  <c r="AF603" i="28" s="1"/>
  <c r="AF604" i="28" s="1"/>
  <c r="AF605" i="28" s="1"/>
  <c r="AF606" i="28" s="1"/>
  <c r="AF838" i="28"/>
  <c r="AF839" i="28" s="1"/>
  <c r="AF840" i="28" s="1"/>
  <c r="AF841" i="28" s="1"/>
  <c r="AF842" i="28" s="1"/>
  <c r="AF843" i="28" s="1"/>
  <c r="AF844" i="28" s="1"/>
  <c r="AF558" i="28"/>
  <c r="AF559" i="28" s="1"/>
  <c r="AF560" i="28" s="1"/>
  <c r="AF561" i="28" s="1"/>
  <c r="AF562" i="28" s="1"/>
  <c r="AF563" i="28" s="1"/>
  <c r="AF564" i="28" s="1"/>
  <c r="AF509" i="28"/>
  <c r="AF510" i="28" s="1"/>
  <c r="AF511" i="28" s="1"/>
  <c r="AF512" i="28" s="1"/>
  <c r="AF513" i="28" s="1"/>
  <c r="AF514" i="28" s="1"/>
  <c r="AF515" i="28" s="1"/>
  <c r="AF376" i="28"/>
  <c r="AF377" i="28" s="1"/>
  <c r="AF378" i="28" s="1"/>
  <c r="AF379" i="28" s="1"/>
  <c r="AF380" i="28" s="1"/>
  <c r="AF381" i="28" s="1"/>
  <c r="AF382" i="28" s="1"/>
  <c r="AF432" i="28"/>
  <c r="AF433" i="28" s="1"/>
  <c r="AF434" i="28" s="1"/>
  <c r="AF435" i="28" s="1"/>
  <c r="AF436" i="28" s="1"/>
  <c r="AF437" i="28" s="1"/>
  <c r="AF438" i="28" s="1"/>
  <c r="AE47" i="28"/>
  <c r="AE48" i="28" s="1"/>
  <c r="AE49" i="28" s="1"/>
  <c r="AE50" i="28" s="1"/>
  <c r="AE320" i="28"/>
  <c r="AE321" i="28" s="1"/>
  <c r="AE322" i="28" s="1"/>
  <c r="AE323" i="28" s="1"/>
  <c r="AE572" i="28"/>
  <c r="AE573" i="28" s="1"/>
  <c r="AE574" i="28" s="1"/>
  <c r="AE575" i="28" s="1"/>
  <c r="AE789" i="28"/>
  <c r="AE790" i="28" s="1"/>
  <c r="AE791" i="28" s="1"/>
  <c r="AE792" i="28" s="1"/>
  <c r="AE488" i="28"/>
  <c r="AE489" i="28" s="1"/>
  <c r="AE490" i="28" s="1"/>
  <c r="AE491" i="28" s="1"/>
  <c r="AE229" i="28"/>
  <c r="AE230" i="28" s="1"/>
  <c r="AE231" i="28" s="1"/>
  <c r="AE232" i="28" s="1"/>
  <c r="AE530" i="28"/>
  <c r="AE531" i="28" s="1"/>
  <c r="AE532" i="28" s="1"/>
  <c r="AE533" i="28" s="1"/>
  <c r="AE754" i="28"/>
  <c r="AE755" i="28" s="1"/>
  <c r="AE756" i="28" s="1"/>
  <c r="AE757" i="28" s="1"/>
  <c r="AE474" i="28"/>
  <c r="AE475" i="28" s="1"/>
  <c r="AE476" i="28" s="1"/>
  <c r="AE477" i="28" s="1"/>
  <c r="AE166" i="28"/>
  <c r="AE167" i="28" s="1"/>
  <c r="AE168" i="28" s="1"/>
  <c r="AE169" i="28" s="1"/>
  <c r="AE348" i="28"/>
  <c r="AE349" i="28" s="1"/>
  <c r="AE350" i="28" s="1"/>
  <c r="AE351" i="28" s="1"/>
  <c r="AE621" i="28"/>
  <c r="AE622" i="28" s="1"/>
  <c r="AE623" i="28" s="1"/>
  <c r="AE624" i="28" s="1"/>
  <c r="AE831" i="28"/>
  <c r="AE832" i="28" s="1"/>
  <c r="AE833" i="28" s="1"/>
  <c r="AE834" i="28" s="1"/>
  <c r="AE523" i="28"/>
  <c r="AE524" i="28" s="1"/>
  <c r="AE525" i="28" s="1"/>
  <c r="AE526" i="28" s="1"/>
  <c r="AE208" i="28"/>
  <c r="AE209" i="28" s="1"/>
  <c r="AE210" i="28" s="1"/>
  <c r="AE211" i="28" s="1"/>
  <c r="AE404" i="28"/>
  <c r="AE405" i="28" s="1"/>
  <c r="AE406" i="28" s="1"/>
  <c r="AE407" i="28" s="1"/>
  <c r="AE579" i="28"/>
  <c r="AE580" i="28" s="1"/>
  <c r="AE581" i="28" s="1"/>
  <c r="AE582" i="28" s="1"/>
  <c r="AE810" i="28"/>
  <c r="AE811" i="28" s="1"/>
  <c r="AE812" i="28" s="1"/>
  <c r="AE813" i="28" s="1"/>
  <c r="AE649" i="28"/>
  <c r="AE650" i="28" s="1"/>
  <c r="AE651" i="28" s="1"/>
  <c r="AE652" i="28" s="1"/>
  <c r="AE194" i="28"/>
  <c r="AE195" i="28" s="1"/>
  <c r="AE196" i="28" s="1"/>
  <c r="AE197" i="28" s="1"/>
  <c r="AE376" i="28"/>
  <c r="AE377" i="28" s="1"/>
  <c r="AE378" i="28" s="1"/>
  <c r="AE379" i="28" s="1"/>
  <c r="AE677" i="28"/>
  <c r="AE678" i="28" s="1"/>
  <c r="AE679" i="28" s="1"/>
  <c r="AE680" i="28" s="1"/>
  <c r="AE299" i="28"/>
  <c r="AE300" i="28" s="1"/>
  <c r="AE301" i="28" s="1"/>
  <c r="AE302" i="28" s="1"/>
  <c r="AE173" i="28"/>
  <c r="AE174" i="28" s="1"/>
  <c r="AE175" i="28" s="1"/>
  <c r="AE176" i="28" s="1"/>
  <c r="AE383" i="28"/>
  <c r="AE384" i="28" s="1"/>
  <c r="AE385" i="28" s="1"/>
  <c r="AE386" i="28" s="1"/>
  <c r="AE537" i="28"/>
  <c r="AE538" i="28" s="1"/>
  <c r="AE539" i="28" s="1"/>
  <c r="AE540" i="28" s="1"/>
  <c r="AE775" i="28"/>
  <c r="AE776" i="28" s="1"/>
  <c r="AE777" i="28" s="1"/>
  <c r="AE778" i="28" s="1"/>
  <c r="AE390" i="28"/>
  <c r="AE391" i="28" s="1"/>
  <c r="AE392" i="28" s="1"/>
  <c r="AE393" i="28" s="1"/>
  <c r="AE222" i="28"/>
  <c r="AE223" i="28" s="1"/>
  <c r="AE224" i="28" s="1"/>
  <c r="AE225" i="28" s="1"/>
  <c r="AE439" i="28"/>
  <c r="AE440" i="28" s="1"/>
  <c r="AE441" i="28" s="1"/>
  <c r="AE442" i="28" s="1"/>
  <c r="AE691" i="28"/>
  <c r="AE692" i="28" s="1"/>
  <c r="AE693" i="28" s="1"/>
  <c r="AE694" i="28" s="1"/>
  <c r="AE894" i="28"/>
  <c r="AE895" i="28" s="1"/>
  <c r="AE896" i="28" s="1"/>
  <c r="AE897" i="28" s="1"/>
  <c r="AF131" i="28"/>
  <c r="AF132" i="28" s="1"/>
  <c r="AF133" i="28" s="1"/>
  <c r="AF134" i="28" s="1"/>
  <c r="AF135" i="28" s="1"/>
  <c r="AF136" i="28" s="1"/>
  <c r="AF137" i="28" s="1"/>
  <c r="AF334" i="28"/>
  <c r="AF335" i="28" s="1"/>
  <c r="AF336" i="28" s="1"/>
  <c r="AF337" i="28" s="1"/>
  <c r="AF338" i="28" s="1"/>
  <c r="AF339" i="28" s="1"/>
  <c r="AF340" i="28" s="1"/>
  <c r="AF579" i="28"/>
  <c r="AF580" i="28" s="1"/>
  <c r="AF581" i="28" s="1"/>
  <c r="AF582" i="28" s="1"/>
  <c r="AF583" i="28" s="1"/>
  <c r="AF584" i="28" s="1"/>
  <c r="AF585" i="28" s="1"/>
  <c r="AF775" i="28"/>
  <c r="AF776" i="28" s="1"/>
  <c r="AF777" i="28" s="1"/>
  <c r="AF778" i="28" s="1"/>
  <c r="AF779" i="28" s="1"/>
  <c r="AF780" i="28" s="1"/>
  <c r="AF781" i="28" s="1"/>
  <c r="AF460" i="28"/>
  <c r="AF461" i="28" s="1"/>
  <c r="AF462" i="28" s="1"/>
  <c r="AF463" i="28" s="1"/>
  <c r="AF464" i="28" s="1"/>
  <c r="AF465" i="28" s="1"/>
  <c r="AF466" i="28" s="1"/>
  <c r="AF656" i="28"/>
  <c r="AF657" i="28" s="1"/>
  <c r="AF658" i="28" s="1"/>
  <c r="AF659" i="28" s="1"/>
  <c r="AF660" i="28" s="1"/>
  <c r="AF661" i="28" s="1"/>
  <c r="AF662" i="28" s="1"/>
  <c r="AF474" i="28"/>
  <c r="AF475" i="28" s="1"/>
  <c r="AF476" i="28" s="1"/>
  <c r="AF477" i="28" s="1"/>
  <c r="AF478" i="28" s="1"/>
  <c r="AF479" i="28" s="1"/>
  <c r="AF480" i="28" s="1"/>
  <c r="AF327" i="28"/>
  <c r="AF328" i="28" s="1"/>
  <c r="AF329" i="28" s="1"/>
  <c r="AF330" i="28" s="1"/>
  <c r="AF331" i="28" s="1"/>
  <c r="AF332" i="28" s="1"/>
  <c r="AF333" i="28" s="1"/>
  <c r="AF33" i="28"/>
  <c r="AF34" i="28" s="1"/>
  <c r="AF35" i="28" s="1"/>
  <c r="AF36" i="28" s="1"/>
  <c r="AF37" i="28" s="1"/>
  <c r="AF38" i="28" s="1"/>
  <c r="AF39" i="28" s="1"/>
  <c r="AF236" i="28"/>
  <c r="AF237" i="28" s="1"/>
  <c r="AF238" i="28" s="1"/>
  <c r="AF239" i="28" s="1"/>
  <c r="AF240" i="28" s="1"/>
  <c r="AF241" i="28" s="1"/>
  <c r="AF242" i="28" s="1"/>
  <c r="AF446" i="28"/>
  <c r="AF447" i="28" s="1"/>
  <c r="AF448" i="28" s="1"/>
  <c r="AF449" i="28" s="1"/>
  <c r="AF450" i="28" s="1"/>
  <c r="AF451" i="28" s="1"/>
  <c r="AF452" i="28" s="1"/>
  <c r="AF642" i="28"/>
  <c r="AF643" i="28" s="1"/>
  <c r="AF644" i="28" s="1"/>
  <c r="AF645" i="28" s="1"/>
  <c r="AF646" i="28" s="1"/>
  <c r="AF647" i="28" s="1"/>
  <c r="AF648" i="28" s="1"/>
  <c r="AF873" i="28"/>
  <c r="AF874" i="28" s="1"/>
  <c r="AF875" i="28" s="1"/>
  <c r="AF876" i="28" s="1"/>
  <c r="AF877" i="28" s="1"/>
  <c r="AF878" i="28" s="1"/>
  <c r="AF879" i="28" s="1"/>
  <c r="AF614" i="28"/>
  <c r="AF615" i="28" s="1"/>
  <c r="AF616" i="28" s="1"/>
  <c r="AF617" i="28" s="1"/>
  <c r="AF618" i="28" s="1"/>
  <c r="AF619" i="28" s="1"/>
  <c r="AF620" i="28" s="1"/>
  <c r="AF761" i="28"/>
  <c r="AF762" i="28" s="1"/>
  <c r="AF763" i="28" s="1"/>
  <c r="AF764" i="28" s="1"/>
  <c r="AF765" i="28" s="1"/>
  <c r="AF766" i="28" s="1"/>
  <c r="AF767" i="28" s="1"/>
  <c r="AF40" i="28"/>
  <c r="AF41" i="28" s="1"/>
  <c r="AF42" i="28" s="1"/>
  <c r="AF43" i="28" s="1"/>
  <c r="AF44" i="28" s="1"/>
  <c r="AF45" i="28" s="1"/>
  <c r="AF46" i="28" s="1"/>
  <c r="AF299" i="28"/>
  <c r="AF300" i="28" s="1"/>
  <c r="AF301" i="28" s="1"/>
  <c r="AF302" i="28" s="1"/>
  <c r="AF303" i="28" s="1"/>
  <c r="AF304" i="28" s="1"/>
  <c r="AF305" i="28" s="1"/>
  <c r="AF593" i="28"/>
  <c r="AF594" i="28" s="1"/>
  <c r="AF595" i="28" s="1"/>
  <c r="AF596" i="28" s="1"/>
  <c r="AF597" i="28" s="1"/>
  <c r="AF598" i="28" s="1"/>
  <c r="AF599" i="28" s="1"/>
  <c r="AF831" i="28"/>
  <c r="AF832" i="28" s="1"/>
  <c r="AF833" i="28" s="1"/>
  <c r="AF834" i="28" s="1"/>
  <c r="AF835" i="28" s="1"/>
  <c r="AF836" i="28" s="1"/>
  <c r="AF837" i="28" s="1"/>
  <c r="AF607" i="28"/>
  <c r="AF608" i="28" s="1"/>
  <c r="AF609" i="28" s="1"/>
  <c r="AF610" i="28" s="1"/>
  <c r="AF611" i="28" s="1"/>
  <c r="AF612" i="28" s="1"/>
  <c r="AF613" i="28" s="1"/>
  <c r="AF467" i="28"/>
  <c r="AF468" i="28" s="1"/>
  <c r="AF469" i="28" s="1"/>
  <c r="AF470" i="28" s="1"/>
  <c r="AF471" i="28" s="1"/>
  <c r="AF472" i="28" s="1"/>
  <c r="AF473" i="28" s="1"/>
  <c r="AF425" i="28"/>
  <c r="AF426" i="28" s="1"/>
  <c r="AF427" i="28" s="1"/>
  <c r="AF428" i="28" s="1"/>
  <c r="AF429" i="28" s="1"/>
  <c r="AF430" i="28" s="1"/>
  <c r="AF431" i="28" s="1"/>
  <c r="AF278" i="28"/>
  <c r="AF279" i="28" s="1"/>
  <c r="AF280" i="28" s="1"/>
  <c r="AF281" i="28" s="1"/>
  <c r="AF282" i="28" s="1"/>
  <c r="AF283" i="28" s="1"/>
  <c r="AF284" i="28" s="1"/>
  <c r="AF47" i="28"/>
  <c r="AF48" i="28" s="1"/>
  <c r="AF49" i="28" s="1"/>
  <c r="AF50" i="28" s="1"/>
  <c r="AF51" i="28" s="1"/>
  <c r="AF52" i="28" s="1"/>
  <c r="AF53" i="28" s="1"/>
  <c r="AF250" i="28"/>
  <c r="AF251" i="28" s="1"/>
  <c r="AF252" i="28" s="1"/>
  <c r="AF253" i="28" s="1"/>
  <c r="AF254" i="28" s="1"/>
  <c r="AF255" i="28" s="1"/>
  <c r="AF256" i="28" s="1"/>
  <c r="AF453" i="28"/>
  <c r="AF454" i="28" s="1"/>
  <c r="AF455" i="28" s="1"/>
  <c r="AF456" i="28" s="1"/>
  <c r="AF457" i="28" s="1"/>
  <c r="AF458" i="28" s="1"/>
  <c r="AF459" i="28" s="1"/>
  <c r="AF649" i="28"/>
  <c r="AF650" i="28" s="1"/>
  <c r="AF651" i="28" s="1"/>
  <c r="AF652" i="28" s="1"/>
  <c r="AF653" i="28" s="1"/>
  <c r="AF654" i="28" s="1"/>
  <c r="AF655" i="28" s="1"/>
  <c r="AF887" i="28"/>
  <c r="AF888" i="28" s="1"/>
  <c r="AF889" i="28" s="1"/>
  <c r="AF890" i="28" s="1"/>
  <c r="AF891" i="28" s="1"/>
  <c r="AF892" i="28" s="1"/>
  <c r="AF893" i="28" s="1"/>
  <c r="AF894" i="28"/>
  <c r="AF895" i="28" s="1"/>
  <c r="AF896" i="28" s="1"/>
  <c r="AF897" i="28" s="1"/>
  <c r="AF898" i="28" s="1"/>
  <c r="AF899" i="28" s="1"/>
  <c r="AF900" i="28" s="1"/>
  <c r="AF705" i="28"/>
  <c r="AF706" i="28" s="1"/>
  <c r="AF707" i="28" s="1"/>
  <c r="AF708" i="28" s="1"/>
  <c r="AF709" i="28" s="1"/>
  <c r="AF710" i="28" s="1"/>
  <c r="AF711" i="28" s="1"/>
  <c r="AF565" i="28"/>
  <c r="AF566" i="28" s="1"/>
  <c r="AF567" i="28" s="1"/>
  <c r="AF568" i="28" s="1"/>
  <c r="AF569" i="28" s="1"/>
  <c r="AF570" i="28" s="1"/>
  <c r="AF571" i="28" s="1"/>
  <c r="AF572" i="28"/>
  <c r="AF573" i="28" s="1"/>
  <c r="AF574" i="28" s="1"/>
  <c r="AF575" i="28" s="1"/>
  <c r="AF576" i="28" s="1"/>
  <c r="AF577" i="28" s="1"/>
  <c r="AF578" i="28" s="1"/>
  <c r="AE138" i="28"/>
  <c r="AE139" i="28" s="1"/>
  <c r="AE140" i="28" s="1"/>
  <c r="AE141" i="28" s="1"/>
  <c r="AE369" i="28"/>
  <c r="AE370" i="28" s="1"/>
  <c r="AE371" i="28" s="1"/>
  <c r="AE372" i="28" s="1"/>
  <c r="AE614" i="28"/>
  <c r="AE615" i="28" s="1"/>
  <c r="AE616" i="28" s="1"/>
  <c r="AE617" i="28" s="1"/>
  <c r="AE824" i="28"/>
  <c r="AE825" i="28" s="1"/>
  <c r="AE826" i="28" s="1"/>
  <c r="AE827" i="28" s="1"/>
  <c r="AE68" i="28"/>
  <c r="AE69" i="28" s="1"/>
  <c r="AE70" i="28" s="1"/>
  <c r="AE71" i="28" s="1"/>
  <c r="AE306" i="28"/>
  <c r="AE307" i="28" s="1"/>
  <c r="AE308" i="28" s="1"/>
  <c r="AE309" i="28" s="1"/>
  <c r="AE544" i="28"/>
  <c r="AE545" i="28" s="1"/>
  <c r="AE546" i="28" s="1"/>
  <c r="AE547" i="28" s="1"/>
  <c r="AE796" i="28"/>
  <c r="AE797" i="28" s="1"/>
  <c r="AE798" i="28" s="1"/>
  <c r="AE799" i="28" s="1"/>
  <c r="AE698" i="28"/>
  <c r="AE699" i="28" s="1"/>
  <c r="AE700" i="28" s="1"/>
  <c r="AE701" i="28" s="1"/>
  <c r="AE187" i="28"/>
  <c r="AE188" i="28" s="1"/>
  <c r="AE189" i="28" s="1"/>
  <c r="AE190" i="28" s="1"/>
  <c r="AE397" i="28"/>
  <c r="AE398" i="28" s="1"/>
  <c r="AE399" i="28" s="1"/>
  <c r="AE400" i="28" s="1"/>
  <c r="AE670" i="28"/>
  <c r="AE671" i="28" s="1"/>
  <c r="AE672" i="28" s="1"/>
  <c r="AE673" i="28" s="1"/>
  <c r="AE873" i="28"/>
  <c r="AE874" i="28" s="1"/>
  <c r="AE875" i="28" s="1"/>
  <c r="AE876" i="28" s="1"/>
  <c r="AE33" i="28"/>
  <c r="AE34" i="28" s="1"/>
  <c r="AE35" i="28" s="1"/>
  <c r="AE36" i="28" s="1"/>
  <c r="AE243" i="28"/>
  <c r="AE244" i="28" s="1"/>
  <c r="AE245" i="28" s="1"/>
  <c r="AE246" i="28" s="1"/>
  <c r="AE453" i="28"/>
  <c r="AE454" i="28" s="1"/>
  <c r="AE455" i="28" s="1"/>
  <c r="AE456" i="28" s="1"/>
  <c r="AE628" i="28"/>
  <c r="AE629" i="28" s="1"/>
  <c r="AE630" i="28" s="1"/>
  <c r="AE631" i="28" s="1"/>
  <c r="AE838" i="28"/>
  <c r="AE839" i="28" s="1"/>
  <c r="AE840" i="28" s="1"/>
  <c r="AE841" i="28" s="1"/>
  <c r="AE901" i="28"/>
  <c r="AE902" i="28" s="1"/>
  <c r="AE903" i="28" s="1"/>
  <c r="AE904" i="28" s="1"/>
  <c r="AE215" i="28"/>
  <c r="AE216" i="28" s="1"/>
  <c r="AE217" i="28" s="1"/>
  <c r="AE218" i="28" s="1"/>
  <c r="AE411" i="28"/>
  <c r="AE412" i="28" s="1"/>
  <c r="AE413" i="28" s="1"/>
  <c r="AE414" i="28" s="1"/>
  <c r="AE726" i="28"/>
  <c r="AE727" i="28" s="1"/>
  <c r="AE728" i="28" s="1"/>
  <c r="AE729" i="28" s="1"/>
  <c r="AE740" i="28"/>
  <c r="AE741" i="28" s="1"/>
  <c r="AE742" i="28" s="1"/>
  <c r="AE743" i="28" s="1"/>
  <c r="AE250" i="28"/>
  <c r="AE251" i="28" s="1"/>
  <c r="AE252" i="28" s="1"/>
  <c r="AE253" i="28" s="1"/>
  <c r="AE432" i="28"/>
  <c r="AE433" i="28" s="1"/>
  <c r="AE434" i="28" s="1"/>
  <c r="AE435" i="28" s="1"/>
  <c r="AE558" i="28"/>
  <c r="AE559" i="28" s="1"/>
  <c r="AE560" i="28" s="1"/>
  <c r="AE561" i="28" s="1"/>
  <c r="AE817" i="28"/>
  <c r="AE818" i="28" s="1"/>
  <c r="AE819" i="28" s="1"/>
  <c r="AE820" i="28" s="1"/>
  <c r="AE607" i="28"/>
  <c r="AE608" i="28" s="1"/>
  <c r="AE609" i="28" s="1"/>
  <c r="AE610" i="28" s="1"/>
  <c r="AE292" i="28"/>
  <c r="AE293" i="28" s="1"/>
  <c r="AE294" i="28" s="1"/>
  <c r="AE295" i="28" s="1"/>
  <c r="AE516" i="28"/>
  <c r="AE517" i="28" s="1"/>
  <c r="AE518" i="28" s="1"/>
  <c r="AE519" i="28" s="1"/>
  <c r="AE733" i="28"/>
  <c r="AE734" i="28" s="1"/>
  <c r="AE735" i="28" s="1"/>
  <c r="AE736" i="28" s="1"/>
  <c r="AE565" i="28"/>
  <c r="AE566" i="28" s="1"/>
  <c r="AE567" i="28" s="1"/>
  <c r="AE568" i="28" s="1"/>
  <c r="AF180" i="28"/>
  <c r="AF181" i="28" s="1"/>
  <c r="AF182" i="28" s="1"/>
  <c r="AF183" i="28" s="1"/>
  <c r="AF184" i="28" s="1"/>
  <c r="AF185" i="28" s="1"/>
  <c r="AF186" i="28" s="1"/>
  <c r="AF439" i="28"/>
  <c r="AF440" i="28" s="1"/>
  <c r="AF441" i="28" s="1"/>
  <c r="AF442" i="28" s="1"/>
  <c r="AF443" i="28" s="1"/>
  <c r="AF444" i="28" s="1"/>
  <c r="AF445" i="28" s="1"/>
  <c r="AF635" i="28"/>
  <c r="AF636" i="28" s="1"/>
  <c r="AF637" i="28" s="1"/>
  <c r="AF638" i="28" s="1"/>
  <c r="AF639" i="28" s="1"/>
  <c r="AF640" i="28" s="1"/>
  <c r="AF641" i="28" s="1"/>
  <c r="AF817" i="28"/>
  <c r="AF818" i="28" s="1"/>
  <c r="AF819" i="28" s="1"/>
  <c r="AF820" i="28" s="1"/>
  <c r="AF821" i="28" s="1"/>
  <c r="AF822" i="28" s="1"/>
  <c r="AF823" i="28" s="1"/>
  <c r="AF698" i="28"/>
  <c r="AF699" i="28" s="1"/>
  <c r="AF700" i="28" s="1"/>
  <c r="AF701" i="28" s="1"/>
  <c r="AF702" i="28" s="1"/>
  <c r="AF703" i="28" s="1"/>
  <c r="AF704" i="28" s="1"/>
  <c r="AF803" i="28"/>
  <c r="AF804" i="28" s="1"/>
  <c r="AF805" i="28" s="1"/>
  <c r="AF806" i="28" s="1"/>
  <c r="AF807" i="28" s="1"/>
  <c r="AF808" i="28" s="1"/>
  <c r="AF809" i="28" s="1"/>
  <c r="AF663" i="28"/>
  <c r="AF664" i="28" s="1"/>
  <c r="AF665" i="28" s="1"/>
  <c r="AF666" i="28" s="1"/>
  <c r="AF667" i="28" s="1"/>
  <c r="AF668" i="28" s="1"/>
  <c r="AF669" i="28" s="1"/>
  <c r="AF523" i="28"/>
  <c r="AF524" i="28" s="1"/>
  <c r="AF525" i="28" s="1"/>
  <c r="AF526" i="28" s="1"/>
  <c r="AF527" i="28" s="1"/>
  <c r="AF528" i="28" s="1"/>
  <c r="AF529" i="28" s="1"/>
  <c r="AF89" i="28"/>
  <c r="AF90" i="28" s="1"/>
  <c r="AF91" i="28" s="1"/>
  <c r="AF92" i="28" s="1"/>
  <c r="AF93" i="28" s="1"/>
  <c r="AF94" i="28" s="1"/>
  <c r="AF95" i="28" s="1"/>
  <c r="AF292" i="28"/>
  <c r="AF293" i="28" s="1"/>
  <c r="AF294" i="28" s="1"/>
  <c r="AF295" i="28" s="1"/>
  <c r="AF296" i="28" s="1"/>
  <c r="AF297" i="28" s="1"/>
  <c r="AF298" i="28" s="1"/>
  <c r="AF495" i="28"/>
  <c r="AF496" i="28" s="1"/>
  <c r="AF497" i="28" s="1"/>
  <c r="AF498" i="28" s="1"/>
  <c r="AF499" i="28" s="1"/>
  <c r="AF500" i="28" s="1"/>
  <c r="AF501" i="28" s="1"/>
  <c r="AF684" i="28"/>
  <c r="AF685" i="28" s="1"/>
  <c r="AF686" i="28" s="1"/>
  <c r="AF687" i="28" s="1"/>
  <c r="AF688" i="28" s="1"/>
  <c r="AF689" i="28" s="1"/>
  <c r="AF690" i="28" s="1"/>
  <c r="AF257" i="28"/>
  <c r="AF258" i="28" s="1"/>
  <c r="AF259" i="28" s="1"/>
  <c r="AF260" i="28" s="1"/>
  <c r="AF261" i="28" s="1"/>
  <c r="AF262" i="28" s="1"/>
  <c r="AF263" i="28" s="1"/>
  <c r="AF901" i="28"/>
  <c r="AF902" i="28" s="1"/>
  <c r="AF903" i="28" s="1"/>
  <c r="AF904" i="28" s="1"/>
  <c r="AF905" i="28" s="1"/>
  <c r="AF906" i="28" s="1"/>
  <c r="AF907" i="28" s="1"/>
  <c r="AF173" i="28"/>
  <c r="AF174" i="28" s="1"/>
  <c r="AF175" i="28" s="1"/>
  <c r="AF176" i="28" s="1"/>
  <c r="AF177" i="28" s="1"/>
  <c r="AF178" i="28" s="1"/>
  <c r="AF179" i="28" s="1"/>
  <c r="AF96" i="28"/>
  <c r="AF97" i="28" s="1"/>
  <c r="AF98" i="28" s="1"/>
  <c r="AF99" i="28" s="1"/>
  <c r="AF100" i="28" s="1"/>
  <c r="AF101" i="28" s="1"/>
  <c r="AF102" i="28" s="1"/>
  <c r="AF348" i="28"/>
  <c r="AF349" i="28" s="1"/>
  <c r="AF350" i="28" s="1"/>
  <c r="AF351" i="28" s="1"/>
  <c r="AF352" i="28" s="1"/>
  <c r="AF353" i="28" s="1"/>
  <c r="AF354" i="28" s="1"/>
  <c r="AF691" i="28"/>
  <c r="AF692" i="28" s="1"/>
  <c r="AF693" i="28" s="1"/>
  <c r="AF694" i="28" s="1"/>
  <c r="AF695" i="28" s="1"/>
  <c r="AF696" i="28" s="1"/>
  <c r="AF697" i="28" s="1"/>
  <c r="AF880" i="28"/>
  <c r="AF881" i="28" s="1"/>
  <c r="AF882" i="28" s="1"/>
  <c r="AF883" i="28" s="1"/>
  <c r="AF884" i="28" s="1"/>
  <c r="AF885" i="28" s="1"/>
  <c r="AF886" i="28" s="1"/>
  <c r="AF796" i="28"/>
  <c r="AF797" i="28" s="1"/>
  <c r="AF798" i="28" s="1"/>
  <c r="AF799" i="28" s="1"/>
  <c r="AF800" i="28" s="1"/>
  <c r="AF801" i="28" s="1"/>
  <c r="AF802" i="28" s="1"/>
  <c r="AF754" i="28"/>
  <c r="AF755" i="28" s="1"/>
  <c r="AF756" i="28" s="1"/>
  <c r="AF757" i="28" s="1"/>
  <c r="AF758" i="28" s="1"/>
  <c r="AF759" i="28" s="1"/>
  <c r="AF760" i="28" s="1"/>
  <c r="AF621" i="28"/>
  <c r="AF622" i="28" s="1"/>
  <c r="AF623" i="28" s="1"/>
  <c r="AF624" i="28" s="1"/>
  <c r="AF625" i="28" s="1"/>
  <c r="AF626" i="28" s="1"/>
  <c r="AF627" i="28" s="1"/>
  <c r="AF481" i="28"/>
  <c r="AF482" i="28" s="1"/>
  <c r="AF483" i="28" s="1"/>
  <c r="AF484" i="28" s="1"/>
  <c r="AF485" i="28" s="1"/>
  <c r="AF486" i="28" s="1"/>
  <c r="AF487" i="28" s="1"/>
  <c r="AF103" i="28"/>
  <c r="AF104" i="28" s="1"/>
  <c r="AF105" i="28" s="1"/>
  <c r="AF106" i="28" s="1"/>
  <c r="AF107" i="28" s="1"/>
  <c r="AF108" i="28" s="1"/>
  <c r="AF109" i="28" s="1"/>
  <c r="AF306" i="28"/>
  <c r="AF307" i="28" s="1"/>
  <c r="AF308" i="28" s="1"/>
  <c r="AF309" i="28" s="1"/>
  <c r="AF310" i="28" s="1"/>
  <c r="AF311" i="28" s="1"/>
  <c r="AF312" i="28" s="1"/>
  <c r="AF502" i="28"/>
  <c r="AF503" i="28" s="1"/>
  <c r="AF504" i="28" s="1"/>
  <c r="AF505" i="28" s="1"/>
  <c r="AF506" i="28" s="1"/>
  <c r="AF507" i="28" s="1"/>
  <c r="AF508" i="28" s="1"/>
  <c r="AF747" i="28"/>
  <c r="AF748" i="28" s="1"/>
  <c r="AF749" i="28" s="1"/>
  <c r="AF750" i="28" s="1"/>
  <c r="AF751" i="28" s="1"/>
  <c r="AF752" i="28" s="1"/>
  <c r="AF753" i="28" s="1"/>
  <c r="AF208" i="28"/>
  <c r="AF209" i="28" s="1"/>
  <c r="AF210" i="28" s="1"/>
  <c r="AF211" i="28" s="1"/>
  <c r="AF212" i="28" s="1"/>
  <c r="AF213" i="28" s="1"/>
  <c r="AF214" i="28" s="1"/>
  <c r="AF159" i="28"/>
  <c r="AF160" i="28" s="1"/>
  <c r="AF161" i="28" s="1"/>
  <c r="AF162" i="28" s="1"/>
  <c r="AF163" i="28" s="1"/>
  <c r="AF164" i="28" s="1"/>
  <c r="AF165" i="28" s="1"/>
  <c r="AF845" i="28"/>
  <c r="AF846" i="28" s="1"/>
  <c r="AF847" i="28" s="1"/>
  <c r="AF848" i="28" s="1"/>
  <c r="AF849" i="28" s="1"/>
  <c r="AF850" i="28" s="1"/>
  <c r="AF851" i="28" s="1"/>
  <c r="AF712" i="28"/>
  <c r="AF713" i="28" s="1"/>
  <c r="AF714" i="28" s="1"/>
  <c r="AF715" i="28" s="1"/>
  <c r="AF716" i="28" s="1"/>
  <c r="AF717" i="28" s="1"/>
  <c r="AF718" i="28" s="1"/>
  <c r="AF768" i="28"/>
  <c r="AF769" i="28" s="1"/>
  <c r="AF770" i="28" s="1"/>
  <c r="AF771" i="28" s="1"/>
  <c r="AF772" i="28" s="1"/>
  <c r="AF773" i="28" s="1"/>
  <c r="AF774" i="28" s="1"/>
  <c r="AE159" i="28"/>
  <c r="AE160" i="28" s="1"/>
  <c r="AE161" i="28" s="1"/>
  <c r="AE162" i="28" s="1"/>
  <c r="AE446" i="28"/>
  <c r="AE447" i="28" s="1"/>
  <c r="AE448" i="28" s="1"/>
  <c r="AE449" i="28" s="1"/>
  <c r="AE656" i="28"/>
  <c r="AE657" i="28" s="1"/>
  <c r="AE658" i="28" s="1"/>
  <c r="AE659" i="28" s="1"/>
  <c r="AE40" i="28"/>
  <c r="AE41" i="28" s="1"/>
  <c r="AE42" i="28" s="1"/>
  <c r="AE43" i="28" s="1"/>
  <c r="AE117" i="28"/>
  <c r="AE118" i="28" s="1"/>
  <c r="AE119" i="28" s="1"/>
  <c r="AE120" i="28" s="1"/>
  <c r="AE327" i="28"/>
  <c r="AE328" i="28" s="1"/>
  <c r="AE329" i="28" s="1"/>
  <c r="AE330" i="28" s="1"/>
  <c r="AE663" i="28"/>
  <c r="AE664" i="28" s="1"/>
  <c r="AE665" i="28" s="1"/>
  <c r="AE666" i="28" s="1"/>
  <c r="AE866" i="28"/>
  <c r="AE867" i="28" s="1"/>
  <c r="AE868" i="28" s="1"/>
  <c r="AE869" i="28" s="1"/>
  <c r="AE54" i="28"/>
  <c r="AE55" i="28" s="1"/>
  <c r="AE56" i="28" s="1"/>
  <c r="AE57" i="28" s="1"/>
  <c r="AE236" i="28"/>
  <c r="AE237" i="28" s="1"/>
  <c r="AE238" i="28" s="1"/>
  <c r="AE239" i="28" s="1"/>
  <c r="AE502" i="28"/>
  <c r="AE503" i="28" s="1"/>
  <c r="AE504" i="28" s="1"/>
  <c r="AE505" i="28" s="1"/>
  <c r="AE712" i="28"/>
  <c r="AE713" i="28" s="1"/>
  <c r="AE714" i="28" s="1"/>
  <c r="AE715" i="28" s="1"/>
  <c r="AE915" i="28"/>
  <c r="AE916" i="28" s="1"/>
  <c r="AE917" i="28" s="1"/>
  <c r="AE918" i="28" s="1"/>
  <c r="AE96" i="28"/>
  <c r="AE97" i="28" s="1"/>
  <c r="AE98" i="28" s="1"/>
  <c r="AE99" i="28" s="1"/>
  <c r="AE334" i="28"/>
  <c r="AE335" i="28" s="1"/>
  <c r="AE336" i="28" s="1"/>
  <c r="AE337" i="28" s="1"/>
  <c r="AE481" i="28"/>
  <c r="AE482" i="28" s="1"/>
  <c r="AE483" i="28" s="1"/>
  <c r="AE484" i="28" s="1"/>
  <c r="AE719" i="28"/>
  <c r="AE720" i="28" s="1"/>
  <c r="AE721" i="28" s="1"/>
  <c r="AE722" i="28" s="1"/>
  <c r="AE880" i="28"/>
  <c r="AE881" i="28" s="1"/>
  <c r="AE882" i="28" s="1"/>
  <c r="AE883" i="28" s="1"/>
  <c r="AE82" i="28"/>
  <c r="AE83" i="28" s="1"/>
  <c r="AE84" i="28" s="1"/>
  <c r="AE85" i="28" s="1"/>
  <c r="AE264" i="28"/>
  <c r="AE265" i="28" s="1"/>
  <c r="AE266" i="28" s="1"/>
  <c r="AE267" i="28" s="1"/>
  <c r="AE460" i="28"/>
  <c r="AE461" i="28" s="1"/>
  <c r="AE462" i="28" s="1"/>
  <c r="AE463" i="28" s="1"/>
  <c r="AE768" i="28"/>
  <c r="AE769" i="28" s="1"/>
  <c r="AE770" i="28" s="1"/>
  <c r="AE771" i="28" s="1"/>
  <c r="AE61" i="28"/>
  <c r="AE62" i="28" s="1"/>
  <c r="AE63" i="28" s="1"/>
  <c r="AE64" i="28" s="1"/>
  <c r="AE271" i="28"/>
  <c r="AE272" i="28" s="1"/>
  <c r="AE273" i="28" s="1"/>
  <c r="AE274" i="28" s="1"/>
  <c r="AE467" i="28"/>
  <c r="AE468" i="28" s="1"/>
  <c r="AE469" i="28" s="1"/>
  <c r="AE470" i="28" s="1"/>
  <c r="AE642" i="28"/>
  <c r="AE643" i="28" s="1"/>
  <c r="AE644" i="28" s="1"/>
  <c r="AE645" i="28" s="1"/>
  <c r="AE887" i="28"/>
  <c r="AE888" i="28" s="1"/>
  <c r="AE889" i="28" s="1"/>
  <c r="AE890" i="28" s="1"/>
  <c r="AE110" i="28"/>
  <c r="AE111" i="28" s="1"/>
  <c r="AE112" i="28" s="1"/>
  <c r="AE113" i="28" s="1"/>
  <c r="AE341" i="28"/>
  <c r="AE342" i="28" s="1"/>
  <c r="AE343" i="28" s="1"/>
  <c r="AE344" i="28" s="1"/>
  <c r="AE586" i="28"/>
  <c r="AE587" i="28" s="1"/>
  <c r="AE588" i="28" s="1"/>
  <c r="AE589" i="28" s="1"/>
  <c r="AE782" i="28"/>
  <c r="AE783" i="28" s="1"/>
  <c r="AE784" i="28" s="1"/>
  <c r="AE785" i="28" s="1"/>
  <c r="AE859" i="28"/>
  <c r="AE860" i="28" s="1"/>
  <c r="AE861" i="28" s="1"/>
  <c r="AE862" i="28" s="1"/>
  <c r="AX47" i="28"/>
  <c r="AV46" i="28"/>
  <c r="AW36" i="28"/>
  <c r="AX37" i="28"/>
  <c r="AV49" i="28"/>
  <c r="AR49" i="28" s="1"/>
  <c r="AW38" i="28"/>
  <c r="AW49" i="28"/>
  <c r="AW39" i="28"/>
  <c r="AW12" i="28"/>
  <c r="AW11" i="28"/>
  <c r="AW37" i="28"/>
  <c r="AW9" i="28"/>
  <c r="AW10" i="28"/>
  <c r="AW46" i="28"/>
  <c r="AW45" i="28"/>
  <c r="AW48" i="28"/>
  <c r="AW47" i="28"/>
  <c r="AX36" i="28"/>
  <c r="AX48" i="28"/>
  <c r="AX45" i="28"/>
  <c r="AX46" i="28"/>
  <c r="AY46" i="28" s="1"/>
  <c r="AX10" i="28"/>
  <c r="AX12" i="28"/>
  <c r="AX39" i="28"/>
  <c r="AX11" i="28"/>
  <c r="AX9" i="28"/>
  <c r="AX38" i="28"/>
  <c r="AX49" i="28"/>
  <c r="AV38" i="28"/>
  <c r="AV39" i="28"/>
  <c r="AV37" i="28"/>
  <c r="AV10" i="28"/>
  <c r="AV45" i="28"/>
  <c r="AR45" i="28" s="1"/>
  <c r="AV12" i="28"/>
  <c r="AV9" i="28"/>
  <c r="AV47" i="28"/>
  <c r="AR47" i="28" s="1"/>
  <c r="AV36" i="28"/>
  <c r="AV11" i="28"/>
  <c r="AV48" i="28"/>
  <c r="AR48" i="28" s="1"/>
  <c r="AX29" i="28"/>
  <c r="AV28" i="28"/>
  <c r="AV27" i="28"/>
  <c r="AV29" i="28"/>
  <c r="AV30" i="28"/>
  <c r="AW28" i="28"/>
  <c r="AW29" i="28"/>
  <c r="AW27" i="28"/>
  <c r="AW30" i="28"/>
  <c r="AX28" i="28"/>
  <c r="AX30" i="28"/>
  <c r="AX27" i="28"/>
  <c r="AB635" i="28"/>
  <c r="AC635" i="28" s="1"/>
  <c r="AB509" i="28"/>
  <c r="AC509" i="28" s="1"/>
  <c r="AB502" i="28"/>
  <c r="AC502" i="28" s="1"/>
  <c r="AB523" i="28"/>
  <c r="AC523" i="28" s="1"/>
  <c r="AB516" i="28"/>
  <c r="AC516" i="28" s="1"/>
  <c r="AB579" i="28"/>
  <c r="AC579" i="28" s="1"/>
  <c r="AB586" i="28"/>
  <c r="AC586" i="28" s="1"/>
  <c r="O23" i="28"/>
  <c r="AY291" i="28" l="1"/>
  <c r="AU308" i="28"/>
  <c r="AY308" i="28"/>
  <c r="AY300" i="28"/>
  <c r="AT201" i="28"/>
  <c r="AY281" i="28"/>
  <c r="AY290" i="28"/>
  <c r="AT290" i="28"/>
  <c r="AU290" i="28"/>
  <c r="AY298" i="28"/>
  <c r="AU298" i="28"/>
  <c r="AT298" i="28"/>
  <c r="AY299" i="28"/>
  <c r="AT299" i="28"/>
  <c r="AU299" i="28"/>
  <c r="AY280" i="28"/>
  <c r="AT280" i="28"/>
  <c r="AU280" i="28"/>
  <c r="AY297" i="28"/>
  <c r="AT297" i="28"/>
  <c r="AU297" i="28"/>
  <c r="AY306" i="28"/>
  <c r="AT306" i="28"/>
  <c r="AU306" i="28"/>
  <c r="AY307" i="28"/>
  <c r="AU307" i="28"/>
  <c r="AT307" i="28"/>
  <c r="AY309" i="28"/>
  <c r="AU309" i="28"/>
  <c r="AT309" i="28"/>
  <c r="AU281" i="28"/>
  <c r="AT281" i="28"/>
  <c r="AT301" i="28"/>
  <c r="AU301" i="28"/>
  <c r="AY301" i="28"/>
  <c r="AY289" i="28"/>
  <c r="AU289" i="28"/>
  <c r="AT289" i="28"/>
  <c r="AY279" i="28"/>
  <c r="AT279" i="28"/>
  <c r="AU279" i="28"/>
  <c r="AY310" i="28"/>
  <c r="AU310" i="28"/>
  <c r="AT310" i="28"/>
  <c r="AU291" i="28"/>
  <c r="AT308" i="28"/>
  <c r="AY288" i="28"/>
  <c r="AU288" i="28"/>
  <c r="AT288" i="28"/>
  <c r="AT300" i="28"/>
  <c r="AU300" i="28"/>
  <c r="AY282" i="28"/>
  <c r="AU282" i="28"/>
  <c r="AT282" i="28"/>
  <c r="AT246" i="28"/>
  <c r="AT244" i="28"/>
  <c r="AY244" i="28"/>
  <c r="AU244" i="28"/>
  <c r="AY245" i="28"/>
  <c r="AU245" i="28"/>
  <c r="AT245" i="28"/>
  <c r="AY246" i="28"/>
  <c r="AU246" i="28"/>
  <c r="AY243" i="28"/>
  <c r="AU243" i="28"/>
  <c r="AT243" i="28"/>
  <c r="AY201" i="28"/>
  <c r="AT200" i="28"/>
  <c r="AT199" i="28"/>
  <c r="AY198" i="28"/>
  <c r="AU199" i="28"/>
  <c r="AU200" i="28"/>
  <c r="AY200" i="28"/>
  <c r="AU201" i="28"/>
  <c r="AU198" i="28"/>
  <c r="AY199" i="28"/>
  <c r="AT198" i="28"/>
  <c r="AY73" i="28"/>
  <c r="AY120" i="28"/>
  <c r="AU120" i="28"/>
  <c r="AU118" i="28"/>
  <c r="AT118" i="28"/>
  <c r="AU117" i="28"/>
  <c r="AY117" i="28"/>
  <c r="AT117" i="28"/>
  <c r="AT120" i="28"/>
  <c r="AY118" i="28"/>
  <c r="AU119" i="28"/>
  <c r="AT119" i="28"/>
  <c r="AY119" i="28"/>
  <c r="AU73" i="28"/>
  <c r="AY72" i="28"/>
  <c r="AT75" i="28"/>
  <c r="AY75" i="28"/>
  <c r="AY74" i="28"/>
  <c r="AU75" i="28"/>
  <c r="AU74" i="28"/>
  <c r="AU72" i="28"/>
  <c r="AT72" i="28"/>
  <c r="AT74" i="28"/>
  <c r="AT73" i="28"/>
  <c r="AE27" i="28"/>
  <c r="AQ46" i="28"/>
  <c r="AR46" i="28"/>
  <c r="AS51" i="28" s="1"/>
  <c r="AE177" i="28"/>
  <c r="AE51" i="28"/>
  <c r="AE632" i="28"/>
  <c r="AE856" i="28"/>
  <c r="AE443" i="28"/>
  <c r="AE492" i="28"/>
  <c r="AE303" i="28"/>
  <c r="AE282" i="28"/>
  <c r="AE394" i="28"/>
  <c r="AE352" i="28"/>
  <c r="AE555" i="28"/>
  <c r="AE457" i="28"/>
  <c r="AE296" i="28"/>
  <c r="AE415" i="28"/>
  <c r="AE170" i="28"/>
  <c r="AE58" i="28"/>
  <c r="AE310" i="28"/>
  <c r="AE604" i="28"/>
  <c r="AE359" i="28"/>
  <c r="AE576" i="28"/>
  <c r="AE471" i="28"/>
  <c r="AE800" i="28"/>
  <c r="AE870" i="28"/>
  <c r="AE849" i="28"/>
  <c r="AE128" i="28"/>
  <c r="AE835" i="28"/>
  <c r="AE821" i="28"/>
  <c r="AE751" i="28"/>
  <c r="AE695" i="28"/>
  <c r="AE261" i="28"/>
  <c r="AE93" i="28"/>
  <c r="AE37" i="28"/>
  <c r="AE541" i="28"/>
  <c r="AE373" i="28"/>
  <c r="AE485" i="28"/>
  <c r="AE429" i="28"/>
  <c r="AE149" i="28"/>
  <c r="AE163" i="28"/>
  <c r="AE772" i="28"/>
  <c r="AE436" i="28"/>
  <c r="AE618" i="28"/>
  <c r="AE233" i="28"/>
  <c r="AE639" i="28"/>
  <c r="AE86" i="28"/>
  <c r="AE919" i="28"/>
  <c r="AE877" i="28"/>
  <c r="AE527" i="28"/>
  <c r="AE569" i="28"/>
  <c r="AE786" i="28"/>
  <c r="AE737" i="28"/>
  <c r="AE254" i="28"/>
  <c r="AE590" i="28"/>
  <c r="AE905" i="28"/>
  <c r="AE702" i="28"/>
  <c r="AE660" i="28"/>
  <c r="AE464" i="28"/>
  <c r="AE156" i="28"/>
  <c r="AE723" i="28"/>
  <c r="AE912" i="28"/>
  <c r="AE646" i="28"/>
  <c r="AE408" i="28"/>
  <c r="AE828" i="28"/>
  <c r="AE247" i="28"/>
  <c r="AE401" i="28"/>
  <c r="AE289" i="28"/>
  <c r="AE121" i="28"/>
  <c r="AE65" i="28"/>
  <c r="AE674" i="28"/>
  <c r="AE562" i="28"/>
  <c r="AE513" i="28"/>
  <c r="AE807" i="28"/>
  <c r="AE583" i="28"/>
  <c r="AE268" i="28"/>
  <c r="AE198" i="28"/>
  <c r="AE534" i="28"/>
  <c r="AE275" i="28"/>
  <c r="AE709" i="28"/>
  <c r="AE653" i="28"/>
  <c r="AE79" i="28"/>
  <c r="AE842" i="28"/>
  <c r="AE898" i="28"/>
  <c r="AE142" i="28"/>
  <c r="AE366" i="28"/>
  <c r="AE338" i="28"/>
  <c r="AE779" i="28"/>
  <c r="AE884" i="28"/>
  <c r="AE107" i="28"/>
  <c r="AE44" i="28"/>
  <c r="AE730" i="28"/>
  <c r="AE184" i="28"/>
  <c r="AE688" i="28"/>
  <c r="AE625" i="28"/>
  <c r="AE765" i="28"/>
  <c r="AE499" i="28"/>
  <c r="AE891" i="28"/>
  <c r="AE205" i="28"/>
  <c r="AE597" i="28"/>
  <c r="AE345" i="28"/>
  <c r="AE317" i="28"/>
  <c r="AE324" i="28"/>
  <c r="AE611" i="28"/>
  <c r="AE331" i="28"/>
  <c r="AE681" i="28"/>
  <c r="AE219" i="28"/>
  <c r="AE478" i="28"/>
  <c r="AE240" i="28"/>
  <c r="AE72" i="28"/>
  <c r="AE212" i="28"/>
  <c r="AE380" i="28"/>
  <c r="AE100" i="28"/>
  <c r="AE226" i="28"/>
  <c r="AE387" i="28"/>
  <c r="AE520" i="28"/>
  <c r="AE793" i="28"/>
  <c r="AE814" i="28"/>
  <c r="AE548" i="28"/>
  <c r="AE191" i="28"/>
  <c r="AE422" i="28"/>
  <c r="AE450" i="28"/>
  <c r="AE114" i="28"/>
  <c r="AE667" i="28"/>
  <c r="AE716" i="28"/>
  <c r="AE135" i="28"/>
  <c r="AE744" i="28"/>
  <c r="AE758" i="28"/>
  <c r="AE863" i="28"/>
  <c r="AE506" i="28"/>
  <c r="AT46" i="28"/>
  <c r="AO46" i="28"/>
  <c r="AT36" i="28"/>
  <c r="AQ36" i="28"/>
  <c r="AU36" i="28"/>
  <c r="AY36" i="28"/>
  <c r="AQ38" i="28"/>
  <c r="AY38" i="28"/>
  <c r="AU38" i="28"/>
  <c r="AT38" i="28"/>
  <c r="AU49" i="28"/>
  <c r="AT49" i="28"/>
  <c r="AQ49" i="28"/>
  <c r="AY49" i="28"/>
  <c r="AT47" i="28"/>
  <c r="AQ47" i="28"/>
  <c r="AY47" i="28"/>
  <c r="AU47" i="28"/>
  <c r="AT12" i="28"/>
  <c r="AY12" i="28"/>
  <c r="AU12" i="28"/>
  <c r="AU46" i="28"/>
  <c r="AQ39" i="28"/>
  <c r="AY39" i="28"/>
  <c r="AT39" i="28"/>
  <c r="AU39" i="28"/>
  <c r="AU45" i="28"/>
  <c r="AT45" i="28"/>
  <c r="AY45" i="28"/>
  <c r="AQ45" i="28"/>
  <c r="AU11" i="28"/>
  <c r="AT11" i="28"/>
  <c r="AY11" i="28"/>
  <c r="AU9" i="28"/>
  <c r="AY9" i="28"/>
  <c r="AT9" i="28"/>
  <c r="AT10" i="28"/>
  <c r="AU10" i="28"/>
  <c r="AY10" i="28"/>
  <c r="AQ48" i="28"/>
  <c r="AT48" i="28"/>
  <c r="AY48" i="28"/>
  <c r="AU48" i="28"/>
  <c r="AY37" i="28"/>
  <c r="AT37" i="28"/>
  <c r="AU37" i="28"/>
  <c r="AQ37" i="28"/>
  <c r="AY30" i="28"/>
  <c r="AT30" i="28"/>
  <c r="AU30" i="28"/>
  <c r="AY28" i="28"/>
  <c r="AY29" i="28"/>
  <c r="AT29" i="28"/>
  <c r="AU29" i="28"/>
  <c r="AY27" i="28"/>
  <c r="AU27" i="28"/>
  <c r="AT27" i="28"/>
  <c r="AU28" i="28"/>
  <c r="AT28" i="28"/>
  <c r="AB495" i="28"/>
  <c r="AC495" i="28" s="1"/>
  <c r="AB376" i="28"/>
  <c r="AC376" i="28" s="1"/>
  <c r="AB460" i="28"/>
  <c r="AC460" i="28" s="1"/>
  <c r="AB467" i="28"/>
  <c r="AC467" i="28" s="1"/>
  <c r="AB481" i="28"/>
  <c r="AC481" i="28" s="1"/>
  <c r="AB488" i="28"/>
  <c r="AC488" i="28" s="1"/>
  <c r="AB474" i="28"/>
  <c r="AC474" i="28" s="1"/>
  <c r="O24" i="28"/>
  <c r="AE28" i="28" l="1"/>
  <c r="AE29" i="28" s="1"/>
  <c r="AE30" i="28" s="1"/>
  <c r="AE31" i="28" s="1"/>
  <c r="AS45" i="28"/>
  <c r="AS50" i="28"/>
  <c r="AS47" i="28"/>
  <c r="AS48" i="28"/>
  <c r="AS46" i="28"/>
  <c r="AS49" i="28"/>
  <c r="AE759" i="28"/>
  <c r="AE598" i="28"/>
  <c r="AE549" i="28"/>
  <c r="AE577" i="28"/>
  <c r="AE507" i="28"/>
  <c r="AE136" i="28"/>
  <c r="AE451" i="28"/>
  <c r="AE815" i="28"/>
  <c r="AE227" i="28"/>
  <c r="AE73" i="28"/>
  <c r="AE682" i="28"/>
  <c r="AE318" i="28"/>
  <c r="AE626" i="28"/>
  <c r="AE45" i="28"/>
  <c r="AE339" i="28"/>
  <c r="AE843" i="28"/>
  <c r="AE276" i="28"/>
  <c r="AE675" i="28"/>
  <c r="AE402" i="28"/>
  <c r="AE647" i="28"/>
  <c r="AE465" i="28"/>
  <c r="AE591" i="28"/>
  <c r="AE570" i="28"/>
  <c r="AE87" i="28"/>
  <c r="AE437" i="28"/>
  <c r="AE430" i="28"/>
  <c r="AE38" i="28"/>
  <c r="AE752" i="28"/>
  <c r="AE850" i="28"/>
  <c r="AE59" i="28"/>
  <c r="AE458" i="28"/>
  <c r="AE283" i="28"/>
  <c r="AE857" i="28"/>
  <c r="AE668" i="28"/>
  <c r="AE584" i="28"/>
  <c r="AE192" i="28"/>
  <c r="AE500" i="28"/>
  <c r="AE717" i="28"/>
  <c r="AE101" i="28"/>
  <c r="AE332" i="28"/>
  <c r="AE892" i="28"/>
  <c r="AE108" i="28"/>
  <c r="AE80" i="28"/>
  <c r="AE808" i="28"/>
  <c r="AE248" i="28"/>
  <c r="AE661" i="28"/>
  <c r="AE255" i="28"/>
  <c r="AE528" i="28"/>
  <c r="AE773" i="28"/>
  <c r="AE486" i="28"/>
  <c r="AE94" i="28"/>
  <c r="AE822" i="28"/>
  <c r="AE871" i="28"/>
  <c r="AE360" i="28"/>
  <c r="AE171" i="28"/>
  <c r="AE556" i="28"/>
  <c r="AE304" i="28"/>
  <c r="AE633" i="28"/>
  <c r="AE612" i="28"/>
  <c r="AE864" i="28"/>
  <c r="AE423" i="28"/>
  <c r="AE794" i="28"/>
  <c r="AE241" i="28"/>
  <c r="AE346" i="28"/>
  <c r="AE689" i="28"/>
  <c r="AE367" i="28"/>
  <c r="AE535" i="28"/>
  <c r="AE66" i="28"/>
  <c r="AE913" i="28"/>
  <c r="AE640" i="28"/>
  <c r="AE479" i="28"/>
  <c r="AE185" i="28"/>
  <c r="AE885" i="28"/>
  <c r="AE143" i="28"/>
  <c r="AE654" i="28"/>
  <c r="AE199" i="28"/>
  <c r="AE514" i="28"/>
  <c r="AE122" i="28"/>
  <c r="AE829" i="28"/>
  <c r="AE724" i="28"/>
  <c r="AE703" i="28"/>
  <c r="AE738" i="28"/>
  <c r="AE878" i="28"/>
  <c r="AE234" i="28"/>
  <c r="AE164" i="28"/>
  <c r="AE374" i="28"/>
  <c r="AE262" i="28"/>
  <c r="AE836" i="28"/>
  <c r="AE801" i="28"/>
  <c r="AE605" i="28"/>
  <c r="AE416" i="28"/>
  <c r="AE353" i="28"/>
  <c r="AE493" i="28"/>
  <c r="AE52" i="28"/>
  <c r="AE521" i="28"/>
  <c r="AE381" i="28"/>
  <c r="AE745" i="28"/>
  <c r="AE115" i="28"/>
  <c r="AE388" i="28"/>
  <c r="AE213" i="28"/>
  <c r="AE220" i="28"/>
  <c r="AE325" i="28"/>
  <c r="AE206" i="28"/>
  <c r="AE766" i="28"/>
  <c r="AE731" i="28"/>
  <c r="AE780" i="28"/>
  <c r="AE899" i="28"/>
  <c r="AE710" i="28"/>
  <c r="AE269" i="28"/>
  <c r="AE563" i="28"/>
  <c r="AE290" i="28"/>
  <c r="AE409" i="28"/>
  <c r="AE157" i="28"/>
  <c r="AE906" i="28"/>
  <c r="AE787" i="28"/>
  <c r="AE920" i="28"/>
  <c r="AE619" i="28"/>
  <c r="AE150" i="28"/>
  <c r="AE542" i="28"/>
  <c r="AE696" i="28"/>
  <c r="AE129" i="28"/>
  <c r="AE472" i="28"/>
  <c r="AE311" i="28"/>
  <c r="AE297" i="28"/>
  <c r="AE395" i="28"/>
  <c r="AE444" i="28"/>
  <c r="AE178" i="28"/>
  <c r="AO39" i="28"/>
  <c r="AR39" i="28" s="1"/>
  <c r="AO47" i="28"/>
  <c r="AO48" i="28"/>
  <c r="AO37" i="28"/>
  <c r="AR37" i="28" s="1"/>
  <c r="AO38" i="28"/>
  <c r="AR38" i="28" s="1"/>
  <c r="AO49" i="28"/>
  <c r="AO45" i="28"/>
  <c r="AO36" i="28"/>
  <c r="AR36" i="28" s="1"/>
  <c r="AB446" i="28"/>
  <c r="AC446" i="28" s="1"/>
  <c r="AB117" i="28"/>
  <c r="AC117" i="28" s="1"/>
  <c r="AB208" i="28"/>
  <c r="AC208" i="28" s="1"/>
  <c r="AB355" i="28"/>
  <c r="AC355" i="28" s="1"/>
  <c r="AB341" i="28"/>
  <c r="AC341" i="28" s="1"/>
  <c r="AB166" i="28"/>
  <c r="AC166" i="28" s="1"/>
  <c r="AB201" i="28"/>
  <c r="AC201" i="28" s="1"/>
  <c r="AB432" i="28"/>
  <c r="AC432" i="28" s="1"/>
  <c r="AB390" i="28"/>
  <c r="AC390" i="28" s="1"/>
  <c r="AB96" i="28"/>
  <c r="AC96" i="28" s="1"/>
  <c r="AB194" i="28"/>
  <c r="AC194" i="28" s="1"/>
  <c r="AB334" i="28"/>
  <c r="AC334" i="28" s="1"/>
  <c r="AB26" i="28"/>
  <c r="AC26" i="28" s="1"/>
  <c r="AB173" i="28"/>
  <c r="AC173" i="28" s="1"/>
  <c r="AB75" i="28"/>
  <c r="AC75" i="28" s="1"/>
  <c r="AB61" i="28"/>
  <c r="AC61" i="28" s="1"/>
  <c r="AB180" i="28"/>
  <c r="AC180" i="28" s="1"/>
  <c r="AB292" i="28"/>
  <c r="AC292" i="28" s="1"/>
  <c r="AB397" i="28"/>
  <c r="AC397" i="28" s="1"/>
  <c r="AB89" i="28"/>
  <c r="AC89" i="28" s="1"/>
  <c r="AB82" i="28"/>
  <c r="AC82" i="28" s="1"/>
  <c r="AB54" i="28"/>
  <c r="AC54" i="28" s="1"/>
  <c r="AB250" i="28"/>
  <c r="AC250" i="28" s="1"/>
  <c r="AB369" i="28"/>
  <c r="AC369" i="28" s="1"/>
  <c r="AB33" i="28"/>
  <c r="AC33" i="28" s="1"/>
  <c r="AB271" i="28"/>
  <c r="AC271" i="28" s="1"/>
  <c r="AB138" i="28"/>
  <c r="AC138" i="28" s="1"/>
  <c r="AB68" i="28"/>
  <c r="AC68" i="28" s="1"/>
  <c r="AB187" i="28"/>
  <c r="AC187" i="28" s="1"/>
  <c r="AB320" i="28"/>
  <c r="AC320" i="28" s="1"/>
  <c r="AB418" i="28"/>
  <c r="AC418" i="28" s="1"/>
  <c r="AB152" i="28"/>
  <c r="AC152" i="28" s="1"/>
  <c r="AB229" i="28"/>
  <c r="AC229" i="28" s="1"/>
  <c r="AB110" i="28"/>
  <c r="AC110" i="28" s="1"/>
  <c r="AB313" i="28"/>
  <c r="AC313" i="28" s="1"/>
  <c r="AB383" i="28"/>
  <c r="AC383" i="28" s="1"/>
  <c r="AB145" i="28"/>
  <c r="AC145" i="28" s="1"/>
  <c r="AB439" i="28"/>
  <c r="AC439" i="28" s="1"/>
  <c r="AB306" i="28"/>
  <c r="AC306" i="28" s="1"/>
  <c r="AB124" i="28"/>
  <c r="AC124" i="28" s="1"/>
  <c r="AB264" i="28"/>
  <c r="AC264" i="28" s="1"/>
  <c r="AB362" i="28"/>
  <c r="AC362" i="28" s="1"/>
  <c r="AB40" i="28"/>
  <c r="AC40" i="28" s="1"/>
  <c r="AB257" i="28"/>
  <c r="AC257" i="28" s="1"/>
  <c r="AB404" i="28"/>
  <c r="AC404" i="28" s="1"/>
  <c r="AB222" i="28"/>
  <c r="AC222" i="28" s="1"/>
  <c r="AB285" i="28"/>
  <c r="AC285" i="28" s="1"/>
  <c r="AB411" i="28"/>
  <c r="AC411" i="28" s="1"/>
  <c r="AB243" i="28"/>
  <c r="AC243" i="28" s="1"/>
  <c r="AB47" i="28"/>
  <c r="AC47" i="28" s="1"/>
  <c r="AB159" i="28"/>
  <c r="AC159" i="28" s="1"/>
  <c r="AB236" i="28"/>
  <c r="AC236" i="28" s="1"/>
  <c r="AB327" i="28"/>
  <c r="AC327" i="28" s="1"/>
  <c r="AB299" i="28"/>
  <c r="AC299" i="28" s="1"/>
  <c r="AB425" i="28"/>
  <c r="AC425" i="28" s="1"/>
  <c r="AB131" i="28"/>
  <c r="AC131" i="28" s="1"/>
  <c r="AB348" i="28"/>
  <c r="AC348" i="28" s="1"/>
  <c r="AB103" i="28"/>
  <c r="AC103" i="28" s="1"/>
  <c r="AB215" i="28"/>
  <c r="AC215" i="28" s="1"/>
  <c r="AB278" i="28"/>
  <c r="AC278" i="28" s="1"/>
  <c r="AB453" i="28"/>
  <c r="AC453" i="28" s="1"/>
  <c r="AS38" i="28" l="1"/>
  <c r="AS39" i="28"/>
  <c r="AS36" i="28"/>
  <c r="AS37" i="28"/>
  <c r="AS42" i="28"/>
  <c r="AS41" i="28"/>
  <c r="AS40" i="28"/>
  <c r="AP48" i="28"/>
  <c r="AP49" i="28"/>
  <c r="AP38" i="28"/>
  <c r="AP37" i="28"/>
  <c r="AP42" i="28"/>
  <c r="AP40" i="28"/>
  <c r="AP41" i="28"/>
  <c r="AP47" i="28"/>
  <c r="AP50" i="28"/>
  <c r="AP51" i="28"/>
  <c r="AP39" i="28"/>
  <c r="AP45" i="28"/>
  <c r="AP36" i="28"/>
  <c r="AP46" i="28"/>
  <c r="AE179" i="28"/>
  <c r="AE543" i="28"/>
  <c r="AE900" i="28"/>
  <c r="AE263" i="28"/>
  <c r="AE655" i="28"/>
  <c r="AE536" i="28"/>
  <c r="AE613" i="28"/>
  <c r="AE95" i="28"/>
  <c r="AE102" i="28"/>
  <c r="AE459" i="28"/>
  <c r="AE816" i="28"/>
  <c r="AE312" i="28"/>
  <c r="AE788" i="28"/>
  <c r="AE291" i="28"/>
  <c r="AE207" i="28"/>
  <c r="AE389" i="28"/>
  <c r="AE522" i="28"/>
  <c r="AE417" i="28"/>
  <c r="AE879" i="28"/>
  <c r="AE830" i="28"/>
  <c r="AE480" i="28"/>
  <c r="AE242" i="28"/>
  <c r="AE172" i="28"/>
  <c r="AE256" i="28"/>
  <c r="AE81" i="28"/>
  <c r="AE585" i="28"/>
  <c r="AE39" i="28"/>
  <c r="AE571" i="28"/>
  <c r="AE403" i="28"/>
  <c r="AE340" i="28"/>
  <c r="AE319" i="28"/>
  <c r="AE578" i="28"/>
  <c r="AE445" i="28"/>
  <c r="AE473" i="28"/>
  <c r="AE151" i="28"/>
  <c r="AE907" i="28"/>
  <c r="AE564" i="28"/>
  <c r="AE781" i="28"/>
  <c r="AE326" i="28"/>
  <c r="AE116" i="28"/>
  <c r="AE53" i="28"/>
  <c r="AE606" i="28"/>
  <c r="AE375" i="28"/>
  <c r="AE739" i="28"/>
  <c r="AE123" i="28"/>
  <c r="AE144" i="28"/>
  <c r="AE641" i="28"/>
  <c r="AE368" i="28"/>
  <c r="AE795" i="28"/>
  <c r="AE634" i="28"/>
  <c r="AE361" i="28"/>
  <c r="AE487" i="28"/>
  <c r="AE662" i="28"/>
  <c r="AE109" i="28"/>
  <c r="AE718" i="28"/>
  <c r="AE669" i="28"/>
  <c r="AE60" i="28"/>
  <c r="AE431" i="28"/>
  <c r="AE592" i="28"/>
  <c r="AE676" i="28"/>
  <c r="AE46" i="28"/>
  <c r="AE683" i="28"/>
  <c r="AE452" i="28"/>
  <c r="AE550" i="28"/>
  <c r="AE130" i="28"/>
  <c r="AE270" i="28"/>
  <c r="AE732" i="28"/>
  <c r="AE221" i="28"/>
  <c r="AE746" i="28"/>
  <c r="AE494" i="28"/>
  <c r="AE802" i="28"/>
  <c r="AE165" i="28"/>
  <c r="AE704" i="28"/>
  <c r="AE515" i="28"/>
  <c r="AE886" i="28"/>
  <c r="AE914" i="28"/>
  <c r="AE690" i="28"/>
  <c r="AE424" i="28"/>
  <c r="AE305" i="28"/>
  <c r="AE872" i="28"/>
  <c r="AE774" i="28"/>
  <c r="AE249" i="28"/>
  <c r="AE893" i="28"/>
  <c r="AE501" i="28"/>
  <c r="AE858" i="28"/>
  <c r="AE851" i="28"/>
  <c r="AE438" i="28"/>
  <c r="AE466" i="28"/>
  <c r="AE277" i="28"/>
  <c r="AE627" i="28"/>
  <c r="AE74" i="28"/>
  <c r="AE137" i="28"/>
  <c r="AE599" i="28"/>
  <c r="AE396" i="28"/>
  <c r="AE158" i="28"/>
  <c r="AE620" i="28"/>
  <c r="AE298" i="28"/>
  <c r="AE697" i="28"/>
  <c r="AE921" i="28"/>
  <c r="AE410" i="28"/>
  <c r="AE711" i="28"/>
  <c r="AE767" i="28"/>
  <c r="AE214" i="28"/>
  <c r="AE382" i="28"/>
  <c r="AE354" i="28"/>
  <c r="AE837" i="28"/>
  <c r="AE235" i="28"/>
  <c r="AE725" i="28"/>
  <c r="AE200" i="28"/>
  <c r="AE186" i="28"/>
  <c r="AE67" i="28"/>
  <c r="AE347" i="28"/>
  <c r="AE865" i="28"/>
  <c r="AE557" i="28"/>
  <c r="AE823" i="28"/>
  <c r="AE529" i="28"/>
  <c r="AE809" i="28"/>
  <c r="AE333" i="28"/>
  <c r="AE193" i="28"/>
  <c r="AE284" i="28"/>
  <c r="AE753" i="28"/>
  <c r="AE88" i="28"/>
  <c r="AE648" i="28"/>
  <c r="AE844" i="28"/>
  <c r="AE32" i="28"/>
  <c r="AE228" i="28"/>
  <c r="AE508" i="28"/>
  <c r="AE760" i="28"/>
  <c r="AN36" i="28"/>
  <c r="AN47" i="28"/>
  <c r="AN48" i="28"/>
  <c r="AN49" i="28"/>
  <c r="AN39" i="28"/>
  <c r="AN46" i="28"/>
  <c r="AN45" i="28"/>
  <c r="AN38" i="28"/>
  <c r="AN37" i="28"/>
  <c r="H10" i="9"/>
  <c r="H53" i="9"/>
  <c r="H52" i="9"/>
  <c r="H36" i="9"/>
  <c r="H29" i="9"/>
  <c r="H20" i="9"/>
  <c r="H39" i="9"/>
  <c r="H31" i="9"/>
  <c r="H46" i="9"/>
  <c r="H41" i="9"/>
  <c r="H15" i="9"/>
  <c r="H56" i="9"/>
  <c r="H59" i="9"/>
  <c r="H65" i="9"/>
  <c r="H35" i="9"/>
  <c r="H28" i="9"/>
  <c r="H16" i="9"/>
  <c r="H66" i="9"/>
  <c r="H67" i="9"/>
  <c r="H57" i="9"/>
  <c r="H37" i="9"/>
  <c r="H32" i="9"/>
  <c r="H12" i="9"/>
  <c r="H24" i="9"/>
  <c r="H13" i="9"/>
  <c r="H49" i="9"/>
  <c r="H58" i="9"/>
  <c r="H68" i="9"/>
  <c r="H62" i="9"/>
  <c r="H50" i="9"/>
  <c r="H69" i="9"/>
  <c r="H48" i="9"/>
  <c r="H73" i="9"/>
  <c r="H38" i="9"/>
  <c r="H40" i="9"/>
  <c r="H22" i="9"/>
  <c r="H30" i="9"/>
  <c r="H34" i="9"/>
  <c r="H27" i="9"/>
  <c r="H26" i="9"/>
  <c r="H33" i="9"/>
  <c r="H23" i="9"/>
  <c r="H19" i="9"/>
  <c r="H21" i="9"/>
  <c r="H14" i="9"/>
  <c r="H70" i="9"/>
  <c r="H47" i="9"/>
  <c r="H45" i="9"/>
  <c r="H71" i="9"/>
  <c r="H55" i="9"/>
  <c r="H54" i="9"/>
  <c r="H64" i="9"/>
  <c r="H42" i="9"/>
  <c r="H25" i="9"/>
  <c r="H11" i="9"/>
  <c r="H18" i="9"/>
  <c r="H17" i="9"/>
  <c r="H51" i="9"/>
  <c r="H44" i="9"/>
  <c r="H63" i="9"/>
  <c r="H61" i="9"/>
  <c r="H72" i="9"/>
  <c r="H60" i="9"/>
  <c r="H43" i="9"/>
  <c r="AM36" i="28" l="1"/>
  <c r="AM37" i="28"/>
  <c r="AM46" i="28"/>
  <c r="AM47" i="28"/>
  <c r="AM49" i="28"/>
  <c r="AM45" i="28"/>
  <c r="AM48" i="28"/>
  <c r="AM39" i="28"/>
  <c r="AM38" i="28"/>
  <c r="H48" i="2"/>
  <c r="H47" i="2"/>
  <c r="H46" i="2"/>
  <c r="H45" i="2"/>
  <c r="H44" i="2"/>
  <c r="H43" i="2"/>
  <c r="H38" i="2"/>
  <c r="H37" i="2"/>
  <c r="H36" i="2"/>
  <c r="H35" i="2"/>
  <c r="H34" i="2"/>
  <c r="H33" i="2"/>
  <c r="BS47" i="28" l="1"/>
  <c r="BO47" i="28"/>
  <c r="BK47" i="28"/>
  <c r="BG47" i="28"/>
  <c r="BR47" i="28"/>
  <c r="BN47" i="28"/>
  <c r="BJ47" i="28"/>
  <c r="BF47" i="28"/>
  <c r="BQ47" i="28"/>
  <c r="BM47" i="28"/>
  <c r="BI47" i="28"/>
  <c r="BT47" i="28"/>
  <c r="BP47" i="28"/>
  <c r="BL47" i="28"/>
  <c r="BH47" i="28"/>
  <c r="BT48" i="28"/>
  <c r="BP48" i="28"/>
  <c r="BL48" i="28"/>
  <c r="BH48" i="28"/>
  <c r="BS48" i="28"/>
  <c r="BO48" i="28"/>
  <c r="BK48" i="28"/>
  <c r="BG48" i="28"/>
  <c r="BR48" i="28"/>
  <c r="BN48" i="28"/>
  <c r="BJ48" i="28"/>
  <c r="BF48" i="28"/>
  <c r="BQ48" i="28"/>
  <c r="BM48" i="28"/>
  <c r="BI48" i="28"/>
  <c r="BS37" i="28"/>
  <c r="BO37" i="28"/>
  <c r="BK37" i="28"/>
  <c r="BG37" i="28"/>
  <c r="BR37" i="28"/>
  <c r="BN37" i="28"/>
  <c r="BJ37" i="28"/>
  <c r="BF37" i="28"/>
  <c r="BQ37" i="28"/>
  <c r="BM37" i="28"/>
  <c r="BI37" i="28"/>
  <c r="BT37" i="28"/>
  <c r="BP37" i="28"/>
  <c r="BL37" i="28"/>
  <c r="BH37" i="28"/>
  <c r="BQ39" i="28"/>
  <c r="BM39" i="28"/>
  <c r="BI39" i="28"/>
  <c r="BT39" i="28"/>
  <c r="BP39" i="28"/>
  <c r="BL39" i="28"/>
  <c r="BH39" i="28"/>
  <c r="BS39" i="28"/>
  <c r="BO39" i="28"/>
  <c r="BK39" i="28"/>
  <c r="BG39" i="28"/>
  <c r="BR39" i="28"/>
  <c r="BN39" i="28"/>
  <c r="BJ39" i="28"/>
  <c r="BF39" i="28"/>
  <c r="BR46" i="28"/>
  <c r="BN46" i="28"/>
  <c r="BJ46" i="28"/>
  <c r="BF46" i="28"/>
  <c r="BQ46" i="28"/>
  <c r="BM46" i="28"/>
  <c r="BI46" i="28"/>
  <c r="BT46" i="28"/>
  <c r="BP46" i="28"/>
  <c r="BL46" i="28"/>
  <c r="BH46" i="28"/>
  <c r="BS46" i="28"/>
  <c r="BO46" i="28"/>
  <c r="BK46" i="28"/>
  <c r="BG46" i="28"/>
  <c r="BQ45" i="28"/>
  <c r="BM45" i="28"/>
  <c r="BI45" i="28"/>
  <c r="BT45" i="28"/>
  <c r="BP45" i="28"/>
  <c r="BL45" i="28"/>
  <c r="BH45" i="28"/>
  <c r="BS45" i="28"/>
  <c r="BO45" i="28"/>
  <c r="BK45" i="28"/>
  <c r="BG45" i="28"/>
  <c r="BR45" i="28"/>
  <c r="BN45" i="28"/>
  <c r="BJ45" i="28"/>
  <c r="BF45" i="28"/>
  <c r="BT38" i="28"/>
  <c r="BP38" i="28"/>
  <c r="BL38" i="28"/>
  <c r="BH38" i="28"/>
  <c r="BS38" i="28"/>
  <c r="BO38" i="28"/>
  <c r="BK38" i="28"/>
  <c r="BG38" i="28"/>
  <c r="BR38" i="28"/>
  <c r="BN38" i="28"/>
  <c r="BJ38" i="28"/>
  <c r="BF38" i="28"/>
  <c r="BQ38" i="28"/>
  <c r="BM38" i="28"/>
  <c r="BI38" i="28"/>
  <c r="BT49" i="28"/>
  <c r="BS49" i="28"/>
  <c r="BO49" i="28"/>
  <c r="BR49" i="28"/>
  <c r="BM49" i="28"/>
  <c r="BI49" i="28"/>
  <c r="BQ49" i="28"/>
  <c r="BL49" i="28"/>
  <c r="BH49" i="28"/>
  <c r="BP49" i="28"/>
  <c r="BK49" i="28"/>
  <c r="BG49" i="28"/>
  <c r="BN49" i="28"/>
  <c r="BJ49" i="28"/>
  <c r="BF49" i="28"/>
  <c r="BR36" i="28"/>
  <c r="BN36" i="28"/>
  <c r="BJ36" i="28"/>
  <c r="BF36" i="28"/>
  <c r="BQ36" i="28"/>
  <c r="BM36" i="28"/>
  <c r="BI36" i="28"/>
  <c r="BT36" i="28"/>
  <c r="BP36" i="28"/>
  <c r="BL36" i="28"/>
  <c r="BH36" i="28"/>
  <c r="BS36" i="28"/>
  <c r="BO36" i="28"/>
  <c r="BK36" i="28"/>
  <c r="BG36" i="28"/>
  <c r="Y190" i="27"/>
  <c r="Z190" i="27" s="1"/>
  <c r="Y191" i="27"/>
  <c r="Z191" i="27" s="1"/>
  <c r="Y192" i="27"/>
  <c r="Z192" i="27" s="1"/>
  <c r="Y193" i="27"/>
  <c r="Z193" i="27" s="1"/>
  <c r="Y194" i="27"/>
  <c r="Z194" i="27" s="1"/>
  <c r="Y195" i="27"/>
  <c r="Z195" i="27" s="1"/>
  <c r="Y196" i="27"/>
  <c r="Z196" i="27" s="1"/>
  <c r="Y197" i="27"/>
  <c r="Z197" i="27" s="1"/>
  <c r="Y198" i="27"/>
  <c r="Z198" i="27" s="1"/>
  <c r="Y199" i="27"/>
  <c r="Z199" i="27" s="1"/>
  <c r="Y200" i="27"/>
  <c r="Z200" i="27" s="1"/>
  <c r="Y201" i="27"/>
  <c r="Z201" i="27" s="1"/>
  <c r="Y202" i="27"/>
  <c r="Z202" i="27" s="1"/>
  <c r="Y203" i="27"/>
  <c r="Z203" i="27" s="1"/>
  <c r="Y204" i="27"/>
  <c r="Z204" i="27" s="1"/>
  <c r="Y205" i="27"/>
  <c r="Z205" i="27" s="1"/>
  <c r="Y206" i="27"/>
  <c r="Z206" i="27" s="1"/>
  <c r="Y207" i="27"/>
  <c r="Z207" i="27" s="1"/>
  <c r="Y208" i="27"/>
  <c r="Z208" i="27" s="1"/>
  <c r="Y209" i="27"/>
  <c r="Z209" i="27" s="1"/>
  <c r="Y210" i="27"/>
  <c r="Z210" i="27" s="1"/>
  <c r="Y211" i="27"/>
  <c r="Z211" i="27" s="1"/>
  <c r="Y212" i="27"/>
  <c r="Z212" i="27" s="1"/>
  <c r="Y213" i="27"/>
  <c r="Z213" i="27" s="1"/>
  <c r="Y214" i="27"/>
  <c r="Z214" i="27" s="1"/>
  <c r="Y215" i="27"/>
  <c r="Z215" i="27" s="1"/>
  <c r="Y216" i="27"/>
  <c r="Z216" i="27" s="1"/>
  <c r="Y217" i="27"/>
  <c r="Z217" i="27" s="1"/>
  <c r="Y218" i="27"/>
  <c r="Z218" i="27" s="1"/>
  <c r="Y219" i="27"/>
  <c r="Z219" i="27" s="1"/>
  <c r="Y220" i="27"/>
  <c r="Z220" i="27" s="1"/>
  <c r="Y221" i="27"/>
  <c r="Z221" i="27" s="1"/>
  <c r="Y222" i="27"/>
  <c r="Z222" i="27" s="1"/>
  <c r="Y223" i="27"/>
  <c r="Z223" i="27" s="1"/>
  <c r="Y224" i="27"/>
  <c r="Z224" i="27" s="1"/>
  <c r="Y225" i="27"/>
  <c r="Z225" i="27" s="1"/>
  <c r="Y226" i="27"/>
  <c r="Z226" i="27" s="1"/>
  <c r="Y227" i="27"/>
  <c r="Z227" i="27" s="1"/>
  <c r="Y228" i="27"/>
  <c r="Z228" i="27" s="1"/>
  <c r="Y229" i="27"/>
  <c r="Z229" i="27" s="1"/>
  <c r="Y230" i="27"/>
  <c r="Z230" i="27" s="1"/>
  <c r="Y231" i="27"/>
  <c r="Z231" i="27" s="1"/>
  <c r="Y232" i="27"/>
  <c r="Z232" i="27" s="1"/>
  <c r="Y233" i="27"/>
  <c r="Z233" i="27" s="1"/>
  <c r="Y234" i="27"/>
  <c r="Z234" i="27" s="1"/>
  <c r="Y235" i="27"/>
  <c r="Z235" i="27" s="1"/>
  <c r="Y236" i="27"/>
  <c r="Z236" i="27" s="1"/>
  <c r="Y237" i="27"/>
  <c r="Z237" i="27" s="1"/>
  <c r="Y238" i="27"/>
  <c r="Z238" i="27" s="1"/>
  <c r="Y239" i="27"/>
  <c r="Z239" i="27" s="1"/>
  <c r="Y240" i="27"/>
  <c r="Z240" i="27" s="1"/>
  <c r="Y241" i="27"/>
  <c r="Z241" i="27" s="1"/>
  <c r="Y242" i="27"/>
  <c r="Z242" i="27" s="1"/>
  <c r="Y243" i="27"/>
  <c r="Z243" i="27" s="1"/>
  <c r="Y244" i="27"/>
  <c r="Z244" i="27" s="1"/>
  <c r="Y245" i="27"/>
  <c r="Z245" i="27" s="1"/>
  <c r="Y246" i="27"/>
  <c r="Z246" i="27" s="1"/>
  <c r="Y247" i="27"/>
  <c r="Z247" i="27" s="1"/>
  <c r="Y248" i="27"/>
  <c r="Z248" i="27" s="1"/>
  <c r="Y249" i="27"/>
  <c r="Z249" i="27" s="1"/>
  <c r="Y250" i="27"/>
  <c r="Z250" i="27" s="1"/>
  <c r="Y251" i="27"/>
  <c r="Z251" i="27" s="1"/>
  <c r="Y252" i="27"/>
  <c r="Z252" i="27" s="1"/>
  <c r="Y253" i="27"/>
  <c r="Z253" i="27" s="1"/>
  <c r="Y254" i="27"/>
  <c r="Z254" i="27" s="1"/>
  <c r="Y255" i="27"/>
  <c r="Z255" i="27" s="1"/>
  <c r="Y256" i="27"/>
  <c r="Z256" i="27" s="1"/>
  <c r="Y257" i="27"/>
  <c r="Z257" i="27" s="1"/>
  <c r="Y258" i="27"/>
  <c r="Z258" i="27" s="1"/>
  <c r="Y259" i="27"/>
  <c r="Z259" i="27" s="1"/>
  <c r="Y260" i="27"/>
  <c r="Z260" i="27" s="1"/>
  <c r="Y261" i="27"/>
  <c r="Z261" i="27" s="1"/>
  <c r="Y262" i="27"/>
  <c r="Z262" i="27" s="1"/>
  <c r="Y263" i="27"/>
  <c r="Z263" i="27" s="1"/>
  <c r="Y264" i="27"/>
  <c r="Z264" i="27" s="1"/>
  <c r="Y265" i="27"/>
  <c r="Z265" i="27" s="1"/>
  <c r="Y266" i="27"/>
  <c r="Z266" i="27" s="1"/>
  <c r="Y267" i="27"/>
  <c r="Z267" i="27" s="1"/>
  <c r="Y268" i="27"/>
  <c r="Z268" i="27" s="1"/>
  <c r="Y269" i="27"/>
  <c r="Z269" i="27" s="1"/>
  <c r="Y270" i="27"/>
  <c r="Z270" i="27" s="1"/>
  <c r="Y271" i="27"/>
  <c r="Z271" i="27" s="1"/>
  <c r="Y272" i="27"/>
  <c r="Z272" i="27" s="1"/>
  <c r="Y273" i="27"/>
  <c r="Z273" i="27" s="1"/>
  <c r="Y274" i="27"/>
  <c r="Z274" i="27" s="1"/>
  <c r="Y275" i="27"/>
  <c r="Z275" i="27" s="1"/>
  <c r="Y276" i="27"/>
  <c r="Z276" i="27" s="1"/>
  <c r="Y277" i="27"/>
  <c r="Z277" i="27" s="1"/>
  <c r="Y278" i="27"/>
  <c r="Z278" i="27" s="1"/>
  <c r="Y279" i="27"/>
  <c r="Z279" i="27" s="1"/>
  <c r="Y280" i="27"/>
  <c r="Z280" i="27" s="1"/>
  <c r="Y281" i="27"/>
  <c r="Z281" i="27" s="1"/>
  <c r="Y282" i="27"/>
  <c r="Z282" i="27" s="1"/>
  <c r="Y283" i="27"/>
  <c r="Z283" i="27" s="1"/>
  <c r="Y290" i="27"/>
  <c r="Z290" i="27" s="1"/>
  <c r="Y291" i="27"/>
  <c r="Z291" i="27" s="1"/>
  <c r="Y298" i="27"/>
  <c r="Z298" i="27" s="1"/>
  <c r="Y299" i="27"/>
  <c r="Z299" i="27" s="1"/>
  <c r="Y306" i="27"/>
  <c r="Z306" i="27" s="1"/>
  <c r="Y307" i="27"/>
  <c r="Z307" i="27" s="1"/>
  <c r="Y308" i="27"/>
  <c r="Z308" i="27" s="1"/>
  <c r="Y309" i="27"/>
  <c r="Z309" i="27" s="1"/>
  <c r="Y316" i="27"/>
  <c r="Z316" i="27" s="1"/>
  <c r="Y317" i="27"/>
  <c r="Z317" i="27" s="1"/>
  <c r="Y318" i="27"/>
  <c r="Z318" i="27" s="1"/>
  <c r="Y325" i="27"/>
  <c r="Z325" i="27" s="1"/>
  <c r="Y326" i="27"/>
  <c r="Z326" i="27" s="1"/>
  <c r="Y327" i="27"/>
  <c r="Z327" i="27" s="1"/>
  <c r="Y335" i="27"/>
  <c r="Z335" i="27" s="1"/>
  <c r="Y336" i="27"/>
  <c r="Z336" i="27" s="1"/>
  <c r="Y337" i="27"/>
  <c r="Z337" i="27" s="1"/>
  <c r="Y344" i="27"/>
  <c r="Z344" i="27" s="1"/>
  <c r="Y345" i="27"/>
  <c r="Z345" i="27" s="1"/>
  <c r="Y346" i="27"/>
  <c r="Z346" i="27" s="1"/>
  <c r="Y353" i="27"/>
  <c r="Z353" i="27" s="1"/>
  <c r="Y354" i="27"/>
  <c r="Z354" i="27" s="1"/>
  <c r="Y355" i="27"/>
  <c r="Z355" i="27" s="1"/>
  <c r="Y428" i="27"/>
  <c r="Z428" i="27" s="1"/>
  <c r="Y429" i="27"/>
  <c r="Z429" i="27" s="1"/>
  <c r="Y430" i="27"/>
  <c r="Z430" i="27" s="1"/>
  <c r="Y431" i="27"/>
  <c r="Z431" i="27" s="1"/>
  <c r="Y432" i="27"/>
  <c r="Z432" i="27" s="1"/>
  <c r="Y433" i="27"/>
  <c r="Z433" i="27" s="1"/>
  <c r="Y434" i="27"/>
  <c r="Z434" i="27" s="1"/>
  <c r="Y435" i="27"/>
  <c r="Z435" i="27" s="1"/>
  <c r="Y436" i="27"/>
  <c r="Z436" i="27" s="1"/>
  <c r="Y437" i="27"/>
  <c r="Z437" i="27" s="1"/>
  <c r="Y438" i="27"/>
  <c r="Z438" i="27" s="1"/>
  <c r="Y439" i="27"/>
  <c r="Z439" i="27" s="1"/>
  <c r="Y440" i="27"/>
  <c r="Z440" i="27" s="1"/>
  <c r="Y441" i="27"/>
  <c r="Z441" i="27" s="1"/>
  <c r="Y442" i="27"/>
  <c r="Z442" i="27" s="1"/>
  <c r="Y443" i="27"/>
  <c r="Z443" i="27" s="1"/>
  <c r="Y444" i="27"/>
  <c r="Z444" i="27" s="1"/>
  <c r="Y445" i="27"/>
  <c r="Z445" i="27" s="1"/>
  <c r="Y446" i="27"/>
  <c r="Z446" i="27" s="1"/>
  <c r="Y447" i="27"/>
  <c r="Z447" i="27" s="1"/>
  <c r="Y448" i="27"/>
  <c r="Z448" i="27" s="1"/>
  <c r="Y449" i="27"/>
  <c r="Z449" i="27" s="1"/>
  <c r="Y450" i="27"/>
  <c r="Z450" i="27" s="1"/>
  <c r="Y451" i="27"/>
  <c r="Z451" i="27" s="1"/>
  <c r="Y452" i="27"/>
  <c r="Z452" i="27" s="1"/>
  <c r="Y453" i="27"/>
  <c r="Z453" i="27" s="1"/>
  <c r="Y454" i="27"/>
  <c r="Z454" i="27" s="1"/>
  <c r="Y455" i="27"/>
  <c r="Z455" i="27" s="1"/>
  <c r="Y456" i="27"/>
  <c r="Z456" i="27" s="1"/>
  <c r="Y457" i="27"/>
  <c r="Z457" i="27" s="1"/>
  <c r="Y458" i="27"/>
  <c r="Z458" i="27" s="1"/>
  <c r="Y459" i="27"/>
  <c r="Z459" i="27" s="1"/>
  <c r="Y460" i="27"/>
  <c r="Z460" i="27" s="1"/>
  <c r="Y461" i="27"/>
  <c r="Z461" i="27" s="1"/>
  <c r="Y462" i="27"/>
  <c r="Z462" i="27" s="1"/>
  <c r="Y463" i="27"/>
  <c r="Z463" i="27" s="1"/>
  <c r="Y464" i="27"/>
  <c r="Z464" i="27" s="1"/>
  <c r="Y465" i="27"/>
  <c r="Z465" i="27" s="1"/>
  <c r="Y466" i="27"/>
  <c r="Z466" i="27" s="1"/>
  <c r="Y467" i="27"/>
  <c r="Z467" i="27" s="1"/>
  <c r="Y468" i="27"/>
  <c r="Z468" i="27" s="1"/>
  <c r="Y469" i="27"/>
  <c r="Z469" i="27" s="1"/>
  <c r="Y470" i="27"/>
  <c r="Z470" i="27" s="1"/>
  <c r="Y471" i="27"/>
  <c r="Z471" i="27" s="1"/>
  <c r="Y472" i="27"/>
  <c r="Z472" i="27" s="1"/>
  <c r="Y473" i="27"/>
  <c r="Z473" i="27" s="1"/>
  <c r="Y474" i="27"/>
  <c r="Z474" i="27" s="1"/>
  <c r="Y475" i="27"/>
  <c r="Z475" i="27" s="1"/>
  <c r="Y476" i="27"/>
  <c r="Z476" i="27" s="1"/>
  <c r="Y477" i="27"/>
  <c r="Z477" i="27" s="1"/>
  <c r="Y478" i="27"/>
  <c r="Z478" i="27" s="1"/>
  <c r="Y479" i="27"/>
  <c r="Z479" i="27" s="1"/>
  <c r="Y480" i="27"/>
  <c r="Z480" i="27" s="1"/>
  <c r="Y481" i="27"/>
  <c r="Z481" i="27" s="1"/>
  <c r="Y482" i="27"/>
  <c r="Z482" i="27" s="1"/>
  <c r="Y483" i="27"/>
  <c r="Z483" i="27" s="1"/>
  <c r="Y484" i="27"/>
  <c r="Z484" i="27" s="1"/>
  <c r="Y485" i="27"/>
  <c r="Z485" i="27" s="1"/>
  <c r="Y486" i="27"/>
  <c r="Z486" i="27" s="1"/>
  <c r="Y487" i="27"/>
  <c r="Z487" i="27" s="1"/>
  <c r="Y488" i="27"/>
  <c r="Z488" i="27" s="1"/>
  <c r="Y489" i="27"/>
  <c r="Z489" i="27" s="1"/>
  <c r="Y539" i="27"/>
  <c r="Z539" i="27" s="1"/>
  <c r="Y540" i="27"/>
  <c r="Z540" i="27" s="1"/>
  <c r="Y541" i="27"/>
  <c r="Z541" i="27" s="1"/>
  <c r="Y542" i="27"/>
  <c r="Z542" i="27" s="1"/>
  <c r="Y543" i="27"/>
  <c r="Z543" i="27" s="1"/>
  <c r="Y544" i="27"/>
  <c r="Z544" i="27" s="1"/>
  <c r="Y545" i="27"/>
  <c r="Z545" i="27" s="1"/>
  <c r="Y546" i="27"/>
  <c r="Z546" i="27" s="1"/>
  <c r="Y547" i="27"/>
  <c r="Z547" i="27" s="1"/>
  <c r="Y548" i="27"/>
  <c r="Z548" i="27" s="1"/>
  <c r="Y549" i="27"/>
  <c r="Z549" i="27" s="1"/>
  <c r="Y550" i="27"/>
  <c r="Z550" i="27" s="1"/>
  <c r="Y551" i="27"/>
  <c r="Z551" i="27" s="1"/>
  <c r="Y552" i="27"/>
  <c r="Z552" i="27" s="1"/>
  <c r="Y553" i="27"/>
  <c r="Z553" i="27" s="1"/>
  <c r="Y554" i="27"/>
  <c r="Z554" i="27" s="1"/>
  <c r="Y555" i="27"/>
  <c r="Z555" i="27" s="1"/>
  <c r="Y556" i="27"/>
  <c r="Z556" i="27" s="1"/>
  <c r="Y557" i="27"/>
  <c r="Z557" i="27" s="1"/>
  <c r="Y558" i="27"/>
  <c r="Z558" i="27" s="1"/>
  <c r="Y559" i="27"/>
  <c r="Z559" i="27" s="1"/>
  <c r="Y560" i="27"/>
  <c r="Z560" i="27" s="1"/>
  <c r="Y561" i="27"/>
  <c r="Z561" i="27" s="1"/>
  <c r="Y562" i="27"/>
  <c r="Z562" i="27" s="1"/>
  <c r="Y563" i="27"/>
  <c r="Z563" i="27" s="1"/>
  <c r="Y564" i="27"/>
  <c r="Z564" i="27" s="1"/>
  <c r="Y565" i="27"/>
  <c r="Z565" i="27" s="1"/>
  <c r="Y566" i="27"/>
  <c r="Z566" i="27" s="1"/>
  <c r="Y567" i="27"/>
  <c r="Z567" i="27" s="1"/>
  <c r="Y568" i="27"/>
  <c r="Z568" i="27" s="1"/>
  <c r="Y570" i="27"/>
  <c r="Z570" i="27" s="1"/>
  <c r="Y571" i="27"/>
  <c r="Z571" i="27" s="1"/>
  <c r="Y572" i="27"/>
  <c r="Z572" i="27" s="1"/>
  <c r="Y573" i="27"/>
  <c r="Z573" i="27" s="1"/>
  <c r="Y574" i="27"/>
  <c r="Z574" i="27" s="1"/>
  <c r="Y575" i="27"/>
  <c r="Z575" i="27" s="1"/>
  <c r="Y576" i="27"/>
  <c r="Z576" i="27" s="1"/>
  <c r="Y577" i="27"/>
  <c r="Z577" i="27" s="1"/>
  <c r="Y578" i="27"/>
  <c r="Z578" i="27" s="1"/>
  <c r="Y579" i="27"/>
  <c r="Z579" i="27" s="1"/>
  <c r="Y580" i="27"/>
  <c r="Z580" i="27" s="1"/>
  <c r="Y581" i="27"/>
  <c r="Z581" i="27" s="1"/>
  <c r="Y582" i="27"/>
  <c r="Z582" i="27" s="1"/>
  <c r="Y583" i="27"/>
  <c r="Z583" i="27" s="1"/>
  <c r="Y584" i="27"/>
  <c r="Z584" i="27" s="1"/>
  <c r="Y585" i="27"/>
  <c r="Z585" i="27" s="1"/>
  <c r="Y586" i="27"/>
  <c r="Z586" i="27" s="1"/>
  <c r="Y587" i="27"/>
  <c r="Z587" i="27" s="1"/>
  <c r="Y588" i="27"/>
  <c r="Z588" i="27" s="1"/>
  <c r="Y589" i="27"/>
  <c r="Z589" i="27" s="1"/>
  <c r="Y590" i="27"/>
  <c r="Z590" i="27" s="1"/>
  <c r="Y591" i="27"/>
  <c r="Z591" i="27" s="1"/>
  <c r="Y592" i="27"/>
  <c r="Z592" i="27" s="1"/>
  <c r="Y593" i="27"/>
  <c r="Z593" i="27" s="1"/>
  <c r="Y594" i="27"/>
  <c r="Z594" i="27" s="1"/>
  <c r="Y595" i="27"/>
  <c r="Z595" i="27" s="1"/>
  <c r="Y596" i="27"/>
  <c r="Z596" i="27" s="1"/>
  <c r="Y597" i="27"/>
  <c r="Z597" i="27" s="1"/>
  <c r="Y598" i="27"/>
  <c r="Z598" i="27" s="1"/>
  <c r="Y599" i="27"/>
  <c r="Z599" i="27" s="1"/>
  <c r="Y688" i="27"/>
  <c r="Z688" i="27" s="1"/>
  <c r="Y689" i="27"/>
  <c r="Z689" i="27" s="1"/>
  <c r="Y690" i="27"/>
  <c r="Z690" i="27" s="1"/>
  <c r="Y691" i="27"/>
  <c r="Z691" i="27" s="1"/>
  <c r="Y692" i="27"/>
  <c r="Z692" i="27" s="1"/>
  <c r="Y693" i="27"/>
  <c r="Z693" i="27" s="1"/>
  <c r="Y694" i="27"/>
  <c r="Z694" i="27" s="1"/>
  <c r="Y695" i="27"/>
  <c r="Z695" i="27" s="1"/>
  <c r="Y696" i="27"/>
  <c r="Z696" i="27" s="1"/>
  <c r="Y697" i="27"/>
  <c r="Z697" i="27" s="1"/>
  <c r="Y698" i="27"/>
  <c r="Z698" i="27" s="1"/>
  <c r="Y699" i="27"/>
  <c r="Z699" i="27" s="1"/>
  <c r="Y700" i="27"/>
  <c r="Z700" i="27" s="1"/>
  <c r="Y701" i="27"/>
  <c r="Z701" i="27" s="1"/>
  <c r="Y702" i="27"/>
  <c r="Z702" i="27" s="1"/>
  <c r="Y703" i="27"/>
  <c r="Z703" i="27" s="1"/>
  <c r="Y704" i="27"/>
  <c r="Z704" i="27" s="1"/>
  <c r="Y705" i="27"/>
  <c r="Z705" i="27" s="1"/>
  <c r="Y706" i="27"/>
  <c r="Z706" i="27" s="1"/>
  <c r="Y707" i="27"/>
  <c r="Z707" i="27" s="1"/>
  <c r="Y708" i="27"/>
  <c r="Z708" i="27" s="1"/>
  <c r="Y709" i="27"/>
  <c r="Z709" i="27" s="1"/>
  <c r="Y710" i="27"/>
  <c r="Z710" i="27" s="1"/>
  <c r="Y711" i="27"/>
  <c r="Z711" i="27" s="1"/>
  <c r="Y712" i="27"/>
  <c r="Z712" i="27" s="1"/>
  <c r="Y713" i="27"/>
  <c r="Z713" i="27" s="1"/>
  <c r="Y714" i="27"/>
  <c r="Z714" i="27" s="1"/>
  <c r="Y715" i="27"/>
  <c r="Z715" i="27" s="1"/>
  <c r="Y716" i="27"/>
  <c r="Z716" i="27" s="1"/>
  <c r="Y717" i="27"/>
  <c r="Z717" i="27" s="1"/>
  <c r="Y718" i="27"/>
  <c r="Z718" i="27" s="1"/>
  <c r="Y719" i="27"/>
  <c r="Z719" i="27" s="1"/>
  <c r="Y720" i="27"/>
  <c r="Z720" i="27" s="1"/>
  <c r="Y721" i="27"/>
  <c r="Z721" i="27" s="1"/>
  <c r="Y722" i="27"/>
  <c r="Z722" i="27" s="1"/>
  <c r="Y723" i="27"/>
  <c r="Z723" i="27" s="1"/>
  <c r="Y724" i="27"/>
  <c r="Z724" i="27" s="1"/>
  <c r="Y725" i="27"/>
  <c r="Z725" i="27" s="1"/>
  <c r="Y726" i="27"/>
  <c r="Z726" i="27" s="1"/>
  <c r="Y727" i="27"/>
  <c r="Z727" i="27" s="1"/>
  <c r="Y728" i="27"/>
  <c r="Z728" i="27" s="1"/>
  <c r="Y729" i="27"/>
  <c r="Z729" i="27" s="1"/>
  <c r="Y730" i="27"/>
  <c r="Z730" i="27" s="1"/>
  <c r="Y731" i="27"/>
  <c r="Z731" i="27" s="1"/>
  <c r="Y732" i="27"/>
  <c r="Z732" i="27" s="1"/>
  <c r="Y733" i="27"/>
  <c r="Z733" i="27" s="1"/>
  <c r="Y734" i="27"/>
  <c r="Z734" i="27" s="1"/>
  <c r="Y735" i="27"/>
  <c r="Z735" i="27" s="1"/>
  <c r="Y736" i="27"/>
  <c r="Z736" i="27" s="1"/>
  <c r="Y737" i="27"/>
  <c r="Z737" i="27" s="1"/>
  <c r="Y738" i="27"/>
  <c r="Z738" i="27" s="1"/>
  <c r="Y739" i="27"/>
  <c r="Z739" i="27" s="1"/>
  <c r="Y740" i="27"/>
  <c r="Z740" i="27" s="1"/>
  <c r="Y741" i="27"/>
  <c r="Z741" i="27" s="1"/>
  <c r="Y742" i="27"/>
  <c r="Z742" i="27" s="1"/>
  <c r="Y743" i="27"/>
  <c r="Z743" i="27" s="1"/>
  <c r="Y744" i="27"/>
  <c r="Z744" i="27" s="1"/>
  <c r="Y745" i="27"/>
  <c r="Z745" i="27" s="1"/>
  <c r="Y746" i="27"/>
  <c r="Z746" i="27" s="1"/>
  <c r="Y747" i="27"/>
  <c r="Z747" i="27" s="1"/>
  <c r="Y748" i="27"/>
  <c r="Z748" i="27" s="1"/>
  <c r="Y749" i="27"/>
  <c r="Z749" i="27" s="1"/>
  <c r="Y750" i="27"/>
  <c r="Z750" i="27" s="1"/>
  <c r="Y751" i="27"/>
  <c r="Z751" i="27" s="1"/>
  <c r="Y752" i="27"/>
  <c r="Z752" i="27" s="1"/>
  <c r="Y753" i="27"/>
  <c r="Z753" i="27" s="1"/>
  <c r="Y754" i="27"/>
  <c r="Z754" i="27" s="1"/>
  <c r="Y755" i="27"/>
  <c r="Z755" i="27" s="1"/>
  <c r="Y756" i="27"/>
  <c r="Z756" i="27" s="1"/>
  <c r="Y757" i="27"/>
  <c r="Z757" i="27" s="1"/>
  <c r="Y758" i="27"/>
  <c r="Z758" i="27" s="1"/>
  <c r="Y759" i="27"/>
  <c r="Z759" i="27" s="1"/>
  <c r="Y760" i="27"/>
  <c r="Z760" i="27" s="1"/>
  <c r="Y761" i="27"/>
  <c r="Z761" i="27" s="1"/>
  <c r="Y762" i="27"/>
  <c r="Z762" i="27" s="1"/>
  <c r="Y763" i="27"/>
  <c r="Z763" i="27" s="1"/>
  <c r="Y764" i="27"/>
  <c r="Z764" i="27" s="1"/>
  <c r="Y765" i="27"/>
  <c r="Z765" i="27" s="1"/>
  <c r="Y766" i="27"/>
  <c r="Z766" i="27" s="1"/>
  <c r="Y767" i="27"/>
  <c r="Z767" i="27" s="1"/>
  <c r="Y768" i="27"/>
  <c r="Z768" i="27" s="1"/>
  <c r="Y769" i="27"/>
  <c r="Z769" i="27" s="1"/>
  <c r="Y770" i="27"/>
  <c r="Z770" i="27" s="1"/>
  <c r="Y771" i="27"/>
  <c r="Z771" i="27" s="1"/>
  <c r="Y772" i="27"/>
  <c r="Z772" i="27" s="1"/>
  <c r="Y773" i="27"/>
  <c r="Z773" i="27" s="1"/>
  <c r="Y774" i="27"/>
  <c r="Z774" i="27" s="1"/>
  <c r="Y775" i="27"/>
  <c r="Z775" i="27" s="1"/>
  <c r="Y776" i="27"/>
  <c r="Z776" i="27" s="1"/>
  <c r="Y777" i="27"/>
  <c r="Z777" i="27" s="1"/>
  <c r="Y778" i="27"/>
  <c r="Z778" i="27" s="1"/>
  <c r="Y779" i="27"/>
  <c r="Z779" i="27" s="1"/>
  <c r="Y780" i="27"/>
  <c r="Z780" i="27" s="1"/>
  <c r="Y781" i="27"/>
  <c r="Z781" i="27" s="1"/>
  <c r="Y782" i="27"/>
  <c r="Z782" i="27" s="1"/>
  <c r="Y783" i="27"/>
  <c r="Z783" i="27" s="1"/>
  <c r="Y784" i="27"/>
  <c r="Z784" i="27" s="1"/>
  <c r="Y785" i="27"/>
  <c r="Z785" i="27" s="1"/>
  <c r="Y786" i="27"/>
  <c r="Z786" i="27" s="1"/>
  <c r="Y787" i="27"/>
  <c r="Z787" i="27" s="1"/>
  <c r="Y788" i="27"/>
  <c r="Z788" i="27" s="1"/>
  <c r="Y789" i="27"/>
  <c r="Z789" i="27" s="1"/>
  <c r="Y790" i="27"/>
  <c r="Z790" i="27" s="1"/>
  <c r="Y791" i="27"/>
  <c r="Z791" i="27" s="1"/>
  <c r="Y792" i="27"/>
  <c r="Z792" i="27" s="1"/>
  <c r="Y793" i="27"/>
  <c r="Z793" i="27" s="1"/>
  <c r="Y794" i="27"/>
  <c r="Z794" i="27" s="1"/>
  <c r="Y795" i="27"/>
  <c r="Z795" i="27" s="1"/>
  <c r="Y796" i="27"/>
  <c r="Z796" i="27" s="1"/>
  <c r="Y797" i="27"/>
  <c r="Z797" i="27" s="1"/>
  <c r="Y798" i="27"/>
  <c r="Z798" i="27" s="1"/>
  <c r="Y799" i="27"/>
  <c r="Z799" i="27" s="1"/>
  <c r="Y800" i="27"/>
  <c r="Z800" i="27" s="1"/>
  <c r="Y801" i="27"/>
  <c r="Z801" i="27" s="1"/>
  <c r="Y802" i="27"/>
  <c r="Z802" i="27" s="1"/>
  <c r="Y803" i="27"/>
  <c r="Z803" i="27" s="1"/>
  <c r="Y804" i="27"/>
  <c r="Z804" i="27" s="1"/>
  <c r="Y805" i="27"/>
  <c r="Z805" i="27" s="1"/>
  <c r="Y806" i="27"/>
  <c r="Z806" i="27" s="1"/>
  <c r="Y807" i="27"/>
  <c r="Z807" i="27" s="1"/>
  <c r="Y808" i="27"/>
  <c r="Z808" i="27" s="1"/>
  <c r="Y809" i="27"/>
  <c r="Z809" i="27" s="1"/>
  <c r="Y810" i="27"/>
  <c r="Z810" i="27" s="1"/>
  <c r="Y811" i="27"/>
  <c r="Z811" i="27" s="1"/>
  <c r="Y812" i="27"/>
  <c r="Z812" i="27" s="1"/>
  <c r="Y813" i="27"/>
  <c r="Z813" i="27" s="1"/>
  <c r="Y814" i="27"/>
  <c r="Z814" i="27" s="1"/>
  <c r="Y815" i="27"/>
  <c r="Z815" i="27" s="1"/>
  <c r="Y816" i="27"/>
  <c r="Z816" i="27" s="1"/>
  <c r="Y817" i="27"/>
  <c r="Z817" i="27" s="1"/>
  <c r="Y818" i="27"/>
  <c r="Z818" i="27" s="1"/>
  <c r="Y819" i="27"/>
  <c r="Z819" i="27" s="1"/>
  <c r="Y820" i="27"/>
  <c r="Z820" i="27" s="1"/>
  <c r="Y821" i="27"/>
  <c r="Z821" i="27" s="1"/>
  <c r="Y822" i="27"/>
  <c r="Z822" i="27" s="1"/>
  <c r="Y823" i="27"/>
  <c r="Z823" i="27" s="1"/>
  <c r="Y824" i="27"/>
  <c r="Z824" i="27" s="1"/>
  <c r="Y825" i="27"/>
  <c r="Z825" i="27" s="1"/>
  <c r="Y826" i="27"/>
  <c r="Z826" i="27" s="1"/>
  <c r="Y827" i="27"/>
  <c r="Z827" i="27" s="1"/>
  <c r="Y828" i="27"/>
  <c r="Z828" i="27" s="1"/>
  <c r="Y829" i="27"/>
  <c r="Z829" i="27" s="1"/>
  <c r="Y830" i="27"/>
  <c r="Z830" i="27" s="1"/>
  <c r="Y831" i="27"/>
  <c r="Z831" i="27" s="1"/>
  <c r="Y832" i="27"/>
  <c r="Z832" i="27" s="1"/>
  <c r="Y833" i="27"/>
  <c r="Z833" i="27" s="1"/>
  <c r="Y834" i="27"/>
  <c r="Z834" i="27" s="1"/>
  <c r="Y835" i="27"/>
  <c r="Z835" i="27" s="1"/>
  <c r="Y836" i="27"/>
  <c r="Z836" i="27" s="1"/>
  <c r="Y837" i="27"/>
  <c r="Z837" i="27" s="1"/>
  <c r="Y838" i="27"/>
  <c r="Z838" i="27" s="1"/>
  <c r="Y839" i="27"/>
  <c r="Z839" i="27" s="1"/>
  <c r="Y840" i="27"/>
  <c r="Z840" i="27" s="1"/>
  <c r="Y841" i="27"/>
  <c r="Z841" i="27" s="1"/>
  <c r="Y842" i="27"/>
  <c r="Z842" i="27" s="1"/>
  <c r="Y843" i="27"/>
  <c r="Z843" i="27" s="1"/>
  <c r="Y844" i="27"/>
  <c r="Z844" i="27" s="1"/>
  <c r="Y845" i="27"/>
  <c r="Z845" i="27" s="1"/>
  <c r="Y846" i="27"/>
  <c r="Z846" i="27" s="1"/>
  <c r="Y847" i="27"/>
  <c r="Z847" i="27" s="1"/>
  <c r="Y848" i="27"/>
  <c r="Z848" i="27" s="1"/>
  <c r="Y849" i="27"/>
  <c r="Z849" i="27" s="1"/>
  <c r="Y850" i="27"/>
  <c r="Z850" i="27" s="1"/>
  <c r="Y851" i="27"/>
  <c r="Z851" i="27" s="1"/>
  <c r="Y852" i="27"/>
  <c r="Z852" i="27" s="1"/>
  <c r="Y853" i="27"/>
  <c r="Z853" i="27" s="1"/>
  <c r="Y854" i="27"/>
  <c r="Z854" i="27" s="1"/>
  <c r="Y855" i="27"/>
  <c r="Z855" i="27" s="1"/>
  <c r="Y856" i="27"/>
  <c r="Z856" i="27" s="1"/>
  <c r="Y857" i="27"/>
  <c r="Z857" i="27" s="1"/>
  <c r="Y858" i="27"/>
  <c r="Z858" i="27" s="1"/>
  <c r="Y859" i="27"/>
  <c r="Z859" i="27" s="1"/>
  <c r="Y860" i="27"/>
  <c r="Z860" i="27" s="1"/>
  <c r="Y861" i="27"/>
  <c r="Z861" i="27" s="1"/>
  <c r="Y862" i="27"/>
  <c r="Z862" i="27" s="1"/>
  <c r="Y863" i="27"/>
  <c r="Z863" i="27" s="1"/>
  <c r="Y864" i="27"/>
  <c r="Z864" i="27" s="1"/>
  <c r="Y865" i="27"/>
  <c r="Z865" i="27" s="1"/>
  <c r="Y866" i="27"/>
  <c r="Z866" i="27" s="1"/>
  <c r="Y867" i="27"/>
  <c r="Z867" i="27" s="1"/>
  <c r="Y868" i="27"/>
  <c r="Z868" i="27" s="1"/>
  <c r="Y869" i="27"/>
  <c r="Z869" i="27" s="1"/>
  <c r="Y870" i="27"/>
  <c r="Z870" i="27" s="1"/>
  <c r="Y871" i="27"/>
  <c r="Z871" i="27" s="1"/>
  <c r="Y872" i="27"/>
  <c r="Z872" i="27" s="1"/>
  <c r="Y873" i="27"/>
  <c r="Z873" i="27" s="1"/>
  <c r="Y874" i="27"/>
  <c r="Z874" i="27" s="1"/>
  <c r="Y875" i="27"/>
  <c r="Z875" i="27" s="1"/>
  <c r="Y876" i="27"/>
  <c r="Z876" i="27" s="1"/>
  <c r="Y877" i="27"/>
  <c r="Z877" i="27" s="1"/>
  <c r="Y878" i="27"/>
  <c r="Z878" i="27" s="1"/>
  <c r="Y879" i="27"/>
  <c r="Z879" i="27" s="1"/>
  <c r="Y880" i="27"/>
  <c r="Z880" i="27" s="1"/>
  <c r="Y881" i="27"/>
  <c r="Z881" i="27" s="1"/>
  <c r="Y882" i="27"/>
  <c r="Z882" i="27" s="1"/>
  <c r="Y883" i="27"/>
  <c r="Z883" i="27" s="1"/>
  <c r="Y884" i="27"/>
  <c r="Z884" i="27" s="1"/>
  <c r="Y885" i="27"/>
  <c r="Z885" i="27" s="1"/>
  <c r="Y886" i="27"/>
  <c r="Z886" i="27" s="1"/>
  <c r="Y887" i="27"/>
  <c r="Z887" i="27" s="1"/>
  <c r="Y888" i="27"/>
  <c r="Z888" i="27" s="1"/>
  <c r="Y889" i="27"/>
  <c r="Z889" i="27" s="1"/>
  <c r="Y890" i="27"/>
  <c r="Z890" i="27" s="1"/>
  <c r="Y891" i="27"/>
  <c r="Z891" i="27" s="1"/>
  <c r="Y892" i="27"/>
  <c r="Z892" i="27" s="1"/>
  <c r="Y893" i="27"/>
  <c r="Z893" i="27" s="1"/>
  <c r="Y894" i="27"/>
  <c r="Z894" i="27" s="1"/>
  <c r="Y895" i="27"/>
  <c r="Z895" i="27" s="1"/>
  <c r="Y896" i="27"/>
  <c r="Z896" i="27" s="1"/>
  <c r="Y897" i="27"/>
  <c r="Z897" i="27" s="1"/>
  <c r="Y898" i="27"/>
  <c r="Z898" i="27" s="1"/>
  <c r="Y899" i="27"/>
  <c r="Z899" i="27" s="1"/>
  <c r="Y900" i="27"/>
  <c r="Z900" i="27" s="1"/>
  <c r="Y901" i="27"/>
  <c r="Z901" i="27" s="1"/>
  <c r="Y902" i="27"/>
  <c r="Z902" i="27" s="1"/>
  <c r="Y903" i="27"/>
  <c r="Z903" i="27" s="1"/>
  <c r="Y904" i="27"/>
  <c r="Z904" i="27" s="1"/>
  <c r="Y905" i="27"/>
  <c r="Z905" i="27" s="1"/>
  <c r="Y906" i="27"/>
  <c r="Z906" i="27" s="1"/>
  <c r="Y907" i="27"/>
  <c r="Z907" i="27" s="1"/>
  <c r="Y908" i="27"/>
  <c r="Z908" i="27" s="1"/>
  <c r="Y909" i="27"/>
  <c r="Z909" i="27" s="1"/>
  <c r="Y910" i="27"/>
  <c r="Z910" i="27" s="1"/>
  <c r="Y911" i="27"/>
  <c r="Z911" i="27" s="1"/>
  <c r="Y912" i="27"/>
  <c r="Z912" i="27" s="1"/>
  <c r="Y913" i="27"/>
  <c r="Z913" i="27" s="1"/>
  <c r="Y914" i="27"/>
  <c r="Z914" i="27" s="1"/>
  <c r="Y915" i="27"/>
  <c r="Z915" i="27" s="1"/>
  <c r="Y916" i="27"/>
  <c r="Z916" i="27" s="1"/>
  <c r="Y917" i="27"/>
  <c r="Z917" i="27" s="1"/>
  <c r="Y918" i="27"/>
  <c r="Z918" i="27" s="1"/>
  <c r="Y919" i="27"/>
  <c r="Z919" i="27" s="1"/>
  <c r="Y920" i="27"/>
  <c r="Z920" i="27" s="1"/>
  <c r="Y921" i="27"/>
  <c r="Z921" i="27" s="1"/>
  <c r="Y922" i="27"/>
  <c r="Z922" i="27" s="1"/>
  <c r="Y923" i="27"/>
  <c r="Z923" i="27" s="1"/>
  <c r="Y924" i="27"/>
  <c r="Z924" i="27" s="1"/>
  <c r="Y925" i="27"/>
  <c r="Z925" i="27" s="1"/>
  <c r="Y926" i="27"/>
  <c r="Z926" i="27" s="1"/>
  <c r="Y927" i="27"/>
  <c r="Z927" i="27" s="1"/>
  <c r="Y928" i="27"/>
  <c r="Z928" i="27" s="1"/>
  <c r="Y929" i="27"/>
  <c r="Z929" i="27" s="1"/>
  <c r="Y930" i="27"/>
  <c r="Z930" i="27" s="1"/>
  <c r="Y931" i="27"/>
  <c r="Z931" i="27" s="1"/>
  <c r="Y932" i="27"/>
  <c r="Z932" i="27" s="1"/>
  <c r="Y933" i="27"/>
  <c r="Z933" i="27" s="1"/>
  <c r="Y934" i="27"/>
  <c r="Z934" i="27" s="1"/>
  <c r="Y935" i="27"/>
  <c r="Z935" i="27" s="1"/>
  <c r="Y936" i="27"/>
  <c r="Z936" i="27" s="1"/>
  <c r="Y937" i="27"/>
  <c r="Z937" i="27" s="1"/>
  <c r="Y938" i="27"/>
  <c r="Z938" i="27" s="1"/>
  <c r="Y939" i="27"/>
  <c r="Z939" i="27" s="1"/>
  <c r="Y940" i="27"/>
  <c r="Z940" i="27" s="1"/>
  <c r="Y941" i="27"/>
  <c r="Z941" i="27" s="1"/>
  <c r="Y942" i="27"/>
  <c r="Z942" i="27" s="1"/>
  <c r="Y943" i="27"/>
  <c r="Z943" i="27" s="1"/>
  <c r="Y944" i="27"/>
  <c r="Z944" i="27" s="1"/>
  <c r="Y945" i="27"/>
  <c r="Z945" i="27" s="1"/>
  <c r="Y946" i="27"/>
  <c r="Z946" i="27" s="1"/>
  <c r="Y947" i="27"/>
  <c r="Z947" i="27" s="1"/>
  <c r="Y948" i="27"/>
  <c r="Z948" i="27" s="1"/>
  <c r="Y949" i="27"/>
  <c r="Z949" i="27" s="1"/>
  <c r="Y950" i="27"/>
  <c r="Z950" i="27" s="1"/>
  <c r="Y951" i="27"/>
  <c r="Z951" i="27" s="1"/>
  <c r="Y952" i="27"/>
  <c r="Z952" i="27" s="1"/>
  <c r="Y953" i="27"/>
  <c r="Z953" i="27" s="1"/>
  <c r="Y954" i="27"/>
  <c r="Z954" i="27" s="1"/>
  <c r="Y955" i="27"/>
  <c r="Z955" i="27" s="1"/>
  <c r="Y956" i="27"/>
  <c r="Z956" i="27" s="1"/>
  <c r="Y957" i="27"/>
  <c r="Z957" i="27" s="1"/>
  <c r="Y958" i="27"/>
  <c r="Z958" i="27" s="1"/>
  <c r="Y959" i="27"/>
  <c r="Z959" i="27" s="1"/>
  <c r="Y960" i="27"/>
  <c r="Z960" i="27" s="1"/>
  <c r="Y961" i="27"/>
  <c r="Z961" i="27" s="1"/>
  <c r="Y962" i="27"/>
  <c r="Z962" i="27" s="1"/>
  <c r="Y963" i="27"/>
  <c r="Z963" i="27" s="1"/>
  <c r="Y964" i="27"/>
  <c r="Z964" i="27" s="1"/>
  <c r="Y965" i="27"/>
  <c r="Z965" i="27" s="1"/>
  <c r="Y966" i="27"/>
  <c r="Z966" i="27" s="1"/>
  <c r="Y967" i="27"/>
  <c r="Z967" i="27" s="1"/>
  <c r="Y968" i="27"/>
  <c r="Z968" i="27" s="1"/>
  <c r="Y969" i="27"/>
  <c r="Z969" i="27" s="1"/>
  <c r="Y970" i="27"/>
  <c r="Z970" i="27" s="1"/>
  <c r="Y971" i="27"/>
  <c r="Z971" i="27" s="1"/>
  <c r="Y972" i="27"/>
  <c r="Z972" i="27" s="1"/>
  <c r="Y973" i="27"/>
  <c r="Z973" i="27" s="1"/>
  <c r="Y974" i="27"/>
  <c r="Z974" i="27" s="1"/>
  <c r="Y975" i="27"/>
  <c r="Z975" i="27" s="1"/>
  <c r="Y976" i="27"/>
  <c r="Z976" i="27" s="1"/>
  <c r="Y977" i="27"/>
  <c r="Z977" i="27" s="1"/>
  <c r="Y978" i="27"/>
  <c r="Z978" i="27" s="1"/>
  <c r="Y979" i="27"/>
  <c r="Z979" i="27" s="1"/>
  <c r="Y980" i="27"/>
  <c r="Z980" i="27" s="1"/>
  <c r="Y981" i="27"/>
  <c r="Z981" i="27" s="1"/>
  <c r="Y982" i="27"/>
  <c r="Z982" i="27" s="1"/>
  <c r="Y983" i="27"/>
  <c r="Z983" i="27" s="1"/>
  <c r="Y984" i="27"/>
  <c r="Z984" i="27" s="1"/>
  <c r="Y985" i="27"/>
  <c r="Z985" i="27" s="1"/>
  <c r="Y986" i="27"/>
  <c r="Z986" i="27" s="1"/>
  <c r="Y987" i="27"/>
  <c r="Z987" i="27" s="1"/>
  <c r="Y988" i="27"/>
  <c r="Z988" i="27" s="1"/>
  <c r="Y989" i="27"/>
  <c r="Z989" i="27" s="1"/>
  <c r="Y990" i="27"/>
  <c r="Z990" i="27" s="1"/>
  <c r="Y991" i="27"/>
  <c r="Z991" i="27" s="1"/>
  <c r="Y992" i="27"/>
  <c r="Z992" i="27" s="1"/>
  <c r="Y993" i="27"/>
  <c r="Z993" i="27" s="1"/>
  <c r="Y994" i="27"/>
  <c r="Z994" i="27" s="1"/>
  <c r="Y995" i="27"/>
  <c r="Z995" i="27" s="1"/>
  <c r="Y996" i="27"/>
  <c r="Z996" i="27" s="1"/>
  <c r="Y997" i="27"/>
  <c r="Z997" i="27" s="1"/>
  <c r="Y998" i="27"/>
  <c r="Z998" i="27" s="1"/>
  <c r="Y999" i="27"/>
  <c r="Z999" i="27" s="1"/>
  <c r="Y1000" i="27"/>
  <c r="Z1000" i="27" s="1"/>
  <c r="Y1001" i="27"/>
  <c r="Z1001" i="27" s="1"/>
  <c r="Y1002" i="27"/>
  <c r="Z1002" i="27" s="1"/>
  <c r="Y1003" i="27"/>
  <c r="Z1003" i="27" s="1"/>
  <c r="Y1004" i="27"/>
  <c r="Z1004" i="27" s="1"/>
  <c r="Y1005" i="27"/>
  <c r="Z1005" i="27" s="1"/>
  <c r="Y1006" i="27"/>
  <c r="Z1006" i="27" s="1"/>
  <c r="Y1007" i="27"/>
  <c r="Z1007" i="27" s="1"/>
  <c r="Y1008" i="27"/>
  <c r="Z1008" i="27" s="1"/>
  <c r="Y1009" i="27"/>
  <c r="Z1009" i="27" s="1"/>
  <c r="Y1010" i="27"/>
  <c r="Z1010" i="27" s="1"/>
  <c r="Y1011" i="27"/>
  <c r="Z1011" i="27" s="1"/>
  <c r="Y1012" i="27"/>
  <c r="Z1012" i="27" s="1"/>
  <c r="Y1013" i="27"/>
  <c r="Z1013" i="27" s="1"/>
  <c r="Y1014" i="27"/>
  <c r="Z1014" i="27" s="1"/>
  <c r="Y1015" i="27"/>
  <c r="Z1015" i="27" s="1"/>
  <c r="Y1016" i="27"/>
  <c r="Z1016" i="27" s="1"/>
  <c r="Y1017" i="27"/>
  <c r="Z1017" i="27" s="1"/>
  <c r="Y1018" i="27"/>
  <c r="Z1018" i="27" s="1"/>
  <c r="Y1019" i="27"/>
  <c r="Z1019" i="27" s="1"/>
  <c r="Y1020" i="27"/>
  <c r="Z1020" i="27" s="1"/>
  <c r="Y1021" i="27"/>
  <c r="Z1021" i="27" s="1"/>
  <c r="Y1022" i="27"/>
  <c r="Z1022" i="27" s="1"/>
  <c r="Y1023" i="27"/>
  <c r="Z1023" i="27" s="1"/>
  <c r="Y1024" i="27"/>
  <c r="Z1024" i="27" s="1"/>
  <c r="Y1025" i="27"/>
  <c r="Z1025" i="27" s="1"/>
  <c r="Y1026" i="27"/>
  <c r="Z1026" i="27" s="1"/>
  <c r="Y1027" i="27"/>
  <c r="Z1027" i="27" s="1"/>
  <c r="Y1028" i="27"/>
  <c r="Z1028" i="27" s="1"/>
  <c r="Y1029" i="27"/>
  <c r="Z1029" i="27" s="1"/>
  <c r="Y1030" i="27"/>
  <c r="Z1030" i="27" s="1"/>
  <c r="Y1031" i="27"/>
  <c r="Z1031" i="27" s="1"/>
  <c r="Y1032" i="27"/>
  <c r="Z1032" i="27" s="1"/>
  <c r="Y1033" i="27"/>
  <c r="Z1033" i="27" s="1"/>
  <c r="Y1034" i="27"/>
  <c r="Z1034" i="27" s="1"/>
  <c r="Y1035" i="27"/>
  <c r="Z1035" i="27" s="1"/>
  <c r="Y1036" i="27"/>
  <c r="Z1036" i="27" s="1"/>
  <c r="Y1037" i="27"/>
  <c r="Z1037" i="27" s="1"/>
  <c r="Y1038" i="27"/>
  <c r="Z1038" i="27" s="1"/>
  <c r="Y1039" i="27"/>
  <c r="Z1039" i="27" s="1"/>
  <c r="Y1040" i="27"/>
  <c r="Z1040" i="27" s="1"/>
  <c r="Y1041" i="27"/>
  <c r="Z1041" i="27" s="1"/>
  <c r="Y1042" i="27"/>
  <c r="Z1042" i="27" s="1"/>
  <c r="Y1043" i="27"/>
  <c r="Z1043" i="27" s="1"/>
  <c r="Y1044" i="27"/>
  <c r="Z1044" i="27" s="1"/>
  <c r="Y1045" i="27"/>
  <c r="Z1045" i="27" s="1"/>
  <c r="Y1046" i="27"/>
  <c r="Z1046" i="27" s="1"/>
  <c r="Y1047" i="27"/>
  <c r="Z1047" i="27" s="1"/>
  <c r="Y1048" i="27"/>
  <c r="Z1048" i="27" s="1"/>
  <c r="Y1049" i="27"/>
  <c r="Z1049" i="27" s="1"/>
  <c r="Y1050" i="27"/>
  <c r="Z1050" i="27" s="1"/>
  <c r="Y1051" i="27"/>
  <c r="Z1051" i="27" s="1"/>
  <c r="Y1052" i="27"/>
  <c r="Z1052" i="27" s="1"/>
  <c r="Y1053" i="27"/>
  <c r="Z1053" i="27" s="1"/>
  <c r="Y1054" i="27"/>
  <c r="Z1054" i="27" s="1"/>
  <c r="Y1055" i="27"/>
  <c r="Z1055" i="27" s="1"/>
  <c r="Y1056" i="27"/>
  <c r="Z1056" i="27" s="1"/>
  <c r="Y1057" i="27"/>
  <c r="Z1057" i="27" s="1"/>
  <c r="Y1058" i="27"/>
  <c r="Z1058" i="27" s="1"/>
  <c r="Y1059" i="27"/>
  <c r="Z1059" i="27" s="1"/>
  <c r="Y1060" i="27"/>
  <c r="Z1060" i="27" s="1"/>
  <c r="Y1061" i="27"/>
  <c r="Z1061" i="27" s="1"/>
  <c r="Y1062" i="27"/>
  <c r="Z1062" i="27" s="1"/>
  <c r="Y1063" i="27"/>
  <c r="Z1063" i="27" s="1"/>
  <c r="Y1064" i="27"/>
  <c r="Z1064" i="27" s="1"/>
  <c r="Y1065" i="27"/>
  <c r="Z1065" i="27" s="1"/>
  <c r="Y1066" i="27"/>
  <c r="Z1066" i="27" s="1"/>
  <c r="Y1067" i="27"/>
  <c r="Z1067" i="27" s="1"/>
  <c r="Y1068" i="27"/>
  <c r="Z1068" i="27" s="1"/>
  <c r="Y1069" i="27"/>
  <c r="Z1069" i="27" s="1"/>
  <c r="Y1070" i="27"/>
  <c r="Z1070" i="27" s="1"/>
  <c r="Y1071" i="27"/>
  <c r="Z1071" i="27" s="1"/>
  <c r="Y1072" i="27"/>
  <c r="Z1072" i="27" s="1"/>
  <c r="Y1073" i="27"/>
  <c r="Z1073" i="27" s="1"/>
  <c r="Y1074" i="27"/>
  <c r="Z1074" i="27" s="1"/>
  <c r="Y1075" i="27"/>
  <c r="Z1075" i="27" s="1"/>
  <c r="Y1076" i="27"/>
  <c r="Z1076" i="27" s="1"/>
  <c r="Y1077" i="27"/>
  <c r="Z1077" i="27" s="1"/>
  <c r="Y1078" i="27"/>
  <c r="Z1078" i="27" s="1"/>
  <c r="Y1079" i="27"/>
  <c r="Z1079" i="27" s="1"/>
  <c r="Y1080" i="27"/>
  <c r="Z1080" i="27" s="1"/>
  <c r="Y1081" i="27"/>
  <c r="Z1081" i="27" s="1"/>
  <c r="Y1082" i="27"/>
  <c r="Z1082" i="27" s="1"/>
  <c r="Y1083" i="27"/>
  <c r="Z1083" i="27" s="1"/>
  <c r="Y1084" i="27"/>
  <c r="Z1084" i="27" s="1"/>
  <c r="Y1085" i="27"/>
  <c r="Z1085" i="27" s="1"/>
  <c r="Y1086" i="27"/>
  <c r="Z1086" i="27" s="1"/>
  <c r="Y1087" i="27"/>
  <c r="Z1087" i="27" s="1"/>
  <c r="Y1088" i="27"/>
  <c r="Z1088" i="27" s="1"/>
  <c r="Y1089" i="27"/>
  <c r="Z1089" i="27" s="1"/>
  <c r="Y1090" i="27"/>
  <c r="Z1090" i="27" s="1"/>
  <c r="Y1091" i="27"/>
  <c r="Z1091" i="27" s="1"/>
  <c r="Y1092" i="27"/>
  <c r="Z1092" i="27" s="1"/>
  <c r="Y1093" i="27"/>
  <c r="Z1093" i="27" s="1"/>
  <c r="Y1094" i="27"/>
  <c r="Z1094" i="27" s="1"/>
  <c r="Y1095" i="27"/>
  <c r="Z1095" i="27" s="1"/>
  <c r="Y1096" i="27"/>
  <c r="Z1096" i="27" s="1"/>
  <c r="Y1097" i="27"/>
  <c r="Z1097" i="27" s="1"/>
  <c r="Y1098" i="27"/>
  <c r="Z1098" i="27" s="1"/>
  <c r="Y1099" i="27"/>
  <c r="Z1099" i="27" s="1"/>
  <c r="Y1100" i="27"/>
  <c r="Z1100" i="27" s="1"/>
  <c r="Y1101" i="27"/>
  <c r="Z1101" i="27" s="1"/>
  <c r="Y1102" i="27"/>
  <c r="Z1102" i="27" s="1"/>
  <c r="Y1103" i="27"/>
  <c r="Z1103" i="27" s="1"/>
  <c r="Y1104" i="27"/>
  <c r="Z1104" i="27" s="1"/>
  <c r="Y1105" i="27"/>
  <c r="Z1105" i="27" s="1"/>
  <c r="Y1106" i="27"/>
  <c r="Z1106" i="27" s="1"/>
  <c r="Y1107" i="27"/>
  <c r="Z1107" i="27" s="1"/>
  <c r="Y1108" i="27"/>
  <c r="Z1108" i="27" s="1"/>
  <c r="Y1109" i="27"/>
  <c r="Z1109" i="27" s="1"/>
  <c r="Y1110" i="27"/>
  <c r="Z1110" i="27" s="1"/>
  <c r="Y1111" i="27"/>
  <c r="Z1111" i="27" s="1"/>
  <c r="Y1112" i="27"/>
  <c r="Z1112" i="27" s="1"/>
  <c r="Y1113" i="27"/>
  <c r="Z1113" i="27" s="1"/>
  <c r="Y1114" i="27"/>
  <c r="Z1114" i="27" s="1"/>
  <c r="Y1115" i="27"/>
  <c r="Z1115" i="27" s="1"/>
  <c r="Y1116" i="27"/>
  <c r="Z1116" i="27" s="1"/>
  <c r="Y1117" i="27"/>
  <c r="Z1117" i="27" s="1"/>
  <c r="Y1118" i="27"/>
  <c r="Z1118" i="27" s="1"/>
  <c r="Y1119" i="27"/>
  <c r="Z1119" i="27" s="1"/>
  <c r="Y1120" i="27"/>
  <c r="Z1120" i="27" s="1"/>
  <c r="Y1121" i="27"/>
  <c r="Z1121" i="27" s="1"/>
  <c r="Y1122" i="27"/>
  <c r="Z1122" i="27" s="1"/>
  <c r="Y1123" i="27"/>
  <c r="Z1123" i="27" s="1"/>
  <c r="Y1124" i="27"/>
  <c r="Z1124" i="27" s="1"/>
  <c r="Y1125" i="27"/>
  <c r="Z1125" i="27" s="1"/>
  <c r="Y1126" i="27"/>
  <c r="Z1126" i="27" s="1"/>
  <c r="Y1127" i="27"/>
  <c r="Z1127" i="27" s="1"/>
  <c r="Y1128" i="27"/>
  <c r="Z1128" i="27" s="1"/>
  <c r="Y1129" i="27"/>
  <c r="Z1129" i="27" s="1"/>
  <c r="Y1130" i="27"/>
  <c r="Z1130" i="27" s="1"/>
  <c r="Y1131" i="27"/>
  <c r="Z1131" i="27" s="1"/>
  <c r="Y1132" i="27"/>
  <c r="Z1132" i="27" s="1"/>
  <c r="Y1133" i="27"/>
  <c r="Z1133" i="27" s="1"/>
  <c r="Y1134" i="27"/>
  <c r="Z1134" i="27" s="1"/>
  <c r="Y1135" i="27"/>
  <c r="Z1135" i="27" s="1"/>
  <c r="Y1136" i="27"/>
  <c r="Z1136" i="27" s="1"/>
  <c r="Y1137" i="27"/>
  <c r="Z1137" i="27" s="1"/>
  <c r="V9" i="27" l="1"/>
  <c r="U9" i="27"/>
  <c r="T9" i="27"/>
  <c r="S9" i="27"/>
  <c r="R9" i="27"/>
  <c r="V8" i="27"/>
  <c r="U8" i="27"/>
  <c r="T8" i="27"/>
  <c r="S8" i="27"/>
  <c r="R8" i="27"/>
  <c r="Q8" i="27"/>
  <c r="V7" i="27"/>
  <c r="U7" i="27"/>
  <c r="T7" i="27"/>
  <c r="S7" i="27"/>
  <c r="R7" i="27"/>
  <c r="Q7" i="27"/>
  <c r="V6" i="27"/>
  <c r="U6" i="27"/>
  <c r="T6" i="27"/>
  <c r="S6" i="27"/>
  <c r="R6" i="27"/>
  <c r="Q6" i="27"/>
  <c r="V4" i="27"/>
  <c r="U4" i="27"/>
  <c r="U3" i="27" s="1"/>
  <c r="T4" i="27"/>
  <c r="S4" i="27"/>
  <c r="R4" i="27"/>
  <c r="R3" i="27" s="1"/>
  <c r="R2" i="27" s="1"/>
  <c r="Q4" i="27"/>
  <c r="Q9" i="27"/>
  <c r="W687" i="27" l="1"/>
  <c r="X687" i="27"/>
  <c r="Y687" i="27"/>
  <c r="Z687" i="27" s="1"/>
  <c r="X686" i="27"/>
  <c r="W686" i="27"/>
  <c r="Y686" i="27"/>
  <c r="Z686" i="27" s="1"/>
  <c r="X685" i="27"/>
  <c r="W685" i="27"/>
  <c r="Y685" i="27"/>
  <c r="Z685" i="27" s="1"/>
  <c r="X684" i="27"/>
  <c r="W684" i="27"/>
  <c r="Y684" i="27"/>
  <c r="Z684" i="27" s="1"/>
  <c r="X683" i="27"/>
  <c r="W683" i="27"/>
  <c r="Y683" i="27"/>
  <c r="Z683" i="27" s="1"/>
  <c r="X682" i="27"/>
  <c r="W682" i="27"/>
  <c r="Y682" i="27"/>
  <c r="Z682" i="27" s="1"/>
  <c r="X681" i="27"/>
  <c r="W681" i="27"/>
  <c r="Y681" i="27"/>
  <c r="Z681" i="27" s="1"/>
  <c r="X680" i="27"/>
  <c r="W680" i="27"/>
  <c r="Y680" i="27"/>
  <c r="Z680" i="27" s="1"/>
  <c r="X679" i="27"/>
  <c r="W679" i="27"/>
  <c r="Y679" i="27"/>
  <c r="Z679" i="27" s="1"/>
  <c r="X678" i="27"/>
  <c r="W678" i="27"/>
  <c r="Y678" i="27"/>
  <c r="Z678" i="27" s="1"/>
  <c r="X677" i="27"/>
  <c r="W677" i="27"/>
  <c r="Y677" i="27"/>
  <c r="Z677" i="27" s="1"/>
  <c r="W676" i="27"/>
  <c r="X676" i="27"/>
  <c r="Y676" i="27"/>
  <c r="Z676" i="27" s="1"/>
  <c r="X673" i="27"/>
  <c r="W672" i="27"/>
  <c r="W673" i="27"/>
  <c r="X672" i="27"/>
  <c r="Y673" i="27"/>
  <c r="Z673" i="27" s="1"/>
  <c r="Y672" i="27"/>
  <c r="Z672" i="27" s="1"/>
  <c r="X665" i="27"/>
  <c r="W665" i="27"/>
  <c r="Y665" i="27"/>
  <c r="Z665" i="27" s="1"/>
  <c r="X674" i="27"/>
  <c r="W675" i="27"/>
  <c r="W674" i="27"/>
  <c r="X675" i="27"/>
  <c r="Y675" i="27"/>
  <c r="Z675" i="27" s="1"/>
  <c r="Y674" i="27"/>
  <c r="Z674" i="27" s="1"/>
  <c r="X667" i="27"/>
  <c r="W666" i="27"/>
  <c r="W667" i="27"/>
  <c r="X666" i="27"/>
  <c r="Y667" i="27"/>
  <c r="Z667" i="27" s="1"/>
  <c r="Y666" i="27"/>
  <c r="Z666" i="27" s="1"/>
  <c r="X668" i="27"/>
  <c r="W668" i="27"/>
  <c r="X669" i="27"/>
  <c r="W669" i="27"/>
  <c r="Y668" i="27"/>
  <c r="Z668" i="27" s="1"/>
  <c r="Y669" i="27"/>
  <c r="Z669" i="27" s="1"/>
  <c r="X671" i="27"/>
  <c r="W670" i="27"/>
  <c r="W671" i="27"/>
  <c r="X670" i="27"/>
  <c r="Y671" i="27"/>
  <c r="Z671" i="27" s="1"/>
  <c r="Y670" i="27"/>
  <c r="Z670" i="27" s="1"/>
  <c r="X664" i="27"/>
  <c r="W664" i="27"/>
  <c r="Y664" i="27"/>
  <c r="Z664" i="27" s="1"/>
  <c r="X663" i="27"/>
  <c r="X661" i="27"/>
  <c r="W661" i="27"/>
  <c r="X662" i="27"/>
  <c r="W663" i="27"/>
  <c r="X660" i="27"/>
  <c r="W662" i="27"/>
  <c r="W660" i="27"/>
  <c r="Y662" i="27"/>
  <c r="Z662" i="27" s="1"/>
  <c r="Y663" i="27"/>
  <c r="Z663" i="27" s="1"/>
  <c r="Y660" i="27"/>
  <c r="Z660" i="27" s="1"/>
  <c r="Y661" i="27"/>
  <c r="Z661" i="27" s="1"/>
  <c r="X649" i="27"/>
  <c r="W649" i="27"/>
  <c r="W648" i="27"/>
  <c r="X650" i="27"/>
  <c r="X651" i="27"/>
  <c r="X648" i="27"/>
  <c r="W650" i="27"/>
  <c r="W651" i="27"/>
  <c r="Y650" i="27"/>
  <c r="Z650" i="27" s="1"/>
  <c r="Y651" i="27"/>
  <c r="Z651" i="27" s="1"/>
  <c r="Y648" i="27"/>
  <c r="Z648" i="27" s="1"/>
  <c r="Y649" i="27"/>
  <c r="Z649" i="27" s="1"/>
  <c r="X657" i="27"/>
  <c r="X658" i="27"/>
  <c r="W657" i="27"/>
  <c r="W658" i="27"/>
  <c r="X656" i="27"/>
  <c r="X659" i="27"/>
  <c r="W656" i="27"/>
  <c r="W659" i="27"/>
  <c r="Y658" i="27"/>
  <c r="Z658" i="27" s="1"/>
  <c r="Y659" i="27"/>
  <c r="Z659" i="27" s="1"/>
  <c r="Y656" i="27"/>
  <c r="Z656" i="27" s="1"/>
  <c r="Y657" i="27"/>
  <c r="Z657" i="27" s="1"/>
  <c r="W655" i="27"/>
  <c r="X653" i="27"/>
  <c r="X654" i="27"/>
  <c r="X652" i="27"/>
  <c r="W653" i="27"/>
  <c r="W654" i="27"/>
  <c r="W652" i="27"/>
  <c r="X655" i="27"/>
  <c r="Y654" i="27"/>
  <c r="Z654" i="27" s="1"/>
  <c r="Y655" i="27"/>
  <c r="Z655" i="27" s="1"/>
  <c r="Y652" i="27"/>
  <c r="Z652" i="27" s="1"/>
  <c r="Y653" i="27"/>
  <c r="Z653" i="27" s="1"/>
  <c r="X646" i="27"/>
  <c r="X644" i="27"/>
  <c r="X647" i="27"/>
  <c r="W646" i="27"/>
  <c r="W644" i="27"/>
  <c r="X645" i="27"/>
  <c r="W647" i="27"/>
  <c r="W645" i="27"/>
  <c r="Y647" i="27"/>
  <c r="Z647" i="27" s="1"/>
  <c r="Y645" i="27"/>
  <c r="Z645" i="27" s="1"/>
  <c r="Y644" i="27"/>
  <c r="Z644" i="27" s="1"/>
  <c r="Y646" i="27"/>
  <c r="Z646" i="27" s="1"/>
  <c r="X642" i="27"/>
  <c r="X640" i="27"/>
  <c r="X641" i="27"/>
  <c r="W642" i="27"/>
  <c r="W640" i="27"/>
  <c r="W641" i="27"/>
  <c r="X643" i="27"/>
  <c r="W643" i="27"/>
  <c r="Y643" i="27"/>
  <c r="Z643" i="27" s="1"/>
  <c r="Y641" i="27"/>
  <c r="Z641" i="27" s="1"/>
  <c r="Y640" i="27"/>
  <c r="Z640" i="27" s="1"/>
  <c r="Y642" i="27"/>
  <c r="Z642" i="27" s="1"/>
  <c r="W639" i="27"/>
  <c r="X637" i="27"/>
  <c r="X639" i="27"/>
  <c r="X638" i="27"/>
  <c r="W637" i="27"/>
  <c r="W638" i="27"/>
  <c r="Y639" i="27"/>
  <c r="Z639" i="27" s="1"/>
  <c r="Y637" i="27"/>
  <c r="Z637" i="27" s="1"/>
  <c r="Y638" i="27"/>
  <c r="Z638" i="27" s="1"/>
  <c r="X636" i="27"/>
  <c r="W636" i="27"/>
  <c r="Y636" i="27"/>
  <c r="Z636" i="27" s="1"/>
  <c r="X633" i="27"/>
  <c r="X634" i="27"/>
  <c r="W633" i="27"/>
  <c r="W634" i="27"/>
  <c r="X635" i="27"/>
  <c r="W635" i="27"/>
  <c r="Y635" i="27"/>
  <c r="Z635" i="27" s="1"/>
  <c r="Y633" i="27"/>
  <c r="Z633" i="27" s="1"/>
  <c r="Y634" i="27"/>
  <c r="Z634" i="27" s="1"/>
  <c r="U2" i="27"/>
  <c r="X632" i="27"/>
  <c r="W632" i="27"/>
  <c r="Y632" i="27"/>
  <c r="Z632" i="27" s="1"/>
  <c r="X623" i="27"/>
  <c r="X617" i="27"/>
  <c r="X618" i="27"/>
  <c r="X622" i="27"/>
  <c r="X619" i="27"/>
  <c r="X620" i="27"/>
  <c r="W617" i="27"/>
  <c r="W618" i="27"/>
  <c r="W622" i="27"/>
  <c r="W619" i="27"/>
  <c r="W620" i="27"/>
  <c r="W623" i="27"/>
  <c r="X621" i="27"/>
  <c r="X616" i="27"/>
  <c r="W621" i="27"/>
  <c r="W616" i="27"/>
  <c r="Y617" i="27"/>
  <c r="Z617" i="27" s="1"/>
  <c r="Y621" i="27"/>
  <c r="Z621" i="27" s="1"/>
  <c r="Y618" i="27"/>
  <c r="Z618" i="27" s="1"/>
  <c r="Y622" i="27"/>
  <c r="Z622" i="27" s="1"/>
  <c r="Y619" i="27"/>
  <c r="Z619" i="27" s="1"/>
  <c r="Y623" i="27"/>
  <c r="Z623" i="27" s="1"/>
  <c r="Y616" i="27"/>
  <c r="Z616" i="27" s="1"/>
  <c r="Y620" i="27"/>
  <c r="Z620" i="27" s="1"/>
  <c r="X629" i="27"/>
  <c r="W631" i="27"/>
  <c r="X625" i="27"/>
  <c r="X628" i="27"/>
  <c r="W629" i="27"/>
  <c r="W625" i="27"/>
  <c r="W628" i="27"/>
  <c r="X624" i="27"/>
  <c r="X631" i="27"/>
  <c r="X626" i="27"/>
  <c r="X630" i="27"/>
  <c r="X627" i="27"/>
  <c r="W624" i="27"/>
  <c r="W626" i="27"/>
  <c r="W630" i="27"/>
  <c r="W627" i="27"/>
  <c r="Y625" i="27"/>
  <c r="Z625" i="27" s="1"/>
  <c r="Y629" i="27"/>
  <c r="Z629" i="27" s="1"/>
  <c r="Y626" i="27"/>
  <c r="Z626" i="27" s="1"/>
  <c r="Y630" i="27"/>
  <c r="Z630" i="27" s="1"/>
  <c r="Y627" i="27"/>
  <c r="Z627" i="27" s="1"/>
  <c r="Y631" i="27"/>
  <c r="Z631" i="27" s="1"/>
  <c r="Y624" i="27"/>
  <c r="Z624" i="27" s="1"/>
  <c r="Y628" i="27"/>
  <c r="Z628" i="27" s="1"/>
  <c r="X607" i="27"/>
  <c r="X601" i="27"/>
  <c r="X605" i="27"/>
  <c r="X602" i="27"/>
  <c r="X606" i="27"/>
  <c r="W601" i="27"/>
  <c r="W605" i="27"/>
  <c r="W602" i="27"/>
  <c r="W606" i="27"/>
  <c r="X603" i="27"/>
  <c r="X604" i="27"/>
  <c r="W607" i="27"/>
  <c r="W603" i="27"/>
  <c r="W604" i="27"/>
  <c r="Y602" i="27"/>
  <c r="Z602" i="27" s="1"/>
  <c r="Y606" i="27"/>
  <c r="Z606" i="27" s="1"/>
  <c r="Y603" i="27"/>
  <c r="Z603" i="27" s="1"/>
  <c r="Y607" i="27"/>
  <c r="Z607" i="27" s="1"/>
  <c r="Y604" i="27"/>
  <c r="Z604" i="27" s="1"/>
  <c r="Y601" i="27"/>
  <c r="Z601" i="27" s="1"/>
  <c r="Y605" i="27"/>
  <c r="Z605" i="27" s="1"/>
  <c r="X610" i="27"/>
  <c r="X608" i="27"/>
  <c r="X613" i="27"/>
  <c r="X615" i="27"/>
  <c r="W610" i="27"/>
  <c r="W608" i="27"/>
  <c r="W613" i="27"/>
  <c r="X609" i="27"/>
  <c r="X614" i="27"/>
  <c r="X611" i="27"/>
  <c r="X612" i="27"/>
  <c r="W615" i="27"/>
  <c r="W614" i="27"/>
  <c r="W611" i="27"/>
  <c r="W612" i="27"/>
  <c r="W609" i="27"/>
  <c r="Y610" i="27"/>
  <c r="Z610" i="27" s="1"/>
  <c r="Y614" i="27"/>
  <c r="Z614" i="27" s="1"/>
  <c r="Y611" i="27"/>
  <c r="Z611" i="27" s="1"/>
  <c r="Y615" i="27"/>
  <c r="Z615" i="27" s="1"/>
  <c r="Y608" i="27"/>
  <c r="Z608" i="27" s="1"/>
  <c r="Y612" i="27"/>
  <c r="Z612" i="27" s="1"/>
  <c r="Y609" i="27"/>
  <c r="Z609" i="27" s="1"/>
  <c r="Y613" i="27"/>
  <c r="Z613" i="27" s="1"/>
  <c r="X600" i="27"/>
  <c r="W600" i="27"/>
  <c r="Y600" i="27"/>
  <c r="Z600" i="27" s="1"/>
  <c r="Y287" i="27"/>
  <c r="Z287" i="27" s="1"/>
  <c r="Y295" i="27"/>
  <c r="Z295" i="27" s="1"/>
  <c r="Y303" i="27"/>
  <c r="Z303" i="27" s="1"/>
  <c r="Y311" i="27"/>
  <c r="Z311" i="27" s="1"/>
  <c r="Y315" i="27"/>
  <c r="Z315" i="27" s="1"/>
  <c r="Y319" i="27"/>
  <c r="Z319" i="27" s="1"/>
  <c r="Y323" i="27"/>
  <c r="Z323" i="27" s="1"/>
  <c r="Y331" i="27"/>
  <c r="Z331" i="27" s="1"/>
  <c r="Y340" i="27"/>
  <c r="Z340" i="27" s="1"/>
  <c r="Y348" i="27"/>
  <c r="Z348" i="27" s="1"/>
  <c r="Y352" i="27"/>
  <c r="Z352" i="27" s="1"/>
  <c r="Y356" i="27"/>
  <c r="Z356" i="27" s="1"/>
  <c r="Y360" i="27"/>
  <c r="Z360" i="27" s="1"/>
  <c r="Y364" i="27"/>
  <c r="Z364" i="27" s="1"/>
  <c r="Y368" i="27"/>
  <c r="Z368" i="27" s="1"/>
  <c r="Y372" i="27"/>
  <c r="Z372" i="27" s="1"/>
  <c r="Y376" i="27"/>
  <c r="Z376" i="27" s="1"/>
  <c r="Y380" i="27"/>
  <c r="Z380" i="27" s="1"/>
  <c r="Y384" i="27"/>
  <c r="Z384" i="27" s="1"/>
  <c r="Y388" i="27"/>
  <c r="Z388" i="27" s="1"/>
  <c r="Y392" i="27"/>
  <c r="Z392" i="27" s="1"/>
  <c r="Y396" i="27"/>
  <c r="Z396" i="27" s="1"/>
  <c r="Y400" i="27"/>
  <c r="Z400" i="27" s="1"/>
  <c r="Y404" i="27"/>
  <c r="Z404" i="27" s="1"/>
  <c r="Y408" i="27"/>
  <c r="Z408" i="27" s="1"/>
  <c r="Y412" i="27"/>
  <c r="Z412" i="27" s="1"/>
  <c r="Y416" i="27"/>
  <c r="Z416" i="27" s="1"/>
  <c r="Y420" i="27"/>
  <c r="Z420" i="27" s="1"/>
  <c r="Y424" i="27"/>
  <c r="Z424" i="27" s="1"/>
  <c r="Y284" i="27"/>
  <c r="Z284" i="27" s="1"/>
  <c r="Y288" i="27"/>
  <c r="Z288" i="27" s="1"/>
  <c r="Y292" i="27"/>
  <c r="Z292" i="27" s="1"/>
  <c r="Y296" i="27"/>
  <c r="Z296" i="27" s="1"/>
  <c r="Y300" i="27"/>
  <c r="Z300" i="27" s="1"/>
  <c r="Y304" i="27"/>
  <c r="Z304" i="27" s="1"/>
  <c r="Y312" i="27"/>
  <c r="Z312" i="27" s="1"/>
  <c r="Y320" i="27"/>
  <c r="Z320" i="27" s="1"/>
  <c r="Y324" i="27"/>
  <c r="Z324" i="27" s="1"/>
  <c r="Y328" i="27"/>
  <c r="Z328" i="27" s="1"/>
  <c r="Y332" i="27"/>
  <c r="Z332" i="27" s="1"/>
  <c r="Y341" i="27"/>
  <c r="Z341" i="27" s="1"/>
  <c r="Y349" i="27"/>
  <c r="Z349" i="27" s="1"/>
  <c r="Y357" i="27"/>
  <c r="Z357" i="27" s="1"/>
  <c r="Y361" i="27"/>
  <c r="Z361" i="27" s="1"/>
  <c r="Y365" i="27"/>
  <c r="Z365" i="27" s="1"/>
  <c r="Y369" i="27"/>
  <c r="Z369" i="27" s="1"/>
  <c r="Y373" i="27"/>
  <c r="Z373" i="27" s="1"/>
  <c r="Y377" i="27"/>
  <c r="Z377" i="27" s="1"/>
  <c r="Y381" i="27"/>
  <c r="Z381" i="27" s="1"/>
  <c r="Y385" i="27"/>
  <c r="Z385" i="27" s="1"/>
  <c r="Y389" i="27"/>
  <c r="Z389" i="27" s="1"/>
  <c r="Y393" i="27"/>
  <c r="Z393" i="27" s="1"/>
  <c r="Y397" i="27"/>
  <c r="Z397" i="27" s="1"/>
  <c r="Y401" i="27"/>
  <c r="Z401" i="27" s="1"/>
  <c r="Y405" i="27"/>
  <c r="Z405" i="27" s="1"/>
  <c r="Y409" i="27"/>
  <c r="Z409" i="27" s="1"/>
  <c r="Y413" i="27"/>
  <c r="Z413" i="27" s="1"/>
  <c r="Y417" i="27"/>
  <c r="Z417" i="27" s="1"/>
  <c r="Y421" i="27"/>
  <c r="Z421" i="27" s="1"/>
  <c r="Y425" i="27"/>
  <c r="Z425" i="27" s="1"/>
  <c r="Y285" i="27"/>
  <c r="Z285" i="27" s="1"/>
  <c r="Y289" i="27"/>
  <c r="Z289" i="27" s="1"/>
  <c r="Y293" i="27"/>
  <c r="Z293" i="27" s="1"/>
  <c r="Y297" i="27"/>
  <c r="Z297" i="27" s="1"/>
  <c r="Y301" i="27"/>
  <c r="Z301" i="27" s="1"/>
  <c r="Y305" i="27"/>
  <c r="Z305" i="27" s="1"/>
  <c r="Y313" i="27"/>
  <c r="Z313" i="27" s="1"/>
  <c r="Y321" i="27"/>
  <c r="Z321" i="27" s="1"/>
  <c r="Y329" i="27"/>
  <c r="Z329" i="27" s="1"/>
  <c r="Y333" i="27"/>
  <c r="Z333" i="27" s="1"/>
  <c r="Y338" i="27"/>
  <c r="Z338" i="27" s="1"/>
  <c r="Y342" i="27"/>
  <c r="Z342" i="27" s="1"/>
  <c r="Y350" i="27"/>
  <c r="Z350" i="27" s="1"/>
  <c r="Y358" i="27"/>
  <c r="Z358" i="27" s="1"/>
  <c r="Y362" i="27"/>
  <c r="Z362" i="27" s="1"/>
  <c r="Y366" i="27"/>
  <c r="Z366" i="27" s="1"/>
  <c r="Y370" i="27"/>
  <c r="Z370" i="27" s="1"/>
  <c r="Y374" i="27"/>
  <c r="Z374" i="27" s="1"/>
  <c r="Y378" i="27"/>
  <c r="Z378" i="27" s="1"/>
  <c r="Y382" i="27"/>
  <c r="Z382" i="27" s="1"/>
  <c r="Y386" i="27"/>
  <c r="Z386" i="27" s="1"/>
  <c r="Y390" i="27"/>
  <c r="Z390" i="27" s="1"/>
  <c r="Y394" i="27"/>
  <c r="Z394" i="27" s="1"/>
  <c r="Y398" i="27"/>
  <c r="Z398" i="27" s="1"/>
  <c r="Y402" i="27"/>
  <c r="Z402" i="27" s="1"/>
  <c r="Y406" i="27"/>
  <c r="Z406" i="27" s="1"/>
  <c r="Y410" i="27"/>
  <c r="Z410" i="27" s="1"/>
  <c r="Y414" i="27"/>
  <c r="Z414" i="27" s="1"/>
  <c r="Y418" i="27"/>
  <c r="Z418" i="27" s="1"/>
  <c r="Y422" i="27"/>
  <c r="Z422" i="27" s="1"/>
  <c r="Y426" i="27"/>
  <c r="Z426" i="27" s="1"/>
  <c r="Y286" i="27"/>
  <c r="Z286" i="27" s="1"/>
  <c r="Y294" i="27"/>
  <c r="Z294" i="27" s="1"/>
  <c r="Y302" i="27"/>
  <c r="Z302" i="27" s="1"/>
  <c r="Y310" i="27"/>
  <c r="Z310" i="27" s="1"/>
  <c r="Y314" i="27"/>
  <c r="Z314" i="27" s="1"/>
  <c r="Y322" i="27"/>
  <c r="Z322" i="27" s="1"/>
  <c r="Y330" i="27"/>
  <c r="Z330" i="27" s="1"/>
  <c r="Y339" i="27"/>
  <c r="Z339" i="27" s="1"/>
  <c r="Y343" i="27"/>
  <c r="Z343" i="27" s="1"/>
  <c r="Y347" i="27"/>
  <c r="Z347" i="27" s="1"/>
  <c r="Y351" i="27"/>
  <c r="Z351" i="27" s="1"/>
  <c r="Y359" i="27"/>
  <c r="Z359" i="27" s="1"/>
  <c r="Y363" i="27"/>
  <c r="Z363" i="27" s="1"/>
  <c r="Y367" i="27"/>
  <c r="Z367" i="27" s="1"/>
  <c r="Y371" i="27"/>
  <c r="Z371" i="27" s="1"/>
  <c r="Y375" i="27"/>
  <c r="Z375" i="27" s="1"/>
  <c r="Y379" i="27"/>
  <c r="Z379" i="27" s="1"/>
  <c r="Y383" i="27"/>
  <c r="Z383" i="27" s="1"/>
  <c r="Y387" i="27"/>
  <c r="Z387" i="27" s="1"/>
  <c r="Y391" i="27"/>
  <c r="Z391" i="27" s="1"/>
  <c r="Y395" i="27"/>
  <c r="Z395" i="27" s="1"/>
  <c r="Y399" i="27"/>
  <c r="Z399" i="27" s="1"/>
  <c r="Y403" i="27"/>
  <c r="Z403" i="27" s="1"/>
  <c r="Y407" i="27"/>
  <c r="Z407" i="27" s="1"/>
  <c r="Y411" i="27"/>
  <c r="Z411" i="27" s="1"/>
  <c r="Y415" i="27"/>
  <c r="Z415" i="27" s="1"/>
  <c r="Y419" i="27"/>
  <c r="Z419" i="27" s="1"/>
  <c r="Y423" i="27"/>
  <c r="Z423" i="27" s="1"/>
  <c r="Y427" i="27"/>
  <c r="Z427" i="27" s="1"/>
  <c r="Q3" i="27"/>
  <c r="Q2" i="27" s="1"/>
  <c r="X127" i="27"/>
  <c r="W127" i="27"/>
  <c r="X132" i="27"/>
  <c r="X135" i="27"/>
  <c r="W132" i="27"/>
  <c r="W135" i="27"/>
  <c r="X134" i="27"/>
  <c r="W133" i="27"/>
  <c r="W134" i="27"/>
  <c r="X133" i="27"/>
  <c r="W118" i="27"/>
  <c r="W122" i="27"/>
  <c r="X122" i="27"/>
  <c r="X119" i="27"/>
  <c r="X120" i="27"/>
  <c r="W115" i="27"/>
  <c r="W117" i="27"/>
  <c r="X115" i="27"/>
  <c r="X116" i="27"/>
  <c r="W120" i="27"/>
  <c r="X117" i="27"/>
  <c r="W121" i="27"/>
  <c r="X121" i="27"/>
  <c r="W116" i="27"/>
  <c r="X118" i="27"/>
  <c r="W119" i="27"/>
  <c r="X126" i="27"/>
  <c r="X125" i="27"/>
  <c r="W126" i="27"/>
  <c r="W125" i="27"/>
  <c r="X129" i="27"/>
  <c r="W131" i="27"/>
  <c r="X131" i="27"/>
  <c r="X128" i="27"/>
  <c r="W130" i="27"/>
  <c r="W129" i="27"/>
  <c r="X130" i="27"/>
  <c r="W128" i="27"/>
  <c r="X138" i="27"/>
  <c r="W138" i="27"/>
  <c r="W139" i="27"/>
  <c r="X139" i="27"/>
  <c r="W137" i="27"/>
  <c r="W136" i="27"/>
  <c r="X137" i="27"/>
  <c r="X136" i="27"/>
  <c r="U46" i="26"/>
  <c r="U45" i="26"/>
  <c r="U44" i="26"/>
  <c r="U43" i="26"/>
  <c r="U42" i="26"/>
  <c r="U41" i="26"/>
  <c r="U39" i="26"/>
  <c r="U38" i="26"/>
  <c r="U37" i="26"/>
  <c r="U36" i="26"/>
  <c r="U35" i="26"/>
  <c r="U33" i="26"/>
  <c r="U32" i="26"/>
  <c r="U31" i="26"/>
  <c r="U30" i="26"/>
  <c r="U29" i="26"/>
  <c r="U28" i="26"/>
  <c r="U23" i="26"/>
  <c r="U21" i="26"/>
  <c r="U20" i="26"/>
  <c r="U19" i="26"/>
  <c r="U18" i="26"/>
  <c r="U12" i="26"/>
  <c r="U11" i="26"/>
  <c r="U10" i="26"/>
  <c r="U9" i="26"/>
  <c r="U16" i="26"/>
  <c r="U15" i="26"/>
  <c r="U14" i="26"/>
  <c r="AO291" i="28" l="1"/>
  <c r="AO289" i="28"/>
  <c r="AO282" i="28"/>
  <c r="AO199" i="28"/>
  <c r="AO75" i="28"/>
  <c r="AO118" i="28"/>
  <c r="AO308" i="28"/>
  <c r="AO306" i="28"/>
  <c r="AO288" i="28"/>
  <c r="AO200" i="28"/>
  <c r="AO74" i="28"/>
  <c r="AO28" i="28"/>
  <c r="AO300" i="28"/>
  <c r="AO297" i="28"/>
  <c r="AO301" i="28"/>
  <c r="AO198" i="28"/>
  <c r="AO30" i="28"/>
  <c r="AO201" i="28"/>
  <c r="AO309" i="28"/>
  <c r="AO246" i="28"/>
  <c r="AO72" i="28"/>
  <c r="AO27" i="28"/>
  <c r="AO307" i="28"/>
  <c r="AO280" i="28"/>
  <c r="AO245" i="28"/>
  <c r="AO120" i="28"/>
  <c r="AO29" i="28"/>
  <c r="AO73" i="28"/>
  <c r="AO281" i="28"/>
  <c r="AO299" i="28"/>
  <c r="AO244" i="28"/>
  <c r="AO117" i="28"/>
  <c r="AO279" i="28"/>
  <c r="AO298" i="28"/>
  <c r="AO290" i="28"/>
  <c r="AO243" i="28"/>
  <c r="AO119" i="28"/>
  <c r="AO310" i="28"/>
  <c r="AK11" i="27"/>
  <c r="AK141" i="27"/>
  <c r="AK170" i="27"/>
  <c r="AK403" i="27"/>
  <c r="AK432" i="27"/>
  <c r="AK60" i="27"/>
  <c r="AK312" i="27"/>
  <c r="AK341" i="27"/>
  <c r="AK377" i="27"/>
  <c r="AK492" i="27"/>
  <c r="AK106" i="27"/>
  <c r="AK214" i="27"/>
  <c r="AK250" i="27"/>
  <c r="AK293" i="27"/>
  <c r="AK473" i="27"/>
  <c r="AK368" i="27"/>
  <c r="AK404" i="27"/>
  <c r="AK140" i="27"/>
  <c r="AK313" i="27"/>
  <c r="AK356" i="27"/>
  <c r="AK378" i="27"/>
  <c r="AK493" i="27"/>
  <c r="AK95" i="27"/>
  <c r="AK304" i="27"/>
  <c r="AK347" i="27"/>
  <c r="AK419" i="27"/>
  <c r="AK455" i="27"/>
  <c r="AK187" i="27"/>
  <c r="AK320" i="27"/>
  <c r="AK177" i="27"/>
  <c r="AK213" i="27"/>
  <c r="AK242" i="27"/>
  <c r="AK278" i="27"/>
  <c r="AK314" i="27"/>
  <c r="AK429" i="27"/>
  <c r="AK458" i="27"/>
  <c r="AK494" i="27"/>
  <c r="AK115" i="27"/>
  <c r="AK230" i="27"/>
  <c r="AK266" i="27"/>
  <c r="AK302" i="27"/>
  <c r="AK410" i="27"/>
  <c r="AK348" i="27"/>
  <c r="AK413" i="27"/>
  <c r="AK113" i="27"/>
  <c r="AK257" i="27"/>
  <c r="AK430" i="27"/>
  <c r="AK339" i="27"/>
  <c r="AK440" i="27"/>
  <c r="AK25" i="27"/>
  <c r="AK500" i="27"/>
  <c r="AK366" i="27"/>
  <c r="AK402" i="27"/>
  <c r="AK431" i="27"/>
  <c r="AK467" i="27"/>
  <c r="AK52" i="27"/>
  <c r="AK160" i="27"/>
  <c r="AK311" i="27"/>
  <c r="AK484" i="27"/>
  <c r="AK178" i="27"/>
  <c r="AK152" i="27"/>
  <c r="AK32" i="27"/>
  <c r="AK474" i="27"/>
  <c r="AK249" i="27"/>
  <c r="AK26" i="27"/>
  <c r="AK285" i="27"/>
  <c r="AK321" i="27"/>
  <c r="AK350" i="27"/>
  <c r="AK465" i="27"/>
  <c r="AK194" i="27"/>
  <c r="AK468" i="27"/>
  <c r="AK511" i="27"/>
  <c r="AK70" i="27"/>
  <c r="AK185" i="27"/>
  <c r="AK437" i="27"/>
  <c r="AK44" i="27"/>
  <c r="AK116" i="27"/>
  <c r="AK447" i="27"/>
  <c r="AK97" i="27"/>
  <c r="AK457" i="27"/>
  <c r="AK438" i="27"/>
  <c r="AK510" i="27"/>
  <c r="AK59" i="27"/>
  <c r="AK124" i="27"/>
  <c r="AK268" i="27"/>
  <c r="AK491" i="27"/>
  <c r="AK420" i="27"/>
  <c r="AK188" i="27"/>
  <c r="AK411" i="27"/>
  <c r="AK277" i="27"/>
  <c r="AK33" i="27"/>
  <c r="AK62" i="27"/>
  <c r="AK79" i="27"/>
  <c r="AK367" i="27"/>
  <c r="AK446" i="27"/>
  <c r="AK456" i="27"/>
  <c r="AK34" i="27"/>
  <c r="AK322" i="27"/>
  <c r="AK358" i="27"/>
  <c r="AK387" i="27"/>
  <c r="AK51" i="27"/>
  <c r="AK80" i="27"/>
  <c r="AK123" i="27"/>
  <c r="AK159" i="27"/>
  <c r="AK195" i="27"/>
  <c r="AK224" i="27"/>
  <c r="AK469" i="27"/>
  <c r="AK104" i="27"/>
  <c r="AK205" i="27"/>
  <c r="AK241" i="27"/>
  <c r="AK284" i="27"/>
  <c r="AK392" i="27"/>
  <c r="AK421" i="27"/>
  <c r="AK143" i="27"/>
  <c r="AK179" i="27"/>
  <c r="AK287" i="27"/>
  <c r="AK23" i="27"/>
  <c r="AK131" i="27"/>
  <c r="AK275" i="27"/>
  <c r="AK501" i="27"/>
  <c r="AK449" i="27"/>
  <c r="AK375" i="27"/>
  <c r="AK98" i="27"/>
  <c r="AK357" i="27"/>
  <c r="AK386" i="27"/>
  <c r="AK86" i="27"/>
  <c r="AK151" i="27"/>
  <c r="AK331" i="27"/>
  <c r="AK475" i="27"/>
  <c r="AK233" i="27"/>
  <c r="AK478" i="27"/>
  <c r="AK77" i="27"/>
  <c r="AK142" i="27"/>
  <c r="AK502" i="27"/>
  <c r="AK87" i="27"/>
  <c r="AK260" i="27"/>
  <c r="AK169" i="27"/>
  <c r="AK248" i="27"/>
  <c r="AK428" i="27"/>
  <c r="AK464" i="27"/>
  <c r="AK107" i="27"/>
  <c r="AK150" i="27"/>
  <c r="AK215" i="27"/>
  <c r="AK251" i="27"/>
  <c r="AK294" i="27"/>
  <c r="AK323" i="27"/>
  <c r="AK232" i="27"/>
  <c r="AK376" i="27"/>
  <c r="AK384" i="27"/>
  <c r="AK69" i="27"/>
  <c r="AK105" i="27"/>
  <c r="AK134" i="27"/>
  <c r="AK43" i="27"/>
  <c r="AK158" i="27"/>
  <c r="AK338" i="27"/>
  <c r="AK374" i="27"/>
  <c r="AK396" i="27"/>
  <c r="AK482" i="27"/>
  <c r="AK24" i="27"/>
  <c r="AK53" i="27"/>
  <c r="AK89" i="27"/>
  <c r="AK125" i="27"/>
  <c r="AK161" i="27"/>
  <c r="AK197" i="27"/>
  <c r="AK269" i="27"/>
  <c r="AK305" i="27"/>
  <c r="AK41" i="27"/>
  <c r="AK149" i="27"/>
  <c r="AK286" i="27"/>
  <c r="AK329" i="27"/>
  <c r="AK365" i="27"/>
  <c r="AK394" i="27"/>
  <c r="AK466" i="27"/>
  <c r="AK509" i="27"/>
  <c r="AK231" i="27"/>
  <c r="AK267" i="27"/>
  <c r="AK296" i="27"/>
  <c r="AK476" i="27"/>
  <c r="AK61" i="27"/>
  <c r="AK212" i="27"/>
  <c r="AK349" i="27"/>
  <c r="AK35" i="27"/>
  <c r="AK71" i="27"/>
  <c r="AK114" i="27"/>
  <c r="AK186" i="27"/>
  <c r="AK258" i="27"/>
  <c r="AK196" i="27"/>
  <c r="AK340" i="27"/>
  <c r="AK383" i="27"/>
  <c r="AK405" i="27"/>
  <c r="AK441" i="27"/>
  <c r="AK122" i="27"/>
  <c r="AK439" i="27"/>
  <c r="AK221" i="27"/>
  <c r="AK414" i="27"/>
  <c r="AK503" i="27"/>
  <c r="AK167" i="27"/>
  <c r="AK206" i="27"/>
  <c r="AK393" i="27"/>
  <c r="AK422" i="27"/>
  <c r="AK50" i="27"/>
  <c r="AK223" i="27"/>
  <c r="AK259" i="27"/>
  <c r="AK295" i="27"/>
  <c r="AK96" i="27"/>
  <c r="AK132" i="27"/>
  <c r="AK168" i="27"/>
  <c r="AK204" i="27"/>
  <c r="AK240" i="27"/>
  <c r="AK276" i="27"/>
  <c r="AK485" i="27"/>
  <c r="AK401" i="27"/>
  <c r="AK423" i="27"/>
  <c r="AK303" i="27"/>
  <c r="AK332" i="27"/>
  <c r="AK483" i="27"/>
  <c r="AK512" i="27"/>
  <c r="AK68" i="27"/>
  <c r="AK133" i="27"/>
  <c r="AK176" i="27"/>
  <c r="AK42" i="27"/>
  <c r="AK78" i="27"/>
  <c r="AK222" i="27"/>
  <c r="AK330" i="27"/>
  <c r="AK359" i="27"/>
  <c r="AK395" i="27"/>
  <c r="AK88" i="27"/>
  <c r="AK203" i="27"/>
  <c r="AK239" i="27"/>
  <c r="AK412" i="27"/>
  <c r="AK448" i="27"/>
  <c r="AK477" i="27"/>
  <c r="AK385" i="27"/>
  <c r="AQ73" i="28"/>
  <c r="AQ244" i="28"/>
  <c r="AQ243" i="28"/>
  <c r="AQ297" i="28"/>
  <c r="AQ201" i="28"/>
  <c r="AQ245" i="28"/>
  <c r="AQ199" i="28"/>
  <c r="AQ117" i="28"/>
  <c r="AQ119" i="28"/>
  <c r="AQ72" i="28"/>
  <c r="AQ307" i="28"/>
  <c r="AQ308" i="28"/>
  <c r="AQ280" i="28"/>
  <c r="AQ309" i="28"/>
  <c r="AQ301" i="28"/>
  <c r="AQ279" i="28"/>
  <c r="AQ30" i="28"/>
  <c r="AQ299" i="28"/>
  <c r="AQ75" i="28"/>
  <c r="AQ298" i="28"/>
  <c r="AQ306" i="28"/>
  <c r="AQ282" i="28"/>
  <c r="AQ198" i="28"/>
  <c r="AQ288" i="28"/>
  <c r="AQ200" i="28"/>
  <c r="AQ120" i="28"/>
  <c r="AQ74" i="28"/>
  <c r="AQ27" i="28"/>
  <c r="AQ291" i="28"/>
  <c r="AQ246" i="28"/>
  <c r="AQ118" i="28"/>
  <c r="AQ29" i="28"/>
  <c r="AQ28" i="28"/>
  <c r="AQ281" i="28"/>
  <c r="AQ289" i="28"/>
  <c r="AQ310" i="28"/>
  <c r="AQ290" i="28"/>
  <c r="AQ300" i="28"/>
  <c r="AI485" i="27"/>
  <c r="AI178" i="27"/>
  <c r="AI348" i="27"/>
  <c r="AI312" i="27"/>
  <c r="AI430" i="27"/>
  <c r="AI158" i="27"/>
  <c r="AI330" i="27"/>
  <c r="AI230" i="27"/>
  <c r="AI314" i="27"/>
  <c r="AI169" i="27"/>
  <c r="AI269" i="27"/>
  <c r="AI232" i="27"/>
  <c r="AI464" i="27"/>
  <c r="AI341" i="27"/>
  <c r="AI384" i="27"/>
  <c r="AI212" i="27"/>
  <c r="AI405" i="27"/>
  <c r="AI438" i="27"/>
  <c r="AI295" i="27"/>
  <c r="AI375" i="27"/>
  <c r="AI366" i="27"/>
  <c r="AI401" i="27"/>
  <c r="AI143" i="27"/>
  <c r="AI176" i="27"/>
  <c r="AI403" i="27"/>
  <c r="AI150" i="27"/>
  <c r="AI60" i="27"/>
  <c r="AI32" i="27"/>
  <c r="AI142" i="27"/>
  <c r="AI149" i="27"/>
  <c r="AI95" i="27"/>
  <c r="AI449" i="27"/>
  <c r="AI285" i="27"/>
  <c r="AI356" i="27"/>
  <c r="AI70" i="27"/>
  <c r="AI78" i="27"/>
  <c r="AI332" i="27"/>
  <c r="AI268" i="27"/>
  <c r="AI376" i="27"/>
  <c r="AI377" i="27"/>
  <c r="AI168" i="27"/>
  <c r="AI167" i="27"/>
  <c r="AI69" i="27"/>
  <c r="AI365" i="27"/>
  <c r="AI385" i="27"/>
  <c r="AI204" i="27"/>
  <c r="AI339" i="27"/>
  <c r="AI383" i="27"/>
  <c r="AI186" i="27"/>
  <c r="AI492" i="27"/>
  <c r="AI340" i="27"/>
  <c r="AI473" i="27"/>
  <c r="AI484" i="27"/>
  <c r="AI231" i="27"/>
  <c r="AI458" i="27"/>
  <c r="AI412" i="27"/>
  <c r="AI251" i="27"/>
  <c r="AI512" i="27"/>
  <c r="AI242" i="27"/>
  <c r="AI140" i="27"/>
  <c r="AI50" i="27"/>
  <c r="AI26" i="27"/>
  <c r="AI52" i="27"/>
  <c r="AI113" i="27"/>
  <c r="AI42" i="27"/>
  <c r="AI53" i="27"/>
  <c r="AI187" i="27"/>
  <c r="AI287" i="27"/>
  <c r="AI151" i="27"/>
  <c r="AI476" i="27"/>
  <c r="AI429" i="27"/>
  <c r="AI213" i="27"/>
  <c r="AI266" i="27"/>
  <c r="AI431" i="27"/>
  <c r="AI423" i="27"/>
  <c r="AI152" i="27"/>
  <c r="AI62" i="27"/>
  <c r="AI277" i="27"/>
  <c r="AI96" i="27"/>
  <c r="AI115" i="27"/>
  <c r="AI284" i="27"/>
  <c r="AI394" i="27"/>
  <c r="AI468" i="27"/>
  <c r="AI302" i="27"/>
  <c r="AI410" i="27"/>
  <c r="AI240" i="27"/>
  <c r="AI221" i="27"/>
  <c r="AI133" i="27"/>
  <c r="AI466" i="27"/>
  <c r="AI86" i="27"/>
  <c r="AI224" i="27"/>
  <c r="AI368" i="27"/>
  <c r="AI132" i="27"/>
  <c r="AI35" i="27"/>
  <c r="AI89" i="27"/>
  <c r="AI107" i="27"/>
  <c r="AI131" i="27"/>
  <c r="AI24" i="27"/>
  <c r="AI205" i="27"/>
  <c r="AI44" i="27"/>
  <c r="AI358" i="27"/>
  <c r="AI320" i="27"/>
  <c r="AI33" i="27"/>
  <c r="AI402" i="27"/>
  <c r="AI77" i="27"/>
  <c r="AI386" i="27"/>
  <c r="AI59" i="27"/>
  <c r="AI446" i="27"/>
  <c r="AI503" i="27"/>
  <c r="AI106" i="27"/>
  <c r="AI286" i="27"/>
  <c r="AI249" i="27"/>
  <c r="AI278" i="27"/>
  <c r="AI411" i="27"/>
  <c r="AI413" i="27"/>
  <c r="AI482" i="27"/>
  <c r="AI250" i="27"/>
  <c r="AI420" i="27"/>
  <c r="AI428" i="27"/>
  <c r="AI141" i="27"/>
  <c r="AI474" i="27"/>
  <c r="AI276" i="27"/>
  <c r="AI439" i="27"/>
  <c r="AI188" i="27"/>
  <c r="AI477" i="27"/>
  <c r="AI294" i="27"/>
  <c r="AI322" i="27"/>
  <c r="AI321" i="27"/>
  <c r="AI122" i="27"/>
  <c r="AI51" i="27"/>
  <c r="AI134" i="27"/>
  <c r="AI116" i="27"/>
  <c r="AI23" i="27"/>
  <c r="AI393" i="27"/>
  <c r="AI414" i="27"/>
  <c r="AI350" i="27"/>
  <c r="AI206" i="27"/>
  <c r="AI475" i="27"/>
  <c r="AI259" i="27"/>
  <c r="AI311" i="27"/>
  <c r="AI239" i="27"/>
  <c r="AI395" i="27"/>
  <c r="AI196" i="27"/>
  <c r="AI123" i="27"/>
  <c r="AI331" i="27"/>
  <c r="AI493" i="27"/>
  <c r="AI170" i="27"/>
  <c r="AI500" i="27"/>
  <c r="AI469" i="27"/>
  <c r="AI267" i="27"/>
  <c r="AI441" i="27"/>
  <c r="AI258" i="27"/>
  <c r="AI305" i="27"/>
  <c r="AI185" i="27"/>
  <c r="AI483" i="27"/>
  <c r="AI404" i="27"/>
  <c r="AI293" i="27"/>
  <c r="AI161" i="27"/>
  <c r="AI114" i="27"/>
  <c r="AI71" i="27"/>
  <c r="AI104" i="27"/>
  <c r="AI125" i="27"/>
  <c r="AI457" i="27"/>
  <c r="AI338" i="27"/>
  <c r="AI392" i="27"/>
  <c r="AI323" i="27"/>
  <c r="AI80" i="27"/>
  <c r="AI257" i="27"/>
  <c r="AI241" i="27"/>
  <c r="AI374" i="27"/>
  <c r="AI233" i="27"/>
  <c r="AI447" i="27"/>
  <c r="AI197" i="27"/>
  <c r="AI195" i="27"/>
  <c r="AI478" i="27"/>
  <c r="AI455" i="27"/>
  <c r="AI502" i="27"/>
  <c r="AI511" i="27"/>
  <c r="AI448" i="27"/>
  <c r="AI501" i="27"/>
  <c r="AI313" i="27"/>
  <c r="AI248" i="27"/>
  <c r="AI419" i="27"/>
  <c r="AI179" i="27"/>
  <c r="AI357" i="27"/>
  <c r="AI223" i="27"/>
  <c r="AI494" i="27"/>
  <c r="AI491" i="27"/>
  <c r="AI214" i="27"/>
  <c r="AI160" i="27"/>
  <c r="AI88" i="27"/>
  <c r="AI87" i="27"/>
  <c r="AI34" i="27"/>
  <c r="AI124" i="27"/>
  <c r="AI329" i="27"/>
  <c r="AI396" i="27"/>
  <c r="AI177" i="27"/>
  <c r="AI347" i="27"/>
  <c r="AI367" i="27"/>
  <c r="AI105" i="27"/>
  <c r="AI422" i="27"/>
  <c r="AI304" i="27"/>
  <c r="AI222" i="27"/>
  <c r="AI387" i="27"/>
  <c r="AI275" i="27"/>
  <c r="AI359" i="27"/>
  <c r="AI215" i="27"/>
  <c r="AI509" i="27"/>
  <c r="AI465" i="27"/>
  <c r="AI437" i="27"/>
  <c r="AI378" i="27"/>
  <c r="AI194" i="27"/>
  <c r="AI303" i="27"/>
  <c r="AI440" i="27"/>
  <c r="AI421" i="27"/>
  <c r="AI510" i="27"/>
  <c r="AI296" i="27"/>
  <c r="AI68" i="27"/>
  <c r="AI349" i="27"/>
  <c r="AI456" i="27"/>
  <c r="AI159" i="27"/>
  <c r="AI79" i="27"/>
  <c r="AI25" i="27"/>
  <c r="AI98" i="27"/>
  <c r="AI97" i="27"/>
  <c r="AI41" i="27"/>
  <c r="AI43" i="27"/>
  <c r="AI260" i="27"/>
  <c r="AI467" i="27"/>
  <c r="AI203" i="27"/>
  <c r="AI432" i="27"/>
  <c r="AI61" i="27"/>
  <c r="Y492" i="27"/>
  <c r="Z492" i="27" s="1"/>
  <c r="Y496" i="27"/>
  <c r="Z496" i="27" s="1"/>
  <c r="Y500" i="27"/>
  <c r="Z500" i="27" s="1"/>
  <c r="Y504" i="27"/>
  <c r="Z504" i="27" s="1"/>
  <c r="Y508" i="27"/>
  <c r="Z508" i="27" s="1"/>
  <c r="Y495" i="27"/>
  <c r="Z495" i="27" s="1"/>
  <c r="Y499" i="27"/>
  <c r="Z499" i="27" s="1"/>
  <c r="Y493" i="27"/>
  <c r="Z493" i="27" s="1"/>
  <c r="Y497" i="27"/>
  <c r="Z497" i="27" s="1"/>
  <c r="Y501" i="27"/>
  <c r="Z501" i="27" s="1"/>
  <c r="Y505" i="27"/>
  <c r="Z505" i="27" s="1"/>
  <c r="Y509" i="27"/>
  <c r="Z509" i="27" s="1"/>
  <c r="Y507" i="27"/>
  <c r="Z507" i="27" s="1"/>
  <c r="Y490" i="27"/>
  <c r="Z490" i="27" s="1"/>
  <c r="Y494" i="27"/>
  <c r="Z494" i="27" s="1"/>
  <c r="Y498" i="27"/>
  <c r="Z498" i="27" s="1"/>
  <c r="Y502" i="27"/>
  <c r="Z502" i="27" s="1"/>
  <c r="Y506" i="27"/>
  <c r="Z506" i="27" s="1"/>
  <c r="Y510" i="27"/>
  <c r="Z510" i="27" s="1"/>
  <c r="Y491" i="27"/>
  <c r="Z491" i="27" s="1"/>
  <c r="Y503" i="27"/>
  <c r="Z503" i="27" s="1"/>
  <c r="Y511" i="27"/>
  <c r="Z511" i="27" s="1"/>
  <c r="W511" i="27"/>
  <c r="X511" i="27"/>
  <c r="Y134" i="27"/>
  <c r="Z134" i="27" s="1"/>
  <c r="Y135" i="27"/>
  <c r="Z135" i="27" s="1"/>
  <c r="Y118" i="27"/>
  <c r="Z118" i="27" s="1"/>
  <c r="Y122" i="27"/>
  <c r="Z122" i="27" s="1"/>
  <c r="Y130" i="27"/>
  <c r="Z130" i="27" s="1"/>
  <c r="Y139" i="27"/>
  <c r="Z139" i="27" s="1"/>
  <c r="Y101" i="27"/>
  <c r="Z101" i="27" s="1"/>
  <c r="Y104" i="27"/>
  <c r="Z104" i="27" s="1"/>
  <c r="Y109" i="27"/>
  <c r="Z109" i="27" s="1"/>
  <c r="Y114" i="27"/>
  <c r="Z114" i="27" s="1"/>
  <c r="Y129" i="27"/>
  <c r="Z129" i="27" s="1"/>
  <c r="Y102" i="27"/>
  <c r="Z102" i="27" s="1"/>
  <c r="Y136" i="27"/>
  <c r="Z136" i="27" s="1"/>
  <c r="Y103" i="27"/>
  <c r="Z103" i="27" s="1"/>
  <c r="Y112" i="27"/>
  <c r="Z112" i="27" s="1"/>
  <c r="Y115" i="27"/>
  <c r="Z115" i="27" s="1"/>
  <c r="Y119" i="27"/>
  <c r="Z119" i="27" s="1"/>
  <c r="Y125" i="27"/>
  <c r="Z125" i="27" s="1"/>
  <c r="Y128" i="27"/>
  <c r="Z128" i="27" s="1"/>
  <c r="Y138" i="27"/>
  <c r="Z138" i="27" s="1"/>
  <c r="Y107" i="27"/>
  <c r="Z107" i="27" s="1"/>
  <c r="Y106" i="27"/>
  <c r="Z106" i="27" s="1"/>
  <c r="Y105" i="27"/>
  <c r="Z105" i="27" s="1"/>
  <c r="Y110" i="27"/>
  <c r="Z110" i="27" s="1"/>
  <c r="Y113" i="27"/>
  <c r="Z113" i="27" s="1"/>
  <c r="Y100" i="27"/>
  <c r="Z100" i="27" s="1"/>
  <c r="Y117" i="27"/>
  <c r="Z117" i="27" s="1"/>
  <c r="Y116" i="27"/>
  <c r="Z116" i="27" s="1"/>
  <c r="Y120" i="27"/>
  <c r="Z120" i="27" s="1"/>
  <c r="Y126" i="27"/>
  <c r="Z126" i="27" s="1"/>
  <c r="Y111" i="27"/>
  <c r="Z111" i="27" s="1"/>
  <c r="Y133" i="27"/>
  <c r="Z133" i="27" s="1"/>
  <c r="Y121" i="27"/>
  <c r="Z121" i="27" s="1"/>
  <c r="Y131" i="27"/>
  <c r="Z131" i="27" s="1"/>
  <c r="Y108" i="27"/>
  <c r="Z108" i="27" s="1"/>
  <c r="Y137" i="27"/>
  <c r="Z137" i="27" s="1"/>
  <c r="X514" i="27"/>
  <c r="X518" i="27"/>
  <c r="X527" i="27"/>
  <c r="X515" i="27"/>
  <c r="X516" i="27"/>
  <c r="W535" i="27"/>
  <c r="X523" i="27"/>
  <c r="X525" i="27"/>
  <c r="X536" i="27"/>
  <c r="X530" i="27"/>
  <c r="X533" i="27"/>
  <c r="X534" i="27"/>
  <c r="X537" i="27"/>
  <c r="X512" i="27"/>
  <c r="X519" i="27"/>
  <c r="X513" i="27"/>
  <c r="X520" i="27"/>
  <c r="W514" i="27"/>
  <c r="W518" i="27"/>
  <c r="W515" i="27"/>
  <c r="W516" i="27"/>
  <c r="W523" i="27"/>
  <c r="W525" i="27"/>
  <c r="W536" i="27"/>
  <c r="W530" i="27"/>
  <c r="W533" i="27"/>
  <c r="W534" i="27"/>
  <c r="W537" i="27"/>
  <c r="W512" i="27"/>
  <c r="W513" i="27"/>
  <c r="W520" i="27"/>
  <c r="W527" i="27"/>
  <c r="X521" i="27"/>
  <c r="X517" i="27"/>
  <c r="X535" i="27"/>
  <c r="X529" i="27"/>
  <c r="X524" i="27"/>
  <c r="X522" i="27"/>
  <c r="X528" i="27"/>
  <c r="X526" i="27"/>
  <c r="X531" i="27"/>
  <c r="X532" i="27"/>
  <c r="X538" i="27"/>
  <c r="W519" i="27"/>
  <c r="W521" i="27"/>
  <c r="W522" i="27"/>
  <c r="W528" i="27"/>
  <c r="W517" i="27"/>
  <c r="W526" i="27"/>
  <c r="W529" i="27"/>
  <c r="W524" i="27"/>
  <c r="W531" i="27"/>
  <c r="W532" i="27"/>
  <c r="W538" i="27"/>
  <c r="Y513" i="27"/>
  <c r="Z513" i="27" s="1"/>
  <c r="Y517" i="27"/>
  <c r="Z517" i="27" s="1"/>
  <c r="Y521" i="27"/>
  <c r="Z521" i="27" s="1"/>
  <c r="Y525" i="27"/>
  <c r="Z525" i="27" s="1"/>
  <c r="Y529" i="27"/>
  <c r="Z529" i="27" s="1"/>
  <c r="Y533" i="27"/>
  <c r="Z533" i="27" s="1"/>
  <c r="Y537" i="27"/>
  <c r="Z537" i="27" s="1"/>
  <c r="Y514" i="27"/>
  <c r="Z514" i="27" s="1"/>
  <c r="Y518" i="27"/>
  <c r="Z518" i="27" s="1"/>
  <c r="Y522" i="27"/>
  <c r="Z522" i="27" s="1"/>
  <c r="Y526" i="27"/>
  <c r="Z526" i="27" s="1"/>
  <c r="Y530" i="27"/>
  <c r="Z530" i="27" s="1"/>
  <c r="Y534" i="27"/>
  <c r="Z534" i="27" s="1"/>
  <c r="Y538" i="27"/>
  <c r="Z538" i="27" s="1"/>
  <c r="Y515" i="27"/>
  <c r="Z515" i="27" s="1"/>
  <c r="Y519" i="27"/>
  <c r="Z519" i="27" s="1"/>
  <c r="Y523" i="27"/>
  <c r="Z523" i="27" s="1"/>
  <c r="Y527" i="27"/>
  <c r="Z527" i="27" s="1"/>
  <c r="Y531" i="27"/>
  <c r="Z531" i="27" s="1"/>
  <c r="Y535" i="27"/>
  <c r="Z535" i="27" s="1"/>
  <c r="Y512" i="27"/>
  <c r="Z512" i="27" s="1"/>
  <c r="Y516" i="27"/>
  <c r="Z516" i="27" s="1"/>
  <c r="Y520" i="27"/>
  <c r="Z520" i="27" s="1"/>
  <c r="Y524" i="27"/>
  <c r="Z524" i="27" s="1"/>
  <c r="Y528" i="27"/>
  <c r="Z528" i="27" s="1"/>
  <c r="Y532" i="27"/>
  <c r="Z532" i="27" s="1"/>
  <c r="Y536" i="27"/>
  <c r="Z536" i="27" s="1"/>
  <c r="Y132" i="27"/>
  <c r="Z132" i="27" s="1"/>
  <c r="Y127" i="27"/>
  <c r="Z127" i="27" s="1"/>
  <c r="Y184" i="27"/>
  <c r="Z184" i="27" s="1"/>
  <c r="Y141" i="27"/>
  <c r="Z141" i="27" s="1"/>
  <c r="Y145" i="27"/>
  <c r="Z145" i="27" s="1"/>
  <c r="Y149" i="27"/>
  <c r="Z149" i="27" s="1"/>
  <c r="Y153" i="27"/>
  <c r="Z153" i="27" s="1"/>
  <c r="Y157" i="27"/>
  <c r="Z157" i="27" s="1"/>
  <c r="Y161" i="27"/>
  <c r="Z161" i="27" s="1"/>
  <c r="Y165" i="27"/>
  <c r="Z165" i="27" s="1"/>
  <c r="Y169" i="27"/>
  <c r="Z169" i="27" s="1"/>
  <c r="Y173" i="27"/>
  <c r="Z173" i="27" s="1"/>
  <c r="Y177" i="27"/>
  <c r="Z177" i="27" s="1"/>
  <c r="Y181" i="27"/>
  <c r="Z181" i="27" s="1"/>
  <c r="Y186" i="27"/>
  <c r="Z186" i="27" s="1"/>
  <c r="Y142" i="27"/>
  <c r="Z142" i="27" s="1"/>
  <c r="Y146" i="27"/>
  <c r="Z146" i="27" s="1"/>
  <c r="Y150" i="27"/>
  <c r="Z150" i="27" s="1"/>
  <c r="Y154" i="27"/>
  <c r="Z154" i="27" s="1"/>
  <c r="Y158" i="27"/>
  <c r="Z158" i="27" s="1"/>
  <c r="Y162" i="27"/>
  <c r="Z162" i="27" s="1"/>
  <c r="Y166" i="27"/>
  <c r="Z166" i="27" s="1"/>
  <c r="Y170" i="27"/>
  <c r="Z170" i="27" s="1"/>
  <c r="Y174" i="27"/>
  <c r="Z174" i="27" s="1"/>
  <c r="Y178" i="27"/>
  <c r="Z178" i="27" s="1"/>
  <c r="Y182" i="27"/>
  <c r="Z182" i="27" s="1"/>
  <c r="Y187" i="27"/>
  <c r="Z187" i="27" s="1"/>
  <c r="Y143" i="27"/>
  <c r="Z143" i="27" s="1"/>
  <c r="Y147" i="27"/>
  <c r="Z147" i="27" s="1"/>
  <c r="Y151" i="27"/>
  <c r="Z151" i="27" s="1"/>
  <c r="Y155" i="27"/>
  <c r="Z155" i="27" s="1"/>
  <c r="Y159" i="27"/>
  <c r="Z159" i="27" s="1"/>
  <c r="Y163" i="27"/>
  <c r="Z163" i="27" s="1"/>
  <c r="Y167" i="27"/>
  <c r="Z167" i="27" s="1"/>
  <c r="Y171" i="27"/>
  <c r="Z171" i="27" s="1"/>
  <c r="Y175" i="27"/>
  <c r="Z175" i="27" s="1"/>
  <c r="Y179" i="27"/>
  <c r="Z179" i="27" s="1"/>
  <c r="Y183" i="27"/>
  <c r="Z183" i="27" s="1"/>
  <c r="Y188" i="27"/>
  <c r="Z188" i="27" s="1"/>
  <c r="Y140" i="27"/>
  <c r="Z140" i="27" s="1"/>
  <c r="Y144" i="27"/>
  <c r="Z144" i="27" s="1"/>
  <c r="Y148" i="27"/>
  <c r="Z148" i="27" s="1"/>
  <c r="Y152" i="27"/>
  <c r="Z152" i="27" s="1"/>
  <c r="Y156" i="27"/>
  <c r="Z156" i="27" s="1"/>
  <c r="Y160" i="27"/>
  <c r="Z160" i="27" s="1"/>
  <c r="Y164" i="27"/>
  <c r="Z164" i="27" s="1"/>
  <c r="Y168" i="27"/>
  <c r="Z168" i="27" s="1"/>
  <c r="Y172" i="27"/>
  <c r="Z172" i="27" s="1"/>
  <c r="Y176" i="27"/>
  <c r="Z176" i="27" s="1"/>
  <c r="Y180" i="27"/>
  <c r="Z180" i="27" s="1"/>
  <c r="Y185" i="27"/>
  <c r="Z185" i="27" s="1"/>
  <c r="Y189" i="27"/>
  <c r="Z189" i="27" s="1"/>
  <c r="AQ9" i="28"/>
  <c r="AQ11" i="28"/>
  <c r="AQ10" i="28"/>
  <c r="AQ12" i="28"/>
  <c r="AO11" i="28"/>
  <c r="AO10" i="28"/>
  <c r="AO12" i="28"/>
  <c r="AO9" i="28"/>
  <c r="AI11" i="27"/>
  <c r="AL11" i="27" s="1"/>
  <c r="W123" i="27"/>
  <c r="X124" i="27"/>
  <c r="W124" i="27"/>
  <c r="X123" i="27"/>
  <c r="Y123" i="27"/>
  <c r="Z123" i="27" s="1"/>
  <c r="Y124" i="27"/>
  <c r="Z124" i="27" s="1"/>
  <c r="AQ8" i="27"/>
  <c r="AQ10" i="27"/>
  <c r="AQ9" i="27"/>
  <c r="AP10" i="27"/>
  <c r="AP8" i="27"/>
  <c r="AP9" i="27"/>
  <c r="AR10" i="27"/>
  <c r="AR9" i="27"/>
  <c r="AR8" i="27"/>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H42" i="2"/>
  <c r="H32" i="2"/>
  <c r="G13" i="26"/>
  <c r="G12" i="26"/>
  <c r="G11" i="26"/>
  <c r="G10" i="26"/>
  <c r="G9" i="26"/>
  <c r="G8" i="26"/>
  <c r="G7" i="26"/>
  <c r="G6" i="26"/>
  <c r="G5" i="26"/>
  <c r="G4" i="26"/>
  <c r="G3" i="26"/>
  <c r="E6" i="2"/>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L494" i="27" l="1"/>
  <c r="AJ494" i="27"/>
  <c r="AL259" i="27"/>
  <c r="AJ259" i="27"/>
  <c r="AL423" i="27"/>
  <c r="AJ423" i="27"/>
  <c r="AL295" i="27"/>
  <c r="AJ295" i="27"/>
  <c r="AL41" i="27"/>
  <c r="AJ47" i="27"/>
  <c r="AJ45" i="27"/>
  <c r="AJ46" i="27"/>
  <c r="AJ41" i="27"/>
  <c r="AL68" i="27"/>
  <c r="AJ73" i="27"/>
  <c r="AJ72" i="27"/>
  <c r="AJ74" i="27"/>
  <c r="AJ68" i="27"/>
  <c r="AL437" i="27"/>
  <c r="AJ437" i="27"/>
  <c r="AJ443" i="27"/>
  <c r="AJ442" i="27"/>
  <c r="AL304" i="27"/>
  <c r="AJ304" i="27"/>
  <c r="AL124" i="27"/>
  <c r="AJ124" i="27"/>
  <c r="AJ223" i="27"/>
  <c r="AL223" i="27"/>
  <c r="AJ511" i="27"/>
  <c r="AL511" i="27"/>
  <c r="AL374" i="27"/>
  <c r="AJ379" i="27"/>
  <c r="AJ374" i="27"/>
  <c r="AJ380" i="27"/>
  <c r="AL125" i="27"/>
  <c r="AJ125" i="27"/>
  <c r="AL185" i="27"/>
  <c r="AJ190" i="27"/>
  <c r="AJ191" i="27"/>
  <c r="AJ189" i="27"/>
  <c r="AJ185" i="27"/>
  <c r="AL493" i="27"/>
  <c r="AJ493" i="27"/>
  <c r="AL475" i="27"/>
  <c r="AJ475" i="27"/>
  <c r="AL51" i="27"/>
  <c r="AJ51" i="27"/>
  <c r="AJ276" i="27"/>
  <c r="AL276" i="27"/>
  <c r="AL411" i="27"/>
  <c r="AJ411" i="27"/>
  <c r="AL386" i="27"/>
  <c r="AJ386" i="27"/>
  <c r="AL24" i="27"/>
  <c r="AJ24" i="27"/>
  <c r="AL86" i="27"/>
  <c r="AJ92" i="27"/>
  <c r="AJ86" i="27"/>
  <c r="AJ90" i="27"/>
  <c r="AJ91" i="27"/>
  <c r="AL394" i="27"/>
  <c r="AJ394" i="27"/>
  <c r="AL431" i="27"/>
  <c r="AJ431" i="27"/>
  <c r="AL53" i="27"/>
  <c r="AJ53" i="27"/>
  <c r="AL512" i="27"/>
  <c r="AJ512" i="27"/>
  <c r="AL492" i="27"/>
  <c r="AJ492" i="27"/>
  <c r="AL167" i="27"/>
  <c r="AJ167" i="27"/>
  <c r="AJ171" i="27"/>
  <c r="AJ173" i="27"/>
  <c r="AJ172" i="27"/>
  <c r="AJ356" i="27"/>
  <c r="AJ361" i="27"/>
  <c r="AJ362" i="27"/>
  <c r="AL356" i="27"/>
  <c r="AJ360" i="27"/>
  <c r="AL150" i="27"/>
  <c r="AJ150" i="27"/>
  <c r="AL438" i="27"/>
  <c r="AJ438" i="27"/>
  <c r="AL169" i="27"/>
  <c r="AJ169" i="27"/>
  <c r="AL178" i="27"/>
  <c r="AJ178" i="27"/>
  <c r="AR244" i="28"/>
  <c r="AP244" i="28"/>
  <c r="AR307" i="28"/>
  <c r="AP307" i="28"/>
  <c r="AR301" i="28"/>
  <c r="AP301" i="28"/>
  <c r="AR308" i="28"/>
  <c r="AP308" i="28"/>
  <c r="AL329" i="27"/>
  <c r="AJ335" i="27"/>
  <c r="AJ333" i="27"/>
  <c r="AJ329" i="27"/>
  <c r="AJ334" i="27"/>
  <c r="AL170" i="27"/>
  <c r="AJ170" i="27"/>
  <c r="AL224" i="27"/>
  <c r="AJ224" i="27"/>
  <c r="AL340" i="27"/>
  <c r="AJ340" i="27"/>
  <c r="AL97" i="27"/>
  <c r="AJ97" i="27"/>
  <c r="AL296" i="27"/>
  <c r="AJ296" i="27"/>
  <c r="AL465" i="27"/>
  <c r="AJ465" i="27"/>
  <c r="AL422" i="27"/>
  <c r="AJ422" i="27"/>
  <c r="AL34" i="27"/>
  <c r="AJ34" i="27"/>
  <c r="AL357" i="27"/>
  <c r="AJ357" i="27"/>
  <c r="AL502" i="27"/>
  <c r="AJ502" i="27"/>
  <c r="AL241" i="27"/>
  <c r="AJ241" i="27"/>
  <c r="AL104" i="27"/>
  <c r="AJ104" i="27"/>
  <c r="AJ110" i="27"/>
  <c r="AJ109" i="27"/>
  <c r="AJ108" i="27"/>
  <c r="AL305" i="27"/>
  <c r="AJ305" i="27"/>
  <c r="AL331" i="27"/>
  <c r="AJ331" i="27"/>
  <c r="AL206" i="27"/>
  <c r="AJ206" i="27"/>
  <c r="AL122" i="27"/>
  <c r="AJ127" i="27"/>
  <c r="AJ128" i="27"/>
  <c r="AJ126" i="27"/>
  <c r="AJ122" i="27"/>
  <c r="AJ474" i="27"/>
  <c r="AL474" i="27"/>
  <c r="AL278" i="27"/>
  <c r="AJ278" i="27"/>
  <c r="AL77" i="27"/>
  <c r="AJ77" i="27"/>
  <c r="AJ81" i="27"/>
  <c r="AJ83" i="27"/>
  <c r="AJ82" i="27"/>
  <c r="AL131" i="27"/>
  <c r="AJ131" i="27"/>
  <c r="AJ137" i="27"/>
  <c r="AJ136" i="27"/>
  <c r="AJ135" i="27"/>
  <c r="AL466" i="27"/>
  <c r="AJ466" i="27"/>
  <c r="AL284" i="27"/>
  <c r="AJ288" i="27"/>
  <c r="AJ290" i="27"/>
  <c r="AJ289" i="27"/>
  <c r="AJ284" i="27"/>
  <c r="AL266" i="27"/>
  <c r="AJ271" i="27"/>
  <c r="AJ272" i="27"/>
  <c r="AJ266" i="27"/>
  <c r="AJ270" i="27"/>
  <c r="AL42" i="27"/>
  <c r="AJ42" i="27"/>
  <c r="AL251" i="27"/>
  <c r="AJ251" i="27"/>
  <c r="AL186" i="27"/>
  <c r="AJ186" i="27"/>
  <c r="AL168" i="27"/>
  <c r="AJ168" i="27"/>
  <c r="AL285" i="27"/>
  <c r="AJ285" i="27"/>
  <c r="AJ403" i="27"/>
  <c r="AL403" i="27"/>
  <c r="AL405" i="27"/>
  <c r="AJ405" i="27"/>
  <c r="AL314" i="27"/>
  <c r="AJ314" i="27"/>
  <c r="AL485" i="27"/>
  <c r="AJ485" i="27"/>
  <c r="AR310" i="28"/>
  <c r="AP310" i="28"/>
  <c r="AR299" i="28"/>
  <c r="AP299" i="28"/>
  <c r="AR27" i="28"/>
  <c r="AP31" i="28"/>
  <c r="AP33" i="28"/>
  <c r="AP32" i="28"/>
  <c r="AP27" i="28"/>
  <c r="AR297" i="28"/>
  <c r="AP297" i="28"/>
  <c r="AP302" i="28"/>
  <c r="AP303" i="28"/>
  <c r="AR118" i="28"/>
  <c r="AP118" i="28"/>
  <c r="AL43" i="27"/>
  <c r="AJ43" i="27"/>
  <c r="AL233" i="27"/>
  <c r="AJ233" i="27"/>
  <c r="AL59" i="27"/>
  <c r="AJ63" i="27"/>
  <c r="AJ65" i="27"/>
  <c r="AJ64" i="27"/>
  <c r="AJ59" i="27"/>
  <c r="AL187" i="27"/>
  <c r="AJ187" i="27"/>
  <c r="AL348" i="27"/>
  <c r="AJ348" i="27"/>
  <c r="AL61" i="27"/>
  <c r="AJ61" i="27"/>
  <c r="AL98" i="27"/>
  <c r="AJ98" i="27"/>
  <c r="AJ510" i="27"/>
  <c r="AL510" i="27"/>
  <c r="AL509" i="27"/>
  <c r="AJ509" i="27"/>
  <c r="AJ514" i="27"/>
  <c r="AJ515" i="27"/>
  <c r="AJ513" i="27"/>
  <c r="AL105" i="27"/>
  <c r="AJ105" i="27"/>
  <c r="AL87" i="27"/>
  <c r="AJ87" i="27"/>
  <c r="AL179" i="27"/>
  <c r="AJ179" i="27"/>
  <c r="AL455" i="27"/>
  <c r="AJ460" i="27"/>
  <c r="AJ455" i="27"/>
  <c r="AJ461" i="27"/>
  <c r="AJ459" i="27"/>
  <c r="AL257" i="27"/>
  <c r="AJ261" i="27"/>
  <c r="AJ257" i="27"/>
  <c r="AJ263" i="27"/>
  <c r="AJ262" i="27"/>
  <c r="AL71" i="27"/>
  <c r="AJ71" i="27"/>
  <c r="AL258" i="27"/>
  <c r="AJ258" i="27"/>
  <c r="AL123" i="27"/>
  <c r="AJ123" i="27"/>
  <c r="AL350" i="27"/>
  <c r="AJ350" i="27"/>
  <c r="AL321" i="27"/>
  <c r="AJ321" i="27"/>
  <c r="AL141" i="27"/>
  <c r="AJ141" i="27"/>
  <c r="AL249" i="27"/>
  <c r="AJ249" i="27"/>
  <c r="AL402" i="27"/>
  <c r="AJ402" i="27"/>
  <c r="AL107" i="27"/>
  <c r="AJ107" i="27"/>
  <c r="AL133" i="27"/>
  <c r="AJ133" i="27"/>
  <c r="AL115" i="27"/>
  <c r="AJ115" i="27"/>
  <c r="AL213" i="27"/>
  <c r="AJ213" i="27"/>
  <c r="AL113" i="27"/>
  <c r="AJ117" i="27"/>
  <c r="AJ118" i="27"/>
  <c r="AJ113" i="27"/>
  <c r="AJ119" i="27"/>
  <c r="AL412" i="27"/>
  <c r="AJ412" i="27"/>
  <c r="AL383" i="27"/>
  <c r="AJ388" i="27"/>
  <c r="AJ389" i="27"/>
  <c r="AJ383" i="27"/>
  <c r="AL377" i="27"/>
  <c r="AJ377" i="27"/>
  <c r="AL449" i="27"/>
  <c r="AJ449" i="27"/>
  <c r="AJ181" i="27"/>
  <c r="AJ176" i="27"/>
  <c r="AJ182" i="27"/>
  <c r="AL176" i="27"/>
  <c r="AJ180" i="27"/>
  <c r="AL212" i="27"/>
  <c r="AJ218" i="27"/>
  <c r="AJ217" i="27"/>
  <c r="AJ212" i="27"/>
  <c r="AJ216" i="27"/>
  <c r="AL230" i="27"/>
  <c r="AJ234" i="27"/>
  <c r="AJ230" i="27"/>
  <c r="AJ236" i="27"/>
  <c r="AJ235" i="27"/>
  <c r="AR119" i="28"/>
  <c r="AP119" i="28"/>
  <c r="AR281" i="28"/>
  <c r="AP281" i="28"/>
  <c r="AR72" i="28"/>
  <c r="AP78" i="28"/>
  <c r="AP72" i="28"/>
  <c r="AP77" i="28"/>
  <c r="AP76" i="28"/>
  <c r="AR300" i="28"/>
  <c r="AP300" i="28"/>
  <c r="AR75" i="28"/>
  <c r="AP75" i="28"/>
  <c r="AL378" i="27"/>
  <c r="AJ378" i="27"/>
  <c r="AL439" i="27"/>
  <c r="AJ439" i="27"/>
  <c r="AL69" i="27"/>
  <c r="AJ69" i="27"/>
  <c r="AR117" i="28"/>
  <c r="AP122" i="28"/>
  <c r="AP117" i="28"/>
  <c r="AP121" i="28"/>
  <c r="AP123" i="28"/>
  <c r="AL432" i="27"/>
  <c r="AJ432" i="27"/>
  <c r="AL25" i="27"/>
  <c r="AJ25" i="27"/>
  <c r="AL421" i="27"/>
  <c r="AJ421" i="27"/>
  <c r="AL215" i="27"/>
  <c r="AJ215" i="27"/>
  <c r="AL367" i="27"/>
  <c r="AJ367" i="27"/>
  <c r="AL88" i="27"/>
  <c r="AJ88" i="27"/>
  <c r="AL419" i="27"/>
  <c r="AJ424" i="27"/>
  <c r="AJ425" i="27"/>
  <c r="AJ419" i="27"/>
  <c r="AL478" i="27"/>
  <c r="AJ478" i="27"/>
  <c r="AL80" i="27"/>
  <c r="AJ80" i="27"/>
  <c r="AL114" i="27"/>
  <c r="AJ114" i="27"/>
  <c r="AL441" i="27"/>
  <c r="AJ441" i="27"/>
  <c r="AL196" i="27"/>
  <c r="AJ196" i="27"/>
  <c r="AL414" i="27"/>
  <c r="AJ414" i="27"/>
  <c r="AL322" i="27"/>
  <c r="AJ322" i="27"/>
  <c r="AL428" i="27"/>
  <c r="AJ428" i="27"/>
  <c r="AJ433" i="27"/>
  <c r="AJ434" i="27"/>
  <c r="AL286" i="27"/>
  <c r="AJ286" i="27"/>
  <c r="AL33" i="27"/>
  <c r="AJ33" i="27"/>
  <c r="AL89" i="27"/>
  <c r="AJ89" i="27"/>
  <c r="AL221" i="27"/>
  <c r="AJ227" i="27"/>
  <c r="AJ225" i="27"/>
  <c r="AJ221" i="27"/>
  <c r="AJ226" i="27"/>
  <c r="AL96" i="27"/>
  <c r="AJ96" i="27"/>
  <c r="AL429" i="27"/>
  <c r="AJ429" i="27"/>
  <c r="AL52" i="27"/>
  <c r="AJ52" i="27"/>
  <c r="AL458" i="27"/>
  <c r="AJ458" i="27"/>
  <c r="AL339" i="27"/>
  <c r="AJ339" i="27"/>
  <c r="AL376" i="27"/>
  <c r="AJ376" i="27"/>
  <c r="AL95" i="27"/>
  <c r="AJ95" i="27"/>
  <c r="AJ100" i="27"/>
  <c r="AJ99" i="27"/>
  <c r="AJ101" i="27"/>
  <c r="AL143" i="27"/>
  <c r="AJ143" i="27"/>
  <c r="AL384" i="27"/>
  <c r="AJ384" i="27"/>
  <c r="AL330" i="27"/>
  <c r="AJ330" i="27"/>
  <c r="AR243" i="28"/>
  <c r="AP243" i="28"/>
  <c r="AP249" i="28"/>
  <c r="AP248" i="28"/>
  <c r="AP247" i="28"/>
  <c r="AR73" i="28"/>
  <c r="AP73" i="28"/>
  <c r="AR246" i="28"/>
  <c r="AP246" i="28"/>
  <c r="AR28" i="28"/>
  <c r="AP28" i="28"/>
  <c r="AR199" i="28"/>
  <c r="AP199" i="28"/>
  <c r="AJ448" i="27"/>
  <c r="AL448" i="27"/>
  <c r="AL134" i="27"/>
  <c r="AJ134" i="27"/>
  <c r="AL468" i="27"/>
  <c r="AJ468" i="27"/>
  <c r="AL60" i="27"/>
  <c r="AJ60" i="27"/>
  <c r="AR306" i="28"/>
  <c r="AP306" i="28"/>
  <c r="AP312" i="28"/>
  <c r="AP311" i="28"/>
  <c r="AJ207" i="27"/>
  <c r="AL203" i="27"/>
  <c r="AJ203" i="27"/>
  <c r="AJ209" i="27"/>
  <c r="AJ208" i="27"/>
  <c r="AL79" i="27"/>
  <c r="AJ79" i="27"/>
  <c r="AL440" i="27"/>
  <c r="AJ440" i="27"/>
  <c r="AL359" i="27"/>
  <c r="AJ359" i="27"/>
  <c r="AL347" i="27"/>
  <c r="AJ347" i="27"/>
  <c r="AJ351" i="27"/>
  <c r="AJ353" i="27"/>
  <c r="AJ352" i="27"/>
  <c r="AL160" i="27"/>
  <c r="AJ160" i="27"/>
  <c r="AJ248" i="27"/>
  <c r="AL248" i="27"/>
  <c r="AJ253" i="27"/>
  <c r="AJ254" i="27"/>
  <c r="AJ252" i="27"/>
  <c r="AL195" i="27"/>
  <c r="AJ195" i="27"/>
  <c r="AL323" i="27"/>
  <c r="AJ323" i="27"/>
  <c r="AL161" i="27"/>
  <c r="AJ161" i="27"/>
  <c r="AL267" i="27"/>
  <c r="AJ267" i="27"/>
  <c r="AL395" i="27"/>
  <c r="AJ395" i="27"/>
  <c r="AL393" i="27"/>
  <c r="AJ393" i="27"/>
  <c r="AL294" i="27"/>
  <c r="AJ294" i="27"/>
  <c r="AL420" i="27"/>
  <c r="AJ420" i="27"/>
  <c r="AL106" i="27"/>
  <c r="AJ106" i="27"/>
  <c r="AL320" i="27"/>
  <c r="AJ326" i="27"/>
  <c r="AJ325" i="27"/>
  <c r="AJ320" i="27"/>
  <c r="AJ324" i="27"/>
  <c r="AL35" i="27"/>
  <c r="AJ35" i="27"/>
  <c r="AL240" i="27"/>
  <c r="AJ240" i="27"/>
  <c r="AL277" i="27"/>
  <c r="AJ277" i="27"/>
  <c r="AL476" i="27"/>
  <c r="AJ476" i="27"/>
  <c r="AL26" i="27"/>
  <c r="AJ26" i="27"/>
  <c r="AL231" i="27"/>
  <c r="AJ231" i="27"/>
  <c r="AL204" i="27"/>
  <c r="AJ204" i="27"/>
  <c r="AL268" i="27"/>
  <c r="AJ268" i="27"/>
  <c r="AL149" i="27"/>
  <c r="AJ154" i="27"/>
  <c r="AJ153" i="27"/>
  <c r="AJ155" i="27"/>
  <c r="AJ149" i="27"/>
  <c r="AL401" i="27"/>
  <c r="AJ401" i="27"/>
  <c r="AJ407" i="27"/>
  <c r="AJ406" i="27"/>
  <c r="AL341" i="27"/>
  <c r="AJ341" i="27"/>
  <c r="AL158" i="27"/>
  <c r="AJ163" i="27"/>
  <c r="AJ162" i="27"/>
  <c r="AJ164" i="27"/>
  <c r="AJ158" i="27"/>
  <c r="AR290" i="28"/>
  <c r="AP290" i="28"/>
  <c r="AR29" i="28"/>
  <c r="AP29" i="28"/>
  <c r="AR309" i="28"/>
  <c r="AP309" i="28"/>
  <c r="AR74" i="28"/>
  <c r="AP74" i="28"/>
  <c r="AR282" i="28"/>
  <c r="AP282" i="28"/>
  <c r="AL349" i="27"/>
  <c r="AJ349" i="27"/>
  <c r="AL457" i="27"/>
  <c r="AJ457" i="27"/>
  <c r="AL205" i="27"/>
  <c r="AJ205" i="27"/>
  <c r="AL70" i="27"/>
  <c r="AJ70" i="27"/>
  <c r="AR280" i="28"/>
  <c r="AP280" i="28"/>
  <c r="AL467" i="27"/>
  <c r="AJ467" i="27"/>
  <c r="AJ159" i="27"/>
  <c r="AL159" i="27"/>
  <c r="AL303" i="27"/>
  <c r="AJ303" i="27"/>
  <c r="AL275" i="27"/>
  <c r="AJ275" i="27"/>
  <c r="AJ279" i="27"/>
  <c r="AJ281" i="27"/>
  <c r="AJ280" i="27"/>
  <c r="AL177" i="27"/>
  <c r="AJ177" i="27"/>
  <c r="AL214" i="27"/>
  <c r="AJ214" i="27"/>
  <c r="AL313" i="27"/>
  <c r="AJ313" i="27"/>
  <c r="AL197" i="27"/>
  <c r="AJ197" i="27"/>
  <c r="AL392" i="27"/>
  <c r="AJ398" i="27"/>
  <c r="AJ392" i="27"/>
  <c r="AJ397" i="27"/>
  <c r="AJ298" i="27"/>
  <c r="AJ293" i="27"/>
  <c r="AL293" i="27"/>
  <c r="AJ299" i="27"/>
  <c r="AJ297" i="27"/>
  <c r="AL469" i="27"/>
  <c r="AJ469" i="27"/>
  <c r="AL239" i="27"/>
  <c r="AJ244" i="27"/>
  <c r="AJ239" i="27"/>
  <c r="AJ245" i="27"/>
  <c r="AJ243" i="27"/>
  <c r="AL23" i="27"/>
  <c r="AJ27" i="27"/>
  <c r="AJ28" i="27"/>
  <c r="AJ29" i="27"/>
  <c r="AJ23" i="27"/>
  <c r="AL477" i="27"/>
  <c r="AJ477" i="27"/>
  <c r="AL250" i="27"/>
  <c r="AJ250" i="27"/>
  <c r="AL503" i="27"/>
  <c r="AJ503" i="27"/>
  <c r="AL358" i="27"/>
  <c r="AJ358" i="27"/>
  <c r="AL132" i="27"/>
  <c r="AJ132" i="27"/>
  <c r="AL410" i="27"/>
  <c r="AJ415" i="27"/>
  <c r="AJ410" i="27"/>
  <c r="AJ416" i="27"/>
  <c r="AL62" i="27"/>
  <c r="AJ62" i="27"/>
  <c r="AL151" i="27"/>
  <c r="AJ151" i="27"/>
  <c r="AL50" i="27"/>
  <c r="AJ54" i="27"/>
  <c r="AJ50" i="27"/>
  <c r="AJ55" i="27"/>
  <c r="AJ56" i="27"/>
  <c r="AL484" i="27"/>
  <c r="AJ484" i="27"/>
  <c r="AL385" i="27"/>
  <c r="AJ385" i="27"/>
  <c r="AL332" i="27"/>
  <c r="AJ332" i="27"/>
  <c r="AL142" i="27"/>
  <c r="AJ142" i="27"/>
  <c r="AL366" i="27"/>
  <c r="AJ366" i="27"/>
  <c r="AL464" i="27"/>
  <c r="AJ464" i="27"/>
  <c r="AJ470" i="27"/>
  <c r="AL430" i="27"/>
  <c r="AJ430" i="27"/>
  <c r="AR298" i="28"/>
  <c r="AP298" i="28"/>
  <c r="AR120" i="28"/>
  <c r="AP120" i="28"/>
  <c r="AR201" i="28"/>
  <c r="AP201" i="28"/>
  <c r="AR200" i="28"/>
  <c r="AP200" i="28"/>
  <c r="AR289" i="28"/>
  <c r="AP289" i="28"/>
  <c r="AL222" i="27"/>
  <c r="AJ222" i="27"/>
  <c r="AL483" i="27"/>
  <c r="AJ483" i="27"/>
  <c r="AL413" i="27"/>
  <c r="AJ413" i="27"/>
  <c r="AL242" i="27"/>
  <c r="AJ242" i="27"/>
  <c r="AL269" i="27"/>
  <c r="AJ269" i="27"/>
  <c r="AP204" i="28"/>
  <c r="AP202" i="28"/>
  <c r="AP198" i="28"/>
  <c r="AP203" i="28"/>
  <c r="AR198" i="28"/>
  <c r="AL260" i="27"/>
  <c r="AJ260" i="27"/>
  <c r="AL456" i="27"/>
  <c r="AJ456" i="27"/>
  <c r="AL194" i="27"/>
  <c r="AJ200" i="27"/>
  <c r="AJ199" i="27"/>
  <c r="AJ198" i="27"/>
  <c r="AJ194" i="27"/>
  <c r="AL387" i="27"/>
  <c r="AJ387" i="27"/>
  <c r="AJ396" i="27"/>
  <c r="AL396" i="27"/>
  <c r="AL491" i="27"/>
  <c r="AJ496" i="27"/>
  <c r="AJ497" i="27"/>
  <c r="AJ491" i="27"/>
  <c r="AJ495" i="27"/>
  <c r="AL501" i="27"/>
  <c r="AJ501" i="27"/>
  <c r="AL447" i="27"/>
  <c r="AJ447" i="27"/>
  <c r="AL338" i="27"/>
  <c r="AJ344" i="27"/>
  <c r="AJ342" i="27"/>
  <c r="AJ338" i="27"/>
  <c r="AJ343" i="27"/>
  <c r="AL404" i="27"/>
  <c r="AJ404" i="27"/>
  <c r="AL500" i="27"/>
  <c r="AJ505" i="27"/>
  <c r="AJ500" i="27"/>
  <c r="AJ506" i="27"/>
  <c r="AJ504" i="27"/>
  <c r="AL311" i="27"/>
  <c r="AJ311" i="27"/>
  <c r="AJ316" i="27"/>
  <c r="AJ315" i="27"/>
  <c r="AJ317" i="27"/>
  <c r="AL116" i="27"/>
  <c r="AJ116" i="27"/>
  <c r="AL188" i="27"/>
  <c r="AM188" i="27" s="1"/>
  <c r="AJ188" i="27"/>
  <c r="AL482" i="27"/>
  <c r="AJ486" i="27"/>
  <c r="AJ482" i="27"/>
  <c r="AJ487" i="27"/>
  <c r="AJ488" i="27"/>
  <c r="AL446" i="27"/>
  <c r="AJ450" i="27"/>
  <c r="AJ451" i="27"/>
  <c r="AJ446" i="27"/>
  <c r="AJ452" i="27"/>
  <c r="AL44" i="27"/>
  <c r="AJ44" i="27"/>
  <c r="AL368" i="27"/>
  <c r="AJ368" i="27"/>
  <c r="AL302" i="27"/>
  <c r="AJ307" i="27"/>
  <c r="AJ302" i="27"/>
  <c r="AJ306" i="27"/>
  <c r="AJ308" i="27"/>
  <c r="AL152" i="27"/>
  <c r="AJ152" i="27"/>
  <c r="AL287" i="27"/>
  <c r="AJ287" i="27"/>
  <c r="AL140" i="27"/>
  <c r="AJ140" i="27"/>
  <c r="AJ146" i="27"/>
  <c r="AJ145" i="27"/>
  <c r="AJ144" i="27"/>
  <c r="AL473" i="27"/>
  <c r="AJ473" i="27"/>
  <c r="AJ479" i="27"/>
  <c r="AL365" i="27"/>
  <c r="AJ365" i="27"/>
  <c r="AJ370" i="27"/>
  <c r="AJ371" i="27"/>
  <c r="AJ369" i="27"/>
  <c r="AL78" i="27"/>
  <c r="AJ78" i="27"/>
  <c r="AL32" i="27"/>
  <c r="AJ36" i="27"/>
  <c r="AJ38" i="27"/>
  <c r="AJ37" i="27"/>
  <c r="AJ32" i="27"/>
  <c r="AL375" i="27"/>
  <c r="AJ375" i="27"/>
  <c r="AL232" i="27"/>
  <c r="AJ232" i="27"/>
  <c r="AL312" i="27"/>
  <c r="AJ312" i="27"/>
  <c r="AP285" i="28"/>
  <c r="AR279" i="28"/>
  <c r="AP284" i="28"/>
  <c r="AP279" i="28"/>
  <c r="AP283" i="28"/>
  <c r="AR245" i="28"/>
  <c r="AP245" i="28"/>
  <c r="AR30" i="28"/>
  <c r="AP30" i="28"/>
  <c r="AP293" i="28"/>
  <c r="AP292" i="28"/>
  <c r="AR288" i="28"/>
  <c r="AP294" i="28"/>
  <c r="AP288" i="28"/>
  <c r="AR291" i="28"/>
  <c r="AP291" i="28"/>
  <c r="AP15" i="28"/>
  <c r="AP13" i="28"/>
  <c r="AR9" i="28"/>
  <c r="AP14" i="28"/>
  <c r="AP9" i="28"/>
  <c r="AR12" i="28"/>
  <c r="AP12" i="28"/>
  <c r="AR10" i="28"/>
  <c r="AP10" i="28"/>
  <c r="AR11" i="28"/>
  <c r="AP11" i="28"/>
  <c r="G15" i="2"/>
  <c r="H15" i="2" s="1"/>
  <c r="Y24" i="27"/>
  <c r="Z24" i="27" s="1"/>
  <c r="Y83" i="27"/>
  <c r="Z83" i="27" s="1"/>
  <c r="Y91" i="27"/>
  <c r="Z91" i="27" s="1"/>
  <c r="Y99" i="27"/>
  <c r="Z99" i="27" s="1"/>
  <c r="Y82" i="27"/>
  <c r="Z82" i="27" s="1"/>
  <c r="Y84" i="27"/>
  <c r="Z84" i="27" s="1"/>
  <c r="Y92" i="27"/>
  <c r="Z92" i="27" s="1"/>
  <c r="Y85" i="27"/>
  <c r="Z85" i="27" s="1"/>
  <c r="Y93" i="27"/>
  <c r="Z93" i="27" s="1"/>
  <c r="Y86" i="27"/>
  <c r="Z86" i="27" s="1"/>
  <c r="Y94" i="27"/>
  <c r="Z94" i="27" s="1"/>
  <c r="Y98" i="27"/>
  <c r="Z98" i="27" s="1"/>
  <c r="Y78" i="27"/>
  <c r="Z78" i="27" s="1"/>
  <c r="Y87" i="27"/>
  <c r="Z87" i="27" s="1"/>
  <c r="Y95" i="27"/>
  <c r="Z95" i="27" s="1"/>
  <c r="Y90" i="27"/>
  <c r="Z90" i="27" s="1"/>
  <c r="Y80" i="27"/>
  <c r="Z80" i="27" s="1"/>
  <c r="Y88" i="27"/>
  <c r="Z88" i="27" s="1"/>
  <c r="Y96" i="27"/>
  <c r="Z96" i="27" s="1"/>
  <c r="Y81" i="27"/>
  <c r="Z81" i="27" s="1"/>
  <c r="Y89" i="27"/>
  <c r="Z89" i="27" s="1"/>
  <c r="Y97" i="27"/>
  <c r="Z97" i="27" s="1"/>
  <c r="Y71" i="27"/>
  <c r="Z71" i="27" s="1"/>
  <c r="Y76" i="27"/>
  <c r="Z76" i="27" s="1"/>
  <c r="Y70" i="27"/>
  <c r="Z70" i="27" s="1"/>
  <c r="Y72" i="27"/>
  <c r="Z72" i="27" s="1"/>
  <c r="Y77" i="27"/>
  <c r="Z77" i="27" s="1"/>
  <c r="Y75" i="27"/>
  <c r="Z75" i="27" s="1"/>
  <c r="Y73" i="27"/>
  <c r="Z73" i="27" s="1"/>
  <c r="Y79" i="27"/>
  <c r="Z79" i="27" s="1"/>
  <c r="Y74" i="27"/>
  <c r="Z74" i="27" s="1"/>
  <c r="Y60" i="27"/>
  <c r="Z60" i="27" s="1"/>
  <c r="Y22" i="27"/>
  <c r="Z22" i="27" s="1"/>
  <c r="AO9" i="27"/>
  <c r="AN9" i="27"/>
  <c r="AK9" i="27"/>
  <c r="AU9" i="27"/>
  <c r="AO8" i="27"/>
  <c r="AK8" i="27"/>
  <c r="AN8" i="27"/>
  <c r="AU8" i="27"/>
  <c r="AK10" i="27"/>
  <c r="AN10" i="27"/>
  <c r="AO10" i="27"/>
  <c r="AU10" i="27"/>
  <c r="G18" i="2"/>
  <c r="H18" i="2" s="1"/>
  <c r="G13" i="2"/>
  <c r="H13" i="2" s="1"/>
  <c r="G12" i="2"/>
  <c r="H12" i="2" s="1"/>
  <c r="Y23" i="27"/>
  <c r="Z23" i="27" s="1"/>
  <c r="Y26" i="27"/>
  <c r="Z26" i="27" s="1"/>
  <c r="Y25" i="27"/>
  <c r="Z25" i="27" s="1"/>
  <c r="Y59" i="27"/>
  <c r="Z59" i="27" s="1"/>
  <c r="Y64" i="27"/>
  <c r="Z64" i="27" s="1"/>
  <c r="Y66" i="27"/>
  <c r="Z66" i="27" s="1"/>
  <c r="Y65" i="27"/>
  <c r="Z65" i="27" s="1"/>
  <c r="Y67" i="27"/>
  <c r="Z67" i="27" s="1"/>
  <c r="Y62" i="27"/>
  <c r="Z62" i="27" s="1"/>
  <c r="Y68" i="27"/>
  <c r="Z68" i="27" s="1"/>
  <c r="Y63" i="27"/>
  <c r="Z63" i="27" s="1"/>
  <c r="Y69" i="27"/>
  <c r="Z69" i="27" s="1"/>
  <c r="Y58" i="27"/>
  <c r="Z58" i="27" s="1"/>
  <c r="Y61" i="27"/>
  <c r="Z61" i="27" s="1"/>
  <c r="Y30" i="27"/>
  <c r="Z30" i="27" s="1"/>
  <c r="Y38" i="27"/>
  <c r="Z38" i="27" s="1"/>
  <c r="Y46" i="27"/>
  <c r="Z46" i="27" s="1"/>
  <c r="Y54" i="27"/>
  <c r="Z54" i="27" s="1"/>
  <c r="Y31" i="27"/>
  <c r="Z31" i="27" s="1"/>
  <c r="Y39" i="27"/>
  <c r="Z39" i="27" s="1"/>
  <c r="Y47" i="27"/>
  <c r="Z47" i="27" s="1"/>
  <c r="Y55" i="27"/>
  <c r="Z55" i="27" s="1"/>
  <c r="Y32" i="27"/>
  <c r="Z32" i="27" s="1"/>
  <c r="Y40" i="27"/>
  <c r="Z40" i="27" s="1"/>
  <c r="Y48" i="27"/>
  <c r="Z48" i="27" s="1"/>
  <c r="Y56" i="27"/>
  <c r="Z56" i="27" s="1"/>
  <c r="Y33" i="27"/>
  <c r="Z33" i="27" s="1"/>
  <c r="Y41" i="27"/>
  <c r="Z41" i="27" s="1"/>
  <c r="Y49" i="27"/>
  <c r="Z49" i="27" s="1"/>
  <c r="Y57" i="27"/>
  <c r="Z57" i="27" s="1"/>
  <c r="Y34" i="27"/>
  <c r="Z34" i="27" s="1"/>
  <c r="Y42" i="27"/>
  <c r="Z42" i="27" s="1"/>
  <c r="Y50" i="27"/>
  <c r="Z50" i="27" s="1"/>
  <c r="Y28" i="27"/>
  <c r="Z28" i="27" s="1"/>
  <c r="Y36" i="27"/>
  <c r="Z36" i="27" s="1"/>
  <c r="Y44" i="27"/>
  <c r="Z44" i="27" s="1"/>
  <c r="Y52" i="27"/>
  <c r="Z52" i="27" s="1"/>
  <c r="Y27" i="27"/>
  <c r="Z27" i="27" s="1"/>
  <c r="Y29" i="27"/>
  <c r="Z29" i="27" s="1"/>
  <c r="Y35" i="27"/>
  <c r="Z35" i="27" s="1"/>
  <c r="Y37" i="27"/>
  <c r="Z37" i="27" s="1"/>
  <c r="Y43" i="27"/>
  <c r="Z43" i="27" s="1"/>
  <c r="Y45" i="27"/>
  <c r="Z45" i="27" s="1"/>
  <c r="Y51" i="27"/>
  <c r="Z51" i="27" s="1"/>
  <c r="Y53" i="27"/>
  <c r="Z53" i="27" s="1"/>
  <c r="G14" i="2"/>
  <c r="H14" i="2" s="1"/>
  <c r="G16" i="2"/>
  <c r="H16" i="2" s="1"/>
  <c r="G17" i="2"/>
  <c r="H17" i="2" s="1"/>
  <c r="AH222" i="27" l="1"/>
  <c r="AM222" i="27"/>
  <c r="AH376" i="27"/>
  <c r="AM376" i="27"/>
  <c r="AM168" i="27"/>
  <c r="AH168" i="27"/>
  <c r="AS281" i="28"/>
  <c r="AS285" i="28"/>
  <c r="AS279" i="28"/>
  <c r="AN279" i="28"/>
  <c r="AS283" i="28"/>
  <c r="AS284" i="28"/>
  <c r="AM44" i="27"/>
  <c r="AH44" i="27"/>
  <c r="AH503" i="27"/>
  <c r="AM506" i="27"/>
  <c r="AM504" i="27"/>
  <c r="AH500" i="27"/>
  <c r="AM500" i="27"/>
  <c r="AM505" i="27"/>
  <c r="AM495" i="27"/>
  <c r="AM497" i="27"/>
  <c r="AM491" i="27"/>
  <c r="AM496" i="27"/>
  <c r="AH413" i="27"/>
  <c r="AM413" i="27"/>
  <c r="AS200" i="28"/>
  <c r="AN200" i="28"/>
  <c r="AM430" i="27"/>
  <c r="AH430" i="27"/>
  <c r="AM503" i="27"/>
  <c r="AM469" i="27"/>
  <c r="AH303" i="27"/>
  <c r="AM303" i="27"/>
  <c r="AM70" i="27"/>
  <c r="AH70" i="27"/>
  <c r="AS282" i="28"/>
  <c r="AN282" i="28"/>
  <c r="AN290" i="28"/>
  <c r="AS290" i="28"/>
  <c r="AM154" i="27"/>
  <c r="AH149" i="27"/>
  <c r="AM155" i="27"/>
  <c r="AM153" i="27"/>
  <c r="AM149" i="27"/>
  <c r="AH26" i="27"/>
  <c r="AM26" i="27"/>
  <c r="AM35" i="27"/>
  <c r="AH35" i="27"/>
  <c r="AM134" i="27"/>
  <c r="AH134" i="27"/>
  <c r="AN246" i="28"/>
  <c r="AM458" i="27"/>
  <c r="AH458" i="27"/>
  <c r="AS117" i="28"/>
  <c r="AS123" i="28"/>
  <c r="AS122" i="28"/>
  <c r="AN117" i="28"/>
  <c r="AS121" i="28"/>
  <c r="AS75" i="28"/>
  <c r="AN75" i="28"/>
  <c r="AM234" i="27"/>
  <c r="AM236" i="27"/>
  <c r="AH230" i="27"/>
  <c r="AM235" i="27"/>
  <c r="AM230" i="27"/>
  <c r="AH187" i="27"/>
  <c r="AM187" i="27"/>
  <c r="AN310" i="28"/>
  <c r="AS310" i="28"/>
  <c r="AH251" i="27"/>
  <c r="AM251" i="27"/>
  <c r="AH77" i="27"/>
  <c r="AM77" i="27"/>
  <c r="AM81" i="27"/>
  <c r="AM82" i="27"/>
  <c r="AM83" i="27"/>
  <c r="AM502" i="27"/>
  <c r="AH502" i="27"/>
  <c r="AH465" i="27"/>
  <c r="AM465" i="27"/>
  <c r="AM224" i="27"/>
  <c r="AM86" i="27"/>
  <c r="AM90" i="27"/>
  <c r="AM92" i="27"/>
  <c r="AM91" i="27"/>
  <c r="AH86" i="27"/>
  <c r="AM38" i="27"/>
  <c r="AH32" i="27"/>
  <c r="AM37" i="27"/>
  <c r="AM36" i="27"/>
  <c r="AM32" i="27"/>
  <c r="AH269" i="27"/>
  <c r="AM269" i="27"/>
  <c r="AH477" i="27"/>
  <c r="AM477" i="27"/>
  <c r="AH467" i="27"/>
  <c r="AM467" i="27"/>
  <c r="AM277" i="27"/>
  <c r="AH277" i="27"/>
  <c r="AH60" i="27"/>
  <c r="AM60" i="27"/>
  <c r="AH447" i="27"/>
  <c r="AM447" i="27"/>
  <c r="AH394" i="27"/>
  <c r="AM396" i="27"/>
  <c r="AH396" i="27"/>
  <c r="AM199" i="27"/>
  <c r="AM198" i="27"/>
  <c r="AM194" i="27"/>
  <c r="AH194" i="27"/>
  <c r="AM200" i="27"/>
  <c r="AH332" i="27"/>
  <c r="AM332" i="27"/>
  <c r="AM28" i="27"/>
  <c r="AH23" i="27"/>
  <c r="AM23" i="27"/>
  <c r="AM29" i="27"/>
  <c r="AM27" i="27"/>
  <c r="AM397" i="27"/>
  <c r="AM392" i="27"/>
  <c r="AM398" i="27"/>
  <c r="AH392" i="27"/>
  <c r="AH177" i="27"/>
  <c r="AM177" i="27"/>
  <c r="AM159" i="27"/>
  <c r="AH159" i="27"/>
  <c r="AM420" i="27"/>
  <c r="AH420" i="27"/>
  <c r="AM267" i="27"/>
  <c r="AH267" i="27"/>
  <c r="AH79" i="27"/>
  <c r="AM79" i="27"/>
  <c r="AM448" i="27"/>
  <c r="AH448" i="27"/>
  <c r="AM330" i="27"/>
  <c r="AH330" i="27"/>
  <c r="AH286" i="27"/>
  <c r="AM286" i="27"/>
  <c r="AM414" i="27"/>
  <c r="AH80" i="27"/>
  <c r="AM80" i="27"/>
  <c r="AH88" i="27"/>
  <c r="AM88" i="27"/>
  <c r="AH25" i="27"/>
  <c r="AM25" i="27"/>
  <c r="AN281" i="28"/>
  <c r="AM117" i="27"/>
  <c r="AM118" i="27"/>
  <c r="AM119" i="27"/>
  <c r="AM113" i="27"/>
  <c r="AH113" i="27"/>
  <c r="AH107" i="27"/>
  <c r="AM107" i="27"/>
  <c r="AM321" i="27"/>
  <c r="AH321" i="27"/>
  <c r="AH71" i="27"/>
  <c r="AM71" i="27"/>
  <c r="AH105" i="27"/>
  <c r="AM105" i="27"/>
  <c r="AM43" i="27"/>
  <c r="AH43" i="27"/>
  <c r="AM126" i="27"/>
  <c r="AM128" i="27"/>
  <c r="AH122" i="27"/>
  <c r="AM127" i="27"/>
  <c r="AM122" i="27"/>
  <c r="AN308" i="28"/>
  <c r="AS308" i="28"/>
  <c r="AM178" i="27"/>
  <c r="AH178" i="27"/>
  <c r="AH359" i="27"/>
  <c r="AM361" i="27"/>
  <c r="AM362" i="27"/>
  <c r="AM356" i="27"/>
  <c r="AH356" i="27"/>
  <c r="AM360" i="27"/>
  <c r="AH167" i="27"/>
  <c r="AM172" i="27"/>
  <c r="AM171" i="27"/>
  <c r="AM167" i="27"/>
  <c r="AM173" i="27"/>
  <c r="AM431" i="27"/>
  <c r="AH431" i="27"/>
  <c r="AM379" i="27"/>
  <c r="AH374" i="27"/>
  <c r="AM374" i="27"/>
  <c r="AM380" i="27"/>
  <c r="AH304" i="27"/>
  <c r="AM304" i="27"/>
  <c r="AH295" i="27"/>
  <c r="AM295" i="27"/>
  <c r="AM387" i="27"/>
  <c r="AH387" i="27"/>
  <c r="AN30" i="28"/>
  <c r="AS30" i="28"/>
  <c r="AM488" i="27"/>
  <c r="AH482" i="27"/>
  <c r="AM482" i="27"/>
  <c r="AM486" i="27"/>
  <c r="AM487" i="27"/>
  <c r="AH404" i="27"/>
  <c r="AM404" i="27"/>
  <c r="AH483" i="27"/>
  <c r="AM483" i="27"/>
  <c r="AN201" i="28"/>
  <c r="AS201" i="28"/>
  <c r="AM50" i="27"/>
  <c r="AM56" i="27"/>
  <c r="AH50" i="27"/>
  <c r="AM55" i="27"/>
  <c r="AM54" i="27"/>
  <c r="AM415" i="27"/>
  <c r="AM410" i="27"/>
  <c r="AH410" i="27"/>
  <c r="AM416" i="27"/>
  <c r="AH250" i="27"/>
  <c r="AM250" i="27"/>
  <c r="AH205" i="27"/>
  <c r="AM205" i="27"/>
  <c r="AS74" i="28"/>
  <c r="AN74" i="28"/>
  <c r="AH268" i="27"/>
  <c r="AM268" i="27"/>
  <c r="AH476" i="27"/>
  <c r="AM476" i="27"/>
  <c r="AS312" i="28"/>
  <c r="AS311" i="28"/>
  <c r="AN306" i="28"/>
  <c r="AS306" i="28"/>
  <c r="AS73" i="28"/>
  <c r="AN73" i="28"/>
  <c r="AM99" i="27"/>
  <c r="AH95" i="27"/>
  <c r="AM101" i="27"/>
  <c r="AM95" i="27"/>
  <c r="AM100" i="27"/>
  <c r="AH52" i="27"/>
  <c r="AM52" i="27"/>
  <c r="AH69" i="27"/>
  <c r="AM69" i="27"/>
  <c r="AN300" i="28"/>
  <c r="AS300" i="28"/>
  <c r="AM388" i="27"/>
  <c r="AM389" i="27"/>
  <c r="AH383" i="27"/>
  <c r="AM383" i="27"/>
  <c r="AM98" i="27"/>
  <c r="AH98" i="27"/>
  <c r="AH485" i="27"/>
  <c r="AM485" i="27"/>
  <c r="AM285" i="27"/>
  <c r="AH285" i="27"/>
  <c r="AM42" i="27"/>
  <c r="AH42" i="27"/>
  <c r="AM278" i="27"/>
  <c r="AH278" i="27"/>
  <c r="AM357" i="27"/>
  <c r="AH357" i="27"/>
  <c r="AH296" i="27"/>
  <c r="AM296" i="27"/>
  <c r="AM170" i="27"/>
  <c r="AH170" i="27"/>
  <c r="AM24" i="27"/>
  <c r="AH24" i="27"/>
  <c r="AH51" i="27"/>
  <c r="AM51" i="27"/>
  <c r="AM511" i="27"/>
  <c r="AH511" i="27"/>
  <c r="AH68" i="27"/>
  <c r="AM73" i="27"/>
  <c r="AM72" i="27"/>
  <c r="AM68" i="27"/>
  <c r="AM74" i="27"/>
  <c r="AH151" i="27"/>
  <c r="AM151" i="27"/>
  <c r="AH457" i="27"/>
  <c r="AM457" i="27"/>
  <c r="AH429" i="27"/>
  <c r="AM429" i="27"/>
  <c r="AN291" i="28"/>
  <c r="AS291" i="28"/>
  <c r="AM312" i="27"/>
  <c r="AH312" i="27"/>
  <c r="AM365" i="27"/>
  <c r="AH365" i="27"/>
  <c r="AM370" i="27"/>
  <c r="AM371" i="27"/>
  <c r="AM369" i="27"/>
  <c r="AH140" i="27"/>
  <c r="AM140" i="27"/>
  <c r="AM144" i="27"/>
  <c r="AM145" i="27"/>
  <c r="AM146" i="27"/>
  <c r="AM311" i="27"/>
  <c r="AM317" i="27"/>
  <c r="AH311" i="27"/>
  <c r="AM316" i="27"/>
  <c r="AM315" i="27"/>
  <c r="AM501" i="27"/>
  <c r="AH501" i="27"/>
  <c r="AH456" i="27"/>
  <c r="AM456" i="27"/>
  <c r="AH464" i="27"/>
  <c r="AM470" i="27"/>
  <c r="AM464" i="27"/>
  <c r="AH385" i="27"/>
  <c r="AM385" i="27"/>
  <c r="AH293" i="27"/>
  <c r="AM298" i="27"/>
  <c r="AM299" i="27"/>
  <c r="AM297" i="27"/>
  <c r="AM293" i="27"/>
  <c r="AM197" i="27"/>
  <c r="AH197" i="27"/>
  <c r="AM401" i="27"/>
  <c r="AH401" i="27"/>
  <c r="AM407" i="27"/>
  <c r="AM406" i="27"/>
  <c r="AM294" i="27"/>
  <c r="AH294" i="27"/>
  <c r="AM161" i="27"/>
  <c r="AH161" i="27"/>
  <c r="AH248" i="27"/>
  <c r="AM254" i="27"/>
  <c r="AM252" i="27"/>
  <c r="AM248" i="27"/>
  <c r="AM253" i="27"/>
  <c r="AM353" i="27"/>
  <c r="AM352" i="27"/>
  <c r="AM351" i="27"/>
  <c r="AM347" i="27"/>
  <c r="AH347" i="27"/>
  <c r="AH384" i="27"/>
  <c r="AM384" i="27"/>
  <c r="AM221" i="27"/>
  <c r="AH221" i="27"/>
  <c r="AM225" i="27"/>
  <c r="AM227" i="27"/>
  <c r="AM226" i="27"/>
  <c r="AH196" i="27"/>
  <c r="AM196" i="27"/>
  <c r="AM478" i="27"/>
  <c r="AH478" i="27"/>
  <c r="AH367" i="27"/>
  <c r="AM367" i="27"/>
  <c r="AH432" i="27"/>
  <c r="AM432" i="27"/>
  <c r="AN119" i="28"/>
  <c r="AS119" i="28"/>
  <c r="AH213" i="27"/>
  <c r="AM213" i="27"/>
  <c r="AM402" i="27"/>
  <c r="AH402" i="27"/>
  <c r="AM350" i="27"/>
  <c r="AH350" i="27"/>
  <c r="AM461" i="27"/>
  <c r="AM459" i="27"/>
  <c r="AM460" i="27"/>
  <c r="AM455" i="27"/>
  <c r="AH455" i="27"/>
  <c r="AN118" i="28"/>
  <c r="AS118" i="28"/>
  <c r="AM131" i="27"/>
  <c r="AM135" i="27"/>
  <c r="AM136" i="27"/>
  <c r="AM137" i="27"/>
  <c r="AH131" i="27"/>
  <c r="AM474" i="27"/>
  <c r="AH474" i="27"/>
  <c r="AM206" i="27"/>
  <c r="AH206" i="27"/>
  <c r="AS301" i="28"/>
  <c r="AN301" i="28"/>
  <c r="AM169" i="27"/>
  <c r="AH169" i="27"/>
  <c r="AM492" i="27"/>
  <c r="AH492" i="27"/>
  <c r="AM394" i="27"/>
  <c r="AM190" i="27"/>
  <c r="AM185" i="27"/>
  <c r="AM191" i="27"/>
  <c r="AH185" i="27"/>
  <c r="AM189" i="27"/>
  <c r="AM423" i="27"/>
  <c r="AH423" i="27"/>
  <c r="AN245" i="28"/>
  <c r="AS245" i="28"/>
  <c r="AM204" i="27"/>
  <c r="AH204" i="27"/>
  <c r="AH61" i="27"/>
  <c r="AM61" i="27"/>
  <c r="AS27" i="28"/>
  <c r="AS31" i="28"/>
  <c r="AS33" i="28"/>
  <c r="AS32" i="28"/>
  <c r="AN27" i="28"/>
  <c r="AM314" i="27"/>
  <c r="AH314" i="27"/>
  <c r="AM289" i="27"/>
  <c r="AM288" i="27"/>
  <c r="AH284" i="27"/>
  <c r="AM284" i="27"/>
  <c r="AM290" i="27"/>
  <c r="AH104" i="27"/>
  <c r="AM108" i="27"/>
  <c r="AM104" i="27"/>
  <c r="AM110" i="27"/>
  <c r="AM109" i="27"/>
  <c r="AM34" i="27"/>
  <c r="AH34" i="27"/>
  <c r="AM97" i="27"/>
  <c r="AH97" i="27"/>
  <c r="AM386" i="27"/>
  <c r="AH386" i="27"/>
  <c r="AH475" i="27"/>
  <c r="AM475" i="27"/>
  <c r="AH224" i="27"/>
  <c r="AH223" i="27"/>
  <c r="AM223" i="27"/>
  <c r="AM232" i="27"/>
  <c r="AH232" i="27"/>
  <c r="AH287" i="27"/>
  <c r="AM287" i="27"/>
  <c r="AM450" i="27"/>
  <c r="AH446" i="27"/>
  <c r="AM451" i="27"/>
  <c r="AM452" i="27"/>
  <c r="AM446" i="27"/>
  <c r="AH260" i="27"/>
  <c r="AM260" i="27"/>
  <c r="AM366" i="27"/>
  <c r="AH366" i="27"/>
  <c r="AH484" i="27"/>
  <c r="AM484" i="27"/>
  <c r="AM313" i="27"/>
  <c r="AH313" i="27"/>
  <c r="AM164" i="27"/>
  <c r="AM162" i="27"/>
  <c r="AM158" i="27"/>
  <c r="AH158" i="27"/>
  <c r="AM163" i="27"/>
  <c r="AM325" i="27"/>
  <c r="AM326" i="27"/>
  <c r="AM324" i="27"/>
  <c r="AH320" i="27"/>
  <c r="AM320" i="27"/>
  <c r="AH393" i="27"/>
  <c r="AM393" i="27"/>
  <c r="AM323" i="27"/>
  <c r="AH323" i="27"/>
  <c r="AM359" i="27"/>
  <c r="AH203" i="27"/>
  <c r="AM208" i="27"/>
  <c r="AM203" i="27"/>
  <c r="AM209" i="27"/>
  <c r="AM207" i="27"/>
  <c r="AM143" i="27"/>
  <c r="AH143" i="27"/>
  <c r="AM89" i="27"/>
  <c r="AH89" i="27"/>
  <c r="AM428" i="27"/>
  <c r="AH428" i="27"/>
  <c r="AM434" i="27"/>
  <c r="AM433" i="27"/>
  <c r="AH441" i="27"/>
  <c r="AM441" i="27"/>
  <c r="AM215" i="27"/>
  <c r="AH215" i="27"/>
  <c r="AM217" i="27"/>
  <c r="AH212" i="27"/>
  <c r="AM216" i="27"/>
  <c r="AM218" i="27"/>
  <c r="AM212" i="27"/>
  <c r="AM115" i="27"/>
  <c r="AH115" i="27"/>
  <c r="AM249" i="27"/>
  <c r="AH249" i="27"/>
  <c r="AH123" i="27"/>
  <c r="AM123" i="27"/>
  <c r="AM179" i="27"/>
  <c r="AM63" i="27"/>
  <c r="AH59" i="27"/>
  <c r="AM59" i="27"/>
  <c r="AM64" i="27"/>
  <c r="AM65" i="27"/>
  <c r="AM331" i="27"/>
  <c r="AH331" i="27"/>
  <c r="AS307" i="28"/>
  <c r="AN307" i="28"/>
  <c r="AH438" i="27"/>
  <c r="AM438" i="27"/>
  <c r="AH512" i="27"/>
  <c r="AM512" i="27"/>
  <c r="AM125" i="27"/>
  <c r="AH125" i="27"/>
  <c r="AM442" i="27"/>
  <c r="AM437" i="27"/>
  <c r="AM443" i="27"/>
  <c r="AM259" i="27"/>
  <c r="AH259" i="27"/>
  <c r="AM307" i="27"/>
  <c r="AH302" i="27"/>
  <c r="AM302" i="27"/>
  <c r="AM306" i="27"/>
  <c r="AM308" i="27"/>
  <c r="AN120" i="28"/>
  <c r="AS120" i="28"/>
  <c r="AH449" i="27"/>
  <c r="AM449" i="27"/>
  <c r="AS289" i="28"/>
  <c r="AS288" i="28"/>
  <c r="AN288" i="28"/>
  <c r="AS293" i="28"/>
  <c r="AS292" i="28"/>
  <c r="AS294" i="28"/>
  <c r="AM78" i="27"/>
  <c r="AH78" i="27"/>
  <c r="AH473" i="27"/>
  <c r="AM473" i="27"/>
  <c r="AM479" i="27"/>
  <c r="AH368" i="27"/>
  <c r="AM368" i="27"/>
  <c r="AH116" i="27"/>
  <c r="AM116" i="27"/>
  <c r="AN198" i="28"/>
  <c r="AS198" i="28"/>
  <c r="AS203" i="28"/>
  <c r="AS202" i="28"/>
  <c r="AS204" i="28"/>
  <c r="AM242" i="27"/>
  <c r="AH242" i="27"/>
  <c r="AN289" i="28"/>
  <c r="AS298" i="28"/>
  <c r="AN298" i="28"/>
  <c r="AM62" i="27"/>
  <c r="AH62" i="27"/>
  <c r="AH358" i="27"/>
  <c r="AM358" i="27"/>
  <c r="AM239" i="27"/>
  <c r="AM243" i="27"/>
  <c r="AM244" i="27"/>
  <c r="AM245" i="27"/>
  <c r="AH239" i="27"/>
  <c r="AM275" i="27"/>
  <c r="AH275" i="27"/>
  <c r="AM280" i="27"/>
  <c r="AM279" i="27"/>
  <c r="AM281" i="27"/>
  <c r="AS280" i="28"/>
  <c r="AN280" i="28"/>
  <c r="AM349" i="27"/>
  <c r="AH349" i="27"/>
  <c r="AN29" i="28"/>
  <c r="AS29" i="28"/>
  <c r="AH231" i="27"/>
  <c r="AM231" i="27"/>
  <c r="AH240" i="27"/>
  <c r="AM240" i="27"/>
  <c r="AH160" i="27"/>
  <c r="AM160" i="27"/>
  <c r="AH469" i="27"/>
  <c r="AM468" i="27"/>
  <c r="AH468" i="27"/>
  <c r="AN28" i="28"/>
  <c r="AS28" i="28"/>
  <c r="AH339" i="27"/>
  <c r="AM339" i="27"/>
  <c r="AM96" i="27"/>
  <c r="AH96" i="27"/>
  <c r="AH378" i="27"/>
  <c r="AM378" i="27"/>
  <c r="AH377" i="27"/>
  <c r="AM377" i="27"/>
  <c r="AM262" i="27"/>
  <c r="AH257" i="27"/>
  <c r="AM263" i="27"/>
  <c r="AM261" i="27"/>
  <c r="AM257" i="27"/>
  <c r="AM514" i="27"/>
  <c r="AM513" i="27"/>
  <c r="AM509" i="27"/>
  <c r="AH509" i="27"/>
  <c r="AM515" i="27"/>
  <c r="AH348" i="27"/>
  <c r="AM348" i="27"/>
  <c r="AN299" i="28"/>
  <c r="AS299" i="28"/>
  <c r="AM405" i="27"/>
  <c r="AH405" i="27"/>
  <c r="AH188" i="27"/>
  <c r="AM186" i="27"/>
  <c r="AH186" i="27"/>
  <c r="AM466" i="27"/>
  <c r="AH466" i="27"/>
  <c r="AM241" i="27"/>
  <c r="AH241" i="27"/>
  <c r="AM422" i="27"/>
  <c r="AH422" i="27"/>
  <c r="AM340" i="27"/>
  <c r="AH340" i="27"/>
  <c r="AH411" i="27"/>
  <c r="AM411" i="27"/>
  <c r="AM493" i="27"/>
  <c r="AH493" i="27"/>
  <c r="AH132" i="27"/>
  <c r="AM132" i="27"/>
  <c r="AS309" i="28"/>
  <c r="AN309" i="28"/>
  <c r="AS199" i="28"/>
  <c r="AN199" i="28"/>
  <c r="AH437" i="27"/>
  <c r="AH439" i="27"/>
  <c r="AM439" i="27"/>
  <c r="AH414" i="27"/>
  <c r="AH412" i="27"/>
  <c r="AM412" i="27"/>
  <c r="AH375" i="27"/>
  <c r="AM375" i="27"/>
  <c r="AH152" i="27"/>
  <c r="AM152" i="27"/>
  <c r="AH338" i="27"/>
  <c r="AM342" i="27"/>
  <c r="AM344" i="27"/>
  <c r="AM338" i="27"/>
  <c r="AM343" i="27"/>
  <c r="AH142" i="27"/>
  <c r="AM142" i="27"/>
  <c r="AM214" i="27"/>
  <c r="AH214" i="27"/>
  <c r="AM341" i="27"/>
  <c r="AH341" i="27"/>
  <c r="AM106" i="27"/>
  <c r="AH106" i="27"/>
  <c r="AH395" i="27"/>
  <c r="AM395" i="27"/>
  <c r="AH195" i="27"/>
  <c r="AM195" i="27"/>
  <c r="AM440" i="27"/>
  <c r="AH440" i="27"/>
  <c r="AS246" i="28"/>
  <c r="AS249" i="28"/>
  <c r="AS247" i="28"/>
  <c r="AS248" i="28"/>
  <c r="AS243" i="28"/>
  <c r="AN243" i="28"/>
  <c r="AH33" i="27"/>
  <c r="AM33" i="27"/>
  <c r="AH322" i="27"/>
  <c r="AM322" i="27"/>
  <c r="AH114" i="27"/>
  <c r="AM114" i="27"/>
  <c r="AM425" i="27"/>
  <c r="AM419" i="27"/>
  <c r="AM424" i="27"/>
  <c r="AH419" i="27"/>
  <c r="AM421" i="27"/>
  <c r="AH421" i="27"/>
  <c r="AS72" i="28"/>
  <c r="AS78" i="28"/>
  <c r="AS76" i="28"/>
  <c r="AS77" i="28"/>
  <c r="AN72" i="28"/>
  <c r="AH179" i="27"/>
  <c r="AM176" i="27"/>
  <c r="AM182" i="27"/>
  <c r="AM181" i="27"/>
  <c r="AH176" i="27"/>
  <c r="AM180" i="27"/>
  <c r="AM133" i="27"/>
  <c r="AH133" i="27"/>
  <c r="AH141" i="27"/>
  <c r="AM141" i="27"/>
  <c r="AH258" i="27"/>
  <c r="AM258" i="27"/>
  <c r="AH87" i="27"/>
  <c r="AM87" i="27"/>
  <c r="AM510" i="27"/>
  <c r="AH510" i="27"/>
  <c r="AH233" i="27"/>
  <c r="AM233" i="27"/>
  <c r="AS297" i="28"/>
  <c r="AS303" i="28"/>
  <c r="AS302" i="28"/>
  <c r="AN297" i="28"/>
  <c r="AM403" i="27"/>
  <c r="AH403" i="27"/>
  <c r="AM272" i="27"/>
  <c r="AM270" i="27"/>
  <c r="AM271" i="27"/>
  <c r="AM266" i="27"/>
  <c r="AH266" i="27"/>
  <c r="AM305" i="27"/>
  <c r="AH305" i="27"/>
  <c r="AM333" i="27"/>
  <c r="AM334" i="27"/>
  <c r="AH329" i="27"/>
  <c r="AM335" i="27"/>
  <c r="AM329" i="27"/>
  <c r="AN244" i="28"/>
  <c r="AS244" i="28"/>
  <c r="AH150" i="27"/>
  <c r="AM150" i="27"/>
  <c r="AH53" i="27"/>
  <c r="AM53" i="27"/>
  <c r="AH276" i="27"/>
  <c r="AM276" i="27"/>
  <c r="AH124" i="27"/>
  <c r="AM124" i="27"/>
  <c r="AM41" i="27"/>
  <c r="AM47" i="27"/>
  <c r="AM46" i="27"/>
  <c r="AH41" i="27"/>
  <c r="AM45" i="27"/>
  <c r="AH491" i="27"/>
  <c r="AM494" i="27"/>
  <c r="AH494" i="27"/>
  <c r="J126" i="38"/>
  <c r="J130" i="38"/>
  <c r="J134" i="38"/>
  <c r="J138" i="38"/>
  <c r="J142" i="38"/>
  <c r="J146" i="38"/>
  <c r="J150" i="38"/>
  <c r="J139" i="3"/>
  <c r="J143" i="3"/>
  <c r="J147" i="3"/>
  <c r="J151" i="3"/>
  <c r="J126" i="3"/>
  <c r="J130" i="3"/>
  <c r="J134" i="3"/>
  <c r="J152" i="38"/>
  <c r="J141" i="3"/>
  <c r="J128" i="3"/>
  <c r="J129" i="38"/>
  <c r="J141" i="38"/>
  <c r="J149" i="38"/>
  <c r="J142" i="3"/>
  <c r="J127" i="38"/>
  <c r="J131" i="38"/>
  <c r="J135" i="38"/>
  <c r="J139" i="38"/>
  <c r="J143" i="38"/>
  <c r="J147" i="38"/>
  <c r="J151" i="38"/>
  <c r="J140" i="3"/>
  <c r="J144" i="3"/>
  <c r="J148" i="3"/>
  <c r="J152" i="3"/>
  <c r="J127" i="3"/>
  <c r="J131" i="3"/>
  <c r="J135" i="3"/>
  <c r="J148" i="38"/>
  <c r="J145" i="3"/>
  <c r="J149" i="3"/>
  <c r="J132" i="3"/>
  <c r="J136" i="3"/>
  <c r="J133" i="38"/>
  <c r="J137" i="38"/>
  <c r="J145" i="38"/>
  <c r="J138" i="3"/>
  <c r="J146" i="3"/>
  <c r="J150" i="3"/>
  <c r="J129" i="3"/>
  <c r="J133" i="3"/>
  <c r="J137" i="3"/>
  <c r="J128" i="38"/>
  <c r="J132" i="38"/>
  <c r="J136" i="38"/>
  <c r="J140" i="38"/>
  <c r="J144" i="38"/>
  <c r="J125" i="42"/>
  <c r="J117" i="42"/>
  <c r="J109" i="42"/>
  <c r="J101" i="42"/>
  <c r="J93" i="42"/>
  <c r="J85" i="42"/>
  <c r="J77" i="42"/>
  <c r="J69" i="42"/>
  <c r="J61" i="42"/>
  <c r="J53" i="42"/>
  <c r="J45" i="42"/>
  <c r="J37" i="42"/>
  <c r="J29" i="42"/>
  <c r="J21" i="42"/>
  <c r="J13" i="42"/>
  <c r="J88" i="38"/>
  <c r="J50" i="38"/>
  <c r="J56" i="40"/>
  <c r="J69" i="40"/>
  <c r="J93" i="40"/>
  <c r="J33" i="38"/>
  <c r="J36" i="38"/>
  <c r="J55" i="38"/>
  <c r="J71" i="38"/>
  <c r="J87" i="38"/>
  <c r="J104" i="39"/>
  <c r="J72" i="39"/>
  <c r="J43" i="39"/>
  <c r="J35" i="39"/>
  <c r="J27" i="39"/>
  <c r="J19" i="39"/>
  <c r="J125" i="39"/>
  <c r="J93" i="39"/>
  <c r="J57" i="39"/>
  <c r="J106" i="39"/>
  <c r="J74" i="39"/>
  <c r="J119" i="39"/>
  <c r="J87" i="39"/>
  <c r="J64" i="39"/>
  <c r="J118" i="38"/>
  <c r="J110" i="38"/>
  <c r="J102" i="38"/>
  <c r="J23" i="38"/>
  <c r="J46" i="38"/>
  <c r="J62" i="38"/>
  <c r="J78" i="38"/>
  <c r="J94" i="38"/>
  <c r="J54" i="40"/>
  <c r="J64" i="40"/>
  <c r="J96" i="40"/>
  <c r="J123" i="41"/>
  <c r="J115" i="41"/>
  <c r="J107" i="41"/>
  <c r="J99" i="41"/>
  <c r="J91" i="41"/>
  <c r="J83" i="41"/>
  <c r="J75" i="41"/>
  <c r="J67" i="41"/>
  <c r="J59" i="41"/>
  <c r="J51" i="41"/>
  <c r="J43" i="41"/>
  <c r="J35" i="41"/>
  <c r="J27" i="41"/>
  <c r="J19" i="41"/>
  <c r="J124" i="42"/>
  <c r="J116" i="42"/>
  <c r="J108" i="42"/>
  <c r="J100" i="42"/>
  <c r="J92" i="42"/>
  <c r="J84" i="42"/>
  <c r="J76" i="42"/>
  <c r="J68" i="42"/>
  <c r="J60" i="42"/>
  <c r="J52" i="42"/>
  <c r="J44" i="42"/>
  <c r="J36" i="42"/>
  <c r="J28" i="42"/>
  <c r="J20" i="42"/>
  <c r="J12" i="42"/>
  <c r="J56" i="38"/>
  <c r="J18" i="38"/>
  <c r="J121" i="40"/>
  <c r="J113" i="40"/>
  <c r="J77" i="40"/>
  <c r="J32" i="38"/>
  <c r="J37" i="38"/>
  <c r="J100" i="39"/>
  <c r="J68" i="39"/>
  <c r="J42" i="39"/>
  <c r="J34" i="39"/>
  <c r="J26" i="39"/>
  <c r="J18" i="39"/>
  <c r="J121" i="39"/>
  <c r="J89" i="39"/>
  <c r="J49" i="39"/>
  <c r="J102" i="39"/>
  <c r="J70" i="39"/>
  <c r="J115" i="39"/>
  <c r="J83" i="39"/>
  <c r="J125" i="38"/>
  <c r="J117" i="38"/>
  <c r="J109" i="38"/>
  <c r="J101" i="38"/>
  <c r="J35" i="38"/>
  <c r="J54" i="39"/>
  <c r="J76" i="40"/>
  <c r="J108" i="40"/>
  <c r="J122" i="41"/>
  <c r="J114" i="41"/>
  <c r="J106" i="41"/>
  <c r="J98" i="41"/>
  <c r="J90" i="41"/>
  <c r="J82" i="41"/>
  <c r="J74" i="41"/>
  <c r="J66" i="41"/>
  <c r="J58" i="41"/>
  <c r="J50" i="41"/>
  <c r="J42" i="41"/>
  <c r="J34" i="41"/>
  <c r="J26" i="41"/>
  <c r="J18" i="41"/>
  <c r="J79" i="40"/>
  <c r="J111" i="40"/>
  <c r="J18" i="40"/>
  <c r="J26" i="40"/>
  <c r="J34" i="40"/>
  <c r="J42" i="40"/>
  <c r="J50" i="40"/>
  <c r="J66" i="40"/>
  <c r="J98" i="40"/>
  <c r="J17" i="41"/>
  <c r="J91" i="40"/>
  <c r="J19" i="40"/>
  <c r="J35" i="40"/>
  <c r="J58" i="40"/>
  <c r="J123" i="42"/>
  <c r="J115" i="42"/>
  <c r="J107" i="42"/>
  <c r="J99" i="42"/>
  <c r="J91" i="42"/>
  <c r="J83" i="42"/>
  <c r="J75" i="42"/>
  <c r="J67" i="42"/>
  <c r="J59" i="42"/>
  <c r="J51" i="42"/>
  <c r="J43" i="42"/>
  <c r="J35" i="42"/>
  <c r="J27" i="42"/>
  <c r="J19" i="42"/>
  <c r="J89" i="38"/>
  <c r="J26" i="38"/>
  <c r="J48" i="38"/>
  <c r="J105" i="40"/>
  <c r="J97" i="40"/>
  <c r="J61" i="40"/>
  <c r="J53" i="38"/>
  <c r="J69" i="38"/>
  <c r="J85" i="38"/>
  <c r="J17" i="38"/>
  <c r="J60" i="38"/>
  <c r="J76" i="38"/>
  <c r="J92" i="38"/>
  <c r="J96" i="39"/>
  <c r="J63" i="39"/>
  <c r="J41" i="39"/>
  <c r="J33" i="39"/>
  <c r="J25" i="39"/>
  <c r="J17" i="39"/>
  <c r="J117" i="39"/>
  <c r="J85" i="39"/>
  <c r="J58" i="39"/>
  <c r="J98" i="39"/>
  <c r="J66" i="39"/>
  <c r="J111" i="39"/>
  <c r="J79" i="39"/>
  <c r="J16" i="38"/>
  <c r="J49" i="38"/>
  <c r="J65" i="38"/>
  <c r="J81" i="38"/>
  <c r="J124" i="38"/>
  <c r="J116" i="38"/>
  <c r="J108" i="38"/>
  <c r="J100" i="38"/>
  <c r="J15" i="38"/>
  <c r="J88" i="40"/>
  <c r="J120" i="40"/>
  <c r="J121" i="41"/>
  <c r="J113" i="41"/>
  <c r="J105" i="41"/>
  <c r="J97" i="41"/>
  <c r="J89" i="41"/>
  <c r="J81" i="41"/>
  <c r="J73" i="41"/>
  <c r="J65" i="41"/>
  <c r="J57" i="41"/>
  <c r="J49" i="41"/>
  <c r="J41" i="41"/>
  <c r="J33" i="41"/>
  <c r="J25" i="41"/>
  <c r="J59" i="40"/>
  <c r="J123" i="40"/>
  <c r="J27" i="40"/>
  <c r="J43" i="40"/>
  <c r="J110" i="40"/>
  <c r="J122" i="42"/>
  <c r="J114" i="42"/>
  <c r="J106" i="42"/>
  <c r="J98" i="42"/>
  <c r="J90" i="42"/>
  <c r="J82" i="42"/>
  <c r="J74" i="42"/>
  <c r="J66" i="42"/>
  <c r="J58" i="42"/>
  <c r="J50" i="42"/>
  <c r="J42" i="42"/>
  <c r="J34" i="42"/>
  <c r="J26" i="42"/>
  <c r="J18" i="42"/>
  <c r="J64" i="38"/>
  <c r="J82" i="38"/>
  <c r="J72" i="38"/>
  <c r="J89" i="40"/>
  <c r="J81" i="40"/>
  <c r="J62" i="39"/>
  <c r="J28" i="38"/>
  <c r="J124" i="39"/>
  <c r="J92" i="39"/>
  <c r="J55" i="39"/>
  <c r="J40" i="39"/>
  <c r="J32" i="39"/>
  <c r="J24" i="39"/>
  <c r="J16" i="39"/>
  <c r="J113" i="39"/>
  <c r="J81" i="39"/>
  <c r="J50" i="39"/>
  <c r="J94" i="39"/>
  <c r="J59" i="39"/>
  <c r="J107" i="39"/>
  <c r="J75" i="39"/>
  <c r="J123" i="38"/>
  <c r="J115" i="38"/>
  <c r="J107" i="38"/>
  <c r="J99" i="38"/>
  <c r="J27" i="38"/>
  <c r="J59" i="38"/>
  <c r="J75" i="38"/>
  <c r="J91" i="38"/>
  <c r="J68" i="40"/>
  <c r="J100" i="40"/>
  <c r="J120" i="41"/>
  <c r="J112" i="41"/>
  <c r="J104" i="41"/>
  <c r="J96" i="41"/>
  <c r="J88" i="41"/>
  <c r="J80" i="41"/>
  <c r="J72" i="41"/>
  <c r="J64" i="41"/>
  <c r="J56" i="41"/>
  <c r="J48" i="41"/>
  <c r="J40" i="41"/>
  <c r="J32" i="41"/>
  <c r="J24" i="41"/>
  <c r="J16" i="41"/>
  <c r="J71" i="40"/>
  <c r="J103" i="40"/>
  <c r="J12" i="40"/>
  <c r="J20" i="40"/>
  <c r="J28" i="40"/>
  <c r="J36" i="40"/>
  <c r="J44" i="40"/>
  <c r="J57" i="40"/>
  <c r="J90" i="40"/>
  <c r="J122" i="40"/>
  <c r="J17" i="40"/>
  <c r="J86" i="40"/>
  <c r="J121" i="42"/>
  <c r="J113" i="42"/>
  <c r="J105" i="42"/>
  <c r="J97" i="42"/>
  <c r="J89" i="42"/>
  <c r="J81" i="42"/>
  <c r="J73" i="42"/>
  <c r="J65" i="42"/>
  <c r="J57" i="42"/>
  <c r="J49" i="42"/>
  <c r="J41" i="42"/>
  <c r="J33" i="42"/>
  <c r="J25" i="42"/>
  <c r="J17" i="42"/>
  <c r="J34" i="38"/>
  <c r="J52" i="38"/>
  <c r="J42" i="38"/>
  <c r="J73" i="40"/>
  <c r="J65" i="40"/>
  <c r="J40" i="38"/>
  <c r="J13" i="38"/>
  <c r="J47" i="38"/>
  <c r="J63" i="38"/>
  <c r="J79" i="38"/>
  <c r="J120" i="39"/>
  <c r="J88" i="39"/>
  <c r="J47" i="39"/>
  <c r="J39" i="39"/>
  <c r="J31" i="39"/>
  <c r="J23" i="39"/>
  <c r="J15" i="39"/>
  <c r="J109" i="39"/>
  <c r="J77" i="39"/>
  <c r="J122" i="39"/>
  <c r="J90" i="39"/>
  <c r="J51" i="39"/>
  <c r="J103" i="39"/>
  <c r="J71" i="39"/>
  <c r="J29" i="38"/>
  <c r="J122" i="38"/>
  <c r="J114" i="38"/>
  <c r="J106" i="38"/>
  <c r="J98" i="38"/>
  <c r="J39" i="38"/>
  <c r="J54" i="38"/>
  <c r="J70" i="38"/>
  <c r="J86" i="38"/>
  <c r="J48" i="39"/>
  <c r="J53" i="40"/>
  <c r="J80" i="40"/>
  <c r="J112" i="40"/>
  <c r="J119" i="41"/>
  <c r="J111" i="41"/>
  <c r="J103" i="41"/>
  <c r="J95" i="41"/>
  <c r="J87" i="41"/>
  <c r="J79" i="41"/>
  <c r="J71" i="41"/>
  <c r="J63" i="41"/>
  <c r="J55" i="41"/>
  <c r="J47" i="41"/>
  <c r="J39" i="41"/>
  <c r="J31" i="41"/>
  <c r="J23" i="41"/>
  <c r="J15" i="41"/>
  <c r="J83" i="40"/>
  <c r="J115" i="40"/>
  <c r="J13" i="40"/>
  <c r="J21" i="40"/>
  <c r="J29" i="40"/>
  <c r="J37" i="40"/>
  <c r="J45" i="40"/>
  <c r="J70" i="40"/>
  <c r="J102" i="40"/>
  <c r="J25" i="40"/>
  <c r="J120" i="42"/>
  <c r="J112" i="42"/>
  <c r="J104" i="42"/>
  <c r="J96" i="42"/>
  <c r="J88" i="42"/>
  <c r="J80" i="42"/>
  <c r="J72" i="42"/>
  <c r="J64" i="42"/>
  <c r="J56" i="42"/>
  <c r="J48" i="42"/>
  <c r="J40" i="42"/>
  <c r="J32" i="42"/>
  <c r="J24" i="42"/>
  <c r="J16" i="42"/>
  <c r="J90" i="38"/>
  <c r="J22" i="38"/>
  <c r="J66" i="38"/>
  <c r="J117" i="40"/>
  <c r="J55" i="40"/>
  <c r="J56" i="39"/>
  <c r="J24" i="38"/>
  <c r="J45" i="38"/>
  <c r="J21" i="38"/>
  <c r="J116" i="39"/>
  <c r="J84" i="39"/>
  <c r="J46" i="39"/>
  <c r="J38" i="39"/>
  <c r="J30" i="39"/>
  <c r="J22" i="39"/>
  <c r="J14" i="39"/>
  <c r="J105" i="39"/>
  <c r="J73" i="39"/>
  <c r="J118" i="39"/>
  <c r="J86" i="39"/>
  <c r="J60" i="39"/>
  <c r="J99" i="39"/>
  <c r="J67" i="39"/>
  <c r="J121" i="38"/>
  <c r="J113" i="38"/>
  <c r="J105" i="38"/>
  <c r="J97" i="38"/>
  <c r="J19" i="38"/>
  <c r="J60" i="40"/>
  <c r="J92" i="40"/>
  <c r="J124" i="40"/>
  <c r="J118" i="41"/>
  <c r="J110" i="41"/>
  <c r="J102" i="41"/>
  <c r="J94" i="41"/>
  <c r="J86" i="41"/>
  <c r="J78" i="41"/>
  <c r="J70" i="41"/>
  <c r="J62" i="41"/>
  <c r="J54" i="41"/>
  <c r="J46" i="41"/>
  <c r="J38" i="41"/>
  <c r="J30" i="41"/>
  <c r="J22" i="41"/>
  <c r="J14" i="41"/>
  <c r="J63" i="40"/>
  <c r="J95" i="40"/>
  <c r="J14" i="40"/>
  <c r="J22" i="40"/>
  <c r="J30" i="40"/>
  <c r="J38" i="40"/>
  <c r="J46" i="40"/>
  <c r="J82" i="40"/>
  <c r="J114" i="40"/>
  <c r="J51" i="40"/>
  <c r="J33" i="40"/>
  <c r="J118" i="40"/>
  <c r="J119" i="42"/>
  <c r="J111" i="42"/>
  <c r="J103" i="42"/>
  <c r="J95" i="42"/>
  <c r="J87" i="42"/>
  <c r="J79" i="42"/>
  <c r="J71" i="42"/>
  <c r="J63" i="42"/>
  <c r="J55" i="42"/>
  <c r="J47" i="42"/>
  <c r="J39" i="42"/>
  <c r="J31" i="42"/>
  <c r="J23" i="42"/>
  <c r="J15" i="42"/>
  <c r="J58" i="38"/>
  <c r="J14" i="38"/>
  <c r="J38" i="38"/>
  <c r="J101" i="40"/>
  <c r="J125" i="40"/>
  <c r="J44" i="38"/>
  <c r="J20" i="38"/>
  <c r="J41" i="38"/>
  <c r="J61" i="38"/>
  <c r="J77" i="38"/>
  <c r="J93" i="38"/>
  <c r="J25" i="38"/>
  <c r="J12" i="38"/>
  <c r="J68" i="38"/>
  <c r="J84" i="38"/>
  <c r="J112" i="39"/>
  <c r="J80" i="39"/>
  <c r="J45" i="39"/>
  <c r="J37" i="39"/>
  <c r="J29" i="39"/>
  <c r="J21" i="39"/>
  <c r="J13" i="39"/>
  <c r="J101" i="39"/>
  <c r="J69" i="39"/>
  <c r="J114" i="39"/>
  <c r="J82" i="39"/>
  <c r="J52" i="39"/>
  <c r="J95" i="39"/>
  <c r="J61" i="39"/>
  <c r="J57" i="38"/>
  <c r="J73" i="38"/>
  <c r="J120" i="38"/>
  <c r="J112" i="38"/>
  <c r="J104" i="38"/>
  <c r="J96" i="38"/>
  <c r="J31" i="38"/>
  <c r="J72" i="40"/>
  <c r="J104" i="40"/>
  <c r="J125" i="41"/>
  <c r="J117" i="41"/>
  <c r="J109" i="41"/>
  <c r="J101" i="41"/>
  <c r="J93" i="41"/>
  <c r="J85" i="41"/>
  <c r="J77" i="41"/>
  <c r="J69" i="41"/>
  <c r="J61" i="41"/>
  <c r="J53" i="41"/>
  <c r="J45" i="41"/>
  <c r="J37" i="41"/>
  <c r="J29" i="41"/>
  <c r="J21" i="41"/>
  <c r="J13" i="41"/>
  <c r="J75" i="40"/>
  <c r="J107" i="40"/>
  <c r="J15" i="40"/>
  <c r="J23" i="40"/>
  <c r="J31" i="40"/>
  <c r="J39" i="40"/>
  <c r="J47" i="40"/>
  <c r="J62" i="40"/>
  <c r="J94" i="40"/>
  <c r="J99" i="40"/>
  <c r="J41" i="40"/>
  <c r="J118" i="42"/>
  <c r="J110" i="42"/>
  <c r="J102" i="42"/>
  <c r="J94" i="42"/>
  <c r="J86" i="42"/>
  <c r="J78" i="42"/>
  <c r="J70" i="42"/>
  <c r="J62" i="42"/>
  <c r="J54" i="42"/>
  <c r="J46" i="42"/>
  <c r="J38" i="42"/>
  <c r="J30" i="42"/>
  <c r="J22" i="42"/>
  <c r="J14" i="42"/>
  <c r="J30" i="38"/>
  <c r="J80" i="38"/>
  <c r="J74" i="38"/>
  <c r="J85" i="40"/>
  <c r="J109" i="40"/>
  <c r="J108" i="39"/>
  <c r="J76" i="39"/>
  <c r="J44" i="39"/>
  <c r="J36" i="39"/>
  <c r="J28" i="39"/>
  <c r="J20" i="39"/>
  <c r="J12" i="39"/>
  <c r="J97" i="39"/>
  <c r="J65" i="39"/>
  <c r="J110" i="39"/>
  <c r="J78" i="39"/>
  <c r="J123" i="39"/>
  <c r="J91" i="39"/>
  <c r="J53" i="39"/>
  <c r="J119" i="38"/>
  <c r="J111" i="38"/>
  <c r="J103" i="38"/>
  <c r="J95" i="38"/>
  <c r="J43" i="38"/>
  <c r="J51" i="38"/>
  <c r="J67" i="38"/>
  <c r="J83" i="38"/>
  <c r="J84" i="40"/>
  <c r="J116" i="40"/>
  <c r="J124" i="41"/>
  <c r="J116" i="41"/>
  <c r="J108" i="41"/>
  <c r="J100" i="41"/>
  <c r="J92" i="41"/>
  <c r="J84" i="41"/>
  <c r="J76" i="41"/>
  <c r="J68" i="41"/>
  <c r="J60" i="41"/>
  <c r="J52" i="41"/>
  <c r="J44" i="41"/>
  <c r="J36" i="41"/>
  <c r="J28" i="41"/>
  <c r="J20" i="41"/>
  <c r="J12" i="41"/>
  <c r="J52" i="40"/>
  <c r="J87" i="40"/>
  <c r="J119" i="40"/>
  <c r="J16" i="40"/>
  <c r="J24" i="40"/>
  <c r="J32" i="40"/>
  <c r="J40" i="40"/>
  <c r="J48" i="40"/>
  <c r="J74" i="40"/>
  <c r="J106" i="40"/>
  <c r="J67" i="40"/>
  <c r="J49" i="40"/>
  <c r="J78" i="40"/>
  <c r="AS10" i="28"/>
  <c r="AN10" i="28"/>
  <c r="AN12" i="28"/>
  <c r="AS12" i="28"/>
  <c r="AS11" i="28"/>
  <c r="AS14" i="28"/>
  <c r="AS15" i="28"/>
  <c r="AS13" i="28"/>
  <c r="AS9" i="28"/>
  <c r="AN9" i="28"/>
  <c r="AN11" i="28"/>
  <c r="J125" i="3"/>
  <c r="J61" i="3"/>
  <c r="J94" i="3"/>
  <c r="J100" i="3"/>
  <c r="J36" i="3"/>
  <c r="J115" i="3"/>
  <c r="J51" i="3"/>
  <c r="J106" i="3"/>
  <c r="J42" i="3"/>
  <c r="J64" i="3"/>
  <c r="J23" i="3"/>
  <c r="J81" i="3"/>
  <c r="J17" i="3"/>
  <c r="J87" i="3"/>
  <c r="J119" i="3"/>
  <c r="J79" i="3"/>
  <c r="J118" i="3"/>
  <c r="J117" i="3"/>
  <c r="J53" i="3"/>
  <c r="J70" i="3"/>
  <c r="J92" i="3"/>
  <c r="J20" i="3"/>
  <c r="J107" i="3"/>
  <c r="J43" i="3"/>
  <c r="J98" i="3"/>
  <c r="J34" i="3"/>
  <c r="J48" i="3"/>
  <c r="J110" i="3"/>
  <c r="J73" i="3"/>
  <c r="J104" i="3"/>
  <c r="J109" i="3"/>
  <c r="J45" i="3"/>
  <c r="J62" i="3"/>
  <c r="J84" i="3"/>
  <c r="J12" i="3"/>
  <c r="J99" i="3"/>
  <c r="J35" i="3"/>
  <c r="J90" i="3"/>
  <c r="J26" i="3"/>
  <c r="J32" i="3"/>
  <c r="J38" i="3"/>
  <c r="J65" i="3"/>
  <c r="J80" i="3"/>
  <c r="J63" i="3"/>
  <c r="J101" i="3"/>
  <c r="J37" i="3"/>
  <c r="J54" i="3"/>
  <c r="J76" i="3"/>
  <c r="J15" i="3"/>
  <c r="J91" i="3"/>
  <c r="J27" i="3"/>
  <c r="J82" i="3"/>
  <c r="J18" i="3"/>
  <c r="J16" i="3"/>
  <c r="J121" i="3"/>
  <c r="J57" i="3"/>
  <c r="J56" i="3"/>
  <c r="J47" i="3"/>
  <c r="J93" i="3"/>
  <c r="J29" i="3"/>
  <c r="J30" i="3"/>
  <c r="J68" i="3"/>
  <c r="J102" i="3"/>
  <c r="J83" i="3"/>
  <c r="J19" i="3"/>
  <c r="J74" i="3"/>
  <c r="J112" i="3"/>
  <c r="J103" i="3"/>
  <c r="J113" i="3"/>
  <c r="J49" i="3"/>
  <c r="J40" i="3"/>
  <c r="J31" i="3"/>
  <c r="J85" i="3"/>
  <c r="J21" i="3"/>
  <c r="J124" i="3"/>
  <c r="J60" i="3"/>
  <c r="J46" i="3"/>
  <c r="J75" i="3"/>
  <c r="J78" i="3"/>
  <c r="J66" i="3"/>
  <c r="J96" i="3"/>
  <c r="J71" i="3"/>
  <c r="J105" i="3"/>
  <c r="J41" i="3"/>
  <c r="J24" i="3"/>
  <c r="J86" i="3"/>
  <c r="J77" i="3"/>
  <c r="J13" i="3"/>
  <c r="J116" i="3"/>
  <c r="J52" i="3"/>
  <c r="J14" i="3"/>
  <c r="J67" i="3"/>
  <c r="J122" i="3"/>
  <c r="J58" i="3"/>
  <c r="J88" i="3"/>
  <c r="J55" i="3"/>
  <c r="J97" i="3"/>
  <c r="J33" i="3"/>
  <c r="J111" i="3"/>
  <c r="J22" i="3"/>
  <c r="J69" i="3"/>
  <c r="J28" i="3"/>
  <c r="J108" i="3"/>
  <c r="J44" i="3"/>
  <c r="J123" i="3"/>
  <c r="J59" i="3"/>
  <c r="J114" i="3"/>
  <c r="J50" i="3"/>
  <c r="J72" i="3"/>
  <c r="J39" i="3"/>
  <c r="J89" i="3"/>
  <c r="J25" i="3"/>
  <c r="J95" i="3"/>
  <c r="J120" i="3"/>
  <c r="AI8" i="27"/>
  <c r="AI10" i="27"/>
  <c r="AL10" i="27" s="1"/>
  <c r="AI9" i="27"/>
  <c r="AL9" i="27" s="1"/>
  <c r="H19" i="2"/>
  <c r="H20" i="2" s="1"/>
  <c r="AG419" i="27" l="1"/>
  <c r="AG422" i="27"/>
  <c r="AG421" i="27"/>
  <c r="AG420" i="27"/>
  <c r="AG423" i="27"/>
  <c r="AG257" i="27"/>
  <c r="AG260" i="27"/>
  <c r="AG259" i="27"/>
  <c r="AG258" i="27"/>
  <c r="AG241" i="27"/>
  <c r="AG240" i="27"/>
  <c r="AG239" i="27"/>
  <c r="AG242" i="27"/>
  <c r="AG134" i="27"/>
  <c r="AG132" i="27"/>
  <c r="AG133" i="27"/>
  <c r="AG131" i="27"/>
  <c r="AG468" i="27"/>
  <c r="AG464" i="27"/>
  <c r="AG465" i="27"/>
  <c r="AG466" i="27"/>
  <c r="AG469" i="27"/>
  <c r="AG467" i="27"/>
  <c r="AG359" i="27"/>
  <c r="AG356" i="27"/>
  <c r="AG358" i="27"/>
  <c r="AG357" i="27"/>
  <c r="AG115" i="27"/>
  <c r="AG113" i="27"/>
  <c r="AG114" i="27"/>
  <c r="AG116" i="27"/>
  <c r="AG233" i="27"/>
  <c r="AG232" i="27"/>
  <c r="AG230" i="27"/>
  <c r="AG231" i="27"/>
  <c r="AM75" i="28"/>
  <c r="AM74" i="28"/>
  <c r="AM72" i="28"/>
  <c r="AM73" i="28"/>
  <c r="AG510" i="27"/>
  <c r="AG511" i="27"/>
  <c r="AG509" i="27"/>
  <c r="AG512" i="27"/>
  <c r="AG473" i="27"/>
  <c r="AG476" i="27"/>
  <c r="AG477" i="27"/>
  <c r="AG478" i="27"/>
  <c r="AG475" i="27"/>
  <c r="AG474" i="27"/>
  <c r="AG305" i="27"/>
  <c r="AG304" i="27"/>
  <c r="AG302" i="27"/>
  <c r="AG303" i="27"/>
  <c r="AG215" i="27"/>
  <c r="AG214" i="27"/>
  <c r="AG213" i="27"/>
  <c r="AG212" i="27"/>
  <c r="AG430" i="27"/>
  <c r="AG432" i="27"/>
  <c r="AG428" i="27"/>
  <c r="AG429" i="27"/>
  <c r="AG431" i="27"/>
  <c r="AG187" i="27"/>
  <c r="AG185" i="27"/>
  <c r="AG188" i="27"/>
  <c r="AG186" i="27"/>
  <c r="AG412" i="27"/>
  <c r="AG411" i="27"/>
  <c r="AG410" i="27"/>
  <c r="AG414" i="27"/>
  <c r="AG413" i="27"/>
  <c r="AG195" i="27"/>
  <c r="AG197" i="27"/>
  <c r="AG194" i="27"/>
  <c r="AG196" i="27"/>
  <c r="AG89" i="27"/>
  <c r="AG87" i="27"/>
  <c r="AG88" i="27"/>
  <c r="AG86" i="27"/>
  <c r="AM244" i="28"/>
  <c r="AM243" i="28"/>
  <c r="AM246" i="28"/>
  <c r="AM245" i="28"/>
  <c r="AG338" i="27"/>
  <c r="AG341" i="27"/>
  <c r="AG340" i="27"/>
  <c r="AG339" i="27"/>
  <c r="AM199" i="28"/>
  <c r="AM201" i="28"/>
  <c r="AM198" i="28"/>
  <c r="AM200" i="28"/>
  <c r="AG321" i="27"/>
  <c r="AG322" i="27"/>
  <c r="AG323" i="27"/>
  <c r="AG320" i="27"/>
  <c r="AG365" i="27"/>
  <c r="AG366" i="27"/>
  <c r="AG368" i="27"/>
  <c r="AG367" i="27"/>
  <c r="AG69" i="27"/>
  <c r="AG68" i="27"/>
  <c r="AG71" i="27"/>
  <c r="AG70" i="27"/>
  <c r="AG383" i="27"/>
  <c r="AG385" i="27"/>
  <c r="AG386" i="27"/>
  <c r="AG384" i="27"/>
  <c r="AG387" i="27"/>
  <c r="AG482" i="27"/>
  <c r="AG484" i="27"/>
  <c r="AG485" i="27"/>
  <c r="AG483" i="27"/>
  <c r="AM298" i="28"/>
  <c r="AM299" i="28"/>
  <c r="AM297" i="28"/>
  <c r="AM301" i="28"/>
  <c r="AM300" i="28"/>
  <c r="AG203" i="27"/>
  <c r="AG205" i="27"/>
  <c r="AG204" i="27"/>
  <c r="AG206" i="27"/>
  <c r="AG104" i="27"/>
  <c r="AG107" i="27"/>
  <c r="AG105" i="27"/>
  <c r="AG106" i="27"/>
  <c r="AM30" i="28"/>
  <c r="AM29" i="28"/>
  <c r="AM28" i="28"/>
  <c r="AM27" i="28"/>
  <c r="AG347" i="27"/>
  <c r="AG349" i="27"/>
  <c r="AG348" i="27"/>
  <c r="AG350" i="27"/>
  <c r="AG404" i="27"/>
  <c r="AG401" i="27"/>
  <c r="AG405" i="27"/>
  <c r="AG402" i="27"/>
  <c r="AG403" i="27"/>
  <c r="AG296" i="27"/>
  <c r="AG294" i="27"/>
  <c r="AG293" i="27"/>
  <c r="AG295" i="27"/>
  <c r="AM308" i="28"/>
  <c r="AM309" i="28"/>
  <c r="AM306" i="28"/>
  <c r="AM307" i="28"/>
  <c r="AM310" i="28"/>
  <c r="AG122" i="27"/>
  <c r="AG123" i="27"/>
  <c r="AG125" i="27"/>
  <c r="AG124" i="27"/>
  <c r="AG269" i="27"/>
  <c r="AG267" i="27"/>
  <c r="AG268" i="27"/>
  <c r="AG266" i="27"/>
  <c r="AG176" i="27"/>
  <c r="AG177" i="27"/>
  <c r="AG178" i="27"/>
  <c r="AG179" i="27"/>
  <c r="AG439" i="27"/>
  <c r="AG440" i="27"/>
  <c r="AG437" i="27"/>
  <c r="AG441" i="27"/>
  <c r="AG438" i="27"/>
  <c r="AG250" i="27"/>
  <c r="AG248" i="27"/>
  <c r="AG251" i="27"/>
  <c r="AG249" i="27"/>
  <c r="AG24" i="27"/>
  <c r="AG23" i="27"/>
  <c r="AG26" i="27"/>
  <c r="AG25" i="27"/>
  <c r="AG494" i="27"/>
  <c r="AG492" i="27"/>
  <c r="AG493" i="27"/>
  <c r="AG491" i="27"/>
  <c r="AG62" i="27"/>
  <c r="AG60" i="27"/>
  <c r="AG59" i="27"/>
  <c r="AG61" i="27"/>
  <c r="AG395" i="27"/>
  <c r="AG394" i="27"/>
  <c r="AG392" i="27"/>
  <c r="AG396" i="27"/>
  <c r="AG393" i="27"/>
  <c r="AG277" i="27"/>
  <c r="AG278" i="27"/>
  <c r="AG276" i="27"/>
  <c r="AG275" i="27"/>
  <c r="AG447" i="27"/>
  <c r="AG448" i="27"/>
  <c r="AG446" i="27"/>
  <c r="AG449" i="27"/>
  <c r="AG285" i="27"/>
  <c r="AG287" i="27"/>
  <c r="AG284" i="27"/>
  <c r="AG286" i="27"/>
  <c r="AG143" i="27"/>
  <c r="AG142" i="27"/>
  <c r="AG140" i="27"/>
  <c r="AG141" i="27"/>
  <c r="AG97" i="27"/>
  <c r="AG98" i="27"/>
  <c r="AG95" i="27"/>
  <c r="AG96" i="27"/>
  <c r="AG52" i="27"/>
  <c r="AG50" i="27"/>
  <c r="AG53" i="27"/>
  <c r="AG51" i="27"/>
  <c r="AG377" i="27"/>
  <c r="AG374" i="27"/>
  <c r="AG375" i="27"/>
  <c r="AG378" i="27"/>
  <c r="AG376" i="27"/>
  <c r="AG170" i="27"/>
  <c r="AG167" i="27"/>
  <c r="AG169" i="27"/>
  <c r="AG168" i="27"/>
  <c r="AM120" i="28"/>
  <c r="AM118" i="28"/>
  <c r="AM119" i="28"/>
  <c r="AM117" i="28"/>
  <c r="AG150" i="27"/>
  <c r="AG149" i="27"/>
  <c r="AG151" i="27"/>
  <c r="AG152" i="27"/>
  <c r="AG501" i="27"/>
  <c r="AG502" i="27"/>
  <c r="AG500" i="27"/>
  <c r="AG503" i="27"/>
  <c r="AM279" i="28"/>
  <c r="AM280" i="28"/>
  <c r="AM282" i="28"/>
  <c r="AM281" i="28"/>
  <c r="AG41" i="27"/>
  <c r="AG43" i="27"/>
  <c r="AG42" i="27"/>
  <c r="AG44" i="27"/>
  <c r="AG331" i="27"/>
  <c r="AG329" i="27"/>
  <c r="AG330" i="27"/>
  <c r="AG332" i="27"/>
  <c r="AM290" i="28"/>
  <c r="AM291" i="28"/>
  <c r="AM288" i="28"/>
  <c r="AM289" i="28"/>
  <c r="AG160" i="27"/>
  <c r="AG161" i="27"/>
  <c r="AG158" i="27"/>
  <c r="AG159" i="27"/>
  <c r="AG455" i="27"/>
  <c r="AG457" i="27"/>
  <c r="AG456" i="27"/>
  <c r="AG458" i="27"/>
  <c r="AG221" i="27"/>
  <c r="AG223" i="27"/>
  <c r="AG222" i="27"/>
  <c r="AG224" i="27"/>
  <c r="AG314" i="27"/>
  <c r="AG312" i="27"/>
  <c r="AG311" i="27"/>
  <c r="AG313" i="27"/>
  <c r="AG32" i="27"/>
  <c r="AG35" i="27"/>
  <c r="AG34" i="27"/>
  <c r="AG33" i="27"/>
  <c r="AG80" i="27"/>
  <c r="AG77" i="27"/>
  <c r="AG79" i="27"/>
  <c r="AG78" i="27"/>
  <c r="AM10" i="28"/>
  <c r="AM11" i="28"/>
  <c r="AM12" i="28"/>
  <c r="AM9" i="28"/>
  <c r="AL8" i="27"/>
  <c r="AM9" i="27" s="1"/>
  <c r="AJ13" i="27"/>
  <c r="AJ14" i="27"/>
  <c r="AJ12" i="27"/>
  <c r="AJ11" i="27"/>
  <c r="AJ9" i="27"/>
  <c r="AJ8" i="27"/>
  <c r="AJ10" i="27"/>
  <c r="AZ42" i="27" l="1"/>
  <c r="BD42" i="27"/>
  <c r="BF42" i="27"/>
  <c r="BE42" i="27"/>
  <c r="BB42" i="27"/>
  <c r="BA42" i="27"/>
  <c r="AX42" i="27"/>
  <c r="AW42" i="27"/>
  <c r="AV42" i="27"/>
  <c r="AY42" i="27"/>
  <c r="BC42" i="27"/>
  <c r="AX494" i="27"/>
  <c r="AY494" i="27"/>
  <c r="BC494" i="27"/>
  <c r="AZ494" i="27"/>
  <c r="BA494" i="27"/>
  <c r="AV494" i="27"/>
  <c r="BB494" i="27"/>
  <c r="BE494" i="27"/>
  <c r="BF494" i="27"/>
  <c r="AW494" i="27"/>
  <c r="BD494" i="27"/>
  <c r="AW332" i="27"/>
  <c r="BE332" i="27"/>
  <c r="AV332" i="27"/>
  <c r="AY332" i="27"/>
  <c r="BD332" i="27"/>
  <c r="BC332" i="27"/>
  <c r="BB332" i="27"/>
  <c r="BF332" i="27"/>
  <c r="AX332" i="27"/>
  <c r="AZ332" i="27"/>
  <c r="BA332" i="27"/>
  <c r="AX152" i="27"/>
  <c r="AV152" i="27"/>
  <c r="BA152" i="27"/>
  <c r="BC152" i="27"/>
  <c r="BD152" i="27"/>
  <c r="BB152" i="27"/>
  <c r="BE152" i="27"/>
  <c r="BF152" i="27"/>
  <c r="AZ152" i="27"/>
  <c r="AW152" i="27"/>
  <c r="AY152" i="27"/>
  <c r="BD285" i="27"/>
  <c r="BC285" i="27"/>
  <c r="AV285" i="27"/>
  <c r="BA285" i="27"/>
  <c r="AZ285" i="27"/>
  <c r="BF285" i="27"/>
  <c r="AW285" i="27"/>
  <c r="AX285" i="27"/>
  <c r="AY285" i="27"/>
  <c r="BB285" i="27"/>
  <c r="BE285" i="27"/>
  <c r="BE23" i="27"/>
  <c r="AW23" i="27"/>
  <c r="BD23" i="27"/>
  <c r="AV23" i="27"/>
  <c r="BC23" i="27"/>
  <c r="AZ23" i="27"/>
  <c r="BB23" i="27"/>
  <c r="BF23" i="27"/>
  <c r="AY23" i="27"/>
  <c r="AX23" i="27"/>
  <c r="BA23" i="27"/>
  <c r="BC403" i="27"/>
  <c r="AZ403" i="27"/>
  <c r="BE403" i="27"/>
  <c r="AX403" i="27"/>
  <c r="BB403" i="27"/>
  <c r="BF403" i="27"/>
  <c r="BA403" i="27"/>
  <c r="AV403" i="27"/>
  <c r="BD403" i="27"/>
  <c r="AW403" i="27"/>
  <c r="AY403" i="27"/>
  <c r="BN246" i="28"/>
  <c r="BQ246" i="28"/>
  <c r="BF246" i="28"/>
  <c r="BL246" i="28"/>
  <c r="BO246" i="28"/>
  <c r="BT246" i="28"/>
  <c r="BJ246" i="28"/>
  <c r="BR246" i="28"/>
  <c r="BK246" i="28"/>
  <c r="BG246" i="28"/>
  <c r="BS246" i="28"/>
  <c r="BH246" i="28"/>
  <c r="BM246" i="28"/>
  <c r="BI246" i="28"/>
  <c r="BP246" i="28"/>
  <c r="AY305" i="27"/>
  <c r="BD305" i="27"/>
  <c r="BE305" i="27"/>
  <c r="BB305" i="27"/>
  <c r="BC305" i="27"/>
  <c r="AZ305" i="27"/>
  <c r="BA305" i="27"/>
  <c r="AV305" i="27"/>
  <c r="AX305" i="27"/>
  <c r="BF305" i="27"/>
  <c r="AW305" i="27"/>
  <c r="AX468" i="27"/>
  <c r="AY468" i="27"/>
  <c r="BC468" i="27"/>
  <c r="AV468" i="27"/>
  <c r="AW468" i="27"/>
  <c r="BD468" i="27"/>
  <c r="BE468" i="27"/>
  <c r="BA468" i="27"/>
  <c r="BF468" i="27"/>
  <c r="AZ468" i="27"/>
  <c r="BB468" i="27"/>
  <c r="BF35" i="27"/>
  <c r="BA35" i="27"/>
  <c r="AW35" i="27"/>
  <c r="AY35" i="27"/>
  <c r="AV35" i="27"/>
  <c r="BC35" i="27"/>
  <c r="AX35" i="27"/>
  <c r="BE35" i="27"/>
  <c r="BB35" i="27"/>
  <c r="AZ35" i="27"/>
  <c r="BD35" i="27"/>
  <c r="BF223" i="27"/>
  <c r="BA223" i="27"/>
  <c r="BE223" i="27"/>
  <c r="AV223" i="27"/>
  <c r="BD223" i="27"/>
  <c r="BB223" i="27"/>
  <c r="AX223" i="27"/>
  <c r="AW223" i="27"/>
  <c r="BC223" i="27"/>
  <c r="AZ223" i="27"/>
  <c r="AY223" i="27"/>
  <c r="BA161" i="27"/>
  <c r="AX161" i="27"/>
  <c r="BD161" i="27"/>
  <c r="AY161" i="27"/>
  <c r="AZ161" i="27"/>
  <c r="BB161" i="27"/>
  <c r="BE161" i="27"/>
  <c r="BF161" i="27"/>
  <c r="BC161" i="27"/>
  <c r="AV161" i="27"/>
  <c r="AW161" i="27"/>
  <c r="BB329" i="27"/>
  <c r="BA329" i="27"/>
  <c r="AX329" i="27"/>
  <c r="BF329" i="27"/>
  <c r="BD329" i="27"/>
  <c r="AZ329" i="27"/>
  <c r="AY329" i="27"/>
  <c r="BC329" i="27"/>
  <c r="AW329" i="27"/>
  <c r="BE329" i="27"/>
  <c r="AV329" i="27"/>
  <c r="BR280" i="28"/>
  <c r="BF280" i="28"/>
  <c r="BK280" i="28"/>
  <c r="BT280" i="28"/>
  <c r="BI280" i="28"/>
  <c r="BP280" i="28"/>
  <c r="BQ280" i="28"/>
  <c r="BO280" i="28"/>
  <c r="BG280" i="28"/>
  <c r="BN280" i="28"/>
  <c r="BL280" i="28"/>
  <c r="BS280" i="28"/>
  <c r="BM280" i="28"/>
  <c r="BH280" i="28"/>
  <c r="BJ280" i="28"/>
  <c r="AY149" i="27"/>
  <c r="BC149" i="27"/>
  <c r="AZ149" i="27"/>
  <c r="BD149" i="27"/>
  <c r="BA149" i="27"/>
  <c r="AX149" i="27"/>
  <c r="BF149" i="27"/>
  <c r="BE149" i="27"/>
  <c r="AV149" i="27"/>
  <c r="BB149" i="27"/>
  <c r="AW149" i="27"/>
  <c r="AX167" i="27"/>
  <c r="AW167" i="27"/>
  <c r="BF167" i="27"/>
  <c r="BE167" i="27"/>
  <c r="BA167" i="27"/>
  <c r="AZ167" i="27"/>
  <c r="AY167" i="27"/>
  <c r="BB167" i="27"/>
  <c r="BC167" i="27"/>
  <c r="BD167" i="27"/>
  <c r="AV167" i="27"/>
  <c r="BF53" i="27"/>
  <c r="AW53" i="27"/>
  <c r="AZ53" i="27"/>
  <c r="BB53" i="27"/>
  <c r="BC53" i="27"/>
  <c r="BA53" i="27"/>
  <c r="BE53" i="27"/>
  <c r="AV53" i="27"/>
  <c r="AX53" i="27"/>
  <c r="AY53" i="27"/>
  <c r="BD53" i="27"/>
  <c r="AY140" i="27"/>
  <c r="AX140" i="27"/>
  <c r="BC140" i="27"/>
  <c r="BF140" i="27"/>
  <c r="AZ140" i="27"/>
  <c r="BD140" i="27"/>
  <c r="AV140" i="27"/>
  <c r="BA140" i="27"/>
  <c r="BB140" i="27"/>
  <c r="AW140" i="27"/>
  <c r="BE140" i="27"/>
  <c r="BC446" i="27"/>
  <c r="AV446" i="27"/>
  <c r="AX446" i="27"/>
  <c r="BE446" i="27"/>
  <c r="AY446" i="27"/>
  <c r="BB446" i="27"/>
  <c r="BF446" i="27"/>
  <c r="BA446" i="27"/>
  <c r="AW446" i="27"/>
  <c r="BD446" i="27"/>
  <c r="AZ446" i="27"/>
  <c r="BD396" i="27"/>
  <c r="AX396" i="27"/>
  <c r="AW396" i="27"/>
  <c r="BE396" i="27"/>
  <c r="BC396" i="27"/>
  <c r="AY396" i="27"/>
  <c r="AZ396" i="27"/>
  <c r="BA396" i="27"/>
  <c r="AV396" i="27"/>
  <c r="BB396" i="27"/>
  <c r="BF396" i="27"/>
  <c r="BA491" i="27"/>
  <c r="AZ491" i="27"/>
  <c r="BC491" i="27"/>
  <c r="AV491" i="27"/>
  <c r="AX491" i="27"/>
  <c r="BB491" i="27"/>
  <c r="AY491" i="27"/>
  <c r="BE491" i="27"/>
  <c r="BF491" i="27"/>
  <c r="AW491" i="27"/>
  <c r="BD491" i="27"/>
  <c r="BB249" i="27"/>
  <c r="BA249" i="27"/>
  <c r="BF249" i="27"/>
  <c r="AZ249" i="27"/>
  <c r="AX249" i="27"/>
  <c r="AW249" i="27"/>
  <c r="BD249" i="27"/>
  <c r="AY249" i="27"/>
  <c r="AV249" i="27"/>
  <c r="BC249" i="27"/>
  <c r="BE249" i="27"/>
  <c r="AV439" i="27"/>
  <c r="BF439" i="27"/>
  <c r="AZ439" i="27"/>
  <c r="AW439" i="27"/>
  <c r="BA439" i="27"/>
  <c r="BE439" i="27"/>
  <c r="BB439" i="27"/>
  <c r="AX439" i="27"/>
  <c r="BC439" i="27"/>
  <c r="AY439" i="27"/>
  <c r="BD439" i="27"/>
  <c r="BD269" i="27"/>
  <c r="AV269" i="27"/>
  <c r="AW269" i="27"/>
  <c r="AZ269" i="27"/>
  <c r="BE269" i="27"/>
  <c r="BB269" i="27"/>
  <c r="AX269" i="27"/>
  <c r="BC269" i="27"/>
  <c r="BA269" i="27"/>
  <c r="AY269" i="27"/>
  <c r="BF269" i="27"/>
  <c r="BP309" i="28"/>
  <c r="BL309" i="28"/>
  <c r="BH309" i="28"/>
  <c r="BI309" i="28"/>
  <c r="BM309" i="28"/>
  <c r="BR309" i="28"/>
  <c r="BN309" i="28"/>
  <c r="BT309" i="28"/>
  <c r="BG309" i="28"/>
  <c r="BF309" i="28"/>
  <c r="BQ309" i="28"/>
  <c r="BK309" i="28"/>
  <c r="BJ309" i="28"/>
  <c r="BS309" i="28"/>
  <c r="BO309" i="28"/>
  <c r="BE405" i="27"/>
  <c r="AY405" i="27"/>
  <c r="AW405" i="27"/>
  <c r="BB405" i="27"/>
  <c r="BD405" i="27"/>
  <c r="BC405" i="27"/>
  <c r="BA405" i="27"/>
  <c r="BF405" i="27"/>
  <c r="AX405" i="27"/>
  <c r="AV405" i="27"/>
  <c r="AZ405" i="27"/>
  <c r="BM28" i="28"/>
  <c r="BT28" i="28"/>
  <c r="BJ28" i="28"/>
  <c r="BO28" i="28"/>
  <c r="BR28" i="28"/>
  <c r="BP28" i="28"/>
  <c r="BG28" i="28"/>
  <c r="BN28" i="28"/>
  <c r="BK28" i="28"/>
  <c r="BH28" i="28"/>
  <c r="BI28" i="28"/>
  <c r="BL28" i="28"/>
  <c r="BF28" i="28"/>
  <c r="BQ28" i="28"/>
  <c r="BS28" i="28"/>
  <c r="BF204" i="27"/>
  <c r="AV204" i="27"/>
  <c r="AY204" i="27"/>
  <c r="BA204" i="27"/>
  <c r="BD204" i="27"/>
  <c r="AX204" i="27"/>
  <c r="AZ204" i="27"/>
  <c r="BC204" i="27"/>
  <c r="AW204" i="27"/>
  <c r="BB204" i="27"/>
  <c r="BE204" i="27"/>
  <c r="AW483" i="27"/>
  <c r="BA483" i="27"/>
  <c r="BE483" i="27"/>
  <c r="AZ483" i="27"/>
  <c r="BF483" i="27"/>
  <c r="BD483" i="27"/>
  <c r="BC483" i="27"/>
  <c r="AY483" i="27"/>
  <c r="BB483" i="27"/>
  <c r="AX483" i="27"/>
  <c r="AV483" i="27"/>
  <c r="BE383" i="27"/>
  <c r="BF383" i="27"/>
  <c r="AW383" i="27"/>
  <c r="AY383" i="27"/>
  <c r="BC383" i="27"/>
  <c r="AZ383" i="27"/>
  <c r="BD383" i="27"/>
  <c r="AV383" i="27"/>
  <c r="BB383" i="27"/>
  <c r="AX383" i="27"/>
  <c r="BA383" i="27"/>
  <c r="AZ365" i="27"/>
  <c r="BB365" i="27"/>
  <c r="AY365" i="27"/>
  <c r="AV365" i="27"/>
  <c r="BE365" i="27"/>
  <c r="BD365" i="27"/>
  <c r="BC365" i="27"/>
  <c r="BA365" i="27"/>
  <c r="AW365" i="27"/>
  <c r="AX365" i="27"/>
  <c r="BF365" i="27"/>
  <c r="BQ199" i="28"/>
  <c r="BJ199" i="28"/>
  <c r="BI199" i="28"/>
  <c r="BO199" i="28"/>
  <c r="BM199" i="28"/>
  <c r="BG199" i="28"/>
  <c r="BS199" i="28"/>
  <c r="BL199" i="28"/>
  <c r="BF199" i="28"/>
  <c r="BR199" i="28"/>
  <c r="BH199" i="28"/>
  <c r="BT199" i="28"/>
  <c r="BP199" i="28"/>
  <c r="BK199" i="28"/>
  <c r="BN199" i="28"/>
  <c r="BF244" i="28"/>
  <c r="BJ244" i="28"/>
  <c r="BH244" i="28"/>
  <c r="BT244" i="28"/>
  <c r="BR244" i="28"/>
  <c r="BP244" i="28"/>
  <c r="BN244" i="28"/>
  <c r="BI244" i="28"/>
  <c r="BQ244" i="28"/>
  <c r="BM244" i="28"/>
  <c r="BG244" i="28"/>
  <c r="BS244" i="28"/>
  <c r="BO244" i="28"/>
  <c r="BK244" i="28"/>
  <c r="BL244" i="28"/>
  <c r="AY195" i="27"/>
  <c r="AW195" i="27"/>
  <c r="BB195" i="27"/>
  <c r="BE195" i="27"/>
  <c r="BC195" i="27"/>
  <c r="AV195" i="27"/>
  <c r="AZ195" i="27"/>
  <c r="AX195" i="27"/>
  <c r="BF195" i="27"/>
  <c r="BA195" i="27"/>
  <c r="BD195" i="27"/>
  <c r="AY185" i="27"/>
  <c r="BD185" i="27"/>
  <c r="AX185" i="27"/>
  <c r="BC185" i="27"/>
  <c r="BA185" i="27"/>
  <c r="BE185" i="27"/>
  <c r="AV185" i="27"/>
  <c r="AW185" i="27"/>
  <c r="BB185" i="27"/>
  <c r="AZ185" i="27"/>
  <c r="BF185" i="27"/>
  <c r="BB213" i="27"/>
  <c r="BE213" i="27"/>
  <c r="BA213" i="27"/>
  <c r="AW213" i="27"/>
  <c r="BC213" i="27"/>
  <c r="AZ213" i="27"/>
  <c r="AX213" i="27"/>
  <c r="BD213" i="27"/>
  <c r="AY213" i="27"/>
  <c r="AV213" i="27"/>
  <c r="BF213" i="27"/>
  <c r="BD475" i="27"/>
  <c r="AY475" i="27"/>
  <c r="BC475" i="27"/>
  <c r="BF475" i="27"/>
  <c r="BB475" i="27"/>
  <c r="BE475" i="27"/>
  <c r="BA475" i="27"/>
  <c r="AZ475" i="27"/>
  <c r="AX475" i="27"/>
  <c r="AV475" i="27"/>
  <c r="AW475" i="27"/>
  <c r="AX510" i="27"/>
  <c r="AV510" i="27"/>
  <c r="AW510" i="27"/>
  <c r="BC510" i="27"/>
  <c r="BB510" i="27"/>
  <c r="BF510" i="27"/>
  <c r="BA510" i="27"/>
  <c r="BE510" i="27"/>
  <c r="AZ510" i="27"/>
  <c r="BD510" i="27"/>
  <c r="AY510" i="27"/>
  <c r="BD233" i="27"/>
  <c r="AX233" i="27"/>
  <c r="BA233" i="27"/>
  <c r="AZ233" i="27"/>
  <c r="BB233" i="27"/>
  <c r="AV233" i="27"/>
  <c r="BE233" i="27"/>
  <c r="BF233" i="27"/>
  <c r="BC233" i="27"/>
  <c r="AW233" i="27"/>
  <c r="AY233" i="27"/>
  <c r="AW359" i="27"/>
  <c r="AY359" i="27"/>
  <c r="BC359" i="27"/>
  <c r="BD359" i="27"/>
  <c r="BE359" i="27"/>
  <c r="AZ359" i="27"/>
  <c r="BA359" i="27"/>
  <c r="AX359" i="27"/>
  <c r="BB359" i="27"/>
  <c r="BF359" i="27"/>
  <c r="AV359" i="27"/>
  <c r="BF133" i="27"/>
  <c r="AY133" i="27"/>
  <c r="AX133" i="27"/>
  <c r="AZ133" i="27"/>
  <c r="BA133" i="27"/>
  <c r="BD133" i="27"/>
  <c r="AW133" i="27"/>
  <c r="BC133" i="27"/>
  <c r="BE133" i="27"/>
  <c r="AV133" i="27"/>
  <c r="BB133" i="27"/>
  <c r="BB259" i="27"/>
  <c r="AZ259" i="27"/>
  <c r="BD259" i="27"/>
  <c r="AX259" i="27"/>
  <c r="BC259" i="27"/>
  <c r="AV259" i="27"/>
  <c r="BE259" i="27"/>
  <c r="AW259" i="27"/>
  <c r="BF259" i="27"/>
  <c r="BA259" i="27"/>
  <c r="AY259" i="27"/>
  <c r="BI288" i="28"/>
  <c r="BK288" i="28"/>
  <c r="BR288" i="28"/>
  <c r="BF288" i="28"/>
  <c r="BP288" i="28"/>
  <c r="BN288" i="28"/>
  <c r="BT288" i="28"/>
  <c r="BL288" i="28"/>
  <c r="BJ288" i="28"/>
  <c r="BS288" i="28"/>
  <c r="BH288" i="28"/>
  <c r="BQ288" i="28"/>
  <c r="BG288" i="28"/>
  <c r="BO288" i="28"/>
  <c r="BM288" i="28"/>
  <c r="BC378" i="27"/>
  <c r="BD378" i="27"/>
  <c r="AX378" i="27"/>
  <c r="BA378" i="27"/>
  <c r="AZ378" i="27"/>
  <c r="BB378" i="27"/>
  <c r="AY378" i="27"/>
  <c r="BE378" i="27"/>
  <c r="BF378" i="27"/>
  <c r="AW378" i="27"/>
  <c r="AV378" i="27"/>
  <c r="BA275" i="27"/>
  <c r="BC275" i="27"/>
  <c r="AX275" i="27"/>
  <c r="AV275" i="27"/>
  <c r="BF275" i="27"/>
  <c r="BD275" i="27"/>
  <c r="BB275" i="27"/>
  <c r="AW275" i="27"/>
  <c r="AY275" i="27"/>
  <c r="AZ275" i="27"/>
  <c r="BE275" i="27"/>
  <c r="AY293" i="27"/>
  <c r="BD293" i="27"/>
  <c r="BA293" i="27"/>
  <c r="BC293" i="27"/>
  <c r="AW293" i="27"/>
  <c r="AV293" i="27"/>
  <c r="BB293" i="27"/>
  <c r="AZ293" i="27"/>
  <c r="BE293" i="27"/>
  <c r="BF293" i="27"/>
  <c r="AX293" i="27"/>
  <c r="BF224" i="27"/>
  <c r="BC224" i="27"/>
  <c r="BA224" i="27"/>
  <c r="BE224" i="27"/>
  <c r="AX224" i="27"/>
  <c r="AW224" i="27"/>
  <c r="AV224" i="27"/>
  <c r="BD224" i="27"/>
  <c r="AZ224" i="27"/>
  <c r="BB224" i="27"/>
  <c r="AY224" i="27"/>
  <c r="BF377" i="27"/>
  <c r="BB377" i="27"/>
  <c r="BE377" i="27"/>
  <c r="AZ377" i="27"/>
  <c r="AV377" i="27"/>
  <c r="AW377" i="27"/>
  <c r="BC377" i="27"/>
  <c r="BA377" i="27"/>
  <c r="AY377" i="27"/>
  <c r="BD377" i="27"/>
  <c r="AX377" i="27"/>
  <c r="BO299" i="28"/>
  <c r="BS299" i="28"/>
  <c r="BG299" i="28"/>
  <c r="BR299" i="28"/>
  <c r="BN299" i="28"/>
  <c r="BF299" i="28"/>
  <c r="BJ299" i="28"/>
  <c r="BT299" i="28"/>
  <c r="BH299" i="28"/>
  <c r="BL299" i="28"/>
  <c r="BP299" i="28"/>
  <c r="BM299" i="28"/>
  <c r="BI299" i="28"/>
  <c r="BQ299" i="28"/>
  <c r="BK299" i="28"/>
  <c r="BC368" i="27"/>
  <c r="BB368" i="27"/>
  <c r="AW368" i="27"/>
  <c r="BF368" i="27"/>
  <c r="AV368" i="27"/>
  <c r="AY368" i="27"/>
  <c r="BA368" i="27"/>
  <c r="BD368" i="27"/>
  <c r="AX368" i="27"/>
  <c r="AZ368" i="27"/>
  <c r="BE368" i="27"/>
  <c r="BE186" i="27"/>
  <c r="AY186" i="27"/>
  <c r="BA186" i="27"/>
  <c r="BB186" i="27"/>
  <c r="BC186" i="27"/>
  <c r="AZ186" i="27"/>
  <c r="AW186" i="27"/>
  <c r="AX186" i="27"/>
  <c r="AV186" i="27"/>
  <c r="BD186" i="27"/>
  <c r="BF186" i="27"/>
  <c r="BA358" i="27"/>
  <c r="AV358" i="27"/>
  <c r="BD358" i="27"/>
  <c r="BE358" i="27"/>
  <c r="AX358" i="27"/>
  <c r="BB358" i="27"/>
  <c r="AW358" i="27"/>
  <c r="AY358" i="27"/>
  <c r="BC358" i="27"/>
  <c r="AZ358" i="27"/>
  <c r="BF358" i="27"/>
  <c r="BC32" i="27"/>
  <c r="AW32" i="27"/>
  <c r="AV32" i="27"/>
  <c r="BE32" i="27"/>
  <c r="AX32" i="27"/>
  <c r="AZ32" i="27"/>
  <c r="BD32" i="27"/>
  <c r="BF32" i="27"/>
  <c r="BB32" i="27"/>
  <c r="AY32" i="27"/>
  <c r="BA32" i="27"/>
  <c r="BF221" i="27"/>
  <c r="AV221" i="27"/>
  <c r="AW221" i="27"/>
  <c r="BD221" i="27"/>
  <c r="AX221" i="27"/>
  <c r="AZ221" i="27"/>
  <c r="BB221" i="27"/>
  <c r="AY221" i="27"/>
  <c r="BC221" i="27"/>
  <c r="BA221" i="27"/>
  <c r="BE221" i="27"/>
  <c r="AZ160" i="27"/>
  <c r="BF160" i="27"/>
  <c r="BE160" i="27"/>
  <c r="BD160" i="27"/>
  <c r="BC160" i="27"/>
  <c r="BA160" i="27"/>
  <c r="AY160" i="27"/>
  <c r="AV160" i="27"/>
  <c r="AX160" i="27"/>
  <c r="AW160" i="27"/>
  <c r="BB160" i="27"/>
  <c r="BA331" i="27"/>
  <c r="BD331" i="27"/>
  <c r="AX331" i="27"/>
  <c r="BE331" i="27"/>
  <c r="BB331" i="27"/>
  <c r="AZ331" i="27"/>
  <c r="AW331" i="27"/>
  <c r="AV331" i="27"/>
  <c r="AY331" i="27"/>
  <c r="BF331" i="27"/>
  <c r="BC331" i="27"/>
  <c r="BK279" i="28"/>
  <c r="BS279" i="28"/>
  <c r="BH279" i="28"/>
  <c r="BO279" i="28"/>
  <c r="BF279" i="28"/>
  <c r="BR279" i="28"/>
  <c r="BQ279" i="28"/>
  <c r="BP279" i="28"/>
  <c r="BL279" i="28"/>
  <c r="BM279" i="28"/>
  <c r="BT279" i="28"/>
  <c r="BI279" i="28"/>
  <c r="BG279" i="28"/>
  <c r="BN279" i="28"/>
  <c r="BJ279" i="28"/>
  <c r="BE150" i="27"/>
  <c r="BD150" i="27"/>
  <c r="BF150" i="27"/>
  <c r="BC150" i="27"/>
  <c r="AV150" i="27"/>
  <c r="AX150" i="27"/>
  <c r="AZ150" i="27"/>
  <c r="BA150" i="27"/>
  <c r="AW150" i="27"/>
  <c r="AY150" i="27"/>
  <c r="BB150" i="27"/>
  <c r="BA170" i="27"/>
  <c r="BF170" i="27"/>
  <c r="BE170" i="27"/>
  <c r="AV170" i="27"/>
  <c r="AZ170" i="27"/>
  <c r="BC170" i="27"/>
  <c r="BD170" i="27"/>
  <c r="AX170" i="27"/>
  <c r="AW170" i="27"/>
  <c r="AY170" i="27"/>
  <c r="BB170" i="27"/>
  <c r="BA50" i="27"/>
  <c r="AV50" i="27"/>
  <c r="AX50" i="27"/>
  <c r="BD50" i="27"/>
  <c r="BF50" i="27"/>
  <c r="BB50" i="27"/>
  <c r="AW50" i="27"/>
  <c r="AY50" i="27"/>
  <c r="BC50" i="27"/>
  <c r="BE50" i="27"/>
  <c r="AZ50" i="27"/>
  <c r="AY142" i="27"/>
  <c r="BC142" i="27"/>
  <c r="BE142" i="27"/>
  <c r="AV142" i="27"/>
  <c r="BA142" i="27"/>
  <c r="BB142" i="27"/>
  <c r="BD142" i="27"/>
  <c r="AZ142" i="27"/>
  <c r="AW142" i="27"/>
  <c r="BF142" i="27"/>
  <c r="AX142" i="27"/>
  <c r="AW448" i="27"/>
  <c r="BE448" i="27"/>
  <c r="AX448" i="27"/>
  <c r="BF448" i="27"/>
  <c r="AV448" i="27"/>
  <c r="BC448" i="27"/>
  <c r="BD448" i="27"/>
  <c r="BB448" i="27"/>
  <c r="AZ448" i="27"/>
  <c r="BA448" i="27"/>
  <c r="AY448" i="27"/>
  <c r="AX392" i="27"/>
  <c r="BE392" i="27"/>
  <c r="BB392" i="27"/>
  <c r="BD392" i="27"/>
  <c r="AZ392" i="27"/>
  <c r="BC392" i="27"/>
  <c r="BF392" i="27"/>
  <c r="AW392" i="27"/>
  <c r="BA392" i="27"/>
  <c r="AV392" i="27"/>
  <c r="AY392" i="27"/>
  <c r="BF493" i="27"/>
  <c r="BD493" i="27"/>
  <c r="AW493" i="27"/>
  <c r="AX493" i="27"/>
  <c r="BB493" i="27"/>
  <c r="BA493" i="27"/>
  <c r="AV493" i="27"/>
  <c r="BE493" i="27"/>
  <c r="BC493" i="27"/>
  <c r="AZ493" i="27"/>
  <c r="AY493" i="27"/>
  <c r="BF251" i="27"/>
  <c r="BD251" i="27"/>
  <c r="AW251" i="27"/>
  <c r="BB251" i="27"/>
  <c r="BE251" i="27"/>
  <c r="AV251" i="27"/>
  <c r="AX251" i="27"/>
  <c r="AY251" i="27"/>
  <c r="AZ251" i="27"/>
  <c r="BA251" i="27"/>
  <c r="BC251" i="27"/>
  <c r="AX179" i="27"/>
  <c r="AZ179" i="27"/>
  <c r="AW179" i="27"/>
  <c r="BC179" i="27"/>
  <c r="BA179" i="27"/>
  <c r="AV179" i="27"/>
  <c r="BE179" i="27"/>
  <c r="AY179" i="27"/>
  <c r="BB179" i="27"/>
  <c r="BD179" i="27"/>
  <c r="BF179" i="27"/>
  <c r="BC124" i="27"/>
  <c r="BE124" i="27"/>
  <c r="AW124" i="27"/>
  <c r="AV124" i="27"/>
  <c r="AX124" i="27"/>
  <c r="BA124" i="27"/>
  <c r="BD124" i="27"/>
  <c r="BB124" i="27"/>
  <c r="AY124" i="27"/>
  <c r="AZ124" i="27"/>
  <c r="BF124" i="27"/>
  <c r="BG308" i="28"/>
  <c r="BS308" i="28"/>
  <c r="BR308" i="28"/>
  <c r="BN308" i="28"/>
  <c r="BI308" i="28"/>
  <c r="BK308" i="28"/>
  <c r="BJ308" i="28"/>
  <c r="BT308" i="28"/>
  <c r="BO308" i="28"/>
  <c r="BM308" i="28"/>
  <c r="BL308" i="28"/>
  <c r="BP308" i="28"/>
  <c r="BF308" i="28"/>
  <c r="BQ308" i="28"/>
  <c r="BH308" i="28"/>
  <c r="BF401" i="27"/>
  <c r="AX401" i="27"/>
  <c r="BB401" i="27"/>
  <c r="AW401" i="27"/>
  <c r="BA401" i="27"/>
  <c r="AZ401" i="27"/>
  <c r="AV401" i="27"/>
  <c r="AY401" i="27"/>
  <c r="BD401" i="27"/>
  <c r="BE401" i="27"/>
  <c r="BC401" i="27"/>
  <c r="BS29" i="28"/>
  <c r="BK29" i="28"/>
  <c r="BH29" i="28"/>
  <c r="BG29" i="28"/>
  <c r="BI29" i="28"/>
  <c r="BL29" i="28"/>
  <c r="BN29" i="28"/>
  <c r="BO29" i="28"/>
  <c r="BQ29" i="28"/>
  <c r="BF29" i="28"/>
  <c r="BT29" i="28"/>
  <c r="BM29" i="28"/>
  <c r="BJ29" i="28"/>
  <c r="BP29" i="28"/>
  <c r="BR29" i="28"/>
  <c r="BE205" i="27"/>
  <c r="BA205" i="27"/>
  <c r="AZ205" i="27"/>
  <c r="BF205" i="27"/>
  <c r="AV205" i="27"/>
  <c r="AY205" i="27"/>
  <c r="BB205" i="27"/>
  <c r="AW205" i="27"/>
  <c r="AX205" i="27"/>
  <c r="BD205" i="27"/>
  <c r="BC205" i="27"/>
  <c r="BB485" i="27"/>
  <c r="BE485" i="27"/>
  <c r="AX485" i="27"/>
  <c r="BA485" i="27"/>
  <c r="BD485" i="27"/>
  <c r="AZ485" i="27"/>
  <c r="BF485" i="27"/>
  <c r="AW485" i="27"/>
  <c r="AY485" i="27"/>
  <c r="BC485" i="27"/>
  <c r="AV485" i="27"/>
  <c r="AV70" i="27"/>
  <c r="BD70" i="27"/>
  <c r="BB70" i="27"/>
  <c r="BA70" i="27"/>
  <c r="BE70" i="27"/>
  <c r="AX70" i="27"/>
  <c r="AZ70" i="27"/>
  <c r="BC70" i="27"/>
  <c r="BF70" i="27"/>
  <c r="AW70" i="27"/>
  <c r="AY70" i="27"/>
  <c r="BC320" i="27"/>
  <c r="BF320" i="27"/>
  <c r="BE320" i="27"/>
  <c r="BA320" i="27"/>
  <c r="AW320" i="27"/>
  <c r="AY320" i="27"/>
  <c r="BB320" i="27"/>
  <c r="AZ320" i="27"/>
  <c r="BD320" i="27"/>
  <c r="AV320" i="27"/>
  <c r="AX320" i="27"/>
  <c r="BF339" i="27"/>
  <c r="BA339" i="27"/>
  <c r="AV339" i="27"/>
  <c r="AY339" i="27"/>
  <c r="BD339" i="27"/>
  <c r="AZ339" i="27"/>
  <c r="AW339" i="27"/>
  <c r="AX339" i="27"/>
  <c r="BC339" i="27"/>
  <c r="BB339" i="27"/>
  <c r="BE339" i="27"/>
  <c r="AW86" i="27"/>
  <c r="BD86" i="27"/>
  <c r="AV86" i="27"/>
  <c r="BA86" i="27"/>
  <c r="BF86" i="27"/>
  <c r="AY86" i="27"/>
  <c r="BB86" i="27"/>
  <c r="BC86" i="27"/>
  <c r="BE86" i="27"/>
  <c r="AX86" i="27"/>
  <c r="AZ86" i="27"/>
  <c r="AY413" i="27"/>
  <c r="BB413" i="27"/>
  <c r="AZ413" i="27"/>
  <c r="AW413" i="27"/>
  <c r="BC413" i="27"/>
  <c r="BF413" i="27"/>
  <c r="BA413" i="27"/>
  <c r="AV413" i="27"/>
  <c r="BE413" i="27"/>
  <c r="BD413" i="27"/>
  <c r="AX413" i="27"/>
  <c r="BB187" i="27"/>
  <c r="BA187" i="27"/>
  <c r="AZ187" i="27"/>
  <c r="BE187" i="27"/>
  <c r="AV187" i="27"/>
  <c r="BD187" i="27"/>
  <c r="BF187" i="27"/>
  <c r="BC187" i="27"/>
  <c r="AY187" i="27"/>
  <c r="AW187" i="27"/>
  <c r="AX187" i="27"/>
  <c r="BE214" i="27"/>
  <c r="AW214" i="27"/>
  <c r="BD214" i="27"/>
  <c r="AV214" i="27"/>
  <c r="AY214" i="27"/>
  <c r="BF214" i="27"/>
  <c r="BC214" i="27"/>
  <c r="AX214" i="27"/>
  <c r="BB214" i="27"/>
  <c r="AZ214" i="27"/>
  <c r="BA214" i="27"/>
  <c r="BA478" i="27"/>
  <c r="BF478" i="27"/>
  <c r="BB478" i="27"/>
  <c r="AZ478" i="27"/>
  <c r="AY478" i="27"/>
  <c r="BC478" i="27"/>
  <c r="BE478" i="27"/>
  <c r="AV478" i="27"/>
  <c r="BD478" i="27"/>
  <c r="AW478" i="27"/>
  <c r="AX478" i="27"/>
  <c r="BO73" i="28"/>
  <c r="BG73" i="28"/>
  <c r="BQ73" i="28"/>
  <c r="BM73" i="28"/>
  <c r="BT73" i="28"/>
  <c r="BN73" i="28"/>
  <c r="BH73" i="28"/>
  <c r="BF73" i="28"/>
  <c r="BL73" i="28"/>
  <c r="BS73" i="28"/>
  <c r="BK73" i="28"/>
  <c r="BR73" i="28"/>
  <c r="BI73" i="28"/>
  <c r="BP73" i="28"/>
  <c r="BJ73" i="28"/>
  <c r="BE116" i="27"/>
  <c r="AY116" i="27"/>
  <c r="AZ116" i="27"/>
  <c r="BC116" i="27"/>
  <c r="AW116" i="27"/>
  <c r="BD116" i="27"/>
  <c r="BB116" i="27"/>
  <c r="AX116" i="27"/>
  <c r="BA116" i="27"/>
  <c r="BF116" i="27"/>
  <c r="AV116" i="27"/>
  <c r="AY467" i="27"/>
  <c r="BC467" i="27"/>
  <c r="AW467" i="27"/>
  <c r="BA467" i="27"/>
  <c r="AX467" i="27"/>
  <c r="AV467" i="27"/>
  <c r="BD467" i="27"/>
  <c r="BF467" i="27"/>
  <c r="BE467" i="27"/>
  <c r="AZ467" i="27"/>
  <c r="BB467" i="27"/>
  <c r="BF132" i="27"/>
  <c r="AY132" i="27"/>
  <c r="AZ132" i="27"/>
  <c r="AW132" i="27"/>
  <c r="BC132" i="27"/>
  <c r="BE132" i="27"/>
  <c r="BB132" i="27"/>
  <c r="BA132" i="27"/>
  <c r="BD132" i="27"/>
  <c r="AV132" i="27"/>
  <c r="AX132" i="27"/>
  <c r="BA260" i="27"/>
  <c r="BE260" i="27"/>
  <c r="BF260" i="27"/>
  <c r="BB260" i="27"/>
  <c r="BD260" i="27"/>
  <c r="AV260" i="27"/>
  <c r="AY260" i="27"/>
  <c r="AX260" i="27"/>
  <c r="AW260" i="27"/>
  <c r="AZ260" i="27"/>
  <c r="BC260" i="27"/>
  <c r="BQ119" i="28"/>
  <c r="BG119" i="28"/>
  <c r="BI119" i="28"/>
  <c r="BO119" i="28"/>
  <c r="BK119" i="28"/>
  <c r="BS119" i="28"/>
  <c r="BH119" i="28"/>
  <c r="BL119" i="28"/>
  <c r="BP119" i="28"/>
  <c r="BF119" i="28"/>
  <c r="BM119" i="28"/>
  <c r="BT119" i="28"/>
  <c r="BJ119" i="28"/>
  <c r="BN119" i="28"/>
  <c r="BR119" i="28"/>
  <c r="BB177" i="27"/>
  <c r="AY177" i="27"/>
  <c r="AX177" i="27"/>
  <c r="BD177" i="27"/>
  <c r="BC177" i="27"/>
  <c r="AZ177" i="27"/>
  <c r="AV177" i="27"/>
  <c r="BF177" i="27"/>
  <c r="AW177" i="27"/>
  <c r="BA177" i="27"/>
  <c r="BE177" i="27"/>
  <c r="AX33" i="27"/>
  <c r="BD33" i="27"/>
  <c r="AW33" i="27"/>
  <c r="BC33" i="27"/>
  <c r="BE33" i="27"/>
  <c r="BF33" i="27"/>
  <c r="AZ33" i="27"/>
  <c r="BB33" i="27"/>
  <c r="BA33" i="27"/>
  <c r="AV33" i="27"/>
  <c r="AY33" i="27"/>
  <c r="BH281" i="28"/>
  <c r="BF281" i="28"/>
  <c r="BN281" i="28"/>
  <c r="BS281" i="28"/>
  <c r="BJ281" i="28"/>
  <c r="BG281" i="28"/>
  <c r="BT281" i="28"/>
  <c r="BM281" i="28"/>
  <c r="BR281" i="28"/>
  <c r="BP281" i="28"/>
  <c r="BI281" i="28"/>
  <c r="BQ281" i="28"/>
  <c r="BO281" i="28"/>
  <c r="BL281" i="28"/>
  <c r="BK281" i="28"/>
  <c r="AY97" i="27"/>
  <c r="AZ97" i="27"/>
  <c r="BE97" i="27"/>
  <c r="AW97" i="27"/>
  <c r="BD97" i="27"/>
  <c r="BC97" i="27"/>
  <c r="AV97" i="27"/>
  <c r="BF97" i="27"/>
  <c r="AX97" i="27"/>
  <c r="BB97" i="27"/>
  <c r="BA97" i="27"/>
  <c r="AX60" i="27"/>
  <c r="BF60" i="27"/>
  <c r="BD60" i="27"/>
  <c r="AZ60" i="27"/>
  <c r="BB60" i="27"/>
  <c r="BC60" i="27"/>
  <c r="AW60" i="27"/>
  <c r="BE60" i="27"/>
  <c r="AV60" i="27"/>
  <c r="AY60" i="27"/>
  <c r="BA60" i="27"/>
  <c r="AZ437" i="27"/>
  <c r="BC437" i="27"/>
  <c r="AW437" i="27"/>
  <c r="BF437" i="27"/>
  <c r="BE437" i="27"/>
  <c r="AY437" i="27"/>
  <c r="AX437" i="27"/>
  <c r="BB437" i="27"/>
  <c r="BA437" i="27"/>
  <c r="BD437" i="27"/>
  <c r="AV437" i="27"/>
  <c r="BF268" i="27"/>
  <c r="AX268" i="27"/>
  <c r="BC268" i="27"/>
  <c r="BA268" i="27"/>
  <c r="BE268" i="27"/>
  <c r="AY268" i="27"/>
  <c r="BD268" i="27"/>
  <c r="AV268" i="27"/>
  <c r="AZ268" i="27"/>
  <c r="BB268" i="27"/>
  <c r="AW268" i="27"/>
  <c r="BC347" i="27"/>
  <c r="BD347" i="27"/>
  <c r="BB347" i="27"/>
  <c r="AX347" i="27"/>
  <c r="AY347" i="27"/>
  <c r="AZ347" i="27"/>
  <c r="BE347" i="27"/>
  <c r="BF347" i="27"/>
  <c r="AV347" i="27"/>
  <c r="BA347" i="27"/>
  <c r="AW347" i="27"/>
  <c r="BF198" i="28"/>
  <c r="BS198" i="28"/>
  <c r="BG198" i="28"/>
  <c r="BM198" i="28"/>
  <c r="BN198" i="28"/>
  <c r="BI198" i="28"/>
  <c r="BH198" i="28"/>
  <c r="BK198" i="28"/>
  <c r="BJ198" i="28"/>
  <c r="BP198" i="28"/>
  <c r="BL198" i="28"/>
  <c r="BT198" i="28"/>
  <c r="BO198" i="28"/>
  <c r="BR198" i="28"/>
  <c r="BQ198" i="28"/>
  <c r="BE194" i="27"/>
  <c r="AW194" i="27"/>
  <c r="BC194" i="27"/>
  <c r="BB194" i="27"/>
  <c r="BF194" i="27"/>
  <c r="AX194" i="27"/>
  <c r="AY194" i="27"/>
  <c r="BA194" i="27"/>
  <c r="BD194" i="27"/>
  <c r="AZ194" i="27"/>
  <c r="AV194" i="27"/>
  <c r="BC509" i="27"/>
  <c r="BA509" i="27"/>
  <c r="BB509" i="27"/>
  <c r="AZ509" i="27"/>
  <c r="AV509" i="27"/>
  <c r="AW509" i="27"/>
  <c r="AY509" i="27"/>
  <c r="BD509" i="27"/>
  <c r="BF509" i="27"/>
  <c r="BE509" i="27"/>
  <c r="AX509" i="27"/>
  <c r="BF230" i="27"/>
  <c r="BD230" i="27"/>
  <c r="BB230" i="27"/>
  <c r="AZ230" i="27"/>
  <c r="AV230" i="27"/>
  <c r="AX230" i="27"/>
  <c r="BE230" i="27"/>
  <c r="BC230" i="27"/>
  <c r="AW230" i="27"/>
  <c r="BA230" i="27"/>
  <c r="AY230" i="27"/>
  <c r="AW78" i="27"/>
  <c r="BC78" i="27"/>
  <c r="AZ78" i="27"/>
  <c r="BE78" i="27"/>
  <c r="BA78" i="27"/>
  <c r="BD78" i="27"/>
  <c r="BF78" i="27"/>
  <c r="AX78" i="27"/>
  <c r="AV78" i="27"/>
  <c r="BB78" i="27"/>
  <c r="AY78" i="27"/>
  <c r="AV313" i="27"/>
  <c r="AW313" i="27"/>
  <c r="AX313" i="27"/>
  <c r="BA313" i="27"/>
  <c r="BE313" i="27"/>
  <c r="BB313" i="27"/>
  <c r="BF313" i="27"/>
  <c r="BC313" i="27"/>
  <c r="AY313" i="27"/>
  <c r="BD313" i="27"/>
  <c r="AZ313" i="27"/>
  <c r="BC458" i="27"/>
  <c r="BF458" i="27"/>
  <c r="AZ458" i="27"/>
  <c r="AV458" i="27"/>
  <c r="BE458" i="27"/>
  <c r="BB458" i="27"/>
  <c r="BA458" i="27"/>
  <c r="AX458" i="27"/>
  <c r="BD458" i="27"/>
  <c r="AW458" i="27"/>
  <c r="AY458" i="27"/>
  <c r="BP289" i="28"/>
  <c r="BN289" i="28"/>
  <c r="BF289" i="28"/>
  <c r="BK289" i="28"/>
  <c r="BR289" i="28"/>
  <c r="BG289" i="28"/>
  <c r="BM289" i="28"/>
  <c r="BT289" i="28"/>
  <c r="BS289" i="28"/>
  <c r="BL289" i="28"/>
  <c r="BJ289" i="28"/>
  <c r="BH289" i="28"/>
  <c r="BQ289" i="28"/>
  <c r="BO289" i="28"/>
  <c r="BI289" i="28"/>
  <c r="BE44" i="27"/>
  <c r="BD44" i="27"/>
  <c r="AW44" i="27"/>
  <c r="AX44" i="27"/>
  <c r="BC44" i="27"/>
  <c r="AV44" i="27"/>
  <c r="BB44" i="27"/>
  <c r="BA44" i="27"/>
  <c r="AZ44" i="27"/>
  <c r="AY44" i="27"/>
  <c r="BF44" i="27"/>
  <c r="BD503" i="27"/>
  <c r="AV503" i="27"/>
  <c r="BE503" i="27"/>
  <c r="BC503" i="27"/>
  <c r="AW503" i="27"/>
  <c r="BB503" i="27"/>
  <c r="AX503" i="27"/>
  <c r="AZ503" i="27"/>
  <c r="AY503" i="27"/>
  <c r="BA503" i="27"/>
  <c r="BF503" i="27"/>
  <c r="BM117" i="28"/>
  <c r="BQ117" i="28"/>
  <c r="BF117" i="28"/>
  <c r="BG117" i="28"/>
  <c r="BJ117" i="28"/>
  <c r="BN117" i="28"/>
  <c r="BO117" i="28"/>
  <c r="BS117" i="28"/>
  <c r="BK117" i="28"/>
  <c r="BR117" i="28"/>
  <c r="BH117" i="28"/>
  <c r="BL117" i="28"/>
  <c r="BP117" i="28"/>
  <c r="BT117" i="28"/>
  <c r="BI117" i="28"/>
  <c r="BD376" i="27"/>
  <c r="BE376" i="27"/>
  <c r="BB376" i="27"/>
  <c r="BC376" i="27"/>
  <c r="BA376" i="27"/>
  <c r="AV376" i="27"/>
  <c r="AW376" i="27"/>
  <c r="AZ376" i="27"/>
  <c r="AX376" i="27"/>
  <c r="AY376" i="27"/>
  <c r="BF376" i="27"/>
  <c r="AY52" i="27"/>
  <c r="AZ52" i="27"/>
  <c r="AV52" i="27"/>
  <c r="BE52" i="27"/>
  <c r="AW52" i="27"/>
  <c r="BB52" i="27"/>
  <c r="BD52" i="27"/>
  <c r="AX52" i="27"/>
  <c r="BF52" i="27"/>
  <c r="BA52" i="27"/>
  <c r="BC52" i="27"/>
  <c r="AV143" i="27"/>
  <c r="BA143" i="27"/>
  <c r="AY143" i="27"/>
  <c r="BC143" i="27"/>
  <c r="BF143" i="27"/>
  <c r="BE143" i="27"/>
  <c r="AW143" i="27"/>
  <c r="BD143" i="27"/>
  <c r="BB143" i="27"/>
  <c r="AX143" i="27"/>
  <c r="AZ143" i="27"/>
  <c r="BD447" i="27"/>
  <c r="BE447" i="27"/>
  <c r="AX447" i="27"/>
  <c r="BB447" i="27"/>
  <c r="AW447" i="27"/>
  <c r="AY447" i="27"/>
  <c r="BA447" i="27"/>
  <c r="BC447" i="27"/>
  <c r="AZ447" i="27"/>
  <c r="AV447" i="27"/>
  <c r="BF447" i="27"/>
  <c r="BA394" i="27"/>
  <c r="AX394" i="27"/>
  <c r="AY394" i="27"/>
  <c r="AW394" i="27"/>
  <c r="AZ394" i="27"/>
  <c r="BD394" i="27"/>
  <c r="BB394" i="27"/>
  <c r="AV394" i="27"/>
  <c r="BE394" i="27"/>
  <c r="BF394" i="27"/>
  <c r="BC394" i="27"/>
  <c r="AZ492" i="27"/>
  <c r="BE492" i="27"/>
  <c r="BD492" i="27"/>
  <c r="BA492" i="27"/>
  <c r="AV492" i="27"/>
  <c r="AY492" i="27"/>
  <c r="BC492" i="27"/>
  <c r="AW492" i="27"/>
  <c r="AX492" i="27"/>
  <c r="BB492" i="27"/>
  <c r="BF492" i="27"/>
  <c r="BB248" i="27"/>
  <c r="BD248" i="27"/>
  <c r="BC248" i="27"/>
  <c r="BE248" i="27"/>
  <c r="AY248" i="27"/>
  <c r="AZ248" i="27"/>
  <c r="AX248" i="27"/>
  <c r="AV248" i="27"/>
  <c r="BA248" i="27"/>
  <c r="AW248" i="27"/>
  <c r="BF248" i="27"/>
  <c r="AV178" i="27"/>
  <c r="BF178" i="27"/>
  <c r="AX178" i="27"/>
  <c r="AZ178" i="27"/>
  <c r="BC178" i="27"/>
  <c r="AW178" i="27"/>
  <c r="BA178" i="27"/>
  <c r="BE178" i="27"/>
  <c r="BB178" i="27"/>
  <c r="BD178" i="27"/>
  <c r="AY178" i="27"/>
  <c r="BF125" i="27"/>
  <c r="BB125" i="27"/>
  <c r="AV125" i="27"/>
  <c r="AY125" i="27"/>
  <c r="BC125" i="27"/>
  <c r="AX125" i="27"/>
  <c r="BD125" i="27"/>
  <c r="AW125" i="27"/>
  <c r="BE125" i="27"/>
  <c r="AZ125" i="27"/>
  <c r="BA125" i="27"/>
  <c r="BE295" i="27"/>
  <c r="BF295" i="27"/>
  <c r="BC295" i="27"/>
  <c r="BD295" i="27"/>
  <c r="AW295" i="27"/>
  <c r="AX295" i="27"/>
  <c r="AZ295" i="27"/>
  <c r="AV295" i="27"/>
  <c r="BB295" i="27"/>
  <c r="AY295" i="27"/>
  <c r="BA295" i="27"/>
  <c r="BF404" i="27"/>
  <c r="AX404" i="27"/>
  <c r="BE404" i="27"/>
  <c r="AW404" i="27"/>
  <c r="BA404" i="27"/>
  <c r="BD404" i="27"/>
  <c r="AZ404" i="27"/>
  <c r="AV404" i="27"/>
  <c r="BC404" i="27"/>
  <c r="BB404" i="27"/>
  <c r="AY404" i="27"/>
  <c r="BM30" i="28"/>
  <c r="BJ30" i="28"/>
  <c r="BP30" i="28"/>
  <c r="BT30" i="28"/>
  <c r="BH30" i="28"/>
  <c r="BO30" i="28"/>
  <c r="BK30" i="28"/>
  <c r="BQ30" i="28"/>
  <c r="BI30" i="28"/>
  <c r="BN30" i="28"/>
  <c r="BS30" i="28"/>
  <c r="BL30" i="28"/>
  <c r="BG30" i="28"/>
  <c r="BF30" i="28"/>
  <c r="BR30" i="28"/>
  <c r="BC203" i="27"/>
  <c r="AV203" i="27"/>
  <c r="BF203" i="27"/>
  <c r="BE203" i="27"/>
  <c r="BB203" i="27"/>
  <c r="AX203" i="27"/>
  <c r="AY203" i="27"/>
  <c r="BD203" i="27"/>
  <c r="AZ203" i="27"/>
  <c r="BA203" i="27"/>
  <c r="AW203" i="27"/>
  <c r="AV484" i="27"/>
  <c r="AX484" i="27"/>
  <c r="BB484" i="27"/>
  <c r="BE484" i="27"/>
  <c r="BD484" i="27"/>
  <c r="BA484" i="27"/>
  <c r="BC484" i="27"/>
  <c r="AW484" i="27"/>
  <c r="AZ484" i="27"/>
  <c r="BF484" i="27"/>
  <c r="AY484" i="27"/>
  <c r="AV71" i="27"/>
  <c r="AY71" i="27"/>
  <c r="AW71" i="27"/>
  <c r="BB71" i="27"/>
  <c r="BD71" i="27"/>
  <c r="AX71" i="27"/>
  <c r="BE71" i="27"/>
  <c r="BC71" i="27"/>
  <c r="BA71" i="27"/>
  <c r="BF71" i="27"/>
  <c r="AZ71" i="27"/>
  <c r="BB323" i="27"/>
  <c r="AX323" i="27"/>
  <c r="BD323" i="27"/>
  <c r="BA323" i="27"/>
  <c r="AW323" i="27"/>
  <c r="BC323" i="27"/>
  <c r="AV323" i="27"/>
  <c r="AZ323" i="27"/>
  <c r="BF323" i="27"/>
  <c r="AY323" i="27"/>
  <c r="BE323" i="27"/>
  <c r="AV340" i="27"/>
  <c r="BA340" i="27"/>
  <c r="AW340" i="27"/>
  <c r="AX340" i="27"/>
  <c r="AY340" i="27"/>
  <c r="BB340" i="27"/>
  <c r="AZ340" i="27"/>
  <c r="BC340" i="27"/>
  <c r="BE340" i="27"/>
  <c r="BD340" i="27"/>
  <c r="BF340" i="27"/>
  <c r="BD88" i="27"/>
  <c r="AW88" i="27"/>
  <c r="BB88" i="27"/>
  <c r="AX88" i="27"/>
  <c r="AZ88" i="27"/>
  <c r="AV88" i="27"/>
  <c r="BA88" i="27"/>
  <c r="AY88" i="27"/>
  <c r="BF88" i="27"/>
  <c r="BC88" i="27"/>
  <c r="BE88" i="27"/>
  <c r="AV414" i="27"/>
  <c r="BD414" i="27"/>
  <c r="AW414" i="27"/>
  <c r="AY414" i="27"/>
  <c r="AZ414" i="27"/>
  <c r="AX414" i="27"/>
  <c r="BE414" i="27"/>
  <c r="BC414" i="27"/>
  <c r="BB414" i="27"/>
  <c r="BA414" i="27"/>
  <c r="BF414" i="27"/>
  <c r="BA431" i="27"/>
  <c r="BC431" i="27"/>
  <c r="BF431" i="27"/>
  <c r="AX431" i="27"/>
  <c r="AY431" i="27"/>
  <c r="AZ431" i="27"/>
  <c r="BB431" i="27"/>
  <c r="AV431" i="27"/>
  <c r="BE431" i="27"/>
  <c r="AW431" i="27"/>
  <c r="BD431" i="27"/>
  <c r="BB215" i="27"/>
  <c r="BE215" i="27"/>
  <c r="AY215" i="27"/>
  <c r="BF215" i="27"/>
  <c r="BA215" i="27"/>
  <c r="AW215" i="27"/>
  <c r="AV215" i="27"/>
  <c r="BD215" i="27"/>
  <c r="AX215" i="27"/>
  <c r="AZ215" i="27"/>
  <c r="BC215" i="27"/>
  <c r="BF477" i="27"/>
  <c r="AX477" i="27"/>
  <c r="BE477" i="27"/>
  <c r="AV477" i="27"/>
  <c r="AW477" i="27"/>
  <c r="BC477" i="27"/>
  <c r="BB477" i="27"/>
  <c r="AZ477" i="27"/>
  <c r="AY477" i="27"/>
  <c r="BA477" i="27"/>
  <c r="BD477" i="27"/>
  <c r="BH72" i="28"/>
  <c r="BR72" i="28"/>
  <c r="BN72" i="28"/>
  <c r="BP72" i="28"/>
  <c r="BQ72" i="28"/>
  <c r="BI72" i="28"/>
  <c r="BO72" i="28"/>
  <c r="BG72" i="28"/>
  <c r="BM72" i="28"/>
  <c r="BS72" i="28"/>
  <c r="BF72" i="28"/>
  <c r="BJ72" i="28"/>
  <c r="BL72" i="28"/>
  <c r="BT72" i="28"/>
  <c r="BK72" i="28"/>
  <c r="AY114" i="27"/>
  <c r="BB114" i="27"/>
  <c r="AV114" i="27"/>
  <c r="BC114" i="27"/>
  <c r="AX114" i="27"/>
  <c r="BF114" i="27"/>
  <c r="BD114" i="27"/>
  <c r="BE114" i="27"/>
  <c r="AZ114" i="27"/>
  <c r="AW114" i="27"/>
  <c r="BA114" i="27"/>
  <c r="AY469" i="27"/>
  <c r="BA469" i="27"/>
  <c r="BE469" i="27"/>
  <c r="AZ469" i="27"/>
  <c r="AV469" i="27"/>
  <c r="BB469" i="27"/>
  <c r="AW469" i="27"/>
  <c r="BF469" i="27"/>
  <c r="BC469" i="27"/>
  <c r="BD469" i="27"/>
  <c r="AX469" i="27"/>
  <c r="BA134" i="27"/>
  <c r="BB134" i="27"/>
  <c r="AZ134" i="27"/>
  <c r="AV134" i="27"/>
  <c r="AY134" i="27"/>
  <c r="BF134" i="27"/>
  <c r="AX134" i="27"/>
  <c r="BE134" i="27"/>
  <c r="AW134" i="27"/>
  <c r="BC134" i="27"/>
  <c r="BD134" i="27"/>
  <c r="BC257" i="27"/>
  <c r="AW257" i="27"/>
  <c r="BA257" i="27"/>
  <c r="AZ257" i="27"/>
  <c r="BD257" i="27"/>
  <c r="AY257" i="27"/>
  <c r="BF257" i="27"/>
  <c r="AV257" i="27"/>
  <c r="AX257" i="27"/>
  <c r="BE257" i="27"/>
  <c r="BB257" i="27"/>
  <c r="BE423" i="27"/>
  <c r="AX423" i="27"/>
  <c r="AV423" i="27"/>
  <c r="BC423" i="27"/>
  <c r="AY423" i="27"/>
  <c r="BA423" i="27"/>
  <c r="BB423" i="27"/>
  <c r="BD423" i="27"/>
  <c r="BF423" i="27"/>
  <c r="AW423" i="27"/>
  <c r="AZ423" i="27"/>
  <c r="BE456" i="27"/>
  <c r="BC456" i="27"/>
  <c r="AX456" i="27"/>
  <c r="AV456" i="27"/>
  <c r="BA456" i="27"/>
  <c r="BB456" i="27"/>
  <c r="AW456" i="27"/>
  <c r="AZ456" i="27"/>
  <c r="AY456" i="27"/>
  <c r="BF456" i="27"/>
  <c r="BD456" i="27"/>
  <c r="BE286" i="27"/>
  <c r="BB286" i="27"/>
  <c r="BA286" i="27"/>
  <c r="AW286" i="27"/>
  <c r="AX286" i="27"/>
  <c r="AY286" i="27"/>
  <c r="BD286" i="27"/>
  <c r="BC286" i="27"/>
  <c r="BF286" i="27"/>
  <c r="AZ286" i="27"/>
  <c r="AV286" i="27"/>
  <c r="BF123" i="27"/>
  <c r="AZ123" i="27"/>
  <c r="AY123" i="27"/>
  <c r="BE123" i="27"/>
  <c r="BB123" i="27"/>
  <c r="BC123" i="27"/>
  <c r="AX123" i="27"/>
  <c r="AV123" i="27"/>
  <c r="AW123" i="27"/>
  <c r="BA123" i="27"/>
  <c r="BD123" i="27"/>
  <c r="BK300" i="28"/>
  <c r="BI300" i="28"/>
  <c r="BT300" i="28"/>
  <c r="BG300" i="28"/>
  <c r="BR300" i="28"/>
  <c r="BM300" i="28"/>
  <c r="BF300" i="28"/>
  <c r="BL300" i="28"/>
  <c r="BQ300" i="28"/>
  <c r="BO300" i="28"/>
  <c r="BP300" i="28"/>
  <c r="BN300" i="28"/>
  <c r="BJ300" i="28"/>
  <c r="BH300" i="28"/>
  <c r="BS300" i="28"/>
  <c r="AV322" i="27"/>
  <c r="BD322" i="27"/>
  <c r="BA322" i="27"/>
  <c r="BB322" i="27"/>
  <c r="AZ322" i="27"/>
  <c r="BF322" i="27"/>
  <c r="AY322" i="27"/>
  <c r="AX322" i="27"/>
  <c r="BC322" i="27"/>
  <c r="BE322" i="27"/>
  <c r="AW322" i="27"/>
  <c r="AY87" i="27"/>
  <c r="BF87" i="27"/>
  <c r="AV87" i="27"/>
  <c r="BA87" i="27"/>
  <c r="BD87" i="27"/>
  <c r="BE87" i="27"/>
  <c r="AX87" i="27"/>
  <c r="BB87" i="27"/>
  <c r="AZ87" i="27"/>
  <c r="BC87" i="27"/>
  <c r="AW87" i="27"/>
  <c r="AY429" i="27"/>
  <c r="BF429" i="27"/>
  <c r="BE429" i="27"/>
  <c r="BB429" i="27"/>
  <c r="BA429" i="27"/>
  <c r="BC429" i="27"/>
  <c r="AW429" i="27"/>
  <c r="BD429" i="27"/>
  <c r="AX429" i="27"/>
  <c r="AZ429" i="27"/>
  <c r="AV429" i="27"/>
  <c r="BE303" i="27"/>
  <c r="AW303" i="27"/>
  <c r="BB303" i="27"/>
  <c r="AX303" i="27"/>
  <c r="AY303" i="27"/>
  <c r="AV303" i="27"/>
  <c r="BD303" i="27"/>
  <c r="AZ303" i="27"/>
  <c r="BF303" i="27"/>
  <c r="BA303" i="27"/>
  <c r="BC303" i="27"/>
  <c r="BS74" i="28"/>
  <c r="BR74" i="28"/>
  <c r="BF74" i="28"/>
  <c r="BQ74" i="28"/>
  <c r="BG74" i="28"/>
  <c r="BM74" i="28"/>
  <c r="BT74" i="28"/>
  <c r="BP74" i="28"/>
  <c r="BL74" i="28"/>
  <c r="BI74" i="28"/>
  <c r="BH74" i="28"/>
  <c r="BJ74" i="28"/>
  <c r="BO74" i="28"/>
  <c r="BK74" i="28"/>
  <c r="BN74" i="28"/>
  <c r="AV113" i="27"/>
  <c r="BB113" i="27"/>
  <c r="AY113" i="27"/>
  <c r="AW113" i="27"/>
  <c r="BF113" i="27"/>
  <c r="BE113" i="27"/>
  <c r="BA113" i="27"/>
  <c r="AZ113" i="27"/>
  <c r="BC113" i="27"/>
  <c r="BD113" i="27"/>
  <c r="AX113" i="27"/>
  <c r="AX466" i="27"/>
  <c r="BD466" i="27"/>
  <c r="AV466" i="27"/>
  <c r="BA466" i="27"/>
  <c r="BF466" i="27"/>
  <c r="AZ466" i="27"/>
  <c r="BE466" i="27"/>
  <c r="AW466" i="27"/>
  <c r="AY466" i="27"/>
  <c r="BB466" i="27"/>
  <c r="BC466" i="27"/>
  <c r="BC242" i="27"/>
  <c r="BA242" i="27"/>
  <c r="BF242" i="27"/>
  <c r="AY242" i="27"/>
  <c r="BB242" i="27"/>
  <c r="AV242" i="27"/>
  <c r="BD242" i="27"/>
  <c r="AX242" i="27"/>
  <c r="AW242" i="27"/>
  <c r="BE242" i="27"/>
  <c r="AZ242" i="27"/>
  <c r="BF77" i="27"/>
  <c r="AZ77" i="27"/>
  <c r="AV77" i="27"/>
  <c r="AY77" i="27"/>
  <c r="BE77" i="27"/>
  <c r="BA77" i="27"/>
  <c r="BB77" i="27"/>
  <c r="AW77" i="27"/>
  <c r="BC77" i="27"/>
  <c r="BD77" i="27"/>
  <c r="AX77" i="27"/>
  <c r="BE312" i="27"/>
  <c r="BA312" i="27"/>
  <c r="AX312" i="27"/>
  <c r="BC312" i="27"/>
  <c r="AY312" i="27"/>
  <c r="BF312" i="27"/>
  <c r="AV312" i="27"/>
  <c r="AW312" i="27"/>
  <c r="BD312" i="27"/>
  <c r="AZ312" i="27"/>
  <c r="BB312" i="27"/>
  <c r="BE457" i="27"/>
  <c r="AV457" i="27"/>
  <c r="AY457" i="27"/>
  <c r="AX457" i="27"/>
  <c r="BB457" i="27"/>
  <c r="BC457" i="27"/>
  <c r="BD457" i="27"/>
  <c r="AZ457" i="27"/>
  <c r="AW457" i="27"/>
  <c r="BF457" i="27"/>
  <c r="BA457" i="27"/>
  <c r="BP291" i="28"/>
  <c r="BT291" i="28"/>
  <c r="BN291" i="28"/>
  <c r="BF291" i="28"/>
  <c r="BG291" i="28"/>
  <c r="BJ291" i="28"/>
  <c r="BI291" i="28"/>
  <c r="BK291" i="28"/>
  <c r="BS291" i="28"/>
  <c r="BQ291" i="28"/>
  <c r="BM291" i="28"/>
  <c r="BR291" i="28"/>
  <c r="BH291" i="28"/>
  <c r="BL291" i="28"/>
  <c r="BO291" i="28"/>
  <c r="AX43" i="27"/>
  <c r="BA43" i="27"/>
  <c r="BE43" i="27"/>
  <c r="AW43" i="27"/>
  <c r="BD43" i="27"/>
  <c r="AV43" i="27"/>
  <c r="BC43" i="27"/>
  <c r="AZ43" i="27"/>
  <c r="BB43" i="27"/>
  <c r="BF43" i="27"/>
  <c r="AY43" i="27"/>
  <c r="AZ502" i="27"/>
  <c r="AY502" i="27"/>
  <c r="BF502" i="27"/>
  <c r="AV502" i="27"/>
  <c r="BD502" i="27"/>
  <c r="BB502" i="27"/>
  <c r="BE502" i="27"/>
  <c r="BA502" i="27"/>
  <c r="AW502" i="27"/>
  <c r="AX502" i="27"/>
  <c r="BC502" i="27"/>
  <c r="BT118" i="28"/>
  <c r="BL118" i="28"/>
  <c r="BS118" i="28"/>
  <c r="BI118" i="28"/>
  <c r="BM118" i="28"/>
  <c r="BQ118" i="28"/>
  <c r="BJ118" i="28"/>
  <c r="BF118" i="28"/>
  <c r="BO118" i="28"/>
  <c r="BP118" i="28"/>
  <c r="BH118" i="28"/>
  <c r="BN118" i="28"/>
  <c r="BR118" i="28"/>
  <c r="BG118" i="28"/>
  <c r="BK118" i="28"/>
  <c r="BD375" i="27"/>
  <c r="AW375" i="27"/>
  <c r="BE375" i="27"/>
  <c r="AY375" i="27"/>
  <c r="AZ375" i="27"/>
  <c r="AX375" i="27"/>
  <c r="BA375" i="27"/>
  <c r="BB375" i="27"/>
  <c r="BC375" i="27"/>
  <c r="BF375" i="27"/>
  <c r="AV375" i="27"/>
  <c r="BE95" i="27"/>
  <c r="AY95" i="27"/>
  <c r="BA95" i="27"/>
  <c r="AX95" i="27"/>
  <c r="BD95" i="27"/>
  <c r="BF95" i="27"/>
  <c r="BC95" i="27"/>
  <c r="AV95" i="27"/>
  <c r="BB95" i="27"/>
  <c r="AW95" i="27"/>
  <c r="AZ95" i="27"/>
  <c r="AY284" i="27"/>
  <c r="BE284" i="27"/>
  <c r="AZ284" i="27"/>
  <c r="BF284" i="27"/>
  <c r="BD284" i="27"/>
  <c r="AX284" i="27"/>
  <c r="BB284" i="27"/>
  <c r="AW284" i="27"/>
  <c r="BC284" i="27"/>
  <c r="AV284" i="27"/>
  <c r="BA284" i="27"/>
  <c r="AZ276" i="27"/>
  <c r="AV276" i="27"/>
  <c r="AX276" i="27"/>
  <c r="BC276" i="27"/>
  <c r="BD276" i="27"/>
  <c r="AY276" i="27"/>
  <c r="BB276" i="27"/>
  <c r="BE276" i="27"/>
  <c r="BA276" i="27"/>
  <c r="BF276" i="27"/>
  <c r="AW276" i="27"/>
  <c r="BF61" i="27"/>
  <c r="BB61" i="27"/>
  <c r="AV61" i="27"/>
  <c r="AX61" i="27"/>
  <c r="AY61" i="27"/>
  <c r="AZ61" i="27"/>
  <c r="BA61" i="27"/>
  <c r="AW61" i="27"/>
  <c r="BE61" i="27"/>
  <c r="BD61" i="27"/>
  <c r="BC61" i="27"/>
  <c r="BE25" i="27"/>
  <c r="AW25" i="27"/>
  <c r="BD25" i="27"/>
  <c r="BB25" i="27"/>
  <c r="AV25" i="27"/>
  <c r="AZ25" i="27"/>
  <c r="BC25" i="27"/>
  <c r="AY25" i="27"/>
  <c r="BA25" i="27"/>
  <c r="BF25" i="27"/>
  <c r="AX25" i="27"/>
  <c r="BC438" i="27"/>
  <c r="BE438" i="27"/>
  <c r="BF438" i="27"/>
  <c r="AV438" i="27"/>
  <c r="AW438" i="27"/>
  <c r="AZ438" i="27"/>
  <c r="BB438" i="27"/>
  <c r="BD438" i="27"/>
  <c r="BA438" i="27"/>
  <c r="AX438" i="27"/>
  <c r="AY438" i="27"/>
  <c r="AY176" i="27"/>
  <c r="AZ176" i="27"/>
  <c r="BD176" i="27"/>
  <c r="BB176" i="27"/>
  <c r="BA176" i="27"/>
  <c r="BF176" i="27"/>
  <c r="BC176" i="27"/>
  <c r="AW176" i="27"/>
  <c r="AV176" i="27"/>
  <c r="AX176" i="27"/>
  <c r="BE176" i="27"/>
  <c r="BA122" i="27"/>
  <c r="AV122" i="27"/>
  <c r="BB122" i="27"/>
  <c r="BC122" i="27"/>
  <c r="AW122" i="27"/>
  <c r="BE122" i="27"/>
  <c r="AY122" i="27"/>
  <c r="AX122" i="27"/>
  <c r="AZ122" i="27"/>
  <c r="BD122" i="27"/>
  <c r="BF122" i="27"/>
  <c r="AV294" i="27"/>
  <c r="AY294" i="27"/>
  <c r="AW294" i="27"/>
  <c r="AX294" i="27"/>
  <c r="AZ294" i="27"/>
  <c r="BE294" i="27"/>
  <c r="BA294" i="27"/>
  <c r="BD294" i="27"/>
  <c r="BB294" i="27"/>
  <c r="BC294" i="27"/>
  <c r="BF294" i="27"/>
  <c r="BA348" i="27"/>
  <c r="AV348" i="27"/>
  <c r="AZ348" i="27"/>
  <c r="BF348" i="27"/>
  <c r="AX348" i="27"/>
  <c r="BD348" i="27"/>
  <c r="AY348" i="27"/>
  <c r="BC348" i="27"/>
  <c r="BB348" i="27"/>
  <c r="BE348" i="27"/>
  <c r="AW348" i="27"/>
  <c r="BF105" i="27"/>
  <c r="AZ105" i="27"/>
  <c r="BB105" i="27"/>
  <c r="BC105" i="27"/>
  <c r="BE105" i="27"/>
  <c r="AY105" i="27"/>
  <c r="BA105" i="27"/>
  <c r="AV105" i="27"/>
  <c r="BD105" i="27"/>
  <c r="AX105" i="27"/>
  <c r="AW105" i="27"/>
  <c r="BK301" i="28"/>
  <c r="BJ301" i="28"/>
  <c r="BN301" i="28"/>
  <c r="BP301" i="28"/>
  <c r="BR301" i="28"/>
  <c r="BI301" i="28"/>
  <c r="BF301" i="28"/>
  <c r="BG301" i="28"/>
  <c r="BQ301" i="28"/>
  <c r="BT301" i="28"/>
  <c r="BL301" i="28"/>
  <c r="BM301" i="28"/>
  <c r="BO301" i="28"/>
  <c r="BH301" i="28"/>
  <c r="BS301" i="28"/>
  <c r="AW387" i="27"/>
  <c r="BA387" i="27"/>
  <c r="BD387" i="27"/>
  <c r="AV387" i="27"/>
  <c r="BB387" i="27"/>
  <c r="AX387" i="27"/>
  <c r="BC387" i="27"/>
  <c r="AZ387" i="27"/>
  <c r="AY387" i="27"/>
  <c r="BE387" i="27"/>
  <c r="BF387" i="27"/>
  <c r="BB69" i="27"/>
  <c r="AV69" i="27"/>
  <c r="BD69" i="27"/>
  <c r="AX69" i="27"/>
  <c r="AW69" i="27"/>
  <c r="BA69" i="27"/>
  <c r="AY69" i="27"/>
  <c r="BC69" i="27"/>
  <c r="BE69" i="27"/>
  <c r="AZ69" i="27"/>
  <c r="BF69" i="27"/>
  <c r="BC321" i="27"/>
  <c r="BB321" i="27"/>
  <c r="BE321" i="27"/>
  <c r="AX321" i="27"/>
  <c r="BA321" i="27"/>
  <c r="BD321" i="27"/>
  <c r="AV321" i="27"/>
  <c r="AW321" i="27"/>
  <c r="AZ321" i="27"/>
  <c r="BF321" i="27"/>
  <c r="AY321" i="27"/>
  <c r="BA338" i="27"/>
  <c r="BD338" i="27"/>
  <c r="BB338" i="27"/>
  <c r="AW338" i="27"/>
  <c r="AY338" i="27"/>
  <c r="BC338" i="27"/>
  <c r="AX338" i="27"/>
  <c r="BF338" i="27"/>
  <c r="AZ338" i="27"/>
  <c r="BE338" i="27"/>
  <c r="AV338" i="27"/>
  <c r="BA89" i="27"/>
  <c r="AW89" i="27"/>
  <c r="AX89" i="27"/>
  <c r="BF89" i="27"/>
  <c r="AY89" i="27"/>
  <c r="BC89" i="27"/>
  <c r="AZ89" i="27"/>
  <c r="AV89" i="27"/>
  <c r="BE89" i="27"/>
  <c r="BD89" i="27"/>
  <c r="BB89" i="27"/>
  <c r="AX411" i="27"/>
  <c r="AW411" i="27"/>
  <c r="BB411" i="27"/>
  <c r="BE411" i="27"/>
  <c r="BD411" i="27"/>
  <c r="AY411" i="27"/>
  <c r="AZ411" i="27"/>
  <c r="BF411" i="27"/>
  <c r="AV411" i="27"/>
  <c r="BA411" i="27"/>
  <c r="BC411" i="27"/>
  <c r="BA428" i="27"/>
  <c r="AZ428" i="27"/>
  <c r="BE428" i="27"/>
  <c r="BB428" i="27"/>
  <c r="AY428" i="27"/>
  <c r="AW428" i="27"/>
  <c r="AV428" i="27"/>
  <c r="BD428" i="27"/>
  <c r="AX428" i="27"/>
  <c r="BF428" i="27"/>
  <c r="BC428" i="27"/>
  <c r="BE302" i="27"/>
  <c r="AZ302" i="27"/>
  <c r="BD302" i="27"/>
  <c r="AY302" i="27"/>
  <c r="AX302" i="27"/>
  <c r="BB302" i="27"/>
  <c r="BC302" i="27"/>
  <c r="BA302" i="27"/>
  <c r="BF302" i="27"/>
  <c r="AW302" i="27"/>
  <c r="AV302" i="27"/>
  <c r="BA473" i="27"/>
  <c r="AY473" i="27"/>
  <c r="BF473" i="27"/>
  <c r="BB473" i="27"/>
  <c r="AW473" i="27"/>
  <c r="BC473" i="27"/>
  <c r="BD473" i="27"/>
  <c r="AV473" i="27"/>
  <c r="BE473" i="27"/>
  <c r="AZ473" i="27"/>
  <c r="AX473" i="27"/>
  <c r="BK75" i="28"/>
  <c r="BR75" i="28"/>
  <c r="BG75" i="28"/>
  <c r="BS75" i="28"/>
  <c r="BF75" i="28"/>
  <c r="BQ75" i="28"/>
  <c r="BL75" i="28"/>
  <c r="BP75" i="28"/>
  <c r="BI75" i="28"/>
  <c r="BJ75" i="28"/>
  <c r="BT75" i="28"/>
  <c r="BO75" i="28"/>
  <c r="BN75" i="28"/>
  <c r="BM75" i="28"/>
  <c r="BH75" i="28"/>
  <c r="BF115" i="27"/>
  <c r="AY115" i="27"/>
  <c r="AV115" i="27"/>
  <c r="AW115" i="27"/>
  <c r="BC115" i="27"/>
  <c r="BB115" i="27"/>
  <c r="AZ115" i="27"/>
  <c r="AX115" i="27"/>
  <c r="BE115" i="27"/>
  <c r="BA115" i="27"/>
  <c r="BD115" i="27"/>
  <c r="BE465" i="27"/>
  <c r="BF465" i="27"/>
  <c r="AZ465" i="27"/>
  <c r="AV465" i="27"/>
  <c r="AY465" i="27"/>
  <c r="AX465" i="27"/>
  <c r="BA465" i="27"/>
  <c r="BC465" i="27"/>
  <c r="BD465" i="27"/>
  <c r="BB465" i="27"/>
  <c r="AW465" i="27"/>
  <c r="AW239" i="27"/>
  <c r="AX239" i="27"/>
  <c r="AZ239" i="27"/>
  <c r="BD239" i="27"/>
  <c r="BC239" i="27"/>
  <c r="AY239" i="27"/>
  <c r="BA239" i="27"/>
  <c r="BB239" i="27"/>
  <c r="AV239" i="27"/>
  <c r="BF239" i="27"/>
  <c r="BE239" i="27"/>
  <c r="AW420" i="27"/>
  <c r="BF420" i="27"/>
  <c r="AZ420" i="27"/>
  <c r="AY420" i="27"/>
  <c r="BA420" i="27"/>
  <c r="BD420" i="27"/>
  <c r="AX420" i="27"/>
  <c r="BB420" i="27"/>
  <c r="BE420" i="27"/>
  <c r="BC420" i="27"/>
  <c r="AV420" i="27"/>
  <c r="BB79" i="27"/>
  <c r="AW79" i="27"/>
  <c r="AV79" i="27"/>
  <c r="AX79" i="27"/>
  <c r="BA79" i="27"/>
  <c r="BC79" i="27"/>
  <c r="AY79" i="27"/>
  <c r="AZ79" i="27"/>
  <c r="BD79" i="27"/>
  <c r="BE79" i="27"/>
  <c r="BF79" i="27"/>
  <c r="AW500" i="27"/>
  <c r="AV500" i="27"/>
  <c r="AZ500" i="27"/>
  <c r="BA500" i="27"/>
  <c r="BB500" i="27"/>
  <c r="AX500" i="27"/>
  <c r="AY500" i="27"/>
  <c r="BD500" i="27"/>
  <c r="BC500" i="27"/>
  <c r="BE500" i="27"/>
  <c r="BF500" i="27"/>
  <c r="AZ395" i="27"/>
  <c r="BB395" i="27"/>
  <c r="BD395" i="27"/>
  <c r="AW395" i="27"/>
  <c r="AV395" i="27"/>
  <c r="BF395" i="27"/>
  <c r="BA395" i="27"/>
  <c r="BE395" i="27"/>
  <c r="AX395" i="27"/>
  <c r="AY395" i="27"/>
  <c r="BC395" i="27"/>
  <c r="AZ350" i="27"/>
  <c r="BF350" i="27"/>
  <c r="AW350" i="27"/>
  <c r="AX350" i="27"/>
  <c r="BE350" i="27"/>
  <c r="AY350" i="27"/>
  <c r="BA350" i="27"/>
  <c r="BC350" i="27"/>
  <c r="AV350" i="27"/>
  <c r="BB350" i="27"/>
  <c r="BD350" i="27"/>
  <c r="BE106" i="27"/>
  <c r="AV106" i="27"/>
  <c r="BB106" i="27"/>
  <c r="BC106" i="27"/>
  <c r="AW106" i="27"/>
  <c r="BD106" i="27"/>
  <c r="BA106" i="27"/>
  <c r="BF106" i="27"/>
  <c r="AX106" i="27"/>
  <c r="AY106" i="27"/>
  <c r="AZ106" i="27"/>
  <c r="BC482" i="27"/>
  <c r="AY482" i="27"/>
  <c r="BE482" i="27"/>
  <c r="AX482" i="27"/>
  <c r="BB482" i="27"/>
  <c r="BD482" i="27"/>
  <c r="AW482" i="27"/>
  <c r="BA482" i="27"/>
  <c r="BF482" i="27"/>
  <c r="AV482" i="27"/>
  <c r="AZ482" i="27"/>
  <c r="AW68" i="27"/>
  <c r="BD68" i="27"/>
  <c r="BE68" i="27"/>
  <c r="BF68" i="27"/>
  <c r="AX68" i="27"/>
  <c r="BC68" i="27"/>
  <c r="AV68" i="27"/>
  <c r="BB68" i="27"/>
  <c r="AY68" i="27"/>
  <c r="BA68" i="27"/>
  <c r="AZ68" i="27"/>
  <c r="AV341" i="27"/>
  <c r="BF341" i="27"/>
  <c r="BC341" i="27"/>
  <c r="AY341" i="27"/>
  <c r="AW341" i="27"/>
  <c r="BB341" i="27"/>
  <c r="AX341" i="27"/>
  <c r="BD341" i="27"/>
  <c r="BA341" i="27"/>
  <c r="BE341" i="27"/>
  <c r="AZ341" i="27"/>
  <c r="AX410" i="27"/>
  <c r="AY410" i="27"/>
  <c r="BB410" i="27"/>
  <c r="BA410" i="27"/>
  <c r="AZ410" i="27"/>
  <c r="BC410" i="27"/>
  <c r="BF410" i="27"/>
  <c r="BE410" i="27"/>
  <c r="BD410" i="27"/>
  <c r="AV410" i="27"/>
  <c r="AW410" i="27"/>
  <c r="AV476" i="27"/>
  <c r="BC476" i="27"/>
  <c r="AZ476" i="27"/>
  <c r="AY476" i="27"/>
  <c r="BF476" i="27"/>
  <c r="BA476" i="27"/>
  <c r="AX476" i="27"/>
  <c r="BE476" i="27"/>
  <c r="AW476" i="27"/>
  <c r="BD476" i="27"/>
  <c r="BB476" i="27"/>
  <c r="AX80" i="27"/>
  <c r="BD80" i="27"/>
  <c r="BE80" i="27"/>
  <c r="AZ80" i="27"/>
  <c r="BA80" i="27"/>
  <c r="AW80" i="27"/>
  <c r="AY80" i="27"/>
  <c r="BB80" i="27"/>
  <c r="BF80" i="27"/>
  <c r="AV80" i="27"/>
  <c r="BC80" i="27"/>
  <c r="AX314" i="27"/>
  <c r="AY314" i="27"/>
  <c r="BC314" i="27"/>
  <c r="BB314" i="27"/>
  <c r="BA314" i="27"/>
  <c r="AW314" i="27"/>
  <c r="BD314" i="27"/>
  <c r="AZ314" i="27"/>
  <c r="BE314" i="27"/>
  <c r="AV314" i="27"/>
  <c r="BF314" i="27"/>
  <c r="BF455" i="27"/>
  <c r="AX455" i="27"/>
  <c r="BD455" i="27"/>
  <c r="BB455" i="27"/>
  <c r="BA455" i="27"/>
  <c r="AY455" i="27"/>
  <c r="AZ455" i="27"/>
  <c r="AV455" i="27"/>
  <c r="AW455" i="27"/>
  <c r="BC455" i="27"/>
  <c r="BE455" i="27"/>
  <c r="BM290" i="28"/>
  <c r="BN290" i="28"/>
  <c r="BP290" i="28"/>
  <c r="BJ290" i="28"/>
  <c r="BI290" i="28"/>
  <c r="BT290" i="28"/>
  <c r="BF290" i="28"/>
  <c r="BG290" i="28"/>
  <c r="BH290" i="28"/>
  <c r="BQ290" i="28"/>
  <c r="BK290" i="28"/>
  <c r="BO290" i="28"/>
  <c r="BS290" i="28"/>
  <c r="BR290" i="28"/>
  <c r="BL290" i="28"/>
  <c r="AV41" i="27"/>
  <c r="BC41" i="27"/>
  <c r="BA41" i="27"/>
  <c r="BF41" i="27"/>
  <c r="AZ41" i="27"/>
  <c r="BD41" i="27"/>
  <c r="AY41" i="27"/>
  <c r="AW41" i="27"/>
  <c r="BB41" i="27"/>
  <c r="AX41" i="27"/>
  <c r="BE41" i="27"/>
  <c r="AV501" i="27"/>
  <c r="BA501" i="27"/>
  <c r="BB501" i="27"/>
  <c r="AY501" i="27"/>
  <c r="AW501" i="27"/>
  <c r="BC501" i="27"/>
  <c r="AZ501" i="27"/>
  <c r="AX501" i="27"/>
  <c r="BF501" i="27"/>
  <c r="BD501" i="27"/>
  <c r="BE501" i="27"/>
  <c r="BH120" i="28"/>
  <c r="BL120" i="28"/>
  <c r="BR120" i="28"/>
  <c r="BJ120" i="28"/>
  <c r="BO120" i="28"/>
  <c r="BP120" i="28"/>
  <c r="BT120" i="28"/>
  <c r="BI120" i="28"/>
  <c r="BM120" i="28"/>
  <c r="BQ120" i="28"/>
  <c r="BG120" i="28"/>
  <c r="BN120" i="28"/>
  <c r="BF120" i="28"/>
  <c r="BS120" i="28"/>
  <c r="BK120" i="28"/>
  <c r="BE374" i="27"/>
  <c r="BD374" i="27"/>
  <c r="AW374" i="27"/>
  <c r="AY374" i="27"/>
  <c r="BB374" i="27"/>
  <c r="AX374" i="27"/>
  <c r="BA374" i="27"/>
  <c r="BC374" i="27"/>
  <c r="AZ374" i="27"/>
  <c r="AV374" i="27"/>
  <c r="BF374" i="27"/>
  <c r="BA98" i="27"/>
  <c r="AY98" i="27"/>
  <c r="AX98" i="27"/>
  <c r="BE98" i="27"/>
  <c r="BF98" i="27"/>
  <c r="AW98" i="27"/>
  <c r="AZ98" i="27"/>
  <c r="BD98" i="27"/>
  <c r="AV98" i="27"/>
  <c r="BC98" i="27"/>
  <c r="BB98" i="27"/>
  <c r="AW287" i="27"/>
  <c r="AZ287" i="27"/>
  <c r="BB287" i="27"/>
  <c r="BA287" i="27"/>
  <c r="BE287" i="27"/>
  <c r="BD287" i="27"/>
  <c r="BC287" i="27"/>
  <c r="AV287" i="27"/>
  <c r="BF287" i="27"/>
  <c r="AY287" i="27"/>
  <c r="AX287" i="27"/>
  <c r="AX278" i="27"/>
  <c r="BD278" i="27"/>
  <c r="BA278" i="27"/>
  <c r="AW278" i="27"/>
  <c r="BF278" i="27"/>
  <c r="AZ278" i="27"/>
  <c r="BB278" i="27"/>
  <c r="BE278" i="27"/>
  <c r="AY278" i="27"/>
  <c r="AV278" i="27"/>
  <c r="BC278" i="27"/>
  <c r="BA59" i="27"/>
  <c r="BC59" i="27"/>
  <c r="AY59" i="27"/>
  <c r="AW59" i="27"/>
  <c r="AV59" i="27"/>
  <c r="AX59" i="27"/>
  <c r="BE59" i="27"/>
  <c r="BB59" i="27"/>
  <c r="AZ59" i="27"/>
  <c r="BF59" i="27"/>
  <c r="BD59" i="27"/>
  <c r="AV26" i="27"/>
  <c r="BC26" i="27"/>
  <c r="BB26" i="27"/>
  <c r="BA26" i="27"/>
  <c r="AY26" i="27"/>
  <c r="AX26" i="27"/>
  <c r="BE26" i="27"/>
  <c r="BF26" i="27"/>
  <c r="AW26" i="27"/>
  <c r="AZ26" i="27"/>
  <c r="BD26" i="27"/>
  <c r="BF441" i="27"/>
  <c r="AV441" i="27"/>
  <c r="BD441" i="27"/>
  <c r="AX441" i="27"/>
  <c r="BE441" i="27"/>
  <c r="BC441" i="27"/>
  <c r="BB441" i="27"/>
  <c r="BA441" i="27"/>
  <c r="AW441" i="27"/>
  <c r="AY441" i="27"/>
  <c r="AZ441" i="27"/>
  <c r="BA266" i="27"/>
  <c r="BB266" i="27"/>
  <c r="AY266" i="27"/>
  <c r="BD266" i="27"/>
  <c r="AV266" i="27"/>
  <c r="BE266" i="27"/>
  <c r="BF266" i="27"/>
  <c r="AW266" i="27"/>
  <c r="AZ266" i="27"/>
  <c r="AX266" i="27"/>
  <c r="BC266" i="27"/>
  <c r="BI310" i="28"/>
  <c r="BR310" i="28"/>
  <c r="BO310" i="28"/>
  <c r="BJ310" i="28"/>
  <c r="BF310" i="28"/>
  <c r="BS310" i="28"/>
  <c r="BK310" i="28"/>
  <c r="BP310" i="28"/>
  <c r="BG310" i="28"/>
  <c r="BL310" i="28"/>
  <c r="BQ310" i="28"/>
  <c r="BH310" i="28"/>
  <c r="BM310" i="28"/>
  <c r="BT310" i="28"/>
  <c r="BN310" i="28"/>
  <c r="AW296" i="27"/>
  <c r="AZ296" i="27"/>
  <c r="BB296" i="27"/>
  <c r="BE296" i="27"/>
  <c r="BC296" i="27"/>
  <c r="AY296" i="27"/>
  <c r="BF296" i="27"/>
  <c r="BA296" i="27"/>
  <c r="AV296" i="27"/>
  <c r="BD296" i="27"/>
  <c r="AX296" i="27"/>
  <c r="AX349" i="27"/>
  <c r="AZ349" i="27"/>
  <c r="BE349" i="27"/>
  <c r="AV349" i="27"/>
  <c r="BC349" i="27"/>
  <c r="AY349" i="27"/>
  <c r="BD349" i="27"/>
  <c r="AW349" i="27"/>
  <c r="BB349" i="27"/>
  <c r="BA349" i="27"/>
  <c r="BF349" i="27"/>
  <c r="BF107" i="27"/>
  <c r="BA107" i="27"/>
  <c r="BC107" i="27"/>
  <c r="BE107" i="27"/>
  <c r="AY107" i="27"/>
  <c r="AZ107" i="27"/>
  <c r="AV107" i="27"/>
  <c r="BD107" i="27"/>
  <c r="AX107" i="27"/>
  <c r="BB107" i="27"/>
  <c r="AW107" i="27"/>
  <c r="BO297" i="28"/>
  <c r="BS297" i="28"/>
  <c r="BR297" i="28"/>
  <c r="BQ297" i="28"/>
  <c r="BF297" i="28"/>
  <c r="BN297" i="28"/>
  <c r="BG297" i="28"/>
  <c r="BK297" i="28"/>
  <c r="BT297" i="28"/>
  <c r="BM297" i="28"/>
  <c r="BH297" i="28"/>
  <c r="BL297" i="28"/>
  <c r="BI297" i="28"/>
  <c r="BJ297" i="28"/>
  <c r="BP297" i="28"/>
  <c r="AW384" i="27"/>
  <c r="AX384" i="27"/>
  <c r="BE384" i="27"/>
  <c r="BB384" i="27"/>
  <c r="BF384" i="27"/>
  <c r="AZ384" i="27"/>
  <c r="AY384" i="27"/>
  <c r="AV384" i="27"/>
  <c r="BD384" i="27"/>
  <c r="BA384" i="27"/>
  <c r="BC384" i="27"/>
  <c r="BA367" i="27"/>
  <c r="AX367" i="27"/>
  <c r="BD367" i="27"/>
  <c r="BC367" i="27"/>
  <c r="BF367" i="27"/>
  <c r="AW367" i="27"/>
  <c r="BE367" i="27"/>
  <c r="AZ367" i="27"/>
  <c r="AV367" i="27"/>
  <c r="BB367" i="27"/>
  <c r="AY367" i="27"/>
  <c r="BK200" i="28"/>
  <c r="BR200" i="28"/>
  <c r="BL200" i="28"/>
  <c r="BM200" i="28"/>
  <c r="BN200" i="28"/>
  <c r="BH200" i="28"/>
  <c r="BO200" i="28"/>
  <c r="BP200" i="28"/>
  <c r="BT200" i="28"/>
  <c r="BJ200" i="28"/>
  <c r="BQ200" i="28"/>
  <c r="BI200" i="28"/>
  <c r="BG200" i="28"/>
  <c r="BS200" i="28"/>
  <c r="BF200" i="28"/>
  <c r="BR245" i="28"/>
  <c r="BG245" i="28"/>
  <c r="BL245" i="28"/>
  <c r="BQ245" i="28"/>
  <c r="BS245" i="28"/>
  <c r="BO245" i="28"/>
  <c r="BJ245" i="28"/>
  <c r="BI245" i="28"/>
  <c r="BN245" i="28"/>
  <c r="BM245" i="28"/>
  <c r="BH245" i="28"/>
  <c r="BK245" i="28"/>
  <c r="BP245" i="28"/>
  <c r="BF245" i="28"/>
  <c r="BT245" i="28"/>
  <c r="AV196" i="27"/>
  <c r="AX196" i="27"/>
  <c r="BC196" i="27"/>
  <c r="AY196" i="27"/>
  <c r="BE196" i="27"/>
  <c r="BF196" i="27"/>
  <c r="BA196" i="27"/>
  <c r="BD196" i="27"/>
  <c r="BB196" i="27"/>
  <c r="AZ196" i="27"/>
  <c r="AW196" i="27"/>
  <c r="BA412" i="27"/>
  <c r="AV412" i="27"/>
  <c r="AW412" i="27"/>
  <c r="AZ412" i="27"/>
  <c r="AX412" i="27"/>
  <c r="BD412" i="27"/>
  <c r="BE412" i="27"/>
  <c r="AY412" i="27"/>
  <c r="BC412" i="27"/>
  <c r="BB412" i="27"/>
  <c r="BF412" i="27"/>
  <c r="BC432" i="27"/>
  <c r="AZ432" i="27"/>
  <c r="BF432" i="27"/>
  <c r="BE432" i="27"/>
  <c r="AX432" i="27"/>
  <c r="AW432" i="27"/>
  <c r="BD432" i="27"/>
  <c r="AY432" i="27"/>
  <c r="AV432" i="27"/>
  <c r="BA432" i="27"/>
  <c r="BB432" i="27"/>
  <c r="AY304" i="27"/>
  <c r="BE304" i="27"/>
  <c r="BB304" i="27"/>
  <c r="AV304" i="27"/>
  <c r="BF304" i="27"/>
  <c r="AZ304" i="27"/>
  <c r="BA304" i="27"/>
  <c r="AX304" i="27"/>
  <c r="BD304" i="27"/>
  <c r="BC304" i="27"/>
  <c r="AW304" i="27"/>
  <c r="AV512" i="27"/>
  <c r="BE512" i="27"/>
  <c r="AY512" i="27"/>
  <c r="BB512" i="27"/>
  <c r="AX512" i="27"/>
  <c r="BC512" i="27"/>
  <c r="BD512" i="27"/>
  <c r="AZ512" i="27"/>
  <c r="AW512" i="27"/>
  <c r="BF512" i="27"/>
  <c r="BA512" i="27"/>
  <c r="BB231" i="27"/>
  <c r="AX231" i="27"/>
  <c r="BD231" i="27"/>
  <c r="AV231" i="27"/>
  <c r="AY231" i="27"/>
  <c r="BF231" i="27"/>
  <c r="AW231" i="27"/>
  <c r="BA231" i="27"/>
  <c r="AZ231" i="27"/>
  <c r="BE231" i="27"/>
  <c r="BC231" i="27"/>
  <c r="AV357" i="27"/>
  <c r="AX357" i="27"/>
  <c r="AZ357" i="27"/>
  <c r="BA357" i="27"/>
  <c r="BB357" i="27"/>
  <c r="BF357" i="27"/>
  <c r="AY357" i="27"/>
  <c r="BC357" i="27"/>
  <c r="BD357" i="27"/>
  <c r="AW357" i="27"/>
  <c r="BE357" i="27"/>
  <c r="BE464" i="27"/>
  <c r="BF464" i="27"/>
  <c r="BB464" i="27"/>
  <c r="AY464" i="27"/>
  <c r="AV464" i="27"/>
  <c r="BA464" i="27"/>
  <c r="BC464" i="27"/>
  <c r="AZ464" i="27"/>
  <c r="AX464" i="27"/>
  <c r="AW464" i="27"/>
  <c r="BD464" i="27"/>
  <c r="AY240" i="27"/>
  <c r="AW240" i="27"/>
  <c r="BE240" i="27"/>
  <c r="BA240" i="27"/>
  <c r="BB240" i="27"/>
  <c r="AV240" i="27"/>
  <c r="BC240" i="27"/>
  <c r="AX240" i="27"/>
  <c r="BD240" i="27"/>
  <c r="BF240" i="27"/>
  <c r="AZ240" i="27"/>
  <c r="AV421" i="27"/>
  <c r="AY421" i="27"/>
  <c r="AX421" i="27"/>
  <c r="BC421" i="27"/>
  <c r="BE421" i="27"/>
  <c r="BB421" i="27"/>
  <c r="AW421" i="27"/>
  <c r="AZ421" i="27"/>
  <c r="BF421" i="27"/>
  <c r="BD421" i="27"/>
  <c r="BA421" i="27"/>
  <c r="BF422" i="27"/>
  <c r="AY422" i="27"/>
  <c r="BE422" i="27"/>
  <c r="AZ422" i="27"/>
  <c r="BB422" i="27"/>
  <c r="AX422" i="27"/>
  <c r="BC422" i="27"/>
  <c r="BD422" i="27"/>
  <c r="BA422" i="27"/>
  <c r="AW422" i="27"/>
  <c r="AV422" i="27"/>
  <c r="AV311" i="27"/>
  <c r="BC311" i="27"/>
  <c r="AW311" i="27"/>
  <c r="AX311" i="27"/>
  <c r="BB311" i="27"/>
  <c r="BA311" i="27"/>
  <c r="BF311" i="27"/>
  <c r="AZ311" i="27"/>
  <c r="AY311" i="27"/>
  <c r="BE311" i="27"/>
  <c r="BD311" i="27"/>
  <c r="AW96" i="27"/>
  <c r="BD96" i="27"/>
  <c r="BC96" i="27"/>
  <c r="AX96" i="27"/>
  <c r="BB96" i="27"/>
  <c r="BA96" i="27"/>
  <c r="AZ96" i="27"/>
  <c r="AY96" i="27"/>
  <c r="AV96" i="27"/>
  <c r="BE96" i="27"/>
  <c r="BF96" i="27"/>
  <c r="BF250" i="27"/>
  <c r="AW250" i="27"/>
  <c r="BB250" i="27"/>
  <c r="BE250" i="27"/>
  <c r="AX250" i="27"/>
  <c r="AY250" i="27"/>
  <c r="BA250" i="27"/>
  <c r="AV250" i="27"/>
  <c r="AZ250" i="27"/>
  <c r="BD250" i="27"/>
  <c r="BC250" i="27"/>
  <c r="BC159" i="27"/>
  <c r="AY159" i="27"/>
  <c r="BA159" i="27"/>
  <c r="AW159" i="27"/>
  <c r="AX159" i="27"/>
  <c r="BB159" i="27"/>
  <c r="AV159" i="27"/>
  <c r="BE159" i="27"/>
  <c r="BF159" i="27"/>
  <c r="BD159" i="27"/>
  <c r="AZ159" i="27"/>
  <c r="BB168" i="27"/>
  <c r="BC168" i="27"/>
  <c r="AV168" i="27"/>
  <c r="BD168" i="27"/>
  <c r="BF168" i="27"/>
  <c r="AX168" i="27"/>
  <c r="AY168" i="27"/>
  <c r="BE168" i="27"/>
  <c r="AZ168" i="27"/>
  <c r="AW168" i="27"/>
  <c r="BA168" i="27"/>
  <c r="BD277" i="27"/>
  <c r="BE277" i="27"/>
  <c r="AW277" i="27"/>
  <c r="BF277" i="27"/>
  <c r="AZ277" i="27"/>
  <c r="AY277" i="27"/>
  <c r="BA277" i="27"/>
  <c r="AV277" i="27"/>
  <c r="BB277" i="27"/>
  <c r="BC277" i="27"/>
  <c r="AX277" i="27"/>
  <c r="BS307" i="28"/>
  <c r="BR307" i="28"/>
  <c r="BM307" i="28"/>
  <c r="BF307" i="28"/>
  <c r="BL307" i="28"/>
  <c r="BO307" i="28"/>
  <c r="BP307" i="28"/>
  <c r="BT307" i="28"/>
  <c r="BH307" i="28"/>
  <c r="BI307" i="28"/>
  <c r="BK307" i="28"/>
  <c r="BN307" i="28"/>
  <c r="BG307" i="28"/>
  <c r="BJ307" i="28"/>
  <c r="BQ307" i="28"/>
  <c r="BA104" i="27"/>
  <c r="BF104" i="27"/>
  <c r="BD104" i="27"/>
  <c r="AW104" i="27"/>
  <c r="BC104" i="27"/>
  <c r="AY104" i="27"/>
  <c r="AV104" i="27"/>
  <c r="BE104" i="27"/>
  <c r="BB104" i="27"/>
  <c r="AZ104" i="27"/>
  <c r="AX104" i="27"/>
  <c r="AW386" i="27"/>
  <c r="BC386" i="27"/>
  <c r="BB386" i="27"/>
  <c r="AV386" i="27"/>
  <c r="BF386" i="27"/>
  <c r="BD386" i="27"/>
  <c r="BE386" i="27"/>
  <c r="AX386" i="27"/>
  <c r="AZ386" i="27"/>
  <c r="BA386" i="27"/>
  <c r="AY386" i="27"/>
  <c r="AX430" i="27"/>
  <c r="BC430" i="27"/>
  <c r="AW430" i="27"/>
  <c r="BA430" i="27"/>
  <c r="BF430" i="27"/>
  <c r="AV430" i="27"/>
  <c r="AZ430" i="27"/>
  <c r="BB430" i="27"/>
  <c r="BD430" i="27"/>
  <c r="BE430" i="27"/>
  <c r="AY430" i="27"/>
  <c r="AV241" i="27"/>
  <c r="AX241" i="27"/>
  <c r="AW241" i="27"/>
  <c r="BB241" i="27"/>
  <c r="AY241" i="27"/>
  <c r="BC241" i="27"/>
  <c r="BD241" i="27"/>
  <c r="BF241" i="27"/>
  <c r="AZ241" i="27"/>
  <c r="BE241" i="27"/>
  <c r="BA241" i="27"/>
  <c r="BB34" i="27"/>
  <c r="AY34" i="27"/>
  <c r="AZ34" i="27"/>
  <c r="AW34" i="27"/>
  <c r="BA34" i="27"/>
  <c r="BC34" i="27"/>
  <c r="AV34" i="27"/>
  <c r="BE34" i="27"/>
  <c r="AX34" i="27"/>
  <c r="BD34" i="27"/>
  <c r="BF34" i="27"/>
  <c r="AW222" i="27"/>
  <c r="BA222" i="27"/>
  <c r="BC222" i="27"/>
  <c r="BE222" i="27"/>
  <c r="AY222" i="27"/>
  <c r="BB222" i="27"/>
  <c r="BD222" i="27"/>
  <c r="AX222" i="27"/>
  <c r="AZ222" i="27"/>
  <c r="BF222" i="27"/>
  <c r="AV222" i="27"/>
  <c r="AZ158" i="27"/>
  <c r="AY158" i="27"/>
  <c r="BC158" i="27"/>
  <c r="AW158" i="27"/>
  <c r="BD158" i="27"/>
  <c r="BA158" i="27"/>
  <c r="AX158" i="27"/>
  <c r="BB158" i="27"/>
  <c r="AV158" i="27"/>
  <c r="BF158" i="27"/>
  <c r="BE158" i="27"/>
  <c r="BC330" i="27"/>
  <c r="AX330" i="27"/>
  <c r="AZ330" i="27"/>
  <c r="BF330" i="27"/>
  <c r="BA330" i="27"/>
  <c r="BE330" i="27"/>
  <c r="BD330" i="27"/>
  <c r="AW330" i="27"/>
  <c r="BB330" i="27"/>
  <c r="AV330" i="27"/>
  <c r="AY330" i="27"/>
  <c r="BR282" i="28"/>
  <c r="BG282" i="28"/>
  <c r="BN282" i="28"/>
  <c r="BQ282" i="28"/>
  <c r="BI282" i="28"/>
  <c r="BK282" i="28"/>
  <c r="BS282" i="28"/>
  <c r="BJ282" i="28"/>
  <c r="BF282" i="28"/>
  <c r="BL282" i="28"/>
  <c r="BP282" i="28"/>
  <c r="BH282" i="28"/>
  <c r="BM282" i="28"/>
  <c r="BO282" i="28"/>
  <c r="BT282" i="28"/>
  <c r="AV151" i="27"/>
  <c r="AW151" i="27"/>
  <c r="BC151" i="27"/>
  <c r="BE151" i="27"/>
  <c r="BF151" i="27"/>
  <c r="AY151" i="27"/>
  <c r="BB151" i="27"/>
  <c r="AZ151" i="27"/>
  <c r="BA151" i="27"/>
  <c r="AX151" i="27"/>
  <c r="BD151" i="27"/>
  <c r="BA169" i="27"/>
  <c r="AZ169" i="27"/>
  <c r="AW169" i="27"/>
  <c r="AV169" i="27"/>
  <c r="AX169" i="27"/>
  <c r="BB169" i="27"/>
  <c r="BE169" i="27"/>
  <c r="BD169" i="27"/>
  <c r="BF169" i="27"/>
  <c r="AY169" i="27"/>
  <c r="BC169" i="27"/>
  <c r="AX51" i="27"/>
  <c r="AY51" i="27"/>
  <c r="BB51" i="27"/>
  <c r="AW51" i="27"/>
  <c r="BD51" i="27"/>
  <c r="BF51" i="27"/>
  <c r="BC51" i="27"/>
  <c r="AZ51" i="27"/>
  <c r="AV51" i="27"/>
  <c r="BA51" i="27"/>
  <c r="BE51" i="27"/>
  <c r="BD141" i="27"/>
  <c r="AW141" i="27"/>
  <c r="BA141" i="27"/>
  <c r="BC141" i="27"/>
  <c r="AY141" i="27"/>
  <c r="BB141" i="27"/>
  <c r="AX141" i="27"/>
  <c r="BE141" i="27"/>
  <c r="AZ141" i="27"/>
  <c r="AV141" i="27"/>
  <c r="BF141" i="27"/>
  <c r="AX449" i="27"/>
  <c r="AZ449" i="27"/>
  <c r="AY449" i="27"/>
  <c r="BE449" i="27"/>
  <c r="BD449" i="27"/>
  <c r="BB449" i="27"/>
  <c r="BA449" i="27"/>
  <c r="AV449" i="27"/>
  <c r="AW449" i="27"/>
  <c r="BF449" i="27"/>
  <c r="BC449" i="27"/>
  <c r="BB393" i="27"/>
  <c r="AW393" i="27"/>
  <c r="BA393" i="27"/>
  <c r="AV393" i="27"/>
  <c r="BD393" i="27"/>
  <c r="AZ393" i="27"/>
  <c r="BE393" i="27"/>
  <c r="AY393" i="27"/>
  <c r="AX393" i="27"/>
  <c r="BC393" i="27"/>
  <c r="BF393" i="27"/>
  <c r="BC62" i="27"/>
  <c r="BA62" i="27"/>
  <c r="AY62" i="27"/>
  <c r="AV62" i="27"/>
  <c r="AZ62" i="27"/>
  <c r="AW62" i="27"/>
  <c r="BD62" i="27"/>
  <c r="BE62" i="27"/>
  <c r="BB62" i="27"/>
  <c r="BF62" i="27"/>
  <c r="AX62" i="27"/>
  <c r="BA24" i="27"/>
  <c r="AZ24" i="27"/>
  <c r="AY24" i="27"/>
  <c r="BD24" i="27"/>
  <c r="BE24" i="27"/>
  <c r="BF24" i="27"/>
  <c r="AW24" i="27"/>
  <c r="AX24" i="27"/>
  <c r="BC24" i="27"/>
  <c r="AV24" i="27"/>
  <c r="BB24" i="27"/>
  <c r="AW440" i="27"/>
  <c r="BC440" i="27"/>
  <c r="BF440" i="27"/>
  <c r="AY440" i="27"/>
  <c r="AX440" i="27"/>
  <c r="BB440" i="27"/>
  <c r="AV440" i="27"/>
  <c r="AZ440" i="27"/>
  <c r="BD440" i="27"/>
  <c r="BA440" i="27"/>
  <c r="BE440" i="27"/>
  <c r="AY267" i="27"/>
  <c r="BA267" i="27"/>
  <c r="AZ267" i="27"/>
  <c r="AX267" i="27"/>
  <c r="BE267" i="27"/>
  <c r="BB267" i="27"/>
  <c r="AW267" i="27"/>
  <c r="BF267" i="27"/>
  <c r="BD267" i="27"/>
  <c r="BC267" i="27"/>
  <c r="AV267" i="27"/>
  <c r="BK306" i="28"/>
  <c r="BG306" i="28"/>
  <c r="BM306" i="28"/>
  <c r="BT306" i="28"/>
  <c r="BP306" i="28"/>
  <c r="BN306" i="28"/>
  <c r="BO306" i="28"/>
  <c r="BR306" i="28"/>
  <c r="BF306" i="28"/>
  <c r="BQ306" i="28"/>
  <c r="BL306" i="28"/>
  <c r="BJ306" i="28"/>
  <c r="BH306" i="28"/>
  <c r="BI306" i="28"/>
  <c r="BS306" i="28"/>
  <c r="BA402" i="27"/>
  <c r="BB402" i="27"/>
  <c r="AZ402" i="27"/>
  <c r="BF402" i="27"/>
  <c r="BE402" i="27"/>
  <c r="AW402" i="27"/>
  <c r="BD402" i="27"/>
  <c r="AV402" i="27"/>
  <c r="AY402" i="27"/>
  <c r="AX402" i="27"/>
  <c r="BC402" i="27"/>
  <c r="BS27" i="28"/>
  <c r="BR27" i="28"/>
  <c r="BG27" i="28"/>
  <c r="BL27" i="28"/>
  <c r="BO27" i="28"/>
  <c r="BM27" i="28"/>
  <c r="BT27" i="28"/>
  <c r="BQ27" i="28"/>
  <c r="BJ27" i="28"/>
  <c r="BH27" i="28"/>
  <c r="BF27" i="28"/>
  <c r="BI27" i="28"/>
  <c r="BK27" i="28"/>
  <c r="BP27" i="28"/>
  <c r="BN27" i="28"/>
  <c r="BA206" i="27"/>
  <c r="AW206" i="27"/>
  <c r="BD206" i="27"/>
  <c r="AV206" i="27"/>
  <c r="AY206" i="27"/>
  <c r="BC206" i="27"/>
  <c r="BF206" i="27"/>
  <c r="AZ206" i="27"/>
  <c r="AX206" i="27"/>
  <c r="BE206" i="27"/>
  <c r="BB206" i="27"/>
  <c r="BH298" i="28"/>
  <c r="BT298" i="28"/>
  <c r="BL298" i="28"/>
  <c r="BS298" i="28"/>
  <c r="BN298" i="28"/>
  <c r="BK298" i="28"/>
  <c r="BR298" i="28"/>
  <c r="BJ298" i="28"/>
  <c r="BP298" i="28"/>
  <c r="BM298" i="28"/>
  <c r="BQ298" i="28"/>
  <c r="BI298" i="28"/>
  <c r="BO298" i="28"/>
  <c r="BG298" i="28"/>
  <c r="BF298" i="28"/>
  <c r="BC385" i="27"/>
  <c r="AX385" i="27"/>
  <c r="AY385" i="27"/>
  <c r="BE385" i="27"/>
  <c r="AW385" i="27"/>
  <c r="BF385" i="27"/>
  <c r="AZ385" i="27"/>
  <c r="AV385" i="27"/>
  <c r="BA385" i="27"/>
  <c r="BB385" i="27"/>
  <c r="BD385" i="27"/>
  <c r="AY366" i="27"/>
  <c r="AZ366" i="27"/>
  <c r="BD366" i="27"/>
  <c r="BC366" i="27"/>
  <c r="BB366" i="27"/>
  <c r="BA366" i="27"/>
  <c r="AV366" i="27"/>
  <c r="BE366" i="27"/>
  <c r="BF366" i="27"/>
  <c r="AW366" i="27"/>
  <c r="AX366" i="27"/>
  <c r="BS201" i="28"/>
  <c r="BL201" i="28"/>
  <c r="BO201" i="28"/>
  <c r="BG201" i="28"/>
  <c r="BR201" i="28"/>
  <c r="BJ201" i="28"/>
  <c r="BQ201" i="28"/>
  <c r="BI201" i="28"/>
  <c r="BK201" i="28"/>
  <c r="BH201" i="28"/>
  <c r="BN201" i="28"/>
  <c r="BT201" i="28"/>
  <c r="BM201" i="28"/>
  <c r="BF201" i="28"/>
  <c r="BP201" i="28"/>
  <c r="BL243" i="28"/>
  <c r="BI243" i="28"/>
  <c r="BS243" i="28"/>
  <c r="BR243" i="28"/>
  <c r="BN243" i="28"/>
  <c r="BF243" i="28"/>
  <c r="BK243" i="28"/>
  <c r="BH243" i="28"/>
  <c r="BG243" i="28"/>
  <c r="BP243" i="28"/>
  <c r="BQ243" i="28"/>
  <c r="BT243" i="28"/>
  <c r="BJ243" i="28"/>
  <c r="BO243" i="28"/>
  <c r="BM243" i="28"/>
  <c r="BE197" i="27"/>
  <c r="AV197" i="27"/>
  <c r="AW197" i="27"/>
  <c r="BF197" i="27"/>
  <c r="BC197" i="27"/>
  <c r="AZ197" i="27"/>
  <c r="AY197" i="27"/>
  <c r="BD197" i="27"/>
  <c r="AX197" i="27"/>
  <c r="BB197" i="27"/>
  <c r="BA197" i="27"/>
  <c r="AY188" i="27"/>
  <c r="BA188" i="27"/>
  <c r="AX188" i="27"/>
  <c r="BB188" i="27"/>
  <c r="AZ188" i="27"/>
  <c r="BD188" i="27"/>
  <c r="BF188" i="27"/>
  <c r="AW188" i="27"/>
  <c r="BC188" i="27"/>
  <c r="BE188" i="27"/>
  <c r="AV188" i="27"/>
  <c r="BA212" i="27"/>
  <c r="AW212" i="27"/>
  <c r="AZ212" i="27"/>
  <c r="AV212" i="27"/>
  <c r="BC212" i="27"/>
  <c r="BF212" i="27"/>
  <c r="BE212" i="27"/>
  <c r="AY212" i="27"/>
  <c r="AX212" i="27"/>
  <c r="BD212" i="27"/>
  <c r="BB212" i="27"/>
  <c r="BA474" i="27"/>
  <c r="AW474" i="27"/>
  <c r="BB474" i="27"/>
  <c r="AV474" i="27"/>
  <c r="AX474" i="27"/>
  <c r="BF474" i="27"/>
  <c r="BE474" i="27"/>
  <c r="AZ474" i="27"/>
  <c r="BC474" i="27"/>
  <c r="AY474" i="27"/>
  <c r="BD474" i="27"/>
  <c r="BE511" i="27"/>
  <c r="BB511" i="27"/>
  <c r="AV511" i="27"/>
  <c r="AX511" i="27"/>
  <c r="BF511" i="27"/>
  <c r="BC511" i="27"/>
  <c r="AZ511" i="27"/>
  <c r="AY511" i="27"/>
  <c r="AW511" i="27"/>
  <c r="BD511" i="27"/>
  <c r="BA511" i="27"/>
  <c r="AV232" i="27"/>
  <c r="BA232" i="27"/>
  <c r="BD232" i="27"/>
  <c r="AX232" i="27"/>
  <c r="AY232" i="27"/>
  <c r="BE232" i="27"/>
  <c r="BC232" i="27"/>
  <c r="AZ232" i="27"/>
  <c r="BF232" i="27"/>
  <c r="BB232" i="27"/>
  <c r="AW232" i="27"/>
  <c r="AZ356" i="27"/>
  <c r="BC356" i="27"/>
  <c r="BB356" i="27"/>
  <c r="AX356" i="27"/>
  <c r="BE356" i="27"/>
  <c r="AV356" i="27"/>
  <c r="BD356" i="27"/>
  <c r="BF356" i="27"/>
  <c r="AY356" i="27"/>
  <c r="AW356" i="27"/>
  <c r="BA356" i="27"/>
  <c r="BF131" i="27"/>
  <c r="AX131" i="27"/>
  <c r="BD131" i="27"/>
  <c r="BE131" i="27"/>
  <c r="AV131" i="27"/>
  <c r="BC131" i="27"/>
  <c r="BB131" i="27"/>
  <c r="AW131" i="27"/>
  <c r="BA131" i="27"/>
  <c r="AZ131" i="27"/>
  <c r="AY131" i="27"/>
  <c r="AY258" i="27"/>
  <c r="AZ258" i="27"/>
  <c r="BD258" i="27"/>
  <c r="BC258" i="27"/>
  <c r="BA258" i="27"/>
  <c r="AW258" i="27"/>
  <c r="AX258" i="27"/>
  <c r="AV258" i="27"/>
  <c r="BF258" i="27"/>
  <c r="BE258" i="27"/>
  <c r="BB258" i="27"/>
  <c r="AZ419" i="27"/>
  <c r="BC419" i="27"/>
  <c r="BE419" i="27"/>
  <c r="BF419" i="27"/>
  <c r="BB419" i="27"/>
  <c r="AX419" i="27"/>
  <c r="AY419" i="27"/>
  <c r="AW419" i="27"/>
  <c r="AV419" i="27"/>
  <c r="BA419" i="27"/>
  <c r="BD419" i="27"/>
  <c r="BM12" i="28"/>
  <c r="BT12" i="28"/>
  <c r="BL12" i="28"/>
  <c r="BS12" i="28"/>
  <c r="BK12" i="28"/>
  <c r="BR12" i="28"/>
  <c r="BJ12" i="28"/>
  <c r="BQ12" i="28"/>
  <c r="BI12" i="28"/>
  <c r="BN12" i="28"/>
  <c r="BP12" i="28"/>
  <c r="BH12" i="28"/>
  <c r="BO12" i="28"/>
  <c r="BG12" i="28"/>
  <c r="BQ10" i="28"/>
  <c r="BI10" i="28"/>
  <c r="BR10" i="28"/>
  <c r="BJ10" i="28"/>
  <c r="BP10" i="28"/>
  <c r="BH10" i="28"/>
  <c r="BO10" i="28"/>
  <c r="BG10" i="28"/>
  <c r="BN10" i="28"/>
  <c r="BM10" i="28"/>
  <c r="BT10" i="28"/>
  <c r="BL10" i="28"/>
  <c r="BS10" i="28"/>
  <c r="BK10" i="28"/>
  <c r="BO9" i="28"/>
  <c r="BG9" i="28"/>
  <c r="BN9" i="28"/>
  <c r="BP9" i="28"/>
  <c r="BM9" i="28"/>
  <c r="BT9" i="28"/>
  <c r="BL9" i="28"/>
  <c r="BS9" i="28"/>
  <c r="BK9" i="28"/>
  <c r="BR9" i="28"/>
  <c r="BJ9" i="28"/>
  <c r="BQ9" i="28"/>
  <c r="BI9" i="28"/>
  <c r="BH9" i="28"/>
  <c r="BS11" i="28"/>
  <c r="BK11" i="28"/>
  <c r="BT11" i="28"/>
  <c r="BL11" i="28"/>
  <c r="BR11" i="28"/>
  <c r="BJ11" i="28"/>
  <c r="BQ11" i="28"/>
  <c r="BI11" i="28"/>
  <c r="BP11" i="28"/>
  <c r="BH11" i="28"/>
  <c r="BO11" i="28"/>
  <c r="BG11" i="28"/>
  <c r="BN11" i="28"/>
  <c r="BM11" i="28"/>
  <c r="AH10" i="27"/>
  <c r="AH8" i="27"/>
  <c r="AH9" i="27"/>
  <c r="AH11" i="27"/>
  <c r="AM14" i="27"/>
  <c r="AM12" i="27"/>
  <c r="AM13" i="27"/>
  <c r="AM11" i="27"/>
  <c r="AM8" i="27"/>
  <c r="AM10" i="27"/>
  <c r="AG10" i="27" l="1"/>
  <c r="AG9" i="27"/>
  <c r="AG8" i="27"/>
  <c r="AG11" i="27"/>
  <c r="BC11" i="27" l="1"/>
  <c r="AY11" i="27"/>
  <c r="AZ11" i="27"/>
  <c r="BF11" i="27"/>
  <c r="BB11" i="27"/>
  <c r="AX11" i="27"/>
  <c r="BE11" i="27"/>
  <c r="BA11" i="27"/>
  <c r="BD11" i="27"/>
  <c r="BF8" i="27"/>
  <c r="BB8" i="27"/>
  <c r="AX8" i="27"/>
  <c r="AY8" i="27"/>
  <c r="BE8" i="27"/>
  <c r="BA8" i="27"/>
  <c r="BC8" i="27"/>
  <c r="BD8" i="27"/>
  <c r="AZ8" i="27"/>
  <c r="BE9" i="27"/>
  <c r="BA9" i="27"/>
  <c r="BF9" i="27"/>
  <c r="BD9" i="27"/>
  <c r="AZ9" i="27"/>
  <c r="BB9" i="27"/>
  <c r="BC9" i="27"/>
  <c r="AY9" i="27"/>
  <c r="AX9" i="27"/>
  <c r="BD10" i="27"/>
  <c r="AZ10" i="27"/>
  <c r="BC10" i="27"/>
  <c r="AY10" i="27"/>
  <c r="BA10" i="27"/>
  <c r="BF10" i="27"/>
  <c r="BB10" i="27"/>
  <c r="AX10" i="27"/>
  <c r="BE10" i="27"/>
  <c r="AW10" i="27"/>
  <c r="AW9" i="27"/>
  <c r="AW11" i="27"/>
  <c r="AW8"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Requête - Clubs" description="Connexion à la requête « Clubs » dans le classeur." type="5" refreshedVersion="6" background="1" refreshOnLoad="1" saveData="1">
    <dbPr connection="Provider=Microsoft.Mashup.OleDb.1;Data Source=$Workbook$;Location=Clubs;Extended Properties=&quot;&quot;" command="SELECT * FROM [Clubs]"/>
  </connection>
  <connection id="2" xr16:uid="{00000000-0015-0000-FFFF-FFFF01000000}" keepAlive="1" name="Requête - Nations" description="Connexion à la requête « Nations » dans le classeur." type="5" refreshedVersion="6" background="1" refreshOnLoad="1" saveData="1">
    <dbPr connection="Provider=Microsoft.Mashup.OleDb.1;Data Source=$Workbook$;Location=Nations;Extended Properties=&quot;&quot;" command="SELECT * FROM [Nations]"/>
  </connection>
  <connection id="3" xr16:uid="{00000000-0015-0000-FFFF-FFFF02000000}" keepAlive="1" name="Requête - Players" description="Connexion à la requête « Players » dans le classeur." type="5" refreshedVersion="6" background="1" refreshOnLoad="1" saveData="1">
    <dbPr connection="Provider=Microsoft.Mashup.OleDb.1;Data Source=$Workbook$;Location=Players;Extended Properties=&quot;&quot;" command="SELECT * FROM [Players]"/>
  </connection>
</connections>
</file>

<file path=xl/sharedStrings.xml><?xml version="1.0" encoding="utf-8"?>
<sst xmlns="http://schemas.openxmlformats.org/spreadsheetml/2006/main" count="54967" uniqueCount="14708">
  <si>
    <t>FISTF Tour</t>
  </si>
  <si>
    <t>Details of the tournament</t>
  </si>
  <si>
    <t>1. About the tournament</t>
  </si>
  <si>
    <t>(mandatory)</t>
  </si>
  <si>
    <t>Entry fee:</t>
  </si>
  <si>
    <t>Signature of the competition manager</t>
  </si>
  <si>
    <t>N°</t>
  </si>
  <si>
    <t>First &amp; Last Name</t>
  </si>
  <si>
    <t>Nation</t>
  </si>
  <si>
    <t>Club</t>
  </si>
  <si>
    <t>Example</t>
  </si>
  <si>
    <t>ENG</t>
  </si>
  <si>
    <t>FISTF Code</t>
  </si>
  <si>
    <t>Saverio Bari</t>
  </si>
  <si>
    <t>ITA0066</t>
  </si>
  <si>
    <t>ITA</t>
  </si>
  <si>
    <t>ITAC040</t>
  </si>
  <si>
    <t>reg</t>
  </si>
  <si>
    <t>ITA0158</t>
  </si>
  <si>
    <t>Massimo Cremona</t>
  </si>
  <si>
    <t>MLT0018</t>
  </si>
  <si>
    <t>MLT</t>
  </si>
  <si>
    <t>Marco Lamberti</t>
  </si>
  <si>
    <t>ITA0461</t>
  </si>
  <si>
    <t>Country</t>
  </si>
  <si>
    <t>Abbr.</t>
  </si>
  <si>
    <t>Albania</t>
  </si>
  <si>
    <t>ALB</t>
  </si>
  <si>
    <t>ARG</t>
  </si>
  <si>
    <t>Argentina</t>
  </si>
  <si>
    <t>Australia</t>
  </si>
  <si>
    <t>AUS</t>
  </si>
  <si>
    <t>Buenos Aires TS</t>
  </si>
  <si>
    <t>Austria</t>
  </si>
  <si>
    <t>AUT</t>
  </si>
  <si>
    <t>TFC Mattersburg</t>
  </si>
  <si>
    <t>mat</t>
  </si>
  <si>
    <t>Belgium</t>
  </si>
  <si>
    <t>BEL</t>
  </si>
  <si>
    <t>TSC Royal 78 Kaisermühlen</t>
  </si>
  <si>
    <t>roy</t>
  </si>
  <si>
    <t>wie</t>
  </si>
  <si>
    <t>Brazil</t>
  </si>
  <si>
    <t>BRA</t>
  </si>
  <si>
    <t>TFC Wien West</t>
  </si>
  <si>
    <t>wiw</t>
  </si>
  <si>
    <t>Canada</t>
  </si>
  <si>
    <t>CAN</t>
  </si>
  <si>
    <t>TFC Red Star Vienna</t>
  </si>
  <si>
    <t>red</t>
  </si>
  <si>
    <t>Chile</t>
  </si>
  <si>
    <t>China</t>
  </si>
  <si>
    <t>CHN</t>
  </si>
  <si>
    <t>Colombia</t>
  </si>
  <si>
    <t>COL</t>
  </si>
  <si>
    <t>Croatia</t>
  </si>
  <si>
    <t>CRO</t>
  </si>
  <si>
    <t>SC Charleroi</t>
  </si>
  <si>
    <t>cha</t>
  </si>
  <si>
    <t>Cyprus</t>
  </si>
  <si>
    <t>CYP</t>
  </si>
  <si>
    <t>eug</t>
  </si>
  <si>
    <t>CZE</t>
  </si>
  <si>
    <t>fla</t>
  </si>
  <si>
    <t>Denmark</t>
  </si>
  <si>
    <t>DEN</t>
  </si>
  <si>
    <t>hen</t>
  </si>
  <si>
    <t>Ecuador</t>
  </si>
  <si>
    <t>ECU</t>
  </si>
  <si>
    <t>JSC Rochefort</t>
  </si>
  <si>
    <t>roc</t>
  </si>
  <si>
    <t>England</t>
  </si>
  <si>
    <t>Rochefort TS</t>
  </si>
  <si>
    <t>Spain</t>
  </si>
  <si>
    <t>ESP</t>
  </si>
  <si>
    <t>ste</t>
  </si>
  <si>
    <t>Finland</t>
  </si>
  <si>
    <t>FIN</t>
  </si>
  <si>
    <t>SC Temploux</t>
  </si>
  <si>
    <t>tem</t>
  </si>
  <si>
    <t>France</t>
  </si>
  <si>
    <t>FRA</t>
  </si>
  <si>
    <t>tpv</t>
  </si>
  <si>
    <t>Germany</t>
  </si>
  <si>
    <t>GER</t>
  </si>
  <si>
    <t>Gibraltar</t>
  </si>
  <si>
    <t>GIB</t>
  </si>
  <si>
    <t>Greece</t>
  </si>
  <si>
    <t>GRE</t>
  </si>
  <si>
    <t>fam</t>
  </si>
  <si>
    <t>HKG</t>
  </si>
  <si>
    <t>nic</t>
  </si>
  <si>
    <t>Hungary</t>
  </si>
  <si>
    <t>HUN</t>
  </si>
  <si>
    <t>India</t>
  </si>
  <si>
    <t>IND</t>
  </si>
  <si>
    <t>net</t>
  </si>
  <si>
    <t>Ireland</t>
  </si>
  <si>
    <t>IRL</t>
  </si>
  <si>
    <t>Yorkshire Phoenix</t>
  </si>
  <si>
    <t>yor</t>
  </si>
  <si>
    <t>Israel</t>
  </si>
  <si>
    <t>ISR</t>
  </si>
  <si>
    <t>kiv</t>
  </si>
  <si>
    <t>Italy</t>
  </si>
  <si>
    <t>TSPA White Star</t>
  </si>
  <si>
    <t>tsp</t>
  </si>
  <si>
    <t>Jamaica</t>
  </si>
  <si>
    <t>JAM</t>
  </si>
  <si>
    <t>Japan</t>
  </si>
  <si>
    <t>JPN</t>
  </si>
  <si>
    <t>Mexico</t>
  </si>
  <si>
    <t>MEX</t>
  </si>
  <si>
    <t>Worthing Fivestar</t>
  </si>
  <si>
    <t>wor</t>
  </si>
  <si>
    <t>Malta</t>
  </si>
  <si>
    <t>North West TSC</t>
  </si>
  <si>
    <t>nor</t>
  </si>
  <si>
    <t>Malaysia</t>
  </si>
  <si>
    <t>MAS</t>
  </si>
  <si>
    <t>London TFC</t>
  </si>
  <si>
    <t>lon</t>
  </si>
  <si>
    <t>Monaco</t>
  </si>
  <si>
    <t>MON</t>
  </si>
  <si>
    <t>Netherlands</t>
  </si>
  <si>
    <t>NED</t>
  </si>
  <si>
    <t>Nigeria</t>
  </si>
  <si>
    <t>NGA</t>
  </si>
  <si>
    <t>Northern Ireland</t>
  </si>
  <si>
    <t>NIR</t>
  </si>
  <si>
    <t>Norway</t>
  </si>
  <si>
    <t>NOR</t>
  </si>
  <si>
    <t>Peru</t>
  </si>
  <si>
    <t>PER</t>
  </si>
  <si>
    <t>Poland</t>
  </si>
  <si>
    <t>POL</t>
  </si>
  <si>
    <t>Portugal</t>
  </si>
  <si>
    <t>POR</t>
  </si>
  <si>
    <t>Romania</t>
  </si>
  <si>
    <t>Lincoln Flickers SC</t>
  </si>
  <si>
    <t>lin</t>
  </si>
  <si>
    <t>RUS</t>
  </si>
  <si>
    <t>som</t>
  </si>
  <si>
    <t>South Africa</t>
  </si>
  <si>
    <t>Scotland</t>
  </si>
  <si>
    <t>SCO</t>
  </si>
  <si>
    <t>Singapore</t>
  </si>
  <si>
    <t>Walsall TFC</t>
  </si>
  <si>
    <t>wll</t>
  </si>
  <si>
    <t>Slovakia</t>
  </si>
  <si>
    <t>SVK</t>
  </si>
  <si>
    <t>Switzerland</t>
  </si>
  <si>
    <t>SUI</t>
  </si>
  <si>
    <t>Tunisia</t>
  </si>
  <si>
    <t>TUN</t>
  </si>
  <si>
    <t>Turkey</t>
  </si>
  <si>
    <t>TUR</t>
  </si>
  <si>
    <t>USA</t>
  </si>
  <si>
    <t>Barcelona FT</t>
  </si>
  <si>
    <t>bac</t>
  </si>
  <si>
    <t>VIE</t>
  </si>
  <si>
    <t>Wales</t>
  </si>
  <si>
    <t>WAL</t>
  </si>
  <si>
    <t>Zimbabwe</t>
  </si>
  <si>
    <t>ZIM</t>
  </si>
  <si>
    <t>Mallorca Águilas FM</t>
  </si>
  <si>
    <t>mao</t>
  </si>
  <si>
    <t>Moralzarzal Subbuteo CAD</t>
  </si>
  <si>
    <t>mor</t>
  </si>
  <si>
    <t>mur</t>
  </si>
  <si>
    <t>Tiburones FM</t>
  </si>
  <si>
    <t>tib</t>
  </si>
  <si>
    <t>AFT Turia 1981</t>
  </si>
  <si>
    <t>tur</t>
  </si>
  <si>
    <t>CFT Puylaurens</t>
  </si>
  <si>
    <t>puy</t>
  </si>
  <si>
    <t>chp</t>
  </si>
  <si>
    <t>sub</t>
  </si>
  <si>
    <t>com</t>
  </si>
  <si>
    <t>FTC Issy-les-Moulineaux</t>
  </si>
  <si>
    <t>iss</t>
  </si>
  <si>
    <t>TSL Dortmund 61</t>
  </si>
  <si>
    <t>BSC Schwalbach</t>
  </si>
  <si>
    <t>atl</t>
  </si>
  <si>
    <t>fal</t>
  </si>
  <si>
    <t>pil</t>
  </si>
  <si>
    <t>rol</t>
  </si>
  <si>
    <t>gly</t>
  </si>
  <si>
    <t>myr</t>
  </si>
  <si>
    <t>bld</t>
  </si>
  <si>
    <t>ach</t>
  </si>
  <si>
    <t>ocs</t>
  </si>
  <si>
    <t>ptg</t>
  </si>
  <si>
    <t>vol</t>
  </si>
  <si>
    <t>sbs</t>
  </si>
  <si>
    <t>ACT Anacapri</t>
  </si>
  <si>
    <t>ana</t>
  </si>
  <si>
    <t>Bologna Tigers Subbuteo</t>
  </si>
  <si>
    <t>bol</t>
  </si>
  <si>
    <t>fer</t>
  </si>
  <si>
    <t>fgg</t>
  </si>
  <si>
    <t>CCT Eagles Napoli</t>
  </si>
  <si>
    <t>nap</t>
  </si>
  <si>
    <t>pie</t>
  </si>
  <si>
    <t>ST Sassari</t>
  </si>
  <si>
    <t>sas</t>
  </si>
  <si>
    <t>vic</t>
  </si>
  <si>
    <t>vir</t>
  </si>
  <si>
    <t>CS Firenze</t>
  </si>
  <si>
    <t>fir</t>
  </si>
  <si>
    <t>ACS Perugia 1973</t>
  </si>
  <si>
    <t>per</t>
  </si>
  <si>
    <t>ASCT Sessana 1982</t>
  </si>
  <si>
    <t>ses</t>
  </si>
  <si>
    <t>SC Bagheria</t>
  </si>
  <si>
    <t>bag</t>
  </si>
  <si>
    <t>CCT Roma</t>
  </si>
  <si>
    <t>rom</t>
  </si>
  <si>
    <t>fia</t>
  </si>
  <si>
    <t>Papata Group Ponticino</t>
  </si>
  <si>
    <t>pon</t>
  </si>
  <si>
    <t>GCT DLF Gorizia</t>
  </si>
  <si>
    <t>gor</t>
  </si>
  <si>
    <t>SS Lazio TFC Roma</t>
  </si>
  <si>
    <t>laz</t>
  </si>
  <si>
    <t>TSC Stella Artois Milano</t>
  </si>
  <si>
    <t>mil</t>
  </si>
  <si>
    <t>TS Napoli Fighters</t>
  </si>
  <si>
    <t>naf</t>
  </si>
  <si>
    <t>bre</t>
  </si>
  <si>
    <t>vib</t>
  </si>
  <si>
    <t>CT Torino 2009</t>
  </si>
  <si>
    <t>trn</t>
  </si>
  <si>
    <t>msa</t>
  </si>
  <si>
    <t>caa</t>
  </si>
  <si>
    <t>sta</t>
  </si>
  <si>
    <t>sir</t>
  </si>
  <si>
    <t>moe</t>
  </si>
  <si>
    <t>mac</t>
  </si>
  <si>
    <t>CT Versilia 2002</t>
  </si>
  <si>
    <t>ves</t>
  </si>
  <si>
    <t>SC Ascoli</t>
  </si>
  <si>
    <t>asc</t>
  </si>
  <si>
    <t>SC Stradivari Cremona</t>
  </si>
  <si>
    <t>str</t>
  </si>
  <si>
    <t>cag</t>
  </si>
  <si>
    <t>mei</t>
  </si>
  <si>
    <t>brz</t>
  </si>
  <si>
    <t>vll</t>
  </si>
  <si>
    <t>att</t>
  </si>
  <si>
    <t>bor</t>
  </si>
  <si>
    <t>MVV Rijnmond</t>
  </si>
  <si>
    <t>Belfast Barbarians</t>
  </si>
  <si>
    <t>Orfeão Foz do Douro</t>
  </si>
  <si>
    <t>gla</t>
  </si>
  <si>
    <t>Eastern Elias SC</t>
  </si>
  <si>
    <t>Woodlands SC</t>
  </si>
  <si>
    <t>SC Wallisellen</t>
  </si>
  <si>
    <t>wal</t>
  </si>
  <si>
    <t>SC Connecticut</t>
  </si>
  <si>
    <t>con</t>
  </si>
  <si>
    <t>tam</t>
  </si>
  <si>
    <t>bus</t>
  </si>
  <si>
    <t>Maryland SC</t>
  </si>
  <si>
    <t>mar</t>
  </si>
  <si>
    <t>stl</t>
  </si>
  <si>
    <t>cht</t>
  </si>
  <si>
    <t>los</t>
  </si>
  <si>
    <t>Washington Tuesday SL</t>
  </si>
  <si>
    <t>was</t>
  </si>
  <si>
    <t>Club name</t>
  </si>
  <si>
    <t>Abbreviation</t>
  </si>
  <si>
    <t>Nationality</t>
  </si>
  <si>
    <t>MNA</t>
  </si>
  <si>
    <t>Confederation</t>
  </si>
  <si>
    <t>Melbourne TFC</t>
  </si>
  <si>
    <t>mel</t>
  </si>
  <si>
    <t>AUSC001</t>
  </si>
  <si>
    <t>ATFA</t>
  </si>
  <si>
    <t>CASTFA</t>
  </si>
  <si>
    <t>Western Sydney Subbuteo</t>
  </si>
  <si>
    <t>par</t>
  </si>
  <si>
    <t>AUSC002</t>
  </si>
  <si>
    <t>Northern Falcons TFC</t>
  </si>
  <si>
    <t>nfc</t>
  </si>
  <si>
    <t>AUSC003</t>
  </si>
  <si>
    <t>Brisbane Subbuteo Club</t>
  </si>
  <si>
    <t>bri</t>
  </si>
  <si>
    <t>AUSC004</t>
  </si>
  <si>
    <t>Subbuteo Perth</t>
  </si>
  <si>
    <t>AUSC007</t>
  </si>
  <si>
    <t>Hipfingerz Subbuteo Club</t>
  </si>
  <si>
    <t>hip</t>
  </si>
  <si>
    <t>AUSC008</t>
  </si>
  <si>
    <t>Canberra &amp; South Coast TFC</t>
  </si>
  <si>
    <t>cab</t>
  </si>
  <si>
    <t>AUSC009</t>
  </si>
  <si>
    <t>Western Flickers TFC</t>
  </si>
  <si>
    <t>wtf</t>
  </si>
  <si>
    <t>AUSC013</t>
  </si>
  <si>
    <t>Sydney TFC</t>
  </si>
  <si>
    <t>syd</t>
  </si>
  <si>
    <t>AUSC014</t>
  </si>
  <si>
    <t>Northern Phoenix TFC</t>
  </si>
  <si>
    <t>phn</t>
  </si>
  <si>
    <t>AUSC016</t>
  </si>
  <si>
    <t>Hobart Table Football Club</t>
  </si>
  <si>
    <t>hob</t>
  </si>
  <si>
    <t>AUSC017</t>
  </si>
  <si>
    <t>Central Victoria TFC</t>
  </si>
  <si>
    <t>cvi</t>
  </si>
  <si>
    <t>AUSC018</t>
  </si>
  <si>
    <t>AUTC001</t>
  </si>
  <si>
    <t>CESTFA</t>
  </si>
  <si>
    <t>AUTC002</t>
  </si>
  <si>
    <t>TSC Phoenix</t>
  </si>
  <si>
    <t>AUTC003</t>
  </si>
  <si>
    <t>AUTC004</t>
  </si>
  <si>
    <t>AUTC005</t>
  </si>
  <si>
    <t>TFC Ebenfurth</t>
  </si>
  <si>
    <t>ebe</t>
  </si>
  <si>
    <t>AUTC008</t>
  </si>
  <si>
    <t>BELC003</t>
  </si>
  <si>
    <t>FBFTS-BSTVB</t>
  </si>
  <si>
    <t>SC Lion's Eugies</t>
  </si>
  <si>
    <t>BELC004</t>
  </si>
  <si>
    <t>SC Flanders</t>
  </si>
  <si>
    <t>BELC005</t>
  </si>
  <si>
    <t>Avenir Subbuteo Hennuyer</t>
  </si>
  <si>
    <t>BELC006</t>
  </si>
  <si>
    <t>BELC007</t>
  </si>
  <si>
    <t>ST Stembert</t>
  </si>
  <si>
    <t>BELC009</t>
  </si>
  <si>
    <t>BELC010</t>
  </si>
  <si>
    <t>Templeuve United TSC</t>
  </si>
  <si>
    <t>BELC011</t>
  </si>
  <si>
    <t>Etoile Sarthoise Val-de-Sambre</t>
  </si>
  <si>
    <t>vds</t>
  </si>
  <si>
    <t>BELC015</t>
  </si>
  <si>
    <t>Magic Team Tournai</t>
  </si>
  <si>
    <t>Wamme SC</t>
  </si>
  <si>
    <t>wam</t>
  </si>
  <si>
    <t>BELC023</t>
  </si>
  <si>
    <t>US Huy</t>
  </si>
  <si>
    <t>hut</t>
  </si>
  <si>
    <t>BELC025</t>
  </si>
  <si>
    <t>Bangu Atlético Clube</t>
  </si>
  <si>
    <t>bgu</t>
  </si>
  <si>
    <t>BRAC001</t>
  </si>
  <si>
    <t>CR Vasco da Gama</t>
  </si>
  <si>
    <t>vas</t>
  </si>
  <si>
    <t>BRAC002</t>
  </si>
  <si>
    <t>SAV Maria Zélia</t>
  </si>
  <si>
    <t>smz</t>
  </si>
  <si>
    <t>BRAC007</t>
  </si>
  <si>
    <t>sep</t>
  </si>
  <si>
    <t>BRAC011</t>
  </si>
  <si>
    <t>Friburguense - AFFM</t>
  </si>
  <si>
    <t>fri</t>
  </si>
  <si>
    <t>BRAC013</t>
  </si>
  <si>
    <t>SC Corinthians Paulista</t>
  </si>
  <si>
    <t>cor</t>
  </si>
  <si>
    <t>BRAC015</t>
  </si>
  <si>
    <t>Botafogo de Futebol e Regatas</t>
  </si>
  <si>
    <t>bot</t>
  </si>
  <si>
    <t>BRAC017</t>
  </si>
  <si>
    <t>São Paulo Futebol Clube</t>
  </si>
  <si>
    <t>sao</t>
  </si>
  <si>
    <t>BRAC018</t>
  </si>
  <si>
    <t>Londrina EC</t>
  </si>
  <si>
    <t>lec</t>
  </si>
  <si>
    <t>BRAC020</t>
  </si>
  <si>
    <t>Colombo Sport Club</t>
  </si>
  <si>
    <t>BRAC021</t>
  </si>
  <si>
    <t>Santa Cruz Futebol Clube</t>
  </si>
  <si>
    <t>BRAC022</t>
  </si>
  <si>
    <t>Associação Atlética Banco do Brasil - Caruaru</t>
  </si>
  <si>
    <t>aab</t>
  </si>
  <si>
    <t>BRAC025</t>
  </si>
  <si>
    <t>Calgary SC</t>
  </si>
  <si>
    <t>clg</t>
  </si>
  <si>
    <t>CANC001</t>
  </si>
  <si>
    <t>CONASTF</t>
  </si>
  <si>
    <t>West Coast TSC</t>
  </si>
  <si>
    <t>wct</t>
  </si>
  <si>
    <t>CANC002</t>
  </si>
  <si>
    <t>Toronto SL</t>
  </si>
  <si>
    <t>tor</t>
  </si>
  <si>
    <t>CANC003</t>
  </si>
  <si>
    <t>Hamilton SC</t>
  </si>
  <si>
    <t>hsc</t>
  </si>
  <si>
    <t>CANC004</t>
  </si>
  <si>
    <t>CS Montréal</t>
  </si>
  <si>
    <t>mtr</t>
  </si>
  <si>
    <t>CANC005</t>
  </si>
  <si>
    <t>Toronto SC</t>
  </si>
  <si>
    <t>tsc</t>
  </si>
  <si>
    <t>CANC006</t>
  </si>
  <si>
    <t>Famagusta TFC</t>
  </si>
  <si>
    <t>CYPC001</t>
  </si>
  <si>
    <t>Nicosia TFC</t>
  </si>
  <si>
    <t>CYPC002</t>
  </si>
  <si>
    <t>Larnaca TFC</t>
  </si>
  <si>
    <t>lac</t>
  </si>
  <si>
    <t>CYPC003</t>
  </si>
  <si>
    <t>Czech Subbuteo Team 2014</t>
  </si>
  <si>
    <t>cst</t>
  </si>
  <si>
    <t>CZEC001</t>
  </si>
  <si>
    <t>Lega Subbuteo Liga Odense</t>
  </si>
  <si>
    <t>ode</t>
  </si>
  <si>
    <t>DENC001</t>
  </si>
  <si>
    <t>NETFA Brigantes</t>
  </si>
  <si>
    <t>ENGC001</t>
  </si>
  <si>
    <t>ESA</t>
  </si>
  <si>
    <t>ENGC002</t>
  </si>
  <si>
    <t>Kent Invicta TFC</t>
  </si>
  <si>
    <t>ENGC003</t>
  </si>
  <si>
    <t>ENGC004</t>
  </si>
  <si>
    <t>ENGC007</t>
  </si>
  <si>
    <t>ENGC008</t>
  </si>
  <si>
    <t>ENGC009</t>
  </si>
  <si>
    <t>ENGC018</t>
  </si>
  <si>
    <t>ENGC022</t>
  </si>
  <si>
    <t>Birmingham &amp; District Table Soccer League</t>
  </si>
  <si>
    <t>bir</t>
  </si>
  <si>
    <t>ENGC031</t>
  </si>
  <si>
    <t>Manchester Subbuteo Club</t>
  </si>
  <si>
    <t>man</t>
  </si>
  <si>
    <t>ENGC036</t>
  </si>
  <si>
    <t>Bristol SC</t>
  </si>
  <si>
    <t>brs</t>
  </si>
  <si>
    <t>ENGC037</t>
  </si>
  <si>
    <t>London &amp; Essex United</t>
  </si>
  <si>
    <t>leu</t>
  </si>
  <si>
    <t>ENGC039</t>
  </si>
  <si>
    <t>Harrow Hawks TSC</t>
  </si>
  <si>
    <t>haw</t>
  </si>
  <si>
    <t>ENGC041</t>
  </si>
  <si>
    <t>West Midlands SC</t>
  </si>
  <si>
    <t>wmd</t>
  </si>
  <si>
    <t>ENGC042</t>
  </si>
  <si>
    <t>North Shields STF</t>
  </si>
  <si>
    <t>nss</t>
  </si>
  <si>
    <t>ENGC043</t>
  </si>
  <si>
    <t>Merseyside SC</t>
  </si>
  <si>
    <t>mey</t>
  </si>
  <si>
    <t>ENGC044</t>
  </si>
  <si>
    <t>South Staff</t>
  </si>
  <si>
    <t>mmm</t>
  </si>
  <si>
    <t>ENGC045</t>
  </si>
  <si>
    <t>Liverpool TSC</t>
  </si>
  <si>
    <t>lts</t>
  </si>
  <si>
    <t>ENGC046</t>
  </si>
  <si>
    <t>wsf</t>
  </si>
  <si>
    <t>ENGC047</t>
  </si>
  <si>
    <t>Surrey Saracens Subbuteo</t>
  </si>
  <si>
    <t>sss</t>
  </si>
  <si>
    <t>ENGC048</t>
  </si>
  <si>
    <t>Stanway Rovers Flickers</t>
  </si>
  <si>
    <t>SRS</t>
  </si>
  <si>
    <t>ENGC049</t>
  </si>
  <si>
    <t>Haverhill Rovers tfc</t>
  </si>
  <si>
    <t>HRT</t>
  </si>
  <si>
    <t>ENGC050</t>
  </si>
  <si>
    <t>East Lancashire Subbuteo club</t>
  </si>
  <si>
    <t>ELS</t>
  </si>
  <si>
    <t>ENGC052</t>
  </si>
  <si>
    <t>The Magnet Broadstairs</t>
  </si>
  <si>
    <t>MAG</t>
  </si>
  <si>
    <t>ENGC054</t>
  </si>
  <si>
    <t>Milton Keynes</t>
  </si>
  <si>
    <t>MKE</t>
  </si>
  <si>
    <t>ENGC057</t>
  </si>
  <si>
    <t>RAS (Rochford &amp; Southend) Casual Subbuteo Club</t>
  </si>
  <si>
    <t>RAS</t>
  </si>
  <si>
    <t>ENGC065</t>
  </si>
  <si>
    <t>Solent Table Soccer &amp; Subbuteo club</t>
  </si>
  <si>
    <t>sts</t>
  </si>
  <si>
    <t>ENGC066</t>
  </si>
  <si>
    <t>Wobbly Hobby Subbuteo Club</t>
  </si>
  <si>
    <t>WHC</t>
  </si>
  <si>
    <t>ENGC067</t>
  </si>
  <si>
    <t>Old Sods Old Subbuteo Club</t>
  </si>
  <si>
    <t>oss</t>
  </si>
  <si>
    <t>ENGC068</t>
  </si>
  <si>
    <t>Sport Vale United</t>
  </si>
  <si>
    <t>svu</t>
  </si>
  <si>
    <t>ENGC070</t>
  </si>
  <si>
    <t>The Morecambe Bay Subbuteo Club</t>
  </si>
  <si>
    <t>ENGC072</t>
  </si>
  <si>
    <t>The Andover Subbuteo Club</t>
  </si>
  <si>
    <t>and</t>
  </si>
  <si>
    <t>ENGC073</t>
  </si>
  <si>
    <t>Cov and Warks Subbuteo</t>
  </si>
  <si>
    <t>caw</t>
  </si>
  <si>
    <t>ENGC074</t>
  </si>
  <si>
    <t>Leicester Foxes Subbuteo Club</t>
  </si>
  <si>
    <t>lei</t>
  </si>
  <si>
    <t>ENGC075</t>
  </si>
  <si>
    <t>Kirkstall Crusaders Subbuteo Club</t>
  </si>
  <si>
    <t>kirk</t>
  </si>
  <si>
    <t>ENGC076</t>
  </si>
  <si>
    <t>Bradford Subbuteo FC</t>
  </si>
  <si>
    <t>ENGC077</t>
  </si>
  <si>
    <t>London Subbuteo Club</t>
  </si>
  <si>
    <t>ENGC078</t>
  </si>
  <si>
    <t>ESPC003</t>
  </si>
  <si>
    <t>AEFM</t>
  </si>
  <si>
    <t>ESPC006</t>
  </si>
  <si>
    <t>ESPC007</t>
  </si>
  <si>
    <t>CAP Ciudad de Murcia FM</t>
  </si>
  <si>
    <t>ESPC009</t>
  </si>
  <si>
    <t>ESPC011</t>
  </si>
  <si>
    <t>SC UD Santa María FM</t>
  </si>
  <si>
    <t>sma</t>
  </si>
  <si>
    <t>ESPC013</t>
  </si>
  <si>
    <t>AC Los Remedios FM</t>
  </si>
  <si>
    <t>rem</t>
  </si>
  <si>
    <t>ESPC014</t>
  </si>
  <si>
    <t>FM La Plazoleta</t>
  </si>
  <si>
    <t>plz</t>
  </si>
  <si>
    <t>ESPC017</t>
  </si>
  <si>
    <t>ESPC019</t>
  </si>
  <si>
    <t>SC Barakaldo</t>
  </si>
  <si>
    <t>brk</t>
  </si>
  <si>
    <t>ESPC021</t>
  </si>
  <si>
    <t>AS Iluro Futbol Taula</t>
  </si>
  <si>
    <t>ilu</t>
  </si>
  <si>
    <t>ESPC022</t>
  </si>
  <si>
    <t>FRAC002</t>
  </si>
  <si>
    <t>3FTS</t>
  </si>
  <si>
    <t>FRAC003</t>
  </si>
  <si>
    <t>Celtic Combourg CFT</t>
  </si>
  <si>
    <t>FRAC008</t>
  </si>
  <si>
    <t>FRAC009</t>
  </si>
  <si>
    <t>FTC Caen</t>
  </si>
  <si>
    <t>cae</t>
  </si>
  <si>
    <t>FRAC012</t>
  </si>
  <si>
    <t>sym</t>
  </si>
  <si>
    <t>FRAC018</t>
  </si>
  <si>
    <t>aqu</t>
  </si>
  <si>
    <t>FRAC019</t>
  </si>
  <si>
    <t>FRAC020</t>
  </si>
  <si>
    <t>Europa FC TSC</t>
  </si>
  <si>
    <t>ets</t>
  </si>
  <si>
    <t>GIBC001</t>
  </si>
  <si>
    <t>GTSA</t>
  </si>
  <si>
    <t>Atlas FTC</t>
  </si>
  <si>
    <t>GREC001</t>
  </si>
  <si>
    <t>UHTF</t>
  </si>
  <si>
    <t>TSC Falcons Athens</t>
  </si>
  <si>
    <t>GREC002</t>
  </si>
  <si>
    <t>Piraeus Lions TSC</t>
  </si>
  <si>
    <t>GREC003</t>
  </si>
  <si>
    <t>Roligans Ilioupolis TSC</t>
  </si>
  <si>
    <t>GREC004</t>
  </si>
  <si>
    <t>Glyfada United TSC</t>
  </si>
  <si>
    <t>GREC005</t>
  </si>
  <si>
    <t>Myrmidones TSC</t>
  </si>
  <si>
    <t>GREC006</t>
  </si>
  <si>
    <t>Blade TSC</t>
  </si>
  <si>
    <t>GREC007</t>
  </si>
  <si>
    <t>Achaioi TSC</t>
  </si>
  <si>
    <t>GREC008</t>
  </si>
  <si>
    <t>Olympia CS</t>
  </si>
  <si>
    <t>GREC009</t>
  </si>
  <si>
    <t>Larissa TFC</t>
  </si>
  <si>
    <t>ael</t>
  </si>
  <si>
    <t>GREC011</t>
  </si>
  <si>
    <t>Piraeus Tigers TSC</t>
  </si>
  <si>
    <t>GREC012</t>
  </si>
  <si>
    <t>Proteas Athens SC</t>
  </si>
  <si>
    <t>pro</t>
  </si>
  <si>
    <t>GREC013</t>
  </si>
  <si>
    <t>Argonautes Volou TSC</t>
  </si>
  <si>
    <t>arv</t>
  </si>
  <si>
    <t>GREC016</t>
  </si>
  <si>
    <t>Scarlet Battalion SC</t>
  </si>
  <si>
    <t>GREC017</t>
  </si>
  <si>
    <t>Athinaikos CS</t>
  </si>
  <si>
    <t>ati</t>
  </si>
  <si>
    <t>GREC018</t>
  </si>
  <si>
    <t>Flaming Flickers SC</t>
  </si>
  <si>
    <t>ffl</t>
  </si>
  <si>
    <t>GREC019</t>
  </si>
  <si>
    <t>Highlanders TSC</t>
  </si>
  <si>
    <t>hig</t>
  </si>
  <si>
    <t>GREC020</t>
  </si>
  <si>
    <t>Thessaloniki SC TSC</t>
  </si>
  <si>
    <t>the</t>
  </si>
  <si>
    <t>GREC021</t>
  </si>
  <si>
    <t>Adrastians</t>
  </si>
  <si>
    <t>adr</t>
  </si>
  <si>
    <t>GREC023</t>
  </si>
  <si>
    <t>Panorama 1978 SC</t>
  </si>
  <si>
    <t>paa</t>
  </si>
  <si>
    <t>GREC024</t>
  </si>
  <si>
    <t>Noctuas Athens TSC</t>
  </si>
  <si>
    <t>noa</t>
  </si>
  <si>
    <t>GREC025</t>
  </si>
  <si>
    <t>ipp</t>
  </si>
  <si>
    <t>GREC026</t>
  </si>
  <si>
    <t>Thessaloniki United TSC</t>
  </si>
  <si>
    <t>thu</t>
  </si>
  <si>
    <t>GREC027</t>
  </si>
  <si>
    <t>GREC028</t>
  </si>
  <si>
    <t>Polis Athlitikos Syllogos Kallitheas</t>
  </si>
  <si>
    <t>pol</t>
  </si>
  <si>
    <t>GREC029</t>
  </si>
  <si>
    <t>Subbuteurs Athens TSC</t>
  </si>
  <si>
    <t>sat</t>
  </si>
  <si>
    <t>GREC030</t>
  </si>
  <si>
    <t>ITAC001</t>
  </si>
  <si>
    <t>FISCT</t>
  </si>
  <si>
    <t>ITAC003</t>
  </si>
  <si>
    <t>Subbito Gol Ferrara</t>
  </si>
  <si>
    <t>ITAC005</t>
  </si>
  <si>
    <t>Foggia CT</t>
  </si>
  <si>
    <t>ITAC006</t>
  </si>
  <si>
    <t>ITAC010</t>
  </si>
  <si>
    <t>Subbuteo Casale</t>
  </si>
  <si>
    <t>ITAC012</t>
  </si>
  <si>
    <t>ITAC015</t>
  </si>
  <si>
    <t>Bulldogs Vicenza</t>
  </si>
  <si>
    <t>ITAC017</t>
  </si>
  <si>
    <t>Virtus 4strade SC Rieti</t>
  </si>
  <si>
    <t>ITAC018</t>
  </si>
  <si>
    <t>ITAC020</t>
  </si>
  <si>
    <t>ITAC023</t>
  </si>
  <si>
    <t>ITAC025</t>
  </si>
  <si>
    <t>ITAC026</t>
  </si>
  <si>
    <t>SC Fiamme Azzurre</t>
  </si>
  <si>
    <t>ITAC027</t>
  </si>
  <si>
    <t>ITAC028</t>
  </si>
  <si>
    <t>ITAC029</t>
  </si>
  <si>
    <t>ITAC030</t>
  </si>
  <si>
    <t>ITAC033</t>
  </si>
  <si>
    <t>ITAC034</t>
  </si>
  <si>
    <t>Leonessa 2004 Brescia</t>
  </si>
  <si>
    <t>ITAC035</t>
  </si>
  <si>
    <t>Vibo CT</t>
  </si>
  <si>
    <t>ITAC036</t>
  </si>
  <si>
    <t>ITAC037</t>
  </si>
  <si>
    <t>F.Lli Bari Reggio Emilia</t>
  </si>
  <si>
    <t>Master Sanremo</t>
  </si>
  <si>
    <t>ITAC041</t>
  </si>
  <si>
    <t>SC Catania 1987</t>
  </si>
  <si>
    <t>ITAC042</t>
  </si>
  <si>
    <t>Stabiae</t>
  </si>
  <si>
    <t>ITAC043</t>
  </si>
  <si>
    <t>ITAC045</t>
  </si>
  <si>
    <t>Subbuteisti Modena 1982</t>
  </si>
  <si>
    <t>ITAC046</t>
  </si>
  <si>
    <t>ITAC050</t>
  </si>
  <si>
    <t>ASD SC Salernitana</t>
  </si>
  <si>
    <t>sal</t>
  </si>
  <si>
    <t>ITAC051</t>
  </si>
  <si>
    <t>ITAC052</t>
  </si>
  <si>
    <t>ITAC054</t>
  </si>
  <si>
    <t>SC Biella 91</t>
  </si>
  <si>
    <t>Messina Table Soccer</t>
  </si>
  <si>
    <t>ITAC060</t>
  </si>
  <si>
    <t>AS Cosenza</t>
  </si>
  <si>
    <t>ITAC066</t>
  </si>
  <si>
    <t>TSC Black Rose 98 Roma</t>
  </si>
  <si>
    <t>bla</t>
  </si>
  <si>
    <t>ITAC068</t>
  </si>
  <si>
    <t>Trento Subbuteo</t>
  </si>
  <si>
    <t>tre</t>
  </si>
  <si>
    <t>ITAC074</t>
  </si>
  <si>
    <t>Subbuteo Club Labronico</t>
  </si>
  <si>
    <t>liv</t>
  </si>
  <si>
    <t>ITAC077</t>
  </si>
  <si>
    <t>US Catanzaro Subbuteo</t>
  </si>
  <si>
    <t>caz</t>
  </si>
  <si>
    <t>ITAC078</t>
  </si>
  <si>
    <t>SC Bari</t>
  </si>
  <si>
    <t>bar</t>
  </si>
  <si>
    <t>ITAC080</t>
  </si>
  <si>
    <t>SC Samb</t>
  </si>
  <si>
    <t>sam</t>
  </si>
  <si>
    <t>ITAC081</t>
  </si>
  <si>
    <t>Asd Ct Aosta Warriors</t>
  </si>
  <si>
    <t>aos</t>
  </si>
  <si>
    <t>ITAC082</t>
  </si>
  <si>
    <t>Subbuteo Vomero</t>
  </si>
  <si>
    <t>vom</t>
  </si>
  <si>
    <t>ITAC083</t>
  </si>
  <si>
    <t>SC Sombrero</t>
  </si>
  <si>
    <t>ITAC087</t>
  </si>
  <si>
    <t>Subbuteo Taranto</t>
  </si>
  <si>
    <t>sbt</t>
  </si>
  <si>
    <t>ITAC094</t>
  </si>
  <si>
    <t>ASM Nola 74</t>
  </si>
  <si>
    <t>SC Palermo 2016</t>
  </si>
  <si>
    <t>plo</t>
  </si>
  <si>
    <t>ITAC106</t>
  </si>
  <si>
    <t>bmo</t>
  </si>
  <si>
    <t>SPQR MMIX Roma</t>
  </si>
  <si>
    <t>fiu</t>
  </si>
  <si>
    <t>ITAC108</t>
  </si>
  <si>
    <t>ccm</t>
  </si>
  <si>
    <t>Atletico Pisa</t>
  </si>
  <si>
    <t>atp</t>
  </si>
  <si>
    <t>ITAC110</t>
  </si>
  <si>
    <t>SC Castelfiorentino</t>
  </si>
  <si>
    <t>cfi</t>
  </si>
  <si>
    <t>ITAC111</t>
  </si>
  <si>
    <t>CT Paola</t>
  </si>
  <si>
    <t>pao</t>
  </si>
  <si>
    <t>ITAC112</t>
  </si>
  <si>
    <t>ITAC113</t>
  </si>
  <si>
    <t>Subbuteo Verona 2016</t>
  </si>
  <si>
    <t>veo</t>
  </si>
  <si>
    <t>ITAC114</t>
  </si>
  <si>
    <t>CS Solvay Vada</t>
  </si>
  <si>
    <t>vad</t>
  </si>
  <si>
    <t>ITAC115</t>
  </si>
  <si>
    <t>US Valponte 1986</t>
  </si>
  <si>
    <t>for</t>
  </si>
  <si>
    <t>ITAC125</t>
  </si>
  <si>
    <t>Maremma Subbuteo</t>
  </si>
  <si>
    <t>mam</t>
  </si>
  <si>
    <t>ITAC127</t>
  </si>
  <si>
    <t>SC Pantere Lucca</t>
  </si>
  <si>
    <t>plu</t>
  </si>
  <si>
    <t>ITAC128</t>
  </si>
  <si>
    <t>SC Ligures</t>
  </si>
  <si>
    <t>mge</t>
  </si>
  <si>
    <t>ITAC129</t>
  </si>
  <si>
    <t>Team Campania</t>
  </si>
  <si>
    <t>bnv</t>
  </si>
  <si>
    <t>ITAC130</t>
  </si>
  <si>
    <t>acp</t>
  </si>
  <si>
    <t>ASD Triestina Subbuteo</t>
  </si>
  <si>
    <t>tst</t>
  </si>
  <si>
    <t>ITAC133</t>
  </si>
  <si>
    <t>Ves Gentes</t>
  </si>
  <si>
    <t>veg</t>
  </si>
  <si>
    <t>ITAC134</t>
  </si>
  <si>
    <t>ASD VT CTS Fidenza</t>
  </si>
  <si>
    <t>vtf</t>
  </si>
  <si>
    <t>ITAC136</t>
  </si>
  <si>
    <t>SC Ravenna</t>
  </si>
  <si>
    <t>rav</t>
  </si>
  <si>
    <t>ITAC137</t>
  </si>
  <si>
    <t>Rebels Genova</t>
  </si>
  <si>
    <t>reb</t>
  </si>
  <si>
    <t>ITAC145</t>
  </si>
  <si>
    <t>ITAC146</t>
  </si>
  <si>
    <t>Old Lions Macerata</t>
  </si>
  <si>
    <t>ITAC147</t>
  </si>
  <si>
    <t>Subbuteo Grosseto 2018</t>
  </si>
  <si>
    <t>gro</t>
  </si>
  <si>
    <t>ITAC148</t>
  </si>
  <si>
    <t>SC Cagliari</t>
  </si>
  <si>
    <t>ITAC149</t>
  </si>
  <si>
    <t>Azzurra 99 Napoli</t>
  </si>
  <si>
    <t>azn</t>
  </si>
  <si>
    <t>ITAC158</t>
  </si>
  <si>
    <t>ASD Volterrana 2016</t>
  </si>
  <si>
    <t>ITAC159</t>
  </si>
  <si>
    <t>vit</t>
  </si>
  <si>
    <t>SC Savona</t>
  </si>
  <si>
    <t>Subbuteo L'aquila Club</t>
  </si>
  <si>
    <t>aql</t>
  </si>
  <si>
    <t>ITAC168</t>
  </si>
  <si>
    <t>alb</t>
  </si>
  <si>
    <t>Pinco Devils Table Soccer</t>
  </si>
  <si>
    <t>pin</t>
  </si>
  <si>
    <t>ITAC170</t>
  </si>
  <si>
    <t>Viterbese Subbuteo</t>
  </si>
  <si>
    <t>ITAC171</t>
  </si>
  <si>
    <t>Subbuteoland</t>
  </si>
  <si>
    <t>ITAC172</t>
  </si>
  <si>
    <t>Subbuteo Club La Signoria</t>
  </si>
  <si>
    <t>scs</t>
  </si>
  <si>
    <t>ITAC173</t>
  </si>
  <si>
    <t>Asd Alba Subbuteo Roma</t>
  </si>
  <si>
    <t>ITAC175</t>
  </si>
  <si>
    <t>Palermo Subbuteo</t>
  </si>
  <si>
    <t>pas</t>
  </si>
  <si>
    <t>ITAC177</t>
  </si>
  <si>
    <t>Yokohama OSC</t>
  </si>
  <si>
    <t>yok</t>
  </si>
  <si>
    <t>JPNC001</t>
  </si>
  <si>
    <t>OS Academy 1947</t>
  </si>
  <si>
    <t>aca</t>
  </si>
  <si>
    <t>JPNC011</t>
  </si>
  <si>
    <t>Valletta SC</t>
  </si>
  <si>
    <t>MLTC001</t>
  </si>
  <si>
    <t>MTFSA</t>
  </si>
  <si>
    <t>H'Attard SC</t>
  </si>
  <si>
    <t>MLTC002</t>
  </si>
  <si>
    <t>Bormla SC</t>
  </si>
  <si>
    <t>MLTC003</t>
  </si>
  <si>
    <t>Valletta Lions TFC</t>
  </si>
  <si>
    <t>val</t>
  </si>
  <si>
    <t>MLTC004</t>
  </si>
  <si>
    <t>Derry City</t>
  </si>
  <si>
    <t>der</t>
  </si>
  <si>
    <t>NIRC003</t>
  </si>
  <si>
    <t>NITFA</t>
  </si>
  <si>
    <t>CF Sassoeiros</t>
  </si>
  <si>
    <t>PORC001</t>
  </si>
  <si>
    <t>APS</t>
  </si>
  <si>
    <t>GRD 1º Maio Tires</t>
  </si>
  <si>
    <t>tir</t>
  </si>
  <si>
    <t>PORC008</t>
  </si>
  <si>
    <t>PORC012</t>
  </si>
  <si>
    <t>GD Bairro Novo</t>
  </si>
  <si>
    <t>dbn</t>
  </si>
  <si>
    <t>PORC014</t>
  </si>
  <si>
    <t>CS Zarco</t>
  </si>
  <si>
    <t>zar</t>
  </si>
  <si>
    <t>PORC015</t>
  </si>
  <si>
    <t>Sporting Clube De Portugal</t>
  </si>
  <si>
    <t>sac</t>
  </si>
  <si>
    <t>PORC016</t>
  </si>
  <si>
    <t>Irish Premier League</t>
  </si>
  <si>
    <t>TFAI</t>
  </si>
  <si>
    <t>SUIC003</t>
  </si>
  <si>
    <t>SSTV</t>
  </si>
  <si>
    <t>Linth Sliders SC</t>
  </si>
  <si>
    <t>lis</t>
  </si>
  <si>
    <t>SUIC006</t>
  </si>
  <si>
    <t>Subbuteo.ch</t>
  </si>
  <si>
    <t>SUIC007</t>
  </si>
  <si>
    <t>Hot Club d'Ecosse</t>
  </si>
  <si>
    <t>hot</t>
  </si>
  <si>
    <t>SCOC001</t>
  </si>
  <si>
    <t>Glasgow TSA</t>
  </si>
  <si>
    <t>SCOC002</t>
  </si>
  <si>
    <t>Dundee United TFC</t>
  </si>
  <si>
    <t>dun</t>
  </si>
  <si>
    <t>SCOC003</t>
  </si>
  <si>
    <t>Golazzo SC</t>
  </si>
  <si>
    <t>glz</t>
  </si>
  <si>
    <t>SCOC005</t>
  </si>
  <si>
    <t>USAC003</t>
  </si>
  <si>
    <t>ASA</t>
  </si>
  <si>
    <t>Tampa Bay TSC</t>
  </si>
  <si>
    <t>USAC005</t>
  </si>
  <si>
    <t>Boise USL 95</t>
  </si>
  <si>
    <t>USAC006</t>
  </si>
  <si>
    <t>USAC007</t>
  </si>
  <si>
    <t>Chattanooga SL</t>
  </si>
  <si>
    <t>USAC011</t>
  </si>
  <si>
    <t>Lone Star SL</t>
  </si>
  <si>
    <t>USAC012</t>
  </si>
  <si>
    <t>USAC013</t>
  </si>
  <si>
    <t>SC Panionios</t>
  </si>
  <si>
    <t>chg</t>
  </si>
  <si>
    <t>USAC019</t>
  </si>
  <si>
    <t>Grand Rapids TSC</t>
  </si>
  <si>
    <t>mic</t>
  </si>
  <si>
    <t>USAC028</t>
  </si>
  <si>
    <t>Colorado SC</t>
  </si>
  <si>
    <t>cdo</t>
  </si>
  <si>
    <t>USAC048</t>
  </si>
  <si>
    <t>Carolina TSC</t>
  </si>
  <si>
    <t>cao</t>
  </si>
  <si>
    <t>USAC049</t>
  </si>
  <si>
    <t>Northern California SC</t>
  </si>
  <si>
    <t>noc</t>
  </si>
  <si>
    <t>USAC050</t>
  </si>
  <si>
    <t>Florida Sharks TSC</t>
  </si>
  <si>
    <t>flo</t>
  </si>
  <si>
    <t>USAC051</t>
  </si>
  <si>
    <t>Kansas City SC</t>
  </si>
  <si>
    <t>kan</t>
  </si>
  <si>
    <t>USAC054</t>
  </si>
  <si>
    <t>Seattle SC</t>
  </si>
  <si>
    <t>sea</t>
  </si>
  <si>
    <t>USAC058</t>
  </si>
  <si>
    <t>California TSC</t>
  </si>
  <si>
    <t>cal</t>
  </si>
  <si>
    <t>USAC060</t>
  </si>
  <si>
    <t>CC Condors TSC</t>
  </si>
  <si>
    <t>tcs</t>
  </si>
  <si>
    <t>USAC061</t>
  </si>
  <si>
    <t>Mt. Hebron TSC</t>
  </si>
  <si>
    <t>USAC062</t>
  </si>
  <si>
    <t>Outer Banks SC</t>
  </si>
  <si>
    <t>USAC063</t>
  </si>
  <si>
    <t>Family Name</t>
  </si>
  <si>
    <t>Given Name</t>
  </si>
  <si>
    <t>Category</t>
  </si>
  <si>
    <t>Bakshi</t>
  </si>
  <si>
    <t>Hussein</t>
  </si>
  <si>
    <t>OPEN</t>
  </si>
  <si>
    <t>Free Agent</t>
  </si>
  <si>
    <t>AFG</t>
  </si>
  <si>
    <t>Bertolini</t>
  </si>
  <si>
    <t>Fabrizio</t>
  </si>
  <si>
    <t>ARG0002</t>
  </si>
  <si>
    <t>VET</t>
  </si>
  <si>
    <t>AS Rosario 2008</t>
  </si>
  <si>
    <t>Di Giannantonio</t>
  </si>
  <si>
    <t>Gioacchino</t>
  </si>
  <si>
    <t>ARG0009</t>
  </si>
  <si>
    <t>Gustavo</t>
  </si>
  <si>
    <t>ARG0010</t>
  </si>
  <si>
    <t>Nino</t>
  </si>
  <si>
    <t>ARG0011</t>
  </si>
  <si>
    <t>Di Paolo Sr.</t>
  </si>
  <si>
    <t>Bruno</t>
  </si>
  <si>
    <t>ARG0012</t>
  </si>
  <si>
    <t>Ferrara</t>
  </si>
  <si>
    <t>Paolo</t>
  </si>
  <si>
    <t>ARG0013</t>
  </si>
  <si>
    <t>Gómez</t>
  </si>
  <si>
    <t>Gonzalo</t>
  </si>
  <si>
    <t>ARG0014</t>
  </si>
  <si>
    <t>Juanto</t>
  </si>
  <si>
    <t>Leonardo Mario</t>
  </si>
  <si>
    <t>ARG0017</t>
  </si>
  <si>
    <t>Lambertucci</t>
  </si>
  <si>
    <t>Toribio</t>
  </si>
  <si>
    <t>ARG0018</t>
  </si>
  <si>
    <t>Lioy</t>
  </si>
  <si>
    <t>Matías</t>
  </si>
  <si>
    <t>ARG0019</t>
  </si>
  <si>
    <t>Nicolás</t>
  </si>
  <si>
    <t>ARG0020</t>
  </si>
  <si>
    <t>Murcilli</t>
  </si>
  <si>
    <t>Claudio</t>
  </si>
  <si>
    <t>ARG0026</t>
  </si>
  <si>
    <t>Renato</t>
  </si>
  <si>
    <t>ARG0027</t>
  </si>
  <si>
    <t>U20</t>
  </si>
  <si>
    <t>Roberti</t>
  </si>
  <si>
    <t>Ricardo</t>
  </si>
  <si>
    <t>ARG0030</t>
  </si>
  <si>
    <t>Shoenfeld</t>
  </si>
  <si>
    <t>Edgar</t>
  </si>
  <si>
    <t>ARG0032</t>
  </si>
  <si>
    <t>Tortelli</t>
  </si>
  <si>
    <t>Fernando</t>
  </si>
  <si>
    <t>ARG0035</t>
  </si>
  <si>
    <t>Vera</t>
  </si>
  <si>
    <t>Leonardo</t>
  </si>
  <si>
    <t>ARG0037</t>
  </si>
  <si>
    <t>Caro Solis</t>
  </si>
  <si>
    <t>Gregorio</t>
  </si>
  <si>
    <t>ARG0042</t>
  </si>
  <si>
    <t>Bellingeri</t>
  </si>
  <si>
    <t>Flavio</t>
  </si>
  <si>
    <t>ARG0043</t>
  </si>
  <si>
    <t>Wander</t>
  </si>
  <si>
    <t>Christopher</t>
  </si>
  <si>
    <t>ARG0044</t>
  </si>
  <si>
    <t>Pacello</t>
  </si>
  <si>
    <t>Germán</t>
  </si>
  <si>
    <t>ARG0045</t>
  </si>
  <si>
    <t>Echevarrieta</t>
  </si>
  <si>
    <t>Patricio</t>
  </si>
  <si>
    <t>ARG0046</t>
  </si>
  <si>
    <t>Soneira</t>
  </si>
  <si>
    <t>ARG0049</t>
  </si>
  <si>
    <t>Cuello</t>
  </si>
  <si>
    <t>Claudia</t>
  </si>
  <si>
    <t>ARG0051</t>
  </si>
  <si>
    <t>Pelle</t>
  </si>
  <si>
    <t>Sergio Gustavo</t>
  </si>
  <si>
    <t>ARG0054</t>
  </si>
  <si>
    <t>Marplatense AFM</t>
  </si>
  <si>
    <t>Galassi</t>
  </si>
  <si>
    <t>Juan Carlos</t>
  </si>
  <si>
    <t>ARG0055</t>
  </si>
  <si>
    <t>ARG0056</t>
  </si>
  <si>
    <t>Sordo</t>
  </si>
  <si>
    <t>Juan Manuel</t>
  </si>
  <si>
    <t>ARG0058</t>
  </si>
  <si>
    <t>Mauro</t>
  </si>
  <si>
    <t>ARG0059</t>
  </si>
  <si>
    <t>Pesci</t>
  </si>
  <si>
    <t>Sebastián</t>
  </si>
  <si>
    <t>ARG0060</t>
  </si>
  <si>
    <t>Ortega</t>
  </si>
  <si>
    <t>Agustin</t>
  </si>
  <si>
    <t>ARG0061</t>
  </si>
  <si>
    <t>ARG0062</t>
  </si>
  <si>
    <t>Testoni</t>
  </si>
  <si>
    <t>Tomas</t>
  </si>
  <si>
    <t>ARG0063</t>
  </si>
  <si>
    <t>Paciaroni</t>
  </si>
  <si>
    <t>Alvaro</t>
  </si>
  <si>
    <t>ARG0064</t>
  </si>
  <si>
    <t>Buldorini</t>
  </si>
  <si>
    <t>ARG0065</t>
  </si>
  <si>
    <t>Zega</t>
  </si>
  <si>
    <t>Martín</t>
  </si>
  <si>
    <t>ARG0066</t>
  </si>
  <si>
    <t>Santiago</t>
  </si>
  <si>
    <t>ARG0067</t>
  </si>
  <si>
    <t>Tomás</t>
  </si>
  <si>
    <t>ARG0068</t>
  </si>
  <si>
    <t>Bozzano</t>
  </si>
  <si>
    <t>Davide</t>
  </si>
  <si>
    <t>ARG0069</t>
  </si>
  <si>
    <t>Martínez</t>
  </si>
  <si>
    <t>Norberto</t>
  </si>
  <si>
    <t>ARG0070</t>
  </si>
  <si>
    <t>AFM San Justo</t>
  </si>
  <si>
    <t>Norberto Oscar</t>
  </si>
  <si>
    <t>ARG0071</t>
  </si>
  <si>
    <t>Carlos Alberto</t>
  </si>
  <si>
    <t>ARG0072</t>
  </si>
  <si>
    <t>Gramajo</t>
  </si>
  <si>
    <t>Guillermo Joel</t>
  </si>
  <si>
    <t>ARG0073</t>
  </si>
  <si>
    <t>Vergara</t>
  </si>
  <si>
    <t>Maximiliano Gabriel</t>
  </si>
  <si>
    <t>ARG0074</t>
  </si>
  <si>
    <t>Di Luozzo</t>
  </si>
  <si>
    <t>Mariano</t>
  </si>
  <si>
    <t>ARG0075</t>
  </si>
  <si>
    <t>CFM Hudson</t>
  </si>
  <si>
    <t>Fantino</t>
  </si>
  <si>
    <t>ARG0076</t>
  </si>
  <si>
    <t>Joaquín</t>
  </si>
  <si>
    <t>ARG0077</t>
  </si>
  <si>
    <t>U16</t>
  </si>
  <si>
    <t>Gallimò</t>
  </si>
  <si>
    <t>ARG0078</t>
  </si>
  <si>
    <t>Rossi</t>
  </si>
  <si>
    <t>Marcelo</t>
  </si>
  <si>
    <t>ARG0079</t>
  </si>
  <si>
    <t>Garcia Ciraudo</t>
  </si>
  <si>
    <t>Juan Sebastián</t>
  </si>
  <si>
    <t>ARG0080</t>
  </si>
  <si>
    <t>Augusto</t>
  </si>
  <si>
    <t>ARG0081</t>
  </si>
  <si>
    <t>Forlani</t>
  </si>
  <si>
    <t>Valeria</t>
  </si>
  <si>
    <t>ARG0082</t>
  </si>
  <si>
    <t>García Ciraudo</t>
  </si>
  <si>
    <t>Valentino</t>
  </si>
  <si>
    <t>ARG0083</t>
  </si>
  <si>
    <t>Frida</t>
  </si>
  <si>
    <t>ARG0084</t>
  </si>
  <si>
    <t>González</t>
  </si>
  <si>
    <t>Brian</t>
  </si>
  <si>
    <t>ARG0085</t>
  </si>
  <si>
    <t>Gabriel</t>
  </si>
  <si>
    <t>ARG0086</t>
  </si>
  <si>
    <t>Facundo</t>
  </si>
  <si>
    <t>ARG0087</t>
  </si>
  <si>
    <t>Juan Ramòn</t>
  </si>
  <si>
    <t>ARG0088</t>
  </si>
  <si>
    <t>Senone</t>
  </si>
  <si>
    <t>Hugo</t>
  </si>
  <si>
    <t>ARG0089</t>
  </si>
  <si>
    <t>Torres</t>
  </si>
  <si>
    <t>ARG0090</t>
  </si>
  <si>
    <t>Gerald</t>
  </si>
  <si>
    <t>Green</t>
  </si>
  <si>
    <t>Robert</t>
  </si>
  <si>
    <t>AUS0002</t>
  </si>
  <si>
    <t>Thomas</t>
  </si>
  <si>
    <t>Peter</t>
  </si>
  <si>
    <t>AUS0003</t>
  </si>
  <si>
    <t>Batten</t>
  </si>
  <si>
    <t>Benji</t>
  </si>
  <si>
    <t>AUS0004</t>
  </si>
  <si>
    <t>Dettre</t>
  </si>
  <si>
    <t>Stephen</t>
  </si>
  <si>
    <t>AUS0005</t>
  </si>
  <si>
    <t>Elmer</t>
  </si>
  <si>
    <t>Adrian</t>
  </si>
  <si>
    <t>AUS0006</t>
  </si>
  <si>
    <t>Kennedy</t>
  </si>
  <si>
    <t>Eliot</t>
  </si>
  <si>
    <t>AUS0007</t>
  </si>
  <si>
    <t>Lombardi</t>
  </si>
  <si>
    <t>Raffaele</t>
  </si>
  <si>
    <t>Young</t>
  </si>
  <si>
    <t>Radziminski</t>
  </si>
  <si>
    <t>Luke</t>
  </si>
  <si>
    <t>AUS0011</t>
  </si>
  <si>
    <t>Ng</t>
  </si>
  <si>
    <t>Benjamin</t>
  </si>
  <si>
    <t>Tardiota</t>
  </si>
  <si>
    <t>Giuseppe</t>
  </si>
  <si>
    <t>AUS0016</t>
  </si>
  <si>
    <t>Daniele</t>
  </si>
  <si>
    <t>AUS0018</t>
  </si>
  <si>
    <t>Louis</t>
  </si>
  <si>
    <t>AUS0019</t>
  </si>
  <si>
    <t>James</t>
  </si>
  <si>
    <t>AUS0020</t>
  </si>
  <si>
    <t>Imojjen</t>
  </si>
  <si>
    <t>AUS0023</t>
  </si>
  <si>
    <t>Steve</t>
  </si>
  <si>
    <t>Ball</t>
  </si>
  <si>
    <t>Jonny</t>
  </si>
  <si>
    <t>AUS0028</t>
  </si>
  <si>
    <t>Mercer</t>
  </si>
  <si>
    <t>Paul</t>
  </si>
  <si>
    <t>AUS0030</t>
  </si>
  <si>
    <t>Magee</t>
  </si>
  <si>
    <t>AUS0039</t>
  </si>
  <si>
    <t>Christos</t>
  </si>
  <si>
    <t>Adam</t>
  </si>
  <si>
    <t>Simon</t>
  </si>
  <si>
    <t>SC Berlin</t>
  </si>
  <si>
    <t>Brener</t>
  </si>
  <si>
    <t>Neil</t>
  </si>
  <si>
    <t>Jonty</t>
  </si>
  <si>
    <t>AUS0054</t>
  </si>
  <si>
    <t>Coco</t>
  </si>
  <si>
    <t>AUS0055</t>
  </si>
  <si>
    <t>Grenot</t>
  </si>
  <si>
    <t>Dom</t>
  </si>
  <si>
    <t>AUS0056</t>
  </si>
  <si>
    <t>Sirmai</t>
  </si>
  <si>
    <t>Geoff</t>
  </si>
  <si>
    <t>AUS0057</t>
  </si>
  <si>
    <t>Jeremy</t>
  </si>
  <si>
    <t>Credentino</t>
  </si>
  <si>
    <t>Antonio</t>
  </si>
  <si>
    <t>AUS0059</t>
  </si>
  <si>
    <t>Daniel</t>
  </si>
  <si>
    <t>Gary</t>
  </si>
  <si>
    <t>Whalley</t>
  </si>
  <si>
    <t>Gareth</t>
  </si>
  <si>
    <t>AUS0067</t>
  </si>
  <si>
    <t>Alan</t>
  </si>
  <si>
    <t>Eveleigh</t>
  </si>
  <si>
    <t>Beth</t>
  </si>
  <si>
    <t>AUS0074</t>
  </si>
  <si>
    <t>Chris</t>
  </si>
  <si>
    <t>Costa</t>
  </si>
  <si>
    <t>John</t>
  </si>
  <si>
    <t>Ryan</t>
  </si>
  <si>
    <t>Palamara</t>
  </si>
  <si>
    <t>Best</t>
  </si>
  <si>
    <t>Hugh</t>
  </si>
  <si>
    <t>AUS0122</t>
  </si>
  <si>
    <t>Connolly</t>
  </si>
  <si>
    <t>AUS0123</t>
  </si>
  <si>
    <t>Grant</t>
  </si>
  <si>
    <t>Kevin</t>
  </si>
  <si>
    <t>AUS0124</t>
  </si>
  <si>
    <t>Koutzas</t>
  </si>
  <si>
    <t>Terry</t>
  </si>
  <si>
    <t>Billy</t>
  </si>
  <si>
    <t>AUS0138</t>
  </si>
  <si>
    <t>Brill</t>
  </si>
  <si>
    <t>Nick</t>
  </si>
  <si>
    <t>AUS0139</t>
  </si>
  <si>
    <t>Barbaris</t>
  </si>
  <si>
    <t>Kostas</t>
  </si>
  <si>
    <t>AUS0140</t>
  </si>
  <si>
    <t>Wilson</t>
  </si>
  <si>
    <t>Richard</t>
  </si>
  <si>
    <t>AUS0141</t>
  </si>
  <si>
    <t>Oliver</t>
  </si>
  <si>
    <t>Wright</t>
  </si>
  <si>
    <t>Charlotte</t>
  </si>
  <si>
    <t>Tim</t>
  </si>
  <si>
    <t>Arjuna</t>
  </si>
  <si>
    <t>Grunbach</t>
  </si>
  <si>
    <t>AUS0156</t>
  </si>
  <si>
    <t>Werner</t>
  </si>
  <si>
    <t>Greg</t>
  </si>
  <si>
    <t>AUS0158</t>
  </si>
  <si>
    <t>Jayden</t>
  </si>
  <si>
    <t>Urbaniak</t>
  </si>
  <si>
    <t>Nathan</t>
  </si>
  <si>
    <t>AUS0170</t>
  </si>
  <si>
    <t>Dimitris</t>
  </si>
  <si>
    <t>AUS0172</t>
  </si>
  <si>
    <t>Liam</t>
  </si>
  <si>
    <t>Sean</t>
  </si>
  <si>
    <t>Hagen</t>
  </si>
  <si>
    <t>U12</t>
  </si>
  <si>
    <t>Victoria</t>
  </si>
  <si>
    <t>Martin</t>
  </si>
  <si>
    <t>Vincenzo</t>
  </si>
  <si>
    <t>Rosa</t>
  </si>
  <si>
    <t>AUS0187</t>
  </si>
  <si>
    <t>Noel</t>
  </si>
  <si>
    <t>Stefanos</t>
  </si>
  <si>
    <t>Josh</t>
  </si>
  <si>
    <t>Cozzarin</t>
  </si>
  <si>
    <t>Francis</t>
  </si>
  <si>
    <t>AUS0194</t>
  </si>
  <si>
    <t>Katelyn</t>
  </si>
  <si>
    <t>AUS0195</t>
  </si>
  <si>
    <t>Halliday</t>
  </si>
  <si>
    <t>AUS0198</t>
  </si>
  <si>
    <t>Jason</t>
  </si>
  <si>
    <t>Frank</t>
  </si>
  <si>
    <t>Exler</t>
  </si>
  <si>
    <t>Günter</t>
  </si>
  <si>
    <t>AUT0002</t>
  </si>
  <si>
    <t>AUT0003</t>
  </si>
  <si>
    <t>Rene</t>
  </si>
  <si>
    <t>Korzil</t>
  </si>
  <si>
    <t>Leitner</t>
  </si>
  <si>
    <t>Wolfgang</t>
  </si>
  <si>
    <t>AUT0010</t>
  </si>
  <si>
    <t>Mark</t>
  </si>
  <si>
    <t>Lenz</t>
  </si>
  <si>
    <t>AUT0012</t>
  </si>
  <si>
    <t>Mandl</t>
  </si>
  <si>
    <t>Gerhard</t>
  </si>
  <si>
    <t>AUT0013</t>
  </si>
  <si>
    <t>Matzinger</t>
  </si>
  <si>
    <t>Markus</t>
  </si>
  <si>
    <t>AUT0015</t>
  </si>
  <si>
    <t>Ecker</t>
  </si>
  <si>
    <t>AUT0020</t>
  </si>
  <si>
    <t>Eder</t>
  </si>
  <si>
    <t>Heinz</t>
  </si>
  <si>
    <t>AUT0021</t>
  </si>
  <si>
    <t>Gerbasits</t>
  </si>
  <si>
    <t>Christoph</t>
  </si>
  <si>
    <t>AUT0022</t>
  </si>
  <si>
    <t>Haas</t>
  </si>
  <si>
    <t>Alexander</t>
  </si>
  <si>
    <t>AUT0024</t>
  </si>
  <si>
    <t>Christian</t>
  </si>
  <si>
    <t>AUT0025</t>
  </si>
  <si>
    <t>Hasieber</t>
  </si>
  <si>
    <t>Michael</t>
  </si>
  <si>
    <t>AUT0026</t>
  </si>
  <si>
    <t>Sandner</t>
  </si>
  <si>
    <t>Stefan</t>
  </si>
  <si>
    <t>AUT0033</t>
  </si>
  <si>
    <t>Schöberl</t>
  </si>
  <si>
    <t>Reinhard</t>
  </si>
  <si>
    <t>AUT0035</t>
  </si>
  <si>
    <t>Schuhmann</t>
  </si>
  <si>
    <t>Manfred</t>
  </si>
  <si>
    <t>AUT0036</t>
  </si>
  <si>
    <t>Tünger</t>
  </si>
  <si>
    <t>Murat</t>
  </si>
  <si>
    <t>AUT0040</t>
  </si>
  <si>
    <t>Wittmann</t>
  </si>
  <si>
    <t>AUT0041</t>
  </si>
  <si>
    <t>Zeilinger</t>
  </si>
  <si>
    <t>AUT0043</t>
  </si>
  <si>
    <t>AUT0044</t>
  </si>
  <si>
    <t>Bamberzky</t>
  </si>
  <si>
    <t>Günther</t>
  </si>
  <si>
    <t>AUT0045</t>
  </si>
  <si>
    <t>Bergholz</t>
  </si>
  <si>
    <t>AUT0046</t>
  </si>
  <si>
    <t>Blümel</t>
  </si>
  <si>
    <t>AUT0047</t>
  </si>
  <si>
    <t>Hinkelmann</t>
  </si>
  <si>
    <t>Erich</t>
  </si>
  <si>
    <t>AUT0051</t>
  </si>
  <si>
    <t>Karnthaler</t>
  </si>
  <si>
    <t>AUT0054</t>
  </si>
  <si>
    <t>Lizar</t>
  </si>
  <si>
    <t>Jürgen</t>
  </si>
  <si>
    <t>AUT0056</t>
  </si>
  <si>
    <t>Pawlica</t>
  </si>
  <si>
    <t>AUT0057</t>
  </si>
  <si>
    <t>Strommer</t>
  </si>
  <si>
    <t>Alfred</t>
  </si>
  <si>
    <t>AUT0059</t>
  </si>
  <si>
    <t>Marios</t>
  </si>
  <si>
    <t>AUT0066</t>
  </si>
  <si>
    <t>Busch</t>
  </si>
  <si>
    <t>David</t>
  </si>
  <si>
    <t>AUT0069</t>
  </si>
  <si>
    <t>AUT0070</t>
  </si>
  <si>
    <t>Thorsten</t>
  </si>
  <si>
    <t>AUT0072</t>
  </si>
  <si>
    <t>Vranovitz</t>
  </si>
  <si>
    <t>AUT0073</t>
  </si>
  <si>
    <t>Bettina</t>
  </si>
  <si>
    <t>AUT0074</t>
  </si>
  <si>
    <t>Karl</t>
  </si>
  <si>
    <t>AUT0084</t>
  </si>
  <si>
    <t>Walzer</t>
  </si>
  <si>
    <t>Elias</t>
  </si>
  <si>
    <t>AUT0094</t>
  </si>
  <si>
    <t>Manuela</t>
  </si>
  <si>
    <t>Ocenasek</t>
  </si>
  <si>
    <t>Katharina</t>
  </si>
  <si>
    <t>AUT0115</t>
  </si>
  <si>
    <t>Pinter</t>
  </si>
  <si>
    <t>Fabian</t>
  </si>
  <si>
    <t>AUT0120</t>
  </si>
  <si>
    <t>Waldorf-Busch</t>
  </si>
  <si>
    <t>AUT0121</t>
  </si>
  <si>
    <t>Ancion</t>
  </si>
  <si>
    <t>Jérémy</t>
  </si>
  <si>
    <t>BEL0075</t>
  </si>
  <si>
    <t>Beckers</t>
  </si>
  <si>
    <t>Kévin</t>
  </si>
  <si>
    <t>BEL0123</t>
  </si>
  <si>
    <t>Bertholet</t>
  </si>
  <si>
    <t>Elodie</t>
  </si>
  <si>
    <t>BEL0168</t>
  </si>
  <si>
    <t>Bouchez</t>
  </si>
  <si>
    <t>Corentin</t>
  </si>
  <si>
    <t>BEL0027</t>
  </si>
  <si>
    <t>Denis</t>
  </si>
  <si>
    <t>BEL0028</t>
  </si>
  <si>
    <t>Boulanger</t>
  </si>
  <si>
    <t>BEL0044</t>
  </si>
  <si>
    <t>Brach</t>
  </si>
  <si>
    <t>Christophe</t>
  </si>
  <si>
    <t>BEL0127</t>
  </si>
  <si>
    <t>Braham</t>
  </si>
  <si>
    <t>Tony</t>
  </si>
  <si>
    <t>BEL0173</t>
  </si>
  <si>
    <t>Casciano</t>
  </si>
  <si>
    <t>Michaël</t>
  </si>
  <si>
    <t>BEL0014</t>
  </si>
  <si>
    <t>Ceulemans</t>
  </si>
  <si>
    <t>Jos</t>
  </si>
  <si>
    <t>BEL0045</t>
  </si>
  <si>
    <t>De Leeuw</t>
  </si>
  <si>
    <t>Pierre</t>
  </si>
  <si>
    <t>BEL0015</t>
  </si>
  <si>
    <t>De Schuyteneer</t>
  </si>
  <si>
    <t>Kenny</t>
  </si>
  <si>
    <t>BEL0008</t>
  </si>
  <si>
    <t>De Smet</t>
  </si>
  <si>
    <t>Rudi</t>
  </si>
  <si>
    <t>BEL0047</t>
  </si>
  <si>
    <t>Dejardin</t>
  </si>
  <si>
    <t>Valéry</t>
  </si>
  <si>
    <t>BEL0079</t>
  </si>
  <si>
    <t>Gil</t>
  </si>
  <si>
    <t>Denooz</t>
  </si>
  <si>
    <t>Damien</t>
  </si>
  <si>
    <t>BEL0020</t>
  </si>
  <si>
    <t>BEL0130</t>
  </si>
  <si>
    <t>Despretz</t>
  </si>
  <si>
    <t>Steffen</t>
  </si>
  <si>
    <t>BEL0063</t>
  </si>
  <si>
    <t>Dheur</t>
  </si>
  <si>
    <t>BEL0132</t>
  </si>
  <si>
    <t>Geoffrey</t>
  </si>
  <si>
    <t>Di Ruggiero</t>
  </si>
  <si>
    <t>Vito</t>
  </si>
  <si>
    <t>BEL0017</t>
  </si>
  <si>
    <t>Dieudonne</t>
  </si>
  <si>
    <t>Delphine</t>
  </si>
  <si>
    <t>BEL0064</t>
  </si>
  <si>
    <t>Dizier</t>
  </si>
  <si>
    <t>BEL0082</t>
  </si>
  <si>
    <t>Dubois</t>
  </si>
  <si>
    <t>Olivier</t>
  </si>
  <si>
    <t>BEL0162</t>
  </si>
  <si>
    <t>Fraikin</t>
  </si>
  <si>
    <t>BEL0134</t>
  </si>
  <si>
    <t>Giaux</t>
  </si>
  <si>
    <t>Florian</t>
  </si>
  <si>
    <t>BEL0104</t>
  </si>
  <si>
    <t>Louison</t>
  </si>
  <si>
    <t>BEL0106</t>
  </si>
  <si>
    <t>Golger</t>
  </si>
  <si>
    <t>Bessim</t>
  </si>
  <si>
    <t>BEL0018</t>
  </si>
  <si>
    <t>Goor</t>
  </si>
  <si>
    <t>Laurent</t>
  </si>
  <si>
    <t>BEL0067</t>
  </si>
  <si>
    <t>Goset</t>
  </si>
  <si>
    <t>BEL0137</t>
  </si>
  <si>
    <t>Gregoire</t>
  </si>
  <si>
    <t>Ralf</t>
  </si>
  <si>
    <t>BEL0163</t>
  </si>
  <si>
    <t>Guyaux</t>
  </si>
  <si>
    <t>Vincent</t>
  </si>
  <si>
    <t>BEL0049</t>
  </si>
  <si>
    <t>Hanotiaux</t>
  </si>
  <si>
    <t>Alain</t>
  </si>
  <si>
    <t>BEL0019</t>
  </si>
  <si>
    <t>Henrioul</t>
  </si>
  <si>
    <t>Jody</t>
  </si>
  <si>
    <t>BEL0032</t>
  </si>
  <si>
    <t>Xavier</t>
  </si>
  <si>
    <t>Heyvaert</t>
  </si>
  <si>
    <t>Jérôme</t>
  </si>
  <si>
    <t>BEL0021</t>
  </si>
  <si>
    <t>Honet</t>
  </si>
  <si>
    <t>Rémy</t>
  </si>
  <si>
    <t>BEL0084</t>
  </si>
  <si>
    <t>Huynh</t>
  </si>
  <si>
    <t>BEL0108</t>
  </si>
  <si>
    <t>Lambert</t>
  </si>
  <si>
    <t>Stéphane</t>
  </si>
  <si>
    <t>BEL0050</t>
  </si>
  <si>
    <t>Lannoy</t>
  </si>
  <si>
    <t>BEL0051</t>
  </si>
  <si>
    <t>Joffray</t>
  </si>
  <si>
    <t>BEL0033</t>
  </si>
  <si>
    <t>Lelubre</t>
  </si>
  <si>
    <t>BEL0034</t>
  </si>
  <si>
    <t>Leroy</t>
  </si>
  <si>
    <t>Justin</t>
  </si>
  <si>
    <t>BEL0114</t>
  </si>
  <si>
    <t>Leys</t>
  </si>
  <si>
    <t>Geert</t>
  </si>
  <si>
    <t>BEL0052</t>
  </si>
  <si>
    <t>Maillard</t>
  </si>
  <si>
    <t>Raphaël</t>
  </si>
  <si>
    <t>BEL0086</t>
  </si>
  <si>
    <t>Philippe</t>
  </si>
  <si>
    <t>Marain</t>
  </si>
  <si>
    <t>BEL0171</t>
  </si>
  <si>
    <t>Massart</t>
  </si>
  <si>
    <t>Benoît</t>
  </si>
  <si>
    <t>BEL0164</t>
  </si>
  <si>
    <t>Muraille</t>
  </si>
  <si>
    <t>Maxime</t>
  </si>
  <si>
    <t>BEL0088</t>
  </si>
  <si>
    <t>Nullens</t>
  </si>
  <si>
    <t>Arnaud</t>
  </si>
  <si>
    <t>BEL0174</t>
  </si>
  <si>
    <t>Peltier</t>
  </si>
  <si>
    <t>Patrick</t>
  </si>
  <si>
    <t>BEL0069</t>
  </si>
  <si>
    <t>Pere</t>
  </si>
  <si>
    <t>Lucas</t>
  </si>
  <si>
    <t>BEL0197</t>
  </si>
  <si>
    <t>BEL0070</t>
  </si>
  <si>
    <t>Ponthieux</t>
  </si>
  <si>
    <t>Ludovic</t>
  </si>
  <si>
    <t>BEL0147</t>
  </si>
  <si>
    <t>Rairoux</t>
  </si>
  <si>
    <t>BEL0039</t>
  </si>
  <si>
    <t>Robillard</t>
  </si>
  <si>
    <t>BEL0090</t>
  </si>
  <si>
    <t>Roufosse</t>
  </si>
  <si>
    <t>BEL0176</t>
  </si>
  <si>
    <t>Scheen</t>
  </si>
  <si>
    <t>BEL0148</t>
  </si>
  <si>
    <t>Malo</t>
  </si>
  <si>
    <t>BEL0149</t>
  </si>
  <si>
    <t>Noé</t>
  </si>
  <si>
    <t>BEL0150</t>
  </si>
  <si>
    <t>Pascal</t>
  </si>
  <si>
    <t>BEL0151</t>
  </si>
  <si>
    <t>Sébastien</t>
  </si>
  <si>
    <t>BEL0152</t>
  </si>
  <si>
    <t>Serwy</t>
  </si>
  <si>
    <t>Pol</t>
  </si>
  <si>
    <t>BEL0166</t>
  </si>
  <si>
    <t>Somers</t>
  </si>
  <si>
    <t>Robin</t>
  </si>
  <si>
    <t>BEL0054</t>
  </si>
  <si>
    <t>Stevenot</t>
  </si>
  <si>
    <t>Didier</t>
  </si>
  <si>
    <t>BEL0092</t>
  </si>
  <si>
    <t>Targui</t>
  </si>
  <si>
    <t>Sami</t>
  </si>
  <si>
    <t>BEL0026</t>
  </si>
  <si>
    <t>Threis</t>
  </si>
  <si>
    <t>Eric</t>
  </si>
  <si>
    <t>BEL0157</t>
  </si>
  <si>
    <t>Romain</t>
  </si>
  <si>
    <t>BEL0158</t>
  </si>
  <si>
    <t>Torre</t>
  </si>
  <si>
    <t>Alexandre</t>
  </si>
  <si>
    <t>Tsangouris</t>
  </si>
  <si>
    <t>Van Den Houte</t>
  </si>
  <si>
    <t>BEL0120</t>
  </si>
  <si>
    <t>William</t>
  </si>
  <si>
    <t>BEL0122</t>
  </si>
  <si>
    <t>Van Glabeke</t>
  </si>
  <si>
    <t>BEL0194</t>
  </si>
  <si>
    <t>Quentin</t>
  </si>
  <si>
    <t>BEL0195</t>
  </si>
  <si>
    <t>Vantassel</t>
  </si>
  <si>
    <t>BEL0073</t>
  </si>
  <si>
    <t>Cédric</t>
  </si>
  <si>
    <t>Frédéric</t>
  </si>
  <si>
    <t>Vanwissen</t>
  </si>
  <si>
    <t>BEL0178</t>
  </si>
  <si>
    <t>Verhaeghe</t>
  </si>
  <si>
    <t>BEL0167</t>
  </si>
  <si>
    <t>Visconti</t>
  </si>
  <si>
    <t>Salvatore</t>
  </si>
  <si>
    <t>BEL0179</t>
  </si>
  <si>
    <t>Boltz</t>
  </si>
  <si>
    <t>BEL0217</t>
  </si>
  <si>
    <t>Léa</t>
  </si>
  <si>
    <t>BEL0236</t>
  </si>
  <si>
    <t>Genart</t>
  </si>
  <si>
    <t>Alex</t>
  </si>
  <si>
    <t>BEL0240</t>
  </si>
  <si>
    <t>Dirk</t>
  </si>
  <si>
    <t>Averlant</t>
  </si>
  <si>
    <t>Matthias</t>
  </si>
  <si>
    <t>BEL0242</t>
  </si>
  <si>
    <t>Segers</t>
  </si>
  <si>
    <t>Jann</t>
  </si>
  <si>
    <t>BEL0247</t>
  </si>
  <si>
    <t>Antoine</t>
  </si>
  <si>
    <t>Daelman</t>
  </si>
  <si>
    <t>Jean-Christophe</t>
  </si>
  <si>
    <t>BEL0256</t>
  </si>
  <si>
    <t>Lagneau</t>
  </si>
  <si>
    <t>Benoit</t>
  </si>
  <si>
    <t>BEL0262</t>
  </si>
  <si>
    <t>Darmont</t>
  </si>
  <si>
    <t>BEL0264</t>
  </si>
  <si>
    <t>Magermans</t>
  </si>
  <si>
    <t>Thierry</t>
  </si>
  <si>
    <t>BEL0265</t>
  </si>
  <si>
    <t>BEL0266</t>
  </si>
  <si>
    <t>Hallin</t>
  </si>
  <si>
    <t>BEL0270</t>
  </si>
  <si>
    <t>Jordan</t>
  </si>
  <si>
    <t>Basile</t>
  </si>
  <si>
    <t>Wauthy</t>
  </si>
  <si>
    <t>BEL0275</t>
  </si>
  <si>
    <t>François</t>
  </si>
  <si>
    <t>Tom</t>
  </si>
  <si>
    <t>BEL0285</t>
  </si>
  <si>
    <t>Grégoire</t>
  </si>
  <si>
    <t>Mathéo</t>
  </si>
  <si>
    <t>BEL0286</t>
  </si>
  <si>
    <t>Droeven</t>
  </si>
  <si>
    <t>BEL0290</t>
  </si>
  <si>
    <t>De Vos</t>
  </si>
  <si>
    <t>Marc</t>
  </si>
  <si>
    <t>BEL0291</t>
  </si>
  <si>
    <t>BEL0298</t>
  </si>
  <si>
    <t>André</t>
  </si>
  <si>
    <t>Cyganek</t>
  </si>
  <si>
    <t>BEL0300</t>
  </si>
  <si>
    <t>Peremans</t>
  </si>
  <si>
    <t>Yves</t>
  </si>
  <si>
    <t>BEL0311</t>
  </si>
  <si>
    <t>Timpano</t>
  </si>
  <si>
    <t>BEL0316</t>
  </si>
  <si>
    <t>Sabetta</t>
  </si>
  <si>
    <t>BEL0318</t>
  </si>
  <si>
    <t>BEL0319</t>
  </si>
  <si>
    <t>Denne</t>
  </si>
  <si>
    <t>Noah</t>
  </si>
  <si>
    <t>BEL0328</t>
  </si>
  <si>
    <t>Grosdent</t>
  </si>
  <si>
    <t>Jean</t>
  </si>
  <si>
    <t>BEL0332</t>
  </si>
  <si>
    <t>Henri</t>
  </si>
  <si>
    <t>BEL0333</t>
  </si>
  <si>
    <t>Roman</t>
  </si>
  <si>
    <t>Raison</t>
  </si>
  <si>
    <t>BEL0335</t>
  </si>
  <si>
    <t>Cyril</t>
  </si>
  <si>
    <t>Thiel</t>
  </si>
  <si>
    <t>BEL0337</t>
  </si>
  <si>
    <t>BEL0340</t>
  </si>
  <si>
    <t>Sandro</t>
  </si>
  <si>
    <t>Luc</t>
  </si>
  <si>
    <t>BEL0344</t>
  </si>
  <si>
    <t>Wouters</t>
  </si>
  <si>
    <t>BEL0345</t>
  </si>
  <si>
    <t>Dupret</t>
  </si>
  <si>
    <t>BEL0347</t>
  </si>
  <si>
    <t>Aurore</t>
  </si>
  <si>
    <t>BEL0349</t>
  </si>
  <si>
    <t>Van Impe</t>
  </si>
  <si>
    <t>BEL0353</t>
  </si>
  <si>
    <t>Mottet</t>
  </si>
  <si>
    <t>BEL0354</t>
  </si>
  <si>
    <t>Maxim</t>
  </si>
  <si>
    <t>BEL0355</t>
  </si>
  <si>
    <t>Thys</t>
  </si>
  <si>
    <t>BEL0356</t>
  </si>
  <si>
    <t>Bonfanti</t>
  </si>
  <si>
    <t>Giulio</t>
  </si>
  <si>
    <t>BEL0358</t>
  </si>
  <si>
    <t>Hubert</t>
  </si>
  <si>
    <t>Morgane</t>
  </si>
  <si>
    <t>BEL0361</t>
  </si>
  <si>
    <t>Cameron</t>
  </si>
  <si>
    <t>BEL0362</t>
  </si>
  <si>
    <t>Mélina</t>
  </si>
  <si>
    <t>BEL0366</t>
  </si>
  <si>
    <t>Esteban</t>
  </si>
  <si>
    <t>Demey</t>
  </si>
  <si>
    <t>BEL0390</t>
  </si>
  <si>
    <t>Dohet</t>
  </si>
  <si>
    <t>BEL0396</t>
  </si>
  <si>
    <t>Jean-Pierre</t>
  </si>
  <si>
    <t>BEL0399</t>
  </si>
  <si>
    <t>BEL0407</t>
  </si>
  <si>
    <t>Dimitri</t>
  </si>
  <si>
    <t>BEL0423</t>
  </si>
  <si>
    <t>Travieso</t>
  </si>
  <si>
    <t>Junior</t>
  </si>
  <si>
    <t>BEL0431</t>
  </si>
  <si>
    <t>Verhoeven</t>
  </si>
  <si>
    <t>Lulani</t>
  </si>
  <si>
    <t>BEL0435</t>
  </si>
  <si>
    <t>Marlair</t>
  </si>
  <si>
    <t>Mathieu</t>
  </si>
  <si>
    <t>BEL0440</t>
  </si>
  <si>
    <t>Bertrand</t>
  </si>
  <si>
    <t>Dirick</t>
  </si>
  <si>
    <t>BEL0444</t>
  </si>
  <si>
    <t>Janssens</t>
  </si>
  <si>
    <t>BEL0445</t>
  </si>
  <si>
    <t>BEL0446</t>
  </si>
  <si>
    <t>BEL0447</t>
  </si>
  <si>
    <t>Mael</t>
  </si>
  <si>
    <t>BEL0448</t>
  </si>
  <si>
    <t>Sophia</t>
  </si>
  <si>
    <t>BEL0449</t>
  </si>
  <si>
    <t>Hanosset</t>
  </si>
  <si>
    <t>Jules</t>
  </si>
  <si>
    <t>BEL0450</t>
  </si>
  <si>
    <t>Fabio</t>
  </si>
  <si>
    <t>BEL0451</t>
  </si>
  <si>
    <t>Crasset</t>
  </si>
  <si>
    <t>BEL0452</t>
  </si>
  <si>
    <t>Kostandinos</t>
  </si>
  <si>
    <t>BEL0454</t>
  </si>
  <si>
    <t>Outers</t>
  </si>
  <si>
    <t>BEL0455</t>
  </si>
  <si>
    <t>BEL0457</t>
  </si>
  <si>
    <t>Coutinho</t>
  </si>
  <si>
    <t>BRA0001</t>
  </si>
  <si>
    <t>Bangu AC</t>
  </si>
  <si>
    <t>Quintaes</t>
  </si>
  <si>
    <t>Igor</t>
  </si>
  <si>
    <t>BRA0005</t>
  </si>
  <si>
    <t>Ramalhete</t>
  </si>
  <si>
    <t>José Antônio</t>
  </si>
  <si>
    <t>BRA0006</t>
  </si>
  <si>
    <t>Marcelo Lages</t>
  </si>
  <si>
    <t>BRA0007</t>
  </si>
  <si>
    <t>Borges</t>
  </si>
  <si>
    <t>BRA0008</t>
  </si>
  <si>
    <t>Perrotti</t>
  </si>
  <si>
    <t>Paulo</t>
  </si>
  <si>
    <t>BRA0009</t>
  </si>
  <si>
    <t>SE Palmeiras</t>
  </si>
  <si>
    <t>Heremann</t>
  </si>
  <si>
    <t>Victor</t>
  </si>
  <si>
    <t>BRA0010</t>
  </si>
  <si>
    <t>São Paulo FC</t>
  </si>
  <si>
    <t>Gouvêa</t>
  </si>
  <si>
    <t>Maicon</t>
  </si>
  <si>
    <t>BRA0012</t>
  </si>
  <si>
    <t>Paroski</t>
  </si>
  <si>
    <t>Júlio</t>
  </si>
  <si>
    <t>BRA0013</t>
  </si>
  <si>
    <t>Suzuki</t>
  </si>
  <si>
    <t>Rony</t>
  </si>
  <si>
    <t>BRA0014</t>
  </si>
  <si>
    <t>Saviani</t>
  </si>
  <si>
    <t>Ruy</t>
  </si>
  <si>
    <t>BRA0017</t>
  </si>
  <si>
    <t>Ferreira</t>
  </si>
  <si>
    <t>Ailton</t>
  </si>
  <si>
    <t>BRA0018</t>
  </si>
  <si>
    <t>Gaffo</t>
  </si>
  <si>
    <t>Ednilson</t>
  </si>
  <si>
    <t>BRA0021</t>
  </si>
  <si>
    <t>Lima</t>
  </si>
  <si>
    <t>Matheus</t>
  </si>
  <si>
    <t>BRA0025</t>
  </si>
  <si>
    <t>Pinheiro Barthez</t>
  </si>
  <si>
    <t>BRA0026</t>
  </si>
  <si>
    <t>Marques</t>
  </si>
  <si>
    <t>Ronaldo</t>
  </si>
  <si>
    <t>BRA0028</t>
  </si>
  <si>
    <t>Gomes</t>
  </si>
  <si>
    <t>Guilherme</t>
  </si>
  <si>
    <t>BRA0029</t>
  </si>
  <si>
    <t>Farah</t>
  </si>
  <si>
    <t>José</t>
  </si>
  <si>
    <t>BRA0032</t>
  </si>
  <si>
    <t>Cisplatina FC</t>
  </si>
  <si>
    <t>Vidal</t>
  </si>
  <si>
    <t>Eliahou</t>
  </si>
  <si>
    <t>BRA0033</t>
  </si>
  <si>
    <t>Guerra</t>
  </si>
  <si>
    <t>BRA0034</t>
  </si>
  <si>
    <t>Netto</t>
  </si>
  <si>
    <t>BRA0039</t>
  </si>
  <si>
    <t>da Silva</t>
  </si>
  <si>
    <t>BRA0040</t>
  </si>
  <si>
    <t>Agra</t>
  </si>
  <si>
    <t>BRA0041</t>
  </si>
  <si>
    <t>Nannini</t>
  </si>
  <si>
    <t>Luiz</t>
  </si>
  <si>
    <t>BRA0043</t>
  </si>
  <si>
    <t>Canocchiari</t>
  </si>
  <si>
    <t>Eduardo</t>
  </si>
  <si>
    <t>BRA0044</t>
  </si>
  <si>
    <t>Maghenzani</t>
  </si>
  <si>
    <t>Gilmar</t>
  </si>
  <si>
    <t>BRA0045</t>
  </si>
  <si>
    <t>Simi</t>
  </si>
  <si>
    <t>Julio</t>
  </si>
  <si>
    <t>BRA0046</t>
  </si>
  <si>
    <t>Zanella</t>
  </si>
  <si>
    <t>Nelson</t>
  </si>
  <si>
    <t>BRA0047</t>
  </si>
  <si>
    <t>Rogério</t>
  </si>
  <si>
    <t>BRA0048</t>
  </si>
  <si>
    <t>Celandroni</t>
  </si>
  <si>
    <t>BRA0049</t>
  </si>
  <si>
    <t>Rojo</t>
  </si>
  <si>
    <t>Francisco</t>
  </si>
  <si>
    <t>BRA0050</t>
  </si>
  <si>
    <t>Abboud</t>
  </si>
  <si>
    <t>Regis</t>
  </si>
  <si>
    <t>BRA0051</t>
  </si>
  <si>
    <t>Cincotto</t>
  </si>
  <si>
    <t>Jeferson</t>
  </si>
  <si>
    <t>BRA0052</t>
  </si>
  <si>
    <t>Franco</t>
  </si>
  <si>
    <t>Sérgio</t>
  </si>
  <si>
    <t>BRA0053</t>
  </si>
  <si>
    <t>Robles</t>
  </si>
  <si>
    <t>Leandro</t>
  </si>
  <si>
    <t>BRA0054</t>
  </si>
  <si>
    <t>Andreassi</t>
  </si>
  <si>
    <t>Felipe</t>
  </si>
  <si>
    <t>BRA0055</t>
  </si>
  <si>
    <t>Matos</t>
  </si>
  <si>
    <t>BRA0056</t>
  </si>
  <si>
    <t>Betaressi</t>
  </si>
  <si>
    <t>Vlademir</t>
  </si>
  <si>
    <t>BRA0058</t>
  </si>
  <si>
    <t>Fleury</t>
  </si>
  <si>
    <t>Frederico</t>
  </si>
  <si>
    <t>BRA0059</t>
  </si>
  <si>
    <t>Armani</t>
  </si>
  <si>
    <t>BRA0060</t>
  </si>
  <si>
    <t>Molina</t>
  </si>
  <si>
    <t>João</t>
  </si>
  <si>
    <t>BRA0061</t>
  </si>
  <si>
    <t>Venazzi</t>
  </si>
  <si>
    <t>Luis</t>
  </si>
  <si>
    <t>BRA0062</t>
  </si>
  <si>
    <t>Rangel</t>
  </si>
  <si>
    <t>Marcio</t>
  </si>
  <si>
    <t>BRA0063</t>
  </si>
  <si>
    <t>Vandir</t>
  </si>
  <si>
    <t>BRA0064</t>
  </si>
  <si>
    <t>Porto</t>
  </si>
  <si>
    <t>BRA0065</t>
  </si>
  <si>
    <t>Manceira</t>
  </si>
  <si>
    <t>BRA0066</t>
  </si>
  <si>
    <t>Garcia</t>
  </si>
  <si>
    <t>BRA0067</t>
  </si>
  <si>
    <t>Hermenegildo</t>
  </si>
  <si>
    <t>BRA0068</t>
  </si>
  <si>
    <t>de Carvalho</t>
  </si>
  <si>
    <t>Gilson</t>
  </si>
  <si>
    <t>BRA0069</t>
  </si>
  <si>
    <t>Dominos</t>
  </si>
  <si>
    <t>Marcos</t>
  </si>
  <si>
    <t>BRA0070</t>
  </si>
  <si>
    <t>Vieira</t>
  </si>
  <si>
    <t>Vinicius</t>
  </si>
  <si>
    <t>BRA0071</t>
  </si>
  <si>
    <t>Eglit</t>
  </si>
  <si>
    <t>BRA0072</t>
  </si>
  <si>
    <t>Panzarini</t>
  </si>
  <si>
    <t>Agnaldo</t>
  </si>
  <si>
    <t>BRA0073</t>
  </si>
  <si>
    <t>BRA0074</t>
  </si>
  <si>
    <t>Wellington</t>
  </si>
  <si>
    <t>BRA0075</t>
  </si>
  <si>
    <t>Meni</t>
  </si>
  <si>
    <t>BRA0076</t>
  </si>
  <si>
    <t>Genta</t>
  </si>
  <si>
    <t>Jefferson</t>
  </si>
  <si>
    <t>BRA0077</t>
  </si>
  <si>
    <t>Michilin</t>
  </si>
  <si>
    <t>BRA0078</t>
  </si>
  <si>
    <t>BRA0079</t>
  </si>
  <si>
    <t>Neto</t>
  </si>
  <si>
    <t>Demetrio</t>
  </si>
  <si>
    <t>BRA0080</t>
  </si>
  <si>
    <t>Freitas</t>
  </si>
  <si>
    <t>BRA0081</t>
  </si>
  <si>
    <t>Crepaldi</t>
  </si>
  <si>
    <t>Artur</t>
  </si>
  <si>
    <t>BRA0082</t>
  </si>
  <si>
    <t>de Souza</t>
  </si>
  <si>
    <t>Sidney</t>
  </si>
  <si>
    <t>BRA0083</t>
  </si>
  <si>
    <t>Mamoni</t>
  </si>
  <si>
    <t>Hylson</t>
  </si>
  <si>
    <t>BRA0084</t>
  </si>
  <si>
    <t>Felicio</t>
  </si>
  <si>
    <t>Ernandes</t>
  </si>
  <si>
    <t>BRA0085</t>
  </si>
  <si>
    <t>Narduche</t>
  </si>
  <si>
    <t>Rodrigo</t>
  </si>
  <si>
    <t>BRA0086</t>
  </si>
  <si>
    <t>Melli</t>
  </si>
  <si>
    <t>Emerson</t>
  </si>
  <si>
    <t>BRA0087</t>
  </si>
  <si>
    <t>Zucatto</t>
  </si>
  <si>
    <t>Marcus</t>
  </si>
  <si>
    <t>BRA0088</t>
  </si>
  <si>
    <t>BRA0089</t>
  </si>
  <si>
    <t>Martins</t>
  </si>
  <si>
    <t>Vitor</t>
  </si>
  <si>
    <t>BRA0091</t>
  </si>
  <si>
    <t>Oliveira</t>
  </si>
  <si>
    <t>BRA0093</t>
  </si>
  <si>
    <t>de Matos</t>
  </si>
  <si>
    <t>BRA0094</t>
  </si>
  <si>
    <t>Barcelos</t>
  </si>
  <si>
    <t>Luciano</t>
  </si>
  <si>
    <t>BRA0099</t>
  </si>
  <si>
    <t>River FC</t>
  </si>
  <si>
    <t>Constantino</t>
  </si>
  <si>
    <t>BRA0101</t>
  </si>
  <si>
    <t>Pereira</t>
  </si>
  <si>
    <t>Christofer</t>
  </si>
  <si>
    <t>BRA0102</t>
  </si>
  <si>
    <t>Bahr</t>
  </si>
  <si>
    <t>BRA0103</t>
  </si>
  <si>
    <t>BRA0104</t>
  </si>
  <si>
    <t>Jardim</t>
  </si>
  <si>
    <t>Rhaniery</t>
  </si>
  <si>
    <t>BRA0105</t>
  </si>
  <si>
    <t>BRA0106</t>
  </si>
  <si>
    <t>Cepa</t>
  </si>
  <si>
    <t>Abel</t>
  </si>
  <si>
    <t>BRA0107</t>
  </si>
  <si>
    <t>Allan</t>
  </si>
  <si>
    <t>BRA0108</t>
  </si>
  <si>
    <t>BRA0109</t>
  </si>
  <si>
    <t>BRA0110</t>
  </si>
  <si>
    <t>Costa Filho</t>
  </si>
  <si>
    <t>BRA0111</t>
  </si>
  <si>
    <t>Palitot Filho</t>
  </si>
  <si>
    <t>Zenon</t>
  </si>
  <si>
    <t>BRA0112</t>
  </si>
  <si>
    <t>Couto</t>
  </si>
  <si>
    <t>Lauro</t>
  </si>
  <si>
    <t>BRA0113</t>
  </si>
  <si>
    <t>BRA0114</t>
  </si>
  <si>
    <t>Scavinsky de Alencar</t>
  </si>
  <si>
    <t>Humberto</t>
  </si>
  <si>
    <t>BRA0115</t>
  </si>
  <si>
    <t>Nascimento</t>
  </si>
  <si>
    <t>Luis Carlos</t>
  </si>
  <si>
    <t>BRA0116</t>
  </si>
  <si>
    <t>Moricz</t>
  </si>
  <si>
    <t>Danilo</t>
  </si>
  <si>
    <t>BRA0117</t>
  </si>
  <si>
    <t>Carvalho</t>
  </si>
  <si>
    <t>BRA0118</t>
  </si>
  <si>
    <t>Spasiano</t>
  </si>
  <si>
    <t>BRA0123</t>
  </si>
  <si>
    <t>Galindo Perez</t>
  </si>
  <si>
    <t>Marco Antonio</t>
  </si>
  <si>
    <t>BRA0126</t>
  </si>
  <si>
    <t>Paulo Cesar</t>
  </si>
  <si>
    <t>BRA0127</t>
  </si>
  <si>
    <t>Breno</t>
  </si>
  <si>
    <t>BRA0128</t>
  </si>
  <si>
    <t>Pereira da Silva</t>
  </si>
  <si>
    <t>BRA0129</t>
  </si>
  <si>
    <t>Marfa</t>
  </si>
  <si>
    <t>Róbson Fabricio</t>
  </si>
  <si>
    <t>BRA0132</t>
  </si>
  <si>
    <t>Botafogo FR</t>
  </si>
  <si>
    <t>Costa Júnior</t>
  </si>
  <si>
    <t>Emanoel José</t>
  </si>
  <si>
    <t>BRA0134</t>
  </si>
  <si>
    <t>Cassis</t>
  </si>
  <si>
    <t>Thiago Dias</t>
  </si>
  <si>
    <t>BRA0136</t>
  </si>
  <si>
    <t>dos Santos</t>
  </si>
  <si>
    <t>Antonio Carlos</t>
  </si>
  <si>
    <t>BRA0137</t>
  </si>
  <si>
    <t>Pedro Canali</t>
  </si>
  <si>
    <t>BRA0141</t>
  </si>
  <si>
    <t>Prando Ferreira</t>
  </si>
  <si>
    <t>Pedro</t>
  </si>
  <si>
    <t>BRA0144</t>
  </si>
  <si>
    <t>Weber José</t>
  </si>
  <si>
    <t>BRA0145</t>
  </si>
  <si>
    <t>Júnior</t>
  </si>
  <si>
    <t>Luís Coelho</t>
  </si>
  <si>
    <t>BRA0146</t>
  </si>
  <si>
    <t>Pinheiro</t>
  </si>
  <si>
    <t>Felipe Maciel</t>
  </si>
  <si>
    <t>BRA0147</t>
  </si>
  <si>
    <t>Gomes Júnior</t>
  </si>
  <si>
    <t>BRA0148</t>
  </si>
  <si>
    <t>Moraes</t>
  </si>
  <si>
    <t>André Luiz</t>
  </si>
  <si>
    <t>BRA0149</t>
  </si>
  <si>
    <t>da Silva Barbosa</t>
  </si>
  <si>
    <t>João Paulo</t>
  </si>
  <si>
    <t>BRA0151</t>
  </si>
  <si>
    <t>Colombo SC</t>
  </si>
  <si>
    <t>Travassos Correia</t>
  </si>
  <si>
    <t>Sergio</t>
  </si>
  <si>
    <t>BRA0152</t>
  </si>
  <si>
    <t>Santa Cruz FC</t>
  </si>
  <si>
    <t>BRA0153</t>
  </si>
  <si>
    <t>Íbis SC</t>
  </si>
  <si>
    <t>Fernando Pacheco</t>
  </si>
  <si>
    <t>Macio</t>
  </si>
  <si>
    <t>BRA0154</t>
  </si>
  <si>
    <t>Monteiro</t>
  </si>
  <si>
    <t>Dilton</t>
  </si>
  <si>
    <t>BRA0155</t>
  </si>
  <si>
    <t>Belfort de Moura</t>
  </si>
  <si>
    <t>Tacito</t>
  </si>
  <si>
    <t>BRA0156</t>
  </si>
  <si>
    <t>SC do Recife</t>
  </si>
  <si>
    <t>Arruda</t>
  </si>
  <si>
    <t>José Humberto</t>
  </si>
  <si>
    <t>BRA0157</t>
  </si>
  <si>
    <t>Sammartino</t>
  </si>
  <si>
    <t>BRA0158</t>
  </si>
  <si>
    <t>Parras Benitez</t>
  </si>
  <si>
    <t>João Gilberto</t>
  </si>
  <si>
    <t>BRA0159</t>
  </si>
  <si>
    <t>Corujeira</t>
  </si>
  <si>
    <t>Silvio Alexandre</t>
  </si>
  <si>
    <t>BRA0160</t>
  </si>
  <si>
    <t>Moro</t>
  </si>
  <si>
    <t>BRA0161</t>
  </si>
  <si>
    <t>Donizeti Bergamini</t>
  </si>
  <si>
    <t>BRA0162</t>
  </si>
  <si>
    <t>Carneiro da Siva</t>
  </si>
  <si>
    <t>Halisson</t>
  </si>
  <si>
    <t>BRA0163</t>
  </si>
  <si>
    <t>da Cunha</t>
  </si>
  <si>
    <t>Marcos Moysés</t>
  </si>
  <si>
    <t>BRA0164</t>
  </si>
  <si>
    <t>Lima Rolim</t>
  </si>
  <si>
    <t>Vinícius</t>
  </si>
  <si>
    <t>BRA0165</t>
  </si>
  <si>
    <t>Santini Vedovati</t>
  </si>
  <si>
    <t>BRA0166</t>
  </si>
  <si>
    <t>Sotana Pereira</t>
  </si>
  <si>
    <t>BRA0167</t>
  </si>
  <si>
    <t>Ferracin de Oliveira</t>
  </si>
  <si>
    <t>Roger</t>
  </si>
  <si>
    <t>BRA0168</t>
  </si>
  <si>
    <t>Aparecido Mendonça Pereira</t>
  </si>
  <si>
    <t>BRA0169</t>
  </si>
  <si>
    <t>BRA0170</t>
  </si>
  <si>
    <t>dos Santos Matos</t>
  </si>
  <si>
    <t>Maurício</t>
  </si>
  <si>
    <t>BRA0171</t>
  </si>
  <si>
    <t>Gaba</t>
  </si>
  <si>
    <t>Rafael</t>
  </si>
  <si>
    <t>BRA0172</t>
  </si>
  <si>
    <t>Efangelo Júnior</t>
  </si>
  <si>
    <t>BRA0173</t>
  </si>
  <si>
    <t>Bezerra de Souza</t>
  </si>
  <si>
    <t>Éder Sergio</t>
  </si>
  <si>
    <t>BRA0174</t>
  </si>
  <si>
    <t>AA Banco do Brasil - Caruaru</t>
  </si>
  <si>
    <t>Ramos Barreto</t>
  </si>
  <si>
    <t>Wesley William</t>
  </si>
  <si>
    <t>BRA0175</t>
  </si>
  <si>
    <t>Cristiano</t>
  </si>
  <si>
    <t>BRA0176</t>
  </si>
  <si>
    <t>Barbosa de Farias</t>
  </si>
  <si>
    <t>João Tassio</t>
  </si>
  <si>
    <t>BRA0177</t>
  </si>
  <si>
    <t>Heraclio Gomes Barbosa</t>
  </si>
  <si>
    <t>João Lucas</t>
  </si>
  <si>
    <t>BRA0178</t>
  </si>
  <si>
    <t>Antonio de Lima</t>
  </si>
  <si>
    <t>Diego</t>
  </si>
  <si>
    <t>BRA0179</t>
  </si>
  <si>
    <t>Baxter</t>
  </si>
  <si>
    <t>Dave</t>
  </si>
  <si>
    <t>CAN0000</t>
  </si>
  <si>
    <t>Hoopfer</t>
  </si>
  <si>
    <t>Shane</t>
  </si>
  <si>
    <t>CAN0002</t>
  </si>
  <si>
    <t>Braun</t>
  </si>
  <si>
    <t>CAN0005</t>
  </si>
  <si>
    <t>Travis</t>
  </si>
  <si>
    <t>CAN0006</t>
  </si>
  <si>
    <t>Haylett</t>
  </si>
  <si>
    <t>CAN0008</t>
  </si>
  <si>
    <t>Herrel</t>
  </si>
  <si>
    <t>Ben</t>
  </si>
  <si>
    <t>CAN0009</t>
  </si>
  <si>
    <t>Khaira</t>
  </si>
  <si>
    <t>Gurmeet</t>
  </si>
  <si>
    <t>CAN0010</t>
  </si>
  <si>
    <t>Randhawa</t>
  </si>
  <si>
    <t>Parjesh</t>
  </si>
  <si>
    <t>CAN0011</t>
  </si>
  <si>
    <t>Bal</t>
  </si>
  <si>
    <t>Shaan</t>
  </si>
  <si>
    <t>CAN0012</t>
  </si>
  <si>
    <t>Ho</t>
  </si>
  <si>
    <t>CAN0013</t>
  </si>
  <si>
    <t>Thornton</t>
  </si>
  <si>
    <t>CAN0014</t>
  </si>
  <si>
    <t>Watts</t>
  </si>
  <si>
    <t>Jeff</t>
  </si>
  <si>
    <t>CAN0015</t>
  </si>
  <si>
    <t>Sexton</t>
  </si>
  <si>
    <t>CAN0016</t>
  </si>
  <si>
    <t>McNab</t>
  </si>
  <si>
    <t>Stephan</t>
  </si>
  <si>
    <t>CAN0017</t>
  </si>
  <si>
    <t>Brodyn</t>
  </si>
  <si>
    <t>CAN0018</t>
  </si>
  <si>
    <t>CAN0019</t>
  </si>
  <si>
    <t>Burt</t>
  </si>
  <si>
    <t>Shaun</t>
  </si>
  <si>
    <t>CAN0020</t>
  </si>
  <si>
    <t>Clarkson</t>
  </si>
  <si>
    <t>Iain</t>
  </si>
  <si>
    <t>CAN0021</t>
  </si>
  <si>
    <t>Rokoski</t>
  </si>
  <si>
    <t>Kyle</t>
  </si>
  <si>
    <t>CAN0022</t>
  </si>
  <si>
    <t>Lemak</t>
  </si>
  <si>
    <t>Andrew</t>
  </si>
  <si>
    <t>CAN0023</t>
  </si>
  <si>
    <t>Moore</t>
  </si>
  <si>
    <t>CAN0024</t>
  </si>
  <si>
    <t>CAN0025</t>
  </si>
  <si>
    <t>CAN0026</t>
  </si>
  <si>
    <t>Wurthman</t>
  </si>
  <si>
    <t>Behn</t>
  </si>
  <si>
    <t>CAN0027</t>
  </si>
  <si>
    <t>Mckay</t>
  </si>
  <si>
    <t>CAN0028</t>
  </si>
  <si>
    <t>CAN0029</t>
  </si>
  <si>
    <t>Lovegrove</t>
  </si>
  <si>
    <t>Shawn</t>
  </si>
  <si>
    <t>CAN0030</t>
  </si>
  <si>
    <t>Fallie</t>
  </si>
  <si>
    <t>CAN0031</t>
  </si>
  <si>
    <t>Sarjit</t>
  </si>
  <si>
    <t>CAN0042</t>
  </si>
  <si>
    <t>Gavin</t>
  </si>
  <si>
    <t>CAN0043</t>
  </si>
  <si>
    <t>Sgro</t>
  </si>
  <si>
    <t>Mike</t>
  </si>
  <si>
    <t>CAN0044</t>
  </si>
  <si>
    <t>Chieffallo</t>
  </si>
  <si>
    <t>CAN0045</t>
  </si>
  <si>
    <t>Devey</t>
  </si>
  <si>
    <t>CAN0046</t>
  </si>
  <si>
    <t>Ruffolo</t>
  </si>
  <si>
    <t>CAN0047</t>
  </si>
  <si>
    <t>Moreira</t>
  </si>
  <si>
    <t>CAN0048</t>
  </si>
  <si>
    <t>Perdaens</t>
  </si>
  <si>
    <t>CAN0052</t>
  </si>
  <si>
    <t>Andreas</t>
  </si>
  <si>
    <t>CYP0001</t>
  </si>
  <si>
    <t>Andronikou</t>
  </si>
  <si>
    <t>Andy</t>
  </si>
  <si>
    <t>CYP0002</t>
  </si>
  <si>
    <t>Constantinou</t>
  </si>
  <si>
    <t>CYP0003</t>
  </si>
  <si>
    <t>Hadjitheklis</t>
  </si>
  <si>
    <t>Theodosis</t>
  </si>
  <si>
    <t>CYP0004</t>
  </si>
  <si>
    <t>Ioannides</t>
  </si>
  <si>
    <t>Neophytos</t>
  </si>
  <si>
    <t>CYP0005</t>
  </si>
  <si>
    <t>Kalopsidiotis</t>
  </si>
  <si>
    <t>CYP0006</t>
  </si>
  <si>
    <t>CYP0007</t>
  </si>
  <si>
    <t>Kouratzis</t>
  </si>
  <si>
    <t>CYP0008</t>
  </si>
  <si>
    <t>Ktenas</t>
  </si>
  <si>
    <t>Kyriacos</t>
  </si>
  <si>
    <t>CYP0009</t>
  </si>
  <si>
    <t>Bruxelles Capitale TFC</t>
  </si>
  <si>
    <t>Kyriacou</t>
  </si>
  <si>
    <t>CYP0010</t>
  </si>
  <si>
    <t>Nicolau</t>
  </si>
  <si>
    <t>CYP0011</t>
  </si>
  <si>
    <t>O'Hare</t>
  </si>
  <si>
    <t>Rob</t>
  </si>
  <si>
    <t>CYP0012</t>
  </si>
  <si>
    <t>Parperis</t>
  </si>
  <si>
    <t>CYP0013</t>
  </si>
  <si>
    <t>Sarris</t>
  </si>
  <si>
    <t>Alexandros</t>
  </si>
  <si>
    <t>CYP0014</t>
  </si>
  <si>
    <t>CYP0015</t>
  </si>
  <si>
    <t>Mikel</t>
  </si>
  <si>
    <t>CYP0016</t>
  </si>
  <si>
    <t>Nikolas</t>
  </si>
  <si>
    <t>CYP0017</t>
  </si>
  <si>
    <t>Socratous</t>
  </si>
  <si>
    <t>CYP0018</t>
  </si>
  <si>
    <t>Vassiliades</t>
  </si>
  <si>
    <t>George</t>
  </si>
  <si>
    <t>CYP0019</t>
  </si>
  <si>
    <t>Zangylos</t>
  </si>
  <si>
    <t>Giorgos</t>
  </si>
  <si>
    <t>CYP0020</t>
  </si>
  <si>
    <t>Zinonos</t>
  </si>
  <si>
    <t>Giannis</t>
  </si>
  <si>
    <t>CYP0021</t>
  </si>
  <si>
    <t>Zorbis</t>
  </si>
  <si>
    <t>Pambos</t>
  </si>
  <si>
    <t>CYP0022</t>
  </si>
  <si>
    <t>Vangelis</t>
  </si>
  <si>
    <t>CYP0023</t>
  </si>
  <si>
    <t>Ioannou</t>
  </si>
  <si>
    <t>Christakis</t>
  </si>
  <si>
    <t>CYP0026</t>
  </si>
  <si>
    <t>Karayiannis</t>
  </si>
  <si>
    <t>Yiannos</t>
  </si>
  <si>
    <t>CYP0030</t>
  </si>
  <si>
    <t>Shiamishis</t>
  </si>
  <si>
    <t>Nicolas</t>
  </si>
  <si>
    <t>CYP0034</t>
  </si>
  <si>
    <t>Stylianou</t>
  </si>
  <si>
    <t>CYP0035</t>
  </si>
  <si>
    <t>Hadjikypris</t>
  </si>
  <si>
    <t>Christofis</t>
  </si>
  <si>
    <t>CYP0036</t>
  </si>
  <si>
    <t>Vavourakis</t>
  </si>
  <si>
    <t>Vasileios</t>
  </si>
  <si>
    <t>CYP0037</t>
  </si>
  <si>
    <t>Melios</t>
  </si>
  <si>
    <t>CYP0038</t>
  </si>
  <si>
    <t>CYP0039</t>
  </si>
  <si>
    <t>Antoniou</t>
  </si>
  <si>
    <t>Loukas</t>
  </si>
  <si>
    <t>CYP0040</t>
  </si>
  <si>
    <t>Koureas</t>
  </si>
  <si>
    <t>CYP0041</t>
  </si>
  <si>
    <t>Georgiou</t>
  </si>
  <si>
    <t>Nikitas</t>
  </si>
  <si>
    <t>CYP0042</t>
  </si>
  <si>
    <t>Lysandrou</t>
  </si>
  <si>
    <t>Andonis</t>
  </si>
  <si>
    <t>CYP0043</t>
  </si>
  <si>
    <t>Tsokatksides</t>
  </si>
  <si>
    <t>Alkiviades</t>
  </si>
  <si>
    <t>CYP0044</t>
  </si>
  <si>
    <t>Nikolau</t>
  </si>
  <si>
    <t>CYP0045</t>
  </si>
  <si>
    <t>Pappas</t>
  </si>
  <si>
    <t>Angelos</t>
  </si>
  <si>
    <t>CYP0046</t>
  </si>
  <si>
    <t>Michel</t>
  </si>
  <si>
    <t>CYP0047</t>
  </si>
  <si>
    <t>Paraskevas</t>
  </si>
  <si>
    <t>Konstandinos</t>
  </si>
  <si>
    <t>CYP0048</t>
  </si>
  <si>
    <t>Mitellas</t>
  </si>
  <si>
    <t>Marinos</t>
  </si>
  <si>
    <t>CYP0049</t>
  </si>
  <si>
    <t>Mougis</t>
  </si>
  <si>
    <t>Sophoklis</t>
  </si>
  <si>
    <t>CYP0050</t>
  </si>
  <si>
    <t>Sydiropoulos</t>
  </si>
  <si>
    <t>Maximos</t>
  </si>
  <si>
    <t>CYP0051</t>
  </si>
  <si>
    <t>Themistokleous</t>
  </si>
  <si>
    <t>CYP0052</t>
  </si>
  <si>
    <t>Lazzari</t>
  </si>
  <si>
    <t>CZE0001</t>
  </si>
  <si>
    <t>Tichon</t>
  </si>
  <si>
    <t>Jakub</t>
  </si>
  <si>
    <t>CZE0002</t>
  </si>
  <si>
    <t>Vacke</t>
  </si>
  <si>
    <t>CZE0003</t>
  </si>
  <si>
    <t>Vanek</t>
  </si>
  <si>
    <t>Dominik</t>
  </si>
  <si>
    <t>CZE0004</t>
  </si>
  <si>
    <t>Zucchi</t>
  </si>
  <si>
    <t>Marco</t>
  </si>
  <si>
    <t>CZE0005</t>
  </si>
  <si>
    <t>Budapest Subbuteo</t>
  </si>
  <si>
    <t>Gamba</t>
  </si>
  <si>
    <t>CZE0006</t>
  </si>
  <si>
    <t>CZE0007</t>
  </si>
  <si>
    <t>Ondrej</t>
  </si>
  <si>
    <t>CZE0008</t>
  </si>
  <si>
    <t>Uchytil</t>
  </si>
  <si>
    <t>Jiri</t>
  </si>
  <si>
    <t>CZE0009</t>
  </si>
  <si>
    <t>Opl</t>
  </si>
  <si>
    <t>Stanislav</t>
  </si>
  <si>
    <t>CZE0010</t>
  </si>
  <si>
    <t>Di Stefano</t>
  </si>
  <si>
    <t>CZE0011</t>
  </si>
  <si>
    <t>Novotny</t>
  </si>
  <si>
    <t>CZE0012</t>
  </si>
  <si>
    <t>Petersen</t>
  </si>
  <si>
    <t>DEN0001</t>
  </si>
  <si>
    <t>Lund</t>
  </si>
  <si>
    <t>Rasmus</t>
  </si>
  <si>
    <t>DEN0002</t>
  </si>
  <si>
    <t>Emil Christiansen</t>
  </si>
  <si>
    <t>DEN0003</t>
  </si>
  <si>
    <t>Fursund</t>
  </si>
  <si>
    <t>DEN0004</t>
  </si>
  <si>
    <t>Staal Nielsen</t>
  </si>
  <si>
    <t>Jesper</t>
  </si>
  <si>
    <t>DEN0005</t>
  </si>
  <si>
    <t>Kristian</t>
  </si>
  <si>
    <t>DEN0006</t>
  </si>
  <si>
    <t>Anders</t>
  </si>
  <si>
    <t>DEN0007</t>
  </si>
  <si>
    <t>DEN0008</t>
  </si>
  <si>
    <t>Bentzen</t>
  </si>
  <si>
    <t>Jonas</t>
  </si>
  <si>
    <t>DEN0009</t>
  </si>
  <si>
    <t>Buhl Hansen</t>
  </si>
  <si>
    <t>DEN0010</t>
  </si>
  <si>
    <t>Gold Christiansen</t>
  </si>
  <si>
    <t>Tommy</t>
  </si>
  <si>
    <t>DEN0011</t>
  </si>
  <si>
    <t>Lange Klausen</t>
  </si>
  <si>
    <t>Tommas</t>
  </si>
  <si>
    <t>DEN0012</t>
  </si>
  <si>
    <t>Kristensen</t>
  </si>
  <si>
    <t>Kamilla</t>
  </si>
  <si>
    <t>DEN0013</t>
  </si>
  <si>
    <t>Enevoldsen</t>
  </si>
  <si>
    <t>Lukas</t>
  </si>
  <si>
    <t>DEN0014</t>
  </si>
  <si>
    <t>Wilse</t>
  </si>
  <si>
    <t>Nico</t>
  </si>
  <si>
    <t>DEN0015</t>
  </si>
  <si>
    <t>Honore</t>
  </si>
  <si>
    <t>Lasse</t>
  </si>
  <si>
    <t>DEN0016</t>
  </si>
  <si>
    <t>Frederiksen</t>
  </si>
  <si>
    <t>DEN0017</t>
  </si>
  <si>
    <t>DEN0018</t>
  </si>
  <si>
    <t>Gørtz</t>
  </si>
  <si>
    <t>DEN0019</t>
  </si>
  <si>
    <t>Hedegård</t>
  </si>
  <si>
    <t>DEN0035</t>
  </si>
  <si>
    <t>Jørgensen</t>
  </si>
  <si>
    <t>Katrine</t>
  </si>
  <si>
    <t>DEN0036</t>
  </si>
  <si>
    <t>Thyge</t>
  </si>
  <si>
    <t>DEN0037</t>
  </si>
  <si>
    <t>Jens</t>
  </si>
  <si>
    <t>DEN0038</t>
  </si>
  <si>
    <t>DEN0039</t>
  </si>
  <si>
    <t>DEN0040</t>
  </si>
  <si>
    <t>Vendebæk</t>
  </si>
  <si>
    <t>Frits</t>
  </si>
  <si>
    <t>DEN0041</t>
  </si>
  <si>
    <t>Madsen</t>
  </si>
  <si>
    <t>Magnus Emil</t>
  </si>
  <si>
    <t>DEN0042</t>
  </si>
  <si>
    <t>Magnus</t>
  </si>
  <si>
    <t>DEN0043</t>
  </si>
  <si>
    <t>DEN0044</t>
  </si>
  <si>
    <t>DEN0045</t>
  </si>
  <si>
    <t>Achton Boel</t>
  </si>
  <si>
    <t>DEN0046</t>
  </si>
  <si>
    <t>Pedersen</t>
  </si>
  <si>
    <t>Miki</t>
  </si>
  <si>
    <t>DEN0047</t>
  </si>
  <si>
    <t>Clemmensen</t>
  </si>
  <si>
    <t>DEN0048</t>
  </si>
  <si>
    <t>Lind</t>
  </si>
  <si>
    <t>Sebastian</t>
  </si>
  <si>
    <t>DEN0049</t>
  </si>
  <si>
    <t>DEN0050</t>
  </si>
  <si>
    <t>Nørregaard</t>
  </si>
  <si>
    <t>DEN0051</t>
  </si>
  <si>
    <t>Franck</t>
  </si>
  <si>
    <t>DEN0052</t>
  </si>
  <si>
    <t>Thomas Hjorth</t>
  </si>
  <si>
    <t>DEN0053</t>
  </si>
  <si>
    <t>Ranklit</t>
  </si>
  <si>
    <t>DEN0054</t>
  </si>
  <si>
    <t>From</t>
  </si>
  <si>
    <t>DEN0055</t>
  </si>
  <si>
    <t>Stagsted</t>
  </si>
  <si>
    <t>DEN0056</t>
  </si>
  <si>
    <t>Hansen</t>
  </si>
  <si>
    <t>Brian Illum</t>
  </si>
  <si>
    <t>DEN0058</t>
  </si>
  <si>
    <t>Johansen</t>
  </si>
  <si>
    <t>Maja</t>
  </si>
  <si>
    <t>DEN0059</t>
  </si>
  <si>
    <t>Kim</t>
  </si>
  <si>
    <t>DEN0060</t>
  </si>
  <si>
    <t>Thorsen</t>
  </si>
  <si>
    <t>Rune</t>
  </si>
  <si>
    <t>DEN0061</t>
  </si>
  <si>
    <t>Andreasen</t>
  </si>
  <si>
    <t>DEN0062</t>
  </si>
  <si>
    <t>DEN0063</t>
  </si>
  <si>
    <t>Andersen</t>
  </si>
  <si>
    <t>Ulrik</t>
  </si>
  <si>
    <t>DEN0064</t>
  </si>
  <si>
    <t>Sørensen</t>
  </si>
  <si>
    <t>Dorthe Bremholm</t>
  </si>
  <si>
    <t>DEN0065</t>
  </si>
  <si>
    <t>Spanggaard</t>
  </si>
  <si>
    <t>Anders Peter</t>
  </si>
  <si>
    <t>DEN0066</t>
  </si>
  <si>
    <t>Mikkelsen</t>
  </si>
  <si>
    <t>Egon Lund</t>
  </si>
  <si>
    <t>DEN0067</t>
  </si>
  <si>
    <t>Post</t>
  </si>
  <si>
    <t>Louise Have</t>
  </si>
  <si>
    <t>DEN0068</t>
  </si>
  <si>
    <t>Esmark</t>
  </si>
  <si>
    <t>Ole</t>
  </si>
  <si>
    <t>DEN0069</t>
  </si>
  <si>
    <t>Bech Kaysen</t>
  </si>
  <si>
    <t>Camilla</t>
  </si>
  <si>
    <t>DEN0070</t>
  </si>
  <si>
    <t>Eeg Jensen</t>
  </si>
  <si>
    <t>DEN0071</t>
  </si>
  <si>
    <t>Harregaard</t>
  </si>
  <si>
    <t>Jonathan</t>
  </si>
  <si>
    <t>DEN0072</t>
  </si>
  <si>
    <t>Martens</t>
  </si>
  <si>
    <t>Hans</t>
  </si>
  <si>
    <t>DEN0073</t>
  </si>
  <si>
    <t>Thorbech</t>
  </si>
  <si>
    <t>Jacob</t>
  </si>
  <si>
    <t>DEN0074</t>
  </si>
  <si>
    <t>Falk-Hansen</t>
  </si>
  <si>
    <t>Kristoffer</t>
  </si>
  <si>
    <t>DEN0081</t>
  </si>
  <si>
    <t>Lønfeldt</t>
  </si>
  <si>
    <t>Kasper</t>
  </si>
  <si>
    <t>DEN0085</t>
  </si>
  <si>
    <t>Ravnborg</t>
  </si>
  <si>
    <t>DEN0089</t>
  </si>
  <si>
    <t>Dabbas</t>
  </si>
  <si>
    <t>Minna</t>
  </si>
  <si>
    <t>DEN0090</t>
  </si>
  <si>
    <t>Ahmad</t>
  </si>
  <si>
    <t>DEN0091</t>
  </si>
  <si>
    <t>Mohammad</t>
  </si>
  <si>
    <t>DEN0092</t>
  </si>
  <si>
    <t>DEN0093</t>
  </si>
  <si>
    <t>Raarup</t>
  </si>
  <si>
    <t>DEN0094</t>
  </si>
  <si>
    <t>Tobias Høj</t>
  </si>
  <si>
    <t>DEN0095</t>
  </si>
  <si>
    <t>Laura Høj</t>
  </si>
  <si>
    <t>DEN0096</t>
  </si>
  <si>
    <t>Rasmus Høj</t>
  </si>
  <si>
    <t>DEN0097</t>
  </si>
  <si>
    <t>Bryder</t>
  </si>
  <si>
    <t>Mads</t>
  </si>
  <si>
    <t>DEN0098</t>
  </si>
  <si>
    <t>Peitersen</t>
  </si>
  <si>
    <t>Uffe</t>
  </si>
  <si>
    <t>DEN0099</t>
  </si>
  <si>
    <t>Kluge</t>
  </si>
  <si>
    <t>Julius</t>
  </si>
  <si>
    <t>DEN0100</t>
  </si>
  <si>
    <t>Milbo Hansen</t>
  </si>
  <si>
    <t>Nadja</t>
  </si>
  <si>
    <t>DEN0101</t>
  </si>
  <si>
    <t>Faour</t>
  </si>
  <si>
    <t>DEN0102</t>
  </si>
  <si>
    <t>Batool</t>
  </si>
  <si>
    <t>DEN0103</t>
  </si>
  <si>
    <t>Møller</t>
  </si>
  <si>
    <t>Bertram</t>
  </si>
  <si>
    <t>DEN0104</t>
  </si>
  <si>
    <t>Bøge</t>
  </si>
  <si>
    <t>DEN0105</t>
  </si>
  <si>
    <t>Idriss</t>
  </si>
  <si>
    <t>DEN0106</t>
  </si>
  <si>
    <t>Khalil</t>
  </si>
  <si>
    <t>DEN0107</t>
  </si>
  <si>
    <t>Valentin</t>
  </si>
  <si>
    <t>Mihai</t>
  </si>
  <si>
    <t>DEN0108</t>
  </si>
  <si>
    <t>Knudsen</t>
  </si>
  <si>
    <t>Tobias</t>
  </si>
  <si>
    <t>DEN0109</t>
  </si>
  <si>
    <t>Safa</t>
  </si>
  <si>
    <t>DEN0110</t>
  </si>
  <si>
    <t>Mørch</t>
  </si>
  <si>
    <t>DEN0111</t>
  </si>
  <si>
    <t>Arnold</t>
  </si>
  <si>
    <t>Kye</t>
  </si>
  <si>
    <t>ENG0083</t>
  </si>
  <si>
    <t>ENG0082</t>
  </si>
  <si>
    <t>Bellefontaine</t>
  </si>
  <si>
    <t>Elliott</t>
  </si>
  <si>
    <t>ENG0049</t>
  </si>
  <si>
    <t>Bennett</t>
  </si>
  <si>
    <t>Kaspar</t>
  </si>
  <si>
    <t>ENG0051</t>
  </si>
  <si>
    <t>Boyer</t>
  </si>
  <si>
    <t>ENG0006</t>
  </si>
  <si>
    <t>Bradley</t>
  </si>
  <si>
    <t>ENG0025</t>
  </si>
  <si>
    <t>Clark</t>
  </si>
  <si>
    <t>Darren</t>
  </si>
  <si>
    <t>ENG0092</t>
  </si>
  <si>
    <t>Daley</t>
  </si>
  <si>
    <t>ENG0089</t>
  </si>
  <si>
    <t>London Road SC</t>
  </si>
  <si>
    <t>Douglas</t>
  </si>
  <si>
    <t>ENG0040</t>
  </si>
  <si>
    <t>Fletcher</t>
  </si>
  <si>
    <t>Colin</t>
  </si>
  <si>
    <t>ENG0091</t>
  </si>
  <si>
    <t>ENG0061</t>
  </si>
  <si>
    <t>Hodds</t>
  </si>
  <si>
    <t>ENG0009</t>
  </si>
  <si>
    <t>Dundee Utd TFC</t>
  </si>
  <si>
    <t>Kinrade</t>
  </si>
  <si>
    <t>ENG0086</t>
  </si>
  <si>
    <t>Moralzarzal SCAD</t>
  </si>
  <si>
    <t>Lampitt</t>
  </si>
  <si>
    <t>Matt</t>
  </si>
  <si>
    <t>ENG0022</t>
  </si>
  <si>
    <t>Lawrenson</t>
  </si>
  <si>
    <t>ENG0041</t>
  </si>
  <si>
    <t>McCann</t>
  </si>
  <si>
    <t>ENG0078</t>
  </si>
  <si>
    <t>Phil</t>
  </si>
  <si>
    <t>Short</t>
  </si>
  <si>
    <t>ENG0034</t>
  </si>
  <si>
    <t>Staples</t>
  </si>
  <si>
    <t>ENG0014</t>
  </si>
  <si>
    <t>ENG0054</t>
  </si>
  <si>
    <t>Curtis</t>
  </si>
  <si>
    <t>Samuel</t>
  </si>
  <si>
    <t>ENG0094</t>
  </si>
  <si>
    <t>Boothman</t>
  </si>
  <si>
    <t>ENG0097</t>
  </si>
  <si>
    <t>Paterson</t>
  </si>
  <si>
    <t>ENG0098</t>
  </si>
  <si>
    <t>Turpin</t>
  </si>
  <si>
    <t>ENG0114</t>
  </si>
  <si>
    <t>Jones</t>
  </si>
  <si>
    <t>ENG0115</t>
  </si>
  <si>
    <t>Wobbly Hobby SC</t>
  </si>
  <si>
    <t>Varney</t>
  </si>
  <si>
    <t>Bob</t>
  </si>
  <si>
    <t>ENG0131</t>
  </si>
  <si>
    <t>Lavender</t>
  </si>
  <si>
    <t>Brandon</t>
  </si>
  <si>
    <t>ENG0171</t>
  </si>
  <si>
    <t>Peterschinigg</t>
  </si>
  <si>
    <t>ENG0176</t>
  </si>
  <si>
    <t>Danny</t>
  </si>
  <si>
    <t>Fenton</t>
  </si>
  <si>
    <t>Lee</t>
  </si>
  <si>
    <t>ENG0202</t>
  </si>
  <si>
    <t>Cordell</t>
  </si>
  <si>
    <t>ENG0231</t>
  </si>
  <si>
    <t>Skinner</t>
  </si>
  <si>
    <t>Aaron</t>
  </si>
  <si>
    <t>ENG0260</t>
  </si>
  <si>
    <t>Blanchard</t>
  </si>
  <si>
    <t>ENG0283</t>
  </si>
  <si>
    <t>Butterworth</t>
  </si>
  <si>
    <t>ENG0287</t>
  </si>
  <si>
    <t>Jack</t>
  </si>
  <si>
    <t>Collier</t>
  </si>
  <si>
    <t>ENG0304</t>
  </si>
  <si>
    <t>Jamieson</t>
  </si>
  <si>
    <t>Malcolm</t>
  </si>
  <si>
    <t>ENG0323</t>
  </si>
  <si>
    <t>Solent Table Soccer &amp; Subbuteo Club</t>
  </si>
  <si>
    <t>ENG0333</t>
  </si>
  <si>
    <t>Ghigliotti</t>
  </si>
  <si>
    <t>ENG0339</t>
  </si>
  <si>
    <t>Hammonds</t>
  </si>
  <si>
    <t>Mick</t>
  </si>
  <si>
    <t>ENG0346</t>
  </si>
  <si>
    <t>Pearson</t>
  </si>
  <si>
    <t>ENG0347</t>
  </si>
  <si>
    <t>Scott</t>
  </si>
  <si>
    <t>ENG0356</t>
  </si>
  <si>
    <t>Badger</t>
  </si>
  <si>
    <t>ENG0357</t>
  </si>
  <si>
    <t>Whittle</t>
  </si>
  <si>
    <t>Lucasz</t>
  </si>
  <si>
    <t>ENG0358</t>
  </si>
  <si>
    <t>ENG0373</t>
  </si>
  <si>
    <t>Hunter</t>
  </si>
  <si>
    <t>ENG0397</t>
  </si>
  <si>
    <t>Roper</t>
  </si>
  <si>
    <t>ENG0406</t>
  </si>
  <si>
    <t>Harrington</t>
  </si>
  <si>
    <t>Josef</t>
  </si>
  <si>
    <t>ENG0407</t>
  </si>
  <si>
    <t>Haverhill Rovers TFC</t>
  </si>
  <si>
    <t>Holmes</t>
  </si>
  <si>
    <t>ENG0416</t>
  </si>
  <si>
    <t>Stewart</t>
  </si>
  <si>
    <t>ENG0420</t>
  </si>
  <si>
    <t>RAS Casual SC</t>
  </si>
  <si>
    <t>Dunne</t>
  </si>
  <si>
    <t>ENG0426</t>
  </si>
  <si>
    <t>Forster-Fake</t>
  </si>
  <si>
    <t>ENG0428</t>
  </si>
  <si>
    <t>Zucchelli</t>
  </si>
  <si>
    <t>Gianluca</t>
  </si>
  <si>
    <t>ENG0431</t>
  </si>
  <si>
    <t>Brown</t>
  </si>
  <si>
    <t>ENG0436</t>
  </si>
  <si>
    <t>Williams</t>
  </si>
  <si>
    <t>Keith</t>
  </si>
  <si>
    <t>ENG0444</t>
  </si>
  <si>
    <t>Ian</t>
  </si>
  <si>
    <t>Armstrong</t>
  </si>
  <si>
    <t>Finley</t>
  </si>
  <si>
    <t>ENG0453</t>
  </si>
  <si>
    <t>Thompson</t>
  </si>
  <si>
    <t>Wonnacott</t>
  </si>
  <si>
    <t>ENG0456</t>
  </si>
  <si>
    <t>Joe</t>
  </si>
  <si>
    <t>Bernard</t>
  </si>
  <si>
    <t>Mancini</t>
  </si>
  <si>
    <t>Matthews</t>
  </si>
  <si>
    <t>ENG0461</t>
  </si>
  <si>
    <t>Gladwell</t>
  </si>
  <si>
    <t>ENG0462</t>
  </si>
  <si>
    <t>Rodenby</t>
  </si>
  <si>
    <t>ENG0464</t>
  </si>
  <si>
    <t>Goodman</t>
  </si>
  <si>
    <t>ENG0465</t>
  </si>
  <si>
    <t>Burford</t>
  </si>
  <si>
    <t>ENG0466</t>
  </si>
  <si>
    <t>Morgan</t>
  </si>
  <si>
    <t>Nigel</t>
  </si>
  <si>
    <t>ENG0470</t>
  </si>
  <si>
    <t>Slinger</t>
  </si>
  <si>
    <t>ENG0472</t>
  </si>
  <si>
    <t>ENG0473</t>
  </si>
  <si>
    <t>Briffett</t>
  </si>
  <si>
    <t>Stuart</t>
  </si>
  <si>
    <t>ENG0474</t>
  </si>
  <si>
    <t>Paris</t>
  </si>
  <si>
    <t>ENG0475</t>
  </si>
  <si>
    <t>Mather</t>
  </si>
  <si>
    <t>ENG0476</t>
  </si>
  <si>
    <t>Kirkstall Crusaders Subbute Club</t>
  </si>
  <si>
    <t>Carman</t>
  </si>
  <si>
    <t>ENG0479</t>
  </si>
  <si>
    <t>ENG0480</t>
  </si>
  <si>
    <t>Hunt</t>
  </si>
  <si>
    <t>ENG0481</t>
  </si>
  <si>
    <t>Todd</t>
  </si>
  <si>
    <t>Moreton</t>
  </si>
  <si>
    <t>ENG0484</t>
  </si>
  <si>
    <t>Welby</t>
  </si>
  <si>
    <t>ENG0485</t>
  </si>
  <si>
    <t>Gage</t>
  </si>
  <si>
    <t>ENG0486</t>
  </si>
  <si>
    <t>Wolverhampton Table Football Club</t>
  </si>
  <si>
    <t>Heslop</t>
  </si>
  <si>
    <t>ENG0487</t>
  </si>
  <si>
    <t>ENG0488</t>
  </si>
  <si>
    <t>Ellis</t>
  </si>
  <si>
    <t>ENG0489</t>
  </si>
  <si>
    <t>Jackson</t>
  </si>
  <si>
    <t>ENG1005</t>
  </si>
  <si>
    <t>Hughes</t>
  </si>
  <si>
    <t>Cayne</t>
  </si>
  <si>
    <t>ENG1009</t>
  </si>
  <si>
    <t>Ruby</t>
  </si>
  <si>
    <t>ENG1010</t>
  </si>
  <si>
    <t>Lanzani</t>
  </si>
  <si>
    <t>Luca</t>
  </si>
  <si>
    <t>ENG1011</t>
  </si>
  <si>
    <t>Hill</t>
  </si>
  <si>
    <t>ENG1013</t>
  </si>
  <si>
    <t>Taylor</t>
  </si>
  <si>
    <t>ENG1014</t>
  </si>
  <si>
    <t>Harwood</t>
  </si>
  <si>
    <t>Graham</t>
  </si>
  <si>
    <t>Doherty</t>
  </si>
  <si>
    <t>Banks</t>
  </si>
  <si>
    <t>ENG1027</t>
  </si>
  <si>
    <t>Meggitt</t>
  </si>
  <si>
    <t>ENG1029</t>
  </si>
  <si>
    <t>Gerry</t>
  </si>
  <si>
    <t>Arturo</t>
  </si>
  <si>
    <t>ESP0001</t>
  </si>
  <si>
    <t>ACS Perugia</t>
  </si>
  <si>
    <t>Márquez</t>
  </si>
  <si>
    <t>José Luis</t>
  </si>
  <si>
    <t>ESP0002</t>
  </si>
  <si>
    <t>Prats</t>
  </si>
  <si>
    <t>Vicenç</t>
  </si>
  <si>
    <t>ESP0006</t>
  </si>
  <si>
    <t>Benita</t>
  </si>
  <si>
    <t>Raúl</t>
  </si>
  <si>
    <t>ESP0011</t>
  </si>
  <si>
    <t>Gallart</t>
  </si>
  <si>
    <t>ESP0013</t>
  </si>
  <si>
    <t>ESP0014</t>
  </si>
  <si>
    <t>Granados</t>
  </si>
  <si>
    <t>ESP0015</t>
  </si>
  <si>
    <t>Heredia</t>
  </si>
  <si>
    <t>Miguel Ángel</t>
  </si>
  <si>
    <t>ESP0016</t>
  </si>
  <si>
    <t>Cayuela</t>
  </si>
  <si>
    <t>ESP0018</t>
  </si>
  <si>
    <t>Mateos</t>
  </si>
  <si>
    <t>Alberto</t>
  </si>
  <si>
    <t>ESP0019</t>
  </si>
  <si>
    <t>ESP0022</t>
  </si>
  <si>
    <t>Araujo</t>
  </si>
  <si>
    <t>Álex</t>
  </si>
  <si>
    <t>ESP0023</t>
  </si>
  <si>
    <t>AS Iluro FT</t>
  </si>
  <si>
    <t>Flores</t>
  </si>
  <si>
    <t>Carlos</t>
  </si>
  <si>
    <t>ESP0024</t>
  </si>
  <si>
    <t>Casas</t>
  </si>
  <si>
    <t>ESP0025</t>
  </si>
  <si>
    <t>ESP0029</t>
  </si>
  <si>
    <t>Valverde</t>
  </si>
  <si>
    <t>Ángel</t>
  </si>
  <si>
    <t>ESP0033</t>
  </si>
  <si>
    <t>López</t>
  </si>
  <si>
    <t>ESP0036</t>
  </si>
  <si>
    <t>Clemares</t>
  </si>
  <si>
    <t>Manuel</t>
  </si>
  <si>
    <t>ESP0039</t>
  </si>
  <si>
    <t>ESP0042</t>
  </si>
  <si>
    <t>SPQR MMIX Subbuteo</t>
  </si>
  <si>
    <t>López Soligó</t>
  </si>
  <si>
    <t>Jorge Juan</t>
  </si>
  <si>
    <t>ESP0051</t>
  </si>
  <si>
    <t>Escudero</t>
  </si>
  <si>
    <t>ESP0052</t>
  </si>
  <si>
    <t>Coll</t>
  </si>
  <si>
    <t>Ferran</t>
  </si>
  <si>
    <t>ESP0059</t>
  </si>
  <si>
    <t>García</t>
  </si>
  <si>
    <t>Isaac</t>
  </si>
  <si>
    <t>ESP0061</t>
  </si>
  <si>
    <t>Capponi</t>
  </si>
  <si>
    <t>Piero</t>
  </si>
  <si>
    <t>ESP0062</t>
  </si>
  <si>
    <t>Feyjoo</t>
  </si>
  <si>
    <t>José María</t>
  </si>
  <si>
    <t>ESP0063</t>
  </si>
  <si>
    <t>Candelas</t>
  </si>
  <si>
    <t>ESP0064</t>
  </si>
  <si>
    <t>Balaguer</t>
  </si>
  <si>
    <t>Guillem</t>
  </si>
  <si>
    <t>ESP0065</t>
  </si>
  <si>
    <t>ESP0067</t>
  </si>
  <si>
    <t>Méndez</t>
  </si>
  <si>
    <t>Luis Felipe</t>
  </si>
  <si>
    <t>ESP0068</t>
  </si>
  <si>
    <t>Montaño</t>
  </si>
  <si>
    <t>ESP0069</t>
  </si>
  <si>
    <t>Alfonso</t>
  </si>
  <si>
    <t>ESP0070</t>
  </si>
  <si>
    <t>Castellano</t>
  </si>
  <si>
    <t>José M.</t>
  </si>
  <si>
    <t>ESP0076</t>
  </si>
  <si>
    <t>ESP0080</t>
  </si>
  <si>
    <t>ESP0121</t>
  </si>
  <si>
    <t>Casín</t>
  </si>
  <si>
    <t>Antonio Jesús</t>
  </si>
  <si>
    <t>ESP0131</t>
  </si>
  <si>
    <t>Pérez</t>
  </si>
  <si>
    <t>Somoza</t>
  </si>
  <si>
    <t>José David</t>
  </si>
  <si>
    <t>ESP0187</t>
  </si>
  <si>
    <t>Sánchez</t>
  </si>
  <si>
    <t>José Manuel</t>
  </si>
  <si>
    <t>ESP0188</t>
  </si>
  <si>
    <t>Álvaro</t>
  </si>
  <si>
    <t>Gerosa Cisneros</t>
  </si>
  <si>
    <t>ESP0205</t>
  </si>
  <si>
    <t>Fernández</t>
  </si>
  <si>
    <t>ESP0242</t>
  </si>
  <si>
    <t>García Fernández</t>
  </si>
  <si>
    <t>ESP0342</t>
  </si>
  <si>
    <t>Juan Antonio</t>
  </si>
  <si>
    <t>ESP0352</t>
  </si>
  <si>
    <t>Cano</t>
  </si>
  <si>
    <t>ESP0354</t>
  </si>
  <si>
    <t>Julia</t>
  </si>
  <si>
    <t>Romero</t>
  </si>
  <si>
    <t>ESP0372</t>
  </si>
  <si>
    <t>José Pedro</t>
  </si>
  <si>
    <t>ESP0378</t>
  </si>
  <si>
    <t>ESP0379</t>
  </si>
  <si>
    <t>Junquera Miñambres</t>
  </si>
  <si>
    <t>Javier</t>
  </si>
  <si>
    <t>ESP0381</t>
  </si>
  <si>
    <t>Junquera Quintana</t>
  </si>
  <si>
    <t>ESP0382</t>
  </si>
  <si>
    <t>Tejado</t>
  </si>
  <si>
    <t>ESP0384</t>
  </si>
  <si>
    <t>Muñoz</t>
  </si>
  <si>
    <t>Jaime</t>
  </si>
  <si>
    <t>ESP0404</t>
  </si>
  <si>
    <t>de Miguel</t>
  </si>
  <si>
    <t>Txema</t>
  </si>
  <si>
    <t>ESP0412</t>
  </si>
  <si>
    <t>Ivan</t>
  </si>
  <si>
    <t>Pinto</t>
  </si>
  <si>
    <t>ESP0416</t>
  </si>
  <si>
    <t>ESP0417</t>
  </si>
  <si>
    <t>Maireles</t>
  </si>
  <si>
    <t>Paula</t>
  </si>
  <si>
    <t>ESP0430</t>
  </si>
  <si>
    <t>Matabuena</t>
  </si>
  <si>
    <t>ESP0433</t>
  </si>
  <si>
    <t>Haro</t>
  </si>
  <si>
    <t>ESP0436</t>
  </si>
  <si>
    <t>Iliev</t>
  </si>
  <si>
    <t>ESP0437</t>
  </si>
  <si>
    <t>Cristian</t>
  </si>
  <si>
    <t>Jesús</t>
  </si>
  <si>
    <t>ESP0441</t>
  </si>
  <si>
    <t>Alsina</t>
  </si>
  <si>
    <t>ESP0448</t>
  </si>
  <si>
    <t>ESP0449</t>
  </si>
  <si>
    <t>Clerici</t>
  </si>
  <si>
    <t>ESP0452</t>
  </si>
  <si>
    <t>Parrilla</t>
  </si>
  <si>
    <t>ESP0457</t>
  </si>
  <si>
    <t>Benavent</t>
  </si>
  <si>
    <t>ESP0458</t>
  </si>
  <si>
    <t>Pirova</t>
  </si>
  <si>
    <t>Stefka</t>
  </si>
  <si>
    <t>ESP0461</t>
  </si>
  <si>
    <t>Fuertes</t>
  </si>
  <si>
    <t>César</t>
  </si>
  <si>
    <t>ESP0464</t>
  </si>
  <si>
    <t>Abraham</t>
  </si>
  <si>
    <t>ESP0465</t>
  </si>
  <si>
    <t>Rubén</t>
  </si>
  <si>
    <t>ESP0466</t>
  </si>
  <si>
    <t>Castillo</t>
  </si>
  <si>
    <t>Mario</t>
  </si>
  <si>
    <t>ESP0467</t>
  </si>
  <si>
    <t>Borbones</t>
  </si>
  <si>
    <t>ESP0478</t>
  </si>
  <si>
    <t>Héctor</t>
  </si>
  <si>
    <t>ESP0480</t>
  </si>
  <si>
    <t>Ruiz</t>
  </si>
  <si>
    <t>Ernesto</t>
  </si>
  <si>
    <t>ESP0488</t>
  </si>
  <si>
    <t>Hernández</t>
  </si>
  <si>
    <t>Antonio Manuel</t>
  </si>
  <si>
    <t>ESP0490</t>
  </si>
  <si>
    <t>Geronès</t>
  </si>
  <si>
    <t>Jordi</t>
  </si>
  <si>
    <t>ESP0494</t>
  </si>
  <si>
    <t>Acuña</t>
  </si>
  <si>
    <t>Iván</t>
  </si>
  <si>
    <t>ESP0495</t>
  </si>
  <si>
    <t>ESP0496</t>
  </si>
  <si>
    <t>Pasquale</t>
  </si>
  <si>
    <t>Ramos</t>
  </si>
  <si>
    <t>Moisés</t>
  </si>
  <si>
    <t>ESP0506</t>
  </si>
  <si>
    <t>Alonso</t>
  </si>
  <si>
    <t>Joseba</t>
  </si>
  <si>
    <t>ESP0509</t>
  </si>
  <si>
    <t>Salazar</t>
  </si>
  <si>
    <t>José Antonio</t>
  </si>
  <si>
    <t>ESP0510</t>
  </si>
  <si>
    <t>ESP0511</t>
  </si>
  <si>
    <t>Miguel</t>
  </si>
  <si>
    <t>Cuenca</t>
  </si>
  <si>
    <t>ESP0513</t>
  </si>
  <si>
    <t>Mastroianni</t>
  </si>
  <si>
    <t>ESP0520</t>
  </si>
  <si>
    <t>Ribé</t>
  </si>
  <si>
    <t>Sergi</t>
  </si>
  <si>
    <t>ESP0521</t>
  </si>
  <si>
    <t>ESP0523</t>
  </si>
  <si>
    <t>Emilio</t>
  </si>
  <si>
    <t>ESP0538</t>
  </si>
  <si>
    <t>Joel</t>
  </si>
  <si>
    <t>ESP0539</t>
  </si>
  <si>
    <t>Villao</t>
  </si>
  <si>
    <t>Enrique</t>
  </si>
  <si>
    <t>ESP0542</t>
  </si>
  <si>
    <t>ESP0545</t>
  </si>
  <si>
    <t>ESP0546</t>
  </si>
  <si>
    <t>Ucha</t>
  </si>
  <si>
    <t>ESP0548</t>
  </si>
  <si>
    <t>Juárez</t>
  </si>
  <si>
    <t>ESP0550</t>
  </si>
  <si>
    <t>Toni</t>
  </si>
  <si>
    <t>ESP0551</t>
  </si>
  <si>
    <t>Maso</t>
  </si>
  <si>
    <t>Xavi</t>
  </si>
  <si>
    <t>ESP0557</t>
  </si>
  <si>
    <t>Puertas</t>
  </si>
  <si>
    <t>Carles</t>
  </si>
  <si>
    <t>ESP0558</t>
  </si>
  <si>
    <t>Julià</t>
  </si>
  <si>
    <t>ESP0559</t>
  </si>
  <si>
    <t>Barnola</t>
  </si>
  <si>
    <t>Arç</t>
  </si>
  <si>
    <t>ESP0560</t>
  </si>
  <si>
    <t>Martí</t>
  </si>
  <si>
    <t>ESP0552</t>
  </si>
  <si>
    <t>Erick</t>
  </si>
  <si>
    <t>ESP0553</t>
  </si>
  <si>
    <t>Quer</t>
  </si>
  <si>
    <t>Oriol</t>
  </si>
  <si>
    <t>ESP0563</t>
  </si>
  <si>
    <t>Márquez Galisteo</t>
  </si>
  <si>
    <t>Owen</t>
  </si>
  <si>
    <t>ESP0564</t>
  </si>
  <si>
    <t>Andrade De Almeida</t>
  </si>
  <si>
    <t>ESP0565</t>
  </si>
  <si>
    <t>Kai</t>
  </si>
  <si>
    <t>Miko</t>
  </si>
  <si>
    <t>Diradourian</t>
  </si>
  <si>
    <t>Margot</t>
  </si>
  <si>
    <t>FRA0002</t>
  </si>
  <si>
    <t>Balard</t>
  </si>
  <si>
    <t>Jean-François</t>
  </si>
  <si>
    <t>FRA0010</t>
  </si>
  <si>
    <t>Trouillard</t>
  </si>
  <si>
    <t>FRA0011</t>
  </si>
  <si>
    <t>Serge</t>
  </si>
  <si>
    <t>FRA0012</t>
  </si>
  <si>
    <t>FRA0013</t>
  </si>
  <si>
    <t>Naszalyi</t>
  </si>
  <si>
    <t>FRA0014</t>
  </si>
  <si>
    <t>Vivron</t>
  </si>
  <si>
    <t>FRA0016</t>
  </si>
  <si>
    <t>Gorgette</t>
  </si>
  <si>
    <t>Emmanuel</t>
  </si>
  <si>
    <t>FRA0017</t>
  </si>
  <si>
    <t>SC Palermo</t>
  </si>
  <si>
    <t>Amberny</t>
  </si>
  <si>
    <t>Jean-Marie</t>
  </si>
  <si>
    <t>FRA0018</t>
  </si>
  <si>
    <t>Donval</t>
  </si>
  <si>
    <t>Axel</t>
  </si>
  <si>
    <t>FRA0019</t>
  </si>
  <si>
    <t>Modeste</t>
  </si>
  <si>
    <t>FRA0020</t>
  </si>
  <si>
    <t>Zaki</t>
  </si>
  <si>
    <t>FRA0021</t>
  </si>
  <si>
    <t>Lienhardt</t>
  </si>
  <si>
    <t>FRA0023</t>
  </si>
  <si>
    <t>Théo</t>
  </si>
  <si>
    <t>FRA0025</t>
  </si>
  <si>
    <t>FRA0026</t>
  </si>
  <si>
    <t>Herbaut</t>
  </si>
  <si>
    <t>FRA0034</t>
  </si>
  <si>
    <t>Audrey</t>
  </si>
  <si>
    <t>FRA0035</t>
  </si>
  <si>
    <t>Ledieu</t>
  </si>
  <si>
    <t>Johnny</t>
  </si>
  <si>
    <t>FRA0038</t>
  </si>
  <si>
    <t>Guyot</t>
  </si>
  <si>
    <t>Françoise</t>
  </si>
  <si>
    <t>FRA0039</t>
  </si>
  <si>
    <t>Loarec</t>
  </si>
  <si>
    <t>Yann</t>
  </si>
  <si>
    <t>FRA0054</t>
  </si>
  <si>
    <t>Pommier</t>
  </si>
  <si>
    <t>FRA0056</t>
  </si>
  <si>
    <t>Fouetillou</t>
  </si>
  <si>
    <t>FRA0059</t>
  </si>
  <si>
    <t>Sagit</t>
  </si>
  <si>
    <t>FRA0060</t>
  </si>
  <si>
    <t>FRA0062</t>
  </si>
  <si>
    <t>Bastin</t>
  </si>
  <si>
    <t>FRA0069</t>
  </si>
  <si>
    <t>Midoux</t>
  </si>
  <si>
    <t>FRA0092</t>
  </si>
  <si>
    <t>Soret</t>
  </si>
  <si>
    <t>Rémi</t>
  </si>
  <si>
    <t>FRA0093</t>
  </si>
  <si>
    <t>Lours</t>
  </si>
  <si>
    <t>FRA0109</t>
  </si>
  <si>
    <t>Ausset</t>
  </si>
  <si>
    <t>FRA0120</t>
  </si>
  <si>
    <t>FRA0122</t>
  </si>
  <si>
    <t>Offmann</t>
  </si>
  <si>
    <t>FRA0135</t>
  </si>
  <si>
    <t>Legall</t>
  </si>
  <si>
    <t>Eliott</t>
  </si>
  <si>
    <t>FRA0152</t>
  </si>
  <si>
    <t>FCT Nantes</t>
  </si>
  <si>
    <t>FRA0164</t>
  </si>
  <si>
    <t>Rafaël</t>
  </si>
  <si>
    <t>FRA0168</t>
  </si>
  <si>
    <t>FRA0169</t>
  </si>
  <si>
    <t>Dubreuil</t>
  </si>
  <si>
    <t>FRA0170</t>
  </si>
  <si>
    <t>Garnier</t>
  </si>
  <si>
    <t>Stéphanie</t>
  </si>
  <si>
    <t>FRA0171</t>
  </si>
  <si>
    <t>Linquercq-Rivière</t>
  </si>
  <si>
    <t>Irène</t>
  </si>
  <si>
    <t>FRA0174</t>
  </si>
  <si>
    <t>Gilles</t>
  </si>
  <si>
    <t>FRA0175</t>
  </si>
  <si>
    <t>Lo Preti</t>
  </si>
  <si>
    <t>Lorenzo</t>
  </si>
  <si>
    <t>FRA0176</t>
  </si>
  <si>
    <t>Fanch</t>
  </si>
  <si>
    <t>FRA0178</t>
  </si>
  <si>
    <t>Blanc</t>
  </si>
  <si>
    <t>Mickaël</t>
  </si>
  <si>
    <t>FRA0179</t>
  </si>
  <si>
    <t>Bolusset</t>
  </si>
  <si>
    <t>FRA0181</t>
  </si>
  <si>
    <t>FRA0183</t>
  </si>
  <si>
    <t>Polsinelli</t>
  </si>
  <si>
    <t>FRA0185</t>
  </si>
  <si>
    <t>Durand</t>
  </si>
  <si>
    <t>FRA0186</t>
  </si>
  <si>
    <t>Pandolfi</t>
  </si>
  <si>
    <t>FRA0187</t>
  </si>
  <si>
    <t>Bonnet</t>
  </si>
  <si>
    <t>Cyprien</t>
  </si>
  <si>
    <t>FRA0189</t>
  </si>
  <si>
    <t>FRA0194</t>
  </si>
  <si>
    <t>Dumazi</t>
  </si>
  <si>
    <t>FRA0196</t>
  </si>
  <si>
    <t>Sorge</t>
  </si>
  <si>
    <t>FRA0197</t>
  </si>
  <si>
    <t>Jaillet</t>
  </si>
  <si>
    <t>FRA0210</t>
  </si>
  <si>
    <t>Lafontaine</t>
  </si>
  <si>
    <t>FRA0216</t>
  </si>
  <si>
    <t>Pouffet</t>
  </si>
  <si>
    <t>FRA0218</t>
  </si>
  <si>
    <t>Le De</t>
  </si>
  <si>
    <t>FRA0219</t>
  </si>
  <si>
    <t>Football de Table Aquitaine</t>
  </si>
  <si>
    <t>Lupo</t>
  </si>
  <si>
    <t>FRA0237</t>
  </si>
  <si>
    <t>Elesbao</t>
  </si>
  <si>
    <t>Fred</t>
  </si>
  <si>
    <t>GER0145</t>
  </si>
  <si>
    <t>SG '94 Hannover</t>
  </si>
  <si>
    <t>Alvarez</t>
  </si>
  <si>
    <t>Lawrence</t>
  </si>
  <si>
    <t>GIB0003</t>
  </si>
  <si>
    <t>Avellano</t>
  </si>
  <si>
    <t>GIB0051</t>
  </si>
  <si>
    <t>Leon</t>
  </si>
  <si>
    <t>GIB0053</t>
  </si>
  <si>
    <t>Berliaque</t>
  </si>
  <si>
    <t>GIB0057</t>
  </si>
  <si>
    <t>Bonavia</t>
  </si>
  <si>
    <t>Jose Luis</t>
  </si>
  <si>
    <t>GIB0009</t>
  </si>
  <si>
    <t>Canilla</t>
  </si>
  <si>
    <t>GIB0059</t>
  </si>
  <si>
    <t>Dean</t>
  </si>
  <si>
    <t>GIB0049</t>
  </si>
  <si>
    <t>Niall</t>
  </si>
  <si>
    <t>GIB0052</t>
  </si>
  <si>
    <t>Dotto</t>
  </si>
  <si>
    <t>GIB0056</t>
  </si>
  <si>
    <t>Field</t>
  </si>
  <si>
    <t>GIB0002</t>
  </si>
  <si>
    <t>Laguea</t>
  </si>
  <si>
    <t>GIB0065</t>
  </si>
  <si>
    <t>Martinez</t>
  </si>
  <si>
    <t>GIB0001</t>
  </si>
  <si>
    <t>Palmer</t>
  </si>
  <si>
    <t>Guy</t>
  </si>
  <si>
    <t>GIB0004</t>
  </si>
  <si>
    <t>Sanchez</t>
  </si>
  <si>
    <t>GIB0058</t>
  </si>
  <si>
    <t>Santos</t>
  </si>
  <si>
    <t>GIB0007</t>
  </si>
  <si>
    <t>Tellez</t>
  </si>
  <si>
    <t>Eddie</t>
  </si>
  <si>
    <t>GIB0005</t>
  </si>
  <si>
    <t>GIB0015</t>
  </si>
  <si>
    <t>Adavalis</t>
  </si>
  <si>
    <t>Avraam</t>
  </si>
  <si>
    <t>GRE0744</t>
  </si>
  <si>
    <t>Afratis</t>
  </si>
  <si>
    <t>GRE0690</t>
  </si>
  <si>
    <t>Agelakis</t>
  </si>
  <si>
    <t>Nicos</t>
  </si>
  <si>
    <t>GRE0311</t>
  </si>
  <si>
    <t>Aggelakos</t>
  </si>
  <si>
    <t>GRE0223</t>
  </si>
  <si>
    <t>Aggelou</t>
  </si>
  <si>
    <t>GRE0642</t>
  </si>
  <si>
    <t>Agrios</t>
  </si>
  <si>
    <t>GRE0568</t>
  </si>
  <si>
    <t>Theodoros</t>
  </si>
  <si>
    <t>GRE0567</t>
  </si>
  <si>
    <t>Alatsaki</t>
  </si>
  <si>
    <t>Pothiti</t>
  </si>
  <si>
    <t>GRE0383</t>
  </si>
  <si>
    <t>Alatsakis</t>
  </si>
  <si>
    <t>Christoforos</t>
  </si>
  <si>
    <t>GRE0334</t>
  </si>
  <si>
    <t>Alexandrou</t>
  </si>
  <si>
    <t>Dimitris Arnis</t>
  </si>
  <si>
    <t>GRE0726</t>
  </si>
  <si>
    <t>Alexiou</t>
  </si>
  <si>
    <t>Konstantinos</t>
  </si>
  <si>
    <t>GRE0184</t>
  </si>
  <si>
    <t>GRE0463</t>
  </si>
  <si>
    <t>Aliadis</t>
  </si>
  <si>
    <t>Panagiotis</t>
  </si>
  <si>
    <t>GRE0110</t>
  </si>
  <si>
    <t>Anagnostopoulos</t>
  </si>
  <si>
    <t>Dionisis</t>
  </si>
  <si>
    <t>GRE0494</t>
  </si>
  <si>
    <t>Andreadis</t>
  </si>
  <si>
    <t>Dimitrios</t>
  </si>
  <si>
    <t>GRE0534</t>
  </si>
  <si>
    <t>Androutsopoulos</t>
  </si>
  <si>
    <t>Georgios</t>
  </si>
  <si>
    <t>GRE0193</t>
  </si>
  <si>
    <t>Ioannis</t>
  </si>
  <si>
    <t>GRE0338</t>
  </si>
  <si>
    <t>Angelinas</t>
  </si>
  <si>
    <t>GRE0142</t>
  </si>
  <si>
    <t>GRE0084</t>
  </si>
  <si>
    <t>Angelopoulos</t>
  </si>
  <si>
    <t>GRE0302</t>
  </si>
  <si>
    <t>Antonaropoulos</t>
  </si>
  <si>
    <t>Nikolaos</t>
  </si>
  <si>
    <t>GRE0339</t>
  </si>
  <si>
    <t>Antonopoulos</t>
  </si>
  <si>
    <t>GRE0486</t>
  </si>
  <si>
    <t>Spiros</t>
  </si>
  <si>
    <t>GRE0599</t>
  </si>
  <si>
    <t>PIraeus Lions TSC</t>
  </si>
  <si>
    <t>Thodoris</t>
  </si>
  <si>
    <t>GRE0487</t>
  </si>
  <si>
    <t>Apatzis</t>
  </si>
  <si>
    <t>GRE0556</t>
  </si>
  <si>
    <t>GRE0555</t>
  </si>
  <si>
    <t>Apergis</t>
  </si>
  <si>
    <t>Gerasimos</t>
  </si>
  <si>
    <t>GRE0137</t>
  </si>
  <si>
    <t>Apostolidis</t>
  </si>
  <si>
    <t>GRE0313</t>
  </si>
  <si>
    <t>Michail</t>
  </si>
  <si>
    <t>GRE0328</t>
  </si>
  <si>
    <t>GRE0327</t>
  </si>
  <si>
    <t>Apostolopoulos</t>
  </si>
  <si>
    <t>Platonas</t>
  </si>
  <si>
    <t>GRE0445</t>
  </si>
  <si>
    <t>Apostolou</t>
  </si>
  <si>
    <t>Antonis</t>
  </si>
  <si>
    <t>GRE0351</t>
  </si>
  <si>
    <t>GRE0358</t>
  </si>
  <si>
    <t>Arabatzis</t>
  </si>
  <si>
    <t>GRE0128</t>
  </si>
  <si>
    <t>GRE0259</t>
  </si>
  <si>
    <t>Archimandritis</t>
  </si>
  <si>
    <t>GRE0083</t>
  </si>
  <si>
    <t>Argirakoulis</t>
  </si>
  <si>
    <t>GRE0037</t>
  </si>
  <si>
    <t>Argiris</t>
  </si>
  <si>
    <t>GRE0738</t>
  </si>
  <si>
    <t>Argyrakoulis</t>
  </si>
  <si>
    <t>GRE0237</t>
  </si>
  <si>
    <t>Argyropoulos</t>
  </si>
  <si>
    <t>Stavros</t>
  </si>
  <si>
    <t>GRE0054</t>
  </si>
  <si>
    <t>Valantis</t>
  </si>
  <si>
    <t>GRE0613</t>
  </si>
  <si>
    <t>Vasilios</t>
  </si>
  <si>
    <t>GRE0595</t>
  </si>
  <si>
    <t>Argyros</t>
  </si>
  <si>
    <t>GRE0387</t>
  </si>
  <si>
    <t>Arvanitaki</t>
  </si>
  <si>
    <t>Nikoletta</t>
  </si>
  <si>
    <t>GRE0095</t>
  </si>
  <si>
    <t>Arvanitakis</t>
  </si>
  <si>
    <t>GRE0129</t>
  </si>
  <si>
    <t>Arvanitis</t>
  </si>
  <si>
    <t>GRE0340</t>
  </si>
  <si>
    <t>GRE0048</t>
  </si>
  <si>
    <t>Spyridon</t>
  </si>
  <si>
    <t>GRE0462</t>
  </si>
  <si>
    <t>Arzoumanidis</t>
  </si>
  <si>
    <t>Kyriakos</t>
  </si>
  <si>
    <t>GRE0269</t>
  </si>
  <si>
    <t>Asimakopoulos</t>
  </si>
  <si>
    <t>GRE0092</t>
  </si>
  <si>
    <t>Athanasopoulos</t>
  </si>
  <si>
    <t>GRE0314</t>
  </si>
  <si>
    <t>Avgeas</t>
  </si>
  <si>
    <t>GRE0431</t>
  </si>
  <si>
    <t>Avgitidis</t>
  </si>
  <si>
    <t>Georgios M</t>
  </si>
  <si>
    <t>GRE0699</t>
  </si>
  <si>
    <t>Georgios N</t>
  </si>
  <si>
    <t>GRE0701</t>
  </si>
  <si>
    <t>Miltiadis</t>
  </si>
  <si>
    <t>GRE0698</t>
  </si>
  <si>
    <t>GRE0700</t>
  </si>
  <si>
    <t>Axiomakaros</t>
  </si>
  <si>
    <t>GRE0182</t>
  </si>
  <si>
    <t>Baira</t>
  </si>
  <si>
    <t>Athina</t>
  </si>
  <si>
    <t>GRE0143</t>
  </si>
  <si>
    <t>Bairas</t>
  </si>
  <si>
    <t>Tasos</t>
  </si>
  <si>
    <t>GRE0149</t>
  </si>
  <si>
    <t>Vaggelis</t>
  </si>
  <si>
    <t>GRE0290</t>
  </si>
  <si>
    <t>Bairasm Jr</t>
  </si>
  <si>
    <t>Stelios</t>
  </si>
  <si>
    <t>GRE0274</t>
  </si>
  <si>
    <t>Balakakis</t>
  </si>
  <si>
    <t>GRE0593</t>
  </si>
  <si>
    <t>Bartzis</t>
  </si>
  <si>
    <t>Athanasios</t>
  </si>
  <si>
    <t>GRE0057</t>
  </si>
  <si>
    <t>Ektoras</t>
  </si>
  <si>
    <t>GRE0403</t>
  </si>
  <si>
    <t>Begnis</t>
  </si>
  <si>
    <t>GRE0436</t>
  </si>
  <si>
    <t>GRE0437</t>
  </si>
  <si>
    <t>Beis</t>
  </si>
  <si>
    <t>GRE0014</t>
  </si>
  <si>
    <t>Biskinis</t>
  </si>
  <si>
    <t>Periklis</t>
  </si>
  <si>
    <t>GRE0085</t>
  </si>
  <si>
    <t>Bizas</t>
  </si>
  <si>
    <t>GRE0058</t>
  </si>
  <si>
    <t>Bogdanidis</t>
  </si>
  <si>
    <t>Achilleas</t>
  </si>
  <si>
    <t>GRE0021</t>
  </si>
  <si>
    <t>GRE0617</t>
  </si>
  <si>
    <t>GRE0721</t>
  </si>
  <si>
    <t>Bourtzonis</t>
  </si>
  <si>
    <t>GRE0252</t>
  </si>
  <si>
    <t>Briskolas</t>
  </si>
  <si>
    <t>GRE0641</t>
  </si>
  <si>
    <t>Caseley</t>
  </si>
  <si>
    <t>Pavlos</t>
  </si>
  <si>
    <t>GRE0046</t>
  </si>
  <si>
    <t>Chaitas</t>
  </si>
  <si>
    <t>Charalampos</t>
  </si>
  <si>
    <t>GRE0059</t>
  </si>
  <si>
    <t>Chalkias</t>
  </si>
  <si>
    <t>Sotirios</t>
  </si>
  <si>
    <t>GRE0435</t>
  </si>
  <si>
    <t>Chalkidis</t>
  </si>
  <si>
    <t>Eleftherios</t>
  </si>
  <si>
    <t>GRE0492</t>
  </si>
  <si>
    <t>Theocharis</t>
  </si>
  <si>
    <t>GRE0493</t>
  </si>
  <si>
    <t>Chanos</t>
  </si>
  <si>
    <t>GRE0650</t>
  </si>
  <si>
    <t>GRE0651</t>
  </si>
  <si>
    <t>Michail I</t>
  </si>
  <si>
    <t>GRE0652</t>
  </si>
  <si>
    <t>Michail K</t>
  </si>
  <si>
    <t>GRE0653</t>
  </si>
  <si>
    <t>Chantzaras</t>
  </si>
  <si>
    <t>GRE0107</t>
  </si>
  <si>
    <t>Charalambou</t>
  </si>
  <si>
    <t>GRE0677</t>
  </si>
  <si>
    <t>Charalampidis</t>
  </si>
  <si>
    <t>Charalambos</t>
  </si>
  <si>
    <t>GRE0043</t>
  </si>
  <si>
    <t>Charamis</t>
  </si>
  <si>
    <t>GRE0679</t>
  </si>
  <si>
    <t>Charatsis</t>
  </si>
  <si>
    <t>GRE0296</t>
  </si>
  <si>
    <t>GRE0221</t>
  </si>
  <si>
    <t>Charizopoulos</t>
  </si>
  <si>
    <t>GRE0742</t>
  </si>
  <si>
    <t>Chasoulidis</t>
  </si>
  <si>
    <t>Charilaos</t>
  </si>
  <si>
    <t>GRE0544</t>
  </si>
  <si>
    <t>GRE0561</t>
  </si>
  <si>
    <t>Chatzakis</t>
  </si>
  <si>
    <t>GRE0400</t>
  </si>
  <si>
    <t>Chatzidialechtos</t>
  </si>
  <si>
    <t>GRE0710</t>
  </si>
  <si>
    <t>Chatzistavrakis</t>
  </si>
  <si>
    <t>Emmanouil</t>
  </si>
  <si>
    <t>GRE0737</t>
  </si>
  <si>
    <t>Chatzitheodorou</t>
  </si>
  <si>
    <t>GRE0535</t>
  </si>
  <si>
    <t>Chazarakis</t>
  </si>
  <si>
    <t>Alkaios</t>
  </si>
  <si>
    <t>GRE0584</t>
  </si>
  <si>
    <t>Cheiras</t>
  </si>
  <si>
    <t>Dimosthenis</t>
  </si>
  <si>
    <t>GRE0178</t>
  </si>
  <si>
    <t>GRE0205</t>
  </si>
  <si>
    <t>Chiotis</t>
  </si>
  <si>
    <t>GRE0687</t>
  </si>
  <si>
    <t>Michalis</t>
  </si>
  <si>
    <t>GRE0686</t>
  </si>
  <si>
    <t>Chondroudakis</t>
  </si>
  <si>
    <t>Fotis</t>
  </si>
  <si>
    <t>GRE0303</t>
  </si>
  <si>
    <t>Christidis</t>
  </si>
  <si>
    <t>GRE0451</t>
  </si>
  <si>
    <t>Christodoulou</t>
  </si>
  <si>
    <t>Apostolos</t>
  </si>
  <si>
    <t>GRE0105</t>
  </si>
  <si>
    <t>GRE0284</t>
  </si>
  <si>
    <t>Christopoulos</t>
  </si>
  <si>
    <t>Orestis</t>
  </si>
  <si>
    <t>GRE0272</t>
  </si>
  <si>
    <t>Christou</t>
  </si>
  <si>
    <t>GRE0144</t>
  </si>
  <si>
    <t>Chronopoulos</t>
  </si>
  <si>
    <t>GRE0488</t>
  </si>
  <si>
    <t>Dalietos</t>
  </si>
  <si>
    <t>Kostantinos</t>
  </si>
  <si>
    <t>GRE0192</t>
  </si>
  <si>
    <t>Delligianakis</t>
  </si>
  <si>
    <t>Eftichios</t>
  </si>
  <si>
    <t>GRE0282</t>
  </si>
  <si>
    <t>Demirtzoglou</t>
  </si>
  <si>
    <t>Iordanis</t>
  </si>
  <si>
    <t>GRE0319</t>
  </si>
  <si>
    <t>Derekis</t>
  </si>
  <si>
    <t>GRE0725</t>
  </si>
  <si>
    <t>Dervis</t>
  </si>
  <si>
    <t>Adrianos</t>
  </si>
  <si>
    <t>GRE0006</t>
  </si>
  <si>
    <t>Detorakis</t>
  </si>
  <si>
    <t>GRE0452</t>
  </si>
  <si>
    <t>Di Maggio</t>
  </si>
  <si>
    <t>Agapi</t>
  </si>
  <si>
    <t>GRE0606</t>
  </si>
  <si>
    <t>GRE0455</t>
  </si>
  <si>
    <t>GRE0581</t>
  </si>
  <si>
    <t>Diamantopoulos</t>
  </si>
  <si>
    <t>GRE0466</t>
  </si>
  <si>
    <t>Dimakeas</t>
  </si>
  <si>
    <t>Apollon</t>
  </si>
  <si>
    <t>GRE0732</t>
  </si>
  <si>
    <t>GRE0079</t>
  </si>
  <si>
    <t>Dimopoulos</t>
  </si>
  <si>
    <t>GRE0228</t>
  </si>
  <si>
    <t>Iasonas</t>
  </si>
  <si>
    <t>GRE0481</t>
  </si>
  <si>
    <t>GRE0005</t>
  </si>
  <si>
    <t>Rafail</t>
  </si>
  <si>
    <t>GRE0229</t>
  </si>
  <si>
    <t>Dimos</t>
  </si>
  <si>
    <t>GRE0647</t>
  </si>
  <si>
    <t>Dionisopoulos</t>
  </si>
  <si>
    <t>GRE0616</t>
  </si>
  <si>
    <t>Dolmes</t>
  </si>
  <si>
    <t>Pantelis</t>
  </si>
  <si>
    <t>GRE0288</t>
  </si>
  <si>
    <t>Dragomanidis</t>
  </si>
  <si>
    <t>GRE0321</t>
  </si>
  <si>
    <t>Dragosis</t>
  </si>
  <si>
    <t>GRE0476</t>
  </si>
  <si>
    <t>GRE0475</t>
  </si>
  <si>
    <t>GRE0474</t>
  </si>
  <si>
    <t>Drazinakis</t>
  </si>
  <si>
    <t>GRE0227</t>
  </si>
  <si>
    <t>GRE0297</t>
  </si>
  <si>
    <t>Lampros</t>
  </si>
  <si>
    <t>GRE0111</t>
  </si>
  <si>
    <t>Drossopoulos</t>
  </si>
  <si>
    <t>Nasos</t>
  </si>
  <si>
    <t>GRE0047</t>
  </si>
  <si>
    <t>Eleftheriou</t>
  </si>
  <si>
    <t>GRE0596</t>
  </si>
  <si>
    <t>GRE0126</t>
  </si>
  <si>
    <t>Eskitzioglou</t>
  </si>
  <si>
    <t>Erinarhos</t>
  </si>
  <si>
    <t>GRE0529</t>
  </si>
  <si>
    <t>Victoras</t>
  </si>
  <si>
    <t>GRE0528</t>
  </si>
  <si>
    <t>Evangelou</t>
  </si>
  <si>
    <t>GRE0728</t>
  </si>
  <si>
    <t>Falelakis</t>
  </si>
  <si>
    <t>Evaggelos</t>
  </si>
  <si>
    <t>GRE0384</t>
  </si>
  <si>
    <t>Markos</t>
  </si>
  <si>
    <t>GRE0385</t>
  </si>
  <si>
    <t>Fanaras</t>
  </si>
  <si>
    <t>GRE0185</t>
  </si>
  <si>
    <t>Fanariotis</t>
  </si>
  <si>
    <t>GRE0587</t>
  </si>
  <si>
    <t>Farmakis</t>
  </si>
  <si>
    <t>Alexios</t>
  </si>
  <si>
    <t>GRE0649</t>
  </si>
  <si>
    <t>Filippou</t>
  </si>
  <si>
    <t>GRE0683</t>
  </si>
  <si>
    <t>GRE0485</t>
  </si>
  <si>
    <t>Filippousis</t>
  </si>
  <si>
    <t>GRE0060</t>
  </si>
  <si>
    <t>Fitos</t>
  </si>
  <si>
    <t>GRE0042</t>
  </si>
  <si>
    <t>Floros</t>
  </si>
  <si>
    <t>dimitrios</t>
  </si>
  <si>
    <t>GRE0662</t>
  </si>
  <si>
    <t>Fotiadou</t>
  </si>
  <si>
    <t>Dimitra</t>
  </si>
  <si>
    <t>GRE0517</t>
  </si>
  <si>
    <t>Fotinopoulos</t>
  </si>
  <si>
    <t>GRE0624</t>
  </si>
  <si>
    <t>Fotopoulos</t>
  </si>
  <si>
    <t>GRE0140</t>
  </si>
  <si>
    <t>Fousteris</t>
  </si>
  <si>
    <t>Emanouil</t>
  </si>
  <si>
    <t>GRE0061</t>
  </si>
  <si>
    <t>Foutrakis</t>
  </si>
  <si>
    <t>Aggelos</t>
  </si>
  <si>
    <t>GRE0469</t>
  </si>
  <si>
    <t>Fragkakis</t>
  </si>
  <si>
    <t>Velissarios</t>
  </si>
  <si>
    <t>GRE0106</t>
  </si>
  <si>
    <t>Frantzeskou</t>
  </si>
  <si>
    <t>Giota</t>
  </si>
  <si>
    <t>GRE0580</t>
  </si>
  <si>
    <t>Ftakas</t>
  </si>
  <si>
    <t>GRE0208</t>
  </si>
  <si>
    <t>Gagas</t>
  </si>
  <si>
    <t>Thrasyvoulos</t>
  </si>
  <si>
    <t>GRE0187</t>
  </si>
  <si>
    <t>Galanakis</t>
  </si>
  <si>
    <t>GRE0440</t>
  </si>
  <si>
    <t>Galanis</t>
  </si>
  <si>
    <t>GRE0723</t>
  </si>
  <si>
    <t>Galanopoulos</t>
  </si>
  <si>
    <t>Ilias</t>
  </si>
  <si>
    <t>GRE0643</t>
  </si>
  <si>
    <t>GRE0682</t>
  </si>
  <si>
    <t>Symeon</t>
  </si>
  <si>
    <t>GRE0681</t>
  </si>
  <si>
    <t>Garefalakis</t>
  </si>
  <si>
    <t>GRE0073</t>
  </si>
  <si>
    <t>Genitsaropoulos</t>
  </si>
  <si>
    <t>GRE0333</t>
  </si>
  <si>
    <t>Georgakis</t>
  </si>
  <si>
    <t>GRE0151</t>
  </si>
  <si>
    <t>Georginis</t>
  </si>
  <si>
    <t>GRE0331</t>
  </si>
  <si>
    <t>Georgiopoulos</t>
  </si>
  <si>
    <t>GRE0160</t>
  </si>
  <si>
    <t>GRE0306</t>
  </si>
  <si>
    <t>Pantazis</t>
  </si>
  <si>
    <t>GRE0533</t>
  </si>
  <si>
    <t>Georgopoulos</t>
  </si>
  <si>
    <t>GRE0030</t>
  </si>
  <si>
    <t>Georgoulis</t>
  </si>
  <si>
    <t>GRE0422</t>
  </si>
  <si>
    <t>GRE0433</t>
  </si>
  <si>
    <t>Giaglis</t>
  </si>
  <si>
    <t>GRE0051</t>
  </si>
  <si>
    <t>Gialitsis</t>
  </si>
  <si>
    <t>Porfyrios</t>
  </si>
  <si>
    <t>GRE0295</t>
  </si>
  <si>
    <t>Giannopoulos</t>
  </si>
  <si>
    <t>GRE0204</t>
  </si>
  <si>
    <t>Giantais</t>
  </si>
  <si>
    <t>GRE0465</t>
  </si>
  <si>
    <t>Giapoutzis</t>
  </si>
  <si>
    <t>Constantios</t>
  </si>
  <si>
    <t>GRE0532</t>
  </si>
  <si>
    <t>Nikiforos</t>
  </si>
  <si>
    <t>GRE0605</t>
  </si>
  <si>
    <t>GRE0538</t>
  </si>
  <si>
    <t>Gioutsas</t>
  </si>
  <si>
    <t>GRE0491</t>
  </si>
  <si>
    <t>Gkiochalas</t>
  </si>
  <si>
    <t>GRE0007</t>
  </si>
  <si>
    <t>Gkiotlis</t>
  </si>
  <si>
    <t>GRE0614</t>
  </si>
  <si>
    <t>GRE0526</t>
  </si>
  <si>
    <t>Gkogkos</t>
  </si>
  <si>
    <t>GRE0299</t>
  </si>
  <si>
    <t>Golemis</t>
  </si>
  <si>
    <t>GRE0315</t>
  </si>
  <si>
    <t>Gortzas</t>
  </si>
  <si>
    <t>GRE0168</t>
  </si>
  <si>
    <t>Goulopoulos</t>
  </si>
  <si>
    <t>GRE0746</t>
  </si>
  <si>
    <t>Gouloulis</t>
  </si>
  <si>
    <t>GRE0145</t>
  </si>
  <si>
    <t>Goutzioulis</t>
  </si>
  <si>
    <t>GRE0454</t>
  </si>
  <si>
    <t>Gouvelis</t>
  </si>
  <si>
    <t>GRE0062</t>
  </si>
  <si>
    <t>Hatzikonstantinou</t>
  </si>
  <si>
    <t>Lakis</t>
  </si>
  <si>
    <t>GRE0381</t>
  </si>
  <si>
    <t>Hatziliadis</t>
  </si>
  <si>
    <t>Haralampos</t>
  </si>
  <si>
    <t>GRE0214</t>
  </si>
  <si>
    <t>GRE0215</t>
  </si>
  <si>
    <t>Hatzopoulos</t>
  </si>
  <si>
    <t>GRE0722</t>
  </si>
  <si>
    <t>GRE0298</t>
  </si>
  <si>
    <t>Hliaoutakis</t>
  </si>
  <si>
    <t>Aristidis</t>
  </si>
  <si>
    <t>GRE0549</t>
  </si>
  <si>
    <t>Hotzakis</t>
  </si>
  <si>
    <t>GRE0029</t>
  </si>
  <si>
    <t>Ifantis</t>
  </si>
  <si>
    <t>GRE0392</t>
  </si>
  <si>
    <t>Iliadis</t>
  </si>
  <si>
    <t>GRE0341</t>
  </si>
  <si>
    <t>Ioakim</t>
  </si>
  <si>
    <t>Vasiliki</t>
  </si>
  <si>
    <t>GRE0360</t>
  </si>
  <si>
    <t>Ioakimidis</t>
  </si>
  <si>
    <t>GRE0069</t>
  </si>
  <si>
    <t>GRE0045</t>
  </si>
  <si>
    <t>Iordanidis</t>
  </si>
  <si>
    <t>GRE0717</t>
  </si>
  <si>
    <t>GRE0709</t>
  </si>
  <si>
    <t>Jenner</t>
  </si>
  <si>
    <t>GRE0468</t>
  </si>
  <si>
    <t>Kadinopoulos</t>
  </si>
  <si>
    <t>Aggelos-Chrisostomos</t>
  </si>
  <si>
    <t>GRE0325</t>
  </si>
  <si>
    <t>Grigorios</t>
  </si>
  <si>
    <t>GRE0326</t>
  </si>
  <si>
    <t>Maria Christina</t>
  </si>
  <si>
    <t>GRE0608</t>
  </si>
  <si>
    <t>GRE0609</t>
  </si>
  <si>
    <t>GRE0100</t>
  </si>
  <si>
    <t>Kaffes</t>
  </si>
  <si>
    <t>Thanos</t>
  </si>
  <si>
    <t>GRE0199</t>
  </si>
  <si>
    <t>Kailoglou</t>
  </si>
  <si>
    <t>GRE0200</t>
  </si>
  <si>
    <t>Kakavas</t>
  </si>
  <si>
    <t>Filippos</t>
  </si>
  <si>
    <t>GRE0275</t>
  </si>
  <si>
    <t>GRE0156</t>
  </si>
  <si>
    <t>Kakiltakis</t>
  </si>
  <si>
    <t>Minas</t>
  </si>
  <si>
    <t>GRE0727</t>
  </si>
  <si>
    <t>Kalakos</t>
  </si>
  <si>
    <t>GRE0565</t>
  </si>
  <si>
    <t>Kalamaris</t>
  </si>
  <si>
    <t>Petros</t>
  </si>
  <si>
    <t>GRE0625</t>
  </si>
  <si>
    <t>Kalatzis</t>
  </si>
  <si>
    <t>GRE0408</t>
  </si>
  <si>
    <t>Kalavros</t>
  </si>
  <si>
    <t>GRE0183</t>
  </si>
  <si>
    <t>Kalogerakos</t>
  </si>
  <si>
    <t>GRE0489</t>
  </si>
  <si>
    <t>GRE0512</t>
  </si>
  <si>
    <t>Kalogiros</t>
  </si>
  <si>
    <t>GRE0337</t>
  </si>
  <si>
    <t>GRE0350</t>
  </si>
  <si>
    <t>GRE0336</t>
  </si>
  <si>
    <t>Kaloudaki</t>
  </si>
  <si>
    <t>Theodora</t>
  </si>
  <si>
    <t>GRE0579</t>
  </si>
  <si>
    <t>Kalvakis</t>
  </si>
  <si>
    <t>GRE0438</t>
  </si>
  <si>
    <t>GRE0479</t>
  </si>
  <si>
    <t>Kampas</t>
  </si>
  <si>
    <t>Anderas</t>
  </si>
  <si>
    <t>GRE0667</t>
  </si>
  <si>
    <t>Kanakis</t>
  </si>
  <si>
    <t>GRE0537</t>
  </si>
  <si>
    <t>Kanetis</t>
  </si>
  <si>
    <t>GRE0702</t>
  </si>
  <si>
    <t>Kantarakis</t>
  </si>
  <si>
    <t>Anastasia</t>
  </si>
  <si>
    <t>GRE0518</t>
  </si>
  <si>
    <t>GRE0478</t>
  </si>
  <si>
    <t>Stamatios</t>
  </si>
  <si>
    <t>GRE0519</t>
  </si>
  <si>
    <t>Kaperonis</t>
  </si>
  <si>
    <t>GRE0577</t>
  </si>
  <si>
    <t>GRE0163</t>
  </si>
  <si>
    <t>GRE0576</t>
  </si>
  <si>
    <t>Kappatos</t>
  </si>
  <si>
    <t>GRE0395</t>
  </si>
  <si>
    <t>GRE0396</t>
  </si>
  <si>
    <t>Kapsabelis</t>
  </si>
  <si>
    <t>Manos</t>
  </si>
  <si>
    <t>GRE0260</t>
  </si>
  <si>
    <t>GRE0003</t>
  </si>
  <si>
    <t>Karadedos</t>
  </si>
  <si>
    <t>GRE0115</t>
  </si>
  <si>
    <t>Karagianniotis</t>
  </si>
  <si>
    <t>Theofilos</t>
  </si>
  <si>
    <t>GRE0226</t>
  </si>
  <si>
    <t>Karahalios</t>
  </si>
  <si>
    <t>GRE0628</t>
  </si>
  <si>
    <t>Karamanis</t>
  </si>
  <si>
    <t>GRE0121</t>
  </si>
  <si>
    <t>Karaminas</t>
  </si>
  <si>
    <t>GRE0482</t>
  </si>
  <si>
    <t>Karatarakis</t>
  </si>
  <si>
    <t>GRE0232</t>
  </si>
  <si>
    <t>GRE0027</t>
  </si>
  <si>
    <t>GRE0233</t>
  </si>
  <si>
    <t>Karatosidis</t>
  </si>
  <si>
    <t>GRE0268</t>
  </si>
  <si>
    <t>Karavas</t>
  </si>
  <si>
    <t>Agis Filippos</t>
  </si>
  <si>
    <t>GRE0747</t>
  </si>
  <si>
    <t>GRE0590</t>
  </si>
  <si>
    <t>Karavasilis</t>
  </si>
  <si>
    <t>Menelaos</t>
  </si>
  <si>
    <t>GRE0158</t>
  </si>
  <si>
    <t>GRE0159</t>
  </si>
  <si>
    <t>Karouzos</t>
  </si>
  <si>
    <t>GRE0407</t>
  </si>
  <si>
    <t>GRE0637</t>
  </si>
  <si>
    <t>Karpouzos</t>
  </si>
  <si>
    <t>GRE0527</t>
  </si>
  <si>
    <t>Kartalis</t>
  </si>
  <si>
    <t>GRE0220</t>
  </si>
  <si>
    <t>Karvounis</t>
  </si>
  <si>
    <t>GRE0391</t>
  </si>
  <si>
    <t>Kastellanos</t>
  </si>
  <si>
    <t>Antonios</t>
  </si>
  <si>
    <t>GRE0133</t>
  </si>
  <si>
    <t>Katsoulas</t>
  </si>
  <si>
    <t>GRE0405</t>
  </si>
  <si>
    <t>Kavgas</t>
  </si>
  <si>
    <t>GRE0374</t>
  </si>
  <si>
    <t>Kayia</t>
  </si>
  <si>
    <t>Natasha</t>
  </si>
  <si>
    <t>GRE0427</t>
  </si>
  <si>
    <t>Kazantzoglou</t>
  </si>
  <si>
    <t>Serafim</t>
  </si>
  <si>
    <t>GRE0025</t>
  </si>
  <si>
    <t>Kechris</t>
  </si>
  <si>
    <t>Artemis</t>
  </si>
  <si>
    <t>GRE0245</t>
  </si>
  <si>
    <t>Kidis</t>
  </si>
  <si>
    <t>GRE0023</t>
  </si>
  <si>
    <t>Kilias</t>
  </si>
  <si>
    <t>GRE0266</t>
  </si>
  <si>
    <t>GRE0270</t>
  </si>
  <si>
    <t>Kiritsis</t>
  </si>
  <si>
    <t>GRE0277</t>
  </si>
  <si>
    <t>GRE0293</t>
  </si>
  <si>
    <t>Kitsios</t>
  </si>
  <si>
    <t>Vasilis</t>
  </si>
  <si>
    <t>GRE0495</t>
  </si>
  <si>
    <t>Kleonakos</t>
  </si>
  <si>
    <t>GRE0570</t>
  </si>
  <si>
    <t>Klironomos</t>
  </si>
  <si>
    <t>GRE0522</t>
  </si>
  <si>
    <t>Koffas</t>
  </si>
  <si>
    <t>GRE0513</t>
  </si>
  <si>
    <t>Kokkalis</t>
  </si>
  <si>
    <t>GRE0064</t>
  </si>
  <si>
    <t>Koletti</t>
  </si>
  <si>
    <t>Aggeliki</t>
  </si>
  <si>
    <t>GRE0578</t>
  </si>
  <si>
    <t>Kolettis</t>
  </si>
  <si>
    <t>GRE0575</t>
  </si>
  <si>
    <t>Kolidakis</t>
  </si>
  <si>
    <t>GRE0231</t>
  </si>
  <si>
    <t>GRE0035</t>
  </si>
  <si>
    <t>GRE0034</t>
  </si>
  <si>
    <t>Kolidakis Jr</t>
  </si>
  <si>
    <t>GRE0230</t>
  </si>
  <si>
    <t>Kollias</t>
  </si>
  <si>
    <t>Efthimios</t>
  </si>
  <si>
    <t>GRE0664</t>
  </si>
  <si>
    <t>GRE0217</t>
  </si>
  <si>
    <t>Kolofotias</t>
  </si>
  <si>
    <t>Vaios</t>
  </si>
  <si>
    <t>GRE0731</t>
  </si>
  <si>
    <t>Kolokotronis</t>
  </si>
  <si>
    <t>Aggelos-Konstantinos</t>
  </si>
  <si>
    <t>GRE0695</t>
  </si>
  <si>
    <t>Theodos</t>
  </si>
  <si>
    <t>GRE0582</t>
  </si>
  <si>
    <t>Kolovos</t>
  </si>
  <si>
    <t>GRE0390</t>
  </si>
  <si>
    <t>GRE0657</t>
  </si>
  <si>
    <t>Kolydakis</t>
  </si>
  <si>
    <t>GRE0558</t>
  </si>
  <si>
    <t>Kolydas</t>
  </si>
  <si>
    <t>GRE0413</t>
  </si>
  <si>
    <t>Kondylis</t>
  </si>
  <si>
    <t>GRE0600</t>
  </si>
  <si>
    <t>Konstantakos</t>
  </si>
  <si>
    <t>GRE0382</t>
  </si>
  <si>
    <t>Konstantakou</t>
  </si>
  <si>
    <t>Danai</t>
  </si>
  <si>
    <t>GRE0632</t>
  </si>
  <si>
    <t>Kontaxakis</t>
  </si>
  <si>
    <t>GRE0294</t>
  </si>
  <si>
    <t>Kontogiannis</t>
  </si>
  <si>
    <t>GRE0203</t>
  </si>
  <si>
    <t>GRE0310</t>
  </si>
  <si>
    <t>Kontorouchas</t>
  </si>
  <si>
    <t>GRE0620</t>
  </si>
  <si>
    <t>Kontos</t>
  </si>
  <si>
    <t>Serafeim</t>
  </si>
  <si>
    <t>GRE0065</t>
  </si>
  <si>
    <t>Korakas</t>
  </si>
  <si>
    <t>GRE0736</t>
  </si>
  <si>
    <t>Kordantonopoulos</t>
  </si>
  <si>
    <t>GRE0090</t>
  </si>
  <si>
    <t>Christina</t>
  </si>
  <si>
    <t>GRE0607</t>
  </si>
  <si>
    <t>GRE0089</t>
  </si>
  <si>
    <t>Kordatos</t>
  </si>
  <si>
    <t>GRE0169</t>
  </si>
  <si>
    <t>Kordatos Jr</t>
  </si>
  <si>
    <t>GRE0283</t>
  </si>
  <si>
    <t>Korologos</t>
  </si>
  <si>
    <t>Sotiris</t>
  </si>
  <si>
    <t>GRE0330</t>
  </si>
  <si>
    <t>Kosmadakis</t>
  </si>
  <si>
    <t>GRE0499</t>
  </si>
  <si>
    <t>Kosmas</t>
  </si>
  <si>
    <t>GRE0713</t>
  </si>
  <si>
    <t>Kosmopoulos</t>
  </si>
  <si>
    <t>GRE0136</t>
  </si>
  <si>
    <t>GRE0176</t>
  </si>
  <si>
    <t>Kosovas</t>
  </si>
  <si>
    <t>GRE0569</t>
  </si>
  <si>
    <t>Kostantakopoulos</t>
  </si>
  <si>
    <t>GRE0503</t>
  </si>
  <si>
    <t>Kotakos</t>
  </si>
  <si>
    <t>Stylianos</t>
  </si>
  <si>
    <t>GRE0734</t>
  </si>
  <si>
    <t>Kotrotsos</t>
  </si>
  <si>
    <t>GRE0671</t>
  </si>
  <si>
    <t>GRE0309</t>
  </si>
  <si>
    <t>Evangelos</t>
  </si>
  <si>
    <t>GRE0190</t>
  </si>
  <si>
    <t>Kotsinis</t>
  </si>
  <si>
    <t>Lambros</t>
  </si>
  <si>
    <t>GRE0634</t>
  </si>
  <si>
    <t>Kouimanis</t>
  </si>
  <si>
    <t>GRE0411</t>
  </si>
  <si>
    <t>Koukoutsas</t>
  </si>
  <si>
    <t>GRE0251</t>
  </si>
  <si>
    <t>Koulakis</t>
  </si>
  <si>
    <t>GRE0472</t>
  </si>
  <si>
    <t>Koulosousa</t>
  </si>
  <si>
    <t>Dionysia</t>
  </si>
  <si>
    <t>GRE0281</t>
  </si>
  <si>
    <t>Eleni</t>
  </si>
  <si>
    <t>GRE0242</t>
  </si>
  <si>
    <t>Koulosousas</t>
  </si>
  <si>
    <t>GRE0241</t>
  </si>
  <si>
    <t>GRE0049</t>
  </si>
  <si>
    <t>Kounadis</t>
  </si>
  <si>
    <t>GRE0636</t>
  </si>
  <si>
    <t>Kounenos</t>
  </si>
  <si>
    <t>GRE0343</t>
  </si>
  <si>
    <t>GRE0342</t>
  </si>
  <si>
    <t>Kouniadis</t>
  </si>
  <si>
    <t>Theodore</t>
  </si>
  <si>
    <t>GRE0720</t>
  </si>
  <si>
    <t>Kouraba</t>
  </si>
  <si>
    <t>Panagiota</t>
  </si>
  <si>
    <t>GRE0401</t>
  </si>
  <si>
    <t>Kourabas</t>
  </si>
  <si>
    <t>GRE0172</t>
  </si>
  <si>
    <t>GRE0402</t>
  </si>
  <si>
    <t>Kouridakis</t>
  </si>
  <si>
    <t>GRE0404</t>
  </si>
  <si>
    <t>Kourou</t>
  </si>
  <si>
    <t>GRE0623</t>
  </si>
  <si>
    <t>Kourouklis</t>
  </si>
  <si>
    <t>GRE0104</t>
  </si>
  <si>
    <t>GRE0254</t>
  </si>
  <si>
    <t>Kourtis</t>
  </si>
  <si>
    <t>GRE0162</t>
  </si>
  <si>
    <t>Koutis</t>
  </si>
  <si>
    <t>Dionysios</t>
  </si>
  <si>
    <t>GRE0108</t>
  </si>
  <si>
    <t>GRE0009</t>
  </si>
  <si>
    <t>Koutoulas</t>
  </si>
  <si>
    <t>GRE0520</t>
  </si>
  <si>
    <t>Koutroumanos</t>
  </si>
  <si>
    <t>Efthymios</t>
  </si>
  <si>
    <t>GRE0004</t>
  </si>
  <si>
    <t>Leonidas</t>
  </si>
  <si>
    <t>GRE0002</t>
  </si>
  <si>
    <t>Koutsiana</t>
  </si>
  <si>
    <t>GRE0359</t>
  </si>
  <si>
    <t>Koutsogiannis</t>
  </si>
  <si>
    <t>GRE0490</t>
  </si>
  <si>
    <t>Koutsompinas</t>
  </si>
  <si>
    <t>GRE0112</t>
  </si>
  <si>
    <t>Kouvelas</t>
  </si>
  <si>
    <t>GRE0066</t>
  </si>
  <si>
    <t>Krevvatas</t>
  </si>
  <si>
    <t>GRE0031</t>
  </si>
  <si>
    <t>Krikelis</t>
  </si>
  <si>
    <t>GRE0161</t>
  </si>
  <si>
    <t>Krokos</t>
  </si>
  <si>
    <t>GRE0470</t>
  </si>
  <si>
    <t>Krommydas</t>
  </si>
  <si>
    <t>GRE0573</t>
  </si>
  <si>
    <t>Krysilas</t>
  </si>
  <si>
    <t>GRE0394</t>
  </si>
  <si>
    <t>Kyriakoulakos</t>
  </si>
  <si>
    <t>GRE0146</t>
  </si>
  <si>
    <t>Stilianos</t>
  </si>
  <si>
    <t>GRE0152</t>
  </si>
  <si>
    <t>Lagios</t>
  </si>
  <si>
    <t>GRE0588</t>
  </si>
  <si>
    <t>Dionysis</t>
  </si>
  <si>
    <t>GRE0589</t>
  </si>
  <si>
    <t>Lampis</t>
  </si>
  <si>
    <t>Diamantis</t>
  </si>
  <si>
    <t>GRE0658</t>
  </si>
  <si>
    <t>GRE0659</t>
  </si>
  <si>
    <t>Lamprakis</t>
  </si>
  <si>
    <t>GRE0724</t>
  </si>
  <si>
    <t>GRE0425</t>
  </si>
  <si>
    <t>Lampropoulos</t>
  </si>
  <si>
    <t>Anastasios</t>
  </si>
  <si>
    <t>GRE0498</t>
  </si>
  <si>
    <t>Lavrakis</t>
  </si>
  <si>
    <t>GRE0521</t>
  </si>
  <si>
    <t>Lazaridis</t>
  </si>
  <si>
    <t>GRE0480</t>
  </si>
  <si>
    <t>GRE0572</t>
  </si>
  <si>
    <t>Liakopoulos</t>
  </si>
  <si>
    <t>GRE0497</t>
  </si>
  <si>
    <t>Liaromati</t>
  </si>
  <si>
    <t>Penny</t>
  </si>
  <si>
    <t>GRE0097</t>
  </si>
  <si>
    <t>Liolios</t>
  </si>
  <si>
    <t>GRE0267</t>
  </si>
  <si>
    <t>GRE0114</t>
  </si>
  <si>
    <t>Lountzis</t>
  </si>
  <si>
    <t>GRE0399</t>
  </si>
  <si>
    <t>Lysikatos</t>
  </si>
  <si>
    <t>GRE0262</t>
  </si>
  <si>
    <t>Machairidis</t>
  </si>
  <si>
    <t>GRE0571</t>
  </si>
  <si>
    <t>Makkas</t>
  </si>
  <si>
    <t>GRE0279</t>
  </si>
  <si>
    <t>Makkos</t>
  </si>
  <si>
    <t>Spyros</t>
  </si>
  <si>
    <t>GRE0273</t>
  </si>
  <si>
    <t>Makrydakis</t>
  </si>
  <si>
    <t>Manousos</t>
  </si>
  <si>
    <t>GRE0067</t>
  </si>
  <si>
    <t>Malindretos</t>
  </si>
  <si>
    <t>GRE0510</t>
  </si>
  <si>
    <t>Malindretou</t>
  </si>
  <si>
    <t>Marianna</t>
  </si>
  <si>
    <t>GRE0627</t>
  </si>
  <si>
    <t>Mallias</t>
  </si>
  <si>
    <t>GRE0177</t>
  </si>
  <si>
    <t>GRE0175</t>
  </si>
  <si>
    <t>Malousidou</t>
  </si>
  <si>
    <t>Kyriaki</t>
  </si>
  <si>
    <t>GRE0551</t>
  </si>
  <si>
    <t>Mamalakis</t>
  </si>
  <si>
    <t>GRE0316</t>
  </si>
  <si>
    <t>Maniatis</t>
  </si>
  <si>
    <t>GRE0301</t>
  </si>
  <si>
    <t>Manoloulis</t>
  </si>
  <si>
    <t>GRE0055</t>
  </si>
  <si>
    <t>Manopoulos</t>
  </si>
  <si>
    <t>GRE0531</t>
  </si>
  <si>
    <t>GRE0429</t>
  </si>
  <si>
    <t>Mantzouranis</t>
  </si>
  <si>
    <t>GRE0553</t>
  </si>
  <si>
    <t>Maragopoulos</t>
  </si>
  <si>
    <t>GRE0508</t>
  </si>
  <si>
    <t>Marakis</t>
  </si>
  <si>
    <t>GRE0349</t>
  </si>
  <si>
    <t>Marinis</t>
  </si>
  <si>
    <t>GRE0447</t>
  </si>
  <si>
    <t>Markantonis</t>
  </si>
  <si>
    <t>Apostolis</t>
  </si>
  <si>
    <t>GRE0552</t>
  </si>
  <si>
    <t>Markoudakis</t>
  </si>
  <si>
    <t>Manolis</t>
  </si>
  <si>
    <t>GRE0322</t>
  </si>
  <si>
    <t>Maroulas</t>
  </si>
  <si>
    <t>GRE0261</t>
  </si>
  <si>
    <t>GRE0684</t>
  </si>
  <si>
    <t>Matsakas</t>
  </si>
  <si>
    <t>GRE0443</t>
  </si>
  <si>
    <t>Matsopoulos</t>
  </si>
  <si>
    <t>GRE0212</t>
  </si>
  <si>
    <t>Mavraganis</t>
  </si>
  <si>
    <t>GRE0165</t>
  </si>
  <si>
    <t>Mavrikidis</t>
  </si>
  <si>
    <t>GRE0560</t>
  </si>
  <si>
    <t>Mavroeidakos</t>
  </si>
  <si>
    <t>Ioannis D.</t>
  </si>
  <si>
    <t>GRE0063</t>
  </si>
  <si>
    <t>Ioannis H.</t>
  </si>
  <si>
    <t>GRE0068</t>
  </si>
  <si>
    <t>GRE0070</t>
  </si>
  <si>
    <t>Mavrogiannis</t>
  </si>
  <si>
    <t>GRE0324</t>
  </si>
  <si>
    <t>Mavromitros</t>
  </si>
  <si>
    <t>GRE0173</t>
  </si>
  <si>
    <t>GRE0280</t>
  </si>
  <si>
    <t>Meleas</t>
  </si>
  <si>
    <t>GRE0525</t>
  </si>
  <si>
    <t>Mellios</t>
  </si>
  <si>
    <t>GRE0680</t>
  </si>
  <si>
    <t>Merkouris</t>
  </si>
  <si>
    <t>Michail Angelos</t>
  </si>
  <si>
    <t>GRE0619</t>
  </si>
  <si>
    <t>Meros</t>
  </si>
  <si>
    <t>GRE0712</t>
  </si>
  <si>
    <t>GRE0155</t>
  </si>
  <si>
    <t>Mesaikos</t>
  </si>
  <si>
    <t>GRE0536</t>
  </si>
  <si>
    <t>Messonisanakis</t>
  </si>
  <si>
    <t>GRE0660</t>
  </si>
  <si>
    <t>Metaxas</t>
  </si>
  <si>
    <t>GRE0071</t>
  </si>
  <si>
    <t>Metzidakis</t>
  </si>
  <si>
    <t>GRE0056</t>
  </si>
  <si>
    <t>GRE0743</t>
  </si>
  <si>
    <t>Michalatos</t>
  </si>
  <si>
    <t>GRE0036</t>
  </si>
  <si>
    <t>Michopoulos</t>
  </si>
  <si>
    <t>GRE0505</t>
  </si>
  <si>
    <t>Miliarakis</t>
  </si>
  <si>
    <t>GRE0417</t>
  </si>
  <si>
    <t>Milidonis</t>
  </si>
  <si>
    <t>Grigoris</t>
  </si>
  <si>
    <t>GRE0446</t>
  </si>
  <si>
    <t>Misiros</t>
  </si>
  <si>
    <t>GRE0511</t>
  </si>
  <si>
    <t>Mitrakopoulos</t>
  </si>
  <si>
    <t>GRE0157</t>
  </si>
  <si>
    <t>Mitropoulos</t>
  </si>
  <si>
    <t>GRE0216</t>
  </si>
  <si>
    <t>Monemvasitis</t>
  </si>
  <si>
    <t>Dimitrios Ioannis</t>
  </si>
  <si>
    <t>GRE0264</t>
  </si>
  <si>
    <t>Dimitrios Sarantos</t>
  </si>
  <si>
    <t>GRE0265</t>
  </si>
  <si>
    <t>Tzanis</t>
  </si>
  <si>
    <t>GRE0263</t>
  </si>
  <si>
    <t>Morias</t>
  </si>
  <si>
    <t>Alekos</t>
  </si>
  <si>
    <t>GRE0195</t>
  </si>
  <si>
    <t>Moros</t>
  </si>
  <si>
    <t>Efstratios</t>
  </si>
  <si>
    <t>GRE0247</t>
  </si>
  <si>
    <t>GRE0072</t>
  </si>
  <si>
    <t>Moschopoulos</t>
  </si>
  <si>
    <t>GRE0706</t>
  </si>
  <si>
    <t>Moshidis</t>
  </si>
  <si>
    <t>GRE0202</t>
  </si>
  <si>
    <t>Mpelanti</t>
  </si>
  <si>
    <t>Evaggelia</t>
  </si>
  <si>
    <t>GRE0335</t>
  </si>
  <si>
    <t>Mpitras</t>
  </si>
  <si>
    <t>GRE0278</t>
  </si>
  <si>
    <t>Mpougiouris</t>
  </si>
  <si>
    <t>GRE0506</t>
  </si>
  <si>
    <t>Mpratis</t>
  </si>
  <si>
    <t>GRE0372</t>
  </si>
  <si>
    <t>Nanis</t>
  </si>
  <si>
    <t>GRE0379</t>
  </si>
  <si>
    <t>Naskos</t>
  </si>
  <si>
    <t>GRE0109</t>
  </si>
  <si>
    <t>Navridis</t>
  </si>
  <si>
    <t>GRE0467</t>
  </si>
  <si>
    <t>Nezis</t>
  </si>
  <si>
    <t>GRE0386</t>
  </si>
  <si>
    <t>Niavi</t>
  </si>
  <si>
    <t>GRE0363</t>
  </si>
  <si>
    <t>Niavis</t>
  </si>
  <si>
    <t>GRE0353</t>
  </si>
  <si>
    <t>GRE0150</t>
  </si>
  <si>
    <t>Nidriotis</t>
  </si>
  <si>
    <t>GRE0548</t>
  </si>
  <si>
    <t>GRE0547</t>
  </si>
  <si>
    <t>Nikolaidis</t>
  </si>
  <si>
    <t>GRE0704</t>
  </si>
  <si>
    <t>Nikolopoulos</t>
  </si>
  <si>
    <t>GRE0074</t>
  </si>
  <si>
    <t>Nikou</t>
  </si>
  <si>
    <t>GRE0362</t>
  </si>
  <si>
    <t>Nitis</t>
  </si>
  <si>
    <t>GRE0409</t>
  </si>
  <si>
    <t>GRE0410</t>
  </si>
  <si>
    <t>Nomikos</t>
  </si>
  <si>
    <t>Aris</t>
  </si>
  <si>
    <t>GRE0257</t>
  </si>
  <si>
    <t>Nousios</t>
  </si>
  <si>
    <t>GRE0148</t>
  </si>
  <si>
    <t>Ntakas</t>
  </si>
  <si>
    <t>GRE0012</t>
  </si>
  <si>
    <t>Nteros</t>
  </si>
  <si>
    <t>GRE0075</t>
  </si>
  <si>
    <t>Ohrstrom</t>
  </si>
  <si>
    <t>GRE0249</t>
  </si>
  <si>
    <t>Oiconomidis</t>
  </si>
  <si>
    <t>GRE0332</t>
  </si>
  <si>
    <t>Oikonomou</t>
  </si>
  <si>
    <t>GRE0456</t>
  </si>
  <si>
    <t>Orfanoudakis</t>
  </si>
  <si>
    <t>Iosif</t>
  </si>
  <si>
    <t>GRE0666</t>
  </si>
  <si>
    <t>GRE0669</t>
  </si>
  <si>
    <t>Ousaklidis</t>
  </si>
  <si>
    <t>GRE0592</t>
  </si>
  <si>
    <t>Pachatouridis</t>
  </si>
  <si>
    <t>GRE0603</t>
  </si>
  <si>
    <t>Pagkratis</t>
  </si>
  <si>
    <t>GRE0483</t>
  </si>
  <si>
    <t>Palaiologos</t>
  </si>
  <si>
    <t>GRE0181</t>
  </si>
  <si>
    <t>Palaitsakis</t>
  </si>
  <si>
    <t>GRE0516</t>
  </si>
  <si>
    <t>Paliouras</t>
  </si>
  <si>
    <t>GRE0621</t>
  </si>
  <si>
    <t>Panagiotakopoulos</t>
  </si>
  <si>
    <t>GRE0371</t>
  </si>
  <si>
    <t>Panagiotides</t>
  </si>
  <si>
    <t>GRE0432</t>
  </si>
  <si>
    <t>Panagiotidis</t>
  </si>
  <si>
    <t>GRE0420</t>
  </si>
  <si>
    <t>GRE0415</t>
  </si>
  <si>
    <t>Panagiotopoulos</t>
  </si>
  <si>
    <t>GRE0655</t>
  </si>
  <si>
    <t>Panagiotopoulou</t>
  </si>
  <si>
    <t>Ioanna Virginia</t>
  </si>
  <si>
    <t>GRE0656</t>
  </si>
  <si>
    <t>Panagopoulos</t>
  </si>
  <si>
    <t>GRE0320</t>
  </si>
  <si>
    <t>Panagoulas</t>
  </si>
  <si>
    <t>GRE0289</t>
  </si>
  <si>
    <t>Pantazopoulos</t>
  </si>
  <si>
    <t>GRE0388</t>
  </si>
  <si>
    <t>GRE0389</t>
  </si>
  <si>
    <t>Pantelaras</t>
  </si>
  <si>
    <t>GRE0598</t>
  </si>
  <si>
    <t>Paolino</t>
  </si>
  <si>
    <t>GRE0375</t>
  </si>
  <si>
    <t>Papadaki</t>
  </si>
  <si>
    <t>Adrianna</t>
  </si>
  <si>
    <t>GRE0639</t>
  </si>
  <si>
    <t>Papadakis</t>
  </si>
  <si>
    <t>George Pol</t>
  </si>
  <si>
    <t>GRE0348</t>
  </si>
  <si>
    <t>GRE0076</t>
  </si>
  <si>
    <t>GRE0477</t>
  </si>
  <si>
    <t>GRE0118</t>
  </si>
  <si>
    <t>GRE0610</t>
  </si>
  <si>
    <t>Papadea</t>
  </si>
  <si>
    <t>Maria</t>
  </si>
  <si>
    <t>GRE0356</t>
  </si>
  <si>
    <t>Papadogonas</t>
  </si>
  <si>
    <t>GRE0224</t>
  </si>
  <si>
    <t>Papadopoulos</t>
  </si>
  <si>
    <t>GRE0123</t>
  </si>
  <si>
    <t>GRE0554</t>
  </si>
  <si>
    <t>GRE0132</t>
  </si>
  <si>
    <t>Odysseas</t>
  </si>
  <si>
    <t>GRE0240</t>
  </si>
  <si>
    <t>GRE0122</t>
  </si>
  <si>
    <t>Papadoukakis</t>
  </si>
  <si>
    <t>GRE0077</t>
  </si>
  <si>
    <t>Papageorgiou</t>
  </si>
  <si>
    <t>GRE0352</t>
  </si>
  <si>
    <t>Papahronopoulos</t>
  </si>
  <si>
    <t>GRE0300</t>
  </si>
  <si>
    <t>Papaioannou</t>
  </si>
  <si>
    <t>GRE0458</t>
  </si>
  <si>
    <t>GRE0542</t>
  </si>
  <si>
    <t>Papaioannoy</t>
  </si>
  <si>
    <t>GRE0209</t>
  </si>
  <si>
    <t>Papakonstantinou</t>
  </si>
  <si>
    <t>Dimitrios-Marios</t>
  </si>
  <si>
    <t>GRE0246</t>
  </si>
  <si>
    <t>Papakyriakou</t>
  </si>
  <si>
    <t>GRE0423</t>
  </si>
  <si>
    <t>Papamichail</t>
  </si>
  <si>
    <t>GRE0615</t>
  </si>
  <si>
    <t>Papanikolaou</t>
  </si>
  <si>
    <t>Eleftheria</t>
  </si>
  <si>
    <t>GRE0101</t>
  </si>
  <si>
    <t>GRE0094</t>
  </si>
  <si>
    <t>GRE0248</t>
  </si>
  <si>
    <t>Papathanasiou</t>
  </si>
  <si>
    <t>GRE0601</t>
  </si>
  <si>
    <t>GRE0033</t>
  </si>
  <si>
    <t>Papatzimas</t>
  </si>
  <si>
    <t>GRE0504</t>
  </si>
  <si>
    <t>Papavasileiou</t>
  </si>
  <si>
    <t>GRE0377</t>
  </si>
  <si>
    <t>GRE0370</t>
  </si>
  <si>
    <t>Papavasiliou</t>
  </si>
  <si>
    <t>GRE0179</t>
  </si>
  <si>
    <t>Papazoglou</t>
  </si>
  <si>
    <t>GRE0672</t>
  </si>
  <si>
    <t>Daniil</t>
  </si>
  <si>
    <t>GRE0430</t>
  </si>
  <si>
    <t>GRE0697</t>
  </si>
  <si>
    <t>Papidakis</t>
  </si>
  <si>
    <t>Philippos</t>
  </si>
  <si>
    <t>GRE0543</t>
  </si>
  <si>
    <t>Sarantis</t>
  </si>
  <si>
    <t>GRE0457</t>
  </si>
  <si>
    <t>Papoulias</t>
  </si>
  <si>
    <t>GRE0103</t>
  </si>
  <si>
    <t>Pappa</t>
  </si>
  <si>
    <t>Chrysoula</t>
  </si>
  <si>
    <t>GRE0739</t>
  </si>
  <si>
    <t>GRE0078</t>
  </si>
  <si>
    <t>Paraschis</t>
  </si>
  <si>
    <t>GRE0714</t>
  </si>
  <si>
    <t>GRE0715</t>
  </si>
  <si>
    <t>GRE0434</t>
  </si>
  <si>
    <t>Paschalides</t>
  </si>
  <si>
    <t>GRE0419</t>
  </si>
  <si>
    <t>Pashos</t>
  </si>
  <si>
    <t>GRE0550</t>
  </si>
  <si>
    <t>Patedakis</t>
  </si>
  <si>
    <t>GRE0473</t>
  </si>
  <si>
    <t>GRE0559</t>
  </si>
  <si>
    <t>Patistas</t>
  </si>
  <si>
    <t>GRE0564</t>
  </si>
  <si>
    <t>GRE0563</t>
  </si>
  <si>
    <t>Patrikiou</t>
  </si>
  <si>
    <t>Eirini</t>
  </si>
  <si>
    <t>GRE0243</t>
  </si>
  <si>
    <t>Patrinos</t>
  </si>
  <si>
    <t>GRE0139</t>
  </si>
  <si>
    <t>GRE0678</t>
  </si>
  <si>
    <t>GRE0135</t>
  </si>
  <si>
    <t>Pensas</t>
  </si>
  <si>
    <t>GRE0039</t>
  </si>
  <si>
    <t>Perdicaris</t>
  </si>
  <si>
    <t>Stamatis</t>
  </si>
  <si>
    <t>GRE0317</t>
  </si>
  <si>
    <t>Petrakis</t>
  </si>
  <si>
    <t>GRE0618</t>
  </si>
  <si>
    <t>Petronikolos</t>
  </si>
  <si>
    <t>GRE0017</t>
  </si>
  <si>
    <t>Petropoulos</t>
  </si>
  <si>
    <t>GRE0509</t>
  </si>
  <si>
    <t>GRE0093</t>
  </si>
  <si>
    <t>Pitihoutis</t>
  </si>
  <si>
    <t>GRE0461</t>
  </si>
  <si>
    <t>Pitsaris</t>
  </si>
  <si>
    <t>GRE0015</t>
  </si>
  <si>
    <t>Plesa</t>
  </si>
  <si>
    <t>Nada</t>
  </si>
  <si>
    <t>GRE0102</t>
  </si>
  <si>
    <t>Plianthidis</t>
  </si>
  <si>
    <t>GRE0546</t>
  </si>
  <si>
    <t>GRE0545</t>
  </si>
  <si>
    <t>Plytas</t>
  </si>
  <si>
    <t>Evgenios</t>
  </si>
  <si>
    <t>GRE0011</t>
  </si>
  <si>
    <t>Polichronidis Polichroniadis</t>
  </si>
  <si>
    <t>Damianos</t>
  </si>
  <si>
    <t>GRE0052</t>
  </si>
  <si>
    <t>Polizos</t>
  </si>
  <si>
    <t>GRE0211</t>
  </si>
  <si>
    <t>Polychronakis</t>
  </si>
  <si>
    <t>GRE0344</t>
  </si>
  <si>
    <t>Polychroniadis</t>
  </si>
  <si>
    <t>GRE0418</t>
  </si>
  <si>
    <t>Polykratis</t>
  </si>
  <si>
    <t>GRE0345</t>
  </si>
  <si>
    <t>Pontikopoulos</t>
  </si>
  <si>
    <t>GRE0484</t>
  </si>
  <si>
    <t>Pothitos</t>
  </si>
  <si>
    <t>GRE0539</t>
  </si>
  <si>
    <t>GRE0591</t>
  </si>
  <si>
    <t>Poulidis</t>
  </si>
  <si>
    <t>Anargyros</t>
  </si>
  <si>
    <t>GRE0016</t>
  </si>
  <si>
    <t>Pouris</t>
  </si>
  <si>
    <t>GRE0044</t>
  </si>
  <si>
    <t>Prantsoudis</t>
  </si>
  <si>
    <t>Evripidis</t>
  </si>
  <si>
    <t>GRE0010</t>
  </si>
  <si>
    <t>Prifti</t>
  </si>
  <si>
    <t>Sofia</t>
  </si>
  <si>
    <t>GRE0256</t>
  </si>
  <si>
    <t>Priftis</t>
  </si>
  <si>
    <t>GRE0091</t>
  </si>
  <si>
    <t>Prinias</t>
  </si>
  <si>
    <t>GRE0116</t>
  </si>
  <si>
    <t>Prionidis</t>
  </si>
  <si>
    <t>Iason</t>
  </si>
  <si>
    <t>GRE0733</t>
  </si>
  <si>
    <t>Pritsis</t>
  </si>
  <si>
    <t>GRE0088</t>
  </si>
  <si>
    <t>Prombonas</t>
  </si>
  <si>
    <t>Ioulianos</t>
  </si>
  <si>
    <t>GRE0718</t>
  </si>
  <si>
    <t>Promponas</t>
  </si>
  <si>
    <t>GRE0540</t>
  </si>
  <si>
    <t>Psaradelis</t>
  </si>
  <si>
    <t>GRE0305</t>
  </si>
  <si>
    <t>Psarras</t>
  </si>
  <si>
    <t>GRE0189</t>
  </si>
  <si>
    <t>Psihas</t>
  </si>
  <si>
    <t>Nektarios</t>
  </si>
  <si>
    <t>GRE0018</t>
  </si>
  <si>
    <t>Psomiadis</t>
  </si>
  <si>
    <t>GRE0523</t>
  </si>
  <si>
    <t>GRE0524</t>
  </si>
  <si>
    <t>Psychogyios</t>
  </si>
  <si>
    <t>Iraklis</t>
  </si>
  <si>
    <t>GRE0740</t>
  </si>
  <si>
    <t>Psychopoulos</t>
  </si>
  <si>
    <t>GRE0668</t>
  </si>
  <si>
    <t>GRE0566</t>
  </si>
  <si>
    <t>Pylarinos</t>
  </si>
  <si>
    <t>GRE0745</t>
  </si>
  <si>
    <t>Rahmanis</t>
  </si>
  <si>
    <t>GRE0197</t>
  </si>
  <si>
    <t>Rebis</t>
  </si>
  <si>
    <t>GRE0638</t>
  </si>
  <si>
    <t>Rikos</t>
  </si>
  <si>
    <t>GRE0082</t>
  </si>
  <si>
    <t>Robotis</t>
  </si>
  <si>
    <t>Efstathios</t>
  </si>
  <si>
    <t>GRE0421</t>
  </si>
  <si>
    <t>Rogas</t>
  </si>
  <si>
    <t>GRE0507</t>
  </si>
  <si>
    <t>Roumantzas</t>
  </si>
  <si>
    <t>GRE0562</t>
  </si>
  <si>
    <t>Roussis</t>
  </si>
  <si>
    <t>Fratzeskos</t>
  </si>
  <si>
    <t>GRE0705</t>
  </si>
  <si>
    <t>Routsis</t>
  </si>
  <si>
    <t>Stratos</t>
  </si>
  <si>
    <t>GRE0124</t>
  </si>
  <si>
    <t>Rouvalis</t>
  </si>
  <si>
    <t>GRE0670</t>
  </si>
  <si>
    <t>Rovalis</t>
  </si>
  <si>
    <t>Fotios</t>
  </si>
  <si>
    <t>GRE0661</t>
  </si>
  <si>
    <t>Salamouris</t>
  </si>
  <si>
    <t>GRE0329</t>
  </si>
  <si>
    <t>Samaritakis</t>
  </si>
  <si>
    <t>Vardis</t>
  </si>
  <si>
    <t>GRE0346</t>
  </si>
  <si>
    <t>Sarikakis</t>
  </si>
  <si>
    <t>Klearchos</t>
  </si>
  <si>
    <t>GRE0654</t>
  </si>
  <si>
    <t>Schoinas</t>
  </si>
  <si>
    <t>GRE0464</t>
  </si>
  <si>
    <t>Seferos</t>
  </si>
  <si>
    <t>GRE0188</t>
  </si>
  <si>
    <t>Sermpos</t>
  </si>
  <si>
    <t>GRE0630</t>
  </si>
  <si>
    <t>Seses</t>
  </si>
  <si>
    <t>GRE0170</t>
  </si>
  <si>
    <t>Sfakianakis</t>
  </si>
  <si>
    <t>GRE0626</t>
  </si>
  <si>
    <t>Sigalas</t>
  </si>
  <si>
    <t>GRE0442</t>
  </si>
  <si>
    <t>Siotos</t>
  </si>
  <si>
    <t>GRE0380</t>
  </si>
  <si>
    <t>Sioulas</t>
  </si>
  <si>
    <t>GRE0166</t>
  </si>
  <si>
    <t>GRE0171</t>
  </si>
  <si>
    <t>Sioutis</t>
  </si>
  <si>
    <t>GRE0640</t>
  </si>
  <si>
    <t>GRE0120</t>
  </si>
  <si>
    <t>Skafidas</t>
  </si>
  <si>
    <t>GRE0285</t>
  </si>
  <si>
    <t>Skenteris</t>
  </si>
  <si>
    <t>GRE0026</t>
  </si>
  <si>
    <t>Sklavounakos</t>
  </si>
  <si>
    <t>GRE0032</t>
  </si>
  <si>
    <t>Sklavounos</t>
  </si>
  <si>
    <t>GRE0050</t>
  </si>
  <si>
    <t>GRE0024</t>
  </si>
  <si>
    <t>Skordas</t>
  </si>
  <si>
    <t>GRE0515</t>
  </si>
  <si>
    <t>Skouros</t>
  </si>
  <si>
    <t>GRE0594</t>
  </si>
  <si>
    <t>Skourtsos</t>
  </si>
  <si>
    <t>GRE0514</t>
  </si>
  <si>
    <t>Smyliotopoulos</t>
  </si>
  <si>
    <t>Haris</t>
  </si>
  <si>
    <t>GRE0312</t>
  </si>
  <si>
    <t>Smyrneos</t>
  </si>
  <si>
    <t>GRE0255</t>
  </si>
  <si>
    <t>Sochoritis</t>
  </si>
  <si>
    <t>GRE0711</t>
  </si>
  <si>
    <t>Sotiropoulos</t>
  </si>
  <si>
    <t>GRE0369</t>
  </si>
  <si>
    <t>GRE0368</t>
  </si>
  <si>
    <t>GRE0378</t>
  </si>
  <si>
    <t>Sourlas</t>
  </si>
  <si>
    <t>GRE0354</t>
  </si>
  <si>
    <t>Leandros</t>
  </si>
  <si>
    <t>GRE0213</t>
  </si>
  <si>
    <t>Spanos</t>
  </si>
  <si>
    <t>GRE0703</t>
  </si>
  <si>
    <t>Spinos</t>
  </si>
  <si>
    <t>GRE0271</t>
  </si>
  <si>
    <t>Spyropoulos</t>
  </si>
  <si>
    <t>Giorgos Aggelos</t>
  </si>
  <si>
    <t>GRE0689</t>
  </si>
  <si>
    <t>GRE0688</t>
  </si>
  <si>
    <t>Stamatakis</t>
  </si>
  <si>
    <t>GRE0716</t>
  </si>
  <si>
    <t>Stamatiadou</t>
  </si>
  <si>
    <t>GRE0291</t>
  </si>
  <si>
    <t>Stamatiou</t>
  </si>
  <si>
    <t>Georgia</t>
  </si>
  <si>
    <t>GRE0541</t>
  </si>
  <si>
    <t>Stamatopoulos</t>
  </si>
  <si>
    <t>GRE0013</t>
  </si>
  <si>
    <t>Stamatopoulou</t>
  </si>
  <si>
    <t>GRE0096</t>
  </si>
  <si>
    <t>Stamokostas</t>
  </si>
  <si>
    <t>GRE0134</t>
  </si>
  <si>
    <t>Stamos</t>
  </si>
  <si>
    <t>GRE0644</t>
  </si>
  <si>
    <t>Stamoulis</t>
  </si>
  <si>
    <t>GRE0444</t>
  </si>
  <si>
    <t>Stefanis</t>
  </si>
  <si>
    <t>GRE0663</t>
  </si>
  <si>
    <t>Stergiou</t>
  </si>
  <si>
    <t>GRE0708</t>
  </si>
  <si>
    <t>GRE0707</t>
  </si>
  <si>
    <t>Stergioulas</t>
  </si>
  <si>
    <t>GRE0210</t>
  </si>
  <si>
    <t>Stollas</t>
  </si>
  <si>
    <t>GRE0373</t>
  </si>
  <si>
    <t>GRE0367</t>
  </si>
  <si>
    <t>GRE0376</t>
  </si>
  <si>
    <t>Stratakis</t>
  </si>
  <si>
    <t>GRE0557</t>
  </si>
  <si>
    <t>Stratoudaki</t>
  </si>
  <si>
    <t>GRE0459</t>
  </si>
  <si>
    <t>Stratoudakis</t>
  </si>
  <si>
    <t>GRE0441</t>
  </si>
  <si>
    <t>GRE0424</t>
  </si>
  <si>
    <t>GRE0086</t>
  </si>
  <si>
    <t>Syrmos</t>
  </si>
  <si>
    <t>GRE0585</t>
  </si>
  <si>
    <t>GRE0586</t>
  </si>
  <si>
    <t>Tastsoglou</t>
  </si>
  <si>
    <t>GRE0428</t>
  </si>
  <si>
    <t>Tekos</t>
  </si>
  <si>
    <t>GRE0631</t>
  </si>
  <si>
    <t>Terzidis</t>
  </si>
  <si>
    <t>GRE0604</t>
  </si>
  <si>
    <t>GRE0530</t>
  </si>
  <si>
    <t>Tezapsidis</t>
  </si>
  <si>
    <t>GRE0694</t>
  </si>
  <si>
    <t>Theodosiou</t>
  </si>
  <si>
    <t>GRE0675</t>
  </si>
  <si>
    <t>GRE0696</t>
  </si>
  <si>
    <t>Theodosopoulos</t>
  </si>
  <si>
    <t>GRE0174</t>
  </si>
  <si>
    <t>Theofanopoulos</t>
  </si>
  <si>
    <t>GRE0406</t>
  </si>
  <si>
    <t>Theologos</t>
  </si>
  <si>
    <t>GRE0099</t>
  </si>
  <si>
    <t>GRE0253</t>
  </si>
  <si>
    <t>Tosioudis</t>
  </si>
  <si>
    <t>GRE0198</t>
  </si>
  <si>
    <t>GRE0201</t>
  </si>
  <si>
    <t>Tountas</t>
  </si>
  <si>
    <t>GRE0500</t>
  </si>
  <si>
    <t>GRE0286</t>
  </si>
  <si>
    <t>Trapezountios</t>
  </si>
  <si>
    <t>GRE0648</t>
  </si>
  <si>
    <t>Triantafillou</t>
  </si>
  <si>
    <t>GRE0357</t>
  </si>
  <si>
    <t>GRE0008</t>
  </si>
  <si>
    <t>Triantafyllou</t>
  </si>
  <si>
    <t>GRE0741</t>
  </si>
  <si>
    <t>Tsaggaris</t>
  </si>
  <si>
    <t>GRE0439</t>
  </si>
  <si>
    <t>Tsagiannis</t>
  </si>
  <si>
    <t>GRE0234</t>
  </si>
  <si>
    <t>GRE0130</t>
  </si>
  <si>
    <t>Tsagkaridis</t>
  </si>
  <si>
    <t>GRE0665</t>
  </si>
  <si>
    <t>Tsakalakis</t>
  </si>
  <si>
    <t>GRE0612</t>
  </si>
  <si>
    <t>GRE0611</t>
  </si>
  <si>
    <t>Tsakiris</t>
  </si>
  <si>
    <t>GRE0125</t>
  </si>
  <si>
    <t>Tsakoniatis</t>
  </si>
  <si>
    <t>GRE0674</t>
  </si>
  <si>
    <t>Tsakopoulos</t>
  </si>
  <si>
    <t>GRE0258</t>
  </si>
  <si>
    <t>Tsaras</t>
  </si>
  <si>
    <t>GRE0414</t>
  </si>
  <si>
    <t>Tsekouras</t>
  </si>
  <si>
    <t>Harris</t>
  </si>
  <si>
    <t>GRE0323</t>
  </si>
  <si>
    <t>Tselepidis</t>
  </si>
  <si>
    <t>GRE0218</t>
  </si>
  <si>
    <t>Tsiakalos</t>
  </si>
  <si>
    <t>GRE0676</t>
  </si>
  <si>
    <t>GRE0583</t>
  </si>
  <si>
    <t>Tsiamalou</t>
  </si>
  <si>
    <t>Marion</t>
  </si>
  <si>
    <t>GRE0361</t>
  </si>
  <si>
    <t>Tsiamos</t>
  </si>
  <si>
    <t>GRE0287</t>
  </si>
  <si>
    <t>Thanasis</t>
  </si>
  <si>
    <t>GRE0292</t>
  </si>
  <si>
    <t>Tsimoudis</t>
  </si>
  <si>
    <t>Asterios</t>
  </si>
  <si>
    <t>GRE0685</t>
  </si>
  <si>
    <t>Tsimpoukas</t>
  </si>
  <si>
    <t>GRE0053</t>
  </si>
  <si>
    <t>Tsioumanis</t>
  </si>
  <si>
    <t>Myrsini</t>
  </si>
  <si>
    <t>GRE0502</t>
  </si>
  <si>
    <t>Vassiliki</t>
  </si>
  <si>
    <t>GRE0501</t>
  </si>
  <si>
    <t>Tsitouras</t>
  </si>
  <si>
    <t>GRE0308</t>
  </si>
  <si>
    <t>Makis</t>
  </si>
  <si>
    <t>GRE0225</t>
  </si>
  <si>
    <t>Tsitsarolis</t>
  </si>
  <si>
    <t>GRE0597</t>
  </si>
  <si>
    <t>Tsompanidis</t>
  </si>
  <si>
    <t>GRE0081</t>
  </si>
  <si>
    <t>GRE0080</t>
  </si>
  <si>
    <t>Tsoukanaras</t>
  </si>
  <si>
    <t>GRE0041</t>
  </si>
  <si>
    <t>Tsoutsas</t>
  </si>
  <si>
    <t>GRE0154</t>
  </si>
  <si>
    <t>Tzanakis</t>
  </si>
  <si>
    <t>GRE0574</t>
  </si>
  <si>
    <t>Tzelatis</t>
  </si>
  <si>
    <t>GRE0087</t>
  </si>
  <si>
    <t>Tzimas</t>
  </si>
  <si>
    <t>GRE0167</t>
  </si>
  <si>
    <t>Tziortziotis</t>
  </si>
  <si>
    <t>GRE0127</t>
  </si>
  <si>
    <t>Tzitziris</t>
  </si>
  <si>
    <t>GRE0138</t>
  </si>
  <si>
    <t>Vaggelatos</t>
  </si>
  <si>
    <t>Timotheos</t>
  </si>
  <si>
    <t>GRE0398</t>
  </si>
  <si>
    <t>Vagios</t>
  </si>
  <si>
    <t>GRE0629</t>
  </si>
  <si>
    <t>Valantasis</t>
  </si>
  <si>
    <t>GRE0235</t>
  </si>
  <si>
    <t>GRE0236</t>
  </si>
  <si>
    <t>GRE0028</t>
  </si>
  <si>
    <t>Valsamakis</t>
  </si>
  <si>
    <t>Aristogiton</t>
  </si>
  <si>
    <t>GRE0692</t>
  </si>
  <si>
    <t>Haralambos</t>
  </si>
  <si>
    <t>GRE0693</t>
  </si>
  <si>
    <t>Vardakis</t>
  </si>
  <si>
    <t>GRE0673</t>
  </si>
  <si>
    <t>Vasiladiotis</t>
  </si>
  <si>
    <t>Nikos</t>
  </si>
  <si>
    <t>GRE0729</t>
  </si>
  <si>
    <t>Vasileiadou</t>
  </si>
  <si>
    <t>Evangelia</t>
  </si>
  <si>
    <t>GRE0719</t>
  </si>
  <si>
    <t>Vasiliou</t>
  </si>
  <si>
    <t>Alexis</t>
  </si>
  <si>
    <t>GRE0020</t>
  </si>
  <si>
    <t>Vasilopoulos</t>
  </si>
  <si>
    <t>GRE0366</t>
  </si>
  <si>
    <t>GRE0141</t>
  </si>
  <si>
    <t>GRE0364</t>
  </si>
  <si>
    <t>GRE0365</t>
  </si>
  <si>
    <t>Vasilos</t>
  </si>
  <si>
    <t>GRE0602</t>
  </si>
  <si>
    <t>Vavoulakis</t>
  </si>
  <si>
    <t>GRE0453</t>
  </si>
  <si>
    <t>GRE0426</t>
  </si>
  <si>
    <t>GRE0117</t>
  </si>
  <si>
    <t>Vazoukis</t>
  </si>
  <si>
    <t>GRE0416</t>
  </si>
  <si>
    <t>Verganelakis</t>
  </si>
  <si>
    <t>GRE0471</t>
  </si>
  <si>
    <t>Vernadakis</t>
  </si>
  <si>
    <t>GRE0038</t>
  </si>
  <si>
    <t>Vernados</t>
  </si>
  <si>
    <t>GRE0019</t>
  </si>
  <si>
    <t>Vezirtzoglou</t>
  </si>
  <si>
    <t>Sofoklis</t>
  </si>
  <si>
    <t>GRE0646</t>
  </si>
  <si>
    <t>Vikatos</t>
  </si>
  <si>
    <t>GRE0194</t>
  </si>
  <si>
    <t>Visvikis</t>
  </si>
  <si>
    <t>GRE0730</t>
  </si>
  <si>
    <t>Vlachopoulos</t>
  </si>
  <si>
    <t>GRE0196</t>
  </si>
  <si>
    <t>GRE0355</t>
  </si>
  <si>
    <t>Vlachoulis</t>
  </si>
  <si>
    <t>GRE0633</t>
  </si>
  <si>
    <t>Vlassopoulos</t>
  </si>
  <si>
    <t>GRE0119</t>
  </si>
  <si>
    <t>GRE0397</t>
  </si>
  <si>
    <t>GRE0244</t>
  </si>
  <si>
    <t>Vlastos</t>
  </si>
  <si>
    <t>GRE0191</t>
  </si>
  <si>
    <t>Vogiatzis</t>
  </si>
  <si>
    <t>GRE0645</t>
  </si>
  <si>
    <t>GRE0450</t>
  </si>
  <si>
    <t>GRE0449</t>
  </si>
  <si>
    <t>GRE0448</t>
  </si>
  <si>
    <t>Voikos</t>
  </si>
  <si>
    <t>GRE0222</t>
  </si>
  <si>
    <t>Voukouris</t>
  </si>
  <si>
    <t>GRE0460</t>
  </si>
  <si>
    <t>Voulgaris</t>
  </si>
  <si>
    <t>GRE0113</t>
  </si>
  <si>
    <t>Vourakis</t>
  </si>
  <si>
    <t>Andrea</t>
  </si>
  <si>
    <t>GRE0735</t>
  </si>
  <si>
    <t>Voutsinas</t>
  </si>
  <si>
    <t>GRE0180</t>
  </si>
  <si>
    <t>Vrettakos</t>
  </si>
  <si>
    <t>GRE0040</t>
  </si>
  <si>
    <t>GRE0239</t>
  </si>
  <si>
    <t>GRE0238</t>
  </si>
  <si>
    <t>Xiarhogiannopoulos</t>
  </si>
  <si>
    <t>GRE0250</t>
  </si>
  <si>
    <t>Xifaras</t>
  </si>
  <si>
    <t>GRE0307</t>
  </si>
  <si>
    <t>Xyki</t>
  </si>
  <si>
    <t>Violetta</t>
  </si>
  <si>
    <t>GRE0098</t>
  </si>
  <si>
    <t>Zacharopoulos</t>
  </si>
  <si>
    <t>GRE0393</t>
  </si>
  <si>
    <t>Zafirakis</t>
  </si>
  <si>
    <t>GRE0206</t>
  </si>
  <si>
    <t>Zaharitsas</t>
  </si>
  <si>
    <t>Emilios</t>
  </si>
  <si>
    <t>GRE0635</t>
  </si>
  <si>
    <t>Zarogiannis</t>
  </si>
  <si>
    <t>GRE0412</t>
  </si>
  <si>
    <t>GRE0304</t>
  </si>
  <si>
    <t>Zavos</t>
  </si>
  <si>
    <t>GRE0219</t>
  </si>
  <si>
    <t>Zavrakas</t>
  </si>
  <si>
    <t>Argyris</t>
  </si>
  <si>
    <t>GRE0147</t>
  </si>
  <si>
    <t>GRE0186</t>
  </si>
  <si>
    <t>Zervas</t>
  </si>
  <si>
    <t>GRE0276</t>
  </si>
  <si>
    <t>Zimeras</t>
  </si>
  <si>
    <t>GRE0496</t>
  </si>
  <si>
    <t>GRE0164</t>
  </si>
  <si>
    <t>Zioulis</t>
  </si>
  <si>
    <t>GRE0207</t>
  </si>
  <si>
    <t>Zymvragoudakis</t>
  </si>
  <si>
    <t>GRE0347</t>
  </si>
  <si>
    <t>GRE0748</t>
  </si>
  <si>
    <t>Pilatos</t>
  </si>
  <si>
    <t>GRE0749</t>
  </si>
  <si>
    <t>Elekidis</t>
  </si>
  <si>
    <t>Valsamas</t>
  </si>
  <si>
    <t>GRE0750</t>
  </si>
  <si>
    <t>Aivasliotis</t>
  </si>
  <si>
    <t>GRE0751</t>
  </si>
  <si>
    <t>Giannoulis</t>
  </si>
  <si>
    <t>GRE0752</t>
  </si>
  <si>
    <t>Geerontitis</t>
  </si>
  <si>
    <t>Synodis</t>
  </si>
  <si>
    <t>GRE0753</t>
  </si>
  <si>
    <t>Lytras</t>
  </si>
  <si>
    <t>GRE0754</t>
  </si>
  <si>
    <t>Exarchou</t>
  </si>
  <si>
    <t>GRE0755</t>
  </si>
  <si>
    <t>GRE0756</t>
  </si>
  <si>
    <t>Kakopoulos</t>
  </si>
  <si>
    <t>GRE0757</t>
  </si>
  <si>
    <t>Antonakis</t>
  </si>
  <si>
    <t>Zacharias</t>
  </si>
  <si>
    <t>GRE0758</t>
  </si>
  <si>
    <t>Dragoumis</t>
  </si>
  <si>
    <t>GRE0759</t>
  </si>
  <si>
    <t>GRE0760</t>
  </si>
  <si>
    <t>Carabillo</t>
  </si>
  <si>
    <t>HKG0001</t>
  </si>
  <si>
    <t>SC Dragons Hong Kong</t>
  </si>
  <si>
    <t>Nicholas</t>
  </si>
  <si>
    <t>HKG0003</t>
  </si>
  <si>
    <t>Hicz</t>
  </si>
  <si>
    <t>Andras</t>
  </si>
  <si>
    <t>HUN0002</t>
  </si>
  <si>
    <t>Csibor</t>
  </si>
  <si>
    <t>László</t>
  </si>
  <si>
    <t>HUN0006</t>
  </si>
  <si>
    <t>Baross</t>
  </si>
  <si>
    <t>Gábor</t>
  </si>
  <si>
    <t>HUN0025</t>
  </si>
  <si>
    <t>Zoltán</t>
  </si>
  <si>
    <t>HUN0026</t>
  </si>
  <si>
    <t>Szathmáry</t>
  </si>
  <si>
    <t>Károly</t>
  </si>
  <si>
    <t>HUN0049</t>
  </si>
  <si>
    <t>Dunakanyar Forte ALC</t>
  </si>
  <si>
    <t>Putro</t>
  </si>
  <si>
    <t>Arudyo</t>
  </si>
  <si>
    <t>Batavia Garudas</t>
  </si>
  <si>
    <t>Nolizam</t>
  </si>
  <si>
    <t>Majee</t>
  </si>
  <si>
    <t>Zarduk</t>
  </si>
  <si>
    <t>Ofir</t>
  </si>
  <si>
    <t>ISR0014</t>
  </si>
  <si>
    <t>Funaro</t>
  </si>
  <si>
    <t>Emanuele</t>
  </si>
  <si>
    <t>Simone</t>
  </si>
  <si>
    <t>ISR0033</t>
  </si>
  <si>
    <t>Ascer</t>
  </si>
  <si>
    <t>ISR0034</t>
  </si>
  <si>
    <t>ISR0035</t>
  </si>
  <si>
    <t>Harman</t>
  </si>
  <si>
    <t>Menashe</t>
  </si>
  <si>
    <t>ISR0036</t>
  </si>
  <si>
    <t>Kingston</t>
  </si>
  <si>
    <t>ISR0039</t>
  </si>
  <si>
    <t>Zuccarini</t>
  </si>
  <si>
    <t>ITA3203</t>
  </si>
  <si>
    <t>Zorzi</t>
  </si>
  <si>
    <t>Pietro</t>
  </si>
  <si>
    <t>ITA3223</t>
  </si>
  <si>
    <t>Triestina</t>
  </si>
  <si>
    <t>Zolfanelli</t>
  </si>
  <si>
    <t>Francesco</t>
  </si>
  <si>
    <t>ITA2610</t>
  </si>
  <si>
    <t>ASD CT Aosta Warriors</t>
  </si>
  <si>
    <t>Edoardo</t>
  </si>
  <si>
    <t>Alessandro</t>
  </si>
  <si>
    <t>Zanetti</t>
  </si>
  <si>
    <t>ITA1419</t>
  </si>
  <si>
    <t>Zampieri</t>
  </si>
  <si>
    <t>ITA2415</t>
  </si>
  <si>
    <t>Zambello</t>
  </si>
  <si>
    <t>ITA0908</t>
  </si>
  <si>
    <t>ITA0909</t>
  </si>
  <si>
    <t>Pier Celeste</t>
  </si>
  <si>
    <t>ITA0910</t>
  </si>
  <si>
    <t>Zaccardo</t>
  </si>
  <si>
    <t>ITA2332</t>
  </si>
  <si>
    <t>Volpi</t>
  </si>
  <si>
    <t>Giovanni</t>
  </si>
  <si>
    <t>ITA0902</t>
  </si>
  <si>
    <t>Vitulano</t>
  </si>
  <si>
    <t>Gianpaolo</t>
  </si>
  <si>
    <t>ITA1590</t>
  </si>
  <si>
    <t>Visentin</t>
  </si>
  <si>
    <t>ITA0897</t>
  </si>
  <si>
    <t>Visani</t>
  </si>
  <si>
    <t>ITA1273</t>
  </si>
  <si>
    <t>Vincentini</t>
  </si>
  <si>
    <t>ITA2299</t>
  </si>
  <si>
    <t>Vinaccia</t>
  </si>
  <si>
    <t>Domenico</t>
  </si>
  <si>
    <t>ITA0944</t>
  </si>
  <si>
    <t>Villette</t>
  </si>
  <si>
    <t>ITA2703</t>
  </si>
  <si>
    <t>Pinco Devils TS</t>
  </si>
  <si>
    <t>Villa</t>
  </si>
  <si>
    <t>Tullio</t>
  </si>
  <si>
    <t>ITA2942</t>
  </si>
  <si>
    <t>SC Silvio Piola</t>
  </si>
  <si>
    <t>Vico</t>
  </si>
  <si>
    <t>Aldo</t>
  </si>
  <si>
    <t>ITA3018</t>
  </si>
  <si>
    <t>Vianello</t>
  </si>
  <si>
    <t>ITA3209</t>
  </si>
  <si>
    <t>Serenissima Mestre</t>
  </si>
  <si>
    <t>Vezzuto</t>
  </si>
  <si>
    <t>ITA1300</t>
  </si>
  <si>
    <t>ITA1306</t>
  </si>
  <si>
    <t>Massimiliano</t>
  </si>
  <si>
    <t>ASD Alba Subbuteo Roma</t>
  </si>
  <si>
    <t>Vezzo</t>
  </si>
  <si>
    <t>Maurizio</t>
  </si>
  <si>
    <t>ITA0889</t>
  </si>
  <si>
    <t>Vergoni</t>
  </si>
  <si>
    <t>Roberto</t>
  </si>
  <si>
    <t>ITA0888</t>
  </si>
  <si>
    <t>Venturini</t>
  </si>
  <si>
    <t>ITA2186</t>
  </si>
  <si>
    <t>SC Labronico</t>
  </si>
  <si>
    <t>ITA2663</t>
  </si>
  <si>
    <t>Vegni</t>
  </si>
  <si>
    <t>ITA1386</t>
  </si>
  <si>
    <t>ITA3248</t>
  </si>
  <si>
    <t>Vecchiarelli</t>
  </si>
  <si>
    <t>ITA2391</t>
  </si>
  <si>
    <t>Vatteroni</t>
  </si>
  <si>
    <t>ITA2081</t>
  </si>
  <si>
    <t>Vasapollo</t>
  </si>
  <si>
    <t>ITA1734</t>
  </si>
  <si>
    <t>Catanzaro</t>
  </si>
  <si>
    <t>Varricchio</t>
  </si>
  <si>
    <t>ITA1641</t>
  </si>
  <si>
    <t>Varriale</t>
  </si>
  <si>
    <t>ITA0884</t>
  </si>
  <si>
    <t>Vallebona</t>
  </si>
  <si>
    <t>Tobia</t>
  </si>
  <si>
    <t>ITA3166</t>
  </si>
  <si>
    <t>Valisnieri</t>
  </si>
  <si>
    <t>ITA2984</t>
  </si>
  <si>
    <t>Vagnoni</t>
  </si>
  <si>
    <t>ITA0876</t>
  </si>
  <si>
    <t>Utzeri</t>
  </si>
  <si>
    <t>ITA0875</t>
  </si>
  <si>
    <t>Black Rose Roma</t>
  </si>
  <si>
    <t>Ugolini</t>
  </si>
  <si>
    <t>ITA2266</t>
  </si>
  <si>
    <t>CS Solvay</t>
  </si>
  <si>
    <t>Ubbiali</t>
  </si>
  <si>
    <t>Massimo</t>
  </si>
  <si>
    <t>ITA2248</t>
  </si>
  <si>
    <t>Tudini</t>
  </si>
  <si>
    <t>ITA2979</t>
  </si>
  <si>
    <t>Troiani</t>
  </si>
  <si>
    <t>ITA1183</t>
  </si>
  <si>
    <t>Trivelli</t>
  </si>
  <si>
    <t>ITA1921</t>
  </si>
  <si>
    <t>SS Lazio TFC</t>
  </si>
  <si>
    <t>Trinchese</t>
  </si>
  <si>
    <t>Geremia</t>
  </si>
  <si>
    <t>ITA1054</t>
  </si>
  <si>
    <t>Triggiani</t>
  </si>
  <si>
    <t>ITA1723</t>
  </si>
  <si>
    <t>Tricoli</t>
  </si>
  <si>
    <t>Tommaso</t>
  </si>
  <si>
    <t>ITA0869</t>
  </si>
  <si>
    <t>Trevisani</t>
  </si>
  <si>
    <t>Mattia</t>
  </si>
  <si>
    <t>ITA2622</t>
  </si>
  <si>
    <t>Trevisan</t>
  </si>
  <si>
    <t>ITA1589</t>
  </si>
  <si>
    <t>Trenta</t>
  </si>
  <si>
    <t>Corrado</t>
  </si>
  <si>
    <t>ITA0868</t>
  </si>
  <si>
    <t>Tozzi</t>
  </si>
  <si>
    <t>ITA1651</t>
  </si>
  <si>
    <t>Tosi</t>
  </si>
  <si>
    <t>Enrico</t>
  </si>
  <si>
    <t>ITA1583</t>
  </si>
  <si>
    <t>CC Livorno</t>
  </si>
  <si>
    <t>Tortello</t>
  </si>
  <si>
    <t>ITA2741</t>
  </si>
  <si>
    <t>Torri</t>
  </si>
  <si>
    <t>ITA3177</t>
  </si>
  <si>
    <t>Vecchia Talpa Fidenza</t>
  </si>
  <si>
    <t>Michele</t>
  </si>
  <si>
    <t>ITA3213</t>
  </si>
  <si>
    <t>ITA0932</t>
  </si>
  <si>
    <t>Barcellona Mortellito</t>
  </si>
  <si>
    <t>Torini</t>
  </si>
  <si>
    <t>ITA2590</t>
  </si>
  <si>
    <t>Torboli</t>
  </si>
  <si>
    <t>Ruggero</t>
  </si>
  <si>
    <t>ITA0862</t>
  </si>
  <si>
    <t>Trento</t>
  </si>
  <si>
    <t>Torano</t>
  </si>
  <si>
    <t>ITA0860</t>
  </si>
  <si>
    <t>ITA0861</t>
  </si>
  <si>
    <t>Tonietti</t>
  </si>
  <si>
    <t>ITA1156</t>
  </si>
  <si>
    <t>ITA0858</t>
  </si>
  <si>
    <t>Tonet</t>
  </si>
  <si>
    <t>ITA2823</t>
  </si>
  <si>
    <t>Tolve</t>
  </si>
  <si>
    <t>ITA2368</t>
  </si>
  <si>
    <t>Toffoletti</t>
  </si>
  <si>
    <t>ITA2936</t>
  </si>
  <si>
    <t>Tinebra</t>
  </si>
  <si>
    <t>ITA0855</t>
  </si>
  <si>
    <t>Testa</t>
  </si>
  <si>
    <t>ITA0851</t>
  </si>
  <si>
    <t>ITA3011</t>
  </si>
  <si>
    <t>Terenzi</t>
  </si>
  <si>
    <t>Gianni</t>
  </si>
  <si>
    <t>ITA3243</t>
  </si>
  <si>
    <t>Tedeschi</t>
  </si>
  <si>
    <t>ITA2655</t>
  </si>
  <si>
    <t>Tecchiati</t>
  </si>
  <si>
    <t>ITA0846</t>
  </si>
  <si>
    <t>Taverna</t>
  </si>
  <si>
    <t>Gian Marco</t>
  </si>
  <si>
    <t>ITA2594</t>
  </si>
  <si>
    <t>Tava</t>
  </si>
  <si>
    <t>Laura</t>
  </si>
  <si>
    <t>ITA2736</t>
  </si>
  <si>
    <t>Tassone</t>
  </si>
  <si>
    <t>ITA2007</t>
  </si>
  <si>
    <t>Tarabella</t>
  </si>
  <si>
    <t>Matteo</t>
  </si>
  <si>
    <t>ITA2080</t>
  </si>
  <si>
    <t>Talozzi</t>
  </si>
  <si>
    <t>ITA3218</t>
  </si>
  <si>
    <t>Talarico</t>
  </si>
  <si>
    <t>ITA1736</t>
  </si>
  <si>
    <t>Tagliaferri</t>
  </si>
  <si>
    <t>Stefano</t>
  </si>
  <si>
    <t>ITA0839</t>
  </si>
  <si>
    <t>ITA0841</t>
  </si>
  <si>
    <t>Tacchia</t>
  </si>
  <si>
    <t>Alessio</t>
  </si>
  <si>
    <t>ITA2159</t>
  </si>
  <si>
    <t>ITA2584</t>
  </si>
  <si>
    <t>Suffritti</t>
  </si>
  <si>
    <t>ITA0838</t>
  </si>
  <si>
    <t>Subazzoli</t>
  </si>
  <si>
    <t>ITA0837</t>
  </si>
  <si>
    <t>Strazza</t>
  </si>
  <si>
    <t>ITA0834</t>
  </si>
  <si>
    <t>Stoto</t>
  </si>
  <si>
    <t>ITA0833</t>
  </si>
  <si>
    <t>Stanislai</t>
  </si>
  <si>
    <t>ITA2165</t>
  </si>
  <si>
    <t>ITA2572</t>
  </si>
  <si>
    <t>Spiller</t>
  </si>
  <si>
    <t>ITA2842</t>
  </si>
  <si>
    <t>ITA2860</t>
  </si>
  <si>
    <t>Spagnoli</t>
  </si>
  <si>
    <t>Ilario</t>
  </si>
  <si>
    <t>ITA2348</t>
  </si>
  <si>
    <t>Sostegno</t>
  </si>
  <si>
    <t>ITA2116</t>
  </si>
  <si>
    <t>Soria</t>
  </si>
  <si>
    <t>Alfredo</t>
  </si>
  <si>
    <t>ITA0821</t>
  </si>
  <si>
    <t>Sonni</t>
  </si>
  <si>
    <t>ITA1295</t>
  </si>
  <si>
    <t>Italo</t>
  </si>
  <si>
    <t>ITA1297</t>
  </si>
  <si>
    <t>Sommella</t>
  </si>
  <si>
    <t>ITA0816</t>
  </si>
  <si>
    <t>Sollazzo</t>
  </si>
  <si>
    <t>ITA0815</t>
  </si>
  <si>
    <t>Solito</t>
  </si>
  <si>
    <t>Angelo</t>
  </si>
  <si>
    <t>ITA2115</t>
  </si>
  <si>
    <t>Smaldone</t>
  </si>
  <si>
    <t>ITA1093</t>
  </si>
  <si>
    <t>Sirica</t>
  </si>
  <si>
    <t>ITA0811</t>
  </si>
  <si>
    <t>ITA2407</t>
  </si>
  <si>
    <t>Simonetti</t>
  </si>
  <si>
    <t>Felice</t>
  </si>
  <si>
    <t>ITA2040</t>
  </si>
  <si>
    <t>Simonazzi</t>
  </si>
  <si>
    <t>ITA2967</t>
  </si>
  <si>
    <t>Silvestri</t>
  </si>
  <si>
    <t>Giancarlo</t>
  </si>
  <si>
    <t>ITA0807</t>
  </si>
  <si>
    <t>ITA2512</t>
  </si>
  <si>
    <t>Silveri</t>
  </si>
  <si>
    <t>Gabriele</t>
  </si>
  <si>
    <t>ITA0806</t>
  </si>
  <si>
    <t>Signoretti</t>
  </si>
  <si>
    <t>Pierluigi</t>
  </si>
  <si>
    <t>ITA1636</t>
  </si>
  <si>
    <t>Signorelli</t>
  </si>
  <si>
    <t>ITA1607</t>
  </si>
  <si>
    <t>Siciliano</t>
  </si>
  <si>
    <t>Carlo</t>
  </si>
  <si>
    <t>ITA3029</t>
  </si>
  <si>
    <t>Sforzini</t>
  </si>
  <si>
    <t>Dario</t>
  </si>
  <si>
    <t>ITA2897</t>
  </si>
  <si>
    <t>Setale</t>
  </si>
  <si>
    <t>ITA0797</t>
  </si>
  <si>
    <t>Serpico</t>
  </si>
  <si>
    <t>ITA0794</t>
  </si>
  <si>
    <t>ITA0793</t>
  </si>
  <si>
    <t>ITA2382</t>
  </si>
  <si>
    <t>Seppia</t>
  </si>
  <si>
    <t>ITA1150</t>
  </si>
  <si>
    <t>Versilia 2002</t>
  </si>
  <si>
    <t>Sepe</t>
  </si>
  <si>
    <t>ITA0790</t>
  </si>
  <si>
    <t>Senesi</t>
  </si>
  <si>
    <t>ITA2326</t>
  </si>
  <si>
    <t>Sella</t>
  </si>
  <si>
    <t>Filippo</t>
  </si>
  <si>
    <t>ITA0788</t>
  </si>
  <si>
    <t>Scorcucchi</t>
  </si>
  <si>
    <t>ITA3109</t>
  </si>
  <si>
    <t>Scola</t>
  </si>
  <si>
    <t>ITA1025</t>
  </si>
  <si>
    <t>Scialanga</t>
  </si>
  <si>
    <t>ITA3115</t>
  </si>
  <si>
    <t>ITA3118</t>
  </si>
  <si>
    <t>Sciacca</t>
  </si>
  <si>
    <t>Carmelo</t>
  </si>
  <si>
    <t>ITA0781</t>
  </si>
  <si>
    <t>Schito</t>
  </si>
  <si>
    <t>Riccardo</t>
  </si>
  <si>
    <t>ITA0780</t>
  </si>
  <si>
    <t>Schiavone</t>
  </si>
  <si>
    <t>ITA0779</t>
  </si>
  <si>
    <t>Schiavi</t>
  </si>
  <si>
    <t>ITA1092</t>
  </si>
  <si>
    <t>Schiatti</t>
  </si>
  <si>
    <t>ITA2489</t>
  </si>
  <si>
    <t>Scatamacchia</t>
  </si>
  <si>
    <t>Amerigo</t>
  </si>
  <si>
    <t>ITA0776</t>
  </si>
  <si>
    <t>Scarselli</t>
  </si>
  <si>
    <t>ITA2479</t>
  </si>
  <si>
    <t>Scarduelli</t>
  </si>
  <si>
    <t>Marcello</t>
  </si>
  <si>
    <t>ITA0773</t>
  </si>
  <si>
    <t>SC Abruzzo Ves Gentes</t>
  </si>
  <si>
    <t>Scano</t>
  </si>
  <si>
    <t>ITA2749</t>
  </si>
  <si>
    <t>ITA2755</t>
  </si>
  <si>
    <t>Federico</t>
  </si>
  <si>
    <t>Tiziano</t>
  </si>
  <si>
    <t>Villains Firenze</t>
  </si>
  <si>
    <t>Sasso</t>
  </si>
  <si>
    <t>Gaetano</t>
  </si>
  <si>
    <t>ITA0762</t>
  </si>
  <si>
    <t>Sassetti</t>
  </si>
  <si>
    <t>ITA2674</t>
  </si>
  <si>
    <t>Santoriello</t>
  </si>
  <si>
    <t>ITA2422</t>
  </si>
  <si>
    <t>Santoni</t>
  </si>
  <si>
    <t>Letizia</t>
  </si>
  <si>
    <t>ITA1314</t>
  </si>
  <si>
    <t>Santonetti</t>
  </si>
  <si>
    <t>ITA0958</t>
  </si>
  <si>
    <t>Santise</t>
  </si>
  <si>
    <t>Luigi</t>
  </si>
  <si>
    <t>ITA2342</t>
  </si>
  <si>
    <t>Santarcangelo</t>
  </si>
  <si>
    <t>ITA3241</t>
  </si>
  <si>
    <t>Santanicchia</t>
  </si>
  <si>
    <t>Cesare</t>
  </si>
  <si>
    <t>ITA0758</t>
  </si>
  <si>
    <t>Sani</t>
  </si>
  <si>
    <t>ITA2102</t>
  </si>
  <si>
    <t>ITA3089</t>
  </si>
  <si>
    <t>Salvati</t>
  </si>
  <si>
    <t>ITA0756</t>
  </si>
  <si>
    <t>Sallese</t>
  </si>
  <si>
    <t>ITA3137</t>
  </si>
  <si>
    <t>Giorgio</t>
  </si>
  <si>
    <t>ITA3138</t>
  </si>
  <si>
    <t>Saitta</t>
  </si>
  <si>
    <t>ITA1821</t>
  </si>
  <si>
    <t>Russo</t>
  </si>
  <si>
    <t>Ivano</t>
  </si>
  <si>
    <t>ITA0748</t>
  </si>
  <si>
    <t>ITA2891</t>
  </si>
  <si>
    <t>Rossitto</t>
  </si>
  <si>
    <t>ITA2826</t>
  </si>
  <si>
    <t>ITA0743</t>
  </si>
  <si>
    <t>Rosselli</t>
  </si>
  <si>
    <t>ITA3028</t>
  </si>
  <si>
    <t>Ronchetti</t>
  </si>
  <si>
    <t>ITA2355</t>
  </si>
  <si>
    <t>Roncagliolo</t>
  </si>
  <si>
    <t>ITA2563</t>
  </si>
  <si>
    <t>Romano</t>
  </si>
  <si>
    <t>ITA1567</t>
  </si>
  <si>
    <t>Romanazzi</t>
  </si>
  <si>
    <t>ITA2626</t>
  </si>
  <si>
    <t>Mario Michele</t>
  </si>
  <si>
    <t>ITA3234</t>
  </si>
  <si>
    <t>Rolle</t>
  </si>
  <si>
    <t>ITA2156</t>
  </si>
  <si>
    <t>Rodriquez</t>
  </si>
  <si>
    <t>Antonello</t>
  </si>
  <si>
    <t>ITA0738</t>
  </si>
  <si>
    <t>Rocca</t>
  </si>
  <si>
    <t>ITA2535</t>
  </si>
  <si>
    <t>Riva</t>
  </si>
  <si>
    <t>ITA2890</t>
  </si>
  <si>
    <t>Rigon</t>
  </si>
  <si>
    <t>ITA2831</t>
  </si>
  <si>
    <t>Righetto</t>
  </si>
  <si>
    <t>ITA1024</t>
  </si>
  <si>
    <t>Riggio</t>
  </si>
  <si>
    <t>ITA1705</t>
  </si>
  <si>
    <t>Messina</t>
  </si>
  <si>
    <t>Richichi</t>
  </si>
  <si>
    <t>ITA2767</t>
  </si>
  <si>
    <t>Riccò</t>
  </si>
  <si>
    <t>ITA0727</t>
  </si>
  <si>
    <t>ITA0728</t>
  </si>
  <si>
    <t>Ricco</t>
  </si>
  <si>
    <t>Bernardo</t>
  </si>
  <si>
    <t>ITA1145</t>
  </si>
  <si>
    <t>Riccio</t>
  </si>
  <si>
    <t>ITA0726</t>
  </si>
  <si>
    <t>ITA1257</t>
  </si>
  <si>
    <t>Ricci</t>
  </si>
  <si>
    <t>Mirco</t>
  </si>
  <si>
    <t>ITA3100</t>
  </si>
  <si>
    <t>Riccardi</t>
  </si>
  <si>
    <t>Giovanni Maria</t>
  </si>
  <si>
    <t>ITA0721</t>
  </si>
  <si>
    <t>Resca</t>
  </si>
  <si>
    <t>ITA0720</t>
  </si>
  <si>
    <t>Renzi</t>
  </si>
  <si>
    <t>ITA2167</t>
  </si>
  <si>
    <t>Renaldini</t>
  </si>
  <si>
    <t>ITA1285</t>
  </si>
  <si>
    <t>Recano</t>
  </si>
  <si>
    <t>ITA0717</t>
  </si>
  <si>
    <t>Razzi</t>
  </si>
  <si>
    <t>Nicola</t>
  </si>
  <si>
    <t>ITA2929</t>
  </si>
  <si>
    <t>Volterrana</t>
  </si>
  <si>
    <t>Randelli</t>
  </si>
  <si>
    <t>ITA3059</t>
  </si>
  <si>
    <t>Rampi</t>
  </si>
  <si>
    <t>ITA2810</t>
  </si>
  <si>
    <t>SC La Signoria</t>
  </si>
  <si>
    <t>Ragusa</t>
  </si>
  <si>
    <t>ITA1990</t>
  </si>
  <si>
    <t>Ragazzini Fuligni</t>
  </si>
  <si>
    <t>ITA3053</t>
  </si>
  <si>
    <t>Radicchi</t>
  </si>
  <si>
    <t>ITA2616</t>
  </si>
  <si>
    <t>Rabacchin</t>
  </si>
  <si>
    <t>ITA2269</t>
  </si>
  <si>
    <t>Quattrini</t>
  </si>
  <si>
    <t>ITA0708</t>
  </si>
  <si>
    <t>Quaranta</t>
  </si>
  <si>
    <t>ITA1724</t>
  </si>
  <si>
    <t>Puzella</t>
  </si>
  <si>
    <t>ITA2483</t>
  </si>
  <si>
    <t>Pulito</t>
  </si>
  <si>
    <t>ITA3191</t>
  </si>
  <si>
    <t>Priamo</t>
  </si>
  <si>
    <t>ITA1737</t>
  </si>
  <si>
    <t>Preziuso</t>
  </si>
  <si>
    <t>Gennaro</t>
  </si>
  <si>
    <t>ITA0701</t>
  </si>
  <si>
    <t>Manfredo</t>
  </si>
  <si>
    <t>ITA0702</t>
  </si>
  <si>
    <t>ITA0703</t>
  </si>
  <si>
    <t>Previti</t>
  </si>
  <si>
    <t>ITA1341</t>
  </si>
  <si>
    <t>Presutti</t>
  </si>
  <si>
    <t>ITA2354</t>
  </si>
  <si>
    <t>Prestia</t>
  </si>
  <si>
    <t>ITA0950</t>
  </si>
  <si>
    <t>Praino</t>
  </si>
  <si>
    <t>ITA0694</t>
  </si>
  <si>
    <t>Pozzi</t>
  </si>
  <si>
    <t>Giacomo</t>
  </si>
  <si>
    <t>ITA2395</t>
  </si>
  <si>
    <t>Portoghese</t>
  </si>
  <si>
    <t>ITA2753</t>
  </si>
  <si>
    <t>Ignazio</t>
  </si>
  <si>
    <t>ITA2754</t>
  </si>
  <si>
    <t>Porro</t>
  </si>
  <si>
    <t>ITA0692</t>
  </si>
  <si>
    <t>Michelangelo</t>
  </si>
  <si>
    <t>ITA0693</t>
  </si>
  <si>
    <t>Porcelli</t>
  </si>
  <si>
    <t>ITA0691</t>
  </si>
  <si>
    <t>Poncetta</t>
  </si>
  <si>
    <t>ITA2048</t>
  </si>
  <si>
    <t>Pon</t>
  </si>
  <si>
    <t>ITA3040</t>
  </si>
  <si>
    <t>Poggiali</t>
  </si>
  <si>
    <t>ITA1313</t>
  </si>
  <si>
    <t>Pochesci</t>
  </si>
  <si>
    <t>ITA0687</t>
  </si>
  <si>
    <t>Pisu</t>
  </si>
  <si>
    <t>ITA2985</t>
  </si>
  <si>
    <t>Pistoni</t>
  </si>
  <si>
    <t>ITA1899</t>
  </si>
  <si>
    <t>Pintore</t>
  </si>
  <si>
    <t>ITA0678</t>
  </si>
  <si>
    <t>Giampiero</t>
  </si>
  <si>
    <t>ITA2301</t>
  </si>
  <si>
    <t>Pini</t>
  </si>
  <si>
    <t>ITA0676</t>
  </si>
  <si>
    <t>Pinausi</t>
  </si>
  <si>
    <t>ITA0675</t>
  </si>
  <si>
    <t>Pimpinella</t>
  </si>
  <si>
    <t>ITA3026</t>
  </si>
  <si>
    <t>Pieroni</t>
  </si>
  <si>
    <t>ITA2542</t>
  </si>
  <si>
    <t>Piccoli</t>
  </si>
  <si>
    <t>ITA2530</t>
  </si>
  <si>
    <t>Piatti</t>
  </si>
  <si>
    <t>ITA2036</t>
  </si>
  <si>
    <t>Pianigiani</t>
  </si>
  <si>
    <t>ITA2571</t>
  </si>
  <si>
    <t>Pezzuolo</t>
  </si>
  <si>
    <t>ITA1261</t>
  </si>
  <si>
    <t>Petrini</t>
  </si>
  <si>
    <t>ITA0666</t>
  </si>
  <si>
    <t>Pessini</t>
  </si>
  <si>
    <t>ITA0664</t>
  </si>
  <si>
    <t>Perrino</t>
  </si>
  <si>
    <t>ITA2312</t>
  </si>
  <si>
    <t>Perri</t>
  </si>
  <si>
    <t>ITA2856</t>
  </si>
  <si>
    <t>Perotti</t>
  </si>
  <si>
    <t>ITA2576</t>
  </si>
  <si>
    <t>Periccioli</t>
  </si>
  <si>
    <t>ITA2843</t>
  </si>
  <si>
    <t>ITA2964</t>
  </si>
  <si>
    <t>Giulia</t>
  </si>
  <si>
    <t>Perdichizzi</t>
  </si>
  <si>
    <t>Monica</t>
  </si>
  <si>
    <t>ITA2360</t>
  </si>
  <si>
    <t>Perazzo</t>
  </si>
  <si>
    <t>ITA0657</t>
  </si>
  <si>
    <t>Peluso</t>
  </si>
  <si>
    <t>ITA0655</t>
  </si>
  <si>
    <t>Pellegrino</t>
  </si>
  <si>
    <t>ITA0653</t>
  </si>
  <si>
    <t>Peghin</t>
  </si>
  <si>
    <t>ITA3070</t>
  </si>
  <si>
    <t>Pecchioli</t>
  </si>
  <si>
    <t>ITA0651</t>
  </si>
  <si>
    <t>Patruno</t>
  </si>
  <si>
    <t>Gerardo</t>
  </si>
  <si>
    <t>ITA0648</t>
  </si>
  <si>
    <t>Passeroni</t>
  </si>
  <si>
    <t>Duccio</t>
  </si>
  <si>
    <t>ITA2818</t>
  </si>
  <si>
    <t>Pasquini</t>
  </si>
  <si>
    <t>ITA2329</t>
  </si>
  <si>
    <t>Parussini</t>
  </si>
  <si>
    <t>ITA2553</t>
  </si>
  <si>
    <t>Parodi</t>
  </si>
  <si>
    <t>ITA2389</t>
  </si>
  <si>
    <t>Paolini</t>
  </si>
  <si>
    <t>ITA1610</t>
  </si>
  <si>
    <t>Panza - Intra</t>
  </si>
  <si>
    <t>ITA0644</t>
  </si>
  <si>
    <t>Panizzari</t>
  </si>
  <si>
    <t>ITA1166</t>
  </si>
  <si>
    <t>Panebianco</t>
  </si>
  <si>
    <t>ITA0641</t>
  </si>
  <si>
    <t>Pambianchi</t>
  </si>
  <si>
    <t>ITA2600</t>
  </si>
  <si>
    <t>Palumbo</t>
  </si>
  <si>
    <t>ITA2170</t>
  </si>
  <si>
    <t>Subbuteo Italia</t>
  </si>
  <si>
    <t>Palmieri</t>
  </si>
  <si>
    <t>Lionello</t>
  </si>
  <si>
    <t>ITA0636</t>
  </si>
  <si>
    <t>ITA1558</t>
  </si>
  <si>
    <t>Palazzolo</t>
  </si>
  <si>
    <t>ITA1566</t>
  </si>
  <si>
    <t>Palazzoli</t>
  </si>
  <si>
    <t>ITA2774</t>
  </si>
  <si>
    <t>Palamà</t>
  </si>
  <si>
    <t>ITA2680</t>
  </si>
  <si>
    <t>Painelli</t>
  </si>
  <si>
    <t>ITA2356</t>
  </si>
  <si>
    <t>Pacitti</t>
  </si>
  <si>
    <t>ITA1828</t>
  </si>
  <si>
    <t>Patrizio</t>
  </si>
  <si>
    <t>Ottone</t>
  </si>
  <si>
    <t>ITA0633</t>
  </si>
  <si>
    <t>ITA1996</t>
  </si>
  <si>
    <t>Maria Grazia</t>
  </si>
  <si>
    <t>ITA1997</t>
  </si>
  <si>
    <t>Giovanna</t>
  </si>
  <si>
    <t>ITA2949</t>
  </si>
  <si>
    <t>Oncini</t>
  </si>
  <si>
    <t>ITA2515</t>
  </si>
  <si>
    <t>Ogno</t>
  </si>
  <si>
    <t>ITA0978</t>
  </si>
  <si>
    <t>Nunzet</t>
  </si>
  <si>
    <t>ITA3188</t>
  </si>
  <si>
    <t>Nucci</t>
  </si>
  <si>
    <t>ITA2441</t>
  </si>
  <si>
    <t>Novi</t>
  </si>
  <si>
    <t>ITA1316</t>
  </si>
  <si>
    <t>Nompari</t>
  </si>
  <si>
    <t>ITA2526</t>
  </si>
  <si>
    <t>SC Valdarno</t>
  </si>
  <si>
    <t>Nocchi</t>
  </si>
  <si>
    <t>Silvio</t>
  </si>
  <si>
    <t>ITA2514</t>
  </si>
  <si>
    <t>Nicoletti</t>
  </si>
  <si>
    <t>ITA2468</t>
  </si>
  <si>
    <t>Nicchi</t>
  </si>
  <si>
    <t>Vittorio</t>
  </si>
  <si>
    <t>ITA0614</t>
  </si>
  <si>
    <t>Nicastro</t>
  </si>
  <si>
    <t>ITA2353</t>
  </si>
  <si>
    <t>Neri</t>
  </si>
  <si>
    <t>ITA0607</t>
  </si>
  <si>
    <t>ITA0609</t>
  </si>
  <si>
    <t>Nefi</t>
  </si>
  <si>
    <t>ITA2469</t>
  </si>
  <si>
    <t>Navarra</t>
  </si>
  <si>
    <t>Orlando</t>
  </si>
  <si>
    <t>ITA1783</t>
  </si>
  <si>
    <t>ITA1784</t>
  </si>
  <si>
    <t>Natoli</t>
  </si>
  <si>
    <t>ITA0604</t>
  </si>
  <si>
    <t>ITA0605</t>
  </si>
  <si>
    <t>ITA1218</t>
  </si>
  <si>
    <t>Nativo</t>
  </si>
  <si>
    <t>ITA2385</t>
  </si>
  <si>
    <t>Natale</t>
  </si>
  <si>
    <t>ITA1003</t>
  </si>
  <si>
    <t>ITA2173</t>
  </si>
  <si>
    <t>Nastasi</t>
  </si>
  <si>
    <t>ITA0603</t>
  </si>
  <si>
    <t>Nasri</t>
  </si>
  <si>
    <t>Ali</t>
  </si>
  <si>
    <t>ITA2337</t>
  </si>
  <si>
    <t>Enea</t>
  </si>
  <si>
    <t>ITA2339</t>
  </si>
  <si>
    <t>Nardulli</t>
  </si>
  <si>
    <t>ITA2367</t>
  </si>
  <si>
    <t>Nardi</t>
  </si>
  <si>
    <t>ITA2158</t>
  </si>
  <si>
    <t>Nappini</t>
  </si>
  <si>
    <t>ITA0601</t>
  </si>
  <si>
    <t>Nappa</t>
  </si>
  <si>
    <t>ITA0600</t>
  </si>
  <si>
    <t>Napolitano</t>
  </si>
  <si>
    <t>Carmine</t>
  </si>
  <si>
    <t>ITA0595</t>
  </si>
  <si>
    <t>Nanni</t>
  </si>
  <si>
    <t>ITA3062</t>
  </si>
  <si>
    <t>Musso</t>
  </si>
  <si>
    <t>Marcel</t>
  </si>
  <si>
    <t>ITA2240</t>
  </si>
  <si>
    <t>Mussino</t>
  </si>
  <si>
    <t>ITA2492</t>
  </si>
  <si>
    <t>Mussato</t>
  </si>
  <si>
    <t>Gian Luca</t>
  </si>
  <si>
    <t>ITA2941</t>
  </si>
  <si>
    <t>Mura</t>
  </si>
  <si>
    <t>ITA1408</t>
  </si>
  <si>
    <t>Munafo'</t>
  </si>
  <si>
    <t>ITA3066</t>
  </si>
  <si>
    <t>ITA1440</t>
  </si>
  <si>
    <t>Morigi</t>
  </si>
  <si>
    <t>ITA3078</t>
  </si>
  <si>
    <t>Mori</t>
  </si>
  <si>
    <t>ITA2517</t>
  </si>
  <si>
    <t>Morganelli</t>
  </si>
  <si>
    <t>Rocco</t>
  </si>
  <si>
    <t>ITA1443</t>
  </si>
  <si>
    <t>Stradivari Cremona</t>
  </si>
  <si>
    <t>Moretti</t>
  </si>
  <si>
    <t>ITA0587</t>
  </si>
  <si>
    <t>Morandi</t>
  </si>
  <si>
    <t>ITA2417</t>
  </si>
  <si>
    <t>Montefusco</t>
  </si>
  <si>
    <t>ITA2781</t>
  </si>
  <si>
    <t>Montefiori</t>
  </si>
  <si>
    <t>ITA0580</t>
  </si>
  <si>
    <t>Montecalvo</t>
  </si>
  <si>
    <t>ITA2314</t>
  </si>
  <si>
    <t>Montanari</t>
  </si>
  <si>
    <t>ITA1136</t>
  </si>
  <si>
    <t>Mondo</t>
  </si>
  <si>
    <t>ITA1707</t>
  </si>
  <si>
    <t>Valerio</t>
  </si>
  <si>
    <t>ITA1708</t>
  </si>
  <si>
    <t>Ettore</t>
  </si>
  <si>
    <t>Molinaro</t>
  </si>
  <si>
    <t>ITA3217</t>
  </si>
  <si>
    <t>Molinari</t>
  </si>
  <si>
    <t>ITA2599</t>
  </si>
  <si>
    <t>Modugno</t>
  </si>
  <si>
    <t>ITA3102</t>
  </si>
  <si>
    <t>Mochi</t>
  </si>
  <si>
    <t>Manlio</t>
  </si>
  <si>
    <t>ITA2677</t>
  </si>
  <si>
    <t>Minnetti</t>
  </si>
  <si>
    <t>ITA2049</t>
  </si>
  <si>
    <t>Milessa</t>
  </si>
  <si>
    <t>ITA3222</t>
  </si>
  <si>
    <t>Milei</t>
  </si>
  <si>
    <t>Giampaolo</t>
  </si>
  <si>
    <t>ITA1635</t>
  </si>
  <si>
    <t>Milani</t>
  </si>
  <si>
    <t>Raffaello</t>
  </si>
  <si>
    <t>ITA3052</t>
  </si>
  <si>
    <t>Milan</t>
  </si>
  <si>
    <t>ITA2094</t>
  </si>
  <si>
    <t>Migliori</t>
  </si>
  <si>
    <t>ITA1070</t>
  </si>
  <si>
    <t>Midoro</t>
  </si>
  <si>
    <t>ITA0921</t>
  </si>
  <si>
    <t>Miccolupi</t>
  </si>
  <si>
    <t>ITA2488</t>
  </si>
  <si>
    <t>Miccoli</t>
  </si>
  <si>
    <t>Francesco Mattia</t>
  </si>
  <si>
    <t>ITA3139</t>
  </si>
  <si>
    <t>Micati</t>
  </si>
  <si>
    <t>ITA1842</t>
  </si>
  <si>
    <t>Mettivieri</t>
  </si>
  <si>
    <t>ITA0568</t>
  </si>
  <si>
    <t>Maria Felice</t>
  </si>
  <si>
    <t>ITA2429</t>
  </si>
  <si>
    <t>Meo</t>
  </si>
  <si>
    <t>ITA2034</t>
  </si>
  <si>
    <t>ITA2035</t>
  </si>
  <si>
    <t>ITA2137</t>
  </si>
  <si>
    <t>Mentasti</t>
  </si>
  <si>
    <t>ITA1759</t>
  </si>
  <si>
    <t>ITA2900</t>
  </si>
  <si>
    <t>ITA1200</t>
  </si>
  <si>
    <t>Menditto</t>
  </si>
  <si>
    <t>ITA3037</t>
  </si>
  <si>
    <t>Melis</t>
  </si>
  <si>
    <t>ITA2987</t>
  </si>
  <si>
    <t>Mazzucchi</t>
  </si>
  <si>
    <t>ITA2352</t>
  </si>
  <si>
    <t>Mazzeo</t>
  </si>
  <si>
    <t>ITA0553</t>
  </si>
  <si>
    <t>Mazzau</t>
  </si>
  <si>
    <t>ITA2778</t>
  </si>
  <si>
    <t>Mattiangeli</t>
  </si>
  <si>
    <t>ITA0551</t>
  </si>
  <si>
    <t>ITA0552</t>
  </si>
  <si>
    <t>Matteucci</t>
  </si>
  <si>
    <t>ITA2246</t>
  </si>
  <si>
    <t>Matalone</t>
  </si>
  <si>
    <t>ITA2992</t>
  </si>
  <si>
    <t>ITA3211</t>
  </si>
  <si>
    <t>Mastropasqua</t>
  </si>
  <si>
    <t>ITA0549</t>
  </si>
  <si>
    <t>Mastrantuono</t>
  </si>
  <si>
    <t>Gianfranco</t>
  </si>
  <si>
    <t>ITA0547</t>
  </si>
  <si>
    <t>ITA0548</t>
  </si>
  <si>
    <t>Mastrangelo</t>
  </si>
  <si>
    <t>ITA1168</t>
  </si>
  <si>
    <t>Massone</t>
  </si>
  <si>
    <t>ITA2694</t>
  </si>
  <si>
    <t>Masini</t>
  </si>
  <si>
    <t>Mirko</t>
  </si>
  <si>
    <t>ITA0545</t>
  </si>
  <si>
    <t>Mascitti</t>
  </si>
  <si>
    <t>ITA2494</t>
  </si>
  <si>
    <t>Marzocchi</t>
  </si>
  <si>
    <t>ITA0541</t>
  </si>
  <si>
    <t>Marziani</t>
  </si>
  <si>
    <t>ITA2255</t>
  </si>
  <si>
    <t>Martiner Testa</t>
  </si>
  <si>
    <t>ITA0538</t>
  </si>
  <si>
    <t>Mariotto</t>
  </si>
  <si>
    <t>ITA1174</t>
  </si>
  <si>
    <t>Marinucci</t>
  </si>
  <si>
    <t>ITA0530</t>
  </si>
  <si>
    <t>Marino</t>
  </si>
  <si>
    <t>ITA2541</t>
  </si>
  <si>
    <t>Marini</t>
  </si>
  <si>
    <t>Damiano</t>
  </si>
  <si>
    <t>ITA0525</t>
  </si>
  <si>
    <t>ITA0526</t>
  </si>
  <si>
    <t>Marinari</t>
  </si>
  <si>
    <t>ITA1545</t>
  </si>
  <si>
    <t>Maresca</t>
  </si>
  <si>
    <t>Graziano</t>
  </si>
  <si>
    <t>ITA0521</t>
  </si>
  <si>
    <t>Marconcini</t>
  </si>
  <si>
    <t>ITA2345</t>
  </si>
  <si>
    <t>Marcolini</t>
  </si>
  <si>
    <t>ITA2325</t>
  </si>
  <si>
    <t>Marchetti</t>
  </si>
  <si>
    <t>Ermanno</t>
  </si>
  <si>
    <t>ITA1518</t>
  </si>
  <si>
    <t>Marazzotta</t>
  </si>
  <si>
    <t>ITA2733</t>
  </si>
  <si>
    <t>Marazzato</t>
  </si>
  <si>
    <t>ITA2940</t>
  </si>
  <si>
    <t>ITA2943</t>
  </si>
  <si>
    <t>Marani</t>
  </si>
  <si>
    <t>ITA2532</t>
  </si>
  <si>
    <t>Marabello</t>
  </si>
  <si>
    <t>ITA3003</t>
  </si>
  <si>
    <t>Manzella</t>
  </si>
  <si>
    <t>ITA1476</t>
  </si>
  <si>
    <t>Mantile</t>
  </si>
  <si>
    <t>Eugenio</t>
  </si>
  <si>
    <t>ITA0515</t>
  </si>
  <si>
    <t>Manica</t>
  </si>
  <si>
    <t>ITA1665</t>
  </si>
  <si>
    <t>Mangione</t>
  </si>
  <si>
    <t>ITA3183</t>
  </si>
  <si>
    <t>Manganello</t>
  </si>
  <si>
    <t>ITA0510</t>
  </si>
  <si>
    <t>ITA0511</t>
  </si>
  <si>
    <t>Manfredelli</t>
  </si>
  <si>
    <t>ITA2617</t>
  </si>
  <si>
    <t>ITA2870</t>
  </si>
  <si>
    <t>Manfioletti</t>
  </si>
  <si>
    <t>ITA1758</t>
  </si>
  <si>
    <t>Mandanici</t>
  </si>
  <si>
    <t>ITA1966</t>
  </si>
  <si>
    <t>ITA2702</t>
  </si>
  <si>
    <t>Mancinelli</t>
  </si>
  <si>
    <t>ITA3195</t>
  </si>
  <si>
    <t>Mancaruso</t>
  </si>
  <si>
    <t>Ezio</t>
  </si>
  <si>
    <t>ITA0505</t>
  </si>
  <si>
    <t>Malvaso</t>
  </si>
  <si>
    <t>ITA0503</t>
  </si>
  <si>
    <t>Malossi</t>
  </si>
  <si>
    <t>ITA3228</t>
  </si>
  <si>
    <t>Malevolti</t>
  </si>
  <si>
    <t>ITA3046</t>
  </si>
  <si>
    <t>Maioli</t>
  </si>
  <si>
    <t>ITA3179</t>
  </si>
  <si>
    <t>ITA3180</t>
  </si>
  <si>
    <t>Maina</t>
  </si>
  <si>
    <t>ITA0928</t>
  </si>
  <si>
    <t>Maielli</t>
  </si>
  <si>
    <t>ITA2817</t>
  </si>
  <si>
    <t>Maiandi</t>
  </si>
  <si>
    <t>ITA0499</t>
  </si>
  <si>
    <t>Magro</t>
  </si>
  <si>
    <t>ITA2773</t>
  </si>
  <si>
    <t>Maglio</t>
  </si>
  <si>
    <t>ITA3010</t>
  </si>
  <si>
    <t>Macino</t>
  </si>
  <si>
    <t>ITA1307</t>
  </si>
  <si>
    <t>Lussu</t>
  </si>
  <si>
    <t>ITA2888</t>
  </si>
  <si>
    <t>ITA2913</t>
  </si>
  <si>
    <t>Luciani</t>
  </si>
  <si>
    <t>ITA1792</t>
  </si>
  <si>
    <t>Luchetti</t>
  </si>
  <si>
    <t>ITA3194</t>
  </si>
  <si>
    <t>Lucchesi</t>
  </si>
  <si>
    <t>ITA2181</t>
  </si>
  <si>
    <t>Lubrano</t>
  </si>
  <si>
    <t>ITA1385</t>
  </si>
  <si>
    <t>Lopresto</t>
  </si>
  <si>
    <t>ITA1496</t>
  </si>
  <si>
    <t>Lombardo</t>
  </si>
  <si>
    <t>ITA2279</t>
  </si>
  <si>
    <t>ITA2646</t>
  </si>
  <si>
    <t>ITA2198</t>
  </si>
  <si>
    <t>Lojacono</t>
  </si>
  <si>
    <t>ITA0489</t>
  </si>
  <si>
    <t>Locci</t>
  </si>
  <si>
    <t>ITA2233</t>
  </si>
  <si>
    <t>Lo Presti</t>
  </si>
  <si>
    <t>ITA0487</t>
  </si>
  <si>
    <t>ITA0488</t>
  </si>
  <si>
    <t>Lo Iacono</t>
  </si>
  <si>
    <t>ITA0486</t>
  </si>
  <si>
    <t>ITA1909</t>
  </si>
  <si>
    <t>Lo Cascio</t>
  </si>
  <si>
    <t>Giuditta</t>
  </si>
  <si>
    <t>ITA0484</t>
  </si>
  <si>
    <t>ITA0485</t>
  </si>
  <si>
    <t>ITA1839</t>
  </si>
  <si>
    <t>ITA2217</t>
  </si>
  <si>
    <t>Liucci</t>
  </si>
  <si>
    <t>Ciro</t>
  </si>
  <si>
    <t>ITA0482</t>
  </si>
  <si>
    <t>Lista</t>
  </si>
  <si>
    <t>ITA2413</t>
  </si>
  <si>
    <t>Limbardi</t>
  </si>
  <si>
    <t>ITA2752</t>
  </si>
  <si>
    <t>Liguori</t>
  </si>
  <si>
    <t>ITA2554</t>
  </si>
  <si>
    <t>Licheri</t>
  </si>
  <si>
    <t>ITA0481</t>
  </si>
  <si>
    <t>Lepri</t>
  </si>
  <si>
    <t>ITA0476</t>
  </si>
  <si>
    <t>Lepore</t>
  </si>
  <si>
    <t>ITA0475</t>
  </si>
  <si>
    <t>Leotta</t>
  </si>
  <si>
    <t>ITA2965</t>
  </si>
  <si>
    <t>Lena</t>
  </si>
  <si>
    <t>Gianmaria</t>
  </si>
  <si>
    <t>ITA0473</t>
  </si>
  <si>
    <t>Lazzaroni</t>
  </si>
  <si>
    <t>ITA2709</t>
  </si>
  <si>
    <t>Lazzaretti</t>
  </si>
  <si>
    <t>ITA1487</t>
  </si>
  <si>
    <t>ITA2376</t>
  </si>
  <si>
    <t>Lay</t>
  </si>
  <si>
    <t>ITA1574</t>
  </si>
  <si>
    <t>Lavoratti</t>
  </si>
  <si>
    <t>ITA2812</t>
  </si>
  <si>
    <t>Lauretti</t>
  </si>
  <si>
    <t>ITA0466</t>
  </si>
  <si>
    <t>Laurenzi</t>
  </si>
  <si>
    <t>ITA3233</t>
  </si>
  <si>
    <t>Lastrucci</t>
  </si>
  <si>
    <t>ITA3060</t>
  </si>
  <si>
    <t>Lampugnani</t>
  </si>
  <si>
    <t>ITA0463</t>
  </si>
  <si>
    <t>Lamberti</t>
  </si>
  <si>
    <t>La Torre</t>
  </si>
  <si>
    <t>Concetto</t>
  </si>
  <si>
    <t>ITA0457</t>
  </si>
  <si>
    <t>ITA0458</t>
  </si>
  <si>
    <t>ITA0459</t>
  </si>
  <si>
    <t>ITA1524</t>
  </si>
  <si>
    <t>La Rosa</t>
  </si>
  <si>
    <t>ITA0455</t>
  </si>
  <si>
    <t>ITA0456</t>
  </si>
  <si>
    <t>Iovino</t>
  </si>
  <si>
    <t>ITA2033</t>
  </si>
  <si>
    <t>Iorio</t>
  </si>
  <si>
    <t>ITA0447</t>
  </si>
  <si>
    <t>Iobbi</t>
  </si>
  <si>
    <t>Adriano</t>
  </si>
  <si>
    <t>ITA1473</t>
  </si>
  <si>
    <t>Ioan</t>
  </si>
  <si>
    <t>ITA0446</t>
  </si>
  <si>
    <t>Intra</t>
  </si>
  <si>
    <t>Efrem</t>
  </si>
  <si>
    <t>ITA0443</t>
  </si>
  <si>
    <t>Indino</t>
  </si>
  <si>
    <t>ITA3232</t>
  </si>
  <si>
    <t>Incorvaia</t>
  </si>
  <si>
    <t>ITA0440</t>
  </si>
  <si>
    <t>Incardona</t>
  </si>
  <si>
    <t>ITA3254</t>
  </si>
  <si>
    <t>Impallomeni</t>
  </si>
  <si>
    <t>ITA0439</t>
  </si>
  <si>
    <t>Ifrigerio</t>
  </si>
  <si>
    <t>Rosario</t>
  </si>
  <si>
    <t>ITA1163</t>
  </si>
  <si>
    <t>Iervese</t>
  </si>
  <si>
    <t>ITA1846</t>
  </si>
  <si>
    <t>Ieppariello</t>
  </si>
  <si>
    <t>Nunzio</t>
  </si>
  <si>
    <t>ITA2961</t>
  </si>
  <si>
    <t>Ielapi</t>
  </si>
  <si>
    <t>ITA0436</t>
  </si>
  <si>
    <t>ITA0437</t>
  </si>
  <si>
    <t>Iarlori</t>
  </si>
  <si>
    <t>Rocco Antonio</t>
  </si>
  <si>
    <t>ITA2324</t>
  </si>
  <si>
    <t>Guzzetta</t>
  </si>
  <si>
    <t>ITA0431</t>
  </si>
  <si>
    <t>Guidi</t>
  </si>
  <si>
    <t>ITA0428</t>
  </si>
  <si>
    <t>ITA2425</t>
  </si>
  <si>
    <t>ITA2883</t>
  </si>
  <si>
    <t>Guidara</t>
  </si>
  <si>
    <t>ITA2323</t>
  </si>
  <si>
    <t>ITA0426</t>
  </si>
  <si>
    <t>Guastella</t>
  </si>
  <si>
    <t>ITA1564</t>
  </si>
  <si>
    <t>Guarino</t>
  </si>
  <si>
    <t>ITA2642</t>
  </si>
  <si>
    <t>Guardini</t>
  </si>
  <si>
    <t>ITA2477</t>
  </si>
  <si>
    <t>Gualerci</t>
  </si>
  <si>
    <t>ITA2394</t>
  </si>
  <si>
    <t>Guagliardi</t>
  </si>
  <si>
    <t>Erica</t>
  </si>
  <si>
    <t>ITA1939</t>
  </si>
  <si>
    <t>Grimaldi</t>
  </si>
  <si>
    <t>ITA1507</t>
  </si>
  <si>
    <t>Grillo</t>
  </si>
  <si>
    <t>ITA1662</t>
  </si>
  <si>
    <t>Grigiotti</t>
  </si>
  <si>
    <t>ITA2525</t>
  </si>
  <si>
    <t>Grassini</t>
  </si>
  <si>
    <t>ITA2393</t>
  </si>
  <si>
    <t>Gorna</t>
  </si>
  <si>
    <t>ITA2534</t>
  </si>
  <si>
    <t>Goldoni</t>
  </si>
  <si>
    <t>ITA2552</t>
  </si>
  <si>
    <t>Giunti</t>
  </si>
  <si>
    <t>ITA3249</t>
  </si>
  <si>
    <t>Giummo</t>
  </si>
  <si>
    <t>ITA1730</t>
  </si>
  <si>
    <t>Giuffrè</t>
  </si>
  <si>
    <t>Armando</t>
  </si>
  <si>
    <t>ITA1217</t>
  </si>
  <si>
    <t>Giudice</t>
  </si>
  <si>
    <t>ITA1126</t>
  </si>
  <si>
    <t>ITA1138</t>
  </si>
  <si>
    <t>ITA1587</t>
  </si>
  <si>
    <t>ITA1649</t>
  </si>
  <si>
    <t>Giubbilini</t>
  </si>
  <si>
    <t>ITA2926</t>
  </si>
  <si>
    <t>Gissara</t>
  </si>
  <si>
    <t>ITA0407</t>
  </si>
  <si>
    <t>ITA0408</t>
  </si>
  <si>
    <t>Girelli</t>
  </si>
  <si>
    <t>ITA2536</t>
  </si>
  <si>
    <t>Giraudo</t>
  </si>
  <si>
    <t>ITA2974</t>
  </si>
  <si>
    <t>Giovangiacomo</t>
  </si>
  <si>
    <t>ITA2180</t>
  </si>
  <si>
    <t>Giorgianni</t>
  </si>
  <si>
    <t>ITA1965</t>
  </si>
  <si>
    <t>Giliberto</t>
  </si>
  <si>
    <t>ITA0403</t>
  </si>
  <si>
    <t>Giannelli</t>
  </si>
  <si>
    <t>ITA2978</t>
  </si>
  <si>
    <t>Giannarelli</t>
  </si>
  <si>
    <t>ITA0402</t>
  </si>
  <si>
    <t>Vetere</t>
  </si>
  <si>
    <t>ITA3251</t>
  </si>
  <si>
    <t>ITA2457</t>
  </si>
  <si>
    <t>Ferdinando</t>
  </si>
  <si>
    <t>Giampaola</t>
  </si>
  <si>
    <t>Jacopo</t>
  </si>
  <si>
    <t>ITA3185</t>
  </si>
  <si>
    <t>ITA3186</t>
  </si>
  <si>
    <t>ITA3187</t>
  </si>
  <si>
    <t>Ghiselli</t>
  </si>
  <si>
    <t>ITA1247</t>
  </si>
  <si>
    <t>Ghirelli</t>
  </si>
  <si>
    <t>ITA0399</t>
  </si>
  <si>
    <t>ITA3198</t>
  </si>
  <si>
    <t>ITA3199</t>
  </si>
  <si>
    <t>Ghersi</t>
  </si>
  <si>
    <t>Gian Paolo</t>
  </si>
  <si>
    <t>ITA3043</t>
  </si>
  <si>
    <t>Gentileschi</t>
  </si>
  <si>
    <t>ITA1614</t>
  </si>
  <si>
    <t>Gentile</t>
  </si>
  <si>
    <t>ITA0396</t>
  </si>
  <si>
    <t>ITA0397</t>
  </si>
  <si>
    <t>ITA0398</t>
  </si>
  <si>
    <t>Genovese</t>
  </si>
  <si>
    <t>Vincenzo Maria</t>
  </si>
  <si>
    <t>ITA3032</t>
  </si>
  <si>
    <t>Gazzoldi</t>
  </si>
  <si>
    <t>Giuliano</t>
  </si>
  <si>
    <t>ITA0393</t>
  </si>
  <si>
    <t>Gazzarri</t>
  </si>
  <si>
    <t>ITA2816</t>
  </si>
  <si>
    <t>Gasparini</t>
  </si>
  <si>
    <t>ITA2163</t>
  </si>
  <si>
    <t>Gasparetto</t>
  </si>
  <si>
    <t>Dino</t>
  </si>
  <si>
    <t>ITA1492</t>
  </si>
  <si>
    <t>Gargiulo</t>
  </si>
  <si>
    <t>ITA0388</t>
  </si>
  <si>
    <t>Catello</t>
  </si>
  <si>
    <t>ITA0389</t>
  </si>
  <si>
    <t>Garau</t>
  </si>
  <si>
    <t>Efisio</t>
  </si>
  <si>
    <t>ITA2751</t>
  </si>
  <si>
    <t>Garatti</t>
  </si>
  <si>
    <t>ITA2968</t>
  </si>
  <si>
    <t>Gara</t>
  </si>
  <si>
    <t>Severino</t>
  </si>
  <si>
    <t>ITA0386</t>
  </si>
  <si>
    <t>Gandin</t>
  </si>
  <si>
    <t>ITA3098</t>
  </si>
  <si>
    <t>Gammarota</t>
  </si>
  <si>
    <t>ITA2658</t>
  </si>
  <si>
    <t>Gambella</t>
  </si>
  <si>
    <t>ITA2320</t>
  </si>
  <si>
    <t>Gambaruto</t>
  </si>
  <si>
    <t>ITA3074</t>
  </si>
  <si>
    <t>Gambara</t>
  </si>
  <si>
    <t>Guido</t>
  </si>
  <si>
    <t>ITA3045</t>
  </si>
  <si>
    <t>Gallo</t>
  </si>
  <si>
    <t>ITA0384</t>
  </si>
  <si>
    <t>ITA3225</t>
  </si>
  <si>
    <t>Galieti</t>
  </si>
  <si>
    <t>ITA2046</t>
  </si>
  <si>
    <t>Galeazzi</t>
  </si>
  <si>
    <t>ITA0382</t>
  </si>
  <si>
    <t>Gaia</t>
  </si>
  <si>
    <t>ITA0380</t>
  </si>
  <si>
    <t>Gagliardi</t>
  </si>
  <si>
    <t>ITA2317</t>
  </si>
  <si>
    <t>Gabbani</t>
  </si>
  <si>
    <t>ITA1951</t>
  </si>
  <si>
    <t>Furnari</t>
  </si>
  <si>
    <t>Antonella</t>
  </si>
  <si>
    <t>ITA2168</t>
  </si>
  <si>
    <t>Furini</t>
  </si>
  <si>
    <t>ITA0375</t>
  </si>
  <si>
    <t>Fumai</t>
  </si>
  <si>
    <t>ITA2701</t>
  </si>
  <si>
    <t>Fucci</t>
  </si>
  <si>
    <t>ITA1062</t>
  </si>
  <si>
    <t>Frisone</t>
  </si>
  <si>
    <t>ITA2384</t>
  </si>
  <si>
    <t>Fricano</t>
  </si>
  <si>
    <t>ITA1749</t>
  </si>
  <si>
    <t>ITA2140</t>
  </si>
  <si>
    <t>Frega</t>
  </si>
  <si>
    <t>ITA2971</t>
  </si>
  <si>
    <t>Frascarelli</t>
  </si>
  <si>
    <t>ITA1106</t>
  </si>
  <si>
    <t>Frasca</t>
  </si>
  <si>
    <t>ITA0371</t>
  </si>
  <si>
    <t>Franchi</t>
  </si>
  <si>
    <t>ITA2531</t>
  </si>
  <si>
    <t>Foti</t>
  </si>
  <si>
    <t>ITA2453</t>
  </si>
  <si>
    <t>Paola</t>
  </si>
  <si>
    <t>ITA0365</t>
  </si>
  <si>
    <t>Forino</t>
  </si>
  <si>
    <t>ITA2409</t>
  </si>
  <si>
    <t>Fontana</t>
  </si>
  <si>
    <t>Antonino</t>
  </si>
  <si>
    <t>ITA1670</t>
  </si>
  <si>
    <t>Flamini</t>
  </si>
  <si>
    <t>ITA0359</t>
  </si>
  <si>
    <t>Flaccomio</t>
  </si>
  <si>
    <t>ITA3235</t>
  </si>
  <si>
    <t>Fiumi</t>
  </si>
  <si>
    <t>ITA3080</t>
  </si>
  <si>
    <t>Fiorillo</t>
  </si>
  <si>
    <t>ITA2267</t>
  </si>
  <si>
    <t>Finelli</t>
  </si>
  <si>
    <t>ITA1880</t>
  </si>
  <si>
    <t>Finardi</t>
  </si>
  <si>
    <t>ITA0355</t>
  </si>
  <si>
    <t>Fina</t>
  </si>
  <si>
    <t>ITA2851</t>
  </si>
  <si>
    <t>ITA2868</t>
  </si>
  <si>
    <t>Filippella</t>
  </si>
  <si>
    <t>ITA1646</t>
  </si>
  <si>
    <t>ITA2018</t>
  </si>
  <si>
    <t>ITA2019</t>
  </si>
  <si>
    <t>Filardo</t>
  </si>
  <si>
    <t>ITA2224</t>
  </si>
  <si>
    <t>Figus</t>
  </si>
  <si>
    <t>ITA0352</t>
  </si>
  <si>
    <t>Figliolino</t>
  </si>
  <si>
    <t>Emiddio</t>
  </si>
  <si>
    <t>ITA3021</t>
  </si>
  <si>
    <t>Ficola</t>
  </si>
  <si>
    <t>ITA2052</t>
  </si>
  <si>
    <t>Ficini</t>
  </si>
  <si>
    <t>ITA3216</t>
  </si>
  <si>
    <t>Ferrucci</t>
  </si>
  <si>
    <t>ITA0351</t>
  </si>
  <si>
    <t>ITA2243</t>
  </si>
  <si>
    <t>Ferro</t>
  </si>
  <si>
    <t>ITA1465</t>
  </si>
  <si>
    <t>Ferri</t>
  </si>
  <si>
    <t>ITA1833</t>
  </si>
  <si>
    <t>Ferretti</t>
  </si>
  <si>
    <t>ITA3094</t>
  </si>
  <si>
    <t>Ferrari</t>
  </si>
  <si>
    <t>ITA2595</t>
  </si>
  <si>
    <t>Ferrante</t>
  </si>
  <si>
    <t>ITA0348</t>
  </si>
  <si>
    <t>Saverio</t>
  </si>
  <si>
    <t>ITA1486</t>
  </si>
  <si>
    <t>Feri</t>
  </si>
  <si>
    <t>ITA3013</t>
  </si>
  <si>
    <t>Feo</t>
  </si>
  <si>
    <t>ITA0345</t>
  </si>
  <si>
    <t>Fenucci</t>
  </si>
  <si>
    <t>ITA2357</t>
  </si>
  <si>
    <t>Fedele</t>
  </si>
  <si>
    <t>ITA0342</t>
  </si>
  <si>
    <t>Fazio</t>
  </si>
  <si>
    <t>ITA3090</t>
  </si>
  <si>
    <t>Farneti</t>
  </si>
  <si>
    <t>ITA3076</t>
  </si>
  <si>
    <t>ITA3077</t>
  </si>
  <si>
    <t>Farnesi</t>
  </si>
  <si>
    <t>ITA0338</t>
  </si>
  <si>
    <t>Farina</t>
  </si>
  <si>
    <t>ITA1575</t>
  </si>
  <si>
    <t>Farace</t>
  </si>
  <si>
    <t>ITA0330</t>
  </si>
  <si>
    <t>Famà</t>
  </si>
  <si>
    <t>Vito Antonino</t>
  </si>
  <si>
    <t>ITA2358</t>
  </si>
  <si>
    <t>Falorni</t>
  </si>
  <si>
    <t>ITA2098</t>
  </si>
  <si>
    <t>Falaschi</t>
  </si>
  <si>
    <t>ITA2480</t>
  </si>
  <si>
    <t>Evangelisti</t>
  </si>
  <si>
    <t>ITA0322</t>
  </si>
  <si>
    <t>Esposito</t>
  </si>
  <si>
    <t>Giosuè</t>
  </si>
  <si>
    <t>ITA0319</t>
  </si>
  <si>
    <t>ITA1849</t>
  </si>
  <si>
    <t>ITA2693</t>
  </si>
  <si>
    <t>ITA2907</t>
  </si>
  <si>
    <t>ITA2980</t>
  </si>
  <si>
    <t>Erminione</t>
  </si>
  <si>
    <t>ITA1125</t>
  </si>
  <si>
    <t>Erbì</t>
  </si>
  <si>
    <t>Donato</t>
  </si>
  <si>
    <t>ITA2972</t>
  </si>
  <si>
    <t>ITA3205</t>
  </si>
  <si>
    <t>Dragoni</t>
  </si>
  <si>
    <t>ITA2333</t>
  </si>
  <si>
    <t>Dragonetti</t>
  </si>
  <si>
    <t>ITA0315</t>
  </si>
  <si>
    <t>ITA1275</t>
  </si>
  <si>
    <t>Dore</t>
  </si>
  <si>
    <t>Pierpaolo</t>
  </si>
  <si>
    <t>ITA0313</t>
  </si>
  <si>
    <t>ITA1835</t>
  </si>
  <si>
    <t>Dorato</t>
  </si>
  <si>
    <t>ITA1006</t>
  </si>
  <si>
    <t>Donzelli</t>
  </si>
  <si>
    <t>ITA2556</t>
  </si>
  <si>
    <t>Dogali</t>
  </si>
  <si>
    <t>ITA0311</t>
  </si>
  <si>
    <t>Disma</t>
  </si>
  <si>
    <t>ITA1563</t>
  </si>
  <si>
    <t>Di Vito</t>
  </si>
  <si>
    <t>ITA1059</t>
  </si>
  <si>
    <t>ITA1060</t>
  </si>
  <si>
    <t>ITA1061</t>
  </si>
  <si>
    <t>Letterio</t>
  </si>
  <si>
    <t>Di Vincenzo</t>
  </si>
  <si>
    <t>ITA0308</t>
  </si>
  <si>
    <t>Di Tullio</t>
  </si>
  <si>
    <t>Di Terlizzi</t>
  </si>
  <si>
    <t>ITA2366</t>
  </si>
  <si>
    <t>ITA2939</t>
  </si>
  <si>
    <t>Di Pietrantonio</t>
  </si>
  <si>
    <t>ITA1914</t>
  </si>
  <si>
    <t>Di Pierro</t>
  </si>
  <si>
    <t>ITA0305</t>
  </si>
  <si>
    <t>ITA0306</t>
  </si>
  <si>
    <t>ITA1485</t>
  </si>
  <si>
    <t>Di Nola</t>
  </si>
  <si>
    <t>ITA2482</t>
  </si>
  <si>
    <t>Di Muri</t>
  </si>
  <si>
    <t>ITA1757</t>
  </si>
  <si>
    <t>Di Michelangelo</t>
  </si>
  <si>
    <t>ITA3048</t>
  </si>
  <si>
    <t>Di Lullo</t>
  </si>
  <si>
    <t>ITA2925</t>
  </si>
  <si>
    <t>ITA3024</t>
  </si>
  <si>
    <t>Di Lorenzo</t>
  </si>
  <si>
    <t>ITA3253</t>
  </si>
  <si>
    <t>Di Leo</t>
  </si>
  <si>
    <t>Pio Giorgio</t>
  </si>
  <si>
    <t>ITA3020</t>
  </si>
  <si>
    <t>Di Gennaro</t>
  </si>
  <si>
    <t>ITA0302</t>
  </si>
  <si>
    <t>ITA1432</t>
  </si>
  <si>
    <t>Di Feo</t>
  </si>
  <si>
    <t>ITA2585</t>
  </si>
  <si>
    <t>Di Cè</t>
  </si>
  <si>
    <t>ITA1947</t>
  </si>
  <si>
    <t>Dellepiane</t>
  </si>
  <si>
    <t>ITA2699</t>
  </si>
  <si>
    <t>Dellacha'</t>
  </si>
  <si>
    <t>ITA0295</t>
  </si>
  <si>
    <t>Della Monaca</t>
  </si>
  <si>
    <t>ITA0294</t>
  </si>
  <si>
    <t>Del Genovese</t>
  </si>
  <si>
    <t>ITA2892</t>
  </si>
  <si>
    <t>Del Brocco</t>
  </si>
  <si>
    <t>Gianmarco</t>
  </si>
  <si>
    <t>ITA0288</t>
  </si>
  <si>
    <t>Del Ben</t>
  </si>
  <si>
    <t>ITA3068</t>
  </si>
  <si>
    <t>ITA3132</t>
  </si>
  <si>
    <t>De Santis</t>
  </si>
  <si>
    <t>ITA2291</t>
  </si>
  <si>
    <t>ITA2771</t>
  </si>
  <si>
    <t>ITA2973</t>
  </si>
  <si>
    <t>De Rogati</t>
  </si>
  <si>
    <t>Nunzia</t>
  </si>
  <si>
    <t>ITA0284</t>
  </si>
  <si>
    <t>De Pascale</t>
  </si>
  <si>
    <t>ITA1264</t>
  </si>
  <si>
    <t>De Paolis</t>
  </si>
  <si>
    <t>ITA1863</t>
  </si>
  <si>
    <t>De Paoli</t>
  </si>
  <si>
    <t>Stephano</t>
  </si>
  <si>
    <t>ITA1260</t>
  </si>
  <si>
    <t>De Miranda</t>
  </si>
  <si>
    <t>ITA2559</t>
  </si>
  <si>
    <t>Adelchi</t>
  </si>
  <si>
    <t>ITA2560</t>
  </si>
  <si>
    <t>De Masellis</t>
  </si>
  <si>
    <t>ITA2578</t>
  </si>
  <si>
    <t>De Maggi</t>
  </si>
  <si>
    <t>ITA3019</t>
  </si>
  <si>
    <t>De Luca</t>
  </si>
  <si>
    <t>ITA2056</t>
  </si>
  <si>
    <t>De Giosa</t>
  </si>
  <si>
    <t>ITA1721</t>
  </si>
  <si>
    <t>De Francesco</t>
  </si>
  <si>
    <t>ITA0277</t>
  </si>
  <si>
    <t>ITA0278</t>
  </si>
  <si>
    <t>Cataldo</t>
  </si>
  <si>
    <t>Dazzi</t>
  </si>
  <si>
    <t>ITA2344</t>
  </si>
  <si>
    <t>Damasco</t>
  </si>
  <si>
    <t>ITA2758</t>
  </si>
  <si>
    <t>Da Re</t>
  </si>
  <si>
    <t>ITA3131</t>
  </si>
  <si>
    <t>D'ercole Cappelli</t>
  </si>
  <si>
    <t>ITA3044</t>
  </si>
  <si>
    <t>D'auria</t>
  </si>
  <si>
    <t>ITA2420</t>
  </si>
  <si>
    <t>D'arco</t>
  </si>
  <si>
    <t>ITA1029</t>
  </si>
  <si>
    <t>D'amico</t>
  </si>
  <si>
    <t>ITA2735</t>
  </si>
  <si>
    <t>Cuzzocrea</t>
  </si>
  <si>
    <t>ITA0262</t>
  </si>
  <si>
    <t>ITA0263</t>
  </si>
  <si>
    <t>Custo</t>
  </si>
  <si>
    <t>Ugo</t>
  </si>
  <si>
    <t>ITA2199</t>
  </si>
  <si>
    <t>Currò</t>
  </si>
  <si>
    <t>ITA1438</t>
  </si>
  <si>
    <t>Curci</t>
  </si>
  <si>
    <t>ITA2593</t>
  </si>
  <si>
    <t>Curato</t>
  </si>
  <si>
    <t>ITA0261</t>
  </si>
  <si>
    <t>Cuomo</t>
  </si>
  <si>
    <t>ITA0259</t>
  </si>
  <si>
    <t>Cucit</t>
  </si>
  <si>
    <t>ITA0257</t>
  </si>
  <si>
    <t>Cucinella</t>
  </si>
  <si>
    <t>ITA2789</t>
  </si>
  <si>
    <t>Cubeta</t>
  </si>
  <si>
    <t>ITA0255</t>
  </si>
  <si>
    <t>Crovetti</t>
  </si>
  <si>
    <t>ITA1181</t>
  </si>
  <si>
    <t>Croce</t>
  </si>
  <si>
    <t>ITA0254</t>
  </si>
  <si>
    <t>Croatti</t>
  </si>
  <si>
    <t>ITA0252</t>
  </si>
  <si>
    <t>Crisconio</t>
  </si>
  <si>
    <t>ITA2218</t>
  </si>
  <si>
    <t>ITA2231</t>
  </si>
  <si>
    <t>Cribari</t>
  </si>
  <si>
    <t>ITA1663</t>
  </si>
  <si>
    <t>Cremona</t>
  </si>
  <si>
    <t>ITA2254</t>
  </si>
  <si>
    <t>Craviotto</t>
  </si>
  <si>
    <t>ITA2401</t>
  </si>
  <si>
    <t>Cova</t>
  </si>
  <si>
    <t>ITA1982</t>
  </si>
  <si>
    <t>Cotugno</t>
  </si>
  <si>
    <t>ITA1293</t>
  </si>
  <si>
    <t>Coticelli</t>
  </si>
  <si>
    <t>ITA2719</t>
  </si>
  <si>
    <t>Costantino</t>
  </si>
  <si>
    <t>ITA3252</t>
  </si>
  <si>
    <t>Corti</t>
  </si>
  <si>
    <t>ITA1582</t>
  </si>
  <si>
    <t>ITA3133</t>
  </si>
  <si>
    <t>ITA3134</t>
  </si>
  <si>
    <t>Cortese</t>
  </si>
  <si>
    <t>ITA1216</t>
  </si>
  <si>
    <t>Corso</t>
  </si>
  <si>
    <t>ITA1464</t>
  </si>
  <si>
    <t>ITA3182</t>
  </si>
  <si>
    <t>Corradi</t>
  </si>
  <si>
    <t>ITA0239</t>
  </si>
  <si>
    <t>Corleto</t>
  </si>
  <si>
    <t>Silvano</t>
  </si>
  <si>
    <t>ITA3196</t>
  </si>
  <si>
    <t>ITA3215</t>
  </si>
  <si>
    <t>Cordone</t>
  </si>
  <si>
    <t>ITA2471</t>
  </si>
  <si>
    <t>Corazza</t>
  </si>
  <si>
    <t>ITA1550</t>
  </si>
  <si>
    <t>Converti</t>
  </si>
  <si>
    <t>ITA1623</t>
  </si>
  <si>
    <t>ITA1930</t>
  </si>
  <si>
    <t>Conti</t>
  </si>
  <si>
    <t>Colucci</t>
  </si>
  <si>
    <t>Gianriccardo</t>
  </si>
  <si>
    <t>ITA2450</t>
  </si>
  <si>
    <t>Colpani</t>
  </si>
  <si>
    <t>ITA0232</t>
  </si>
  <si>
    <t>Colossi</t>
  </si>
  <si>
    <t>ITA3230</t>
  </si>
  <si>
    <t>Nicolò</t>
  </si>
  <si>
    <t>ITA3231</t>
  </si>
  <si>
    <t>Coletta</t>
  </si>
  <si>
    <t>ITA3236</t>
  </si>
  <si>
    <t>Colella</t>
  </si>
  <si>
    <t>ITA2690</t>
  </si>
  <si>
    <t>Colasanti</t>
  </si>
  <si>
    <t>ITA1656</t>
  </si>
  <si>
    <t>Colangelo</t>
  </si>
  <si>
    <t>ITA0225</t>
  </si>
  <si>
    <t>Cogo</t>
  </si>
  <si>
    <t>ITA0222</t>
  </si>
  <si>
    <t>Cirri</t>
  </si>
  <si>
    <t>ITA2653</t>
  </si>
  <si>
    <t>Cirillo</t>
  </si>
  <si>
    <t>ITA0217</t>
  </si>
  <si>
    <t>Ciraolo</t>
  </si>
  <si>
    <t>ITA0216</t>
  </si>
  <si>
    <t>ITA1151</t>
  </si>
  <si>
    <t>Cipulat</t>
  </si>
  <si>
    <t>ITA3069</t>
  </si>
  <si>
    <t>Cipro</t>
  </si>
  <si>
    <t>ITA2712</t>
  </si>
  <si>
    <t>Cionfi</t>
  </si>
  <si>
    <t>ITA1015</t>
  </si>
  <si>
    <t>Cicognani</t>
  </si>
  <si>
    <t>ITA0210</t>
  </si>
  <si>
    <t>Ciccarelli</t>
  </si>
  <si>
    <t>ITA0207</t>
  </si>
  <si>
    <t>ITA0209</t>
  </si>
  <si>
    <t>Ciboldi</t>
  </si>
  <si>
    <t>ITA2364</t>
  </si>
  <si>
    <t>ITA2906</t>
  </si>
  <si>
    <t>Ciaramella</t>
  </si>
  <si>
    <t>ITA3224</t>
  </si>
  <si>
    <t>ITA3227</t>
  </si>
  <si>
    <t>Ciano</t>
  </si>
  <si>
    <t>ITA0206</t>
  </si>
  <si>
    <t>Cianchella</t>
  </si>
  <si>
    <t>Valeriano</t>
  </si>
  <si>
    <t>ITA1777</t>
  </si>
  <si>
    <t>Ciampoli</t>
  </si>
  <si>
    <t>ITA3238</t>
  </si>
  <si>
    <t>Ciabattoni</t>
  </si>
  <si>
    <t>ITA0204</t>
  </si>
  <si>
    <t>Chieppa</t>
  </si>
  <si>
    <t>ITA1472</t>
  </si>
  <si>
    <t>Chicco</t>
  </si>
  <si>
    <t>ITA3239</t>
  </si>
  <si>
    <t>Chianucci</t>
  </si>
  <si>
    <t>ITA2880</t>
  </si>
  <si>
    <t>Cherici</t>
  </si>
  <si>
    <t>ITA1211</t>
  </si>
  <si>
    <t>Cevolani</t>
  </si>
  <si>
    <t>Greta</t>
  </si>
  <si>
    <t>ITA1879</t>
  </si>
  <si>
    <t>Cerullo</t>
  </si>
  <si>
    <t>Livio</t>
  </si>
  <si>
    <t>ITA0201</t>
  </si>
  <si>
    <t>ITA1680</t>
  </si>
  <si>
    <t>ITA2551</t>
  </si>
  <si>
    <t>Centonze</t>
  </si>
  <si>
    <t>ITA3065</t>
  </si>
  <si>
    <t>Cencini</t>
  </si>
  <si>
    <t>ITA1916</t>
  </si>
  <si>
    <t>Celotto</t>
  </si>
  <si>
    <t>ITA0199</t>
  </si>
  <si>
    <t>Cecchini</t>
  </si>
  <si>
    <t>ITA3093</t>
  </si>
  <si>
    <t>Cecchi</t>
  </si>
  <si>
    <t>ITA2819</t>
  </si>
  <si>
    <t>Cavone</t>
  </si>
  <si>
    <t>ITA2179</t>
  </si>
  <si>
    <t>Caviglia</t>
  </si>
  <si>
    <t>Micael</t>
  </si>
  <si>
    <t>ITA0195</t>
  </si>
  <si>
    <t>ITA0196</t>
  </si>
  <si>
    <t>ITA2403</t>
  </si>
  <si>
    <t>Cavazza</t>
  </si>
  <si>
    <t>ITA3173</t>
  </si>
  <si>
    <t>Caurla</t>
  </si>
  <si>
    <t>Ismaele</t>
  </si>
  <si>
    <t>ITA1569</t>
  </si>
  <si>
    <t>Natan</t>
  </si>
  <si>
    <t>ITA1811</t>
  </si>
  <si>
    <t>Cattellani</t>
  </si>
  <si>
    <t>Piercarlo</t>
  </si>
  <si>
    <t>ITA2685</t>
  </si>
  <si>
    <t>Cattani</t>
  </si>
  <si>
    <t>ITA0192</t>
  </si>
  <si>
    <t>ITA2022</t>
  </si>
  <si>
    <t>Catalanotto</t>
  </si>
  <si>
    <t>Cristoforo Cristiano</t>
  </si>
  <si>
    <t>ITA2581</t>
  </si>
  <si>
    <t>Castiglioni</t>
  </si>
  <si>
    <t>ITA0186</t>
  </si>
  <si>
    <t>Cassani</t>
  </si>
  <si>
    <t>ITA3005</t>
  </si>
  <si>
    <t>Casentini</t>
  </si>
  <si>
    <t>ITA0181</t>
  </si>
  <si>
    <t>Cascioli</t>
  </si>
  <si>
    <t>ITA0179</t>
  </si>
  <si>
    <t>Casati</t>
  </si>
  <si>
    <t>ITA2129</t>
  </si>
  <si>
    <t>Casanova</t>
  </si>
  <si>
    <t>ITA0178</t>
  </si>
  <si>
    <t>Caruso</t>
  </si>
  <si>
    <t>ITA1387</t>
  </si>
  <si>
    <t>Carravetta</t>
  </si>
  <si>
    <t>ITA0174</t>
  </si>
  <si>
    <t>Carrara</t>
  </si>
  <si>
    <t>ITA2966</t>
  </si>
  <si>
    <t>Carlucci</t>
  </si>
  <si>
    <t>ITA2783</t>
  </si>
  <si>
    <t>Careddu</t>
  </si>
  <si>
    <t>ITA3169</t>
  </si>
  <si>
    <t>Care</t>
  </si>
  <si>
    <t>ITA2960</t>
  </si>
  <si>
    <t>Cardia</t>
  </si>
  <si>
    <t>ITA3049</t>
  </si>
  <si>
    <t>Carbonaro</t>
  </si>
  <si>
    <t>ITA1753</t>
  </si>
  <si>
    <t>Cappelli</t>
  </si>
  <si>
    <t>ITA2476</t>
  </si>
  <si>
    <t>Capossela</t>
  </si>
  <si>
    <t>ITA0161</t>
  </si>
  <si>
    <t>Capoferri</t>
  </si>
  <si>
    <t>ITA3096</t>
  </si>
  <si>
    <t>Capobianco</t>
  </si>
  <si>
    <t>ITA2219</t>
  </si>
  <si>
    <t>Capelli</t>
  </si>
  <si>
    <t>ITA0159</t>
  </si>
  <si>
    <t>Capellacci</t>
  </si>
  <si>
    <t>Canicchio</t>
  </si>
  <si>
    <t>Lucio</t>
  </si>
  <si>
    <t>ITA0154</t>
  </si>
  <si>
    <t>Canessa</t>
  </si>
  <si>
    <t>ITA2383</t>
  </si>
  <si>
    <t>Eric Fasce</t>
  </si>
  <si>
    <t>ITA2387</t>
  </si>
  <si>
    <t>Campagna</t>
  </si>
  <si>
    <t>ITA1980</t>
  </si>
  <si>
    <t>Goffredo</t>
  </si>
  <si>
    <t>ITA3202</t>
  </si>
  <si>
    <t>Camerlingo</t>
  </si>
  <si>
    <t>Gianluigi</t>
  </si>
  <si>
    <t>ITA1459</t>
  </si>
  <si>
    <t>Camerini</t>
  </si>
  <si>
    <t>ITA2791</t>
  </si>
  <si>
    <t>Cambi</t>
  </si>
  <si>
    <t>ITA2520</t>
  </si>
  <si>
    <t>Calzeroni</t>
  </si>
  <si>
    <t>Calvo</t>
  </si>
  <si>
    <t>ITA2916</t>
  </si>
  <si>
    <t>Calonico</t>
  </si>
  <si>
    <t>ITA0150</t>
  </si>
  <si>
    <t>Calò</t>
  </si>
  <si>
    <t>Joseph</t>
  </si>
  <si>
    <t>ITA0149</t>
  </si>
  <si>
    <t>Calabrese</t>
  </si>
  <si>
    <t>ITA1831</t>
  </si>
  <si>
    <t>Cafiero</t>
  </si>
  <si>
    <t>ITA1917</t>
  </si>
  <si>
    <t>Cafaggi</t>
  </si>
  <si>
    <t>ITA1995</t>
  </si>
  <si>
    <t>Cacioppo</t>
  </si>
  <si>
    <t>Sacha</t>
  </si>
  <si>
    <t>ITA2884</t>
  </si>
  <si>
    <t>Cacciapuoti</t>
  </si>
  <si>
    <t>ITA0144</t>
  </si>
  <si>
    <t>Buzzo</t>
  </si>
  <si>
    <t>ITA2873</t>
  </si>
  <si>
    <t>Buzzi</t>
  </si>
  <si>
    <t>ITA0143</t>
  </si>
  <si>
    <t>Buttitta</t>
  </si>
  <si>
    <t>Eleonora</t>
  </si>
  <si>
    <t>ITA0142</t>
  </si>
  <si>
    <t>Bussotti</t>
  </si>
  <si>
    <t>ITA2550</t>
  </si>
  <si>
    <t>Buono</t>
  </si>
  <si>
    <t>ITA0139</t>
  </si>
  <si>
    <t>ITA1309</t>
  </si>
  <si>
    <t>Brunelli</t>
  </si>
  <si>
    <t>ITA0137</t>
  </si>
  <si>
    <t>Brillantino</t>
  </si>
  <si>
    <t>ITA0136</t>
  </si>
  <si>
    <t>Bressi</t>
  </si>
  <si>
    <t>ITA0134</t>
  </si>
  <si>
    <t>Bracali</t>
  </si>
  <si>
    <t>ITA2607</t>
  </si>
  <si>
    <t>Borsani</t>
  </si>
  <si>
    <t>ITA2676</t>
  </si>
  <si>
    <t>Borriello</t>
  </si>
  <si>
    <t>ITA0126</t>
  </si>
  <si>
    <t>Borgo</t>
  </si>
  <si>
    <t>ITA1748</t>
  </si>
  <si>
    <t>Borgna</t>
  </si>
  <si>
    <t>ITA3057</t>
  </si>
  <si>
    <t>Boniface</t>
  </si>
  <si>
    <t>Hélène</t>
  </si>
  <si>
    <t>ITA1785</t>
  </si>
  <si>
    <t>Bonfante</t>
  </si>
  <si>
    <t>ITA0122</t>
  </si>
  <si>
    <t>Bonelli</t>
  </si>
  <si>
    <t>ITA2881</t>
  </si>
  <si>
    <t>Bonciani</t>
  </si>
  <si>
    <t>ITA0121</t>
  </si>
  <si>
    <t>Samuele</t>
  </si>
  <si>
    <t>ITA2649</t>
  </si>
  <si>
    <t>Bonanni</t>
  </si>
  <si>
    <t>ITA2999</t>
  </si>
  <si>
    <t>Bombacigno</t>
  </si>
  <si>
    <t>ITA2200</t>
  </si>
  <si>
    <t>Bolognino</t>
  </si>
  <si>
    <t>ITA0111</t>
  </si>
  <si>
    <t>ITA1553</t>
  </si>
  <si>
    <t>Bodin De Chatelard</t>
  </si>
  <si>
    <t>ITA0110</t>
  </si>
  <si>
    <t>Bochicchio</t>
  </si>
  <si>
    <t>ITA3072</t>
  </si>
  <si>
    <t>Bocci</t>
  </si>
  <si>
    <t>ITA3027</t>
  </si>
  <si>
    <t>Bisio</t>
  </si>
  <si>
    <t>ITA0108</t>
  </si>
  <si>
    <t>ITA2825</t>
  </si>
  <si>
    <t>Biscardi</t>
  </si>
  <si>
    <t>ITA3120</t>
  </si>
  <si>
    <t>Bilucaglia</t>
  </si>
  <si>
    <t>ITA2796</t>
  </si>
  <si>
    <t>ITA2797</t>
  </si>
  <si>
    <t>Billi</t>
  </si>
  <si>
    <t>ITA0107</t>
  </si>
  <si>
    <t>Bignardi</t>
  </si>
  <si>
    <t>ITA3097</t>
  </si>
  <si>
    <t>ITA3104</t>
  </si>
  <si>
    <t>Bicchi</t>
  </si>
  <si>
    <t>ITA3084</t>
  </si>
  <si>
    <t>Biasci</t>
  </si>
  <si>
    <t>ITA3083</t>
  </si>
  <si>
    <t>Bianco</t>
  </si>
  <si>
    <t>ITA0105</t>
  </si>
  <si>
    <t>Bianchi</t>
  </si>
  <si>
    <t>ITA1130</t>
  </si>
  <si>
    <t>ITA3067</t>
  </si>
  <si>
    <t>Bevilacqua</t>
  </si>
  <si>
    <t>ITA1700</t>
  </si>
  <si>
    <t>ITA2404</t>
  </si>
  <si>
    <t>ITA3017</t>
  </si>
  <si>
    <t>Besate</t>
  </si>
  <si>
    <t>ITA3226</t>
  </si>
  <si>
    <t>Bertelli</t>
  </si>
  <si>
    <t>ITA0100</t>
  </si>
  <si>
    <t>ITA0101</t>
  </si>
  <si>
    <t>Bernardi</t>
  </si>
  <si>
    <t>ITA2183</t>
  </si>
  <si>
    <t>Berlinghieri</t>
  </si>
  <si>
    <t>ITA3136</t>
  </si>
  <si>
    <t>Berioli</t>
  </si>
  <si>
    <t>ITA3128</t>
  </si>
  <si>
    <t>Bergamasco</t>
  </si>
  <si>
    <t>ITA3036</t>
  </si>
  <si>
    <t>Beretta</t>
  </si>
  <si>
    <t>Carlo Alfredo</t>
  </si>
  <si>
    <t>ITA2691</t>
  </si>
  <si>
    <t>Berardi</t>
  </si>
  <si>
    <t>ITA1970</t>
  </si>
  <si>
    <t>Benussi</t>
  </si>
  <si>
    <t>ITA3247</t>
  </si>
  <si>
    <t>Benedetti</t>
  </si>
  <si>
    <t>Gionata</t>
  </si>
  <si>
    <t>ITA2213</t>
  </si>
  <si>
    <t>Bellotto</t>
  </si>
  <si>
    <t>ITA0086</t>
  </si>
  <si>
    <t>Belloni</t>
  </si>
  <si>
    <t>ITA0083</t>
  </si>
  <si>
    <t>Belli</t>
  </si>
  <si>
    <t>ITA2768</t>
  </si>
  <si>
    <t>Belisario</t>
  </si>
  <si>
    <t>ITA3119</t>
  </si>
  <si>
    <t>Becucci</t>
  </si>
  <si>
    <t>Tiberio</t>
  </si>
  <si>
    <t>ITA0079</t>
  </si>
  <si>
    <t>Becattini</t>
  </si>
  <si>
    <t>ITA2523</t>
  </si>
  <si>
    <t>Beani</t>
  </si>
  <si>
    <t>ITA3237</t>
  </si>
  <si>
    <t>Bazzoli</t>
  </si>
  <si>
    <t>ITA3240</t>
  </si>
  <si>
    <t>Battista</t>
  </si>
  <si>
    <t>ITA0077</t>
  </si>
  <si>
    <t>Umberto</t>
  </si>
  <si>
    <t>ITA0078</t>
  </si>
  <si>
    <t>Battipaglia</t>
  </si>
  <si>
    <t>ITA2419</t>
  </si>
  <si>
    <t>Battaglia</t>
  </si>
  <si>
    <t>ITA0076</t>
  </si>
  <si>
    <t>ITA2814</t>
  </si>
  <si>
    <t>ITA2867</t>
  </si>
  <si>
    <t>Bartolini</t>
  </si>
  <si>
    <t>Abramo</t>
  </si>
  <si>
    <t>ITA2596</t>
  </si>
  <si>
    <t>Baroni</t>
  </si>
  <si>
    <t>ITA0949</t>
  </si>
  <si>
    <t>Barone</t>
  </si>
  <si>
    <t>ITA0070</t>
  </si>
  <si>
    <t>Bari</t>
  </si>
  <si>
    <t>ITA3055</t>
  </si>
  <si>
    <t>Rossella</t>
  </si>
  <si>
    <t>ITA3056</t>
  </si>
  <si>
    <t>Barducci</t>
  </si>
  <si>
    <t>ITA1702</t>
  </si>
  <si>
    <t>Bardari</t>
  </si>
  <si>
    <t>ITA0065</t>
  </si>
  <si>
    <t>ITA2197</t>
  </si>
  <si>
    <t>Barbieri</t>
  </si>
  <si>
    <t>ITA0063</t>
  </si>
  <si>
    <t>Barbani</t>
  </si>
  <si>
    <t>ITA3041</t>
  </si>
  <si>
    <t>Baratella</t>
  </si>
  <si>
    <t>ITA3229</t>
  </si>
  <si>
    <t>Baraldi</t>
  </si>
  <si>
    <t>ITA0057</t>
  </si>
  <si>
    <t>Barabino</t>
  </si>
  <si>
    <t>ITA2365</t>
  </si>
  <si>
    <t>Banditelli</t>
  </si>
  <si>
    <t>ITA0056</t>
  </si>
  <si>
    <t>Balzano</t>
  </si>
  <si>
    <t>Romualdo</t>
  </si>
  <si>
    <t>ITA0055</t>
  </si>
  <si>
    <t>Balito</t>
  </si>
  <si>
    <t>ITA3112</t>
  </si>
  <si>
    <t>Balestrucci</t>
  </si>
  <si>
    <t>ITA3016</t>
  </si>
  <si>
    <t>Balestrieri</t>
  </si>
  <si>
    <t>ITA0054</t>
  </si>
  <si>
    <t>ITA1551</t>
  </si>
  <si>
    <t>Balboni</t>
  </si>
  <si>
    <t>ITA0052</t>
  </si>
  <si>
    <t>Baglioni</t>
  </si>
  <si>
    <t>ITA2290</t>
  </si>
  <si>
    <t>Bacigalupo</t>
  </si>
  <si>
    <t>ITA3117</t>
  </si>
  <si>
    <t>Bacich</t>
  </si>
  <si>
    <t>Ennio</t>
  </si>
  <si>
    <t>ITA3174</t>
  </si>
  <si>
    <t>Bacci</t>
  </si>
  <si>
    <t>ITA0046</t>
  </si>
  <si>
    <t>Bacchin</t>
  </si>
  <si>
    <t>ITA0045</t>
  </si>
  <si>
    <t>ITA3176</t>
  </si>
  <si>
    <t>Azzaro</t>
  </si>
  <si>
    <t>ITA1511</t>
  </si>
  <si>
    <t>Azzali</t>
  </si>
  <si>
    <t>ITA2533</t>
  </si>
  <si>
    <t>Attanasio</t>
  </si>
  <si>
    <t>ITA2418</t>
  </si>
  <si>
    <t>Arrighi</t>
  </si>
  <si>
    <t>ITA3051</t>
  </si>
  <si>
    <t>Arrighetti</t>
  </si>
  <si>
    <t>ITA2871</t>
  </si>
  <si>
    <t>Armelleschi</t>
  </si>
  <si>
    <t>ITA3064</t>
  </si>
  <si>
    <t>Arena</t>
  </si>
  <si>
    <t>ITA1617</t>
  </si>
  <si>
    <t>Arca</t>
  </si>
  <si>
    <t>ITA0030</t>
  </si>
  <si>
    <t>Apollo</t>
  </si>
  <si>
    <t>ITA0028</t>
  </si>
  <si>
    <t>Antelmi</t>
  </si>
  <si>
    <t>ITA2597</t>
  </si>
  <si>
    <t>Anderlini</t>
  </si>
  <si>
    <t>ITA0021</t>
  </si>
  <si>
    <t>Ancarola</t>
  </si>
  <si>
    <t>Genny</t>
  </si>
  <si>
    <t>ITA0020</t>
  </si>
  <si>
    <t>Amatelli</t>
  </si>
  <si>
    <t>ITA1190</t>
  </si>
  <si>
    <t>Amata</t>
  </si>
  <si>
    <t>Biagio</t>
  </si>
  <si>
    <t>ITA1439</t>
  </si>
  <si>
    <t>Amabile</t>
  </si>
  <si>
    <t>ITA2214</t>
  </si>
  <si>
    <t>Allison</t>
  </si>
  <si>
    <t>ITA0011</t>
  </si>
  <si>
    <t>Alfonsi</t>
  </si>
  <si>
    <t>ITA3172</t>
  </si>
  <si>
    <t>Alessi</t>
  </si>
  <si>
    <t>ITA0009</t>
  </si>
  <si>
    <t>Aiani</t>
  </si>
  <si>
    <t>ITA2298</t>
  </si>
  <si>
    <t>ITA2970</t>
  </si>
  <si>
    <t>Koi</t>
  </si>
  <si>
    <t>Kenzo</t>
  </si>
  <si>
    <t>JPN001</t>
  </si>
  <si>
    <t>Nakahara</t>
  </si>
  <si>
    <t>Yuko</t>
  </si>
  <si>
    <t>JPN022</t>
  </si>
  <si>
    <t>Kato</t>
  </si>
  <si>
    <t>Taichi</t>
  </si>
  <si>
    <t>JPN033</t>
  </si>
  <si>
    <t>Miyake</t>
  </si>
  <si>
    <t>Makoto</t>
  </si>
  <si>
    <t>JPN034</t>
  </si>
  <si>
    <t>Tokita</t>
  </si>
  <si>
    <t>Takafumi</t>
  </si>
  <si>
    <t>JPN044</t>
  </si>
  <si>
    <t>SC Reeds</t>
  </si>
  <si>
    <t>Kido</t>
  </si>
  <si>
    <t>JPN071</t>
  </si>
  <si>
    <t>Okano</t>
  </si>
  <si>
    <t>Yoshiyuki</t>
  </si>
  <si>
    <t>JPN076</t>
  </si>
  <si>
    <t>Kazuki</t>
  </si>
  <si>
    <t>JPN077</t>
  </si>
  <si>
    <t>Fujino</t>
  </si>
  <si>
    <t>Suguru</t>
  </si>
  <si>
    <t>JPN078</t>
  </si>
  <si>
    <t>Yoshimura</t>
  </si>
  <si>
    <t>Tomoyuki</t>
  </si>
  <si>
    <t>JPN097</t>
  </si>
  <si>
    <t>Adachi TFC</t>
  </si>
  <si>
    <t>JPN104</t>
  </si>
  <si>
    <t>Noriyuki</t>
  </si>
  <si>
    <t>JPN115</t>
  </si>
  <si>
    <t>Mukai</t>
  </si>
  <si>
    <t>Kosuke</t>
  </si>
  <si>
    <t>JPN117</t>
  </si>
  <si>
    <t>Bill</t>
  </si>
  <si>
    <t>JPN122</t>
  </si>
  <si>
    <t>SC Nara</t>
  </si>
  <si>
    <t>Tanaka</t>
  </si>
  <si>
    <t>Shigemi</t>
  </si>
  <si>
    <t>JPN132</t>
  </si>
  <si>
    <t>Daigo</t>
  </si>
  <si>
    <t>JPN140</t>
  </si>
  <si>
    <t>Isshin</t>
  </si>
  <si>
    <t>JPN141</t>
  </si>
  <si>
    <t>Tatsuki</t>
  </si>
  <si>
    <t>JPN154</t>
  </si>
  <si>
    <t>Ura</t>
  </si>
  <si>
    <t>Tomoki</t>
  </si>
  <si>
    <t>JPN155</t>
  </si>
  <si>
    <t>Ito</t>
  </si>
  <si>
    <t>Ryoichiro</t>
  </si>
  <si>
    <t>JPN157</t>
  </si>
  <si>
    <t>Someya</t>
  </si>
  <si>
    <t>Honoka</t>
  </si>
  <si>
    <t>JPN159</t>
  </si>
  <si>
    <t>Yamao</t>
  </si>
  <si>
    <t>Kuniko</t>
  </si>
  <si>
    <t>JPN160</t>
  </si>
  <si>
    <t>Caline</t>
  </si>
  <si>
    <t>JPN161</t>
  </si>
  <si>
    <t>Nishi</t>
  </si>
  <si>
    <t>Manabu</t>
  </si>
  <si>
    <t>JPN162</t>
  </si>
  <si>
    <t>Miaki</t>
  </si>
  <si>
    <t>JPN163</t>
  </si>
  <si>
    <t>Hartamas Tigers</t>
  </si>
  <si>
    <t>Gomi</t>
  </si>
  <si>
    <t>Yohei</t>
  </si>
  <si>
    <t>JPN164</t>
  </si>
  <si>
    <t>Hamagami</t>
  </si>
  <si>
    <t>Hideki</t>
  </si>
  <si>
    <t>JPN165</t>
  </si>
  <si>
    <t>Fuchigami</t>
  </si>
  <si>
    <t>Chiharu</t>
  </si>
  <si>
    <t>JPN166</t>
  </si>
  <si>
    <t>Naoki</t>
  </si>
  <si>
    <t>JPN167</t>
  </si>
  <si>
    <t>Dent</t>
  </si>
  <si>
    <t>Michael M</t>
  </si>
  <si>
    <t>MAS0001</t>
  </si>
  <si>
    <t>Sundram</t>
  </si>
  <si>
    <t>Vishnu Varthana</t>
  </si>
  <si>
    <t>MAS0002</t>
  </si>
  <si>
    <t>Vyas Veera</t>
  </si>
  <si>
    <t>Sharvind</t>
  </si>
  <si>
    <t>MAS0003</t>
  </si>
  <si>
    <t>Firman</t>
  </si>
  <si>
    <t>Muhammad</t>
  </si>
  <si>
    <t>MAS0004</t>
  </si>
  <si>
    <t>Kong</t>
  </si>
  <si>
    <t>Jamie</t>
  </si>
  <si>
    <t>MAS0005</t>
  </si>
  <si>
    <t>Fiesal</t>
  </si>
  <si>
    <t>MAS0006</t>
  </si>
  <si>
    <t>Mohnish</t>
  </si>
  <si>
    <t>Rajakumaran</t>
  </si>
  <si>
    <t>MAS0007</t>
  </si>
  <si>
    <t>Nikhil</t>
  </si>
  <si>
    <t>Gill Thesan</t>
  </si>
  <si>
    <t>MAS0008</t>
  </si>
  <si>
    <t>Jibril</t>
  </si>
  <si>
    <t>MAS0009</t>
  </si>
  <si>
    <t>Azman</t>
  </si>
  <si>
    <t>Hisham</t>
  </si>
  <si>
    <t>MAS0010</t>
  </si>
  <si>
    <t>Yazre</t>
  </si>
  <si>
    <t>MAS0011</t>
  </si>
  <si>
    <t>Sathia</t>
  </si>
  <si>
    <t>MAS0012</t>
  </si>
  <si>
    <t>Wong</t>
  </si>
  <si>
    <t>Edwin</t>
  </si>
  <si>
    <t>MAS0013</t>
  </si>
  <si>
    <t>Aquilina</t>
  </si>
  <si>
    <t>Charles</t>
  </si>
  <si>
    <t>MLT0002</t>
  </si>
  <si>
    <t>Bartolo</t>
  </si>
  <si>
    <t>MLT0004</t>
  </si>
  <si>
    <t>Barun</t>
  </si>
  <si>
    <t>Melvin</t>
  </si>
  <si>
    <t>MLT0005</t>
  </si>
  <si>
    <t>Bonnici</t>
  </si>
  <si>
    <t>MLT0008</t>
  </si>
  <si>
    <t>Borg</t>
  </si>
  <si>
    <t>MLT0009</t>
  </si>
  <si>
    <t>Borg Bonaci</t>
  </si>
  <si>
    <t>MLT0010</t>
  </si>
  <si>
    <t>Camilleri</t>
  </si>
  <si>
    <t>MLT0013</t>
  </si>
  <si>
    <t>MLT0014</t>
  </si>
  <si>
    <t>MLT0015</t>
  </si>
  <si>
    <t>Derek</t>
  </si>
  <si>
    <t>MLT0017</t>
  </si>
  <si>
    <t>Ebejer</t>
  </si>
  <si>
    <t>MLT0019</t>
  </si>
  <si>
    <t>Fenech</t>
  </si>
  <si>
    <t>Tristan</t>
  </si>
  <si>
    <t>MLT0020</t>
  </si>
  <si>
    <t>Melanie</t>
  </si>
  <si>
    <t>MLT0040</t>
  </si>
  <si>
    <t>Gauci</t>
  </si>
  <si>
    <t>MLT0022</t>
  </si>
  <si>
    <t>Mallia</t>
  </si>
  <si>
    <t>Hansel</t>
  </si>
  <si>
    <t>MLT0025</t>
  </si>
  <si>
    <t>Mifsud</t>
  </si>
  <si>
    <t>MLT0033</t>
  </si>
  <si>
    <t>MLT0036</t>
  </si>
  <si>
    <t>Pace</t>
  </si>
  <si>
    <t>MLT0026</t>
  </si>
  <si>
    <t>Pisani</t>
  </si>
  <si>
    <t>MLT0028</t>
  </si>
  <si>
    <t>Felix</t>
  </si>
  <si>
    <t>Tabone</t>
  </si>
  <si>
    <t>Jean Carl</t>
  </si>
  <si>
    <t>MLT0031</t>
  </si>
  <si>
    <t>Zammit Pavia</t>
  </si>
  <si>
    <t>MLT0034</t>
  </si>
  <si>
    <t>Zammit</t>
  </si>
  <si>
    <t>MLT0058</t>
  </si>
  <si>
    <t>MLT0060</t>
  </si>
  <si>
    <t>Balzan</t>
  </si>
  <si>
    <t>Jurgen</t>
  </si>
  <si>
    <t>MLT0064</t>
  </si>
  <si>
    <t>MLT0071</t>
  </si>
  <si>
    <t>Jeshua</t>
  </si>
  <si>
    <t>MLT0073</t>
  </si>
  <si>
    <t>MLT0100</t>
  </si>
  <si>
    <t>Farrugia Randon</t>
  </si>
  <si>
    <t>Stanley</t>
  </si>
  <si>
    <t>MLT0101</t>
  </si>
  <si>
    <t>Chetcuti Dimech</t>
  </si>
  <si>
    <t>MLT0105</t>
  </si>
  <si>
    <t>Emanuel</t>
  </si>
  <si>
    <t>MLT0108</t>
  </si>
  <si>
    <t>Isaac Sam</t>
  </si>
  <si>
    <t>MLT0110</t>
  </si>
  <si>
    <t>MLT0113</t>
  </si>
  <si>
    <t>Attard</t>
  </si>
  <si>
    <t>Walter Joseph</t>
  </si>
  <si>
    <t>MLT0118</t>
  </si>
  <si>
    <t>MLT0122</t>
  </si>
  <si>
    <t>Fleri Soler</t>
  </si>
  <si>
    <t>MLT0125</t>
  </si>
  <si>
    <t>Spencer</t>
  </si>
  <si>
    <t>MLT0126</t>
  </si>
  <si>
    <t>Zamara</t>
  </si>
  <si>
    <t>MLT0130</t>
  </si>
  <si>
    <t>Abela</t>
  </si>
  <si>
    <t>Nicole</t>
  </si>
  <si>
    <t>MLT0137</t>
  </si>
  <si>
    <t>Dutch Legends</t>
  </si>
  <si>
    <t>NSVB</t>
  </si>
  <si>
    <t>Bolte</t>
  </si>
  <si>
    <t>René</t>
  </si>
  <si>
    <t>NED0017</t>
  </si>
  <si>
    <t>De Bruin</t>
  </si>
  <si>
    <t>NED0007</t>
  </si>
  <si>
    <t>De Haas</t>
  </si>
  <si>
    <t>Maikel</t>
  </si>
  <si>
    <t>NED0001</t>
  </si>
  <si>
    <t>De Jong</t>
  </si>
  <si>
    <t>NED0018</t>
  </si>
  <si>
    <t>Chantal</t>
  </si>
  <si>
    <t>NED0024</t>
  </si>
  <si>
    <t>Mirjam</t>
  </si>
  <si>
    <t>NED0025</t>
  </si>
  <si>
    <t>Gerrets</t>
  </si>
  <si>
    <t>Kenney</t>
  </si>
  <si>
    <t>NED0016</t>
  </si>
  <si>
    <t>Landzaat</t>
  </si>
  <si>
    <t>Dennis</t>
  </si>
  <si>
    <t>NED0004</t>
  </si>
  <si>
    <t>Marks</t>
  </si>
  <si>
    <t>NED0012</t>
  </si>
  <si>
    <t>Van Dijk</t>
  </si>
  <si>
    <t>Rinaldo</t>
  </si>
  <si>
    <t>NED0026</t>
  </si>
  <si>
    <t>Van Kooten</t>
  </si>
  <si>
    <t>NED0019</t>
  </si>
  <si>
    <t>Van Os</t>
  </si>
  <si>
    <t>Casey</t>
  </si>
  <si>
    <t>NED0015</t>
  </si>
  <si>
    <t>Kees</t>
  </si>
  <si>
    <t>Kenneth</t>
  </si>
  <si>
    <t>Beggs</t>
  </si>
  <si>
    <t>NIR0001</t>
  </si>
  <si>
    <t>Barry</t>
  </si>
  <si>
    <t>Spence</t>
  </si>
  <si>
    <t>NIR0002</t>
  </si>
  <si>
    <t>Alistair</t>
  </si>
  <si>
    <t>Morrison</t>
  </si>
  <si>
    <t>NIR0003</t>
  </si>
  <si>
    <t>NIR0004</t>
  </si>
  <si>
    <t>NIR0005</t>
  </si>
  <si>
    <t>Eoin</t>
  </si>
  <si>
    <t>Adams</t>
  </si>
  <si>
    <t>NIR0006</t>
  </si>
  <si>
    <t>Rodgers</t>
  </si>
  <si>
    <t>NIR0007</t>
  </si>
  <si>
    <t>NIR0009</t>
  </si>
  <si>
    <t>Clegg</t>
  </si>
  <si>
    <t>NIR0010</t>
  </si>
  <si>
    <t>North Down</t>
  </si>
  <si>
    <t>Scullion</t>
  </si>
  <si>
    <t>NIR0011</t>
  </si>
  <si>
    <t>NIR0012</t>
  </si>
  <si>
    <t>NIR0013</t>
  </si>
  <si>
    <t>Matthew</t>
  </si>
  <si>
    <t>NIR0015</t>
  </si>
  <si>
    <t>Ernest</t>
  </si>
  <si>
    <t>Bickerstaff</t>
  </si>
  <si>
    <t>NIR0016</t>
  </si>
  <si>
    <t>Darling</t>
  </si>
  <si>
    <t>NIR0018</t>
  </si>
  <si>
    <t>Trevor</t>
  </si>
  <si>
    <t>Cummings</t>
  </si>
  <si>
    <t>NIR0019</t>
  </si>
  <si>
    <t>Watson</t>
  </si>
  <si>
    <t>NIR0020</t>
  </si>
  <si>
    <t>McKeever</t>
  </si>
  <si>
    <t>NIR0021</t>
  </si>
  <si>
    <t>McCrossan</t>
  </si>
  <si>
    <t>NIR0022</t>
  </si>
  <si>
    <t>Boyle</t>
  </si>
  <si>
    <t>NIR0023</t>
  </si>
  <si>
    <t>Rory</t>
  </si>
  <si>
    <t>NIR0024</t>
  </si>
  <si>
    <t>Martinog</t>
  </si>
  <si>
    <t>NIR0025</t>
  </si>
  <si>
    <t>Craig</t>
  </si>
  <si>
    <t>NIR0027</t>
  </si>
  <si>
    <t>Dee</t>
  </si>
  <si>
    <t>Jenkins</t>
  </si>
  <si>
    <t>NIR0032</t>
  </si>
  <si>
    <t>Bergane</t>
  </si>
  <si>
    <t>NOR0001</t>
  </si>
  <si>
    <t>Skien Wildcats</t>
  </si>
  <si>
    <t>Grorud</t>
  </si>
  <si>
    <t>NOR0002</t>
  </si>
  <si>
    <t>Jon Henning</t>
  </si>
  <si>
    <t>NOR0003</t>
  </si>
  <si>
    <t>Myge</t>
  </si>
  <si>
    <t>Lars Tore</t>
  </si>
  <si>
    <t>NOR0004</t>
  </si>
  <si>
    <t>Sparta Spreeathen 74/82</t>
  </si>
  <si>
    <t>Trond</t>
  </si>
  <si>
    <t>NOR0005</t>
  </si>
  <si>
    <t>Brekke</t>
  </si>
  <si>
    <t>Svein Arne</t>
  </si>
  <si>
    <t>NOR0006</t>
  </si>
  <si>
    <t>Nordjore</t>
  </si>
  <si>
    <t>Sondre</t>
  </si>
  <si>
    <t>NOR0007</t>
  </si>
  <si>
    <t>Rawicki</t>
  </si>
  <si>
    <t>Fredrik</t>
  </si>
  <si>
    <t>NOR0008</t>
  </si>
  <si>
    <t>Schulze</t>
  </si>
  <si>
    <t>NOR0009</t>
  </si>
  <si>
    <t>Kragerø BFK</t>
  </si>
  <si>
    <t>Eikeland</t>
  </si>
  <si>
    <t>NOR0010</t>
  </si>
  <si>
    <t>Lunde</t>
  </si>
  <si>
    <t>Håkon</t>
  </si>
  <si>
    <t>NOR0011</t>
  </si>
  <si>
    <t>Porsgrunn Flickers</t>
  </si>
  <si>
    <t>Kastet</t>
  </si>
  <si>
    <t>Mathias</t>
  </si>
  <si>
    <t>NOR0012</t>
  </si>
  <si>
    <t>Fosse</t>
  </si>
  <si>
    <t>Kjetil</t>
  </si>
  <si>
    <t>NOR0013</t>
  </si>
  <si>
    <t>Fredriksen</t>
  </si>
  <si>
    <t>Thomas Flaaten</t>
  </si>
  <si>
    <t>NOR0014</t>
  </si>
  <si>
    <t>Ellefsen</t>
  </si>
  <si>
    <t>Terje</t>
  </si>
  <si>
    <t>NOR0015</t>
  </si>
  <si>
    <t>Ludvigsen</t>
  </si>
  <si>
    <t>NOR0016</t>
  </si>
  <si>
    <t>Sveinungsen</t>
  </si>
  <si>
    <t>Frode</t>
  </si>
  <si>
    <t>NOR0017</t>
  </si>
  <si>
    <t>Moen</t>
  </si>
  <si>
    <t>Jan-Thomas</t>
  </si>
  <si>
    <t>NOR0018</t>
  </si>
  <si>
    <t>Niedzielska</t>
  </si>
  <si>
    <t>Aleksandra</t>
  </si>
  <si>
    <t>Abreu</t>
  </si>
  <si>
    <t>Luís</t>
  </si>
  <si>
    <t>POR0143</t>
  </si>
  <si>
    <t>POR0161</t>
  </si>
  <si>
    <t>CD Olivais Moscavide</t>
  </si>
  <si>
    <t>Afonso</t>
  </si>
  <si>
    <t>POR0046</t>
  </si>
  <si>
    <t>CF OS Belenenses</t>
  </si>
  <si>
    <t>POR0047</t>
  </si>
  <si>
    <t>Amaro</t>
  </si>
  <si>
    <t>POR0053</t>
  </si>
  <si>
    <t>GD Dias Ferreira</t>
  </si>
  <si>
    <t>Campos</t>
  </si>
  <si>
    <t>POR0119</t>
  </si>
  <si>
    <t>Cardoso</t>
  </si>
  <si>
    <t>POR0160</t>
  </si>
  <si>
    <t>POR0052</t>
  </si>
  <si>
    <t>SC Portugal</t>
  </si>
  <si>
    <t>Castro</t>
  </si>
  <si>
    <t>POR0012</t>
  </si>
  <si>
    <t>Dias</t>
  </si>
  <si>
    <t>João Matos</t>
  </si>
  <si>
    <t>POR0087</t>
  </si>
  <si>
    <t>Eira</t>
  </si>
  <si>
    <t>POR0155</t>
  </si>
  <si>
    <t>POR0078</t>
  </si>
  <si>
    <t>Faria</t>
  </si>
  <si>
    <t>POR0013</t>
  </si>
  <si>
    <t>Feiteira</t>
  </si>
  <si>
    <t>POR0150</t>
  </si>
  <si>
    <t>Fernandes</t>
  </si>
  <si>
    <t>POR0135</t>
  </si>
  <si>
    <t>Vitorino</t>
  </si>
  <si>
    <t>POR0142</t>
  </si>
  <si>
    <t>Fonseca</t>
  </si>
  <si>
    <t>Rui</t>
  </si>
  <si>
    <t>POR0159</t>
  </si>
  <si>
    <t>POR0030</t>
  </si>
  <si>
    <t>Gouveia</t>
  </si>
  <si>
    <t>POR0117</t>
  </si>
  <si>
    <t>Guimaraes</t>
  </si>
  <si>
    <t>Vasco</t>
  </si>
  <si>
    <t>POR0055</t>
  </si>
  <si>
    <t>Henriques</t>
  </si>
  <si>
    <t>Nuno</t>
  </si>
  <si>
    <t>POR0144</t>
  </si>
  <si>
    <t>POR0145</t>
  </si>
  <si>
    <t>Matilde</t>
  </si>
  <si>
    <t>POR0157</t>
  </si>
  <si>
    <t>Horta</t>
  </si>
  <si>
    <t>Luís Filipe</t>
  </si>
  <si>
    <t>POR0027</t>
  </si>
  <si>
    <t>POR0024</t>
  </si>
  <si>
    <t>Laranjeira</t>
  </si>
  <si>
    <t>POR0016</t>
  </si>
  <si>
    <t>Leitão</t>
  </si>
  <si>
    <t>Nélson</t>
  </si>
  <si>
    <t>POR0137</t>
  </si>
  <si>
    <t>Loureiro</t>
  </si>
  <si>
    <t>POR0056</t>
  </si>
  <si>
    <t>Maia</t>
  </si>
  <si>
    <t>Filipe</t>
  </si>
  <si>
    <t>POR0077</t>
  </si>
  <si>
    <t>José Carlos</t>
  </si>
  <si>
    <t>POR0045</t>
  </si>
  <si>
    <t>Matias</t>
  </si>
  <si>
    <t>POR0151</t>
  </si>
  <si>
    <t>Mendes</t>
  </si>
  <si>
    <t>POR0152</t>
  </si>
  <si>
    <t>POR0153</t>
  </si>
  <si>
    <t>Mendonça</t>
  </si>
  <si>
    <t>POR0158</t>
  </si>
  <si>
    <t>Real SC</t>
  </si>
  <si>
    <t>POR0014</t>
  </si>
  <si>
    <t>Ruben</t>
  </si>
  <si>
    <t>POR0048</t>
  </si>
  <si>
    <t>Noronha</t>
  </si>
  <si>
    <t>POR0015</t>
  </si>
  <si>
    <t>Nunes</t>
  </si>
  <si>
    <t>POR0061</t>
  </si>
  <si>
    <t>Paleta</t>
  </si>
  <si>
    <t>Rúben</t>
  </si>
  <si>
    <t>POR0138</t>
  </si>
  <si>
    <t>Pavão</t>
  </si>
  <si>
    <t>POR0020</t>
  </si>
  <si>
    <t>POR0001</t>
  </si>
  <si>
    <t>Diogo</t>
  </si>
  <si>
    <t>POR0131</t>
  </si>
  <si>
    <t>Português</t>
  </si>
  <si>
    <t>POR0017</t>
  </si>
  <si>
    <t>POR0021</t>
  </si>
  <si>
    <t>POR0022</t>
  </si>
  <si>
    <t>Reis</t>
  </si>
  <si>
    <t>POR0125</t>
  </si>
  <si>
    <t>Rodrigues</t>
  </si>
  <si>
    <t>POR0010</t>
  </si>
  <si>
    <t>POR0124</t>
  </si>
  <si>
    <t>POR0011</t>
  </si>
  <si>
    <t>POR0051</t>
  </si>
  <si>
    <t>Sena</t>
  </si>
  <si>
    <t>POR0018</t>
  </si>
  <si>
    <t>Silva</t>
  </si>
  <si>
    <t>POR0023</t>
  </si>
  <si>
    <t>POR0054</t>
  </si>
  <si>
    <t>Jorge</t>
  </si>
  <si>
    <t>POR0123</t>
  </si>
  <si>
    <t>Luís Miguel</t>
  </si>
  <si>
    <t>POR0139</t>
  </si>
  <si>
    <t>POR0149</t>
  </si>
  <si>
    <t>Sousa</t>
  </si>
  <si>
    <t>Tiago</t>
  </si>
  <si>
    <t>POR0148</t>
  </si>
  <si>
    <t>Tavares</t>
  </si>
  <si>
    <t>António</t>
  </si>
  <si>
    <t>POR0147</t>
  </si>
  <si>
    <t>Valente</t>
  </si>
  <si>
    <t>POR0033</t>
  </si>
  <si>
    <t>Gonçalo</t>
  </si>
  <si>
    <t>POR0156</t>
  </si>
  <si>
    <t>Villarigues</t>
  </si>
  <si>
    <t>Carolina</t>
  </si>
  <si>
    <t>POR0005</t>
  </si>
  <si>
    <t>POR0162</t>
  </si>
  <si>
    <t>POR0163</t>
  </si>
  <si>
    <t>Pires</t>
  </si>
  <si>
    <t>POR0164</t>
  </si>
  <si>
    <t>Placido</t>
  </si>
  <si>
    <t>POR0165</t>
  </si>
  <si>
    <t>Alves</t>
  </si>
  <si>
    <t>POR0166</t>
  </si>
  <si>
    <t>Sampaio</t>
  </si>
  <si>
    <t>POR0167</t>
  </si>
  <si>
    <t>Oleastro</t>
  </si>
  <si>
    <t>POR0168</t>
  </si>
  <si>
    <t>POR0169</t>
  </si>
  <si>
    <t>Neves</t>
  </si>
  <si>
    <t>POR0170</t>
  </si>
  <si>
    <t>Pascoal</t>
  </si>
  <si>
    <t>POR0171</t>
  </si>
  <si>
    <t>Almeida</t>
  </si>
  <si>
    <t>POR0172</t>
  </si>
  <si>
    <t>Trindade</t>
  </si>
  <si>
    <t>POR0173</t>
  </si>
  <si>
    <t>Varela</t>
  </si>
  <si>
    <t>POR0178</t>
  </si>
  <si>
    <t>Araújo</t>
  </si>
  <si>
    <t>POR0179</t>
  </si>
  <si>
    <t>POR0180</t>
  </si>
  <si>
    <t>POR0181</t>
  </si>
  <si>
    <t>Maria Joao</t>
  </si>
  <si>
    <t>POR0182</t>
  </si>
  <si>
    <t>Correia</t>
  </si>
  <si>
    <t>POR0183</t>
  </si>
  <si>
    <t>POR0184</t>
  </si>
  <si>
    <t>Albuquerque</t>
  </si>
  <si>
    <t>POR0185</t>
  </si>
  <si>
    <t>POR0186</t>
  </si>
  <si>
    <t>POR0187</t>
  </si>
  <si>
    <t>Júlia</t>
  </si>
  <si>
    <t>POR0188</t>
  </si>
  <si>
    <t>POR0189</t>
  </si>
  <si>
    <t>POR0196</t>
  </si>
  <si>
    <t>Tomàs</t>
  </si>
  <si>
    <t>POR0197</t>
  </si>
  <si>
    <t>Sobral</t>
  </si>
  <si>
    <t>POR0203</t>
  </si>
  <si>
    <t>Gonçalves</t>
  </si>
  <si>
    <t>Salvador</t>
  </si>
  <si>
    <t>POR0204</t>
  </si>
  <si>
    <t>Schubiditze</t>
  </si>
  <si>
    <t>POR0206</t>
  </si>
  <si>
    <t>Cláudio Miguel</t>
  </si>
  <si>
    <t>POR0207</t>
  </si>
  <si>
    <t>Carmo</t>
  </si>
  <si>
    <t>POR0208</t>
  </si>
  <si>
    <t>Botas</t>
  </si>
  <si>
    <t>POR0212</t>
  </si>
  <si>
    <t>Pedro M</t>
  </si>
  <si>
    <t>POR0214</t>
  </si>
  <si>
    <t>Magno</t>
  </si>
  <si>
    <t>POR0215</t>
  </si>
  <si>
    <t>Beatriz</t>
  </si>
  <si>
    <t>POR0216</t>
  </si>
  <si>
    <t>POR0224</t>
  </si>
  <si>
    <t>Lobo</t>
  </si>
  <si>
    <t>POR0225</t>
  </si>
  <si>
    <t>POR0226</t>
  </si>
  <si>
    <t>Henrique</t>
  </si>
  <si>
    <t>POR0227</t>
  </si>
  <si>
    <t>Raimundo</t>
  </si>
  <si>
    <t>POR0228</t>
  </si>
  <si>
    <t>Farrell</t>
  </si>
  <si>
    <t>Nicky</t>
  </si>
  <si>
    <t>McKenzie</t>
  </si>
  <si>
    <t>Ken</t>
  </si>
  <si>
    <t>O’Brien</t>
  </si>
  <si>
    <t>Brendan</t>
  </si>
  <si>
    <t>Mac Eó</t>
  </si>
  <si>
    <t>Oisín</t>
  </si>
  <si>
    <t>Fitzpatrick</t>
  </si>
  <si>
    <t>Kaliszewski</t>
  </si>
  <si>
    <t>Fiona</t>
  </si>
  <si>
    <t>Cian</t>
  </si>
  <si>
    <t>Flanders SC</t>
  </si>
  <si>
    <t>Ardeleanou</t>
  </si>
  <si>
    <t>Veronica</t>
  </si>
  <si>
    <t>Vlasov</t>
  </si>
  <si>
    <t>Andrey</t>
  </si>
  <si>
    <t>RUS0005</t>
  </si>
  <si>
    <t>Lakhta Subbuteo TFC</t>
  </si>
  <si>
    <t>Burns</t>
  </si>
  <si>
    <t>Lees</t>
  </si>
  <si>
    <t>SCO0005</t>
  </si>
  <si>
    <t>Ronnie</t>
  </si>
  <si>
    <t>SCO0010</t>
  </si>
  <si>
    <t>Gladman</t>
  </si>
  <si>
    <t>SCO0012</t>
  </si>
  <si>
    <t>Fleming</t>
  </si>
  <si>
    <t>SCO0013</t>
  </si>
  <si>
    <t>Corr</t>
  </si>
  <si>
    <t>SCO0014</t>
  </si>
  <si>
    <t>Day</t>
  </si>
  <si>
    <t>SCO0015</t>
  </si>
  <si>
    <t>SCO0016</t>
  </si>
  <si>
    <t>Butler</t>
  </si>
  <si>
    <t>SCO0017</t>
  </si>
  <si>
    <t>Berry</t>
  </si>
  <si>
    <t>SCO0018</t>
  </si>
  <si>
    <t>SCO0019</t>
  </si>
  <si>
    <t>SCO0021</t>
  </si>
  <si>
    <t>Christie</t>
  </si>
  <si>
    <t>SCO0025</t>
  </si>
  <si>
    <t>Baver</t>
  </si>
  <si>
    <t>SCO0036</t>
  </si>
  <si>
    <t>SCO0038</t>
  </si>
  <si>
    <t>Campbell</t>
  </si>
  <si>
    <t>SCO0040</t>
  </si>
  <si>
    <t>Houston</t>
  </si>
  <si>
    <t>SCO0041</t>
  </si>
  <si>
    <t>Halpin</t>
  </si>
  <si>
    <t>SCO0046</t>
  </si>
  <si>
    <t>Beskaby</t>
  </si>
  <si>
    <t>SCO0049</t>
  </si>
  <si>
    <t>Fraser</t>
  </si>
  <si>
    <t>SCO0051</t>
  </si>
  <si>
    <t>Thom</t>
  </si>
  <si>
    <t>SCO0055</t>
  </si>
  <si>
    <t>Mathieson</t>
  </si>
  <si>
    <t>SCO0059</t>
  </si>
  <si>
    <t>Minty</t>
  </si>
  <si>
    <t>SCO0060</t>
  </si>
  <si>
    <t>Spoors</t>
  </si>
  <si>
    <t>SCO0061</t>
  </si>
  <si>
    <t>SCO0062</t>
  </si>
  <si>
    <t>McPhail</t>
  </si>
  <si>
    <t>SCO0063</t>
  </si>
  <si>
    <t>Micheletti</t>
  </si>
  <si>
    <t>Oriano</t>
  </si>
  <si>
    <t>SCO0064</t>
  </si>
  <si>
    <t>Nicol</t>
  </si>
  <si>
    <t>SCO0066</t>
  </si>
  <si>
    <t>Marshall</t>
  </si>
  <si>
    <t>SCO0070</t>
  </si>
  <si>
    <t>McFadyen</t>
  </si>
  <si>
    <t>SCO0071</t>
  </si>
  <si>
    <t>Rivas</t>
  </si>
  <si>
    <t>Ric</t>
  </si>
  <si>
    <t>SGP_P01</t>
  </si>
  <si>
    <t>SG Lions TFC</t>
  </si>
  <si>
    <t>SGP</t>
  </si>
  <si>
    <t>TFAS</t>
  </si>
  <si>
    <t>Roslan</t>
  </si>
  <si>
    <t>Rudy Hesty</t>
  </si>
  <si>
    <t>SGP0001</t>
  </si>
  <si>
    <t>Jurong Central SC</t>
  </si>
  <si>
    <t>Mohd Anis</t>
  </si>
  <si>
    <t>Amin</t>
  </si>
  <si>
    <t>SGP0002</t>
  </si>
  <si>
    <t>Mohd Yusoff</t>
  </si>
  <si>
    <t>Muhd Irshadullah</t>
  </si>
  <si>
    <t>SGP0003</t>
  </si>
  <si>
    <t>Mohd Sabah</t>
  </si>
  <si>
    <t>Noor Haikal</t>
  </si>
  <si>
    <t>SGP0004</t>
  </si>
  <si>
    <t>Othman</t>
  </si>
  <si>
    <t>Muhd Farhan</t>
  </si>
  <si>
    <t>SGP0005</t>
  </si>
  <si>
    <t>Taib</t>
  </si>
  <si>
    <t>Mohd Rizal</t>
  </si>
  <si>
    <t>SGP0006</t>
  </si>
  <si>
    <t>Soh</t>
  </si>
  <si>
    <t>Wee Lik</t>
  </si>
  <si>
    <t>SGP0007</t>
  </si>
  <si>
    <t>Jaafar</t>
  </si>
  <si>
    <t>Mohd Farhan</t>
  </si>
  <si>
    <t>SGP0008</t>
  </si>
  <si>
    <t>Fahmi</t>
  </si>
  <si>
    <t>Muhd Fadhly</t>
  </si>
  <si>
    <t>SGP0009</t>
  </si>
  <si>
    <t>Cheong</t>
  </si>
  <si>
    <t>SGP0010</t>
  </si>
  <si>
    <t>Yusri</t>
  </si>
  <si>
    <t>Muhammad Azhar</t>
  </si>
  <si>
    <t>SGP0011</t>
  </si>
  <si>
    <t>Sunaryo</t>
  </si>
  <si>
    <t>Susiayanto</t>
  </si>
  <si>
    <t>SGP0012</t>
  </si>
  <si>
    <t>Suhermanto</t>
  </si>
  <si>
    <t>SGP0013</t>
  </si>
  <si>
    <t>Tan</t>
  </si>
  <si>
    <t>Siang Ping, Jeslin</t>
  </si>
  <si>
    <t>SGP0014</t>
  </si>
  <si>
    <t>Azhar</t>
  </si>
  <si>
    <t>Muhd Azim Haikal</t>
  </si>
  <si>
    <t>SGP0015</t>
  </si>
  <si>
    <t>Nur Hazely</t>
  </si>
  <si>
    <t>SGP0016</t>
  </si>
  <si>
    <t>Yap</t>
  </si>
  <si>
    <t>Chong Leng, Eddie</t>
  </si>
  <si>
    <t>SGP0017</t>
  </si>
  <si>
    <t>Fazura</t>
  </si>
  <si>
    <t>Fatin</t>
  </si>
  <si>
    <t>SGP0018</t>
  </si>
  <si>
    <t>Boon</t>
  </si>
  <si>
    <t>Muhd Adam Ihsan</t>
  </si>
  <si>
    <t>SGP0019</t>
  </si>
  <si>
    <t>Daud</t>
  </si>
  <si>
    <t>SGP0020</t>
  </si>
  <si>
    <t>Hui Lan, Cindy</t>
  </si>
  <si>
    <t>SGP0021</t>
  </si>
  <si>
    <t>Muhd Ashraf</t>
  </si>
  <si>
    <t>SGP0022</t>
  </si>
  <si>
    <t>Asbi</t>
  </si>
  <si>
    <t>Azan</t>
  </si>
  <si>
    <t>SGP0023</t>
  </si>
  <si>
    <t>Razali</t>
  </si>
  <si>
    <t>Hasyafiq</t>
  </si>
  <si>
    <t>SGP0024</t>
  </si>
  <si>
    <t>Osman</t>
  </si>
  <si>
    <t>Sulaiman Marican</t>
  </si>
  <si>
    <t>SGP0025</t>
  </si>
  <si>
    <t>Tiong Hian</t>
  </si>
  <si>
    <t>SGP0026</t>
  </si>
  <si>
    <t>Chang</t>
  </si>
  <si>
    <t>Xin Yu</t>
  </si>
  <si>
    <t>SGP0027</t>
  </si>
  <si>
    <t>Koh</t>
  </si>
  <si>
    <t>Celine</t>
  </si>
  <si>
    <t>SGP0028</t>
  </si>
  <si>
    <t>Ooi</t>
  </si>
  <si>
    <t>SGP0029</t>
  </si>
  <si>
    <t>Yusni</t>
  </si>
  <si>
    <t>Den Mulia</t>
  </si>
  <si>
    <t>SGP0030</t>
  </si>
  <si>
    <t>Long</t>
  </si>
  <si>
    <t>Ji Quan, Joel</t>
  </si>
  <si>
    <t>SGP0031</t>
  </si>
  <si>
    <t>Mazlan</t>
  </si>
  <si>
    <t>Mursyid</t>
  </si>
  <si>
    <t>SGP0032</t>
  </si>
  <si>
    <t>Ong</t>
  </si>
  <si>
    <t>SGP0033</t>
  </si>
  <si>
    <t>Firdaus</t>
  </si>
  <si>
    <t>Muhd Faruk</t>
  </si>
  <si>
    <t>SGP0034</t>
  </si>
  <si>
    <t>Abdul</t>
  </si>
  <si>
    <t>SGP0035</t>
  </si>
  <si>
    <t>SGP0036</t>
  </si>
  <si>
    <t>Mohd Noor</t>
  </si>
  <si>
    <t>Norizal</t>
  </si>
  <si>
    <t>SGP0037</t>
  </si>
  <si>
    <t>Husain</t>
  </si>
  <si>
    <t>Mohd Asyraaf</t>
  </si>
  <si>
    <t>SGP0038</t>
  </si>
  <si>
    <t>Sukaimi</t>
  </si>
  <si>
    <t>Muhd Firdaus</t>
  </si>
  <si>
    <t>SGP0039</t>
  </si>
  <si>
    <t>Mohd Faruq</t>
  </si>
  <si>
    <t>SGP0040</t>
  </si>
  <si>
    <t>Aripin</t>
  </si>
  <si>
    <t>Erza</t>
  </si>
  <si>
    <t>SGP0041</t>
  </si>
  <si>
    <t>Kusnadi</t>
  </si>
  <si>
    <t>Erfandy</t>
  </si>
  <si>
    <t>SGP0042</t>
  </si>
  <si>
    <t>Mohd Ezan</t>
  </si>
  <si>
    <t>SGP0043</t>
  </si>
  <si>
    <t>Peh</t>
  </si>
  <si>
    <t>Yu Xiang, Henry</t>
  </si>
  <si>
    <t>SGP0044</t>
  </si>
  <si>
    <t>Oh</t>
  </si>
  <si>
    <t>Yu Zhu, Apple</t>
  </si>
  <si>
    <t>SGP0045</t>
  </si>
  <si>
    <t>Shiong Bock, John</t>
  </si>
  <si>
    <t>SGP0046</t>
  </si>
  <si>
    <t>Kok Wee</t>
  </si>
  <si>
    <t>SGP0048</t>
  </si>
  <si>
    <t>Abdul Rahman</t>
  </si>
  <si>
    <t>Mohd Faizal</t>
  </si>
  <si>
    <t>SGP0049</t>
  </si>
  <si>
    <t>SGP0050</t>
  </si>
  <si>
    <t>SGP0051</t>
  </si>
  <si>
    <t>Ahmad Zulfadhlee</t>
  </si>
  <si>
    <t>SGP0052</t>
  </si>
  <si>
    <t>Razaki</t>
  </si>
  <si>
    <t>Muhd Raihan</t>
  </si>
  <si>
    <t>SGP0053</t>
  </si>
  <si>
    <t>Muhd Abdullah</t>
  </si>
  <si>
    <t>Rusydi</t>
  </si>
  <si>
    <t>SGP0054</t>
  </si>
  <si>
    <t>Rahamat</t>
  </si>
  <si>
    <t>Anas</t>
  </si>
  <si>
    <t>SGP0055</t>
  </si>
  <si>
    <t>Mohd Faizul</t>
  </si>
  <si>
    <t>SGP0056</t>
  </si>
  <si>
    <t>Zi Rong, Galvin</t>
  </si>
  <si>
    <t>SGP0057</t>
  </si>
  <si>
    <t>Norazam</t>
  </si>
  <si>
    <t>Mohd Haikel</t>
  </si>
  <si>
    <t>SGP0058</t>
  </si>
  <si>
    <t>Zainal</t>
  </si>
  <si>
    <t>Mohd Khairul Nizad</t>
  </si>
  <si>
    <t>SGP0059</t>
  </si>
  <si>
    <t>Chugani</t>
  </si>
  <si>
    <t>Chandru G</t>
  </si>
  <si>
    <t>SGP0060</t>
  </si>
  <si>
    <t>Vishal G</t>
  </si>
  <si>
    <t>SGP0061</t>
  </si>
  <si>
    <t>Naraindas</t>
  </si>
  <si>
    <t>Raju</t>
  </si>
  <si>
    <t>SGP0062</t>
  </si>
  <si>
    <t>Choong</t>
  </si>
  <si>
    <t>SGP0063</t>
  </si>
  <si>
    <t>SGP0064</t>
  </si>
  <si>
    <t>SGP0065</t>
  </si>
  <si>
    <t>Kebun Bahru TFC</t>
  </si>
  <si>
    <t>Mohd Asyraf</t>
  </si>
  <si>
    <t>SGP0066</t>
  </si>
  <si>
    <t>Paulus</t>
  </si>
  <si>
    <t>SGP0067</t>
  </si>
  <si>
    <t>Hashim</t>
  </si>
  <si>
    <t>Nur</t>
  </si>
  <si>
    <t>SGP0068</t>
  </si>
  <si>
    <t>Bin Sidek</t>
  </si>
  <si>
    <t>Azlan</t>
  </si>
  <si>
    <t>SGP0069</t>
  </si>
  <si>
    <t>Izham</t>
  </si>
  <si>
    <t>SGP0070</t>
  </si>
  <si>
    <t>Bin Kamsani</t>
  </si>
  <si>
    <t>Fathul Rahman</t>
  </si>
  <si>
    <t>SGP0071</t>
  </si>
  <si>
    <t>Ghani</t>
  </si>
  <si>
    <t>Mohd Fauzi, Abdul</t>
  </si>
  <si>
    <t>SGP0072</t>
  </si>
  <si>
    <t>John Edwards</t>
  </si>
  <si>
    <t>SGP0073</t>
  </si>
  <si>
    <t>Lim</t>
  </si>
  <si>
    <t>SGP0074</t>
  </si>
  <si>
    <t>Yeo</t>
  </si>
  <si>
    <t>Arthur</t>
  </si>
  <si>
    <t>SGP0075</t>
  </si>
  <si>
    <t>Nic</t>
  </si>
  <si>
    <t>SGP0076</t>
  </si>
  <si>
    <t>Phua</t>
  </si>
  <si>
    <t>Sammy</t>
  </si>
  <si>
    <t>SGP0077</t>
  </si>
  <si>
    <t>SGP0078</t>
  </si>
  <si>
    <t>Bin Sulaiman</t>
  </si>
  <si>
    <t>Syabil Marzuq</t>
  </si>
  <si>
    <t>SGP0079</t>
  </si>
  <si>
    <t>Chandiramani</t>
  </si>
  <si>
    <t>Vikas K</t>
  </si>
  <si>
    <t>SGP0080</t>
  </si>
  <si>
    <t>Zahri</t>
  </si>
  <si>
    <t>SGP0082</t>
  </si>
  <si>
    <t>SGP0083</t>
  </si>
  <si>
    <t>SGP0084</t>
  </si>
  <si>
    <t>SGP0085</t>
  </si>
  <si>
    <t>Goh</t>
  </si>
  <si>
    <t>Jocelyn</t>
  </si>
  <si>
    <t>SGP0086</t>
  </si>
  <si>
    <t>Dickson</t>
  </si>
  <si>
    <t>SGP0087</t>
  </si>
  <si>
    <t>SGP0088</t>
  </si>
  <si>
    <t>Sham</t>
  </si>
  <si>
    <t>Doulatram</t>
  </si>
  <si>
    <t>SGP0089</t>
  </si>
  <si>
    <t>Bhavin</t>
  </si>
  <si>
    <t>SGP0090</t>
  </si>
  <si>
    <t>Ruhan</t>
  </si>
  <si>
    <t>SGP0091</t>
  </si>
  <si>
    <t>SGP0092</t>
  </si>
  <si>
    <t>Lek</t>
  </si>
  <si>
    <t>Wai Mun</t>
  </si>
  <si>
    <t>SGP0093</t>
  </si>
  <si>
    <t>Eugene</t>
  </si>
  <si>
    <t>SGP0094</t>
  </si>
  <si>
    <t>Bin Mohd</t>
  </si>
  <si>
    <t>Mohamad Zaffinoor, Kassim</t>
  </si>
  <si>
    <t>SGP0095</t>
  </si>
  <si>
    <t>Iskandar</t>
  </si>
  <si>
    <t>Irwan</t>
  </si>
  <si>
    <t>SGP0096</t>
  </si>
  <si>
    <t>Benny</t>
  </si>
  <si>
    <t>SGP0097</t>
  </si>
  <si>
    <t>Irwanshah</t>
  </si>
  <si>
    <t>Kassim</t>
  </si>
  <si>
    <t>SGP0098</t>
  </si>
  <si>
    <t>Quan Feng</t>
  </si>
  <si>
    <t>SGP0099</t>
  </si>
  <si>
    <t>Musa</t>
  </si>
  <si>
    <t>Mohd Bolkiah</t>
  </si>
  <si>
    <t>SGP0100</t>
  </si>
  <si>
    <t>Shafiq</t>
  </si>
  <si>
    <t>Ismail</t>
  </si>
  <si>
    <t>SGP0101</t>
  </si>
  <si>
    <t>Ding Heng</t>
  </si>
  <si>
    <t>SGP0102</t>
  </si>
  <si>
    <t>Yew Seng</t>
  </si>
  <si>
    <t>SGP0103</t>
  </si>
  <si>
    <t>Nanwani</t>
  </si>
  <si>
    <t>Sunil</t>
  </si>
  <si>
    <t>SGP0104</t>
  </si>
  <si>
    <t>Wei Xuan</t>
  </si>
  <si>
    <t>SGP0105</t>
  </si>
  <si>
    <t>Daanish</t>
  </si>
  <si>
    <t>Ilhan</t>
  </si>
  <si>
    <t>SGP0106</t>
  </si>
  <si>
    <t>Brierley</t>
  </si>
  <si>
    <t>SGP0107</t>
  </si>
  <si>
    <t>Li</t>
  </si>
  <si>
    <t>Ming Liang</t>
  </si>
  <si>
    <t>SGP0108</t>
  </si>
  <si>
    <t>Bin Kamaruzaman</t>
  </si>
  <si>
    <t>Khairil Zam</t>
  </si>
  <si>
    <t>SGP0109</t>
  </si>
  <si>
    <t>Peng</t>
  </si>
  <si>
    <t>Simon E Seck</t>
  </si>
  <si>
    <t>SGP0110</t>
  </si>
  <si>
    <t>Bun Kamsani</t>
  </si>
  <si>
    <t>Fazlur Rahman</t>
  </si>
  <si>
    <t>SGP0111</t>
  </si>
  <si>
    <t>Kah Jun, Dylan</t>
  </si>
  <si>
    <t>SGP0112</t>
  </si>
  <si>
    <t>Yi De</t>
  </si>
  <si>
    <t>SGP0113</t>
  </si>
  <si>
    <t>Tanishq Vikas</t>
  </si>
  <si>
    <t>SGP0114</t>
  </si>
  <si>
    <t>Bin Rosli</t>
  </si>
  <si>
    <t>Muhammad Salihin</t>
  </si>
  <si>
    <t>SGP0115</t>
  </si>
  <si>
    <t>Bahrin</t>
  </si>
  <si>
    <t>SGP0116</t>
  </si>
  <si>
    <t>Ashley</t>
  </si>
  <si>
    <t>SGP0117</t>
  </si>
  <si>
    <t>Yew Loy</t>
  </si>
  <si>
    <t>SGP0118</t>
  </si>
  <si>
    <t>Foo</t>
  </si>
  <si>
    <t>SGP0119</t>
  </si>
  <si>
    <t>Bin Halil</t>
  </si>
  <si>
    <t>Fanddy</t>
  </si>
  <si>
    <t>SGP0120</t>
  </si>
  <si>
    <t>Alfian</t>
  </si>
  <si>
    <t>SGP0121</t>
  </si>
  <si>
    <t>Mohd Amirul</t>
  </si>
  <si>
    <t>Rizal</t>
  </si>
  <si>
    <t>SGP0122</t>
  </si>
  <si>
    <t>Aiman</t>
  </si>
  <si>
    <t>SGP0124</t>
  </si>
  <si>
    <t>Dohadwala</t>
  </si>
  <si>
    <t>Talib K</t>
  </si>
  <si>
    <t>SGP0125</t>
  </si>
  <si>
    <t>Bin Norizal</t>
  </si>
  <si>
    <t>Nor Aniq</t>
  </si>
  <si>
    <t>SGP0126</t>
  </si>
  <si>
    <t>Nor Afiq</t>
  </si>
  <si>
    <t>SGP0127</t>
  </si>
  <si>
    <t>Kheng Kwang</t>
  </si>
  <si>
    <t>SGP0128</t>
  </si>
  <si>
    <t>Lewis, Cheng Yi</t>
  </si>
  <si>
    <t>SGP0129</t>
  </si>
  <si>
    <t>Muhd Farish</t>
  </si>
  <si>
    <t>Aqhari, Bin Muhd Azhar</t>
  </si>
  <si>
    <t>SGP0130</t>
  </si>
  <si>
    <t>Fornano</t>
  </si>
  <si>
    <t>Enzo</t>
  </si>
  <si>
    <t>SGP0131</t>
  </si>
  <si>
    <t>Tong Leng</t>
  </si>
  <si>
    <t>SGP0132</t>
  </si>
  <si>
    <t>Cheow Hwa</t>
  </si>
  <si>
    <t>SGP0133</t>
  </si>
  <si>
    <t>SGP0134</t>
  </si>
  <si>
    <t>Kumar</t>
  </si>
  <si>
    <t>Vikkram S</t>
  </si>
  <si>
    <t>SGP0135</t>
  </si>
  <si>
    <t>Lew</t>
  </si>
  <si>
    <t>Joshua</t>
  </si>
  <si>
    <t>SGP0136</t>
  </si>
  <si>
    <t>Bin Sahir</t>
  </si>
  <si>
    <t>Mohammed Irwan</t>
  </si>
  <si>
    <t>SGP0137</t>
  </si>
  <si>
    <t>Seow</t>
  </si>
  <si>
    <t>SGP0138</t>
  </si>
  <si>
    <t>Claris</t>
  </si>
  <si>
    <t>SGP0139</t>
  </si>
  <si>
    <t>Bavasuryan</t>
  </si>
  <si>
    <t>K. S.</t>
  </si>
  <si>
    <t>SGP0140</t>
  </si>
  <si>
    <t>Lam</t>
  </si>
  <si>
    <t>Ying En, Vivian</t>
  </si>
  <si>
    <t>SGP0141</t>
  </si>
  <si>
    <t>Bin Isnin</t>
  </si>
  <si>
    <t>Azhari</t>
  </si>
  <si>
    <t>SGP0142</t>
  </si>
  <si>
    <t>Bin Idris</t>
  </si>
  <si>
    <t>Aidil</t>
  </si>
  <si>
    <t>SGP0143</t>
  </si>
  <si>
    <t>Bin Aidil</t>
  </si>
  <si>
    <t>Haziq Idraki</t>
  </si>
  <si>
    <t>SGP0144</t>
  </si>
  <si>
    <t>Yong An, Gary</t>
  </si>
  <si>
    <t>SGP0145</t>
  </si>
  <si>
    <t>Maida</t>
  </si>
  <si>
    <t>SGP0146</t>
  </si>
  <si>
    <t>Adam Ali</t>
  </si>
  <si>
    <t>Adoma</t>
  </si>
  <si>
    <t>AJ Amiénois FT</t>
  </si>
  <si>
    <t>Abdelkrem</t>
  </si>
  <si>
    <t>Ibrahim Amin</t>
  </si>
  <si>
    <t>Erb</t>
  </si>
  <si>
    <t>SUI007</t>
  </si>
  <si>
    <t>subbuteo.ch</t>
  </si>
  <si>
    <t>Gautschi</t>
  </si>
  <si>
    <t>Maxwell S</t>
  </si>
  <si>
    <t>SUI008</t>
  </si>
  <si>
    <t>Marchisio</t>
  </si>
  <si>
    <t>SUI011</t>
  </si>
  <si>
    <t>SP Aargau-Süd</t>
  </si>
  <si>
    <t>Remund</t>
  </si>
  <si>
    <t>SUI012</t>
  </si>
  <si>
    <t>Wiesmann</t>
  </si>
  <si>
    <t>SUI014</t>
  </si>
  <si>
    <t>Imbrogiano</t>
  </si>
  <si>
    <t>SUI019</t>
  </si>
  <si>
    <t>Bernhardsgrütter</t>
  </si>
  <si>
    <t>SUI023</t>
  </si>
  <si>
    <t>Mustacato</t>
  </si>
  <si>
    <t>SUI027</t>
  </si>
  <si>
    <t>Subbuteo Basel Utd</t>
  </si>
  <si>
    <t>Macri</t>
  </si>
  <si>
    <t>SUI029</t>
  </si>
  <si>
    <t>Cardinale</t>
  </si>
  <si>
    <t>SUI031</t>
  </si>
  <si>
    <t>SUI051</t>
  </si>
  <si>
    <t>Szendröi</t>
  </si>
  <si>
    <t>SUI052</t>
  </si>
  <si>
    <t>Farza</t>
  </si>
  <si>
    <t>Skander</t>
  </si>
  <si>
    <t>TUN0001</t>
  </si>
  <si>
    <t>Rouis</t>
  </si>
  <si>
    <t>Mongi</t>
  </si>
  <si>
    <t>TUN0002</t>
  </si>
  <si>
    <t>Abdelmaneum</t>
  </si>
  <si>
    <t>Fayçal</t>
  </si>
  <si>
    <t>Yasser</t>
  </si>
  <si>
    <t>TUN0015</t>
  </si>
  <si>
    <t>Yanis</t>
  </si>
  <si>
    <t>TUN0016</t>
  </si>
  <si>
    <t>PONTÉ</t>
  </si>
  <si>
    <t>UKR0001</t>
  </si>
  <si>
    <t>UKR</t>
  </si>
  <si>
    <t>UKT</t>
  </si>
  <si>
    <t>BÉTHENCOURT</t>
  </si>
  <si>
    <t>UKR0002</t>
  </si>
  <si>
    <t>Alliance française d'Odessa</t>
  </si>
  <si>
    <t>POPOV</t>
  </si>
  <si>
    <t>UKR0003</t>
  </si>
  <si>
    <t>TSYBENKO</t>
  </si>
  <si>
    <t>Miroslava</t>
  </si>
  <si>
    <t>UKR0004</t>
  </si>
  <si>
    <t>KOZAK</t>
  </si>
  <si>
    <t>Denys</t>
  </si>
  <si>
    <t>UKR0005</t>
  </si>
  <si>
    <t>PROKHORENKO</t>
  </si>
  <si>
    <t>Iryna</t>
  </si>
  <si>
    <t>UKR0006</t>
  </si>
  <si>
    <t>Alegi</t>
  </si>
  <si>
    <t>USA0370</t>
  </si>
  <si>
    <t>Ambrosio</t>
  </si>
  <si>
    <t>Max</t>
  </si>
  <si>
    <t>USA0388</t>
  </si>
  <si>
    <t>Antoszewski</t>
  </si>
  <si>
    <t>USA0027</t>
  </si>
  <si>
    <t>Bryan</t>
  </si>
  <si>
    <t>USA0347</t>
  </si>
  <si>
    <t>Bao</t>
  </si>
  <si>
    <t>USA0222</t>
  </si>
  <si>
    <t>Barron</t>
  </si>
  <si>
    <t>USA0107</t>
  </si>
  <si>
    <t>Batacchi</t>
  </si>
  <si>
    <t>USA0024</t>
  </si>
  <si>
    <t>Isabel</t>
  </si>
  <si>
    <t>USA0030</t>
  </si>
  <si>
    <t>Byrd</t>
  </si>
  <si>
    <t>USA0261</t>
  </si>
  <si>
    <t>Casaca</t>
  </si>
  <si>
    <t>USA0386</t>
  </si>
  <si>
    <t>USA0410</t>
  </si>
  <si>
    <t>Cohen</t>
  </si>
  <si>
    <t>Sam</t>
  </si>
  <si>
    <t>USA0406</t>
  </si>
  <si>
    <t>Colindres</t>
  </si>
  <si>
    <t>Adolfo</t>
  </si>
  <si>
    <t>USA0009</t>
  </si>
  <si>
    <t>Conturso</t>
  </si>
  <si>
    <t>USA0003</t>
  </si>
  <si>
    <t>Cranston</t>
  </si>
  <si>
    <t>USA0001</t>
  </si>
  <si>
    <t>Davidson</t>
  </si>
  <si>
    <t>USA0128</t>
  </si>
  <si>
    <t>USA0180</t>
  </si>
  <si>
    <t>Deinhart</t>
  </si>
  <si>
    <t>Gregg</t>
  </si>
  <si>
    <t>USA0014</t>
  </si>
  <si>
    <t>USA0407</t>
  </si>
  <si>
    <t>Eyes</t>
  </si>
  <si>
    <t>USA0002</t>
  </si>
  <si>
    <t>USA0392</t>
  </si>
  <si>
    <t>Foster</t>
  </si>
  <si>
    <t>Lenny</t>
  </si>
  <si>
    <t>USA0230</t>
  </si>
  <si>
    <t>Galarza</t>
  </si>
  <si>
    <t>USA0385</t>
  </si>
  <si>
    <t>Garza</t>
  </si>
  <si>
    <t>USA0136</t>
  </si>
  <si>
    <t>Giffen</t>
  </si>
  <si>
    <t>USA0026</t>
  </si>
  <si>
    <t>Gikas</t>
  </si>
  <si>
    <t>USA0164</t>
  </si>
  <si>
    <t>Haefke</t>
  </si>
  <si>
    <t>Erik</t>
  </si>
  <si>
    <t>USA0139</t>
  </si>
  <si>
    <t>Idema</t>
  </si>
  <si>
    <t>Chad Allen</t>
  </si>
  <si>
    <t>USA0361</t>
  </si>
  <si>
    <t>Jake</t>
  </si>
  <si>
    <t>Schoonmaker</t>
  </si>
  <si>
    <t>USA0409</t>
  </si>
  <si>
    <t>Wyss</t>
  </si>
  <si>
    <t>USA0408</t>
  </si>
  <si>
    <t>Goninan</t>
  </si>
  <si>
    <t>USA0414</t>
  </si>
  <si>
    <t>USA0394</t>
  </si>
  <si>
    <t>Kidsley</t>
  </si>
  <si>
    <t>USA0405</t>
  </si>
  <si>
    <t>Byung</t>
  </si>
  <si>
    <t>USA0006</t>
  </si>
  <si>
    <t>King</t>
  </si>
  <si>
    <t>USA0362</t>
  </si>
  <si>
    <t>North Alabama SA</t>
  </si>
  <si>
    <t>USA0363</t>
  </si>
  <si>
    <t>Kleppin</t>
  </si>
  <si>
    <t>USA0329</t>
  </si>
  <si>
    <t>Kurkeyerian</t>
  </si>
  <si>
    <t>Varant</t>
  </si>
  <si>
    <t>USA0349</t>
  </si>
  <si>
    <t>USA0375</t>
  </si>
  <si>
    <t>Larochelle</t>
  </si>
  <si>
    <t>Dewey</t>
  </si>
  <si>
    <t>USA0022</t>
  </si>
  <si>
    <t>Legatz</t>
  </si>
  <si>
    <t>USA0404</t>
  </si>
  <si>
    <t>Lilly</t>
  </si>
  <si>
    <t>USA0040</t>
  </si>
  <si>
    <t>USA0365</t>
  </si>
  <si>
    <t>Mann</t>
  </si>
  <si>
    <t>USA0258</t>
  </si>
  <si>
    <t>Augusta SC</t>
  </si>
  <si>
    <t>USA0371</t>
  </si>
  <si>
    <t>Rick</t>
  </si>
  <si>
    <t>Martz</t>
  </si>
  <si>
    <t>USA0399</t>
  </si>
  <si>
    <t>Mata</t>
  </si>
  <si>
    <t>USA0356</t>
  </si>
  <si>
    <t>Oklahoma Utd TSC</t>
  </si>
  <si>
    <t>Mclane</t>
  </si>
  <si>
    <t>Eddy</t>
  </si>
  <si>
    <t>USA0129</t>
  </si>
  <si>
    <t>Mellott</t>
  </si>
  <si>
    <t>USA0293</t>
  </si>
  <si>
    <t>South Carolina SC</t>
  </si>
  <si>
    <t>Jercich</t>
  </si>
  <si>
    <t>USA0412</t>
  </si>
  <si>
    <t>Minton</t>
  </si>
  <si>
    <t>USA0397</t>
  </si>
  <si>
    <t>Montabon</t>
  </si>
  <si>
    <t>USA0145</t>
  </si>
  <si>
    <t>Iowa SC</t>
  </si>
  <si>
    <t>Mullen</t>
  </si>
  <si>
    <t>Conan</t>
  </si>
  <si>
    <t>USA0351</t>
  </si>
  <si>
    <t>Nuger</t>
  </si>
  <si>
    <t>USA0088</t>
  </si>
  <si>
    <t>Pate</t>
  </si>
  <si>
    <t>USA0376</t>
  </si>
  <si>
    <t>USA0377</t>
  </si>
  <si>
    <t>Pavel</t>
  </si>
  <si>
    <t>Forest</t>
  </si>
  <si>
    <t>USA0360</t>
  </si>
  <si>
    <t>Peters</t>
  </si>
  <si>
    <t>Joey</t>
  </si>
  <si>
    <t>USA0396</t>
  </si>
  <si>
    <t>Zachria</t>
  </si>
  <si>
    <t>USA0402</t>
  </si>
  <si>
    <t>USA0403</t>
  </si>
  <si>
    <t>Russell</t>
  </si>
  <si>
    <t>USA0008</t>
  </si>
  <si>
    <t>Sanders</t>
  </si>
  <si>
    <t>USA0346</t>
  </si>
  <si>
    <t>USA0401</t>
  </si>
  <si>
    <t>Schmidt</t>
  </si>
  <si>
    <t>USA0192</t>
  </si>
  <si>
    <t>McCaulley</t>
  </si>
  <si>
    <t>USA0413</t>
  </si>
  <si>
    <t>Sheridan</t>
  </si>
  <si>
    <t>USA0005</t>
  </si>
  <si>
    <t>Shirley</t>
  </si>
  <si>
    <t>USA0331</t>
  </si>
  <si>
    <t>Smith</t>
  </si>
  <si>
    <t>USA0393</t>
  </si>
  <si>
    <t>Stottlemyer</t>
  </si>
  <si>
    <t>Kaegan</t>
  </si>
  <si>
    <t>USA0400</t>
  </si>
  <si>
    <t>Stroop</t>
  </si>
  <si>
    <t>USA0187</t>
  </si>
  <si>
    <t>Therron</t>
  </si>
  <si>
    <t>USA0325</t>
  </si>
  <si>
    <t>Indiana TSC</t>
  </si>
  <si>
    <t>Tillman</t>
  </si>
  <si>
    <t>USA0004</t>
  </si>
  <si>
    <t>Tory</t>
  </si>
  <si>
    <t>Reed</t>
  </si>
  <si>
    <t>USA0411</t>
  </si>
  <si>
    <t>Trainer</t>
  </si>
  <si>
    <t>USA0280</t>
  </si>
  <si>
    <t>Tucker</t>
  </si>
  <si>
    <t>USA0104</t>
  </si>
  <si>
    <t>USA0298</t>
  </si>
  <si>
    <t>Tumminaro</t>
  </si>
  <si>
    <t>USA0359</t>
  </si>
  <si>
    <t>Vahle</t>
  </si>
  <si>
    <t>USA0352</t>
  </si>
  <si>
    <t>USA0353</t>
  </si>
  <si>
    <t>Walker</t>
  </si>
  <si>
    <t>Zach</t>
  </si>
  <si>
    <t>USA0013</t>
  </si>
  <si>
    <t>Walton</t>
  </si>
  <si>
    <t>USA0138</t>
  </si>
  <si>
    <t>Wiggs</t>
  </si>
  <si>
    <t>Corey</t>
  </si>
  <si>
    <t>USA0395</t>
  </si>
  <si>
    <t>Wilcox</t>
  </si>
  <si>
    <t>USA0012</t>
  </si>
  <si>
    <t>Ysaguirre</t>
  </si>
  <si>
    <t>Roderick</t>
  </si>
  <si>
    <t>USA0389</t>
  </si>
  <si>
    <t>Zunino</t>
  </si>
  <si>
    <t>USA0015</t>
  </si>
  <si>
    <t>Mason</t>
  </si>
  <si>
    <t>USA0415</t>
  </si>
  <si>
    <t>Shiv</t>
  </si>
  <si>
    <t>Patel</t>
  </si>
  <si>
    <t>USA0416</t>
  </si>
  <si>
    <t>Tyler</t>
  </si>
  <si>
    <t>Lui</t>
  </si>
  <si>
    <t>USA0417</t>
  </si>
  <si>
    <t>Wasyluszco</t>
  </si>
  <si>
    <t>USA0418</t>
  </si>
  <si>
    <t>Jadin</t>
  </si>
  <si>
    <t>Botticelli</t>
  </si>
  <si>
    <t>USA0419</t>
  </si>
  <si>
    <t>Roberts-Kleban</t>
  </si>
  <si>
    <t>USA0420</t>
  </si>
  <si>
    <t>Belcher</t>
  </si>
  <si>
    <t>USA0421</t>
  </si>
  <si>
    <t>Buccheri</t>
  </si>
  <si>
    <t>USA0422</t>
  </si>
  <si>
    <t>Lauder</t>
  </si>
  <si>
    <t>WAL0001</t>
  </si>
  <si>
    <t>Cardiff Bluebirds TFC</t>
  </si>
  <si>
    <t>WSTFA</t>
  </si>
  <si>
    <t>Lewis</t>
  </si>
  <si>
    <t>WAL0002</t>
  </si>
  <si>
    <t>WAL0003</t>
  </si>
  <si>
    <t>Rowley</t>
  </si>
  <si>
    <t>WAL0005</t>
  </si>
  <si>
    <t>WAL0006</t>
  </si>
  <si>
    <t>Evans</t>
  </si>
  <si>
    <t>Steven</t>
  </si>
  <si>
    <t>WAL0009</t>
  </si>
  <si>
    <t>Stock</t>
  </si>
  <si>
    <t>WAL0014</t>
  </si>
  <si>
    <t>Holliday</t>
  </si>
  <si>
    <t>WAL0015</t>
  </si>
  <si>
    <t>Dacey</t>
  </si>
  <si>
    <t>WAL0016</t>
  </si>
  <si>
    <t>Parsons</t>
  </si>
  <si>
    <t>WAL0021</t>
  </si>
  <si>
    <t>Barnes</t>
  </si>
  <si>
    <t>WAL0028</t>
  </si>
  <si>
    <t>Afghanistan</t>
  </si>
  <si>
    <t>Algeria</t>
  </si>
  <si>
    <t>ALG</t>
  </si>
  <si>
    <t>American Samoa</t>
  </si>
  <si>
    <t>Andorra</t>
  </si>
  <si>
    <t>AND</t>
  </si>
  <si>
    <t>Angola</t>
  </si>
  <si>
    <t>ANG</t>
  </si>
  <si>
    <t>Anguilla</t>
  </si>
  <si>
    <t>AIA</t>
  </si>
  <si>
    <t>Antarctica</t>
  </si>
  <si>
    <t>ROS</t>
  </si>
  <si>
    <t>Antigua and Barbuda</t>
  </si>
  <si>
    <t>ATG</t>
  </si>
  <si>
    <t>Armenia</t>
  </si>
  <si>
    <t>ARM</t>
  </si>
  <si>
    <t>Aruba</t>
  </si>
  <si>
    <t>ARU</t>
  </si>
  <si>
    <t>Azerbaijan</t>
  </si>
  <si>
    <t>AZE</t>
  </si>
  <si>
    <t>Bahamas</t>
  </si>
  <si>
    <t>BAH</t>
  </si>
  <si>
    <t>Bahrain</t>
  </si>
  <si>
    <t>BHR</t>
  </si>
  <si>
    <t>Bangladesh</t>
  </si>
  <si>
    <t>BAN</t>
  </si>
  <si>
    <t>Barbados</t>
  </si>
  <si>
    <t>BRB</t>
  </si>
  <si>
    <t>Belarus</t>
  </si>
  <si>
    <t>BLR</t>
  </si>
  <si>
    <t>Belize</t>
  </si>
  <si>
    <t>BLZ</t>
  </si>
  <si>
    <t>Benin</t>
  </si>
  <si>
    <t>BEN</t>
  </si>
  <si>
    <t>Bermuda</t>
  </si>
  <si>
    <t>BER</t>
  </si>
  <si>
    <t>Bhutan</t>
  </si>
  <si>
    <t>BHU</t>
  </si>
  <si>
    <t>Bolivia (Plurinational State of)</t>
  </si>
  <si>
    <t>BOL</t>
  </si>
  <si>
    <t>Bonaire, Sint Eustatius and Saba</t>
  </si>
  <si>
    <t>ANT</t>
  </si>
  <si>
    <t>Bosnia and Herzegovina</t>
  </si>
  <si>
    <t>BIH</t>
  </si>
  <si>
    <t>Botswana</t>
  </si>
  <si>
    <t>BOT</t>
  </si>
  <si>
    <t>Bouvet Island</t>
  </si>
  <si>
    <t>BVT</t>
  </si>
  <si>
    <t>British Indian Ocean Territory</t>
  </si>
  <si>
    <t>IOT</t>
  </si>
  <si>
    <t>British Virgin Islands</t>
  </si>
  <si>
    <t>VGB</t>
  </si>
  <si>
    <t>Brunei Darussalam</t>
  </si>
  <si>
    <t>BRU</t>
  </si>
  <si>
    <t>Bulgaria</t>
  </si>
  <si>
    <t>BUL</t>
  </si>
  <si>
    <t>Burkina Faso</t>
  </si>
  <si>
    <t>BFA</t>
  </si>
  <si>
    <t>Burundi</t>
  </si>
  <si>
    <t>BDI</t>
  </si>
  <si>
    <t>Cabo Verde</t>
  </si>
  <si>
    <t>CPV</t>
  </si>
  <si>
    <t>Cambodia</t>
  </si>
  <si>
    <t>CAM</t>
  </si>
  <si>
    <t>Cameroon</t>
  </si>
  <si>
    <t>CMR</t>
  </si>
  <si>
    <t>Cayman Islands</t>
  </si>
  <si>
    <t>CAY</t>
  </si>
  <si>
    <t>Central African Republic</t>
  </si>
  <si>
    <t>CTA</t>
  </si>
  <si>
    <t>Chad</t>
  </si>
  <si>
    <t>CHA</t>
  </si>
  <si>
    <t>CHI</t>
  </si>
  <si>
    <t>China, Hong Kong Special Administrative Region</t>
  </si>
  <si>
    <t>China, Macao Special Administrative Region</t>
  </si>
  <si>
    <t>MAC</t>
  </si>
  <si>
    <t>Christmas Island</t>
  </si>
  <si>
    <t>CXR</t>
  </si>
  <si>
    <t>Cocos (Keeling) Islands</t>
  </si>
  <si>
    <t>CCK</t>
  </si>
  <si>
    <t>Comoros</t>
  </si>
  <si>
    <t>COM</t>
  </si>
  <si>
    <t>Congo</t>
  </si>
  <si>
    <t>CGO</t>
  </si>
  <si>
    <t>Cook Islands</t>
  </si>
  <si>
    <t>COK</t>
  </si>
  <si>
    <t>Costa Rica</t>
  </si>
  <si>
    <t>CRC</t>
  </si>
  <si>
    <t>Cuba</t>
  </si>
  <si>
    <t>CUB</t>
  </si>
  <si>
    <t>Curaçao</t>
  </si>
  <si>
    <t>CUW</t>
  </si>
  <si>
    <t>Czechia</t>
  </si>
  <si>
    <t>Côte d'Ivoire</t>
  </si>
  <si>
    <t>CIV</t>
  </si>
  <si>
    <t>Democratic People's Republic of Korea</t>
  </si>
  <si>
    <t>PRK</t>
  </si>
  <si>
    <t>Democratic Republic of the Congo</t>
  </si>
  <si>
    <t>COD</t>
  </si>
  <si>
    <t>Djibouti</t>
  </si>
  <si>
    <t>DJI</t>
  </si>
  <si>
    <t>Dominica</t>
  </si>
  <si>
    <t>DMA</t>
  </si>
  <si>
    <t>Dominican Republic</t>
  </si>
  <si>
    <t>DOM</t>
  </si>
  <si>
    <t>Egypt</t>
  </si>
  <si>
    <t>EGY</t>
  </si>
  <si>
    <t>El Salvador</t>
  </si>
  <si>
    <t>SLV</t>
  </si>
  <si>
    <t>Equatorial Guinea</t>
  </si>
  <si>
    <t>EQG</t>
  </si>
  <si>
    <t>Eritrea</t>
  </si>
  <si>
    <t>ERI</t>
  </si>
  <si>
    <t>Estonia</t>
  </si>
  <si>
    <t>EST</t>
  </si>
  <si>
    <t>Eswatini</t>
  </si>
  <si>
    <t>SWZ</t>
  </si>
  <si>
    <t>Ethiopia</t>
  </si>
  <si>
    <t>ETH</t>
  </si>
  <si>
    <t>Falkland Islands (Malvinas)</t>
  </si>
  <si>
    <t>FLK</t>
  </si>
  <si>
    <t>Faroe Islands</t>
  </si>
  <si>
    <t>FRO</t>
  </si>
  <si>
    <t>Fiji</t>
  </si>
  <si>
    <t>FIJ</t>
  </si>
  <si>
    <t>French Guiana</t>
  </si>
  <si>
    <t>GUF</t>
  </si>
  <si>
    <t>French Polynesia</t>
  </si>
  <si>
    <t>TAH</t>
  </si>
  <si>
    <t>French Southern Territories</t>
  </si>
  <si>
    <t>ATF</t>
  </si>
  <si>
    <t>Gabon</t>
  </si>
  <si>
    <t>GAB</t>
  </si>
  <si>
    <t>Gambia</t>
  </si>
  <si>
    <t>GAM</t>
  </si>
  <si>
    <t>GEO</t>
  </si>
  <si>
    <t>Ghana</t>
  </si>
  <si>
    <t>GHA</t>
  </si>
  <si>
    <t>Greenland</t>
  </si>
  <si>
    <t>GRL</t>
  </si>
  <si>
    <t>Grenada</t>
  </si>
  <si>
    <t>GRN</t>
  </si>
  <si>
    <t>Guadeloupe</t>
  </si>
  <si>
    <t>GLP</t>
  </si>
  <si>
    <t>Guam</t>
  </si>
  <si>
    <t>GUM</t>
  </si>
  <si>
    <t>Guatemala</t>
  </si>
  <si>
    <t>GUA</t>
  </si>
  <si>
    <t>Guernsey</t>
  </si>
  <si>
    <t>GBG</t>
  </si>
  <si>
    <t>Guinea</t>
  </si>
  <si>
    <t>GUI</t>
  </si>
  <si>
    <t>Guinea-Bissau</t>
  </si>
  <si>
    <t>GNB</t>
  </si>
  <si>
    <t>Guyana</t>
  </si>
  <si>
    <t>GUY</t>
  </si>
  <si>
    <t>Haiti</t>
  </si>
  <si>
    <t>HAI</t>
  </si>
  <si>
    <t>Heard Island and McDonald Islands</t>
  </si>
  <si>
    <t>HMD</t>
  </si>
  <si>
    <t>Holy See</t>
  </si>
  <si>
    <t>VAT</t>
  </si>
  <si>
    <t>Honduras</t>
  </si>
  <si>
    <t>HON</t>
  </si>
  <si>
    <t>Iceland</t>
  </si>
  <si>
    <t>ISL</t>
  </si>
  <si>
    <t>Indonesia</t>
  </si>
  <si>
    <t>IDN</t>
  </si>
  <si>
    <t>Iran (Islamic Republic of)</t>
  </si>
  <si>
    <t>IRN</t>
  </si>
  <si>
    <t>Iraq</t>
  </si>
  <si>
    <t>IRQ</t>
  </si>
  <si>
    <t>Isle of Man</t>
  </si>
  <si>
    <t>GBM</t>
  </si>
  <si>
    <t>Jersey</t>
  </si>
  <si>
    <t>GBJ</t>
  </si>
  <si>
    <t>JOR</t>
  </si>
  <si>
    <t>Kazakhstan</t>
  </si>
  <si>
    <t>KAZ</t>
  </si>
  <si>
    <t>Kenya</t>
  </si>
  <si>
    <t>KEN</t>
  </si>
  <si>
    <t>Kiribati</t>
  </si>
  <si>
    <t>KIR</t>
  </si>
  <si>
    <t>Kuwait</t>
  </si>
  <si>
    <t>KUW</t>
  </si>
  <si>
    <t>Kyrgyzstan</t>
  </si>
  <si>
    <t>KGZ</t>
  </si>
  <si>
    <t>Lao People's Democratic Republic</t>
  </si>
  <si>
    <t>LAO</t>
  </si>
  <si>
    <t>Latvia</t>
  </si>
  <si>
    <t>LVA</t>
  </si>
  <si>
    <t>Lebanon</t>
  </si>
  <si>
    <t>LIB</t>
  </si>
  <si>
    <t>Lesotho</t>
  </si>
  <si>
    <t>LES</t>
  </si>
  <si>
    <t>Liberia</t>
  </si>
  <si>
    <t>LBR</t>
  </si>
  <si>
    <t>Libya</t>
  </si>
  <si>
    <t>LBY</t>
  </si>
  <si>
    <t>Liechtenstein</t>
  </si>
  <si>
    <t>LIE</t>
  </si>
  <si>
    <t>Lithuania</t>
  </si>
  <si>
    <t>LTU</t>
  </si>
  <si>
    <t>Luxembourg</t>
  </si>
  <si>
    <t>LUX</t>
  </si>
  <si>
    <t>Madagascar</t>
  </si>
  <si>
    <t>MAD</t>
  </si>
  <si>
    <t>Malawi</t>
  </si>
  <si>
    <t>MWI</t>
  </si>
  <si>
    <t>Maldives</t>
  </si>
  <si>
    <t>MDV</t>
  </si>
  <si>
    <t>Mali</t>
  </si>
  <si>
    <t>MLI</t>
  </si>
  <si>
    <t>Marshall Islands</t>
  </si>
  <si>
    <t>MHL</t>
  </si>
  <si>
    <t>Martinique</t>
  </si>
  <si>
    <t>MTQ</t>
  </si>
  <si>
    <t>Mauritania</t>
  </si>
  <si>
    <t>MTN</t>
  </si>
  <si>
    <t>Mauritius</t>
  </si>
  <si>
    <t>MRI</t>
  </si>
  <si>
    <t>Mayotte</t>
  </si>
  <si>
    <t>MYT</t>
  </si>
  <si>
    <t>Micronesia (Federated States of)</t>
  </si>
  <si>
    <t>FSM</t>
  </si>
  <si>
    <t>Mongolia</t>
  </si>
  <si>
    <t>MNG</t>
  </si>
  <si>
    <t>Montenegro</t>
  </si>
  <si>
    <t>MNE</t>
  </si>
  <si>
    <t>Montserrat</t>
  </si>
  <si>
    <t>MSR</t>
  </si>
  <si>
    <t>Morocco</t>
  </si>
  <si>
    <t>MAR</t>
  </si>
  <si>
    <t>Mozambique</t>
  </si>
  <si>
    <t>MOZ</t>
  </si>
  <si>
    <t>Myanmar</t>
  </si>
  <si>
    <t>MYA</t>
  </si>
  <si>
    <t>Namibia</t>
  </si>
  <si>
    <t>NAM</t>
  </si>
  <si>
    <t>Nauru</t>
  </si>
  <si>
    <t>NRU</t>
  </si>
  <si>
    <t>Nepal</t>
  </si>
  <si>
    <t>NEP</t>
  </si>
  <si>
    <t>New Caledonia</t>
  </si>
  <si>
    <t>NCL</t>
  </si>
  <si>
    <t>New Zealand</t>
  </si>
  <si>
    <t>NZL</t>
  </si>
  <si>
    <t>Nicaragua</t>
  </si>
  <si>
    <t>NCA</t>
  </si>
  <si>
    <t>Niger</t>
  </si>
  <si>
    <t>NIG</t>
  </si>
  <si>
    <t>Niue</t>
  </si>
  <si>
    <t>NIU</t>
  </si>
  <si>
    <t>Norfolk Island</t>
  </si>
  <si>
    <t>NFK</t>
  </si>
  <si>
    <t>Northern Mariana Islands</t>
  </si>
  <si>
    <t>NMI</t>
  </si>
  <si>
    <t>Oman</t>
  </si>
  <si>
    <t>OMA</t>
  </si>
  <si>
    <t>Pakistan</t>
  </si>
  <si>
    <t>PAK</t>
  </si>
  <si>
    <t>Palau</t>
  </si>
  <si>
    <t>PLW</t>
  </si>
  <si>
    <t>Panama</t>
  </si>
  <si>
    <t>PAN</t>
  </si>
  <si>
    <t>Papua New Guinea</t>
  </si>
  <si>
    <t>PNG</t>
  </si>
  <si>
    <t>Paraguay</t>
  </si>
  <si>
    <t>PAR</t>
  </si>
  <si>
    <t>Philippines</t>
  </si>
  <si>
    <t>PHI</t>
  </si>
  <si>
    <t>Pitcairn</t>
  </si>
  <si>
    <t>PCN</t>
  </si>
  <si>
    <t>Puerto Rico</t>
  </si>
  <si>
    <t>PUR</t>
  </si>
  <si>
    <t>Qatar</t>
  </si>
  <si>
    <t>QAT</t>
  </si>
  <si>
    <t>Republic of Korea</t>
  </si>
  <si>
    <t>KOR</t>
  </si>
  <si>
    <t>Republic of Moldova</t>
  </si>
  <si>
    <t>MDA</t>
  </si>
  <si>
    <t>ROU</t>
  </si>
  <si>
    <t>Russian Federation</t>
  </si>
  <si>
    <t>Rwanda</t>
  </si>
  <si>
    <t>RWA</t>
  </si>
  <si>
    <t>Réunion</t>
  </si>
  <si>
    <t>REU</t>
  </si>
  <si>
    <t>Saint Barthélemy</t>
  </si>
  <si>
    <t>BLM</t>
  </si>
  <si>
    <t>Saint Helena</t>
  </si>
  <si>
    <t>SHN</t>
  </si>
  <si>
    <t>Saint Kitts and Nevis</t>
  </si>
  <si>
    <t>SKN</t>
  </si>
  <si>
    <t>Saint Lucia</t>
  </si>
  <si>
    <t>LCA</t>
  </si>
  <si>
    <t>Saint Martin (French Part)</t>
  </si>
  <si>
    <t>MAF</t>
  </si>
  <si>
    <t>Saint Pierre and Miquelon</t>
  </si>
  <si>
    <t>SPM</t>
  </si>
  <si>
    <t>Saint Vincent and the Grenadines</t>
  </si>
  <si>
    <t>VIN</t>
  </si>
  <si>
    <t>Samoa</t>
  </si>
  <si>
    <t>SAM</t>
  </si>
  <si>
    <t>San Marino</t>
  </si>
  <si>
    <t>SMR</t>
  </si>
  <si>
    <t>Sao Tome and Principe</t>
  </si>
  <si>
    <t>STP</t>
  </si>
  <si>
    <t>Saudi Arabia</t>
  </si>
  <si>
    <t>KSA</t>
  </si>
  <si>
    <t>Senegal</t>
  </si>
  <si>
    <t>SEN</t>
  </si>
  <si>
    <t>Serbia</t>
  </si>
  <si>
    <t>SRB</t>
  </si>
  <si>
    <t>Seychelles</t>
  </si>
  <si>
    <t>SEY</t>
  </si>
  <si>
    <t>Sierra Leone</t>
  </si>
  <si>
    <t>SLE</t>
  </si>
  <si>
    <t>Sint Maarten (Dutch part)</t>
  </si>
  <si>
    <t>SXM</t>
  </si>
  <si>
    <t>Slovenia</t>
  </si>
  <si>
    <t>SVN</t>
  </si>
  <si>
    <t>Solomon Islands</t>
  </si>
  <si>
    <t>SOL</t>
  </si>
  <si>
    <t>Somalia</t>
  </si>
  <si>
    <t>SOM</t>
  </si>
  <si>
    <t>RSA</t>
  </si>
  <si>
    <t>South Georgia and the South Sandwich Islands</t>
  </si>
  <si>
    <t>SGS</t>
  </si>
  <si>
    <t>South Sudan</t>
  </si>
  <si>
    <t>SSD</t>
  </si>
  <si>
    <t>Sri Lanka</t>
  </si>
  <si>
    <t>SRI</t>
  </si>
  <si>
    <t>State of Palestine</t>
  </si>
  <si>
    <t>PLE</t>
  </si>
  <si>
    <t>Sudan</t>
  </si>
  <si>
    <t>SUD</t>
  </si>
  <si>
    <t>Suriname</t>
  </si>
  <si>
    <t>SUR</t>
  </si>
  <si>
    <t>Svalbard and Jan Mayen Islands</t>
  </si>
  <si>
    <t>SJM</t>
  </si>
  <si>
    <t>Sweden</t>
  </si>
  <si>
    <t>SWE</t>
  </si>
  <si>
    <t>Syrian Arab Republic</t>
  </si>
  <si>
    <t>SYR</t>
  </si>
  <si>
    <t>Tajikistan</t>
  </si>
  <si>
    <t>TJK</t>
  </si>
  <si>
    <t>Thailand</t>
  </si>
  <si>
    <t>THA</t>
  </si>
  <si>
    <t>The former Yugoslav Republic of Macedonia</t>
  </si>
  <si>
    <t>MKD</t>
  </si>
  <si>
    <t>Timor-Leste</t>
  </si>
  <si>
    <t>TLS</t>
  </si>
  <si>
    <t>Togo</t>
  </si>
  <si>
    <t>TOG</t>
  </si>
  <si>
    <t>Tokelau</t>
  </si>
  <si>
    <t>TKL</t>
  </si>
  <si>
    <t>Tonga</t>
  </si>
  <si>
    <t>TGA</t>
  </si>
  <si>
    <t>Trinidad and Tobago</t>
  </si>
  <si>
    <t>TRI</t>
  </si>
  <si>
    <t>Turkmenistan</t>
  </si>
  <si>
    <t>TKM</t>
  </si>
  <si>
    <t>Turks and Caicos Islands</t>
  </si>
  <si>
    <t>TCA</t>
  </si>
  <si>
    <t>Tuvalu</t>
  </si>
  <si>
    <t>TUV</t>
  </si>
  <si>
    <t>Uganda</t>
  </si>
  <si>
    <t>UGA</t>
  </si>
  <si>
    <t>Ukraine</t>
  </si>
  <si>
    <t>United Arab Emirates</t>
  </si>
  <si>
    <t>UAE</t>
  </si>
  <si>
    <t>United Kingdom of Great Britain and Northern Ireland</t>
  </si>
  <si>
    <t>GBR</t>
  </si>
  <si>
    <t>United Republic of Tanzania</t>
  </si>
  <si>
    <t>TAN</t>
  </si>
  <si>
    <t>United States Minor Outlying Islands</t>
  </si>
  <si>
    <t>UMI</t>
  </si>
  <si>
    <t>United States Virgin Islands</t>
  </si>
  <si>
    <t>VIR</t>
  </si>
  <si>
    <t>United States of America</t>
  </si>
  <si>
    <t>Uruguay</t>
  </si>
  <si>
    <t>URU</t>
  </si>
  <si>
    <t>Uzbekistan</t>
  </si>
  <si>
    <t>UZB</t>
  </si>
  <si>
    <t>Vanuatu</t>
  </si>
  <si>
    <t>VAN</t>
  </si>
  <si>
    <t>Venezuela (Bolivarian Republic of)</t>
  </si>
  <si>
    <t>VEN</t>
  </si>
  <si>
    <t>Viet Nam</t>
  </si>
  <si>
    <t>Wallis and Futuna Islands</t>
  </si>
  <si>
    <t>WLF</t>
  </si>
  <si>
    <t>Western Sahara</t>
  </si>
  <si>
    <t>SAH</t>
  </si>
  <si>
    <t>Yemen</t>
  </si>
  <si>
    <t>YEM</t>
  </si>
  <si>
    <t>Zambia</t>
  </si>
  <si>
    <t>ZAM</t>
  </si>
  <si>
    <t>Åland Islands</t>
  </si>
  <si>
    <t>ALD</t>
  </si>
  <si>
    <t>Roger Trouillard</t>
  </si>
  <si>
    <t>Player Name</t>
  </si>
  <si>
    <t>Hussein Bakshi</t>
  </si>
  <si>
    <t>Fabrizio Bertolini</t>
  </si>
  <si>
    <t>Gioacchino Di Giannantonio</t>
  </si>
  <si>
    <t>Gustavo Di Giannantonio</t>
  </si>
  <si>
    <t>Nino Di Giannantonio</t>
  </si>
  <si>
    <t>Bruno Di Paolo Sr.</t>
  </si>
  <si>
    <t>Paolo Ferrara</t>
  </si>
  <si>
    <t>Gonzalo Gómez</t>
  </si>
  <si>
    <t>Leonardo Mario Juanto</t>
  </si>
  <si>
    <t>Toribio Lambertucci</t>
  </si>
  <si>
    <t>Matías Lioy</t>
  </si>
  <si>
    <t>Nicolás Lioy</t>
  </si>
  <si>
    <t>Claudio Murcilli</t>
  </si>
  <si>
    <t>Renato Murcilli</t>
  </si>
  <si>
    <t>Ricardo Roberti</t>
  </si>
  <si>
    <t>Edgar Shoenfeld</t>
  </si>
  <si>
    <t>Fernando Tortelli</t>
  </si>
  <si>
    <t>Leonardo Vera</t>
  </si>
  <si>
    <t>Gregorio Caro Solis</t>
  </si>
  <si>
    <t>Flavio Bellingeri</t>
  </si>
  <si>
    <t>Christopher Wander</t>
  </si>
  <si>
    <t>Germán Pacello</t>
  </si>
  <si>
    <t>Patricio Echevarrieta</t>
  </si>
  <si>
    <t>Fernando Soneira</t>
  </si>
  <si>
    <t>Claudia Cuello</t>
  </si>
  <si>
    <t>Sergio Gustavo Pelle</t>
  </si>
  <si>
    <t>Juan Carlos Galassi</t>
  </si>
  <si>
    <t>Leonardo Galassi</t>
  </si>
  <si>
    <t>Juan Manuel Sordo</t>
  </si>
  <si>
    <t>Mauro Bertolini</t>
  </si>
  <si>
    <t>Sebastián Pesci</t>
  </si>
  <si>
    <t>Agustin Ortega</t>
  </si>
  <si>
    <t>Agustin Bruno</t>
  </si>
  <si>
    <t>Tomas Testoni</t>
  </si>
  <si>
    <t>Alvaro Paciaroni</t>
  </si>
  <si>
    <t>Ricardo Buldorini</t>
  </si>
  <si>
    <t>Martín Zega</t>
  </si>
  <si>
    <t>Santiago Shoenfeld</t>
  </si>
  <si>
    <t>Tomás Shoenfeld</t>
  </si>
  <si>
    <t>Davide Bozzano</t>
  </si>
  <si>
    <t>Norberto Martínez</t>
  </si>
  <si>
    <t>Norberto Oscar Martínez</t>
  </si>
  <si>
    <t>Carlos Alberto Martínez</t>
  </si>
  <si>
    <t>Guillermo Joel Gramajo</t>
  </si>
  <si>
    <t>Maximiliano Gabriel Vergara</t>
  </si>
  <si>
    <t>Mariano Di Luozzo</t>
  </si>
  <si>
    <t>Mauro Fantino</t>
  </si>
  <si>
    <t>Joaquín Martínez</t>
  </si>
  <si>
    <t>Martín Gallimò</t>
  </si>
  <si>
    <t>Marcelo Rossi</t>
  </si>
  <si>
    <t>Juan Sebastián Garcia Ciraudo</t>
  </si>
  <si>
    <t>Augusto Rossi</t>
  </si>
  <si>
    <t>Valeria Forlani</t>
  </si>
  <si>
    <t>Valentino García Ciraudo</t>
  </si>
  <si>
    <t>Frida Rossi</t>
  </si>
  <si>
    <t>Brian González</t>
  </si>
  <si>
    <t>Gabriel Fantino</t>
  </si>
  <si>
    <t>Facundo Rossi</t>
  </si>
  <si>
    <t>Juan Ramòn González</t>
  </si>
  <si>
    <t>Hugo Senone</t>
  </si>
  <si>
    <t>Santiago Torres</t>
  </si>
  <si>
    <t>Robert Green</t>
  </si>
  <si>
    <t>Peter Thomas</t>
  </si>
  <si>
    <t>Benji Batten</t>
  </si>
  <si>
    <t>Adrian Elmer</t>
  </si>
  <si>
    <t>Eliot Kennedy</t>
  </si>
  <si>
    <t>Luke Radziminski</t>
  </si>
  <si>
    <t>Giuseppe Tardiota</t>
  </si>
  <si>
    <t>Louis Dettre</t>
  </si>
  <si>
    <t>James Dettre</t>
  </si>
  <si>
    <t>Imojjen Elmer</t>
  </si>
  <si>
    <t>Jonny Ball</t>
  </si>
  <si>
    <t>Paul Mercer</t>
  </si>
  <si>
    <t>Paul Magee</t>
  </si>
  <si>
    <t>Jonty Brener</t>
  </si>
  <si>
    <t>Fabrizio Coco</t>
  </si>
  <si>
    <t>Dom Grenot</t>
  </si>
  <si>
    <t>Geoff Sirmai</t>
  </si>
  <si>
    <t>Antonio Credentino</t>
  </si>
  <si>
    <t>Gareth Whalley</t>
  </si>
  <si>
    <t>Beth Eveleigh</t>
  </si>
  <si>
    <t>Hugh Best</t>
  </si>
  <si>
    <t>Adrian Connolly</t>
  </si>
  <si>
    <t>Kevin Grant</t>
  </si>
  <si>
    <t>Billy Koutzas</t>
  </si>
  <si>
    <t>Nick Brill</t>
  </si>
  <si>
    <t>Kostas Barbaris</t>
  </si>
  <si>
    <t>Richard Wilson</t>
  </si>
  <si>
    <t>Adrian Grunbach</t>
  </si>
  <si>
    <t>Greg Werner</t>
  </si>
  <si>
    <t>Nathan Urbaniak</t>
  </si>
  <si>
    <t>Dimitris Barbaris</t>
  </si>
  <si>
    <t>Paolo Credentino</t>
  </si>
  <si>
    <t>Francis Cozzarin</t>
  </si>
  <si>
    <t>Katelyn Grunbach</t>
  </si>
  <si>
    <t>Kevin Halliday</t>
  </si>
  <si>
    <t>Günter Exler</t>
  </si>
  <si>
    <t>Thomas Exler</t>
  </si>
  <si>
    <t>Wolfgang Leitner</t>
  </si>
  <si>
    <t>Robert Lenz</t>
  </si>
  <si>
    <t>Gerhard Mandl</t>
  </si>
  <si>
    <t>Markus Matzinger</t>
  </si>
  <si>
    <t>Gerhard Ecker</t>
  </si>
  <si>
    <t>Heinz Eder</t>
  </si>
  <si>
    <t>Christoph Gerbasits</t>
  </si>
  <si>
    <t>Alexander Haas</t>
  </si>
  <si>
    <t>Christian Haas</t>
  </si>
  <si>
    <t>Michael Hasieber</t>
  </si>
  <si>
    <t>Stefan Sandner</t>
  </si>
  <si>
    <t>Reinhard Schöberl</t>
  </si>
  <si>
    <t>Manfred Schuhmann</t>
  </si>
  <si>
    <t>Murat Tünger</t>
  </si>
  <si>
    <t>Thomas Wittmann</t>
  </si>
  <si>
    <t>Peter Zeilinger</t>
  </si>
  <si>
    <t>Wolfgang Haas</t>
  </si>
  <si>
    <t>Günther Bamberzky</t>
  </si>
  <si>
    <t>Thomas Bergholz</t>
  </si>
  <si>
    <t>Christian Blümel</t>
  </si>
  <si>
    <t>Erich Hinkelmann</t>
  </si>
  <si>
    <t>Thomas Karnthaler</t>
  </si>
  <si>
    <t>Jürgen Lizar</t>
  </si>
  <si>
    <t>Manfred Pawlica</t>
  </si>
  <si>
    <t>Alfred Strommer</t>
  </si>
  <si>
    <t>Marios Strommer</t>
  </si>
  <si>
    <t>David Busch</t>
  </si>
  <si>
    <t>Thomas Busch</t>
  </si>
  <si>
    <t>Thorsten Korzil</t>
  </si>
  <si>
    <t>Daniel Vranovitz</t>
  </si>
  <si>
    <t>Bettina Lenz</t>
  </si>
  <si>
    <t>Karl Vranovitz</t>
  </si>
  <si>
    <t>Elias Walzer</t>
  </si>
  <si>
    <t>Katharina Ocenasek</t>
  </si>
  <si>
    <t>Fabian Pinter</t>
  </si>
  <si>
    <t>Katharina Waldorf-Busch</t>
  </si>
  <si>
    <t>Jérémy Ancion</t>
  </si>
  <si>
    <t>Kévin Beckers</t>
  </si>
  <si>
    <t>Elodie Bertholet</t>
  </si>
  <si>
    <t>Corentin Bouchez</t>
  </si>
  <si>
    <t>Denis Bouchez</t>
  </si>
  <si>
    <t>Richard Boulanger</t>
  </si>
  <si>
    <t>Christophe Brach</t>
  </si>
  <si>
    <t>Tony Braham</t>
  </si>
  <si>
    <t>Michaël Casciano</t>
  </si>
  <si>
    <t>Jos Ceulemans</t>
  </si>
  <si>
    <t>Pierre De Leeuw</t>
  </si>
  <si>
    <t>Kenny De Schuyteneer</t>
  </si>
  <si>
    <t>Rudi De Smet</t>
  </si>
  <si>
    <t>Valéry Dejardin</t>
  </si>
  <si>
    <t>Damien Denooz</t>
  </si>
  <si>
    <t>Michaël Denooz</t>
  </si>
  <si>
    <t>Steffen Despretz</t>
  </si>
  <si>
    <t>Christophe Dheur</t>
  </si>
  <si>
    <t>Vito Di Ruggiero</t>
  </si>
  <si>
    <t>Delphine Dieudonne</t>
  </si>
  <si>
    <t>Nathan Dizier</t>
  </si>
  <si>
    <t>Olivier Dubois</t>
  </si>
  <si>
    <t>David Fraikin</t>
  </si>
  <si>
    <t>Florian Giaux</t>
  </si>
  <si>
    <t>Louison Giaux</t>
  </si>
  <si>
    <t>Bessim Golger</t>
  </si>
  <si>
    <t>Laurent Goor</t>
  </si>
  <si>
    <t>Bruno Goset</t>
  </si>
  <si>
    <t>Ralf Gregoire</t>
  </si>
  <si>
    <t>Vincent Guyaux</t>
  </si>
  <si>
    <t>Alain Hanotiaux</t>
  </si>
  <si>
    <t>Jody Henrioul</t>
  </si>
  <si>
    <t>Jérôme Heyvaert</t>
  </si>
  <si>
    <t>Rémy Honet</t>
  </si>
  <si>
    <t>Rémy Huynh</t>
  </si>
  <si>
    <t>Stéphane Lambert</t>
  </si>
  <si>
    <t>Frank Lannoy</t>
  </si>
  <si>
    <t>Joffray Laurent</t>
  </si>
  <si>
    <t>Kevin Lelubre</t>
  </si>
  <si>
    <t>David Leroy</t>
  </si>
  <si>
    <t>Justin Leroy</t>
  </si>
  <si>
    <t>Geert Leys</t>
  </si>
  <si>
    <t>Raphaël Maillard</t>
  </si>
  <si>
    <t>Geoffrey Marain</t>
  </si>
  <si>
    <t>Benoît Massart</t>
  </si>
  <si>
    <t>Maxime Muraille</t>
  </si>
  <si>
    <t>Arnaud Nullens</t>
  </si>
  <si>
    <t>Patrick Peltier</t>
  </si>
  <si>
    <t>Lucas Pere</t>
  </si>
  <si>
    <t>Olivier Pere</t>
  </si>
  <si>
    <t>Ludovic Ponthieux</t>
  </si>
  <si>
    <t>Maxime Rairoux</t>
  </si>
  <si>
    <t>Arnaud Robillard</t>
  </si>
  <si>
    <t>Philippe Roufosse</t>
  </si>
  <si>
    <t>Daniel Scheen</t>
  </si>
  <si>
    <t>Malo Scheen</t>
  </si>
  <si>
    <t>Noé Scheen</t>
  </si>
  <si>
    <t>Pascal Scheen</t>
  </si>
  <si>
    <t>Sébastien Scheen</t>
  </si>
  <si>
    <t>Pol Serwy</t>
  </si>
  <si>
    <t>Robin Somers</t>
  </si>
  <si>
    <t>Didier Stevenot</t>
  </si>
  <si>
    <t>Sami Targui</t>
  </si>
  <si>
    <t>Eric Threis</t>
  </si>
  <si>
    <t>Romain Threis</t>
  </si>
  <si>
    <t>David Van Den Houte</t>
  </si>
  <si>
    <t>William Van Den Houte</t>
  </si>
  <si>
    <t>Olivier Van Glabeke</t>
  </si>
  <si>
    <t>Quentin Van Glabeke</t>
  </si>
  <si>
    <t>David Vantassel</t>
  </si>
  <si>
    <t>Benoît Vanwissen</t>
  </si>
  <si>
    <t>Pol Verhaeghe</t>
  </si>
  <si>
    <t>Salvatore Visconti</t>
  </si>
  <si>
    <t>Corentin Boltz</t>
  </si>
  <si>
    <t>Léa Despretz</t>
  </si>
  <si>
    <t>Alex Genart</t>
  </si>
  <si>
    <t>Matthias Averlant</t>
  </si>
  <si>
    <t>Jann Segers</t>
  </si>
  <si>
    <t>Jean-Christophe Daelman</t>
  </si>
  <si>
    <t>Benoit Lagneau</t>
  </si>
  <si>
    <t>Sébastien Darmont</t>
  </si>
  <si>
    <t>Thierry Magermans</t>
  </si>
  <si>
    <t>Charlotte Bouchez</t>
  </si>
  <si>
    <t>Michaël Hallin</t>
  </si>
  <si>
    <t>Corentin Wauthy</t>
  </si>
  <si>
    <t>Tom Brach</t>
  </si>
  <si>
    <t>Mathéo Grégoire</t>
  </si>
  <si>
    <t>Pascal Droeven</t>
  </si>
  <si>
    <t>Marc De Vos</t>
  </si>
  <si>
    <t>Benjamin Marain</t>
  </si>
  <si>
    <t>Jérôme Cyganek</t>
  </si>
  <si>
    <t>Yves Peremans</t>
  </si>
  <si>
    <t>Bruno Timpano</t>
  </si>
  <si>
    <t>Christopher Sabetta</t>
  </si>
  <si>
    <t>Antonio Timpano</t>
  </si>
  <si>
    <t>Noah Denne</t>
  </si>
  <si>
    <t>Jean Grosdent</t>
  </si>
  <si>
    <t>Henri Grosdent</t>
  </si>
  <si>
    <t>Lucas Raison</t>
  </si>
  <si>
    <t>Frédéric Thiel</t>
  </si>
  <si>
    <t>Sébastien Denne</t>
  </si>
  <si>
    <t>Luc Grosdent</t>
  </si>
  <si>
    <t>David Wouters</t>
  </si>
  <si>
    <t>Michaël Dupret</t>
  </si>
  <si>
    <t>Aurore Grosdent</t>
  </si>
  <si>
    <t>Maxime Van Impe</t>
  </si>
  <si>
    <t>Bruno Mottet</t>
  </si>
  <si>
    <t>Maxim Grosdent</t>
  </si>
  <si>
    <t>Philippe Thys</t>
  </si>
  <si>
    <t>Giulio Bonfanti</t>
  </si>
  <si>
    <t>Morgane Hubert</t>
  </si>
  <si>
    <t>Cameron Hubert</t>
  </si>
  <si>
    <t>Mélina Scheen</t>
  </si>
  <si>
    <t>Jean Demey</t>
  </si>
  <si>
    <t>Sébastien Dohet</t>
  </si>
  <si>
    <t>Jean-Pierre Genart</t>
  </si>
  <si>
    <t>Christophe Hubert</t>
  </si>
  <si>
    <t>Dimitri Raison</t>
  </si>
  <si>
    <t>Junior Travieso</t>
  </si>
  <si>
    <t>Lulani Verhoeven</t>
  </si>
  <si>
    <t>Mathieu Marlair</t>
  </si>
  <si>
    <t>Noah Dirick</t>
  </si>
  <si>
    <t>Noah Janssens</t>
  </si>
  <si>
    <t>David Boulanger</t>
  </si>
  <si>
    <t>Mael Denne</t>
  </si>
  <si>
    <t>Sophia Grosdent</t>
  </si>
  <si>
    <t>Jules Hanosset</t>
  </si>
  <si>
    <t>Fabio Casciano</t>
  </si>
  <si>
    <t>Mathieu Crasset</t>
  </si>
  <si>
    <t>Kostandinos Tsangouris</t>
  </si>
  <si>
    <t>Xavier Outers</t>
  </si>
  <si>
    <t>Romain Scheen</t>
  </si>
  <si>
    <t>Marcelo Coutinho</t>
  </si>
  <si>
    <t>Igor Quintaes</t>
  </si>
  <si>
    <t>José Antônio Ramalhete</t>
  </si>
  <si>
    <t>Marcelo Lages Ramalhete</t>
  </si>
  <si>
    <t>Fabio Borges</t>
  </si>
  <si>
    <t>Paulo Perrotti</t>
  </si>
  <si>
    <t>Victor Heremann</t>
  </si>
  <si>
    <t>Maicon Gouvêa</t>
  </si>
  <si>
    <t>Júlio Paroski</t>
  </si>
  <si>
    <t>Rony Suzuki</t>
  </si>
  <si>
    <t>Ruy Saviani</t>
  </si>
  <si>
    <t>Ailton Ferreira</t>
  </si>
  <si>
    <t>Ednilson Gaffo</t>
  </si>
  <si>
    <t>Matheus Lima</t>
  </si>
  <si>
    <t>Renato Pinheiro Barthez</t>
  </si>
  <si>
    <t>Ronaldo Marques</t>
  </si>
  <si>
    <t>Guilherme Gomes</t>
  </si>
  <si>
    <t>José Farah</t>
  </si>
  <si>
    <t>Eliahou Vidal</t>
  </si>
  <si>
    <t>Alexandre Guerra</t>
  </si>
  <si>
    <t>José Netto</t>
  </si>
  <si>
    <t>Alex da Silva</t>
  </si>
  <si>
    <t>Paulo Agra</t>
  </si>
  <si>
    <t>Luiz Nannini</t>
  </si>
  <si>
    <t>Eduardo Canocchiari</t>
  </si>
  <si>
    <t>Gilmar Maghenzani</t>
  </si>
  <si>
    <t>Julio Simi</t>
  </si>
  <si>
    <t>Nelson Zanella</t>
  </si>
  <si>
    <t>Rogério Zanella</t>
  </si>
  <si>
    <t>Flavio Celandroni</t>
  </si>
  <si>
    <t>Francisco Rojo</t>
  </si>
  <si>
    <t>Regis Abboud</t>
  </si>
  <si>
    <t>Jeferson Cincotto</t>
  </si>
  <si>
    <t>Sérgio Franco</t>
  </si>
  <si>
    <t>Leandro Robles</t>
  </si>
  <si>
    <t>Felipe Andreassi</t>
  </si>
  <si>
    <t>Marcelo Matos</t>
  </si>
  <si>
    <t>Vlademir Betaressi</t>
  </si>
  <si>
    <t>Frederico Fleury</t>
  </si>
  <si>
    <t>Leonardo Armani</t>
  </si>
  <si>
    <t>João Molina</t>
  </si>
  <si>
    <t>Luis Venazzi</t>
  </si>
  <si>
    <t>Marcio Rangel</t>
  </si>
  <si>
    <t>Vandir Junior</t>
  </si>
  <si>
    <t>Fabio Porto</t>
  </si>
  <si>
    <t>Luiz Manceira</t>
  </si>
  <si>
    <t>João Garcia</t>
  </si>
  <si>
    <t>Flavio Hermenegildo</t>
  </si>
  <si>
    <t>Gilson de Carvalho</t>
  </si>
  <si>
    <t>Marcos Dominos</t>
  </si>
  <si>
    <t>Vinicius Vieira</t>
  </si>
  <si>
    <t>Marcio Eglit</t>
  </si>
  <si>
    <t>Agnaldo Panzarini</t>
  </si>
  <si>
    <t>Guilherme Panzarini</t>
  </si>
  <si>
    <t>Wellington da Silva</t>
  </si>
  <si>
    <t>Ricardo Meni</t>
  </si>
  <si>
    <t>Jefferson Genta</t>
  </si>
  <si>
    <t>Mauro Michilin</t>
  </si>
  <si>
    <t>Paulo Michilin</t>
  </si>
  <si>
    <t>Demetrio Neto</t>
  </si>
  <si>
    <t>Fabio Freitas</t>
  </si>
  <si>
    <t>Artur Crepaldi</t>
  </si>
  <si>
    <t>Sidney de Souza</t>
  </si>
  <si>
    <t>Hylson Mamoni</t>
  </si>
  <si>
    <t>Ernandes Felicio</t>
  </si>
  <si>
    <t>Rodrigo Narduche</t>
  </si>
  <si>
    <t>Emerson Melli</t>
  </si>
  <si>
    <t>Marcus Zucatto</t>
  </si>
  <si>
    <t>Paolo Costa</t>
  </si>
  <si>
    <t>Vitor Martins</t>
  </si>
  <si>
    <t>Leonardo Oliveira</t>
  </si>
  <si>
    <t>Daniel de Matos</t>
  </si>
  <si>
    <t>Luciano Barcelos</t>
  </si>
  <si>
    <t>Marcus Constantino</t>
  </si>
  <si>
    <t>Christofer Pereira</t>
  </si>
  <si>
    <t>Alex Bahr</t>
  </si>
  <si>
    <t>Eduardo Costa</t>
  </si>
  <si>
    <t>Rhaniery Jardim</t>
  </si>
  <si>
    <t>Felipe Gomes</t>
  </si>
  <si>
    <t>Abel Cepa</t>
  </si>
  <si>
    <t>Allan Matos</t>
  </si>
  <si>
    <t>Bruno Coutinho</t>
  </si>
  <si>
    <t>Daniel Coutinho</t>
  </si>
  <si>
    <t>Paulo Costa Filho</t>
  </si>
  <si>
    <t>Zenon Palitot Filho</t>
  </si>
  <si>
    <t>Lauro Couto</t>
  </si>
  <si>
    <t>Fernando Ferreira</t>
  </si>
  <si>
    <t>Humberto Scavinsky de Alencar</t>
  </si>
  <si>
    <t>Luis Carlos Nascimento</t>
  </si>
  <si>
    <t>Danilo Moricz</t>
  </si>
  <si>
    <t>Luiz Carvalho</t>
  </si>
  <si>
    <t>Giuseppe Spasiano</t>
  </si>
  <si>
    <t>Marco Antonio Galindo Perez</t>
  </si>
  <si>
    <t>Paulo Cesar Pereira</t>
  </si>
  <si>
    <t>Breno Couto</t>
  </si>
  <si>
    <t>Ricardo Pereira da Silva</t>
  </si>
  <si>
    <t>Róbson Fabricio Marfa</t>
  </si>
  <si>
    <t>Emanoel José Costa Júnior</t>
  </si>
  <si>
    <t>Thiago Dias Cassis</t>
  </si>
  <si>
    <t>Antonio Carlos dos Santos</t>
  </si>
  <si>
    <t>Pedro Canali Genta</t>
  </si>
  <si>
    <t>Pedro Prando Ferreira</t>
  </si>
  <si>
    <t>Weber José Gomes</t>
  </si>
  <si>
    <t>Luís Coelho Júnior</t>
  </si>
  <si>
    <t>Felipe Maciel Pinheiro</t>
  </si>
  <si>
    <t>Weber José Gomes Júnior</t>
  </si>
  <si>
    <t>André Luiz Moraes</t>
  </si>
  <si>
    <t>João Paulo da Silva Barbosa</t>
  </si>
  <si>
    <t>Sergio Travassos Correia</t>
  </si>
  <si>
    <t>Ricardo Leandro</t>
  </si>
  <si>
    <t>Macio Fernando Pacheco</t>
  </si>
  <si>
    <t>Dilton Monteiro</t>
  </si>
  <si>
    <t>Tacito Belfort de Moura</t>
  </si>
  <si>
    <t>José Humberto Arruda</t>
  </si>
  <si>
    <t>Antonio Carlos Sammartino</t>
  </si>
  <si>
    <t>João Gilberto Parras Benitez</t>
  </si>
  <si>
    <t>Silvio Alexandre Corujeira</t>
  </si>
  <si>
    <t>Rodrigo Moro</t>
  </si>
  <si>
    <t>Norberto Donizeti Bergamini</t>
  </si>
  <si>
    <t>Halisson Carneiro da Siva</t>
  </si>
  <si>
    <t>Marcos Moysés da Cunha</t>
  </si>
  <si>
    <t>Vinícius Lima Rolim</t>
  </si>
  <si>
    <t>Fernando Santini Vedovati</t>
  </si>
  <si>
    <t>Lucas Sotana Pereira</t>
  </si>
  <si>
    <t>Roger Ferracin de Oliveira</t>
  </si>
  <si>
    <t>Danilo Aparecido Mendonça Pereira</t>
  </si>
  <si>
    <t>Lucas Prando Ferreira</t>
  </si>
  <si>
    <t>Maurício dos Santos Matos</t>
  </si>
  <si>
    <t>Rafael Gaba</t>
  </si>
  <si>
    <t>Antonio Carlos Efangelo Júnior</t>
  </si>
  <si>
    <t>Éder Sergio Bezerra de Souza</t>
  </si>
  <si>
    <t>Wesley William Ramos Barreto</t>
  </si>
  <si>
    <t>João Tassio Barbosa de Farias</t>
  </si>
  <si>
    <t>João Lucas Heraclio Gomes Barbosa</t>
  </si>
  <si>
    <t>Diego Antonio de Lima</t>
  </si>
  <si>
    <t>Dave Baxter</t>
  </si>
  <si>
    <t>Shane Hoopfer</t>
  </si>
  <si>
    <t>Josh Braun</t>
  </si>
  <si>
    <t>Travis Hoopfer</t>
  </si>
  <si>
    <t>Nathan Haylett</t>
  </si>
  <si>
    <t>Ben Herrel</t>
  </si>
  <si>
    <t>Gurmeet Khaira</t>
  </si>
  <si>
    <t>Parjesh Randhawa</t>
  </si>
  <si>
    <t>Shaan Bal</t>
  </si>
  <si>
    <t>Richard Ho</t>
  </si>
  <si>
    <t>Allan Thornton</t>
  </si>
  <si>
    <t>Jeff Watts</t>
  </si>
  <si>
    <t>Peter Sexton</t>
  </si>
  <si>
    <t>Stephan McNab</t>
  </si>
  <si>
    <t>Brodyn Sexton</t>
  </si>
  <si>
    <t>Liam Sexton</t>
  </si>
  <si>
    <t>Shaun Burt</t>
  </si>
  <si>
    <t>Iain Clarkson</t>
  </si>
  <si>
    <t>Kyle Rokoski</t>
  </si>
  <si>
    <t>Andrew Lemak</t>
  </si>
  <si>
    <t>Chris Moore</t>
  </si>
  <si>
    <t>Gerald Moore</t>
  </si>
  <si>
    <t>John Sexton</t>
  </si>
  <si>
    <t>Behn Wurthman</t>
  </si>
  <si>
    <t>John Mckay</t>
  </si>
  <si>
    <t>Paul Burt</t>
  </si>
  <si>
    <t>Shawn Lovegrove</t>
  </si>
  <si>
    <t>Chris Fallie</t>
  </si>
  <si>
    <t>Sarjit Khaira</t>
  </si>
  <si>
    <t>Gavin Khaira</t>
  </si>
  <si>
    <t>Mike Sgro</t>
  </si>
  <si>
    <t>Mike Chieffallo</t>
  </si>
  <si>
    <t>Mike Devey</t>
  </si>
  <si>
    <t>Richard Ruffolo</t>
  </si>
  <si>
    <t>Chris Moreira</t>
  </si>
  <si>
    <t>Frédéric Perdaens</t>
  </si>
  <si>
    <t>Paul Andreas</t>
  </si>
  <si>
    <t>Andy Andronikou</t>
  </si>
  <si>
    <t>Andreas Constantinou</t>
  </si>
  <si>
    <t>Theodosis Hadjitheklis</t>
  </si>
  <si>
    <t>Neophytos Ioannides</t>
  </si>
  <si>
    <t>Kostas Kalopsidiotis</t>
  </si>
  <si>
    <t>Marcos Kalopsidiotis</t>
  </si>
  <si>
    <t>Stefanos Kouratzis</t>
  </si>
  <si>
    <t>Kyriacos Ktenas</t>
  </si>
  <si>
    <t>Marios Kyriacou</t>
  </si>
  <si>
    <t>Christos Nicolau</t>
  </si>
  <si>
    <t>Rob O'Hare</t>
  </si>
  <si>
    <t>Dimitris Parperis</t>
  </si>
  <si>
    <t>Alexandros Sarris</t>
  </si>
  <si>
    <t>Daniel Sarris</t>
  </si>
  <si>
    <t>Mikel Sarris</t>
  </si>
  <si>
    <t>Nikolas Sarris</t>
  </si>
  <si>
    <t>Christos Socratous</t>
  </si>
  <si>
    <t>George Vassiliades</t>
  </si>
  <si>
    <t>Giorgos Zangylos</t>
  </si>
  <si>
    <t>Giannis Zinonos</t>
  </si>
  <si>
    <t>Pambos Zorbis</t>
  </si>
  <si>
    <t>Vangelis Zorbis</t>
  </si>
  <si>
    <t>Christakis Ioannou</t>
  </si>
  <si>
    <t>Yiannos Karayiannis</t>
  </si>
  <si>
    <t>Nicolas Shiamishis</t>
  </si>
  <si>
    <t>Christofis Hadjikypris</t>
  </si>
  <si>
    <t>Vasileios Vavourakis</t>
  </si>
  <si>
    <t>Melios Hadjikypris</t>
  </si>
  <si>
    <t>Nikolas Ioannou</t>
  </si>
  <si>
    <t>Loukas Antoniou</t>
  </si>
  <si>
    <t>Giannis Koureas</t>
  </si>
  <si>
    <t>Nikitas Georgiou</t>
  </si>
  <si>
    <t>Andonis Lysandrou</t>
  </si>
  <si>
    <t>Alkiviades Tsokatksides</t>
  </si>
  <si>
    <t>Marios Nikolau</t>
  </si>
  <si>
    <t>Angelos Pappas</t>
  </si>
  <si>
    <t>Andrew Michel</t>
  </si>
  <si>
    <t>Konstandinos Paraskevas</t>
  </si>
  <si>
    <t>Marinos Mitellas</t>
  </si>
  <si>
    <t>Sophoklis Mougis</t>
  </si>
  <si>
    <t>Maximos Sydiropoulos</t>
  </si>
  <si>
    <t>Marios Themistokleous</t>
  </si>
  <si>
    <t>David Lazzari</t>
  </si>
  <si>
    <t>Jakub Tichon</t>
  </si>
  <si>
    <t>David Vacke</t>
  </si>
  <si>
    <t>Dominik Vanek</t>
  </si>
  <si>
    <t>Marco Zucchi</t>
  </si>
  <si>
    <t>Daniele Gamba</t>
  </si>
  <si>
    <t>David Young</t>
  </si>
  <si>
    <t>Ondrej Vacke</t>
  </si>
  <si>
    <t>Jiri Uchytil</t>
  </si>
  <si>
    <t>Stanislav Opl</t>
  </si>
  <si>
    <t>Paolo Di Stefano</t>
  </si>
  <si>
    <t>Martin Novotny</t>
  </si>
  <si>
    <t>Thomas Petersen</t>
  </si>
  <si>
    <t>Rasmus Lund</t>
  </si>
  <si>
    <t>Christian Emil Christiansen</t>
  </si>
  <si>
    <t>Peter Fursund</t>
  </si>
  <si>
    <t>Jesper Staal Nielsen</t>
  </si>
  <si>
    <t>Kristian Staal Nielsen</t>
  </si>
  <si>
    <t>Anders Staal Nielsen</t>
  </si>
  <si>
    <t>Rasmus Staal Nielsen</t>
  </si>
  <si>
    <t>Jonas Bentzen</t>
  </si>
  <si>
    <t>Anders Buhl Hansen</t>
  </si>
  <si>
    <t>Tommy Gold Christiansen</t>
  </si>
  <si>
    <t>Tommas Lange Klausen</t>
  </si>
  <si>
    <t>Kamilla Kristensen</t>
  </si>
  <si>
    <t>Lukas Enevoldsen</t>
  </si>
  <si>
    <t>Nico Wilse</t>
  </si>
  <si>
    <t>Lasse Honore</t>
  </si>
  <si>
    <t>David Frederiksen</t>
  </si>
  <si>
    <t>Frank Staal Nielsen</t>
  </si>
  <si>
    <t>Christian Gørtz</t>
  </si>
  <si>
    <t>Michael Hedegård</t>
  </si>
  <si>
    <t>Katrine Jørgensen</t>
  </si>
  <si>
    <t>Thyge Enevoldsen</t>
  </si>
  <si>
    <t>Jens Enevoldsen</t>
  </si>
  <si>
    <t>Simon Enevoldsen</t>
  </si>
  <si>
    <t>Andreas Petersen</t>
  </si>
  <si>
    <t>Frits Vendebæk</t>
  </si>
  <si>
    <t>Magnus Emil Madsen</t>
  </si>
  <si>
    <t>Magnus Honore</t>
  </si>
  <si>
    <t>Victor Petersen</t>
  </si>
  <si>
    <t>Alexander Petersen</t>
  </si>
  <si>
    <t>William Achton Boel</t>
  </si>
  <si>
    <t>Miki Pedersen</t>
  </si>
  <si>
    <t>Oliver Clemmensen</t>
  </si>
  <si>
    <t>Sebastian Lind</t>
  </si>
  <si>
    <t>Patrick Lund</t>
  </si>
  <si>
    <t>Stephan Nørregaard</t>
  </si>
  <si>
    <t>Jonas Franck</t>
  </si>
  <si>
    <t>Thomas Hjorth Kristensen</t>
  </si>
  <si>
    <t>Nick Ranklit</t>
  </si>
  <si>
    <t>Patrick From</t>
  </si>
  <si>
    <t>Rasmus Stagsted</t>
  </si>
  <si>
    <t>Brian Illum Hansen</t>
  </si>
  <si>
    <t>Maja Johansen</t>
  </si>
  <si>
    <t>Kim Kristensen</t>
  </si>
  <si>
    <t>Rune Thorsen</t>
  </si>
  <si>
    <t>Frank Andreasen</t>
  </si>
  <si>
    <t>Daniel Kristensen</t>
  </si>
  <si>
    <t>Ulrik Andersen</t>
  </si>
  <si>
    <t>Dorthe Bremholm Sørensen</t>
  </si>
  <si>
    <t>Anders Peter Spanggaard</t>
  </si>
  <si>
    <t>Egon Lund Mikkelsen</t>
  </si>
  <si>
    <t>Louise Have Post</t>
  </si>
  <si>
    <t>Ole Esmark</t>
  </si>
  <si>
    <t>Camilla Bech Kaysen</t>
  </si>
  <si>
    <t>André Eeg Jensen</t>
  </si>
  <si>
    <t>Jonathan Harregaard</t>
  </si>
  <si>
    <t>Hans Martens</t>
  </si>
  <si>
    <t>Jacob Thorbech</t>
  </si>
  <si>
    <t>Kristoffer Falk-Hansen</t>
  </si>
  <si>
    <t>Kasper Lønfeldt</t>
  </si>
  <si>
    <t>Martin Ravnborg</t>
  </si>
  <si>
    <t>Minna Dabbas</t>
  </si>
  <si>
    <t>Ahmad Dabbas</t>
  </si>
  <si>
    <t>Mohammad Dabbas</t>
  </si>
  <si>
    <t>Benjamin Frederiksen</t>
  </si>
  <si>
    <t>Daniel Raarup</t>
  </si>
  <si>
    <t>Tobias Høj Martens</t>
  </si>
  <si>
    <t>Laura Høj Martens</t>
  </si>
  <si>
    <t>Rasmus Høj Martens</t>
  </si>
  <si>
    <t>Mads Bryder</t>
  </si>
  <si>
    <t>Uffe Peitersen</t>
  </si>
  <si>
    <t>Julius Kluge</t>
  </si>
  <si>
    <t>Nadja Milbo Hansen</t>
  </si>
  <si>
    <t>Mohammad Faour</t>
  </si>
  <si>
    <t>Batool Dabbas</t>
  </si>
  <si>
    <t>Bertram Møller</t>
  </si>
  <si>
    <t>Jonas Bøge</t>
  </si>
  <si>
    <t>Mohammad Idriss</t>
  </si>
  <si>
    <t>Khalil Faour</t>
  </si>
  <si>
    <t>Mihai Valentin</t>
  </si>
  <si>
    <t>Tobias Knudsen</t>
  </si>
  <si>
    <t>Safa Dabbas</t>
  </si>
  <si>
    <t>Magnus Mørch</t>
  </si>
  <si>
    <t>Kye Arnold</t>
  </si>
  <si>
    <t>Terry Arnold</t>
  </si>
  <si>
    <t>Elliott Bellefontaine</t>
  </si>
  <si>
    <t>Kaspar Bennett</t>
  </si>
  <si>
    <t>Andrew Boyer</t>
  </si>
  <si>
    <t>Jeremy Bradley</t>
  </si>
  <si>
    <t>Darren Clark</t>
  </si>
  <si>
    <t>Brian Daley</t>
  </si>
  <si>
    <t>Adam Douglas</t>
  </si>
  <si>
    <t>Colin Fletcher</t>
  </si>
  <si>
    <t>Steve George</t>
  </si>
  <si>
    <t>Martin Hodds</t>
  </si>
  <si>
    <t>Brian Kinrade</t>
  </si>
  <si>
    <t>Matt Lampitt</t>
  </si>
  <si>
    <t>Paul Lawrenson</t>
  </si>
  <si>
    <t>Tony McCann</t>
  </si>
  <si>
    <t>Christian Short</t>
  </si>
  <si>
    <t>Ben Staples</t>
  </si>
  <si>
    <t>Chris Thomas</t>
  </si>
  <si>
    <t>Samuel Curtis</t>
  </si>
  <si>
    <t>Jeremy Boothman</t>
  </si>
  <si>
    <t>Rob Paterson</t>
  </si>
  <si>
    <t>John Turpin</t>
  </si>
  <si>
    <t>Victor Jones</t>
  </si>
  <si>
    <t>Bob Varney</t>
  </si>
  <si>
    <t>Brandon Lavender</t>
  </si>
  <si>
    <t>Rudi Peterschinigg</t>
  </si>
  <si>
    <t>Lee Fenton</t>
  </si>
  <si>
    <t>Kevin Cordell</t>
  </si>
  <si>
    <t>Aaron Skinner</t>
  </si>
  <si>
    <t>Martin Blanchard</t>
  </si>
  <si>
    <t>Brian Butterworth</t>
  </si>
  <si>
    <t>Dave Collier</t>
  </si>
  <si>
    <t>Malcolm Jamieson</t>
  </si>
  <si>
    <t>Jason Christopher</t>
  </si>
  <si>
    <t>Marco Ghigliotti</t>
  </si>
  <si>
    <t>Mick Hammonds</t>
  </si>
  <si>
    <t>Nick Pearson</t>
  </si>
  <si>
    <t>Justin Scott</t>
  </si>
  <si>
    <t>Richard Badger</t>
  </si>
  <si>
    <t>Lucasz Whittle</t>
  </si>
  <si>
    <t>Alan Lee</t>
  </si>
  <si>
    <t>David Hunter</t>
  </si>
  <si>
    <t>Richard Roper</t>
  </si>
  <si>
    <t>Josef Harrington</t>
  </si>
  <si>
    <t>Peter Holmes</t>
  </si>
  <si>
    <t>Stewart Grant</t>
  </si>
  <si>
    <t>Shaun Dunne</t>
  </si>
  <si>
    <t>Andrew Forster-Fake</t>
  </si>
  <si>
    <t>Gianluca Zucchelli</t>
  </si>
  <si>
    <t>Geoffrey Brown</t>
  </si>
  <si>
    <t>Mike Williams</t>
  </si>
  <si>
    <t>Finley Skinner</t>
  </si>
  <si>
    <t>Stephen Wonnacott</t>
  </si>
  <si>
    <t>Paul Matthews</t>
  </si>
  <si>
    <t>Gary Gladwell</t>
  </si>
  <si>
    <t>Malcolm Rodenby</t>
  </si>
  <si>
    <t>Simon Goodman</t>
  </si>
  <si>
    <t>Chris Burford</t>
  </si>
  <si>
    <t>Nigel Morgan</t>
  </si>
  <si>
    <t>Gareth Slinger</t>
  </si>
  <si>
    <t>Mark Francis</t>
  </si>
  <si>
    <t>Stuart Briffett</t>
  </si>
  <si>
    <t>Paris Ioannou</t>
  </si>
  <si>
    <t>Gary Mather</t>
  </si>
  <si>
    <t>Keith Carman</t>
  </si>
  <si>
    <t>Mark Alexander</t>
  </si>
  <si>
    <t>Scott Hunt</t>
  </si>
  <si>
    <t>Stephen Moreton</t>
  </si>
  <si>
    <t>Ian Welby</t>
  </si>
  <si>
    <t>Gage Badger</t>
  </si>
  <si>
    <t>Thomas Heslop</t>
  </si>
  <si>
    <t>Alexander Scott</t>
  </si>
  <si>
    <t>Sean Ellis</t>
  </si>
  <si>
    <t>Adam Jackson</t>
  </si>
  <si>
    <t>Cayne Matthews</t>
  </si>
  <si>
    <t>Ruby Matthews</t>
  </si>
  <si>
    <t>Luca Lanzani</t>
  </si>
  <si>
    <t>Tim Hill</t>
  </si>
  <si>
    <t>Paul Taylor</t>
  </si>
  <si>
    <t>Graham Harwood</t>
  </si>
  <si>
    <t>Neil Doherty</t>
  </si>
  <si>
    <t>Tony Banks</t>
  </si>
  <si>
    <t>Andrew Meggitt</t>
  </si>
  <si>
    <t>Gerry Harrington</t>
  </si>
  <si>
    <t>Arturo Martínez</t>
  </si>
  <si>
    <t>José Luis Márquez</t>
  </si>
  <si>
    <t>Vicenç Prats</t>
  </si>
  <si>
    <t>Raúl Benita</t>
  </si>
  <si>
    <t>David Gallart</t>
  </si>
  <si>
    <t>Fernando Gómez</t>
  </si>
  <si>
    <t>Juan Carlos Granados</t>
  </si>
  <si>
    <t>Miguel Ángel Heredia</t>
  </si>
  <si>
    <t>Francisco Cayuela</t>
  </si>
  <si>
    <t>Alberto Mateos</t>
  </si>
  <si>
    <t>Luis Mateos</t>
  </si>
  <si>
    <t>Álex Araujo</t>
  </si>
  <si>
    <t>Carlos Flores</t>
  </si>
  <si>
    <t>José Casas</t>
  </si>
  <si>
    <t>Ángel Valverde</t>
  </si>
  <si>
    <t>Miguel Ángel López</t>
  </si>
  <si>
    <t>Manuel Clemares</t>
  </si>
  <si>
    <t>Jorge Juan López Soligó</t>
  </si>
  <si>
    <t>Santiago Escudero</t>
  </si>
  <si>
    <t>Ferran Coll</t>
  </si>
  <si>
    <t>Isaac García</t>
  </si>
  <si>
    <t>Piero Capponi</t>
  </si>
  <si>
    <t>José María Feyjoo</t>
  </si>
  <si>
    <t>Julio Candelas</t>
  </si>
  <si>
    <t>Guillem Balaguer</t>
  </si>
  <si>
    <t>Luis Felipe Méndez</t>
  </si>
  <si>
    <t>Antonio Montaño</t>
  </si>
  <si>
    <t>Alfonso Montaño</t>
  </si>
  <si>
    <t>José M. Castellano</t>
  </si>
  <si>
    <t>Luis López</t>
  </si>
  <si>
    <t>David González</t>
  </si>
  <si>
    <t>Antonio Jesús Casín</t>
  </si>
  <si>
    <t>José David Somoza</t>
  </si>
  <si>
    <t>José Manuel Sánchez</t>
  </si>
  <si>
    <t>Bruno Gerosa Cisneros</t>
  </si>
  <si>
    <t>Antonio Fernández</t>
  </si>
  <si>
    <t>Antonio García Fernández</t>
  </si>
  <si>
    <t>Juan Antonio García</t>
  </si>
  <si>
    <t>Luis Cano</t>
  </si>
  <si>
    <t>Manuel Romero</t>
  </si>
  <si>
    <t>José Pedro González</t>
  </si>
  <si>
    <t>Miguel Ángel Paris</t>
  </si>
  <si>
    <t>Javier Junquera Miñambres</t>
  </si>
  <si>
    <t>Javier Junquera Quintana</t>
  </si>
  <si>
    <t>Francisco Tejado</t>
  </si>
  <si>
    <t>Alberto Gómez</t>
  </si>
  <si>
    <t>Txema de Miguel</t>
  </si>
  <si>
    <t>Juan Carlos Pinto</t>
  </si>
  <si>
    <t>Paula Maireles</t>
  </si>
  <si>
    <t>Miguel Ángel Matabuena</t>
  </si>
  <si>
    <t>Juan Manuel Haro</t>
  </si>
  <si>
    <t>Guillem Alsina</t>
  </si>
  <si>
    <t>Paolo Clerici</t>
  </si>
  <si>
    <t>Daniel Parrilla</t>
  </si>
  <si>
    <t>Pedro Benavent</t>
  </si>
  <si>
    <t>Stefka Pirova</t>
  </si>
  <si>
    <t>César Fuertes</t>
  </si>
  <si>
    <t>Abraham Martínez</t>
  </si>
  <si>
    <t>Rubén Benita</t>
  </si>
  <si>
    <t>Mario Castillo</t>
  </si>
  <si>
    <t>Ferran Borbones</t>
  </si>
  <si>
    <t>Héctor Pérez</t>
  </si>
  <si>
    <t>Ernesto Ruiz</t>
  </si>
  <si>
    <t>Antonio Manuel Hernández</t>
  </si>
  <si>
    <t>Jordi Geronès</t>
  </si>
  <si>
    <t>Iván Acuña</t>
  </si>
  <si>
    <t>Manuel Muñoz</t>
  </si>
  <si>
    <t>Moisés Ramos</t>
  </si>
  <si>
    <t>Joseba Alonso</t>
  </si>
  <si>
    <t>José Antonio Salazar</t>
  </si>
  <si>
    <t>Álvaro Benita</t>
  </si>
  <si>
    <t>Fabio Mastroianni</t>
  </si>
  <si>
    <t>Sergi Ribé</t>
  </si>
  <si>
    <t>Eduardo Martín</t>
  </si>
  <si>
    <t>Rafael Gómez</t>
  </si>
  <si>
    <t>Joel Somoza</t>
  </si>
  <si>
    <t>Enrique Villao</t>
  </si>
  <si>
    <t>Ricard Carles Prat</t>
  </si>
  <si>
    <t>Albert Carles Prat</t>
  </si>
  <si>
    <t>Francisco Ucha</t>
  </si>
  <si>
    <t>Javier Juárez</t>
  </si>
  <si>
    <t>Toni Rosa</t>
  </si>
  <si>
    <t>Xavi Maso</t>
  </si>
  <si>
    <t>Carles Puertas</t>
  </si>
  <si>
    <t>Julià Rosa</t>
  </si>
  <si>
    <t>Arç Barnola</t>
  </si>
  <si>
    <t>Martí Rosa</t>
  </si>
  <si>
    <t>Erick Moreira</t>
  </si>
  <si>
    <t>Oriol Quer</t>
  </si>
  <si>
    <t>Owen Márquez Galisteo</t>
  </si>
  <si>
    <t>José Andrade De Almeida</t>
  </si>
  <si>
    <t>Margot Diradourian</t>
  </si>
  <si>
    <t>Jean-François Balard</t>
  </si>
  <si>
    <t>Serge Leroy</t>
  </si>
  <si>
    <t>Christophe Diradourian</t>
  </si>
  <si>
    <t>Eric Naszalyi</t>
  </si>
  <si>
    <t>Thierry Vivron</t>
  </si>
  <si>
    <t>Emmanuel Gorgette</t>
  </si>
  <si>
    <t>Jean-Marie Amberny</t>
  </si>
  <si>
    <t>Axel Donval</t>
  </si>
  <si>
    <t>Axel Modeste</t>
  </si>
  <si>
    <t>David Zaki</t>
  </si>
  <si>
    <t>Eric Lienhardt</t>
  </si>
  <si>
    <t>Théo Modeste</t>
  </si>
  <si>
    <t>Paul Naszalyi</t>
  </si>
  <si>
    <t>Antoine Herbaut</t>
  </si>
  <si>
    <t>Audrey Herbaut</t>
  </si>
  <si>
    <t>Johnny Ledieu</t>
  </si>
  <si>
    <t>Françoise Guyot</t>
  </si>
  <si>
    <t>Yann Loarec</t>
  </si>
  <si>
    <t>Stéphane Pommier</t>
  </si>
  <si>
    <t>Jean-Marie Fouetillou</t>
  </si>
  <si>
    <t>Olivier Sagit</t>
  </si>
  <si>
    <t>Raphaël Pommier</t>
  </si>
  <si>
    <t>Olivier Bastin</t>
  </si>
  <si>
    <t>Ludovic Midoux</t>
  </si>
  <si>
    <t>Rémi Soret</t>
  </si>
  <si>
    <t>Rémy Lours</t>
  </si>
  <si>
    <t>Quentin Ausset</t>
  </si>
  <si>
    <t>Xavier Dubois</t>
  </si>
  <si>
    <t>Paul Offmann</t>
  </si>
  <si>
    <t>Eliott Legall</t>
  </si>
  <si>
    <t>Christophe Monteiro</t>
  </si>
  <si>
    <t>Rafaël Midoux</t>
  </si>
  <si>
    <t>Louis Soret</t>
  </si>
  <si>
    <t>Franck Dubreuil</t>
  </si>
  <si>
    <t>Stéphanie Garnier</t>
  </si>
  <si>
    <t>Irène Linquercq-Rivière</t>
  </si>
  <si>
    <t>Gilles Herbaut</t>
  </si>
  <si>
    <t>Lorenzo Lo Preti</t>
  </si>
  <si>
    <t>Mickaël Blanc</t>
  </si>
  <si>
    <t>Noé Bolusset</t>
  </si>
  <si>
    <t>Daniel Guyot</t>
  </si>
  <si>
    <t>Denis Polsinelli</t>
  </si>
  <si>
    <t>David Durand</t>
  </si>
  <si>
    <t>Cédric Pandolfi</t>
  </si>
  <si>
    <t>Cyprien Bonnet</t>
  </si>
  <si>
    <t>Cyril Bolusset</t>
  </si>
  <si>
    <t>Stéphane Dumazi</t>
  </si>
  <si>
    <t>Sébastien Sorge</t>
  </si>
  <si>
    <t>Laurent Jaillet</t>
  </si>
  <si>
    <t>Romain Lafontaine</t>
  </si>
  <si>
    <t>Kévin Pouffet</t>
  </si>
  <si>
    <t>Didier Le De</t>
  </si>
  <si>
    <t>Fred Elesbao</t>
  </si>
  <si>
    <t>Lawrence Alvarez</t>
  </si>
  <si>
    <t>Francis Avellano</t>
  </si>
  <si>
    <t>Leon Avellano</t>
  </si>
  <si>
    <t>Richard Berliaque</t>
  </si>
  <si>
    <t>Jose Luis Bonavia</t>
  </si>
  <si>
    <t>Jason Canilla</t>
  </si>
  <si>
    <t>Patrick Dean</t>
  </si>
  <si>
    <t>Niall Dean</t>
  </si>
  <si>
    <t>Jonathan Dotto</t>
  </si>
  <si>
    <t>John Field</t>
  </si>
  <si>
    <t>Gerald Laguea</t>
  </si>
  <si>
    <t>Manuel Martinez</t>
  </si>
  <si>
    <t>Guy Palmer</t>
  </si>
  <si>
    <t>Jose Luis Sanchez</t>
  </si>
  <si>
    <t>Tom Santos</t>
  </si>
  <si>
    <t>Eddie Tellez</t>
  </si>
  <si>
    <t>Kyle Tellez</t>
  </si>
  <si>
    <t>Avraam Adavalis</t>
  </si>
  <si>
    <t>Giannis Afratis</t>
  </si>
  <si>
    <t>Nicos Agelakis</t>
  </si>
  <si>
    <t>Paraskevas Aggelakos</t>
  </si>
  <si>
    <t>Dimitris Aggelou</t>
  </si>
  <si>
    <t>Christos Agrios</t>
  </si>
  <si>
    <t>Theodoros Agrios</t>
  </si>
  <si>
    <t>Pothiti Alatsaki</t>
  </si>
  <si>
    <t>Christoforos Alatsakis</t>
  </si>
  <si>
    <t>Dimitris Arnis Alexandrou</t>
  </si>
  <si>
    <t>Konstantinos Alexiou</t>
  </si>
  <si>
    <t>Franco Alfonso</t>
  </si>
  <si>
    <t>Panagiotis Aliadis</t>
  </si>
  <si>
    <t>Dionisis Anagnostopoulos</t>
  </si>
  <si>
    <t>Dimitrios Andreadis</t>
  </si>
  <si>
    <t>Georgios Androutsopoulos</t>
  </si>
  <si>
    <t>Ioannis Androutsopoulos</t>
  </si>
  <si>
    <t>Christos Angelinas</t>
  </si>
  <si>
    <t>Georgios Angelinas</t>
  </si>
  <si>
    <t>Vasileios Angelopoulos</t>
  </si>
  <si>
    <t>Nikolaos Antonaropoulos</t>
  </si>
  <si>
    <t>Christos Antonopoulos</t>
  </si>
  <si>
    <t>Spiros Antonopoulos</t>
  </si>
  <si>
    <t>Thodoris Antonopoulos</t>
  </si>
  <si>
    <t>Alexandros Apatzis</t>
  </si>
  <si>
    <t>Nikitas Apatzis</t>
  </si>
  <si>
    <t>Gerasimos Apergis</t>
  </si>
  <si>
    <t>Konstantinos Apostolidis</t>
  </si>
  <si>
    <t>Michail Apostolidis</t>
  </si>
  <si>
    <t>Vasileios Apostolidis</t>
  </si>
  <si>
    <t>Platonas Apostolopoulos</t>
  </si>
  <si>
    <t>Antonis Apostolou</t>
  </si>
  <si>
    <t>Giorgos Apostolou</t>
  </si>
  <si>
    <t>Kostas Arabatzis</t>
  </si>
  <si>
    <t>Nikolaos Arabatzis</t>
  </si>
  <si>
    <t>Christos Archimandritis</t>
  </si>
  <si>
    <t>Panagiotis Argirakoulis</t>
  </si>
  <si>
    <t>Konstantinos Argiris</t>
  </si>
  <si>
    <t>Alexandros Argyrakoulis</t>
  </si>
  <si>
    <t>Stavros Argyropoulos</t>
  </si>
  <si>
    <t>Valantis Argyropoulos</t>
  </si>
  <si>
    <t>Vasilios Argyropoulos</t>
  </si>
  <si>
    <t>Nikolaos Argyros</t>
  </si>
  <si>
    <t>Nikoletta Arvanitaki</t>
  </si>
  <si>
    <t>Thomas Arvanitakis</t>
  </si>
  <si>
    <t>Georgios Arvanitis</t>
  </si>
  <si>
    <t>Nikolaos Arvanitis</t>
  </si>
  <si>
    <t>Spyridon Arvanitis</t>
  </si>
  <si>
    <t>Kyriakos Arzoumanidis</t>
  </si>
  <si>
    <t>Christos Asimakopoulos</t>
  </si>
  <si>
    <t>Georgios Athanasopoulos</t>
  </si>
  <si>
    <t>Vasileios Avgeas</t>
  </si>
  <si>
    <t>Georgios M Avgitidis</t>
  </si>
  <si>
    <t>Georgios N Avgitidis</t>
  </si>
  <si>
    <t>Miltiadis Avgitidis</t>
  </si>
  <si>
    <t>Nikolaos Avgitidis</t>
  </si>
  <si>
    <t>Panagiotis Axiomakaros</t>
  </si>
  <si>
    <t>Athina Baira</t>
  </si>
  <si>
    <t>Tasos Bairas</t>
  </si>
  <si>
    <t>Vaggelis Bairas</t>
  </si>
  <si>
    <t>Stelios Bairasm Jr</t>
  </si>
  <si>
    <t>Alexandros Balakakis</t>
  </si>
  <si>
    <t>Athanasios Bartzis</t>
  </si>
  <si>
    <t>Ektoras Bartzis</t>
  </si>
  <si>
    <t>Dimitrios Begnis</t>
  </si>
  <si>
    <t>Ioannis Begnis</t>
  </si>
  <si>
    <t>Nikolaos Beis</t>
  </si>
  <si>
    <t>Periklis Biskinis</t>
  </si>
  <si>
    <t>Georgios Bizas</t>
  </si>
  <si>
    <t>Achilleas Bogdanidis</t>
  </si>
  <si>
    <t>Dimitris Bogdanidis</t>
  </si>
  <si>
    <t>Marios Bourtzonis</t>
  </si>
  <si>
    <t>Georgios Briskolas</t>
  </si>
  <si>
    <t>Pavlos Caseley</t>
  </si>
  <si>
    <t>Charalampos Chaitas</t>
  </si>
  <si>
    <t>Sotirios Chalkias</t>
  </si>
  <si>
    <t>Eleftherios Chalkidis</t>
  </si>
  <si>
    <t>Theocharis Chalkidis</t>
  </si>
  <si>
    <t>Ioannis Chanos</t>
  </si>
  <si>
    <t>Konstantinos Chanos</t>
  </si>
  <si>
    <t>Michail I Chanos</t>
  </si>
  <si>
    <t>Michail K Chanos</t>
  </si>
  <si>
    <t>Spyridon Chantzaras</t>
  </si>
  <si>
    <t>Konstantinos Charalambou</t>
  </si>
  <si>
    <t>Charalambos Charalampidis</t>
  </si>
  <si>
    <t>Panagiotis Charamis</t>
  </si>
  <si>
    <t>Nikolaos Charatsis</t>
  </si>
  <si>
    <t>Panagiotis Charatsis</t>
  </si>
  <si>
    <t>George Charizopoulos</t>
  </si>
  <si>
    <t>Charilaos Chasoulidis</t>
  </si>
  <si>
    <t>Ioannis Chasoulidis</t>
  </si>
  <si>
    <t>Eleftherios Chatzakis</t>
  </si>
  <si>
    <t>Theodoros Chatzidialechtos</t>
  </si>
  <si>
    <t>Emmanouil Chatzistavrakis</t>
  </si>
  <si>
    <t>Ioannis Chatzitheodorou</t>
  </si>
  <si>
    <t>Alkaios Chazarakis</t>
  </si>
  <si>
    <t>Dimosthenis Cheiras</t>
  </si>
  <si>
    <t>Marios Cheiras</t>
  </si>
  <si>
    <t>Emmanouil Chiotis</t>
  </si>
  <si>
    <t>Michalis Chiotis</t>
  </si>
  <si>
    <t>Fotis Chondroudakis</t>
  </si>
  <si>
    <t>Michail Christidis</t>
  </si>
  <si>
    <t>Apostolos Christodoulou</t>
  </si>
  <si>
    <t>Kostas Christodoulou</t>
  </si>
  <si>
    <t>Orestis Christopoulos</t>
  </si>
  <si>
    <t>Alexandros Christou</t>
  </si>
  <si>
    <t>Dimitris Chronopoulos</t>
  </si>
  <si>
    <t>Kostantinos Dalietos</t>
  </si>
  <si>
    <t>Eftichios Delligianakis</t>
  </si>
  <si>
    <t>Iordanis Demirtzoglou</t>
  </si>
  <si>
    <t>Georgios Derekis</t>
  </si>
  <si>
    <t>Adrianos Dervis</t>
  </si>
  <si>
    <t>Georgios Detorakis</t>
  </si>
  <si>
    <t>Agapi Di Maggio</t>
  </si>
  <si>
    <t>Alberto Di Maggio</t>
  </si>
  <si>
    <t>Maximos Di Maggio</t>
  </si>
  <si>
    <t>Dimitrios Diamantopoulos</t>
  </si>
  <si>
    <t>Apollon Dimakeas</t>
  </si>
  <si>
    <t>Georgios Dimakeas</t>
  </si>
  <si>
    <t>Dimitrios Dimopoulos</t>
  </si>
  <si>
    <t>Iasonas Dimopoulos</t>
  </si>
  <si>
    <t>Periklis Dimopoulos</t>
  </si>
  <si>
    <t>Rafail Dimopoulos</t>
  </si>
  <si>
    <t>Christos Dimos</t>
  </si>
  <si>
    <t>Georgios Dionisopoulos</t>
  </si>
  <si>
    <t>Pantelis Dolmes</t>
  </si>
  <si>
    <t>Ioannis Dragomanidis</t>
  </si>
  <si>
    <t>Dimitrios Dragosis</t>
  </si>
  <si>
    <t>Michail Dragosis</t>
  </si>
  <si>
    <t>Vasileios Dragosis</t>
  </si>
  <si>
    <t>Giorgos Drazinakis</t>
  </si>
  <si>
    <t>Kostas Drazinakis</t>
  </si>
  <si>
    <t>Nasos Drossopoulos</t>
  </si>
  <si>
    <t>Charalambos Eleftheriou</t>
  </si>
  <si>
    <t>Erinarhos Eskitzioglou</t>
  </si>
  <si>
    <t>Victoras Eskitzioglou</t>
  </si>
  <si>
    <t>Georgios Evangelou</t>
  </si>
  <si>
    <t>Evaggelos Falelakis</t>
  </si>
  <si>
    <t>Markos Falelakis</t>
  </si>
  <si>
    <t>Christos Fanaras</t>
  </si>
  <si>
    <t>George Fanariotis</t>
  </si>
  <si>
    <t>Alexios Farmakis</t>
  </si>
  <si>
    <t>Christos Filippou</t>
  </si>
  <si>
    <t>Giorgos Filippou</t>
  </si>
  <si>
    <t>Michail Filippousis</t>
  </si>
  <si>
    <t>Kostas Fitos</t>
  </si>
  <si>
    <t>dimitrios Floros</t>
  </si>
  <si>
    <t>Dimitra Fotiadou</t>
  </si>
  <si>
    <t>Marios Fotinopoulos</t>
  </si>
  <si>
    <t>Athanasios Fotopoulos</t>
  </si>
  <si>
    <t>Emanouil Fousteris</t>
  </si>
  <si>
    <t>Aggelos Foutrakis</t>
  </si>
  <si>
    <t>Velissarios Fragkakis</t>
  </si>
  <si>
    <t>Giota Frantzeskou</t>
  </si>
  <si>
    <t>Kostas Ftakas</t>
  </si>
  <si>
    <t>Thrasyvoulos Gagas</t>
  </si>
  <si>
    <t>Panagiotis Galanakis</t>
  </si>
  <si>
    <t>Ioannis Galanis</t>
  </si>
  <si>
    <t>Ilias Galanopoulos</t>
  </si>
  <si>
    <t>Kostantinos Galanopoulos</t>
  </si>
  <si>
    <t>Symeon Galanopoulos</t>
  </si>
  <si>
    <t>Dimitris Garefalakis</t>
  </si>
  <si>
    <t>Georgios Genitsaropoulos</t>
  </si>
  <si>
    <t>Dimitris Georgakis</t>
  </si>
  <si>
    <t>Nikolaos Georginis</t>
  </si>
  <si>
    <t>Nikolaos Georgiopoulos</t>
  </si>
  <si>
    <t>Nikolaos Georgiou</t>
  </si>
  <si>
    <t>Pantazis Georgiou</t>
  </si>
  <si>
    <t>Georgios Georgopoulos</t>
  </si>
  <si>
    <t>Dimitrios Georgoulis</t>
  </si>
  <si>
    <t>Nikolaos Georgoulis</t>
  </si>
  <si>
    <t>Athanasios Giaglis</t>
  </si>
  <si>
    <t>Porfyrios Gialitsis</t>
  </si>
  <si>
    <t>Nikolaos Giannopoulos</t>
  </si>
  <si>
    <t>Vaggelis Giantais</t>
  </si>
  <si>
    <t>Constantios Giapoutzis</t>
  </si>
  <si>
    <t>Nikiforos Giapoutzis</t>
  </si>
  <si>
    <t>Stavros Giapoutzis</t>
  </si>
  <si>
    <t>Dimitris Gioutsas</t>
  </si>
  <si>
    <t>Miltiadis Gkiochalas</t>
  </si>
  <si>
    <t>Giorgos Gkiotlis</t>
  </si>
  <si>
    <t>Nikolaos Gkiotlis</t>
  </si>
  <si>
    <t>Athanasios Gkogkos</t>
  </si>
  <si>
    <t>Georgios Golemis</t>
  </si>
  <si>
    <t>Dimitris Gortzas</t>
  </si>
  <si>
    <t>Constantios Goulopoulos</t>
  </si>
  <si>
    <t>Alex Gouloulis</t>
  </si>
  <si>
    <t>Georgios Goutzioulis</t>
  </si>
  <si>
    <t>Giannis Gouvelis</t>
  </si>
  <si>
    <t>Lakis Hatzikonstantinou</t>
  </si>
  <si>
    <t>Haralampos Hatziliadis</t>
  </si>
  <si>
    <t>Ioannis Hatziliadis</t>
  </si>
  <si>
    <t>Konstantinos Hatzopoulos</t>
  </si>
  <si>
    <t>Aristidis Hliaoutakis</t>
  </si>
  <si>
    <t>Stavros Hotzakis</t>
  </si>
  <si>
    <t>Konstantinos Ifantis</t>
  </si>
  <si>
    <t>Eleftherios Iliadis</t>
  </si>
  <si>
    <t>Vasiliki Ioakim</t>
  </si>
  <si>
    <t>Panagiotis Ioakimidis</t>
  </si>
  <si>
    <t>Gerasimos Ioannou</t>
  </si>
  <si>
    <t>Eleftherios Iordanidis</t>
  </si>
  <si>
    <t>Giorgos Iordanidis</t>
  </si>
  <si>
    <t>Mike Jenner</t>
  </si>
  <si>
    <t>Aggelos-Chrisostomos Kadinopoulos</t>
  </si>
  <si>
    <t>Grigorios Kadinopoulos</t>
  </si>
  <si>
    <t>Maria Christina Kadinopoulos</t>
  </si>
  <si>
    <t>Stefanos Kadinopoulos</t>
  </si>
  <si>
    <t>Vasileios Kadinopoulos</t>
  </si>
  <si>
    <t>Thanos Kaffes</t>
  </si>
  <si>
    <t>Giannis Kailoglou</t>
  </si>
  <si>
    <t>Filippos Kakavas</t>
  </si>
  <si>
    <t>Ioannis Kakavas</t>
  </si>
  <si>
    <t>Minas Kakiltakis</t>
  </si>
  <si>
    <t>Athanasios Kalakos</t>
  </si>
  <si>
    <t>Petros Kalamaris</t>
  </si>
  <si>
    <t>Dimosthenis Kalatzis</t>
  </si>
  <si>
    <t>Ioannis Kalavros</t>
  </si>
  <si>
    <t>Michail Kalogerakos</t>
  </si>
  <si>
    <t>Rafail Kalogerakos</t>
  </si>
  <si>
    <t>Athanasios Kalogiros</t>
  </si>
  <si>
    <t>Georgios Kalogiros</t>
  </si>
  <si>
    <t>Nasos Kalogiros</t>
  </si>
  <si>
    <t>Theodora Kaloudaki</t>
  </si>
  <si>
    <t>Aggelos Kalvakis</t>
  </si>
  <si>
    <t>Nasos Kalvakis</t>
  </si>
  <si>
    <t>Anderas Kampas</t>
  </si>
  <si>
    <t>Iordanis Kanakis</t>
  </si>
  <si>
    <t>Eleftherios Kanetis</t>
  </si>
  <si>
    <t>Anastasia Kantarakis</t>
  </si>
  <si>
    <t>Filippos Kantarakis</t>
  </si>
  <si>
    <t>Stamatios Kantarakis</t>
  </si>
  <si>
    <t>Dimitrios Kaperonis</t>
  </si>
  <si>
    <t>Konstantinos Kaperonis</t>
  </si>
  <si>
    <t>Nikolaos Kaperonis</t>
  </si>
  <si>
    <t>Orestis Kappatos</t>
  </si>
  <si>
    <t>Panagiotis Kappatos</t>
  </si>
  <si>
    <t>Manos Kapsabelis</t>
  </si>
  <si>
    <t>Marcos Kapsabelis</t>
  </si>
  <si>
    <t>Christos Karadedos</t>
  </si>
  <si>
    <t>Theofilos Karagianniotis</t>
  </si>
  <si>
    <t>Giorgos Karahalios</t>
  </si>
  <si>
    <t>Athanasios Karamanis</t>
  </si>
  <si>
    <t>Dimitrios Karaminas</t>
  </si>
  <si>
    <t>Georgios Karatarakis</t>
  </si>
  <si>
    <t>Michalis Karatarakis</t>
  </si>
  <si>
    <t>Nikiforos Karatarakis</t>
  </si>
  <si>
    <t>Dimitris Karatosidis</t>
  </si>
  <si>
    <t>Agis Filippos Karavas</t>
  </si>
  <si>
    <t>Giorgos Karavas</t>
  </si>
  <si>
    <t>Menelaos Karavasilis</t>
  </si>
  <si>
    <t>Nikolaos Karavasilis</t>
  </si>
  <si>
    <t>Christos Karouzos</t>
  </si>
  <si>
    <t>Georgios Karouzos</t>
  </si>
  <si>
    <t>Dimitrios Karpouzos</t>
  </si>
  <si>
    <t>Giorgos Kartalis</t>
  </si>
  <si>
    <t>John Karvounis</t>
  </si>
  <si>
    <t>Antonios Kastellanos</t>
  </si>
  <si>
    <t>Spyridon Katsoulas</t>
  </si>
  <si>
    <t>Panagiotis Kavgas</t>
  </si>
  <si>
    <t>Natasha Kayia</t>
  </si>
  <si>
    <t>Serafim Kazantzoglou</t>
  </si>
  <si>
    <t>Artemis Kechris</t>
  </si>
  <si>
    <t>Christos Kidis</t>
  </si>
  <si>
    <t>Giorgos Kilias</t>
  </si>
  <si>
    <t>Kostas Kilias</t>
  </si>
  <si>
    <t>Antonis Kiritsis</t>
  </si>
  <si>
    <t>Nikolaos Kiritsis</t>
  </si>
  <si>
    <t>Vasilis Kitsios</t>
  </si>
  <si>
    <t>Petros Kleonakos</t>
  </si>
  <si>
    <t>Nikolaos Klironomos</t>
  </si>
  <si>
    <t>Georgios Koffas</t>
  </si>
  <si>
    <t>Apostolos Kokkalis</t>
  </si>
  <si>
    <t>Aggeliki Koletti</t>
  </si>
  <si>
    <t>Apostolos Kolettis</t>
  </si>
  <si>
    <t>Aggelos Kolidakis</t>
  </si>
  <si>
    <t>Georgios Kolidakis</t>
  </si>
  <si>
    <t>Nikolaos Kolidakis</t>
  </si>
  <si>
    <t>Georgios Kolidakis Jr</t>
  </si>
  <si>
    <t>Efthimios Kollias</t>
  </si>
  <si>
    <t>Georgios Kollias</t>
  </si>
  <si>
    <t>Vaios Kolofotias</t>
  </si>
  <si>
    <t>Aggelos-Konstantinos Kolokotronis</t>
  </si>
  <si>
    <t>Theodos Kolokotronis</t>
  </si>
  <si>
    <t>Dimitrios Kolovos</t>
  </si>
  <si>
    <t>Giorgos Kolovos</t>
  </si>
  <si>
    <t>Dimitrios Kolydakis</t>
  </si>
  <si>
    <t>Nikolaos Kolydas</t>
  </si>
  <si>
    <t>Ioannis Kondylis</t>
  </si>
  <si>
    <t>Panagiotis Konstantakos</t>
  </si>
  <si>
    <t>Danai Konstantakou</t>
  </si>
  <si>
    <t>Periklis Kontaxakis</t>
  </si>
  <si>
    <t>Dimitrios Kontogiannis</t>
  </si>
  <si>
    <t>Dimitris Kontogiannis</t>
  </si>
  <si>
    <t>Alexandros Kontorouchas</t>
  </si>
  <si>
    <t>Serafeim Kontos</t>
  </si>
  <si>
    <t>Ioannis Korakas</t>
  </si>
  <si>
    <t>Athanasios Kordantonopoulos</t>
  </si>
  <si>
    <t>Christina Kordantonopoulos</t>
  </si>
  <si>
    <t>Ioannis Kordantonopoulos</t>
  </si>
  <si>
    <t>Konstantinos Kordatos</t>
  </si>
  <si>
    <t>Konstantinos Kordatos Jr</t>
  </si>
  <si>
    <t>Sotiris Korologos</t>
  </si>
  <si>
    <t>Antonios Kosmadakis</t>
  </si>
  <si>
    <t>Petros Kosmas</t>
  </si>
  <si>
    <t>Dimitrios Kosmopoulos</t>
  </si>
  <si>
    <t>Ioannis Kosmopoulos</t>
  </si>
  <si>
    <t>Ilias Kosovas</t>
  </si>
  <si>
    <t>Nikolaos Kostantakopoulos</t>
  </si>
  <si>
    <t>Stylianos Kotakos</t>
  </si>
  <si>
    <t>Athanasios Kotrotsos</t>
  </si>
  <si>
    <t>Christos Kotrotsos</t>
  </si>
  <si>
    <t>Evangelos Kotrotsos</t>
  </si>
  <si>
    <t>Lambros Kotsinis</t>
  </si>
  <si>
    <t>Nicos Kouimanis</t>
  </si>
  <si>
    <t>Ilias Koukoutsas</t>
  </si>
  <si>
    <t>Athanasios Koulakis</t>
  </si>
  <si>
    <t>Dionysia Koulosousa</t>
  </si>
  <si>
    <t>Eleni Koulosousa</t>
  </si>
  <si>
    <t>Dimitrios Koulosousas</t>
  </si>
  <si>
    <t>Serafeim Koulosousas</t>
  </si>
  <si>
    <t>Kostas Kounadis</t>
  </si>
  <si>
    <t>Georgios Kounenos</t>
  </si>
  <si>
    <t>Miltiadis Kounenos</t>
  </si>
  <si>
    <t>Theodore Kouniadis</t>
  </si>
  <si>
    <t>Panagiota Kouraba</t>
  </si>
  <si>
    <t>Dimitris Kourabas</t>
  </si>
  <si>
    <t>Nikolas Kourabas</t>
  </si>
  <si>
    <t>Christos Kouridakis</t>
  </si>
  <si>
    <t>Dimosthenis Kourou</t>
  </si>
  <si>
    <t>Angelos Kourouklis</t>
  </si>
  <si>
    <t>Christos Kourouklis</t>
  </si>
  <si>
    <t>Dimitrios Kourtis</t>
  </si>
  <si>
    <t>Dionysios Koutis</t>
  </si>
  <si>
    <t>Georgios Koutis</t>
  </si>
  <si>
    <t>Sotirios Koutoulas</t>
  </si>
  <si>
    <t>Efthymios Koutroumanos</t>
  </si>
  <si>
    <t>Leonidas Koutroumanos</t>
  </si>
  <si>
    <t>Dimitra Koutsiana</t>
  </si>
  <si>
    <t>Efthimios Koutsogiannis</t>
  </si>
  <si>
    <t>Vasileios Koutsompinas</t>
  </si>
  <si>
    <t>Konstantinos Kouvelas</t>
  </si>
  <si>
    <t>Nikolaos Krevvatas</t>
  </si>
  <si>
    <t>Stefanos Krikelis</t>
  </si>
  <si>
    <t>Ioannis Krokos</t>
  </si>
  <si>
    <t>Panagiotis Krommydas</t>
  </si>
  <si>
    <t>Antonis Krysilas</t>
  </si>
  <si>
    <t>Panagiotis Kyriakoulakos</t>
  </si>
  <si>
    <t>Stilianos Kyriakoulakos</t>
  </si>
  <si>
    <t>Dimitris Lagios</t>
  </si>
  <si>
    <t>Dionysis Lagios</t>
  </si>
  <si>
    <t>Diamantis Lampis</t>
  </si>
  <si>
    <t>Fotis Lampis</t>
  </si>
  <si>
    <t>Georgios Lamprakis</t>
  </si>
  <si>
    <t>Panagiotis Lamprakis</t>
  </si>
  <si>
    <t>Anastasios Lampropoulos</t>
  </si>
  <si>
    <t>Panagiotis Lavrakis</t>
  </si>
  <si>
    <t>Michail Lazaridis</t>
  </si>
  <si>
    <t>Nikolaos Lazaridis</t>
  </si>
  <si>
    <t>Nikolaos Liakopoulos</t>
  </si>
  <si>
    <t>Penny Liaromati</t>
  </si>
  <si>
    <t>Dimitrios Liolios</t>
  </si>
  <si>
    <t>Evaggelos Liolios</t>
  </si>
  <si>
    <t>Nikolaos Lountzis</t>
  </si>
  <si>
    <t>Manos Lysikatos</t>
  </si>
  <si>
    <t>Konstantinos Machairidis</t>
  </si>
  <si>
    <t>Vaggelis Makkas</t>
  </si>
  <si>
    <t>Spyros Makkos</t>
  </si>
  <si>
    <t>Manousos Makrydakis</t>
  </si>
  <si>
    <t>Pavlos Malindretos</t>
  </si>
  <si>
    <t>Marianna Malindretou</t>
  </si>
  <si>
    <t>Dimitrios Mallias</t>
  </si>
  <si>
    <t>Ioannis Mallias</t>
  </si>
  <si>
    <t>Kyriaki Malousidou</t>
  </si>
  <si>
    <t>Giorgos Mamalakis</t>
  </si>
  <si>
    <t>Spyridon Maniatis</t>
  </si>
  <si>
    <t>Vasileios Manoloulis</t>
  </si>
  <si>
    <t>Panagiotis Manopoulos</t>
  </si>
  <si>
    <t>Nikolaos Manos</t>
  </si>
  <si>
    <t>Nikolaos Mantzouranis</t>
  </si>
  <si>
    <t>Dimitrios Maragopoulos</t>
  </si>
  <si>
    <t>Michail Marakis</t>
  </si>
  <si>
    <t>Michail Marinis</t>
  </si>
  <si>
    <t>Apostolis Markantonis</t>
  </si>
  <si>
    <t>Manolis Markoudakis</t>
  </si>
  <si>
    <t>Anastasios Maroulas</t>
  </si>
  <si>
    <t>Giorgos Matos</t>
  </si>
  <si>
    <t>Georgios Matsakas</t>
  </si>
  <si>
    <t>Stilianos Matsopoulos</t>
  </si>
  <si>
    <t>Konstantinos Mavraganis</t>
  </si>
  <si>
    <t>Michail Mavrikidis</t>
  </si>
  <si>
    <t>Ioannis D. Mavroeidakos</t>
  </si>
  <si>
    <t>Ioannis H. Mavroeidakos</t>
  </si>
  <si>
    <t>Spyridon Mavroeidakos</t>
  </si>
  <si>
    <t>Andreas Mavrogiannis</t>
  </si>
  <si>
    <t>Dimitrios Mavromitros</t>
  </si>
  <si>
    <t>Vasileios Mavromitros</t>
  </si>
  <si>
    <t>Konstantinos Meleas</t>
  </si>
  <si>
    <t>Stavros Mellios</t>
  </si>
  <si>
    <t>Michail Angelos Merkouris</t>
  </si>
  <si>
    <t>Eleftherios Meros</t>
  </si>
  <si>
    <t>John Meros</t>
  </si>
  <si>
    <t>Ilias Mesaikos</t>
  </si>
  <si>
    <t>Stavros Messonisanakis</t>
  </si>
  <si>
    <t>Ioannis Metaxas</t>
  </si>
  <si>
    <t>Apostolis Metzidakis</t>
  </si>
  <si>
    <t>Argiris Michail</t>
  </si>
  <si>
    <t>Panagiotis Michalatos</t>
  </si>
  <si>
    <t>Evangelos Michopoulos</t>
  </si>
  <si>
    <t>Evaggelos Miliarakis</t>
  </si>
  <si>
    <t>Grigoris Milidonis</t>
  </si>
  <si>
    <t>Nikolaos Misiros</t>
  </si>
  <si>
    <t>Kostas Mitrakopoulos</t>
  </si>
  <si>
    <t>Theodoros Mitropoulos</t>
  </si>
  <si>
    <t>Dimitrios Ioannis Monemvasitis</t>
  </si>
  <si>
    <t>Dimitrios Sarantos Monemvasitis</t>
  </si>
  <si>
    <t>Tzanis Monemvasitis</t>
  </si>
  <si>
    <t>Alekos Morias</t>
  </si>
  <si>
    <t>Efstratios Moros</t>
  </si>
  <si>
    <t>Konstantinos Moros</t>
  </si>
  <si>
    <t>Dimosthenis Moschopoulos</t>
  </si>
  <si>
    <t>Nikolaos Moshidis</t>
  </si>
  <si>
    <t>Evaggelia Mpelanti</t>
  </si>
  <si>
    <t>Antonis Mpitras</t>
  </si>
  <si>
    <t>Ioannis Mpougiouris</t>
  </si>
  <si>
    <t>Giannis Mpratis</t>
  </si>
  <si>
    <t>Alexandros Nanis</t>
  </si>
  <si>
    <t>Nikolaos Naskos</t>
  </si>
  <si>
    <t>Dimitrios Navridis</t>
  </si>
  <si>
    <t>Pavlos Nezis</t>
  </si>
  <si>
    <t>Marianna Niavi</t>
  </si>
  <si>
    <t>Alexandros Niavis</t>
  </si>
  <si>
    <t>Giorgos Niavis</t>
  </si>
  <si>
    <t>Dimitrios Nidriotis</t>
  </si>
  <si>
    <t>Georgios Nidriotis</t>
  </si>
  <si>
    <t>Giannis Nikolaidis</t>
  </si>
  <si>
    <t>Giannis Nikolopoulos</t>
  </si>
  <si>
    <t>Athanasios Nikou</t>
  </si>
  <si>
    <t>Stelios Nitis</t>
  </si>
  <si>
    <t>Vasilios Nitis</t>
  </si>
  <si>
    <t>Aris Nomikos</t>
  </si>
  <si>
    <t>Vasilis Nousios</t>
  </si>
  <si>
    <t>Ioannis Ntakas</t>
  </si>
  <si>
    <t>Andreas Nteros</t>
  </si>
  <si>
    <t>Robert Ohrstrom</t>
  </si>
  <si>
    <t>Paris Oiconomidis</t>
  </si>
  <si>
    <t>Anastasios Oikonomou</t>
  </si>
  <si>
    <t>Iosif Orfanoudakis</t>
  </si>
  <si>
    <t>Leonidas Orfanoudakis</t>
  </si>
  <si>
    <t>Theodoros Ousaklidis</t>
  </si>
  <si>
    <t>Thrasyvoulos Pachatouridis</t>
  </si>
  <si>
    <t>Spyridon Pagkratis</t>
  </si>
  <si>
    <t>Nikolaos Palaiologos</t>
  </si>
  <si>
    <t>Georgios Palaitsakis</t>
  </si>
  <si>
    <t>Ioannis Paliouras</t>
  </si>
  <si>
    <t>Stavros Panagiotakopoulos</t>
  </si>
  <si>
    <t>Vasileios Panagiotides</t>
  </si>
  <si>
    <t>Christos Panagiotidis</t>
  </si>
  <si>
    <t>Panagiotis Panagiotidis</t>
  </si>
  <si>
    <t>Giorgos Panagiotopoulos</t>
  </si>
  <si>
    <t>Ioanna Virginia Panagiotopoulou</t>
  </si>
  <si>
    <t>Filippos Panagopoulos</t>
  </si>
  <si>
    <t>Rafail Panagoulas</t>
  </si>
  <si>
    <t>Emmanouil Pantazopoulos</t>
  </si>
  <si>
    <t>Georgios Pantazopoulos</t>
  </si>
  <si>
    <t>Kostas Pantelaras</t>
  </si>
  <si>
    <t>Nikolaos Paolino</t>
  </si>
  <si>
    <t>Adrianna Papadaki</t>
  </si>
  <si>
    <t>George Pol Papadakis</t>
  </si>
  <si>
    <t>Konstantinos Papadakis</t>
  </si>
  <si>
    <t>Manolis Papadakis</t>
  </si>
  <si>
    <t>Michalis Papadakis</t>
  </si>
  <si>
    <t>Nikolaos Papadakis</t>
  </si>
  <si>
    <t>Maria Papadea</t>
  </si>
  <si>
    <t>Nikolaos Papadogonas</t>
  </si>
  <si>
    <t>Dimitrios Papadopoulos</t>
  </si>
  <si>
    <t>Evangelos Papadopoulos</t>
  </si>
  <si>
    <t>Georgios Papadopoulos</t>
  </si>
  <si>
    <t>Odysseas Papadopoulos</t>
  </si>
  <si>
    <t>Paris Papadopoulos</t>
  </si>
  <si>
    <t>Dimitris Papadoukakis</t>
  </si>
  <si>
    <t>Dimitris Papageorgiou</t>
  </si>
  <si>
    <t>Panagiotis Papahronopoulos</t>
  </si>
  <si>
    <t>Elias Papaioannou</t>
  </si>
  <si>
    <t>Michail Papaioannou</t>
  </si>
  <si>
    <t>Aggelos Papaioannoy</t>
  </si>
  <si>
    <t>Dimitrios-Marios Papakonstantinou</t>
  </si>
  <si>
    <t>Andreas Papakyriakou</t>
  </si>
  <si>
    <t>Leonidas Papamichail</t>
  </si>
  <si>
    <t>Eleftheria Papanikolaou</t>
  </si>
  <si>
    <t>Georgios Papanikolaou</t>
  </si>
  <si>
    <t>Nikolaos Papanikolaou</t>
  </si>
  <si>
    <t>Apollon Papathanasiou</t>
  </si>
  <si>
    <t>Vasileios Papathanasiou</t>
  </si>
  <si>
    <t>Michail Papatzimas</t>
  </si>
  <si>
    <t>Andreas Papavasileiou</t>
  </si>
  <si>
    <t>Georgios Papavasileiou</t>
  </si>
  <si>
    <t>Theodoros Papavasiliou</t>
  </si>
  <si>
    <t>Athanasios Papazoglou</t>
  </si>
  <si>
    <t>Daniil Papazoglou</t>
  </si>
  <si>
    <t>Georgios Papazoglou</t>
  </si>
  <si>
    <t>Philippos Papidakis</t>
  </si>
  <si>
    <t>Sarantis Papidakis</t>
  </si>
  <si>
    <t>Nikolaos Papoulias</t>
  </si>
  <si>
    <t>Chrysoula Pappa</t>
  </si>
  <si>
    <t>Nikolaos Pappas</t>
  </si>
  <si>
    <t>Emmanouil Paraschis</t>
  </si>
  <si>
    <t>Spyridon Paraschis</t>
  </si>
  <si>
    <t>Nikolaos Paraskevas</t>
  </si>
  <si>
    <t>Giannis Paschalides</t>
  </si>
  <si>
    <t>Panagiotis Pashos</t>
  </si>
  <si>
    <t>Antonios Patedakis</t>
  </si>
  <si>
    <t>Ioannis Patedakis</t>
  </si>
  <si>
    <t>Achilleas Patistas</t>
  </si>
  <si>
    <t>Panagiotis Patistas</t>
  </si>
  <si>
    <t>Eirini Patrikiou</t>
  </si>
  <si>
    <t>Dimitrios Patrinos</t>
  </si>
  <si>
    <t>Nikolaos Patrinos</t>
  </si>
  <si>
    <t>Spyridon Patrinos</t>
  </si>
  <si>
    <t>Spiros Pensas</t>
  </si>
  <si>
    <t>Stamatis Perdicaris</t>
  </si>
  <si>
    <t>Sotiris Petrakis</t>
  </si>
  <si>
    <t>Georgios Petronikolos</t>
  </si>
  <si>
    <t>Alexandros Petropoulos</t>
  </si>
  <si>
    <t>Christos Petropoulos</t>
  </si>
  <si>
    <t>Georgios Pitihoutis</t>
  </si>
  <si>
    <t>Christos Pitsaris</t>
  </si>
  <si>
    <t>Nada Plesa</t>
  </si>
  <si>
    <t>Kyriakos Plianthidis</t>
  </si>
  <si>
    <t>Vaggelis Plianthidis</t>
  </si>
  <si>
    <t>Evgenios Plytas</t>
  </si>
  <si>
    <t>Damianos Polichronidis Polichroniadis</t>
  </si>
  <si>
    <t>Spyros Polizos</t>
  </si>
  <si>
    <t>Charalampos Polychronakis</t>
  </si>
  <si>
    <t>Charalambos Polychroniadis</t>
  </si>
  <si>
    <t>Konstantinos Polykratis</t>
  </si>
  <si>
    <t>Georgios Pontikopoulos</t>
  </si>
  <si>
    <t>Dimitrios Pothitos</t>
  </si>
  <si>
    <t>Ioannis Pothitos</t>
  </si>
  <si>
    <t>Anargyros Poulidis</t>
  </si>
  <si>
    <t>Christos Pouris</t>
  </si>
  <si>
    <t>Evripidis Prantsoudis</t>
  </si>
  <si>
    <t>Sofia Prifti</t>
  </si>
  <si>
    <t>Anastasios Priftis</t>
  </si>
  <si>
    <t>Alexandros Prinias</t>
  </si>
  <si>
    <t>Iason Prionidis</t>
  </si>
  <si>
    <t>Evangelos Pritsis</t>
  </si>
  <si>
    <t>Ioulianos Prombonas</t>
  </si>
  <si>
    <t>Nikolaos Promponas</t>
  </si>
  <si>
    <t>Christos Psaradelis</t>
  </si>
  <si>
    <t>Giannis Psarras</t>
  </si>
  <si>
    <t>Nektarios Psihas</t>
  </si>
  <si>
    <t>Iraklis Psychogyios</t>
  </si>
  <si>
    <t>Giorgos Psychopoulos</t>
  </si>
  <si>
    <t>Ioannis Psychopoulos</t>
  </si>
  <si>
    <t>Dimitrios Pylarinos</t>
  </si>
  <si>
    <t>Vasilis Rahmanis</t>
  </si>
  <si>
    <t>Dimitrios Rebis</t>
  </si>
  <si>
    <t>Christos Rikos</t>
  </si>
  <si>
    <t>Efstathios Robotis</t>
  </si>
  <si>
    <t>Georgios Rogas</t>
  </si>
  <si>
    <t>Dionysios Roumantzas</t>
  </si>
  <si>
    <t>Fratzeskos Roussis</t>
  </si>
  <si>
    <t>Stratos Routsis</t>
  </si>
  <si>
    <t>Panagiotis Rouvalis</t>
  </si>
  <si>
    <t>Fotios Rovalis</t>
  </si>
  <si>
    <t>Ioannis Salamouris</t>
  </si>
  <si>
    <t>Vardis Samaritakis</t>
  </si>
  <si>
    <t>Klearchos Sarikakis</t>
  </si>
  <si>
    <t>Marios Schoinas</t>
  </si>
  <si>
    <t>Georgios Seferos</t>
  </si>
  <si>
    <t>Ioannis Sermpos</t>
  </si>
  <si>
    <t>Kostantinos Seses</t>
  </si>
  <si>
    <t>Giorgos Sfakianakis</t>
  </si>
  <si>
    <t>Nasos Sigalas</t>
  </si>
  <si>
    <t>Alexandros Siotos</t>
  </si>
  <si>
    <t>Lambros Sioulas</t>
  </si>
  <si>
    <t>Stavros Sioulas</t>
  </si>
  <si>
    <t>Angelos Sioutis</t>
  </si>
  <si>
    <t>Ioannis Sioutis</t>
  </si>
  <si>
    <t>Kostas Skafidas</t>
  </si>
  <si>
    <t>Nikolaos Skenteris</t>
  </si>
  <si>
    <t>Nikolaos Sklavounakos</t>
  </si>
  <si>
    <t>Georgios Sklavounos</t>
  </si>
  <si>
    <t>Nikolaos Sklavounos</t>
  </si>
  <si>
    <t>Nikolaos Skordas</t>
  </si>
  <si>
    <t>Panagiotis Skouros</t>
  </si>
  <si>
    <t>Emmanouil Skourtsos</t>
  </si>
  <si>
    <t>Haris Smyliotopoulos</t>
  </si>
  <si>
    <t>Stefanos Smyrneos</t>
  </si>
  <si>
    <t>Konstantinos Sochoritis</t>
  </si>
  <si>
    <t>Dimitrios Sotiropoulos</t>
  </si>
  <si>
    <t>Emmanouil Sotiropoulos</t>
  </si>
  <si>
    <t>Panagiotis Sotiropoulos</t>
  </si>
  <si>
    <t>Konstantinos Sourlas</t>
  </si>
  <si>
    <t>Leandros Sourlas</t>
  </si>
  <si>
    <t>Giorgos Spanos</t>
  </si>
  <si>
    <t>Giorgos Spinos</t>
  </si>
  <si>
    <t>Giorgos Aggelos Spyropoulos</t>
  </si>
  <si>
    <t>Spyros Spyropoulos</t>
  </si>
  <si>
    <t>Georgios Stamatakis</t>
  </si>
  <si>
    <t>Eirini Stamatiadou</t>
  </si>
  <si>
    <t>Georgia Stamatiou</t>
  </si>
  <si>
    <t>Dimitrios Stamatopoulos</t>
  </si>
  <si>
    <t>Anastasia Stamatopoulou</t>
  </si>
  <si>
    <t>Konstantinos Stamokostas</t>
  </si>
  <si>
    <t>Dimitris Stamos</t>
  </si>
  <si>
    <t>Anastasios Stamoulis</t>
  </si>
  <si>
    <t>Konstantinos Stefanis</t>
  </si>
  <si>
    <t>Dimitris Stergiou</t>
  </si>
  <si>
    <t>Vasilis Stergiou</t>
  </si>
  <si>
    <t>Evaggelos Stergioulas</t>
  </si>
  <si>
    <t>Giannis Stollas</t>
  </si>
  <si>
    <t>Konstantinos Stollas</t>
  </si>
  <si>
    <t>Pavlos Stollas</t>
  </si>
  <si>
    <t>Stylianos Stratakis</t>
  </si>
  <si>
    <t>Maria Stratoudaki</t>
  </si>
  <si>
    <t>Antonios Stratoudakis</t>
  </si>
  <si>
    <t>Spyridon Stratoudakis</t>
  </si>
  <si>
    <t>Georgios Symeon</t>
  </si>
  <si>
    <t>Panagiotis Syrmos</t>
  </si>
  <si>
    <t>Stamatios Syrmos</t>
  </si>
  <si>
    <t>Michail Tastsoglou</t>
  </si>
  <si>
    <t>Lambros Tekos</t>
  </si>
  <si>
    <t>Christos Terzidis</t>
  </si>
  <si>
    <t>Ioannis Terzidis</t>
  </si>
  <si>
    <t>Petros Tezapsidis</t>
  </si>
  <si>
    <t>Konstantinos Theodosiou</t>
  </si>
  <si>
    <t>Thanos Theodosiou</t>
  </si>
  <si>
    <t>Alexandros Theodosopoulos</t>
  </si>
  <si>
    <t>Evaggelos Theofanopoulos</t>
  </si>
  <si>
    <t>Antonios Theologos</t>
  </si>
  <si>
    <t>Petros Theologos</t>
  </si>
  <si>
    <t>Efthimios Tosioudis</t>
  </si>
  <si>
    <t>Nikolaos Tosioudis</t>
  </si>
  <si>
    <t>Ioannis Tountas</t>
  </si>
  <si>
    <t>Leonidas Tountas</t>
  </si>
  <si>
    <t>Pantelis Trapezountios</t>
  </si>
  <si>
    <t>Apostolis Triantafillou</t>
  </si>
  <si>
    <t>Konstantinos Triantafillou</t>
  </si>
  <si>
    <t>Vasilis Triantafyllou</t>
  </si>
  <si>
    <t>Nikolaos Tsaggaris</t>
  </si>
  <si>
    <t>Giorgos Tsagiannis</t>
  </si>
  <si>
    <t>Theodoros Tsagiannis</t>
  </si>
  <si>
    <t>Panagiotis Tsagkaridis</t>
  </si>
  <si>
    <t>Christian Tsakalakis</t>
  </si>
  <si>
    <t>Vasilios Tsakalakis</t>
  </si>
  <si>
    <t>Aggelos Tsakiris</t>
  </si>
  <si>
    <t>Dimitrios Tsakoniatis</t>
  </si>
  <si>
    <t>Evangelos Tsakopoulos</t>
  </si>
  <si>
    <t>Vaggelis Tsaras</t>
  </si>
  <si>
    <t>Harris Tsekouras</t>
  </si>
  <si>
    <t>Nikolaos Tselepidis</t>
  </si>
  <si>
    <t>Michalis Tsiakalos</t>
  </si>
  <si>
    <t>Panagiotis Tsiakalos</t>
  </si>
  <si>
    <t>Marion Tsiamalou</t>
  </si>
  <si>
    <t>Panagiotis Tsiamos</t>
  </si>
  <si>
    <t>Thanasis Tsiamos</t>
  </si>
  <si>
    <t>Asterios Tsimoudis</t>
  </si>
  <si>
    <t>Pavlos Tsimpoukas</t>
  </si>
  <si>
    <t>Myrsini Tsioumanis</t>
  </si>
  <si>
    <t>Vassiliki Tsioumanis</t>
  </si>
  <si>
    <t>Anargyros Tsitouras</t>
  </si>
  <si>
    <t>Makis Tsitouras</t>
  </si>
  <si>
    <t>Vasilis Tsitsarolis</t>
  </si>
  <si>
    <t>Dimos Tsompanidis</t>
  </si>
  <si>
    <t>Georgios Tsompanidis</t>
  </si>
  <si>
    <t>Nikolaos Tsoukanaras</t>
  </si>
  <si>
    <t>Theodoros Tsoutsas</t>
  </si>
  <si>
    <t>Dimitrios Tzanakis</t>
  </si>
  <si>
    <t>Alexandros Tzelatis</t>
  </si>
  <si>
    <t>Georgios Tzimas</t>
  </si>
  <si>
    <t>Dimitrios Tziortziotis</t>
  </si>
  <si>
    <t>Kyriakos Tzitziris</t>
  </si>
  <si>
    <t>Timotheos Vaggelatos</t>
  </si>
  <si>
    <t>Stavros Vagios</t>
  </si>
  <si>
    <t>Konstantinos Valantasis</t>
  </si>
  <si>
    <t>Nikolaos Valantasis</t>
  </si>
  <si>
    <t>Panagiotis Valantasis</t>
  </si>
  <si>
    <t>Aristogiton Valsamakis</t>
  </si>
  <si>
    <t>Haralambos Valsamakis</t>
  </si>
  <si>
    <t>Giannis Vardakis</t>
  </si>
  <si>
    <t>Nikos Vasiladiotis</t>
  </si>
  <si>
    <t>Evangelia Vasileiadou</t>
  </si>
  <si>
    <t>Alexis Vasiliou</t>
  </si>
  <si>
    <t>Nikolaos Vasilopoulos</t>
  </si>
  <si>
    <t>Panagiotis Vasilopoulos</t>
  </si>
  <si>
    <t>Vasileios Vasilopoulos</t>
  </si>
  <si>
    <t>Vasileios Vasilos</t>
  </si>
  <si>
    <t>Evaggelos Vavoulakis</t>
  </si>
  <si>
    <t>Philippos Vavoulakis</t>
  </si>
  <si>
    <t>Vasilis Vavourakis</t>
  </si>
  <si>
    <t>Apostolos Vazoukis</t>
  </si>
  <si>
    <t>Georgios Verganelakis</t>
  </si>
  <si>
    <t>Manos Vernadakis</t>
  </si>
  <si>
    <t>Michalis Vernados</t>
  </si>
  <si>
    <t>Sofoklis Vezirtzoglou</t>
  </si>
  <si>
    <t>Antonis Vikatos</t>
  </si>
  <si>
    <t>Marios Visvikis</t>
  </si>
  <si>
    <t>Antonis Vlachopoulos</t>
  </si>
  <si>
    <t>Konstantinos Vlachopoulos</t>
  </si>
  <si>
    <t>Aggelos Vlachoulis</t>
  </si>
  <si>
    <t>Athanasios Vlassopoulos</t>
  </si>
  <si>
    <t>Georgios Vlassopoulos</t>
  </si>
  <si>
    <t>Ioannis Vlassopoulos</t>
  </si>
  <si>
    <t>Antonios Vlastos</t>
  </si>
  <si>
    <t>Christos Vogiatzis</t>
  </si>
  <si>
    <t>Dimitris Vogiatzis</t>
  </si>
  <si>
    <t>Konstantinos Vogiatzis</t>
  </si>
  <si>
    <t>Panagiotis Vogiatzis</t>
  </si>
  <si>
    <t>Konstantinos Voikos</t>
  </si>
  <si>
    <t>Fotios Voukouris</t>
  </si>
  <si>
    <t>Ioannis Voulgaris</t>
  </si>
  <si>
    <t>Eleftherios Voutsinas</t>
  </si>
  <si>
    <t>Dimitrios Vrettakos</t>
  </si>
  <si>
    <t>Panagiotis Vrettakos</t>
  </si>
  <si>
    <t>Pavlos Vrettakos</t>
  </si>
  <si>
    <t>Thodoris Xiarhogiannopoulos</t>
  </si>
  <si>
    <t>Dimitris Xifaras</t>
  </si>
  <si>
    <t>Violetta Xyki</t>
  </si>
  <si>
    <t>Nikolaos Zacharopoulos</t>
  </si>
  <si>
    <t>Nikolaos Zafirakis</t>
  </si>
  <si>
    <t>Emilios Zaharitsas</t>
  </si>
  <si>
    <t>Dimitrios Zarogiannis</t>
  </si>
  <si>
    <t>Konstantinos Zarogiannis</t>
  </si>
  <si>
    <t>Giorgos Zavos</t>
  </si>
  <si>
    <t>Argyris Zavrakas</t>
  </si>
  <si>
    <t>Athanasios Zavrakas</t>
  </si>
  <si>
    <t>Alexandros Zervas</t>
  </si>
  <si>
    <t>Georgios Zimeras</t>
  </si>
  <si>
    <t>Vasileios Zimeras</t>
  </si>
  <si>
    <t>Michalis Zioulis</t>
  </si>
  <si>
    <t>Dimitrios Zymvragoudakis</t>
  </si>
  <si>
    <t>Nikos Vasilopoulos</t>
  </si>
  <si>
    <t>Theodoros Pilatos</t>
  </si>
  <si>
    <t>Valsamas Elekidis</t>
  </si>
  <si>
    <t>Vasilis Aivasliotis</t>
  </si>
  <si>
    <t>Georgios Giannoulis</t>
  </si>
  <si>
    <t>Synodis Geerontitis</t>
  </si>
  <si>
    <t>Ioannis Lytras</t>
  </si>
  <si>
    <t>Menelaos Exarchou</t>
  </si>
  <si>
    <t>Vasilios Stamoulis</t>
  </si>
  <si>
    <t>Giorgos Kakopoulos</t>
  </si>
  <si>
    <t>Zacharias Antonakis</t>
  </si>
  <si>
    <t>Christos Dragoumis</t>
  </si>
  <si>
    <t>Michail Dragoumis</t>
  </si>
  <si>
    <t>Antonio Carabillo</t>
  </si>
  <si>
    <t>Nicholas Carabillo</t>
  </si>
  <si>
    <t>Andras Hicz</t>
  </si>
  <si>
    <t>László Csibor</t>
  </si>
  <si>
    <t>Gábor Baross</t>
  </si>
  <si>
    <t>Zoltán Baross</t>
  </si>
  <si>
    <t>Károly Szathmáry</t>
  </si>
  <si>
    <t>Arudyo Putro</t>
  </si>
  <si>
    <t>Majee Nolizam</t>
  </si>
  <si>
    <t>Ofir Zarduk</t>
  </si>
  <si>
    <t>Emanuele Funaro</t>
  </si>
  <si>
    <t>Simone Funaro</t>
  </si>
  <si>
    <t>Ascer Funaro</t>
  </si>
  <si>
    <t>Davide Funaro</t>
  </si>
  <si>
    <t>Menashe Harman</t>
  </si>
  <si>
    <t>Stuart Kingston</t>
  </si>
  <si>
    <t>Mario Zuccarini</t>
  </si>
  <si>
    <t>Pietro Zorzi</t>
  </si>
  <si>
    <t>Francesco Zolfanelli</t>
  </si>
  <si>
    <t>Andrea Zanetti</t>
  </si>
  <si>
    <t>Alessandro Zampieri</t>
  </si>
  <si>
    <t>Luca Zambello</t>
  </si>
  <si>
    <t>Paolo Zambello</t>
  </si>
  <si>
    <t>Pier Celeste Zambello</t>
  </si>
  <si>
    <t>Giuseppe Zaccardo</t>
  </si>
  <si>
    <t>Giovanni Volpi</t>
  </si>
  <si>
    <t>Gianpaolo Vitulano</t>
  </si>
  <si>
    <t>Davide Visentin</t>
  </si>
  <si>
    <t>Davide Visani</t>
  </si>
  <si>
    <t>Andrea Vincentini</t>
  </si>
  <si>
    <t>Domenico Vinaccia</t>
  </si>
  <si>
    <t>François Villette</t>
  </si>
  <si>
    <t>Tullio Villa</t>
  </si>
  <si>
    <t>Aldo Vico</t>
  </si>
  <si>
    <t>Mauro Vianello</t>
  </si>
  <si>
    <t>Francesco Vezzuto</t>
  </si>
  <si>
    <t>Pasquale Vezzuto</t>
  </si>
  <si>
    <t>Maurizio Vezzo</t>
  </si>
  <si>
    <t>Roberto Vergoni</t>
  </si>
  <si>
    <t>Daniele Venturini</t>
  </si>
  <si>
    <t>Gianluca Venturini</t>
  </si>
  <si>
    <t>Alessandro Vegni</t>
  </si>
  <si>
    <t>Francesco Vegni</t>
  </si>
  <si>
    <t>John Vecchiarelli</t>
  </si>
  <si>
    <t>Alberto Vatteroni</t>
  </si>
  <si>
    <t>Sandro Vasapollo</t>
  </si>
  <si>
    <t>Luca Varricchio</t>
  </si>
  <si>
    <t>Vincenzo Varriale</t>
  </si>
  <si>
    <t>Tobia Vallebona</t>
  </si>
  <si>
    <t>Claudio Valisnieri</t>
  </si>
  <si>
    <t>Augusto Vagnoni</t>
  </si>
  <si>
    <t>Roberto Utzeri</t>
  </si>
  <si>
    <t>Pietro Ugolini</t>
  </si>
  <si>
    <t>Massimo Ubbiali</t>
  </si>
  <si>
    <t>Flavio Tudini</t>
  </si>
  <si>
    <t>Pietro Troiani</t>
  </si>
  <si>
    <t>Simone Trivelli</t>
  </si>
  <si>
    <t>Geremia Trinchese</t>
  </si>
  <si>
    <t>Giuseppe Triggiani</t>
  </si>
  <si>
    <t>Tommaso Tricoli</t>
  </si>
  <si>
    <t>Mattia Trevisani</t>
  </si>
  <si>
    <t>Marco Trevisan</t>
  </si>
  <si>
    <t>Corrado Trenta</t>
  </si>
  <si>
    <t>Francesco Tozzi</t>
  </si>
  <si>
    <t>Enrico Tosi</t>
  </si>
  <si>
    <t>Massimo Tortello</t>
  </si>
  <si>
    <t>Pietro Torri</t>
  </si>
  <si>
    <t>Michele Torri</t>
  </si>
  <si>
    <t>Giuseppe Torre</t>
  </si>
  <si>
    <t>Roberto Torini</t>
  </si>
  <si>
    <t>Ruggero Torboli</t>
  </si>
  <si>
    <t>Francesco Torano</t>
  </si>
  <si>
    <t>Pasquale Torano</t>
  </si>
  <si>
    <t>Giovanni Tonietti</t>
  </si>
  <si>
    <t>Alessandro Toni</t>
  </si>
  <si>
    <t>Andrea Tonet</t>
  </si>
  <si>
    <t>Paolo Tolve</t>
  </si>
  <si>
    <t>Corrado Toffoletti</t>
  </si>
  <si>
    <t>Salvatore Tinebra</t>
  </si>
  <si>
    <t>Andrea Testa</t>
  </si>
  <si>
    <t>Gianni Terenzi</t>
  </si>
  <si>
    <t>Marco Tedeschi</t>
  </si>
  <si>
    <t>Enrico Tecchiati</t>
  </si>
  <si>
    <t>Gian Marco Taverna</t>
  </si>
  <si>
    <t>Laura Tava</t>
  </si>
  <si>
    <t>Domenico Tassone</t>
  </si>
  <si>
    <t>Matteo Tarabella</t>
  </si>
  <si>
    <t>Massimo Talozzi</t>
  </si>
  <si>
    <t>Paolo Talarico</t>
  </si>
  <si>
    <t>Stefano Tagliaferri</t>
  </si>
  <si>
    <t>Diego Tagliaferri</t>
  </si>
  <si>
    <t>Alessio Tacchia</t>
  </si>
  <si>
    <t>Domenico Tacchia</t>
  </si>
  <si>
    <t>Matteo Suffritti</t>
  </si>
  <si>
    <t>Alessandro Subazzoli</t>
  </si>
  <si>
    <t>Andrea Strazza</t>
  </si>
  <si>
    <t>Mattia Stoto</t>
  </si>
  <si>
    <t>Andrea Stanislai</t>
  </si>
  <si>
    <t>Matteo Stanislai</t>
  </si>
  <si>
    <t>Alberto Spiller</t>
  </si>
  <si>
    <t>Alessandro Spiller</t>
  </si>
  <si>
    <t>Ilario Spagnoli</t>
  </si>
  <si>
    <t>Gianluca Sostegno</t>
  </si>
  <si>
    <t>Alfredo Soria</t>
  </si>
  <si>
    <t>Bruno Sonni</t>
  </si>
  <si>
    <t>Italo Sonni</t>
  </si>
  <si>
    <t>Pietro Sommella</t>
  </si>
  <si>
    <t>Mauro Sollazzo</t>
  </si>
  <si>
    <t>Angelo Solito</t>
  </si>
  <si>
    <t>Paolo Smaldone</t>
  </si>
  <si>
    <t>Roberto Sirica</t>
  </si>
  <si>
    <t>Michele Sirica</t>
  </si>
  <si>
    <t>Felice Simonetti</t>
  </si>
  <si>
    <t>Mauro Simonazzi</t>
  </si>
  <si>
    <t>Giancarlo Silvestri</t>
  </si>
  <si>
    <t>Maurizio Silvestri</t>
  </si>
  <si>
    <t>Gabriele Silveri</t>
  </si>
  <si>
    <t>Pierluigi Signoretti</t>
  </si>
  <si>
    <t>Luca Signorelli</t>
  </si>
  <si>
    <t>Carlo Siciliano</t>
  </si>
  <si>
    <t>Dario Sforzini</t>
  </si>
  <si>
    <t>Giuseppe Setale</t>
  </si>
  <si>
    <t>Gianluca Serpico</t>
  </si>
  <si>
    <t>Massimo Sergio</t>
  </si>
  <si>
    <t>Giulio Sergi</t>
  </si>
  <si>
    <t>Maurizio Seppia</t>
  </si>
  <si>
    <t>Pasquale Sepe</t>
  </si>
  <si>
    <t>Andrea Senesi</t>
  </si>
  <si>
    <t>Filippo Sella</t>
  </si>
  <si>
    <t>Filippo Scorcucchi</t>
  </si>
  <si>
    <t>Andrea Scola</t>
  </si>
  <si>
    <t>Marco Scialanga</t>
  </si>
  <si>
    <t>Edoardo Scialanga</t>
  </si>
  <si>
    <t>Carmelo Sciacca</t>
  </si>
  <si>
    <t>Riccardo Schito</t>
  </si>
  <si>
    <t>Massimiliano Schiavone</t>
  </si>
  <si>
    <t>Luca Schiavi</t>
  </si>
  <si>
    <t>Fabrizio Schiatti</t>
  </si>
  <si>
    <t>Amerigo Scatamacchia</t>
  </si>
  <si>
    <t>Stefano Scarselli</t>
  </si>
  <si>
    <t>Marcello Scarduelli</t>
  </si>
  <si>
    <t>Giancarlo Scano</t>
  </si>
  <si>
    <t>Fabrizio Scano</t>
  </si>
  <si>
    <t>Gaetano Sasso</t>
  </si>
  <si>
    <t>Cristiano Sassetti</t>
  </si>
  <si>
    <t>Claudio Santoriello</t>
  </si>
  <si>
    <t>Letizia Santoni</t>
  </si>
  <si>
    <t>Luca Santonetti</t>
  </si>
  <si>
    <t>Luigi Santise</t>
  </si>
  <si>
    <t>Vincenzo Santarcangelo</t>
  </si>
  <si>
    <t>Cesare Santanicchia</t>
  </si>
  <si>
    <t>Sandro Sani</t>
  </si>
  <si>
    <t>Tommaso Sani</t>
  </si>
  <si>
    <t>Mauro Salvati</t>
  </si>
  <si>
    <t>Francesco Sallese</t>
  </si>
  <si>
    <t>Giorgio Sallese</t>
  </si>
  <si>
    <t>Roberto Saitta</t>
  </si>
  <si>
    <t>Ivano Russo</t>
  </si>
  <si>
    <t>Giancarlo Russo</t>
  </si>
  <si>
    <t>Marco Rossitto</t>
  </si>
  <si>
    <t>Filippo Rossi</t>
  </si>
  <si>
    <t>Fabio Rosselli</t>
  </si>
  <si>
    <t>Enrico Ronchetti</t>
  </si>
  <si>
    <t>Christian Roncagliolo</t>
  </si>
  <si>
    <t>Luigi Romano</t>
  </si>
  <si>
    <t>Francesco Romanazzi</t>
  </si>
  <si>
    <t>Mario Michele Romanazzi</t>
  </si>
  <si>
    <t>Alessandro Rolle</t>
  </si>
  <si>
    <t>Antonello Rodriquez</t>
  </si>
  <si>
    <t>Lorenzo Rocca</t>
  </si>
  <si>
    <t>Giancarlo Riva</t>
  </si>
  <si>
    <t>Davide Rigon</t>
  </si>
  <si>
    <t>Simone Righetto</t>
  </si>
  <si>
    <t>Salvatore Riggio</t>
  </si>
  <si>
    <t>Emilio Richichi</t>
  </si>
  <si>
    <t>Alessandro Riccò</t>
  </si>
  <si>
    <t>Alberto Riccò</t>
  </si>
  <si>
    <t>Bernardo Ricco</t>
  </si>
  <si>
    <t>Luca Riccio</t>
  </si>
  <si>
    <t>Vincenzo Riccio</t>
  </si>
  <si>
    <t>Mirco Ricci</t>
  </si>
  <si>
    <t>Giovanni Maria Riccardi</t>
  </si>
  <si>
    <t>Matteo Resca</t>
  </si>
  <si>
    <t>Alessandro Renzi</t>
  </si>
  <si>
    <t>Roberto Renaldini</t>
  </si>
  <si>
    <t>Alberto Recano</t>
  </si>
  <si>
    <t>Nicola Razzi</t>
  </si>
  <si>
    <t>Lorenzo Randelli</t>
  </si>
  <si>
    <t>Fabio Rampi</t>
  </si>
  <si>
    <t>Giuseppe Ragusa</t>
  </si>
  <si>
    <t>Alessandro Ragazzini Fuligni</t>
  </si>
  <si>
    <t>Emanuele Radicchi</t>
  </si>
  <si>
    <t>Riccardo Rabacchin</t>
  </si>
  <si>
    <t>Francesco Quattrini</t>
  </si>
  <si>
    <t>Luigi Quaranta</t>
  </si>
  <si>
    <t>Luca Puzella</t>
  </si>
  <si>
    <t>Davide Pulito</t>
  </si>
  <si>
    <t>Alfredo Priamo</t>
  </si>
  <si>
    <t>Gennaro Preziuso</t>
  </si>
  <si>
    <t>Manfredo Preziuso</t>
  </si>
  <si>
    <t>Marco Preziuso</t>
  </si>
  <si>
    <t>Pietro Previti</t>
  </si>
  <si>
    <t>Maurizio Presutti</t>
  </si>
  <si>
    <t>Vincenzo Prestia</t>
  </si>
  <si>
    <t>Salvatore Praino</t>
  </si>
  <si>
    <t>Giacomo Pozzi</t>
  </si>
  <si>
    <t>Igor Portoghese</t>
  </si>
  <si>
    <t>Ignazio Portoghese</t>
  </si>
  <si>
    <t>Riccardo Porro</t>
  </si>
  <si>
    <t>Michelangelo Porro</t>
  </si>
  <si>
    <t>Giuseppe Porcelli</t>
  </si>
  <si>
    <t>Ernesto Poncetta</t>
  </si>
  <si>
    <t>Francesco Pon</t>
  </si>
  <si>
    <t>Nicola Poggiali</t>
  </si>
  <si>
    <t>Daniele Pochesci</t>
  </si>
  <si>
    <t>Luigi Pisu</t>
  </si>
  <si>
    <t>Marco Pistoni</t>
  </si>
  <si>
    <t>Fabrizio Pintore</t>
  </si>
  <si>
    <t>Giampiero Pinto</t>
  </si>
  <si>
    <t>Luca Pini</t>
  </si>
  <si>
    <t>Marco Pinausi</t>
  </si>
  <si>
    <t>Fabio Pimpinella</t>
  </si>
  <si>
    <t>Roberto Pieroni</t>
  </si>
  <si>
    <t>Roberto Piccoli</t>
  </si>
  <si>
    <t>Tommaso Piatti</t>
  </si>
  <si>
    <t>Stefano Pianigiani</t>
  </si>
  <si>
    <t>Luca Pezzuolo</t>
  </si>
  <si>
    <t>Mauro Petrini</t>
  </si>
  <si>
    <t>Luca Pessini</t>
  </si>
  <si>
    <t>Francesco Perri</t>
  </si>
  <si>
    <t>Marco Perotti</t>
  </si>
  <si>
    <t>Luca Periccioli</t>
  </si>
  <si>
    <t>Andrea Periccioli</t>
  </si>
  <si>
    <t>Monica Perdichizzi</t>
  </si>
  <si>
    <t>Marco Perazzo</t>
  </si>
  <si>
    <t>Antonio Peluso</t>
  </si>
  <si>
    <t>Andrea Pellegrino</t>
  </si>
  <si>
    <t>Davide Peghin</t>
  </si>
  <si>
    <t>Alessandro Pecchioli</t>
  </si>
  <si>
    <t>Gerardo Patruno</t>
  </si>
  <si>
    <t>Duccio Passeroni</t>
  </si>
  <si>
    <t>Fabio Pasquini</t>
  </si>
  <si>
    <t>Renato Parussini</t>
  </si>
  <si>
    <t>Luca Parodi</t>
  </si>
  <si>
    <t>Francesco Paolini</t>
  </si>
  <si>
    <t>Laura Panza - Intra</t>
  </si>
  <si>
    <t>Antonio Panizzari</t>
  </si>
  <si>
    <t>Claudio Panebianco</t>
  </si>
  <si>
    <t>Gianluca Pambianchi</t>
  </si>
  <si>
    <t>Antonio Palumbo</t>
  </si>
  <si>
    <t>Lionello Palmieri</t>
  </si>
  <si>
    <t>Alfredo Palmieri</t>
  </si>
  <si>
    <t>Andrea Palazzolo</t>
  </si>
  <si>
    <t>Luca Palazzoli</t>
  </si>
  <si>
    <t>Marco Palamà</t>
  </si>
  <si>
    <t>Massimiliano Painelli</t>
  </si>
  <si>
    <t>Stefano Pacitti</t>
  </si>
  <si>
    <t>Alessandro Ottone</t>
  </si>
  <si>
    <t>Francesco Ottone</t>
  </si>
  <si>
    <t>Maria Grazia Ottone</t>
  </si>
  <si>
    <t>Giovanna Ottone</t>
  </si>
  <si>
    <t>Andrea Oncini</t>
  </si>
  <si>
    <t>Giuseppe Ogno</t>
  </si>
  <si>
    <t>Pasquale Nunzet</t>
  </si>
  <si>
    <t>Giulio Nucci</t>
  </si>
  <si>
    <t>Massimo Novi</t>
  </si>
  <si>
    <t>Filippo Nompari</t>
  </si>
  <si>
    <t>Silvio Nocchi</t>
  </si>
  <si>
    <t>Riccardo Nicoletti</t>
  </si>
  <si>
    <t>Vittorio Nicchi</t>
  </si>
  <si>
    <t>Marco Nicastro</t>
  </si>
  <si>
    <t>Alessandro Neri</t>
  </si>
  <si>
    <t>Fabrizio Neri</t>
  </si>
  <si>
    <t>Alessandro Nefi</t>
  </si>
  <si>
    <t>Orlando Navarra</t>
  </si>
  <si>
    <t>Giovanni Navarra</t>
  </si>
  <si>
    <t>Alessandro Natoli</t>
  </si>
  <si>
    <t>Cesare Natoli</t>
  </si>
  <si>
    <t>Riccardo Natoli</t>
  </si>
  <si>
    <t>Massimo Nativo</t>
  </si>
  <si>
    <t>Paolo Natale</t>
  </si>
  <si>
    <t>Carmelo Natale</t>
  </si>
  <si>
    <t>Massimiliano Nastasi</t>
  </si>
  <si>
    <t>Ali Nasri</t>
  </si>
  <si>
    <t>Enea Nasri</t>
  </si>
  <si>
    <t>Fabio Nardulli</t>
  </si>
  <si>
    <t>Alessio Nardi</t>
  </si>
  <si>
    <t>Simone Nappini</t>
  </si>
  <si>
    <t>Vincenzo Nappa</t>
  </si>
  <si>
    <t>Carmine Napolitano</t>
  </si>
  <si>
    <t>Mattia Nanni</t>
  </si>
  <si>
    <t>Marcel Musso</t>
  </si>
  <si>
    <t>Filippo Mussino</t>
  </si>
  <si>
    <t>Gian Luca Mussato</t>
  </si>
  <si>
    <t>Massimo Mura</t>
  </si>
  <si>
    <t>Stefano Munafo'</t>
  </si>
  <si>
    <t>Giovanni Maria Moro</t>
  </si>
  <si>
    <t>Massimo Morigi</t>
  </si>
  <si>
    <t>Michele Mori</t>
  </si>
  <si>
    <t>Rocco Morganelli</t>
  </si>
  <si>
    <t>Leonardo Moretti</t>
  </si>
  <si>
    <t>Gerardo Morandi</t>
  </si>
  <si>
    <t>Nicola Montefusco</t>
  </si>
  <si>
    <t>Stefano Montefiori</t>
  </si>
  <si>
    <t>Michelangelo Montecalvo</t>
  </si>
  <si>
    <t>Alessandro Montanari</t>
  </si>
  <si>
    <t>Enrico Mondo</t>
  </si>
  <si>
    <t>Valerio Mondo</t>
  </si>
  <si>
    <t>Marco Molinaro</t>
  </si>
  <si>
    <t>Francesco Molinari</t>
  </si>
  <si>
    <t>Daniele Modugno</t>
  </si>
  <si>
    <t>Manlio Mochi</t>
  </si>
  <si>
    <t>Riccardo Minnetti</t>
  </si>
  <si>
    <t>Christian Milessa</t>
  </si>
  <si>
    <t>Giampaolo Milei</t>
  </si>
  <si>
    <t>Raffaello Milani</t>
  </si>
  <si>
    <t>Federico Milan</t>
  </si>
  <si>
    <t>Alessandro Migliori</t>
  </si>
  <si>
    <t>Marco Midoro</t>
  </si>
  <si>
    <t>Vincenzo Miccolupi</t>
  </si>
  <si>
    <t>Francesco Mattia Miccoli</t>
  </si>
  <si>
    <t>Giovanni Micati</t>
  </si>
  <si>
    <t>Antonio Mettivieri</t>
  </si>
  <si>
    <t>Maria Felice Merkouris</t>
  </si>
  <si>
    <t>Felice Meo</t>
  </si>
  <si>
    <t>Giorgio Mentasti</t>
  </si>
  <si>
    <t>Lorenzo Mentasti</t>
  </si>
  <si>
    <t>Francesco Menditto</t>
  </si>
  <si>
    <t>Cristian Melis</t>
  </si>
  <si>
    <t>Roberto Mazzucchi</t>
  </si>
  <si>
    <t>Bruno Mazzeo</t>
  </si>
  <si>
    <t>Sergio Mazzau</t>
  </si>
  <si>
    <t>Federico Mattiangeli</t>
  </si>
  <si>
    <t>Francesco Mattiangeli</t>
  </si>
  <si>
    <t>Massimo Matteucci</t>
  </si>
  <si>
    <t>Domenico Matalone</t>
  </si>
  <si>
    <t>Edoardo Matalone</t>
  </si>
  <si>
    <t>Alessandro Mastropasqua</t>
  </si>
  <si>
    <t>Gianfranco Mastrantuono</t>
  </si>
  <si>
    <t>Manuel Mastrantuono</t>
  </si>
  <si>
    <t>Antonio Mastrangelo</t>
  </si>
  <si>
    <t>Davide Massone</t>
  </si>
  <si>
    <t>Mirko Masini</t>
  </si>
  <si>
    <t>Christian Mascitti</t>
  </si>
  <si>
    <t>Mirco Marzocchi</t>
  </si>
  <si>
    <t>Michele Marziani</t>
  </si>
  <si>
    <t>Paolo Martiner Testa</t>
  </si>
  <si>
    <t>Paolo Mariotto</t>
  </si>
  <si>
    <t>Riccardo Marinucci</t>
  </si>
  <si>
    <t>Alessandro Marino</t>
  </si>
  <si>
    <t>Damiano Marini</t>
  </si>
  <si>
    <t>Davide Marini</t>
  </si>
  <si>
    <t>Mirco Marinari</t>
  </si>
  <si>
    <t>Graziano Maresca</t>
  </si>
  <si>
    <t>Giovanni Marconcini</t>
  </si>
  <si>
    <t>Mario Marcolini</t>
  </si>
  <si>
    <t>Ermanno Marchetti</t>
  </si>
  <si>
    <t>Stefano Marazzotta</t>
  </si>
  <si>
    <t>Alberto Marazzato</t>
  </si>
  <si>
    <t>Leonardo Marazzato</t>
  </si>
  <si>
    <t>Alessandro Marani</t>
  </si>
  <si>
    <t>Dario Marabello</t>
  </si>
  <si>
    <t>Roberto Manzella</t>
  </si>
  <si>
    <t>Eugenio Mantile</t>
  </si>
  <si>
    <t>Vincenzo Manica</t>
  </si>
  <si>
    <t>Fabio Mangione</t>
  </si>
  <si>
    <t>Andrea Manganello</t>
  </si>
  <si>
    <t>Mauro Manganello</t>
  </si>
  <si>
    <t>Francesco Manfredelli</t>
  </si>
  <si>
    <t>Massimo Manfredelli</t>
  </si>
  <si>
    <t>Giorgio Manfioletti</t>
  </si>
  <si>
    <t>Salvatore Mandanici</t>
  </si>
  <si>
    <t>Gennaro Mancini</t>
  </si>
  <si>
    <t>Daniele Mancinelli</t>
  </si>
  <si>
    <t>Ezio Mancaruso</t>
  </si>
  <si>
    <t>Fabio Malvaso</t>
  </si>
  <si>
    <t>Enrico Malossi</t>
  </si>
  <si>
    <t>Lorenzo Malevolti</t>
  </si>
  <si>
    <t>Martin Maioli</t>
  </si>
  <si>
    <t>Andrea Maioli</t>
  </si>
  <si>
    <t>Roberto Maina</t>
  </si>
  <si>
    <t>Antonio Maielli</t>
  </si>
  <si>
    <t>Fabrizio Maiandi</t>
  </si>
  <si>
    <t>Pietro Magro</t>
  </si>
  <si>
    <t>Marco Maglio</t>
  </si>
  <si>
    <t>Marco Macino</t>
  </si>
  <si>
    <t>Davide Lussu</t>
  </si>
  <si>
    <t>Davide Lupo</t>
  </si>
  <si>
    <t>Stefano Luciani</t>
  </si>
  <si>
    <t>Giacomo Luchetti</t>
  </si>
  <si>
    <t>Nico Lucchesi</t>
  </si>
  <si>
    <t>Alfredo Lubrano</t>
  </si>
  <si>
    <t>Daniele Lopresto</t>
  </si>
  <si>
    <t>Valerio Lombardo</t>
  </si>
  <si>
    <t>Valentino Lombardo</t>
  </si>
  <si>
    <t>Flavio Lombardi</t>
  </si>
  <si>
    <t>Francesco Lojacono</t>
  </si>
  <si>
    <t>Luca Locci</t>
  </si>
  <si>
    <t>Francesco Lo Presti</t>
  </si>
  <si>
    <t>Angelo Lo Presti</t>
  </si>
  <si>
    <t>Simone Lo Iacono</t>
  </si>
  <si>
    <t>Mario Lo Iacono</t>
  </si>
  <si>
    <t>Giuditta Lo Cascio</t>
  </si>
  <si>
    <t>Giuseppe Lo Cascio</t>
  </si>
  <si>
    <t>Emanuele Lo Cascio</t>
  </si>
  <si>
    <t>Giovanna Lo Cascio</t>
  </si>
  <si>
    <t>Ciro Liucci</t>
  </si>
  <si>
    <t>Leonardo Lista</t>
  </si>
  <si>
    <t>Pietro Limbardi</t>
  </si>
  <si>
    <t>Gabriele Liguori</t>
  </si>
  <si>
    <t>Emanuele Licheri</t>
  </si>
  <si>
    <t>Maurizio Lepri</t>
  </si>
  <si>
    <t>Massimiliano Lepore</t>
  </si>
  <si>
    <t>Giuseppe Leotta</t>
  </si>
  <si>
    <t>Gianmaria Lena</t>
  </si>
  <si>
    <t>Diego Lazzaroni</t>
  </si>
  <si>
    <t>Patrizio Lazzaretti</t>
  </si>
  <si>
    <t>Lorenzo Lazzaretti</t>
  </si>
  <si>
    <t>Fabrizio Lay</t>
  </si>
  <si>
    <t>Roberto Lavoratti</t>
  </si>
  <si>
    <t>Marco Lauretti</t>
  </si>
  <si>
    <t>Alessandro Laurenzi</t>
  </si>
  <si>
    <t>Tiziano Lastrucci</t>
  </si>
  <si>
    <t>Andrea Lampugnani</t>
  </si>
  <si>
    <t>Concetto La Torre</t>
  </si>
  <si>
    <t>Francesco La Torre</t>
  </si>
  <si>
    <t>Claudio La Torre</t>
  </si>
  <si>
    <t>Antonio La Torre</t>
  </si>
  <si>
    <t>Riccardo La Rosa</t>
  </si>
  <si>
    <t>Alberto La Rosa</t>
  </si>
  <si>
    <t>Vincenzo Iovino</t>
  </si>
  <si>
    <t>Alex Iorio</t>
  </si>
  <si>
    <t>Adriano Iobbi</t>
  </si>
  <si>
    <t>Alessandro Ioan</t>
  </si>
  <si>
    <t>Efrem Intra</t>
  </si>
  <si>
    <t>Gianluca Indino</t>
  </si>
  <si>
    <t>Alex Incorvaia</t>
  </si>
  <si>
    <t>Emanuele Incardona</t>
  </si>
  <si>
    <t>Bernardo Impallomeni</t>
  </si>
  <si>
    <t>Rosario Ifrigerio</t>
  </si>
  <si>
    <t>Massimiliano Iervese</t>
  </si>
  <si>
    <t>Nunzio Ieppariello</t>
  </si>
  <si>
    <t>Pietro Ielapi</t>
  </si>
  <si>
    <t>Gaetano Ielapi</t>
  </si>
  <si>
    <t>Rocco Antonio Iarlori</t>
  </si>
  <si>
    <t>Giuseppe Guzzetta</t>
  </si>
  <si>
    <t>Alessandro Guidi</t>
  </si>
  <si>
    <t>Enrico Guidi</t>
  </si>
  <si>
    <t>Leandro Guidi</t>
  </si>
  <si>
    <t>Paolo Guidara</t>
  </si>
  <si>
    <t>Pasquale Guerra</t>
  </si>
  <si>
    <t>Fabrizio Guastella</t>
  </si>
  <si>
    <t>Michele Guarino</t>
  </si>
  <si>
    <t>Alessio Guardini</t>
  </si>
  <si>
    <t>Marcello Gualerci</t>
  </si>
  <si>
    <t>Erica Guagliardi</t>
  </si>
  <si>
    <t>Franco Grimaldi</t>
  </si>
  <si>
    <t>Luigi Grillo</t>
  </si>
  <si>
    <t>Roberto Grigiotti</t>
  </si>
  <si>
    <t>Marco Grassini</t>
  </si>
  <si>
    <t>Luca Gorna</t>
  </si>
  <si>
    <t>Massimiliano Goldoni</t>
  </si>
  <si>
    <t>Roberto Giunti</t>
  </si>
  <si>
    <t>Vittorio Giummo</t>
  </si>
  <si>
    <t>Armando Giuffrè</t>
  </si>
  <si>
    <t>Michele Giudice</t>
  </si>
  <si>
    <t>Leonardo Giudice</t>
  </si>
  <si>
    <t>Giorgio Giudice</t>
  </si>
  <si>
    <t>Gaetano Giudice</t>
  </si>
  <si>
    <t>Fabrizio Giubbilini</t>
  </si>
  <si>
    <t>Fabio Gissara</t>
  </si>
  <si>
    <t>Carlo Gissara</t>
  </si>
  <si>
    <t>Alessandro Girelli</t>
  </si>
  <si>
    <t>Francesco Giraudo</t>
  </si>
  <si>
    <t>Cristian Giovangiacomo</t>
  </si>
  <si>
    <t>Andrea Giorgianni</t>
  </si>
  <si>
    <t>Gianluca Giliberto</t>
  </si>
  <si>
    <t>Giulio Giannelli</t>
  </si>
  <si>
    <t>Enrico Giannarelli</t>
  </si>
  <si>
    <t>Vetere Gianluca</t>
  </si>
  <si>
    <t>Jacopo Giampaola</t>
  </si>
  <si>
    <t>Damiano Giampaola</t>
  </si>
  <si>
    <t>Marco Giampaola</t>
  </si>
  <si>
    <t>Salvatore Ghiselli</t>
  </si>
  <si>
    <t>Francesco Ghirelli</t>
  </si>
  <si>
    <t>Enrico Ghigliotti</t>
  </si>
  <si>
    <t>Davide Ghigliotti</t>
  </si>
  <si>
    <t>Gian Paolo Ghersi</t>
  </si>
  <si>
    <t>Aldo Gentileschi</t>
  </si>
  <si>
    <t>Antonio Gentile</t>
  </si>
  <si>
    <t>Ernesto Gentile</t>
  </si>
  <si>
    <t>Luca Gentile</t>
  </si>
  <si>
    <t>Vincenzo Maria Genovese</t>
  </si>
  <si>
    <t>Giuliano Gazzoldi</t>
  </si>
  <si>
    <t>Carlo Gazzarri</t>
  </si>
  <si>
    <t>Ferdinando Gasparini</t>
  </si>
  <si>
    <t>Dino Gasparetto</t>
  </si>
  <si>
    <t>Alfonso Gargiulo</t>
  </si>
  <si>
    <t>Catello Gargiulo</t>
  </si>
  <si>
    <t>Efisio Garau</t>
  </si>
  <si>
    <t>Massimo Garatti</t>
  </si>
  <si>
    <t>Severino Gara</t>
  </si>
  <si>
    <t>Alessandro Gandin</t>
  </si>
  <si>
    <t>Fabrizio Gammarota</t>
  </si>
  <si>
    <t>Stefano Gambella</t>
  </si>
  <si>
    <t>Carlo Gambaruto</t>
  </si>
  <si>
    <t>Guido Gambara</t>
  </si>
  <si>
    <t>Mario Gallo</t>
  </si>
  <si>
    <t>Cristiano Gallo</t>
  </si>
  <si>
    <t>Riccardo Galieti</t>
  </si>
  <si>
    <t>Gianluca Galeazzi</t>
  </si>
  <si>
    <t>Lorenzo Gaia</t>
  </si>
  <si>
    <t>Alberto Gagliardi</t>
  </si>
  <si>
    <t>Alessandro Gabbani</t>
  </si>
  <si>
    <t>Antonella Furnari</t>
  </si>
  <si>
    <t>Davide Furini</t>
  </si>
  <si>
    <t>Matteo Fumai</t>
  </si>
  <si>
    <t>Antonio Fucci</t>
  </si>
  <si>
    <t>Enrico Frisone</t>
  </si>
  <si>
    <t>Christian Fricano</t>
  </si>
  <si>
    <t>Lorenzo Fricano</t>
  </si>
  <si>
    <t>Ferdinando Frega</t>
  </si>
  <si>
    <t>Giovanni Frascarelli</t>
  </si>
  <si>
    <t>Giuseppe Frasca</t>
  </si>
  <si>
    <t>Massimo Franchi</t>
  </si>
  <si>
    <t>Alessandro Foti</t>
  </si>
  <si>
    <t>Paola Forlani</t>
  </si>
  <si>
    <t>Franco Forino</t>
  </si>
  <si>
    <t>Antonino Fontana</t>
  </si>
  <si>
    <t>Stefano Flamini</t>
  </si>
  <si>
    <t>Stefano Flaccomio</t>
  </si>
  <si>
    <t>Alessandro Fiumi</t>
  </si>
  <si>
    <t>Raffaele Fiorillo</t>
  </si>
  <si>
    <t>Alessandro Finelli</t>
  </si>
  <si>
    <t>Paolo Finardi</t>
  </si>
  <si>
    <t>Giovanni Fina</t>
  </si>
  <si>
    <t>Giuliano Fina</t>
  </si>
  <si>
    <t>Filippo Filippella</t>
  </si>
  <si>
    <t>Giuseppe Filardo</t>
  </si>
  <si>
    <t>Gianluca Figus</t>
  </si>
  <si>
    <t>Emiddio Figliolino</t>
  </si>
  <si>
    <t>Tiziano Ficola</t>
  </si>
  <si>
    <t>Roberto Ficini</t>
  </si>
  <si>
    <t>Marco Ferrucci</t>
  </si>
  <si>
    <t>Michele Ferrucci</t>
  </si>
  <si>
    <t>Giuseppe Ferro</t>
  </si>
  <si>
    <t>Riccardo Ferri</t>
  </si>
  <si>
    <t>Andrea Ferretti</t>
  </si>
  <si>
    <t>Andrea Ferrari</t>
  </si>
  <si>
    <t>Mattia Ferrante</t>
  </si>
  <si>
    <t>Saverio Ferrante</t>
  </si>
  <si>
    <t>Stefano Feri</t>
  </si>
  <si>
    <t>Luciano Feo</t>
  </si>
  <si>
    <t>Michele Fenucci</t>
  </si>
  <si>
    <t>Fabrizio Fedele</t>
  </si>
  <si>
    <t>Lorenzo Fazio</t>
  </si>
  <si>
    <t>Marco Farneti</t>
  </si>
  <si>
    <t>Andrea Farneti</t>
  </si>
  <si>
    <t>Massimiliano Farnesi</t>
  </si>
  <si>
    <t>Corrado Farina</t>
  </si>
  <si>
    <t>Michele Farace</t>
  </si>
  <si>
    <t>Vito Antonino Famà</t>
  </si>
  <si>
    <t>Riccardo Falorni</t>
  </si>
  <si>
    <t>David Falaschi</t>
  </si>
  <si>
    <t>Stefano Evangelisti</t>
  </si>
  <si>
    <t>Giosuè Esposito</t>
  </si>
  <si>
    <t>Matteo Esposito</t>
  </si>
  <si>
    <t>Bruno Esposito</t>
  </si>
  <si>
    <t>Gabriele Esposito</t>
  </si>
  <si>
    <t>Simone Esposito</t>
  </si>
  <si>
    <t>Eduardo Erminione</t>
  </si>
  <si>
    <t>Donato Erbì</t>
  </si>
  <si>
    <t>Alessandro Erbì</t>
  </si>
  <si>
    <t>Nicola Dragoni</t>
  </si>
  <si>
    <t>Ilario Dragonetti</t>
  </si>
  <si>
    <t>William Dotto</t>
  </si>
  <si>
    <t>Pierpaolo Dore</t>
  </si>
  <si>
    <t>Salvatore Dore</t>
  </si>
  <si>
    <t>Andrea Dorato</t>
  </si>
  <si>
    <t>Vito Donzelli</t>
  </si>
  <si>
    <t>Claudio Dogali</t>
  </si>
  <si>
    <t>Davide Disma</t>
  </si>
  <si>
    <t>Raffaele Di Vito</t>
  </si>
  <si>
    <t>Luigi Di Vito</t>
  </si>
  <si>
    <t>Marco Di Vito</t>
  </si>
  <si>
    <t>Andrea Di Vincenzo</t>
  </si>
  <si>
    <t>Andrea Di Terlizzi</t>
  </si>
  <si>
    <t>Letterio Di Stefano</t>
  </si>
  <si>
    <t>Fabio Di Pietrantonio</t>
  </si>
  <si>
    <t>Andrea Di Pierro</t>
  </si>
  <si>
    <t>Davide Di Pierro</t>
  </si>
  <si>
    <t>Simone Di Pierro</t>
  </si>
  <si>
    <t>Raffaele Di Nola</t>
  </si>
  <si>
    <t>Dario Di Muri</t>
  </si>
  <si>
    <t>Paolo Di Michelangelo</t>
  </si>
  <si>
    <t>Luca Di Lullo</t>
  </si>
  <si>
    <t>Francesco Di Lullo</t>
  </si>
  <si>
    <t>Massimiliano Di Lorenzo</t>
  </si>
  <si>
    <t>Pio Giorgio Di Leo</t>
  </si>
  <si>
    <t>Angelo Di Gennaro</t>
  </si>
  <si>
    <t>Sebastian Di Gennaro</t>
  </si>
  <si>
    <t>Gaetano Di Feo</t>
  </si>
  <si>
    <t>Daniele Di Cè</t>
  </si>
  <si>
    <t>Alessandro Dellepiane</t>
  </si>
  <si>
    <t>Paolo Dellacha'</t>
  </si>
  <si>
    <t>Daniele Della Monaca</t>
  </si>
  <si>
    <t>Marco Del Genovese</t>
  </si>
  <si>
    <t>Gianmarco Del Brocco</t>
  </si>
  <si>
    <t>Federico Del Ben</t>
  </si>
  <si>
    <t>David Del Ben</t>
  </si>
  <si>
    <t>Andrea De Santis</t>
  </si>
  <si>
    <t>Gianpaolo De Santis</t>
  </si>
  <si>
    <t>Marco De Santis</t>
  </si>
  <si>
    <t>Nunzia De Rogati</t>
  </si>
  <si>
    <t>Vittorio De Pascale</t>
  </si>
  <si>
    <t>Massimo De Paolis</t>
  </si>
  <si>
    <t>Stephano De Paoli</t>
  </si>
  <si>
    <t>Paolo De Miranda</t>
  </si>
  <si>
    <t>Adelchi De Miranda</t>
  </si>
  <si>
    <t>Antonio De Masellis</t>
  </si>
  <si>
    <t>David De Maggi</t>
  </si>
  <si>
    <t>Carmine De Luca</t>
  </si>
  <si>
    <t>Andrea De Giosa</t>
  </si>
  <si>
    <t>Antonio De Francesco</t>
  </si>
  <si>
    <t>Stefano De Francesco</t>
  </si>
  <si>
    <t>Alessandro Dazzi</t>
  </si>
  <si>
    <t>Riccardo Damasco</t>
  </si>
  <si>
    <t>Federico Da Re</t>
  </si>
  <si>
    <t>Francesco D'ercole Cappelli</t>
  </si>
  <si>
    <t>Massimo D'auria</t>
  </si>
  <si>
    <t>Mauro D'arco</t>
  </si>
  <si>
    <t>Francesco D'amico</t>
  </si>
  <si>
    <t>Leandro Cuzzocrea</t>
  </si>
  <si>
    <t>Maurizio Cuzzocrea</t>
  </si>
  <si>
    <t>Ugo Custo</t>
  </si>
  <si>
    <t>Salvatore Currò</t>
  </si>
  <si>
    <t>Pietro Curci</t>
  </si>
  <si>
    <t>Giulio Curato</t>
  </si>
  <si>
    <t>Ettore Cuomo</t>
  </si>
  <si>
    <t>Andrea Cucit</t>
  </si>
  <si>
    <t>Domenico Cucinella</t>
  </si>
  <si>
    <t>Filippo Cubeta</t>
  </si>
  <si>
    <t>Antonio Crovetti</t>
  </si>
  <si>
    <t>Morgan Croce</t>
  </si>
  <si>
    <t>Massimiliano Croatti</t>
  </si>
  <si>
    <t>Giovanni Crisconio</t>
  </si>
  <si>
    <t>Lorenzo Crisconio</t>
  </si>
  <si>
    <t>Vittorio Cribari</t>
  </si>
  <si>
    <t>Mauro Cremona</t>
  </si>
  <si>
    <t>Cristiano Craviotto</t>
  </si>
  <si>
    <t>Alessandro Cova</t>
  </si>
  <si>
    <t>Massimo Cotugno</t>
  </si>
  <si>
    <t>Adriano Coticelli</t>
  </si>
  <si>
    <t>Giuseppe Costantino</t>
  </si>
  <si>
    <t>Daniele Corti</t>
  </si>
  <si>
    <t>Alessio Corti</t>
  </si>
  <si>
    <t>Matteo Corti</t>
  </si>
  <si>
    <t>Michele Cortese</t>
  </si>
  <si>
    <t>Antonio Corso</t>
  </si>
  <si>
    <t>Enrico Corso</t>
  </si>
  <si>
    <t>Mario Corradi</t>
  </si>
  <si>
    <t>Silvano Corleto</t>
  </si>
  <si>
    <t>Stefano Corleto</t>
  </si>
  <si>
    <t>Cristiano Cordone</t>
  </si>
  <si>
    <t>Stefano Corazza</t>
  </si>
  <si>
    <t>Raffaele Converti</t>
  </si>
  <si>
    <t>Luca Converti</t>
  </si>
  <si>
    <t>Gianriccardo Colucci</t>
  </si>
  <si>
    <t>Claudio Colpani</t>
  </si>
  <si>
    <t>Francesco Colossi</t>
  </si>
  <si>
    <t>Nicolò Colossi</t>
  </si>
  <si>
    <t>Marco Coletta</t>
  </si>
  <si>
    <t>Maurizio Colella</t>
  </si>
  <si>
    <t>Alessio Colasanti</t>
  </si>
  <si>
    <t>Luca Colangelo</t>
  </si>
  <si>
    <t>Diego Cogo</t>
  </si>
  <si>
    <t>Luca Cirri</t>
  </si>
  <si>
    <t>Stefano Cirillo</t>
  </si>
  <si>
    <t>Gaetano Ciraolo</t>
  </si>
  <si>
    <t>Carlo Ciraolo</t>
  </si>
  <si>
    <t>Emanuele Cipulat</t>
  </si>
  <si>
    <t>Roberto Cipro</t>
  </si>
  <si>
    <t>Mauro Cionfi</t>
  </si>
  <si>
    <t>Daniele Cicognani</t>
  </si>
  <si>
    <t>Andrea Ciccarelli</t>
  </si>
  <si>
    <t>Matteo Ciccarelli</t>
  </si>
  <si>
    <t>Paolo Ciboldi</t>
  </si>
  <si>
    <t>Riccardo Ciboldi</t>
  </si>
  <si>
    <t>Gianni Ciaramella</t>
  </si>
  <si>
    <t>Andrea Ciaramella</t>
  </si>
  <si>
    <t>Massimo Ciano</t>
  </si>
  <si>
    <t>Valeriano Cianchella</t>
  </si>
  <si>
    <t>Dario Ciampoli</t>
  </si>
  <si>
    <t>Luca Ciabattoni</t>
  </si>
  <si>
    <t>Antonio Chieppa</t>
  </si>
  <si>
    <t>Roberto Chicco</t>
  </si>
  <si>
    <t>Aldo Chianucci</t>
  </si>
  <si>
    <t>Matteo Cherici</t>
  </si>
  <si>
    <t>Greta Cevolani</t>
  </si>
  <si>
    <t>Livio Cerullo</t>
  </si>
  <si>
    <t>Guido Cerullo</t>
  </si>
  <si>
    <t>Michele Cerullo</t>
  </si>
  <si>
    <t>Giulio Centonze</t>
  </si>
  <si>
    <t>Ettore Cencini</t>
  </si>
  <si>
    <t>Francesco Celotto</t>
  </si>
  <si>
    <t>Filippo Cecchini</t>
  </si>
  <si>
    <t>Roberto Cecchi</t>
  </si>
  <si>
    <t>Costantino Cavone</t>
  </si>
  <si>
    <t>Micael Caviglia</t>
  </si>
  <si>
    <t>Marino Caviglia</t>
  </si>
  <si>
    <t>Marco Caviglia</t>
  </si>
  <si>
    <t>Fabrizio Cavazza</t>
  </si>
  <si>
    <t>Ismaele Caurla</t>
  </si>
  <si>
    <t>Natan Caurla</t>
  </si>
  <si>
    <t>Piercarlo Cattellani</t>
  </si>
  <si>
    <t>Emanuele Cattani</t>
  </si>
  <si>
    <t>Luca Cataldo</t>
  </si>
  <si>
    <t>Cristoforo Cristiano Catalanotto</t>
  </si>
  <si>
    <t>Mauro Castiglioni</t>
  </si>
  <si>
    <t>Enrico Cassani</t>
  </si>
  <si>
    <t>Andrea Casentini</t>
  </si>
  <si>
    <t>Giuseppe Cascioli</t>
  </si>
  <si>
    <t>Gabriele Casati</t>
  </si>
  <si>
    <t>Alessandro Casanova</t>
  </si>
  <si>
    <t>Francesco Caruso</t>
  </si>
  <si>
    <t>Paolo Carravetta</t>
  </si>
  <si>
    <t>Roberto Carrara</t>
  </si>
  <si>
    <t>Leonardo Carlucci</t>
  </si>
  <si>
    <t>Filippo Careddu</t>
  </si>
  <si>
    <t>Ilario Care</t>
  </si>
  <si>
    <t>Andrea Cardia</t>
  </si>
  <si>
    <t>Roberto Carbonaro</t>
  </si>
  <si>
    <t>Mirko Cappelli</t>
  </si>
  <si>
    <t>Stefano Capossela</t>
  </si>
  <si>
    <t>Alberto Capoferri</t>
  </si>
  <si>
    <t>Guido Capobianco</t>
  </si>
  <si>
    <t>Andrea Capelli</t>
  </si>
  <si>
    <t>Luca Capellacci</t>
  </si>
  <si>
    <t>Lucio Canicchio</t>
  </si>
  <si>
    <t>Christian Canessa</t>
  </si>
  <si>
    <t>Eric Fasce Canessa</t>
  </si>
  <si>
    <t>Antonino Campagna</t>
  </si>
  <si>
    <t>Goffredo Campagna</t>
  </si>
  <si>
    <t>Gianluigi Camerlingo</t>
  </si>
  <si>
    <t>Gioacchino Camerini</t>
  </si>
  <si>
    <t>David Cambi</t>
  </si>
  <si>
    <t>Stefano Calzeroni</t>
  </si>
  <si>
    <t>Carmelo Calvo</t>
  </si>
  <si>
    <t>Gianfranco Calonico</t>
  </si>
  <si>
    <t>Joseph Calò</t>
  </si>
  <si>
    <t>Vincenzo Calabrese</t>
  </si>
  <si>
    <t>Alessandro Cafiero</t>
  </si>
  <si>
    <t>Stefano Cafaggi</t>
  </si>
  <si>
    <t>Sacha Cacioppo</t>
  </si>
  <si>
    <t>Francesco Cacciapuoti</t>
  </si>
  <si>
    <t>Simone Buzzo</t>
  </si>
  <si>
    <t>Stefano Buzzi</t>
  </si>
  <si>
    <t>Eleonora Buttitta</t>
  </si>
  <si>
    <t>Michele Bussotti</t>
  </si>
  <si>
    <t>Stefano Buono</t>
  </si>
  <si>
    <t>Gianluca Buono</t>
  </si>
  <si>
    <t>Marco Brunelli</t>
  </si>
  <si>
    <t>Maurizio Brillantino</t>
  </si>
  <si>
    <t>Francesco Bressi</t>
  </si>
  <si>
    <t>Alessandro Bracali</t>
  </si>
  <si>
    <t>Alberto Borsani</t>
  </si>
  <si>
    <t>Marco Borriello</t>
  </si>
  <si>
    <t>Francesco Borgo</t>
  </si>
  <si>
    <t>Maurizio Borgna</t>
  </si>
  <si>
    <t>Hélène Boniface</t>
  </si>
  <si>
    <t>Pietro Bonfante</t>
  </si>
  <si>
    <t>Marco Bonelli</t>
  </si>
  <si>
    <t>Marco Bonciani</t>
  </si>
  <si>
    <t>Samuele Bonciani</t>
  </si>
  <si>
    <t>Danilo Bonanni</t>
  </si>
  <si>
    <t>Francesco Bombacigno</t>
  </si>
  <si>
    <t>Massimo Bolognino</t>
  </si>
  <si>
    <t>Andrea Bolognino</t>
  </si>
  <si>
    <t>Marcello Bodin De Chatelard</t>
  </si>
  <si>
    <t>Franco Bochicchio</t>
  </si>
  <si>
    <t>Marco Bocci</t>
  </si>
  <si>
    <t>Luca Bisio</t>
  </si>
  <si>
    <t>Angelo Bisio</t>
  </si>
  <si>
    <t>Alfredo Biscardi</t>
  </si>
  <si>
    <t>Valerio Bilucaglia</t>
  </si>
  <si>
    <t>Dario Bilucaglia</t>
  </si>
  <si>
    <t>Alessandro Billi</t>
  </si>
  <si>
    <t>Samuele Bignardi</t>
  </si>
  <si>
    <t>Luca Bignardi</t>
  </si>
  <si>
    <t>Claudio Bicchi</t>
  </si>
  <si>
    <t>Davide Biasci</t>
  </si>
  <si>
    <t>Pierluigi Bianco</t>
  </si>
  <si>
    <t>Alan Bianchi</t>
  </si>
  <si>
    <t>Pierluigi Bianchi</t>
  </si>
  <si>
    <t>Pierluigi Bevilacqua</t>
  </si>
  <si>
    <t>Costantino Bevilacqua</t>
  </si>
  <si>
    <t>Andrea Bevilacqua</t>
  </si>
  <si>
    <t>Claudio Besate</t>
  </si>
  <si>
    <t>Daniele Bertelli</t>
  </si>
  <si>
    <t>Simone Bertelli</t>
  </si>
  <si>
    <t>Luigi Berlinghieri</t>
  </si>
  <si>
    <t>Riccardo Berioli</t>
  </si>
  <si>
    <t>Enrico Bergamasco</t>
  </si>
  <si>
    <t>Carlo Alfredo Beretta</t>
  </si>
  <si>
    <t>Antonio Berardi</t>
  </si>
  <si>
    <t>Francesco Benussi</t>
  </si>
  <si>
    <t>Gionata Benedetti</t>
  </si>
  <si>
    <t>Edoardo Bellotto</t>
  </si>
  <si>
    <t>Fabio Belloni</t>
  </si>
  <si>
    <t>Gianni Belli</t>
  </si>
  <si>
    <t>Fabio Belisario</t>
  </si>
  <si>
    <t>Tiberio Becucci</t>
  </si>
  <si>
    <t>Filippo Becattini</t>
  </si>
  <si>
    <t>Giampaolo Beani</t>
  </si>
  <si>
    <t>Tommaso Bazzoli</t>
  </si>
  <si>
    <t>Luca Battista</t>
  </si>
  <si>
    <t>Umberto Battista</t>
  </si>
  <si>
    <t>Ciro Battipaglia</t>
  </si>
  <si>
    <t>Giuseppe Battaglia</t>
  </si>
  <si>
    <t>Giuseppe Basile</t>
  </si>
  <si>
    <t>Raffaele Basile</t>
  </si>
  <si>
    <t>Abramo Bartolini</t>
  </si>
  <si>
    <t>Luigi Baroni</t>
  </si>
  <si>
    <t>Luigi Barone</t>
  </si>
  <si>
    <t>Maria Bari</t>
  </si>
  <si>
    <t>Rossella Bari</t>
  </si>
  <si>
    <t>Stefano Barducci</t>
  </si>
  <si>
    <t>Federico Bardari</t>
  </si>
  <si>
    <t>Stefano Bardari</t>
  </si>
  <si>
    <t>Massimiliano Barbieri</t>
  </si>
  <si>
    <t>Stefano Barbani</t>
  </si>
  <si>
    <t>Gian Marco Baratella</t>
  </si>
  <si>
    <t>Luca Baraldi</t>
  </si>
  <si>
    <t>Andrea Barabino</t>
  </si>
  <si>
    <t>Mario Banditelli</t>
  </si>
  <si>
    <t>Romualdo Balzano</t>
  </si>
  <si>
    <t>Davide Balito</t>
  </si>
  <si>
    <t>Andrea Balestrucci</t>
  </si>
  <si>
    <t>Armando Balestrieri</t>
  </si>
  <si>
    <t>Massimo Balestrieri</t>
  </si>
  <si>
    <t>Matteo Balboni</t>
  </si>
  <si>
    <t>Paolo Baglioni</t>
  </si>
  <si>
    <t>Gianmarco Bacigalupo</t>
  </si>
  <si>
    <t>Ennio Bacich</t>
  </si>
  <si>
    <t>Marco Bacci</t>
  </si>
  <si>
    <t>Stefano Bacchin</t>
  </si>
  <si>
    <t>Davide Bacchin</t>
  </si>
  <si>
    <t>Arturo Azzaro</t>
  </si>
  <si>
    <t>Alberto Azzali</t>
  </si>
  <si>
    <t>Gianfranco Attanasio</t>
  </si>
  <si>
    <t>Riccardo Arrighi</t>
  </si>
  <si>
    <t>Emanuele Arrighetti</t>
  </si>
  <si>
    <t>Alessandro Armelleschi</t>
  </si>
  <si>
    <t>Luigi Arena</t>
  </si>
  <si>
    <t>Alessandro Arca</t>
  </si>
  <si>
    <t>Alberto Apollo</t>
  </si>
  <si>
    <t>Matteo Antelmi</t>
  </si>
  <si>
    <t>Andrea Anderlini</t>
  </si>
  <si>
    <t>Genny Ancarola</t>
  </si>
  <si>
    <t>Alessandro Amatelli</t>
  </si>
  <si>
    <t>Biagio Amata</t>
  </si>
  <si>
    <t>Giorgio Amabile</t>
  </si>
  <si>
    <t>Aaron Allison</t>
  </si>
  <si>
    <t>Andrea Alfonsi</t>
  </si>
  <si>
    <t>Carlo Alessi</t>
  </si>
  <si>
    <t>Lorenzo Aiani</t>
  </si>
  <si>
    <t>Pietro Aiani</t>
  </si>
  <si>
    <t>Kenzo Koi</t>
  </si>
  <si>
    <t>Yuko Nakahara</t>
  </si>
  <si>
    <t>Taichi Kato</t>
  </si>
  <si>
    <t>Makoto Miyake</t>
  </si>
  <si>
    <t>Takafumi Tokita</t>
  </si>
  <si>
    <t>Takafumi Kido</t>
  </si>
  <si>
    <t>Yoshiyuki Okano</t>
  </si>
  <si>
    <t>Kazuki Okano</t>
  </si>
  <si>
    <t>Suguru Fujino</t>
  </si>
  <si>
    <t>Tomoyuki Yoshimura</t>
  </si>
  <si>
    <t>Cédric Garnier</t>
  </si>
  <si>
    <t>Noriyuki Suzuki</t>
  </si>
  <si>
    <t>Kosuke Mukai</t>
  </si>
  <si>
    <t>Bill Wright</t>
  </si>
  <si>
    <t>Shigemi Tanaka</t>
  </si>
  <si>
    <t>Daigo Mori</t>
  </si>
  <si>
    <t>Isshin Mori</t>
  </si>
  <si>
    <t>Tatsuki Mori</t>
  </si>
  <si>
    <t>Tomoki Ura</t>
  </si>
  <si>
    <t>Ryoichiro Ito</t>
  </si>
  <si>
    <t>Honoka Someya</t>
  </si>
  <si>
    <t>Kuniko Yamao</t>
  </si>
  <si>
    <t>Caline Garnier</t>
  </si>
  <si>
    <t>Manabu Nishi</t>
  </si>
  <si>
    <t>Miaki Nishi</t>
  </si>
  <si>
    <t>Yohei Gomi</t>
  </si>
  <si>
    <t>Hideki Hamagami</t>
  </si>
  <si>
    <t>Chiharu Fuchigami</t>
  </si>
  <si>
    <t>Naoki Tanaka</t>
  </si>
  <si>
    <t>Michael M Dent</t>
  </si>
  <si>
    <t>Vishnu Varthana Sundram</t>
  </si>
  <si>
    <t>Sharvind Vyas Veera</t>
  </si>
  <si>
    <t>Muhammad Firman</t>
  </si>
  <si>
    <t>Jamie Kong</t>
  </si>
  <si>
    <t>Muhammad Fiesal</t>
  </si>
  <si>
    <t>Rajakumaran Mohnish</t>
  </si>
  <si>
    <t>Gill Thesan Nikhil</t>
  </si>
  <si>
    <t>Muhammad Jibril</t>
  </si>
  <si>
    <t>Hisham Azman</t>
  </si>
  <si>
    <t>Muhammad Yazre</t>
  </si>
  <si>
    <t>Sathia Sundram</t>
  </si>
  <si>
    <t>Edwin Wong</t>
  </si>
  <si>
    <t>Charles Aquilina</t>
  </si>
  <si>
    <t>Samuel Bartolo</t>
  </si>
  <si>
    <t>Melvin Barun</t>
  </si>
  <si>
    <t>Adrian Bonnici</t>
  </si>
  <si>
    <t>Angelo Borg</t>
  </si>
  <si>
    <t>Joseph Borg Bonaci</t>
  </si>
  <si>
    <t>Josef Camilleri</t>
  </si>
  <si>
    <t>Mario Camilleri</t>
  </si>
  <si>
    <t>Mauro Camilleri</t>
  </si>
  <si>
    <t>Derek Conti</t>
  </si>
  <si>
    <t>George Ebejer</t>
  </si>
  <si>
    <t>Tristan Fenech</t>
  </si>
  <si>
    <t>Mark Gauci</t>
  </si>
  <si>
    <t>Hansel Mallia</t>
  </si>
  <si>
    <t>Joseph Mifsud</t>
  </si>
  <si>
    <t>Vincent Mifsud</t>
  </si>
  <si>
    <t>Patrick Pace</t>
  </si>
  <si>
    <t>Jason Pisani</t>
  </si>
  <si>
    <t>Jean Carl Tabone</t>
  </si>
  <si>
    <t>Joseph Zammit Pavia</t>
  </si>
  <si>
    <t>John Zammit</t>
  </si>
  <si>
    <t>Thomas Ebejer</t>
  </si>
  <si>
    <t>Jurgen Balzan</t>
  </si>
  <si>
    <t>Jamie Bonnici</t>
  </si>
  <si>
    <t>Jeshua Bonnici</t>
  </si>
  <si>
    <t>Alfred Bonnici</t>
  </si>
  <si>
    <t>Stanley Farrugia Randon</t>
  </si>
  <si>
    <t>Frank Chetcuti Dimech</t>
  </si>
  <si>
    <t>Emanuel Camilleri</t>
  </si>
  <si>
    <t>Isaac Sam Camilleri</t>
  </si>
  <si>
    <t>Jayden Bonnici</t>
  </si>
  <si>
    <t>Walter Joseph Attard</t>
  </si>
  <si>
    <t>Robert Farrugia Randon</t>
  </si>
  <si>
    <t>Mario Fleri Soler</t>
  </si>
  <si>
    <t>Spencer Conti</t>
  </si>
  <si>
    <t>Valentino Zamara</t>
  </si>
  <si>
    <t>Nicole Abela</t>
  </si>
  <si>
    <t>René Bolte</t>
  </si>
  <si>
    <t>Marco De Bruin</t>
  </si>
  <si>
    <t>Maikel De Haas</t>
  </si>
  <si>
    <t>Patrick De Jong</t>
  </si>
  <si>
    <t>Chantal De Jong</t>
  </si>
  <si>
    <t>Mirjam De Jong</t>
  </si>
  <si>
    <t>Kenney Gerrets</t>
  </si>
  <si>
    <t>Dennis Landzaat</t>
  </si>
  <si>
    <t>Nico Marks</t>
  </si>
  <si>
    <t>Rinaldo Van Dijk</t>
  </si>
  <si>
    <t>Peter Van Kooten</t>
  </si>
  <si>
    <t>Casey Van Os</t>
  </si>
  <si>
    <t>Anders Bergane</t>
  </si>
  <si>
    <t>Anders Grorud</t>
  </si>
  <si>
    <t>Jon Henning Bergane</t>
  </si>
  <si>
    <t>Lars Tore Myge</t>
  </si>
  <si>
    <t>Trond Pedersen</t>
  </si>
  <si>
    <t>Svein Arne Brekke</t>
  </si>
  <si>
    <t>Sondre Nordjore</t>
  </si>
  <si>
    <t>Fredrik Rawicki</t>
  </si>
  <si>
    <t>Christian Schulze</t>
  </si>
  <si>
    <t>Martin Eikeland</t>
  </si>
  <si>
    <t>Håkon Lunde</t>
  </si>
  <si>
    <t>Mathias Kastet</t>
  </si>
  <si>
    <t>Kjetil Fosse</t>
  </si>
  <si>
    <t>Thomas Flaaten Fredriksen</t>
  </si>
  <si>
    <t>Terje Ellefsen</t>
  </si>
  <si>
    <t>Robert Ludvigsen</t>
  </si>
  <si>
    <t>Frode Sveinungsen</t>
  </si>
  <si>
    <t>Jan-Thomas Moen</t>
  </si>
  <si>
    <t>Aleksandra Niedzielska</t>
  </si>
  <si>
    <t>Luís Abreu</t>
  </si>
  <si>
    <t>Bruno Abreu</t>
  </si>
  <si>
    <t>Gil Afonso</t>
  </si>
  <si>
    <t>Nelson Afonso</t>
  </si>
  <si>
    <t>Miguel Amaro</t>
  </si>
  <si>
    <t>Ricardo Campos</t>
  </si>
  <si>
    <t>Bernardo Cardoso</t>
  </si>
  <si>
    <t>Hugo Carvalho</t>
  </si>
  <si>
    <t>Miguel Castro</t>
  </si>
  <si>
    <t>João Matos Dias</t>
  </si>
  <si>
    <t>Rodrigo Eira</t>
  </si>
  <si>
    <t>Paulo Elias</t>
  </si>
  <si>
    <t>Miguel Faria</t>
  </si>
  <si>
    <t>João Feiteira</t>
  </si>
  <si>
    <t>André Fernandes</t>
  </si>
  <si>
    <t>Vitorino Ferreira</t>
  </si>
  <si>
    <t>Rui Fonseca</t>
  </si>
  <si>
    <t>José Freitas</t>
  </si>
  <si>
    <t>Paulo Gouveia</t>
  </si>
  <si>
    <t>Vasco Guimaraes</t>
  </si>
  <si>
    <t>Nuno Henriques</t>
  </si>
  <si>
    <t>Vasco Henriques</t>
  </si>
  <si>
    <t>Matilde Henriques</t>
  </si>
  <si>
    <t>Luís Filipe Horta</t>
  </si>
  <si>
    <t>Ricardo José</t>
  </si>
  <si>
    <t>Paulo Laranjeira</t>
  </si>
  <si>
    <t>Nélson Leitão</t>
  </si>
  <si>
    <t>Sérgio Loureiro</t>
  </si>
  <si>
    <t>Filipe Maia</t>
  </si>
  <si>
    <t>José Carlos Marques</t>
  </si>
  <si>
    <t>João Matias</t>
  </si>
  <si>
    <t>Francisco Mendes</t>
  </si>
  <si>
    <t>Rui Mendes</t>
  </si>
  <si>
    <t>Guilherme Mendonça</t>
  </si>
  <si>
    <t>Norberto Miguel</t>
  </si>
  <si>
    <t>Ruben Monteiro</t>
  </si>
  <si>
    <t>Nuno Noronha</t>
  </si>
  <si>
    <t>João Nunes</t>
  </si>
  <si>
    <t>Rúben Paleta</t>
  </si>
  <si>
    <t>Ricardo Pavão</t>
  </si>
  <si>
    <t>Afonso Pereira</t>
  </si>
  <si>
    <t>Diogo Pereira</t>
  </si>
  <si>
    <t>Paulo Português</t>
  </si>
  <si>
    <t>Ruben Português</t>
  </si>
  <si>
    <t>Sérgio Ramos</t>
  </si>
  <si>
    <t>Nuno Reis</t>
  </si>
  <si>
    <t>João Rodrigues</t>
  </si>
  <si>
    <t>Abel Rosa</t>
  </si>
  <si>
    <t>José Santos</t>
  </si>
  <si>
    <t>Manuel Santos</t>
  </si>
  <si>
    <t>Paulo Sena</t>
  </si>
  <si>
    <t>Sérgio Silva</t>
  </si>
  <si>
    <t>Jaime Silva</t>
  </si>
  <si>
    <t>Jorge Silva</t>
  </si>
  <si>
    <t>Luís Miguel Silva</t>
  </si>
  <si>
    <t>Luís Filipe Silva</t>
  </si>
  <si>
    <t>Tiago Sousa</t>
  </si>
  <si>
    <t>António Tavares</t>
  </si>
  <si>
    <t>Bruno Valente</t>
  </si>
  <si>
    <t>Gonçalo Vieira</t>
  </si>
  <si>
    <t>Carolina Villarigues</t>
  </si>
  <si>
    <t>Gil Amaro</t>
  </si>
  <si>
    <t>Pedro Amaro</t>
  </si>
  <si>
    <t>António Pires</t>
  </si>
  <si>
    <t>Placido Carbonaro</t>
  </si>
  <si>
    <t>Nuno Alves</t>
  </si>
  <si>
    <t>Pedro Sampaio</t>
  </si>
  <si>
    <t>Carlos Oleastro</t>
  </si>
  <si>
    <t>Nuno Silva</t>
  </si>
  <si>
    <t>Luís Neves</t>
  </si>
  <si>
    <t>João Pascoal</t>
  </si>
  <si>
    <t>André Almeida</t>
  </si>
  <si>
    <t>José Trindade</t>
  </si>
  <si>
    <t>Rui Varela</t>
  </si>
  <si>
    <t>Pedro Araújo</t>
  </si>
  <si>
    <t>Nuno Afonso</t>
  </si>
  <si>
    <t>Maria Joao Silva</t>
  </si>
  <si>
    <t>André Correia</t>
  </si>
  <si>
    <t>Santiago Pereira</t>
  </si>
  <si>
    <t>Tomás Albuquerque</t>
  </si>
  <si>
    <t>Tomás Santos</t>
  </si>
  <si>
    <t>Francisco Martins</t>
  </si>
  <si>
    <t>Júlia Mendes</t>
  </si>
  <si>
    <t>Lucas Almeida</t>
  </si>
  <si>
    <t>Pedro Trindade</t>
  </si>
  <si>
    <t>Tomàs Trindade</t>
  </si>
  <si>
    <t>Paulo Sobral</t>
  </si>
  <si>
    <t>Salvador Gonçalves</t>
  </si>
  <si>
    <t>André Schubiditze</t>
  </si>
  <si>
    <t>Cláudio Miguel Garcia</t>
  </si>
  <si>
    <t>Carmo Costa</t>
  </si>
  <si>
    <t>Ricardo Botas</t>
  </si>
  <si>
    <t>Pedro M Pinto</t>
  </si>
  <si>
    <t>Tiago Magno</t>
  </si>
  <si>
    <t>Beatriz Oliveira</t>
  </si>
  <si>
    <t>Guilherme Santos</t>
  </si>
  <si>
    <t>Luis Lobo</t>
  </si>
  <si>
    <t>José Martin</t>
  </si>
  <si>
    <t>Pedro Henrique</t>
  </si>
  <si>
    <t>João Raimundo</t>
  </si>
  <si>
    <t>Mark Farrell</t>
  </si>
  <si>
    <t>Gary Moore</t>
  </si>
  <si>
    <t>John Moore</t>
  </si>
  <si>
    <t>Nicky Moore</t>
  </si>
  <si>
    <t>Ken McKenzie</t>
  </si>
  <si>
    <t>Mick O’Brien</t>
  </si>
  <si>
    <t>Brendan Rodgers</t>
  </si>
  <si>
    <t>Oisín Mac Eó</t>
  </si>
  <si>
    <t>Andy Fitzpatrick</t>
  </si>
  <si>
    <t>Daniel Kaliszewski</t>
  </si>
  <si>
    <t>Fiona Moore</t>
  </si>
  <si>
    <t>Cian Moore</t>
  </si>
  <si>
    <t>Veronica Ardeleanou</t>
  </si>
  <si>
    <t>Andrey Vlasov</t>
  </si>
  <si>
    <t>Malcolm Lees</t>
  </si>
  <si>
    <t>Ronnie McKenzie</t>
  </si>
  <si>
    <t>Dave Gladman</t>
  </si>
  <si>
    <t>William Fleming</t>
  </si>
  <si>
    <t>Barry Corr</t>
  </si>
  <si>
    <t>Tom Burns</t>
  </si>
  <si>
    <t>Dave Butler</t>
  </si>
  <si>
    <t>Colin Berry</t>
  </si>
  <si>
    <t>Steve Bennett</t>
  </si>
  <si>
    <t>Scott Fleming</t>
  </si>
  <si>
    <t>Gareth Christie</t>
  </si>
  <si>
    <t>Baver Bari</t>
  </si>
  <si>
    <t>David Baxter</t>
  </si>
  <si>
    <t>Martin Campbell</t>
  </si>
  <si>
    <t>David Houston</t>
  </si>
  <si>
    <t>John Halpin</t>
  </si>
  <si>
    <t>Andy Beskaby</t>
  </si>
  <si>
    <t>Fraser McKenzie</t>
  </si>
  <si>
    <t>Craig Thom</t>
  </si>
  <si>
    <t>John Mathieson</t>
  </si>
  <si>
    <t>Dave Minty</t>
  </si>
  <si>
    <t>Brian Spoors</t>
  </si>
  <si>
    <t>Marco Bevilacqua</t>
  </si>
  <si>
    <t>Ryan McPhail</t>
  </si>
  <si>
    <t>Oriano Micheletti</t>
  </si>
  <si>
    <t>Colin Nicol</t>
  </si>
  <si>
    <t>John Marshall</t>
  </si>
  <si>
    <t>Paul McFadyen</t>
  </si>
  <si>
    <t>Ric Rivas</t>
  </si>
  <si>
    <t>Rudy Hesty Roslan</t>
  </si>
  <si>
    <t>Amin Mohd Anis</t>
  </si>
  <si>
    <t>Muhd Irshadullah Mohd Yusoff</t>
  </si>
  <si>
    <t>Noor Haikal Mohd Sabah</t>
  </si>
  <si>
    <t>Muhd Farhan Othman</t>
  </si>
  <si>
    <t>Mohd Rizal Taib</t>
  </si>
  <si>
    <t>Wee Lik Soh</t>
  </si>
  <si>
    <t>Mohd Farhan Jaafar</t>
  </si>
  <si>
    <t>Muhd Fadhly Fahmi</t>
  </si>
  <si>
    <t>Jonathan Cheong</t>
  </si>
  <si>
    <t>Muhammad Azhar Yusri</t>
  </si>
  <si>
    <t>Susiayanto Sunaryo</t>
  </si>
  <si>
    <t>Suhermanto Sunaryo</t>
  </si>
  <si>
    <t>Siang Ping, Jeslin Tan</t>
  </si>
  <si>
    <t>Muhd Azim Haikal Azhar</t>
  </si>
  <si>
    <t>Nur Hazely Azman</t>
  </si>
  <si>
    <t>Chong Leng, Eddie Yap</t>
  </si>
  <si>
    <t>Fatin Fazura</t>
  </si>
  <si>
    <t>Muhd Adam Ihsan Boon</t>
  </si>
  <si>
    <t>Muhd Farhan Daud</t>
  </si>
  <si>
    <t>Hui Lan, Cindy Yap</t>
  </si>
  <si>
    <t>Muhd Ashraf Daud</t>
  </si>
  <si>
    <t>Azan Asbi</t>
  </si>
  <si>
    <t>Hasyafiq Razali</t>
  </si>
  <si>
    <t>Sulaiman Marican Osman</t>
  </si>
  <si>
    <t>Tiong Hian Ng</t>
  </si>
  <si>
    <t>Xin Yu Chang</t>
  </si>
  <si>
    <t>Celine Koh</t>
  </si>
  <si>
    <t>Peter Ooi</t>
  </si>
  <si>
    <t>Den Mulia Yusni</t>
  </si>
  <si>
    <t>Ji Quan, Joel Long</t>
  </si>
  <si>
    <t>Mursyid Mazlan</t>
  </si>
  <si>
    <t>Oliver Ong</t>
  </si>
  <si>
    <t>Muhd Faruk Firdaus</t>
  </si>
  <si>
    <t>Abdul Haris</t>
  </si>
  <si>
    <t>Muhd Farhan Fahmi</t>
  </si>
  <si>
    <t>Norizal Mohd Noor</t>
  </si>
  <si>
    <t>Mohd Asyraaf Husain</t>
  </si>
  <si>
    <t>Muhd Firdaus Sukaimi</t>
  </si>
  <si>
    <t>Mohd Faruq Mohd Noor</t>
  </si>
  <si>
    <t>Erza Aripin</t>
  </si>
  <si>
    <t>Erfandy Kusnadi</t>
  </si>
  <si>
    <t>Mohd Ezan Ahmad</t>
  </si>
  <si>
    <t>Yu Xiang, Henry Peh</t>
  </si>
  <si>
    <t>Yu Zhu, Apple Oh</t>
  </si>
  <si>
    <t>Shiong Bock, John Ho</t>
  </si>
  <si>
    <t>Kok Wee Tan</t>
  </si>
  <si>
    <t>Mohd Faizal Abdul Rahman</t>
  </si>
  <si>
    <t>Christopher Soh</t>
  </si>
  <si>
    <t>Christophe Soh</t>
  </si>
  <si>
    <t>Ahmad Zulfadhlee Razali</t>
  </si>
  <si>
    <t>Muhd Raihan Razaki</t>
  </si>
  <si>
    <t>Rusydi Muhd Abdullah</t>
  </si>
  <si>
    <t>Anas Rahamat</t>
  </si>
  <si>
    <t>Mohd Faizul Jaafar</t>
  </si>
  <si>
    <t>Zi Rong, Galvin Ho</t>
  </si>
  <si>
    <t>Mohd Haikel Norazam</t>
  </si>
  <si>
    <t>Mohd Khairul Nizad Zainal</t>
  </si>
  <si>
    <t>Chandru G Chugani</t>
  </si>
  <si>
    <t>Vishal G Chugani</t>
  </si>
  <si>
    <t>Raju Naraindas</t>
  </si>
  <si>
    <t>Michael Choong</t>
  </si>
  <si>
    <t>Giovanni Choong</t>
  </si>
  <si>
    <t>Mohd Rizal Ahmad</t>
  </si>
  <si>
    <t>Mohd Rizal Mohd Asyraf</t>
  </si>
  <si>
    <t>Paulus Tan</t>
  </si>
  <si>
    <t>Nur Hashim</t>
  </si>
  <si>
    <t>Azlan Bin Sidek</t>
  </si>
  <si>
    <t>Izham Bin Sidek</t>
  </si>
  <si>
    <t>Fathul Rahman Bin Kamsani</t>
  </si>
  <si>
    <t>Mohd Fauzi, Abdul Ghani</t>
  </si>
  <si>
    <t>John Edwards William</t>
  </si>
  <si>
    <t>Bernard Lim</t>
  </si>
  <si>
    <t>Arthur Yeo</t>
  </si>
  <si>
    <t>Nic Tan</t>
  </si>
  <si>
    <t>Sammy Phua</t>
  </si>
  <si>
    <t>Gary Ong</t>
  </si>
  <si>
    <t>Syabil Marzuq Bin Sulaiman</t>
  </si>
  <si>
    <t>Vikas K Chandiramani</t>
  </si>
  <si>
    <t>Ahmad Zahri</t>
  </si>
  <si>
    <t>Christopher George</t>
  </si>
  <si>
    <t>Luke Lim</t>
  </si>
  <si>
    <t>Isaac Lim</t>
  </si>
  <si>
    <t>Jocelyn Goh</t>
  </si>
  <si>
    <t>Dickson Goh</t>
  </si>
  <si>
    <t>Darren Goh</t>
  </si>
  <si>
    <t>Doulatram Sham</t>
  </si>
  <si>
    <t>Bhavin Sham</t>
  </si>
  <si>
    <t>Ruhan Sham</t>
  </si>
  <si>
    <t>Arthur Lim</t>
  </si>
  <si>
    <t>Wai Mun Lek</t>
  </si>
  <si>
    <t>Eugene Lek</t>
  </si>
  <si>
    <t>Mohamad Zaffinoor, Kassim Bin Mohd</t>
  </si>
  <si>
    <t>Irwan Iskandar</t>
  </si>
  <si>
    <t>Benny Ng</t>
  </si>
  <si>
    <t>Kassim Irwanshah</t>
  </si>
  <si>
    <t>Quan Feng Lim</t>
  </si>
  <si>
    <t>Mohd Bolkiah Musa</t>
  </si>
  <si>
    <t>Ismail Shafiq</t>
  </si>
  <si>
    <t>Ding Heng Lim</t>
  </si>
  <si>
    <t>Yew Seng Lim</t>
  </si>
  <si>
    <t>Sunil Nanwani</t>
  </si>
  <si>
    <t>Wei Xuan Lim</t>
  </si>
  <si>
    <t>Ilhan Daanish</t>
  </si>
  <si>
    <t>Derek Brierley</t>
  </si>
  <si>
    <t>Ming Liang Li</t>
  </si>
  <si>
    <t>Khairil Zam Bin Kamaruzaman</t>
  </si>
  <si>
    <t>Simon E Seck Peng</t>
  </si>
  <si>
    <t>Fazlur Rahman Bun Kamsani</t>
  </si>
  <si>
    <t>Kah Jun, Dylan Lim</t>
  </si>
  <si>
    <t>Yi De Tan</t>
  </si>
  <si>
    <t>Tanishq Vikas Chandiramani</t>
  </si>
  <si>
    <t>Muhammad Salihin Bin Rosli</t>
  </si>
  <si>
    <t>Muhd Firdaus Bahrin</t>
  </si>
  <si>
    <t>Ashley Tan</t>
  </si>
  <si>
    <t>Yew Loy Tan</t>
  </si>
  <si>
    <t>Nigel Foo</t>
  </si>
  <si>
    <t>Fanddy Bin Halil</t>
  </si>
  <si>
    <t>Ismail Alfian</t>
  </si>
  <si>
    <t>Rizal Mohd Amirul</t>
  </si>
  <si>
    <t>Aiman Arjuna</t>
  </si>
  <si>
    <t>Talib K Dohadwala</t>
  </si>
  <si>
    <t>Nor Aniq Bin Norizal</t>
  </si>
  <si>
    <t>Nor Afiq Bin Norizal</t>
  </si>
  <si>
    <t>Kheng Kwang Ong</t>
  </si>
  <si>
    <t>Lewis, Cheng Yi Ong</t>
  </si>
  <si>
    <t>Aqhari, Bin Muhd Azhar Muhd Farish</t>
  </si>
  <si>
    <t>Enzo Fornano</t>
  </si>
  <si>
    <t>Tong Leng Tan</t>
  </si>
  <si>
    <t>Cheow Hwa Cheow Hwa</t>
  </si>
  <si>
    <t>Adam Cheong</t>
  </si>
  <si>
    <t>Vikkram S Kumar</t>
  </si>
  <si>
    <t>Joshua Lew</t>
  </si>
  <si>
    <t>Mohammed Irwan Bin Sahir</t>
  </si>
  <si>
    <t>Lucas Seow</t>
  </si>
  <si>
    <t>Claris Lim</t>
  </si>
  <si>
    <t>K. S. Bavasuryan</t>
  </si>
  <si>
    <t>Ying En, Vivian Lam</t>
  </si>
  <si>
    <t>Azhari Bin Isnin</t>
  </si>
  <si>
    <t>Aidil Bin Idris</t>
  </si>
  <si>
    <t>Haziq Idraki Bin Aidil</t>
  </si>
  <si>
    <t>Yong An, Gary Ng</t>
  </si>
  <si>
    <t>Luca Maida</t>
  </si>
  <si>
    <t>Adoma Adam Ali</t>
  </si>
  <si>
    <t>Ibrahim Amin Abdelkrem</t>
  </si>
  <si>
    <t>Peter Erb</t>
  </si>
  <si>
    <t>Maxwell S Gautschi</t>
  </si>
  <si>
    <t>Mario Marchisio</t>
  </si>
  <si>
    <t>Paul Remund</t>
  </si>
  <si>
    <t>Martin Wiesmann</t>
  </si>
  <si>
    <t>John Imbrogiano</t>
  </si>
  <si>
    <t>Roman Bernhardsgrütter</t>
  </si>
  <si>
    <t>Armando Mustacato</t>
  </si>
  <si>
    <t>Gianluca Macri</t>
  </si>
  <si>
    <t>Stefano Cardinale</t>
  </si>
  <si>
    <t>Fabio Domenico</t>
  </si>
  <si>
    <t>Robert Szendröi</t>
  </si>
  <si>
    <t>Skander Farza</t>
  </si>
  <si>
    <t>Mongi Rouis</t>
  </si>
  <si>
    <t>Yasser Rouis</t>
  </si>
  <si>
    <t>Yanis Farza</t>
  </si>
  <si>
    <t>Thomas PONTÉ</t>
  </si>
  <si>
    <t>Nicolas BÉTHENCOURT</t>
  </si>
  <si>
    <t>Ivan POPOV</t>
  </si>
  <si>
    <t>Miroslava TSYBENKO</t>
  </si>
  <si>
    <t>Denys KOZAK</t>
  </si>
  <si>
    <t>Iryna PROKHORENKO</t>
  </si>
  <si>
    <t>Peter Alegi</t>
  </si>
  <si>
    <t>Max Ambrosio</t>
  </si>
  <si>
    <t>Kevin Antoszewski</t>
  </si>
  <si>
    <t>Bryan Arnold</t>
  </si>
  <si>
    <t>Kevin Bao</t>
  </si>
  <si>
    <t>Chris Barron</t>
  </si>
  <si>
    <t>Alex Batacchi</t>
  </si>
  <si>
    <t>Isabel Batacchi</t>
  </si>
  <si>
    <t>Mike Byrd</t>
  </si>
  <si>
    <t>João Paulo Casaca</t>
  </si>
  <si>
    <t>Alexander Charles</t>
  </si>
  <si>
    <t>Sam Cohen</t>
  </si>
  <si>
    <t>Adolfo Colindres</t>
  </si>
  <si>
    <t>Massimo Conturso</t>
  </si>
  <si>
    <t>Daniel Cranston</t>
  </si>
  <si>
    <t>Eddie Davidson</t>
  </si>
  <si>
    <t>Jeff Davidson</t>
  </si>
  <si>
    <t>Gregg Deinhart</t>
  </si>
  <si>
    <t>Tony Esteban</t>
  </si>
  <si>
    <t>Paul Eyes</t>
  </si>
  <si>
    <t>Christian Filippella</t>
  </si>
  <si>
    <t>Lenny Foster</t>
  </si>
  <si>
    <t>Alex Galarza</t>
  </si>
  <si>
    <t>Eric Garza</t>
  </si>
  <si>
    <t>Andrew Giffen</t>
  </si>
  <si>
    <t>Ilias Gikas</t>
  </si>
  <si>
    <t>Erik Haefke</t>
  </si>
  <si>
    <t>Chad Allen Idema</t>
  </si>
  <si>
    <t>Schoonmaker Jake</t>
  </si>
  <si>
    <t>Wyss James</t>
  </si>
  <si>
    <t>Tony Kees</t>
  </si>
  <si>
    <t>Shaun Kidsley</t>
  </si>
  <si>
    <t>Byung Kim</t>
  </si>
  <si>
    <t>Brian King</t>
  </si>
  <si>
    <t>Javier King</t>
  </si>
  <si>
    <t>Todd Kleppin</t>
  </si>
  <si>
    <t>Varant Kurkeyerian</t>
  </si>
  <si>
    <t>Brian Lambert</t>
  </si>
  <si>
    <t>Dewey Larochelle</t>
  </si>
  <si>
    <t>Joe Legatz</t>
  </si>
  <si>
    <t>Grant Lilly</t>
  </si>
  <si>
    <t>Daniel Louis</t>
  </si>
  <si>
    <t>Miko Mann</t>
  </si>
  <si>
    <t>Sean Mann</t>
  </si>
  <si>
    <t>Tom Martz</t>
  </si>
  <si>
    <t>Brandon Mata</t>
  </si>
  <si>
    <t>Eddy Mclane</t>
  </si>
  <si>
    <t>Richard Mellott</t>
  </si>
  <si>
    <t>Jercich Mike</t>
  </si>
  <si>
    <t>Brandon Minton</t>
  </si>
  <si>
    <t>Frank Montabon</t>
  </si>
  <si>
    <t>Conan Mullen</t>
  </si>
  <si>
    <t>Benny Nuger</t>
  </si>
  <si>
    <t>Paul Pate</t>
  </si>
  <si>
    <t>Nathan Pate</t>
  </si>
  <si>
    <t>Forest Pavel</t>
  </si>
  <si>
    <t>Joey Peters</t>
  </si>
  <si>
    <t>Zachria Rodgers</t>
  </si>
  <si>
    <t>Isaac Rodgers</t>
  </si>
  <si>
    <t>Stuart Russell</t>
  </si>
  <si>
    <t>Matt Sanders</t>
  </si>
  <si>
    <t>Claudio Santos</t>
  </si>
  <si>
    <t>Joe Schmidt</t>
  </si>
  <si>
    <t>Patrick Sheridan</t>
  </si>
  <si>
    <t>Tom Shirley</t>
  </si>
  <si>
    <t>Jonathan Smith</t>
  </si>
  <si>
    <t>Kaegan Stottlemyer</t>
  </si>
  <si>
    <t>Jeremy Stroop</t>
  </si>
  <si>
    <t>Therron Thomas</t>
  </si>
  <si>
    <t>Michael Tillman</t>
  </si>
  <si>
    <t>Reed Tory</t>
  </si>
  <si>
    <t>Nick Trainer</t>
  </si>
  <si>
    <t>Cameron Tucker</t>
  </si>
  <si>
    <t>Rob Tucker</t>
  </si>
  <si>
    <t>Tim Tumminaro</t>
  </si>
  <si>
    <t>Peter Vahle</t>
  </si>
  <si>
    <t>Vincent Vidal</t>
  </si>
  <si>
    <t>Zach Walker</t>
  </si>
  <si>
    <t>Eric Walton</t>
  </si>
  <si>
    <t>Corey Wiggs</t>
  </si>
  <si>
    <t>Rick Wilcox</t>
  </si>
  <si>
    <t>Roderick Ysaguirre</t>
  </si>
  <si>
    <t>Andrew Zunino</t>
  </si>
  <si>
    <t>David Lauder</t>
  </si>
  <si>
    <t>Colin Lewis</t>
  </si>
  <si>
    <t>Tom Taylor</t>
  </si>
  <si>
    <t>Matthew Rowley</t>
  </si>
  <si>
    <t>David Samuel</t>
  </si>
  <si>
    <t>Steven Evans</t>
  </si>
  <si>
    <t>John Lauder</t>
  </si>
  <si>
    <t>Richard Stock</t>
  </si>
  <si>
    <t>William Holliday</t>
  </si>
  <si>
    <t>Phil Dacey</t>
  </si>
  <si>
    <t>Matt Parsons</t>
  </si>
  <si>
    <t>Darren Barnes</t>
  </si>
  <si>
    <t>Club FISTF Code</t>
  </si>
  <si>
    <t>Club Abb.</t>
  </si>
  <si>
    <t># Team</t>
  </si>
  <si>
    <t>Withdraw</t>
  </si>
  <si>
    <t>Comment</t>
  </si>
  <si>
    <t>spf</t>
  </si>
  <si>
    <t>scf</t>
  </si>
  <si>
    <t>scr</t>
  </si>
  <si>
    <t>mbs</t>
  </si>
  <si>
    <t>bra</t>
  </si>
  <si>
    <t>ldn</t>
  </si>
  <si>
    <t>CHASERS (Chadwell Heath &amp; South Essex, Romford Subbuteo) Club</t>
  </si>
  <si>
    <t>chs</t>
  </si>
  <si>
    <t>ENGC080</t>
  </si>
  <si>
    <t>Chesterfield TFC</t>
  </si>
  <si>
    <t>che</t>
  </si>
  <si>
    <t>ENGC081</t>
  </si>
  <si>
    <t>Subbuteo Le Cannet Côte d'Azur</t>
  </si>
  <si>
    <t>cca</t>
  </si>
  <si>
    <t>FRAC022</t>
  </si>
  <si>
    <t>Barcellona Calcio Tavolo</t>
  </si>
  <si>
    <t>lak</t>
  </si>
  <si>
    <t>RUSC001</t>
  </si>
  <si>
    <t>ukr</t>
  </si>
  <si>
    <t>UKTC001</t>
  </si>
  <si>
    <t>heb</t>
  </si>
  <si>
    <t>ncs</t>
  </si>
  <si>
    <t>Steve Dettre</t>
  </si>
  <si>
    <t>Lombard</t>
  </si>
  <si>
    <t>Chantal Gallez</t>
  </si>
  <si>
    <t>Gallez</t>
  </si>
  <si>
    <t>BEL0066</t>
  </si>
  <si>
    <t>Tony Pickance</t>
  </si>
  <si>
    <t>Pickance</t>
  </si>
  <si>
    <t>ENG0154</t>
  </si>
  <si>
    <t>Roger Duckworth</t>
  </si>
  <si>
    <t>Duckworth</t>
  </si>
  <si>
    <t>ENG0490</t>
  </si>
  <si>
    <t>Alan Crampton</t>
  </si>
  <si>
    <t>Crampton</t>
  </si>
  <si>
    <t>ENG0491</t>
  </si>
  <si>
    <t>Andrew Mannix</t>
  </si>
  <si>
    <t>Mannix</t>
  </si>
  <si>
    <t>ENG0492</t>
  </si>
  <si>
    <t>Rick Danes</t>
  </si>
  <si>
    <t>Danes</t>
  </si>
  <si>
    <t>ENG0493</t>
  </si>
  <si>
    <t>ENG0495</t>
  </si>
  <si>
    <t>Thierry Jalbert</t>
  </si>
  <si>
    <t>Jalbert</t>
  </si>
  <si>
    <t>FRA0040</t>
  </si>
  <si>
    <t>FRA0148</t>
  </si>
  <si>
    <t>Aymeric Pouffet</t>
  </si>
  <si>
    <t>Aymeric</t>
  </si>
  <si>
    <t>FRA0222</t>
  </si>
  <si>
    <t>Jade Guyot</t>
  </si>
  <si>
    <t>Jade</t>
  </si>
  <si>
    <t>FRA0225</t>
  </si>
  <si>
    <t>Jean-Jacques Trichot</t>
  </si>
  <si>
    <t>Trichot</t>
  </si>
  <si>
    <t>Jean-Jacques</t>
  </si>
  <si>
    <t>FRA0229</t>
  </si>
  <si>
    <t>Eric Cazala</t>
  </si>
  <si>
    <t>Cazala</t>
  </si>
  <si>
    <t>FRA0231</t>
  </si>
  <si>
    <t>Domitille</t>
  </si>
  <si>
    <t>FRA0233</t>
  </si>
  <si>
    <t>Achim Krichel</t>
  </si>
  <si>
    <t>Krichel</t>
  </si>
  <si>
    <t>Achim</t>
  </si>
  <si>
    <t>GER0001</t>
  </si>
  <si>
    <t>Gliding Stars Aachen</t>
  </si>
  <si>
    <t>Leif Bancherus</t>
  </si>
  <si>
    <t>Bancherus</t>
  </si>
  <si>
    <t>Leif</t>
  </si>
  <si>
    <t>GER0002</t>
  </si>
  <si>
    <t>TV Germania Kaiserau</t>
  </si>
  <si>
    <t>Alexander Büsing</t>
  </si>
  <si>
    <t>Büsing</t>
  </si>
  <si>
    <t>GER0003</t>
  </si>
  <si>
    <t>Thossa Büsing</t>
  </si>
  <si>
    <t>Thossa</t>
  </si>
  <si>
    <t>GER0004</t>
  </si>
  <si>
    <t>Victoria Büsing</t>
  </si>
  <si>
    <t>GER0005</t>
  </si>
  <si>
    <t>Jürgen Fricke</t>
  </si>
  <si>
    <t>Fricke</t>
  </si>
  <si>
    <t>GER0006</t>
  </si>
  <si>
    <t>Borussia Bergkamen</t>
  </si>
  <si>
    <t>Felix Herrmannsdörfer</t>
  </si>
  <si>
    <t>Herrmannsdörfer</t>
  </si>
  <si>
    <t>GER0007</t>
  </si>
  <si>
    <t>Holger Husarek</t>
  </si>
  <si>
    <t>Husarek</t>
  </si>
  <si>
    <t>Holger</t>
  </si>
  <si>
    <t>GER0008</t>
  </si>
  <si>
    <t>Eurofighter Bochum</t>
  </si>
  <si>
    <t>Maike Krause</t>
  </si>
  <si>
    <t>Krause</t>
  </si>
  <si>
    <t>Maike</t>
  </si>
  <si>
    <t>GER0009</t>
  </si>
  <si>
    <t>Rene Schulz</t>
  </si>
  <si>
    <t>Schulz</t>
  </si>
  <si>
    <t>GER0010</t>
  </si>
  <si>
    <t>Marcel Schulz</t>
  </si>
  <si>
    <t>GER0011</t>
  </si>
  <si>
    <t>Martin Schrott</t>
  </si>
  <si>
    <t>Schrott</t>
  </si>
  <si>
    <t>GER0012</t>
  </si>
  <si>
    <t>Uli Selsen</t>
  </si>
  <si>
    <t>Selsen</t>
  </si>
  <si>
    <t>Uli</t>
  </si>
  <si>
    <t>GER0013</t>
  </si>
  <si>
    <t>SC Germania Schwerte 76</t>
  </si>
  <si>
    <t>Dieter Sauerwein</t>
  </si>
  <si>
    <t>Sauerwein</t>
  </si>
  <si>
    <t>Dieter</t>
  </si>
  <si>
    <t>GER0014</t>
  </si>
  <si>
    <t>Fred Vulpes</t>
  </si>
  <si>
    <t>Vulpes</t>
  </si>
  <si>
    <t>GER0015</t>
  </si>
  <si>
    <t>TFC Rhein-Hessen Wiesbaden</t>
  </si>
  <si>
    <t>Dennis Eisemann</t>
  </si>
  <si>
    <t>Eisemann</t>
  </si>
  <si>
    <t>GER0016</t>
  </si>
  <si>
    <t>Pascal Abel</t>
  </si>
  <si>
    <t>GER0017</t>
  </si>
  <si>
    <t>Fabio Bianco</t>
  </si>
  <si>
    <t>GER0018</t>
  </si>
  <si>
    <t>Felix Eger</t>
  </si>
  <si>
    <t>Eger</t>
  </si>
  <si>
    <t>GER0019</t>
  </si>
  <si>
    <t>Christoph Georgi</t>
  </si>
  <si>
    <t>Georgi</t>
  </si>
  <si>
    <t>GER0020</t>
  </si>
  <si>
    <t>Björn Kegenbein</t>
  </si>
  <si>
    <t>Kegenbein</t>
  </si>
  <si>
    <t>Björn</t>
  </si>
  <si>
    <t>GER0021</t>
  </si>
  <si>
    <t>Marcel Kwiatkowski</t>
  </si>
  <si>
    <t>Kwiatkowski</t>
  </si>
  <si>
    <t>GER0022</t>
  </si>
  <si>
    <t>Lisa</t>
  </si>
  <si>
    <t>GER0023</t>
  </si>
  <si>
    <t>Matthias Odelga</t>
  </si>
  <si>
    <t>Odelga</t>
  </si>
  <si>
    <t>GER0024</t>
  </si>
  <si>
    <t>Florian Powels</t>
  </si>
  <si>
    <t>Powels</t>
  </si>
  <si>
    <t>GER0025</t>
  </si>
  <si>
    <t>Jens Röttjer</t>
  </si>
  <si>
    <t>Röttjer</t>
  </si>
  <si>
    <t>GER0027</t>
  </si>
  <si>
    <t>Manuel Schreckenbach</t>
  </si>
  <si>
    <t>Schreckenbach</t>
  </si>
  <si>
    <t>GER0028</t>
  </si>
  <si>
    <t>Michael Stolzenberg</t>
  </si>
  <si>
    <t>Stolzenberg</t>
  </si>
  <si>
    <t>GER0029</t>
  </si>
  <si>
    <t>Marcus Tilgner</t>
  </si>
  <si>
    <t>Tilgner</t>
  </si>
  <si>
    <t>GER0030</t>
  </si>
  <si>
    <t>Rainer Vogt</t>
  </si>
  <si>
    <t>Vogt</t>
  </si>
  <si>
    <t>Rainer</t>
  </si>
  <si>
    <t>GER0031</t>
  </si>
  <si>
    <t>Dirk Bärwald</t>
  </si>
  <si>
    <t>Bärwald</t>
  </si>
  <si>
    <t>GER0032</t>
  </si>
  <si>
    <t>Volker Bärwald</t>
  </si>
  <si>
    <t>Volker</t>
  </si>
  <si>
    <t>GER0033</t>
  </si>
  <si>
    <t>Stephan Boddenberg</t>
  </si>
  <si>
    <t>Boddenberg</t>
  </si>
  <si>
    <t>GER0034</t>
  </si>
  <si>
    <t>Steven Breselg</t>
  </si>
  <si>
    <t>Breselg</t>
  </si>
  <si>
    <t>GER0035</t>
  </si>
  <si>
    <t>Frank Hagenkötter</t>
  </si>
  <si>
    <t>Hagenkötter</t>
  </si>
  <si>
    <t>GER0036</t>
  </si>
  <si>
    <t>Kai Hagenkötter</t>
  </si>
  <si>
    <t>GER0037</t>
  </si>
  <si>
    <t>Dominik Schulz</t>
  </si>
  <si>
    <t>GER0038</t>
  </si>
  <si>
    <t>Maiko Maaz</t>
  </si>
  <si>
    <t>Maaz</t>
  </si>
  <si>
    <t>Maiko</t>
  </si>
  <si>
    <t>GER0039</t>
  </si>
  <si>
    <t>Olaf Gottke</t>
  </si>
  <si>
    <t>Gottke</t>
  </si>
  <si>
    <t>Olaf</t>
  </si>
  <si>
    <t>GER0040</t>
  </si>
  <si>
    <t>SW gemaba Hitdorf</t>
  </si>
  <si>
    <t>Klaus Gottke</t>
  </si>
  <si>
    <t>Klaus</t>
  </si>
  <si>
    <t>GER0041</t>
  </si>
  <si>
    <t>Rudi Knuf</t>
  </si>
  <si>
    <t>Knuf</t>
  </si>
  <si>
    <t>GER0042</t>
  </si>
  <si>
    <t>Friedel Molinaro</t>
  </si>
  <si>
    <t>Friedel</t>
  </si>
  <si>
    <t>GER0043</t>
  </si>
  <si>
    <t>Mario Molinaro</t>
  </si>
  <si>
    <t>GER0044</t>
  </si>
  <si>
    <t>Markus Lindner</t>
  </si>
  <si>
    <t>Lindner</t>
  </si>
  <si>
    <t>GER0045</t>
  </si>
  <si>
    <t>Olaf Seidel</t>
  </si>
  <si>
    <t>Seidel</t>
  </si>
  <si>
    <t>GER0046</t>
  </si>
  <si>
    <t>Axel Schneider</t>
  </si>
  <si>
    <t>Schneider</t>
  </si>
  <si>
    <t>GER0047</t>
  </si>
  <si>
    <t>Daniel Schneider</t>
  </si>
  <si>
    <t>GER0048</t>
  </si>
  <si>
    <t>Wolfgang Schneider</t>
  </si>
  <si>
    <t>GER0049</t>
  </si>
  <si>
    <t>Marc Manger</t>
  </si>
  <si>
    <t>Manger</t>
  </si>
  <si>
    <t>GER0050</t>
  </si>
  <si>
    <t>STV Hohenlohe</t>
  </si>
  <si>
    <t>Frank Greier</t>
  </si>
  <si>
    <t>Greier</t>
  </si>
  <si>
    <t>GER0051</t>
  </si>
  <si>
    <t>Wolfgang Sartor</t>
  </si>
  <si>
    <t>Sartor</t>
  </si>
  <si>
    <t>GER0052</t>
  </si>
  <si>
    <t>SCN Idstein</t>
  </si>
  <si>
    <t>Volker Becker</t>
  </si>
  <si>
    <t>Becker</t>
  </si>
  <si>
    <t>GER0053</t>
  </si>
  <si>
    <t>Irreal Nieder-Mörlen</t>
  </si>
  <si>
    <t>Jörg Hirzmann</t>
  </si>
  <si>
    <t>Hirzmann</t>
  </si>
  <si>
    <t>Jörg</t>
  </si>
  <si>
    <t>GER0054</t>
  </si>
  <si>
    <t>Wolfgang Göbel</t>
  </si>
  <si>
    <t>Göbel</t>
  </si>
  <si>
    <t>GER0055</t>
  </si>
  <si>
    <t>Kickers Offenbach</t>
  </si>
  <si>
    <t>Achim Preu</t>
  </si>
  <si>
    <t>Preu</t>
  </si>
  <si>
    <t>GER0056</t>
  </si>
  <si>
    <t>Michael Schaup</t>
  </si>
  <si>
    <t>Schaup</t>
  </si>
  <si>
    <t>GER0057</t>
  </si>
  <si>
    <t>Gerhard Walper</t>
  </si>
  <si>
    <t>Walper</t>
  </si>
  <si>
    <t>GER0058</t>
  </si>
  <si>
    <t>Bernd Bauer</t>
  </si>
  <si>
    <t>Bauer</t>
  </si>
  <si>
    <t>Bernd</t>
  </si>
  <si>
    <t>GER0059</t>
  </si>
  <si>
    <t>TSG Rain</t>
  </si>
  <si>
    <t>Jürgen Göhring</t>
  </si>
  <si>
    <t>Göhring</t>
  </si>
  <si>
    <t>GER0060</t>
  </si>
  <si>
    <t>Christian Göhring</t>
  </si>
  <si>
    <t>GER0061</t>
  </si>
  <si>
    <t>Patrick Grunwald</t>
  </si>
  <si>
    <t>Grunwald</t>
  </si>
  <si>
    <t>GER0062</t>
  </si>
  <si>
    <t>Andreas Jung</t>
  </si>
  <si>
    <t>Jung</t>
  </si>
  <si>
    <t>GER0063</t>
  </si>
  <si>
    <t>GER0064</t>
  </si>
  <si>
    <t>Arnold Mair</t>
  </si>
  <si>
    <t>Mair</t>
  </si>
  <si>
    <t>GER0065</t>
  </si>
  <si>
    <t>Wolfgang Mair</t>
  </si>
  <si>
    <t>GER0066</t>
  </si>
  <si>
    <t>Roland Popp</t>
  </si>
  <si>
    <t>Popp</t>
  </si>
  <si>
    <t>Roland</t>
  </si>
  <si>
    <t>GER0067</t>
  </si>
  <si>
    <t>Benedikt Popp</t>
  </si>
  <si>
    <t>Benedikt</t>
  </si>
  <si>
    <t>GER0068</t>
  </si>
  <si>
    <t>Florian Riehl</t>
  </si>
  <si>
    <t>Riehl</t>
  </si>
  <si>
    <t>GER0069</t>
  </si>
  <si>
    <t>Alexander Ruf</t>
  </si>
  <si>
    <t>Ruf</t>
  </si>
  <si>
    <t>GER0070</t>
  </si>
  <si>
    <t>Hans Ruf</t>
  </si>
  <si>
    <t>GER0071</t>
  </si>
  <si>
    <t>Cornelia Vulpes</t>
  </si>
  <si>
    <t>Cornelia</t>
  </si>
  <si>
    <t>GER0073</t>
  </si>
  <si>
    <t>Hagen Gersie</t>
  </si>
  <si>
    <t>Gersie</t>
  </si>
  <si>
    <t>GER0074</t>
  </si>
  <si>
    <t>Nora Gersie</t>
  </si>
  <si>
    <t>Nora</t>
  </si>
  <si>
    <t>GER0075</t>
  </si>
  <si>
    <t>Harald</t>
  </si>
  <si>
    <t>GER0076</t>
  </si>
  <si>
    <t>1.SFC Selb</t>
  </si>
  <si>
    <t>Michael Beifuß</t>
  </si>
  <si>
    <t>Beifuß</t>
  </si>
  <si>
    <t>GER0077</t>
  </si>
  <si>
    <t>Janus Gersie</t>
  </si>
  <si>
    <t>Janus</t>
  </si>
  <si>
    <t>GER0078</t>
  </si>
  <si>
    <t>Michael Kappl</t>
  </si>
  <si>
    <t>Kappl</t>
  </si>
  <si>
    <t>GER0079</t>
  </si>
  <si>
    <t>Frank Scherer</t>
  </si>
  <si>
    <t>Scherer</t>
  </si>
  <si>
    <t>GER0080</t>
  </si>
  <si>
    <t>Stephan Thiele</t>
  </si>
  <si>
    <t>Thiele</t>
  </si>
  <si>
    <t>GER0081</t>
  </si>
  <si>
    <t>Thomas Winkler</t>
  </si>
  <si>
    <t>Winkler</t>
  </si>
  <si>
    <t>GER0082</t>
  </si>
  <si>
    <t>Rainer Scheurer</t>
  </si>
  <si>
    <t>Scheurer</t>
  </si>
  <si>
    <t>GER0083</t>
  </si>
  <si>
    <t>Bernhard Ihle</t>
  </si>
  <si>
    <t>Ihle</t>
  </si>
  <si>
    <t>Bernhard</t>
  </si>
  <si>
    <t>GER0084</t>
  </si>
  <si>
    <t>SB Komet Frankfurt</t>
  </si>
  <si>
    <t>Tom Horn</t>
  </si>
  <si>
    <t>Horn</t>
  </si>
  <si>
    <t>GER0085</t>
  </si>
  <si>
    <t>Michael Hain</t>
  </si>
  <si>
    <t>Hain</t>
  </si>
  <si>
    <t>GER0086</t>
  </si>
  <si>
    <t>Essener SC</t>
  </si>
  <si>
    <t>Pascal Schäfer</t>
  </si>
  <si>
    <t>Schäfer</t>
  </si>
  <si>
    <t>GER0087</t>
  </si>
  <si>
    <t>SUB Kaiserau</t>
  </si>
  <si>
    <t>Tobias Popp</t>
  </si>
  <si>
    <t>GER0088</t>
  </si>
  <si>
    <t>Daniel Badziung</t>
  </si>
  <si>
    <t>Badziung</t>
  </si>
  <si>
    <t>GER0089</t>
  </si>
  <si>
    <t>Uli Euler</t>
  </si>
  <si>
    <t>Euler</t>
  </si>
  <si>
    <t>GER0090</t>
  </si>
  <si>
    <t>Alwin Krause</t>
  </si>
  <si>
    <t>Alwin</t>
  </si>
  <si>
    <t>GER0092</t>
  </si>
  <si>
    <t>Manuela Kwiatkowski</t>
  </si>
  <si>
    <t>GER0093</t>
  </si>
  <si>
    <t>Moritz Jung</t>
  </si>
  <si>
    <t>Moritz</t>
  </si>
  <si>
    <t>GER0094</t>
  </si>
  <si>
    <t>Henrik Boer</t>
  </si>
  <si>
    <t>Boer</t>
  </si>
  <si>
    <t>Henrik</t>
  </si>
  <si>
    <t>GER0095</t>
  </si>
  <si>
    <t>Marc Reitz</t>
  </si>
  <si>
    <t>Reitz</t>
  </si>
  <si>
    <t>GER0096</t>
  </si>
  <si>
    <t>Sascha Skroblin</t>
  </si>
  <si>
    <t>Skroblin</t>
  </si>
  <si>
    <t>Sascha</t>
  </si>
  <si>
    <t>GER0097</t>
  </si>
  <si>
    <t>Kevin Abeln</t>
  </si>
  <si>
    <t>Abeln</t>
  </si>
  <si>
    <t>GER0098</t>
  </si>
  <si>
    <t>Fabian Mertins</t>
  </si>
  <si>
    <t>Mertins</t>
  </si>
  <si>
    <t>GER0099</t>
  </si>
  <si>
    <t>GER0100</t>
  </si>
  <si>
    <t>Patrick Schneider</t>
  </si>
  <si>
    <t>GER0101</t>
  </si>
  <si>
    <t>Bernd Tholen</t>
  </si>
  <si>
    <t>Tholen</t>
  </si>
  <si>
    <t>GER0102</t>
  </si>
  <si>
    <t>Wilfried Eiring</t>
  </si>
  <si>
    <t>Eiring</t>
  </si>
  <si>
    <t>Wilfried</t>
  </si>
  <si>
    <t>GER0103</t>
  </si>
  <si>
    <t>Robert Wagner</t>
  </si>
  <si>
    <t>Wagner</t>
  </si>
  <si>
    <t>GER0104</t>
  </si>
  <si>
    <t>Minimannia Aachen</t>
  </si>
  <si>
    <t>Frank Stiller</t>
  </si>
  <si>
    <t>Stiller</t>
  </si>
  <si>
    <t>GER0105</t>
  </si>
  <si>
    <t>Nicola Dähne</t>
  </si>
  <si>
    <t>Dähne</t>
  </si>
  <si>
    <t>GER0106</t>
  </si>
  <si>
    <t>Edin Mulasmajic</t>
  </si>
  <si>
    <t>Mulasmajic</t>
  </si>
  <si>
    <t>Edin</t>
  </si>
  <si>
    <t>GER0107</t>
  </si>
  <si>
    <t>USC Wuppertal</t>
  </si>
  <si>
    <t>Frank Kalyta</t>
  </si>
  <si>
    <t>Kalyta</t>
  </si>
  <si>
    <t>GER0108</t>
  </si>
  <si>
    <t>Yeliskan Yilmaz</t>
  </si>
  <si>
    <t>Yilmaz</t>
  </si>
  <si>
    <t>Yeliskan</t>
  </si>
  <si>
    <t>GER0109</t>
  </si>
  <si>
    <t>Cathrin Weihermann</t>
  </si>
  <si>
    <t>Weihermann</t>
  </si>
  <si>
    <t>Cathrin</t>
  </si>
  <si>
    <t>GER0110</t>
  </si>
  <si>
    <t>Joshua Poreski</t>
  </si>
  <si>
    <t>Poreski</t>
  </si>
  <si>
    <t>GER0111</t>
  </si>
  <si>
    <t>Uwe Stiller</t>
  </si>
  <si>
    <t>Uwe</t>
  </si>
  <si>
    <t>GER0112</t>
  </si>
  <si>
    <t>Gerd Häcker</t>
  </si>
  <si>
    <t>Häcker</t>
  </si>
  <si>
    <t>Gerd</t>
  </si>
  <si>
    <t>GER0113</t>
  </si>
  <si>
    <t>SC München 2014</t>
  </si>
  <si>
    <t>Rene Frey</t>
  </si>
  <si>
    <t>Frey</t>
  </si>
  <si>
    <t>GER0114</t>
  </si>
  <si>
    <t>Patrick Schnieder</t>
  </si>
  <si>
    <t>Schnieder</t>
  </si>
  <si>
    <t>GER0115</t>
  </si>
  <si>
    <t>Ekrem Mulasmajic</t>
  </si>
  <si>
    <t>Ekrem</t>
  </si>
  <si>
    <t>GER0116</t>
  </si>
  <si>
    <t>Klaus Fritz</t>
  </si>
  <si>
    <t>Fritz</t>
  </si>
  <si>
    <t>GER0117</t>
  </si>
  <si>
    <t>André Müller</t>
  </si>
  <si>
    <t>Müller</t>
  </si>
  <si>
    <t>GER0118</t>
  </si>
  <si>
    <t>Daria Prazynski</t>
  </si>
  <si>
    <t>Prazynski</t>
  </si>
  <si>
    <t>Daria</t>
  </si>
  <si>
    <t>GER0119</t>
  </si>
  <si>
    <t>Oskar Häcker</t>
  </si>
  <si>
    <t>Oskar</t>
  </si>
  <si>
    <t>GER0120</t>
  </si>
  <si>
    <t>Annika Hentrich</t>
  </si>
  <si>
    <t>Hentrich</t>
  </si>
  <si>
    <t>Annika</t>
  </si>
  <si>
    <t>GER0121</t>
  </si>
  <si>
    <t>Jens Maaß</t>
  </si>
  <si>
    <t>Maaß</t>
  </si>
  <si>
    <t>GER0122</t>
  </si>
  <si>
    <t>Svenja Krause</t>
  </si>
  <si>
    <t>Svenja</t>
  </si>
  <si>
    <t>GER0123</t>
  </si>
  <si>
    <t>Manfred Guth</t>
  </si>
  <si>
    <t>Guth</t>
  </si>
  <si>
    <t>GER0124</t>
  </si>
  <si>
    <t>Wilfried Pretzel</t>
  </si>
  <si>
    <t>Pretzel</t>
  </si>
  <si>
    <t>GER0125</t>
  </si>
  <si>
    <t>Nico Pretzel</t>
  </si>
  <si>
    <t>GER0126</t>
  </si>
  <si>
    <t>Nico Müller</t>
  </si>
  <si>
    <t>GER0127</t>
  </si>
  <si>
    <t>Yannik Matusch</t>
  </si>
  <si>
    <t>Matusch</t>
  </si>
  <si>
    <t>Yannik</t>
  </si>
  <si>
    <t>GER0128</t>
  </si>
  <si>
    <t>Manuel Politz</t>
  </si>
  <si>
    <t>Politz</t>
  </si>
  <si>
    <t>GER0129</t>
  </si>
  <si>
    <t>Niklas-Joel Lorenz</t>
  </si>
  <si>
    <t>Lorenz</t>
  </si>
  <si>
    <t>Niklas-Joel</t>
  </si>
  <si>
    <t>GER0130</t>
  </si>
  <si>
    <t>GER0131</t>
  </si>
  <si>
    <t>Subbuteo Club Höpfigheim</t>
  </si>
  <si>
    <t>Katrin Knezevic-Schlosser</t>
  </si>
  <si>
    <t>Knezevic-Schlosser</t>
  </si>
  <si>
    <t>Katrin</t>
  </si>
  <si>
    <t>GER0132</t>
  </si>
  <si>
    <t>Daniela Grünberg</t>
  </si>
  <si>
    <t>Grünberg</t>
  </si>
  <si>
    <t>Daniela</t>
  </si>
  <si>
    <t>GER0133</t>
  </si>
  <si>
    <t>Werner Rust</t>
  </si>
  <si>
    <t>Rust</t>
  </si>
  <si>
    <t>GER0134</t>
  </si>
  <si>
    <t>1.TFC Aktivist Bergen 74</t>
  </si>
  <si>
    <t>Melanie Kronmüller</t>
  </si>
  <si>
    <t>Kronmüller</t>
  </si>
  <si>
    <t>GER0135</t>
  </si>
  <si>
    <t>Kim Bradke</t>
  </si>
  <si>
    <t>Bradke</t>
  </si>
  <si>
    <t>GER0136</t>
  </si>
  <si>
    <t>Bodo Reckzeh</t>
  </si>
  <si>
    <t>Reckzeh</t>
  </si>
  <si>
    <t>Bodo</t>
  </si>
  <si>
    <t>GER0137</t>
  </si>
  <si>
    <t>Marian Flemer</t>
  </si>
  <si>
    <t>Flemer</t>
  </si>
  <si>
    <t>Marian</t>
  </si>
  <si>
    <t>GER0138</t>
  </si>
  <si>
    <t>Finn Laurentius</t>
  </si>
  <si>
    <t>Laurentius</t>
  </si>
  <si>
    <t>Finn</t>
  </si>
  <si>
    <t>GER0139</t>
  </si>
  <si>
    <t>Sara Eisen</t>
  </si>
  <si>
    <t>Eisen</t>
  </si>
  <si>
    <t>Sara</t>
  </si>
  <si>
    <t>GER0140</t>
  </si>
  <si>
    <t>Andreas Guhr</t>
  </si>
  <si>
    <t>Guhr</t>
  </si>
  <si>
    <t>GER0141</t>
  </si>
  <si>
    <t>Thomas Guhr</t>
  </si>
  <si>
    <t>GER0142</t>
  </si>
  <si>
    <t>Pia Flemer</t>
  </si>
  <si>
    <t>Pia</t>
  </si>
  <si>
    <t>GER0143</t>
  </si>
  <si>
    <t>Matthias Stechern</t>
  </si>
  <si>
    <t>Stechern</t>
  </si>
  <si>
    <t>GER0144</t>
  </si>
  <si>
    <t>Jennifer Golze</t>
  </si>
  <si>
    <t>Golze</t>
  </si>
  <si>
    <t>Jennifer</t>
  </si>
  <si>
    <t>GER0146</t>
  </si>
  <si>
    <t>Charis Chatziplaton</t>
  </si>
  <si>
    <t>Chatziplaton</t>
  </si>
  <si>
    <t>Charis</t>
  </si>
  <si>
    <t>GER0147</t>
  </si>
  <si>
    <t>Luc Kaouane</t>
  </si>
  <si>
    <t>Kaouane</t>
  </si>
  <si>
    <t>GER0148</t>
  </si>
  <si>
    <t>Carsten Bock</t>
  </si>
  <si>
    <t>Bock</t>
  </si>
  <si>
    <t>Carsten</t>
  </si>
  <si>
    <t>Joachim Busmann</t>
  </si>
  <si>
    <t>Busmann</t>
  </si>
  <si>
    <t>Joachim</t>
  </si>
  <si>
    <t>GER0150</t>
  </si>
  <si>
    <t>Leon Schneider</t>
  </si>
  <si>
    <t>GER0151</t>
  </si>
  <si>
    <t>Dimitrios Tolias</t>
  </si>
  <si>
    <t>Tolias</t>
  </si>
  <si>
    <t>GER0152</t>
  </si>
  <si>
    <t>Linus von Schultzendorff</t>
  </si>
  <si>
    <t>von Schultzendorff</t>
  </si>
  <si>
    <t>Linus</t>
  </si>
  <si>
    <t>GER0153</t>
  </si>
  <si>
    <t>Fisnik Sopa</t>
  </si>
  <si>
    <t>Sopa</t>
  </si>
  <si>
    <t>Fisnik</t>
  </si>
  <si>
    <t>GER0154</t>
  </si>
  <si>
    <t>Noah Wulff</t>
  </si>
  <si>
    <t>Wulff</t>
  </si>
  <si>
    <t>GER0155</t>
  </si>
  <si>
    <t>Edoardo Landi</t>
  </si>
  <si>
    <t>Landi</t>
  </si>
  <si>
    <t>ITA2734</t>
  </si>
  <si>
    <t>Nico Landi</t>
  </si>
  <si>
    <t>ITA1493</t>
  </si>
  <si>
    <t>Giovanni Meo (04)</t>
  </si>
  <si>
    <t>Meo (04)</t>
  </si>
  <si>
    <t>Henk Landzaat</t>
  </si>
  <si>
    <t>Henk</t>
  </si>
  <si>
    <t>NED0029</t>
  </si>
  <si>
    <t>Ard Lukassen</t>
  </si>
  <si>
    <t>Lukassen</t>
  </si>
  <si>
    <t>Ard</t>
  </si>
  <si>
    <t>NED0035</t>
  </si>
  <si>
    <t>GSC De Hyacinth</t>
  </si>
  <si>
    <t>Jacob Bijlstra</t>
  </si>
  <si>
    <t>Bijlstra</t>
  </si>
  <si>
    <t>NED0039</t>
  </si>
  <si>
    <t>Erwin Smit</t>
  </si>
  <si>
    <t>Smit</t>
  </si>
  <si>
    <t>Erwin</t>
  </si>
  <si>
    <t>NED0041</t>
  </si>
  <si>
    <t>Cailim Marks</t>
  </si>
  <si>
    <t>Cailim</t>
  </si>
  <si>
    <t>NED0044</t>
  </si>
  <si>
    <t>Liesbeth de Jong - Huijers</t>
  </si>
  <si>
    <t>de Jong - Huijers</t>
  </si>
  <si>
    <t>Liesbeth</t>
  </si>
  <si>
    <t>NED0045</t>
  </si>
  <si>
    <t>Jarno Marks</t>
  </si>
  <si>
    <t>Jarno</t>
  </si>
  <si>
    <t>NED0046</t>
  </si>
  <si>
    <t>Martijn de Jong</t>
  </si>
  <si>
    <t>de Jong</t>
  </si>
  <si>
    <t>Martijn</t>
  </si>
  <si>
    <t>NED0050</t>
  </si>
  <si>
    <t>Xavier Aret</t>
  </si>
  <si>
    <t>Aret</t>
  </si>
  <si>
    <t>NED0051</t>
  </si>
  <si>
    <t>Fedde Aret</t>
  </si>
  <si>
    <t>Fedde</t>
  </si>
  <si>
    <t>NED0052</t>
  </si>
  <si>
    <t>Peter Van Den Houten</t>
  </si>
  <si>
    <t>Van Den Houten</t>
  </si>
  <si>
    <t>NED0054</t>
  </si>
  <si>
    <t>Torigno Nostro Club</t>
  </si>
  <si>
    <t>NIR0026</t>
  </si>
  <si>
    <t>Gary Stewart</t>
  </si>
  <si>
    <t>SCO0065</t>
  </si>
  <si>
    <t>Chad Wright</t>
  </si>
  <si>
    <t>SCO0073</t>
  </si>
  <si>
    <t>Kevin Smith</t>
  </si>
  <si>
    <t>SCO0074</t>
  </si>
  <si>
    <t>Danny Gregory</t>
  </si>
  <si>
    <t>Gregory</t>
  </si>
  <si>
    <t>SCO0075</t>
  </si>
  <si>
    <t>David Jack</t>
  </si>
  <si>
    <t>SCO0076</t>
  </si>
  <si>
    <t>Subbuteo Dragons Azuqueca</t>
  </si>
  <si>
    <t>dra</t>
  </si>
  <si>
    <t>ESPC024</t>
  </si>
  <si>
    <t>Subbuteo Club Almería</t>
  </si>
  <si>
    <t>alm</t>
  </si>
  <si>
    <t>ESPC025</t>
  </si>
  <si>
    <t>ssp</t>
  </si>
  <si>
    <t>GERC001</t>
  </si>
  <si>
    <t>gli</t>
  </si>
  <si>
    <t>GERC002</t>
  </si>
  <si>
    <t>bvb</t>
  </si>
  <si>
    <t>GERC003</t>
  </si>
  <si>
    <t>dor</t>
  </si>
  <si>
    <t>GERC004</t>
  </si>
  <si>
    <t>SF SW gemaba Hitdorf</t>
  </si>
  <si>
    <t>hit</t>
  </si>
  <si>
    <t>GERC005</t>
  </si>
  <si>
    <t>STV 97 Hohenlohe</t>
  </si>
  <si>
    <t>hol</t>
  </si>
  <si>
    <t>GERC006</t>
  </si>
  <si>
    <t>tau</t>
  </si>
  <si>
    <t>GERC007</t>
  </si>
  <si>
    <t>irr</t>
  </si>
  <si>
    <t>GERC008</t>
  </si>
  <si>
    <t>rhe</t>
  </si>
  <si>
    <t>GERC009</t>
  </si>
  <si>
    <t>sch</t>
  </si>
  <si>
    <t>GERC010</t>
  </si>
  <si>
    <t>SC Bad Sobernheim</t>
  </si>
  <si>
    <t>bad</t>
  </si>
  <si>
    <t>GERC011</t>
  </si>
  <si>
    <t>TSG Rain 1970</t>
  </si>
  <si>
    <t>rai</t>
  </si>
  <si>
    <t>GERC012</t>
  </si>
  <si>
    <t>sel</t>
  </si>
  <si>
    <t>GERC013</t>
  </si>
  <si>
    <t>SC Kickers 69 Offenbach</t>
  </si>
  <si>
    <t>off</t>
  </si>
  <si>
    <t>GERC014</t>
  </si>
  <si>
    <t>kom</t>
  </si>
  <si>
    <t>GERC015</t>
  </si>
  <si>
    <t>SC Weimar Wanderers</t>
  </si>
  <si>
    <t>wei</t>
  </si>
  <si>
    <t>GERC016</t>
  </si>
  <si>
    <t>boc</t>
  </si>
  <si>
    <t>GERC017</t>
  </si>
  <si>
    <t>swt</t>
  </si>
  <si>
    <t>GERC018</t>
  </si>
  <si>
    <t>ess</t>
  </si>
  <si>
    <t>GERC019</t>
  </si>
  <si>
    <t>kai</t>
  </si>
  <si>
    <t>GERC020</t>
  </si>
  <si>
    <t>aac</t>
  </si>
  <si>
    <t>GERC021</t>
  </si>
  <si>
    <t>mun</t>
  </si>
  <si>
    <t>GERC022</t>
  </si>
  <si>
    <t>hop</t>
  </si>
  <si>
    <t>GERC023</t>
  </si>
  <si>
    <t>akt</t>
  </si>
  <si>
    <t>GERC024</t>
  </si>
  <si>
    <t>tvg</t>
  </si>
  <si>
    <t>GERC025</t>
  </si>
  <si>
    <t>han</t>
  </si>
  <si>
    <t>GERC026</t>
  </si>
  <si>
    <t>ber</t>
  </si>
  <si>
    <t>GERC027</t>
  </si>
  <si>
    <t>GERC028</t>
  </si>
  <si>
    <t>Evia CAN</t>
  </si>
  <si>
    <t>Abelia TFC</t>
  </si>
  <si>
    <t>abe</t>
  </si>
  <si>
    <t>JPNC009</t>
  </si>
  <si>
    <t>ada</t>
  </si>
  <si>
    <t>JPNC010</t>
  </si>
  <si>
    <t>ree</t>
  </si>
  <si>
    <t>JPNC012</t>
  </si>
  <si>
    <t>Tokyo Sunzel TFC</t>
  </si>
  <si>
    <t>tos</t>
  </si>
  <si>
    <t>JPNC013</t>
  </si>
  <si>
    <t>SUBBUTEO Club Nara</t>
  </si>
  <si>
    <t>nar</t>
  </si>
  <si>
    <t>JPNC014</t>
  </si>
  <si>
    <t>Osaka TFC</t>
  </si>
  <si>
    <t>osa</t>
  </si>
  <si>
    <t>OSC Yamato Wild Blue TFC</t>
  </si>
  <si>
    <t>yam</t>
  </si>
  <si>
    <t>rij</t>
  </si>
  <si>
    <t>NEDC003</t>
  </si>
  <si>
    <t>hya</t>
  </si>
  <si>
    <t>NEDC004</t>
  </si>
  <si>
    <t>dlg</t>
  </si>
  <si>
    <t>NEDC005</t>
  </si>
  <si>
    <t>oli</t>
  </si>
  <si>
    <t>PORC017</t>
  </si>
  <si>
    <t>IPL</t>
  </si>
  <si>
    <t>IRLC001</t>
  </si>
  <si>
    <t>Emeric Delcroix</t>
  </si>
  <si>
    <t>Delcroix</t>
  </si>
  <si>
    <t>Emeric</t>
  </si>
  <si>
    <t>BEL0030</t>
  </si>
  <si>
    <t>Aurélien Feye</t>
  </si>
  <si>
    <t>Feye</t>
  </si>
  <si>
    <t>Aurélien</t>
  </si>
  <si>
    <t>BEL0306</t>
  </si>
  <si>
    <t>Olivier Saffer</t>
  </si>
  <si>
    <t>Saffer</t>
  </si>
  <si>
    <t>BEL0091</t>
  </si>
  <si>
    <t>Fabrice Guyaux</t>
  </si>
  <si>
    <t>Fabrice</t>
  </si>
  <si>
    <t>BEL0259</t>
  </si>
  <si>
    <t>David Russell</t>
  </si>
  <si>
    <t>ENG0073</t>
  </si>
  <si>
    <t>Justin Finch</t>
  </si>
  <si>
    <t>Finch</t>
  </si>
  <si>
    <t>ENG0057</t>
  </si>
  <si>
    <t>Kevin Dyson</t>
  </si>
  <si>
    <t>Dyson</t>
  </si>
  <si>
    <t>ENG0033</t>
  </si>
  <si>
    <t>Colin Tarry</t>
  </si>
  <si>
    <t>Tarry</t>
  </si>
  <si>
    <t>ENG0100</t>
  </si>
  <si>
    <t>Chasers SC</t>
  </si>
  <si>
    <t>Connor</t>
  </si>
  <si>
    <t>ENG0496</t>
  </si>
  <si>
    <t>Magnier</t>
  </si>
  <si>
    <t>ENG0497</t>
  </si>
  <si>
    <t>Tralee &amp; Munster Subbuteo Club</t>
  </si>
  <si>
    <t>Bodily</t>
  </si>
  <si>
    <t>ENG0498</t>
  </si>
  <si>
    <t>Mark Hammersley</t>
  </si>
  <si>
    <t>Hammersley</t>
  </si>
  <si>
    <t>ENG0499</t>
  </si>
  <si>
    <t>Brian Hall</t>
  </si>
  <si>
    <t>Hall</t>
  </si>
  <si>
    <t>ENG0500</t>
  </si>
  <si>
    <t>London Road Subbuteo Club</t>
  </si>
  <si>
    <t>Mark Weaver</t>
  </si>
  <si>
    <t>Weaver</t>
  </si>
  <si>
    <t>ENG0501</t>
  </si>
  <si>
    <t>Marco Barqueiro</t>
  </si>
  <si>
    <t>Barqueiro</t>
  </si>
  <si>
    <t>ENG0502</t>
  </si>
  <si>
    <t>Max Pereira</t>
  </si>
  <si>
    <t>ENG0503</t>
  </si>
  <si>
    <t>Dave Simmill</t>
  </si>
  <si>
    <t>Simmill</t>
  </si>
  <si>
    <t>ENG0504</t>
  </si>
  <si>
    <t>Samantha Levy</t>
  </si>
  <si>
    <t>Levy</t>
  </si>
  <si>
    <t>Samantha</t>
  </si>
  <si>
    <t>ENG0505</t>
  </si>
  <si>
    <t>José León Moreno</t>
  </si>
  <si>
    <t>León Moreno</t>
  </si>
  <si>
    <t>ESP0017</t>
  </si>
  <si>
    <t>Javier París</t>
  </si>
  <si>
    <t>París</t>
  </si>
  <si>
    <t>José Ros</t>
  </si>
  <si>
    <t>Ros</t>
  </si>
  <si>
    <t>Carlos Pinto Gurdiel</t>
  </si>
  <si>
    <t>Pinto Gurdiel</t>
  </si>
  <si>
    <t>Álex Iliev</t>
  </si>
  <si>
    <t>Jesús Maireles Alfaro</t>
  </si>
  <si>
    <t>Maireles Alfaro</t>
  </si>
  <si>
    <t>Jesús Maireles Reyes</t>
  </si>
  <si>
    <t>Maireles Reyes</t>
  </si>
  <si>
    <t>Jean Michel Cuenca</t>
  </si>
  <si>
    <t>Jean Michel</t>
  </si>
  <si>
    <t>Massimo Barone</t>
  </si>
  <si>
    <t>ESP0567</t>
  </si>
  <si>
    <t>José García Ferri</t>
  </si>
  <si>
    <t>García Ferri</t>
  </si>
  <si>
    <t>SC Almería</t>
  </si>
  <si>
    <t>Antonio Moreno Vico</t>
  </si>
  <si>
    <t>Moreno Vico</t>
  </si>
  <si>
    <t>ESP0571</t>
  </si>
  <si>
    <t>David Valverde Peralta</t>
  </si>
  <si>
    <t>Valverde Peralta</t>
  </si>
  <si>
    <t>ESP0573</t>
  </si>
  <si>
    <t>Junior Alejandro Bermudo</t>
  </si>
  <si>
    <t>Bermudo</t>
  </si>
  <si>
    <t>Junior Alejandro</t>
  </si>
  <si>
    <t>ESP0576</t>
  </si>
  <si>
    <t>ESP0580</t>
  </si>
  <si>
    <t>Richard Edeson</t>
  </si>
  <si>
    <t>Edeson</t>
  </si>
  <si>
    <t>FIS0001</t>
  </si>
  <si>
    <t>FISTF</t>
  </si>
  <si>
    <t>FIS0002</t>
  </si>
  <si>
    <t>FIS0003</t>
  </si>
  <si>
    <t>FIS0005</t>
  </si>
  <si>
    <t>FIS0006</t>
  </si>
  <si>
    <t>FIS0007</t>
  </si>
  <si>
    <t>FIS0009</t>
  </si>
  <si>
    <t>FIS0010</t>
  </si>
  <si>
    <t>FRA0238</t>
  </si>
  <si>
    <t>FRA0220</t>
  </si>
  <si>
    <t>Laurent Ausset</t>
  </si>
  <si>
    <t>FRA0119</t>
  </si>
  <si>
    <t>Ludovic Beauvais</t>
  </si>
  <si>
    <t>Beauvais</t>
  </si>
  <si>
    <t>FRA0134</t>
  </si>
  <si>
    <t>Julien Blanchon</t>
  </si>
  <si>
    <t>Blanchon</t>
  </si>
  <si>
    <t>Julien</t>
  </si>
  <si>
    <t>FRA0180</t>
  </si>
  <si>
    <t>Clément</t>
  </si>
  <si>
    <t>FRA0235</t>
  </si>
  <si>
    <t>FRA0234</t>
  </si>
  <si>
    <t>Guglielmo</t>
  </si>
  <si>
    <t>FRA0260</t>
  </si>
  <si>
    <t>FRA0242</t>
  </si>
  <si>
    <t>FRA0236</t>
  </si>
  <si>
    <t>FRA0257</t>
  </si>
  <si>
    <t>FRA0256</t>
  </si>
  <si>
    <t>Jérome Deffolin</t>
  </si>
  <si>
    <t>Deffolin</t>
  </si>
  <si>
    <t>Jérome</t>
  </si>
  <si>
    <t>FRA0158</t>
  </si>
  <si>
    <t>Hervé Fino</t>
  </si>
  <si>
    <t>Fino</t>
  </si>
  <si>
    <t>Hervé</t>
  </si>
  <si>
    <t>FRA0157</t>
  </si>
  <si>
    <t>FRA0191</t>
  </si>
  <si>
    <t>FRA0228</t>
  </si>
  <si>
    <t>Christophe Fuseau</t>
  </si>
  <si>
    <t>Fuseau</t>
  </si>
  <si>
    <t>FRA0106</t>
  </si>
  <si>
    <t>Romain Gadais</t>
  </si>
  <si>
    <t>Gadais</t>
  </si>
  <si>
    <t>FRA0214</t>
  </si>
  <si>
    <t>Thibaud</t>
  </si>
  <si>
    <t>FRA0227</t>
  </si>
  <si>
    <t>FRA0253</t>
  </si>
  <si>
    <t>FRA0252</t>
  </si>
  <si>
    <t>FRA0147</t>
  </si>
  <si>
    <t>FRA0116</t>
  </si>
  <si>
    <t>Patrice Grangier</t>
  </si>
  <si>
    <t>Grangier</t>
  </si>
  <si>
    <t>Patrice</t>
  </si>
  <si>
    <t>FRA0182</t>
  </si>
  <si>
    <t>FRA0244</t>
  </si>
  <si>
    <t>FRA0251</t>
  </si>
  <si>
    <t>FRA0261</t>
  </si>
  <si>
    <t>Emmanuel Lafontaine</t>
  </si>
  <si>
    <t>FRA0096</t>
  </si>
  <si>
    <t>FRA0262</t>
  </si>
  <si>
    <t>FRA0243</t>
  </si>
  <si>
    <t>Arnaud Le Teno</t>
  </si>
  <si>
    <t>Le Teno</t>
  </si>
  <si>
    <t>FRA0029</t>
  </si>
  <si>
    <t>Lucie Le Teno</t>
  </si>
  <si>
    <t>Lucie</t>
  </si>
  <si>
    <t>FRA0028</t>
  </si>
  <si>
    <t>FRA0259</t>
  </si>
  <si>
    <t>Nicolas Lefebvre</t>
  </si>
  <si>
    <t>Lefebvre</t>
  </si>
  <si>
    <t>FRA0094</t>
  </si>
  <si>
    <t>FRA0254</t>
  </si>
  <si>
    <t>Thibault</t>
  </si>
  <si>
    <t>FRA0232</t>
  </si>
  <si>
    <t>Orlan</t>
  </si>
  <si>
    <t>FRA0226</t>
  </si>
  <si>
    <t>FRA0150</t>
  </si>
  <si>
    <t>Laurent Meygret</t>
  </si>
  <si>
    <t>Meygret</t>
  </si>
  <si>
    <t>FRA0190</t>
  </si>
  <si>
    <t>FRA0247</t>
  </si>
  <si>
    <t>FRA0224</t>
  </si>
  <si>
    <t>FRA0230</t>
  </si>
  <si>
    <t>Nicolas Morier</t>
  </si>
  <si>
    <t>Morier</t>
  </si>
  <si>
    <t>FRA0221</t>
  </si>
  <si>
    <t>FRA0239</t>
  </si>
  <si>
    <t>FRA0246</t>
  </si>
  <si>
    <t>Hervé Rakowski</t>
  </si>
  <si>
    <t>Rakowski</t>
  </si>
  <si>
    <t>FRA0095</t>
  </si>
  <si>
    <t>Jean-François Rubi</t>
  </si>
  <si>
    <t>Rubi</t>
  </si>
  <si>
    <t>FRA0036</t>
  </si>
  <si>
    <t>FRA0248</t>
  </si>
  <si>
    <t>FRA0255</t>
  </si>
  <si>
    <t>Laurent Salle</t>
  </si>
  <si>
    <t>Salle</t>
  </si>
  <si>
    <t>FRA0079</t>
  </si>
  <si>
    <t>Eric Siwczak</t>
  </si>
  <si>
    <t>Siwczak</t>
  </si>
  <si>
    <t>FRA0223</t>
  </si>
  <si>
    <t>FRA0240</t>
  </si>
  <si>
    <t>Manon</t>
  </si>
  <si>
    <t>FRA0250</t>
  </si>
  <si>
    <t>FRA0241</t>
  </si>
  <si>
    <t>Christos Chytas</t>
  </si>
  <si>
    <t>Chytas</t>
  </si>
  <si>
    <t>Alex Bogdanidis</t>
  </si>
  <si>
    <t>Andreas Vourakis</t>
  </si>
  <si>
    <t>Markos Seferlis</t>
  </si>
  <si>
    <t>Seferlis</t>
  </si>
  <si>
    <t>GRE0761</t>
  </si>
  <si>
    <t>Kosmas Ximitidis</t>
  </si>
  <si>
    <t>Ximitidis</t>
  </si>
  <si>
    <t>GRE0762</t>
  </si>
  <si>
    <t>Eleftherios Ximitidis</t>
  </si>
  <si>
    <t>GRE0763</t>
  </si>
  <si>
    <t>Marianna Bouzid</t>
  </si>
  <si>
    <t>Bouzid</t>
  </si>
  <si>
    <t>GRE0764</t>
  </si>
  <si>
    <t>Nikolaos Georganoudis</t>
  </si>
  <si>
    <t>Georganoudis</t>
  </si>
  <si>
    <t>GRE0765</t>
  </si>
  <si>
    <t>Konstantinos Zerdilas</t>
  </si>
  <si>
    <t>Zerdilas</t>
  </si>
  <si>
    <t>GRE0766</t>
  </si>
  <si>
    <t>Charalambos Zerdilas</t>
  </si>
  <si>
    <t>GRE0767</t>
  </si>
  <si>
    <t>Panagiotis Konidaris</t>
  </si>
  <si>
    <t>Konidaris</t>
  </si>
  <si>
    <t>GRE0768</t>
  </si>
  <si>
    <t>Konstantinos Konidaris</t>
  </si>
  <si>
    <t>GRE0769</t>
  </si>
  <si>
    <t>Konstantinos Filipoppoulos</t>
  </si>
  <si>
    <t>Filipoppoulos</t>
  </si>
  <si>
    <t>GRE0770</t>
  </si>
  <si>
    <t>Charalampos Kazantzoglou</t>
  </si>
  <si>
    <t>GRE0771</t>
  </si>
  <si>
    <t>Nikolaos Ntais</t>
  </si>
  <si>
    <t>Ntais</t>
  </si>
  <si>
    <t>GRE0772</t>
  </si>
  <si>
    <t>Ilias Ntais</t>
  </si>
  <si>
    <t>GRE0773</t>
  </si>
  <si>
    <t>Valantis Dimitriadis</t>
  </si>
  <si>
    <t>Dimitriadis</t>
  </si>
  <si>
    <t>GRE0774</t>
  </si>
  <si>
    <t>Athanasios Chaliotis</t>
  </si>
  <si>
    <t>Chaliotis</t>
  </si>
  <si>
    <t>GRE0775</t>
  </si>
  <si>
    <t>Konstantinos Chaliotis</t>
  </si>
  <si>
    <t>GRE0776</t>
  </si>
  <si>
    <t>Petros Papathomas</t>
  </si>
  <si>
    <t>Papathomas</t>
  </si>
  <si>
    <t>GRE0777</t>
  </si>
  <si>
    <t>Ioannis Dementis</t>
  </si>
  <si>
    <t>Dementis</t>
  </si>
  <si>
    <t>GRE0778</t>
  </si>
  <si>
    <t>Konstantinos Karasavvas</t>
  </si>
  <si>
    <t>Karasavvas</t>
  </si>
  <si>
    <t>GRE0779</t>
  </si>
  <si>
    <t>Ioannis Stergiopoulos</t>
  </si>
  <si>
    <t>Stergiopoulos</t>
  </si>
  <si>
    <t>GRE0780</t>
  </si>
  <si>
    <t>Sotirios Papadimas</t>
  </si>
  <si>
    <t>Papadimas</t>
  </si>
  <si>
    <t>GRE0781</t>
  </si>
  <si>
    <t>Vasilios Paliouras</t>
  </si>
  <si>
    <t>GRE0783</t>
  </si>
  <si>
    <t>Dimitris Giannoulas</t>
  </si>
  <si>
    <t>Giannoulas</t>
  </si>
  <si>
    <t>GRE0784</t>
  </si>
  <si>
    <t>Fanis Ellinas</t>
  </si>
  <si>
    <t>Ellinas</t>
  </si>
  <si>
    <t>Fanis</t>
  </si>
  <si>
    <t>GRE0785</t>
  </si>
  <si>
    <t>Efthimis Ellinas</t>
  </si>
  <si>
    <t>Efthimis</t>
  </si>
  <si>
    <t>GRE0786</t>
  </si>
  <si>
    <t>Maria Ellina</t>
  </si>
  <si>
    <t>Ellina</t>
  </si>
  <si>
    <t>GRE0787</t>
  </si>
  <si>
    <t>Nicolò Cerullo</t>
  </si>
  <si>
    <t>ITA3263</t>
  </si>
  <si>
    <t>Davide Chiapolino</t>
  </si>
  <si>
    <t>Chiapolino</t>
  </si>
  <si>
    <t>ITA3262</t>
  </si>
  <si>
    <t>Fabio Stellato</t>
  </si>
  <si>
    <t>Stellato</t>
  </si>
  <si>
    <t>ITA0831</t>
  </si>
  <si>
    <t>Cs Firenze</t>
  </si>
  <si>
    <t>Gabriele Allegria</t>
  </si>
  <si>
    <t>Allegria</t>
  </si>
  <si>
    <t>ITA2720</t>
  </si>
  <si>
    <t>Hideaki Wada</t>
  </si>
  <si>
    <t>Wada</t>
  </si>
  <si>
    <t>Hideaki</t>
  </si>
  <si>
    <t>JPN003</t>
  </si>
  <si>
    <t>Tomoyoshi Ikeya</t>
  </si>
  <si>
    <t>Ikeya</t>
  </si>
  <si>
    <t>Tomoyoshi</t>
  </si>
  <si>
    <t>JPN014</t>
  </si>
  <si>
    <t>Naruhisa Horino</t>
  </si>
  <si>
    <t>Horino</t>
  </si>
  <si>
    <t>Naruhisa</t>
  </si>
  <si>
    <t>JPN031</t>
  </si>
  <si>
    <t>Nanami Horino</t>
  </si>
  <si>
    <t>Nanami</t>
  </si>
  <si>
    <t>JPN057</t>
  </si>
  <si>
    <t>Tokyo Sunzeol TFC</t>
  </si>
  <si>
    <t>SAITAMA TFC</t>
  </si>
  <si>
    <t>Hiroyuki Okada</t>
  </si>
  <si>
    <t>Okada</t>
  </si>
  <si>
    <t>Hiroyuki</t>
  </si>
  <si>
    <t>JPN168</t>
  </si>
  <si>
    <t>Hidenori Nakai</t>
  </si>
  <si>
    <t>Nakai</t>
  </si>
  <si>
    <t>Hidenori</t>
  </si>
  <si>
    <t>JPN169</t>
  </si>
  <si>
    <t>Melanie Magro</t>
  </si>
  <si>
    <t>Ismaël Fenech</t>
  </si>
  <si>
    <t>Ismaël</t>
  </si>
  <si>
    <t>MLT0041</t>
  </si>
  <si>
    <t>Larson Ebejer</t>
  </si>
  <si>
    <t>Larson</t>
  </si>
  <si>
    <t>MLT0139</t>
  </si>
  <si>
    <t>Gabriel Ebejer</t>
  </si>
  <si>
    <t>MLT0140</t>
  </si>
  <si>
    <t>Steve Austin</t>
  </si>
  <si>
    <t>Austin</t>
  </si>
  <si>
    <t>MLT0003</t>
  </si>
  <si>
    <t>Subbuteo Club Flanders</t>
  </si>
  <si>
    <t>Jerrel Van Keimpema</t>
  </si>
  <si>
    <t>Van Keimpema</t>
  </si>
  <si>
    <t>Jerrel</t>
  </si>
  <si>
    <t>NED0014</t>
  </si>
  <si>
    <t>Jovi Willeijns</t>
  </si>
  <si>
    <t>Willeijns</t>
  </si>
  <si>
    <t>Jovi</t>
  </si>
  <si>
    <t>NED0021</t>
  </si>
  <si>
    <t>Quincy Gerrets</t>
  </si>
  <si>
    <t>Quincy</t>
  </si>
  <si>
    <t>NED0023</t>
  </si>
  <si>
    <t>Mikey Gerrets</t>
  </si>
  <si>
    <t>Mikey</t>
  </si>
  <si>
    <t>NED0027</t>
  </si>
  <si>
    <t>Kenneth Beggs</t>
  </si>
  <si>
    <t>Barry Spence</t>
  </si>
  <si>
    <t>Alistair Morrison</t>
  </si>
  <si>
    <t>Andrew Morrison</t>
  </si>
  <si>
    <t>Peter Morrison</t>
  </si>
  <si>
    <t>Eoin Adams</t>
  </si>
  <si>
    <t>Stephen Rodgers</t>
  </si>
  <si>
    <t>John Hughes</t>
  </si>
  <si>
    <t>David Clegg</t>
  </si>
  <si>
    <t>Adam Scullion</t>
  </si>
  <si>
    <t>Mark McKane</t>
  </si>
  <si>
    <t>McKane</t>
  </si>
  <si>
    <t>Stuart McIlroy</t>
  </si>
  <si>
    <t>McIlroy</t>
  </si>
  <si>
    <t>Matthew Armstrong</t>
  </si>
  <si>
    <t>Ernest Bickerstaff</t>
  </si>
  <si>
    <t>Peter Darling</t>
  </si>
  <si>
    <t>Trevor Cummings</t>
  </si>
  <si>
    <t>Lawrence Watson</t>
  </si>
  <si>
    <t>Patrick McKeever</t>
  </si>
  <si>
    <t>Mark McCrossan</t>
  </si>
  <si>
    <t>Paul Boyle</t>
  </si>
  <si>
    <t>Rory Morrison</t>
  </si>
  <si>
    <t>Martinog Bradley</t>
  </si>
  <si>
    <t>Simon Stewart</t>
  </si>
  <si>
    <t>Craig Stewart</t>
  </si>
  <si>
    <t>Dee Jenkins</t>
  </si>
  <si>
    <t>Duarte Valério</t>
  </si>
  <si>
    <t>Valério</t>
  </si>
  <si>
    <t>Duarte</t>
  </si>
  <si>
    <t>POR0190</t>
  </si>
  <si>
    <t>Guilherme Dias</t>
  </si>
  <si>
    <t>POR0193</t>
  </si>
  <si>
    <t>André Jorge</t>
  </si>
  <si>
    <t>POR0205</t>
  </si>
  <si>
    <t>Afonso Gouveia</t>
  </si>
  <si>
    <t>POR0210</t>
  </si>
  <si>
    <t>Tiago Figueiredo</t>
  </si>
  <si>
    <t>Figueiredo</t>
  </si>
  <si>
    <t>POR0211</t>
  </si>
  <si>
    <t>António Sampaio</t>
  </si>
  <si>
    <t>POR0218</t>
  </si>
  <si>
    <t>Luis Garcia</t>
  </si>
  <si>
    <t>POR0220</t>
  </si>
  <si>
    <t>Bruno Lima</t>
  </si>
  <si>
    <t>POR0221</t>
  </si>
  <si>
    <t>Salvador Moura</t>
  </si>
  <si>
    <t>Moura</t>
  </si>
  <si>
    <t>POR0230</t>
  </si>
  <si>
    <t>Inês Pinho</t>
  </si>
  <si>
    <t>Pinho</t>
  </si>
  <si>
    <t>Inês</t>
  </si>
  <si>
    <t>POR0231</t>
  </si>
  <si>
    <t>Francisca Cruz</t>
  </si>
  <si>
    <t>Cruz</t>
  </si>
  <si>
    <t>Francisca</t>
  </si>
  <si>
    <t>POR0232</t>
  </si>
  <si>
    <t>João Alves</t>
  </si>
  <si>
    <t>POR0233</t>
  </si>
  <si>
    <t>Martim Ribeiro</t>
  </si>
  <si>
    <t>Ribeiro</t>
  </si>
  <si>
    <t>Martim</t>
  </si>
  <si>
    <t>POR0234</t>
  </si>
  <si>
    <t>Gabriel Bento</t>
  </si>
  <si>
    <t>Bento</t>
  </si>
  <si>
    <t>POR0235</t>
  </si>
  <si>
    <t>Ãcuna</t>
  </si>
  <si>
    <t>POR0236</t>
  </si>
  <si>
    <t>Miguel Leitão</t>
  </si>
  <si>
    <t>POR0237</t>
  </si>
  <si>
    <t>Duarte Marques</t>
  </si>
  <si>
    <t>POR0238</t>
  </si>
  <si>
    <t>Alexandre Kushmyruk</t>
  </si>
  <si>
    <t>Kushmyruk</t>
  </si>
  <si>
    <t>POR0239</t>
  </si>
  <si>
    <t>Tomás Ribeiro</t>
  </si>
  <si>
    <t>POR0240</t>
  </si>
  <si>
    <t>Gabriel Alves</t>
  </si>
  <si>
    <t>POR0244</t>
  </si>
  <si>
    <t>Tomás Amaro</t>
  </si>
  <si>
    <t>POR0246</t>
  </si>
  <si>
    <t>IRL0001</t>
  </si>
  <si>
    <t>IRL0002</t>
  </si>
  <si>
    <t>IRL0003</t>
  </si>
  <si>
    <t>IRL0004</t>
  </si>
  <si>
    <t>IRL0005</t>
  </si>
  <si>
    <t>IRL0006</t>
  </si>
  <si>
    <t>IRL0007</t>
  </si>
  <si>
    <t>IRL0010</t>
  </si>
  <si>
    <t>IRL0011</t>
  </si>
  <si>
    <t>IRL0012</t>
  </si>
  <si>
    <t>IRL0013</t>
  </si>
  <si>
    <t>IRL0014</t>
  </si>
  <si>
    <t>IRL0015</t>
  </si>
  <si>
    <t>Frankie Connolly</t>
  </si>
  <si>
    <t>Frankie</t>
  </si>
  <si>
    <t>IRL0016</t>
  </si>
  <si>
    <t>Colm Gallagher</t>
  </si>
  <si>
    <t>Gallagher</t>
  </si>
  <si>
    <t>Colm</t>
  </si>
  <si>
    <t>IRL0017</t>
  </si>
  <si>
    <t>Evgenii Vlasov</t>
  </si>
  <si>
    <t>Evgenii</t>
  </si>
  <si>
    <t>RUS0006</t>
  </si>
  <si>
    <t>Scott Dalgleish</t>
  </si>
  <si>
    <t>Dalgleish</t>
  </si>
  <si>
    <t>SCO0077</t>
  </si>
  <si>
    <t>Douglas Lynch</t>
  </si>
  <si>
    <t>Lynch</t>
  </si>
  <si>
    <t>SCO0078</t>
  </si>
  <si>
    <t>Gary McKenzie</t>
  </si>
  <si>
    <t>SCO0079</t>
  </si>
  <si>
    <t>Scott McKenzie</t>
  </si>
  <si>
    <t>SCO0080</t>
  </si>
  <si>
    <t>GlasgowTSA</t>
  </si>
  <si>
    <t>Yu Wei, Aldrich Lim</t>
  </si>
  <si>
    <t>Yu Wei, Aldrich</t>
  </si>
  <si>
    <t>SGP0047</t>
  </si>
  <si>
    <t>Melvindepal Singh</t>
  </si>
  <si>
    <t>Singh</t>
  </si>
  <si>
    <t>Melvindepal</t>
  </si>
  <si>
    <t>SGP0147</t>
  </si>
  <si>
    <t>Rei Singh</t>
  </si>
  <si>
    <t>Rei</t>
  </si>
  <si>
    <t>SGP0148</t>
  </si>
  <si>
    <t>SG LIons TFC</t>
  </si>
  <si>
    <t>FTC CAEN</t>
  </si>
  <si>
    <t>Armando De Leon</t>
  </si>
  <si>
    <t>De Leon</t>
  </si>
  <si>
    <t>USA0078</t>
  </si>
  <si>
    <t>Jeff Drake</t>
  </si>
  <si>
    <t>Drake</t>
  </si>
  <si>
    <t>USA0181</t>
  </si>
  <si>
    <t>St Louis SL</t>
  </si>
  <si>
    <t>Chicago TSC</t>
  </si>
  <si>
    <t>Sam Rice</t>
  </si>
  <si>
    <t>Rice</t>
  </si>
  <si>
    <t>USA0382</t>
  </si>
  <si>
    <t>CJ Thompson</t>
  </si>
  <si>
    <t>CJ</t>
  </si>
  <si>
    <t>USA0112</t>
  </si>
  <si>
    <t>Tyler Lui</t>
  </si>
  <si>
    <t>Roman Wasyluszco</t>
  </si>
  <si>
    <t>Jadin Botticelli</t>
  </si>
  <si>
    <t>Jeremy Roberts-Kleban</t>
  </si>
  <si>
    <t>Chris Belcher</t>
  </si>
  <si>
    <t>Michael Buccheri</t>
  </si>
  <si>
    <t>Alec Paul</t>
  </si>
  <si>
    <t>Alec</t>
  </si>
  <si>
    <t>USA0423</t>
  </si>
  <si>
    <t>Eric Foster</t>
  </si>
  <si>
    <t>USA0424</t>
  </si>
  <si>
    <t>Ryan Belcher</t>
  </si>
  <si>
    <t>USA0425</t>
  </si>
  <si>
    <t>Joey Scott</t>
  </si>
  <si>
    <t>USA0426</t>
  </si>
  <si>
    <t>Jonathan Goninan</t>
  </si>
  <si>
    <t>USA0427</t>
  </si>
  <si>
    <t>Flyn Barnes</t>
  </si>
  <si>
    <t>Flyn</t>
  </si>
  <si>
    <t>WAL0029</t>
  </si>
  <si>
    <t>Algy Taylor</t>
  </si>
  <si>
    <t>Algy</t>
  </si>
  <si>
    <t>WAL0030</t>
  </si>
  <si>
    <t>Tim Bowen</t>
  </si>
  <si>
    <t>Bowen</t>
  </si>
  <si>
    <t>WAL0031</t>
  </si>
  <si>
    <t>Adam Lundy</t>
  </si>
  <si>
    <t>Lundy</t>
  </si>
  <si>
    <t>WAL0032</t>
  </si>
  <si>
    <t>Yanik Merrilees-Kelly</t>
  </si>
  <si>
    <t>Merrilees-Kelly</t>
  </si>
  <si>
    <t>Yanik</t>
  </si>
  <si>
    <t>WAL0035</t>
  </si>
  <si>
    <t>WAL0038</t>
  </si>
  <si>
    <t>David Merrilees-Kelly</t>
  </si>
  <si>
    <t>WAL0039</t>
  </si>
  <si>
    <t>Mark Hopwood</t>
  </si>
  <si>
    <t>Hopwood</t>
  </si>
  <si>
    <t>WAL0040</t>
  </si>
  <si>
    <t>Nicolas Chappell</t>
  </si>
  <si>
    <t>Chappell</t>
  </si>
  <si>
    <t>WAL0042</t>
  </si>
  <si>
    <t>Danny Bird</t>
  </si>
  <si>
    <t>Bird</t>
  </si>
  <si>
    <t>WAL0043</t>
  </si>
  <si>
    <t>Dan Nicholls</t>
  </si>
  <si>
    <t>Nicholls</t>
  </si>
  <si>
    <t>Dan</t>
  </si>
  <si>
    <t>Chris Bedford</t>
  </si>
  <si>
    <t>Bedford</t>
  </si>
  <si>
    <t>WAL0048</t>
  </si>
  <si>
    <t>Raoul Newton</t>
  </si>
  <si>
    <t>Newton</t>
  </si>
  <si>
    <t>Raoul</t>
  </si>
  <si>
    <t>WAL0049</t>
  </si>
  <si>
    <t>Melissa Lineton</t>
  </si>
  <si>
    <t>Lineton</t>
  </si>
  <si>
    <t>Melissa</t>
  </si>
  <si>
    <t>WAL0050</t>
  </si>
  <si>
    <t>Kenny Evans</t>
  </si>
  <si>
    <t>WAL0051</t>
  </si>
  <si>
    <t>Brendan Ashley</t>
  </si>
  <si>
    <t>WAL0052</t>
  </si>
  <si>
    <t>Open</t>
  </si>
  <si>
    <t>Veterans</t>
  </si>
  <si>
    <t>Ladies</t>
  </si>
  <si>
    <t>Teams</t>
  </si>
  <si>
    <t>Number of players in :</t>
  </si>
  <si>
    <t>Number of :</t>
  </si>
  <si>
    <t>Club Name</t>
  </si>
  <si>
    <t>Name of the tournament</t>
  </si>
  <si>
    <t>Categories</t>
  </si>
  <si>
    <t>Event Type</t>
  </si>
  <si>
    <t>Major</t>
  </si>
  <si>
    <t>Grand Prix</t>
  </si>
  <si>
    <t>International Open</t>
  </si>
  <si>
    <t>WC</t>
  </si>
  <si>
    <t>CC</t>
  </si>
  <si>
    <t>MJ</t>
  </si>
  <si>
    <t>GP</t>
  </si>
  <si>
    <t>GGP</t>
  </si>
  <si>
    <t>IO</t>
  </si>
  <si>
    <t>ST</t>
  </si>
  <si>
    <t>Nat</t>
  </si>
  <si>
    <t>CL</t>
  </si>
  <si>
    <t>EL</t>
  </si>
  <si>
    <t>CCT</t>
  </si>
  <si>
    <t>Event Code</t>
  </si>
  <si>
    <t>Event Name</t>
  </si>
  <si>
    <t>World Cup</t>
  </si>
  <si>
    <t>Continental Cup / Championship</t>
  </si>
  <si>
    <t>Golden Grand Prix</t>
  </si>
  <si>
    <t>Satellite</t>
  </si>
  <si>
    <t>National Event</t>
  </si>
  <si>
    <t>Champions League</t>
  </si>
  <si>
    <t>Europa League</t>
  </si>
  <si>
    <t>Continental Club Championship</t>
  </si>
  <si>
    <t>Location &amp; Country</t>
  </si>
  <si>
    <t>Date(s)</t>
  </si>
  <si>
    <t>Total fee</t>
  </si>
  <si>
    <t xml:space="preserve">Extract of the FISTF Handbook </t>
  </si>
  <si>
    <t>13 January 2023</t>
  </si>
  <si>
    <t>Email</t>
  </si>
  <si>
    <t>Competition manager: Name</t>
  </si>
  <si>
    <t>Pitches</t>
  </si>
  <si>
    <t>Type of pitches used</t>
  </si>
  <si>
    <t>SUBBUTEO (ENGLAND): ASTROPITCH</t>
  </si>
  <si>
    <t>PEGASUS (ENGLAND): ASTROTURF</t>
  </si>
  <si>
    <t>PETIOT (FRANCE): TAPIS COMPÉTITION</t>
  </si>
  <si>
    <t>TCHAAA4: TCHAAA4 PITCH</t>
  </si>
  <si>
    <t>ASTROBASE: ASTROTURF PRO</t>
  </si>
  <si>
    <t>ASTROBASE: ASTROTURF PRO FT</t>
  </si>
  <si>
    <t>ASTROBASE: ASTROTURF PRO STICKY BACK</t>
  </si>
  <si>
    <t>EXTREME WORKS: EXTREME PITCH</t>
  </si>
  <si>
    <t>FLICKMASTER: HIGHBURY</t>
  </si>
  <si>
    <r>
      <rPr>
        <b/>
        <sz val="8"/>
        <rFont val="Arial"/>
        <family val="2"/>
      </rPr>
      <t>Players</t>
    </r>
    <r>
      <rPr>
        <sz val="8"/>
        <rFont val="Arial"/>
        <family val="2"/>
      </rPr>
      <t xml:space="preserve"> who didn’t wear sports clothing:</t>
    </r>
  </si>
  <si>
    <r>
      <rPr>
        <b/>
        <sz val="8"/>
        <rFont val="Arial"/>
        <family val="2"/>
      </rPr>
      <t>Players</t>
    </r>
    <r>
      <rPr>
        <sz val="8"/>
        <rFont val="Arial"/>
        <family val="2"/>
      </rPr>
      <t xml:space="preserve"> who left the tournament while they still had one game to referee:</t>
    </r>
  </si>
  <si>
    <r>
      <rPr>
        <b/>
        <sz val="8"/>
        <rFont val="Arial"/>
        <family val="2"/>
      </rPr>
      <t>Club teams</t>
    </r>
    <r>
      <rPr>
        <sz val="8"/>
        <rFont val="Arial"/>
        <family val="2"/>
      </rPr>
      <t xml:space="preserve"> who left the tournament while they still had one game to referee:</t>
    </r>
  </si>
  <si>
    <r>
      <rPr>
        <b/>
        <sz val="8"/>
        <rFont val="Arial"/>
        <family val="2"/>
      </rPr>
      <t>Players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</si>
  <si>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r>
      <rPr>
        <b/>
        <sz val="8"/>
        <rFont val="Arial"/>
        <family val="2"/>
      </rPr>
      <t>Club teams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</si>
  <si>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t>2. Disciplinary problems</t>
  </si>
  <si>
    <t>INSTRUCTIONS HOW TO FILL THIS FORM</t>
  </si>
  <si>
    <t>Please write the knock-out games in the same order as in the FISTF Handbook</t>
  </si>
  <si>
    <r>
      <t>To write the players names, use the format "first name + name" -&gt; for exemple "John Lauder" (not "John LAUDER", not "Lauder J." or "Lauder John".).</t>
    </r>
    <r>
      <rPr>
        <b/>
        <sz val="8"/>
        <color indexed="12"/>
        <rFont val="Arial"/>
        <family val="2"/>
      </rPr>
      <t xml:space="preserve"> Use another copy of this Form to add the remaining results if necessary.</t>
    </r>
  </si>
  <si>
    <t>EXAMPLE</t>
  </si>
  <si>
    <t>Stage</t>
  </si>
  <si>
    <t>Group</t>
  </si>
  <si>
    <t>Game#</t>
  </si>
  <si>
    <t>Player A</t>
  </si>
  <si>
    <t>Player B</t>
  </si>
  <si>
    <t>SD</t>
  </si>
  <si>
    <t>Referee's name</t>
  </si>
  <si>
    <t>Pts</t>
  </si>
  <si>
    <t>Pld</t>
  </si>
  <si>
    <t>W</t>
  </si>
  <si>
    <t>D</t>
  </si>
  <si>
    <t>L</t>
  </si>
  <si>
    <t>F</t>
  </si>
  <si>
    <t>A</t>
  </si>
  <si>
    <t>GD</t>
  </si>
  <si>
    <t>Groups</t>
  </si>
  <si>
    <t>Luis Horta</t>
  </si>
  <si>
    <t>Mark Meihuizen</t>
  </si>
  <si>
    <t xml:space="preserve"> </t>
  </si>
  <si>
    <t>(...)</t>
  </si>
  <si>
    <t>Last 8</t>
  </si>
  <si>
    <t>Jim Taylor</t>
  </si>
  <si>
    <t>Vicente Benita</t>
  </si>
  <si>
    <t>Barrage</t>
  </si>
  <si>
    <t>Last 32</t>
  </si>
  <si>
    <t>x</t>
  </si>
  <si>
    <t>Thomas Baumeler</t>
  </si>
  <si>
    <t>Last 16</t>
  </si>
  <si>
    <t>Semifinals</t>
  </si>
  <si>
    <t>Final</t>
  </si>
  <si>
    <t>RESULTS FOR INDIVIDUAL COMPETITION</t>
  </si>
  <si>
    <t>You can mention here ALL results for all categories. Please mention the category in column A (for instance O for Open) and the stage in column B (for instance groups, barrages, last 16 game, semi-final,...)</t>
  </si>
  <si>
    <t>In the SCORE column, please don't forget to mention "sd" if the gamme ends in sudden death or * if the games ends on shots</t>
  </si>
  <si>
    <r>
      <t xml:space="preserve">Use </t>
    </r>
    <r>
      <rPr>
        <b/>
        <sz val="8"/>
        <color indexed="10"/>
        <rFont val="Arial"/>
        <family val="2"/>
      </rPr>
      <t>s1, s2, s3 or s4</t>
    </r>
    <r>
      <rPr>
        <sz val="8"/>
        <color indexed="10"/>
        <rFont val="Arial"/>
        <family val="2"/>
      </rPr>
      <t xml:space="preserve"> in front of the name of the reserve player when he substitutes the player in </t>
    </r>
    <r>
      <rPr>
        <b/>
        <sz val="8"/>
        <color indexed="10"/>
        <rFont val="Arial"/>
        <family val="2"/>
      </rPr>
      <t>game/table 1, 2, 3 or 4</t>
    </r>
    <r>
      <rPr>
        <sz val="8"/>
        <color indexed="10"/>
        <rFont val="Arial"/>
        <family val="2"/>
      </rPr>
      <t>, respectively.</t>
    </r>
  </si>
  <si>
    <t>Team A</t>
  </si>
  <si>
    <t>Team B</t>
  </si>
  <si>
    <t>G</t>
  </si>
  <si>
    <t>Example Team A</t>
  </si>
  <si>
    <t>Example Team B</t>
  </si>
  <si>
    <t>P1</t>
  </si>
  <si>
    <t xml:space="preserve">Player A1 </t>
  </si>
  <si>
    <t>Player B1</t>
  </si>
  <si>
    <t>P2</t>
  </si>
  <si>
    <t>Player A2</t>
  </si>
  <si>
    <t>Player B2</t>
  </si>
  <si>
    <t>P3</t>
  </si>
  <si>
    <t xml:space="preserve">Player A3 </t>
  </si>
  <si>
    <t>Player B3</t>
  </si>
  <si>
    <t>P4</t>
  </si>
  <si>
    <t>Player A4</t>
  </si>
  <si>
    <t>Player B4</t>
  </si>
  <si>
    <t>S1</t>
  </si>
  <si>
    <t>S2</t>
  </si>
  <si>
    <t>Player B6</t>
  </si>
  <si>
    <t>Example Team C</t>
  </si>
  <si>
    <t>Example Team D</t>
  </si>
  <si>
    <t>Player C1</t>
  </si>
  <si>
    <t>Player D1</t>
  </si>
  <si>
    <t>Player C2</t>
  </si>
  <si>
    <t>Player D2</t>
  </si>
  <si>
    <t>Player D3</t>
  </si>
  <si>
    <t>Player C4</t>
  </si>
  <si>
    <t>Player D4</t>
  </si>
  <si>
    <t xml:space="preserve">Player D5 </t>
  </si>
  <si>
    <t>Player C6</t>
  </si>
  <si>
    <t>RESULTS FOR TEAMS COMPETITION</t>
  </si>
  <si>
    <t>Please check the FISTF handbook section "Duties of the organizers" (see below)</t>
  </si>
  <si>
    <t>All individual results of the individual tournament must be mentioned</t>
  </si>
  <si>
    <t>All individual results of the teams tournament must be mentioned</t>
  </si>
  <si>
    <t>VETERANS</t>
  </si>
  <si>
    <t>LADIES</t>
  </si>
  <si>
    <t>CONSOLATION</t>
  </si>
  <si>
    <t>TEAMS</t>
  </si>
  <si>
    <t>Referee name</t>
  </si>
  <si>
    <t>Goal-B</t>
  </si>
  <si>
    <t>Shoot-A</t>
  </si>
  <si>
    <t>Shoot-B</t>
  </si>
  <si>
    <t>FISTF Order</t>
  </si>
  <si>
    <t>Factor</t>
  </si>
  <si>
    <t>Cla.</t>
  </si>
  <si>
    <t>Cla1</t>
  </si>
  <si>
    <t>Part</t>
  </si>
  <si>
    <t>Cla2</t>
  </si>
  <si>
    <t>Shoot-out</t>
  </si>
  <si>
    <t>Rk</t>
  </si>
  <si>
    <t>Shoot Out</t>
  </si>
  <si>
    <t>Criteria with Shoot-out</t>
  </si>
  <si>
    <t>Diff-Draw</t>
  </si>
  <si>
    <t>Player</t>
  </si>
  <si>
    <t>Win</t>
  </si>
  <si>
    <t>Lose</t>
  </si>
  <si>
    <t>Draw1</t>
  </si>
  <si>
    <t>Draw2</t>
  </si>
  <si>
    <t>Result</t>
  </si>
  <si>
    <t>L16</t>
  </si>
  <si>
    <t>Q</t>
  </si>
  <si>
    <t>L32</t>
  </si>
  <si>
    <t>S</t>
  </si>
  <si>
    <t>R</t>
  </si>
  <si>
    <t>Tournament entries - Category:</t>
  </si>
  <si>
    <t>Do not change formula</t>
  </si>
  <si>
    <t>Select category</t>
  </si>
  <si>
    <t>Type in Player names</t>
  </si>
  <si>
    <t>If perfect equality proceed to Shout-out and type in result here</t>
  </si>
  <si>
    <t>Do not modify formula</t>
  </si>
  <si>
    <t>Registered A</t>
  </si>
  <si>
    <t>Registered B</t>
  </si>
  <si>
    <t>Wrong Name</t>
  </si>
  <si>
    <t>Here you can mention ALL the results for all categories. 
First of all, check that all Tournament Entries tabs have benn completed. 
Only Group and Game# are optional, all others are mandatory</t>
  </si>
  <si>
    <t>If some cells are with orange background and red text, this means error (bad score or unknown player)</t>
  </si>
  <si>
    <r>
      <t xml:space="preserve">(*) In the SCORE columns, please don't forget to mention "X" in the "SD" column if the </t>
    </r>
    <r>
      <rPr>
        <b/>
        <sz val="8"/>
        <color rgb="FFFF0000"/>
        <rFont val="Arial"/>
        <family val="2"/>
      </rPr>
      <t>game ends in sudden death</t>
    </r>
  </si>
  <si>
    <t>In groups, only group Category, TOSS, Diff-Draw and Shoot-out may be filled.</t>
  </si>
  <si>
    <t>Team Name</t>
  </si>
  <si>
    <t xml:space="preserve">Tournament entries - Category: </t>
  </si>
  <si>
    <t>Any player who is taking part to FISTF events must be known in the FISTF database to appear in the world ranking.
If a player is unknown in the FISTF database, it is the responsibility of the MNA of the player's nation to register this new player in its Form20 which will complete the FISTF database at the of month.</t>
  </si>
  <si>
    <t>Sending full results includes that:</t>
  </si>
  <si>
    <t>Mandatory data describing the Tournament ("Tournament Details" tab)</t>
  </si>
  <si>
    <t>All individual participants must appear in category tabs (don't forget to precise withdraw)</t>
  </si>
  <si>
    <t>All teams participants must appear in TeamsCategory tabs (don't forget to precise withdraw)</t>
  </si>
  <si>
    <t>Click here to access this form</t>
  </si>
  <si>
    <t>Don't forget to precise "Results" in the field "Recipient"</t>
  </si>
  <si>
    <t>Sending results within a mail will be rejected.</t>
  </si>
  <si>
    <t>Things not to forget</t>
  </si>
  <si>
    <t>Points</t>
  </si>
  <si>
    <t>Draw</t>
  </si>
  <si>
    <t>Calculation of Individual ranking</t>
  </si>
  <si>
    <t>Criteria before particular difference</t>
  </si>
  <si>
    <t>Criteria</t>
  </si>
  <si>
    <t>Goal Difference</t>
  </si>
  <si>
    <t>Won Matches</t>
  </si>
  <si>
    <t>Best Attack</t>
  </si>
  <si>
    <t>Particular difference in case of equality on previous criteria</t>
  </si>
  <si>
    <t>Match result between ex-aequo</t>
  </si>
  <si>
    <t>Goal difference between ex-aequo</t>
  </si>
  <si>
    <t>Best attack between ex-aequo</t>
  </si>
  <si>
    <t>Criteria after particular difference</t>
  </si>
  <si>
    <t>Calculation of Team ranking</t>
  </si>
  <si>
    <t>Encounter Difference</t>
  </si>
  <si>
    <t>Individual wins difference</t>
  </si>
  <si>
    <t>Individual wins difference between ex-aequo</t>
  </si>
  <si>
    <t>Most individual wins between ex-aequo</t>
  </si>
  <si>
    <t>Most individual match wins</t>
  </si>
  <si>
    <t>Order</t>
  </si>
  <si>
    <t>a) How to fill this file ?</t>
  </si>
  <si>
    <t>b) Data to send</t>
  </si>
  <si>
    <t>c) Sending the tournament report</t>
  </si>
  <si>
    <t>d) Unknown players</t>
  </si>
  <si>
    <t>2) Fill in all Participants tabs (Open, Veterans, …, TeamsOpen). This way you will be sure to fill correct names in both participant and result tabs.</t>
  </si>
  <si>
    <t xml:space="preserve">3) Complete Results tabs. Players and Teams names are checked on participant lists </t>
  </si>
  <si>
    <t>4) If all is done, you'll see in each participants tabs the Result codes for each player/team used to give points in the World Ranking.</t>
  </si>
  <si>
    <t>LoseInKO</t>
  </si>
  <si>
    <t>LoseOrDrawInGroups</t>
  </si>
  <si>
    <t>DrawInGroups</t>
  </si>
  <si>
    <t>Level</t>
  </si>
  <si>
    <t>Winners</t>
  </si>
  <si>
    <t>In case of draw in points give points to classify players with same points</t>
  </si>
  <si>
    <t>Richard Osborne</t>
  </si>
  <si>
    <t>GIB0008</t>
  </si>
  <si>
    <t>Turia</t>
  </si>
  <si>
    <t>B</t>
  </si>
  <si>
    <t>Confed.</t>
  </si>
  <si>
    <t>EÖTV</t>
  </si>
  <si>
    <t>Herbert Gütl</t>
  </si>
  <si>
    <t>Gütl</t>
  </si>
  <si>
    <t>Herbert</t>
  </si>
  <si>
    <t>AUT0023</t>
  </si>
  <si>
    <t>David Scherbantin</t>
  </si>
  <si>
    <t>Scherbantin</t>
  </si>
  <si>
    <t>AUT0107</t>
  </si>
  <si>
    <t>Christian Hausmann</t>
  </si>
  <si>
    <t>Hausmann</t>
  </si>
  <si>
    <t>AUT0117</t>
  </si>
  <si>
    <t>Louis Haas</t>
  </si>
  <si>
    <t>AUT0122</t>
  </si>
  <si>
    <t>Emilie Despretz</t>
  </si>
  <si>
    <t>Emilie</t>
  </si>
  <si>
    <t>BEL0061</t>
  </si>
  <si>
    <t>Augustin Goblet</t>
  </si>
  <si>
    <t>Goblet</t>
  </si>
  <si>
    <t>Augustin</t>
  </si>
  <si>
    <t>BEL0471</t>
  </si>
  <si>
    <t>Eva Goffin</t>
  </si>
  <si>
    <t>Goffin</t>
  </si>
  <si>
    <t>Eva</t>
  </si>
  <si>
    <t>BEL0458</t>
  </si>
  <si>
    <t>Guillaume Goffin</t>
  </si>
  <si>
    <t>Guillaume</t>
  </si>
  <si>
    <t>BEL0459</t>
  </si>
  <si>
    <t>Mathis Goffin</t>
  </si>
  <si>
    <t>Mathis</t>
  </si>
  <si>
    <t>BEL0460</t>
  </si>
  <si>
    <t>Charles Goset</t>
  </si>
  <si>
    <t>BEL0260</t>
  </si>
  <si>
    <t>Robin Grosdent</t>
  </si>
  <si>
    <t>Olivia Huet</t>
  </si>
  <si>
    <t>Huet</t>
  </si>
  <si>
    <t>Olivia</t>
  </si>
  <si>
    <t>BEL0467</t>
  </si>
  <si>
    <t>Mathis Joachim</t>
  </si>
  <si>
    <t>BEL0464</t>
  </si>
  <si>
    <t>Romain Joris</t>
  </si>
  <si>
    <t>Joris</t>
  </si>
  <si>
    <t>BEL0465</t>
  </si>
  <si>
    <t>Cédric Meyus</t>
  </si>
  <si>
    <t>Meyus</t>
  </si>
  <si>
    <t>BEL0469</t>
  </si>
  <si>
    <t>Yoan Migliore</t>
  </si>
  <si>
    <t>Migliore</t>
  </si>
  <si>
    <t>Yoan</t>
  </si>
  <si>
    <t>BEL0463</t>
  </si>
  <si>
    <t>Aeden Sercu</t>
  </si>
  <si>
    <t>Sercu</t>
  </si>
  <si>
    <t>Aeden</t>
  </si>
  <si>
    <t>BEL0468</t>
  </si>
  <si>
    <t>Bart Van de Vliet</t>
  </si>
  <si>
    <t>Van de Vliet</t>
  </si>
  <si>
    <t>Bart</t>
  </si>
  <si>
    <t>BEL0055</t>
  </si>
  <si>
    <t>Robin Verplaetse</t>
  </si>
  <si>
    <t>Verplaetse</t>
  </si>
  <si>
    <t>BEL0466</t>
  </si>
  <si>
    <t>Antonio Virgone</t>
  </si>
  <si>
    <t>Virgone</t>
  </si>
  <si>
    <t>BEL0461</t>
  </si>
  <si>
    <t>Diego Virgone</t>
  </si>
  <si>
    <t>BEL0462</t>
  </si>
  <si>
    <t>Valéry Willot</t>
  </si>
  <si>
    <t>Willot</t>
  </si>
  <si>
    <t>Fellipe Tereska</t>
  </si>
  <si>
    <t>Tereska</t>
  </si>
  <si>
    <t>Fellipe</t>
  </si>
  <si>
    <t>BRA0090</t>
  </si>
  <si>
    <t>Cristiano Paffrath Bertolino</t>
  </si>
  <si>
    <t>Paffrath Bertolino</t>
  </si>
  <si>
    <t>Renato César Carneiro dos Santos</t>
  </si>
  <si>
    <t>Carneiro dos Santos</t>
  </si>
  <si>
    <t>Renato César</t>
  </si>
  <si>
    <t>BRA0180</t>
  </si>
  <si>
    <t>Adam Clark</t>
  </si>
  <si>
    <t>ENG0510</t>
  </si>
  <si>
    <t>Alex Fenton</t>
  </si>
  <si>
    <t>ENG0515</t>
  </si>
  <si>
    <t>Connor Gregory</t>
  </si>
  <si>
    <t>Craig Heward</t>
  </si>
  <si>
    <t>Heward</t>
  </si>
  <si>
    <t>Steve Kreeger</t>
  </si>
  <si>
    <t>Kreeger</t>
  </si>
  <si>
    <t>ENG0516</t>
  </si>
  <si>
    <t>David McCartney</t>
  </si>
  <si>
    <t>McCartney</t>
  </si>
  <si>
    <t>ENG0509</t>
  </si>
  <si>
    <t>Colin Mitchell</t>
  </si>
  <si>
    <t>Mitchell</t>
  </si>
  <si>
    <t>ENG0512</t>
  </si>
  <si>
    <t>Nick Owen</t>
  </si>
  <si>
    <t>ENG0511</t>
  </si>
  <si>
    <t>Benjamin Palmer</t>
  </si>
  <si>
    <t>ENG0517</t>
  </si>
  <si>
    <t>Ian Sharp</t>
  </si>
  <si>
    <t>Sharp</t>
  </si>
  <si>
    <t>ENG0508</t>
  </si>
  <si>
    <t>Jamie Warren</t>
  </si>
  <si>
    <t>Warren</t>
  </si>
  <si>
    <t>ENG0507</t>
  </si>
  <si>
    <t>Mark West</t>
  </si>
  <si>
    <t>West</t>
  </si>
  <si>
    <t>ENG0514</t>
  </si>
  <si>
    <t>ESP0169</t>
  </si>
  <si>
    <t>Cristian Antúnez</t>
  </si>
  <si>
    <t>Antúnez</t>
  </si>
  <si>
    <t>ESP0439</t>
  </si>
  <si>
    <t>Álvaro Pérez</t>
  </si>
  <si>
    <t>ESP0456</t>
  </si>
  <si>
    <t>ESP0459</t>
  </si>
  <si>
    <t>Isaac Alfaro</t>
  </si>
  <si>
    <t>Alfaro</t>
  </si>
  <si>
    <t>ESP0477</t>
  </si>
  <si>
    <t>Manuel Baena</t>
  </si>
  <si>
    <t>Baena</t>
  </si>
  <si>
    <t>ESP0554</t>
  </si>
  <si>
    <t>Joan</t>
  </si>
  <si>
    <t>Carlos Espada</t>
  </si>
  <si>
    <t>Espada</t>
  </si>
  <si>
    <t>Álvaro González Pagliarulo</t>
  </si>
  <si>
    <t>González Pagliarulo</t>
  </si>
  <si>
    <t>José Pérez Montero</t>
  </si>
  <si>
    <t>Pérez Montero</t>
  </si>
  <si>
    <t>ESP0581</t>
  </si>
  <si>
    <t>Antonio Antúnez</t>
  </si>
  <si>
    <t>ESP0583</t>
  </si>
  <si>
    <t>Laurent Arduise</t>
  </si>
  <si>
    <t>Arduise</t>
  </si>
  <si>
    <t>Thierry Arnaudin</t>
  </si>
  <si>
    <t>Arnaudin</t>
  </si>
  <si>
    <t>FRA0265</t>
  </si>
  <si>
    <t>Isaac Brignon-Kiegl</t>
  </si>
  <si>
    <t>Brignon-Kiegl</t>
  </si>
  <si>
    <t>FRA0266</t>
  </si>
  <si>
    <t>Alban Boigeol</t>
  </si>
  <si>
    <t>Boigeol</t>
  </si>
  <si>
    <t>Alban</t>
  </si>
  <si>
    <t>FRA0268</t>
  </si>
  <si>
    <t>Osborne</t>
  </si>
  <si>
    <t>Gibraltar TSA</t>
  </si>
  <si>
    <t>Panagiotis (67) Vasilopoulos</t>
  </si>
  <si>
    <t>Panagiotis (67)</t>
  </si>
  <si>
    <t>Nikos Psomiadis</t>
  </si>
  <si>
    <t>Nikolas (07) Psomiadis</t>
  </si>
  <si>
    <t>Nikolas (07)</t>
  </si>
  <si>
    <t>Panagiotis (05) Krommydas</t>
  </si>
  <si>
    <t>Panagiotis (05)</t>
  </si>
  <si>
    <t>Athanasios Exarchou</t>
  </si>
  <si>
    <t>GRE0788</t>
  </si>
  <si>
    <t>Athanasios Delizisis</t>
  </si>
  <si>
    <t>Delizisis</t>
  </si>
  <si>
    <t>GRE0789</t>
  </si>
  <si>
    <t>Ioannis Karnezis</t>
  </si>
  <si>
    <t>Karnezis</t>
  </si>
  <si>
    <t>GRE0790</t>
  </si>
  <si>
    <t>Anastasios Menegakos</t>
  </si>
  <si>
    <t>Menegakos</t>
  </si>
  <si>
    <t>GRE0791</t>
  </si>
  <si>
    <t>Georgios Batalis</t>
  </si>
  <si>
    <t>Batalis</t>
  </si>
  <si>
    <t>GRE0792</t>
  </si>
  <si>
    <t>Emmanouil Bimplis</t>
  </si>
  <si>
    <t>Bimplis</t>
  </si>
  <si>
    <t>GRE0793</t>
  </si>
  <si>
    <t>Vasileios Nomikos</t>
  </si>
  <si>
    <t>GRE0794</t>
  </si>
  <si>
    <t>Marios-Georgios Papageorgiou</t>
  </si>
  <si>
    <t>Marios-Georgios</t>
  </si>
  <si>
    <t>GRE0795</t>
  </si>
  <si>
    <t>Ioannis Tselepidis</t>
  </si>
  <si>
    <t>GRE0796</t>
  </si>
  <si>
    <t>Nikolaos Haroulis</t>
  </si>
  <si>
    <t>Haroulis</t>
  </si>
  <si>
    <t>GRE0797</t>
  </si>
  <si>
    <t>Raul Ramirez-Pena</t>
  </si>
  <si>
    <t>Ramirez-Pena</t>
  </si>
  <si>
    <t>Raul</t>
  </si>
  <si>
    <t>GRE0798</t>
  </si>
  <si>
    <t>Evangelos Vlastarakos</t>
  </si>
  <si>
    <t>Vlastarakos</t>
  </si>
  <si>
    <t>GRE0799</t>
  </si>
  <si>
    <t>Αlexandros- Efthymios Papaioannou-Boznas</t>
  </si>
  <si>
    <t>Papaioannou-Boznas</t>
  </si>
  <si>
    <t>Αlexandros- Efthymios</t>
  </si>
  <si>
    <t>GRE0800</t>
  </si>
  <si>
    <t>Ourania Skourou</t>
  </si>
  <si>
    <t>Skourou</t>
  </si>
  <si>
    <t>Ourania</t>
  </si>
  <si>
    <t>GRE0801</t>
  </si>
  <si>
    <t>Phillipos Kordantonopoulos</t>
  </si>
  <si>
    <t>Phillipos</t>
  </si>
  <si>
    <t>GRE0802</t>
  </si>
  <si>
    <t>Grigorios Georganoudis</t>
  </si>
  <si>
    <t>GRE0803</t>
  </si>
  <si>
    <t>Ioannis- Georgios Iliadakis</t>
  </si>
  <si>
    <t>Iliadakis</t>
  </si>
  <si>
    <t>Ioannis- Georgios</t>
  </si>
  <si>
    <t>GRE0804</t>
  </si>
  <si>
    <t>Subbuteo Club Pescara</t>
  </si>
  <si>
    <t>ITA3346</t>
  </si>
  <si>
    <t>Francesco Giambelluca</t>
  </si>
  <si>
    <t>Giambelluca</t>
  </si>
  <si>
    <t>F.lli Bari Reggio Emilia</t>
  </si>
  <si>
    <t>Lorenzo Sani</t>
  </si>
  <si>
    <t>ITA3284</t>
  </si>
  <si>
    <t>Maurizio Jon Scotta</t>
  </si>
  <si>
    <t>Jon Scotta</t>
  </si>
  <si>
    <t>ITA0450</t>
  </si>
  <si>
    <t>Simongiorgio La Pietra</t>
  </si>
  <si>
    <t>La Pietra</t>
  </si>
  <si>
    <t>Simongiorgio</t>
  </si>
  <si>
    <t>ITA0454</t>
  </si>
  <si>
    <t>ITA1778</t>
  </si>
  <si>
    <t>Giorgio Schilirò</t>
  </si>
  <si>
    <t>Schilirò</t>
  </si>
  <si>
    <t>ITA1830</t>
  </si>
  <si>
    <t>Calcio Tavolo Cosenza</t>
  </si>
  <si>
    <t>Maurizio Rubino</t>
  </si>
  <si>
    <t>Rubino</t>
  </si>
  <si>
    <t>ITA3287</t>
  </si>
  <si>
    <t>Daniele Vittorio Calcagno</t>
  </si>
  <si>
    <t>Calcagno</t>
  </si>
  <si>
    <t>Daniele Vittorio</t>
  </si>
  <si>
    <t>ITA0147</t>
  </si>
  <si>
    <t>Pasquale Virtu'</t>
  </si>
  <si>
    <t>Virtu'</t>
  </si>
  <si>
    <t>ITA3297</t>
  </si>
  <si>
    <t>Pierpaolo Bucci</t>
  </si>
  <si>
    <t>Bucci</t>
  </si>
  <si>
    <t>ITA2827</t>
  </si>
  <si>
    <t>Marco Imperato</t>
  </si>
  <si>
    <t>Imperato</t>
  </si>
  <si>
    <t>ITA3285</t>
  </si>
  <si>
    <t>Marco Baj</t>
  </si>
  <si>
    <t>Baj</t>
  </si>
  <si>
    <t>ITA1445</t>
  </si>
  <si>
    <t>Keiichi Konno</t>
  </si>
  <si>
    <t>Konno</t>
  </si>
  <si>
    <t>Keiichi</t>
  </si>
  <si>
    <t>JPN106</t>
  </si>
  <si>
    <t>Naoto Tanaka</t>
  </si>
  <si>
    <t>Naoto</t>
  </si>
  <si>
    <t>JPN112</t>
  </si>
  <si>
    <t>Pearce</t>
  </si>
  <si>
    <t>JPN170</t>
  </si>
  <si>
    <t>Ryota Amano</t>
  </si>
  <si>
    <t>Amano</t>
  </si>
  <si>
    <t>Ryota</t>
  </si>
  <si>
    <t>JPN171</t>
  </si>
  <si>
    <t>Mitsuki Mishima</t>
  </si>
  <si>
    <t>Mishima</t>
  </si>
  <si>
    <t>Mitsuki</t>
  </si>
  <si>
    <t>JPN172</t>
  </si>
  <si>
    <t>Haruka Hamagami</t>
  </si>
  <si>
    <t>Haruka</t>
  </si>
  <si>
    <t>JPN173</t>
  </si>
  <si>
    <t>Akimoto</t>
  </si>
  <si>
    <t>JPN174</t>
  </si>
  <si>
    <t>Deisler Azzopardi Conti</t>
  </si>
  <si>
    <t>Azzopardi Conti</t>
  </si>
  <si>
    <t>Deisler</t>
  </si>
  <si>
    <t>MLT0084</t>
  </si>
  <si>
    <t>H'Attard Subbuteo Club</t>
  </si>
  <si>
    <t>Richard Oranje</t>
  </si>
  <si>
    <t>Oranje</t>
  </si>
  <si>
    <t>NED0047</t>
  </si>
  <si>
    <t>SUBBUTEO DRAGONS AZUQUECA</t>
  </si>
  <si>
    <t>Cláudio Madeira</t>
  </si>
  <si>
    <t>Madeira</t>
  </si>
  <si>
    <t>Cláudio</t>
  </si>
  <si>
    <t>POR0199</t>
  </si>
  <si>
    <t>Herculano Diogenes</t>
  </si>
  <si>
    <t>Diogenes</t>
  </si>
  <si>
    <t>Herculano</t>
  </si>
  <si>
    <t>POR0245</t>
  </si>
  <si>
    <t>SC Benfica</t>
  </si>
  <si>
    <t>Martim Sena</t>
  </si>
  <si>
    <t>POR0247</t>
  </si>
  <si>
    <t>Carlos Ricardo</t>
  </si>
  <si>
    <t>POR0248</t>
  </si>
  <si>
    <t>Alexandre Fontes</t>
  </si>
  <si>
    <t>Fontes</t>
  </si>
  <si>
    <t>POR0249</t>
  </si>
  <si>
    <t>David Elton</t>
  </si>
  <si>
    <t>Elton</t>
  </si>
  <si>
    <t>IRL0018</t>
  </si>
  <si>
    <t>Andrea Andreoni</t>
  </si>
  <si>
    <t>Andreoni</t>
  </si>
  <si>
    <t>SCO0081</t>
  </si>
  <si>
    <t>Northern Phoenix Table Football_x000D_
_x000D_
Club</t>
  </si>
  <si>
    <t>Club de Regatas Vasco da Gama</t>
  </si>
  <si>
    <t>Sociedade Amigos de Vila Maria Zélia</t>
  </si>
  <si>
    <t>Sociedade Esportiva Palmeiras</t>
  </si>
  <si>
    <t>Associação Friburguense de Futebol de Mesa</t>
  </si>
  <si>
    <t>Sport Club Corinthians Paulista</t>
  </si>
  <si>
    <t>Londrina Esporte Clube</t>
  </si>
  <si>
    <t>Sport Club do Recife</t>
  </si>
  <si>
    <t>rec</t>
  </si>
  <si>
    <t>BRAC024</t>
  </si>
  <si>
    <t>wup</t>
  </si>
  <si>
    <t>Underdogs Cholargos TSC</t>
  </si>
  <si>
    <t>und</t>
  </si>
  <si>
    <t>GREC031</t>
  </si>
  <si>
    <t>JPNC003</t>
  </si>
  <si>
    <t>JPNC005</t>
  </si>
  <si>
    <t>CF os Belenenses</t>
  </si>
  <si>
    <t>Subbuteo Clube de Benfica</t>
  </si>
  <si>
    <t>PORC018</t>
  </si>
  <si>
    <t>jur</t>
  </si>
  <si>
    <t>SGPC001</t>
  </si>
  <si>
    <t>eas</t>
  </si>
  <si>
    <t>SGPC002</t>
  </si>
  <si>
    <t>sin</t>
  </si>
  <si>
    <t>SGPC003</t>
  </si>
  <si>
    <t>wsc</t>
  </si>
  <si>
    <t>SGPC004</t>
  </si>
  <si>
    <t>keb</t>
  </si>
  <si>
    <t>SGPC005</t>
  </si>
  <si>
    <t>Tiburones FM 2</t>
  </si>
  <si>
    <t>Winner</t>
  </si>
  <si>
    <t>Score-A</t>
  </si>
  <si>
    <t>Score-B</t>
  </si>
  <si>
    <t>StageCpy</t>
  </si>
  <si>
    <t>Referee Team</t>
  </si>
  <si>
    <t>[ Referee's name ]</t>
  </si>
  <si>
    <t>S4</t>
  </si>
  <si>
    <t>Player D6</t>
  </si>
  <si>
    <t>Player C5</t>
  </si>
  <si>
    <t>S3</t>
  </si>
  <si>
    <t>Player B5</t>
  </si>
  <si>
    <t>Player A5</t>
  </si>
  <si>
    <t>Player A6</t>
  </si>
  <si>
    <t>Type</t>
  </si>
  <si>
    <t>Team</t>
  </si>
  <si>
    <t>Consolation</t>
  </si>
  <si>
    <t>Registered A2</t>
  </si>
  <si>
    <t>Categories_Teams</t>
  </si>
  <si>
    <t>TEAM</t>
  </si>
  <si>
    <t>One</t>
  </si>
  <si>
    <t>Score_OK</t>
  </si>
  <si>
    <t>Goal-A</t>
  </si>
  <si>
    <t>ED</t>
  </si>
  <si>
    <t>WM</t>
  </si>
  <si>
    <t>LM</t>
  </si>
  <si>
    <t>MD</t>
  </si>
  <si>
    <t>Match-A</t>
  </si>
  <si>
    <t>Match-B</t>
  </si>
  <si>
    <t>Type in Team names</t>
  </si>
  <si>
    <t>Indiv. Matches Diff.</t>
  </si>
  <si>
    <t>Goals Diff.</t>
  </si>
  <si>
    <t>Encounter (Team Match) Diff.  ED=W-L</t>
  </si>
  <si>
    <t>In case of draw in points give points to classify teams with same points</t>
  </si>
  <si>
    <t>Thomas Janssens</t>
  </si>
  <si>
    <t>BEL0472</t>
  </si>
  <si>
    <t>Daz Clarke</t>
  </si>
  <si>
    <t>Clarke</t>
  </si>
  <si>
    <t>Daz</t>
  </si>
  <si>
    <t>ENG0518</t>
  </si>
  <si>
    <t>Simon McMurray</t>
  </si>
  <si>
    <t>McMurray</t>
  </si>
  <si>
    <t>Toni Vidal</t>
  </si>
  <si>
    <t>ESP0195</t>
  </si>
  <si>
    <t>Bonifacio Ruíz</t>
  </si>
  <si>
    <t>Ruíz</t>
  </si>
  <si>
    <t>Bonifacio</t>
  </si>
  <si>
    <t>ESP0217</t>
  </si>
  <si>
    <t>Manuel Reguera Delgado</t>
  </si>
  <si>
    <t>Reguera Delgado</t>
  </si>
  <si>
    <t>ESP0526</t>
  </si>
  <si>
    <t>Manuel Reguera Muñoz</t>
  </si>
  <si>
    <t>Reguera Muñoz</t>
  </si>
  <si>
    <t>ESP0547</t>
  </si>
  <si>
    <t>Juan Andrés García del Arco</t>
  </si>
  <si>
    <t>García del Arco</t>
  </si>
  <si>
    <t>Juan Andrés</t>
  </si>
  <si>
    <t>ESP0584</t>
  </si>
  <si>
    <t>Christos Kakantousis</t>
  </si>
  <si>
    <t>Kakantousis</t>
  </si>
  <si>
    <t>GRE0805</t>
  </si>
  <si>
    <t>Christos Kapelis</t>
  </si>
  <si>
    <t>Kapelis</t>
  </si>
  <si>
    <t>GRE0806</t>
  </si>
  <si>
    <t>Eleftherios Kapelis</t>
  </si>
  <si>
    <t>GRE0807</t>
  </si>
  <si>
    <t>Emilios Giantais</t>
  </si>
  <si>
    <t>GRE0808</t>
  </si>
  <si>
    <t>Pietro Di Pietrantonio</t>
  </si>
  <si>
    <t>ITA3291</t>
  </si>
  <si>
    <t>Francesco Discepoli</t>
  </si>
  <si>
    <t>Discepoli</t>
  </si>
  <si>
    <t>ITA0309</t>
  </si>
  <si>
    <t>Emanuele Di Francesco</t>
  </si>
  <si>
    <t>Di Francesco</t>
  </si>
  <si>
    <t>ITA1245</t>
  </si>
  <si>
    <t>Filippo Chiovari</t>
  </si>
  <si>
    <t>Chiovari</t>
  </si>
  <si>
    <t>ITA2433</t>
  </si>
  <si>
    <t>Massimiliano Boschi</t>
  </si>
  <si>
    <t>Boschi</t>
  </si>
  <si>
    <t>ITA3063</t>
  </si>
  <si>
    <t>Ronald Scheffer</t>
  </si>
  <si>
    <t>Scheffer</t>
  </si>
  <si>
    <t>Ronald</t>
  </si>
  <si>
    <t>NED0082</t>
  </si>
  <si>
    <t>Martin Scheffer</t>
  </si>
  <si>
    <t>NED0083</t>
  </si>
  <si>
    <t>e) Group Ranking</t>
  </si>
  <si>
    <t>The FISTF formulas plan to consider in case of equality in points, the particular ranking between the ex-aequo.
This calculation can only be done using macros and therefore cannot be done in this file which must remain accessible to everyone.
Consequently, in the event of equality in points in the groups, it is necessary to check manually the classification between the ex-aequo and to indicate in the cells "Diff-Part" their classification. In case of a tie enter for example 1 for each tie.
The "Shoot-out" cells make it possible to decide between the ex-aequo when all the other criteria do not make it possible to decide between. Same principle as "Diff-Part".</t>
  </si>
  <si>
    <t>CONS_OPEN</t>
  </si>
  <si>
    <t>CONS_VET</t>
  </si>
  <si>
    <t>CONS_LADIES</t>
  </si>
  <si>
    <t>CONS_U20</t>
  </si>
  <si>
    <t>CONS_U16</t>
  </si>
  <si>
    <t>CONS_U12</t>
  </si>
  <si>
    <t>Event values</t>
  </si>
  <si>
    <t>Team Event Values</t>
  </si>
  <si>
    <t>Facts</t>
  </si>
  <si>
    <r>
      <rPr>
        <b/>
        <sz val="8"/>
        <rFont val="Arial"/>
        <family val="2"/>
      </rPr>
      <t>Player</t>
    </r>
    <r>
      <rPr>
        <sz val="8"/>
        <rFont val="Arial"/>
        <family val="2"/>
      </rPr>
      <t xml:space="preserve"> who behaved inappropriately:</t>
    </r>
  </si>
  <si>
    <r>
      <rPr>
        <b/>
        <sz val="8"/>
        <rFont val="Arial"/>
        <family val="2"/>
      </rPr>
      <t>Clubs</t>
    </r>
    <r>
      <rPr>
        <sz val="8"/>
        <rFont val="Arial"/>
        <family val="2"/>
      </rPr>
      <t xml:space="preserve"> who behaved inappropriately:</t>
    </r>
  </si>
  <si>
    <t>Wrong name</t>
  </si>
  <si>
    <t>Wrong Name or Player not in this club</t>
  </si>
  <si>
    <t>1) Make sure the database data are up to date (tabs Players &amp; Clubs). 
If you think the data must be refreshed, click on Excel Menu "Data"&gt;&gt;"Actualise All". 
When done, check Players, Clubs &amp; Nation tabs and if some are empty, retry the actualise until all  tabs are filled.
When Players &amp; Clubs tabs are refreshed, actualize AGAIN, to update the Table in PlayersByClub tab.</t>
  </si>
  <si>
    <t>Folllowing table is a Dynamic Table based on Players tab</t>
  </si>
  <si>
    <t>Once you actualized Players tab, make another "Data"&gt;&gt;"Actualize All" to update this table on the last updates of Players tab.</t>
  </si>
  <si>
    <t>This table is used to provide list of players for teams.</t>
  </si>
  <si>
    <t>N° Version</t>
  </si>
  <si>
    <t>Description</t>
  </si>
  <si>
    <t>V3.2.1</t>
  </si>
  <si>
    <t>V3.1:</t>
  </si>
  <si>
    <t>===&gt; Added more values in Category column for Results and highlighting
===&gt; Added a section to report inappropriate behaviors in "Tournament Details" tab
===&gt; Password protection of all tabs to avoid wild copy/paste that destroys formulas</t>
  </si>
  <si>
    <t>V3.2</t>
  </si>
  <si>
    <t xml:space="preserve"> Added list of choice for players in groups, for players in teams &amp; for teams in groups </t>
  </si>
  <si>
    <t>V3.0</t>
  </si>
  <si>
    <t>Automatic group ranking for Teams </t>
  </si>
  <si>
    <t>V2.7</t>
  </si>
  <si>
    <t>Correction : Individuals &amp; Teams results tabs : adding som additional controls and warnings </t>
  </si>
  <si>
    <t>V2.6 </t>
  </si>
  <si>
    <t>Evolution</t>
  </si>
  <si>
    <t>Correction</t>
  </si>
  <si>
    <t>Correction / Evolution / Both</t>
  </si>
  <si>
    <t>V2.5</t>
  </si>
  <si>
    <t>V2.4</t>
  </si>
  <si>
    <t xml:space="preserve"> Some minor changes and compatibility with new WR tables on fistf.com
=&gt; This new version is mandatory for Tournaments.V2.3: #Team values in Teams tab are now A, B, C, D or E. The complete name is then ClubName, ClubName 2, ... </t>
  </si>
  <si>
    <t>V2.2.1</t>
  </si>
  <si>
    <t>Minors corrections</t>
  </si>
  <si>
    <t>V2.2</t>
  </si>
  <si>
    <t>precisions to refresh FISTF database tables (Players, Clubs &amp; Nations) in the "Things not to forget" tab</t>
  </si>
  <si>
    <t>Ranking calculation for Teams</t>
  </si>
  <si>
    <t>Some score cell's format was set to "text". Change to "Standard" format. </t>
  </si>
  <si>
    <t>Both</t>
  </si>
  <si>
    <t>Correction on Conditionnal Format for Teams in groups
Added this Version history  tab</t>
  </si>
  <si>
    <t>All absent players/teams must be reported (which means the results must not only be 0-3)</t>
  </si>
  <si>
    <t>All groups must be completed with players names</t>
  </si>
  <si>
    <t>All groups must be completed with Teams names</t>
  </si>
  <si>
    <t>ClubA</t>
  </si>
  <si>
    <t>ClubB</t>
  </si>
  <si>
    <t>Johannes Haas</t>
  </si>
  <si>
    <t>Johannes</t>
  </si>
  <si>
    <t>AUT0123</t>
  </si>
  <si>
    <t>ELM'Aye SC</t>
  </si>
  <si>
    <t>Simon Bodily</t>
  </si>
  <si>
    <t>Wessex Subbuteo Club</t>
  </si>
  <si>
    <t>ENG0521</t>
  </si>
  <si>
    <t>ESP0219</t>
  </si>
  <si>
    <t>Marc Ligos</t>
  </si>
  <si>
    <t>Ligos</t>
  </si>
  <si>
    <t>Carles Prat</t>
  </si>
  <si>
    <t>Ricard</t>
  </si>
  <si>
    <t>Albert</t>
  </si>
  <si>
    <t>Jesús Blanco</t>
  </si>
  <si>
    <t>Blanco</t>
  </si>
  <si>
    <t>Alberto Marchán</t>
  </si>
  <si>
    <t>Marchán</t>
  </si>
  <si>
    <t>ESP0585</t>
  </si>
  <si>
    <t>Pepe G. Berral</t>
  </si>
  <si>
    <t>G. Berral</t>
  </si>
  <si>
    <t>Pepe</t>
  </si>
  <si>
    <t>ESP0586</t>
  </si>
  <si>
    <t>Jesús González</t>
  </si>
  <si>
    <t>ESP0587</t>
  </si>
  <si>
    <t>Alejandro García</t>
  </si>
  <si>
    <t>Alejandro</t>
  </si>
  <si>
    <t>ESP0588</t>
  </si>
  <si>
    <t>Anna-Lisa Mensel</t>
  </si>
  <si>
    <t>Mensel</t>
  </si>
  <si>
    <t>Anna-Lisa</t>
  </si>
  <si>
    <t>Harald Popp</t>
  </si>
  <si>
    <t>Michael Nixdorf</t>
  </si>
  <si>
    <t>Nixdorf</t>
  </si>
  <si>
    <t>GER0156</t>
  </si>
  <si>
    <t>Nikos Mandarakas</t>
  </si>
  <si>
    <t>Mandarakas</t>
  </si>
  <si>
    <t>GRE0809</t>
  </si>
  <si>
    <t>Michail Malindretos</t>
  </si>
  <si>
    <t>GRE0810</t>
  </si>
  <si>
    <t>Tomaso Casagrande</t>
  </si>
  <si>
    <t>Casagrande</t>
  </si>
  <si>
    <t>Tomaso</t>
  </si>
  <si>
    <t>GRE0811</t>
  </si>
  <si>
    <t>Marios Lavrakis</t>
  </si>
  <si>
    <t>GRE0812</t>
  </si>
  <si>
    <t>Manousos Chatzistavrakis</t>
  </si>
  <si>
    <t>GRE0813</t>
  </si>
  <si>
    <t>Vincenzo Annese</t>
  </si>
  <si>
    <t>Annese</t>
  </si>
  <si>
    <t>ITA3352</t>
  </si>
  <si>
    <t>Massimiliano Barattucci</t>
  </si>
  <si>
    <t>Barattucci</t>
  </si>
  <si>
    <t>ITA3314</t>
  </si>
  <si>
    <t>SC Pavia</t>
  </si>
  <si>
    <t>Luigi Brandi</t>
  </si>
  <si>
    <t>Brandi</t>
  </si>
  <si>
    <t>ITA3340</t>
  </si>
  <si>
    <t>Vincenzo Brandi</t>
  </si>
  <si>
    <t>ITA3341</t>
  </si>
  <si>
    <t>Marco Bronzetti</t>
  </si>
  <si>
    <t>Bronzetti</t>
  </si>
  <si>
    <t>ITA3318</t>
  </si>
  <si>
    <t>Gaetano Buono</t>
  </si>
  <si>
    <t>ITA3355</t>
  </si>
  <si>
    <t>Lorenzo Buono</t>
  </si>
  <si>
    <t>ITA3354</t>
  </si>
  <si>
    <t>Alessandro Giordano Caldarola</t>
  </si>
  <si>
    <t>Caldarola</t>
  </si>
  <si>
    <t>Alessandro Giordano</t>
  </si>
  <si>
    <t>ITA3342</t>
  </si>
  <si>
    <t>ITA3327</t>
  </si>
  <si>
    <t>Massimiliano Capaccioli</t>
  </si>
  <si>
    <t>Capaccioli</t>
  </si>
  <si>
    <t>ITA3317</t>
  </si>
  <si>
    <t>Simone Casale</t>
  </si>
  <si>
    <t>Casale</t>
  </si>
  <si>
    <t>ITA3302</t>
  </si>
  <si>
    <t>Angelo Coppolino</t>
  </si>
  <si>
    <t>Coppolino</t>
  </si>
  <si>
    <t>ITA2059</t>
  </si>
  <si>
    <t>Samuele Coppolino</t>
  </si>
  <si>
    <t>ITA3275</t>
  </si>
  <si>
    <t>Barbara Coriani</t>
  </si>
  <si>
    <t>Coriani</t>
  </si>
  <si>
    <t>Barbara</t>
  </si>
  <si>
    <t>ITA2171</t>
  </si>
  <si>
    <t>Nicola D'Alessandro</t>
  </si>
  <si>
    <t>D'Alessandro</t>
  </si>
  <si>
    <t>ITA3351</t>
  </si>
  <si>
    <t>Lisa De Leonardis</t>
  </si>
  <si>
    <t>De Leonardis</t>
  </si>
  <si>
    <t>ITA3315</t>
  </si>
  <si>
    <t>Giorgio De Lorenzi</t>
  </si>
  <si>
    <t>De Lorenzi</t>
  </si>
  <si>
    <t>ITA3271</t>
  </si>
  <si>
    <t>Orlando De Luca</t>
  </si>
  <si>
    <t>ITA2899</t>
  </si>
  <si>
    <t>Simone Di Tullio</t>
  </si>
  <si>
    <t>ITA3333</t>
  </si>
  <si>
    <t>Diego Fabbri</t>
  </si>
  <si>
    <t>Fabbri</t>
  </si>
  <si>
    <t>ITA3324</t>
  </si>
  <si>
    <t>Ilaria Fedele</t>
  </si>
  <si>
    <t>Ilaria</t>
  </si>
  <si>
    <t>ITA3313</t>
  </si>
  <si>
    <t>Stefano Ferri</t>
  </si>
  <si>
    <t>ITA3344</t>
  </si>
  <si>
    <t>Julia Filippella Nasti</t>
  </si>
  <si>
    <t>Filippella Nasti</t>
  </si>
  <si>
    <t>Sean Filippella Nasti</t>
  </si>
  <si>
    <t>Dario Flammini</t>
  </si>
  <si>
    <t>Flammini</t>
  </si>
  <si>
    <t>ITA3334</t>
  </si>
  <si>
    <t>Paolo Galli</t>
  </si>
  <si>
    <t>Galli</t>
  </si>
  <si>
    <t>ITA3303</t>
  </si>
  <si>
    <t>Diego Giorio</t>
  </si>
  <si>
    <t>Giorio</t>
  </si>
  <si>
    <t>ITA2504</t>
  </si>
  <si>
    <t>Guido Giorio</t>
  </si>
  <si>
    <t>ITA2505</t>
  </si>
  <si>
    <t>Federico Iervese</t>
  </si>
  <si>
    <t>ITA3347</t>
  </si>
  <si>
    <t>Edoardo Lanci</t>
  </si>
  <si>
    <t>Lanci</t>
  </si>
  <si>
    <t>ITA3309</t>
  </si>
  <si>
    <t>Santo Longo</t>
  </si>
  <si>
    <t>Longo</t>
  </si>
  <si>
    <t>Santo</t>
  </si>
  <si>
    <t>ITA1148</t>
  </si>
  <si>
    <t>Giuseppe Lorusso</t>
  </si>
  <si>
    <t>Lorusso</t>
  </si>
  <si>
    <t>ITA3306</t>
  </si>
  <si>
    <t>Daniele Marchi</t>
  </si>
  <si>
    <t>Marchi</t>
  </si>
  <si>
    <t>ITA3335</t>
  </si>
  <si>
    <t>Davide Angelo Marletta</t>
  </si>
  <si>
    <t>Marletta</t>
  </si>
  <si>
    <t>Davide Angelo</t>
  </si>
  <si>
    <t>ITA2865</t>
  </si>
  <si>
    <t>Massimo Francesco Mastrobuono</t>
  </si>
  <si>
    <t>Mastrobuono</t>
  </si>
  <si>
    <t>Massimo Francesco</t>
  </si>
  <si>
    <t>ITA3328</t>
  </si>
  <si>
    <t>Roberto Milanese</t>
  </si>
  <si>
    <t>Milanese</t>
  </si>
  <si>
    <t>GianMaria Montaguti</t>
  </si>
  <si>
    <t>Montaguti</t>
  </si>
  <si>
    <t>GianMaria</t>
  </si>
  <si>
    <t>ITA3311</t>
  </si>
  <si>
    <t>Pierpaolo Murabito</t>
  </si>
  <si>
    <t>Murabito</t>
  </si>
  <si>
    <t>ITA1137</t>
  </si>
  <si>
    <t>Samuele Murabito</t>
  </si>
  <si>
    <t>ITA3279</t>
  </si>
  <si>
    <t>Cosimo Orlando</t>
  </si>
  <si>
    <t>Cosimo</t>
  </si>
  <si>
    <t>ITA2804</t>
  </si>
  <si>
    <t>Roberto Pacileo</t>
  </si>
  <si>
    <t>Pacileo</t>
  </si>
  <si>
    <t>ITA3312</t>
  </si>
  <si>
    <t>Pagani</t>
  </si>
  <si>
    <t>Diego Pellicoro</t>
  </si>
  <si>
    <t>Pellicoro</t>
  </si>
  <si>
    <t>ITA3257</t>
  </si>
  <si>
    <t>Gabriele Pellicoro</t>
  </si>
  <si>
    <t>ITA3338</t>
  </si>
  <si>
    <t>Daniele Perrino</t>
  </si>
  <si>
    <t>ITA2014</t>
  </si>
  <si>
    <t>Enrico Vito Perrino</t>
  </si>
  <si>
    <t>Enrico Vito</t>
  </si>
  <si>
    <t>Giulia Pibiri</t>
  </si>
  <si>
    <t>Pibiri</t>
  </si>
  <si>
    <t>ITA3321</t>
  </si>
  <si>
    <t>Simone Pieraccioni</t>
  </si>
  <si>
    <t>Pieraccioni</t>
  </si>
  <si>
    <t>ITA3316</t>
  </si>
  <si>
    <t>Marco Pistorino</t>
  </si>
  <si>
    <t>Pistorino</t>
  </si>
  <si>
    <t>ITA3304</t>
  </si>
  <si>
    <t>Angelo Prettico</t>
  </si>
  <si>
    <t>Prettico</t>
  </si>
  <si>
    <t>ITA3336</t>
  </si>
  <si>
    <t>Roberto Rizzo</t>
  </si>
  <si>
    <t>Rizzo</t>
  </si>
  <si>
    <t>ITA3436</t>
  </si>
  <si>
    <t>Aleksandar Rossitto</t>
  </si>
  <si>
    <t>Aleksandar</t>
  </si>
  <si>
    <t>ITA3345</t>
  </si>
  <si>
    <t>Davide Giuseppe Sangiorgio</t>
  </si>
  <si>
    <t>Sangiorgio</t>
  </si>
  <si>
    <t>Davide Giuseppe</t>
  </si>
  <si>
    <t>ITA3348</t>
  </si>
  <si>
    <t>Vincenzo Santaniello</t>
  </si>
  <si>
    <t>Santaniello</t>
  </si>
  <si>
    <t>ITA2330</t>
  </si>
  <si>
    <t>Marco Scannavini</t>
  </si>
  <si>
    <t>Scannavini</t>
  </si>
  <si>
    <t>ITA3337</t>
  </si>
  <si>
    <t>Alessandro Siciliano</t>
  </si>
  <si>
    <t>ITA3349</t>
  </si>
  <si>
    <t>Simone Soldera</t>
  </si>
  <si>
    <t>Soldera</t>
  </si>
  <si>
    <t>ITA3298</t>
  </si>
  <si>
    <t>Stefano Stagno</t>
  </si>
  <si>
    <t>Stagno</t>
  </si>
  <si>
    <t>ITA3322</t>
  </si>
  <si>
    <t>Messina Subbuteo Sport Club</t>
  </si>
  <si>
    <t>Andrea Tavani</t>
  </si>
  <si>
    <t>Tavani</t>
  </si>
  <si>
    <t>ITA3305</t>
  </si>
  <si>
    <t>Alessandro Valluzzi</t>
  </si>
  <si>
    <t>Valluzzi</t>
  </si>
  <si>
    <t>ITA3310</t>
  </si>
  <si>
    <t>Mauro Villa</t>
  </si>
  <si>
    <t>ITA3307</t>
  </si>
  <si>
    <t>Stefano Zappacosta</t>
  </si>
  <si>
    <t>Zappacosta</t>
  </si>
  <si>
    <t>ITA1843</t>
  </si>
  <si>
    <t>Riccardo Zecchini</t>
  </si>
  <si>
    <t>Zecchini</t>
  </si>
  <si>
    <t>ITA2777</t>
  </si>
  <si>
    <t>Claudio Chiara</t>
  </si>
  <si>
    <t>Chiara</t>
  </si>
  <si>
    <t>ITA0954</t>
  </si>
  <si>
    <t>Pasquale Lecce</t>
  </si>
  <si>
    <t>Lecce</t>
  </si>
  <si>
    <t>ITA1080</t>
  </si>
  <si>
    <t>Riccardo Panella</t>
  </si>
  <si>
    <t>Panella</t>
  </si>
  <si>
    <t>ITA1480</t>
  </si>
  <si>
    <t>Francesco Gori</t>
  </si>
  <si>
    <t>Gori</t>
  </si>
  <si>
    <t>ITA1701</t>
  </si>
  <si>
    <t>Francesco Riccobene</t>
  </si>
  <si>
    <t>Riccobene</t>
  </si>
  <si>
    <t>ITA2123</t>
  </si>
  <si>
    <t>Danilo Presti</t>
  </si>
  <si>
    <t>Presti</t>
  </si>
  <si>
    <t>ITA2577</t>
  </si>
  <si>
    <t>Massimiliano Canale</t>
  </si>
  <si>
    <t>Canale</t>
  </si>
  <si>
    <t>ITA2627</t>
  </si>
  <si>
    <t>Daniele Piacentini</t>
  </si>
  <si>
    <t>Piacentini</t>
  </si>
  <si>
    <t>ITA2798</t>
  </si>
  <si>
    <t>Gianfranco Scaramuzzi</t>
  </si>
  <si>
    <t>Scaramuzzi</t>
  </si>
  <si>
    <t>ITA2845</t>
  </si>
  <si>
    <t>Hina Akimoto</t>
  </si>
  <si>
    <t>Hina</t>
  </si>
  <si>
    <t>Sato Yoshifumi</t>
  </si>
  <si>
    <t>Yoshifumi</t>
  </si>
  <si>
    <t>Sato</t>
  </si>
  <si>
    <t>JPN175</t>
  </si>
  <si>
    <t>Kazue</t>
  </si>
  <si>
    <t>Osa</t>
  </si>
  <si>
    <t>JPN176</t>
  </si>
  <si>
    <t>Masato</t>
  </si>
  <si>
    <t>JPN177</t>
  </si>
  <si>
    <t>Mitsuaki</t>
  </si>
  <si>
    <t>Tachikawa</t>
  </si>
  <si>
    <t>JPN178</t>
  </si>
  <si>
    <t>Aki</t>
  </si>
  <si>
    <t>Kanda</t>
  </si>
  <si>
    <t>JPN179</t>
  </si>
  <si>
    <t>Kotetsu</t>
  </si>
  <si>
    <t>JPN180</t>
  </si>
  <si>
    <t>Junya</t>
  </si>
  <si>
    <t>JPN181</t>
  </si>
  <si>
    <t>Shoi</t>
  </si>
  <si>
    <t>Sasaki</t>
  </si>
  <si>
    <t>JPN182</t>
  </si>
  <si>
    <t>Lochlin Bradley</t>
  </si>
  <si>
    <t>Lochlin</t>
  </si>
  <si>
    <t>NIR0030</t>
  </si>
  <si>
    <t>Sporting Club 18</t>
  </si>
  <si>
    <t>Jude Morrow</t>
  </si>
  <si>
    <t>Morrow</t>
  </si>
  <si>
    <t>Jude</t>
  </si>
  <si>
    <t>NIR0031</t>
  </si>
  <si>
    <t>Donal Convery</t>
  </si>
  <si>
    <t>Convery</t>
  </si>
  <si>
    <t>Donal</t>
  </si>
  <si>
    <t>NIR0033</t>
  </si>
  <si>
    <t>Colin Perry</t>
  </si>
  <si>
    <t>Perry</t>
  </si>
  <si>
    <t>NIR0034</t>
  </si>
  <si>
    <t>Ian Greer</t>
  </si>
  <si>
    <t>Greer</t>
  </si>
  <si>
    <t>NIR0035</t>
  </si>
  <si>
    <t>Colin Day</t>
  </si>
  <si>
    <t>Andrew Kent</t>
  </si>
  <si>
    <t>Kent</t>
  </si>
  <si>
    <t>SCO0082</t>
  </si>
  <si>
    <t>Sumit Babel</t>
  </si>
  <si>
    <t>Babel</t>
  </si>
  <si>
    <t>Sumit</t>
  </si>
  <si>
    <t>SGP0149</t>
  </si>
  <si>
    <t>Viaan Babel</t>
  </si>
  <si>
    <t>Viaan</t>
  </si>
  <si>
    <t>SGP0150</t>
  </si>
  <si>
    <t>Martin Bellefontaine</t>
  </si>
  <si>
    <t>aye</t>
  </si>
  <si>
    <t>BELC026</t>
  </si>
  <si>
    <t>Pedmore S&amp;TFC</t>
  </si>
  <si>
    <t>ped</t>
  </si>
  <si>
    <t>ENGC082</t>
  </si>
  <si>
    <t>The Wessex Subbuteo Club</t>
  </si>
  <si>
    <t>wsx</t>
  </si>
  <si>
    <t>ENGC083</t>
  </si>
  <si>
    <t>Tigers Lab</t>
  </si>
  <si>
    <t>tig</t>
  </si>
  <si>
    <t>Il Picchio Ascoli</t>
  </si>
  <si>
    <t>pic</t>
  </si>
  <si>
    <t>Grifo Sombrero</t>
  </si>
  <si>
    <t>gfs</t>
  </si>
  <si>
    <t>Subbuteo Club Pavia</t>
  </si>
  <si>
    <t>pav</t>
  </si>
  <si>
    <t>ITAC181</t>
  </si>
  <si>
    <t>pes</t>
  </si>
  <si>
    <t>ITAC182</t>
  </si>
  <si>
    <t>Subbuteo Club Mestre</t>
  </si>
  <si>
    <t>ITAC185</t>
  </si>
  <si>
    <t>car</t>
  </si>
  <si>
    <t>WALC001</t>
  </si>
  <si>
    <t>Swansea</t>
  </si>
  <si>
    <t>swa</t>
  </si>
  <si>
    <t>WALC002</t>
  </si>
  <si>
    <t>London Road Subbuteo TSC</t>
  </si>
  <si>
    <t>lrs</t>
  </si>
  <si>
    <t>WALC003</t>
  </si>
  <si>
    <t>Knighton</t>
  </si>
  <si>
    <t>kni</t>
  </si>
  <si>
    <t>WALC004</t>
  </si>
  <si>
    <t>V3.3</t>
  </si>
  <si>
    <t>Some small updates in "Things not to forget"
Correction : format condition for players of teams =&gt; check players are in the Club but not in the Teams that is composed of Club Name plus " 2", " 3", …</t>
  </si>
  <si>
    <t>V3.3.1</t>
  </si>
  <si>
    <t>Bad Group Numbers in "Results Individuals"</t>
  </si>
  <si>
    <t>Start Date</t>
  </si>
  <si>
    <t>End Date</t>
  </si>
  <si>
    <t>V3.4</t>
  </si>
  <si>
    <t>Same pts</t>
  </si>
  <si>
    <t>Reduced amount if invoice paid within 14 days</t>
  </si>
  <si>
    <t>Checked FISTF Code</t>
  </si>
  <si>
    <t>Valid Name ?</t>
  </si>
  <si>
    <t>Valide Code ?</t>
  </si>
  <si>
    <t>ARG0001</t>
  </si>
  <si>
    <t>Retained Player Name</t>
  </si>
  <si>
    <t>LEGEND</t>
  </si>
  <si>
    <t>Unknown FISTF Code</t>
  </si>
  <si>
    <t>Unknown Player Name</t>
  </si>
  <si>
    <t>Valid Player Name</t>
  </si>
  <si>
    <t>Diego Maradona</t>
  </si>
  <si>
    <t>Valid player name but with another FISTF Code</t>
  </si>
  <si>
    <t>You can fill Player name OR FISTF Code</t>
  </si>
  <si>
    <t>You can fill Player name AND FISTF Code =&gt; Player name and FISTF code may not be consistent.</t>
  </si>
  <si>
    <t>Valid FISTF Code</t>
  </si>
  <si>
    <t>===&gt; Added FISTF Code column in registration tabs in order to provide organizer with the possibility to fill either Player Name or either FISTF Code
===&gt; Added Discounted amount of levies if paid before 14 days in "Tournament Details" tab. =&gt; Start and End dates to be filled now to determine last day of 25% discount on levies.
===&gt; Added highligth on points in groups in case of draw without Diff-Draw or Shout-out filled.
===&gt; Correction in Team groups ranking calculation. Draw in groups were not considered before.
===&gt; Correction in list of values in team groups for team name (before only club names were listed)</t>
  </si>
  <si>
    <t>V3.5</t>
  </si>
  <si>
    <t>===&gt; Added FISTF Code column in registration tabs in order to provide organizer with the possibility to fill either Player Name or either FISTF Code</t>
  </si>
  <si>
    <t>V3.5.1</t>
  </si>
  <si>
    <t>Table names in Veterans … U12 tabs</t>
  </si>
  <si>
    <t>V4.0</t>
  </si>
  <si>
    <t>Change of discount rate in accordance with HB 2023-2024</t>
  </si>
  <si>
    <t xml:space="preserve">Just fill the players' names (or FISTF Code),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
Please do not use all  uppercase names like "DIEGO MARADONA", instead use names like this "Diego Maradona"
</t>
  </si>
  <si>
    <t>Remind that all players should be registered with a valid licence for the current season to get points in FISTF World Ranking</t>
  </si>
  <si>
    <t>If he has paid for his registration but is not present, he must appear in the Results tab, but also in the tab of his category by mentioning "withdraw"</t>
  </si>
  <si>
    <t>If a player has withdrawn and has not paid his registration fee to the organizer, this should not be mentioned in the Results nor in his Category tabs.</t>
  </si>
  <si>
    <t>Just fill the club' names AND #Team, all other field should be automatically completed.
If the club name is not found (#N/A appear), check the club name in the Clubs tab.
If still not found, make sure the tables of players, clubs &amp; nations are up to date by clicking on the menu Data&gt;Request&amp;Connexions&gt;Actualize All
If still not found, may be the club is unknown from FISTF for this season; then fillin manually Nation, Club and FISTF Code (these cells will appear in orange).
As you can see, the column "Result" contains the result code used for WR
Please do not use all  uppercase names like "TIBURONES FM", instead use names like this "Tiburones FM"
Please fill all details in the same format as the exemple</t>
  </si>
  <si>
    <t>V4.0.1</t>
  </si>
  <si>
    <t>===&gt; Tournament Details : formula correction to calculate number of participants
===&gt; Results Individuals : Change formula of conditionnal format on column AD</t>
  </si>
  <si>
    <t>2</t>
  </si>
  <si>
    <t>3</t>
  </si>
  <si>
    <t>els</t>
  </si>
  <si>
    <t>ENGC084</t>
  </si>
  <si>
    <t>Kettering Flicking Marvellous</t>
  </si>
  <si>
    <t>kfm</t>
  </si>
  <si>
    <t>ENGC085</t>
  </si>
  <si>
    <t>CFM Manolo Preciado</t>
  </si>
  <si>
    <t>mpr</t>
  </si>
  <si>
    <t>ESPC016</t>
  </si>
  <si>
    <t>Northern Line Flickers TFC</t>
  </si>
  <si>
    <t>nlf</t>
  </si>
  <si>
    <t>FISC0001</t>
  </si>
  <si>
    <t>FTC Saint-Symphorien-sur-Coise</t>
  </si>
  <si>
    <t>Guebwiller Alsace Subbuteo Club</t>
  </si>
  <si>
    <t>als</t>
  </si>
  <si>
    <t>FRAC023</t>
  </si>
  <si>
    <t>RC Lorraine Subbuteo Club</t>
  </si>
  <si>
    <t>lor</t>
  </si>
  <si>
    <t>FRAC024</t>
  </si>
  <si>
    <t>puc</t>
  </si>
  <si>
    <t>FRAC025</t>
  </si>
  <si>
    <t>Crimson Horses</t>
  </si>
  <si>
    <t>crh</t>
  </si>
  <si>
    <t>CS SC Sereníssima Mestre</t>
  </si>
  <si>
    <t>csm</t>
  </si>
  <si>
    <t>ITAC053</t>
  </si>
  <si>
    <t>Subbuteo Club Silvio Piola</t>
  </si>
  <si>
    <t>spo</t>
  </si>
  <si>
    <t>ITAC178</t>
  </si>
  <si>
    <t>scm</t>
  </si>
  <si>
    <t>Subbuteo Club Reggio Calabria</t>
  </si>
  <si>
    <t>ITAC186</t>
  </si>
  <si>
    <t>Granducato Subbuteo</t>
  </si>
  <si>
    <t>grs</t>
  </si>
  <si>
    <t>ITAC187</t>
  </si>
  <si>
    <t>bel</t>
  </si>
  <si>
    <t>NIRC001</t>
  </si>
  <si>
    <t>SSA</t>
  </si>
  <si>
    <t>Column1</t>
  </si>
  <si>
    <t>Igor Ljubisavljevic</t>
  </si>
  <si>
    <t>Ljubisavljevic</t>
  </si>
  <si>
    <t>AUT0124</t>
  </si>
  <si>
    <t>Adam Guyaux</t>
  </si>
  <si>
    <t>BEL0473</t>
  </si>
  <si>
    <t>Florent Versmissen</t>
  </si>
  <si>
    <t>Versmissen</t>
  </si>
  <si>
    <t>Florent</t>
  </si>
  <si>
    <t>BEL0074</t>
  </si>
  <si>
    <t>BEL0470</t>
  </si>
  <si>
    <t>Mike Parnaby</t>
  </si>
  <si>
    <t>Parnaby</t>
  </si>
  <si>
    <t>ENG0001</t>
  </si>
  <si>
    <t>AFT Turia</t>
  </si>
  <si>
    <t>Francesca Bellefontaine</t>
  </si>
  <si>
    <t>Francesca</t>
  </si>
  <si>
    <t>ENG0134</t>
  </si>
  <si>
    <t>Miguel Pereira</t>
  </si>
  <si>
    <t>Robert Jones</t>
  </si>
  <si>
    <t>Thomas Lacey</t>
  </si>
  <si>
    <t>Lacey</t>
  </si>
  <si>
    <t>ENG0522</t>
  </si>
  <si>
    <t>Kyle Jamieson</t>
  </si>
  <si>
    <t>ENG0523</t>
  </si>
  <si>
    <t>Hadley Chapman</t>
  </si>
  <si>
    <t>Chapman</t>
  </si>
  <si>
    <t>Hadley</t>
  </si>
  <si>
    <t>ENG0524</t>
  </si>
  <si>
    <t>Jacob Hodds</t>
  </si>
  <si>
    <t>ENG0525</t>
  </si>
  <si>
    <t>Martin Holmes</t>
  </si>
  <si>
    <t>ENG0526</t>
  </si>
  <si>
    <t>David Everitt</t>
  </si>
  <si>
    <t>Everitt</t>
  </si>
  <si>
    <t>ENG0527</t>
  </si>
  <si>
    <t>David McCallum</t>
  </si>
  <si>
    <t>McCallum</t>
  </si>
  <si>
    <t>ENG0529</t>
  </si>
  <si>
    <t>Martin Colwell</t>
  </si>
  <si>
    <t>Colwell</t>
  </si>
  <si>
    <t>ENG0530</t>
  </si>
  <si>
    <t>Elstow Lions TFC</t>
  </si>
  <si>
    <t>James McCormick</t>
  </si>
  <si>
    <t>McCormick</t>
  </si>
  <si>
    <t>ENG0532</t>
  </si>
  <si>
    <t>Daniel McCormick</t>
  </si>
  <si>
    <t>ENG0533</t>
  </si>
  <si>
    <t>Martin Hill</t>
  </si>
  <si>
    <t>ENG0534</t>
  </si>
  <si>
    <t>Paul Izard</t>
  </si>
  <si>
    <t>Izard</t>
  </si>
  <si>
    <t>ENG0535</t>
  </si>
  <si>
    <t>SPQR MIX</t>
  </si>
  <si>
    <t>Pablo Baeza</t>
  </si>
  <si>
    <t>Baeza</t>
  </si>
  <si>
    <t>Pablo</t>
  </si>
  <si>
    <t>ESP0556</t>
  </si>
  <si>
    <t>Joan Acuña Padilla</t>
  </si>
  <si>
    <t>Acuña Padilla</t>
  </si>
  <si>
    <t>ESP0589</t>
  </si>
  <si>
    <t>José Mª Diéguez</t>
  </si>
  <si>
    <t>Diéguez</t>
  </si>
  <si>
    <t>José Mª</t>
  </si>
  <si>
    <t>ESP0590</t>
  </si>
  <si>
    <t>Cesc Vidal Torner</t>
  </si>
  <si>
    <t>Vidal Torner</t>
  </si>
  <si>
    <t>Cesc</t>
  </si>
  <si>
    <t>ESP0591</t>
  </si>
  <si>
    <t>Diego Barone Sánchez</t>
  </si>
  <si>
    <t>Barone Sánchez</t>
  </si>
  <si>
    <t>ESP0592</t>
  </si>
  <si>
    <t>Juan Antonio Montaño</t>
  </si>
  <si>
    <t>ESP0593</t>
  </si>
  <si>
    <t>Raúl Rome</t>
  </si>
  <si>
    <t>Rome</t>
  </si>
  <si>
    <t>ESP0594</t>
  </si>
  <si>
    <t>Gonzalo Reguera Muñoz</t>
  </si>
  <si>
    <t>ESP0595</t>
  </si>
  <si>
    <t>INA</t>
  </si>
  <si>
    <t>Marc Regnier</t>
  </si>
  <si>
    <t>Regnier</t>
  </si>
  <si>
    <t>FRA0271</t>
  </si>
  <si>
    <t>Maël Teixido-Regnier</t>
  </si>
  <si>
    <t>Teixido-Regnier</t>
  </si>
  <si>
    <t>Maël</t>
  </si>
  <si>
    <t>FRA0272</t>
  </si>
  <si>
    <t>Thomas Pröhle</t>
  </si>
  <si>
    <t>Pröhle</t>
  </si>
  <si>
    <t>GER0026</t>
  </si>
  <si>
    <t>Thomas Vulpes</t>
  </si>
  <si>
    <t>GER0072</t>
  </si>
  <si>
    <t>Gerhard Grünberg</t>
  </si>
  <si>
    <t>GER0091</t>
  </si>
  <si>
    <t>GER0149</t>
  </si>
  <si>
    <t>Peng Qiao</t>
  </si>
  <si>
    <t>Qiao</t>
  </si>
  <si>
    <t>GER0157</t>
  </si>
  <si>
    <t>Mattia Spataro</t>
  </si>
  <si>
    <t>Spataro</t>
  </si>
  <si>
    <t>GER0158</t>
  </si>
  <si>
    <t>Lampros Drossopoulos</t>
  </si>
  <si>
    <t>Andreas Eleftheriou</t>
  </si>
  <si>
    <t>Konstantinos Pefanis</t>
  </si>
  <si>
    <t>Pefanis</t>
  </si>
  <si>
    <t>GRE0814</t>
  </si>
  <si>
    <t>Anastasios Eskitzis</t>
  </si>
  <si>
    <t>Eskitzis</t>
  </si>
  <si>
    <t>GRE0815</t>
  </si>
  <si>
    <t>Gerasimos Asimakopoulos</t>
  </si>
  <si>
    <t>GRE0816</t>
  </si>
  <si>
    <t>Athanasios Eskitzis</t>
  </si>
  <si>
    <t>GRE0817</t>
  </si>
  <si>
    <t>Dimitrios Stravolaimos</t>
  </si>
  <si>
    <t>Stravolaimos</t>
  </si>
  <si>
    <t>GRE0818</t>
  </si>
  <si>
    <t>Andrea Anselmi</t>
  </si>
  <si>
    <t>Anselmi</t>
  </si>
  <si>
    <t>ITA1577</t>
  </si>
  <si>
    <t>Alberto Baratucci</t>
  </si>
  <si>
    <t>Baratucci</t>
  </si>
  <si>
    <t>ITA3278</t>
  </si>
  <si>
    <t>Pasquale Citrigno</t>
  </si>
  <si>
    <t>Citrigno</t>
  </si>
  <si>
    <t>ITA1053</t>
  </si>
  <si>
    <t>SC Reggio Calabria</t>
  </si>
  <si>
    <t>Fabio De Pascalis</t>
  </si>
  <si>
    <t>De Pascalis</t>
  </si>
  <si>
    <t>ITA3178</t>
  </si>
  <si>
    <t>Nicola Di Lernia</t>
  </si>
  <si>
    <t>Di Lernia</t>
  </si>
  <si>
    <t>ITA0304</t>
  </si>
  <si>
    <t>SC Mestre</t>
  </si>
  <si>
    <t>Sc Fiamme Azzurre</t>
  </si>
  <si>
    <t>Ermanno Junior Fioretti</t>
  </si>
  <si>
    <t>Fioretti</t>
  </si>
  <si>
    <t>Ermanno Junior</t>
  </si>
  <si>
    <t>ITA1752</t>
  </si>
  <si>
    <t>Andrea Gandin</t>
  </si>
  <si>
    <t>ITA3129</t>
  </si>
  <si>
    <t>Antonio Longobardi</t>
  </si>
  <si>
    <t>Longobardi</t>
  </si>
  <si>
    <t>ITA3296</t>
  </si>
  <si>
    <t>Nicola Mariconda</t>
  </si>
  <si>
    <t>Mariconda</t>
  </si>
  <si>
    <t>ITA3360</t>
  </si>
  <si>
    <t>Michelangelo Mazzilli</t>
  </si>
  <si>
    <t>Mazzilli</t>
  </si>
  <si>
    <t>ITA0555</t>
  </si>
  <si>
    <t>Sebastiano Pireddu</t>
  </si>
  <si>
    <t>Pireddu</t>
  </si>
  <si>
    <t>Sebastiano</t>
  </si>
  <si>
    <t>ITA2347</t>
  </si>
  <si>
    <t>Carlo Piscopo</t>
  </si>
  <si>
    <t>Piscopo</t>
  </si>
  <si>
    <t>ITA2959</t>
  </si>
  <si>
    <t>Roberto Rocchi</t>
  </si>
  <si>
    <t>Rocchi</t>
  </si>
  <si>
    <t>ITA2824</t>
  </si>
  <si>
    <t>Andrea Siculella</t>
  </si>
  <si>
    <t>Siculella</t>
  </si>
  <si>
    <t>ITA3365</t>
  </si>
  <si>
    <t>Oreste Spagnuolo</t>
  </si>
  <si>
    <t>Spagnuolo</t>
  </si>
  <si>
    <t>Oreste</t>
  </si>
  <si>
    <t>ITA03367</t>
  </si>
  <si>
    <t>Alfredo Granato</t>
  </si>
  <si>
    <t>Granato</t>
  </si>
  <si>
    <t>ITA0415</t>
  </si>
  <si>
    <t>Valerio Iannazzo</t>
  </si>
  <si>
    <t>Iannazzo</t>
  </si>
  <si>
    <t>ITA2351</t>
  </si>
  <si>
    <t>Michele Silei</t>
  </si>
  <si>
    <t>Silei</t>
  </si>
  <si>
    <t>ITA0804</t>
  </si>
  <si>
    <t>Giorgio Velli</t>
  </si>
  <si>
    <t>Velli</t>
  </si>
  <si>
    <t>ITA0885</t>
  </si>
  <si>
    <t>Francesco Venturello</t>
  </si>
  <si>
    <t>Venturello</t>
  </si>
  <si>
    <t>ITA0886</t>
  </si>
  <si>
    <t>Roberto Agirmo</t>
  </si>
  <si>
    <t>Agirmo</t>
  </si>
  <si>
    <t>ITA0918</t>
  </si>
  <si>
    <t>Francesco Vienna</t>
  </si>
  <si>
    <t>Vienna</t>
  </si>
  <si>
    <t>ITA1026</t>
  </si>
  <si>
    <t>Domenico De Cosmo</t>
  </si>
  <si>
    <t>De Cosmo</t>
  </si>
  <si>
    <t>ITA1286</t>
  </si>
  <si>
    <t>Roberto Ferro</t>
  </si>
  <si>
    <t>ITA1517</t>
  </si>
  <si>
    <t>Francesco Veneri</t>
  </si>
  <si>
    <t>Veneri</t>
  </si>
  <si>
    <t>ITA1699</t>
  </si>
  <si>
    <t>Salvatore Buccheri</t>
  </si>
  <si>
    <t>ITA1710</t>
  </si>
  <si>
    <t>Bruno Bagnato</t>
  </si>
  <si>
    <t>Bagnato</t>
  </si>
  <si>
    <t>ITA2475</t>
  </si>
  <si>
    <t>Subbuteo Club reggio Calabria</t>
  </si>
  <si>
    <t>Santini</t>
  </si>
  <si>
    <t>ITA2481</t>
  </si>
  <si>
    <t>Patrizio Balice</t>
  </si>
  <si>
    <t>Balice</t>
  </si>
  <si>
    <t>ITA2898</t>
  </si>
  <si>
    <t>Katsuhiko Fukuoka</t>
  </si>
  <si>
    <t>Fukuoka</t>
  </si>
  <si>
    <t>Katsuhiko</t>
  </si>
  <si>
    <t>JPN072</t>
  </si>
  <si>
    <t>Yuka Kato</t>
  </si>
  <si>
    <t>Yuka</t>
  </si>
  <si>
    <t>JPN092</t>
  </si>
  <si>
    <t>Masahiko Takayama</t>
  </si>
  <si>
    <t>Takayama</t>
  </si>
  <si>
    <t>Masahiko</t>
  </si>
  <si>
    <t>JPN096</t>
  </si>
  <si>
    <t>Kimi Wada</t>
  </si>
  <si>
    <t>Kimi</t>
  </si>
  <si>
    <t>JPN098</t>
  </si>
  <si>
    <t>Michael Pearce</t>
  </si>
  <si>
    <t>Kazue Osa</t>
  </si>
  <si>
    <t>Masato Tanaka</t>
  </si>
  <si>
    <t>Mitsuaki Tachikawa</t>
  </si>
  <si>
    <t>Aki Kanda</t>
  </si>
  <si>
    <t>Kotetsu Kanda</t>
  </si>
  <si>
    <t>Junya Kanda</t>
  </si>
  <si>
    <t>Shoi Sasaki</t>
  </si>
  <si>
    <t>Nozomu Morioka</t>
  </si>
  <si>
    <t>Morioka</t>
  </si>
  <si>
    <t>Nozomu</t>
  </si>
  <si>
    <t>JPN183</t>
  </si>
  <si>
    <t>Masumi Ichiba</t>
  </si>
  <si>
    <t>Ichiba</t>
  </si>
  <si>
    <t>Masumi</t>
  </si>
  <si>
    <t>JPN184</t>
  </si>
  <si>
    <t>Kaoru Shibata</t>
  </si>
  <si>
    <t>Shibata</t>
  </si>
  <si>
    <t>Kaoru</t>
  </si>
  <si>
    <t>JPN185</t>
  </si>
  <si>
    <t>Miyuki Ito</t>
  </si>
  <si>
    <t>Miyuki</t>
  </si>
  <si>
    <t>JPN186</t>
  </si>
  <si>
    <t>Hideki Yoshida</t>
  </si>
  <si>
    <t>Yoshida</t>
  </si>
  <si>
    <t>JPN187</t>
  </si>
  <si>
    <t>Shusuke Takahashi</t>
  </si>
  <si>
    <t>Takahashi</t>
  </si>
  <si>
    <t>Shusuke</t>
  </si>
  <si>
    <t>JPN188</t>
  </si>
  <si>
    <t>A.S.D. Siracusa calcio tavolo</t>
  </si>
  <si>
    <t>T S Napoli Fighters</t>
  </si>
  <si>
    <t>Luke Joseph Xerri</t>
  </si>
  <si>
    <t>Xerri</t>
  </si>
  <si>
    <t>Luke Joseph</t>
  </si>
  <si>
    <t>MLT142</t>
  </si>
  <si>
    <t>Sherona Manicoro</t>
  </si>
  <si>
    <t>Manicoro</t>
  </si>
  <si>
    <t>Sherona</t>
  </si>
  <si>
    <t>MLT143</t>
  </si>
  <si>
    <t>Clarence Psaila</t>
  </si>
  <si>
    <t>Psaila</t>
  </si>
  <si>
    <t>Clarence</t>
  </si>
  <si>
    <t>MLT144</t>
  </si>
  <si>
    <t>H`Attard SC</t>
  </si>
  <si>
    <t>POR0250</t>
  </si>
  <si>
    <t>Maksim Petrovich Gulyev</t>
  </si>
  <si>
    <t>Gulyev</t>
  </si>
  <si>
    <t>Maksim Petrovich</t>
  </si>
  <si>
    <t>RUS0001</t>
  </si>
  <si>
    <t>Andrey Nicolaevich Kudryashov</t>
  </si>
  <si>
    <t>Kudryashov</t>
  </si>
  <si>
    <t>Andrey Nicolaevich</t>
  </si>
  <si>
    <t>RUS0002</t>
  </si>
  <si>
    <t>Dmitry Valeryavich Lavrentcov</t>
  </si>
  <si>
    <t>Lavrentcov</t>
  </si>
  <si>
    <t>Dmitry Valeryavich</t>
  </si>
  <si>
    <t>RUS0003</t>
  </si>
  <si>
    <t>Aton Aleksandrovich Volkov</t>
  </si>
  <si>
    <t>Volkov</t>
  </si>
  <si>
    <t>Aton Aleksandrovich</t>
  </si>
  <si>
    <t>RUS0004</t>
  </si>
  <si>
    <t>Derry City TFC</t>
  </si>
  <si>
    <t>Edin Reyza Rudy Hesty</t>
  </si>
  <si>
    <t>Edin Reyza</t>
  </si>
  <si>
    <t>SGP0151</t>
  </si>
  <si>
    <t>Nikola Ljubisavljevic</t>
  </si>
  <si>
    <t>Nikola</t>
  </si>
  <si>
    <t>SER0002</t>
  </si>
  <si>
    <t>Ivana Gütl</t>
  </si>
  <si>
    <t>Ivana</t>
  </si>
  <si>
    <t>SER0003</t>
  </si>
  <si>
    <t>Milan Knezevic</t>
  </si>
  <si>
    <t>Knezevic</t>
  </si>
  <si>
    <t>SER0004</t>
  </si>
  <si>
    <t>Scarlet Battalion Subbuteo Club</t>
  </si>
  <si>
    <t>Jeremy Goninan</t>
  </si>
  <si>
    <t>Nick Schmidt</t>
  </si>
  <si>
    <t>USA0367</t>
  </si>
  <si>
    <t>Kurtis Heithoff</t>
  </si>
  <si>
    <t>Heithoff</t>
  </si>
  <si>
    <t>Kurtis</t>
  </si>
  <si>
    <t>USA0428</t>
  </si>
  <si>
    <t>V4.0.2</t>
  </si>
  <si>
    <t>Bad column names FISTFCode &amp; Club Name for data requests.</t>
  </si>
  <si>
    <t>V4.1</t>
  </si>
  <si>
    <t>Change of the possible values for withdrawals in category tabs; "At Start" &amp; "Excused"
"At Start", means organisation was informed of the withdraw the day of competition. Even if there is an acceptable reason which avoid any penality, the entry fee is still to be paid.
"Excused" says that player informed organisation with an acceptable reason and in a reasonable delay before the start of the event ; no penality and no fee</t>
  </si>
  <si>
    <t>V4.1.1</t>
  </si>
  <si>
    <t>List of Values for FISTF Code was not working</t>
  </si>
  <si>
    <t>Control of FISTF Codes in players lists tabs.</t>
  </si>
  <si>
    <t>V4.1.2</t>
  </si>
  <si>
    <t>V4.1.3</t>
  </si>
  <si>
    <t xml:space="preserve">Bad count of won/lose matches &amp; gaoals in grroups ranking for teams </t>
  </si>
  <si>
    <t>Last 64</t>
  </si>
  <si>
    <t>L64</t>
  </si>
  <si>
    <t>PR1 or PR2 ?</t>
  </si>
  <si>
    <t>PR1</t>
  </si>
  <si>
    <t>V4.2</t>
  </si>
  <si>
    <t>Add of Last 64 as stage and conformity with HB ranking points for Groups with Last 64</t>
  </si>
  <si>
    <t>SCA</t>
  </si>
  <si>
    <t>Woburn Casuals</t>
  </si>
  <si>
    <t>wob</t>
  </si>
  <si>
    <t>ENGC086</t>
  </si>
  <si>
    <t>Doncaster Subbuteo Club</t>
  </si>
  <si>
    <t>don</t>
  </si>
  <si>
    <t>ENGC087</t>
  </si>
  <si>
    <t>CFT Montivilliers</t>
  </si>
  <si>
    <t>mon</t>
  </si>
  <si>
    <t>FRAC001</t>
  </si>
  <si>
    <t>ALC WATTRELOS - SUBBUTEO LILLE METROPOLE</t>
  </si>
  <si>
    <t>lil</t>
  </si>
  <si>
    <t>FRAC021</t>
  </si>
  <si>
    <t>css</t>
  </si>
  <si>
    <t>FRAC026</t>
  </si>
  <si>
    <t>bos</t>
  </si>
  <si>
    <t>FRAC027</t>
  </si>
  <si>
    <t>Tralee and Munster Subbuteo Club</t>
  </si>
  <si>
    <t>TMSC</t>
  </si>
  <si>
    <t>IRLC002</t>
  </si>
  <si>
    <t>ASD Siracusa Calcio Tavolo</t>
  </si>
  <si>
    <t>JTFA</t>
  </si>
  <si>
    <t>cfb</t>
  </si>
  <si>
    <t>scb</t>
  </si>
  <si>
    <t>Fabio Abate</t>
  </si>
  <si>
    <t>Abate</t>
  </si>
  <si>
    <t>ITA3295</t>
  </si>
  <si>
    <t>Ian Aggett</t>
  </si>
  <si>
    <t>Aggett</t>
  </si>
  <si>
    <t>ENG0539</t>
  </si>
  <si>
    <t>Giacomo Alessi</t>
  </si>
  <si>
    <t>ITA3261</t>
  </si>
  <si>
    <t>Trevor Allen</t>
  </si>
  <si>
    <t>Allen</t>
  </si>
  <si>
    <t>ENG0545</t>
  </si>
  <si>
    <t>Nicola Annese</t>
  </si>
  <si>
    <t>ITA3380</t>
  </si>
  <si>
    <t>Luca Ariano</t>
  </si>
  <si>
    <t>Ariano</t>
  </si>
  <si>
    <t>ITA2232</t>
  </si>
  <si>
    <t>Alexander Ashcroft</t>
  </si>
  <si>
    <t>Ashcroft</t>
  </si>
  <si>
    <t>ENG0538</t>
  </si>
  <si>
    <t>Leicester Foxes SC</t>
  </si>
  <si>
    <t>Billy Attwood</t>
  </si>
  <si>
    <t>Attwood</t>
  </si>
  <si>
    <t>ENG0555</t>
  </si>
  <si>
    <t>Dafne Averna</t>
  </si>
  <si>
    <t>Averna</t>
  </si>
  <si>
    <t>Dafne</t>
  </si>
  <si>
    <t>ITA3374</t>
  </si>
  <si>
    <t>Marco Averna</t>
  </si>
  <si>
    <t>ITA3373</t>
  </si>
  <si>
    <t>Massimo Averna</t>
  </si>
  <si>
    <t>ITA3372</t>
  </si>
  <si>
    <t>Mark Baldacchino</t>
  </si>
  <si>
    <t>Baldacchino</t>
  </si>
  <si>
    <t>MLT145</t>
  </si>
  <si>
    <t>Antonis Bargilly</t>
  </si>
  <si>
    <t>Bargilly</t>
  </si>
  <si>
    <t>CYP0029</t>
  </si>
  <si>
    <t>Valter Baroncini</t>
  </si>
  <si>
    <t>Baroncini</t>
  </si>
  <si>
    <t>Valter</t>
  </si>
  <si>
    <t>ENG0557</t>
  </si>
  <si>
    <t>Stefano Barontini</t>
  </si>
  <si>
    <t>Barontini</t>
  </si>
  <si>
    <t>ITA1837</t>
  </si>
  <si>
    <t>Paolo Bartolomeo</t>
  </si>
  <si>
    <t>Bartolomeo</t>
  </si>
  <si>
    <t>ITA0074</t>
  </si>
  <si>
    <t>FRA0290</t>
  </si>
  <si>
    <t>FRA0291</t>
  </si>
  <si>
    <t>Daniele Emiliano Bernardi</t>
  </si>
  <si>
    <t>Daniele Emiliano</t>
  </si>
  <si>
    <t>Paolo Bernardini</t>
  </si>
  <si>
    <t>Bernardini</t>
  </si>
  <si>
    <t>ITA1424</t>
  </si>
  <si>
    <t>FRA0285</t>
  </si>
  <si>
    <t>Yazid Bin Mohamoad</t>
  </si>
  <si>
    <t>Bin Mohamoad</t>
  </si>
  <si>
    <t>Yazid</t>
  </si>
  <si>
    <t>ENG0547</t>
  </si>
  <si>
    <t>Luciano Bonardi</t>
  </si>
  <si>
    <t>Bonardi</t>
  </si>
  <si>
    <t>ITA3389</t>
  </si>
  <si>
    <t>Guido Brescia</t>
  </si>
  <si>
    <t>Brescia</t>
  </si>
  <si>
    <t>ITA0133</t>
  </si>
  <si>
    <t>Roberto Buscicchio</t>
  </si>
  <si>
    <t>Buscicchio</t>
  </si>
  <si>
    <t>ITA3402</t>
  </si>
  <si>
    <t>FRA0287</t>
  </si>
  <si>
    <t>GUEBWILLER ALSACE SUBBUTEO CLUB</t>
  </si>
  <si>
    <t>Carlo Cantalini</t>
  </si>
  <si>
    <t>Cantalini</t>
  </si>
  <si>
    <t>ITA3396</t>
  </si>
  <si>
    <t>Alfredo Caprioli</t>
  </si>
  <si>
    <t>Caprioli</t>
  </si>
  <si>
    <t>ITA3398</t>
  </si>
  <si>
    <t>Maria Joao Carmo</t>
  </si>
  <si>
    <t>FRA0270</t>
  </si>
  <si>
    <t>Giancarlo Cavanna Cavanna</t>
  </si>
  <si>
    <t>Cavanna Cavanna</t>
  </si>
  <si>
    <t>ITA1213</t>
  </si>
  <si>
    <t>Bailey Challinor</t>
  </si>
  <si>
    <t>Challinor</t>
  </si>
  <si>
    <t>Bailey</t>
  </si>
  <si>
    <t>ENG0554</t>
  </si>
  <si>
    <t>Riccardo Chieppa</t>
  </si>
  <si>
    <t>ITA1483</t>
  </si>
  <si>
    <t>Kleanthos Christoforou</t>
  </si>
  <si>
    <t>Christoforou</t>
  </si>
  <si>
    <t>Kleanthos</t>
  </si>
  <si>
    <t>CYP0032</t>
  </si>
  <si>
    <t>Sean Connolly</t>
  </si>
  <si>
    <t>IRL0019</t>
  </si>
  <si>
    <t>John Cooper</t>
  </si>
  <si>
    <t>Cooper</t>
  </si>
  <si>
    <t>ENG0541</t>
  </si>
  <si>
    <t>Antonino Criserà</t>
  </si>
  <si>
    <t>Criserà</t>
  </si>
  <si>
    <t>ITA3371</t>
  </si>
  <si>
    <t>Stefano Crocetti</t>
  </si>
  <si>
    <t>Crocetti</t>
  </si>
  <si>
    <t>ITA3388</t>
  </si>
  <si>
    <t>Gianluca Crupi</t>
  </si>
  <si>
    <t>Crupi</t>
  </si>
  <si>
    <t>ITA3376</t>
  </si>
  <si>
    <t>Giuseppe Crupi</t>
  </si>
  <si>
    <t>ITA3375</t>
  </si>
  <si>
    <t>Marcello D'adamo</t>
  </si>
  <si>
    <t>D'adamo</t>
  </si>
  <si>
    <t>ITA3386</t>
  </si>
  <si>
    <t>FRA0264</t>
  </si>
  <si>
    <t>Leonardo D'amico</t>
  </si>
  <si>
    <t>ITA2318</t>
  </si>
  <si>
    <t>Pietro De Gennaro</t>
  </si>
  <si>
    <t>De Gennaro</t>
  </si>
  <si>
    <t>ITA3424</t>
  </si>
  <si>
    <t>Davide De Giosa</t>
  </si>
  <si>
    <t>ITA3286</t>
  </si>
  <si>
    <t>FRA0286</t>
  </si>
  <si>
    <t>Cristian Del Genovese</t>
  </si>
  <si>
    <t>ITA3416</t>
  </si>
  <si>
    <t>FRA0283</t>
  </si>
  <si>
    <t>Alfredo Di Buono</t>
  </si>
  <si>
    <t>Di Buono</t>
  </si>
  <si>
    <t>ITA3197</t>
  </si>
  <si>
    <t>Maurizio Di Lorenzo</t>
  </si>
  <si>
    <t>ITA3366</t>
  </si>
  <si>
    <t>Silvestro Di Pietrantonio</t>
  </si>
  <si>
    <t>Silvestro</t>
  </si>
  <si>
    <t>ITA0307</t>
  </si>
  <si>
    <t>Jury Di Tullio</t>
  </si>
  <si>
    <t>Jury</t>
  </si>
  <si>
    <t>ITA2319</t>
  </si>
  <si>
    <t>ENG0342</t>
  </si>
  <si>
    <t>Riley Duckworth</t>
  </si>
  <si>
    <t>Riley</t>
  </si>
  <si>
    <t>ENG0549</t>
  </si>
  <si>
    <t>FRA0278</t>
  </si>
  <si>
    <t>FRA0284</t>
  </si>
  <si>
    <t>Nigel Edwards</t>
  </si>
  <si>
    <t>Edwards</t>
  </si>
  <si>
    <t>ENG0544</t>
  </si>
  <si>
    <t>Martin Ellaway</t>
  </si>
  <si>
    <t>Ellaway</t>
  </si>
  <si>
    <t>ENG0558</t>
  </si>
  <si>
    <t>Massimo Esposito</t>
  </si>
  <si>
    <t>ITA0320</t>
  </si>
  <si>
    <t>Robert Fairbrother</t>
  </si>
  <si>
    <t>Fairbrother</t>
  </si>
  <si>
    <t>ENG0351</t>
  </si>
  <si>
    <t>Given Name Family Name</t>
  </si>
  <si>
    <t>Clement</t>
  </si>
  <si>
    <t>FRA0276</t>
  </si>
  <si>
    <t>FRA0274</t>
  </si>
  <si>
    <t>FRA0275</t>
  </si>
  <si>
    <t>FRA0217</t>
  </si>
  <si>
    <t>Axel FINO</t>
  </si>
  <si>
    <t>FINO</t>
  </si>
  <si>
    <t>FRA0288</t>
  </si>
  <si>
    <t>Andrea Florita</t>
  </si>
  <si>
    <t>Florita</t>
  </si>
  <si>
    <t>ITA3425</t>
  </si>
  <si>
    <t>Martial</t>
  </si>
  <si>
    <t>FRA0267</t>
  </si>
  <si>
    <t>Christophe France</t>
  </si>
  <si>
    <t>Mauro Frascaroli</t>
  </si>
  <si>
    <t>Frascaroli</t>
  </si>
  <si>
    <t>ITA3405</t>
  </si>
  <si>
    <t>Adrián García</t>
  </si>
  <si>
    <t>Adrián</t>
  </si>
  <si>
    <t>ESP0473</t>
  </si>
  <si>
    <t>FRA0293</t>
  </si>
  <si>
    <t>Daniele Gazzaniga</t>
  </si>
  <si>
    <t>Gazzaniga</t>
  </si>
  <si>
    <t>ITA3363</t>
  </si>
  <si>
    <t>Giuseppe Gazzaniga</t>
  </si>
  <si>
    <t>ITA3362</t>
  </si>
  <si>
    <t>Gianluca Ginesi</t>
  </si>
  <si>
    <t>Ginesi</t>
  </si>
  <si>
    <t>ITA3390</t>
  </si>
  <si>
    <t>Nick Gregoriou</t>
  </si>
  <si>
    <t>Gregoriou</t>
  </si>
  <si>
    <t>CYP0028</t>
  </si>
  <si>
    <t>Andrew Gregory</t>
  </si>
  <si>
    <t>ENG0560</t>
  </si>
  <si>
    <t>Giuseppina Grillo</t>
  </si>
  <si>
    <t>Giuseppina</t>
  </si>
  <si>
    <t>ITA3377</t>
  </si>
  <si>
    <t>Fabrizio Guarino</t>
  </si>
  <si>
    <t>ITA3414</t>
  </si>
  <si>
    <t>Giuseppe Guido</t>
  </si>
  <si>
    <t>ITA3030</t>
  </si>
  <si>
    <t>FRA0289</t>
  </si>
  <si>
    <t>ENG0371</t>
  </si>
  <si>
    <t>Andrew Jon Heath</t>
  </si>
  <si>
    <t>Heath</t>
  </si>
  <si>
    <t>Andrew Jon</t>
  </si>
  <si>
    <t>ENG0546</t>
  </si>
  <si>
    <t>ENG0074</t>
  </si>
  <si>
    <t>Phil Holmes</t>
  </si>
  <si>
    <t>ENG0123</t>
  </si>
  <si>
    <t>Massimo Inverardi</t>
  </si>
  <si>
    <t>Inverardi</t>
  </si>
  <si>
    <t>ITA3361</t>
  </si>
  <si>
    <t>Charis Kaptsas</t>
  </si>
  <si>
    <t>Kaptsas</t>
  </si>
  <si>
    <t>CYP0033</t>
  </si>
  <si>
    <t>Achilles Karayiannis</t>
  </si>
  <si>
    <t>Achilles</t>
  </si>
  <si>
    <t>CYP0027</t>
  </si>
  <si>
    <t>Jason Kettley</t>
  </si>
  <si>
    <t>Kettley</t>
  </si>
  <si>
    <t>ENG0550</t>
  </si>
  <si>
    <t>John Kinsella</t>
  </si>
  <si>
    <t>Kinsella</t>
  </si>
  <si>
    <t>IRL0022</t>
  </si>
  <si>
    <t>Yutaka Kitamura</t>
  </si>
  <si>
    <t>Kitamura</t>
  </si>
  <si>
    <t>Yutaka</t>
  </si>
  <si>
    <t>JPN192</t>
  </si>
  <si>
    <t>Christoforou Kleanthis</t>
  </si>
  <si>
    <t>Kleanthis</t>
  </si>
  <si>
    <t>CYP0025</t>
  </si>
  <si>
    <t>-</t>
  </si>
  <si>
    <t>FRA0292</t>
  </si>
  <si>
    <t>Davide Lari</t>
  </si>
  <si>
    <t>Lari</t>
  </si>
  <si>
    <t>ITA3392</t>
  </si>
  <si>
    <t>Emeline</t>
  </si>
  <si>
    <t>FRA0298</t>
  </si>
  <si>
    <t>Sebastien</t>
  </si>
  <si>
    <t>FRA0297</t>
  </si>
  <si>
    <t>FRA0258</t>
  </si>
  <si>
    <t>Vicky Lewis</t>
  </si>
  <si>
    <t>Vicky</t>
  </si>
  <si>
    <t>ENG0542</t>
  </si>
  <si>
    <t>Matteo Ludovici</t>
  </si>
  <si>
    <t>Ludovici</t>
  </si>
  <si>
    <t>ITA3395</t>
  </si>
  <si>
    <t>Pietro Ludovici</t>
  </si>
  <si>
    <t>ITA3394</t>
  </si>
  <si>
    <t>Pedmore TFC</t>
  </si>
  <si>
    <t>Luciano Lupo</t>
  </si>
  <si>
    <t>ITA3415</t>
  </si>
  <si>
    <t>William Magnier</t>
  </si>
  <si>
    <t>IRL0021</t>
  </si>
  <si>
    <t>Rayan</t>
  </si>
  <si>
    <t>FRA0282</t>
  </si>
  <si>
    <t>Club Stéphanois Subbuteo - ALC</t>
  </si>
  <si>
    <t>Giuseppe Mallardi</t>
  </si>
  <si>
    <t>Mallardi</t>
  </si>
  <si>
    <t>ITA3422</t>
  </si>
  <si>
    <t>Emanuele Marando</t>
  </si>
  <si>
    <t>Marando</t>
  </si>
  <si>
    <t>ITA2300</t>
  </si>
  <si>
    <t>Martin Aliou Marlia</t>
  </si>
  <si>
    <t>Marlia</t>
  </si>
  <si>
    <t>Martin Aliou</t>
  </si>
  <si>
    <t>ITA3421</t>
  </si>
  <si>
    <t>Antonio Martinelli</t>
  </si>
  <si>
    <t>Martinelli</t>
  </si>
  <si>
    <t>ITA3381</t>
  </si>
  <si>
    <t>Subbito Gol Ferrar</t>
  </si>
  <si>
    <t>Antonio Masile</t>
  </si>
  <si>
    <t>Masile</t>
  </si>
  <si>
    <t>ITA3270</t>
  </si>
  <si>
    <t>Guglielmo Masserini</t>
  </si>
  <si>
    <t>Masserini</t>
  </si>
  <si>
    <t>ITA3420</t>
  </si>
  <si>
    <t>Marco Mastrobuono</t>
  </si>
  <si>
    <t>ITA3384</t>
  </si>
  <si>
    <t>Scott McCaulley</t>
  </si>
  <si>
    <t>ENG0232</t>
  </si>
  <si>
    <t>Pietro Megna</t>
  </si>
  <si>
    <t>Megna</t>
  </si>
  <si>
    <t>ITA3412</t>
  </si>
  <si>
    <t>Diogo Mendes</t>
  </si>
  <si>
    <t>POR0217</t>
  </si>
  <si>
    <t>Alessandro Meneghetti (62)</t>
  </si>
  <si>
    <t>Meneghetti (62)</t>
  </si>
  <si>
    <t>Giovanni Meo (98)</t>
  </si>
  <si>
    <t>Meo (98)</t>
  </si>
  <si>
    <t>Fulvio Miotti</t>
  </si>
  <si>
    <t>Miotti</t>
  </si>
  <si>
    <t>Fulvio</t>
  </si>
  <si>
    <t>ITA3429</t>
  </si>
  <si>
    <t>Yoshiharu Moritake</t>
  </si>
  <si>
    <t>Moritake</t>
  </si>
  <si>
    <t>Yoshiharu</t>
  </si>
  <si>
    <t>JPN194</t>
  </si>
  <si>
    <t>Pasquale Naso</t>
  </si>
  <si>
    <t>Naso</t>
  </si>
  <si>
    <t>ITA3369</t>
  </si>
  <si>
    <t>Ferdinando Nicosia</t>
  </si>
  <si>
    <t>Nicosia</t>
  </si>
  <si>
    <t>ITA3409</t>
  </si>
  <si>
    <t>Jean-Maurice</t>
  </si>
  <si>
    <t>FRA0280</t>
  </si>
  <si>
    <t>Juan Noguera</t>
  </si>
  <si>
    <t>Noguera</t>
  </si>
  <si>
    <t>Juan</t>
  </si>
  <si>
    <t>ESP0040</t>
  </si>
  <si>
    <t>Masao Onitsuka</t>
  </si>
  <si>
    <t>Onitsuka</t>
  </si>
  <si>
    <t>Masao</t>
  </si>
  <si>
    <t>JPN189</t>
  </si>
  <si>
    <t>Tomoki Ono</t>
  </si>
  <si>
    <t>Ono</t>
  </si>
  <si>
    <t>JPN190</t>
  </si>
  <si>
    <t>Massimiliano Ontani</t>
  </si>
  <si>
    <t>Ontani</t>
  </si>
  <si>
    <t>ITA3379</t>
  </si>
  <si>
    <t>Gianni Pagani</t>
  </si>
  <si>
    <t>ITA3411</t>
  </si>
  <si>
    <t>Francesco Palamara</t>
  </si>
  <si>
    <t>ITA3368</t>
  </si>
  <si>
    <t>Paolo Panella</t>
  </si>
  <si>
    <t>ITA3383</t>
  </si>
  <si>
    <t>Pierluigi Panella</t>
  </si>
  <si>
    <t>ITA3359</t>
  </si>
  <si>
    <t>Massimo Paoletti</t>
  </si>
  <si>
    <t>Paoletti</t>
  </si>
  <si>
    <t>ITA3401</t>
  </si>
  <si>
    <t>Edoardo Parrino</t>
  </si>
  <si>
    <t>Parrino</t>
  </si>
  <si>
    <t>ITA3417</t>
  </si>
  <si>
    <t>David Parsons</t>
  </si>
  <si>
    <t>ENG0540</t>
  </si>
  <si>
    <t>Harry Parsons</t>
  </si>
  <si>
    <t>Harry</t>
  </si>
  <si>
    <t>ENG0536</t>
  </si>
  <si>
    <t>Ollie Parsons</t>
  </si>
  <si>
    <t>Ollie</t>
  </si>
  <si>
    <t>ENG0537</t>
  </si>
  <si>
    <t>Shiv Patel</t>
  </si>
  <si>
    <t>FRA0294</t>
  </si>
  <si>
    <t>Gianmarco Pedicini</t>
  </si>
  <si>
    <t>Pedicini</t>
  </si>
  <si>
    <t>ITA1593</t>
  </si>
  <si>
    <t>Simone Pennati</t>
  </si>
  <si>
    <t>Pennati</t>
  </si>
  <si>
    <t>ITA3419</t>
  </si>
  <si>
    <t>ENG0028</t>
  </si>
  <si>
    <t>Teo Peretti</t>
  </si>
  <si>
    <t>Peretti</t>
  </si>
  <si>
    <t>Teo</t>
  </si>
  <si>
    <t>Dennis Perry</t>
  </si>
  <si>
    <t>ENG0548</t>
  </si>
  <si>
    <t>Nigel Pestelle</t>
  </si>
  <si>
    <t>Pestelle</t>
  </si>
  <si>
    <t>ENG0543</t>
  </si>
  <si>
    <t>Riccardo Pietrafusa</t>
  </si>
  <si>
    <t>Pietrafusa</t>
  </si>
  <si>
    <t>ITA3404</t>
  </si>
  <si>
    <t>Adrian Pigott</t>
  </si>
  <si>
    <t>Pigott</t>
  </si>
  <si>
    <t>IRL0020</t>
  </si>
  <si>
    <t>Francesco Pochetti</t>
  </si>
  <si>
    <t>Pochetti</t>
  </si>
  <si>
    <t>ITA3288</t>
  </si>
  <si>
    <t>Marco Podini</t>
  </si>
  <si>
    <t>Podini</t>
  </si>
  <si>
    <t>ITA3406</t>
  </si>
  <si>
    <t>Pierluigi Pugliano</t>
  </si>
  <si>
    <t>Pugliano</t>
  </si>
  <si>
    <t>ITA3387</t>
  </si>
  <si>
    <t>Craig Purnell</t>
  </si>
  <si>
    <t>Purnell</t>
  </si>
  <si>
    <t>ENG0528</t>
  </si>
  <si>
    <t>Taylor Randles</t>
  </si>
  <si>
    <t>Randles</t>
  </si>
  <si>
    <t>ENG0556</t>
  </si>
  <si>
    <t>Stefano Raponi</t>
  </si>
  <si>
    <t>Raponi</t>
  </si>
  <si>
    <t>ITA3358</t>
  </si>
  <si>
    <t>Sergio Riscardi</t>
  </si>
  <si>
    <t>Riscardi</t>
  </si>
  <si>
    <t>ITA3408</t>
  </si>
  <si>
    <t>Federico Ronzani</t>
  </si>
  <si>
    <t>Ronzani</t>
  </si>
  <si>
    <t>ITA0742</t>
  </si>
  <si>
    <t>Claudio Rossi</t>
  </si>
  <si>
    <t>ITA3364</t>
  </si>
  <si>
    <t>FRA0296</t>
  </si>
  <si>
    <t>FRA0022</t>
  </si>
  <si>
    <t>Marius Ruelle</t>
  </si>
  <si>
    <t>Ruelle</t>
  </si>
  <si>
    <t>Marius</t>
  </si>
  <si>
    <t>BEL0474</t>
  </si>
  <si>
    <t>Daniele Salatino</t>
  </si>
  <si>
    <t>Salatino</t>
  </si>
  <si>
    <t>ITA3382</t>
  </si>
  <si>
    <t>Elio Salvadori</t>
  </si>
  <si>
    <t>Salvadori</t>
  </si>
  <si>
    <t>Elio</t>
  </si>
  <si>
    <t>ITA3385</t>
  </si>
  <si>
    <t>Luca Salvadori</t>
  </si>
  <si>
    <t>ITA0755</t>
  </si>
  <si>
    <t>Alessio Sanfilippo</t>
  </si>
  <si>
    <t>Sanfilippo</t>
  </si>
  <si>
    <t>ITA3427</t>
  </si>
  <si>
    <t>Massimo Santini</t>
  </si>
  <si>
    <t>Orazio Santoro</t>
  </si>
  <si>
    <t>Santoro</t>
  </si>
  <si>
    <t>Orazio</t>
  </si>
  <si>
    <t>ITA3370</t>
  </si>
  <si>
    <t>FRA0277</t>
  </si>
  <si>
    <t>Giulio Ladetto Sassetti</t>
  </si>
  <si>
    <t>Giulio Ladetto</t>
  </si>
  <si>
    <t>ITA3391</t>
  </si>
  <si>
    <t>FRA0281</t>
  </si>
  <si>
    <t>Christos Savva</t>
  </si>
  <si>
    <t>Savva</t>
  </si>
  <si>
    <t>CYP0031</t>
  </si>
  <si>
    <t>Wobbly Hobbly Subbuteo Club</t>
  </si>
  <si>
    <t>Louis Singh</t>
  </si>
  <si>
    <t>ENG0312</t>
  </si>
  <si>
    <t>Nikolaos Skourtsos</t>
  </si>
  <si>
    <t>GRE0819</t>
  </si>
  <si>
    <t>Liam Smith</t>
  </si>
  <si>
    <t>ENG0559</t>
  </si>
  <si>
    <t>Filippo Sottili</t>
  </si>
  <si>
    <t>Sottili</t>
  </si>
  <si>
    <t>ITA3428</t>
  </si>
  <si>
    <t>Luigi Spezzacatene</t>
  </si>
  <si>
    <t>Spezzacatene</t>
  </si>
  <si>
    <t>ITA3403</t>
  </si>
  <si>
    <t>Dimitris Stemitsiotis</t>
  </si>
  <si>
    <t>Stemitsiotis</t>
  </si>
  <si>
    <t>ENG0128</t>
  </si>
  <si>
    <t>Panos Stemitsiotis</t>
  </si>
  <si>
    <t>Panos</t>
  </si>
  <si>
    <t>ENG0155</t>
  </si>
  <si>
    <t>Kyriacos Stylianou</t>
  </si>
  <si>
    <t>CYP0053</t>
  </si>
  <si>
    <t>Hidekazu Tanaka</t>
  </si>
  <si>
    <t>Hidekazu</t>
  </si>
  <si>
    <t>JPN193</t>
  </si>
  <si>
    <t>Salvatore Tarantino</t>
  </si>
  <si>
    <t>Tarantino</t>
  </si>
  <si>
    <t>ITA3413</t>
  </si>
  <si>
    <t>Enrico Testa</t>
  </si>
  <si>
    <t>ITA0850</t>
  </si>
  <si>
    <t>Matthew Thomas</t>
  </si>
  <si>
    <t>ENG0099</t>
  </si>
  <si>
    <t>Tomoca TK</t>
  </si>
  <si>
    <t>TK</t>
  </si>
  <si>
    <t>Tomoca</t>
  </si>
  <si>
    <t>JPN191</t>
  </si>
  <si>
    <t>Stefano Toschi</t>
  </si>
  <si>
    <t>Toschi</t>
  </si>
  <si>
    <t>ITA3399</t>
  </si>
  <si>
    <t>FRA0273</t>
  </si>
  <si>
    <t>Stylianos Tsangouris</t>
  </si>
  <si>
    <t>GRE0820</t>
  </si>
  <si>
    <t>Giorgos ty</t>
  </si>
  <si>
    <t>ty</t>
  </si>
  <si>
    <t>Davide Uva</t>
  </si>
  <si>
    <t>Uva</t>
  </si>
  <si>
    <t>ITA3418</t>
  </si>
  <si>
    <t>Nicolò Valentini</t>
  </si>
  <si>
    <t>Valentini</t>
  </si>
  <si>
    <t>ITA3397</t>
  </si>
  <si>
    <t>Fabio Venanzi</t>
  </si>
  <si>
    <t>Venanzi</t>
  </si>
  <si>
    <t>ITA3393</t>
  </si>
  <si>
    <t>Massimo Veronelli</t>
  </si>
  <si>
    <t>Veronelli</t>
  </si>
  <si>
    <t>ITA3423</t>
  </si>
  <si>
    <t>Gian Giuseppe Vigo</t>
  </si>
  <si>
    <t>Vigo</t>
  </si>
  <si>
    <t>Gian Giuseppe</t>
  </si>
  <si>
    <t>ITA3407</t>
  </si>
  <si>
    <t>FRA0279</t>
  </si>
  <si>
    <t>FRA0295</t>
  </si>
  <si>
    <t>Jerry Whelband</t>
  </si>
  <si>
    <t>Whelband</t>
  </si>
  <si>
    <t>Jerry</t>
  </si>
  <si>
    <t>ENG0552</t>
  </si>
  <si>
    <t>Gary Wiley</t>
  </si>
  <si>
    <t>Wiley</t>
  </si>
  <si>
    <t>ENG0553</t>
  </si>
  <si>
    <t>List of values for players in individuals groups</t>
  </si>
  <si>
    <r>
      <t xml:space="preserve">The full results (this document) must be sent to the FISTF </t>
    </r>
    <r>
      <rPr>
        <b/>
        <sz val="11"/>
        <rFont val="Arial"/>
        <family val="2"/>
      </rPr>
      <t xml:space="preserve">within </t>
    </r>
    <r>
      <rPr>
        <b/>
        <sz val="11"/>
        <color rgb="FFFF0000"/>
        <rFont val="Arial"/>
        <family val="2"/>
      </rPr>
      <t>5</t>
    </r>
    <r>
      <rPr>
        <b/>
        <sz val="11"/>
        <rFont val="Arial"/>
        <family val="2"/>
      </rPr>
      <t xml:space="preserve"> days</t>
    </r>
    <r>
      <rPr>
        <sz val="11"/>
        <rFont val="Arial"/>
        <family val="2"/>
      </rPr>
      <t xml:space="preserve"> after the tournament.</t>
    </r>
  </si>
  <si>
    <r>
      <t xml:space="preserve">This file and all other reporting documents </t>
    </r>
    <r>
      <rPr>
        <b/>
        <sz val="11"/>
        <rFont val="Arial"/>
        <family val="2"/>
      </rPr>
      <t>MUST</t>
    </r>
    <r>
      <rPr>
        <sz val="11"/>
        <rFont val="Arial"/>
        <family val="2"/>
      </rPr>
      <t xml:space="preserve"> be sent using the "CONTACTS&gt;&gt;Operations &amp; Events" menu and form on fistf.com</t>
    </r>
  </si>
  <si>
    <t>V4.3</t>
  </si>
  <si>
    <t>Some upgrades on worksheets layouts and colors</t>
  </si>
  <si>
    <t>bie</t>
  </si>
  <si>
    <t>ITAC058</t>
  </si>
  <si>
    <t>ITAC073 sat</t>
  </si>
  <si>
    <t>ITAC075 sat</t>
  </si>
  <si>
    <t>TFC Fiorenza</t>
  </si>
  <si>
    <t>fio</t>
  </si>
  <si>
    <t>ITAC093 sat</t>
  </si>
  <si>
    <t>Eagles Supporters Subbuteo</t>
  </si>
  <si>
    <t>sup</t>
  </si>
  <si>
    <t>ITAC098 sat</t>
  </si>
  <si>
    <t>Fides Livorno</t>
  </si>
  <si>
    <t>fid</t>
  </si>
  <si>
    <t>ITAC100 sat</t>
  </si>
  <si>
    <t>Spes Livorno</t>
  </si>
  <si>
    <t>sps</t>
  </si>
  <si>
    <t>ITAC102 sat</t>
  </si>
  <si>
    <t>Virtus Vipers</t>
  </si>
  <si>
    <t>vvp</t>
  </si>
  <si>
    <t>ITAC140 sat</t>
  </si>
  <si>
    <t>Pisani all'Uscio</t>
  </si>
  <si>
    <t>pau</t>
  </si>
  <si>
    <t>ITAC151 sat</t>
  </si>
  <si>
    <t>Eagles II</t>
  </si>
  <si>
    <t>ena</t>
  </si>
  <si>
    <t>ITAC153 sat</t>
  </si>
  <si>
    <t>ITAC156 sat</t>
  </si>
  <si>
    <t>Bruzia D086</t>
  </si>
  <si>
    <t>bru</t>
  </si>
  <si>
    <t>ITAC166 sat</t>
  </si>
  <si>
    <t>BCLF CRUC Cosenza</t>
  </si>
  <si>
    <t>cru</t>
  </si>
  <si>
    <t>ITAC180 sat</t>
  </si>
  <si>
    <t>Rhegion Calabria</t>
  </si>
  <si>
    <t>rhg</t>
  </si>
  <si>
    <t>ITAC188 sat</t>
  </si>
  <si>
    <t>CCM Livorno</t>
  </si>
  <si>
    <t>ITAC189 sat</t>
  </si>
  <si>
    <t>SC Fonte Nuova</t>
  </si>
  <si>
    <t>ftn</t>
  </si>
  <si>
    <t>ITAC190</t>
  </si>
  <si>
    <t>SubbuteoLand Sporting Club</t>
  </si>
  <si>
    <t>ITAC191 sat</t>
  </si>
  <si>
    <t>Wobbly Hobby</t>
  </si>
  <si>
    <t>Jonathan Bambagioni</t>
  </si>
  <si>
    <t>Bambagioni</t>
  </si>
  <si>
    <t>ITA3283</t>
  </si>
  <si>
    <t>Mattia Benecchi</t>
  </si>
  <si>
    <t>Benecchi</t>
  </si>
  <si>
    <t>ITA2714</t>
  </si>
  <si>
    <t>Christian Benedi</t>
  </si>
  <si>
    <t>Benedi</t>
  </si>
  <si>
    <t>USA0434</t>
  </si>
  <si>
    <t>Francisco Bento</t>
  </si>
  <si>
    <t>POR0201</t>
  </si>
  <si>
    <t>Jared Bond</t>
  </si>
  <si>
    <t>Bond</t>
  </si>
  <si>
    <t>Jared</t>
  </si>
  <si>
    <t>USA0430</t>
  </si>
  <si>
    <t>Alessio Bottino</t>
  </si>
  <si>
    <t>Bottino</t>
  </si>
  <si>
    <t>ITA3432</t>
  </si>
  <si>
    <t>Azzurra'99</t>
  </si>
  <si>
    <t>Lanfranco Corsi</t>
  </si>
  <si>
    <t>Corsi</t>
  </si>
  <si>
    <t>Lanfranco</t>
  </si>
  <si>
    <t>ITA2651</t>
  </si>
  <si>
    <t>Sc La Signoria</t>
  </si>
  <si>
    <t>John Ellis</t>
  </si>
  <si>
    <t>ENG0561</t>
  </si>
  <si>
    <t>Elliot Fitzpatrick</t>
  </si>
  <si>
    <t>Elliot</t>
  </si>
  <si>
    <t>IRL0024</t>
  </si>
  <si>
    <t>Massimo Fornaciai</t>
  </si>
  <si>
    <t>Fornaciai</t>
  </si>
  <si>
    <t>ITA2416</t>
  </si>
  <si>
    <t>Clinton Gähwiler</t>
  </si>
  <si>
    <t>Gähwiler</t>
  </si>
  <si>
    <t>Clinton</t>
  </si>
  <si>
    <t>SUI053</t>
  </si>
  <si>
    <t>Cape Town City Subbuteo Club</t>
  </si>
  <si>
    <t>Joshua Goninan</t>
  </si>
  <si>
    <t>USA0433</t>
  </si>
  <si>
    <t>Joaquín Harillo</t>
  </si>
  <si>
    <t>Harillo</t>
  </si>
  <si>
    <t>ESP0597</t>
  </si>
  <si>
    <t>Russ Harker</t>
  </si>
  <si>
    <t>Harker</t>
  </si>
  <si>
    <t>Russ</t>
  </si>
  <si>
    <t>ENG0188</t>
  </si>
  <si>
    <t>Gianfranco Iazzetta</t>
  </si>
  <si>
    <t>Iazzetta</t>
  </si>
  <si>
    <t>ITA1510</t>
  </si>
  <si>
    <t>Michael Jakubowski</t>
  </si>
  <si>
    <t>Jakubowski</t>
  </si>
  <si>
    <t>USA0431</t>
  </si>
  <si>
    <t>Drew Kiely</t>
  </si>
  <si>
    <t>Kiely</t>
  </si>
  <si>
    <t>Drew</t>
  </si>
  <si>
    <t>ENG0562</t>
  </si>
  <si>
    <t>Michael Kimack</t>
  </si>
  <si>
    <t>Kimack</t>
  </si>
  <si>
    <t>USA0432</t>
  </si>
  <si>
    <t>David Leonard</t>
  </si>
  <si>
    <t>Leonard</t>
  </si>
  <si>
    <t>USA0436</t>
  </si>
  <si>
    <t>Mason Lilly</t>
  </si>
  <si>
    <t>Alessandro Lupi</t>
  </si>
  <si>
    <t>Lupi</t>
  </si>
  <si>
    <t>ITA2427</t>
  </si>
  <si>
    <t>Brian Mengele</t>
  </si>
  <si>
    <t>Mengele</t>
  </si>
  <si>
    <t>USA0099</t>
  </si>
  <si>
    <t>Otger Moreno Villegas</t>
  </si>
  <si>
    <t>Moreno Villegas</t>
  </si>
  <si>
    <t>Otger</t>
  </si>
  <si>
    <t>ESP0598</t>
  </si>
  <si>
    <t>Konstantinos Morfiadis</t>
  </si>
  <si>
    <t>Morfiadis</t>
  </si>
  <si>
    <t>Jeff Murphy</t>
  </si>
  <si>
    <t>Murphy</t>
  </si>
  <si>
    <t>IRL0023</t>
  </si>
  <si>
    <t>Aldo Francesco Petea</t>
  </si>
  <si>
    <t>Petea</t>
  </si>
  <si>
    <t>Aldo Francesco</t>
  </si>
  <si>
    <t>ITA3430</t>
  </si>
  <si>
    <t>Andrés Puerto</t>
  </si>
  <si>
    <t>Puerto</t>
  </si>
  <si>
    <t>Andrés</t>
  </si>
  <si>
    <t>ESP0596</t>
  </si>
  <si>
    <t>Maurizio Pugi</t>
  </si>
  <si>
    <t>Pugi</t>
  </si>
  <si>
    <t>ITA2066</t>
  </si>
  <si>
    <t>iTA</t>
  </si>
  <si>
    <t>Francesco Rossi</t>
  </si>
  <si>
    <t>ITA3431</t>
  </si>
  <si>
    <t>Jake Scarbath</t>
  </si>
  <si>
    <t>Scarbath</t>
  </si>
  <si>
    <t>USA0435</t>
  </si>
  <si>
    <t>Alessandro Spoto</t>
  </si>
  <si>
    <t>Spoto</t>
  </si>
  <si>
    <t>ITA0826</t>
  </si>
  <si>
    <t>Zachary Swope</t>
  </si>
  <si>
    <t>Swope</t>
  </si>
  <si>
    <t>Zachary</t>
  </si>
  <si>
    <t>USA0429</t>
  </si>
  <si>
    <t>POR0140</t>
  </si>
  <si>
    <t>USA0437</t>
  </si>
  <si>
    <t>V4.3.1</t>
  </si>
  <si>
    <t>Error in conditionnal format for points equalities in individual groups</t>
  </si>
  <si>
    <t>The Sports Table Football Club of Western Australia</t>
  </si>
  <si>
    <t>twa</t>
  </si>
  <si>
    <t>AUSC019</t>
  </si>
  <si>
    <t>CBFM (Suspended)</t>
  </si>
  <si>
    <t>CSAFM</t>
  </si>
  <si>
    <t>CYSTFA (Provisional)</t>
  </si>
  <si>
    <t>CTSU (Suspended)</t>
  </si>
  <si>
    <t>DSBU (Provisional)</t>
  </si>
  <si>
    <t>Yorkshire Phoenix and Dewsbury Moor TFC</t>
  </si>
  <si>
    <t>Elan Subbutéo Club de Champs-sur-Marne</t>
  </si>
  <si>
    <t>ALC Wattrelos - Subbuteo Lille Metropole</t>
  </si>
  <si>
    <t>Section Subbutéo Squadra omessinca</t>
  </si>
  <si>
    <t>sso</t>
  </si>
  <si>
    <t>Paris Université Club</t>
  </si>
  <si>
    <t>Boucle de la Seine Subbutéo</t>
  </si>
  <si>
    <t>Subbutéo Team Gard</t>
  </si>
  <si>
    <t>gar</t>
  </si>
  <si>
    <t>FRAC028</t>
  </si>
  <si>
    <t>Spartak des dames</t>
  </si>
  <si>
    <t>dam</t>
  </si>
  <si>
    <t>FRAC029</t>
  </si>
  <si>
    <t>DSTFB</t>
  </si>
  <si>
    <t>nol</t>
  </si>
  <si>
    <t>ITAC095</t>
  </si>
  <si>
    <t>SAITAMA SUBBUTEO TFC</t>
  </si>
  <si>
    <t>sai</t>
  </si>
  <si>
    <t>JPNC015</t>
  </si>
  <si>
    <t>RSTFF (Suspended)</t>
  </si>
  <si>
    <t>4</t>
  </si>
  <si>
    <t>5</t>
  </si>
  <si>
    <t>Luigi Abbenante</t>
  </si>
  <si>
    <t>Abbenante</t>
  </si>
  <si>
    <t>ITA3434</t>
  </si>
  <si>
    <t>Henrique Ãcuna</t>
  </si>
  <si>
    <t>Paolo Matteo Agostinelli</t>
  </si>
  <si>
    <t>Agostinelli</t>
  </si>
  <si>
    <t>Paolo Matteo</t>
  </si>
  <si>
    <t>ENG0572</t>
  </si>
  <si>
    <t>HTFA (Suspended)</t>
  </si>
  <si>
    <t>LAFM (Suspended)</t>
  </si>
  <si>
    <t>NBFF (Suspended)</t>
  </si>
  <si>
    <t>Lena Bernard</t>
  </si>
  <si>
    <t>Paul Bernard</t>
  </si>
  <si>
    <t>UKT (Provisional)</t>
  </si>
  <si>
    <t>Thierry Biliotti</t>
  </si>
  <si>
    <t>Biliotti</t>
  </si>
  <si>
    <t>Clément Bondi</t>
  </si>
  <si>
    <t>Bondi</t>
  </si>
  <si>
    <t>Frédéric Bondi</t>
  </si>
  <si>
    <t>Owen Boon</t>
  </si>
  <si>
    <t>ENG0566</t>
  </si>
  <si>
    <t>Guglielmo Boroli</t>
  </si>
  <si>
    <t>Boroli</t>
  </si>
  <si>
    <t>Francis Callot</t>
  </si>
  <si>
    <t>Callot</t>
  </si>
  <si>
    <t>Michel Capra</t>
  </si>
  <si>
    <t>Capra</t>
  </si>
  <si>
    <t>Simon Carmona</t>
  </si>
  <si>
    <t>Carmona</t>
  </si>
  <si>
    <t>Hugo Chennevriere</t>
  </si>
  <si>
    <t>Chennevriere</t>
  </si>
  <si>
    <t>Gabriel Chiappetta</t>
  </si>
  <si>
    <t>Chiappetta</t>
  </si>
  <si>
    <t>Giovanni Chiappetta</t>
  </si>
  <si>
    <t>David Cope</t>
  </si>
  <si>
    <t>Cope</t>
  </si>
  <si>
    <t>ENG0571</t>
  </si>
  <si>
    <t>Fanch Coquillon</t>
  </si>
  <si>
    <t>Coquillon</t>
  </si>
  <si>
    <t>Fabrice Dallara</t>
  </si>
  <si>
    <t>Dallara</t>
  </si>
  <si>
    <t>Didier De Sousa</t>
  </si>
  <si>
    <t>De Sousa</t>
  </si>
  <si>
    <t>Fabrice Delagarde</t>
  </si>
  <si>
    <t>Delagarde</t>
  </si>
  <si>
    <t>Eric Dujardin</t>
  </si>
  <si>
    <t>Dujardin</t>
  </si>
  <si>
    <t>Sébastien Durandeau</t>
  </si>
  <si>
    <t>Durandeau</t>
  </si>
  <si>
    <t>Georgios Elmensaoui</t>
  </si>
  <si>
    <t>Elmensaoui</t>
  </si>
  <si>
    <t>GRE0821</t>
  </si>
  <si>
    <t>TTF (TUNISIA TABLE FOOTBALL) (Suspended)</t>
  </si>
  <si>
    <t>CNASTF</t>
  </si>
  <si>
    <t>Clement Faucher</t>
  </si>
  <si>
    <t>Faucher</t>
  </si>
  <si>
    <t>Guillaume Faucher</t>
  </si>
  <si>
    <t>Hugo Faucher</t>
  </si>
  <si>
    <t>Pierre Favier</t>
  </si>
  <si>
    <t>Favier</t>
  </si>
  <si>
    <t>Martial Foechterle</t>
  </si>
  <si>
    <t>Foechterle</t>
  </si>
  <si>
    <t>Marco Fommei</t>
  </si>
  <si>
    <t>Fommei</t>
  </si>
  <si>
    <t>ITA3022</t>
  </si>
  <si>
    <t>Théo Fromweiler</t>
  </si>
  <si>
    <t>Fromweiler</t>
  </si>
  <si>
    <t>Gianfranco Gallelli</t>
  </si>
  <si>
    <t>Gallelli</t>
  </si>
  <si>
    <t>ITA2001</t>
  </si>
  <si>
    <t>Domitille Garnier</t>
  </si>
  <si>
    <t>Thibaud Gauthier</t>
  </si>
  <si>
    <t>Gauthier</t>
  </si>
  <si>
    <t>Victor Gauvin</t>
  </si>
  <si>
    <t>Gauvin</t>
  </si>
  <si>
    <t>Florian Genvo</t>
  </si>
  <si>
    <t>Genvo</t>
  </si>
  <si>
    <t>Stéphane Genvo</t>
  </si>
  <si>
    <t>Ludovic Geretto</t>
  </si>
  <si>
    <t>Geretto</t>
  </si>
  <si>
    <t>Stéphane Geretto</t>
  </si>
  <si>
    <t>Charlotte Guyot</t>
  </si>
  <si>
    <t>Darren Howat</t>
  </si>
  <si>
    <t>Howat</t>
  </si>
  <si>
    <t>ENG0570</t>
  </si>
  <si>
    <t>Jérémy Idoux</t>
  </si>
  <si>
    <t>Idoux</t>
  </si>
  <si>
    <t>Michel Idoux</t>
  </si>
  <si>
    <t>Franck Jan</t>
  </si>
  <si>
    <t>Jan</t>
  </si>
  <si>
    <t>Tony Kiely</t>
  </si>
  <si>
    <t>ENG0569</t>
  </si>
  <si>
    <t>Mathias Koch</t>
  </si>
  <si>
    <t>Koch</t>
  </si>
  <si>
    <t>Pierre Larroumes</t>
  </si>
  <si>
    <t>Larroumes</t>
  </si>
  <si>
    <t>Francis Laurent</t>
  </si>
  <si>
    <t>Emeline Lecerf</t>
  </si>
  <si>
    <t>Lecerf</t>
  </si>
  <si>
    <t>Sebastien Lecerf</t>
  </si>
  <si>
    <t>Augustin Ledoit</t>
  </si>
  <si>
    <t>Ledoit</t>
  </si>
  <si>
    <t>Cyril Ledoit</t>
  </si>
  <si>
    <t>Thibault Lesne</t>
  </si>
  <si>
    <t>Lesne</t>
  </si>
  <si>
    <t>Enrico Lupo</t>
  </si>
  <si>
    <t>Liam Lupo</t>
  </si>
  <si>
    <t>Rayan Makhlouf</t>
  </si>
  <si>
    <t>Makhlouf</t>
  </si>
  <si>
    <t>Orlan Martin</t>
  </si>
  <si>
    <t>Andrew Martini</t>
  </si>
  <si>
    <t>Martini</t>
  </si>
  <si>
    <t>JPN153</t>
  </si>
  <si>
    <t>Takanobu Marutani</t>
  </si>
  <si>
    <t>Marutani</t>
  </si>
  <si>
    <t>Takanobu</t>
  </si>
  <si>
    <t>JPN045</t>
  </si>
  <si>
    <t>David Mathieu</t>
  </si>
  <si>
    <t>Bertrand Mienville</t>
  </si>
  <si>
    <t>Mienville</t>
  </si>
  <si>
    <t>Jérôme Monchalin</t>
  </si>
  <si>
    <t>Monchalin</t>
  </si>
  <si>
    <t>Tristan Monchalin</t>
  </si>
  <si>
    <t>Conrad Mudge</t>
  </si>
  <si>
    <t>Mudge</t>
  </si>
  <si>
    <t>Conrad</t>
  </si>
  <si>
    <t>FIS0011</t>
  </si>
  <si>
    <t>Jean-Maurice Noel</t>
  </si>
  <si>
    <t>Simone Pasquali</t>
  </si>
  <si>
    <t>Pasquali</t>
  </si>
  <si>
    <t>ITA3435</t>
  </si>
  <si>
    <t>Laurent Pasquier</t>
  </si>
  <si>
    <t>Pasquier</t>
  </si>
  <si>
    <t>Aldo Pedetti</t>
  </si>
  <si>
    <t>Pedetti</t>
  </si>
  <si>
    <t>Léa poupart</t>
  </si>
  <si>
    <t>poupart</t>
  </si>
  <si>
    <t>Brett Price</t>
  </si>
  <si>
    <t>Price</t>
  </si>
  <si>
    <t>Brett</t>
  </si>
  <si>
    <t>ENG0101</t>
  </si>
  <si>
    <t>Ivan Quattrocchi</t>
  </si>
  <si>
    <t>Quattrocchi</t>
  </si>
  <si>
    <t>ITA2113</t>
  </si>
  <si>
    <t>Steve Race</t>
  </si>
  <si>
    <t>Race</t>
  </si>
  <si>
    <t>ENG0563</t>
  </si>
  <si>
    <t>Robert Ramsay</t>
  </si>
  <si>
    <t>Ramsay</t>
  </si>
  <si>
    <t>ENG0335</t>
  </si>
  <si>
    <t>Zachary Ramsay</t>
  </si>
  <si>
    <t>ENG0567</t>
  </si>
  <si>
    <t>Wolverhampton TFC</t>
  </si>
  <si>
    <t>Michael Ridger</t>
  </si>
  <si>
    <t>Ridger</t>
  </si>
  <si>
    <t>AUS0205</t>
  </si>
  <si>
    <t>Samuel Ridger</t>
  </si>
  <si>
    <t>Abdelmaneum Rouis</t>
  </si>
  <si>
    <t>Fayçal Rouis</t>
  </si>
  <si>
    <t>Valentino Rubbi</t>
  </si>
  <si>
    <t>Rubbi</t>
  </si>
  <si>
    <t>Diego Russolillo</t>
  </si>
  <si>
    <t>Russolillo</t>
  </si>
  <si>
    <t>Giorgio Russolillo</t>
  </si>
  <si>
    <t>David Sardi de Letto</t>
  </si>
  <si>
    <t>Sardi de Letto</t>
  </si>
  <si>
    <t>Damien Savel</t>
  </si>
  <si>
    <t>Savel</t>
  </si>
  <si>
    <t>Ian Smalley</t>
  </si>
  <si>
    <t>Smalley</t>
  </si>
  <si>
    <t>ENG0565</t>
  </si>
  <si>
    <t>Frédéric Staine</t>
  </si>
  <si>
    <t>Staine</t>
  </si>
  <si>
    <t>Manon Steiner</t>
  </si>
  <si>
    <t>Steiner</t>
  </si>
  <si>
    <t>James Taylor-Nye</t>
  </si>
  <si>
    <t>Taylor-Nye</t>
  </si>
  <si>
    <t>ENG0564</t>
  </si>
  <si>
    <t>Charlotte Troestler</t>
  </si>
  <si>
    <t>Troestler</t>
  </si>
  <si>
    <t>Pierre Troestler</t>
  </si>
  <si>
    <t>Eric Villard</t>
  </si>
  <si>
    <t>Villard</t>
  </si>
  <si>
    <t>Stuart Walsh</t>
  </si>
  <si>
    <t>Walsh</t>
  </si>
  <si>
    <t>ENG0165</t>
  </si>
  <si>
    <t>Gilles Weinstich</t>
  </si>
  <si>
    <t>Weinstich</t>
  </si>
  <si>
    <t>Sean Wenlock</t>
  </si>
  <si>
    <t>Wenlock</t>
  </si>
  <si>
    <t>ENG0568</t>
  </si>
  <si>
    <t>David Wright</t>
  </si>
  <si>
    <t>AUS0204</t>
  </si>
  <si>
    <t>V4.4</t>
  </si>
  <si>
    <t>Compatibility with Open Office =&gt; The file can be used with Open Office or Libre Office 
Not fully tested with this free softwre, but seems to work.</t>
  </si>
  <si>
    <t>V4.4.1</t>
  </si>
  <si>
    <t>Bug correction for Barrages in Results Individuals</t>
  </si>
  <si>
    <t>Removal of the evaluation part in the TOURNAMENT DETAILS tab, and addition of payment details</t>
  </si>
  <si>
    <t>After validation of the data by the Operational Department, the Finance Department will contact you to pay the amount due</t>
  </si>
  <si>
    <t>PayPal: stevedettre.fistf@gmail.com</t>
  </si>
  <si>
    <t>OR</t>
  </si>
  <si>
    <t>Commonwealth Bank</t>
  </si>
  <si>
    <t>BIC/Swift : CTBAAU2S</t>
  </si>
  <si>
    <t>Account No : 06294837010581</t>
  </si>
  <si>
    <t>Account name : FISTF</t>
  </si>
  <si>
    <t>V4.5</t>
  </si>
  <si>
    <t>Teams draw</t>
  </si>
  <si>
    <t>Players draw</t>
  </si>
  <si>
    <t>V4.5.1</t>
  </si>
  <si>
    <t>Different small modifications - List of values for Withdraw field in Team tab, "TOSS" replaced by "Players/Temas draw", Group number corrected in Reasults Teams tab.</t>
  </si>
  <si>
    <t>Ricardo Asso</t>
  </si>
  <si>
    <t>Asso</t>
  </si>
  <si>
    <t>BRA0022</t>
  </si>
  <si>
    <t>Jordan Bonte</t>
  </si>
  <si>
    <t>Bonte</t>
  </si>
  <si>
    <t>BEL0272</t>
  </si>
  <si>
    <t>Costantino Francesco Cassano</t>
  </si>
  <si>
    <t>Cassano</t>
  </si>
  <si>
    <t>Costantino Francesco</t>
  </si>
  <si>
    <t>ITA3442</t>
  </si>
  <si>
    <t>Giovanni Cinque</t>
  </si>
  <si>
    <t>Cinque</t>
  </si>
  <si>
    <t>ITA1669</t>
  </si>
  <si>
    <t>Tommaso Cuzzocrea</t>
  </si>
  <si>
    <t>ITA3439</t>
  </si>
  <si>
    <t>Roberto Dalcin</t>
  </si>
  <si>
    <t>Dalcin</t>
  </si>
  <si>
    <t>BRA0023</t>
  </si>
  <si>
    <t>Amilcare D'Andria</t>
  </si>
  <si>
    <t>D'Andria</t>
  </si>
  <si>
    <t>Amilcare</t>
  </si>
  <si>
    <t>ITA3445</t>
  </si>
  <si>
    <t>Didier Das</t>
  </si>
  <si>
    <t>Das</t>
  </si>
  <si>
    <t>BEL0368</t>
  </si>
  <si>
    <t>Florian Daxböck</t>
  </si>
  <si>
    <t>Daxböck</t>
  </si>
  <si>
    <t>AUT0125</t>
  </si>
  <si>
    <t>Antonia De Bellis</t>
  </si>
  <si>
    <t>De Bellis</t>
  </si>
  <si>
    <t>Antonia</t>
  </si>
  <si>
    <t>ITA3444</t>
  </si>
  <si>
    <t>Elio Degaetano</t>
  </si>
  <si>
    <t>Degaetano</t>
  </si>
  <si>
    <t>ITA3440</t>
  </si>
  <si>
    <t>Nathanaël Dhyne</t>
  </si>
  <si>
    <t>Dhyne</t>
  </si>
  <si>
    <t>Nathanaël</t>
  </si>
  <si>
    <t>BEL0478</t>
  </si>
  <si>
    <t>Vincent Dirick</t>
  </si>
  <si>
    <t>BEL0484</t>
  </si>
  <si>
    <t>GRE0822</t>
  </si>
  <si>
    <t>Albert Fako</t>
  </si>
  <si>
    <t>Fako</t>
  </si>
  <si>
    <t>BEL0482</t>
  </si>
  <si>
    <t>free agent</t>
  </si>
  <si>
    <t>Peter Fako</t>
  </si>
  <si>
    <t>BEL0483</t>
  </si>
  <si>
    <t>Massimiliano Franciolini</t>
  </si>
  <si>
    <t>Franciolini</t>
  </si>
  <si>
    <t>Simon Francis</t>
  </si>
  <si>
    <t>ENG0573</t>
  </si>
  <si>
    <t>Giorgio Frisone</t>
  </si>
  <si>
    <t>ITA2388</t>
  </si>
  <si>
    <t>Bruno Fujisão</t>
  </si>
  <si>
    <t>Fujisão</t>
  </si>
  <si>
    <t>BRA0092</t>
  </si>
  <si>
    <t>Nathan Heard</t>
  </si>
  <si>
    <t>Heard</t>
  </si>
  <si>
    <t>AUS0208</t>
  </si>
  <si>
    <t>Xavier Herman</t>
  </si>
  <si>
    <t>Herman</t>
  </si>
  <si>
    <t>BEL0140</t>
  </si>
  <si>
    <t>Tim James</t>
  </si>
  <si>
    <t>ENG0575</t>
  </si>
  <si>
    <t>Martin Joris</t>
  </si>
  <si>
    <t>BEL0475</t>
  </si>
  <si>
    <t>Carlos Junior</t>
  </si>
  <si>
    <t>BRA0020</t>
  </si>
  <si>
    <t>Martin Lebutte</t>
  </si>
  <si>
    <t>Lebutte</t>
  </si>
  <si>
    <t>BEL0476</t>
  </si>
  <si>
    <t>Fabian Limpens</t>
  </si>
  <si>
    <t>Limpens</t>
  </si>
  <si>
    <t>BEL0023</t>
  </si>
  <si>
    <t>Daniel Lombard</t>
  </si>
  <si>
    <t>Jonathan Lopez-Real</t>
  </si>
  <si>
    <t>Lopez-Real</t>
  </si>
  <si>
    <t>ENG0138</t>
  </si>
  <si>
    <t>Philippe Mairesse</t>
  </si>
  <si>
    <t>Mairesse</t>
  </si>
  <si>
    <t>BEL0068</t>
  </si>
  <si>
    <t>Robin Martin</t>
  </si>
  <si>
    <t>ENG0574</t>
  </si>
  <si>
    <t>Curro Martín</t>
  </si>
  <si>
    <t>Curro</t>
  </si>
  <si>
    <t>ESP0599</t>
  </si>
  <si>
    <t>Vito Sante Martinelli</t>
  </si>
  <si>
    <t>Vito Sante</t>
  </si>
  <si>
    <t>ITA3437</t>
  </si>
  <si>
    <t>Sean Mayock</t>
  </si>
  <si>
    <t>Mayock</t>
  </si>
  <si>
    <t>AUS0207</t>
  </si>
  <si>
    <t>Sergio Monteleone</t>
  </si>
  <si>
    <t>Monteleone</t>
  </si>
  <si>
    <t>BRA0004</t>
  </si>
  <si>
    <t>Eugenio Gerardo Petrungaro</t>
  </si>
  <si>
    <t>Petrungaro</t>
  </si>
  <si>
    <t>Eugenio Gerardo</t>
  </si>
  <si>
    <t>ITA3441</t>
  </si>
  <si>
    <t>Stefano Pistolesi</t>
  </si>
  <si>
    <t>Pistolesi</t>
  </si>
  <si>
    <t>ITA2586</t>
  </si>
  <si>
    <t>Alexandra Pitsari</t>
  </si>
  <si>
    <t>Pitsari</t>
  </si>
  <si>
    <t>Alexandra</t>
  </si>
  <si>
    <t>GRE0823</t>
  </si>
  <si>
    <t>Georgios Pitsaris</t>
  </si>
  <si>
    <t>GRE0824</t>
  </si>
  <si>
    <t>Davide Ramazzotto</t>
  </si>
  <si>
    <t>Ramazzotto</t>
  </si>
  <si>
    <t>ITA3443</t>
  </si>
  <si>
    <t>AUS0206</t>
  </si>
  <si>
    <t>Sébastien Rochez</t>
  </si>
  <si>
    <t>Rochez</t>
  </si>
  <si>
    <t>BEL0481</t>
  </si>
  <si>
    <t>Templeuve Utd TSC</t>
  </si>
  <si>
    <t>David Rodríguez</t>
  </si>
  <si>
    <t>Rodríguez</t>
  </si>
  <si>
    <t>ESP0600</t>
  </si>
  <si>
    <t>Cosimo Salatino</t>
  </si>
  <si>
    <t>ITA3438</t>
  </si>
  <si>
    <t>Eryl Samuel</t>
  </si>
  <si>
    <t>Eryl</t>
  </si>
  <si>
    <t>WAL0053</t>
  </si>
  <si>
    <t>Pulis Sandrino</t>
  </si>
  <si>
    <t>Sandrino</t>
  </si>
  <si>
    <t>Pulis</t>
  </si>
  <si>
    <t>MLT146</t>
  </si>
  <si>
    <t>Marc Sceraert</t>
  </si>
  <si>
    <t>Sceraert</t>
  </si>
  <si>
    <t>BEL0480</t>
  </si>
  <si>
    <t>Olivia Scheen</t>
  </si>
  <si>
    <t>BEL0477</t>
  </si>
  <si>
    <t>Elea Tsangouris</t>
  </si>
  <si>
    <t>Elea</t>
  </si>
  <si>
    <t>BEL0479</t>
  </si>
  <si>
    <t>V4.5.2</t>
  </si>
  <si>
    <t>Adding more lines in Open &amp; Veterans tabs.</t>
  </si>
  <si>
    <t>4.5.2</t>
  </si>
  <si>
    <t>Emilio Torrico</t>
  </si>
  <si>
    <t>C</t>
  </si>
  <si>
    <t>ESP0426</t>
  </si>
  <si>
    <t>Excused</t>
  </si>
  <si>
    <t>X</t>
  </si>
  <si>
    <t>Avenir Subbuteo Hennuyer 3</t>
  </si>
  <si>
    <t>SC Lion's Eugies 3</t>
  </si>
  <si>
    <t>Avenir Subbuteo Hennuyer 2</t>
  </si>
  <si>
    <t>FTC Issy-les-Moulineaux 2</t>
  </si>
  <si>
    <t>FTC Caen 2</t>
  </si>
  <si>
    <t>SC Lion's Eugies 4</t>
  </si>
  <si>
    <t>Avenir Subbuteo Hennuyer 4</t>
  </si>
  <si>
    <t>SC Lion's Eugies 2</t>
  </si>
  <si>
    <t>Kent Invicta TFC 2</t>
  </si>
  <si>
    <t>Wamme SC 2</t>
  </si>
  <si>
    <t>Master Sanremo 2</t>
  </si>
  <si>
    <t>JOHN LAUDER</t>
  </si>
  <si>
    <t>MAJOR FRAMERIES</t>
  </si>
  <si>
    <t>FRAMERIES, BELGIOUM</t>
  </si>
  <si>
    <t>OLIVIER PERE</t>
  </si>
  <si>
    <t>DURING THE TEAM ENENT, THE HEAD REFEREE, MR C.AGGELINAS WAS ASKED BY A REFEREE TO CHECK THE DIMENSION OF A GOALKEEPER. INDEED THE HR CHECKED ALL 8 GOALKEEPERS OF THE SPECIFIC MATCH. 4/8 OF THE GOALKEEPERS WERE FOUND ILLEGAL. THE SAME ACTION TOOK PLACE AND A SECOND TIME IN THE NEXT ROUND. MORE OR LESS THE SAME RESULTS. TOTALLY 23 CONTROLS AND 7 ILLEGAL GOALKEEPERS</t>
  </si>
  <si>
    <t>(vide)</t>
  </si>
  <si>
    <t>Chloé Despretz</t>
  </si>
  <si>
    <t>BEL324</t>
  </si>
  <si>
    <t>SC Móstoles</t>
  </si>
  <si>
    <t>Martin Antoine</t>
  </si>
  <si>
    <t>Christophe Rairoux</t>
  </si>
  <si>
    <t>Emilio Tomás Torrico</t>
  </si>
  <si>
    <t>BEL0250</t>
  </si>
  <si>
    <t>Massimo Barisone</t>
  </si>
  <si>
    <t>Barisone</t>
  </si>
  <si>
    <t>ITA2660</t>
  </si>
  <si>
    <t>Subbuteo Oslo</t>
  </si>
  <si>
    <t>Fabrizio Carnino</t>
  </si>
  <si>
    <t>Carnino</t>
  </si>
  <si>
    <t>ITA3356</t>
  </si>
  <si>
    <t>Nicola Carnino</t>
  </si>
  <si>
    <t>ITA3357</t>
  </si>
  <si>
    <t>Francesco Chianale</t>
  </si>
  <si>
    <t>Chianale</t>
  </si>
  <si>
    <t>ITA3450</t>
  </si>
  <si>
    <t>Chloé</t>
  </si>
  <si>
    <t>BEL0324</t>
  </si>
  <si>
    <t>Riccardo Destefanis</t>
  </si>
  <si>
    <t>Destefanis</t>
  </si>
  <si>
    <t>NOR0019</t>
  </si>
  <si>
    <t>Camillo Di Francesco</t>
  </si>
  <si>
    <t>Camillo</t>
  </si>
  <si>
    <t>ITA1169</t>
  </si>
  <si>
    <t>Daniel Dias</t>
  </si>
  <si>
    <t>Emanuele Dore</t>
  </si>
  <si>
    <t>ITA0314</t>
  </si>
  <si>
    <t>Francesco Ferranti</t>
  </si>
  <si>
    <t>Ferranti</t>
  </si>
  <si>
    <t>ITA3452</t>
  </si>
  <si>
    <t>Mattia Ferranti</t>
  </si>
  <si>
    <t>ITA3451</t>
  </si>
  <si>
    <t>Riccardo Generali</t>
  </si>
  <si>
    <t>Generali</t>
  </si>
  <si>
    <t>ITA3448</t>
  </si>
  <si>
    <t>Alfredo Gianoglio</t>
  </si>
  <si>
    <t>Gianoglio</t>
  </si>
  <si>
    <t>NOR0021</t>
  </si>
  <si>
    <t>André Giovenali</t>
  </si>
  <si>
    <t>Giovenali</t>
  </si>
  <si>
    <t>ITA2945</t>
  </si>
  <si>
    <t>Dimitrios Gkogkos</t>
  </si>
  <si>
    <t>GRE0825</t>
  </si>
  <si>
    <t>Massimiliano Guidi</t>
  </si>
  <si>
    <t>ITA2820</t>
  </si>
  <si>
    <t>Lorenzo Guio</t>
  </si>
  <si>
    <t>Guio</t>
  </si>
  <si>
    <t>ITA0430</t>
  </si>
  <si>
    <t>Amy Horncastle</t>
  </si>
  <si>
    <t>Horncastle</t>
  </si>
  <si>
    <t>Amy</t>
  </si>
  <si>
    <t>ENG0576</t>
  </si>
  <si>
    <t>RAS (Rochford &amp; Southend)_x000D_
Casual Subbuteo Club</t>
  </si>
  <si>
    <t>Alessandro Indelli</t>
  </si>
  <si>
    <t>Indelli</t>
  </si>
  <si>
    <t>ITA3453</t>
  </si>
  <si>
    <t>Michael König-Danielson</t>
  </si>
  <si>
    <t>König-Danielson</t>
  </si>
  <si>
    <t>GER0159</t>
  </si>
  <si>
    <t>Kent invicta TFC</t>
  </si>
  <si>
    <t>Alfred Laporta</t>
  </si>
  <si>
    <t>Laporta</t>
  </si>
  <si>
    <t>ESP0004</t>
  </si>
  <si>
    <t>Afonso Monge</t>
  </si>
  <si>
    <t>Monge</t>
  </si>
  <si>
    <t>POR0126</t>
  </si>
  <si>
    <t>Gabriel Phokos</t>
  </si>
  <si>
    <t>Phokos</t>
  </si>
  <si>
    <t>AUS0210</t>
  </si>
  <si>
    <t>Timothy Phokos</t>
  </si>
  <si>
    <t>Timothy</t>
  </si>
  <si>
    <t>AUS0209</t>
  </si>
  <si>
    <t>Robert Piggott</t>
  </si>
  <si>
    <t>Piggott</t>
  </si>
  <si>
    <t>ENG0577</t>
  </si>
  <si>
    <t>BEL0038</t>
  </si>
  <si>
    <t>Dominic Santana Tovar</t>
  </si>
  <si>
    <t>Santana Tovar</t>
  </si>
  <si>
    <t>Dominic</t>
  </si>
  <si>
    <t>ITA3446</t>
  </si>
  <si>
    <t>Juan Josè Santana Vargas</t>
  </si>
  <si>
    <t>Santana Vargas</t>
  </si>
  <si>
    <t>Juan Josè</t>
  </si>
  <si>
    <t>ITA3447</t>
  </si>
  <si>
    <t>Mateus Santos</t>
  </si>
  <si>
    <t>Mateus</t>
  </si>
  <si>
    <t>Alberto Sitia</t>
  </si>
  <si>
    <t>Sitia</t>
  </si>
  <si>
    <t>ITA3449</t>
  </si>
  <si>
    <t>Fabrizio Sonnino</t>
  </si>
  <si>
    <t>Sonnino</t>
  </si>
  <si>
    <t>ITA0817</t>
  </si>
  <si>
    <t>Ian Alexander Stuart</t>
  </si>
  <si>
    <t>Ian Alexander</t>
  </si>
  <si>
    <t>NOR0020</t>
  </si>
  <si>
    <t>Alessio Talarico</t>
  </si>
  <si>
    <t>ITA1820</t>
  </si>
  <si>
    <t>Subbuteo Catanzaro</t>
  </si>
  <si>
    <t>Chris Thorn</t>
  </si>
  <si>
    <t>Thorn</t>
  </si>
  <si>
    <t>AUS0078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</si>
</sst>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quot;_-;\-* #,##0.00\ &quot;€&quot;_-;_-* &quot;-&quot;??\ &quot;€&quot;_-;_-@_-"/>
    <numFmt numFmtId="165" formatCode="_-* #,##0\ _€_-;\-* #,##0\ _€_-;_-* &quot;-&quot;\ _€_-;_-@_-"/>
    <numFmt numFmtId="166" formatCode="_-* #,##0.00\ [$€-40C]_-;\-* #,##0.00\ [$€-40C]_-;_-* &quot;-&quot;??\ [$€-40C]_-;_-@_-"/>
    <numFmt numFmtId="167" formatCode="&quot;Grp &quot;General"/>
  </numFmts>
  <fonts count="94" x14ac:knownFonts="1">
    <font>
      <sz val="11"/>
      <color theme="1"/>
      <name val="Calibri"/>
      <family val="2"/>
      <scheme val="minor"/>
    </font>
    <font>
      <sz val="10"/>
      <name val="Arial"/>
      <family val="2"/>
    </font>
    <font>
      <b/>
      <sz val="48"/>
      <color indexed="17"/>
      <name val="Arial"/>
      <family val="2"/>
    </font>
    <font>
      <b/>
      <sz val="24"/>
      <color indexed="17"/>
      <name val="Arial"/>
      <family val="2"/>
    </font>
    <font>
      <sz val="8"/>
      <name val="Arial"/>
      <family val="2"/>
    </font>
    <font>
      <b/>
      <sz val="12"/>
      <name val="Arial"/>
      <family val="2"/>
    </font>
    <font>
      <i/>
      <sz val="10"/>
      <color indexed="10"/>
      <name val="Arial"/>
      <family val="2"/>
    </font>
    <font>
      <b/>
      <i/>
      <sz val="8"/>
      <color indexed="17"/>
      <name val="Arial"/>
      <family val="2"/>
    </font>
    <font>
      <sz val="8"/>
      <color indexed="17"/>
      <name val="Arial"/>
      <family val="2"/>
    </font>
    <font>
      <sz val="8"/>
      <color indexed="10"/>
      <name val="Arial"/>
      <family val="2"/>
    </font>
    <font>
      <i/>
      <sz val="8"/>
      <name val="Arial"/>
      <family val="2"/>
    </font>
    <font>
      <sz val="10"/>
      <color indexed="12"/>
      <name val="Arial"/>
      <family val="2"/>
    </font>
    <font>
      <b/>
      <i/>
      <sz val="10"/>
      <color indexed="10"/>
      <name val="Arial"/>
      <family val="2"/>
    </font>
    <font>
      <b/>
      <sz val="10"/>
      <color indexed="12"/>
      <name val="Arial"/>
      <family val="2"/>
    </font>
    <font>
      <b/>
      <i/>
      <sz val="10"/>
      <name val="Arial"/>
      <family val="2"/>
    </font>
    <font>
      <sz val="11"/>
      <color indexed="8"/>
      <name val="Calibri"/>
      <family val="2"/>
    </font>
    <font>
      <sz val="10"/>
      <color indexed="8"/>
      <name val="Arial"/>
      <family val="2"/>
    </font>
    <font>
      <b/>
      <i/>
      <sz val="11"/>
      <color indexed="10"/>
      <name val="Arial"/>
      <family val="2"/>
    </font>
    <font>
      <sz val="14"/>
      <color indexed="12"/>
      <name val="Arial"/>
      <family val="2"/>
    </font>
    <font>
      <b/>
      <sz val="28"/>
      <color indexed="17"/>
      <name val="Arial"/>
      <family val="2"/>
    </font>
    <font>
      <sz val="24"/>
      <name val="Arial"/>
      <family val="2"/>
    </font>
    <font>
      <sz val="10"/>
      <color rgb="FF000000"/>
      <name val="Arial"/>
      <family val="2"/>
    </font>
    <font>
      <sz val="10"/>
      <color theme="1"/>
      <name val="Arial"/>
      <family val="2"/>
    </font>
    <font>
      <sz val="8"/>
      <color theme="0"/>
      <name val="Arial"/>
      <family val="2"/>
    </font>
    <font>
      <sz val="8"/>
      <color theme="9" tint="-0.249977111117893"/>
      <name val="Arial"/>
      <family val="2"/>
    </font>
    <font>
      <sz val="10"/>
      <color theme="0"/>
      <name val="Arial"/>
      <family val="2"/>
    </font>
    <font>
      <sz val="11"/>
      <color theme="1"/>
      <name val="Calibri"/>
      <family val="2"/>
      <scheme val="minor"/>
    </font>
    <font>
      <b/>
      <sz val="10"/>
      <name val="Arial"/>
      <family val="2"/>
    </font>
    <font>
      <sz val="12"/>
      <name val="Arial"/>
      <family val="2"/>
    </font>
    <font>
      <sz val="8"/>
      <name val="Calibri"/>
      <family val="2"/>
      <scheme val="minor"/>
    </font>
    <font>
      <sz val="8"/>
      <color rgb="FFFF0000"/>
      <name val="Arial"/>
      <family val="2"/>
    </font>
    <font>
      <b/>
      <sz val="11"/>
      <name val="Arial"/>
      <family val="2"/>
    </font>
    <font>
      <b/>
      <sz val="12"/>
      <color rgb="FFFF0000"/>
      <name val="Arial"/>
      <family val="2"/>
    </font>
    <font>
      <b/>
      <sz val="8"/>
      <name val="Arial"/>
      <family val="2"/>
    </font>
    <font>
      <b/>
      <sz val="12"/>
      <color indexed="12"/>
      <name val="Arial"/>
      <family val="2"/>
    </font>
    <font>
      <sz val="8"/>
      <color indexed="53"/>
      <name val="Arial"/>
      <family val="2"/>
    </font>
    <font>
      <sz val="8"/>
      <color indexed="12"/>
      <name val="Arial"/>
      <family val="2"/>
    </font>
    <font>
      <b/>
      <sz val="8"/>
      <color indexed="10"/>
      <name val="Arial"/>
      <family val="2"/>
    </font>
    <font>
      <b/>
      <sz val="8"/>
      <color indexed="12"/>
      <name val="Arial"/>
      <family val="2"/>
    </font>
    <font>
      <sz val="11"/>
      <name val="Arial"/>
      <family val="2"/>
    </font>
    <font>
      <sz val="10"/>
      <color indexed="58"/>
      <name val="Arial"/>
      <family val="2"/>
    </font>
    <font>
      <sz val="10"/>
      <color rgb="FF003300"/>
      <name val="Arial"/>
      <family val="2"/>
    </font>
    <font>
      <sz val="8"/>
      <color theme="0" tint="-0.14999847407452621"/>
      <name val="Arial"/>
      <family val="2"/>
    </font>
    <font>
      <sz val="8"/>
      <color theme="0" tint="-0.34998626667073579"/>
      <name val="Arial"/>
      <family val="2"/>
    </font>
    <font>
      <b/>
      <sz val="8"/>
      <color theme="0" tint="-0.14999847407452621"/>
      <name val="Arial"/>
      <family val="2"/>
    </font>
    <font>
      <b/>
      <sz val="10"/>
      <color theme="0" tint="-0.14999847407452621"/>
      <name val="Arial"/>
      <family val="2"/>
    </font>
    <font>
      <sz val="8"/>
      <color rgb="FF0033CC"/>
      <name val="Arial"/>
      <family val="2"/>
    </font>
    <font>
      <b/>
      <sz val="8"/>
      <color rgb="FFFF0000"/>
      <name val="Arial"/>
      <family val="2"/>
    </font>
    <font>
      <u/>
      <sz val="11"/>
      <color theme="10"/>
      <name val="Calibri"/>
      <family val="2"/>
      <scheme val="minor"/>
    </font>
    <font>
      <sz val="8"/>
      <name val="Arial"/>
      <family val="2"/>
    </font>
    <font>
      <sz val="10"/>
      <name val="Arial"/>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0" tint="-0.249977111117893"/>
      <name val="Arial"/>
      <family val="2"/>
    </font>
    <font>
      <b/>
      <sz val="8"/>
      <color theme="0" tint="-0.249977111117893"/>
      <name val="Arial"/>
      <family val="2"/>
    </font>
    <font>
      <sz val="10"/>
      <color theme="1"/>
      <name val="Arial"/>
      <family val="2"/>
    </font>
    <font>
      <sz val="8"/>
      <color rgb="FFFFFF00"/>
      <name val="Arial"/>
      <family val="2"/>
    </font>
    <font>
      <b/>
      <sz val="8"/>
      <color rgb="FF0033CC"/>
      <name val="Arial"/>
      <family val="2"/>
    </font>
    <font>
      <sz val="72"/>
      <name val="Arial"/>
      <family val="2"/>
    </font>
    <font>
      <b/>
      <sz val="8"/>
      <color theme="0" tint="-0.34998626667073579"/>
      <name val="Arial"/>
      <family val="2"/>
    </font>
    <font>
      <b/>
      <sz val="14"/>
      <color theme="1"/>
      <name val="Calibri"/>
      <family val="2"/>
      <scheme val="minor"/>
    </font>
    <font>
      <b/>
      <sz val="11"/>
      <color rgb="FF0033CC"/>
      <name val="Calibri"/>
      <family val="2"/>
      <scheme val="minor"/>
    </font>
    <font>
      <b/>
      <sz val="14"/>
      <color rgb="FF0033CC"/>
      <name val="Calibri"/>
      <family val="2"/>
      <scheme val="minor"/>
    </font>
    <font>
      <b/>
      <sz val="8"/>
      <color theme="0"/>
      <name val="Arial"/>
      <family val="2"/>
    </font>
    <font>
      <sz val="10"/>
      <color rgb="FFFFFF00"/>
      <name val="Arial"/>
      <family val="2"/>
    </font>
    <font>
      <sz val="10"/>
      <color rgb="FF0033CC"/>
      <name val="Arial"/>
      <family val="2"/>
    </font>
    <font>
      <b/>
      <sz val="14"/>
      <name val="Arial"/>
      <family val="2"/>
    </font>
    <font>
      <b/>
      <i/>
      <sz val="10"/>
      <color indexed="12"/>
      <name val="Arial"/>
      <family val="2"/>
    </font>
    <font>
      <sz val="8"/>
      <name val="Arial"/>
      <family val="2"/>
    </font>
    <font>
      <b/>
      <sz val="11"/>
      <color indexed="17"/>
      <name val="Arial"/>
      <family val="2"/>
    </font>
    <font>
      <sz val="11"/>
      <color indexed="17"/>
      <name val="Arial"/>
      <family val="2"/>
    </font>
    <font>
      <b/>
      <u/>
      <sz val="11"/>
      <color indexed="17"/>
      <name val="Arial"/>
      <family val="2"/>
    </font>
    <font>
      <b/>
      <i/>
      <sz val="11"/>
      <color indexed="17"/>
      <name val="Arial"/>
      <family val="2"/>
    </font>
    <font>
      <sz val="11"/>
      <color rgb="FFFF0000"/>
      <name val="Arial"/>
      <family val="2"/>
    </font>
    <font>
      <b/>
      <sz val="11"/>
      <color rgb="FFFF0000"/>
      <name val="Arial"/>
      <family val="2"/>
    </font>
    <font>
      <sz val="6"/>
      <name val="Arial"/>
      <family val="2"/>
    </font>
    <font>
      <b/>
      <sz val="6"/>
      <name val="Arial"/>
      <family val="2"/>
    </font>
    <font>
      <sz val="8"/>
      <name val="Arial"/>
      <family val="2"/>
    </font>
    <font>
      <sz val="10"/>
      <color theme="1"/>
      <name val="Arial"/>
      <family val="2"/>
    </font>
  </fonts>
  <fills count="62">
    <fill>
      <patternFill patternType="none"/>
    </fill>
    <fill>
      <patternFill patternType="gray125"/>
    </fill>
    <fill>
      <patternFill patternType="solid">
        <fgColor indexed="13"/>
        <bgColor indexed="34"/>
      </patternFill>
    </fill>
    <fill>
      <patternFill patternType="solid">
        <fgColor indexed="27"/>
        <bgColor indexed="41"/>
      </patternFill>
    </fill>
    <fill>
      <patternFill patternType="solid">
        <fgColor indexed="50"/>
        <bgColor indexed="51"/>
      </patternFill>
    </fill>
    <fill>
      <patternFill patternType="solid">
        <fgColor rgb="FFFFFF00"/>
        <bgColor indexed="3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51"/>
      </patternFill>
    </fill>
    <fill>
      <patternFill patternType="solid">
        <fgColor theme="9" tint="0.79998168889431442"/>
        <bgColor indexed="27"/>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indexed="58"/>
        <bgColor indexed="64"/>
      </patternFill>
    </fill>
    <fill>
      <patternFill patternType="solid">
        <fgColor theme="4" tint="0.59999389629810485"/>
        <bgColor indexed="64"/>
      </patternFill>
    </fill>
    <fill>
      <patternFill patternType="solid">
        <fgColor rgb="FF66FFFF"/>
        <bgColor indexed="64"/>
      </patternFill>
    </fill>
    <fill>
      <patternFill patternType="solid">
        <fgColor rgb="FF99FF99"/>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0" tint="-0.249977111117893"/>
        <bgColor indexed="64"/>
      </patternFill>
    </fill>
    <fill>
      <patternFill patternType="solid">
        <fgColor rgb="FFFF0000"/>
        <bgColor indexed="64"/>
      </patternFill>
    </fill>
    <fill>
      <patternFill patternType="solid">
        <fgColor rgb="FFEEB500"/>
        <bgColor indexed="64"/>
      </patternFill>
    </fill>
    <fill>
      <patternFill patternType="solid">
        <fgColor rgb="FFFFC000"/>
        <bgColor indexed="64"/>
      </patternFill>
    </fill>
    <fill>
      <patternFill patternType="solid">
        <fgColor rgb="FFCC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5" tint="-0.249977111117893"/>
        <bgColor theme="4" tint="0.79998168889431442"/>
      </patternFill>
    </fill>
    <fill>
      <patternFill patternType="solid">
        <fgColor theme="5" tint="0.39997558519241921"/>
        <bgColor theme="4" tint="0.79998168889431442"/>
      </patternFill>
    </fill>
    <fill>
      <patternFill patternType="solid">
        <fgColor rgb="FFCCECFF"/>
        <bgColor indexed="51"/>
      </patternFill>
    </fill>
    <fill>
      <patternFill patternType="solid">
        <fgColor theme="7" tint="0.79998168889431442"/>
        <bgColor indexed="64"/>
      </patternFill>
    </fill>
    <fill>
      <patternFill patternType="solid">
        <fgColor rgb="FFFF9933"/>
        <bgColor indexed="64"/>
      </patternFill>
    </fill>
  </fills>
  <borders count="169">
    <border>
      <left/>
      <right/>
      <top/>
      <bottom/>
      <diagonal/>
    </border>
    <border>
      <left/>
      <right/>
      <top style="medium">
        <color indexed="8"/>
      </top>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bottom style="medium">
        <color indexed="64"/>
      </bottom>
      <diagonal/>
    </border>
    <border>
      <left style="medium">
        <color indexed="8"/>
      </left>
      <right style="medium">
        <color indexed="8"/>
      </right>
      <top/>
      <bottom style="thin">
        <color indexed="8"/>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FF0000"/>
      </left>
      <right style="medium">
        <color indexed="8"/>
      </right>
      <top style="thin">
        <color rgb="FFFF0000"/>
      </top>
      <bottom style="thin">
        <color rgb="FFFF0000"/>
      </bottom>
      <diagonal/>
    </border>
    <border>
      <left style="medium">
        <color indexed="8"/>
      </left>
      <right style="medium">
        <color indexed="8"/>
      </right>
      <top style="thin">
        <color rgb="FFFF0000"/>
      </top>
      <bottom style="thin">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style="thin">
        <color indexed="8"/>
      </top>
      <bottom style="thin">
        <color indexed="8"/>
      </bottom>
      <diagonal/>
    </border>
    <border>
      <left/>
      <right style="medium">
        <color rgb="FFFF0000"/>
      </right>
      <top style="thin">
        <color indexed="8"/>
      </top>
      <bottom/>
      <diagonal/>
    </border>
    <border>
      <left style="medium">
        <color rgb="FFFF0000"/>
      </left>
      <right/>
      <top/>
      <bottom style="medium">
        <color rgb="FFFF0000"/>
      </bottom>
      <diagonal/>
    </border>
    <border>
      <left/>
      <right/>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53"/>
      </left>
      <right style="thin">
        <color indexed="53"/>
      </right>
      <top style="medium">
        <color indexed="53"/>
      </top>
      <bottom/>
      <diagonal/>
    </border>
    <border>
      <left/>
      <right/>
      <top style="medium">
        <color indexed="53"/>
      </top>
      <bottom/>
      <diagonal/>
    </border>
    <border>
      <left style="thin">
        <color indexed="53"/>
      </left>
      <right style="medium">
        <color indexed="53"/>
      </right>
      <top style="medium">
        <color indexed="53"/>
      </top>
      <bottom/>
      <diagonal/>
    </border>
    <border>
      <left style="medium">
        <color indexed="53"/>
      </left>
      <right style="thin">
        <color indexed="53"/>
      </right>
      <top style="medium">
        <color indexed="53"/>
      </top>
      <bottom style="medium">
        <color indexed="53"/>
      </bottom>
      <diagonal/>
    </border>
    <border>
      <left/>
      <right/>
      <top style="medium">
        <color indexed="53"/>
      </top>
      <bottom style="medium">
        <color indexed="53"/>
      </bottom>
      <diagonal/>
    </border>
    <border>
      <left style="thin">
        <color indexed="53"/>
      </left>
      <right style="medium">
        <color indexed="53"/>
      </right>
      <top style="medium">
        <color indexed="53"/>
      </top>
      <bottom style="medium">
        <color indexed="53"/>
      </bottom>
      <diagonal/>
    </border>
    <border>
      <left style="medium">
        <color indexed="53"/>
      </left>
      <right style="thin">
        <color indexed="53"/>
      </right>
      <top/>
      <bottom style="thin">
        <color indexed="53"/>
      </bottom>
      <diagonal/>
    </border>
    <border>
      <left/>
      <right/>
      <top/>
      <bottom style="thin">
        <color indexed="53"/>
      </bottom>
      <diagonal/>
    </border>
    <border>
      <left style="thin">
        <color indexed="53"/>
      </left>
      <right style="medium">
        <color indexed="53"/>
      </right>
      <top/>
      <bottom style="thin">
        <color indexed="53"/>
      </bottom>
      <diagonal/>
    </border>
    <border>
      <left style="medium">
        <color indexed="53"/>
      </left>
      <right style="thin">
        <color indexed="53"/>
      </right>
      <top style="thin">
        <color indexed="53"/>
      </top>
      <bottom style="thin">
        <color indexed="53"/>
      </bottom>
      <diagonal/>
    </border>
    <border>
      <left/>
      <right/>
      <top style="thin">
        <color indexed="53"/>
      </top>
      <bottom style="thin">
        <color indexed="53"/>
      </bottom>
      <diagonal/>
    </border>
    <border>
      <left style="thin">
        <color indexed="53"/>
      </left>
      <right style="medium">
        <color indexed="53"/>
      </right>
      <top style="thin">
        <color indexed="53"/>
      </top>
      <bottom style="thin">
        <color indexed="53"/>
      </bottom>
      <diagonal/>
    </border>
    <border>
      <left style="medium">
        <color indexed="53"/>
      </left>
      <right style="thin">
        <color indexed="53"/>
      </right>
      <top style="thin">
        <color indexed="53"/>
      </top>
      <bottom/>
      <diagonal/>
    </border>
    <border>
      <left/>
      <right/>
      <top style="thin">
        <color indexed="53"/>
      </top>
      <bottom/>
      <diagonal/>
    </border>
    <border>
      <left style="thin">
        <color indexed="53"/>
      </left>
      <right style="medium">
        <color indexed="53"/>
      </right>
      <top style="thin">
        <color indexed="53"/>
      </top>
      <bottom/>
      <diagonal/>
    </border>
    <border>
      <left style="medium">
        <color indexed="53"/>
      </left>
      <right/>
      <top style="medium">
        <color indexed="53"/>
      </top>
      <bottom style="medium">
        <color indexed="53"/>
      </bottom>
      <diagonal/>
    </border>
    <border>
      <left/>
      <right style="medium">
        <color indexed="53"/>
      </right>
      <top style="medium">
        <color indexed="53"/>
      </top>
      <bottom style="medium">
        <color indexed="53"/>
      </bottom>
      <diagonal/>
    </border>
    <border>
      <left style="medium">
        <color indexed="53"/>
      </left>
      <right style="thin">
        <color indexed="53"/>
      </right>
      <top style="thin">
        <color indexed="53"/>
      </top>
      <bottom style="medium">
        <color indexed="53"/>
      </bottom>
      <diagonal/>
    </border>
    <border>
      <left/>
      <right/>
      <top style="thin">
        <color indexed="53"/>
      </top>
      <bottom style="medium">
        <color indexed="53"/>
      </bottom>
      <diagonal/>
    </border>
    <border>
      <left style="thin">
        <color indexed="53"/>
      </left>
      <right style="medium">
        <color indexed="53"/>
      </right>
      <top style="thin">
        <color indexed="53"/>
      </top>
      <bottom style="medium">
        <color indexed="53"/>
      </bottom>
      <diagonal/>
    </border>
    <border>
      <left style="thin">
        <color indexed="53"/>
      </left>
      <right style="thin">
        <color indexed="53"/>
      </right>
      <top style="medium">
        <color indexed="53"/>
      </top>
      <bottom style="medium">
        <color indexed="53"/>
      </bottom>
      <diagonal/>
    </border>
    <border>
      <left style="medium">
        <color indexed="53"/>
      </left>
      <right style="thin">
        <color indexed="53"/>
      </right>
      <top style="medium">
        <color indexed="53"/>
      </top>
      <bottom style="thin">
        <color indexed="53"/>
      </bottom>
      <diagonal/>
    </border>
    <border>
      <left style="thin">
        <color indexed="53"/>
      </left>
      <right style="thin">
        <color indexed="53"/>
      </right>
      <top style="medium">
        <color indexed="53"/>
      </top>
      <bottom style="thin">
        <color indexed="53"/>
      </bottom>
      <diagonal/>
    </border>
    <border>
      <left style="thin">
        <color indexed="53"/>
      </left>
      <right style="medium">
        <color indexed="53"/>
      </right>
      <top style="medium">
        <color indexed="53"/>
      </top>
      <bottom style="thin">
        <color indexed="53"/>
      </bottom>
      <diagonal/>
    </border>
    <border>
      <left style="thin">
        <color indexed="53"/>
      </left>
      <right style="thin">
        <color indexed="53"/>
      </right>
      <top style="thin">
        <color indexed="53"/>
      </top>
      <bottom style="thin">
        <color indexed="53"/>
      </bottom>
      <diagonal/>
    </border>
    <border>
      <left style="thin">
        <color indexed="53"/>
      </left>
      <right style="thin">
        <color indexed="53"/>
      </right>
      <top style="thin">
        <color indexed="53"/>
      </top>
      <bottom style="medium">
        <color indexed="5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indexed="64"/>
      </bottom>
      <diagonal/>
    </border>
    <border>
      <left style="medium">
        <color indexed="64"/>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indexed="64"/>
      </right>
      <top style="medium">
        <color theme="0" tint="-0.14996795556505021"/>
      </top>
      <bottom style="medium">
        <color theme="0" tint="-0.1499679555650502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style="medium">
        <color indexed="53"/>
      </left>
      <right style="medium">
        <color indexed="53"/>
      </right>
      <top style="medium">
        <color indexed="53"/>
      </top>
      <bottom style="medium">
        <color indexed="53"/>
      </bottom>
      <diagonal/>
    </border>
    <border>
      <left/>
      <right style="thick">
        <color theme="9" tint="-0.24994659260841701"/>
      </right>
      <top/>
      <bottom/>
      <diagonal/>
    </border>
    <border>
      <left style="medium">
        <color indexed="53"/>
      </left>
      <right style="medium">
        <color indexed="53"/>
      </right>
      <top style="medium">
        <color indexed="53"/>
      </top>
      <bottom style="thin">
        <color indexed="53"/>
      </bottom>
      <diagonal/>
    </border>
    <border>
      <left style="medium">
        <color indexed="53"/>
      </left>
      <right style="medium">
        <color indexed="53"/>
      </right>
      <top style="thin">
        <color indexed="53"/>
      </top>
      <bottom style="medium">
        <color indexed="53"/>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8"/>
      </right>
      <top style="medium">
        <color indexed="64"/>
      </top>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top style="thick">
        <color rgb="FFFF0000"/>
      </top>
      <bottom/>
      <diagonal/>
    </border>
    <border>
      <left/>
      <right style="medium">
        <color rgb="FFFF0000"/>
      </right>
      <top style="thick">
        <color rgb="FFFF0000"/>
      </top>
      <bottom/>
      <diagonal/>
    </border>
    <border>
      <left/>
      <right/>
      <top style="thick">
        <color rgb="FFFF0000"/>
      </top>
      <bottom style="thin">
        <color rgb="FFFF0000"/>
      </bottom>
      <diagonal/>
    </border>
    <border>
      <left/>
      <right style="thick">
        <color rgb="FFFF0000"/>
      </right>
      <top style="thick">
        <color rgb="FFFF0000"/>
      </top>
      <bottom style="thin">
        <color rgb="FFFF0000"/>
      </bottom>
      <diagonal/>
    </border>
    <border>
      <left style="thick">
        <color rgb="FFFF0000"/>
      </left>
      <right/>
      <top style="thin">
        <color indexed="8"/>
      </top>
      <bottom style="thin">
        <color indexed="8"/>
      </bottom>
      <diagonal/>
    </border>
    <border>
      <left style="medium">
        <color indexed="8"/>
      </left>
      <right style="thick">
        <color rgb="FFFF0000"/>
      </right>
      <top style="thin">
        <color rgb="FFFF0000"/>
      </top>
      <bottom style="thin">
        <color rgb="FFFF0000"/>
      </bottom>
      <diagonal/>
    </border>
    <border>
      <left style="thick">
        <color rgb="FFFF0000"/>
      </left>
      <right/>
      <top/>
      <bottom style="thick">
        <color rgb="FFFF0000"/>
      </bottom>
      <diagonal/>
    </border>
    <border>
      <left/>
      <right/>
      <top/>
      <bottom style="thick">
        <color rgb="FFFF0000"/>
      </bottom>
      <diagonal/>
    </border>
    <border>
      <left style="medium">
        <color rgb="FFFF0000"/>
      </left>
      <right style="medium">
        <color rgb="FFFF0000"/>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style="medium">
        <color rgb="FFFF0000"/>
      </left>
      <right/>
      <top/>
      <bottom/>
      <diagonal/>
    </border>
    <border>
      <left/>
      <right style="medium">
        <color rgb="FFFF0000"/>
      </right>
      <top/>
      <bottom/>
      <diagonal/>
    </border>
    <border>
      <left/>
      <right style="medium">
        <color rgb="FFFF0000"/>
      </right>
      <top/>
      <bottom style="medium">
        <color rgb="FFFF000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thin">
        <color rgb="FFFF0000"/>
      </top>
      <bottom style="thin">
        <color rgb="FFFF0000"/>
      </bottom>
      <diagonal/>
    </border>
    <border>
      <left style="medium">
        <color rgb="FFFF0000"/>
      </left>
      <right/>
      <top style="thin">
        <color rgb="FFFF0000"/>
      </top>
      <bottom style="thin">
        <color rgb="FFFF0000"/>
      </bottom>
      <diagonal/>
    </border>
    <border>
      <left/>
      <right style="thick">
        <color rgb="FFFF0000"/>
      </right>
      <top style="thin">
        <color rgb="FFFF0000"/>
      </top>
      <bottom style="thin">
        <color rgb="FFFF0000"/>
      </bottom>
      <diagonal/>
    </border>
    <border>
      <left style="medium">
        <color rgb="FFFF0000"/>
      </left>
      <right style="medium">
        <color rgb="FFFF0000"/>
      </right>
      <top style="thick">
        <color rgb="FFFF0000"/>
      </top>
      <bottom style="thin">
        <color rgb="FFFF0000"/>
      </bottom>
      <diagonal/>
    </border>
    <border>
      <left/>
      <right/>
      <top style="medium">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thin">
        <color theme="4" tint="0.39997558519241921"/>
      </left>
      <right/>
      <top style="thin">
        <color theme="4" tint="0.39997558519241921"/>
      </top>
      <bottom style="medium">
        <color indexed="64"/>
      </bottom>
      <diagonal/>
    </border>
  </borders>
  <cellStyleXfs count="92">
    <xf numFmtId="0" fontId="0" fillId="0" borderId="0"/>
    <xf numFmtId="0" fontId="1" fillId="0" borderId="0"/>
    <xf numFmtId="0" fontId="21" fillId="0" borderId="0"/>
    <xf numFmtId="0" fontId="15" fillId="0" borderId="0"/>
    <xf numFmtId="164" fontId="26" fillId="0" borderId="0" applyFont="0" applyFill="0" applyBorder="0" applyAlignment="0" applyProtection="0"/>
    <xf numFmtId="0" fontId="48" fillId="0" borderId="0" applyNumberFormat="0" applyFill="0" applyBorder="0" applyAlignment="0" applyProtection="0"/>
    <xf numFmtId="0" fontId="50"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1" fillId="36"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43" borderId="0" applyNumberFormat="0" applyBorder="0" applyAlignment="0" applyProtection="0"/>
    <xf numFmtId="0" fontId="52" fillId="0" borderId="0" applyNumberFormat="0" applyFill="0" applyBorder="0" applyAlignment="0" applyProtection="0"/>
    <xf numFmtId="0" fontId="53" fillId="44" borderId="142" applyNumberFormat="0" applyAlignment="0" applyProtection="0"/>
    <xf numFmtId="0" fontId="54" fillId="0" borderId="143" applyNumberFormat="0" applyFill="0" applyAlignment="0" applyProtection="0"/>
    <xf numFmtId="0" fontId="55" fillId="31" borderId="142" applyNumberFormat="0" applyAlignment="0" applyProtection="0"/>
    <xf numFmtId="0" fontId="56" fillId="27" borderId="0" applyNumberFormat="0" applyBorder="0" applyAlignment="0" applyProtection="0"/>
    <xf numFmtId="0" fontId="57" fillId="0" borderId="0" applyNumberFormat="0" applyFill="0" applyBorder="0" applyAlignment="0" applyProtection="0">
      <alignment vertical="top"/>
      <protection locked="0"/>
    </xf>
    <xf numFmtId="0" fontId="58" fillId="45" borderId="0" applyNumberFormat="0" applyBorder="0" applyAlignment="0" applyProtection="0"/>
    <xf numFmtId="0" fontId="59" fillId="28" borderId="0" applyNumberFormat="0" applyBorder="0" applyAlignment="0" applyProtection="0"/>
    <xf numFmtId="0" fontId="60" fillId="44" borderId="144"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45" applyNumberFormat="0" applyFill="0" applyAlignment="0" applyProtection="0"/>
    <xf numFmtId="0" fontId="64" fillId="0" borderId="146" applyNumberFormat="0" applyFill="0" applyAlignment="0" applyProtection="0"/>
    <xf numFmtId="0" fontId="65" fillId="0" borderId="147" applyNumberFormat="0" applyFill="0" applyAlignment="0" applyProtection="0"/>
    <xf numFmtId="0" fontId="65" fillId="0" borderId="0" applyNumberFormat="0" applyFill="0" applyBorder="0" applyAlignment="0" applyProtection="0"/>
    <xf numFmtId="0" fontId="66" fillId="0" borderId="148" applyNumberFormat="0" applyFill="0" applyAlignment="0" applyProtection="0"/>
    <xf numFmtId="0" fontId="67" fillId="46" borderId="149" applyNumberFormat="0" applyAlignment="0" applyProtection="0"/>
    <xf numFmtId="0" fontId="26" fillId="0" borderId="0"/>
    <xf numFmtId="0" fontId="1"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1" fillId="36"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43" borderId="0" applyNumberFormat="0" applyBorder="0" applyAlignment="0" applyProtection="0"/>
    <xf numFmtId="0" fontId="52" fillId="0" borderId="0" applyNumberFormat="0" applyFill="0" applyBorder="0" applyAlignment="0" applyProtection="0"/>
    <xf numFmtId="0" fontId="53" fillId="44" borderId="142" applyNumberFormat="0" applyAlignment="0" applyProtection="0"/>
    <xf numFmtId="0" fontId="54" fillId="0" borderId="143" applyNumberFormat="0" applyFill="0" applyAlignment="0" applyProtection="0"/>
    <xf numFmtId="0" fontId="55" fillId="31" borderId="142" applyNumberFormat="0" applyAlignment="0" applyProtection="0"/>
    <xf numFmtId="0" fontId="56" fillId="27" borderId="0" applyNumberFormat="0" applyBorder="0" applyAlignment="0" applyProtection="0"/>
    <xf numFmtId="0" fontId="58" fillId="45" borderId="0" applyNumberFormat="0" applyBorder="0" applyAlignment="0" applyProtection="0"/>
    <xf numFmtId="0" fontId="59" fillId="28" borderId="0" applyNumberFormat="0" applyBorder="0" applyAlignment="0" applyProtection="0"/>
    <xf numFmtId="0" fontId="60" fillId="44" borderId="144"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45" applyNumberFormat="0" applyFill="0" applyAlignment="0" applyProtection="0"/>
    <xf numFmtId="0" fontId="64" fillId="0" borderId="146" applyNumberFormat="0" applyFill="0" applyAlignment="0" applyProtection="0"/>
    <xf numFmtId="0" fontId="65" fillId="0" borderId="147" applyNumberFormat="0" applyFill="0" applyAlignment="0" applyProtection="0"/>
    <xf numFmtId="0" fontId="65" fillId="0" borderId="0" applyNumberFormat="0" applyFill="0" applyBorder="0" applyAlignment="0" applyProtection="0"/>
    <xf numFmtId="0" fontId="66" fillId="0" borderId="148" applyNumberFormat="0" applyFill="0" applyAlignment="0" applyProtection="0"/>
    <xf numFmtId="0" fontId="67" fillId="46" borderId="149" applyNumberFormat="0" applyAlignment="0" applyProtection="0"/>
    <xf numFmtId="164" fontId="26" fillId="0" borderId="0" applyFont="0" applyFill="0" applyBorder="0" applyAlignment="0" applyProtection="0"/>
    <xf numFmtId="0" fontId="1" fillId="0" borderId="0"/>
  </cellStyleXfs>
  <cellXfs count="584">
    <xf numFmtId="0" fontId="0" fillId="0" borderId="0" xfId="0"/>
    <xf numFmtId="49" fontId="1" fillId="0" borderId="0" xfId="1" applyNumberFormat="1"/>
    <xf numFmtId="49" fontId="4" fillId="0" borderId="0" xfId="1" applyNumberFormat="1" applyFont="1"/>
    <xf numFmtId="49" fontId="5" fillId="0" borderId="0" xfId="1" applyNumberFormat="1" applyFont="1"/>
    <xf numFmtId="49" fontId="10" fillId="0" borderId="0" xfId="1" applyNumberFormat="1" applyFont="1" applyAlignment="1">
      <alignment horizontal="right"/>
    </xf>
    <xf numFmtId="49" fontId="10" fillId="0" borderId="0" xfId="1" applyNumberFormat="1" applyFont="1" applyAlignment="1">
      <alignment horizontal="center"/>
    </xf>
    <xf numFmtId="49" fontId="8" fillId="0" borderId="0" xfId="1" applyNumberFormat="1" applyFont="1"/>
    <xf numFmtId="0" fontId="1" fillId="0" borderId="0" xfId="1"/>
    <xf numFmtId="0" fontId="4" fillId="0" borderId="0" xfId="1" applyFont="1"/>
    <xf numFmtId="0" fontId="1" fillId="0" borderId="0" xfId="1" applyAlignment="1">
      <alignment horizontal="center"/>
    </xf>
    <xf numFmtId="0" fontId="4" fillId="0" borderId="4" xfId="1" applyFont="1" applyBorder="1" applyAlignment="1">
      <alignment horizontal="center"/>
    </xf>
    <xf numFmtId="0" fontId="4" fillId="0" borderId="0" xfId="1" applyFont="1" applyProtection="1">
      <protection locked="0"/>
    </xf>
    <xf numFmtId="0" fontId="23" fillId="0" borderId="0" xfId="1" applyFont="1"/>
    <xf numFmtId="0" fontId="11" fillId="5" borderId="16" xfId="1" applyFont="1" applyFill="1" applyBorder="1" applyAlignment="1">
      <alignment horizontal="center"/>
    </xf>
    <xf numFmtId="49" fontId="20" fillId="0" borderId="0" xfId="1" applyNumberFormat="1" applyFont="1"/>
    <xf numFmtId="14" fontId="23" fillId="0" borderId="0" xfId="1" applyNumberFormat="1" applyFont="1" applyAlignment="1">
      <alignment horizontal="center"/>
    </xf>
    <xf numFmtId="0" fontId="4" fillId="7" borderId="0" xfId="1" applyFont="1" applyFill="1" applyAlignment="1">
      <alignment horizontal="center"/>
    </xf>
    <xf numFmtId="0" fontId="4" fillId="7" borderId="0" xfId="1" applyFont="1" applyFill="1" applyAlignment="1" applyProtection="1">
      <alignment horizontal="center"/>
      <protection locked="0"/>
    </xf>
    <xf numFmtId="0" fontId="1" fillId="7" borderId="0" xfId="1" applyFill="1" applyAlignment="1">
      <alignment horizontal="center"/>
    </xf>
    <xf numFmtId="0" fontId="4" fillId="7" borderId="4" xfId="1" applyFont="1" applyFill="1" applyBorder="1" applyAlignment="1">
      <alignment horizontal="center"/>
    </xf>
    <xf numFmtId="0" fontId="1" fillId="7" borderId="0" xfId="1" applyFill="1" applyAlignment="1">
      <alignment horizontal="center" vertical="center"/>
    </xf>
    <xf numFmtId="0" fontId="16" fillId="7" borderId="0" xfId="3" applyFont="1" applyFill="1" applyAlignment="1">
      <alignment horizontal="center" vertical="center"/>
    </xf>
    <xf numFmtId="0" fontId="3" fillId="4" borderId="0" xfId="1" applyFont="1" applyFill="1" applyAlignment="1">
      <alignment horizontal="centerContinuous"/>
    </xf>
    <xf numFmtId="0" fontId="1" fillId="6" borderId="17" xfId="1" applyFill="1" applyBorder="1"/>
    <xf numFmtId="0" fontId="4" fillId="3" borderId="0" xfId="1" applyFont="1" applyFill="1" applyAlignment="1">
      <alignment horizontal="center"/>
    </xf>
    <xf numFmtId="0" fontId="4" fillId="3" borderId="14" xfId="1" applyFont="1" applyFill="1" applyBorder="1" applyAlignment="1">
      <alignment horizontal="center"/>
    </xf>
    <xf numFmtId="0" fontId="4" fillId="3" borderId="18" xfId="1" applyFont="1" applyFill="1" applyBorder="1" applyAlignment="1">
      <alignment horizontal="center"/>
    </xf>
    <xf numFmtId="0" fontId="1" fillId="3" borderId="19" xfId="1" applyFill="1" applyBorder="1" applyAlignment="1">
      <alignment horizontal="center"/>
    </xf>
    <xf numFmtId="0" fontId="0" fillId="0" borderId="0" xfId="0" applyAlignment="1">
      <alignment horizontal="center"/>
    </xf>
    <xf numFmtId="0" fontId="25" fillId="0" borderId="0" xfId="1" applyFont="1" applyAlignment="1">
      <alignment horizontal="center"/>
    </xf>
    <xf numFmtId="49" fontId="4" fillId="9" borderId="2" xfId="1" applyNumberFormat="1" applyFont="1" applyFill="1" applyBorder="1"/>
    <xf numFmtId="49" fontId="8" fillId="9" borderId="6" xfId="1" applyNumberFormat="1" applyFont="1" applyFill="1" applyBorder="1"/>
    <xf numFmtId="49" fontId="24" fillId="9" borderId="7" xfId="1" applyNumberFormat="1" applyFont="1" applyFill="1" applyBorder="1"/>
    <xf numFmtId="49" fontId="4" fillId="9" borderId="8" xfId="1" applyNumberFormat="1" applyFont="1" applyFill="1" applyBorder="1"/>
    <xf numFmtId="49" fontId="24" fillId="9" borderId="2" xfId="1" applyNumberFormat="1" applyFont="1" applyFill="1" applyBorder="1"/>
    <xf numFmtId="49" fontId="4" fillId="9" borderId="3" xfId="1" applyNumberFormat="1" applyFont="1" applyFill="1" applyBorder="1"/>
    <xf numFmtId="49" fontId="8" fillId="9" borderId="9" xfId="1" applyNumberFormat="1" applyFont="1" applyFill="1" applyBorder="1"/>
    <xf numFmtId="49" fontId="24" fillId="9" borderId="10" xfId="1" applyNumberFormat="1" applyFont="1" applyFill="1" applyBorder="1"/>
    <xf numFmtId="49" fontId="4" fillId="9" borderId="11" xfId="1" applyNumberFormat="1" applyFont="1" applyFill="1" applyBorder="1"/>
    <xf numFmtId="0" fontId="4" fillId="10" borderId="25" xfId="1" applyFont="1" applyFill="1" applyBorder="1" applyAlignment="1">
      <alignment horizontal="center"/>
    </xf>
    <xf numFmtId="0" fontId="4" fillId="10" borderId="6" xfId="1" applyFont="1" applyFill="1" applyBorder="1"/>
    <xf numFmtId="0" fontId="4" fillId="10" borderId="20" xfId="1" applyFont="1" applyFill="1" applyBorder="1" applyAlignment="1">
      <alignment horizontal="center"/>
    </xf>
    <xf numFmtId="0" fontId="4" fillId="10" borderId="22" xfId="1" applyFont="1" applyFill="1" applyBorder="1" applyAlignment="1">
      <alignment horizontal="center"/>
    </xf>
    <xf numFmtId="0" fontId="4" fillId="10" borderId="9" xfId="1" applyFont="1" applyFill="1" applyBorder="1"/>
    <xf numFmtId="166" fontId="28" fillId="10" borderId="28" xfId="1" applyNumberFormat="1" applyFont="1" applyFill="1" applyBorder="1"/>
    <xf numFmtId="49" fontId="27" fillId="0" borderId="0" xfId="1" applyNumberFormat="1" applyFont="1"/>
    <xf numFmtId="164" fontId="4" fillId="10" borderId="8" xfId="4" applyFont="1" applyFill="1" applyBorder="1" applyAlignment="1">
      <alignment horizontal="center"/>
    </xf>
    <xf numFmtId="164" fontId="4" fillId="10" borderId="3" xfId="4" applyFont="1" applyFill="1" applyBorder="1" applyAlignment="1">
      <alignment horizontal="center"/>
    </xf>
    <xf numFmtId="164" fontId="4" fillId="10" borderId="12" xfId="4" applyFont="1" applyFill="1" applyBorder="1" applyAlignment="1">
      <alignment horizontal="center"/>
    </xf>
    <xf numFmtId="164" fontId="4" fillId="10" borderId="8" xfId="1" applyNumberFormat="1" applyFont="1" applyFill="1" applyBorder="1" applyAlignment="1">
      <alignment horizontal="center"/>
    </xf>
    <xf numFmtId="164" fontId="4" fillId="10" borderId="3" xfId="1" applyNumberFormat="1" applyFont="1" applyFill="1" applyBorder="1" applyAlignment="1">
      <alignment horizontal="center"/>
    </xf>
    <xf numFmtId="164" fontId="4" fillId="10" borderId="5" xfId="1" applyNumberFormat="1" applyFont="1" applyFill="1" applyBorder="1" applyAlignment="1">
      <alignment horizontal="center"/>
    </xf>
    <xf numFmtId="49" fontId="4" fillId="9" borderId="34" xfId="1" applyNumberFormat="1" applyFont="1" applyFill="1" applyBorder="1"/>
    <xf numFmtId="49" fontId="4" fillId="9" borderId="35" xfId="1" applyNumberFormat="1" applyFont="1" applyFill="1" applyBorder="1"/>
    <xf numFmtId="0" fontId="31" fillId="0" borderId="0" xfId="1" applyFont="1"/>
    <xf numFmtId="0" fontId="27" fillId="0" borderId="0" xfId="1" applyFont="1"/>
    <xf numFmtId="49" fontId="32" fillId="0" borderId="0" xfId="1" applyNumberFormat="1" applyFont="1"/>
    <xf numFmtId="49" fontId="4" fillId="12" borderId="41" xfId="1" applyNumberFormat="1" applyFont="1" applyFill="1" applyBorder="1" applyAlignment="1">
      <alignment horizontal="center"/>
    </xf>
    <xf numFmtId="0" fontId="27" fillId="0" borderId="0" xfId="1" applyFont="1" applyAlignment="1">
      <alignment horizontal="center" vertical="center"/>
    </xf>
    <xf numFmtId="0" fontId="4" fillId="0" borderId="0" xfId="1" applyFont="1" applyAlignment="1" applyProtection="1">
      <alignment horizontal="center"/>
      <protection locked="0"/>
    </xf>
    <xf numFmtId="0" fontId="4" fillId="0" borderId="58" xfId="1" applyFont="1" applyBorder="1" applyAlignment="1" applyProtection="1">
      <alignment horizontal="center"/>
      <protection locked="0"/>
    </xf>
    <xf numFmtId="0" fontId="4" fillId="15" borderId="58" xfId="1" applyFont="1" applyFill="1" applyBorder="1" applyProtection="1">
      <protection locked="0"/>
    </xf>
    <xf numFmtId="0" fontId="4" fillId="0" borderId="43" xfId="1" applyFont="1" applyBorder="1" applyAlignment="1" applyProtection="1">
      <alignment horizontal="center"/>
      <protection locked="0"/>
    </xf>
    <xf numFmtId="0" fontId="4" fillId="15" borderId="43" xfId="1" applyFont="1" applyFill="1" applyBorder="1" applyProtection="1">
      <protection locked="0"/>
    </xf>
    <xf numFmtId="0" fontId="33" fillId="14" borderId="54" xfId="1" applyFont="1" applyFill="1" applyBorder="1" applyAlignment="1" applyProtection="1">
      <alignment horizontal="center"/>
      <protection locked="0"/>
    </xf>
    <xf numFmtId="0" fontId="33" fillId="14" borderId="55" xfId="1" applyFont="1" applyFill="1" applyBorder="1" applyAlignment="1" applyProtection="1">
      <alignment horizontal="center"/>
      <protection locked="0"/>
    </xf>
    <xf numFmtId="0" fontId="33" fillId="14" borderId="55" xfId="1" applyFont="1" applyFill="1" applyBorder="1" applyAlignment="1">
      <alignment horizontal="center"/>
    </xf>
    <xf numFmtId="0" fontId="33" fillId="14" borderId="55" xfId="1" applyFont="1" applyFill="1" applyBorder="1" applyProtection="1">
      <protection locked="0"/>
    </xf>
    <xf numFmtId="0" fontId="33" fillId="14" borderId="57" xfId="1" applyFont="1" applyFill="1" applyBorder="1" applyProtection="1">
      <protection locked="0"/>
    </xf>
    <xf numFmtId="0" fontId="4" fillId="0" borderId="62" xfId="1" applyFont="1" applyBorder="1" applyAlignment="1" applyProtection="1">
      <alignment horizontal="center"/>
      <protection locked="0"/>
    </xf>
    <xf numFmtId="0" fontId="4" fillId="0" borderId="63" xfId="1" applyFont="1" applyBorder="1" applyAlignment="1" applyProtection="1">
      <alignment horizontal="center"/>
      <protection locked="0"/>
    </xf>
    <xf numFmtId="0" fontId="38" fillId="17" borderId="63" xfId="1" applyFont="1" applyFill="1" applyBorder="1" applyAlignment="1">
      <alignment horizontal="center"/>
    </xf>
    <xf numFmtId="0" fontId="36" fillId="17" borderId="63" xfId="1" applyFont="1" applyFill="1" applyBorder="1" applyProtection="1">
      <protection locked="0"/>
    </xf>
    <xf numFmtId="0" fontId="4" fillId="15" borderId="41" xfId="1" applyFont="1" applyFill="1" applyBorder="1" applyProtection="1">
      <protection locked="0"/>
    </xf>
    <xf numFmtId="0" fontId="4" fillId="0" borderId="64" xfId="1" applyFont="1" applyBorder="1" applyAlignment="1" applyProtection="1">
      <alignment horizontal="center"/>
      <protection locked="0"/>
    </xf>
    <xf numFmtId="0" fontId="33" fillId="0" borderId="58" xfId="1" applyFont="1" applyBorder="1" applyAlignment="1">
      <alignment horizontal="center"/>
    </xf>
    <xf numFmtId="0" fontId="4" fillId="18" borderId="58" xfId="1" applyFont="1" applyFill="1" applyBorder="1" applyProtection="1">
      <protection locked="0"/>
    </xf>
    <xf numFmtId="0" fontId="4" fillId="15" borderId="65" xfId="1" applyFont="1" applyFill="1" applyBorder="1" applyProtection="1">
      <protection locked="0"/>
    </xf>
    <xf numFmtId="0" fontId="4" fillId="0" borderId="47" xfId="1" applyFont="1" applyBorder="1" applyAlignment="1" applyProtection="1">
      <alignment horizontal="center"/>
      <protection locked="0"/>
    </xf>
    <xf numFmtId="0" fontId="33" fillId="0" borderId="43" xfId="1" applyFont="1" applyBorder="1" applyAlignment="1">
      <alignment horizontal="center"/>
    </xf>
    <xf numFmtId="0" fontId="4" fillId="18" borderId="43" xfId="1" applyFont="1" applyFill="1" applyBorder="1" applyProtection="1">
      <protection locked="0"/>
    </xf>
    <xf numFmtId="0" fontId="4" fillId="15" borderId="48" xfId="1" applyFont="1" applyFill="1" applyBorder="1" applyProtection="1">
      <protection locked="0"/>
    </xf>
    <xf numFmtId="0" fontId="4" fillId="0" borderId="54" xfId="1" applyFont="1" applyBorder="1" applyAlignment="1" applyProtection="1">
      <alignment horizontal="center"/>
      <protection locked="0"/>
    </xf>
    <xf numFmtId="0" fontId="4" fillId="0" borderId="55" xfId="1" applyFont="1" applyBorder="1" applyAlignment="1" applyProtection="1">
      <alignment horizontal="center"/>
      <protection locked="0"/>
    </xf>
    <xf numFmtId="0" fontId="4" fillId="15" borderId="55" xfId="1" applyFont="1" applyFill="1" applyBorder="1" applyProtection="1">
      <protection locked="0"/>
    </xf>
    <xf numFmtId="0" fontId="4" fillId="15" borderId="57" xfId="1" applyFont="1" applyFill="1" applyBorder="1" applyProtection="1">
      <protection locked="0"/>
    </xf>
    <xf numFmtId="0" fontId="33" fillId="0" borderId="55" xfId="1" applyFont="1" applyBorder="1" applyAlignment="1">
      <alignment horizontal="center"/>
    </xf>
    <xf numFmtId="0" fontId="36" fillId="17" borderId="67" xfId="1" applyFont="1" applyFill="1" applyBorder="1" applyAlignment="1" applyProtection="1">
      <alignment horizontal="center"/>
      <protection locked="0"/>
    </xf>
    <xf numFmtId="49" fontId="4" fillId="0" borderId="0" xfId="1" applyNumberFormat="1" applyFont="1" applyAlignment="1" applyProtection="1">
      <alignment horizontal="center"/>
      <protection locked="0"/>
    </xf>
    <xf numFmtId="49" fontId="9" fillId="0" borderId="0" xfId="1" applyNumberFormat="1" applyFont="1" applyAlignment="1" applyProtection="1">
      <alignment horizontal="center"/>
      <protection locked="0"/>
    </xf>
    <xf numFmtId="0" fontId="4" fillId="0" borderId="0" xfId="1" applyFont="1" applyAlignment="1">
      <alignment horizontal="center"/>
    </xf>
    <xf numFmtId="0" fontId="33" fillId="0" borderId="0" xfId="1" applyFont="1"/>
    <xf numFmtId="0" fontId="33" fillId="14" borderId="47" xfId="1" applyFont="1" applyFill="1" applyBorder="1" applyAlignment="1">
      <alignment horizontal="center"/>
    </xf>
    <xf numFmtId="0" fontId="33" fillId="14" borderId="43" xfId="1" applyFont="1" applyFill="1" applyBorder="1" applyAlignment="1">
      <alignment horizontal="center"/>
    </xf>
    <xf numFmtId="0" fontId="33" fillId="14" borderId="43" xfId="1" applyFont="1" applyFill="1" applyBorder="1"/>
    <xf numFmtId="0" fontId="33" fillId="14" borderId="48" xfId="1" applyFont="1" applyFill="1" applyBorder="1" applyProtection="1">
      <protection locked="0"/>
    </xf>
    <xf numFmtId="0" fontId="4" fillId="0" borderId="43" xfId="1" applyFont="1" applyBorder="1" applyAlignment="1">
      <alignment horizontal="center"/>
    </xf>
    <xf numFmtId="0" fontId="4" fillId="16" borderId="43" xfId="1" applyFont="1" applyFill="1" applyBorder="1" applyAlignment="1">
      <alignment horizontal="center"/>
    </xf>
    <xf numFmtId="0" fontId="9" fillId="16" borderId="43" xfId="1" applyFont="1" applyFill="1" applyBorder="1" applyAlignment="1">
      <alignment horizontal="center"/>
    </xf>
    <xf numFmtId="0" fontId="9" fillId="16" borderId="53" xfId="1" applyFont="1" applyFill="1" applyBorder="1" applyAlignment="1">
      <alignment horizontal="center"/>
    </xf>
    <xf numFmtId="0" fontId="4" fillId="15" borderId="48" xfId="1" applyFont="1" applyFill="1" applyBorder="1"/>
    <xf numFmtId="0" fontId="4" fillId="0" borderId="0" xfId="1" applyFont="1" applyAlignment="1">
      <alignment horizontal="center" vertical="center"/>
    </xf>
    <xf numFmtId="0" fontId="4" fillId="0" borderId="55" xfId="1" applyFont="1" applyBorder="1" applyAlignment="1">
      <alignment horizontal="center"/>
    </xf>
    <xf numFmtId="0" fontId="4" fillId="16" borderId="55" xfId="1" applyFont="1" applyFill="1" applyBorder="1" applyAlignment="1">
      <alignment horizontal="center"/>
    </xf>
    <xf numFmtId="0" fontId="9" fillId="16" borderId="55" xfId="1" applyFont="1" applyFill="1" applyBorder="1" applyAlignment="1">
      <alignment horizontal="center"/>
    </xf>
    <xf numFmtId="0" fontId="9" fillId="16" borderId="56" xfId="1" applyFont="1" applyFill="1" applyBorder="1" applyAlignment="1">
      <alignment horizontal="center"/>
    </xf>
    <xf numFmtId="0" fontId="4" fillId="15" borderId="57" xfId="1" applyFont="1" applyFill="1" applyBorder="1"/>
    <xf numFmtId="0" fontId="33" fillId="14" borderId="50" xfId="1" applyFont="1" applyFill="1" applyBorder="1" applyAlignment="1">
      <alignment horizontal="center"/>
    </xf>
    <xf numFmtId="0" fontId="9" fillId="0" borderId="0" xfId="1" applyFont="1" applyAlignment="1">
      <alignment horizontal="center"/>
    </xf>
    <xf numFmtId="0" fontId="33" fillId="14" borderId="66" xfId="1" applyFont="1" applyFill="1" applyBorder="1" applyAlignment="1">
      <alignment horizontal="center"/>
    </xf>
    <xf numFmtId="0" fontId="33" fillId="14" borderId="67" xfId="1" applyFont="1" applyFill="1" applyBorder="1" applyAlignment="1">
      <alignment horizontal="center"/>
    </xf>
    <xf numFmtId="0" fontId="33" fillId="14" borderId="68" xfId="1" applyFont="1" applyFill="1" applyBorder="1" applyAlignment="1">
      <alignment horizontal="center"/>
    </xf>
    <xf numFmtId="0" fontId="30" fillId="20" borderId="58" xfId="1" applyFont="1" applyFill="1" applyBorder="1" applyAlignment="1" applyProtection="1">
      <alignment horizontal="center"/>
      <protection locked="0"/>
    </xf>
    <xf numFmtId="0" fontId="4" fillId="20" borderId="43" xfId="1" applyFont="1" applyFill="1" applyBorder="1" applyAlignment="1" applyProtection="1">
      <alignment horizontal="center"/>
      <protection locked="0"/>
    </xf>
    <xf numFmtId="0" fontId="30" fillId="20" borderId="43" xfId="1" applyFont="1" applyFill="1" applyBorder="1" applyAlignment="1" applyProtection="1">
      <alignment horizontal="center"/>
      <protection locked="0"/>
    </xf>
    <xf numFmtId="0" fontId="4" fillId="20" borderId="55" xfId="1" applyFont="1" applyFill="1" applyBorder="1" applyAlignment="1" applyProtection="1">
      <alignment horizontal="center"/>
      <protection locked="0"/>
    </xf>
    <xf numFmtId="0" fontId="30" fillId="20" borderId="55" xfId="1" applyFont="1" applyFill="1" applyBorder="1" applyAlignment="1" applyProtection="1">
      <alignment horizontal="center"/>
      <protection locked="0"/>
    </xf>
    <xf numFmtId="0" fontId="27" fillId="21" borderId="76" xfId="0" applyFont="1" applyFill="1" applyBorder="1" applyAlignment="1">
      <alignment horizontal="center" vertical="center"/>
    </xf>
    <xf numFmtId="0" fontId="27" fillId="21" borderId="77" xfId="0" applyFont="1" applyFill="1" applyBorder="1" applyAlignment="1">
      <alignment horizontal="center" vertical="center"/>
    </xf>
    <xf numFmtId="0" fontId="27" fillId="21" borderId="78" xfId="0" applyFont="1" applyFill="1" applyBorder="1" applyAlignment="1">
      <alignment horizontal="center" vertical="center"/>
    </xf>
    <xf numFmtId="0" fontId="1" fillId="21" borderId="79" xfId="0" applyFont="1" applyFill="1" applyBorder="1" applyAlignment="1">
      <alignment vertical="center"/>
    </xf>
    <xf numFmtId="0" fontId="1" fillId="21" borderId="80" xfId="0" applyFont="1" applyFill="1" applyBorder="1" applyAlignment="1">
      <alignment horizontal="center" vertical="center"/>
    </xf>
    <xf numFmtId="0" fontId="1" fillId="0" borderId="81" xfId="0" applyFont="1" applyBorder="1" applyAlignment="1" applyProtection="1">
      <alignment horizontal="center" vertical="center"/>
      <protection locked="0"/>
    </xf>
    <xf numFmtId="0" fontId="1" fillId="21" borderId="82" xfId="0" applyFont="1" applyFill="1" applyBorder="1" applyAlignment="1">
      <alignment vertical="center"/>
    </xf>
    <xf numFmtId="0" fontId="1" fillId="21" borderId="83" xfId="0" applyFont="1" applyFill="1" applyBorder="1" applyAlignment="1">
      <alignment horizontal="center" vertical="center"/>
    </xf>
    <xf numFmtId="0" fontId="1" fillId="0" borderId="84" xfId="0" applyFont="1" applyBorder="1" applyAlignment="1" applyProtection="1">
      <alignment horizontal="center" vertical="center"/>
      <protection locked="0"/>
    </xf>
    <xf numFmtId="0" fontId="1" fillId="21" borderId="76" xfId="0" applyFont="1" applyFill="1" applyBorder="1" applyAlignment="1">
      <alignment vertical="center"/>
    </xf>
    <xf numFmtId="0" fontId="1" fillId="21" borderId="77" xfId="0" applyFont="1" applyFill="1" applyBorder="1" applyAlignment="1">
      <alignment horizontal="center" vertical="center"/>
    </xf>
    <xf numFmtId="0" fontId="1" fillId="0" borderId="78" xfId="0" applyFont="1" applyBorder="1" applyAlignment="1" applyProtection="1">
      <alignment horizontal="center" vertical="center"/>
      <protection locked="0"/>
    </xf>
    <xf numFmtId="0" fontId="1" fillId="21" borderId="87" xfId="0" applyFont="1" applyFill="1" applyBorder="1" applyAlignment="1">
      <alignment vertical="center"/>
    </xf>
    <xf numFmtId="0" fontId="1" fillId="21" borderId="88" xfId="0" applyFont="1" applyFill="1" applyBorder="1" applyAlignment="1">
      <alignment horizontal="center" vertical="center"/>
    </xf>
    <xf numFmtId="0" fontId="1" fillId="0" borderId="89" xfId="0" applyFont="1" applyBorder="1" applyAlignment="1" applyProtection="1">
      <alignment horizontal="center" vertical="center"/>
      <protection locked="0"/>
    </xf>
    <xf numFmtId="0" fontId="1" fillId="21" borderId="73" xfId="0" applyFont="1" applyFill="1" applyBorder="1" applyAlignment="1">
      <alignment vertical="center"/>
    </xf>
    <xf numFmtId="0" fontId="1" fillId="21" borderId="74" xfId="0" applyFont="1" applyFill="1" applyBorder="1" applyAlignment="1">
      <alignment horizontal="center" vertical="center"/>
    </xf>
    <xf numFmtId="0" fontId="1" fillId="0" borderId="75" xfId="0" applyFont="1" applyBorder="1" applyAlignment="1" applyProtection="1">
      <alignment horizontal="center" vertical="center"/>
      <protection locked="0"/>
    </xf>
    <xf numFmtId="0" fontId="27" fillId="21" borderId="73" xfId="0" applyFont="1" applyFill="1" applyBorder="1" applyAlignment="1">
      <alignment horizontal="center" vertical="center"/>
    </xf>
    <xf numFmtId="0" fontId="27" fillId="21" borderId="90" xfId="0" applyFont="1" applyFill="1" applyBorder="1" applyAlignment="1">
      <alignment horizontal="center" vertical="center"/>
    </xf>
    <xf numFmtId="0" fontId="27" fillId="21" borderId="75" xfId="0" applyFont="1" applyFill="1" applyBorder="1" applyAlignment="1">
      <alignment horizontal="center" vertical="center"/>
    </xf>
    <xf numFmtId="0" fontId="1" fillId="21" borderId="91" xfId="0" applyFont="1" applyFill="1" applyBorder="1" applyAlignment="1">
      <alignment vertical="center"/>
    </xf>
    <xf numFmtId="0" fontId="1" fillId="21" borderId="92" xfId="0" applyFont="1" applyFill="1" applyBorder="1" applyAlignment="1">
      <alignment horizontal="center" vertical="center"/>
    </xf>
    <xf numFmtId="0" fontId="1" fillId="0" borderId="93" xfId="0" applyFont="1" applyBorder="1" applyAlignment="1" applyProtection="1">
      <alignment horizontal="center" vertical="center"/>
      <protection locked="0"/>
    </xf>
    <xf numFmtId="0" fontId="1" fillId="21" borderId="94" xfId="0" applyFont="1" applyFill="1" applyBorder="1" applyAlignment="1">
      <alignment horizontal="center" vertical="center"/>
    </xf>
    <xf numFmtId="0" fontId="1" fillId="21" borderId="95" xfId="0" applyFont="1" applyFill="1" applyBorder="1" applyAlignment="1">
      <alignment horizontal="center" vertical="center"/>
    </xf>
    <xf numFmtId="0" fontId="39" fillId="22" borderId="0" xfId="0" applyFont="1" applyFill="1" applyAlignment="1">
      <alignment vertical="center"/>
    </xf>
    <xf numFmtId="0" fontId="1" fillId="21" borderId="107" xfId="0" applyFont="1" applyFill="1" applyBorder="1" applyAlignment="1">
      <alignment horizontal="center" vertical="center"/>
    </xf>
    <xf numFmtId="0" fontId="1" fillId="21" borderId="109" xfId="0" applyFont="1" applyFill="1" applyBorder="1" applyAlignment="1">
      <alignment vertical="center"/>
    </xf>
    <xf numFmtId="0" fontId="1" fillId="0" borderId="109" xfId="0" applyFont="1" applyBorder="1" applyAlignment="1" applyProtection="1">
      <alignment horizontal="center" vertical="center"/>
      <protection locked="0"/>
    </xf>
    <xf numFmtId="0" fontId="1" fillId="21" borderId="110" xfId="0" applyFont="1" applyFill="1" applyBorder="1" applyAlignment="1">
      <alignment vertical="center"/>
    </xf>
    <xf numFmtId="0" fontId="1" fillId="0" borderId="110" xfId="0" applyFont="1" applyBorder="1" applyAlignment="1" applyProtection="1">
      <alignment horizontal="center" vertical="center"/>
      <protection locked="0"/>
    </xf>
    <xf numFmtId="0" fontId="40" fillId="22" borderId="105" xfId="0" applyFont="1" applyFill="1" applyBorder="1" applyAlignment="1">
      <alignment vertical="center"/>
    </xf>
    <xf numFmtId="0" fontId="1" fillId="22" borderId="0" xfId="0" applyFont="1" applyFill="1" applyAlignment="1">
      <alignment vertical="center"/>
    </xf>
    <xf numFmtId="0" fontId="40" fillId="22" borderId="108" xfId="0" applyFont="1" applyFill="1" applyBorder="1" applyAlignment="1">
      <alignment vertical="center"/>
    </xf>
    <xf numFmtId="0" fontId="27" fillId="22" borderId="108" xfId="0" applyFont="1" applyFill="1" applyBorder="1" applyAlignment="1">
      <alignment horizontal="center" vertical="center"/>
    </xf>
    <xf numFmtId="0" fontId="1" fillId="22" borderId="108" xfId="0" applyFont="1" applyFill="1" applyBorder="1" applyAlignment="1">
      <alignment vertical="center"/>
    </xf>
    <xf numFmtId="0" fontId="1" fillId="22" borderId="108" xfId="0" applyFont="1" applyFill="1" applyBorder="1" applyAlignment="1">
      <alignment horizontal="center" vertical="center"/>
    </xf>
    <xf numFmtId="0" fontId="1" fillId="22" borderId="108" xfId="0" applyFont="1" applyFill="1" applyBorder="1" applyAlignment="1" applyProtection="1">
      <alignment vertical="center"/>
      <protection locked="0"/>
    </xf>
    <xf numFmtId="0" fontId="41" fillId="22" borderId="108" xfId="0" applyFont="1" applyFill="1" applyBorder="1" applyAlignment="1">
      <alignment vertical="center"/>
    </xf>
    <xf numFmtId="0" fontId="41" fillId="22" borderId="113" xfId="0" applyFont="1" applyFill="1" applyBorder="1" applyAlignment="1">
      <alignment vertical="center"/>
    </xf>
    <xf numFmtId="0" fontId="1" fillId="22" borderId="106" xfId="0" applyFont="1" applyFill="1" applyBorder="1" applyAlignment="1">
      <alignment vertical="center"/>
    </xf>
    <xf numFmtId="0" fontId="1" fillId="22" borderId="111" xfId="0" applyFont="1" applyFill="1" applyBorder="1" applyAlignment="1">
      <alignment vertical="center"/>
    </xf>
    <xf numFmtId="0" fontId="39" fillId="22" borderId="112" xfId="0" applyFont="1" applyFill="1" applyBorder="1" applyAlignment="1">
      <alignment vertical="center"/>
    </xf>
    <xf numFmtId="0" fontId="39" fillId="22" borderId="103" xfId="0" applyFont="1" applyFill="1" applyBorder="1" applyAlignment="1">
      <alignment vertical="center"/>
    </xf>
    <xf numFmtId="0" fontId="39" fillId="22" borderId="106" xfId="0" applyFont="1" applyFill="1" applyBorder="1" applyAlignment="1">
      <alignment vertical="center"/>
    </xf>
    <xf numFmtId="0" fontId="1" fillId="22" borderId="104" xfId="0" applyFont="1" applyFill="1" applyBorder="1" applyAlignment="1" applyProtection="1">
      <alignment vertical="center"/>
      <protection locked="0"/>
    </xf>
    <xf numFmtId="0" fontId="39" fillId="22" borderId="104" xfId="0" applyFont="1" applyFill="1" applyBorder="1" applyAlignment="1">
      <alignment vertical="center"/>
    </xf>
    <xf numFmtId="0" fontId="1" fillId="22" borderId="104" xfId="0" applyFont="1" applyFill="1" applyBorder="1" applyAlignment="1">
      <alignment vertical="center"/>
    </xf>
    <xf numFmtId="0" fontId="1" fillId="22" borderId="0" xfId="1" applyFill="1"/>
    <xf numFmtId="0" fontId="27" fillId="22" borderId="0" xfId="0" applyFont="1" applyFill="1" applyAlignment="1">
      <alignment horizontal="center" vertical="center"/>
    </xf>
    <xf numFmtId="0" fontId="1" fillId="22" borderId="0" xfId="0" applyFont="1" applyFill="1" applyAlignment="1">
      <alignment horizontal="center" vertical="center"/>
    </xf>
    <xf numFmtId="0" fontId="1" fillId="22" borderId="112" xfId="0" applyFont="1" applyFill="1" applyBorder="1" applyAlignment="1">
      <alignment vertical="center"/>
    </xf>
    <xf numFmtId="0" fontId="42" fillId="0" borderId="0" xfId="1" applyFont="1"/>
    <xf numFmtId="0" fontId="33" fillId="14" borderId="51" xfId="1" applyFont="1" applyFill="1" applyBorder="1" applyAlignment="1" applyProtection="1">
      <alignment horizontal="center"/>
      <protection locked="0"/>
    </xf>
    <xf numFmtId="0" fontId="45" fillId="0" borderId="0" xfId="1" applyFont="1" applyAlignment="1">
      <alignment horizontal="center" vertical="center"/>
    </xf>
    <xf numFmtId="0" fontId="42" fillId="0" borderId="0" xfId="1" applyFont="1" applyAlignment="1">
      <alignment horizontal="center" vertical="center"/>
    </xf>
    <xf numFmtId="0" fontId="42" fillId="0" borderId="0" xfId="1" applyFont="1" applyProtection="1">
      <protection locked="0"/>
    </xf>
    <xf numFmtId="0" fontId="42" fillId="0" borderId="0" xfId="1" applyFont="1" applyAlignment="1" applyProtection="1">
      <alignment horizontal="center"/>
      <protection locked="0"/>
    </xf>
    <xf numFmtId="0" fontId="34" fillId="13" borderId="26" xfId="1" applyFont="1" applyFill="1" applyBorder="1" applyAlignment="1">
      <alignment horizontal="centerContinuous"/>
    </xf>
    <xf numFmtId="0" fontId="34" fillId="13" borderId="27" xfId="1" applyFont="1" applyFill="1" applyBorder="1" applyAlignment="1">
      <alignment horizontal="centerContinuous"/>
    </xf>
    <xf numFmtId="0" fontId="34" fillId="13" borderId="19" xfId="1" applyFont="1" applyFill="1" applyBorder="1" applyAlignment="1">
      <alignment horizontal="centerContinuous"/>
    </xf>
    <xf numFmtId="0" fontId="35" fillId="13" borderId="15" xfId="1" applyFont="1" applyFill="1" applyBorder="1" applyAlignment="1">
      <alignment horizontal="centerContinuous" wrapText="1"/>
    </xf>
    <xf numFmtId="0" fontId="36" fillId="13" borderId="0" xfId="1" applyFont="1" applyFill="1" applyAlignment="1">
      <alignment horizontal="centerContinuous" wrapText="1"/>
    </xf>
    <xf numFmtId="0" fontId="36" fillId="13" borderId="14" xfId="1" applyFont="1" applyFill="1" applyBorder="1" applyAlignment="1">
      <alignment horizontal="centerContinuous" wrapText="1"/>
    </xf>
    <xf numFmtId="0" fontId="36" fillId="13" borderId="16" xfId="1" applyFont="1" applyFill="1" applyBorder="1" applyAlignment="1">
      <alignment horizontal="centerContinuous" wrapText="1"/>
    </xf>
    <xf numFmtId="0" fontId="36" fillId="13" borderId="17" xfId="1" applyFont="1" applyFill="1" applyBorder="1" applyAlignment="1">
      <alignment horizontal="centerContinuous" wrapText="1"/>
    </xf>
    <xf numFmtId="0" fontId="36" fillId="13" borderId="18" xfId="1" applyFont="1" applyFill="1" applyBorder="1" applyAlignment="1">
      <alignment horizontal="centerContinuous" wrapText="1"/>
    </xf>
    <xf numFmtId="0" fontId="46" fillId="13" borderId="15" xfId="1" applyFont="1" applyFill="1" applyBorder="1" applyAlignment="1">
      <alignment horizontal="centerContinuous" wrapText="1"/>
    </xf>
    <xf numFmtId="0" fontId="46" fillId="13" borderId="0" xfId="1" applyFont="1" applyFill="1" applyAlignment="1">
      <alignment horizontal="centerContinuous" wrapText="1"/>
    </xf>
    <xf numFmtId="0" fontId="46" fillId="13" borderId="14" xfId="1" applyFont="1" applyFill="1" applyBorder="1" applyAlignment="1">
      <alignment horizontal="centerContinuous" wrapText="1"/>
    </xf>
    <xf numFmtId="0" fontId="46" fillId="0" borderId="0" xfId="1" applyFont="1"/>
    <xf numFmtId="0" fontId="30" fillId="13" borderId="15" xfId="1" applyFont="1" applyFill="1" applyBorder="1" applyAlignment="1">
      <alignment horizontal="centerContinuous" wrapText="1"/>
    </xf>
    <xf numFmtId="0" fontId="30" fillId="25" borderId="0" xfId="1" applyFont="1" applyFill="1" applyAlignment="1">
      <alignment horizontal="centerContinuous" wrapText="1"/>
    </xf>
    <xf numFmtId="0" fontId="11" fillId="5" borderId="17" xfId="1" applyFont="1" applyFill="1" applyBorder="1" applyAlignment="1">
      <alignment horizontal="centerContinuous"/>
    </xf>
    <xf numFmtId="0" fontId="17" fillId="5" borderId="24" xfId="1" applyFont="1" applyFill="1" applyBorder="1" applyAlignment="1">
      <alignment horizontal="centerContinuous"/>
    </xf>
    <xf numFmtId="0" fontId="17" fillId="5" borderId="17" xfId="1" applyFont="1" applyFill="1" applyBorder="1" applyAlignment="1">
      <alignment horizontal="centerContinuous"/>
    </xf>
    <xf numFmtId="0" fontId="1" fillId="6" borderId="17" xfId="1" applyFill="1" applyBorder="1" applyAlignment="1">
      <alignment horizontal="centerContinuous"/>
    </xf>
    <xf numFmtId="0" fontId="1" fillId="3" borderId="27" xfId="1" applyFill="1" applyBorder="1" applyAlignment="1">
      <alignment horizontal="center"/>
    </xf>
    <xf numFmtId="0" fontId="1" fillId="3" borderId="4" xfId="1" applyFill="1" applyBorder="1" applyAlignment="1">
      <alignment horizontal="center"/>
    </xf>
    <xf numFmtId="0" fontId="4" fillId="3" borderId="4" xfId="1" applyFont="1" applyFill="1" applyBorder="1" applyAlignment="1">
      <alignment horizontal="center"/>
    </xf>
    <xf numFmtId="0" fontId="14" fillId="3" borderId="26" xfId="1" applyFont="1" applyFill="1" applyBorder="1"/>
    <xf numFmtId="0" fontId="4" fillId="3" borderId="15" xfId="1" applyFont="1" applyFill="1" applyBorder="1"/>
    <xf numFmtId="0" fontId="4" fillId="3" borderId="15" xfId="1" applyFont="1" applyFill="1" applyBorder="1" applyAlignment="1">
      <alignment horizontal="left"/>
    </xf>
    <xf numFmtId="0" fontId="4" fillId="3" borderId="16" xfId="1" applyFont="1" applyFill="1" applyBorder="1"/>
    <xf numFmtId="0" fontId="4" fillId="3" borderId="17" xfId="1" applyFont="1" applyFill="1" applyBorder="1" applyAlignment="1">
      <alignment horizontal="center"/>
    </xf>
    <xf numFmtId="0" fontId="19" fillId="4" borderId="26" xfId="1" applyFont="1" applyFill="1" applyBorder="1" applyAlignment="1">
      <alignment horizontal="centerContinuous" vertical="center"/>
    </xf>
    <xf numFmtId="0" fontId="19" fillId="4" borderId="27" xfId="1" applyFont="1" applyFill="1" applyBorder="1" applyAlignment="1">
      <alignment horizontal="centerContinuous"/>
    </xf>
    <xf numFmtId="0" fontId="19" fillId="4" borderId="125" xfId="1" applyFont="1" applyFill="1" applyBorder="1" applyAlignment="1">
      <alignment horizontal="centerContinuous"/>
    </xf>
    <xf numFmtId="0" fontId="1" fillId="6" borderId="18" xfId="1" applyFill="1" applyBorder="1"/>
    <xf numFmtId="49" fontId="4" fillId="9" borderId="127" xfId="1" applyNumberFormat="1" applyFont="1" applyFill="1" applyBorder="1" applyAlignment="1">
      <alignment horizontal="left" indent="1"/>
    </xf>
    <xf numFmtId="49" fontId="4" fillId="9" borderId="128" xfId="1" applyNumberFormat="1" applyFont="1" applyFill="1" applyBorder="1"/>
    <xf numFmtId="49" fontId="4" fillId="9" borderId="129" xfId="1" applyNumberFormat="1" applyFont="1" applyFill="1" applyBorder="1"/>
    <xf numFmtId="49" fontId="4" fillId="9" borderId="132" xfId="1" applyNumberFormat="1" applyFont="1" applyFill="1" applyBorder="1" applyAlignment="1">
      <alignment horizontal="left" indent="1"/>
    </xf>
    <xf numFmtId="49" fontId="4" fillId="9" borderId="134" xfId="1" applyNumberFormat="1" applyFont="1" applyFill="1" applyBorder="1" applyAlignment="1">
      <alignment horizontal="left" indent="1"/>
    </xf>
    <xf numFmtId="49" fontId="4" fillId="9" borderId="135" xfId="1" applyNumberFormat="1" applyFont="1" applyFill="1" applyBorder="1"/>
    <xf numFmtId="0" fontId="4" fillId="10" borderId="14" xfId="1" applyFont="1" applyFill="1" applyBorder="1" applyAlignment="1">
      <alignment horizontal="center" vertical="center"/>
    </xf>
    <xf numFmtId="49" fontId="4" fillId="10" borderId="14" xfId="1" applyNumberFormat="1" applyFont="1" applyFill="1" applyBorder="1" applyAlignment="1">
      <alignment horizontal="center" vertical="center"/>
    </xf>
    <xf numFmtId="49" fontId="4" fillId="10" borderId="18" xfId="1" applyNumberFormat="1" applyFont="1" applyFill="1" applyBorder="1" applyAlignment="1">
      <alignment horizontal="center" vertical="center"/>
    </xf>
    <xf numFmtId="0" fontId="4" fillId="10" borderId="0" xfId="1" applyFont="1" applyFill="1" applyAlignment="1">
      <alignment horizontal="center" vertical="center"/>
    </xf>
    <xf numFmtId="49" fontId="4" fillId="10" borderId="0" xfId="1" applyNumberFormat="1" applyFont="1" applyFill="1" applyAlignment="1">
      <alignment horizontal="center" vertical="center"/>
    </xf>
    <xf numFmtId="49" fontId="4" fillId="10" borderId="17" xfId="1" applyNumberFormat="1" applyFont="1" applyFill="1" applyBorder="1" applyAlignment="1">
      <alignment horizontal="center" vertical="center"/>
    </xf>
    <xf numFmtId="0" fontId="4" fillId="10" borderId="19" xfId="1" applyFont="1" applyFill="1" applyBorder="1" applyAlignment="1">
      <alignment horizontal="center" vertical="center"/>
    </xf>
    <xf numFmtId="0" fontId="4" fillId="10" borderId="18" xfId="1" applyFont="1" applyFill="1" applyBorder="1" applyAlignment="1">
      <alignment horizontal="center" vertical="center"/>
    </xf>
    <xf numFmtId="0" fontId="12"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protection hidden="1"/>
    </xf>
    <xf numFmtId="0" fontId="13" fillId="2" borderId="0" xfId="1" applyFont="1" applyFill="1" applyAlignment="1" applyProtection="1">
      <alignment horizontal="centerContinuous"/>
      <protection hidden="1"/>
    </xf>
    <xf numFmtId="0" fontId="13" fillId="2" borderId="14" xfId="1" applyFont="1" applyFill="1" applyBorder="1" applyAlignment="1" applyProtection="1">
      <alignment horizontal="centerContinuous"/>
      <protection hidden="1"/>
    </xf>
    <xf numFmtId="0" fontId="1" fillId="6" borderId="0" xfId="1" applyFill="1" applyAlignment="1" applyProtection="1">
      <alignment horizontal="centerContinuous"/>
      <protection hidden="1"/>
    </xf>
    <xf numFmtId="0" fontId="1" fillId="0" borderId="0" xfId="1" applyProtection="1">
      <protection hidden="1"/>
    </xf>
    <xf numFmtId="0" fontId="18"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wrapText="1"/>
      <protection hidden="1"/>
    </xf>
    <xf numFmtId="0" fontId="11" fillId="2" borderId="14" xfId="1" applyFont="1" applyFill="1" applyBorder="1" applyAlignment="1" applyProtection="1">
      <alignment horizontal="centerContinuous" wrapText="1"/>
      <protection hidden="1"/>
    </xf>
    <xf numFmtId="0" fontId="16" fillId="0" borderId="0" xfId="3" applyFont="1" applyAlignment="1" applyProtection="1">
      <alignment horizontal="center"/>
      <protection locked="0"/>
    </xf>
    <xf numFmtId="0" fontId="1" fillId="0" borderId="0" xfId="1" applyAlignment="1" applyProtection="1">
      <alignment horizontal="center"/>
      <protection locked="0"/>
    </xf>
    <xf numFmtId="0" fontId="22" fillId="0" borderId="0" xfId="2" applyFont="1" applyProtection="1">
      <protection locked="0"/>
    </xf>
    <xf numFmtId="0" fontId="1" fillId="7" borderId="0" xfId="1" applyFill="1" applyAlignment="1" applyProtection="1">
      <alignment horizontal="center" vertical="center"/>
      <protection locked="0"/>
    </xf>
    <xf numFmtId="0" fontId="16" fillId="7" borderId="0" xfId="3" applyFont="1" applyFill="1" applyAlignment="1" applyProtection="1">
      <alignment horizontal="center" vertical="center"/>
      <protection locked="0"/>
    </xf>
    <xf numFmtId="0" fontId="1" fillId="7" borderId="0" xfId="1" applyFill="1" applyAlignment="1" applyProtection="1">
      <alignment horizontal="center"/>
      <protection locked="0"/>
    </xf>
    <xf numFmtId="0" fontId="4" fillId="7" borderId="0" xfId="1" applyFont="1" applyFill="1" applyAlignment="1" applyProtection="1">
      <alignment horizontal="left"/>
      <protection locked="0"/>
    </xf>
    <xf numFmtId="0" fontId="1" fillId="0" borderId="0" xfId="1" applyProtection="1">
      <protection locked="0"/>
    </xf>
    <xf numFmtId="0" fontId="1" fillId="7" borderId="0" xfId="1" applyFill="1" applyAlignment="1" applyProtection="1">
      <alignment horizontal="left"/>
      <protection locked="0"/>
    </xf>
    <xf numFmtId="0" fontId="38" fillId="17" borderId="67" xfId="1" applyFont="1" applyFill="1" applyBorder="1" applyAlignment="1" applyProtection="1">
      <alignment horizontal="center"/>
      <protection locked="0"/>
    </xf>
    <xf numFmtId="0" fontId="33" fillId="0" borderId="58" xfId="1" applyFont="1" applyBorder="1" applyAlignment="1" applyProtection="1">
      <alignment horizontal="center"/>
      <protection locked="0"/>
    </xf>
    <xf numFmtId="0" fontId="33" fillId="0" borderId="43" xfId="1" applyFont="1" applyBorder="1" applyAlignment="1" applyProtection="1">
      <alignment horizontal="center"/>
      <protection locked="0"/>
    </xf>
    <xf numFmtId="0" fontId="36" fillId="17" borderId="67" xfId="0" applyFont="1" applyFill="1" applyBorder="1" applyProtection="1">
      <protection locked="0"/>
    </xf>
    <xf numFmtId="0" fontId="36" fillId="17" borderId="42" xfId="0" applyFont="1" applyFill="1" applyBorder="1" applyProtection="1">
      <protection locked="0"/>
    </xf>
    <xf numFmtId="0" fontId="4" fillId="18" borderId="58" xfId="0" applyFont="1" applyFill="1" applyBorder="1" applyProtection="1">
      <protection locked="0"/>
    </xf>
    <xf numFmtId="0" fontId="4" fillId="15" borderId="58" xfId="0" applyFont="1" applyFill="1" applyBorder="1" applyProtection="1">
      <protection locked="0"/>
    </xf>
    <xf numFmtId="0" fontId="4" fillId="18" borderId="43" xfId="0" applyFont="1" applyFill="1" applyBorder="1" applyProtection="1">
      <protection locked="0"/>
    </xf>
    <xf numFmtId="0" fontId="4" fillId="15" borderId="43" xfId="0" applyFont="1" applyFill="1" applyBorder="1" applyProtection="1">
      <protection locked="0"/>
    </xf>
    <xf numFmtId="0" fontId="4" fillId="0" borderId="43" xfId="0" applyFont="1" applyBorder="1" applyAlignment="1" applyProtection="1">
      <alignment horizontal="center"/>
      <protection locked="0"/>
    </xf>
    <xf numFmtId="0" fontId="49" fillId="0" borderId="43" xfId="0" applyFont="1" applyBorder="1" applyAlignment="1" applyProtection="1">
      <alignment horizontal="center"/>
      <protection locked="0"/>
    </xf>
    <xf numFmtId="0" fontId="49" fillId="15" borderId="43" xfId="0" applyFont="1" applyFill="1" applyBorder="1" applyProtection="1">
      <protection locked="0"/>
    </xf>
    <xf numFmtId="49" fontId="33" fillId="14" borderId="50" xfId="1" applyNumberFormat="1" applyFont="1" applyFill="1" applyBorder="1" applyAlignment="1" applyProtection="1">
      <alignment horizontal="center"/>
      <protection locked="0"/>
    </xf>
    <xf numFmtId="0" fontId="36" fillId="17" borderId="67" xfId="0" applyFont="1" applyFill="1" applyBorder="1" applyAlignment="1" applyProtection="1">
      <alignment horizontal="center"/>
      <protection locked="0"/>
    </xf>
    <xf numFmtId="0" fontId="4" fillId="16" borderId="58" xfId="0" applyFont="1" applyFill="1" applyBorder="1" applyAlignment="1" applyProtection="1">
      <alignment horizontal="center"/>
      <protection locked="0"/>
    </xf>
    <xf numFmtId="0" fontId="4" fillId="16" borderId="43" xfId="0" applyFont="1" applyFill="1" applyBorder="1" applyAlignment="1" applyProtection="1">
      <alignment horizontal="center"/>
      <protection locked="0"/>
    </xf>
    <xf numFmtId="0" fontId="33" fillId="14" borderId="66" xfId="1" applyFont="1" applyFill="1" applyBorder="1" applyAlignment="1" applyProtection="1">
      <alignment horizontal="center"/>
      <protection locked="0"/>
    </xf>
    <xf numFmtId="0" fontId="33" fillId="14" borderId="67" xfId="1" applyFont="1" applyFill="1" applyBorder="1" applyAlignment="1" applyProtection="1">
      <alignment horizontal="center"/>
      <protection locked="0"/>
    </xf>
    <xf numFmtId="0" fontId="33" fillId="14" borderId="67" xfId="1" applyFont="1" applyFill="1" applyBorder="1" applyProtection="1">
      <protection locked="0"/>
    </xf>
    <xf numFmtId="49" fontId="33" fillId="14" borderId="67" xfId="1" applyNumberFormat="1" applyFont="1" applyFill="1" applyBorder="1" applyAlignment="1" applyProtection="1">
      <alignment horizontal="center"/>
      <protection locked="0"/>
    </xf>
    <xf numFmtId="0" fontId="33" fillId="14" borderId="42" xfId="1" applyFont="1" applyFill="1" applyBorder="1" applyProtection="1">
      <protection locked="0"/>
    </xf>
    <xf numFmtId="0" fontId="4" fillId="47" borderId="43" xfId="0" applyFont="1" applyFill="1" applyBorder="1" applyAlignment="1" applyProtection="1">
      <alignment horizontal="center"/>
      <protection locked="0"/>
    </xf>
    <xf numFmtId="0" fontId="36" fillId="17" borderId="62" xfId="1" applyFont="1" applyFill="1" applyBorder="1" applyAlignment="1" applyProtection="1">
      <alignment horizontal="center"/>
      <protection locked="0"/>
    </xf>
    <xf numFmtId="0" fontId="4" fillId="15" borderId="55" xfId="0" applyFont="1" applyFill="1" applyBorder="1" applyProtection="1">
      <protection locked="0"/>
    </xf>
    <xf numFmtId="0" fontId="4" fillId="47" borderId="55" xfId="0" applyFont="1" applyFill="1" applyBorder="1" applyAlignment="1" applyProtection="1">
      <alignment horizontal="center"/>
      <protection locked="0"/>
    </xf>
    <xf numFmtId="0" fontId="68" fillId="0" borderId="0" xfId="1" applyFont="1" applyAlignment="1">
      <alignment horizontal="center"/>
    </xf>
    <xf numFmtId="0" fontId="68" fillId="0" borderId="0" xfId="1" applyFont="1"/>
    <xf numFmtId="0" fontId="69" fillId="0" borderId="0" xfId="1" applyFont="1"/>
    <xf numFmtId="0" fontId="68" fillId="0" borderId="15" xfId="1" applyFont="1" applyBorder="1"/>
    <xf numFmtId="0" fontId="33" fillId="0" borderId="55" xfId="1" applyFont="1" applyBorder="1" applyAlignment="1" applyProtection="1">
      <alignment horizontal="center"/>
      <protection locked="0"/>
    </xf>
    <xf numFmtId="0" fontId="69" fillId="0" borderId="0" xfId="1" applyFont="1" applyAlignment="1">
      <alignment horizontal="center"/>
    </xf>
    <xf numFmtId="0" fontId="36" fillId="17" borderId="63" xfId="1" applyFont="1" applyFill="1" applyBorder="1" applyAlignment="1" applyProtection="1">
      <alignment horizontal="center"/>
      <protection locked="0"/>
    </xf>
    <xf numFmtId="0" fontId="36" fillId="17" borderId="41" xfId="1" applyFont="1" applyFill="1" applyBorder="1" applyProtection="1">
      <protection locked="0"/>
    </xf>
    <xf numFmtId="0" fontId="38" fillId="17" borderId="63" xfId="1" applyFont="1" applyFill="1" applyBorder="1" applyAlignment="1" applyProtection="1">
      <alignment horizontal="center"/>
      <protection locked="0"/>
    </xf>
    <xf numFmtId="0" fontId="36" fillId="17" borderId="63" xfId="0" applyFont="1" applyFill="1" applyBorder="1" applyProtection="1">
      <protection locked="0"/>
    </xf>
    <xf numFmtId="0" fontId="36" fillId="17" borderId="41" xfId="0" applyFont="1" applyFill="1" applyBorder="1" applyProtection="1">
      <protection locked="0"/>
    </xf>
    <xf numFmtId="0" fontId="36" fillId="17" borderId="63" xfId="0" applyFont="1" applyFill="1" applyBorder="1" applyAlignment="1" applyProtection="1">
      <alignment horizontal="center"/>
      <protection locked="0"/>
    </xf>
    <xf numFmtId="0" fontId="4" fillId="16" borderId="58" xfId="1" applyFont="1" applyFill="1" applyBorder="1" applyAlignment="1" applyProtection="1">
      <alignment horizontal="center"/>
      <protection locked="0"/>
    </xf>
    <xf numFmtId="0" fontId="4" fillId="16" borderId="43" xfId="1" applyFont="1" applyFill="1" applyBorder="1" applyAlignment="1" applyProtection="1">
      <alignment horizontal="center"/>
      <protection locked="0"/>
    </xf>
    <xf numFmtId="0" fontId="68" fillId="0" borderId="0" xfId="0" applyFont="1" applyAlignment="1">
      <alignment horizontal="center"/>
    </xf>
    <xf numFmtId="0" fontId="69" fillId="0" borderId="0" xfId="0" applyFont="1" applyAlignment="1">
      <alignment horizontal="center"/>
    </xf>
    <xf numFmtId="0" fontId="68" fillId="0" borderId="58" xfId="1" applyFont="1" applyBorder="1" applyAlignment="1" applyProtection="1">
      <alignment horizontal="center"/>
      <protection locked="0"/>
    </xf>
    <xf numFmtId="167" fontId="33" fillId="23" borderId="28" xfId="1" applyNumberFormat="1" applyFont="1" applyFill="1" applyBorder="1" applyAlignment="1" applyProtection="1">
      <alignment horizontal="center"/>
      <protection locked="0"/>
    </xf>
    <xf numFmtId="0" fontId="33" fillId="24" borderId="44" xfId="1" applyFont="1" applyFill="1" applyBorder="1"/>
    <xf numFmtId="0" fontId="33" fillId="24" borderId="45" xfId="1" applyFont="1" applyFill="1" applyBorder="1" applyAlignment="1">
      <alignment horizontal="center"/>
    </xf>
    <xf numFmtId="0" fontId="33" fillId="24" borderId="46" xfId="1" applyFont="1" applyFill="1" applyBorder="1" applyAlignment="1" applyProtection="1">
      <alignment horizontal="center"/>
      <protection locked="0"/>
    </xf>
    <xf numFmtId="0" fontId="4" fillId="10" borderId="47" xfId="1" applyFont="1" applyFill="1" applyBorder="1"/>
    <xf numFmtId="0" fontId="4" fillId="10" borderId="43" xfId="1" applyFont="1" applyFill="1" applyBorder="1" applyAlignment="1">
      <alignment horizontal="center"/>
    </xf>
    <xf numFmtId="0" fontId="4" fillId="10" borderId="49" xfId="1" applyFont="1" applyFill="1" applyBorder="1"/>
    <xf numFmtId="0" fontId="4" fillId="10" borderId="50" xfId="1" applyFont="1" applyFill="1" applyBorder="1" applyAlignment="1">
      <alignment horizontal="center"/>
    </xf>
    <xf numFmtId="0" fontId="33" fillId="24" borderId="97" xfId="1" applyFont="1" applyFill="1" applyBorder="1"/>
    <xf numFmtId="0" fontId="33" fillId="24" borderId="52" xfId="1" applyFont="1" applyFill="1" applyBorder="1" applyAlignment="1">
      <alignment horizontal="center"/>
    </xf>
    <xf numFmtId="0" fontId="43" fillId="0" borderId="114" xfId="1" applyFont="1" applyBorder="1" applyAlignment="1">
      <alignment horizontal="center"/>
    </xf>
    <xf numFmtId="0" fontId="43" fillId="0" borderId="115" xfId="1" applyFont="1" applyBorder="1"/>
    <xf numFmtId="0" fontId="43" fillId="0" borderId="96" xfId="1" applyFont="1" applyBorder="1"/>
    <xf numFmtId="0" fontId="43" fillId="0" borderId="116" xfId="1" applyFont="1" applyBorder="1"/>
    <xf numFmtId="0" fontId="43" fillId="0" borderId="117" xfId="1" applyFont="1" applyBorder="1"/>
    <xf numFmtId="0" fontId="43" fillId="0" borderId="118" xfId="1" applyFont="1" applyBorder="1" applyAlignment="1">
      <alignment horizontal="center"/>
    </xf>
    <xf numFmtId="0" fontId="43" fillId="0" borderId="119" xfId="1" applyFont="1" applyBorder="1" applyAlignment="1">
      <alignment horizontal="center"/>
    </xf>
    <xf numFmtId="0" fontId="4" fillId="10" borderId="47" xfId="1" applyFont="1" applyFill="1" applyBorder="1" applyAlignment="1">
      <alignment horizontal="center"/>
    </xf>
    <xf numFmtId="0" fontId="4" fillId="10" borderId="49" xfId="1" applyFont="1" applyFill="1" applyBorder="1" applyAlignment="1">
      <alignment horizontal="center"/>
    </xf>
    <xf numFmtId="0" fontId="33" fillId="24" borderId="46" xfId="1" applyFont="1" applyFill="1" applyBorder="1" applyAlignment="1">
      <alignment horizontal="center"/>
    </xf>
    <xf numFmtId="0" fontId="4" fillId="10" borderId="48" xfId="1" applyFont="1" applyFill="1" applyBorder="1" applyAlignment="1">
      <alignment horizontal="center"/>
    </xf>
    <xf numFmtId="0" fontId="4" fillId="10" borderId="51" xfId="1" applyFont="1" applyFill="1" applyBorder="1" applyAlignment="1">
      <alignment horizontal="center"/>
    </xf>
    <xf numFmtId="0" fontId="44" fillId="0" borderId="100" xfId="1" applyFont="1" applyBorder="1" applyAlignment="1">
      <alignment horizontal="center"/>
    </xf>
    <xf numFmtId="0" fontId="44" fillId="0" borderId="101" xfId="1" applyFont="1" applyBorder="1" applyAlignment="1">
      <alignment horizontal="center"/>
    </xf>
    <xf numFmtId="0" fontId="44" fillId="0" borderId="102" xfId="1" applyFont="1" applyBorder="1" applyAlignment="1">
      <alignment horizontal="center"/>
    </xf>
    <xf numFmtId="0" fontId="42" fillId="0" borderId="100" xfId="1" applyFont="1" applyBorder="1" applyAlignment="1">
      <alignment horizontal="center"/>
    </xf>
    <xf numFmtId="0" fontId="42" fillId="0" borderId="101" xfId="1" applyFont="1" applyBorder="1" applyAlignment="1">
      <alignment horizontal="center"/>
    </xf>
    <xf numFmtId="0" fontId="42" fillId="0" borderId="102" xfId="1" applyFont="1" applyBorder="1" applyAlignment="1">
      <alignment horizontal="center"/>
    </xf>
    <xf numFmtId="0" fontId="4" fillId="0" borderId="98" xfId="1" applyFont="1" applyBorder="1" applyProtection="1">
      <protection locked="0"/>
    </xf>
    <xf numFmtId="0" fontId="4" fillId="0" borderId="53" xfId="1" applyFont="1" applyBorder="1" applyAlignment="1" applyProtection="1">
      <alignment horizontal="center"/>
      <protection locked="0"/>
    </xf>
    <xf numFmtId="0" fontId="4" fillId="0" borderId="48" xfId="1" applyFont="1" applyBorder="1" applyAlignment="1" applyProtection="1">
      <alignment horizontal="center"/>
      <protection locked="0"/>
    </xf>
    <xf numFmtId="0" fontId="4" fillId="0" borderId="99" xfId="1" applyFont="1" applyBorder="1" applyProtection="1">
      <protection locked="0"/>
    </xf>
    <xf numFmtId="0" fontId="4" fillId="0" borderId="69" xfId="1" applyFont="1" applyBorder="1" applyAlignment="1" applyProtection="1">
      <alignment horizontal="center"/>
      <protection locked="0"/>
    </xf>
    <xf numFmtId="0" fontId="4" fillId="0" borderId="51" xfId="1" applyFont="1" applyBorder="1" applyAlignment="1" applyProtection="1">
      <alignment horizontal="center"/>
      <protection locked="0"/>
    </xf>
    <xf numFmtId="0" fontId="4" fillId="0" borderId="28" xfId="1" applyFont="1" applyBorder="1" applyAlignment="1" applyProtection="1">
      <alignment horizontal="center"/>
      <protection locked="0"/>
    </xf>
    <xf numFmtId="165" fontId="43" fillId="0" borderId="96" xfId="1" applyNumberFormat="1" applyFont="1" applyBorder="1"/>
    <xf numFmtId="165" fontId="43" fillId="0" borderId="120" xfId="1" applyNumberFormat="1" applyFont="1" applyBorder="1"/>
    <xf numFmtId="165" fontId="43" fillId="0" borderId="117" xfId="1" applyNumberFormat="1" applyFont="1" applyBorder="1"/>
    <xf numFmtId="165" fontId="43" fillId="0" borderId="121" xfId="1" applyNumberFormat="1" applyFont="1" applyBorder="1"/>
    <xf numFmtId="3" fontId="4" fillId="0" borderId="53" xfId="1" applyNumberFormat="1" applyFont="1" applyBorder="1" applyAlignment="1" applyProtection="1">
      <alignment horizontal="center"/>
      <protection locked="0"/>
    </xf>
    <xf numFmtId="0" fontId="33" fillId="14" borderId="50" xfId="1" applyFont="1" applyFill="1" applyBorder="1" applyAlignment="1" applyProtection="1">
      <alignment horizontal="center"/>
      <protection locked="0"/>
    </xf>
    <xf numFmtId="0" fontId="49" fillId="7" borderId="4" xfId="1" applyFont="1" applyFill="1" applyBorder="1" applyAlignment="1">
      <alignment horizontal="center"/>
    </xf>
    <xf numFmtId="0" fontId="70" fillId="0" borderId="0" xfId="1" applyFont="1" applyProtection="1">
      <protection locked="0"/>
    </xf>
    <xf numFmtId="0" fontId="4" fillId="16" borderId="55" xfId="0" applyFont="1" applyFill="1" applyBorder="1" applyAlignment="1" applyProtection="1">
      <alignment horizontal="center"/>
      <protection locked="0"/>
    </xf>
    <xf numFmtId="0" fontId="33" fillId="14" borderId="69" xfId="1" applyFont="1" applyFill="1" applyBorder="1" applyAlignment="1">
      <alignment horizontal="center"/>
    </xf>
    <xf numFmtId="0" fontId="33" fillId="17" borderId="63" xfId="1" applyFont="1" applyFill="1" applyBorder="1" applyAlignment="1" applyProtection="1">
      <alignment horizontal="center"/>
      <protection locked="0"/>
    </xf>
    <xf numFmtId="0" fontId="9" fillId="17" borderId="63" xfId="1" applyFont="1" applyFill="1" applyBorder="1" applyAlignment="1" applyProtection="1">
      <alignment horizontal="center"/>
      <protection locked="0"/>
    </xf>
    <xf numFmtId="0" fontId="9" fillId="16" borderId="58" xfId="1" applyFont="1" applyFill="1" applyBorder="1" applyAlignment="1" applyProtection="1">
      <alignment horizontal="center"/>
      <protection locked="0"/>
    </xf>
    <xf numFmtId="0" fontId="9" fillId="16" borderId="43" xfId="1" applyFont="1" applyFill="1" applyBorder="1" applyAlignment="1" applyProtection="1">
      <alignment horizontal="center"/>
      <protection locked="0"/>
    </xf>
    <xf numFmtId="0" fontId="9" fillId="47" borderId="43" xfId="0" applyFont="1" applyFill="1" applyBorder="1" applyAlignment="1" applyProtection="1">
      <alignment horizontal="center"/>
      <protection locked="0"/>
    </xf>
    <xf numFmtId="0" fontId="9" fillId="47" borderId="55" xfId="0" applyFont="1" applyFill="1" applyBorder="1" applyAlignment="1" applyProtection="1">
      <alignment horizontal="center"/>
      <protection locked="0"/>
    </xf>
    <xf numFmtId="0" fontId="4" fillId="16" borderId="55" xfId="1" applyFont="1" applyFill="1" applyBorder="1" applyAlignment="1" applyProtection="1">
      <alignment horizontal="center"/>
      <protection locked="0"/>
    </xf>
    <xf numFmtId="0" fontId="9" fillId="16" borderId="55" xfId="1" applyFont="1" applyFill="1" applyBorder="1" applyAlignment="1" applyProtection="1">
      <alignment horizontal="center"/>
      <protection locked="0"/>
    </xf>
    <xf numFmtId="0" fontId="47" fillId="17" borderId="63" xfId="1" applyFont="1" applyFill="1" applyBorder="1" applyAlignment="1" applyProtection="1">
      <alignment horizontal="center"/>
      <protection locked="0"/>
    </xf>
    <xf numFmtId="0" fontId="30" fillId="17" borderId="63" xfId="1" applyFont="1" applyFill="1" applyBorder="1" applyAlignment="1" applyProtection="1">
      <alignment horizontal="center"/>
      <protection locked="0"/>
    </xf>
    <xf numFmtId="0" fontId="30" fillId="16" borderId="58" xfId="1" applyFont="1" applyFill="1" applyBorder="1" applyAlignment="1" applyProtection="1">
      <alignment horizontal="center"/>
      <protection locked="0"/>
    </xf>
    <xf numFmtId="0" fontId="30" fillId="16" borderId="43" xfId="1" applyFont="1" applyFill="1" applyBorder="1" applyAlignment="1" applyProtection="1">
      <alignment horizontal="center"/>
      <protection locked="0"/>
    </xf>
    <xf numFmtId="0" fontId="49" fillId="16" borderId="43" xfId="0" applyFont="1" applyFill="1" applyBorder="1" applyAlignment="1" applyProtection="1">
      <alignment horizontal="center"/>
      <protection locked="0"/>
    </xf>
    <xf numFmtId="0" fontId="9" fillId="16" borderId="43" xfId="0" applyFont="1" applyFill="1" applyBorder="1" applyAlignment="1" applyProtection="1">
      <alignment horizontal="center"/>
      <protection locked="0"/>
    </xf>
    <xf numFmtId="0" fontId="4" fillId="15" borderId="43" xfId="1" applyFont="1" applyFill="1" applyBorder="1" applyAlignment="1">
      <alignment horizontal="center"/>
    </xf>
    <xf numFmtId="0" fontId="30" fillId="25" borderId="43" xfId="1" applyFont="1" applyFill="1" applyBorder="1" applyAlignment="1">
      <alignment horizontal="center"/>
    </xf>
    <xf numFmtId="0" fontId="4" fillId="15" borderId="55" xfId="1" applyFont="1" applyFill="1" applyBorder="1" applyAlignment="1">
      <alignment horizontal="center"/>
    </xf>
    <xf numFmtId="0" fontId="49" fillId="15" borderId="43" xfId="0" applyFont="1" applyFill="1" applyBorder="1" applyAlignment="1" applyProtection="1">
      <alignment horizontal="center"/>
      <protection locked="0"/>
    </xf>
    <xf numFmtId="0" fontId="4" fillId="15" borderId="43" xfId="0" applyFont="1" applyFill="1" applyBorder="1" applyAlignment="1" applyProtection="1">
      <alignment horizontal="center"/>
      <protection locked="0"/>
    </xf>
    <xf numFmtId="0" fontId="4" fillId="15" borderId="43" xfId="1" applyFont="1" applyFill="1" applyBorder="1" applyAlignment="1" applyProtection="1">
      <alignment horizontal="center"/>
      <protection locked="0"/>
    </xf>
    <xf numFmtId="0" fontId="4" fillId="15" borderId="55" xfId="1" applyFont="1" applyFill="1" applyBorder="1" applyAlignment="1" applyProtection="1">
      <alignment horizontal="center"/>
      <protection locked="0"/>
    </xf>
    <xf numFmtId="0" fontId="71" fillId="48" borderId="43" xfId="1" applyFont="1" applyFill="1" applyBorder="1" applyAlignment="1">
      <alignment horizontal="center"/>
    </xf>
    <xf numFmtId="0" fontId="72" fillId="15" borderId="43" xfId="1" applyFont="1" applyFill="1" applyBorder="1" applyAlignment="1">
      <alignment horizontal="center"/>
    </xf>
    <xf numFmtId="0" fontId="4" fillId="10" borderId="53" xfId="1" applyFont="1" applyFill="1" applyBorder="1" applyAlignment="1">
      <alignment horizontal="center"/>
    </xf>
    <xf numFmtId="0" fontId="4" fillId="10" borderId="69" xfId="1" applyFont="1" applyFill="1" applyBorder="1" applyAlignment="1">
      <alignment horizontal="center"/>
    </xf>
    <xf numFmtId="0" fontId="33" fillId="24" borderId="150" xfId="1" applyFont="1" applyFill="1" applyBorder="1" applyAlignment="1">
      <alignment horizontal="center"/>
    </xf>
    <xf numFmtId="0" fontId="4" fillId="10" borderId="151" xfId="1" applyFont="1" applyFill="1" applyBorder="1" applyAlignment="1">
      <alignment horizontal="center"/>
    </xf>
    <xf numFmtId="0" fontId="4" fillId="10" borderId="152" xfId="1" applyFont="1" applyFill="1" applyBorder="1" applyAlignment="1">
      <alignment horizontal="center"/>
    </xf>
    <xf numFmtId="0" fontId="33" fillId="24" borderId="44" xfId="1" applyFont="1" applyFill="1" applyBorder="1" applyAlignment="1">
      <alignment horizontal="center"/>
    </xf>
    <xf numFmtId="0" fontId="43" fillId="0" borderId="115" xfId="1" applyFont="1" applyBorder="1" applyAlignment="1">
      <alignment horizontal="center"/>
    </xf>
    <xf numFmtId="0" fontId="43" fillId="0" borderId="96" xfId="1" applyFont="1" applyBorder="1" applyAlignment="1">
      <alignment horizontal="center"/>
    </xf>
    <xf numFmtId="165" fontId="43" fillId="0" borderId="120" xfId="1" applyNumberFormat="1" applyFont="1" applyBorder="1" applyAlignment="1">
      <alignment horizontal="center"/>
    </xf>
    <xf numFmtId="0" fontId="43" fillId="0" borderId="116" xfId="1" applyFont="1" applyBorder="1" applyAlignment="1">
      <alignment horizontal="center"/>
    </xf>
    <xf numFmtId="0" fontId="43" fillId="0" borderId="117" xfId="1" applyFont="1" applyBorder="1" applyAlignment="1">
      <alignment horizontal="center"/>
    </xf>
    <xf numFmtId="165" fontId="43" fillId="0" borderId="121" xfId="1" applyNumberFormat="1" applyFont="1" applyBorder="1" applyAlignment="1">
      <alignment horizontal="center"/>
    </xf>
    <xf numFmtId="0" fontId="30" fillId="17" borderId="67" xfId="0" applyFont="1" applyFill="1" applyBorder="1" applyAlignment="1" applyProtection="1">
      <alignment horizontal="center"/>
      <protection locked="0"/>
    </xf>
    <xf numFmtId="0" fontId="30" fillId="16" borderId="58" xfId="0" applyFont="1" applyFill="1" applyBorder="1" applyAlignment="1" applyProtection="1">
      <alignment horizontal="center"/>
      <protection locked="0"/>
    </xf>
    <xf numFmtId="0" fontId="30" fillId="16" borderId="43" xfId="0" applyFont="1" applyFill="1" applyBorder="1" applyAlignment="1" applyProtection="1">
      <alignment horizontal="center"/>
      <protection locked="0"/>
    </xf>
    <xf numFmtId="0" fontId="30" fillId="47" borderId="43" xfId="0" applyFont="1" applyFill="1" applyBorder="1" applyAlignment="1" applyProtection="1">
      <alignment horizontal="center"/>
      <protection locked="0"/>
    </xf>
    <xf numFmtId="0" fontId="30" fillId="47" borderId="55" xfId="0" applyFont="1" applyFill="1" applyBorder="1" applyAlignment="1" applyProtection="1">
      <alignment horizontal="center"/>
      <protection locked="0"/>
    </xf>
    <xf numFmtId="0" fontId="30" fillId="17" borderId="63" xfId="0" applyFont="1" applyFill="1" applyBorder="1" applyAlignment="1" applyProtection="1">
      <alignment horizontal="center"/>
      <protection locked="0"/>
    </xf>
    <xf numFmtId="0" fontId="25" fillId="0" borderId="0" xfId="1" applyFont="1"/>
    <xf numFmtId="0" fontId="30" fillId="49" borderId="43" xfId="0" applyFont="1" applyFill="1" applyBorder="1" applyAlignment="1" applyProtection="1">
      <alignment horizontal="center"/>
      <protection locked="0"/>
    </xf>
    <xf numFmtId="49" fontId="73" fillId="0" borderId="0" xfId="1" applyNumberFormat="1" applyFont="1"/>
    <xf numFmtId="49" fontId="4" fillId="9" borderId="38" xfId="1" applyNumberFormat="1" applyFont="1" applyFill="1" applyBorder="1" applyAlignment="1">
      <alignment horizontal="centerContinuous" vertical="center" wrapText="1"/>
    </xf>
    <xf numFmtId="49" fontId="4" fillId="9" borderId="39" xfId="1" applyNumberFormat="1" applyFont="1" applyFill="1" applyBorder="1" applyAlignment="1">
      <alignment horizontal="centerContinuous" vertical="center" wrapText="1"/>
    </xf>
    <xf numFmtId="49" fontId="4" fillId="9" borderId="40" xfId="1" applyNumberFormat="1" applyFont="1" applyFill="1" applyBorder="1" applyAlignment="1">
      <alignment horizontal="centerContinuous" vertical="center" wrapText="1"/>
    </xf>
    <xf numFmtId="49" fontId="4" fillId="9" borderId="1" xfId="1" applyNumberFormat="1" applyFont="1" applyFill="1" applyBorder="1" applyAlignment="1">
      <alignment horizontal="centerContinuous" vertical="center" wrapText="1"/>
    </xf>
    <xf numFmtId="49" fontId="4" fillId="9" borderId="13" xfId="1" applyNumberFormat="1" applyFont="1" applyFill="1" applyBorder="1" applyAlignment="1">
      <alignment horizontal="centerContinuous" vertical="center" wrapText="1"/>
    </xf>
    <xf numFmtId="49" fontId="28" fillId="0" borderId="0" xfId="1" applyNumberFormat="1" applyFont="1"/>
    <xf numFmtId="0" fontId="46" fillId="0" borderId="0" xfId="1" applyFont="1" applyAlignment="1">
      <alignment horizontal="center"/>
    </xf>
    <xf numFmtId="0" fontId="4" fillId="0" borderId="0" xfId="1" applyFont="1" applyAlignment="1">
      <alignment horizontal="centerContinuous" vertical="center"/>
    </xf>
    <xf numFmtId="0" fontId="46" fillId="0" borderId="0" xfId="1" applyFont="1" applyAlignment="1">
      <alignment horizontal="centerContinuous"/>
    </xf>
    <xf numFmtId="0" fontId="4" fillId="0" borderId="0" xfId="1" applyFont="1" applyAlignment="1">
      <alignment horizontal="center" wrapText="1"/>
    </xf>
    <xf numFmtId="0" fontId="4" fillId="0" borderId="0" xfId="1" applyFont="1" applyAlignment="1">
      <alignment horizontal="left" vertical="top"/>
    </xf>
    <xf numFmtId="0" fontId="4" fillId="0" borderId="0" xfId="1" applyFont="1" applyAlignment="1">
      <alignment wrapText="1"/>
    </xf>
    <xf numFmtId="0" fontId="4" fillId="0" borderId="0" xfId="1" applyFont="1" applyAlignment="1">
      <alignment horizontal="centerContinuous"/>
    </xf>
    <xf numFmtId="0" fontId="4" fillId="0" borderId="0" xfId="1" applyFont="1" applyAlignment="1">
      <alignment horizontal="centerContinuous" vertical="top"/>
    </xf>
    <xf numFmtId="167" fontId="33" fillId="23" borderId="28" xfId="1" applyNumberFormat="1" applyFont="1" applyFill="1" applyBorder="1" applyAlignment="1">
      <alignment horizontal="center"/>
    </xf>
    <xf numFmtId="0" fontId="4" fillId="0" borderId="28" xfId="1" applyFont="1" applyBorder="1" applyAlignment="1">
      <alignment horizontal="center"/>
    </xf>
    <xf numFmtId="0" fontId="4" fillId="0" borderId="98" xfId="1" applyFont="1" applyBorder="1"/>
    <xf numFmtId="3" fontId="4" fillId="0" borderId="53" xfId="1" applyNumberFormat="1" applyFont="1" applyBorder="1" applyAlignment="1">
      <alignment horizontal="center"/>
    </xf>
    <xf numFmtId="0" fontId="4" fillId="0" borderId="48" xfId="1" applyFont="1" applyBorder="1" applyAlignment="1">
      <alignment horizontal="center"/>
    </xf>
    <xf numFmtId="0" fontId="30" fillId="50" borderId="98" xfId="1" applyFont="1" applyFill="1" applyBorder="1"/>
    <xf numFmtId="0" fontId="4" fillId="0" borderId="53" xfId="1" applyFont="1" applyBorder="1" applyAlignment="1">
      <alignment horizontal="center"/>
    </xf>
    <xf numFmtId="0" fontId="4" fillId="0" borderId="99" xfId="1" applyFont="1" applyBorder="1"/>
    <xf numFmtId="0" fontId="4" fillId="0" borderId="69" xfId="1" applyFont="1" applyBorder="1" applyAlignment="1">
      <alignment horizontal="center"/>
    </xf>
    <xf numFmtId="0" fontId="4" fillId="0" borderId="51" xfId="1" applyFont="1" applyBorder="1" applyAlignment="1">
      <alignment horizontal="center"/>
    </xf>
    <xf numFmtId="0" fontId="74" fillId="0" borderId="0" xfId="1" applyFont="1" applyAlignment="1">
      <alignment horizontal="center"/>
    </xf>
    <xf numFmtId="0" fontId="43" fillId="0" borderId="0" xfId="1" applyFont="1" applyAlignment="1">
      <alignment horizontal="center"/>
    </xf>
    <xf numFmtId="0" fontId="0" fillId="0" borderId="0" xfId="0" pivotButton="1"/>
    <xf numFmtId="0" fontId="30" fillId="50" borderId="43" xfId="1" applyFont="1" applyFill="1" applyBorder="1" applyProtection="1">
      <protection locked="0"/>
    </xf>
    <xf numFmtId="0" fontId="4" fillId="0" borderId="0" xfId="1" applyFont="1" applyAlignment="1">
      <alignment horizontal="right"/>
    </xf>
    <xf numFmtId="0" fontId="4" fillId="0" borderId="0" xfId="1" applyFont="1" applyAlignment="1">
      <alignment horizontal="right" vertical="center"/>
    </xf>
    <xf numFmtId="0" fontId="75" fillId="0" borderId="0" xfId="0" applyFont="1"/>
    <xf numFmtId="0" fontId="76" fillId="0" borderId="0" xfId="0" applyFont="1"/>
    <xf numFmtId="0" fontId="77" fillId="0" borderId="0" xfId="0" applyFont="1"/>
    <xf numFmtId="0" fontId="0" fillId="0" borderId="0" xfId="0" applyAlignment="1">
      <alignment vertical="top"/>
    </xf>
    <xf numFmtId="0" fontId="0" fillId="0" borderId="0" xfId="0" quotePrefix="1" applyAlignment="1">
      <alignmen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4" fillId="11" borderId="136" xfId="1" applyFont="1" applyFill="1" applyBorder="1" applyAlignment="1">
      <alignment horizontal="center"/>
    </xf>
    <xf numFmtId="0" fontId="4" fillId="10" borderId="159" xfId="1" applyFont="1" applyFill="1" applyBorder="1" applyAlignment="1">
      <alignment horizontal="center"/>
    </xf>
    <xf numFmtId="49" fontId="27" fillId="0" borderId="0" xfId="1" applyNumberFormat="1" applyFont="1" applyAlignment="1">
      <alignment horizontal="right"/>
    </xf>
    <xf numFmtId="166" fontId="28" fillId="51" borderId="28" xfId="1" applyNumberFormat="1" applyFont="1" applyFill="1" applyBorder="1"/>
    <xf numFmtId="0" fontId="4" fillId="11" borderId="157" xfId="1" applyFont="1" applyFill="1" applyBorder="1" applyAlignment="1">
      <alignment horizontal="center"/>
    </xf>
    <xf numFmtId="0" fontId="4" fillId="11" borderId="156" xfId="1" applyFont="1" applyFill="1" applyBorder="1" applyAlignment="1">
      <alignment horizontal="center"/>
    </xf>
    <xf numFmtId="0" fontId="43" fillId="0" borderId="160" xfId="1" applyFont="1" applyBorder="1" applyAlignment="1">
      <alignment horizontal="center"/>
    </xf>
    <xf numFmtId="165" fontId="43" fillId="0" borderId="161" xfId="1" applyNumberFormat="1" applyFont="1" applyBorder="1"/>
    <xf numFmtId="165" fontId="43" fillId="0" borderId="162" xfId="1" applyNumberFormat="1" applyFont="1" applyBorder="1"/>
    <xf numFmtId="0" fontId="78" fillId="52" borderId="163" xfId="1" applyFont="1" applyFill="1" applyBorder="1" applyAlignment="1">
      <alignment horizontal="left"/>
    </xf>
    <xf numFmtId="0" fontId="78" fillId="52" borderId="164" xfId="1" applyFont="1" applyFill="1" applyBorder="1" applyAlignment="1">
      <alignment horizontal="center"/>
    </xf>
    <xf numFmtId="0" fontId="22" fillId="7" borderId="0" xfId="2" applyFont="1" applyFill="1" applyProtection="1">
      <protection locked="0"/>
    </xf>
    <xf numFmtId="0" fontId="70" fillId="7" borderId="0" xfId="1" applyFont="1" applyFill="1" applyProtection="1">
      <protection locked="0"/>
    </xf>
    <xf numFmtId="0" fontId="22" fillId="54" borderId="0" xfId="2" applyFont="1" applyFill="1"/>
    <xf numFmtId="0" fontId="70" fillId="54" borderId="0" xfId="1" applyFont="1" applyFill="1"/>
    <xf numFmtId="0" fontId="11" fillId="0" borderId="0" xfId="1" applyFont="1" applyAlignment="1" applyProtection="1">
      <alignment horizontal="centerContinuous" wrapText="1"/>
      <protection hidden="1"/>
    </xf>
    <xf numFmtId="0" fontId="18" fillId="0" borderId="27" xfId="1" applyFont="1" applyBorder="1" applyAlignment="1" applyProtection="1">
      <alignment horizontal="centerContinuous" wrapText="1"/>
      <protection hidden="1"/>
    </xf>
    <xf numFmtId="0" fontId="11" fillId="0" borderId="27" xfId="1" applyFont="1" applyBorder="1" applyAlignment="1" applyProtection="1">
      <alignment horizontal="centerContinuous" wrapText="1"/>
      <protection hidden="1"/>
    </xf>
    <xf numFmtId="0" fontId="1" fillId="0" borderId="27" xfId="1" applyBorder="1" applyAlignment="1" applyProtection="1">
      <alignment horizontal="centerContinuous"/>
      <protection hidden="1"/>
    </xf>
    <xf numFmtId="0" fontId="1" fillId="0" borderId="19" xfId="1" applyBorder="1" applyAlignment="1" applyProtection="1">
      <alignment horizontal="centerContinuous"/>
      <protection hidden="1"/>
    </xf>
    <xf numFmtId="0" fontId="11" fillId="0" borderId="17" xfId="1" applyFont="1" applyBorder="1" applyAlignment="1" applyProtection="1">
      <alignment horizontal="centerContinuous" wrapText="1"/>
      <protection hidden="1"/>
    </xf>
    <xf numFmtId="0" fontId="81" fillId="0" borderId="26" xfId="1" applyFont="1" applyBorder="1" applyAlignment="1" applyProtection="1">
      <alignment horizontal="centerContinuous" wrapText="1"/>
      <protection hidden="1"/>
    </xf>
    <xf numFmtId="0" fontId="1" fillId="0" borderId="0" xfId="1" applyAlignment="1" applyProtection="1">
      <alignment horizontal="centerContinuous"/>
      <protection hidden="1"/>
    </xf>
    <xf numFmtId="0" fontId="1" fillId="0" borderId="14" xfId="1" applyBorder="1" applyAlignment="1" applyProtection="1">
      <alignment horizontal="centerContinuous"/>
      <protection hidden="1"/>
    </xf>
    <xf numFmtId="0" fontId="36" fillId="0" borderId="0" xfId="1" applyFont="1" applyAlignment="1" applyProtection="1">
      <alignment horizontal="centerContinuous" wrapText="1"/>
      <protection hidden="1"/>
    </xf>
    <xf numFmtId="0" fontId="4" fillId="0" borderId="0" xfId="1" applyFont="1" applyAlignment="1" applyProtection="1">
      <alignment horizontal="centerContinuous"/>
      <protection hidden="1"/>
    </xf>
    <xf numFmtId="0" fontId="4" fillId="0" borderId="14" xfId="1" applyFont="1" applyBorder="1" applyAlignment="1" applyProtection="1">
      <alignment horizontal="centerContinuous"/>
      <protection hidden="1"/>
    </xf>
    <xf numFmtId="0" fontId="4" fillId="0" borderId="0" xfId="1" applyFont="1" applyProtection="1">
      <protection hidden="1"/>
    </xf>
    <xf numFmtId="0" fontId="22" fillId="0" borderId="0" xfId="2" applyFont="1" applyAlignment="1" applyProtection="1">
      <alignment horizontal="center"/>
      <protection locked="0"/>
    </xf>
    <xf numFmtId="0" fontId="70" fillId="0" borderId="0" xfId="1" applyFont="1" applyAlignment="1" applyProtection="1">
      <alignment horizontal="center"/>
      <protection locked="0"/>
    </xf>
    <xf numFmtId="0" fontId="23" fillId="0" borderId="0" xfId="1" applyFont="1" applyAlignment="1">
      <alignment horizontal="left" vertical="center" wrapText="1"/>
    </xf>
    <xf numFmtId="0" fontId="23" fillId="0" borderId="0" xfId="1" applyFont="1" applyAlignment="1">
      <alignment horizontal="center" vertical="center" wrapText="1"/>
    </xf>
    <xf numFmtId="14" fontId="23" fillId="0" borderId="0" xfId="1" applyNumberFormat="1" applyFont="1" applyAlignment="1">
      <alignment horizontal="left" vertical="center" wrapText="1"/>
    </xf>
    <xf numFmtId="14" fontId="23" fillId="0" borderId="0" xfId="1" applyNumberFormat="1" applyFont="1" applyAlignment="1">
      <alignment horizontal="center" vertical="center" wrapText="1"/>
    </xf>
    <xf numFmtId="0" fontId="1" fillId="0" borderId="14" xfId="1" applyBorder="1" applyProtection="1">
      <protection hidden="1"/>
    </xf>
    <xf numFmtId="0" fontId="18" fillId="0" borderId="0" xfId="1" applyFont="1" applyProtection="1">
      <protection hidden="1"/>
    </xf>
    <xf numFmtId="0" fontId="11" fillId="0" borderId="0" xfId="1" applyFont="1" applyProtection="1">
      <protection hidden="1"/>
    </xf>
    <xf numFmtId="0" fontId="1" fillId="7" borderId="163" xfId="1" applyFill="1" applyBorder="1" applyAlignment="1">
      <alignment horizontal="center" vertical="center"/>
    </xf>
    <xf numFmtId="0" fontId="80" fillId="56" borderId="164" xfId="2" applyFont="1" applyFill="1" applyBorder="1" applyAlignment="1">
      <alignment vertical="center" wrapText="1"/>
    </xf>
    <xf numFmtId="0" fontId="22" fillId="53" borderId="164" xfId="2" applyFont="1" applyFill="1" applyBorder="1" applyAlignment="1">
      <alignment vertical="center"/>
    </xf>
    <xf numFmtId="0" fontId="22" fillId="7" borderId="164" xfId="2" applyFont="1" applyFill="1" applyBorder="1"/>
    <xf numFmtId="0" fontId="79" fillId="57" borderId="164" xfId="2" applyFont="1" applyFill="1" applyBorder="1" applyAlignment="1">
      <alignment vertical="center" wrapText="1"/>
    </xf>
    <xf numFmtId="0" fontId="22" fillId="0" borderId="164" xfId="2" applyFont="1" applyBorder="1" applyAlignment="1">
      <alignment vertical="center"/>
    </xf>
    <xf numFmtId="0" fontId="80" fillId="58" borderId="164" xfId="2" applyFont="1" applyFill="1" applyBorder="1" applyAlignment="1">
      <alignment vertical="center" wrapText="1"/>
    </xf>
    <xf numFmtId="0" fontId="22" fillId="7" borderId="164" xfId="2" applyFont="1" applyFill="1" applyBorder="1" applyAlignment="1">
      <alignment vertical="center"/>
    </xf>
    <xf numFmtId="0" fontId="82" fillId="0" borderId="0" xfId="1" applyFont="1" applyProtection="1">
      <protection hidden="1"/>
    </xf>
    <xf numFmtId="0" fontId="3" fillId="59" borderId="15" xfId="1" applyFont="1" applyFill="1" applyBorder="1" applyAlignment="1">
      <alignment horizontal="centerContinuous" vertical="center"/>
    </xf>
    <xf numFmtId="0" fontId="3" fillId="59" borderId="0" xfId="1" applyFont="1" applyFill="1" applyAlignment="1">
      <alignment horizontal="centerContinuous"/>
    </xf>
    <xf numFmtId="0" fontId="81" fillId="0" borderId="15" xfId="1" applyFont="1" applyBorder="1" applyProtection="1">
      <protection hidden="1"/>
    </xf>
    <xf numFmtId="0" fontId="78" fillId="52" borderId="165" xfId="1" applyFont="1" applyFill="1" applyBorder="1" applyAlignment="1">
      <alignment horizontal="left"/>
    </xf>
    <xf numFmtId="0" fontId="1" fillId="7" borderId="165" xfId="1" applyFill="1" applyBorder="1" applyAlignment="1">
      <alignment horizontal="center" vertical="center"/>
    </xf>
    <xf numFmtId="0" fontId="1" fillId="7" borderId="166" xfId="1" applyFill="1" applyBorder="1" applyAlignment="1">
      <alignment horizontal="center" vertical="center"/>
    </xf>
    <xf numFmtId="0" fontId="22" fillId="0" borderId="167" xfId="2" applyFont="1" applyBorder="1" applyAlignment="1">
      <alignment vertical="center"/>
    </xf>
    <xf numFmtId="0" fontId="80" fillId="55" borderId="167" xfId="2" applyFont="1" applyFill="1" applyBorder="1" applyAlignment="1">
      <alignment vertical="center" wrapText="1"/>
    </xf>
    <xf numFmtId="0" fontId="1" fillId="7" borderId="168" xfId="1" applyFill="1" applyBorder="1" applyAlignment="1">
      <alignment horizontal="center" vertical="center"/>
    </xf>
    <xf numFmtId="0" fontId="22" fillId="7" borderId="167" xfId="2" applyFont="1" applyFill="1" applyBorder="1"/>
    <xf numFmtId="0" fontId="1" fillId="0" borderId="17" xfId="1" applyBorder="1" applyAlignment="1" applyProtection="1">
      <alignment horizontal="centerContinuous"/>
      <protection hidden="1"/>
    </xf>
    <xf numFmtId="0" fontId="1" fillId="0" borderId="18" xfId="1" applyBorder="1" applyAlignment="1" applyProtection="1">
      <alignment horizontal="centerContinuous"/>
      <protection hidden="1"/>
    </xf>
    <xf numFmtId="0" fontId="80" fillId="56" borderId="164" xfId="2" applyFont="1" applyFill="1" applyBorder="1" applyAlignment="1">
      <alignment horizontal="center" vertical="center"/>
    </xf>
    <xf numFmtId="0" fontId="80" fillId="55" borderId="164" xfId="2" applyFont="1" applyFill="1" applyBorder="1" applyAlignment="1">
      <alignment horizontal="center" vertical="center"/>
    </xf>
    <xf numFmtId="0" fontId="44" fillId="0" borderId="0" xfId="1" applyFont="1" applyAlignment="1">
      <alignment horizontal="center"/>
    </xf>
    <xf numFmtId="0" fontId="42" fillId="0" borderId="0" xfId="1" applyFont="1" applyAlignment="1">
      <alignment horizontal="center"/>
    </xf>
    <xf numFmtId="165" fontId="43" fillId="0" borderId="0" xfId="1" applyNumberFormat="1" applyFont="1" applyAlignment="1">
      <alignment horizontal="center"/>
    </xf>
    <xf numFmtId="0" fontId="11" fillId="5" borderId="17" xfId="1" applyFont="1" applyFill="1" applyBorder="1" applyAlignment="1">
      <alignment horizontal="centerContinuous" wrapText="1"/>
    </xf>
    <xf numFmtId="0" fontId="69" fillId="0" borderId="0" xfId="0" applyFont="1" applyAlignment="1">
      <alignment horizontal="right"/>
    </xf>
    <xf numFmtId="0" fontId="83" fillId="0" borderId="0" xfId="1" applyFont="1"/>
    <xf numFmtId="0" fontId="42" fillId="0" borderId="0" xfId="1" quotePrefix="1" applyFont="1"/>
    <xf numFmtId="0" fontId="4" fillId="0" borderId="0" xfId="1" quotePrefix="1" applyFont="1"/>
    <xf numFmtId="49" fontId="6" fillId="60" borderId="126" xfId="1" applyNumberFormat="1" applyFont="1" applyFill="1" applyBorder="1" applyAlignment="1">
      <alignment horizontal="center"/>
    </xf>
    <xf numFmtId="14" fontId="4" fillId="60" borderId="156" xfId="1" applyNumberFormat="1" applyFont="1" applyFill="1" applyBorder="1" applyAlignment="1" applyProtection="1">
      <alignment horizontal="center"/>
      <protection locked="0"/>
    </xf>
    <xf numFmtId="14" fontId="4" fillId="60" borderId="158" xfId="1" applyNumberFormat="1" applyFont="1" applyFill="1" applyBorder="1" applyAlignment="1" applyProtection="1">
      <alignment horizontal="center"/>
      <protection locked="0"/>
    </xf>
    <xf numFmtId="49" fontId="4" fillId="60" borderId="136" xfId="1" applyNumberFormat="1" applyFont="1" applyFill="1" applyBorder="1" applyProtection="1">
      <protection locked="0"/>
    </xf>
    <xf numFmtId="49" fontId="4" fillId="60" borderId="36" xfId="1" applyNumberFormat="1" applyFont="1" applyFill="1" applyBorder="1" applyAlignment="1" applyProtection="1">
      <alignment horizontal="center" vertical="center"/>
      <protection locked="0"/>
    </xf>
    <xf numFmtId="49" fontId="4" fillId="60" borderId="37" xfId="1" applyNumberFormat="1" applyFont="1" applyFill="1" applyBorder="1" applyAlignment="1" applyProtection="1">
      <alignment horizontal="center" vertical="center"/>
      <protection locked="0"/>
    </xf>
    <xf numFmtId="49" fontId="4" fillId="60" borderId="141" xfId="1" applyNumberFormat="1" applyFont="1" applyFill="1" applyBorder="1" applyAlignment="1" applyProtection="1">
      <alignment horizontal="center" vertical="center"/>
      <protection locked="0"/>
    </xf>
    <xf numFmtId="0" fontId="39" fillId="0" borderId="0" xfId="1" applyFont="1"/>
    <xf numFmtId="0" fontId="84" fillId="25" borderId="122" xfId="1" applyFont="1" applyFill="1" applyBorder="1" applyAlignment="1">
      <alignment horizontal="center" wrapText="1"/>
    </xf>
    <xf numFmtId="0" fontId="84" fillId="19" borderId="0" xfId="1" applyFont="1" applyFill="1"/>
    <xf numFmtId="0" fontId="85" fillId="25" borderId="123" xfId="1" applyFont="1" applyFill="1" applyBorder="1" applyAlignment="1">
      <alignment wrapText="1"/>
    </xf>
    <xf numFmtId="0" fontId="85" fillId="19" borderId="0" xfId="1" applyFont="1" applyFill="1"/>
    <xf numFmtId="0" fontId="86" fillId="25" borderId="123" xfId="1" applyFont="1" applyFill="1" applyBorder="1" applyAlignment="1">
      <alignment wrapText="1"/>
    </xf>
    <xf numFmtId="0" fontId="85" fillId="0" borderId="0" xfId="1" applyFont="1"/>
    <xf numFmtId="0" fontId="39" fillId="25" borderId="123" xfId="1" applyFont="1" applyFill="1" applyBorder="1" applyAlignment="1">
      <alignment wrapText="1"/>
    </xf>
    <xf numFmtId="0" fontId="39" fillId="19" borderId="0" xfId="1" applyFont="1" applyFill="1"/>
    <xf numFmtId="0" fontId="87" fillId="25" borderId="123" xfId="1" applyFont="1" applyFill="1" applyBorder="1" applyAlignment="1">
      <alignment wrapText="1"/>
    </xf>
    <xf numFmtId="0" fontId="39" fillId="25" borderId="123" xfId="1" applyFont="1" applyFill="1" applyBorder="1" applyAlignment="1">
      <alignment horizontal="left" wrapText="1"/>
    </xf>
    <xf numFmtId="0" fontId="39" fillId="19" borderId="0" xfId="1" applyFont="1" applyFill="1" applyAlignment="1">
      <alignment wrapText="1"/>
    </xf>
    <xf numFmtId="0" fontId="88" fillId="25" borderId="123" xfId="1" applyFont="1" applyFill="1" applyBorder="1" applyAlignment="1">
      <alignment horizontal="left" wrapText="1"/>
    </xf>
    <xf numFmtId="0" fontId="48" fillId="25" borderId="123" xfId="5" applyFill="1" applyBorder="1" applyAlignment="1">
      <alignment horizontal="center" wrapText="1"/>
    </xf>
    <xf numFmtId="0" fontId="39" fillId="25" borderId="124" xfId="1" applyFont="1" applyFill="1" applyBorder="1" applyAlignment="1">
      <alignment wrapText="1"/>
    </xf>
    <xf numFmtId="0" fontId="39" fillId="0" borderId="0" xfId="1" quotePrefix="1" applyFont="1" applyAlignment="1">
      <alignment horizontal="right"/>
    </xf>
    <xf numFmtId="49" fontId="90" fillId="0" borderId="0" xfId="1" applyNumberFormat="1" applyFont="1" applyAlignment="1">
      <alignment vertical="center"/>
    </xf>
    <xf numFmtId="49" fontId="4" fillId="0" borderId="0" xfId="1" applyNumberFormat="1" applyFont="1" applyAlignment="1">
      <alignment vertical="center"/>
    </xf>
    <xf numFmtId="49" fontId="27" fillId="0" borderId="0" xfId="1" applyNumberFormat="1" applyFont="1" applyAlignment="1">
      <alignment horizontal="right" vertical="center"/>
    </xf>
    <xf numFmtId="0" fontId="92" fillId="7" borderId="4" xfId="1" applyFont="1" applyFill="1" applyBorder="1" applyAlignment="1">
      <alignment horizontal="center"/>
    </xf>
    <xf numFmtId="0" fontId="93" fillId="0" borderId="0" xfId="1" applyFont="1" applyProtection="1">
      <protection locked="0"/>
    </xf>
    <xf numFmtId="0" fontId="22" fillId="0" borderId="0" xfId="1" applyFont="1" applyProtection="1">
      <protection locked="0"/>
    </xf>
    <xf numFmtId="0" fontId="4" fillId="50" borderId="43" xfId="1" applyFont="1" applyFill="1" applyBorder="1" applyAlignment="1" applyProtection="1">
      <alignment horizontal="center"/>
      <protection locked="0"/>
    </xf>
    <xf numFmtId="0" fontId="36" fillId="61" borderId="63" xfId="1" applyFont="1" applyFill="1" applyBorder="1" applyAlignment="1" applyProtection="1">
      <alignment horizontal="center"/>
      <protection locked="0"/>
    </xf>
    <xf numFmtId="49" fontId="4" fillId="9" borderId="15" xfId="1" applyNumberFormat="1" applyFont="1" applyFill="1" applyBorder="1" applyAlignment="1">
      <alignment horizontal="center" wrapText="1"/>
    </xf>
    <xf numFmtId="49" fontId="4" fillId="9" borderId="0" xfId="1" applyNumberFormat="1" applyFont="1" applyFill="1" applyAlignment="1">
      <alignment horizontal="center" wrapText="1"/>
    </xf>
    <xf numFmtId="49" fontId="4" fillId="9" borderId="5" xfId="1" applyNumberFormat="1" applyFont="1" applyFill="1" applyBorder="1" applyAlignment="1">
      <alignment horizontal="center" wrapText="1"/>
    </xf>
    <xf numFmtId="49" fontId="4" fillId="60" borderId="153" xfId="1" applyNumberFormat="1" applyFont="1" applyFill="1" applyBorder="1" applyAlignment="1" applyProtection="1">
      <alignment horizontal="left" wrapText="1"/>
      <protection locked="0"/>
    </xf>
    <xf numFmtId="49" fontId="4" fillId="60" borderId="154" xfId="1" applyNumberFormat="1" applyFont="1" applyFill="1" applyBorder="1" applyAlignment="1" applyProtection="1">
      <alignment horizontal="left" wrapText="1"/>
      <protection locked="0"/>
    </xf>
    <xf numFmtId="49" fontId="4" fillId="60" borderId="155" xfId="1" applyNumberFormat="1" applyFont="1" applyFill="1" applyBorder="1" applyAlignment="1" applyProtection="1">
      <alignment horizontal="left" wrapText="1"/>
      <protection locked="0"/>
    </xf>
    <xf numFmtId="49" fontId="4" fillId="60" borderId="139" xfId="1" applyNumberFormat="1" applyFont="1" applyFill="1" applyBorder="1" applyAlignment="1" applyProtection="1">
      <alignment horizontal="center" vertical="center"/>
      <protection locked="0"/>
    </xf>
    <xf numFmtId="49" fontId="4" fillId="60" borderId="140" xfId="1" applyNumberFormat="1" applyFont="1" applyFill="1" applyBorder="1" applyAlignment="1" applyProtection="1">
      <alignment horizontal="center" vertical="center"/>
      <protection locked="0"/>
    </xf>
    <xf numFmtId="49" fontId="4" fillId="60" borderId="0" xfId="1" applyNumberFormat="1" applyFont="1" applyFill="1" applyAlignment="1" applyProtection="1">
      <alignment horizontal="center" vertical="center"/>
      <protection locked="0"/>
    </xf>
    <xf numFmtId="49" fontId="4" fillId="60" borderId="36" xfId="1" applyNumberFormat="1" applyFont="1" applyFill="1" applyBorder="1" applyAlignment="1" applyProtection="1">
      <alignment horizontal="center" vertical="center"/>
      <protection locked="0"/>
    </xf>
    <xf numFmtId="49" fontId="4" fillId="60" borderId="141" xfId="1" applyNumberFormat="1" applyFont="1" applyFill="1" applyBorder="1" applyAlignment="1" applyProtection="1">
      <alignment horizontal="center" vertical="center"/>
      <protection locked="0"/>
    </xf>
    <xf numFmtId="49" fontId="4" fillId="12" borderId="26" xfId="1" applyNumberFormat="1" applyFont="1" applyFill="1" applyBorder="1" applyAlignment="1">
      <alignment horizontal="center"/>
    </xf>
    <xf numFmtId="49" fontId="4" fillId="12" borderId="27" xfId="1" applyNumberFormat="1" applyFont="1" applyFill="1" applyBorder="1" applyAlignment="1">
      <alignment horizontal="center"/>
    </xf>
    <xf numFmtId="49" fontId="4" fillId="60" borderId="31" xfId="1" applyNumberFormat="1" applyFont="1" applyFill="1" applyBorder="1" applyAlignment="1" applyProtection="1">
      <alignment horizontal="center" vertical="center"/>
      <protection locked="0"/>
    </xf>
    <xf numFmtId="49" fontId="4" fillId="60" borderId="33" xfId="1" applyNumberFormat="1" applyFont="1" applyFill="1" applyBorder="1" applyAlignment="1" applyProtection="1">
      <alignment horizontal="center" vertical="center"/>
      <protection locked="0"/>
    </xf>
    <xf numFmtId="49" fontId="4" fillId="60" borderId="32" xfId="1" applyNumberFormat="1" applyFont="1" applyFill="1" applyBorder="1" applyAlignment="1" applyProtection="1">
      <alignment horizontal="center" vertical="center"/>
      <protection locked="0"/>
    </xf>
    <xf numFmtId="0" fontId="4" fillId="60" borderId="137" xfId="1" applyFont="1" applyFill="1" applyBorder="1" applyAlignment="1" applyProtection="1">
      <alignment horizontal="center"/>
      <protection locked="0"/>
    </xf>
    <xf numFmtId="0" fontId="4" fillId="60" borderId="138" xfId="1" applyFont="1" applyFill="1" applyBorder="1" applyAlignment="1" applyProtection="1">
      <alignment horizontal="center"/>
      <protection locked="0"/>
    </xf>
    <xf numFmtId="49" fontId="90" fillId="0" borderId="0" xfId="1" applyNumberFormat="1" applyFont="1" applyAlignment="1">
      <alignment horizontal="left" vertical="center"/>
    </xf>
    <xf numFmtId="49" fontId="90" fillId="0" borderId="0" xfId="1" applyNumberFormat="1" applyFont="1" applyAlignment="1">
      <alignment horizontal="right"/>
    </xf>
    <xf numFmtId="49" fontId="91" fillId="0" borderId="0" xfId="1" applyNumberFormat="1" applyFont="1" applyAlignment="1">
      <alignment horizontal="left" vertical="center"/>
    </xf>
    <xf numFmtId="49" fontId="91" fillId="0" borderId="0" xfId="1" applyNumberFormat="1" applyFont="1" applyAlignment="1">
      <alignment horizontal="center" vertical="center"/>
    </xf>
    <xf numFmtId="49" fontId="4" fillId="60" borderId="37" xfId="1" applyNumberFormat="1" applyFont="1" applyFill="1" applyBorder="1" applyAlignment="1" applyProtection="1">
      <alignment horizontal="center" vertical="center"/>
      <protection locked="0"/>
    </xf>
    <xf numFmtId="49" fontId="8" fillId="0" borderId="0" xfId="1" applyNumberFormat="1" applyFont="1" applyAlignment="1">
      <alignment horizontal="center"/>
    </xf>
    <xf numFmtId="49" fontId="4" fillId="0" borderId="0" xfId="1" applyNumberFormat="1" applyFont="1" applyAlignment="1" applyProtection="1">
      <alignment horizontal="center" vertical="center"/>
      <protection locked="0"/>
    </xf>
    <xf numFmtId="49" fontId="2" fillId="8" borderId="21" xfId="1" applyNumberFormat="1" applyFont="1" applyFill="1" applyBorder="1" applyAlignment="1">
      <alignment horizontal="center"/>
    </xf>
    <xf numFmtId="49" fontId="3" fillId="8" borderId="22" xfId="1" applyNumberFormat="1" applyFont="1" applyFill="1" applyBorder="1" applyAlignment="1">
      <alignment horizontal="center"/>
    </xf>
    <xf numFmtId="0" fontId="7" fillId="8" borderId="23" xfId="1" applyFont="1" applyFill="1" applyBorder="1" applyAlignment="1">
      <alignment horizontal="center"/>
    </xf>
    <xf numFmtId="0" fontId="4" fillId="60" borderId="29" xfId="1" applyFont="1" applyFill="1" applyBorder="1" applyAlignment="1" applyProtection="1">
      <alignment horizontal="center"/>
      <protection locked="0"/>
    </xf>
    <xf numFmtId="0" fontId="4" fillId="60" borderId="30" xfId="1" applyFont="1" applyFill="1" applyBorder="1" applyAlignment="1" applyProtection="1">
      <alignment horizontal="center"/>
      <protection locked="0"/>
    </xf>
    <xf numFmtId="0" fontId="4" fillId="60" borderId="133" xfId="1" applyFont="1" applyFill="1" applyBorder="1" applyAlignment="1" applyProtection="1">
      <alignment horizontal="center"/>
      <protection locked="0"/>
    </xf>
    <xf numFmtId="0" fontId="4" fillId="60" borderId="130" xfId="1" applyFont="1" applyFill="1" applyBorder="1" applyAlignment="1" applyProtection="1">
      <alignment horizontal="center"/>
      <protection locked="0"/>
    </xf>
    <xf numFmtId="0" fontId="4" fillId="60" borderId="131" xfId="1" applyFont="1" applyFill="1" applyBorder="1" applyAlignment="1" applyProtection="1">
      <alignment horizontal="center"/>
      <protection locked="0"/>
    </xf>
    <xf numFmtId="0" fontId="5" fillId="13" borderId="44" xfId="1" applyFont="1" applyFill="1" applyBorder="1" applyAlignment="1">
      <alignment horizontal="center"/>
    </xf>
    <xf numFmtId="0" fontId="5" fillId="13" borderId="45" xfId="1" applyFont="1" applyFill="1" applyBorder="1" applyAlignment="1">
      <alignment horizontal="center"/>
    </xf>
    <xf numFmtId="0" fontId="5" fillId="13" borderId="52" xfId="1" applyFont="1" applyFill="1" applyBorder="1" applyAlignment="1">
      <alignment horizontal="center"/>
    </xf>
    <xf numFmtId="0" fontId="5" fillId="13" borderId="46" xfId="1" applyFont="1" applyFill="1" applyBorder="1" applyAlignment="1">
      <alignment horizontal="center"/>
    </xf>
    <xf numFmtId="0" fontId="5" fillId="13" borderId="47" xfId="1" applyFont="1" applyFill="1" applyBorder="1" applyAlignment="1" applyProtection="1">
      <alignment horizontal="center"/>
      <protection locked="0"/>
    </xf>
    <xf numFmtId="0" fontId="5" fillId="13" borderId="43" xfId="1" applyFont="1" applyFill="1" applyBorder="1" applyAlignment="1" applyProtection="1">
      <alignment horizontal="center"/>
      <protection locked="0"/>
    </xf>
    <xf numFmtId="0" fontId="5" fillId="13" borderId="48" xfId="1" applyFont="1" applyFill="1" applyBorder="1" applyAlignment="1" applyProtection="1">
      <alignment horizontal="center"/>
      <protection locked="0"/>
    </xf>
    <xf numFmtId="0" fontId="5" fillId="13" borderId="44" xfId="1" applyFont="1" applyFill="1" applyBorder="1" applyAlignment="1" applyProtection="1">
      <alignment horizontal="center"/>
      <protection locked="0"/>
    </xf>
    <xf numFmtId="0" fontId="5" fillId="13" borderId="45" xfId="1" applyFont="1" applyFill="1" applyBorder="1" applyAlignment="1" applyProtection="1">
      <alignment horizontal="center"/>
      <protection locked="0"/>
    </xf>
    <xf numFmtId="0" fontId="5" fillId="13" borderId="46" xfId="1" applyFont="1" applyFill="1" applyBorder="1" applyAlignment="1" applyProtection="1">
      <alignment horizontal="center"/>
      <protection locked="0"/>
    </xf>
    <xf numFmtId="0" fontId="34" fillId="13" borderId="26" xfId="1" applyFont="1" applyFill="1" applyBorder="1" applyAlignment="1" applyProtection="1">
      <alignment horizontal="center"/>
      <protection locked="0"/>
    </xf>
    <xf numFmtId="0" fontId="34" fillId="13" borderId="27" xfId="1" applyFont="1" applyFill="1" applyBorder="1" applyAlignment="1" applyProtection="1">
      <alignment horizontal="center"/>
      <protection locked="0"/>
    </xf>
    <xf numFmtId="0" fontId="34" fillId="13" borderId="19" xfId="1" applyFont="1" applyFill="1" applyBorder="1" applyAlignment="1" applyProtection="1">
      <alignment horizontal="center"/>
      <protection locked="0"/>
    </xf>
    <xf numFmtId="0" fontId="36" fillId="13" borderId="15" xfId="1" applyFont="1" applyFill="1" applyBorder="1" applyAlignment="1" applyProtection="1">
      <alignment horizontal="left" wrapText="1"/>
      <protection locked="0"/>
    </xf>
    <xf numFmtId="0" fontId="36" fillId="13" borderId="0" xfId="1" applyFont="1" applyFill="1" applyAlignment="1" applyProtection="1">
      <alignment horizontal="left" wrapText="1"/>
      <protection locked="0"/>
    </xf>
    <xf numFmtId="0" fontId="36" fillId="13" borderId="14" xfId="1" applyFont="1" applyFill="1" applyBorder="1" applyAlignment="1" applyProtection="1">
      <alignment horizontal="left" wrapText="1"/>
      <protection locked="0"/>
    </xf>
    <xf numFmtId="0" fontId="38" fillId="13" borderId="15" xfId="1" applyFont="1" applyFill="1" applyBorder="1" applyAlignment="1" applyProtection="1">
      <alignment horizontal="left"/>
      <protection locked="0"/>
    </xf>
    <xf numFmtId="0" fontId="38" fillId="13" borderId="0" xfId="1" applyFont="1" applyFill="1" applyAlignment="1" applyProtection="1">
      <alignment horizontal="left"/>
      <protection locked="0"/>
    </xf>
    <xf numFmtId="0" fontId="38" fillId="13" borderId="14" xfId="1" applyFont="1" applyFill="1" applyBorder="1" applyAlignment="1" applyProtection="1">
      <alignment horizontal="left"/>
      <protection locked="0"/>
    </xf>
    <xf numFmtId="0" fontId="36" fillId="13" borderId="15" xfId="1" applyFont="1" applyFill="1" applyBorder="1" applyAlignment="1" applyProtection="1">
      <alignment horizontal="left"/>
      <protection locked="0"/>
    </xf>
    <xf numFmtId="0" fontId="36" fillId="13" borderId="0" xfId="1" applyFont="1" applyFill="1" applyAlignment="1" applyProtection="1">
      <alignment horizontal="left"/>
      <protection locked="0"/>
    </xf>
    <xf numFmtId="0" fontId="36" fillId="13" borderId="14" xfId="1" applyFont="1" applyFill="1" applyBorder="1" applyAlignment="1" applyProtection="1">
      <alignment horizontal="left"/>
      <protection locked="0"/>
    </xf>
    <xf numFmtId="0" fontId="9" fillId="13" borderId="15" xfId="1" applyFont="1" applyFill="1" applyBorder="1" applyAlignment="1" applyProtection="1">
      <alignment horizontal="left"/>
      <protection locked="0"/>
    </xf>
    <xf numFmtId="0" fontId="9" fillId="13" borderId="0" xfId="1" applyFont="1" applyFill="1" applyAlignment="1" applyProtection="1">
      <alignment horizontal="left"/>
      <protection locked="0"/>
    </xf>
    <xf numFmtId="0" fontId="9" fillId="13" borderId="14" xfId="1" applyFont="1" applyFill="1" applyBorder="1" applyAlignment="1" applyProtection="1">
      <alignment horizontal="left"/>
      <protection locked="0"/>
    </xf>
    <xf numFmtId="0" fontId="36" fillId="13" borderId="59" xfId="1" applyFont="1" applyFill="1" applyBorder="1" applyAlignment="1" applyProtection="1">
      <alignment horizontal="left" wrapText="1"/>
      <protection locked="0"/>
    </xf>
    <xf numFmtId="0" fontId="36" fillId="13" borderId="60" xfId="1" applyFont="1" applyFill="1" applyBorder="1" applyAlignment="1" applyProtection="1">
      <alignment horizontal="left" wrapText="1"/>
      <protection locked="0"/>
    </xf>
    <xf numFmtId="0" fontId="36" fillId="13" borderId="61" xfId="1" applyFont="1" applyFill="1" applyBorder="1" applyAlignment="1" applyProtection="1">
      <alignment horizontal="left" wrapText="1"/>
      <protection locked="0"/>
    </xf>
    <xf numFmtId="0" fontId="1" fillId="21" borderId="85" xfId="0" applyFont="1" applyFill="1" applyBorder="1" applyAlignment="1">
      <alignment horizontal="center" vertical="center"/>
    </xf>
    <xf numFmtId="0" fontId="1" fillId="21" borderId="74" xfId="0" applyFont="1" applyFill="1" applyBorder="1" applyAlignment="1">
      <alignment horizontal="center" vertical="center"/>
    </xf>
    <xf numFmtId="0" fontId="1" fillId="21" borderId="86" xfId="0" applyFont="1" applyFill="1" applyBorder="1" applyAlignment="1">
      <alignment horizontal="center" vertical="center"/>
    </xf>
    <xf numFmtId="0" fontId="1" fillId="21" borderId="85" xfId="0" quotePrefix="1" applyFont="1" applyFill="1" applyBorder="1" applyAlignment="1">
      <alignment horizontal="center" vertical="center"/>
    </xf>
    <xf numFmtId="0" fontId="1" fillId="21" borderId="74" xfId="0" quotePrefix="1" applyFont="1" applyFill="1" applyBorder="1" applyAlignment="1">
      <alignment horizontal="center" vertical="center"/>
    </xf>
    <xf numFmtId="0" fontId="1" fillId="21" borderId="86" xfId="0" quotePrefix="1" applyFont="1" applyFill="1" applyBorder="1" applyAlignment="1">
      <alignment horizontal="center" vertical="center"/>
    </xf>
    <xf numFmtId="0" fontId="27" fillId="21" borderId="70" xfId="0" quotePrefix="1" applyFont="1" applyFill="1" applyBorder="1" applyAlignment="1">
      <alignment horizontal="center" vertical="center"/>
    </xf>
    <xf numFmtId="0" fontId="27" fillId="21" borderId="71" xfId="0" quotePrefix="1" applyFont="1" applyFill="1" applyBorder="1" applyAlignment="1">
      <alignment horizontal="center" vertical="center"/>
    </xf>
    <xf numFmtId="0" fontId="27" fillId="21" borderId="72" xfId="0" quotePrefix="1" applyFont="1" applyFill="1" applyBorder="1" applyAlignment="1">
      <alignment horizontal="center" vertical="center"/>
    </xf>
    <xf numFmtId="0" fontId="1" fillId="21" borderId="73" xfId="0" applyFont="1" applyFill="1" applyBorder="1" applyAlignment="1">
      <alignment horizontal="center" vertical="center"/>
    </xf>
    <xf numFmtId="0" fontId="1" fillId="21" borderId="75" xfId="0" applyFont="1" applyFill="1" applyBorder="1" applyAlignment="1">
      <alignment horizontal="center" vertical="center"/>
    </xf>
    <xf numFmtId="0" fontId="1" fillId="21" borderId="73" xfId="0" quotePrefix="1" applyFont="1" applyFill="1" applyBorder="1" applyAlignment="1">
      <alignment horizontal="center" vertical="center"/>
    </xf>
    <xf numFmtId="0" fontId="1" fillId="21" borderId="75" xfId="0" quotePrefix="1" applyFont="1" applyFill="1" applyBorder="1" applyAlignment="1">
      <alignment horizontal="center" vertical="center"/>
    </xf>
    <xf numFmtId="0" fontId="27" fillId="21" borderId="85" xfId="0" quotePrefix="1" applyFont="1" applyFill="1" applyBorder="1" applyAlignment="1">
      <alignment horizontal="center" vertical="center"/>
    </xf>
    <xf numFmtId="0" fontId="27" fillId="21" borderId="74" xfId="0" quotePrefix="1" applyFont="1" applyFill="1" applyBorder="1" applyAlignment="1">
      <alignment horizontal="center" vertical="center"/>
    </xf>
    <xf numFmtId="0" fontId="27" fillId="21" borderId="86" xfId="0" quotePrefix="1" applyFont="1" applyFill="1" applyBorder="1" applyAlignment="1">
      <alignment horizontal="center" vertical="center"/>
    </xf>
  </cellXfs>
  <cellStyles count="92">
    <cellStyle name="20 % - Accent1 2" xfId="7" xr:uid="{00000000-0005-0000-0000-000000000000}"/>
    <cellStyle name="20 % - Accent2 2" xfId="8" xr:uid="{00000000-0005-0000-0000-000001000000}"/>
    <cellStyle name="20 % - Accent3 2" xfId="9" xr:uid="{00000000-0005-0000-0000-000002000000}"/>
    <cellStyle name="20 % - Accent4 2" xfId="10" xr:uid="{00000000-0005-0000-0000-000003000000}"/>
    <cellStyle name="20 % - Accent5 2" xfId="11" xr:uid="{00000000-0005-0000-0000-000004000000}"/>
    <cellStyle name="20 % - Accent6 2" xfId="12" xr:uid="{00000000-0005-0000-0000-000005000000}"/>
    <cellStyle name="20% - Énfasis1 2" xfId="50" xr:uid="{00000000-0005-0000-0000-000006000000}"/>
    <cellStyle name="20% - Énfasis2 2" xfId="51" xr:uid="{00000000-0005-0000-0000-000007000000}"/>
    <cellStyle name="20% - Énfasis3 2" xfId="52" xr:uid="{00000000-0005-0000-0000-000008000000}"/>
    <cellStyle name="20% - Énfasis4 2" xfId="53" xr:uid="{00000000-0005-0000-0000-000009000000}"/>
    <cellStyle name="20% - Énfasis5 2" xfId="54" xr:uid="{00000000-0005-0000-0000-00000A000000}"/>
    <cellStyle name="20% - Énfasis6 2" xfId="55" xr:uid="{00000000-0005-0000-0000-00000B000000}"/>
    <cellStyle name="40 % - Accent1 2" xfId="13" xr:uid="{00000000-0005-0000-0000-00000C000000}"/>
    <cellStyle name="40 % - Accent2 2" xfId="14" xr:uid="{00000000-0005-0000-0000-00000D000000}"/>
    <cellStyle name="40 % - Accent3 2" xfId="15" xr:uid="{00000000-0005-0000-0000-00000E000000}"/>
    <cellStyle name="40 % - Accent4 2" xfId="16" xr:uid="{00000000-0005-0000-0000-00000F000000}"/>
    <cellStyle name="40 % - Accent5 2" xfId="17" xr:uid="{00000000-0005-0000-0000-000010000000}"/>
    <cellStyle name="40 % - Accent6 2" xfId="18" xr:uid="{00000000-0005-0000-0000-000011000000}"/>
    <cellStyle name="40% - Énfasis1 2" xfId="56" xr:uid="{00000000-0005-0000-0000-000012000000}"/>
    <cellStyle name="40% - Énfasis2 2" xfId="57" xr:uid="{00000000-0005-0000-0000-000013000000}"/>
    <cellStyle name="40% - Énfasis3 2" xfId="58" xr:uid="{00000000-0005-0000-0000-000014000000}"/>
    <cellStyle name="40% - Énfasis4 2" xfId="59" xr:uid="{00000000-0005-0000-0000-000015000000}"/>
    <cellStyle name="40% - Énfasis5 2" xfId="60" xr:uid="{00000000-0005-0000-0000-000016000000}"/>
    <cellStyle name="40% - Énfasis6 2" xfId="61" xr:uid="{00000000-0005-0000-0000-000017000000}"/>
    <cellStyle name="60 % - Accent1 2" xfId="19" xr:uid="{00000000-0005-0000-0000-000018000000}"/>
    <cellStyle name="60 % - Accent2 2" xfId="20" xr:uid="{00000000-0005-0000-0000-000019000000}"/>
    <cellStyle name="60 % - Accent3 2" xfId="21" xr:uid="{00000000-0005-0000-0000-00001A000000}"/>
    <cellStyle name="60 % - Accent4 2" xfId="22" xr:uid="{00000000-0005-0000-0000-00001B000000}"/>
    <cellStyle name="60 % - Accent5 2" xfId="23" xr:uid="{00000000-0005-0000-0000-00001C000000}"/>
    <cellStyle name="60 % - Accent6 2" xfId="24" xr:uid="{00000000-0005-0000-0000-00001D000000}"/>
    <cellStyle name="60% - Énfasis1 2" xfId="62" xr:uid="{00000000-0005-0000-0000-00001E000000}"/>
    <cellStyle name="60% - Énfasis2 2" xfId="63" xr:uid="{00000000-0005-0000-0000-00001F000000}"/>
    <cellStyle name="60% - Énfasis3 2" xfId="64" xr:uid="{00000000-0005-0000-0000-000020000000}"/>
    <cellStyle name="60% - Énfasis4 2" xfId="65" xr:uid="{00000000-0005-0000-0000-000021000000}"/>
    <cellStyle name="60% - Énfasis5 2" xfId="66" xr:uid="{00000000-0005-0000-0000-000022000000}"/>
    <cellStyle name="60% - Énfasis6 2" xfId="67" xr:uid="{00000000-0005-0000-0000-000023000000}"/>
    <cellStyle name="Accent1 2" xfId="25" xr:uid="{00000000-0005-0000-0000-000024000000}"/>
    <cellStyle name="Accent2 2" xfId="26" xr:uid="{00000000-0005-0000-0000-000025000000}"/>
    <cellStyle name="Accent3 2" xfId="27" xr:uid="{00000000-0005-0000-0000-000026000000}"/>
    <cellStyle name="Accent4 2" xfId="28" xr:uid="{00000000-0005-0000-0000-000027000000}"/>
    <cellStyle name="Accent5 2" xfId="29" xr:uid="{00000000-0005-0000-0000-000028000000}"/>
    <cellStyle name="Accent6 2" xfId="30" xr:uid="{00000000-0005-0000-0000-000029000000}"/>
    <cellStyle name="Avertissement 2" xfId="31" xr:uid="{00000000-0005-0000-0000-00002A000000}"/>
    <cellStyle name="Buena 2" xfId="80" xr:uid="{00000000-0005-0000-0000-00002B000000}"/>
    <cellStyle name="Calcul 2" xfId="32" xr:uid="{00000000-0005-0000-0000-00002C000000}"/>
    <cellStyle name="Cálculo 2" xfId="75" xr:uid="{00000000-0005-0000-0000-00002D000000}"/>
    <cellStyle name="Celda de comprobación 2" xfId="89" xr:uid="{00000000-0005-0000-0000-00002E000000}"/>
    <cellStyle name="Celda vinculada 2" xfId="76" xr:uid="{00000000-0005-0000-0000-00002F000000}"/>
    <cellStyle name="Cellule liée 2" xfId="33" xr:uid="{00000000-0005-0000-0000-000030000000}"/>
    <cellStyle name="Currency" xfId="4" builtinId="4"/>
    <cellStyle name="Encabezado 4 2" xfId="87" xr:uid="{00000000-0005-0000-0000-000031000000}"/>
    <cellStyle name="Énfasis1 2" xfId="68" xr:uid="{00000000-0005-0000-0000-000032000000}"/>
    <cellStyle name="Énfasis2 2" xfId="69" xr:uid="{00000000-0005-0000-0000-000033000000}"/>
    <cellStyle name="Énfasis3 2" xfId="70" xr:uid="{00000000-0005-0000-0000-000034000000}"/>
    <cellStyle name="Énfasis4 2" xfId="71" xr:uid="{00000000-0005-0000-0000-000035000000}"/>
    <cellStyle name="Énfasis5 2" xfId="72" xr:uid="{00000000-0005-0000-0000-000036000000}"/>
    <cellStyle name="Énfasis6 2" xfId="73" xr:uid="{00000000-0005-0000-0000-000037000000}"/>
    <cellStyle name="Entrada 2" xfId="77" xr:uid="{00000000-0005-0000-0000-000038000000}"/>
    <cellStyle name="Entrée 2" xfId="34" xr:uid="{00000000-0005-0000-0000-000039000000}"/>
    <cellStyle name="Hyperlink" xfId="5" builtinId="8"/>
    <cellStyle name="Incorrecto 2" xfId="78" xr:uid="{00000000-0005-0000-0000-00003A000000}"/>
    <cellStyle name="Insatisfaisant 2" xfId="35" xr:uid="{00000000-0005-0000-0000-00003B000000}"/>
    <cellStyle name="Lien hypertexte 2" xfId="36" xr:uid="{00000000-0005-0000-0000-00003D000000}"/>
    <cellStyle name="Monétaire 2" xfId="90" xr:uid="{00000000-0005-0000-0000-00003F000000}"/>
    <cellStyle name="Neutral 2" xfId="79" xr:uid="{00000000-0005-0000-0000-000040000000}"/>
    <cellStyle name="Neutre 2" xfId="37" xr:uid="{00000000-0005-0000-0000-000041000000}"/>
    <cellStyle name="Normal" xfId="0" builtinId="0"/>
    <cellStyle name="Normal 2" xfId="1" xr:uid="{00000000-0005-0000-0000-000043000000}"/>
    <cellStyle name="Normal 2 2" xfId="2" xr:uid="{00000000-0005-0000-0000-000044000000}"/>
    <cellStyle name="Normal 3" xfId="49" xr:uid="{00000000-0005-0000-0000-000045000000}"/>
    <cellStyle name="Normal 4" xfId="3" xr:uid="{00000000-0005-0000-0000-000046000000}"/>
    <cellStyle name="Normal 4 2" xfId="48" xr:uid="{00000000-0005-0000-0000-000047000000}"/>
    <cellStyle name="Normal 5" xfId="6" xr:uid="{00000000-0005-0000-0000-000048000000}"/>
    <cellStyle name="Normal 5 2" xfId="91" xr:uid="{00000000-0005-0000-0000-000049000000}"/>
    <cellStyle name="Salida 2" xfId="81" xr:uid="{00000000-0005-0000-0000-00004A000000}"/>
    <cellStyle name="Satisfaisant 2" xfId="38" xr:uid="{00000000-0005-0000-0000-00004B000000}"/>
    <cellStyle name="Sortie 2" xfId="39" xr:uid="{00000000-0005-0000-0000-00004C000000}"/>
    <cellStyle name="Texte explicatif 2" xfId="40" xr:uid="{00000000-0005-0000-0000-00004D000000}"/>
    <cellStyle name="Texto de advertencia 2" xfId="74" xr:uid="{00000000-0005-0000-0000-00004E000000}"/>
    <cellStyle name="Texto explicativo 2" xfId="82" xr:uid="{00000000-0005-0000-0000-00004F000000}"/>
    <cellStyle name="Titre 2" xfId="41" xr:uid="{00000000-0005-0000-0000-000050000000}"/>
    <cellStyle name="Titre 1 2" xfId="42" xr:uid="{00000000-0005-0000-0000-000051000000}"/>
    <cellStyle name="Titre 2 2" xfId="43" xr:uid="{00000000-0005-0000-0000-000052000000}"/>
    <cellStyle name="Titre 3 2" xfId="44" xr:uid="{00000000-0005-0000-0000-000053000000}"/>
    <cellStyle name="Titre 4 2" xfId="45" xr:uid="{00000000-0005-0000-0000-000054000000}"/>
    <cellStyle name="Título 1 2" xfId="84" xr:uid="{00000000-0005-0000-0000-000055000000}"/>
    <cellStyle name="Título 2 2" xfId="85" xr:uid="{00000000-0005-0000-0000-000056000000}"/>
    <cellStyle name="Título 3 2" xfId="86" xr:uid="{00000000-0005-0000-0000-000057000000}"/>
    <cellStyle name="Título 4" xfId="83" xr:uid="{00000000-0005-0000-0000-000058000000}"/>
    <cellStyle name="Total 2" xfId="88" xr:uid="{00000000-0005-0000-0000-000059000000}"/>
    <cellStyle name="Total 3" xfId="46" xr:uid="{00000000-0005-0000-0000-00005A000000}"/>
    <cellStyle name="Vérification 2" xfId="47" xr:uid="{00000000-0005-0000-0000-00005B000000}"/>
  </cellStyles>
  <dxfs count="349">
    <dxf>
      <fill>
        <patternFill>
          <bgColor indexed="41"/>
        </patternFill>
      </fill>
    </dxf>
    <dxf>
      <fill>
        <patternFill>
          <bgColor indexed="26"/>
        </patternFill>
      </fill>
    </dxf>
    <dxf>
      <fill>
        <patternFill>
          <bgColor indexed="41"/>
        </patternFill>
      </fill>
    </dxf>
    <dxf>
      <fill>
        <patternFill>
          <bgColor indexed="42"/>
        </patternFill>
      </fill>
    </dxf>
    <dxf>
      <fill>
        <patternFill>
          <bgColor indexed="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color rgb="FFFFFF00"/>
      </font>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fill>
        <patternFill>
          <bgColor rgb="FFFFC000"/>
        </patternFill>
      </fill>
    </dxf>
    <dxf>
      <font>
        <b/>
        <i val="0"/>
      </font>
    </dxf>
    <dxf>
      <font>
        <b/>
        <i val="0"/>
      </font>
    </dxf>
    <dxf>
      <font>
        <b/>
        <i val="0"/>
      </font>
    </dxf>
    <dxf>
      <font>
        <b/>
        <i val="0"/>
      </font>
    </dxf>
    <dxf>
      <font>
        <b/>
        <i val="0"/>
      </font>
    </dxf>
    <dxf>
      <font>
        <b/>
        <i val="0"/>
      </font>
    </dxf>
    <dxf>
      <font>
        <b/>
        <i val="0"/>
      </font>
    </dxf>
    <dxf>
      <font>
        <b/>
        <i val="0"/>
      </font>
    </dxf>
    <dxf>
      <font>
        <color rgb="FFFF0000"/>
      </font>
      <fill>
        <patternFill>
          <bgColor rgb="FFFFC000"/>
        </patternFill>
      </fill>
    </dxf>
    <dxf>
      <fill>
        <patternFill>
          <bgColor rgb="FF66FFFF"/>
        </patternFill>
      </fill>
    </dxf>
    <dxf>
      <fill>
        <patternFill>
          <bgColor rgb="FFFFC000"/>
        </patternFill>
      </fill>
    </dxf>
    <dxf>
      <font>
        <color rgb="FFFF0000"/>
      </font>
      <fill>
        <patternFill>
          <bgColor rgb="FFFFC000"/>
        </patternFill>
      </fill>
    </dxf>
    <dxf>
      <fill>
        <patternFill>
          <bgColor theme="0" tint="-0.34998626667073579"/>
        </patternFill>
      </fill>
    </dxf>
    <dxf>
      <font>
        <color rgb="FFFF0000"/>
      </font>
      <fill>
        <patternFill>
          <bgColor theme="7" tint="0.39994506668294322"/>
        </patternFill>
      </fill>
    </dxf>
    <dxf>
      <fill>
        <patternFill>
          <bgColor theme="0" tint="-0.34998626667073579"/>
        </patternFill>
      </fill>
    </dxf>
    <dxf>
      <font>
        <color rgb="FFFF0000"/>
      </font>
      <fill>
        <patternFill>
          <bgColor theme="7" tint="0.39994506668294322"/>
        </patternFill>
      </fill>
    </dxf>
    <dxf>
      <font>
        <color rgb="FFFFFF00"/>
      </font>
      <fill>
        <patternFill>
          <bgColor rgb="FFFF0000"/>
        </patternFill>
      </fill>
    </dxf>
    <dxf>
      <font>
        <color rgb="FFFF0000"/>
      </font>
      <fill>
        <patternFill>
          <bgColor theme="7" tint="0.39994506668294322"/>
        </patternFill>
      </fill>
    </dxf>
    <dxf>
      <font>
        <color rgb="FFFF0000"/>
      </font>
      <fill>
        <patternFill>
          <bgColor rgb="FFFFC000"/>
        </patternFill>
      </fill>
    </dxf>
    <dxf>
      <font>
        <b/>
        <i val="0"/>
        <color rgb="FF0033CC"/>
      </font>
    </dxf>
    <dxf>
      <font>
        <color theme="1"/>
      </font>
      <fill>
        <patternFill patternType="solid">
          <bgColor rgb="FF66FFFF"/>
        </patternFill>
      </fill>
    </dxf>
    <dxf>
      <font>
        <color rgb="FFFF0000"/>
      </font>
      <fill>
        <patternFill>
          <bgColor rgb="FFFFC000"/>
        </patternFill>
      </fill>
    </dxf>
    <dxf>
      <fill>
        <patternFill>
          <bgColor rgb="FF66FFFF"/>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ill>
        <patternFill>
          <bgColor rgb="FFFFC000"/>
        </patternFill>
      </fill>
    </dxf>
    <dxf>
      <font>
        <color rgb="FFFFFF00"/>
      </font>
      <fill>
        <patternFill>
          <bgColor theme="5" tint="-0.24994659260841701"/>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strike val="0"/>
        <outline val="0"/>
        <shadow val="0"/>
        <u val="none"/>
        <vertAlign val="baseline"/>
        <sz val="10"/>
        <color theme="0"/>
        <name val="Arial"/>
        <family val="2"/>
        <scheme val="none"/>
      </font>
    </dxf>
    <dxf>
      <font>
        <strike val="0"/>
        <outline val="0"/>
        <shadow val="0"/>
        <u val="none"/>
        <vertAlign val="baseline"/>
        <sz val="10"/>
        <color theme="0"/>
        <name val="Arial"/>
        <family val="2"/>
        <scheme val="none"/>
      </font>
    </dxf>
    <dxf>
      <font>
        <strike val="0"/>
        <outline val="0"/>
        <shadow val="0"/>
        <u val="none"/>
        <vertAlign val="baseline"/>
        <sz val="8"/>
        <color auto="1"/>
        <name val="Arial"/>
        <family val="2"/>
        <scheme val="none"/>
      </font>
    </dxf>
    <dxf>
      <font>
        <strike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scheme val="none"/>
      </font>
      <numFmt numFmtId="0" formatCode="General"/>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10"/>
        <color auto="1"/>
        <name val="Arial"/>
        <scheme val="none"/>
      </font>
    </dxf>
    <dxf>
      <numFmt numFmtId="0" formatCode="General"/>
    </dxf>
    <dxf>
      <numFmt numFmtId="0" formatCode="General"/>
    </dxf>
    <dxf>
      <alignment horizontal="general"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border outline="0">
        <right style="thin">
          <color theme="9" tint="0.39997558519241921"/>
        </right>
      </border>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theme="0" tint="-0.34998626667073579"/>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34998626667073579"/>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fill>
        <patternFill patternType="solid">
          <fgColor indexed="64"/>
          <bgColor indexed="43"/>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FF0000"/>
        <name val="Arial"/>
        <family val="2"/>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family val="2"/>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30" formatCode="@"/>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border diagonalUp="0" diagonalDown="0">
        <left style="thin">
          <color indexed="64"/>
        </left>
        <right style="medium">
          <color indexed="64"/>
        </right>
        <top style="thin">
          <color indexed="64"/>
        </top>
        <bottom style="thin">
          <color indexed="64"/>
        </bottom>
        <vertic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ttom style="thin">
          <color indexed="64"/>
        </bottom>
      </border>
    </dxf>
    <dxf>
      <font>
        <b val="0"/>
        <i val="0"/>
        <strike val="0"/>
        <condense val="0"/>
        <extend val="0"/>
        <outline val="0"/>
        <shadow val="0"/>
        <u val="none"/>
        <vertAlign val="baseline"/>
        <sz val="8"/>
        <color rgb="FFFF0000"/>
        <name val="Arial"/>
        <scheme val="none"/>
      </font>
      <fill>
        <patternFill patternType="solid">
          <fgColor indexed="64"/>
          <bgColor indexed="44"/>
        </patternFill>
      </fill>
      <alignment horizontal="center" vertical="bottom" textRotation="0" wrapText="0" indent="0" justifyLastLine="0" shrinkToFit="0" readingOrder="0"/>
      <protection locked="0" hidden="0"/>
    </dxf>
    <dxf>
      <border outline="0">
        <bottom style="medium">
          <color indexed="64"/>
        </bottom>
      </border>
    </dxf>
    <dxf>
      <font>
        <b/>
        <i val="0"/>
        <strike val="0"/>
        <condense val="0"/>
        <extend val="0"/>
        <outline val="0"/>
        <shadow val="0"/>
        <u val="none"/>
        <vertAlign val="baseline"/>
        <sz val="8"/>
        <color auto="1"/>
        <name val="Arial"/>
        <scheme val="none"/>
      </font>
      <numFmt numFmtId="0" formatCode="General"/>
      <fill>
        <patternFill patternType="solid">
          <fgColor indexed="64"/>
          <bgColor indexed="11"/>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FF9933"/>
      <color rgb="FF66FFFF"/>
      <color rgb="FFCCFFFF"/>
      <color rgb="FFFFCC66"/>
      <color rgb="FF0066CC"/>
      <color rgb="FF0033CC"/>
      <color rgb="FFFF99FF"/>
      <color rgb="FF6600FF"/>
      <color rgb="FF9933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152402</xdr:colOff>
      <xdr:row>0</xdr:row>
      <xdr:rowOff>102577</xdr:rowOff>
    </xdr:from>
    <xdr:to>
      <xdr:col>1</xdr:col>
      <xdr:colOff>866777</xdr:colOff>
      <xdr:row>1</xdr:row>
      <xdr:rowOff>278423</xdr:rowOff>
    </xdr:to>
    <xdr:pic>
      <xdr:nvPicPr>
        <xdr:cNvPr id="16387" name="Image 2">
          <a:extLst>
            <a:ext uri="{FF2B5EF4-FFF2-40B4-BE49-F238E27FC236}">
              <a16:creationId xmlns:a16="http://schemas.microsoft.com/office/drawing/2014/main" id="{623B27E2-C330-4ED0-9A33-501C1F98B1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190" y="102577"/>
          <a:ext cx="714375" cy="937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63012</xdr:colOff>
      <xdr:row>0</xdr:row>
      <xdr:rowOff>77666</xdr:rowOff>
    </xdr:from>
    <xdr:to>
      <xdr:col>7</xdr:col>
      <xdr:colOff>777387</xdr:colOff>
      <xdr:row>1</xdr:row>
      <xdr:rowOff>296741</xdr:rowOff>
    </xdr:to>
    <xdr:pic>
      <xdr:nvPicPr>
        <xdr:cNvPr id="3" name="Image 2">
          <a:extLst>
            <a:ext uri="{FF2B5EF4-FFF2-40B4-BE49-F238E27FC236}">
              <a16:creationId xmlns:a16="http://schemas.microsoft.com/office/drawing/2014/main" id="{4AE9344B-4D43-42DC-968F-CB63EBC639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9397" y="77666"/>
          <a:ext cx="7143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48</xdr:col>
      <xdr:colOff>85726</xdr:colOff>
      <xdr:row>1</xdr:row>
      <xdr:rowOff>340612</xdr:rowOff>
    </xdr:from>
    <xdr:to>
      <xdr:col>57</xdr:col>
      <xdr:colOff>183175</xdr:colOff>
      <xdr:row>2</xdr:row>
      <xdr:rowOff>139215</xdr:rowOff>
    </xdr:to>
    <xdr:sp macro="" textlink="">
      <xdr:nvSpPr>
        <xdr:cNvPr id="2" name="Accolade ouvrante 1">
          <a:extLst>
            <a:ext uri="{FF2B5EF4-FFF2-40B4-BE49-F238E27FC236}">
              <a16:creationId xmlns:a16="http://schemas.microsoft.com/office/drawing/2014/main" id="{CFE72DFB-393A-44CE-87B0-C4072530EF78}"/>
            </a:ext>
          </a:extLst>
        </xdr:cNvPr>
        <xdr:cNvSpPr/>
      </xdr:nvSpPr>
      <xdr:spPr>
        <a:xfrm rot="5400000">
          <a:off x="10745620" y="-156840"/>
          <a:ext cx="230891" cy="162144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31</xdr:col>
      <xdr:colOff>25003</xdr:colOff>
      <xdr:row>5</xdr:row>
      <xdr:rowOff>21710</xdr:rowOff>
    </xdr:from>
    <xdr:to>
      <xdr:col>31</xdr:col>
      <xdr:colOff>558405</xdr:colOff>
      <xdr:row>5</xdr:row>
      <xdr:rowOff>142238</xdr:rowOff>
    </xdr:to>
    <xdr:sp macro="" textlink="">
      <xdr:nvSpPr>
        <xdr:cNvPr id="3" name="Accolade ouvrante 2">
          <a:extLst>
            <a:ext uri="{FF2B5EF4-FFF2-40B4-BE49-F238E27FC236}">
              <a16:creationId xmlns:a16="http://schemas.microsoft.com/office/drawing/2014/main" id="{96B11556-433B-4369-9D73-87EBDAA692F4}"/>
            </a:ext>
          </a:extLst>
        </xdr:cNvPr>
        <xdr:cNvSpPr/>
      </xdr:nvSpPr>
      <xdr:spPr>
        <a:xfrm rot="5400000">
          <a:off x="9617228" y="892331"/>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1191659</xdr:colOff>
      <xdr:row>2</xdr:row>
      <xdr:rowOff>27445</xdr:rowOff>
    </xdr:from>
    <xdr:to>
      <xdr:col>30</xdr:col>
      <xdr:colOff>520456</xdr:colOff>
      <xdr:row>3</xdr:row>
      <xdr:rowOff>100030</xdr:rowOff>
    </xdr:to>
    <xdr:sp macro="" textlink="">
      <xdr:nvSpPr>
        <xdr:cNvPr id="4" name="Accolade ouvrante 3">
          <a:extLst>
            <a:ext uri="{FF2B5EF4-FFF2-40B4-BE49-F238E27FC236}">
              <a16:creationId xmlns:a16="http://schemas.microsoft.com/office/drawing/2014/main" id="{32B6771B-75F5-4A36-BEDE-165B4C123C4C}"/>
            </a:ext>
          </a:extLst>
        </xdr:cNvPr>
        <xdr:cNvSpPr/>
      </xdr:nvSpPr>
      <xdr:spPr>
        <a:xfrm rot="5400000">
          <a:off x="10440015" y="502871"/>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22622</xdr:colOff>
      <xdr:row>4</xdr:row>
      <xdr:rowOff>21439</xdr:rowOff>
    </xdr:from>
    <xdr:to>
      <xdr:col>29</xdr:col>
      <xdr:colOff>1029890</xdr:colOff>
      <xdr:row>4</xdr:row>
      <xdr:rowOff>283369</xdr:rowOff>
    </xdr:to>
    <xdr:sp macro="" textlink="">
      <xdr:nvSpPr>
        <xdr:cNvPr id="5" name="Accolade ouvrante 4">
          <a:extLst>
            <a:ext uri="{FF2B5EF4-FFF2-40B4-BE49-F238E27FC236}">
              <a16:creationId xmlns:a16="http://schemas.microsoft.com/office/drawing/2014/main" id="{B5F9D398-2DA7-489E-A33F-BA82D692F726}"/>
            </a:ext>
          </a:extLst>
        </xdr:cNvPr>
        <xdr:cNvSpPr/>
      </xdr:nvSpPr>
      <xdr:spPr>
        <a:xfrm rot="5400000">
          <a:off x="11045432" y="422676"/>
          <a:ext cx="261930" cy="100726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28</xdr:col>
      <xdr:colOff>28576</xdr:colOff>
      <xdr:row>4</xdr:row>
      <xdr:rowOff>254805</xdr:rowOff>
    </xdr:from>
    <xdr:to>
      <xdr:col>28</xdr:col>
      <xdr:colOff>295276</xdr:colOff>
      <xdr:row>5</xdr:row>
      <xdr:rowOff>145261</xdr:rowOff>
    </xdr:to>
    <xdr:sp macro="" textlink="">
      <xdr:nvSpPr>
        <xdr:cNvPr id="6" name="Accolade ouvrante 5">
          <a:extLst>
            <a:ext uri="{FF2B5EF4-FFF2-40B4-BE49-F238E27FC236}">
              <a16:creationId xmlns:a16="http://schemas.microsoft.com/office/drawing/2014/main" id="{EABF58B8-6F12-44FC-B64E-A12BBC90266E}"/>
            </a:ext>
          </a:extLst>
        </xdr:cNvPr>
        <xdr:cNvSpPr/>
      </xdr:nvSpPr>
      <xdr:spPr>
        <a:xfrm rot="5400000">
          <a:off x="10378682" y="1007277"/>
          <a:ext cx="223831"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19050</xdr:colOff>
      <xdr:row>5</xdr:row>
      <xdr:rowOff>95250</xdr:rowOff>
    </xdr:from>
    <xdr:to>
      <xdr:col>35</xdr:col>
      <xdr:colOff>1276349</xdr:colOff>
      <xdr:row>5</xdr:row>
      <xdr:rowOff>257178</xdr:rowOff>
    </xdr:to>
    <xdr:sp macro="" textlink="">
      <xdr:nvSpPr>
        <xdr:cNvPr id="2" name="Accolade ouvrante 1">
          <a:extLst>
            <a:ext uri="{FF2B5EF4-FFF2-40B4-BE49-F238E27FC236}">
              <a16:creationId xmlns:a16="http://schemas.microsoft.com/office/drawing/2014/main" id="{962A0C60-BF02-444B-8CF7-F6E9AEA22946}"/>
            </a:ext>
          </a:extLst>
        </xdr:cNvPr>
        <xdr:cNvSpPr/>
      </xdr:nvSpPr>
      <xdr:spPr>
        <a:xfrm rot="5400000">
          <a:off x="11530011" y="461964"/>
          <a:ext cx="161928" cy="125729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35</xdr:col>
      <xdr:colOff>1323975</xdr:colOff>
      <xdr:row>3</xdr:row>
      <xdr:rowOff>1</xdr:rowOff>
    </xdr:from>
    <xdr:to>
      <xdr:col>36</xdr:col>
      <xdr:colOff>502443</xdr:colOff>
      <xdr:row>4</xdr:row>
      <xdr:rowOff>70516</xdr:rowOff>
    </xdr:to>
    <xdr:sp macro="" textlink="">
      <xdr:nvSpPr>
        <xdr:cNvPr id="3" name="Accolade ouvrante 2">
          <a:extLst>
            <a:ext uri="{FF2B5EF4-FFF2-40B4-BE49-F238E27FC236}">
              <a16:creationId xmlns:a16="http://schemas.microsoft.com/office/drawing/2014/main" id="{3095C73E-C0BD-47C7-A34C-FA9827469DFA}"/>
            </a:ext>
          </a:extLst>
        </xdr:cNvPr>
        <xdr:cNvSpPr/>
      </xdr:nvSpPr>
      <xdr:spPr>
        <a:xfrm rot="5400000">
          <a:off x="12441302" y="474599"/>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34</xdr:col>
      <xdr:colOff>85725</xdr:colOff>
      <xdr:row>6</xdr:row>
      <xdr:rowOff>0</xdr:rowOff>
    </xdr:from>
    <xdr:to>
      <xdr:col>34</xdr:col>
      <xdr:colOff>352425</xdr:colOff>
      <xdr:row>6</xdr:row>
      <xdr:rowOff>144318</xdr:rowOff>
    </xdr:to>
    <xdr:sp macro="" textlink="">
      <xdr:nvSpPr>
        <xdr:cNvPr id="4" name="Accolade ouvrante 3">
          <a:extLst>
            <a:ext uri="{FF2B5EF4-FFF2-40B4-BE49-F238E27FC236}">
              <a16:creationId xmlns:a16="http://schemas.microsoft.com/office/drawing/2014/main" id="{C82382E9-2D48-4080-BAC0-E342C25B2A7D}"/>
            </a:ext>
          </a:extLst>
        </xdr:cNvPr>
        <xdr:cNvSpPr/>
      </xdr:nvSpPr>
      <xdr:spPr>
        <a:xfrm rot="5400000">
          <a:off x="10519641" y="1186584"/>
          <a:ext cx="144318"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571500</xdr:colOff>
      <xdr:row>2</xdr:row>
      <xdr:rowOff>142874</xdr:rowOff>
    </xdr:from>
    <xdr:to>
      <xdr:col>72</xdr:col>
      <xdr:colOff>0</xdr:colOff>
      <xdr:row>4</xdr:row>
      <xdr:rowOff>85727</xdr:rowOff>
    </xdr:to>
    <xdr:sp macro="" textlink="">
      <xdr:nvSpPr>
        <xdr:cNvPr id="6" name="Accolade ouvrante 5">
          <a:extLst>
            <a:ext uri="{FF2B5EF4-FFF2-40B4-BE49-F238E27FC236}">
              <a16:creationId xmlns:a16="http://schemas.microsoft.com/office/drawing/2014/main" id="{F7045936-4719-476C-8862-5FF22B4FBB70}"/>
            </a:ext>
          </a:extLst>
        </xdr:cNvPr>
        <xdr:cNvSpPr/>
      </xdr:nvSpPr>
      <xdr:spPr>
        <a:xfrm rot="5400000">
          <a:off x="15592423" y="-1704974"/>
          <a:ext cx="228603" cy="489585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14288</xdr:colOff>
      <xdr:row>5</xdr:row>
      <xdr:rowOff>175023</xdr:rowOff>
    </xdr:from>
    <xdr:to>
      <xdr:col>37</xdr:col>
      <xdr:colOff>547690</xdr:colOff>
      <xdr:row>5</xdr:row>
      <xdr:rowOff>295551</xdr:rowOff>
    </xdr:to>
    <xdr:sp macro="" textlink="">
      <xdr:nvSpPr>
        <xdr:cNvPr id="7" name="Accolade ouvrante 6">
          <a:extLst>
            <a:ext uri="{FF2B5EF4-FFF2-40B4-BE49-F238E27FC236}">
              <a16:creationId xmlns:a16="http://schemas.microsoft.com/office/drawing/2014/main" id="{CCEB229B-EF1F-41F4-AB12-9F6449D92142}"/>
            </a:ext>
          </a:extLst>
        </xdr:cNvPr>
        <xdr:cNvSpPr/>
      </xdr:nvSpPr>
      <xdr:spPr>
        <a:xfrm rot="5400000">
          <a:off x="13069950" y="882986"/>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65</xdr:col>
      <xdr:colOff>28575</xdr:colOff>
      <xdr:row>6</xdr:row>
      <xdr:rowOff>10715</xdr:rowOff>
    </xdr:from>
    <xdr:to>
      <xdr:col>65</xdr:col>
      <xdr:colOff>276227</xdr:colOff>
      <xdr:row>6</xdr:row>
      <xdr:rowOff>144065</xdr:rowOff>
    </xdr:to>
    <xdr:sp macro="" textlink="">
      <xdr:nvSpPr>
        <xdr:cNvPr id="8" name="Accolade ouvrante 7">
          <a:extLst>
            <a:ext uri="{FF2B5EF4-FFF2-40B4-BE49-F238E27FC236}">
              <a16:creationId xmlns:a16="http://schemas.microsoft.com/office/drawing/2014/main" id="{FFFDA404-0785-49D2-B4ED-1498C7F29382}"/>
            </a:ext>
          </a:extLst>
        </xdr:cNvPr>
        <xdr:cNvSpPr/>
      </xdr:nvSpPr>
      <xdr:spPr>
        <a:xfrm rot="5400000">
          <a:off x="16411576" y="1201339"/>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68</xdr:col>
      <xdr:colOff>14288</xdr:colOff>
      <xdr:row>5</xdr:row>
      <xdr:rowOff>234553</xdr:rowOff>
    </xdr:from>
    <xdr:to>
      <xdr:col>68</xdr:col>
      <xdr:colOff>261940</xdr:colOff>
      <xdr:row>6</xdr:row>
      <xdr:rowOff>34528</xdr:rowOff>
    </xdr:to>
    <xdr:sp macro="" textlink="">
      <xdr:nvSpPr>
        <xdr:cNvPr id="9" name="Accolade ouvrante 8">
          <a:extLst>
            <a:ext uri="{FF2B5EF4-FFF2-40B4-BE49-F238E27FC236}">
              <a16:creationId xmlns:a16="http://schemas.microsoft.com/office/drawing/2014/main" id="{9168F494-B842-4914-B727-ECDAD07F2CBB}"/>
            </a:ext>
          </a:extLst>
        </xdr:cNvPr>
        <xdr:cNvSpPr/>
      </xdr:nvSpPr>
      <xdr:spPr>
        <a:xfrm rot="5400000">
          <a:off x="17254539" y="1091802"/>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70</xdr:col>
      <xdr:colOff>247650</xdr:colOff>
      <xdr:row>6</xdr:row>
      <xdr:rowOff>5953</xdr:rowOff>
    </xdr:from>
    <xdr:to>
      <xdr:col>72</xdr:col>
      <xdr:colOff>3574</xdr:colOff>
      <xdr:row>6</xdr:row>
      <xdr:rowOff>104775</xdr:rowOff>
    </xdr:to>
    <xdr:sp macro="" textlink="">
      <xdr:nvSpPr>
        <xdr:cNvPr id="10" name="Accolade ouvrante 9">
          <a:extLst>
            <a:ext uri="{FF2B5EF4-FFF2-40B4-BE49-F238E27FC236}">
              <a16:creationId xmlns:a16="http://schemas.microsoft.com/office/drawing/2014/main" id="{496008F2-3847-409A-9733-8E18DE159DA3}"/>
            </a:ext>
          </a:extLst>
        </xdr:cNvPr>
        <xdr:cNvSpPr/>
      </xdr:nvSpPr>
      <xdr:spPr>
        <a:xfrm rot="5400000">
          <a:off x="18145126" y="1168002"/>
          <a:ext cx="98822" cy="27027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313703</xdr:colOff>
      <xdr:row>15</xdr:row>
      <xdr:rowOff>85725</xdr:rowOff>
    </xdr:from>
    <xdr:to>
      <xdr:col>15</xdr:col>
      <xdr:colOff>77834</xdr:colOff>
      <xdr:row>36</xdr:row>
      <xdr:rowOff>134451</xdr:rowOff>
    </xdr:to>
    <xdr:pic>
      <xdr:nvPicPr>
        <xdr:cNvPr id="2" name="Image 1">
          <a:extLst>
            <a:ext uri="{FF2B5EF4-FFF2-40B4-BE49-F238E27FC236}">
              <a16:creationId xmlns:a16="http://schemas.microsoft.com/office/drawing/2014/main" id="{AB02EA46-FFAF-4601-9219-03B18415D5B1}"/>
            </a:ext>
          </a:extLst>
        </xdr:cNvPr>
        <xdr:cNvPicPr>
          <a:picLocks noChangeAspect="1"/>
        </xdr:cNvPicPr>
      </xdr:nvPicPr>
      <xdr:blipFill>
        <a:blip xmlns:r="http://schemas.openxmlformats.org/officeDocument/2006/relationships" r:embed="rId1"/>
        <a:stretch>
          <a:fillRect/>
        </a:stretch>
      </xdr:blipFill>
      <xdr:spPr>
        <a:xfrm>
          <a:off x="6695453" y="2667000"/>
          <a:ext cx="5307681" cy="357297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ébastien Scheen" refreshedDate="45386.964920601851" createdVersion="8" refreshedVersion="6" minRefreshableVersion="3" recordCount="3994" xr:uid="{ECCFB5C0-0867-40F0-AC59-6E5E721B8969}">
  <cacheSource type="worksheet">
    <worksheetSource name="Players"/>
  </cacheSource>
  <cacheFields count="14">
    <cacheField name="Player Name" numFmtId="0">
      <sharedItems containsBlank="1" count="4312">
        <s v="Fabio Abate"/>
        <s v="Luigi Abbenante"/>
        <s v="Regis Abboud"/>
        <s v="Ibrahim Amin Abdelkrem"/>
        <s v="Mohd Faizal Abdul Rahman"/>
        <s v="Pascal Abel"/>
        <s v="Nicole Abela"/>
        <s v="Kevin Abeln"/>
        <s v="Bruno Abreu"/>
        <s v="Luís Abreu"/>
        <s v="William Achton Boel"/>
        <s v="Henrique Ãcuna"/>
        <s v="Iván Acuña"/>
        <s v="Joan Acuña Padilla"/>
        <s v="Adoma Adam Ali"/>
        <s v="Eoin Adams"/>
        <s v="Avraam Adavalis"/>
        <s v="Gil Afonso"/>
        <s v="Nelson Afonso"/>
        <s v="Nuno Afonso"/>
        <s v="Giannis Afratis"/>
        <s v="Nicos Agelakis"/>
        <s v="Paraskevas Aggelakos"/>
        <s v="Dimitris Aggelou"/>
        <s v="Ian Aggett"/>
        <s v="Roberto Agirmo"/>
        <s v="Paolo Matteo Agostinelli"/>
        <s v="Paulo Agra"/>
        <s v="Christos Agrios"/>
        <s v="Theodoros Agrios"/>
        <s v="Mohd Ezan Ahmad"/>
        <s v="Mohd Rizal Ahmad"/>
        <s v="Lorenzo Aiani"/>
        <s v="Pietro Aiani"/>
        <s v="Vasilis Aivasliotis"/>
        <s v="Hina Akimoto"/>
        <s v="Pothiti Alatsaki"/>
        <s v="Christoforos Alatsakis"/>
        <s v="Tomás Albuquerque"/>
        <s v="Peter Alegi"/>
        <s v="Carlo Alessi"/>
        <s v="Giacomo Alessi"/>
        <s v="Mark Alexander"/>
        <s v="Dimitris Arnis Alexandrou"/>
        <s v="Konstantinos Alexiou"/>
        <s v="Isaac Alfaro"/>
        <s v="Ismail Alfian"/>
        <s v="Andrea Alfonsi"/>
        <s v="Franco Alfonso"/>
        <s v="Panagiotis Aliadis"/>
        <s v="Gabriele Allegria"/>
        <s v="Trevor Allen"/>
        <s v="Aaron Allison"/>
        <s v="André Almeida"/>
        <s v="Lucas Almeida"/>
        <s v="Joseba Alonso"/>
        <s v="Guillem Alsina"/>
        <s v="Lawrence Alvarez"/>
        <s v="Gabriel Alves"/>
        <s v="João Alves"/>
        <s v="Nuno Alves"/>
        <s v="Giorgio Amabile"/>
        <s v="Ryota Amano"/>
        <s v="Gil Amaro"/>
        <s v="Miguel Amaro"/>
        <s v="Pedro Amaro"/>
        <s v="Tomás Amaro"/>
        <s v="Biagio Amata"/>
        <s v="Alessandro Amatelli"/>
        <s v="Jean-Marie Amberny"/>
        <s v="Max Ambrosio"/>
        <s v="Dionisis Anagnostopoulos"/>
        <s v="Genny Ancarola"/>
        <s v="Jérémy Ancion"/>
        <s v="Andrea Anderlini"/>
        <s v="Ulrik Andersen"/>
        <s v="José Andrade De Almeida"/>
        <s v="Dimitrios Andreadis"/>
        <s v="Paul Andreas"/>
        <s v="Frank Andreasen"/>
        <s v="Felipe Andreassi"/>
        <s v="Andrea Andreoni"/>
        <s v="Andy Andronikou"/>
        <s v="Georgios Androutsopoulos"/>
        <s v="Ioannis Androutsopoulos"/>
        <s v="Christos Angelinas"/>
        <s v="Georgios Angelinas"/>
        <s v="Vasileios Angelopoulos"/>
        <s v="Nicola Annese"/>
        <s v="Vincenzo Annese"/>
        <s v="Andrea Anselmi"/>
        <s v="Matteo Antelmi"/>
        <s v="Martin Antoine"/>
        <s v="Zacharias Antonakis"/>
        <s v="Nikolaos Antonaropoulos"/>
        <s v="Diego Antonio de Lima"/>
        <s v="Loukas Antoniou"/>
        <s v="Christos Antonopoulos"/>
        <s v="Spiros Antonopoulos"/>
        <s v="Thodoris Antonopoulos"/>
        <s v="Kevin Antoszewski"/>
        <s v="Antonio Antúnez"/>
        <s v="Cristian Antúnez"/>
        <s v="Danilo Aparecido Mendonça Pereira"/>
        <s v="Alexandros Apatzis"/>
        <s v="Nikitas Apatzis"/>
        <s v="Gerasimos Apergis"/>
        <s v="Alberto Apollo"/>
        <s v="Konstantinos Apostolidis"/>
        <s v="Michail Apostolidis"/>
        <s v="Vasileios Apostolidis"/>
        <s v="Platonas Apostolopoulos"/>
        <s v="Antonis Apostolou"/>
        <s v="Giorgos Apostolou"/>
        <s v="Charles Aquilina"/>
        <s v="Kostas Arabatzis"/>
        <s v="Nikolaos Arabatzis"/>
        <s v="Álex Araujo"/>
        <s v="Pedro Araújo"/>
        <s v="Alessandro Arca"/>
        <s v="Christos Archimandritis"/>
        <s v="Veronica Ardeleanou"/>
        <s v="Laurent Arduise"/>
        <s v="Luigi Arena"/>
        <s v="Fedde Aret"/>
        <s v="Xavier Aret"/>
        <s v="Panagiotis Argirakoulis"/>
        <s v="Konstantinos Argiris"/>
        <s v="Alexandros Argyrakoulis"/>
        <s v="Stavros Argyropoulos"/>
        <s v="Valantis Argyropoulos"/>
        <s v="Vasilios Argyropoulos"/>
        <s v="Nikolaos Argyros"/>
        <s v="Luca Ariano"/>
        <s v="Erza Aripin"/>
        <s v="Aiman Arjuna"/>
        <s v="Leonardo Armani"/>
        <s v="Alessandro Armelleschi"/>
        <s v="Matthew Armstrong"/>
        <s v="Thierry Arnaudin"/>
        <s v="Bryan Arnold"/>
        <s v="Kye Arnold"/>
        <s v="Terry Arnold"/>
        <s v="Emanuele Arrighetti"/>
        <s v="Riccardo Arrighi"/>
        <s v="José Humberto Arruda"/>
        <s v="Nikoletta Arvanitaki"/>
        <s v="Thomas Arvanitakis"/>
        <s v="Georgios Arvanitis"/>
        <s v="Nikolaos Arvanitis"/>
        <s v="Spyridon Arvanitis"/>
        <s v="Kyriakos Arzoumanidis"/>
        <s v="Azan Asbi"/>
        <s v="Alexander Ashcroft"/>
        <s v="Brendan Ashley"/>
        <s v="Christos Asimakopoulos"/>
        <s v="Gerasimos Asimakopoulos"/>
        <s v="Ricardo Asso"/>
        <s v="Georgios Athanasopoulos"/>
        <s v="Gianfranco Attanasio"/>
        <s v="Walter Joseph Attard"/>
        <s v="Billy Attwood"/>
        <s v="Laurent Ausset"/>
        <s v="Quentin Ausset"/>
        <s v="Steve Austin"/>
        <s v="Francis Avellano"/>
        <s v="Leon Avellano"/>
        <s v="Matthias Averlant"/>
        <s v="Dafne Averna"/>
        <s v="Marco Averna"/>
        <s v="Massimo Averna"/>
        <s v="Vasileios Avgeas"/>
        <s v="Georgios M Avgitidis"/>
        <s v="Georgios N Avgitidis"/>
        <s v="Miltiadis Avgitidis"/>
        <s v="Nikolaos Avgitidis"/>
        <s v="Panagiotis Axiomakaros"/>
        <s v="Muhd Azim Haikal Azhar"/>
        <s v="Hisham Azman"/>
        <s v="Nur Hazely Azman"/>
        <s v="Alberto Azzali"/>
        <s v="Arturo Azzaro"/>
        <s v="Deisler Azzopardi Conti"/>
        <s v="Sumit Babel"/>
        <s v="Viaan Babel"/>
        <s v="Davide Bacchin"/>
        <s v="Stefano Bacchin"/>
        <s v="Marco Bacci"/>
        <s v="Ennio Bacich"/>
        <s v="Gianmarco Bacigalupo"/>
        <s v="Gage Badger"/>
        <s v="Richard Badger"/>
        <s v="Daniel Badziung"/>
        <s v="Manuel Baena"/>
        <s v="Pablo Baeza"/>
        <s v="Paolo Baglioni"/>
        <s v="Bruno Bagnato"/>
        <s v="Alex Bahr"/>
        <s v="Muhd Firdaus Bahrin"/>
        <s v="Athina Baira"/>
        <s v="Tasos Bairas"/>
        <s v="Vaggelis Bairas"/>
        <s v="Stelios Bairasm Jr"/>
        <s v="Marco Baj"/>
        <s v="Hussein Bakshi"/>
        <s v="Shaan Bal"/>
        <s v="Guillem Balaguer"/>
        <s v="Alexandros Balakakis"/>
        <s v="Jean-François Balard"/>
        <s v="Matteo Balboni"/>
        <s v="Mark Baldacchino"/>
        <s v="Armando Balestrieri"/>
        <s v="Massimo Balestrieri"/>
        <s v="Andrea Balestrucci"/>
        <s v="Patrizio Balice"/>
        <s v="Davide Balito"/>
        <s v="Jonny Ball"/>
        <s v="Jurgen Balzan"/>
        <s v="Romualdo Balzano"/>
        <s v="Jonathan Bambagioni"/>
        <s v="Günther Bamberzky"/>
        <s v="Leif Bancherus"/>
        <s v="Mario Banditelli"/>
        <s v="Tony Banks"/>
        <s v="Kevin Bao"/>
        <s v="Andrea Barabino"/>
        <s v="Luca Baraldi"/>
        <s v="Gian Marco Baratella"/>
        <s v="Massimiliano Barattucci"/>
        <s v="Alberto Baratucci"/>
        <s v="Stefano Barbani"/>
        <s v="Dimitris Barbaris"/>
        <s v="Kostas Barbaris"/>
        <s v="Massimiliano Barbieri"/>
        <s v="João Tassio Barbosa de Farias"/>
        <s v="Luciano Barcelos"/>
        <s v="Federico Bardari"/>
        <s v="Stefano Bardari"/>
        <s v="Stefano Barducci"/>
        <s v="Antonis Bargilly"/>
        <s v="Baver Bari"/>
        <s v="Maria Bari"/>
        <s v="Rossella Bari"/>
        <s v="Saverio Bari"/>
        <s v="Massimo Barisone"/>
        <s v="Darren Barnes"/>
        <s v="Flyn Barnes"/>
        <s v="Arç Barnola"/>
        <s v="Valter Baroncini"/>
        <s v="Luigi Barone"/>
        <s v="Massimo Barone"/>
        <s v="Diego Barone Sánchez"/>
        <s v="Luigi Baroni"/>
        <s v="Stefano Barontini"/>
        <s v="Gábor Baross"/>
        <s v="Zoltán Baross"/>
        <s v="Marco Barqueiro"/>
        <s v="Chris Barron"/>
        <s v="Abramo Bartolini"/>
        <s v="Samuel Bartolo"/>
        <s v="Paolo Bartolomeo"/>
        <s v="Athanasios Bartzis"/>
        <s v="Ektoras Bartzis"/>
        <s v="Melvin Barun"/>
        <s v="Dirk Bärwald"/>
        <s v="Volker Bärwald"/>
        <s v="Giuseppe Basile"/>
        <s v="Raffaele Basile"/>
        <s v="Olivier Bastin"/>
        <s v="Alex Batacchi"/>
        <s v="Isabel Batacchi"/>
        <s v="Georgios Batalis"/>
        <s v="Giuseppe Battaglia"/>
        <s v="Benji Batten"/>
        <s v="Ciro Battipaglia"/>
        <s v="Luca Battista"/>
        <s v="Umberto Battista"/>
        <s v="Bernd Bauer"/>
        <s v="K. S. Bavasuryan"/>
        <s v="Dave Baxter"/>
        <s v="David Baxter"/>
        <s v="Tommaso Bazzoli"/>
        <s v="Giampaolo Beani"/>
        <s v="Ludovic Beauvais"/>
        <s v="Filippo Becattini"/>
        <s v="Camilla Bech Kaysen"/>
        <s v="Volker Becker"/>
        <s v="Kévin Beckers"/>
        <s v="Tiberio Becucci"/>
        <s v="Chris Bedford"/>
        <s v="Kenneth Beggs"/>
        <s v="Dimitrios Begnis"/>
        <s v="Ioannis Begnis"/>
        <s v="Michael Beifuß"/>
        <s v="Nikolaos Beis"/>
        <s v="Chris Belcher"/>
        <s v="Ryan Belcher"/>
        <s v="Tacito Belfort de Moura"/>
        <s v="Fabio Belisario"/>
        <s v="Elliott Bellefontaine"/>
        <s v="Francesca Bellefontaine"/>
        <s v="Martin Bellefontaine"/>
        <s v="Gianni Belli"/>
        <s v="Flavio Bellingeri"/>
        <s v="Fabio Belloni"/>
        <s v="Edoardo Bellotto"/>
        <s v="Pedro Benavent"/>
        <s v="Mattia Benecchi"/>
        <s v="Gionata Benedetti"/>
        <s v="Christian Benedi"/>
        <s v="Álvaro Benita"/>
        <s v="Raúl Benita"/>
        <s v="Rubén Benita"/>
        <s v="Kaspar Bennett"/>
        <s v="Steve Bennett"/>
        <s v="Francisco Bento"/>
        <s v="Gabriel Bento"/>
        <s v="Jonas Bentzen"/>
        <s v="Francesco Benussi"/>
        <s v="Antonio Berardi"/>
        <s v="Carlo Alfredo Beretta"/>
        <s v="Enrico Bergamasco"/>
        <s v="Anders Bergane"/>
        <s v="Jon Henning Bergane"/>
        <s v="Thomas Bergholz"/>
        <s v="Riccardo Berioli"/>
        <s v="Richard Berliaque"/>
        <s v="Luigi Berlinghieri"/>
        <s v="Junior Alejandro Bermudo"/>
        <s v="Lena Bernard"/>
        <s v="Paul Bernard"/>
        <s v="Daniele Emiliano Bernardi"/>
        <s v="Paolo Bernardini"/>
        <s v="Roman Bernhardsgrütter"/>
        <s v="Colin Berry"/>
        <s v="Daniele Bertelli"/>
        <s v="Simone Bertelli"/>
        <s v="Elodie Bertholet"/>
        <s v="Fabrizio Bertolini"/>
        <s v="Mauro Bertolini"/>
        <s v="Claudio Besate"/>
        <s v="Andy Beskaby"/>
        <s v="Hugh Best"/>
        <s v="Vlademir Betaressi"/>
        <s v="Nicolas BÉTHENCOURT"/>
        <s v="Andrea Bevilacqua"/>
        <s v="Costantino Bevilacqua"/>
        <s v="Marco Bevilacqua"/>
        <s v="Pierluigi Bevilacqua"/>
        <s v="Éder Sergio Bezerra de Souza"/>
        <s v="Alan Bianchi"/>
        <s v="Pierluigi Bianchi"/>
        <s v="Fabio Bianco"/>
        <s v="Pierluigi Bianco"/>
        <s v="Davide Biasci"/>
        <s v="Claudio Bicchi"/>
        <s v="Ernest Bickerstaff"/>
        <s v="Luca Bignardi"/>
        <s v="Samuele Bignardi"/>
        <s v="Jacob Bijlstra"/>
        <s v="Thierry Biliotti"/>
        <s v="Alessandro Billi"/>
        <s v="Dario Bilucaglia"/>
        <s v="Valerio Bilucaglia"/>
        <s v="Emmanouil Bimplis"/>
        <s v="Haziq Idraki Bin Aidil"/>
        <s v="Fanddy Bin Halil"/>
        <s v="Aidil Bin Idris"/>
        <s v="Azhari Bin Isnin"/>
        <s v="Khairil Zam Bin Kamaruzaman"/>
        <s v="Fathul Rahman Bin Kamsani"/>
        <s v="Yazid Bin Mohamoad"/>
        <s v="Mohamad Zaffinoor, Kassim Bin Mohd"/>
        <s v="Nor Afiq Bin Norizal"/>
        <s v="Nor Aniq Bin Norizal"/>
        <s v="Muhammad Salihin Bin Rosli"/>
        <s v="Mohammed Irwan Bin Sahir"/>
        <s v="Azlan Bin Sidek"/>
        <s v="Izham Bin Sidek"/>
        <s v="Syabil Marzuq Bin Sulaiman"/>
        <s v="Danny Bird"/>
        <s v="Alfredo Biscardi"/>
        <s v="Angelo Bisio"/>
        <s v="Luca Bisio"/>
        <s v="Periklis Biskinis"/>
        <s v="Georgios Bizas"/>
        <s v="Mickaël Blanc"/>
        <s v="Martin Blanchard"/>
        <s v="Julien Blanchon"/>
        <s v="Jesús Blanco"/>
        <s v="Christian Blümel"/>
        <s v="Marco Bocci"/>
        <s v="Franco Bochicchio"/>
        <s v="Carsten Bock"/>
        <s v="Stephan Boddenberg"/>
        <s v="Simon Bodily"/>
        <s v="Marcello Bodin De Chatelard"/>
        <s v="Henrik Boer"/>
        <s v="Achilleas Bogdanidis"/>
        <s v="Alex Bogdanidis"/>
        <s v="Dimitris Bogdanidis"/>
        <s v="Jonas Bøge"/>
        <s v="Alban Boigeol"/>
        <s v="Andrea Bolognino"/>
        <s v="Massimo Bolognino"/>
        <s v="René Bolte"/>
        <s v="Corentin Boltz"/>
        <s v="Cyril Bolusset"/>
        <s v="Noé Bolusset"/>
        <s v="Francesco Bombacigno"/>
        <s v="Danilo Bonanni"/>
        <s v="Luciano Bonardi"/>
        <s v="Jose Luis Bonavia"/>
        <s v="Marco Bonciani"/>
        <s v="Samuele Bonciani"/>
        <s v="Jared Bond"/>
        <s v="Clément Bondi"/>
        <s v="Frédéric Bondi"/>
        <s v="Marco Bonelli"/>
        <s v="Pietro Bonfante"/>
        <s v="Giulio Bonfanti"/>
        <s v="Hélène Boniface"/>
        <s v="Cyprien Bonnet"/>
        <s v="Adrian Bonnici"/>
        <s v="Alfred Bonnici"/>
        <s v="Jamie Bonnici"/>
        <s v="Jayden Bonnici"/>
        <s v="Jeshua Bonnici"/>
        <s v="Jordan Bonte"/>
        <s v="Muhd Adam Ihsan Boon"/>
        <s v="Owen Boon"/>
        <s v="Jeremy Boothman"/>
        <s v="Ferran Borbones"/>
        <s v="Angelo Borg"/>
        <s v="Joseph Borg Bonaci"/>
        <s v="Fabio Borges"/>
        <s v="Maurizio Borgna"/>
        <s v="Francesco Borgo"/>
        <s v="Guglielmo Boroli"/>
        <s v="Marco Borriello"/>
        <s v="Alberto Borsani"/>
        <s v="Massimiliano Boschi"/>
        <s v="Ricardo Botas"/>
        <s v="Jadin Botticelli"/>
        <s v="Alessio Bottino"/>
        <s v="Charlotte Bouchez"/>
        <s v="Corentin Bouchez"/>
        <s v="Denis Bouchez"/>
        <s v="David Boulanger"/>
        <s v="Richard Boulanger"/>
        <s v="Marios Bourtzonis"/>
        <s v="Marianna Bouzid"/>
        <s v="Tim Bowen"/>
        <s v="Andrew Boyer"/>
        <s v="Paul Boyle"/>
        <s v="Davide Bozzano"/>
        <s v="Alessandro Bracali"/>
        <s v="Christophe Brach"/>
        <s v="Tom Brach"/>
        <s v="Kim Bradke"/>
        <s v="Jeremy Bradley"/>
        <s v="Lochlin Bradley"/>
        <s v="Martinog Bradley"/>
        <s v="Tony Braham"/>
        <s v="Luigi Brandi"/>
        <s v="Vincenzo Brandi"/>
        <s v="Josh Braun"/>
        <s v="Svein Arne Brekke"/>
        <s v="Jonty Brener"/>
        <s v="Guido Brescia"/>
        <s v="Steven Breselg"/>
        <s v="Francesco Bressi"/>
        <s v="Derek Brierley"/>
        <s v="Stuart Briffett"/>
        <s v="Isaac Brignon-Kiegl"/>
        <s v="Nick Brill"/>
        <s v="Maurizio Brillantino"/>
        <s v="Georgios Briskolas"/>
        <s v="Marco Bronzetti"/>
        <s v="Geoffrey Brown"/>
        <s v="Marco Brunelli"/>
        <s v="Agustin Bruno"/>
        <s v="Mads Bryder"/>
        <s v="Michael Buccheri"/>
        <s v="Salvatore Buccheri"/>
        <s v="Pierpaolo Bucci"/>
        <s v="Anders Buhl Hansen"/>
        <s v="Ricardo Buldorini"/>
        <s v="Fazlur Rahman Bun Kamsani"/>
        <s v="Gaetano Buono"/>
        <s v="Gianluca Buono"/>
        <s v="Lorenzo Buono"/>
        <s v="Stefano Buono"/>
        <s v="Chris Burford"/>
        <s v="Tom Burns"/>
        <s v="Paul Burt"/>
        <s v="Shaun Burt"/>
        <s v="David Busch"/>
        <s v="Thomas Busch"/>
        <s v="Roberto Buscicchio"/>
        <s v="Alexander Büsing"/>
        <s v="Thossa Büsing"/>
        <s v="Victoria Büsing"/>
        <s v="Joachim Busmann"/>
        <s v="Michele Bussotti"/>
        <s v="Dave Butler"/>
        <s v="Brian Butterworth"/>
        <s v="Eleonora Buttitta"/>
        <s v="Stefano Buzzi"/>
        <s v="Simone Buzzo"/>
        <s v="Mike Byrd"/>
        <s v="Francesco Cacciapuoti"/>
        <s v="Sacha Cacioppo"/>
        <s v="Stefano Cafaggi"/>
        <s v="Alessandro Cafiero"/>
        <s v="Vincenzo Calabrese"/>
        <s v="Daniele Vittorio Calcagno"/>
        <s v="Alessandro Giordano Caldarola"/>
        <s v="Francis Callot"/>
        <s v="Joseph Calò"/>
        <s v="Gianfranco Calonico"/>
        <s v="Carmelo Calvo"/>
        <s v="Stefano Calzeroni"/>
        <s v="David Cambi"/>
        <s v="Gioacchino Camerini"/>
        <s v="Gianluigi Camerlingo"/>
        <s v="Emanuel Camilleri"/>
        <s v="Isaac Sam Camilleri"/>
        <s v="Josef Camilleri"/>
        <s v="Mario Camilleri"/>
        <s v="Mauro Camilleri"/>
        <s v="Antonino Campagna"/>
        <s v="Goffredo Campagna"/>
        <s v="Martin Campbell"/>
        <s v="Ricardo Campos"/>
        <s v="Massimiliano Canale"/>
        <s v="Julio Candelas"/>
        <s v="Christian Canessa"/>
        <s v="Eric Fasce Canessa"/>
        <s v="Lucio Canicchio"/>
        <s v="Jason Canilla"/>
        <s v="Luis Cano"/>
        <s v="Eduardo Canocchiari"/>
        <s v="Carlo Cantalini"/>
        <s v="Massimiliano Capaccioli"/>
        <s v="Luca Capellacci"/>
        <s v="Andrea Capelli"/>
        <s v="Guido Capobianco"/>
        <s v="Alberto Capoferri"/>
        <s v="Stefano Capossela"/>
        <s v="Mirko Cappelli"/>
        <s v="Piero Capponi"/>
        <s v="Michel Capra"/>
        <s v="Alfredo Caprioli"/>
        <s v="Antonio Carabillo"/>
        <s v="Nicholas Carabillo"/>
        <s v="Placido Carbonaro"/>
        <s v="Roberto Carbonaro"/>
        <s v="Andrea Cardia"/>
        <s v="Stefano Cardinale"/>
        <s v="Bernardo Cardoso"/>
        <s v="Ilario Care"/>
        <s v="Filippo Careddu"/>
        <s v="Albert Carles Prat"/>
        <s v="Ricard Carles Prat"/>
        <s v="Leonardo Carlucci"/>
        <s v="Keith Carman"/>
        <s v="Maria Joao Carmo"/>
        <s v="Simon Carmona"/>
        <s v="Halisson Carneiro da Siva"/>
        <s v="Renato César Carneiro dos Santos"/>
        <s v="Fabrizio Carnino"/>
        <s v="Nicola Carnino"/>
        <s v="Gregorio Caro Solis"/>
        <s v="Roberto Carrara"/>
        <s v="Paolo Carravetta"/>
        <s v="Francesco Caruso"/>
        <s v="Hugo Carvalho"/>
        <s v="Luiz Carvalho"/>
        <s v="João Paulo Casaca"/>
        <s v="Tomaso Casagrande"/>
        <s v="Simone Casale"/>
        <s v="Alessandro Casanova"/>
        <s v="José Casas"/>
        <s v="Gabriele Casati"/>
        <s v="Fabio Casciano"/>
        <s v="Michaël Casciano"/>
        <s v="Giuseppe Cascioli"/>
        <s v="Pavlos Caseley"/>
        <s v="Andrea Casentini"/>
        <s v="Antonio Jesús Casín"/>
        <s v="Enrico Cassani"/>
        <s v="Costantino Francesco Cassano"/>
        <s v="Thiago Dias Cassis"/>
        <s v="José M. Castellano"/>
        <s v="Mauro Castiglioni"/>
        <s v="Mario Castillo"/>
        <s v="Miguel Castro"/>
        <s v="Cristoforo Cristiano Catalanotto"/>
        <s v="Luca Cataldo"/>
        <s v="Emanuele Cattani"/>
        <s v="Piercarlo Cattellani"/>
        <s v="Ismaele Caurla"/>
        <s v="Natan Caurla"/>
        <s v="Giancarlo Cavanna Cavanna"/>
        <s v="Fabrizio Cavazza"/>
        <s v="Marco Caviglia"/>
        <s v="Marino Caviglia"/>
        <s v="Micael Caviglia"/>
        <s v="Costantino Cavone"/>
        <s v="Francisco Cayuela"/>
        <s v="Eric Cazala"/>
        <s v="Roberto Cecchi"/>
        <s v="Filippo Cecchini"/>
        <s v="Flavio Celandroni"/>
        <s v="Francesco Celotto"/>
        <s v="Ettore Cencini"/>
        <s v="Giulio Centonze"/>
        <s v="Abel Cepa"/>
        <s v="Guido Cerullo"/>
        <s v="Livio Cerullo"/>
        <s v="Michele Cerullo"/>
        <s v="Nicolò Cerullo"/>
        <s v="Jos Ceulemans"/>
        <s v="Greta Cevolani"/>
        <s v="Charalampos Chaitas"/>
        <s v="Athanasios Chaliotis"/>
        <s v="Konstantinos Chaliotis"/>
        <s v="Sotirios Chalkias"/>
        <s v="Eleftherios Chalkidis"/>
        <s v="Theocharis Chalkidis"/>
        <s v="Bailey Challinor"/>
        <s v="Tanishq Vikas Chandiramani"/>
        <s v="Vikas K Chandiramani"/>
        <s v="Xin Yu Chang"/>
        <s v="Ioannis Chanos"/>
        <s v="Konstantinos Chanos"/>
        <s v="Michail I Chanos"/>
        <s v="Michail K Chanos"/>
        <s v="Spyridon Chantzaras"/>
        <s v="Hadley Chapman"/>
        <s v="Nicolas Chappell"/>
        <s v="Konstantinos Charalambou"/>
        <s v="Charalambos Charalampidis"/>
        <s v="Panagiotis Charamis"/>
        <s v="Nikolaos Charatsis"/>
        <s v="Panagiotis Charatsis"/>
        <s v="George Charizopoulos"/>
        <s v="Alexander Charles"/>
        <s v="Charilaos Chasoulidis"/>
        <s v="Ioannis Chasoulidis"/>
        <s v="Eleftherios Chatzakis"/>
        <s v="Theodoros Chatzidialechtos"/>
        <s v="Charis Chatziplaton"/>
        <s v="Emmanouil Chatzistavrakis"/>
        <s v="Manousos Chatzistavrakis"/>
        <s v="Ioannis Chatzitheodorou"/>
        <s v="Alkaios Chazarakis"/>
        <s v="Dimosthenis Cheiras"/>
        <s v="Marios Cheiras"/>
        <s v="Hugo Chennevriere"/>
        <s v="Adam Cheong"/>
        <s v="Jonathan Cheong"/>
        <s v="Cheow Hwa Cheow Hwa"/>
        <s v="Matteo Cherici"/>
        <s v="Frank Chetcuti Dimech"/>
        <s v="Francesco Chianale"/>
        <s v="Aldo Chianucci"/>
        <s v="Davide Chiapolino"/>
        <s v="Gabriel Chiappetta"/>
        <s v="Giovanni Chiappetta"/>
        <s v="Claudio Chiara"/>
        <s v="Roberto Chicco"/>
        <s v="Mike Chieffallo"/>
        <s v="Antonio Chieppa"/>
        <s v="Riccardo Chieppa"/>
        <s v="Emmanouil Chiotis"/>
        <s v="Michalis Chiotis"/>
        <s v="Filippo Chiovari"/>
        <s v="Fotis Chondroudakis"/>
        <s v="Giovanni Choong"/>
        <s v="Michael Choong"/>
        <s v="Michail Christidis"/>
        <s v="Gareth Christie"/>
        <s v="Apostolos Christodoulou"/>
        <s v="Kostas Christodoulou"/>
        <s v="Kleanthos Christoforou"/>
        <s v="Jason Christopher"/>
        <s v="Orestis Christopoulos"/>
        <s v="Alexandros Christou"/>
        <s v="Dimitris Chronopoulos"/>
        <s v="Chandru G Chugani"/>
        <s v="Vishal G Chugani"/>
        <s v="Christos Chytas"/>
        <s v="Luca Ciabattoni"/>
        <s v="Dario Ciampoli"/>
        <s v="Valeriano Cianchella"/>
        <s v="Massimo Ciano"/>
        <s v="Andrea Ciaramella"/>
        <s v="Gianni Ciaramella"/>
        <s v="Paolo Ciboldi"/>
        <s v="Riccardo Ciboldi"/>
        <s v="Andrea Ciccarelli"/>
        <s v="Matteo Ciccarelli"/>
        <s v="Daniele Cicognani"/>
        <s v="Jeferson Cincotto"/>
        <s v="Giovanni Cinque"/>
        <s v="Mauro Cionfi"/>
        <s v="Roberto Cipro"/>
        <s v="Emanuele Cipulat"/>
        <s v="Carlo Ciraolo"/>
        <s v="Gaetano Ciraolo"/>
        <s v="Stefano Cirillo"/>
        <s v="Luca Cirri"/>
        <s v="Pasquale Citrigno"/>
        <s v="Adam Clark"/>
        <s v="Darren Clark"/>
        <s v="Daz Clarke"/>
        <s v="Iain Clarkson"/>
        <s v="David Clegg"/>
        <s v="Manuel Clemares"/>
        <s v="Oliver Clemmensen"/>
        <s v="Paolo Clerici"/>
        <s v="Fabrizio Coco"/>
        <s v="Diego Cogo"/>
        <s v="Sam Cohen"/>
        <s v="Luca Colangelo"/>
        <s v="Alessio Colasanti"/>
        <s v="Maurizio Colella"/>
        <s v="Marco Coletta"/>
        <s v="Adolfo Colindres"/>
        <s v="Ferran Coll"/>
        <s v="Dave Collier"/>
        <s v="Francesco Colossi"/>
        <s v="Nicolò Colossi"/>
        <s v="Claudio Colpani"/>
        <s v="Gianriccardo Colucci"/>
        <s v="Martin Colwell"/>
        <s v="Adrian Connolly"/>
        <s v="Frankie Connolly"/>
        <s v="Sean Connolly"/>
        <s v="Marcus Constantino"/>
        <s v="Andreas Constantinou"/>
        <s v="Derek Conti"/>
        <s v="Spencer Conti"/>
        <s v="Massimo Conturso"/>
        <s v="Luca Converti"/>
        <s v="Raffaele Converti"/>
        <s v="Donal Convery"/>
        <s v="John Cooper"/>
        <s v="David Cope"/>
        <s v="Angelo Coppolino"/>
        <s v="Samuele Coppolino"/>
        <s v="Fanch Coquillon"/>
        <s v="Stefano Corazza"/>
        <s v="Kevin Cordell"/>
        <s v="Cristiano Cordone"/>
        <s v="Barbara Coriani"/>
        <s v="Silvano Corleto"/>
        <s v="Stefano Corleto"/>
        <s v="Barry Corr"/>
        <s v="Mario Corradi"/>
        <s v="André Correia"/>
        <s v="Lanfranco Corsi"/>
        <s v="Antonio Corso"/>
        <s v="Enrico Corso"/>
        <s v="Michele Cortese"/>
        <s v="Alessio Corti"/>
        <s v="Daniele Corti"/>
        <s v="Matteo Corti"/>
        <s v="Silvio Alexandre Corujeira"/>
        <s v="Carmo Costa"/>
        <s v="Eduardo Costa"/>
        <s v="Paolo Costa"/>
        <s v="Paulo Costa Filho"/>
        <s v="Emanoel José Costa Júnior"/>
        <s v="Giuseppe Costantino"/>
        <s v="Adriano Coticelli"/>
        <s v="Massimo Cotugno"/>
        <s v="Bruno Coutinho"/>
        <s v="Daniel Coutinho"/>
        <s v="Marcelo Coutinho"/>
        <s v="Breno Couto"/>
        <s v="Lauro Couto"/>
        <s v="Alessandro Cova"/>
        <s v="Francis Cozzarin"/>
        <s v="Alan Crampton"/>
        <s v="Daniel Cranston"/>
        <s v="Mathieu Crasset"/>
        <s v="Cristiano Craviotto"/>
        <s v="Antonio Credentino"/>
        <s v="Paolo Credentino"/>
        <s v="Massimo Cremona"/>
        <s v="Mauro Cremona"/>
        <s v="Artur Crepaldi"/>
        <s v="Vittorio Cribari"/>
        <s v="Giovanni Crisconio"/>
        <s v="Lorenzo Crisconio"/>
        <s v="Antonino Criserà"/>
        <s v="Massimiliano Croatti"/>
        <s v="Morgan Croce"/>
        <s v="Stefano Crocetti"/>
        <s v="Antonio Crovetti"/>
        <s v="Gianluca Crupi"/>
        <s v="Giuseppe Crupi"/>
        <s v="Francisca Cruz"/>
        <s v="László Csibor"/>
        <s v="Filippo Cubeta"/>
        <s v="Domenico Cucinella"/>
        <s v="Andrea Cucit"/>
        <s v="Claudia Cuello"/>
        <s v="Jean Michel Cuenca"/>
        <s v="Trevor Cummings"/>
        <s v="Ettore Cuomo"/>
        <s v="Giulio Curato"/>
        <s v="Pietro Curci"/>
        <s v="Salvatore Currò"/>
        <s v="Samuel Curtis"/>
        <s v="Ugo Custo"/>
        <s v="Leandro Cuzzocrea"/>
        <s v="Maurizio Cuzzocrea"/>
        <s v="Tommaso Cuzzocrea"/>
        <s v="Jérôme Cyganek"/>
        <s v="Marcos Moysés da Cunha"/>
        <s v="Federico Da Re"/>
        <s v="Alex da Silva"/>
        <s v="Wellington da Silva"/>
        <s v="João Paulo da Silva Barbosa"/>
        <s v="Ilhan Daanish"/>
        <s v="Ahmad Dabbas"/>
        <s v="Batool Dabbas"/>
        <s v="Minna Dabbas"/>
        <s v="Mohammad Dabbas"/>
        <s v="Safa Dabbas"/>
        <s v="Phil Dacey"/>
        <s v="Marcello D'adamo"/>
        <s v="Jean-Christophe Daelman"/>
        <s v="Nicola Dähne"/>
        <s v="Roberto Dalcin"/>
        <s v="Nicola D'Alessandro"/>
        <s v="Brian Daley"/>
        <s v="Scott Dalgleish"/>
        <s v="Kostantinos Dalietos"/>
        <s v="Fabrice Dallara"/>
        <s v="Riccardo Damasco"/>
        <s v="Francesco D'amico"/>
        <s v="Leonardo D'amico"/>
        <s v="Amilcare D'Andria"/>
        <s v="Rick Danes"/>
        <s v="Mauro D'arco"/>
        <s v="Peter Darling"/>
        <s v="Sébastien Darmont"/>
        <s v="Didier Das"/>
        <s v="Muhd Ashraf Daud"/>
        <s v="Muhd Farhan Daud"/>
        <s v="Massimo D'auria"/>
        <s v="Eddie Davidson"/>
        <s v="Jeff Davidson"/>
        <s v="Florian Daxböck"/>
        <s v="Colin Day"/>
        <s v="Alessandro Dazzi"/>
        <s v="Antonia De Bellis"/>
        <s v="Marco De Bruin"/>
        <s v="Gilson de Carvalho"/>
        <s v="Domenico De Cosmo"/>
        <s v="Antonio De Francesco"/>
        <s v="Stefano De Francesco"/>
        <s v="Pietro De Gennaro"/>
        <s v="Andrea De Giosa"/>
        <s v="Davide De Giosa"/>
        <s v="Maikel De Haas"/>
        <s v="Chantal De Jong"/>
        <s v="Martijn de Jong"/>
        <s v="Mirjam De Jong"/>
        <s v="Patrick De Jong"/>
        <s v="Liesbeth de Jong - Huijers"/>
        <s v="Pierre De Leeuw"/>
        <s v="Armando De Leon"/>
        <s v="Lisa De Leonardis"/>
        <s v="Giorgio De Lorenzi"/>
        <s v="Carmine De Luca"/>
        <s v="Orlando De Luca"/>
        <s v="David De Maggi"/>
        <s v="Antonio De Masellis"/>
        <s v="Daniel de Matos"/>
        <s v="Txema de Miguel"/>
        <s v="Adelchi De Miranda"/>
        <s v="Paolo De Miranda"/>
        <s v="Stephano De Paoli"/>
        <s v="Massimo De Paolis"/>
        <s v="Vittorio De Pascale"/>
        <s v="Fabio De Pascalis"/>
        <s v="Nunzia De Rogati"/>
        <s v="Andrea De Santis"/>
        <s v="Gianpaolo De Santis"/>
        <s v="Marco De Santis"/>
        <s v="Kenny De Schuyteneer"/>
        <s v="Rudi De Smet"/>
        <s v="Didier De Sousa"/>
        <s v="Sidney de Souza"/>
        <s v="Marc De Vos"/>
        <s v="Niall Dean"/>
        <s v="Patrick Dean"/>
        <s v="Jérome Deffolin"/>
        <s v="Elio Degaetano"/>
        <s v="Gregg Deinhart"/>
        <s v="Valéry Dejardin"/>
        <s v="David Del Ben"/>
        <s v="Federico Del Ben"/>
        <s v="Gianmarco Del Brocco"/>
        <s v="Cristian Del Genovese"/>
        <s v="Marco Del Genovese"/>
        <s v="Fabrice Delagarde"/>
        <s v="Emeric Delcroix"/>
        <s v="Athanasios Delizisis"/>
        <s v="Daniele Della Monaca"/>
        <s v="Paolo Dellacha'"/>
        <s v="Alessandro Dellepiane"/>
        <s v="Eftichios Delligianakis"/>
        <s v="Ioannis Dementis"/>
        <s v="Jean Demey"/>
        <s v="Iordanis Demirtzoglou"/>
        <s v="Mael Denne"/>
        <s v="Noah Denne"/>
        <s v="Sébastien Denne"/>
        <s v="Damien Denooz"/>
        <s v="Michaël Denooz"/>
        <s v="Michael M Dent"/>
        <s v="Francesco D'ercole Cappelli"/>
        <s v="Georgios Derekis"/>
        <s v="Adrianos Dervis"/>
        <s v="Chloé Despretz"/>
        <s v="Emilie Despretz"/>
        <s v="Léa Despretz"/>
        <s v="Steffen Despretz"/>
        <s v="Riccardo Destefanis"/>
        <s v="Georgios Detorakis"/>
        <s v="James Dettre"/>
        <s v="Louis Dettre"/>
        <s v="Steve Dettre"/>
        <s v="Mike Devey"/>
        <s v="Christophe Dheur"/>
        <s v="Nathanaël Dhyne"/>
        <s v="Alfredo Di Buono"/>
        <s v="Daniele Di Cè"/>
        <s v="Gaetano Di Feo"/>
        <s v="Camillo Di Francesco"/>
        <s v="Emanuele Di Francesco"/>
        <s v="Angelo Di Gennaro"/>
        <s v="Sebastian Di Gennaro"/>
        <s v="Gioacchino Di Giannantonio"/>
        <s v="Gustavo Di Giannantonio"/>
        <s v="Nino Di Giannantonio"/>
        <s v="Pio Giorgio Di Leo"/>
        <s v="Nicola Di Lernia"/>
        <s v="Massimiliano Di Lorenzo"/>
        <s v="Maurizio Di Lorenzo"/>
        <s v="Francesco Di Lullo"/>
        <s v="Luca Di Lullo"/>
        <s v="Mariano Di Luozzo"/>
        <s v="Agapi Di Maggio"/>
        <s v="Alberto Di Maggio"/>
        <s v="Maximos Di Maggio"/>
        <s v="Paolo Di Michelangelo"/>
        <s v="Dario Di Muri"/>
        <s v="Raffaele Di Nola"/>
        <s v="Bruno Di Paolo Sr."/>
        <s v="Andrea Di Pierro"/>
        <s v="Davide Di Pierro"/>
        <s v="Simone Di Pierro"/>
        <s v="Fabio Di Pietrantonio"/>
        <s v="Pietro Di Pietrantonio"/>
        <s v="Silvestro Di Pietrantonio"/>
        <s v="Vito Di Ruggiero"/>
        <s v="Letterio Di Stefano"/>
        <s v="Paolo Di Stefano"/>
        <s v="Andrea Di Terlizzi"/>
        <s v="Jury Di Tullio"/>
        <s v="Simone Di Tullio"/>
        <s v="Andrea Di Vincenzo"/>
        <s v="Luigi Di Vito"/>
        <s v="Marco Di Vito"/>
        <s v="Raffaele Di Vito"/>
        <s v="Dimitrios Diamantopoulos"/>
        <s v="Daniel Dias"/>
        <s v="Guilherme Dias"/>
        <s v="João Matos Dias"/>
        <s v="José Mª Diéguez"/>
        <s v="Delphine Dieudonne"/>
        <s v="Apollon Dimakeas"/>
        <s v="Georgios Dimakeas"/>
        <s v="Valantis Dimitriadis"/>
        <s v="Dimitrios Dimopoulos"/>
        <s v="Iasonas Dimopoulos"/>
        <s v="Periklis Dimopoulos"/>
        <s v="Rafail Dimopoulos"/>
        <s v="Christos Dimos"/>
        <s v="Herculano Diogenes"/>
        <s v="Georgios Dionisopoulos"/>
        <s v="Christophe Diradourian"/>
        <s v="Margot Diradourian"/>
        <s v="Noah Dirick"/>
        <s v="Vincent Dirick"/>
        <s v="Francesco Discepoli"/>
        <s v="Davide Disma"/>
        <s v="Nathan Dizier"/>
        <s v="Claudio Dogali"/>
        <s v="Talib K Dohadwala"/>
        <s v="Neil Doherty"/>
        <s v="Sébastien Dohet"/>
        <s v="Pantelis Dolmes"/>
        <s v="Fabio Domenico"/>
        <s v="Marcos Dominos"/>
        <s v="Norberto Donizeti Bergamini"/>
        <s v="Axel Donval"/>
        <s v="Vito Donzelli"/>
        <s v="Andrea Dorato"/>
        <s v="Emanuele Dore"/>
        <s v="Pierpaolo Dore"/>
        <s v="Salvatore Dore"/>
        <s v="Antonio Carlos dos Santos"/>
        <s v="Maurício dos Santos Matos"/>
        <s v="Jonathan Dotto"/>
        <s v="William Dotto"/>
        <s v="Adam Douglas"/>
        <s v="Ioannis Dragomanidis"/>
        <s v="Ilario Dragonetti"/>
        <s v="Nicola Dragoni"/>
        <s v="Dimitrios Dragosis"/>
        <s v="Michail Dragosis"/>
        <s v="Vasileios Dragosis"/>
        <s v="Christos Dragoumis"/>
        <s v="Michail Dragoumis"/>
        <s v="Jeff Drake"/>
        <s v="Giorgos Drazinakis"/>
        <s v="Kostas Drazinakis"/>
        <s v="Pascal Droeven"/>
        <s v="Lampros Drossopoulos"/>
        <s v="Nasos Drossopoulos"/>
        <s v="Olivier Dubois"/>
        <s v="Xavier Dubois"/>
        <s v="Franck Dubreuil"/>
        <s v="Riley Duckworth"/>
        <s v="Roger Duckworth"/>
        <s v="Eric Dujardin"/>
        <s v="Stéphane Dumazi"/>
        <s v="Shaun Dunne"/>
        <s v="Michaël Dupret"/>
        <s v="David Durand"/>
        <s v="Sébastien Durandeau"/>
        <s v="Kevin Dyson"/>
        <s v="Gabriel Ebejer"/>
        <s v="George Ebejer"/>
        <s v="Larson Ebejer"/>
        <s v="Thomas Ebejer"/>
        <s v="Patricio Echevarrieta"/>
        <s v="Gerhard Ecker"/>
        <s v="Heinz Eder"/>
        <s v="Richard Edeson"/>
        <s v="Nigel Edwards"/>
        <s v="André Eeg Jensen"/>
        <s v="Antonio Carlos Efangelo Júnior"/>
        <s v="Felix Eger"/>
        <s v="Marcio Eglit"/>
        <s v="Martin Eikeland"/>
        <s v="Rodrigo Eira"/>
        <s v="Wilfried Eiring"/>
        <s v="Dennis Eisemann"/>
        <s v="Sara Eisen"/>
        <s v="Andreas Eleftheriou"/>
        <s v="Charalambos Eleftheriou"/>
        <s v="Valsamas Elekidis"/>
        <s v="Fred Elesbao"/>
        <s v="Paulo Elias"/>
        <s v="Martin Ellaway"/>
        <s v="Terje Ellefsen"/>
        <s v="Maria Ellina"/>
        <s v="Efthimis Ellinas"/>
        <s v="Fanis Ellinas"/>
        <s v="John Ellis"/>
        <s v="Sean Ellis"/>
        <s v="Georgios Elmensaoui"/>
        <s v="Adrian Elmer"/>
        <s v="Imojjen Elmer"/>
        <s v="David Elton"/>
        <s v="Christian Emil Christiansen"/>
        <s v="Jens Enevoldsen"/>
        <s v="Lukas Enevoldsen"/>
        <s v="Simon Enevoldsen"/>
        <s v="Thyge Enevoldsen"/>
        <s v="Peter Erb"/>
        <s v="Alessandro Erbì"/>
        <s v="Donato Erbì"/>
        <s v="Eduardo Erminione"/>
        <s v="Santiago Escudero"/>
        <s v="Erinarhos Eskitzioglou"/>
        <s v="Victoras Eskitzioglou"/>
        <s v="Anastasios Eskitzis"/>
        <s v="Athanasios Eskitzis"/>
        <s v="Ole Esmark"/>
        <s v="Carlos Espada"/>
        <s v="Bruno Esposito"/>
        <s v="Gabriele Esposito"/>
        <s v="Giosuè Esposito"/>
        <s v="Massimo Esposito"/>
        <s v="Matteo Esposito"/>
        <s v="Simone Esposito"/>
        <s v="Tony Esteban"/>
        <s v="Uli Euler"/>
        <s v="Stefano Evangelisti"/>
        <s v="Georgios Evangelou"/>
        <s v="Kenny Evans"/>
        <s v="Steven Evans"/>
        <s v="Beth Eveleigh"/>
        <s v="David Everitt"/>
        <s v="Athanasios Exarchou"/>
        <s v="Menelaos Exarchou"/>
        <s v="Günter Exler"/>
        <s v="Thomas Exler"/>
        <s v="Paul Eyes"/>
        <s v="Diego Fabbri"/>
        <s v="Muhd Fadhly Fahmi"/>
        <s v="Muhd Farhan Fahmi"/>
        <s v="Robert Fairbrother"/>
        <s v="Albert Fako"/>
        <s v="Peter Fako"/>
        <s v="David Falaschi"/>
        <s v="Evaggelos Falelakis"/>
        <s v="Markos Falelakis"/>
        <s v="Kristoffer Falk-Hansen"/>
        <s v="Chris Fallie"/>
        <s v="Riccardo Falorni"/>
        <s v="Vito Antonino Famà"/>
        <s v="Given Name Family Name"/>
        <s v="Christos Fanaras"/>
        <s v="George Fanariotis"/>
        <s v="Gabriel Fantino"/>
        <s v="Mauro Fantino"/>
        <s v="Khalil Faour"/>
        <s v="Mohammad Faour"/>
        <s v="Michele Farace"/>
        <s v="José Farah"/>
        <s v="Miguel Faria"/>
        <s v="Corrado Farina"/>
        <s v="Alexios Farmakis"/>
        <s v="Massimiliano Farnesi"/>
        <s v="Andrea Farneti"/>
        <s v="Marco Farneti"/>
        <s v="Mark Farrell"/>
        <s v="Robert Farrugia Randon"/>
        <s v="Stanley Farrugia Randon"/>
        <s v="Skander Farza"/>
        <s v="Yanis Farza"/>
        <s v="Clement Faucher"/>
        <s v="Guillaume Faucher"/>
        <s v="Hugo Faucher"/>
        <s v="Pierre Favier"/>
        <s v="Lorenzo Fazio"/>
        <s v="Fatin Fazura"/>
        <s v="Fabrizio Fedele"/>
        <s v="Ilaria Fedele"/>
        <s v="João Feiteira"/>
        <s v="Ernandes Felicio"/>
        <s v="Ismaël Fenech"/>
        <s v="Tristan Fenech"/>
        <s v="Alex Fenton"/>
        <s v="Lee Fenton"/>
        <s v="Michele Fenucci"/>
        <s v="Luciano Feo"/>
        <s v="Stefano Feri"/>
        <s v="André Fernandes"/>
        <s v="Antonio Fernández"/>
        <s v="Macio Fernando Pacheco"/>
        <s v="Roger Ferracin de Oliveira"/>
        <s v="Mattia Ferrante"/>
        <s v="Saverio Ferrante"/>
        <s v="Francesco Ferranti"/>
        <s v="Mattia Ferranti"/>
        <s v="Paolo Ferrara"/>
        <s v="Andrea Ferrari"/>
        <s v="Ailton Ferreira"/>
        <s v="Fernando Ferreira"/>
        <s v="Vitorino Ferreira"/>
        <s v="Andrea Ferretti"/>
        <s v="Riccardo Ferri"/>
        <s v="Stefano Ferri"/>
        <s v="Giuseppe Ferro"/>
        <s v="Roberto Ferro"/>
        <s v="Marco Ferrucci"/>
        <s v="Michele Ferrucci"/>
        <s v="Aurélien Feye"/>
        <s v="José María Feyjoo"/>
        <s v="Roberto Ficini"/>
        <s v="Tiziano Ficola"/>
        <s v="John Field"/>
        <s v="Muhammad Fiesal"/>
        <s v="Emiddio Figliolino"/>
        <s v="Tiago Figueiredo"/>
        <s v="Gianluca Figus"/>
        <s v="Giuseppe Filardo"/>
        <s v="Konstantinos Filipoppoulos"/>
        <s v="Christian Filippella"/>
        <s v="Filippo Filippella"/>
        <s v="Julia Filippella Nasti"/>
        <s v="Sean Filippella Nasti"/>
        <s v="Christos Filippou"/>
        <s v="Giorgos Filippou"/>
        <s v="Michail Filippousis"/>
        <s v="Giovanni Fina"/>
        <s v="Giuliano Fina"/>
        <s v="Paolo Finardi"/>
        <s v="Justin Finch"/>
        <s v="Alessandro Finelli"/>
        <s v="Axel FINO"/>
        <s v="Hervé Fino"/>
        <s v="Ermanno Junior Fioretti"/>
        <s v="Raffaele Fiorillo"/>
        <s v="Muhd Faruk Firdaus"/>
        <s v="Muhammad Firman"/>
        <s v="Kostas Fitos"/>
        <s v="Andy Fitzpatrick"/>
        <s v="Elliot Fitzpatrick"/>
        <s v="Alessandro Fiumi"/>
        <s v="Stefano Flaccomio"/>
        <s v="Stefano Flamini"/>
        <s v="Dario Flammini"/>
        <s v="Marian Flemer"/>
        <s v="Pia Flemer"/>
        <s v="Scott Fleming"/>
        <s v="William Fleming"/>
        <s v="Mario Fleri Soler"/>
        <s v="Colin Fletcher"/>
        <s v="Frederico Fleury"/>
        <s v="Carlos Flores"/>
        <s v="Andrea Florita"/>
        <s v="dimitrios Floros"/>
        <s v="Martial Foechterle"/>
        <s v="Marco Fommei"/>
        <s v="Rui Fonseca"/>
        <s v="Antonino Fontana"/>
        <s v="Alexandre Fontes"/>
        <s v="Nigel Foo"/>
        <s v="Franco Forino"/>
        <s v="Paola Forlani"/>
        <s v="Valeria Forlani"/>
        <s v="Massimo Fornaciai"/>
        <s v="Enzo Fornano"/>
        <s v="Andrew Forster-Fake"/>
        <s v="Kjetil Fosse"/>
        <s v="Eric Foster"/>
        <s v="Lenny Foster"/>
        <s v="Alessandro Foti"/>
        <s v="Dimitra Fotiadou"/>
        <s v="Marios Fotinopoulos"/>
        <s v="Athanasios Fotopoulos"/>
        <s v="Jean-Marie Fouetillou"/>
        <s v="Emanouil Fousteris"/>
        <s v="Aggelos Foutrakis"/>
        <s v="Velissarios Fragkakis"/>
        <s v="David Fraikin"/>
        <s v="Christophe France"/>
        <s v="Massimo Franchi"/>
        <s v="Massimiliano Franciolini"/>
        <s v="Mark Francis"/>
        <s v="Simon Francis"/>
        <s v="Jonas Franck"/>
        <s v="Sérgio Franco"/>
        <s v="Giota Frantzeskou"/>
        <s v="Giuseppe Frasca"/>
        <s v="Giovanni Frascarelli"/>
        <s v="Mauro Frascaroli"/>
        <s v="Benjamin Frederiksen"/>
        <s v="David Frederiksen"/>
        <s v="Thomas Flaaten Fredriksen"/>
        <s v="Ferdinando Frega"/>
        <s v="Fabio Freitas"/>
        <s v="José Freitas"/>
        <s v="Rene Frey"/>
        <s v="Christian Fricano"/>
        <s v="Lorenzo Fricano"/>
        <s v="Jürgen Fricke"/>
        <s v="Enrico Frisone"/>
        <s v="Giorgio Frisone"/>
        <s v="Klaus Fritz"/>
        <s v="Patrick From"/>
        <s v="Théo Fromweiler"/>
        <s v="Kostas Ftakas"/>
        <s v="Antonio Fucci"/>
        <s v="Chiharu Fuchigami"/>
        <s v="César Fuertes"/>
        <s v="Suguru Fujino"/>
        <s v="Bruno Fujisão"/>
        <s v="Katsuhiko Fukuoka"/>
        <s v="Matteo Fumai"/>
        <s v="Ascer Funaro"/>
        <s v="Davide Funaro"/>
        <s v="Emanuele Funaro"/>
        <s v="Simone Funaro"/>
        <s v="Davide Furini"/>
        <s v="Antonella Furnari"/>
        <s v="Peter Fursund"/>
        <s v="Christophe Fuseau"/>
        <s v="Pepe G. Berral"/>
        <s v="Rafael Gaba"/>
        <s v="Alessandro Gabbani"/>
        <s v="Romain Gadais"/>
        <s v="Ednilson Gaffo"/>
        <s v="Thrasyvoulos Gagas"/>
        <s v="Alberto Gagliardi"/>
        <s v="Clinton Gähwiler"/>
        <s v="Lorenzo Gaia"/>
        <s v="Panagiotis Galanakis"/>
        <s v="Ioannis Galanis"/>
        <s v="Ilias Galanopoulos"/>
        <s v="Kostantinos Galanopoulos"/>
        <s v="Symeon Galanopoulos"/>
        <s v="Alex Galarza"/>
        <s v="Juan Carlos Galassi"/>
        <s v="Leonardo Galassi"/>
        <s v="Gianluca Galeazzi"/>
        <s v="Riccardo Galieti"/>
        <s v="Marco Antonio Galindo Perez"/>
        <s v="Colm Gallagher"/>
        <s v="David Gallart"/>
        <s v="Gianfranco Gallelli"/>
        <s v="Chantal Gallez"/>
        <s v="Paolo Galli"/>
        <s v="Martín Gallimò"/>
        <s v="Cristiano Gallo"/>
        <s v="Mario Gallo"/>
        <s v="Daniele Gamba"/>
        <s v="Guido Gambara"/>
        <s v="Carlo Gambaruto"/>
        <s v="Stefano Gambella"/>
        <s v="Fabrizio Gammarota"/>
        <s v="Alessandro Gandin"/>
        <s v="Andrea Gandin"/>
        <s v="Severino Gara"/>
        <s v="Massimo Garatti"/>
        <s v="Efisio Garau"/>
        <s v="Cláudio Miguel Garcia"/>
        <s v="João Garcia"/>
        <s v="Luis Garcia"/>
        <s v="Adrián García"/>
        <s v="Alejandro García"/>
        <s v="Isaac García"/>
        <s v="Juan Antonio García"/>
        <s v="Juan Sebastián Garcia Ciraudo"/>
        <s v="Valentino García Ciraudo"/>
        <s v="Juan Andrés García del Arco"/>
        <s v="Antonio García Fernández"/>
        <s v="José García Ferri"/>
        <s v="Dimitris Garefalakis"/>
        <s v="Alfonso Gargiulo"/>
        <s v="Catello Gargiulo"/>
        <s v="Caline Garnier"/>
        <s v="Cédric Garnier"/>
        <s v="Domitille Garnier"/>
        <s v="Stéphanie Garnier"/>
        <s v="Eric Garza"/>
        <s v="Dino Gasparetto"/>
        <s v="Ferdinando Gasparini"/>
        <s v="Mark Gauci"/>
        <s v="Thibaud Gauthier"/>
        <s v="Maxwell S Gautschi"/>
        <s v="Victor Gauvin"/>
        <s v="Daniele Gazzaniga"/>
        <s v="Giuseppe Gazzaniga"/>
        <s v="Carlo Gazzarri"/>
        <s v="Giuliano Gazzoldi"/>
        <s v="Synodis Geerontitis"/>
        <s v="Alex Genart"/>
        <s v="Jean-Pierre Genart"/>
        <s v="Riccardo Generali"/>
        <s v="Georgios Genitsaropoulos"/>
        <s v="Vincenzo Maria Genovese"/>
        <s v="Jefferson Genta"/>
        <s v="Pedro Canali Genta"/>
        <s v="Antonio Gentile"/>
        <s v="Ernesto Gentile"/>
        <s v="Luca Gentile"/>
        <s v="Aldo Gentileschi"/>
        <s v="Florian Genvo"/>
        <s v="Stéphane Genvo"/>
        <s v="Dimitris Georgakis"/>
        <s v="Grigorios Georganoudis"/>
        <s v="Nikolaos Georganoudis"/>
        <s v="Christopher George"/>
        <s v="Steve George"/>
        <s v="Christoph Georgi"/>
        <s v="Nikolaos Georginis"/>
        <s v="Nikolaos Georgiopoulos"/>
        <s v="Nikitas Georgiou"/>
        <s v="Nikolaos Georgiou"/>
        <s v="Pantazis Georgiou"/>
        <s v="Georgios Georgopoulos"/>
        <s v="Dimitrios Georgoulis"/>
        <s v="Nikolaos Georgoulis"/>
        <s v="Christoph Gerbasits"/>
        <s v="Ludovic Geretto"/>
        <s v="Stéphane Geretto"/>
        <s v="Jordi Geronès"/>
        <s v="Bruno Gerosa Cisneros"/>
        <s v="Kenney Gerrets"/>
        <s v="Mikey Gerrets"/>
        <s v="Quincy Gerrets"/>
        <s v="Hagen Gersie"/>
        <s v="Janus Gersie"/>
        <s v="Nora Gersie"/>
        <s v="Mohd Fauzi, Abdul Ghani"/>
        <s v="Gian Paolo Ghersi"/>
        <s v="Davide Ghigliotti"/>
        <s v="Enrico Ghigliotti"/>
        <s v="Marco Ghigliotti"/>
        <s v="Francesco Ghirelli"/>
        <s v="Salvatore Ghiselli"/>
        <s v="Athanasios Giaglis"/>
        <s v="Porfyrios Gialitsis"/>
        <s v="Francesco Giambelluca"/>
        <s v="Damiano Giampaola"/>
        <s v="Jacopo Giampaola"/>
        <s v="Marco Giampaola"/>
        <s v="Vetere Gianluca"/>
        <s v="Enrico Giannarelli"/>
        <s v="Giulio Giannelli"/>
        <s v="Nikolaos Giannopoulos"/>
        <s v="Dimitris Giannoulas"/>
        <s v="Georgios Giannoulis"/>
        <s v="Alfredo Gianoglio"/>
        <s v="Emilios Giantais"/>
        <s v="Vaggelis Giantais"/>
        <s v="Constantios Giapoutzis"/>
        <s v="Nikiforos Giapoutzis"/>
        <s v="Stavros Giapoutzis"/>
        <s v="Florian Giaux"/>
        <s v="Louison Giaux"/>
        <s v="Andrew Giffen"/>
        <s v="Ilias Gikas"/>
        <s v="Gianluca Giliberto"/>
        <s v="Gianluca Ginesi"/>
        <s v="Andrea Giorgianni"/>
        <s v="Diego Giorio"/>
        <s v="Guido Giorio"/>
        <s v="Dimitris Gioutsas"/>
        <s v="Cristian Giovangiacomo"/>
        <s v="André Giovenali"/>
        <s v="Francesco Giraudo"/>
        <s v="Alessandro Girelli"/>
        <s v="Carlo Gissara"/>
        <s v="Fabio Gissara"/>
        <s v="Fabrizio Giubbilini"/>
        <s v="Gaetano Giudice"/>
        <s v="Giorgio Giudice"/>
        <s v="Leonardo Giudice"/>
        <s v="Michele Giudice"/>
        <s v="Armando Giuffrè"/>
        <s v="Vittorio Giummo"/>
        <s v="Roberto Giunti"/>
        <s v="Miltiadis Gkiochalas"/>
        <s v="Giorgos Gkiotlis"/>
        <s v="Nikolaos Gkiotlis"/>
        <s v="Athanasios Gkogkos"/>
        <s v="Dimitrios Gkogkos"/>
        <s v="Dave Gladman"/>
        <s v="Gary Gladwell"/>
        <s v="Wolfgang Göbel"/>
        <s v="Augustin Goblet"/>
        <s v="Eva Goffin"/>
        <s v="Guillaume Goffin"/>
        <s v="Mathis Goffin"/>
        <s v="Darren Goh"/>
        <s v="Dickson Goh"/>
        <s v="Jocelyn Goh"/>
        <s v="Christian Göhring"/>
        <s v="Jürgen Göhring"/>
        <s v="Tommy Gold Christiansen"/>
        <s v="Massimiliano Goldoni"/>
        <s v="Georgios Golemis"/>
        <s v="Bessim Golger"/>
        <s v="Jennifer Golze"/>
        <s v="Felipe Gomes"/>
        <s v="Guilherme Gomes"/>
        <s v="Weber José Gomes"/>
        <s v="Weber José Gomes Júnior"/>
        <s v="Alberto Gómez"/>
        <s v="Fernando Gómez"/>
        <s v="Gonzalo Gómez"/>
        <s v="Rafael Gómez"/>
        <s v="Yohei Gomi"/>
        <s v="Salvador Gonçalves"/>
        <s v="Jeremy Goninan"/>
        <s v="Jonathan Goninan"/>
        <s v="Joshua Goninan"/>
        <s v="Brian González"/>
        <s v="David González"/>
        <s v="Jesús González"/>
        <s v="José Pedro González"/>
        <s v="Juan Ramòn González"/>
        <s v="Álvaro González Pagliarulo"/>
        <s v="Simon Goodman"/>
        <s v="Laurent Goor"/>
        <s v="Emmanuel Gorgette"/>
        <s v="Francesco Gori"/>
        <s v="Luca Gorna"/>
        <s v="Christian Gørtz"/>
        <s v="Dimitris Gortzas"/>
        <s v="Bruno Goset"/>
        <s v="Charles Goset"/>
        <s v="Klaus Gottke"/>
        <s v="Olaf Gottke"/>
        <s v="Constantios Goulopoulos"/>
        <s v="Alex Gouloulis"/>
        <s v="Georgios Goutzioulis"/>
        <s v="Maicon Gouvêa"/>
        <s v="Afonso Gouveia"/>
        <s v="Paulo Gouveia"/>
        <s v="Giannis Gouvelis"/>
        <s v="Guillermo Joel Gramajo"/>
        <s v="Juan Carlos Granados"/>
        <s v="Alfredo Granato"/>
        <s v="Patrice Grangier"/>
        <s v="Kevin Grant"/>
        <s v="Stewart Grant"/>
        <s v="Marco Grassini"/>
        <s v="Robert Green"/>
        <s v="Ian Greer"/>
        <s v="Ralf Gregoire"/>
        <s v="Mathéo Grégoire"/>
        <s v="Nick Gregoriou"/>
        <s v="Andrew Gregory"/>
        <s v="Connor Gregory"/>
        <s v="Danny Gregory"/>
        <s v="Frank Greier"/>
        <s v="Dom Grenot"/>
        <s v="Roberto Grigiotti"/>
        <s v="Giuseppina Grillo"/>
        <s v="Luigi Grillo"/>
        <s v="Franco Grimaldi"/>
        <s v="Anders Grorud"/>
        <s v="Aurore Grosdent"/>
        <s v="Henri Grosdent"/>
        <s v="Jean Grosdent"/>
        <s v="Luc Grosdent"/>
        <s v="Maxim Grosdent"/>
        <s v="Robin Grosdent"/>
        <s v="Sophia Grosdent"/>
        <s v="Adrian Grunbach"/>
        <s v="Katelyn Grunbach"/>
        <s v="Daniela Grünberg"/>
        <s v="Gerhard Grünberg"/>
        <s v="Patrick Grunwald"/>
        <s v="Erica Guagliardi"/>
        <s v="Marcello Gualerci"/>
        <s v="Alessio Guardini"/>
        <s v="Fabrizio Guarino"/>
        <s v="Michele Guarino"/>
        <s v="Fabrizio Guastella"/>
        <s v="Alexandre Guerra"/>
        <s v="Pasquale Guerra"/>
        <s v="Andreas Guhr"/>
        <s v="Thomas Guhr"/>
        <s v="Paolo Guidara"/>
        <s v="Alessandro Guidi"/>
        <s v="Enrico Guidi"/>
        <s v="Leandro Guidi"/>
        <s v="Massimiliano Guidi"/>
        <s v="Giuseppe Guido"/>
        <s v="Vasco Guimaraes"/>
        <s v="Lorenzo Guio"/>
        <s v="Maksim Petrovich Gulyev"/>
        <s v="Manfred Guth"/>
        <s v="Herbert Gütl"/>
        <s v="Ivana Gütl"/>
        <s v="Adam Guyaux"/>
        <s v="Fabrice Guyaux"/>
        <s v="Vincent Guyaux"/>
        <s v="Charlotte Guyot"/>
        <s v="Daniel Guyot"/>
        <s v="Françoise Guyot"/>
        <s v="Jade Guyot"/>
        <s v="Giuseppe Guzzetta"/>
        <s v="Alexander Haas"/>
        <s v="Christian Haas"/>
        <s v="Johannes Haas"/>
        <s v="Louis Haas"/>
        <s v="Wolfgang Haas"/>
        <s v="Gerd Häcker"/>
        <s v="Oskar Häcker"/>
        <s v="Christofis Hadjikypris"/>
        <s v="Melios Hadjikypris"/>
        <s v="Theodosis Hadjitheklis"/>
        <s v="Erik Haefke"/>
        <s v="Frank Hagenkötter"/>
        <s v="Kai Hagenkötter"/>
        <s v="Michael Hain"/>
        <s v="Brian Hall"/>
        <s v="Kevin Halliday"/>
        <s v="Michaël Hallin"/>
        <s v="John Halpin"/>
        <s v="Haruka Hamagami"/>
        <s v="Hideki Hamagami"/>
        <s v="Mark Hammersley"/>
        <s v="Mick Hammonds"/>
        <s v="Jules Hanosset"/>
        <s v="Alain Hanotiaux"/>
        <s v="Brian Illum Hansen"/>
        <s v="Joaquín Harillo"/>
        <s v="Abdul Haris"/>
        <s v="Russ Harker"/>
        <s v="Menashe Harman"/>
        <s v="Juan Manuel Haro"/>
        <s v="Nikolaos Haroulis"/>
        <s v="Jonathan Harregaard"/>
        <s v="Gerry Harrington"/>
        <s v="Josef Harrington"/>
        <s v="Graham Harwood"/>
        <s v="Nur Hashim"/>
        <s v="Michael Hasieber"/>
        <s v="Lakis Hatzikonstantinou"/>
        <s v="Haralampos Hatziliadis"/>
        <s v="Ioannis Hatziliadis"/>
        <s v="Konstantinos Hatzopoulos"/>
        <s v="Christian Hausmann"/>
        <s v="Nathan Haylett"/>
        <s v="Nathan Heard"/>
        <s v="Andrew Jon Heath"/>
        <s v="Michael Hedegård"/>
        <s v="Kurtis Heithoff"/>
        <s v="Jody Henrioul"/>
        <s v="Pedro Henrique"/>
        <s v="Matilde Henriques"/>
        <s v="Nuno Henriques"/>
        <s v="Vasco Henriques"/>
        <s v="Annika Hentrich"/>
        <s v="João Lucas Heraclio Gomes Barbosa"/>
        <s v="Antoine Herbaut"/>
        <s v="Audrey Herbaut"/>
        <s v="Gilles Herbaut"/>
        <s v="Miguel Ángel Heredia"/>
        <s v="Victor Heremann"/>
        <s v="Xavier Herman"/>
        <s v="Flavio Hermenegildo"/>
        <s v="Antonio Manuel Hernández"/>
        <s v="Ben Herrel"/>
        <s v="Felix Herrmannsdörfer"/>
        <s v="Thomas Heslop"/>
        <s v="Craig Heward"/>
        <s v="Jérôme Heyvaert"/>
        <s v="Andras Hicz"/>
        <s v="Martin Hill"/>
        <s v="Tim Hill"/>
        <s v="Erich Hinkelmann"/>
        <s v="Jörg Hirzmann"/>
        <s v="Aristidis Hliaoutakis"/>
        <s v="Richard Ho"/>
        <s v="Shiong Bock, John Ho"/>
        <s v="Zi Rong, Galvin Ho"/>
        <s v="Jacob Hodds"/>
        <s v="Martin Hodds"/>
        <s v="William Holliday"/>
        <s v="Martin Holmes"/>
        <s v="Peter Holmes"/>
        <s v="Phil Holmes"/>
        <s v="Rémy Honet"/>
        <s v="Lasse Honore"/>
        <s v="Magnus Honore"/>
        <s v="Shane Hoopfer"/>
        <s v="Travis Hoopfer"/>
        <s v="Mark Hopwood"/>
        <s v="Nanami Horino"/>
        <s v="Naruhisa Horino"/>
        <s v="Tom Horn"/>
        <s v="Amy Horncastle"/>
        <s v="Luís Filipe Horta"/>
        <s v="Stavros Hotzakis"/>
        <s v="David Houston"/>
        <s v="Darren Howat"/>
        <s v="Cameron Hubert"/>
        <s v="Christophe Hubert"/>
        <s v="Morgane Hubert"/>
        <s v="Olivia Huet"/>
        <s v="John Hughes"/>
        <s v="Scott Hunt"/>
        <s v="David Hunter"/>
        <s v="Mohd Asyraaf Husain"/>
        <s v="Holger Husarek"/>
        <s v="Rémy Huynh"/>
        <s v="Valerio Iannazzo"/>
        <s v="Rocco Antonio Iarlori"/>
        <s v="Gianfranco Iazzetta"/>
        <s v="Masumi Ichiba"/>
        <s v="Chad Allen Idema"/>
        <s v="Jérémy Idoux"/>
        <s v="Michel Idoux"/>
        <s v="Mohammad Idriss"/>
        <s v="Gaetano Ielapi"/>
        <s v="Pietro Ielapi"/>
        <s v="Nunzio Ieppariello"/>
        <s v="Federico Iervese"/>
        <s v="Massimiliano Iervese"/>
        <s v="Konstantinos Ifantis"/>
        <s v="Rosario Ifrigerio"/>
        <s v="Bernhard Ihle"/>
        <s v="Tomoyoshi Ikeya"/>
        <s v="Ioannis- Georgios Iliadakis"/>
        <s v="Eleftherios Iliadis"/>
        <s v="Álex Iliev"/>
        <s v="John Imbrogiano"/>
        <s v="Bernardo Impallomeni"/>
        <s v="Marco Imperato"/>
        <s v="Emanuele Incardona"/>
        <s v="Alex Incorvaia"/>
        <s v="Alessandro Indelli"/>
        <s v="Gianluca Indino"/>
        <s v="Efrem Intra"/>
        <s v="Massimo Inverardi"/>
        <s v="Vasiliki Ioakim"/>
        <s v="Panagiotis Ioakimidis"/>
        <s v="Alessandro Ioan"/>
        <s v="Neophytos Ioannides"/>
        <s v="Christakis Ioannou"/>
        <s v="Gerasimos Ioannou"/>
        <s v="Nikolas Ioannou"/>
        <s v="Paris Ioannou"/>
        <s v="Adriano Iobbi"/>
        <s v="Eleftherios Iordanidis"/>
        <s v="Giorgos Iordanidis"/>
        <s v="Alex Iorio"/>
        <s v="Vincenzo Iovino"/>
        <s v="Kassim Irwanshah"/>
        <s v="Irwan Iskandar"/>
        <s v="Miyuki Ito"/>
        <s v="Ryoichiro Ito"/>
        <s v="Paul Izard"/>
        <s v="Mohd Faizul Jaafar"/>
        <s v="Mohd Farhan Jaafar"/>
        <s v="David Jack"/>
        <s v="Adam Jackson"/>
        <s v="Laurent Jaillet"/>
        <s v="Schoonmaker Jake"/>
        <s v="Michael Jakubowski"/>
        <s v="Thierry Jalbert"/>
        <s v="Tim James"/>
        <s v="Wyss James"/>
        <s v="Kyle Jamieson"/>
        <s v="Malcolm Jamieson"/>
        <s v="Franck Jan"/>
        <s v="Noah Janssens"/>
        <s v="Thomas Janssens"/>
        <s v="Rhaniery Jardim"/>
        <s v="Dee Jenkins"/>
        <s v="Mike Jenner"/>
        <s v="Muhammad Jibril"/>
        <s v="Mathis Joachim"/>
        <s v="Maja Johansen"/>
        <s v="Maurizio Jon Scotta"/>
        <s v="Robert Jones"/>
        <s v="Victor Jones"/>
        <s v="André Jorge"/>
        <s v="Katrine Jørgensen"/>
        <s v="Romain Joris"/>
        <s v="Martin Joris"/>
        <s v="Ricardo José"/>
        <s v="Leonardo Mario Juanto"/>
        <s v="Javier Juárez"/>
        <s v="Andreas Jung"/>
        <s v="Moritz Jung"/>
        <s v="Carlos Junior"/>
        <s v="Vandir Junior"/>
        <s v="Luís Coelho Júnior"/>
        <s v="Javier Junquera Miñambres"/>
        <s v="Javier Junquera Quintana"/>
        <s v="Aggelos-Chrisostomos Kadinopoulos"/>
        <s v="Grigorios Kadinopoulos"/>
        <s v="Maria Christina Kadinopoulos"/>
        <s v="Stefanos Kadinopoulos"/>
        <s v="Vasileios Kadinopoulos"/>
        <s v="Thanos Kaffes"/>
        <s v="Giannis Kailoglou"/>
        <s v="Christos Kakantousis"/>
        <s v="Filippos Kakavas"/>
        <s v="Ioannis Kakavas"/>
        <s v="Minas Kakiltakis"/>
        <s v="Giorgos Kakopoulos"/>
        <s v="Athanasios Kalakos"/>
        <s v="Petros Kalamaris"/>
        <s v="Dimosthenis Kalatzis"/>
        <s v="Ioannis Kalavros"/>
        <s v="Daniel Kaliszewski"/>
        <s v="Michail Kalogerakos"/>
        <s v="Rafail Kalogerakos"/>
        <s v="Athanasios Kalogiros"/>
        <s v="Georgios Kalogiros"/>
        <s v="Nasos Kalogiros"/>
        <s v="Kostas Kalopsidiotis"/>
        <s v="Marcos Kalopsidiotis"/>
        <s v="Theodora Kaloudaki"/>
        <s v="Aggelos Kalvakis"/>
        <s v="Nasos Kalvakis"/>
        <s v="Frank Kalyta"/>
        <s v="Anderas Kampas"/>
        <s v="Iordanis Kanakis"/>
        <s v="Aki Kanda"/>
        <s v="Junya Kanda"/>
        <s v="Kotetsu Kanda"/>
        <s v="Eleftherios Kanetis"/>
        <s v="Anastasia Kantarakis"/>
        <s v="Filippos Kantarakis"/>
        <s v="Stamatios Kantarakis"/>
        <s v="Luc Kaouane"/>
        <s v="Christos Kapelis"/>
        <s v="Eleftherios Kapelis"/>
        <s v="Dimitrios Kaperonis"/>
        <s v="Konstantinos Kaperonis"/>
        <s v="Nikolaos Kaperonis"/>
        <s v="Orestis Kappatos"/>
        <s v="Panagiotis Kappatos"/>
        <s v="Michael Kappl"/>
        <s v="Manos Kapsabelis"/>
        <s v="Marcos Kapsabelis"/>
        <s v="Charis Kaptsas"/>
        <s v="Christos Karadedos"/>
        <s v="Theofilos Karagianniotis"/>
        <s v="Giorgos Karahalios"/>
        <s v="Athanasios Karamanis"/>
        <s v="Dimitrios Karaminas"/>
        <s v="Konstantinos Karasavvas"/>
        <s v="Georgios Karatarakis"/>
        <s v="Michalis Karatarakis"/>
        <s v="Nikiforos Karatarakis"/>
        <s v="Dimitris Karatosidis"/>
        <s v="Agis Filippos Karavas"/>
        <s v="Giorgos Karavas"/>
        <s v="Menelaos Karavasilis"/>
        <s v="Nikolaos Karavasilis"/>
        <s v="Achilles Karayiannis"/>
        <s v="Yiannos Karayiannis"/>
        <s v="Ioannis Karnezis"/>
        <s v="Thomas Karnthaler"/>
        <s v="Christos Karouzos"/>
        <s v="Georgios Karouzos"/>
        <s v="Dimitrios Karpouzos"/>
        <s v="Giorgos Kartalis"/>
        <s v="John Karvounis"/>
        <s v="Antonios Kastellanos"/>
        <s v="Mathias Kastet"/>
        <s v="Taichi Kato"/>
        <s v="Yuka Kato"/>
        <s v="Spyridon Katsoulas"/>
        <s v="Panagiotis Kavgas"/>
        <s v="Natasha Kayia"/>
        <s v="Charalampos Kazantzoglou"/>
        <s v="Serafim Kazantzoglou"/>
        <s v="Artemis Kechris"/>
        <s v="Tony Kees"/>
        <s v="Björn Kegenbein"/>
        <s v="Eliot Kennedy"/>
        <s v="Andrew Kent"/>
        <s v="Jason Kettley"/>
        <s v="Gavin Khaira"/>
        <s v="Gurmeet Khaira"/>
        <s v="Sarjit Khaira"/>
        <s v="Christos Kidis"/>
        <s v="Takafumi Kido"/>
        <s v="Shaun Kidsley"/>
        <s v="Drew Kiely"/>
        <s v="Tony Kiely"/>
        <s v="Giorgos Kilias"/>
        <s v="Kostas Kilias"/>
        <s v="Byung Kim"/>
        <s v="Michael Kimack"/>
        <s v="Brian King"/>
        <s v="Javier King"/>
        <s v="Stuart Kingston"/>
        <s v="Brian Kinrade"/>
        <s v="John Kinsella"/>
        <s v="Antonis Kiritsis"/>
        <s v="Nikolaos Kiritsis"/>
        <s v="Yutaka Kitamura"/>
        <s v="Vasilis Kitsios"/>
        <s v="Christoforou Kleanthis"/>
        <s v="Petros Kleonakos"/>
        <s v="Todd Kleppin"/>
        <s v="Nikolaos Klironomos"/>
        <s v="Julius Kluge"/>
        <s v="Milan Knezevic"/>
        <s v="Katrin Knezevic-Schlosser"/>
        <s v="Tobias Knudsen"/>
        <s v="Rudi Knuf"/>
        <s v="Mathias Koch"/>
        <s v="Georgios Koffas"/>
        <s v="Celine Koh"/>
        <s v="Kenzo Koi"/>
        <s v="Apostolos Kokkalis"/>
        <s v="Aggeliki Koletti"/>
        <s v="Apostolos Kolettis"/>
        <s v="Aggelos Kolidakis"/>
        <s v="Georgios Kolidakis"/>
        <s v="Nikolaos Kolidakis"/>
        <s v="Georgios Kolidakis Jr"/>
        <s v="Efthimios Kollias"/>
        <s v="Georgios Kollias"/>
        <s v="Vaios Kolofotias"/>
        <s v="Aggelos-Konstantinos Kolokotronis"/>
        <s v="Theodos Kolokotronis"/>
        <s v="Dimitrios Kolovos"/>
        <s v="Giorgos Kolovos"/>
        <s v="Dimitrios Kolydakis"/>
        <s v="Nikolaos Kolydas"/>
        <s v="Ioannis Kondylis"/>
        <s v="Jamie Kong"/>
        <s v="Konstantinos Konidaris"/>
        <s v="Panagiotis Konidaris"/>
        <s v="Michael König-Danielson"/>
        <s v="Keiichi Konno"/>
        <s v="Panagiotis Konstantakos"/>
        <s v="Danai Konstantakou"/>
        <s v="Periklis Kontaxakis"/>
        <s v="Dimitrios Kontogiannis"/>
        <s v="Dimitris Kontogiannis"/>
        <s v="Alexandros Kontorouchas"/>
        <s v="Serafeim Kontos"/>
        <s v="Ioannis Korakas"/>
        <s v="Athanasios Kordantonopoulos"/>
        <s v="Christina Kordantonopoulos"/>
        <s v="Ioannis Kordantonopoulos"/>
        <s v="Phillipos Kordantonopoulos"/>
        <s v="Konstantinos Kordatos"/>
        <s v="Konstantinos Kordatos Jr"/>
        <s v="Sotiris Korologos"/>
        <s v="Thorsten Korzil"/>
        <s v="Antonios Kosmadakis"/>
        <s v="Petros Kosmas"/>
        <s v="Dimitrios Kosmopoulos"/>
        <s v="Ioannis Kosmopoulos"/>
        <s v="Ilias Kosovas"/>
        <s v="Nikolaos Kostantakopoulos"/>
        <s v="Stylianos Kotakos"/>
        <s v="Athanasios Kotrotsos"/>
        <s v="Christos Kotrotsos"/>
        <s v="Evangelos Kotrotsos"/>
        <s v="Lambros Kotsinis"/>
        <s v="Nicos Kouimanis"/>
        <s v="Ilias Koukoutsas"/>
        <s v="Athanasios Koulakis"/>
        <s v="Dionysia Koulosousa"/>
        <s v="Eleni Koulosousa"/>
        <s v="Dimitrios Koulosousas"/>
        <s v="Serafeim Koulosousas"/>
        <s v="Kostas Kounadis"/>
        <s v="Georgios Kounenos"/>
        <s v="Miltiadis Kounenos"/>
        <s v="Theodore Kouniadis"/>
        <s v="Panagiota Kouraba"/>
        <s v="Dimitris Kourabas"/>
        <s v="Nikolas Kourabas"/>
        <s v="Stefanos Kouratzis"/>
        <s v="Giannis Koureas"/>
        <s v="Christos Kouridakis"/>
        <s v="Dimosthenis Kourou"/>
        <s v="Angelos Kourouklis"/>
        <s v="Christos Kourouklis"/>
        <s v="Dimitrios Kourtis"/>
        <s v="Dionysios Koutis"/>
        <s v="Georgios Koutis"/>
        <s v="Sotirios Koutoulas"/>
        <s v="Efthymios Koutroumanos"/>
        <s v="Leonidas Koutroumanos"/>
        <s v="Dimitra Koutsiana"/>
        <s v="Efthimios Koutsogiannis"/>
        <s v="Vasileios Koutsompinas"/>
        <s v="Billy Koutzas"/>
        <s v="Konstantinos Kouvelas"/>
        <s v="Denys KOZAK"/>
        <s v="Alwin Krause"/>
        <s v="Maike Krause"/>
        <s v="Svenja Krause"/>
        <s v="Steve Kreeger"/>
        <s v="Nikolaos Krevvatas"/>
        <s v="Achim Krichel"/>
        <s v="Stefanos Krikelis"/>
        <s v="Daniel Kristensen"/>
        <s v="Kamilla Kristensen"/>
        <s v="Kim Kristensen"/>
        <s v="Thomas Hjorth Kristensen"/>
        <s v="Ioannis Krokos"/>
        <s v="Panagiotis Krommydas"/>
        <s v="Panagiotis (05) Krommydas"/>
        <s v="Melanie Kronmüller"/>
        <s v="Antonis Krysilas"/>
        <s v="Kyriacos Ktenas"/>
        <s v="Andrey Nicolaevich Kudryashov"/>
        <s v="Vikkram S Kumar"/>
        <s v="Varant Kurkeyerian"/>
        <s v="Alexandre Kushmyruk"/>
        <s v="Erfandy Kusnadi"/>
        <s v="Manuela Kwiatkowski"/>
        <s v="Marcel Kwiatkowski"/>
        <s v="Marios Kyriacou"/>
        <s v="Panagiotis Kyriakoulakos"/>
        <s v="Stilianos Kyriakoulakos"/>
        <s v="Simongiorgio La Pietra"/>
        <s v="Alberto La Rosa"/>
        <s v="Riccardo La Rosa"/>
        <s v="Antonio La Torre"/>
        <s v="Claudio La Torre"/>
        <s v="Concetto La Torre"/>
        <s v="Francesco La Torre"/>
        <s v="Thomas Lacey"/>
        <s v="Emmanuel Lafontaine"/>
        <s v="Romain Lafontaine"/>
        <s v="Dimitris Lagios"/>
        <s v="Dionysis Lagios"/>
        <s v="Benoit Lagneau"/>
        <s v="Gerald Laguea"/>
        <s v="Ying En, Vivian Lam"/>
        <s v="Brian Lambert"/>
        <s v="Stéphane Lambert"/>
        <s v="Marco Lamberti"/>
        <s v="Toribio Lambertucci"/>
        <s v="Diamantis Lampis"/>
        <s v="Fotis Lampis"/>
        <s v="Matt Lampitt"/>
        <s v="Georgios Lamprakis"/>
        <s v="Panagiotis Lamprakis"/>
        <s v="Anastasios Lampropoulos"/>
        <s v="Andrea Lampugnani"/>
        <s v="Edoardo Lanci"/>
        <s v="Edoardo Landi"/>
        <s v="Nico Landi"/>
        <s v="Dennis Landzaat"/>
        <s v="Henk Landzaat"/>
        <s v="Tommas Lange Klausen"/>
        <s v="Frank Lannoy"/>
        <s v="Luca Lanzani"/>
        <s v="Alfred Laporta"/>
        <s v="Paulo Laranjeira"/>
        <s v="Davide Lari"/>
        <s v="Dewey Larochelle"/>
        <s v="Pierre Larroumes"/>
        <s v="Tiziano Lastrucci"/>
        <s v="David Lauder"/>
        <s v="John Lauder"/>
        <s v="Francis Laurent"/>
        <s v="Joffray Laurent"/>
        <s v="Finn Laurentius"/>
        <s v="Alessandro Laurenzi"/>
        <s v="Marco Lauretti"/>
        <s v="Brandon Lavender"/>
        <s v="Roberto Lavoratti"/>
        <s v="Marios Lavrakis"/>
        <s v="Panagiotis Lavrakis"/>
        <s v="Dmitry Valeryavich Lavrentcov"/>
        <s v="Paul Lawrenson"/>
        <s v="Fabrizio Lay"/>
        <s v="Michail Lazaridis"/>
        <s v="Nikolaos Lazaridis"/>
        <s v="Lorenzo Lazzaretti"/>
        <s v="Patrizio Lazzaretti"/>
        <s v="David Lazzari"/>
        <s v="Diego Lazzaroni"/>
        <s v="Didier Le De"/>
        <s v="Arnaud Le Teno"/>
        <s v="Lucie Le Teno"/>
        <s v="Ricardo Leandro"/>
        <s v="Martin Lebutte"/>
        <s v="Pasquale Lecce"/>
        <s v="Emeline Lecerf"/>
        <s v="Sebastien Lecerf"/>
        <s v="Johnny Ledieu"/>
        <s v="Augustin Ledoit"/>
        <s v="Cyril Ledoit"/>
        <s v="Alan Lee"/>
        <s v="Malcolm Lees"/>
        <s v="Nicolas Lefebvre"/>
        <s v="Eliott Legall"/>
        <s v="Joe Legatz"/>
        <s v="Miguel Leitão"/>
        <s v="Nélson Leitão"/>
        <s v="Wolfgang Leitner"/>
        <s v="Eugene Lek"/>
        <s v="Wai Mun Lek"/>
        <s v="Kevin Lelubre"/>
        <s v="Andrew Lemak"/>
        <s v="Gianmaria Lena"/>
        <s v="Bettina Lenz"/>
        <s v="Robert Lenz"/>
        <s v="José León Moreno"/>
        <s v="David Leonard"/>
        <s v="Giuseppe Leotta"/>
        <s v="Massimiliano Lepore"/>
        <s v="Maurizio Lepri"/>
        <s v="David Leroy"/>
        <s v="Justin Leroy"/>
        <s v="Serge Leroy"/>
        <s v="Thibault Lesne"/>
        <s v="Samantha Levy"/>
        <s v="Joshua Lew"/>
        <s v="Colin Lewis"/>
        <s v="Vicky Lewis"/>
        <s v="Geert Leys"/>
        <s v="Ming Liang Li"/>
        <s v="Nikolaos Liakopoulos"/>
        <s v="Penny Liaromati"/>
        <s v="Emanuele Licheri"/>
        <s v="Eric Lienhardt"/>
        <s v="Marc Ligos"/>
        <s v="Gabriele Liguori"/>
        <s v="Grant Lilly"/>
        <s v="Mason Lilly"/>
        <s v="Arthur Lim"/>
        <s v="Bernard Lim"/>
        <s v="Claris Lim"/>
        <s v="Ding Heng Lim"/>
        <s v="Isaac Lim"/>
        <s v="Kah Jun, Dylan Lim"/>
        <s v="Luke Lim"/>
        <s v="Quan Feng Lim"/>
        <s v="Wei Xuan Lim"/>
        <s v="Yew Seng Lim"/>
        <s v="Yu Wei, Aldrich Lim"/>
        <s v="Bruno Lima"/>
        <s v="Matheus Lima"/>
        <s v="Vinícius Lima Rolim"/>
        <s v="Pietro Limbardi"/>
        <s v="Fabian Limpens"/>
        <s v="Sebastian Lind"/>
        <s v="Markus Lindner"/>
        <s v="Melissa Lineton"/>
        <s v="Irène Linquercq-Rivière"/>
        <s v="Dimitrios Liolios"/>
        <s v="Evaggelos Liolios"/>
        <s v="Matías Lioy"/>
        <s v="Nicolás Lioy"/>
        <s v="Leonardo Lista"/>
        <s v="Ciro Liucci"/>
        <s v="Jürgen Lizar"/>
        <s v="Igor Ljubisavljevic"/>
        <s v="Nikola Ljubisavljevic"/>
        <s v="Emanuele Lo Cascio"/>
        <s v="Giovanna Lo Cascio"/>
        <s v="Giuditta Lo Cascio"/>
        <s v="Giuseppe Lo Cascio"/>
        <s v="Mario Lo Iacono"/>
        <s v="Simone Lo Iacono"/>
        <s v="Angelo Lo Presti"/>
        <s v="Francesco Lo Presti"/>
        <s v="Lorenzo Lo Preti"/>
        <s v="Yann Loarec"/>
        <s v="Luis Lobo"/>
        <s v="Luca Locci"/>
        <s v="Francesco Lojacono"/>
        <s v="Daniel Lombard"/>
        <s v="Flavio Lombardi"/>
        <s v="Valentino Lombardo"/>
        <s v="Valerio Lombardo"/>
        <s v="Kasper Lønfeldt"/>
        <s v="Ji Quan, Joel Long"/>
        <s v="Santo Longo"/>
        <s v="Antonio Longobardi"/>
        <s v="Luis López"/>
        <s v="Miguel Ángel López"/>
        <s v="Jorge Juan López Soligó"/>
        <s v="Jonathan Lopez-Real"/>
        <s v="Daniele Lopresto"/>
        <s v="Niklas-Joel Lorenz"/>
        <s v="Giuseppe Lorusso"/>
        <s v="Daniel Louis"/>
        <s v="Nikolaos Lountzis"/>
        <s v="Sérgio Loureiro"/>
        <s v="Rémy Lours"/>
        <s v="Shawn Lovegrove"/>
        <s v="Alfredo Lubrano"/>
        <s v="Nico Lucchesi"/>
        <s v="Giacomo Luchetti"/>
        <s v="Stefano Luciani"/>
        <s v="Matteo Ludovici"/>
        <s v="Pietro Ludovici"/>
        <s v="Robert Ludvigsen"/>
        <s v="Tyler Lui"/>
        <s v="Ard Lukassen"/>
        <s v="Patrick Lund"/>
        <s v="Rasmus Lund"/>
        <s v="Håkon Lunde"/>
        <s v="Adam Lundy"/>
        <s v="Alessandro Lupi"/>
        <s v="Davide Lupo"/>
        <s v="Enrico Lupo"/>
        <s v="Liam Lupo"/>
        <s v="Luciano Lupo"/>
        <s v="Davide Lussu"/>
        <s v="Douglas Lynch"/>
        <s v="Andonis Lysandrou"/>
        <s v="Manos Lysikatos"/>
        <s v="Ioannis Lytras"/>
        <s v="Jens Maaß"/>
        <s v="Maiko Maaz"/>
        <s v="Oisín Mac Eó"/>
        <s v="Konstantinos Machairidis"/>
        <s v="Marco Macino"/>
        <s v="Gianluca Macri"/>
        <s v="Cláudio Madeira"/>
        <s v="Magnus Emil Madsen"/>
        <s v="Paul Magee"/>
        <s v="Thierry Magermans"/>
        <s v="Gilmar Maghenzani"/>
        <s v="Marco Maglio"/>
        <s v="William Magnier"/>
        <s v="Tiago Magno"/>
        <s v="Melanie Magro"/>
        <s v="Pietro Magro"/>
        <s v="Filipe Maia"/>
        <s v="Fabrizio Maiandi"/>
        <s v="Luca Maida"/>
        <s v="Antonio Maielli"/>
        <s v="Raphaël Maillard"/>
        <s v="Roberto Maina"/>
        <s v="Andrea Maioli"/>
        <s v="Martin Maioli"/>
        <s v="Arnold Mair"/>
        <s v="Wolfgang Mair"/>
        <s v="Paula Maireles"/>
        <s v="Jesús Maireles Alfaro"/>
        <s v="Jesús Maireles Reyes"/>
        <s v="Philippe Mairesse"/>
        <s v="Rayan Makhlouf"/>
        <s v="Vaggelis Makkas"/>
        <s v="Spyros Makkos"/>
        <s v="Manousos Makrydakis"/>
        <s v="Lorenzo Malevolti"/>
        <s v="Michail Malindretos"/>
        <s v="Pavlos Malindretos"/>
        <s v="Marianna Malindretou"/>
        <s v="Giuseppe Mallardi"/>
        <s v="Hansel Mallia"/>
        <s v="Dimitrios Mallias"/>
        <s v="Ioannis Mallias"/>
        <s v="Enrico Malossi"/>
        <s v="Kyriaki Malousidou"/>
        <s v="Fabio Malvaso"/>
        <s v="Giorgos Mamalakis"/>
        <s v="Hylson Mamoni"/>
        <s v="Ezio Mancaruso"/>
        <s v="Luiz Manceira"/>
        <s v="Daniele Mancinelli"/>
        <s v="Gennaro Mancini"/>
        <s v="Salvatore Mandanici"/>
        <s v="Nikos Mandarakas"/>
        <s v="Gerhard Mandl"/>
        <s v="Giorgio Manfioletti"/>
        <s v="Francesco Manfredelli"/>
        <s v="Massimo Manfredelli"/>
        <s v="Andrea Manganello"/>
        <s v="Mauro Manganello"/>
        <s v="Marc Manger"/>
        <s v="Fabio Mangione"/>
        <s v="Spyridon Maniatis"/>
        <s v="Vincenzo Manica"/>
        <s v="Sherona Manicoro"/>
        <s v="Miko Mann"/>
        <s v="Sean Mann"/>
        <s v="Andrew Mannix"/>
        <s v="Vasileios Manoloulis"/>
        <s v="Panagiotis Manopoulos"/>
        <s v="Nikolaos Manos"/>
        <s v="Eugenio Mantile"/>
        <s v="Nikolaos Mantzouranis"/>
        <s v="Roberto Manzella"/>
        <s v="Dario Marabello"/>
        <s v="Dimitrios Maragopoulos"/>
        <s v="Benjamin Marain"/>
        <s v="Geoffrey Marain"/>
        <s v="Michail Marakis"/>
        <s v="Emanuele Marando"/>
        <s v="Alessandro Marani"/>
        <s v="Alberto Marazzato"/>
        <s v="Leonardo Marazzato"/>
        <s v="Stefano Marazzotta"/>
        <s v="Alberto Marchán"/>
        <s v="Ermanno Marchetti"/>
        <s v="Daniele Marchi"/>
        <s v="Mario Marchisio"/>
        <s v="Mario Marcolini"/>
        <s v="Giovanni Marconcini"/>
        <s v="Graziano Maresca"/>
        <s v="Róbson Fabricio Marfa"/>
        <s v="Nicola Mariconda"/>
        <s v="Mirco Marinari"/>
        <s v="Damiano Marini"/>
        <s v="Davide Marini"/>
        <s v="Michail Marinis"/>
        <s v="Alessandro Marino"/>
        <s v="Riccardo Marinucci"/>
        <s v="Paolo Mariotto"/>
        <s v="Apostolis Markantonis"/>
        <s v="Manolis Markoudakis"/>
        <s v="Cailim Marks"/>
        <s v="Jarno Marks"/>
        <s v="Nico Marks"/>
        <s v="Mathieu Marlair"/>
        <s v="Davide Angelo Marletta"/>
        <s v="Martin Aliou Marlia"/>
        <s v="Anastasios Maroulas"/>
        <s v="Duarte Marques"/>
        <s v="José Carlos Marques"/>
        <s v="Ronaldo Marques"/>
        <s v="José Luis Márquez"/>
        <s v="Owen Márquez Galisteo"/>
        <s v="John Marshall"/>
        <s v="Hans Martens"/>
        <s v="Laura Høj Martens"/>
        <s v="Rasmus Høj Martens"/>
        <s v="Tobias Høj Martens"/>
        <s v="José Martin"/>
        <s v="Orlan Martin"/>
        <s v="Robin Martin"/>
        <s v="Curro Martín"/>
        <s v="Eduardo Martín"/>
        <s v="Antonio Martinelli"/>
        <s v="Vito Sante Martinelli"/>
        <s v="Paolo Martiner Testa"/>
        <s v="Manuel Martinez"/>
        <s v="Abraham Martínez"/>
        <s v="Arturo Martínez"/>
        <s v="Carlos Alberto Martínez"/>
        <s v="Joaquín Martínez"/>
        <s v="Norberto Martínez"/>
        <s v="Norberto Oscar Martínez"/>
        <s v="Andrew Martini"/>
        <s v="Francisco Martins"/>
        <s v="Vitor Martins"/>
        <s v="Tom Martz"/>
        <s v="Takanobu Marutani"/>
        <s v="Michele Marziani"/>
        <s v="Mirco Marzocchi"/>
        <s v="Christian Mascitti"/>
        <s v="Antonio Masile"/>
        <s v="Mirko Masini"/>
        <s v="Xavi Maso"/>
        <s v="Benoît Massart"/>
        <s v="Guglielmo Masserini"/>
        <s v="Davide Massone"/>
        <s v="Antonio Mastrangelo"/>
        <s v="Gianfranco Mastrantuono"/>
        <s v="Manuel Mastrantuono"/>
        <s v="Marco Mastrobuono"/>
        <s v="Massimo Francesco Mastrobuono"/>
        <s v="Fabio Mastroianni"/>
        <s v="Alessandro Mastropasqua"/>
        <s v="Brandon Mata"/>
        <s v="Miguel Ángel Matabuena"/>
        <s v="Domenico Matalone"/>
        <s v="Edoardo Matalone"/>
        <s v="Alberto Mateos"/>
        <s v="Luis Mateos"/>
        <s v="Gary Mather"/>
        <s v="John Mathieson"/>
        <s v="David Mathieu"/>
        <s v="João Matias"/>
        <s v="Allan Matos"/>
        <s v="Giorgos Matos"/>
        <s v="Marcelo Matos"/>
        <s v="Georgios Matsakas"/>
        <s v="Stilianos Matsopoulos"/>
        <s v="Massimo Matteucci"/>
        <s v="Cayne Matthews"/>
        <s v="Paul Matthews"/>
        <s v="Ruby Matthews"/>
        <s v="Federico Mattiangeli"/>
        <s v="Francesco Mattiangeli"/>
        <s v="Yannik Matusch"/>
        <s v="Markus Matzinger"/>
        <s v="Konstantinos Mavraganis"/>
        <s v="Michail Mavrikidis"/>
        <s v="Ioannis D. Mavroeidakos"/>
        <s v="Ioannis H. Mavroeidakos"/>
        <s v="Spyridon Mavroeidakos"/>
        <s v="Andreas Mavrogiannis"/>
        <s v="Dimitrios Mavromitros"/>
        <s v="Vasileios Mavromitros"/>
        <s v="Sean Mayock"/>
        <s v="Mursyid Mazlan"/>
        <s v="Sergio Mazzau"/>
        <s v="Bruno Mazzeo"/>
        <s v="Michelangelo Mazzilli"/>
        <s v="Roberto Mazzucchi"/>
        <s v="David McCallum"/>
        <s v="Tony McCann"/>
        <s v="David McCartney"/>
        <s v="Scott McCaulley"/>
        <s v="Daniel McCormick"/>
        <s v="James McCormick"/>
        <s v="Mark McCrossan"/>
        <s v="Paul McFadyen"/>
        <s v="Stuart McIlroy"/>
        <s v="Mark McKane"/>
        <s v="John Mckay"/>
        <s v="Patrick McKeever"/>
        <s v="Fraser McKenzie"/>
        <s v="Gary McKenzie"/>
        <s v="Ken McKenzie"/>
        <s v="Ronnie McKenzie"/>
        <s v="Scott McKenzie"/>
        <s v="Eddy Mclane"/>
        <s v="Simon McMurray"/>
        <s v="Stephan McNab"/>
        <s v="Ryan McPhail"/>
        <s v="Andrew Meggitt"/>
        <s v="Pietro Megna"/>
        <s v="Konstantinos Meleas"/>
        <s v="Cristian Melis"/>
        <s v="Emerson Melli"/>
        <s v="Stavros Mellios"/>
        <s v="Richard Mellott"/>
        <s v="Diogo Mendes"/>
        <s v="Francisco Mendes"/>
        <s v="Júlia Mendes"/>
        <s v="Rui Mendes"/>
        <s v="Luis Felipe Méndez"/>
        <s v="Francesco Menditto"/>
        <s v="Guilherme Mendonça"/>
        <s v="Anastasios Menegakos"/>
        <s v="Alessandro Meneghetti (62)"/>
        <s v="Brian Mengele"/>
        <s v="Ricardo Meni"/>
        <s v="Anna-Lisa Mensel"/>
        <s v="Giorgio Mentasti"/>
        <s v="Lorenzo Mentasti"/>
        <s v="Felice Meo"/>
        <s v="Giovanni Meo (04)"/>
        <s v="Giovanni Meo (98)"/>
        <s v="Paul Mercer"/>
        <s v="Maria Felice Merkouris"/>
        <s v="Michail Angelos Merkouris"/>
        <s v="Eleftherios Meros"/>
        <s v="John Meros"/>
        <s v="David Merrilees-Kelly"/>
        <s v="Yanik Merrilees-Kelly"/>
        <s v="Fabian Mertins"/>
        <s v="Ilias Mesaikos"/>
        <s v="Stavros Messonisanakis"/>
        <s v="Ioannis Metaxas"/>
        <s v="Antonio Mettivieri"/>
        <s v="Apostolis Metzidakis"/>
        <s v="Laurent Meygret"/>
        <s v="Cédric Meyus"/>
        <s v="Giovanni Micati"/>
        <s v="Francesco Mattia Miccoli"/>
        <s v="Vincenzo Miccolupi"/>
        <s v="Argiris Michail"/>
        <s v="Panagiotis Michalatos"/>
        <s v="Andrew Michel"/>
        <s v="Oriano Micheletti"/>
        <s v="Mauro Michilin"/>
        <s v="Paulo Michilin"/>
        <s v="Evangelos Michopoulos"/>
        <s v="Marco Midoro"/>
        <s v="Ludovic Midoux"/>
        <s v="Rafaël Midoux"/>
        <s v="Bertrand Mienville"/>
        <s v="Joseph Mifsud"/>
        <s v="Vincent Mifsud"/>
        <s v="Yoan Migliore"/>
        <s v="Alessandro Migliori"/>
        <s v="Norberto Miguel"/>
        <s v="Jercich Mike"/>
        <s v="Egon Lund Mikkelsen"/>
        <s v="Federico Milan"/>
        <s v="Roberto Milanese"/>
        <s v="Raffaello Milani"/>
        <s v="Nadja Milbo Hansen"/>
        <s v="Giampaolo Milei"/>
        <s v="Christian Milessa"/>
        <s v="Evaggelos Miliarakis"/>
        <s v="Grigoris Milidonis"/>
        <s v="Riccardo Minnetti"/>
        <s v="Brandon Minton"/>
        <s v="Dave Minty"/>
        <s v="Fulvio Miotti"/>
        <s v="Mitsuki Mishima"/>
        <s v="Nikolaos Misiros"/>
        <s v="Colin Mitchell"/>
        <s v="Marinos Mitellas"/>
        <s v="Kostas Mitrakopoulos"/>
        <s v="Theodoros Mitropoulos"/>
        <s v="Makoto Miyake"/>
        <s v="Manlio Mochi"/>
        <s v="Axel Modeste"/>
        <s v="Théo Modeste"/>
        <s v="Daniele Modugno"/>
        <s v="Jan-Thomas Moen"/>
        <s v="Rizal Mohd Amirul"/>
        <s v="Amin Mohd Anis"/>
        <s v="Mohd Rizal Mohd Asyraf"/>
        <s v="Mohd Faruq Mohd Noor"/>
        <s v="Norizal Mohd Noor"/>
        <s v="Noor Haikal Mohd Sabah"/>
        <s v="Muhd Irshadullah Mohd Yusoff"/>
        <s v="Rajakumaran Mohnish"/>
        <s v="João Molina"/>
        <s v="Francesco Molinari"/>
        <s v="Friedel Molinaro"/>
        <s v="Marco Molinaro"/>
        <s v="Mario Molinaro"/>
        <s v="Bertram Møller"/>
        <s v="Jérôme Monchalin"/>
        <s v="Tristan Monchalin"/>
        <s v="Enrico Mondo"/>
        <s v="Valerio Mondo"/>
        <s v="Dimitrios Ioannis Monemvasitis"/>
        <s v="Dimitrios Sarantos Monemvasitis"/>
        <s v="Tzanis Monemvasitis"/>
        <s v="Afonso Monge"/>
        <s v="Frank Montabon"/>
        <s v="GianMaria Montaguti"/>
        <s v="Alessandro Montanari"/>
        <s v="Alfonso Montaño"/>
        <s v="Antonio Montaño"/>
        <s v="Juan Antonio Montaño"/>
        <s v="Michelangelo Montecalvo"/>
        <s v="Stefano Montefiori"/>
        <s v="Nicola Montefusco"/>
        <s v="Christophe Monteiro"/>
        <s v="Dilton Monteiro"/>
        <s v="Ruben Monteiro"/>
        <s v="Sergio Monteleone"/>
        <s v="Chris Moore"/>
        <s v="Cian Moore"/>
        <s v="Fiona Moore"/>
        <s v="Gary Moore"/>
        <s v="Gerald Moore"/>
        <s v="John Moore"/>
        <s v="Nicky Moore"/>
        <s v="André Luiz Moraes"/>
        <s v="Gerardo Morandi"/>
        <s v="Magnus Mørch"/>
        <s v="Chris Moreira"/>
        <s v="Erick Moreira"/>
        <s v="Antonio Moreno Vico"/>
        <s v="Otger Moreno Villegas"/>
        <s v="Stephen Moreton"/>
        <s v="Leonardo Moretti"/>
        <s v="Konstantinos Morfiadis"/>
        <s v="Nigel Morgan"/>
        <s v="Rocco Morganelli"/>
        <s v="Daigo Mori"/>
        <s v="Isshin Mori"/>
        <s v="Michele Mori"/>
        <s v="Tatsuki Mori"/>
        <s v="Alekos Morias"/>
        <s v="Danilo Moricz"/>
        <s v="Nicolas Morier"/>
        <s v="Massimo Morigi"/>
        <s v="Nozomu Morioka"/>
        <s v="Yoshiharu Moritake"/>
        <s v="Giovanni Maria Moro"/>
        <s v="Rodrigo Moro"/>
        <s v="Efstratios Moros"/>
        <s v="Konstantinos Moros"/>
        <s v="Alistair Morrison"/>
        <s v="Andrew Morrison"/>
        <s v="Peter Morrison"/>
        <s v="Rory Morrison"/>
        <s v="Jude Morrow"/>
        <s v="Dimosthenis Moschopoulos"/>
        <s v="Nikolaos Moshidis"/>
        <s v="Bruno Mottet"/>
        <s v="Sophoklis Mougis"/>
        <s v="Salvador Moura"/>
        <s v="Evaggelia Mpelanti"/>
        <s v="Antonis Mpitras"/>
        <s v="Ioannis Mpougiouris"/>
        <s v="Giannis Mpratis"/>
        <s v="Conrad Mudge"/>
        <s v="Rusydi Muhd Abdullah"/>
        <s v="Aqhari, Bin Muhd Azhar Muhd Farish"/>
        <s v="Kosuke Mukai"/>
        <s v="Edin Mulasmajic"/>
        <s v="Ekrem Mulasmajic"/>
        <s v="Conan Mullen"/>
        <s v="André Müller"/>
        <s v="Nico Müller"/>
        <s v="Stefano Munafo'"/>
        <s v="Manuel Muñoz"/>
        <s v="Massimo Mura"/>
        <s v="Pierpaolo Murabito"/>
        <s v="Samuele Murabito"/>
        <s v="Maxime Muraille"/>
        <s v="Claudio Murcilli"/>
        <s v="Renato Murcilli"/>
        <s v="Jeff Murphy"/>
        <s v="Mohd Bolkiah Musa"/>
        <s v="Gian Luca Mussato"/>
        <s v="Filippo Mussino"/>
        <s v="Marcel Musso"/>
        <s v="Armando Mustacato"/>
        <s v="Lars Tore Myge"/>
        <s v="Yuko Nakahara"/>
        <s v="Hidenori Nakai"/>
        <s v="Alexandros Nanis"/>
        <s v="Mattia Nanni"/>
        <s v="Luiz Nannini"/>
        <s v="Sunil Nanwani"/>
        <s v="Carmine Napolitano"/>
        <s v="Vincenzo Nappa"/>
        <s v="Simone Nappini"/>
        <s v="Raju Naraindas"/>
        <s v="Alessio Nardi"/>
        <s v="Rodrigo Narduche"/>
        <s v="Fabio Nardulli"/>
        <s v="Luis Carlos Nascimento"/>
        <s v="Nikolaos Naskos"/>
        <s v="Pasquale Naso"/>
        <s v="Ali Nasri"/>
        <s v="Enea Nasri"/>
        <s v="Massimiliano Nastasi"/>
        <s v="Eric Naszalyi"/>
        <s v="Paul Naszalyi"/>
        <s v="Carmelo Natale"/>
        <s v="Paolo Natale"/>
        <s v="Massimo Nativo"/>
        <s v="Alessandro Natoli"/>
        <s v="Cesare Natoli"/>
        <s v="Riccardo Natoli"/>
        <s v="Giovanni Navarra"/>
        <s v="Orlando Navarra"/>
        <s v="Dimitrios Navridis"/>
        <s v="Alessandro Nefi"/>
        <s v="Alessandro Neri"/>
        <s v="Fabrizio Neri"/>
        <s v="Demetrio Neto"/>
        <s v="José Netto"/>
        <s v="Luís Neves"/>
        <s v="Raoul Newton"/>
        <s v="Pavlos Nezis"/>
        <s v="Benny Ng"/>
        <s v="Tiong Hian Ng"/>
        <s v="Yong An, Gary Ng"/>
        <s v="Marianna Niavi"/>
        <s v="Alexandros Niavis"/>
        <s v="Giorgos Niavis"/>
        <s v="Marco Nicastro"/>
        <s v="Vittorio Nicchi"/>
        <s v="Dan Nicholls"/>
        <s v="Colin Nicol"/>
        <s v="Christos Nicolau"/>
        <s v="Riccardo Nicoletti"/>
        <s v="Ferdinando Nicosia"/>
        <s v="Dimitrios Nidriotis"/>
        <s v="Georgios Nidriotis"/>
        <s v="Aleksandra Niedzielska"/>
        <s v="Gill Thesan Nikhil"/>
        <s v="Giannis Nikolaidis"/>
        <s v="Marios Nikolau"/>
        <s v="Giannis Nikolopoulos"/>
        <s v="Athanasios Nikou"/>
        <s v="Manabu Nishi"/>
        <s v="Miaki Nishi"/>
        <s v="Stelios Nitis"/>
        <s v="Vasilios Nitis"/>
        <s v="Michael Nixdorf"/>
        <s v="Silvio Nocchi"/>
        <s v="Jean-Maurice Noel"/>
        <s v="Juan Noguera"/>
        <s v="Majee Nolizam"/>
        <s v="Aris Nomikos"/>
        <s v="Vasileios Nomikos"/>
        <s v="Filippo Nompari"/>
        <s v="Mohd Haikel Norazam"/>
        <s v="Sondre Nordjore"/>
        <s v="Nuno Noronha"/>
        <s v="Stephan Nørregaard"/>
        <s v="Vasilis Nousios"/>
        <s v="Massimo Novi"/>
        <s v="Martin Novotny"/>
        <s v="Ilias Ntais"/>
        <s v="Nikolaos Ntais"/>
        <s v="Ioannis Ntakas"/>
        <s v="Andreas Nteros"/>
        <s v="Giulio Nucci"/>
        <s v="Benny Nuger"/>
        <s v="Arnaud Nullens"/>
        <s v="João Nunes"/>
        <s v="Pasquale Nunzet"/>
        <s v="Mick O’Brien"/>
        <s v="Katharina Ocenasek"/>
        <s v="Matthias Odelga"/>
        <s v="Paul Offmann"/>
        <s v="Giuseppe Ogno"/>
        <s v="Yu Zhu, Apple Oh"/>
        <s v="Rob O'Hare"/>
        <s v="Robert Ohrstrom"/>
        <s v="Paris Oiconomidis"/>
        <s v="Anastasios Oikonomou"/>
        <s v="Hiroyuki Okada"/>
        <s v="Kazuki Okano"/>
        <s v="Yoshiyuki Okano"/>
        <s v="Carlos Oleastro"/>
        <s v="Beatriz Oliveira"/>
        <s v="Leonardo Oliveira"/>
        <s v="Andrea Oncini"/>
        <s v="Gary Ong"/>
        <s v="Kheng Kwang Ong"/>
        <s v="Lewis, Cheng Yi Ong"/>
        <s v="Oliver Ong"/>
        <s v="Masao Onitsuka"/>
        <s v="Tomoki Ono"/>
        <s v="Massimiliano Ontani"/>
        <s v="Peter Ooi"/>
        <s v="Stanislav Opl"/>
        <s v="Richard Oranje"/>
        <s v="Iosif Orfanoudakis"/>
        <s v="Leonidas Orfanoudakis"/>
        <s v="Cosimo Orlando"/>
        <s v="Agustin Ortega"/>
        <s v="Kazue Osa"/>
        <s v="Richard Osborne"/>
        <s v="Sulaiman Marican Osman"/>
        <s v="Muhd Farhan Othman"/>
        <s v="Alessandro Ottone"/>
        <s v="Francesco Ottone"/>
        <s v="Giovanna Ottone"/>
        <s v="Maria Grazia Ottone"/>
        <s v="Theodoros Ousaklidis"/>
        <s v="Xavier Outers"/>
        <s v="Nick Owen"/>
        <s v="Patrick Pace"/>
        <s v="Germán Pacello"/>
        <s v="Thrasyvoulos Pachatouridis"/>
        <s v="Alvaro Paciaroni"/>
        <s v="Roberto Pacileo"/>
        <s v="Stefano Pacitti"/>
        <s v="Cristiano Paffrath Bertolino"/>
        <s v="Gianni Pagani"/>
        <s v="Spyridon Pagkratis"/>
        <s v="Massimiliano Painelli"/>
        <s v="Nikolaos Palaiologos"/>
        <s v="Georgios Palaitsakis"/>
        <s v="Marco Palamà"/>
        <s v="Francesco Palamara"/>
        <s v="Luca Palazzoli"/>
        <s v="Andrea Palazzolo"/>
        <s v="Rúben Paleta"/>
        <s v="Ioannis Paliouras"/>
        <s v="Vasilios Paliouras"/>
        <s v="Zenon Palitot Filho"/>
        <s v="Benjamin Palmer"/>
        <s v="Guy Palmer"/>
        <s v="Alfredo Palmieri"/>
        <s v="Lionello Palmieri"/>
        <s v="Antonio Palumbo"/>
        <s v="Gianluca Pambianchi"/>
        <s v="Stavros Panagiotakopoulos"/>
        <s v="Vasileios Panagiotides"/>
        <s v="Christos Panagiotidis"/>
        <s v="Panagiotis Panagiotidis"/>
        <s v="Giorgos Panagiotopoulos"/>
        <s v="Ioanna Virginia Panagiotopoulou"/>
        <s v="Filippos Panagopoulos"/>
        <s v="Rafail Panagoulas"/>
        <s v="Cédric Pandolfi"/>
        <s v="Claudio Panebianco"/>
        <s v="Paolo Panella"/>
        <s v="Pierluigi Panella"/>
        <s v="Riccardo Panella"/>
        <s v="Antonio Panizzari"/>
        <s v="Emmanouil Pantazopoulos"/>
        <s v="Georgios Pantazopoulos"/>
        <s v="Kostas Pantelaras"/>
        <s v="Laura Panza - Intra"/>
        <s v="Agnaldo Panzarini"/>
        <s v="Guilherme Panzarini"/>
        <s v="Massimo Paoletti"/>
        <s v="Francesco Paolini"/>
        <s v="Nikolaos Paolino"/>
        <s v="Adrianna Papadaki"/>
        <s v="George Pol Papadakis"/>
        <s v="Konstantinos Papadakis"/>
        <s v="Manolis Papadakis"/>
        <s v="Michalis Papadakis"/>
        <s v="Nikolaos Papadakis"/>
        <s v="Maria Papadea"/>
        <s v="Sotirios Papadimas"/>
        <s v="Nikolaos Papadogonas"/>
        <s v="Dimitrios Papadopoulos"/>
        <s v="Evangelos Papadopoulos"/>
        <s v="Georgios Papadopoulos"/>
        <s v="Odysseas Papadopoulos"/>
        <s v="Paris Papadopoulos"/>
        <s v="Dimitris Papadoukakis"/>
        <s v="Dimitris Papageorgiou"/>
        <s v="Marios-Georgios Papageorgiou"/>
        <s v="Panagiotis Papahronopoulos"/>
        <s v="Elias Papaioannou"/>
        <s v="Michail Papaioannou"/>
        <s v="Αlexandros- Efthymios Papaioannou-Boznas"/>
        <s v="Aggelos Papaioannoy"/>
        <s v="Dimitrios-Marios Papakonstantinou"/>
        <s v="Andreas Papakyriakou"/>
        <s v="Leonidas Papamichail"/>
        <s v="Eleftheria Papanikolaou"/>
        <s v="Georgios Papanikolaou"/>
        <s v="Nikolaos Papanikolaou"/>
        <s v="Apollon Papathanasiou"/>
        <s v="Vasileios Papathanasiou"/>
        <s v="Petros Papathomas"/>
        <s v="Michail Papatzimas"/>
        <s v="Andreas Papavasileiou"/>
        <s v="Georgios Papavasileiou"/>
        <s v="Theodoros Papavasiliou"/>
        <s v="Athanasios Papazoglou"/>
        <s v="Daniil Papazoglou"/>
        <s v="Georgios Papazoglou"/>
        <s v="Philippos Papidakis"/>
        <s v="Sarantis Papidakis"/>
        <s v="Nikolaos Papoulias"/>
        <s v="Chrysoula Pappa"/>
        <s v="Angelos Pappas"/>
        <s v="Nikolaos Pappas"/>
        <s v="Emmanouil Paraschis"/>
        <s v="Spyridon Paraschis"/>
        <s v="Konstandinos Paraskevas"/>
        <s v="Nikolaos Paraskevas"/>
        <s v="Miguel Ángel Paris"/>
        <s v="Javier París"/>
        <s v="Mike Parnaby"/>
        <s v="Luca Parodi"/>
        <s v="Júlio Paroski"/>
        <s v="Dimitris Parperis"/>
        <s v="João Gilberto Parras Benitez"/>
        <s v="Daniel Parrilla"/>
        <s v="Edoardo Parrino"/>
        <s v="David Parsons"/>
        <s v="Harry Parsons"/>
        <s v="Matt Parsons"/>
        <s v="Ollie Parsons"/>
        <s v="Renato Parussini"/>
        <s v="Giannis Paschalides"/>
        <s v="João Pascoal"/>
        <s v="Panagiotis Pashos"/>
        <s v="Simone Pasquali"/>
        <s v="Laurent Pasquier"/>
        <s v="Fabio Pasquini"/>
        <s v="Duccio Passeroni"/>
        <s v="Nathan Pate"/>
        <s v="Paul Pate"/>
        <s v="Antonios Patedakis"/>
        <s v="Ioannis Patedakis"/>
        <s v="Shiv Patel"/>
        <s v="Rob Paterson"/>
        <s v="Achilleas Patistas"/>
        <s v="Panagiotis Patistas"/>
        <s v="Eirini Patrikiou"/>
        <s v="Dimitrios Patrinos"/>
        <s v="Nikolaos Patrinos"/>
        <s v="Spyridon Patrinos"/>
        <s v="Gerardo Patruno"/>
        <s v="Alec Paul"/>
        <s v="Ricardo Pavão"/>
        <s v="Forest Pavel"/>
        <s v="Manfred Pawlica"/>
        <s v="Michael Pearce"/>
        <s v="Nick Pearson"/>
        <s v="Alessandro Pecchioli"/>
        <s v="Miki Pedersen"/>
        <s v="Trond Pedersen"/>
        <s v="Aldo Pedetti"/>
        <s v="Gianmarco Pedicini"/>
        <s v="Konstantinos Pefanis"/>
        <s v="Davide Peghin"/>
        <s v="Yu Xiang, Henry Peh"/>
        <s v="Uffe Peitersen"/>
        <s v="Sergio Gustavo Pelle"/>
        <s v="Andrea Pellegrino"/>
        <s v="Diego Pellicoro"/>
        <s v="Gabriele Pellicoro"/>
        <s v="Patrick Peltier"/>
        <s v="Antonio Peluso"/>
        <s v="Simon E Seck Peng"/>
        <s v="Simone Pennati"/>
        <s v="Spiros Pensas"/>
        <s v="Marco Perazzo"/>
        <s v="Frédéric Perdaens"/>
        <s v="Stamatis Perdicaris"/>
        <s v="Monica Perdichizzi"/>
        <s v="Lucas Pere"/>
        <s v="Olivier Pere"/>
        <s v="Afonso Pereira"/>
        <s v="Christofer Pereira"/>
        <s v="Diogo Pereira"/>
        <s v="Max Pereira"/>
        <s v="Miguel Pereira"/>
        <s v="Paulo Cesar Pereira"/>
        <s v="Santiago Pereira"/>
        <s v="Ricardo Pereira da Silva"/>
        <s v="Yves Peremans"/>
        <s v="Teo Peretti"/>
        <s v="Álvaro Pérez"/>
        <s v="Héctor Pérez"/>
        <s v="José Pérez Montero"/>
        <s v="Andrea Periccioli"/>
        <s v="Luca Periccioli"/>
        <s v="Marco Perotti"/>
        <s v="Francesco Perri"/>
        <s v="Daniele Perrino"/>
        <s v="Enrico Vito Perrino"/>
        <s v="Paulo Perrotti"/>
        <s v="Colin Perry"/>
        <s v="Dennis Perry"/>
        <s v="Sebastián Pesci"/>
        <s v="Luca Pessini"/>
        <s v="Nigel Pestelle"/>
        <s v="Aldo Francesco Petea"/>
        <s v="Joey Peters"/>
        <s v="Rudi Peterschinigg"/>
        <s v="Alexander Petersen"/>
        <s v="Andreas Petersen"/>
        <s v="Thomas Petersen"/>
        <s v="Victor Petersen"/>
        <s v="Sotiris Petrakis"/>
        <s v="Mauro Petrini"/>
        <s v="Georgios Petronikolos"/>
        <s v="Alexandros Petropoulos"/>
        <s v="Christos Petropoulos"/>
        <s v="Eugenio Gerardo Petrungaro"/>
        <s v="Luca Pezzuolo"/>
        <s v="Gabriel Phokos"/>
        <s v="Timothy Phokos"/>
        <s v="Sammy Phua"/>
        <s v="Daniele Piacentini"/>
        <s v="Stefano Pianigiani"/>
        <s v="Tommaso Piatti"/>
        <s v="Giulia Pibiri"/>
        <s v="Roberto Piccoli"/>
        <s v="Tony Pickance"/>
        <s v="Simone Pieraccioni"/>
        <s v="Roberto Pieroni"/>
        <s v="Riccardo Pietrafusa"/>
        <s v="Robert Piggott"/>
        <s v="Adrian Pigott"/>
        <s v="Theodoros Pilatos"/>
        <s v="Fabio Pimpinella"/>
        <s v="Marco Pinausi"/>
        <s v="Felipe Maciel Pinheiro"/>
        <s v="Renato Pinheiro Barthez"/>
        <s v="Inês Pinho"/>
        <s v="Luca Pini"/>
        <s v="Fabian Pinter"/>
        <s v="Giampiero Pinto"/>
        <s v="Juan Carlos Pinto"/>
        <s v="Pedro M Pinto"/>
        <s v="Carlos Pinto Gurdiel"/>
        <s v="Fabrizio Pintore"/>
        <s v="Sebastiano Pireddu"/>
        <s v="António Pires"/>
        <s v="Stefka Pirova"/>
        <s v="Jason Pisani"/>
        <s v="Carlo Piscopo"/>
        <s v="Stefano Pistolesi"/>
        <s v="Marco Pistoni"/>
        <s v="Marco Pistorino"/>
        <s v="Luigi Pisu"/>
        <s v="Georgios Pitihoutis"/>
        <s v="Alexandra Pitsari"/>
        <s v="Christos Pitsaris"/>
        <s v="Georgios Pitsaris"/>
        <s v="Nada Plesa"/>
        <s v="Kyriakos Plianthidis"/>
        <s v="Vaggelis Plianthidis"/>
        <s v="Evgenios Plytas"/>
        <s v="Daniele Pochesci"/>
        <s v="Francesco Pochetti"/>
        <s v="Marco Podini"/>
        <s v="Nicola Poggiali"/>
        <s v="Damianos Polichronidis Polichroniadis"/>
        <s v="Manuel Politz"/>
        <s v="Spyros Polizos"/>
        <s v="Denis Polsinelli"/>
        <s v="Charalampos Polychronakis"/>
        <s v="Charalambos Polychroniadis"/>
        <s v="Konstantinos Polykratis"/>
        <s v="Raphaël Pommier"/>
        <s v="Stéphane Pommier"/>
        <s v="Francesco Pon"/>
        <s v="Ernesto Poncetta"/>
        <s v="Thomas PONTÉ"/>
        <s v="Ludovic Ponthieux"/>
        <s v="Georgios Pontikopoulos"/>
        <s v="Ivan POPOV"/>
        <s v="Benedikt Popp"/>
        <s v="Harald Popp"/>
        <s v="Roland Popp"/>
        <s v="Tobias Popp"/>
        <s v="Giuseppe Porcelli"/>
        <s v="Joshua Poreski"/>
        <s v="Michelangelo Porro"/>
        <s v="Riccardo Porro"/>
        <s v="Fabio Porto"/>
        <s v="Ignazio Portoghese"/>
        <s v="Igor Portoghese"/>
        <s v="Paulo Português"/>
        <s v="Ruben Português"/>
        <s v="Louise Have Post"/>
        <s v="Dimitrios Pothitos"/>
        <s v="Ioannis Pothitos"/>
        <s v="Aymeric Pouffet"/>
        <s v="Kévin Pouffet"/>
        <s v="Anargyros Poulidis"/>
        <s v="Léa poupart"/>
        <s v="Christos Pouris"/>
        <s v="Florian Powels"/>
        <s v="Giacomo Pozzi"/>
        <s v="Salvatore Praino"/>
        <s v="Lucas Prando Ferreira"/>
        <s v="Pedro Prando Ferreira"/>
        <s v="Evripidis Prantsoudis"/>
        <s v="Vicenç Prats"/>
        <s v="Daria Prazynski"/>
        <s v="Danilo Presti"/>
        <s v="Vincenzo Prestia"/>
        <s v="Maurizio Presutti"/>
        <s v="Angelo Prettico"/>
        <s v="Nico Pretzel"/>
        <s v="Wilfried Pretzel"/>
        <s v="Achim Preu"/>
        <s v="Pietro Previti"/>
        <s v="Gennaro Preziuso"/>
        <s v="Manfredo Preziuso"/>
        <s v="Marco Preziuso"/>
        <s v="Alfredo Priamo"/>
        <s v="Brett Price"/>
        <s v="Sofia Prifti"/>
        <s v="Anastasios Priftis"/>
        <s v="Alexandros Prinias"/>
        <s v="Iason Prionidis"/>
        <s v="Evangelos Pritsis"/>
        <s v="Thomas Pröhle"/>
        <s v="Iryna PROKHORENKO"/>
        <s v="Ioulianos Prombonas"/>
        <s v="Nikolaos Promponas"/>
        <s v="Clarence Psaila"/>
        <s v="Christos Psaradelis"/>
        <s v="Giannis Psarras"/>
        <s v="Nektarios Psihas"/>
        <s v="Nikolas (07) Psomiadis"/>
        <s v="Nikos Psomiadis"/>
        <s v="Iraklis Psychogyios"/>
        <s v="Giorgos Psychopoulos"/>
        <s v="Ioannis Psychopoulos"/>
        <s v="Carles Puertas"/>
        <s v="Andrés Puerto"/>
        <s v="Maurizio Pugi"/>
        <s v="Pierluigi Pugliano"/>
        <s v="Davide Pulito"/>
        <s v="Craig Purnell"/>
        <s v="Arudyo Putro"/>
        <s v="Luca Puzella"/>
        <s v="Dimitrios Pylarinos"/>
        <s v="Peng Qiao"/>
        <s v="Luigi Quaranta"/>
        <s v="Francesco Quattrini"/>
        <s v="Ivan Quattrocchi"/>
        <s v="Oriol Quer"/>
        <s v="Igor Quintaes"/>
        <s v="Daniel Raarup"/>
        <s v="Riccardo Rabacchin"/>
        <s v="Steve Race"/>
        <s v="Emanuele Radicchi"/>
        <s v="Luke Radziminski"/>
        <s v="Alessandro Ragazzini Fuligni"/>
        <s v="Giuseppe Ragusa"/>
        <s v="Anas Rahamat"/>
        <s v="Vasilis Rahmanis"/>
        <s v="João Raimundo"/>
        <s v="Christophe Rairoux"/>
        <s v="Maxime Rairoux"/>
        <s v="Dimitri Raison"/>
        <s v="Lucas Raison"/>
        <s v="Hervé Rakowski"/>
        <s v="José Antônio Ramalhete"/>
        <s v="Marcelo Lages Ramalhete"/>
        <s v="Davide Ramazzotto"/>
        <s v="Raul Ramirez-Pena"/>
        <s v="Moisés Ramos"/>
        <s v="Sérgio Ramos"/>
        <s v="Wesley William Ramos Barreto"/>
        <s v="Fabio Rampi"/>
        <s v="Robert Ramsay"/>
        <s v="Zachary Ramsay"/>
        <s v="Lorenzo Randelli"/>
        <s v="Parjesh Randhawa"/>
        <s v="Taylor Randles"/>
        <s v="Marcio Rangel"/>
        <s v="Nick Ranklit"/>
        <s v="Stefano Raponi"/>
        <s v="Martin Ravnborg"/>
        <s v="Fredrik Rawicki"/>
        <s v="Muhd Raihan Razaki"/>
        <s v="Ahmad Zulfadhlee Razali"/>
        <s v="Hasyafiq Razali"/>
        <s v="Nicola Razzi"/>
        <s v="Dimitrios Rebis"/>
        <s v="Alberto Recano"/>
        <s v="Bodo Reckzeh"/>
        <s v="Marc Regnier"/>
        <s v="Manuel Reguera Delgado"/>
        <s v="Gonzalo Reguera Muñoz"/>
        <s v="Manuel Reguera Muñoz"/>
        <s v="Nuno Reis"/>
        <s v="Marc Reitz"/>
        <s v="Paul Remund"/>
        <s v="Roberto Renaldini"/>
        <s v="Alessandro Renzi"/>
        <s v="Matteo Resca"/>
        <s v="Sergi Ribé"/>
        <s v="Martim Ribeiro"/>
        <s v="Tomás Ribeiro"/>
        <s v="Carlos Ricardo"/>
        <s v="Giovanni Maria Riccardi"/>
        <s v="Mirco Ricci"/>
        <s v="Luca Riccio"/>
        <s v="Vincenzo Riccio"/>
        <s v="Bernardo Ricco"/>
        <s v="Alberto Riccò"/>
        <s v="Alessandro Riccò"/>
        <s v="Francesco Riccobene"/>
        <s v="Sam Rice"/>
        <s v="Emilio Richichi"/>
        <s v="Michael Ridger"/>
        <s v="Samuel Ridger"/>
        <s v="Florian Riehl"/>
        <s v="Salvatore Riggio"/>
        <s v="Simone Righetto"/>
        <s v="Davide Rigon"/>
        <s v="Christos Rikos"/>
        <s v="Sergio Riscardi"/>
        <s v="Giancarlo Riva"/>
        <s v="Ric Rivas"/>
        <s v="Roberto Rizzo"/>
        <s v="Ricardo Roberti"/>
        <s v="Jeremy Roberts-Kleban"/>
        <s v="Arnaud Robillard"/>
        <s v="Leandro Robles"/>
        <s v="Efstathios Robotis"/>
        <s v="Lorenzo Rocca"/>
        <s v="Roberto Rocchi"/>
        <s v="Sébastien Rochez"/>
        <s v="Malcolm Rodenby"/>
        <s v="Brendan Rodgers"/>
        <s v="Isaac Rodgers"/>
        <s v="Stephen Rodgers"/>
        <s v="Zachria Rodgers"/>
        <s v="João Rodrigues"/>
        <s v="David Rodríguez"/>
        <s v="Antonello Rodriquez"/>
        <s v="Georgios Rogas"/>
        <s v="Francisco Rojo"/>
        <s v="Kyle Rokoski"/>
        <s v="Alessandro Rolle"/>
        <s v="Francesco Romanazzi"/>
        <s v="Mario Michele Romanazzi"/>
        <s v="Luigi Romano"/>
        <s v="Raúl Rome"/>
        <s v="Manuel Romero"/>
        <s v="Christian Roncagliolo"/>
        <s v="Enrico Ronchetti"/>
        <s v="Federico Ronzani"/>
        <s v="Richard Roper"/>
        <s v="José Ros"/>
        <s v="Abel Rosa"/>
        <s v="Julià Rosa"/>
        <s v="Martí Rosa"/>
        <s v="Toni Rosa"/>
        <s v="Rudy Hesty Roslan"/>
        <s v="Fabio Rosselli"/>
        <s v="Augusto Rossi"/>
        <s v="Claudio Rossi"/>
        <s v="Facundo Rossi"/>
        <s v="Filippo Rossi"/>
        <s v="Francesco Rossi"/>
        <s v="Frida Rossi"/>
        <s v="Marcelo Rossi"/>
        <s v="Aleksandar Rossitto"/>
        <s v="Marco Rossitto"/>
        <s v="Jens Röttjer"/>
        <s v="Philippe Roufosse"/>
        <s v="Abdelmaneum Rouis"/>
        <s v="Fayçal Rouis"/>
        <s v="Mongi Rouis"/>
        <s v="Yasser Rouis"/>
        <s v="Dionysios Roumantzas"/>
        <s v="Fratzeskos Roussis"/>
        <s v="Stratos Routsis"/>
        <s v="Panagiotis Rouvalis"/>
        <s v="Fotios Rovalis"/>
        <s v="Matthew Rowley"/>
        <s v="Valentino Rubbi"/>
        <s v="Jean-François Rubi"/>
        <s v="Maurizio Rubino"/>
        <s v="Edin Reyza Rudy Hesty"/>
        <s v="Marius Ruelle"/>
        <s v="Alexander Ruf"/>
        <s v="Hans Ruf"/>
        <s v="Richard Ruffolo"/>
        <s v="Ernesto Ruiz"/>
        <s v="Bonifacio Ruíz"/>
        <s v="David Russell"/>
        <s v="Stuart Russell"/>
        <s v="Giancarlo Russo"/>
        <s v="Ivano Russo"/>
        <s v="Diego Russolillo"/>
        <s v="Giorgio Russolillo"/>
        <s v="Werner Rust"/>
        <s v="Christopher Sabetta"/>
        <s v="Olivier Saffer"/>
        <s v="Olivier Sagit"/>
        <s v="Roberto Saitta"/>
        <s v="Ioannis Salamouris"/>
        <s v="Cosimo Salatino"/>
        <s v="Daniele Salatino"/>
        <s v="José Antonio Salazar"/>
        <s v="Laurent Salle"/>
        <s v="Francesco Sallese"/>
        <s v="Giorgio Sallese"/>
        <s v="Elio Salvadori"/>
        <s v="Luca Salvadori"/>
        <s v="Mauro Salvati"/>
        <s v="Vardis Samaritakis"/>
        <s v="Antonio Carlos Sammartino"/>
        <s v="António Sampaio"/>
        <s v="Pedro Sampaio"/>
        <s v="David Samuel"/>
        <s v="Eryl Samuel"/>
        <s v="Jose Luis Sanchez"/>
        <s v="José Manuel Sánchez"/>
        <s v="Matt Sanders"/>
        <s v="Stefan Sandner"/>
        <s v="Pulis Sandrino"/>
        <s v="Alessio Sanfilippo"/>
        <s v="Davide Giuseppe Sangiorgio"/>
        <s v="Lorenzo Sani"/>
        <s v="Sandro Sani"/>
        <s v="Tommaso Sani"/>
        <s v="Dominic Santana Tovar"/>
        <s v="Juan Josè Santana Vargas"/>
        <s v="Cesare Santanicchia"/>
        <s v="Vincenzo Santaniello"/>
        <s v="Vincenzo Santarcangelo"/>
        <s v="Massimo Santini"/>
        <s v="Fernando Santini Vedovati"/>
        <s v="Luigi Santise"/>
        <s v="Luca Santonetti"/>
        <s v="Letizia Santoni"/>
        <s v="Claudio Santoriello"/>
        <s v="Orazio Santoro"/>
        <s v="Claudio Santos"/>
        <s v="Guilherme Santos"/>
        <s v="José Santos"/>
        <s v="Manuel Santos"/>
        <s v="Mateus Santos"/>
        <s v="Tom Santos"/>
        <s v="Tomás Santos"/>
        <s v="David Sardi de Letto"/>
        <s v="Klearchos Sarikakis"/>
        <s v="Alexandros Sarris"/>
        <s v="Daniel Sarris"/>
        <s v="Mikel Sarris"/>
        <s v="Nikolas Sarris"/>
        <s v="Wolfgang Sartor"/>
        <s v="Shoi Sasaki"/>
        <s v="Cristiano Sassetti"/>
        <s v="Giulio Ladetto Sassetti"/>
        <s v="Gaetano Sasso"/>
        <s v="Dieter Sauerwein"/>
        <s v="Damien Savel"/>
        <s v="Ruy Saviani"/>
        <s v="Christos Savva"/>
        <s v="Marco Scannavini"/>
        <s v="Fabrizio Scano"/>
        <s v="Giancarlo Scano"/>
        <s v="Gianfranco Scaramuzzi"/>
        <s v="Jake Scarbath"/>
        <s v="Marcello Scarduelli"/>
        <s v="Stefano Scarselli"/>
        <s v="Amerigo Scatamacchia"/>
        <s v="Humberto Scavinsky de Alencar"/>
        <s v="Marc Sceraert"/>
        <s v="Pascal Schäfer"/>
        <s v="Michael Schaup"/>
        <s v="Daniel Scheen"/>
        <s v="Malo Scheen"/>
        <s v="Mélina Scheen"/>
        <s v="Noé Scheen"/>
        <s v="Olivia Scheen"/>
        <s v="Pascal Scheen"/>
        <s v="Romain Scheen"/>
        <s v="Sébastien Scheen"/>
        <s v="Martin Scheffer"/>
        <s v="Ronald Scheffer"/>
        <s v="David Scherbantin"/>
        <s v="Frank Scherer"/>
        <s v="Rainer Scheurer"/>
        <s v="Fabrizio Schiatti"/>
        <s v="Luca Schiavi"/>
        <s v="Massimiliano Schiavone"/>
        <s v="Giorgio Schilirò"/>
        <s v="Riccardo Schito"/>
        <s v="Joe Schmidt"/>
        <s v="Nick Schmidt"/>
        <s v="Axel Schneider"/>
        <s v="Daniel Schneider"/>
        <s v="Leon Schneider"/>
        <s v="Patrick Schneider"/>
        <s v="Wolfgang Schneider"/>
        <s v="Patrick Schnieder"/>
        <s v="Reinhard Schöberl"/>
        <s v="Marios Schoinas"/>
        <s v="Manuel Schreckenbach"/>
        <s v="Martin Schrott"/>
        <s v="André Schubiditze"/>
        <s v="Manfred Schuhmann"/>
        <s v="Dominik Schulz"/>
        <s v="Marcel Schulz"/>
        <s v="Rene Schulz"/>
        <s v="Christian Schulze"/>
        <s v="Carmelo Sciacca"/>
        <s v="Edoardo Scialanga"/>
        <s v="Marco Scialanga"/>
        <s v="Andrea Scola"/>
        <s v="Filippo Scorcucchi"/>
        <s v="Alexander Scott"/>
        <s v="Joey Scott"/>
        <s v="Justin Scott"/>
        <s v="Adam Scullion"/>
        <s v="Markos Seferlis"/>
        <s v="Georgios Seferos"/>
        <s v="Jann Segers"/>
        <s v="Olaf Seidel"/>
        <s v="Filippo Sella"/>
        <s v="Uli Selsen"/>
        <s v="Martim Sena"/>
        <s v="Paulo Sena"/>
        <s v="Andrea Senesi"/>
        <s v="Hugo Senone"/>
        <s v="Lucas Seow"/>
        <s v="Pasquale Sepe"/>
        <s v="Maurizio Seppia"/>
        <s v="Aeden Sercu"/>
        <s v="Giulio Sergi"/>
        <s v="Massimo Sergio"/>
        <s v="Ioannis Sermpos"/>
        <s v="Gianluca Serpico"/>
        <s v="Pol Serwy"/>
        <s v="Kostantinos Seses"/>
        <s v="Giuseppe Setale"/>
        <s v="Brodyn Sexton"/>
        <s v="John Sexton"/>
        <s v="Liam Sexton"/>
        <s v="Peter Sexton"/>
        <s v="Giorgos Sfakianakis"/>
        <s v="Dario Sforzini"/>
        <s v="Mike Sgro"/>
        <s v="Ismail Shafiq"/>
        <s v="Bhavin Sham"/>
        <s v="Doulatram Sham"/>
        <s v="Ruhan Sham"/>
        <s v="Ian Sharp"/>
        <s v="Patrick Sheridan"/>
        <s v="Nicolas Shiamishis"/>
        <s v="Kaoru Shibata"/>
        <s v="Tom Shirley"/>
        <s v="Edgar Shoenfeld"/>
        <s v="Santiago Shoenfeld"/>
        <s v="Tomás Shoenfeld"/>
        <s v="Christian Short"/>
        <s v="Alessandro Siciliano"/>
        <s v="Carlo Siciliano"/>
        <s v="Andrea Siculella"/>
        <s v="Nasos Sigalas"/>
        <s v="Luca Signorelli"/>
        <s v="Pierluigi Signoretti"/>
        <s v="Michele Silei"/>
        <s v="Jaime Silva"/>
        <s v="Jorge Silva"/>
        <s v="Luís Filipe Silva"/>
        <s v="Luís Miguel Silva"/>
        <s v="Maria Joao Silva"/>
        <s v="Nuno Silva"/>
        <s v="Sérgio Silva"/>
        <s v="Gabriele Silveri"/>
        <s v="Giancarlo Silvestri"/>
        <s v="Maurizio Silvestri"/>
        <s v="Julio Simi"/>
        <s v="Dave Simmill"/>
        <s v="Mauro Simonazzi"/>
        <s v="Felice Simonetti"/>
        <s v="Louis Singh"/>
        <s v="Melvindepal Singh"/>
        <s v="Rei Singh"/>
        <s v="Alexandros Siotos"/>
        <s v="Lambros Sioulas"/>
        <s v="Stavros Sioulas"/>
        <s v="Angelos Sioutis"/>
        <s v="Ioannis Sioutis"/>
        <s v="Michele Sirica"/>
        <s v="Roberto Sirica"/>
        <s v="Geoff Sirmai"/>
        <s v="Alberto Sitia"/>
        <s v="Eric Siwczak"/>
        <s v="Kostas Skafidas"/>
        <s v="Nikolaos Skenteris"/>
        <s v="Aaron Skinner"/>
        <s v="Finley Skinner"/>
        <s v="Nikolaos Sklavounakos"/>
        <s v="Georgios Sklavounos"/>
        <s v="Nikolaos Sklavounos"/>
        <s v="Nikolaos Skordas"/>
        <s v="Panagiotis Skouros"/>
        <s v="Ourania Skourou"/>
        <s v="Emmanouil Skourtsos"/>
        <s v="Nikolaos Skourtsos"/>
        <s v="Sascha Skroblin"/>
        <s v="Gareth Slinger"/>
        <s v="Paolo Smaldone"/>
        <s v="Ian Smalley"/>
        <s v="Erwin Smit"/>
        <s v="Jonathan Smith"/>
        <s v="Kevin Smith"/>
        <s v="Liam Smith"/>
        <s v="Haris Smyliotopoulos"/>
        <s v="Stefanos Smyrneos"/>
        <s v="Paulo Sobral"/>
        <s v="Konstantinos Sochoritis"/>
        <s v="Christos Socratous"/>
        <s v="Christophe Soh"/>
        <s v="Christopher Soh"/>
        <s v="Wee Lik Soh"/>
        <s v="Simone Soldera"/>
        <s v="Angelo Solito"/>
        <s v="Mauro Sollazzo"/>
        <s v="Robin Somers"/>
        <s v="Honoka Someya"/>
        <s v="Pietro Sommella"/>
        <s v="Joel Somoza"/>
        <s v="José David Somoza"/>
        <s v="Fernando Soneira"/>
        <s v="Bruno Sonni"/>
        <s v="Italo Sonni"/>
        <s v="Fabrizio Sonnino"/>
        <s v="Fisnik Sopa"/>
        <s v="Juan Manuel Sordo"/>
        <s v="Dorthe Bremholm Sørensen"/>
        <s v="Louis Soret"/>
        <s v="Rémi Soret"/>
        <s v="Sébastien Sorge"/>
        <s v="Alfredo Soria"/>
        <s v="Gianluca Sostegno"/>
        <s v="Lucas Sotana Pereira"/>
        <s v="Dimitrios Sotiropoulos"/>
        <s v="Emmanouil Sotiropoulos"/>
        <s v="Panagiotis Sotiropoulos"/>
        <s v="Filippo Sottili"/>
        <s v="Konstantinos Sourlas"/>
        <s v="Leandros Sourlas"/>
        <s v="Tiago Sousa"/>
        <s v="Ilario Spagnoli"/>
        <s v="Oreste Spagnuolo"/>
        <s v="Anders Peter Spanggaard"/>
        <s v="Giorgos Spanos"/>
        <s v="Giuseppe Spasiano"/>
        <s v="Mattia Spataro"/>
        <s v="Barry Spence"/>
        <s v="Luigi Spezzacatene"/>
        <s v="Alberto Spiller"/>
        <s v="Alessandro Spiller"/>
        <s v="Giorgos Spinos"/>
        <s v="Brian Spoors"/>
        <s v="Alessandro Spoto"/>
        <s v="Giorgos Aggelos Spyropoulos"/>
        <s v="Spyros Spyropoulos"/>
        <s v="Anders Staal Nielsen"/>
        <s v="Frank Staal Nielsen"/>
        <s v="Jesper Staal Nielsen"/>
        <s v="Kristian Staal Nielsen"/>
        <s v="Rasmus Staal Nielsen"/>
        <s v="Stefano Stagno"/>
        <s v="Rasmus Stagsted"/>
        <s v="Frédéric Staine"/>
        <s v="Georgios Stamatakis"/>
        <s v="Eirini Stamatiadou"/>
        <s v="Georgia Stamatiou"/>
        <s v="Dimitrios Stamatopoulos"/>
        <s v="Anastasia Stamatopoulou"/>
        <s v="Konstantinos Stamokostas"/>
        <s v="Dimitris Stamos"/>
        <s v="Anastasios Stamoulis"/>
        <s v="Vasilios Stamoulis"/>
        <s v="Andrea Stanislai"/>
        <s v="Matteo Stanislai"/>
        <s v="Ben Staples"/>
        <s v="Matthias Stechern"/>
        <s v="Konstantinos Stefanis"/>
        <s v="Manon Steiner"/>
        <s v="Fabio Stellato"/>
        <s v="Dimitris Stemitsiotis"/>
        <s v="Panos Stemitsiotis"/>
        <s v="Ioannis Stergiopoulos"/>
        <s v="Dimitris Stergiou"/>
        <s v="Vasilis Stergiou"/>
        <s v="Evaggelos Stergioulas"/>
        <s v="Didier Stevenot"/>
        <s v="Craig Stewart"/>
        <s v="Gary Stewart"/>
        <s v="Simon Stewart"/>
        <s v="Frank Stiller"/>
        <s v="Uwe Stiller"/>
        <s v="Richard Stock"/>
        <s v="Giannis Stollas"/>
        <s v="Konstantinos Stollas"/>
        <s v="Pavlos Stollas"/>
        <s v="Michael Stolzenberg"/>
        <s v="Mattia Stoto"/>
        <s v="Kaegan Stottlemyer"/>
        <s v="Stylianos Stratakis"/>
        <s v="Maria Stratoudaki"/>
        <s v="Antonios Stratoudakis"/>
        <s v="Spyridon Stratoudakis"/>
        <s v="Dimitrios Stravolaimos"/>
        <s v="Andrea Strazza"/>
        <s v="Alfred Strommer"/>
        <s v="Marios Strommer"/>
        <s v="Jeremy Stroop"/>
        <s v="Ian Alexander Stuart"/>
        <s v="Kyriacos Stylianou"/>
        <s v="Alessandro Subazzoli"/>
        <s v="Matteo Suffritti"/>
        <s v="Muhd Firdaus Sukaimi"/>
        <s v="Suhermanto Sunaryo"/>
        <s v="Susiayanto Sunaryo"/>
        <s v="Sathia Sundram"/>
        <s v="Vishnu Varthana Sundram"/>
        <s v="Noriyuki Suzuki"/>
        <s v="Rony Suzuki"/>
        <s v="Frode Sveinungsen"/>
        <s v="Zachary Swope"/>
        <s v="Maximos Sydiropoulos"/>
        <s v="Georgios Symeon"/>
        <s v="Panagiotis Syrmos"/>
        <s v="Stamatios Syrmos"/>
        <s v="Károly Szathmáry"/>
        <s v="Robert Szendröi"/>
        <s v="Jean Carl Tabone"/>
        <s v="Alessio Tacchia"/>
        <s v="Domenico Tacchia"/>
        <s v="Mitsuaki Tachikawa"/>
        <s v="Diego Tagliaferri"/>
        <s v="Stefano Tagliaferri"/>
        <s v="Mohd Rizal Taib"/>
        <s v="Shusuke Takahashi"/>
        <s v="Masahiko Takayama"/>
        <s v="Alessio Talarico"/>
        <s v="Paolo Talarico"/>
        <s v="Massimo Talozzi"/>
        <s v="Ashley Tan"/>
        <s v="Kok Wee Tan"/>
        <s v="Nic Tan"/>
        <s v="Paulus Tan"/>
        <s v="Siang Ping, Jeslin Tan"/>
        <s v="Tong Leng Tan"/>
        <s v="Yew Loy Tan"/>
        <s v="Yi De Tan"/>
        <s v="Hidekazu Tanaka"/>
        <s v="Masato Tanaka"/>
        <s v="Naoki Tanaka"/>
        <s v="Naoto Tanaka"/>
        <s v="Shigemi Tanaka"/>
        <s v="Matteo Tarabella"/>
        <s v="Salvatore Tarantino"/>
        <s v="Giuseppe Tardiota"/>
        <s v="Sami Targui"/>
        <s v="Colin Tarry"/>
        <s v="Domenico Tassone"/>
        <s v="Michail Tastsoglou"/>
        <s v="Laura Tava"/>
        <s v="Andrea Tavani"/>
        <s v="António Tavares"/>
        <s v="Gian Marco Taverna"/>
        <s v="Algy Taylor"/>
        <s v="Paul Taylor"/>
        <s v="Tom Taylor"/>
        <s v="James Taylor-Nye"/>
        <s v="Enrico Tecchiati"/>
        <s v="Marco Tedeschi"/>
        <s v="Maël Teixido-Regnier"/>
        <s v="Francisco Tejado"/>
        <s v="Lambros Tekos"/>
        <s v="Eddie Tellez"/>
        <s v="Kyle Tellez"/>
        <s v="Gianni Terenzi"/>
        <s v="Fellipe Tereska"/>
        <s v="Christos Terzidis"/>
        <s v="Ioannis Terzidis"/>
        <s v="Andrea Testa"/>
        <s v="Enrico Testa"/>
        <s v="Tomas Testoni"/>
        <s v="Petros Tezapsidis"/>
        <s v="Marios Themistokleous"/>
        <s v="Konstantinos Theodosiou"/>
        <s v="Thanos Theodosiou"/>
        <s v="Alexandros Theodosopoulos"/>
        <s v="Evaggelos Theofanopoulos"/>
        <s v="Antonios Theologos"/>
        <s v="Petros Theologos"/>
        <s v="Frédéric Thiel"/>
        <s v="Stephan Thiele"/>
        <s v="Bernd Tholen"/>
        <s v="Craig Thom"/>
        <s v="Chris Thomas"/>
        <s v="Matthew Thomas"/>
        <s v="Peter Thomas"/>
        <s v="Therron Thomas"/>
        <s v="CJ Thompson"/>
        <s v="Jacob Thorbech"/>
        <s v="Chris Thorn"/>
        <s v="Allan Thornton"/>
        <s v="Rune Thorsen"/>
        <s v="Eric Threis"/>
        <s v="Romain Threis"/>
        <s v="Philippe Thys"/>
        <s v="Jakub Tichon"/>
        <s v="Marcus Tilgner"/>
        <s v="Michael Tillman"/>
        <s v="Antonio Timpano"/>
        <s v="Bruno Timpano"/>
        <s v="Salvatore Tinebra"/>
        <s v="Tomoca TK"/>
        <s v="Corrado Toffoletti"/>
        <s v="Takafumi Tokita"/>
        <s v="Dimitrios Tolias"/>
        <s v="Paolo Tolve"/>
        <s v="Andrea Tonet"/>
        <s v="Alessandro Toni"/>
        <s v="Giovanni Tonietti"/>
        <s v="Francesco Torano"/>
        <s v="Pasquale Torano"/>
        <s v="Ruggero Torboli"/>
        <s v="Roberto Torini"/>
        <s v="Giuseppe Torre"/>
        <s v="Santiago Torres"/>
        <s v="Michele Torri"/>
        <s v="Pietro Torri"/>
        <s v="Fernando Tortelli"/>
        <s v="Massimo Tortello"/>
        <s v="Reed Tory"/>
        <s v="Stefano Toschi"/>
        <s v="Enrico Tosi"/>
        <s v="Efthimios Tosioudis"/>
        <s v="Nikolaos Tosioudis"/>
        <s v="Ioannis Tountas"/>
        <s v="Leonidas Tountas"/>
        <s v="Francesco Tozzi"/>
        <s v="Nick Trainer"/>
        <s v="Pantelis Trapezountios"/>
        <s v="Sergio Travassos Correia"/>
        <s v="Junior Travieso"/>
        <s v="Corrado Trenta"/>
        <s v="Marco Trevisan"/>
        <s v="Mattia Trevisani"/>
        <s v="Apostolis Triantafillou"/>
        <s v="Konstantinos Triantafillou"/>
        <s v="Vasilis Triantafyllou"/>
        <s v="Jean-Jacques Trichot"/>
        <s v="Tommaso Tricoli"/>
        <s v="Giuseppe Triggiani"/>
        <s v="Geremia Trinchese"/>
        <s v="José Trindade"/>
        <s v="Pedro Trindade"/>
        <s v="Tomàs Trindade"/>
        <s v="Simone Trivelli"/>
        <s v="Charlotte Troestler"/>
        <s v="Pierre Troestler"/>
        <s v="Pietro Troiani"/>
        <s v="Roger Trouillard"/>
        <s v="Nikolaos Tsaggaris"/>
        <s v="Giorgos Tsagiannis"/>
        <s v="Theodoros Tsagiannis"/>
        <s v="Panagiotis Tsagkaridis"/>
        <s v="Christian Tsakalakis"/>
        <s v="Vasilios Tsakalakis"/>
        <s v="Aggelos Tsakiris"/>
        <s v="Dimitrios Tsakoniatis"/>
        <s v="Evangelos Tsakopoulos"/>
        <s v="Elea Tsangouris"/>
        <s v="Kostandinos Tsangouris"/>
        <s v="Stylianos Tsangouris"/>
        <s v="Vaggelis Tsaras"/>
        <s v="Harris Tsekouras"/>
        <s v="Ioannis Tselepidis"/>
        <s v="Nikolaos Tselepidis"/>
        <s v="Michalis Tsiakalos"/>
        <s v="Panagiotis Tsiakalos"/>
        <s v="Marion Tsiamalou"/>
        <s v="Panagiotis Tsiamos"/>
        <s v="Thanasis Tsiamos"/>
        <s v="Asterios Tsimoudis"/>
        <s v="Pavlos Tsimpoukas"/>
        <s v="Myrsini Tsioumanis"/>
        <s v="Vassiliki Tsioumanis"/>
        <s v="Anargyros Tsitouras"/>
        <s v="Makis Tsitouras"/>
        <s v="Vasilis Tsitsarolis"/>
        <s v="Alkiviades Tsokatksides"/>
        <s v="Dimos Tsompanidis"/>
        <s v="Georgios Tsompanidis"/>
        <s v="Nikolaos Tsoukanaras"/>
        <s v="Theodoros Tsoutsas"/>
        <s v="Miroslava TSYBENKO"/>
        <s v="Cameron Tucker"/>
        <s v="Rob Tucker"/>
        <s v="Flavio Tudini"/>
        <s v="Tim Tumminaro"/>
        <s v="Murat Tünger"/>
        <s v="John Turpin"/>
        <s v="Giorgos ty"/>
        <s v="Dimitrios Tzanakis"/>
        <s v="Alexandros Tzelatis"/>
        <s v="Georgios Tzimas"/>
        <s v="Dimitrios Tziortziotis"/>
        <s v="Kyriakos Tzitziris"/>
        <s v="Massimo Ubbiali"/>
        <s v="Francisco Ucha"/>
        <s v="Jiri Uchytil"/>
        <s v="Pietro Ugolini"/>
        <s v="Tomoki Ura"/>
        <s v="Nathan Urbaniak"/>
        <s v="Roberto Utzeri"/>
        <s v="Davide Uva"/>
        <s v="David Vacke"/>
        <s v="Ondrej Vacke"/>
        <s v="Timotheos Vaggelatos"/>
        <s v="Stavros Vagios"/>
        <s v="Augusto Vagnoni"/>
        <s v="Peter Vahle"/>
        <s v="Konstantinos Valantasis"/>
        <s v="Nikolaos Valantasis"/>
        <s v="Panagiotis Valantasis"/>
        <s v="Bruno Valente"/>
        <s v="Mihai Valentin"/>
        <s v="Nicolò Valentini"/>
        <s v="Duarte Valério"/>
        <s v="Claudio Valisnieri"/>
        <s v="Tobia Vallebona"/>
        <s v="Alessandro Valluzzi"/>
        <s v="Aristogiton Valsamakis"/>
        <s v="Haralambos Valsamakis"/>
        <s v="Ángel Valverde"/>
        <s v="David Valverde Peralta"/>
        <s v="Bart Van de Vliet"/>
        <s v="David Van Den Houte"/>
        <s v="William Van Den Houte"/>
        <s v="Peter Van Den Houten"/>
        <s v="Rinaldo Van Dijk"/>
        <s v="Olivier Van Glabeke"/>
        <s v="Quentin Van Glabeke"/>
        <s v="Maxime Van Impe"/>
        <s v="Jerrel Van Keimpema"/>
        <s v="Peter Van Kooten"/>
        <s v="Casey Van Os"/>
        <s v="Dominik Vanek"/>
        <s v="David Vantassel"/>
        <s v="Benoît Vanwissen"/>
        <s v="Giannis Vardakis"/>
        <s v="Rui Varela"/>
        <s v="Bob Varney"/>
        <s v="Vincenzo Varriale"/>
        <s v="Luca Varricchio"/>
        <s v="Sandro Vasapollo"/>
        <s v="Nikos Vasiladiotis"/>
        <s v="Evangelia Vasileiadou"/>
        <s v="Alexis Vasiliou"/>
        <s v="Nikolaos Vasilopoulos"/>
        <s v="Nikos Vasilopoulos"/>
        <s v="Panagiotis Vasilopoulos"/>
        <s v="Panagiotis (67) Vasilopoulos"/>
        <s v="Vasileios Vasilopoulos"/>
        <s v="Vasileios Vasilos"/>
        <s v="George Vassiliades"/>
        <s v="Alberto Vatteroni"/>
        <s v="Evaggelos Vavoulakis"/>
        <s v="Philippos Vavoulakis"/>
        <s v="Vasileios Vavourakis"/>
        <s v="Vasilis Vavourakis"/>
        <s v="Apostolos Vazoukis"/>
        <s v="John Vecchiarelli"/>
        <s v="Alessandro Vegni"/>
        <s v="Francesco Vegni"/>
        <s v="Giorgio Velli"/>
        <s v="Fabio Venanzi"/>
        <s v="Luis Venazzi"/>
        <s v="Frits Vendebæk"/>
        <s v="Francesco Veneri"/>
        <s v="Francesco Venturello"/>
        <s v="Daniele Venturini"/>
        <s v="Gianluca Venturini"/>
        <s v="Leonardo Vera"/>
        <s v="Georgios Verganelakis"/>
        <s v="Maximiliano Gabriel Vergara"/>
        <s v="Roberto Vergoni"/>
        <s v="Pol Verhaeghe"/>
        <s v="Lulani Verhoeven"/>
        <s v="Manos Vernadakis"/>
        <s v="Michalis Vernados"/>
        <s v="Massimo Veronelli"/>
        <s v="Robin Verplaetse"/>
        <s v="Florent Versmissen"/>
        <s v="Sofoklis Vezirtzoglou"/>
        <s v="Maurizio Vezzo"/>
        <s v="Francesco Vezzuto"/>
        <s v="Pasquale Vezzuto"/>
        <s v="Mauro Vianello"/>
        <s v="Aldo Vico"/>
        <s v="Eliahou Vidal"/>
        <s v="Toni Vidal"/>
        <s v="Vincent Vidal"/>
        <s v="Cesc Vidal Torner"/>
        <s v="Gonçalo Vieira"/>
        <s v="Vinicius Vieira"/>
        <s v="Francesco Vienna"/>
        <s v="Gian Giuseppe Vigo"/>
        <s v="Antonis Vikatos"/>
        <s v="Mauro Villa"/>
        <s v="Tullio Villa"/>
        <s v="Enrique Villao"/>
        <s v="Eric Villard"/>
        <s v="Carolina Villarigues"/>
        <s v="François Villette"/>
        <s v="Domenico Vinaccia"/>
        <s v="Andrea Vincentini"/>
        <s v="Antonio Virgone"/>
        <s v="Diego Virgone"/>
        <s v="Pasquale Virtu'"/>
        <s v="Davide Visani"/>
        <s v="Salvatore Visconti"/>
        <s v="Davide Visentin"/>
        <s v="Marios Visvikis"/>
        <s v="Gianpaolo Vitulano"/>
        <s v="Thierry Vivron"/>
        <s v="Antonis Vlachopoulos"/>
        <s v="Konstantinos Vlachopoulos"/>
        <s v="Aggelos Vlachoulis"/>
        <s v="Andrey Vlasov"/>
        <s v="Evgenii Vlasov"/>
        <s v="Athanasios Vlassopoulos"/>
        <s v="Georgios Vlassopoulos"/>
        <s v="Ioannis Vlassopoulos"/>
        <s v="Evangelos Vlastarakos"/>
        <s v="Antonios Vlastos"/>
        <s v="Christos Vogiatzis"/>
        <s v="Dimitris Vogiatzis"/>
        <s v="Konstantinos Vogiatzis"/>
        <s v="Panagiotis Vogiatzis"/>
        <s v="Rainer Vogt"/>
        <s v="Konstantinos Voikos"/>
        <s v="Aton Aleksandrovich Volkov"/>
        <s v="Giovanni Volpi"/>
        <s v="Linus von Schultzendorff"/>
        <s v="Fotios Voukouris"/>
        <s v="Ioannis Voulgaris"/>
        <s v="Andreas Vourakis"/>
        <s v="Eleftherios Voutsinas"/>
        <s v="Daniel Vranovitz"/>
        <s v="Karl Vranovitz"/>
        <s v="Dimitrios Vrettakos"/>
        <s v="Panagiotis Vrettakos"/>
        <s v="Pavlos Vrettakos"/>
        <s v="Cornelia Vulpes"/>
        <s v="Fred Vulpes"/>
        <s v="Thomas Vulpes"/>
        <s v="Sharvind Vyas Veera"/>
        <s v="Hideaki Wada"/>
        <s v="Kimi Wada"/>
        <s v="Robert Wagner"/>
        <s v="Katharina Waldorf-Busch"/>
        <s v="Zach Walker"/>
        <s v="Gerhard Walper"/>
        <s v="Stuart Walsh"/>
        <s v="Eric Walton"/>
        <s v="Elias Walzer"/>
        <s v="Christopher Wander"/>
        <s v="Jamie Warren"/>
        <s v="Roman Wasyluszco"/>
        <s v="Lawrence Watson"/>
        <s v="Jeff Watts"/>
        <s v="Corentin Wauthy"/>
        <s v="Mark Weaver"/>
        <s v="Cathrin Weihermann"/>
        <s v="Gilles Weinstich"/>
        <s v="Ian Welby"/>
        <s v="Sean Wenlock"/>
        <s v="Greg Werner"/>
        <s v="Mark West"/>
        <s v="Gareth Whalley"/>
        <s v="Jerry Whelband"/>
        <s v="Lucasz Whittle"/>
        <s v="Martin Wiesmann"/>
        <s v="Corey Wiggs"/>
        <s v="Rick Wilcox"/>
        <s v="Gary Wiley"/>
        <s v="Jovi Willeijns"/>
        <s v="John Edwards William"/>
        <s v="Mike Williams"/>
        <s v="Valéry Willot"/>
        <s v="Nico Wilse"/>
        <s v="Richard Wilson"/>
        <s v="Thomas Winkler"/>
        <s v="Thomas Wittmann"/>
        <s v="Edwin Wong"/>
        <s v="Stephen Wonnacott"/>
        <s v="David Wouters"/>
        <s v="Bill Wright"/>
        <s v="Chad Wright"/>
        <s v="David Wright"/>
        <s v="Noah Wulff"/>
        <s v="Behn Wurthman"/>
        <s v="Luke Joseph Xerri"/>
        <s v="Thodoris Xiarhogiannopoulos"/>
        <s v="Dimitris Xifaras"/>
        <s v="Eleftherios Ximitidis"/>
        <s v="Kosmas Ximitidis"/>
        <s v="Violetta Xyki"/>
        <s v="Kuniko Yamao"/>
        <s v="Chong Leng, Eddie Yap"/>
        <s v="Hui Lan, Cindy Yap"/>
        <s v="Muhammad Yazre"/>
        <s v="Arthur Yeo"/>
        <s v="Yeliskan Yilmaz"/>
        <s v="Hideki Yoshida"/>
        <s v="Sato Yoshifumi"/>
        <s v="Tomoyuki Yoshimura"/>
        <s v="David Young"/>
        <s v="Roderick Ysaguirre"/>
        <s v="Den Mulia Yusni"/>
        <s v="Muhammad Azhar Yusri"/>
        <s v="Giuseppe Zaccardo"/>
        <s v="Nikolaos Zacharopoulos"/>
        <s v="Nikolaos Zafirakis"/>
        <s v="Emilios Zaharitsas"/>
        <s v="Ahmad Zahri"/>
        <s v="Mohd Khairul Nizad Zainal"/>
        <s v="David Zaki"/>
        <s v="Valentino Zamara"/>
        <s v="Luca Zambello"/>
        <s v="Paolo Zambello"/>
        <s v="Pier Celeste Zambello"/>
        <s v="John Zammit"/>
        <s v="Joseph Zammit Pavia"/>
        <s v="Alessandro Zampieri"/>
        <s v="Nelson Zanella"/>
        <s v="Rogério Zanella"/>
        <s v="Andrea Zanetti"/>
        <s v="Giorgos Zangylos"/>
        <s v="Stefano Zappacosta"/>
        <s v="Ofir Zarduk"/>
        <s v="Dimitrios Zarogiannis"/>
        <s v="Konstantinos Zarogiannis"/>
        <s v="Giorgos Zavos"/>
        <s v="Argyris Zavrakas"/>
        <s v="Athanasios Zavrakas"/>
        <s v="Riccardo Zecchini"/>
        <s v="Martín Zega"/>
        <s v="Peter Zeilinger"/>
        <s v="Charalambos Zerdilas"/>
        <s v="Konstantinos Zerdilas"/>
        <s v="Alexandros Zervas"/>
        <s v="Georgios Zimeras"/>
        <s v="Vasileios Zimeras"/>
        <s v="Giannis Zinonos"/>
        <s v="Michalis Zioulis"/>
        <s v="Francesco Zolfanelli"/>
        <s v="Pambos Zorbis"/>
        <s v="Vangelis Zorbis"/>
        <s v="Pietro Zorzi"/>
        <s v="Marcus Zucatto"/>
        <s v="Mario Zuccarini"/>
        <s v="Gianluca Zucchelli"/>
        <s v="Marco Zucchi"/>
        <s v="Andrew Zunino"/>
        <s v="Dimitrios Zymvragoudakis"/>
        <m/>
        <s v="Joan Flores" u="1"/>
        <s v="Giovanni Bontempo" u="1"/>
        <s v="Mirko Sturini" u="1"/>
        <s v="Hugo CHENNEVIERE" u="1"/>
        <s v="Giovanni Mazza" u="1"/>
        <s v="Benedetto Forcina" u="1"/>
        <s v="Jason Tey" u="1"/>
        <s v="Angelo Renzi" u="1"/>
        <s v="Richard Pepper" u="1"/>
        <s v="Alan Kimber" u="1"/>
        <s v="Gerrard Vickers" u="1"/>
        <s v="Ross Mcnulty" u="1"/>
        <s v="Rob Allbeury" u="1"/>
        <s v="Frankie Bellofontaine" u="1"/>
        <s v="Iuri Rampi" u="1"/>
        <s v="Daniel Boistelle" u="1"/>
        <s v="Julia Filippella" u="1"/>
        <s v="Jean-Luc Canfin" u="1"/>
        <s v="Wayne Millar" u="1"/>
        <s v="Massimo Dalpra" u="1"/>
        <s v="Henriques Ãcuna" u="1"/>
        <s v="Magnier William" u="1"/>
        <s v="Dominique Massart" u="1"/>
        <s v="Chistophe France" u="1"/>
        <s v="Giancarla Mencarelli" u="1"/>
        <s v="Massimiliano Vezzola" u="1"/>
        <s v="Eugenio Conti" u="1"/>
        <s v="Andreas Eleutheriou" u="1"/>
        <s v="Giuseppe Pizzella" u="1"/>
        <s v="Didier Laurent" u="1"/>
        <s v="Jayden Truter" u="1"/>
        <s v="Ian Patterson" u="1"/>
        <s v="Pereira Miguel" u="1"/>
        <s v="Jesús García López" u="1"/>
        <s v="Pietro Fanti" u="1"/>
        <s v="Simone Faraoni" u="1"/>
        <s v="Antonio De Rosa" u="1"/>
        <s v="Alberto Grumberger" u="1"/>
        <s v="Jones Robert" u="1"/>
        <s v="Vincent Coppenolle" u="1"/>
        <s v="Elena Spiller" u="1"/>
        <s v="Miguel Ángel Tapia" u="1"/>
        <s v="Gianfranco Manzella" u="1"/>
        <s v="Billy Wright" u="1"/>
        <s v="Ron Byrne" u="1"/>
        <s v="Kanda Kotetsu" u="1"/>
        <s v="Maurizio Marzo" u="1"/>
        <s v="Valentino Rubby" u="1"/>
        <s v="Salvo Mistretta" u="1"/>
        <s v="Saxon Crapp" u="1"/>
        <s v="Paolo Meneghini" u="1"/>
        <s v="Xian Rodríguez Viñas" u="1"/>
        <s v="Gianluca Francesconi" u="1"/>
        <s v="Gabriel Lombardi" u="1"/>
        <s v="Cristiano Gauci" u="1"/>
        <s v="Luca Buogo" u="1"/>
        <s v="Cesare Friggeri" u="1"/>
        <s v="Andrea Dell'Acqua" u="1"/>
        <s v="Stefano Nesi" u="1"/>
        <s v="Giovanni Meo" u="1"/>
        <s v="Tachikawa Mitsuaki" u="1"/>
        <s v="José Gómez Sánchez" u="1"/>
        <s v="Fabio Fronti" u="1"/>
        <s v="Neil Brener" u="1"/>
        <s v="Will Johncock" u="1"/>
        <s v="Carl Young" u="1"/>
        <s v="Danny Lilley" u="1"/>
        <s v="Daniele Bernardi" u="1"/>
        <s v="Alessandro Zanini" u="1"/>
        <s v="Alfredo Properzi" u="1"/>
        <s v="Teresa Martínez" u="1"/>
        <s v="Maurizio Troisi" u="1"/>
        <s v="Pascal Dieu" u="1"/>
        <s v="Claudio Sartucci" u="1"/>
        <s v="Patrizio Paccione" u="1"/>
        <s v="Bill ?" u="1"/>
        <s v="Luca Magnelli" u="1"/>
        <s v="Yago Dzelalija" u="1"/>
        <s v="Rosa Deverell" u="1"/>
        <s v="Gabriele Petocchi" u="1"/>
        <s v="Diego Badosa" u="1"/>
        <s v="Gianluca Conversi" u="1"/>
        <s v="Giuseppe Silvestri" u="1"/>
        <s v="Joe Playle" u="1"/>
        <s v="Ferdinando Giampietro" u="1"/>
        <s v="Francisco Javier Muñoz" u="1"/>
        <s v="Maurizio Cavallaro" u="1"/>
        <s v="Philippe Hipfinger" u="1"/>
        <s v="Milziade Teghini" u="1"/>
        <s v="Luca Fidanzio" u="1"/>
        <s v="Massimo Blandino" u="1"/>
        <s v="Hagen Ollnow" u="1"/>
        <s v="Georgios Valsamakis" u="1"/>
        <s v="Rafael León" u="1"/>
        <s v="Michele Vaselli" u="1"/>
        <s v="Geoffrey Kelner" u="1"/>
        <s v="Ahmed Choukri" u="1"/>
        <s v="Marco De Berardinis" u="1"/>
        <s v="Alberto Mori" u="1"/>
        <s v="Marco Massanelli" u="1"/>
        <s v="João Inácio" u="1"/>
        <s v="Xisco Sastre" u="1"/>
        <s v="Goninan Jeremy" u="1"/>
        <s v="Sean Browne" u="1"/>
        <s v="Simone Perotti" u="1"/>
        <s v="Juan Alberto Muñoz Susín" u="1"/>
        <s v="Domitille Cecillon" u="1"/>
        <s v="Iván Alonso Rubio" u="1"/>
        <s v="David Ruelle" u="1"/>
        <s v="James Gordon" u="1"/>
        <s v="Elena Strazza" u="1"/>
        <s v="Gareth Thomas" u="1"/>
        <s v="Luca Pagani" u="1"/>
        <s v="Daniele Canevari" u="1"/>
        <s v="Gianfranco Grahonja" u="1"/>
        <s v="Catherine Palamara" u="1"/>
        <s v="Mauro Sagretti" u="1"/>
        <s v="Marco Barbera" u="1"/>
        <s v="Alfonso Matrone" u="1"/>
        <s v="Esteban Boistelle" u="1"/>
        <s v="Glenn Asher" u="1"/>
        <s v="Carlos Pérez García" u="1"/>
        <s v="Collin Day" u="1"/>
        <s v="Alessio Picchi" u="1"/>
        <s v="Massimo Lombardi" u="1"/>
        <s v="Ian Brown" u="1"/>
        <s v="Luca Mediatore" u="1"/>
        <s v="Carlo Melia" u="1"/>
        <s v="Giorgos Stylianou" u="1"/>
        <s v="Simone Fioroni" u="1"/>
        <s v="Davide Guerreschi" u="1"/>
        <s v="Giovanni Cima" u="1"/>
        <s v="Sasaki Shoi" u="1"/>
        <s v="Claude Cuschieri" u="1"/>
        <s v="Bodily Simon" u="1"/>
        <s v="Kevin Colman" u="1"/>
        <s v="Roberto Bergamaschi" u="1"/>
        <s v="Tim Kee" u="1"/>
        <s v="Kevin Zingle" u="1"/>
        <s v="Gerald Brightwell" u="1"/>
        <s v="Edoardo Zava" u="1"/>
        <s v="Maurizio Sasso" u="1"/>
        <s v="Luigi Peluso" u="1"/>
        <s v="Leonardo Marino" u="1"/>
        <s v="Letterio Di Vita" u="1"/>
        <s v="Mario Landi" u="1"/>
        <s v="Paolo Bastianoni" u="1"/>
        <s v="Moreno Burattini" u="1"/>
        <s v="Alessandro Camarri" u="1"/>
        <s v="Riccardo Abati" u="1"/>
        <s v="Andrea Frugoli" u="1"/>
        <s v="Hermine Ollnow" u="1"/>
        <s v="Massimo Lanzeni" u="1"/>
        <s v="Iker Parrilla" u="1"/>
        <s v="Gus Gillespie" u="1"/>
        <s v="Stélio Tsangouris" u="1"/>
        <s v="Guglielmo BORDI" u="1"/>
        <s v="Andrea Franchini" u="1"/>
        <s v="Brais Rodríguez Viñas" u="1"/>
        <s v="Anthony Madiona" u="1"/>
        <s v="Antonio Ianniello" u="1"/>
        <s v="Rik Bland" u="1"/>
        <s v="Luca Saiu" u="1"/>
        <s v="Salvatore Conte" u="1"/>
        <s v="Marco Tavano" u="1"/>
        <s v="Harald Popp2023" u="1"/>
        <s v="Michael Todd" u="1"/>
        <s v="Massimiliano Garavello" u="1"/>
        <s v="Andrea Barbieri" u="1"/>
        <s v="Andrew Henley" u="1"/>
        <s v="Colin Forward" u="1"/>
        <s v="Claudio Recinelli" u="1"/>
        <s v="Matt Thomas" u="1"/>
        <s v="Marco Micallef" u="1"/>
        <s v="Massimo Bozzano" u="1"/>
        <s v="Cristian Cecconi" u="1"/>
        <s v="Markus Jurik" u="1"/>
        <s v="Salvatore Scalise" u="1"/>
        <s v="Alessandro Meneghetti" u="1"/>
        <s v="Angelico Lelli" u="1"/>
        <s v="Fauzi Rahmen" u="1"/>
        <s v="Yago Dzjelalija" u="1"/>
        <s v="Phil Redman" u="1"/>
        <s v="Torben Pfister" u="1"/>
        <s v="James Palamara" u="1"/>
        <s v="Massimo Sparano" u="1"/>
        <s v="Davide Micati" u="1"/>
        <s v="Anna Lisa" u="1"/>
        <s v="Tanaka Masato" u="1"/>
        <s v="Liam Browne" u="1"/>
        <s v="Osa Kazue" u="1"/>
        <s v="Sandro Centritto" u="1"/>
        <s v="Terry Koutzas" u="1"/>
        <s v="Roberto Cacelli" u="1"/>
        <s v="McCaulley Scott" u="1"/>
        <s v="Scott Armstrong" u="1"/>
        <s v="Frankie Bellefontaine" u="1"/>
        <s v="Enrico Perrino" u="1"/>
        <s v="María Muñoz" u="1"/>
        <s v="Jack Target" u="1"/>
        <s v="Alex Turpin" u="1"/>
        <s v="Emanuele Buongiorno" u="1"/>
        <s v="Charlotte Wright" u="1"/>
        <s v="Stefanos Milatos" u="1"/>
        <s v="Alfred Fenech" u="1"/>
        <s v="Ettore Molino" u="1"/>
        <s v="Pasquale Pio Ianniello" u="1"/>
        <s v="Gary Hosie" u="1"/>
        <s v="Christian Cannavò" u="1"/>
        <s v="Alessandro Sottile" u="1"/>
        <s v="Robert Seychell" u="1"/>
        <s v="Salvatore Cotronei" u="1"/>
        <s v="Ivan Pérez" u="1"/>
        <s v="Bruce Miller" u="1"/>
        <s v="Peter Brooks" u="1"/>
        <s v="Vincenzo Coco" u="1"/>
        <s v="Scott Thompson" u="1"/>
        <s v="Chris Barrell" u="1"/>
        <s v="Frank Spanyik" u="1"/>
        <s v="Ryan Farrall" u="1"/>
        <s v="Raffaele Lombard" u="1"/>
        <s v="Sean Filippella" u="1"/>
        <s v="Arjuna Hanafi" u="1"/>
        <s v="Noel Mani" u="1"/>
        <s v="Oliver Ollnow" u="1"/>
        <s v="Aidan Deverell" u="1"/>
        <s v="Luca Farsetti" u="1"/>
        <s v="Patel Shiv" u="1"/>
        <s v="Andrea Secchi" u="1"/>
        <s v="Juliette Browne" u="1"/>
        <s v="Andrea Magnino" u="1"/>
        <s v="Beverly Bone" u="1"/>
        <s v="Francisco Pérez" u="1"/>
        <s v="Pearce Michael" u="1"/>
        <s v="Chris Soldatos" u="1"/>
        <s v="Lazaros Papakonstantinou" u="1"/>
        <s v="Giulia Periccioli" u="1"/>
        <s v="Emmanouil Tsardulias" u="1"/>
        <s v="Kevin Adderley" u="1"/>
        <s v="Mauro Fioranzi" u="1"/>
        <s v="Alice Nicoletti" u="1"/>
        <s v="Luciano Ciccarelli" u="1"/>
        <s v="Bernard O’Connor" u="1"/>
        <s v="David Payne" u="1"/>
        <s v="Kanda Aki" u="1"/>
        <s v="Stefano Nuti" u="1"/>
        <s v="Lampros Drosopoulos" u="1"/>
        <s v="Daniele Lombardi" u="1"/>
        <s v="Lorenzo Rinner" u="1"/>
        <s v="Richard Mancini" u="1"/>
        <s v="Daniel Sirmai" u="1"/>
        <s v="Renzo Frignani" u="1"/>
        <s v="Giovanni Conti" u="1"/>
        <s v="Mattia Colasanti" u="1"/>
        <s v="Sophie Deconinck" u="1"/>
        <s v="Danilo Valloni" u="1"/>
        <s v="Luigi Aniballi" u="1"/>
        <s v="Sébastien Brulez" u="1"/>
        <s v="Lance Hawkins" u="1"/>
        <s v="Massimo Barella" u="1"/>
        <s v="Giorgio Cardia" u="1"/>
        <s v="Jeremy Simpson" u="1"/>
        <s v="Santiago León" u="1"/>
        <s v="Tiziano Sbolci" u="1"/>
        <s v="Steve Diasinos" u="1"/>
        <s v="Maurizio Cavallo" u="1"/>
        <s v="John Palamara" u="1"/>
        <s v="Steve Wright" u="1"/>
        <s v="Giovanni Buttitta" u="1"/>
        <s v="Gareth Hughes" u="1"/>
        <s v="Federico Scala" u="1"/>
        <s v="Aurelio Flammia" u="1"/>
        <s v="Lorenzo Rampi" u="1"/>
        <s v="Keith Williams" u="1"/>
        <s v="Hermann Kruse" u="1"/>
        <s v="Chris Fairley" u="1"/>
        <s v="Giovanni Francavilla" u="1"/>
        <s v="Andrea Ricci" u="1"/>
        <s v="Fabio Biasini" u="1"/>
        <s v="Martin Kennedy" u="1"/>
        <s v="Diego Beneitez Carrascal" u="1"/>
        <s v="Massimiliano Santini" u="1"/>
        <s v="Martin Bellofontaine" u="1"/>
        <s v="Darren Wells" u="1"/>
        <s v="Benjamin Ng" u="1"/>
        <s v="William Franco" u="1"/>
        <s v="Victoria Hampshire" u="1"/>
        <s v="John Harty" u="1"/>
        <s v="Brian ?" u="1"/>
        <s v="Sergio Robertiello" u="1"/>
        <s v="Raffaele Gangale" u="1"/>
        <s v="Giosi Centritto" u="1"/>
        <s v="Gugliemmo BOROLI" u="1"/>
        <s v="Marc Ligós" u="1"/>
        <s v="Mirco Pasquini" u="1"/>
        <s v="Duccio Mulinacci" u="1"/>
        <s v="Simon Cole" u="1"/>
        <s v="Lilly Mason" u="1"/>
        <s v="Mark Griffiths" u="1"/>
        <s v="Peter Benholm" u="1"/>
        <s v="Emilio Escudero" u="1"/>
        <s v="David Rogers" u="1"/>
        <s v="Christos Garagounis" u="1"/>
        <s v="Adam Deverell" u="1"/>
        <s v="Josh Tey" u="1"/>
        <s v="Cataldo De Filippis" u="1"/>
        <s v="Æowyn Elmer" u="1"/>
        <s v="Costa Kamarados" u="1"/>
        <s v="Terry Clark" u="1"/>
        <s v="Elisa Ricci" u="1"/>
        <s v="Kanda Junya" u="1"/>
        <s v="Sergio Padilla" u="1"/>
        <s v="Diego Flammia" u="1"/>
        <s v="Paul Ridler" u="1"/>
        <s v="Daniele Zarpellon" u="1"/>
        <s v="Matt Britton" u="1"/>
        <s v="Francesco Portera" u="1"/>
        <s v="Giuseppe Andricciola" u="1"/>
        <s v="Sergio Glauco Melotti" u="1"/>
        <s v="Juri Di Tullio" u="1"/>
        <s v="Andrés Muñoz" u="1"/>
        <s v="Elia Nicoletti" u="1"/>
        <s v="Stefano Dardi" u="1"/>
      </sharedItems>
    </cacheField>
    <cacheField name="Family Name" numFmtId="0">
      <sharedItems containsBlank="1"/>
    </cacheField>
    <cacheField name="Given Name" numFmtId="0">
      <sharedItems containsBlank="1"/>
    </cacheField>
    <cacheField name="FISTF Code" numFmtId="0">
      <sharedItems/>
    </cacheField>
    <cacheField name="Category" numFmtId="0">
      <sharedItems containsBlank="1"/>
    </cacheField>
    <cacheField name="Club name" numFmtId="0">
      <sharedItems containsBlank="1" count="433">
        <s v="AS Cosenza"/>
        <s v="Team Campania"/>
        <s v="Cisplatina FC"/>
        <s v="AJ Amiénois FT"/>
        <s v="SG Lions TFC"/>
        <s v="Sparta Spreeathen 74/82"/>
        <s v="ST Stembert"/>
        <s v="SUB Kaiserau"/>
        <s v="CD Olivais Moscavide"/>
        <s v="CF os Belenenses"/>
        <s v="Lega Subbuteo Liga Odense"/>
        <s v="CS Zarco"/>
        <s v="Barcelona FT"/>
        <s v="Yorkshire Phoenix"/>
        <s v="Free Agent"/>
        <s v="GRD 1º Maio Tires"/>
        <s v="SC Portugal"/>
        <s v="Larissa TFC"/>
        <s v="Glyfada United TSC"/>
        <s v="TSPA White Star"/>
        <s v="CS SC Sereníssima Mestre"/>
        <s v="London Subbuteo Club"/>
        <s v="Panorama 1978 SC"/>
        <s v="Jurong Central SC"/>
        <s v="Kebun Bahru TFC"/>
        <s v="Atletico Pisa"/>
        <s v="Abelia TFC"/>
        <s v="Black Rose Roma"/>
        <s v="Master Sanremo"/>
        <s v="Rebels Genova"/>
        <s v="Athinaikos CS"/>
        <s v="Tiburones FM"/>
        <s v="ASD Alba Subbuteo Roma"/>
        <s v="Cs Firenze"/>
        <s v="Chesterfield TFC"/>
        <s v="Pinco Devils TS"/>
        <s v="FM La Plazoleta"/>
        <s v="Europa FC TSC"/>
        <s v="CS Solvay"/>
        <s v="Yokohama OSC"/>
        <s v="Messina"/>
        <s v="Subbuteo Casale"/>
        <s v="FTC Issy-les-Moulineaux"/>
        <s v="Kansas City SC"/>
        <s v="SC Ligures"/>
        <s v="JSC Rochefort"/>
        <s v="Bologna Tigers Subbuteo"/>
        <s v="SC Barakaldo"/>
        <s v="Wobbly Hobby"/>
        <s v="Glasgow TSA"/>
        <s v="Nicosia TFC"/>
        <s v="Avenir Subbuteo Hennuyer"/>
        <s v="Piraeus Lions TSC"/>
        <s v="Olympia CS"/>
        <s v="SC Bari"/>
        <s v="SC Ascoli"/>
        <s v="Vecchia Talpa Fidenza"/>
        <s v="FTC Caen"/>
        <s v="Colombo SC"/>
        <s v="Famagusta TFC"/>
        <s v="Maryland SC"/>
        <s v="AC Los Remedios FM"/>
        <s v="Subbuteurs Athens TSC"/>
        <s v="Bormla SC"/>
        <s v="AS Iluro FT"/>
        <s v="Dutch Legends"/>
        <s v="Thessaloniki SC TSC"/>
        <s v="Roligans Ilioupolis TSC"/>
        <s v="Subbuteo Taranto"/>
        <s v="Templeuve United TSC"/>
        <s v="Western Flickers TFC"/>
        <s v="SC Labronico"/>
        <s v="Belfast Barbarians"/>
        <s v="Football de Table Aquitaine"/>
        <s v="Northern Phoenix Table Football_x000d__x000a__x000d__x000a_Club"/>
        <s v="Kent Invicta TFC"/>
        <s v="SC Sombrero"/>
        <s v="Subbuteo Grosseto 2018"/>
        <s v="Crimson Horses"/>
        <s v="Leicester Foxes SC"/>
        <s v="H'Attard SC"/>
        <s v="Chasers SC"/>
        <s v="Elan Subbutéo Club de Champs-sur-Marne"/>
        <s v="Valletta Lions TFC"/>
        <s v="SC Reggio Calabria"/>
        <s v="Hartamas Tigers"/>
        <s v="Subbuteo Verona 2016"/>
        <s v="CT Torino 2009"/>
        <s v="Versilia 2002"/>
        <s v="Triestina"/>
        <s v="Wolverhampton Table Football Club"/>
        <s v="Borussia Bergkamen"/>
        <s v="Subbuteo L'aquila Club"/>
        <s v="Subbuteo Club reggio Calabria"/>
        <s v="São Paulo FC"/>
        <s v="West Coast TSC"/>
        <s v="CAP Ciudad de Murcia FM"/>
        <s v="CFT Puylaurens"/>
        <s v="Subbito Gol Ferrara"/>
        <s v="H`Attard SC"/>
        <s v="Stabiae"/>
        <s v="Viterbese Subbuteo"/>
        <s v="SC Fonte Nuova"/>
        <s v="Northern Falcons TFC"/>
        <s v="Valletta SC"/>
        <s v="SC Cagliari"/>
        <s v="SC La Signoria"/>
        <s v="TSC Royal 78 Kaisermühlen"/>
        <s v="TV Germania Kaiserau"/>
        <s v="Seattle SC"/>
        <s v="US Valponte 1986"/>
        <s v="Subbuteisti Modena 1982"/>
        <s v="SC Abruzzo Ves Gentes"/>
        <s v="Sydney TFC"/>
        <s v="Stradivari Cremona"/>
        <s v="River FC"/>
        <s v="Subbuteo Vomero"/>
        <s v="Subbuteoland"/>
        <s v="F.Lli Bari Reggio Emilia"/>
        <s v="SC Silvio Piola"/>
        <s v="SC Samb"/>
        <s v="Cardiff Bluebirds TFC"/>
        <s v="SPQR MMIX Subbuteo"/>
        <s v="Subbuteo Dragons Azuqueca"/>
        <s v="TSC Phoenix"/>
        <s v="Budapest Subbuteo"/>
        <s v="Irish Premier League"/>
        <s v="Lone Star SL"/>
        <s v="Noctuas Athens TSC"/>
        <s v="A.S.D. Siracusa calcio tavolo"/>
        <s v="TSL Dortmund 61"/>
        <s v="Tampa Bay TSC"/>
        <s v="Foggia CT"/>
        <s v="Melbourne TFC"/>
        <s v="TS Napoli Fighters"/>
        <s v="TSG Rain 1970"/>
        <s v="Hot Club d'Ecosse"/>
        <s v="Dundee Utd TFC"/>
        <s v="Subbuteo Le Cannet Côte d'Azur"/>
        <s v="SC Valdarno"/>
        <s v="Irreal Nieder-Mörlen"/>
        <s v="Elstow Lions TFC"/>
        <s v="BSC Schwalbach"/>
        <s v="Mt. Hebron TSC"/>
        <s v="SC do Recife"/>
        <s v="Buenos Aires TS"/>
        <s v="ACS Perugia"/>
        <s v="Serenissima Mestre"/>
        <s v="SC Almería"/>
        <s v="Outer Banks SC"/>
        <s v="AFT Turia 1981"/>
        <s v="Skien Wildcats"/>
        <s v="FTC Saint-Symphorien-sur-Coise"/>
        <s v="SC Biella 91"/>
        <s v="Linth Sliders SC"/>
        <s v="Virtus 4strade SC Rieti"/>
        <s v="SC Fiamme Azzurre"/>
        <s v="AS Rosario 2008"/>
        <s v="The Sports Table Football Club of Western Australia"/>
        <s v="Alliance française d'Odessa"/>
        <s v="Derry City TFC"/>
        <s v="Trento"/>
        <s v="AA Banco do Brasil - Caruaru"/>
        <s v="SC Castelfiorentino"/>
        <s v="GSC De Hyacinth"/>
        <s v="London Road SC"/>
        <s v="TSC Stella Artois Milano"/>
        <s v="Proteas Athens SC"/>
        <s v="SC Savona"/>
        <s v="SC Berlin"/>
        <s v="CCT Eagles Napoli"/>
        <s v="Moralzarzal SCAD"/>
        <s v="Wamme SC"/>
        <s v="ASD CT Aosta Warriors"/>
        <s v="SS Lazio TFC"/>
        <s v="Paris Université Club"/>
        <s v="ACT Anacapri"/>
        <s v="CT Paola"/>
        <s v="SC Lion's Eugies"/>
        <s v="Scarlet Battalion SC"/>
        <s v="Yorkshire Phoenix and Dewsbury Moor TFC"/>
        <s v="Derry City"/>
        <s v="SC Charleroi"/>
        <s v="Sporting Club 18"/>
        <s v="Calgary SC"/>
        <s v="Subbuteo Oslo"/>
        <s v="Canberra &amp; South Coast TFC"/>
        <s v="Granducato Subbuteo"/>
        <s v="ASD Siracusa Calcio Tavolo"/>
        <s v="Subbuteo Club Pescara"/>
        <s v="SC Bagheria"/>
        <s v="Hamilton SC"/>
        <s v="Washington Tuesday SL"/>
        <s v="GCT DLF Gorizia"/>
        <s v="GUEBWILLER ALSACE SUBBUTEO CLUB"/>
        <s v="Barcellona Mortellito"/>
        <s v="Maremma Subbuteo"/>
        <s v="Wobbly Hobby Subbuteo Club"/>
        <s v="Golazzo SC"/>
        <s v="ASD SC Salernitana"/>
        <s v="SC Palermo"/>
        <s v="SC Dragons Hong Kong"/>
        <s v="subbuteo.ch"/>
        <s v="The Morecambe Bay Subbuteo Club"/>
        <s v="Botafogo FR"/>
        <s v="Bulldogs Vicenza"/>
        <s v="Azzurra'99"/>
        <s v="SC Corinthians Paulista"/>
        <s v="California TSC"/>
        <s v="SC Pavia"/>
        <s v="Mallorca Águilas FM"/>
        <s v="SC UD Santa María FM"/>
        <s v="Volterrana"/>
        <s v="Papata Group Ponticino"/>
        <s v="CR Vasco da Gama"/>
        <s v="SC Flanders"/>
        <s v="Solent Table Soccer &amp; Subbuteo Club"/>
        <s v="Evia CAN"/>
        <s v="TSC Falcons Athens"/>
        <s v="CC Condors TSC"/>
        <s v="Atlas FTC"/>
        <s v="SG '94 Hannover"/>
        <s v="Toronto SC"/>
        <s v="ASCT Sessana 1982"/>
        <s v="SC Ravenna"/>
        <s v="Leonessa 2004 Brescia"/>
        <s v="Wessex Subbuteo Club"/>
        <s v="North Down"/>
        <s v="Northern Line Flickers TFC"/>
        <s v="SC Connecticut"/>
        <s v="ST Sassari"/>
        <s v="Worthing Fivestar"/>
        <s v="Celtic Combourg CFT"/>
        <s v="Catanzaro"/>
        <s v="Palermo Subbuteo"/>
        <s v="CC Livorno"/>
        <s v="SE Palmeiras"/>
        <s v="Bangu AC"/>
        <s v="Western Sydney Subbuteo"/>
        <s v="T S Napoli Fighters"/>
        <s v="CCT Roma"/>
        <s v="SC Temploux"/>
        <s v="Subbutéo Team Gard"/>
        <s v="Old Lions Macerata"/>
        <s v="US Huy"/>
        <s v="Subbuteo Club Flanders"/>
        <s v="SC Mestre"/>
        <s v="Boise USL 95"/>
        <s v="Subbuteo Italia"/>
        <s v="Boucle de la Seine Subbutéo"/>
        <s v="CFM Hudson"/>
        <s v="Czech Subbuteo Team 2014"/>
        <s v="SC Benfica"/>
        <s v="St Louis SL"/>
        <s v="Magic Team Tournai"/>
        <s v="Kragerø BFK"/>
        <s v="Northern Phoenix TFC"/>
        <s v="Kettering Flicking Marvellous"/>
        <s v="TFC Mattersburg"/>
        <s v="Eastern Elias SC"/>
        <s v="Bristol SC"/>
        <s v="Club name"/>
        <s v="Surrey Saracens Subbuteo"/>
        <s v="Santa Cruz FC"/>
        <s v="Londrina EC"/>
        <s v="GD Dias Ferreira"/>
        <s v="AFT Turia"/>
        <s v="Dundee United TFC"/>
        <s v="ASM Nola 74"/>
        <s v="Porsgrunn Flickers"/>
        <s v="Tokyo Sunzeol TFC"/>
        <s v="OSC Yamato Wild Blue TFC"/>
        <s v="Cape Town City Subbuteo Club"/>
        <s v="Grand Rapids TSC"/>
        <s v="Marplatense AFM"/>
        <s v="RC Lorraine Subbuteo Club"/>
        <s v="MVV Rijnmond"/>
        <s v="TFC Rhein-Hessen Wiesbaden"/>
        <s v="Flaming Flickers SC"/>
        <s v="Scarlet Battalion Subbuteo Club"/>
        <s v="ASD Triestina Subbuteo"/>
        <s v="Kickers Offenbach"/>
        <s v="SAV Maria Zélia"/>
        <s v="SC Palermo 2016"/>
        <s v="SW gemaba Hitdorf"/>
        <s v="AFM San Justo"/>
        <s v="Central Victoria TFC"/>
        <s v="RAS Casual SC"/>
        <s v="STV Hohenlohe"/>
        <s v="Subbuteo Club Höpfigheim"/>
        <s v="SC Catania 1987"/>
        <s v="Lakhta Subbuteo TFC"/>
        <s v="SC München 2014"/>
        <m/>
        <s v="Chicago TSC"/>
        <s v="Essener SC"/>
        <s v="London Road Subbuteo Club"/>
        <s v="Brisbane Subbuteo Club"/>
        <s v="Doncaster Subbuteo Club"/>
        <s v="Colorado SC"/>
        <s v="North Shields STF"/>
        <s v="Haverhill Rovers TFC"/>
        <s v="Osaka TFC"/>
        <s v="RAS (Rochford &amp; Southend)_x000d__x000a_Casual Subbuteo Club"/>
        <s v="ELM'Aye SC"/>
        <s v="Leicester Foxes Subbuteo Club"/>
        <s v="Eurofighter Bochum"/>
        <s v="OS Academy 1947"/>
        <s v="SB Komet Frankfurt"/>
        <s v="CFM Manolo Preciado"/>
        <s v="Minimannia Aachen"/>
        <s v="North Alabama SA"/>
        <s v="-"/>
        <s v="Gliding Stars Aachen"/>
        <s v="Bruxelles Capitale TFC"/>
        <s v="Woodlands SC"/>
        <s v="Villains Firenze"/>
        <s v="Íbis SC"/>
        <s v="CFT Montivilliers"/>
        <s v="FCT Nantes"/>
        <s v="Wobbly Hobby SC"/>
        <s v="Rochefort TS"/>
        <s v="Pedmore TFC"/>
        <s v="SP Aargau-Süd"/>
        <s v="Tralee &amp; Munster Subbuteo Club"/>
        <s v="Club Stéphanois Subbuteo - ALC"/>
        <s v="Augusta SC"/>
        <s v="SAITAMA TFC"/>
        <s v="Subbito Gol Ferrar"/>
        <s v="Oklahoma Utd TSC"/>
        <s v="Kirkstall Crusaders Subbute Club"/>
        <s v="GlasgowTSA"/>
        <s v="SC Stradivari Cremona"/>
        <s v="South Carolina SC"/>
        <s v="GD Bairro Novo"/>
        <s v="Real SC"/>
        <s v="Larnaca TFC"/>
        <s v="Spartak des dames"/>
        <s v="Iowa SC"/>
        <s v="Flanders SC"/>
        <s v="SC Reeds"/>
        <s v="Subbuteo Basel Utd"/>
        <s v="Sporting Clube De Portugal"/>
        <s v="Batavia Garudas"/>
        <s v="Gibraltar TSA"/>
        <s v="Vibo CT"/>
        <s v="Turia"/>
        <s v="Woburn Casuals"/>
        <s v="CF Sassoeiros"/>
        <s v="Friburguense - AFFM"/>
        <s v="South Staff"/>
        <s v="Orfeão Foz do Douro"/>
        <s v="CS Solvay Vada"/>
        <s v="SPQR MMIX Roma"/>
        <s v="1.SFC Selb"/>
        <s v="Wolverhampton TFC"/>
        <s v="SC Pantere Lucca"/>
        <s v="Templeuve Utd TSC"/>
        <s v="SPQR MIX"/>
        <s v="1.TFC Aktivist Bergen 74"/>
        <s v="Chattanooga SL"/>
        <s v="ALC WATTRELOS - SUBBUTEO LILLE METROPOLE"/>
        <s v="SCN Idstein"/>
        <s v="Calcio Tavolo Cosenza"/>
        <s v="Northern California SC"/>
        <s v="SC Germania Schwerte 76"/>
        <s v="Wobbly Hobbly Subbuteo Club"/>
        <s v="Hipfingerz Subbuteo Club"/>
        <s v="RAS (Rochford &amp; Southend) Casual Subbuteo Club"/>
        <s v="Ves Gentes"/>
        <s v="Achaioi TSC"/>
        <s v="Messina Subbuteo Sport Club"/>
        <s v="Harrow Hawks TSC"/>
        <s v="Dunakanyar Forte ALC"/>
        <s v="Subbuteo Catanzaro"/>
        <s v="SC Nara"/>
        <s v="Indiana TSC"/>
        <s v="Subbuteo Perth"/>
        <s v="Toronto SL"/>
        <s v="Torigno Nostro Club"/>
        <s v="H'Attard Subbuteo Club"/>
        <s v="TSG Rain"/>
        <s v="Stanway Rovers Flickers"/>
        <s v="Adachi TFC"/>
        <s v="Bristol Subbuteo Club" u="1"/>
        <s v="Azzurra 99 Napoli" u="1"/>
        <s v="Northern Line Flickers" u="1"/>
        <s v="USC Wuppertal" u="1"/>
        <s v="Saxon Subbuteo Club" u="1"/>
        <s v="Nuovo Falco" u="1"/>
        <s v="Palocco Subbuteo" u="1"/>
        <s v="Hobart TFC" u="1"/>
        <s v="Eastern Pennsylvania Subbuteo Club" u="1"/>
        <s v="Elstow Lions" u="1"/>
        <s v="Glyfada Utd TSC" u="1"/>
        <s v="SUBBUTEO TEAM GARD" u="1"/>
        <s v="Wolverhampton SFC" u="1"/>
        <s v="The Andover Subbuteo Club" u="1"/>
        <s v="Hawks Treviso TS" u="1"/>
        <s v="CCT Siracusa" u="1"/>
        <s v="SPQR MMIX" u="1"/>
        <s v="ALSACE SUBBUTEO CLUB" u="1"/>
        <s v="Templeuve United Table Soccer Club" u="1"/>
        <s v="salernitana" u="1"/>
        <s v="SC Biella 91 &amp; Piola" u="1"/>
        <s v="Elstow Lions Table Football Club" u="1"/>
        <s v="TSC Pheonix" u="1"/>
        <s v="Underdogs" u="1"/>
        <s v="Kent invicta" u="1"/>
        <s v="Sport Vale United" u="1"/>
        <s v="PUC" u="1"/>
        <s v="Etoile Sarthoise Val de Sambre" u="1"/>
        <s v="BOSS" u="1"/>
        <s v="SC Seraing" u="1"/>
        <s v="Wobbly Hobbly SC" u="1"/>
        <s v="FT Aquitaine" u="1"/>
        <s v="Blade TSC" u="1"/>
        <s v="FTC ST Symphorien sur Coise" u="1"/>
        <s v="Thessaloniki Utd TSC" u="1"/>
        <s v="Worcester" u="1"/>
        <s v="SC Panionios" u="1"/>
        <s v="Hipfingerz TFC" u="1"/>
        <s v="Anagennisi Adrastou FSSCP" u="1"/>
        <s v="Brisbane SC" u="1"/>
        <s v="Elan SC Champs" u="1"/>
        <s v="Subbuteo Club SAMB" u="1"/>
        <s v="SC Móstoles" u="1"/>
        <s v="CAEN ftc" u="1"/>
        <s v="Aliados" u="1"/>
        <s v="Seagulls Viareggio" u="1"/>
        <s v="Trento Subbuteo" u="1"/>
        <s v="AE Larissas" u="1"/>
        <s v="PAS Kallitheas" u="1"/>
      </sharedItems>
    </cacheField>
    <cacheField name="Nation" numFmtId="0">
      <sharedItems containsBlank="1"/>
    </cacheField>
    <cacheField name="Column1"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5" numFmtId="0">
      <sharedItems containsNonDate="0" containsString="0" containsBlank="1"/>
    </cacheField>
    <cacheField name="MNA" numFmtId="0">
      <sharedItems containsBlank="1"/>
    </cacheField>
    <cacheField name="Confe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s v="Abate"/>
    <s v="Fabio"/>
    <s v="ITA3295"/>
    <s v="OPEN"/>
    <x v="0"/>
    <s v="ITA"/>
    <m/>
    <m/>
    <m/>
    <m/>
    <m/>
    <s v="FISCT"/>
    <s v="CESTFA"/>
  </r>
  <r>
    <x v="1"/>
    <s v="Abbenante"/>
    <s v="Luigi"/>
    <s v="ITA3434"/>
    <s v="VET"/>
    <x v="1"/>
    <s v="ITA"/>
    <m/>
    <m/>
    <m/>
    <m/>
    <m/>
    <s v="FISCT"/>
    <s v="CESTFA"/>
  </r>
  <r>
    <x v="2"/>
    <s v="Abboud"/>
    <s v="Regis"/>
    <s v="BRA0051"/>
    <s v="VET"/>
    <x v="2"/>
    <s v="BRA"/>
    <m/>
    <m/>
    <m/>
    <m/>
    <m/>
    <s v="CBFM (Suspended)"/>
    <m/>
  </r>
  <r>
    <x v="3"/>
    <s v="Abdelkrem"/>
    <s v="Ibrahim Amin"/>
    <s v="FIS0010"/>
    <s v="OPEN"/>
    <x v="3"/>
    <s v="SUD"/>
    <m/>
    <m/>
    <m/>
    <m/>
    <m/>
    <s v="FISTF"/>
    <s v="FISTF"/>
  </r>
  <r>
    <x v="4"/>
    <s v="Abdul Rahman"/>
    <s v="Mohd Faizal"/>
    <s v="SGP0049"/>
    <s v="OPEN"/>
    <x v="4"/>
    <s v="SGP"/>
    <m/>
    <m/>
    <m/>
    <m/>
    <m/>
    <s v="TFAS"/>
    <s v="CASTFA"/>
  </r>
  <r>
    <x v="5"/>
    <s v="Abel"/>
    <s v="Pascal"/>
    <s v="GER0017"/>
    <s v="OPEN"/>
    <x v="5"/>
    <s v="GER"/>
    <m/>
    <m/>
    <m/>
    <m/>
    <m/>
    <s v="DSTFB"/>
    <s v="CESTFA"/>
  </r>
  <r>
    <x v="6"/>
    <s v="Abela"/>
    <s v="Nicole"/>
    <s v="MLT0137"/>
    <s v="OPEN"/>
    <x v="6"/>
    <s v="MLT"/>
    <m/>
    <m/>
    <m/>
    <m/>
    <m/>
    <s v="MTFSA"/>
    <s v="CESTFA"/>
  </r>
  <r>
    <x v="7"/>
    <s v="Abeln"/>
    <s v="Kevin"/>
    <s v="GER0098"/>
    <s v="OPEN"/>
    <x v="7"/>
    <s v="GER"/>
    <m/>
    <m/>
    <m/>
    <m/>
    <m/>
    <s v="DSTFB"/>
    <s v="CESTFA"/>
  </r>
  <r>
    <x v="8"/>
    <s v="Abreu"/>
    <s v="Bruno"/>
    <s v="POR0161"/>
    <s v="OPEN"/>
    <x v="8"/>
    <s v="POR"/>
    <m/>
    <m/>
    <m/>
    <m/>
    <m/>
    <s v="APS"/>
    <s v="CESTFA"/>
  </r>
  <r>
    <x v="9"/>
    <s v="Abreu"/>
    <s v="Luís"/>
    <s v="POR0143"/>
    <s v="OPEN"/>
    <x v="9"/>
    <s v="POR"/>
    <m/>
    <m/>
    <m/>
    <m/>
    <m/>
    <s v="APS"/>
    <s v="CESTFA"/>
  </r>
  <r>
    <x v="10"/>
    <s v="Achton Boel"/>
    <s v="William"/>
    <s v="DEN0046"/>
    <s v="OPEN"/>
    <x v="10"/>
    <s v="DEN"/>
    <m/>
    <m/>
    <m/>
    <m/>
    <m/>
    <s v="DSBU (Provisional)"/>
    <m/>
  </r>
  <r>
    <x v="11"/>
    <s v="Ãcuna"/>
    <s v="Henrique"/>
    <s v="POR0236"/>
    <s v="U12"/>
    <x v="11"/>
    <s v="POR"/>
    <m/>
    <m/>
    <m/>
    <m/>
    <m/>
    <s v="APS"/>
    <s v="CESTFA"/>
  </r>
  <r>
    <x v="12"/>
    <s v="Acuña"/>
    <s v="Iván"/>
    <s v="ESP0495"/>
    <s v="OPEN"/>
    <x v="12"/>
    <s v="ESP"/>
    <m/>
    <m/>
    <m/>
    <m/>
    <m/>
    <s v="AEFM"/>
    <s v="CESTFA"/>
  </r>
  <r>
    <x v="13"/>
    <s v="Acuña Padilla"/>
    <s v="Joan"/>
    <s v="ESP0589"/>
    <s v="U16"/>
    <x v="12"/>
    <s v="ESP"/>
    <m/>
    <m/>
    <m/>
    <m/>
    <m/>
    <s v="AEFM"/>
    <s v="CESTFA"/>
  </r>
  <r>
    <x v="14"/>
    <s v="Adam Ali"/>
    <s v="Adoma"/>
    <s v="FIS0009"/>
    <s v="OPEN"/>
    <x v="3"/>
    <s v="SUD"/>
    <m/>
    <m/>
    <m/>
    <m/>
    <m/>
    <s v="FISTF"/>
    <s v="FISTF"/>
  </r>
  <r>
    <x v="15"/>
    <s v="Adams"/>
    <s v="Eoin"/>
    <s v="NIR0006"/>
    <s v="VET"/>
    <x v="13"/>
    <s v="NIR"/>
    <m/>
    <m/>
    <m/>
    <m/>
    <m/>
    <s v="NITFA"/>
    <s v="CESTFA"/>
  </r>
  <r>
    <x v="16"/>
    <s v="Adavalis"/>
    <s v="Avraam"/>
    <s v="GRE0744"/>
    <s v="OPEN"/>
    <x v="14"/>
    <s v="GRE"/>
    <m/>
    <m/>
    <m/>
    <m/>
    <m/>
    <s v="UHTF"/>
    <s v="CESTFA"/>
  </r>
  <r>
    <x v="17"/>
    <s v="Afonso"/>
    <s v="Gil"/>
    <s v="POR0046"/>
    <s v="OPEN"/>
    <x v="15"/>
    <s v="POR"/>
    <m/>
    <m/>
    <m/>
    <m/>
    <m/>
    <s v="APS"/>
    <s v="CESTFA"/>
  </r>
  <r>
    <x v="18"/>
    <s v="Afonso"/>
    <s v="Nelson"/>
    <s v="POR0047"/>
    <s v="VET"/>
    <x v="14"/>
    <s v="POR"/>
    <m/>
    <m/>
    <m/>
    <m/>
    <m/>
    <s v="APS"/>
    <s v="CESTFA"/>
  </r>
  <r>
    <x v="19"/>
    <s v="Afonso"/>
    <s v="Nuno"/>
    <s v="POR0181"/>
    <s v="VET"/>
    <x v="16"/>
    <s v="POR"/>
    <m/>
    <m/>
    <m/>
    <m/>
    <m/>
    <s v="APS"/>
    <s v="CESTFA"/>
  </r>
  <r>
    <x v="20"/>
    <s v="Afratis"/>
    <s v="Giannis"/>
    <s v="GRE0690"/>
    <s v="VET"/>
    <x v="14"/>
    <s v="GRE"/>
    <m/>
    <m/>
    <m/>
    <m/>
    <m/>
    <s v="UHTF"/>
    <s v="CESTFA"/>
  </r>
  <r>
    <x v="21"/>
    <s v="Agelakis"/>
    <s v="Nicos"/>
    <s v="GRE0311"/>
    <s v="OPEN"/>
    <x v="17"/>
    <s v="GRE"/>
    <m/>
    <m/>
    <m/>
    <m/>
    <m/>
    <s v="UHTF"/>
    <s v="CESTFA"/>
  </r>
  <r>
    <x v="22"/>
    <s v="Aggelakos"/>
    <s v="Paraskevas"/>
    <s v="GRE0223"/>
    <s v="VET"/>
    <x v="14"/>
    <s v="GRE"/>
    <m/>
    <m/>
    <m/>
    <m/>
    <m/>
    <s v="UHTF"/>
    <s v="CESTFA"/>
  </r>
  <r>
    <x v="23"/>
    <s v="Aggelou"/>
    <s v="Dimitris"/>
    <s v="GRE0642"/>
    <s v="OPEN"/>
    <x v="18"/>
    <s v="GRE"/>
    <m/>
    <m/>
    <m/>
    <m/>
    <m/>
    <s v="UHTF"/>
    <s v="CESTFA"/>
  </r>
  <r>
    <x v="24"/>
    <s v="Aggett"/>
    <s v="Ian"/>
    <s v="ENG0539"/>
    <s v="VET"/>
    <x v="19"/>
    <s v="ENG"/>
    <m/>
    <m/>
    <m/>
    <m/>
    <m/>
    <s v="ESA"/>
    <s v="CESTFA"/>
  </r>
  <r>
    <x v="25"/>
    <s v="Agirmo"/>
    <s v="Roberto"/>
    <s v="ITA0918"/>
    <s v="VET"/>
    <x v="20"/>
    <s v="ITA"/>
    <m/>
    <m/>
    <m/>
    <m/>
    <m/>
    <s v="FISCT"/>
    <s v="CESTFA"/>
  </r>
  <r>
    <x v="26"/>
    <s v="Agostinelli"/>
    <s v="Paolo Matteo"/>
    <s v="ENG0572"/>
    <s v="VET"/>
    <x v="21"/>
    <s v="ENG"/>
    <m/>
    <m/>
    <m/>
    <m/>
    <m/>
    <s v="ESA"/>
    <s v="CESTFA"/>
  </r>
  <r>
    <x v="27"/>
    <s v="Agra"/>
    <s v="Paulo"/>
    <s v="BRA0041"/>
    <s v="OPEN"/>
    <x v="14"/>
    <s v="BRA"/>
    <m/>
    <m/>
    <m/>
    <m/>
    <m/>
    <s v="CBFM (Suspended)"/>
    <m/>
  </r>
  <r>
    <x v="28"/>
    <s v="Agrios"/>
    <s v="Christos"/>
    <s v="GRE0568"/>
    <s v="OPEN"/>
    <x v="22"/>
    <s v="GRE"/>
    <m/>
    <m/>
    <m/>
    <m/>
    <m/>
    <s v="UHTF"/>
    <s v="CESTFA"/>
  </r>
  <r>
    <x v="29"/>
    <s v="Agrios"/>
    <s v="Theodoros"/>
    <s v="GRE0567"/>
    <s v="VET"/>
    <x v="14"/>
    <s v="GRE"/>
    <m/>
    <m/>
    <m/>
    <m/>
    <m/>
    <s v="UHTF"/>
    <s v="CESTFA"/>
  </r>
  <r>
    <x v="30"/>
    <s v="Ahmad"/>
    <s v="Mohd Ezan"/>
    <s v="SGP0043"/>
    <s v="OPEN"/>
    <x v="23"/>
    <s v="SGP"/>
    <m/>
    <m/>
    <m/>
    <m/>
    <m/>
    <s v="TFAS"/>
    <s v="CASTFA"/>
  </r>
  <r>
    <x v="31"/>
    <s v="Ahmad"/>
    <s v="Mohd Rizal"/>
    <s v="SGP0065"/>
    <s v="OPEN"/>
    <x v="24"/>
    <s v="SGP"/>
    <m/>
    <m/>
    <m/>
    <m/>
    <m/>
    <s v="TFAS"/>
    <s v="CASTFA"/>
  </r>
  <r>
    <x v="32"/>
    <s v="Aiani"/>
    <s v="Lorenzo"/>
    <s v="ITA2298"/>
    <s v="VET"/>
    <x v="25"/>
    <s v="ITA"/>
    <m/>
    <m/>
    <m/>
    <m/>
    <m/>
    <s v="FISCT"/>
    <s v="CESTFA"/>
  </r>
  <r>
    <x v="33"/>
    <s v="Aiani"/>
    <s v="Pietro"/>
    <s v="ITA2970"/>
    <s v="U16"/>
    <x v="25"/>
    <s v="ITA"/>
    <m/>
    <m/>
    <m/>
    <m/>
    <m/>
    <s v="FISCT"/>
    <s v="CESTFA"/>
  </r>
  <r>
    <x v="34"/>
    <s v="Aivasliotis"/>
    <s v="Vasilis"/>
    <s v="GRE0751"/>
    <s v="OPEN"/>
    <x v="14"/>
    <s v="GRE"/>
    <m/>
    <m/>
    <m/>
    <m/>
    <m/>
    <s v="UHTF"/>
    <s v="CESTFA"/>
  </r>
  <r>
    <x v="35"/>
    <s v="Akimoto"/>
    <s v="Hina"/>
    <s v="JPN174"/>
    <s v="OPEN"/>
    <x v="26"/>
    <s v="JPN"/>
    <m/>
    <m/>
    <m/>
    <m/>
    <m/>
    <s v="JTFA"/>
    <s v="CASTFA"/>
  </r>
  <r>
    <x v="36"/>
    <s v="Alatsaki"/>
    <s v="Pothiti"/>
    <s v="GRE0383"/>
    <s v="OPEN"/>
    <x v="14"/>
    <s v="GRE"/>
    <m/>
    <m/>
    <m/>
    <m/>
    <m/>
    <s v="UHTF"/>
    <s v="CESTFA"/>
  </r>
  <r>
    <x v="37"/>
    <s v="Alatsakis"/>
    <s v="Christoforos"/>
    <s v="GRE0334"/>
    <s v="OPEN"/>
    <x v="14"/>
    <s v="GRE"/>
    <m/>
    <m/>
    <m/>
    <m/>
    <m/>
    <s v="UHTF"/>
    <s v="CESTFA"/>
  </r>
  <r>
    <x v="38"/>
    <s v="Albuquerque"/>
    <s v="Tomás"/>
    <s v="POR0185"/>
    <s v="U20"/>
    <x v="11"/>
    <s v="POR"/>
    <m/>
    <m/>
    <m/>
    <m/>
    <m/>
    <s v="APS"/>
    <s v="CESTFA"/>
  </r>
  <r>
    <x v="39"/>
    <s v="Alegi"/>
    <s v="Peter"/>
    <s v="USA0370"/>
    <s v="VET"/>
    <x v="27"/>
    <s v="USA"/>
    <m/>
    <m/>
    <m/>
    <m/>
    <m/>
    <s v="ASA"/>
    <s v="CONASTF"/>
  </r>
  <r>
    <x v="40"/>
    <s v="Alessi"/>
    <s v="Carlo"/>
    <s v="ITA0009"/>
    <s v="VET"/>
    <x v="28"/>
    <s v="ITA"/>
    <m/>
    <m/>
    <m/>
    <m/>
    <m/>
    <s v="FISCT"/>
    <s v="CESTFA"/>
  </r>
  <r>
    <x v="41"/>
    <s v="Alessi"/>
    <s v="Giacomo"/>
    <s v="ITA3261"/>
    <s v="U12"/>
    <x v="29"/>
    <s v="ITA"/>
    <m/>
    <m/>
    <m/>
    <m/>
    <m/>
    <s v="FISCT"/>
    <s v="CESTFA"/>
  </r>
  <r>
    <x v="42"/>
    <s v="Alexander"/>
    <s v="Mark"/>
    <s v="ENG0480"/>
    <s v="VET"/>
    <x v="14"/>
    <s v="ENG"/>
    <m/>
    <m/>
    <m/>
    <m/>
    <m/>
    <s v="ESA"/>
    <s v="CESTFA"/>
  </r>
  <r>
    <x v="43"/>
    <s v="Alexandrou"/>
    <s v="Dimitris Arnis"/>
    <s v="GRE0726"/>
    <s v="OPEN"/>
    <x v="14"/>
    <s v="GRE"/>
    <m/>
    <m/>
    <m/>
    <m/>
    <m/>
    <s v="UHTF"/>
    <s v="CESTFA"/>
  </r>
  <r>
    <x v="44"/>
    <s v="Alexiou"/>
    <s v="Konstantinos"/>
    <s v="GRE0184"/>
    <s v="OPEN"/>
    <x v="30"/>
    <s v="GRE"/>
    <m/>
    <m/>
    <m/>
    <m/>
    <m/>
    <s v="UHTF"/>
    <s v="CESTFA"/>
  </r>
  <r>
    <x v="45"/>
    <s v="Alfaro"/>
    <s v="Isaac"/>
    <s v="ESP0477"/>
    <s v="U20"/>
    <x v="31"/>
    <s v="ESP"/>
    <m/>
    <m/>
    <m/>
    <m/>
    <m/>
    <s v="AEFM"/>
    <s v="CESTFA"/>
  </r>
  <r>
    <x v="46"/>
    <s v="Alfian"/>
    <s v="Ismail"/>
    <s v="SGP0121"/>
    <s v="OPEN"/>
    <x v="24"/>
    <s v="SGP"/>
    <m/>
    <m/>
    <m/>
    <m/>
    <m/>
    <s v="TFAS"/>
    <s v="CASTFA"/>
  </r>
  <r>
    <x v="47"/>
    <s v="Alfonsi"/>
    <s v="Andrea"/>
    <s v="ITA3172"/>
    <s v="VET"/>
    <x v="32"/>
    <s v="ITA"/>
    <m/>
    <m/>
    <m/>
    <m/>
    <m/>
    <s v="FISCT"/>
    <s v="CESTFA"/>
  </r>
  <r>
    <x v="48"/>
    <s v="Alfonso"/>
    <s v="Franco"/>
    <s v="GRE0463"/>
    <s v="VET"/>
    <x v="14"/>
    <s v="GRE"/>
    <m/>
    <m/>
    <m/>
    <m/>
    <m/>
    <s v="UHTF"/>
    <s v="CESTFA"/>
  </r>
  <r>
    <x v="49"/>
    <s v="Aliadis"/>
    <s v="Panagiotis"/>
    <s v="GRE0110"/>
    <s v="OPEN"/>
    <x v="30"/>
    <s v="GRE"/>
    <m/>
    <m/>
    <m/>
    <m/>
    <m/>
    <s v="UHTF"/>
    <s v="CESTFA"/>
  </r>
  <r>
    <x v="50"/>
    <s v="Allegria"/>
    <s v="Gabriele"/>
    <s v="ITA2720"/>
    <s v="VET"/>
    <x v="33"/>
    <s v="ITA"/>
    <m/>
    <m/>
    <m/>
    <m/>
    <m/>
    <s v="FISCT"/>
    <s v="CESTFA"/>
  </r>
  <r>
    <x v="51"/>
    <s v="Allen"/>
    <s v="Trevor"/>
    <s v="ENG0545"/>
    <s v="VET"/>
    <x v="34"/>
    <s v="ENG"/>
    <m/>
    <m/>
    <m/>
    <m/>
    <m/>
    <s v="ESA"/>
    <s v="CESTFA"/>
  </r>
  <r>
    <x v="52"/>
    <s v="Allison"/>
    <s v="Aaron"/>
    <s v="ITA0011"/>
    <s v="OPEN"/>
    <x v="35"/>
    <s v="ITA"/>
    <m/>
    <m/>
    <m/>
    <m/>
    <m/>
    <s v="FISCT"/>
    <s v="CESTFA"/>
  </r>
  <r>
    <x v="53"/>
    <s v="Almeida"/>
    <s v="André"/>
    <s v="POR0172"/>
    <s v="OPEN"/>
    <x v="14"/>
    <s v="POR"/>
    <m/>
    <m/>
    <m/>
    <m/>
    <m/>
    <s v="APS"/>
    <s v="CESTFA"/>
  </r>
  <r>
    <x v="54"/>
    <s v="Almeida"/>
    <s v="Lucas"/>
    <s v="POR0189"/>
    <s v="U20"/>
    <x v="11"/>
    <s v="POR"/>
    <m/>
    <m/>
    <m/>
    <m/>
    <m/>
    <s v="APS"/>
    <s v="CESTFA"/>
  </r>
  <r>
    <x v="55"/>
    <s v="Alonso"/>
    <s v="Joseba"/>
    <s v="ESP0509"/>
    <s v="OPEN"/>
    <x v="36"/>
    <s v="ESP"/>
    <m/>
    <m/>
    <m/>
    <m/>
    <m/>
    <s v="AEFM"/>
    <s v="CESTFA"/>
  </r>
  <r>
    <x v="56"/>
    <s v="Alsina"/>
    <s v="Guillem"/>
    <s v="ESP0448"/>
    <s v="OPEN"/>
    <x v="12"/>
    <s v="ESP"/>
    <m/>
    <m/>
    <m/>
    <m/>
    <m/>
    <s v="AEFM"/>
    <s v="CESTFA"/>
  </r>
  <r>
    <x v="57"/>
    <s v="Alvarez"/>
    <s v="Lawrence"/>
    <s v="GIB0003"/>
    <s v="OPEN"/>
    <x v="37"/>
    <s v="GIB"/>
    <m/>
    <m/>
    <m/>
    <m/>
    <m/>
    <s v="GTSA"/>
    <s v="CESTFA"/>
  </r>
  <r>
    <x v="58"/>
    <s v="Alves"/>
    <s v="Gabriel"/>
    <s v="POR0244"/>
    <s v="U12"/>
    <x v="11"/>
    <s v="POR"/>
    <m/>
    <m/>
    <m/>
    <m/>
    <m/>
    <s v="APS"/>
    <s v="CESTFA"/>
  </r>
  <r>
    <x v="59"/>
    <s v="Alves"/>
    <s v="João"/>
    <s v="POR0233"/>
    <s v="U16"/>
    <x v="11"/>
    <s v="POR"/>
    <m/>
    <m/>
    <m/>
    <m/>
    <m/>
    <s v="APS"/>
    <s v="CESTFA"/>
  </r>
  <r>
    <x v="60"/>
    <s v="Alves"/>
    <s v="Nuno"/>
    <s v="POR0166"/>
    <s v="OPEN"/>
    <x v="8"/>
    <s v="POR"/>
    <m/>
    <m/>
    <m/>
    <m/>
    <m/>
    <s v="APS"/>
    <s v="CESTFA"/>
  </r>
  <r>
    <x v="61"/>
    <s v="Amabile"/>
    <s v="Giorgio"/>
    <s v="ITA2214"/>
    <s v="VET"/>
    <x v="38"/>
    <s v="ITA"/>
    <m/>
    <m/>
    <m/>
    <m/>
    <m/>
    <s v="FISCT"/>
    <s v="CESTFA"/>
  </r>
  <r>
    <x v="62"/>
    <s v="Amano"/>
    <s v="Ryota"/>
    <s v="JPN171"/>
    <s v="OPEN"/>
    <x v="39"/>
    <s v="JPN"/>
    <m/>
    <m/>
    <m/>
    <m/>
    <m/>
    <s v="JTFA"/>
    <s v="CASTFA"/>
  </r>
  <r>
    <x v="63"/>
    <s v="Amaro"/>
    <s v="Gil"/>
    <s v="POR0162"/>
    <s v="U20"/>
    <x v="14"/>
    <s v="POR"/>
    <m/>
    <m/>
    <m/>
    <m/>
    <m/>
    <s v="APS"/>
    <s v="CESTFA"/>
  </r>
  <r>
    <x v="64"/>
    <s v="Amaro"/>
    <s v="Miguel"/>
    <s v="POR0053"/>
    <s v="VET"/>
    <x v="15"/>
    <s v="POR"/>
    <m/>
    <m/>
    <m/>
    <m/>
    <m/>
    <s v="APS"/>
    <s v="CESTFA"/>
  </r>
  <r>
    <x v="65"/>
    <s v="Amaro"/>
    <s v="Pedro"/>
    <s v="POR0163"/>
    <s v="U16"/>
    <x v="9"/>
    <s v="POR"/>
    <m/>
    <m/>
    <m/>
    <m/>
    <m/>
    <s v="APS"/>
    <s v="CESTFA"/>
  </r>
  <r>
    <x v="66"/>
    <s v="Amaro"/>
    <s v="Tomás"/>
    <s v="POR0246"/>
    <s v="U16"/>
    <x v="11"/>
    <s v="POR"/>
    <m/>
    <m/>
    <m/>
    <m/>
    <m/>
    <s v="APS"/>
    <s v="CESTFA"/>
  </r>
  <r>
    <x v="67"/>
    <s v="Amata"/>
    <s v="Biagio"/>
    <s v="ITA1439"/>
    <s v="VET"/>
    <x v="40"/>
    <s v="ITA"/>
    <m/>
    <m/>
    <m/>
    <m/>
    <m/>
    <s v="FISCT"/>
    <s v="CESTFA"/>
  </r>
  <r>
    <x v="68"/>
    <s v="Amatelli"/>
    <s v="Alessandro"/>
    <s v="ITA1190"/>
    <s v="OPEN"/>
    <x v="41"/>
    <s v="ITA"/>
    <m/>
    <m/>
    <m/>
    <m/>
    <m/>
    <s v="FISCT"/>
    <s v="CESTFA"/>
  </r>
  <r>
    <x v="69"/>
    <s v="Amberny"/>
    <s v="Jean-Marie"/>
    <s v="FRA0018"/>
    <s v="OPEN"/>
    <x v="42"/>
    <s v="FRA"/>
    <m/>
    <m/>
    <m/>
    <m/>
    <m/>
    <s v="3FTS"/>
    <s v="CESTFA"/>
  </r>
  <r>
    <x v="70"/>
    <s v="Ambrosio"/>
    <s v="Max"/>
    <s v="USA0388"/>
    <s v="VET"/>
    <x v="43"/>
    <s v="USA"/>
    <m/>
    <m/>
    <m/>
    <m/>
    <m/>
    <s v="ASA"/>
    <s v="CONASTF"/>
  </r>
  <r>
    <x v="71"/>
    <s v="Anagnostopoulos"/>
    <s v="Dionisis"/>
    <s v="GRE0494"/>
    <s v="U20"/>
    <x v="14"/>
    <s v="GRE"/>
    <m/>
    <m/>
    <m/>
    <m/>
    <m/>
    <s v="UHTF"/>
    <s v="CESTFA"/>
  </r>
  <r>
    <x v="72"/>
    <s v="Ancarola"/>
    <s v="Genny"/>
    <s v="ITA0020"/>
    <s v="VET"/>
    <x v="44"/>
    <s v="ITA"/>
    <m/>
    <m/>
    <m/>
    <m/>
    <m/>
    <s v="FISCT"/>
    <s v="CESTFA"/>
  </r>
  <r>
    <x v="73"/>
    <s v="Ancion"/>
    <s v="Jérémy"/>
    <s v="BEL0075"/>
    <s v="OPEN"/>
    <x v="45"/>
    <s v="BEL"/>
    <m/>
    <m/>
    <m/>
    <m/>
    <m/>
    <m/>
    <m/>
  </r>
  <r>
    <x v="74"/>
    <s v="Anderlini"/>
    <s v="Andrea"/>
    <s v="ITA0021"/>
    <s v="VET"/>
    <x v="46"/>
    <s v="ITA"/>
    <m/>
    <m/>
    <m/>
    <m/>
    <m/>
    <s v="FISCT"/>
    <s v="CESTFA"/>
  </r>
  <r>
    <x v="75"/>
    <s v="Andersen"/>
    <s v="Ulrik"/>
    <s v="DEN0064"/>
    <s v="OPEN"/>
    <x v="10"/>
    <s v="DEN"/>
    <m/>
    <m/>
    <m/>
    <m/>
    <m/>
    <s v="DSBU (Provisional)"/>
    <m/>
  </r>
  <r>
    <x v="76"/>
    <s v="Andrade De Almeida"/>
    <s v="José"/>
    <s v="ESP0565"/>
    <s v="OPEN"/>
    <x v="47"/>
    <s v="ESP"/>
    <m/>
    <m/>
    <m/>
    <m/>
    <m/>
    <s v="AEFM"/>
    <s v="CESTFA"/>
  </r>
  <r>
    <x v="77"/>
    <s v="Andreadis"/>
    <s v="Dimitrios"/>
    <s v="GRE0534"/>
    <s v="OPEN"/>
    <x v="14"/>
    <s v="GRE"/>
    <m/>
    <m/>
    <m/>
    <m/>
    <m/>
    <s v="UHTF"/>
    <s v="CESTFA"/>
  </r>
  <r>
    <x v="78"/>
    <s v="Andreas"/>
    <s v="Paul"/>
    <s v="CYP0001"/>
    <s v="VET"/>
    <x v="48"/>
    <s v="CYP"/>
    <m/>
    <m/>
    <m/>
    <m/>
    <m/>
    <s v="CYSTFA (Provisional)"/>
    <m/>
  </r>
  <r>
    <x v="79"/>
    <s v="Andreasen"/>
    <s v="Frank"/>
    <s v="DEN0062"/>
    <s v="OPEN"/>
    <x v="10"/>
    <s v="DEN"/>
    <m/>
    <m/>
    <m/>
    <m/>
    <m/>
    <s v="DSBU (Provisional)"/>
    <m/>
  </r>
  <r>
    <x v="80"/>
    <s v="Andreassi"/>
    <s v="Felipe"/>
    <s v="BRA0055"/>
    <s v="OPEN"/>
    <x v="14"/>
    <s v="BRA"/>
    <m/>
    <m/>
    <m/>
    <m/>
    <m/>
    <s v="CBFM (Suspended)"/>
    <m/>
  </r>
  <r>
    <x v="81"/>
    <s v="Andreoni"/>
    <s v="Andrea"/>
    <s v="SCO0081"/>
    <s v="VET"/>
    <x v="49"/>
    <s v="SCO"/>
    <m/>
    <m/>
    <m/>
    <m/>
    <m/>
    <s v="SSA"/>
    <s v="CESTFA"/>
  </r>
  <r>
    <x v="82"/>
    <s v="Andronikou"/>
    <s v="Andy"/>
    <s v="CYP0002"/>
    <s v="OPEN"/>
    <x v="50"/>
    <s v="CYP"/>
    <m/>
    <m/>
    <m/>
    <m/>
    <m/>
    <s v="CYSTFA (Provisional)"/>
    <m/>
  </r>
  <r>
    <x v="83"/>
    <s v="Androutsopoulos"/>
    <s v="Georgios"/>
    <s v="GRE0193"/>
    <s v="OPEN"/>
    <x v="14"/>
    <s v="GRE"/>
    <m/>
    <m/>
    <m/>
    <m/>
    <m/>
    <s v="UHTF"/>
    <s v="CESTFA"/>
  </r>
  <r>
    <x v="84"/>
    <s v="Androutsopoulos"/>
    <s v="Ioannis"/>
    <s v="GRE0338"/>
    <s v="VET"/>
    <x v="14"/>
    <s v="GRE"/>
    <m/>
    <m/>
    <m/>
    <m/>
    <m/>
    <s v="UHTF"/>
    <s v="CESTFA"/>
  </r>
  <r>
    <x v="85"/>
    <s v="Angelinas"/>
    <s v="Christos"/>
    <s v="GRE0142"/>
    <s v="VET"/>
    <x v="51"/>
    <s v="GRE"/>
    <m/>
    <m/>
    <m/>
    <m/>
    <m/>
    <s v="UHTF"/>
    <s v="CESTFA"/>
  </r>
  <r>
    <x v="86"/>
    <s v="Angelinas"/>
    <s v="Georgios"/>
    <s v="GRE0084"/>
    <s v="VET"/>
    <x v="52"/>
    <s v="GRE"/>
    <m/>
    <m/>
    <m/>
    <m/>
    <m/>
    <s v="UHTF"/>
    <s v="CESTFA"/>
  </r>
  <r>
    <x v="87"/>
    <s v="Angelopoulos"/>
    <s v="Vasileios"/>
    <s v="GRE0302"/>
    <s v="OPEN"/>
    <x v="53"/>
    <s v="GRE"/>
    <m/>
    <m/>
    <m/>
    <m/>
    <m/>
    <s v="UHTF"/>
    <s v="CESTFA"/>
  </r>
  <r>
    <x v="88"/>
    <s v="Annese"/>
    <s v="Nicola"/>
    <s v="ITA3380"/>
    <s v="U20"/>
    <x v="54"/>
    <s v="ITA"/>
    <m/>
    <m/>
    <m/>
    <m/>
    <m/>
    <s v="FISCT"/>
    <s v="CESTFA"/>
  </r>
  <r>
    <x v="89"/>
    <s v="Annese"/>
    <s v="Vincenzo"/>
    <s v="ITA3352"/>
    <s v="VET"/>
    <x v="54"/>
    <s v="ITA"/>
    <m/>
    <m/>
    <m/>
    <m/>
    <m/>
    <s v="FISCT"/>
    <s v="CESTFA"/>
  </r>
  <r>
    <x v="90"/>
    <s v="Anselmi"/>
    <s v="Andrea"/>
    <s v="ITA1577"/>
    <s v="VET"/>
    <x v="55"/>
    <s v="ITA"/>
    <m/>
    <m/>
    <m/>
    <m/>
    <m/>
    <s v="FISCT"/>
    <s v="CESTFA"/>
  </r>
  <r>
    <x v="91"/>
    <s v="Antelmi"/>
    <s v="Matteo"/>
    <s v="ITA2597"/>
    <s v="OPEN"/>
    <x v="56"/>
    <s v="ITA"/>
    <m/>
    <m/>
    <m/>
    <m/>
    <m/>
    <s v="FISCT"/>
    <s v="CESTFA"/>
  </r>
  <r>
    <x v="92"/>
    <s v="Antoine"/>
    <s v="Martin"/>
    <s v="BEL0250"/>
    <s v="OPEN"/>
    <x v="57"/>
    <s v="BEL"/>
    <m/>
    <m/>
    <m/>
    <m/>
    <m/>
    <m/>
    <m/>
  </r>
  <r>
    <x v="93"/>
    <s v="Antonakis"/>
    <s v="Zacharias"/>
    <s v="GRE0758"/>
    <s v="OPEN"/>
    <x v="14"/>
    <s v="GRE"/>
    <m/>
    <m/>
    <m/>
    <m/>
    <m/>
    <s v="UHTF"/>
    <s v="CESTFA"/>
  </r>
  <r>
    <x v="94"/>
    <s v="Antonaropoulos"/>
    <s v="Nikolaos"/>
    <s v="GRE0339"/>
    <s v="VET"/>
    <x v="14"/>
    <s v="GRE"/>
    <m/>
    <m/>
    <m/>
    <m/>
    <m/>
    <s v="UHTF"/>
    <s v="CESTFA"/>
  </r>
  <r>
    <x v="95"/>
    <s v="Antonio de Lima"/>
    <s v="Diego"/>
    <s v="BRA0179"/>
    <s v="OPEN"/>
    <x v="58"/>
    <s v="BRA"/>
    <m/>
    <m/>
    <m/>
    <m/>
    <m/>
    <s v="CBFM (Suspended)"/>
    <m/>
  </r>
  <r>
    <x v="96"/>
    <s v="Antoniou"/>
    <s v="Loukas"/>
    <s v="CYP0040"/>
    <s v="VET"/>
    <x v="59"/>
    <s v="CYP"/>
    <m/>
    <m/>
    <m/>
    <m/>
    <m/>
    <s v="CYSTFA (Provisional)"/>
    <m/>
  </r>
  <r>
    <x v="97"/>
    <s v="Antonopoulos"/>
    <s v="Christos"/>
    <s v="GRE0486"/>
    <s v="OPEN"/>
    <x v="14"/>
    <s v="GRE"/>
    <m/>
    <m/>
    <m/>
    <m/>
    <m/>
    <s v="UHTF"/>
    <s v="CESTFA"/>
  </r>
  <r>
    <x v="98"/>
    <s v="Antonopoulos"/>
    <s v="Spiros"/>
    <s v="GRE0599"/>
    <s v="U20"/>
    <x v="14"/>
    <s v="GRE"/>
    <m/>
    <m/>
    <m/>
    <m/>
    <m/>
    <s v="UHTF"/>
    <s v="CESTFA"/>
  </r>
  <r>
    <x v="99"/>
    <s v="Antonopoulos"/>
    <s v="Thodoris"/>
    <s v="GRE0487"/>
    <s v="OPEN"/>
    <x v="14"/>
    <s v="GRE"/>
    <m/>
    <m/>
    <m/>
    <m/>
    <m/>
    <s v="UHTF"/>
    <s v="CESTFA"/>
  </r>
  <r>
    <x v="100"/>
    <s v="Antoszewski"/>
    <s v="Kevin"/>
    <s v="USA0027"/>
    <s v="OPEN"/>
    <x v="60"/>
    <s v="USA"/>
    <m/>
    <m/>
    <m/>
    <m/>
    <m/>
    <s v="ASA"/>
    <s v="CONASTF"/>
  </r>
  <r>
    <x v="101"/>
    <s v="Antúnez"/>
    <s v="Antonio"/>
    <s v="ESP0583"/>
    <s v="U12"/>
    <x v="61"/>
    <s v="ESP"/>
    <m/>
    <m/>
    <m/>
    <m/>
    <m/>
    <s v="AEFM"/>
    <s v="CESTFA"/>
  </r>
  <r>
    <x v="102"/>
    <s v="Antúnez"/>
    <s v="Cristian"/>
    <s v="ESP0439"/>
    <s v="U20"/>
    <x v="31"/>
    <s v="ESP"/>
    <m/>
    <m/>
    <m/>
    <m/>
    <m/>
    <s v="AEFM"/>
    <s v="CESTFA"/>
  </r>
  <r>
    <x v="103"/>
    <s v="Aparecido Mendonça Pereira"/>
    <s v="Danilo"/>
    <s v="BRA0169"/>
    <s v="OPEN"/>
    <x v="14"/>
    <s v="BRA"/>
    <m/>
    <m/>
    <m/>
    <m/>
    <m/>
    <s v="CBFM (Suspended)"/>
    <m/>
  </r>
  <r>
    <x v="104"/>
    <s v="Apatzis"/>
    <s v="Alexandros"/>
    <s v="GRE0556"/>
    <s v="VET"/>
    <x v="62"/>
    <s v="GRE"/>
    <m/>
    <m/>
    <m/>
    <m/>
    <m/>
    <s v="UHTF"/>
    <s v="CESTFA"/>
  </r>
  <r>
    <x v="105"/>
    <s v="Apatzis"/>
    <s v="Nikitas"/>
    <s v="GRE0555"/>
    <s v="U20"/>
    <x v="62"/>
    <s v="GRE"/>
    <m/>
    <m/>
    <m/>
    <m/>
    <m/>
    <s v="UHTF"/>
    <s v="CESTFA"/>
  </r>
  <r>
    <x v="106"/>
    <s v="Apergis"/>
    <s v="Gerasimos"/>
    <s v="GRE0137"/>
    <s v="VET"/>
    <x v="14"/>
    <s v="GRE"/>
    <m/>
    <m/>
    <m/>
    <m/>
    <m/>
    <s v="UHTF"/>
    <s v="CESTFA"/>
  </r>
  <r>
    <x v="107"/>
    <s v="Apollo"/>
    <s v="Alberto"/>
    <s v="ITA0028"/>
    <s v="OPEN"/>
    <x v="46"/>
    <s v="ITA"/>
    <m/>
    <m/>
    <m/>
    <m/>
    <m/>
    <s v="FISCT"/>
    <s v="CESTFA"/>
  </r>
  <r>
    <x v="108"/>
    <s v="Apostolidis"/>
    <s v="Konstantinos"/>
    <s v="GRE0313"/>
    <s v="VET"/>
    <x v="14"/>
    <s v="GRE"/>
    <m/>
    <m/>
    <m/>
    <m/>
    <m/>
    <s v="UHTF"/>
    <s v="CESTFA"/>
  </r>
  <r>
    <x v="109"/>
    <s v="Apostolidis"/>
    <s v="Michail"/>
    <s v="GRE0328"/>
    <s v="U20"/>
    <x v="14"/>
    <s v="GRE"/>
    <m/>
    <m/>
    <m/>
    <m/>
    <m/>
    <s v="UHTF"/>
    <s v="CESTFA"/>
  </r>
  <r>
    <x v="110"/>
    <s v="Apostolidis"/>
    <s v="Vasileios"/>
    <s v="GRE0327"/>
    <s v="U20"/>
    <x v="14"/>
    <s v="GRE"/>
    <m/>
    <m/>
    <m/>
    <m/>
    <m/>
    <s v="UHTF"/>
    <s v="CESTFA"/>
  </r>
  <r>
    <x v="111"/>
    <s v="Apostolopoulos"/>
    <s v="Platonas"/>
    <s v="GRE0445"/>
    <s v="VET"/>
    <x v="14"/>
    <s v="GRE"/>
    <m/>
    <m/>
    <m/>
    <m/>
    <m/>
    <s v="UHTF"/>
    <s v="CESTFA"/>
  </r>
  <r>
    <x v="112"/>
    <s v="Apostolou"/>
    <s v="Antonis"/>
    <s v="GRE0351"/>
    <s v="VET"/>
    <x v="14"/>
    <s v="GRE"/>
    <m/>
    <m/>
    <m/>
    <m/>
    <m/>
    <s v="UHTF"/>
    <s v="CESTFA"/>
  </r>
  <r>
    <x v="113"/>
    <s v="Apostolou"/>
    <s v="Giorgos"/>
    <s v="GRE0358"/>
    <s v="OPEN"/>
    <x v="14"/>
    <s v="GRE"/>
    <m/>
    <m/>
    <m/>
    <m/>
    <m/>
    <s v="UHTF"/>
    <s v="CESTFA"/>
  </r>
  <r>
    <x v="114"/>
    <s v="Aquilina"/>
    <s v="Charles"/>
    <s v="MLT0002"/>
    <s v="VET"/>
    <x v="63"/>
    <s v="MLT"/>
    <m/>
    <m/>
    <m/>
    <m/>
    <m/>
    <s v="MTFSA"/>
    <s v="CESTFA"/>
  </r>
  <r>
    <x v="115"/>
    <s v="Arabatzis"/>
    <s v="Kostas"/>
    <s v="GRE0128"/>
    <s v="VET"/>
    <x v="14"/>
    <s v="GRE"/>
    <m/>
    <m/>
    <m/>
    <m/>
    <m/>
    <s v="UHTF"/>
    <s v="CESTFA"/>
  </r>
  <r>
    <x v="116"/>
    <s v="Arabatzis"/>
    <s v="Nikolaos"/>
    <s v="GRE0259"/>
    <s v="OPEN"/>
    <x v="14"/>
    <s v="GRE"/>
    <m/>
    <m/>
    <m/>
    <m/>
    <m/>
    <s v="UHTF"/>
    <s v="CESTFA"/>
  </r>
  <r>
    <x v="117"/>
    <s v="Araujo"/>
    <s v="Álex"/>
    <s v="ESP0023"/>
    <s v="OPEN"/>
    <x v="64"/>
    <s v="ESP"/>
    <m/>
    <m/>
    <m/>
    <m/>
    <m/>
    <s v="AEFM"/>
    <s v="CESTFA"/>
  </r>
  <r>
    <x v="118"/>
    <s v="Araújo"/>
    <s v="Pedro"/>
    <s v="POR0179"/>
    <s v="VET"/>
    <x v="9"/>
    <s v="POR"/>
    <m/>
    <m/>
    <m/>
    <m/>
    <m/>
    <s v="APS"/>
    <s v="CESTFA"/>
  </r>
  <r>
    <x v="119"/>
    <s v="Arca"/>
    <s v="Alessandro"/>
    <s v="ITA0030"/>
    <s v="VET"/>
    <x v="28"/>
    <s v="ITA"/>
    <m/>
    <m/>
    <m/>
    <m/>
    <m/>
    <s v="FISCT"/>
    <s v="CESTFA"/>
  </r>
  <r>
    <x v="120"/>
    <s v="Archimandritis"/>
    <s v="Christos"/>
    <s v="GRE0083"/>
    <s v="VET"/>
    <x v="14"/>
    <s v="GRE"/>
    <m/>
    <m/>
    <m/>
    <m/>
    <m/>
    <s v="UHTF"/>
    <s v="CESTFA"/>
  </r>
  <r>
    <x v="121"/>
    <s v="Ardeleanou"/>
    <s v="Veronica"/>
    <s v="FIS0007"/>
    <s v="OPEN"/>
    <x v="18"/>
    <s v="ROU"/>
    <m/>
    <m/>
    <m/>
    <m/>
    <m/>
    <s v="FISTF"/>
    <s v="FISTF"/>
  </r>
  <r>
    <x v="122"/>
    <s v="Arduise"/>
    <s v="Laurent"/>
    <s v="FRA0238"/>
    <s v="VET"/>
    <x v="14"/>
    <s v="FRA"/>
    <m/>
    <m/>
    <m/>
    <m/>
    <m/>
    <s v="3FTS"/>
    <s v="CESTFA"/>
  </r>
  <r>
    <x v="123"/>
    <s v="Arena"/>
    <s v="Luigi"/>
    <s v="ITA1617"/>
    <s v="VET"/>
    <x v="54"/>
    <s v="ITA"/>
    <m/>
    <m/>
    <m/>
    <m/>
    <m/>
    <s v="FISCT"/>
    <s v="CESTFA"/>
  </r>
  <r>
    <x v="124"/>
    <s v="Aret"/>
    <s v="Fedde"/>
    <s v="NED0052"/>
    <s v="U16"/>
    <x v="65"/>
    <s v="NED"/>
    <m/>
    <m/>
    <m/>
    <m/>
    <m/>
    <s v="NSVB"/>
    <s v="CESTFA"/>
  </r>
  <r>
    <x v="125"/>
    <s v="Aret"/>
    <s v="Xavier"/>
    <s v="NED0051"/>
    <s v="VET"/>
    <x v="65"/>
    <s v="NED"/>
    <m/>
    <m/>
    <m/>
    <m/>
    <m/>
    <s v="NSVB"/>
    <s v="CESTFA"/>
  </r>
  <r>
    <x v="126"/>
    <s v="Argirakoulis"/>
    <s v="Panagiotis"/>
    <s v="GRE0037"/>
    <s v="VET"/>
    <x v="14"/>
    <s v="GRE"/>
    <m/>
    <m/>
    <m/>
    <m/>
    <m/>
    <s v="UHTF"/>
    <s v="CESTFA"/>
  </r>
  <r>
    <x v="127"/>
    <s v="Argiris"/>
    <s v="Konstantinos"/>
    <s v="GRE0738"/>
    <s v="OPEN"/>
    <x v="66"/>
    <s v="GRE"/>
    <m/>
    <m/>
    <m/>
    <m/>
    <m/>
    <s v="UHTF"/>
    <s v="CESTFA"/>
  </r>
  <r>
    <x v="128"/>
    <s v="Argyrakoulis"/>
    <s v="Alexandros"/>
    <s v="GRE0237"/>
    <s v="OPEN"/>
    <x v="14"/>
    <s v="GRE"/>
    <m/>
    <m/>
    <m/>
    <m/>
    <m/>
    <s v="UHTF"/>
    <s v="CESTFA"/>
  </r>
  <r>
    <x v="129"/>
    <s v="Argyropoulos"/>
    <s v="Stavros"/>
    <s v="GRE0054"/>
    <s v="VET"/>
    <x v="14"/>
    <s v="GRE"/>
    <m/>
    <m/>
    <m/>
    <m/>
    <m/>
    <s v="UHTF"/>
    <s v="CESTFA"/>
  </r>
  <r>
    <x v="130"/>
    <s v="Argyropoulos"/>
    <s v="Valantis"/>
    <s v="GRE0613"/>
    <s v="OPEN"/>
    <x v="66"/>
    <s v="GRE"/>
    <m/>
    <m/>
    <m/>
    <m/>
    <m/>
    <s v="UHTF"/>
    <s v="CESTFA"/>
  </r>
  <r>
    <x v="131"/>
    <s v="Argyropoulos"/>
    <s v="Vasilios"/>
    <s v="GRE0595"/>
    <s v="VET"/>
    <x v="18"/>
    <s v="GRE"/>
    <m/>
    <m/>
    <m/>
    <m/>
    <m/>
    <s v="UHTF"/>
    <s v="CESTFA"/>
  </r>
  <r>
    <x v="132"/>
    <s v="Argyros"/>
    <s v="Nikolaos"/>
    <s v="GRE0387"/>
    <s v="OPEN"/>
    <x v="67"/>
    <s v="GRE"/>
    <m/>
    <m/>
    <m/>
    <m/>
    <m/>
    <s v="UHTF"/>
    <s v="CESTFA"/>
  </r>
  <r>
    <x v="133"/>
    <s v="Ariano"/>
    <s v="Luca"/>
    <s v="ITA2232"/>
    <s v="OPEN"/>
    <x v="68"/>
    <s v="ITA"/>
    <m/>
    <m/>
    <m/>
    <m/>
    <m/>
    <s v="FISCT"/>
    <s v="CESTFA"/>
  </r>
  <r>
    <x v="134"/>
    <s v="Aripin"/>
    <s v="Erza"/>
    <s v="SGP0041"/>
    <s v="OPEN"/>
    <x v="69"/>
    <s v="SGP"/>
    <m/>
    <m/>
    <m/>
    <m/>
    <m/>
    <s v="TFAS"/>
    <s v="CASTFA"/>
  </r>
  <r>
    <x v="135"/>
    <s v="Arjuna"/>
    <s v="Aiman"/>
    <s v="SGP0124"/>
    <s v="U16"/>
    <x v="70"/>
    <s v="SGP"/>
    <m/>
    <m/>
    <m/>
    <m/>
    <m/>
    <s v="TFAS"/>
    <s v="CASTFA"/>
  </r>
  <r>
    <x v="136"/>
    <s v="Armani"/>
    <s v="Leonardo"/>
    <s v="BRA0060"/>
    <s v="OPEN"/>
    <x v="14"/>
    <s v="BRA"/>
    <m/>
    <m/>
    <m/>
    <m/>
    <m/>
    <s v="CBFM (Suspended)"/>
    <m/>
  </r>
  <r>
    <x v="137"/>
    <s v="Armelleschi"/>
    <s v="Alessandro"/>
    <s v="ITA3064"/>
    <s v="VET"/>
    <x v="71"/>
    <s v="ITA"/>
    <m/>
    <m/>
    <m/>
    <m/>
    <m/>
    <s v="FISCT"/>
    <s v="CESTFA"/>
  </r>
  <r>
    <x v="138"/>
    <s v="Armstrong"/>
    <s v="Matthew"/>
    <s v="NIR0015"/>
    <s v="OPEN"/>
    <x v="72"/>
    <s v="NIR"/>
    <m/>
    <m/>
    <m/>
    <m/>
    <m/>
    <s v="NITFA"/>
    <s v="CESTFA"/>
  </r>
  <r>
    <x v="139"/>
    <s v="Arnaudin"/>
    <s v="Thierry"/>
    <s v="FRA0220"/>
    <s v="VET"/>
    <x v="73"/>
    <s v="FRA"/>
    <m/>
    <m/>
    <m/>
    <m/>
    <m/>
    <s v="3FTS"/>
    <s v="CESTFA"/>
  </r>
  <r>
    <x v="140"/>
    <s v="Arnold"/>
    <s v="Bryan"/>
    <s v="USA0347"/>
    <s v="VET"/>
    <x v="74"/>
    <s v="USA"/>
    <m/>
    <m/>
    <m/>
    <m/>
    <m/>
    <s v="ASA"/>
    <s v="CONASTF"/>
  </r>
  <r>
    <x v="141"/>
    <s v="Arnold"/>
    <s v="Kye"/>
    <s v="ENG0083"/>
    <s v="OPEN"/>
    <x v="75"/>
    <s v="ENG"/>
    <m/>
    <m/>
    <m/>
    <m/>
    <m/>
    <s v="ESA"/>
    <s v="CESTFA"/>
  </r>
  <r>
    <x v="142"/>
    <s v="Arnold"/>
    <s v="Terry"/>
    <s v="ENG0082"/>
    <s v="VET"/>
    <x v="75"/>
    <s v="ENG"/>
    <m/>
    <m/>
    <m/>
    <m/>
    <m/>
    <s v="ESA"/>
    <s v="CESTFA"/>
  </r>
  <r>
    <x v="143"/>
    <s v="Arrighetti"/>
    <s v="Emanuele"/>
    <s v="ITA2871"/>
    <s v="OPEN"/>
    <x v="76"/>
    <s v="ITA"/>
    <m/>
    <m/>
    <m/>
    <m/>
    <m/>
    <s v="FISCT"/>
    <s v="CESTFA"/>
  </r>
  <r>
    <x v="144"/>
    <s v="Arrighi"/>
    <s v="Riccardo"/>
    <s v="ITA3051"/>
    <s v="OPEN"/>
    <x v="77"/>
    <s v="ITA"/>
    <m/>
    <m/>
    <m/>
    <m/>
    <m/>
    <s v="FISCT"/>
    <s v="CESTFA"/>
  </r>
  <r>
    <x v="145"/>
    <s v="Arruda"/>
    <s v="José Humberto"/>
    <s v="BRA0157"/>
    <s v="VET"/>
    <x v="14"/>
    <s v="BRA"/>
    <m/>
    <m/>
    <m/>
    <m/>
    <m/>
    <s v="CBFM (Suspended)"/>
    <m/>
  </r>
  <r>
    <x v="146"/>
    <s v="Arvanitaki"/>
    <s v="Nikoletta"/>
    <s v="GRE0095"/>
    <s v="OPEN"/>
    <x v="67"/>
    <s v="GRE"/>
    <m/>
    <m/>
    <m/>
    <m/>
    <m/>
    <s v="UHTF"/>
    <s v="CESTFA"/>
  </r>
  <r>
    <x v="147"/>
    <s v="Arvanitakis"/>
    <s v="Thomas"/>
    <s v="GRE0129"/>
    <s v="OPEN"/>
    <x v="78"/>
    <s v="GRE"/>
    <m/>
    <m/>
    <m/>
    <m/>
    <m/>
    <s v="UHTF"/>
    <s v="CESTFA"/>
  </r>
  <r>
    <x v="148"/>
    <s v="Arvanitis"/>
    <s v="Georgios"/>
    <s v="GRE0340"/>
    <s v="OPEN"/>
    <x v="14"/>
    <s v="GRE"/>
    <m/>
    <m/>
    <m/>
    <m/>
    <m/>
    <s v="UHTF"/>
    <s v="CESTFA"/>
  </r>
  <r>
    <x v="149"/>
    <s v="Arvanitis"/>
    <s v="Nikolaos"/>
    <s v="GRE0048"/>
    <s v="OPEN"/>
    <x v="14"/>
    <s v="GRE"/>
    <m/>
    <m/>
    <m/>
    <m/>
    <m/>
    <s v="UHTF"/>
    <s v="CESTFA"/>
  </r>
  <r>
    <x v="150"/>
    <s v="Arvanitis"/>
    <s v="Spyridon"/>
    <s v="GRE0462"/>
    <s v="VET"/>
    <x v="14"/>
    <s v="GRE"/>
    <m/>
    <m/>
    <m/>
    <m/>
    <m/>
    <s v="UHTF"/>
    <s v="CESTFA"/>
  </r>
  <r>
    <x v="151"/>
    <s v="Arzoumanidis"/>
    <s v="Kyriakos"/>
    <s v="GRE0269"/>
    <s v="OPEN"/>
    <x v="14"/>
    <s v="GRE"/>
    <m/>
    <m/>
    <m/>
    <m/>
    <m/>
    <s v="UHTF"/>
    <s v="CESTFA"/>
  </r>
  <r>
    <x v="152"/>
    <s v="Asbi"/>
    <s v="Azan"/>
    <s v="SGP0023"/>
    <s v="OPEN"/>
    <x v="23"/>
    <s v="SGP"/>
    <m/>
    <m/>
    <m/>
    <m/>
    <m/>
    <s v="TFAS"/>
    <s v="CASTFA"/>
  </r>
  <r>
    <x v="153"/>
    <s v="Ashcroft"/>
    <s v="Alexander"/>
    <s v="ENG0538"/>
    <s v="OPEN"/>
    <x v="79"/>
    <s v="ENG"/>
    <m/>
    <m/>
    <m/>
    <m/>
    <m/>
    <s v="ESA"/>
    <s v="CESTFA"/>
  </r>
  <r>
    <x v="154"/>
    <s v="Ashley"/>
    <s v="Brendan"/>
    <s v="WAL0052"/>
    <s v="OPEN"/>
    <x v="13"/>
    <s v="WAL"/>
    <m/>
    <m/>
    <m/>
    <m/>
    <m/>
    <s v="WSTFA"/>
    <s v="CESTFA"/>
  </r>
  <r>
    <x v="155"/>
    <s v="Asimakopoulos"/>
    <s v="Christos"/>
    <s v="GRE0092"/>
    <s v="VET"/>
    <x v="14"/>
    <s v="GRE"/>
    <m/>
    <m/>
    <m/>
    <m/>
    <m/>
    <s v="UHTF"/>
    <s v="CESTFA"/>
  </r>
  <r>
    <x v="156"/>
    <s v="Asimakopoulos"/>
    <s v="Gerasimos"/>
    <s v="GRE0816"/>
    <s v="OPEN"/>
    <x v="66"/>
    <s v="GRE"/>
    <m/>
    <m/>
    <m/>
    <m/>
    <m/>
    <s v="UHTF"/>
    <s v="CESTFA"/>
  </r>
  <r>
    <x v="157"/>
    <s v="Asso"/>
    <s v="Ricardo"/>
    <s v="BRA0022"/>
    <s v="OPEN"/>
    <x v="14"/>
    <s v="BRA"/>
    <m/>
    <m/>
    <m/>
    <m/>
    <m/>
    <s v="CBFM (Suspended)"/>
    <m/>
  </r>
  <r>
    <x v="158"/>
    <s v="Athanasopoulos"/>
    <s v="Georgios"/>
    <s v="GRE0314"/>
    <s v="OPEN"/>
    <x v="14"/>
    <s v="GRE"/>
    <m/>
    <m/>
    <m/>
    <m/>
    <m/>
    <s v="UHTF"/>
    <s v="CESTFA"/>
  </r>
  <r>
    <x v="159"/>
    <s v="Attanasio"/>
    <s v="Gianfranco"/>
    <s v="ITA2418"/>
    <s v="VET"/>
    <x v="1"/>
    <s v="ITA"/>
    <m/>
    <m/>
    <m/>
    <m/>
    <m/>
    <s v="FISCT"/>
    <s v="CESTFA"/>
  </r>
  <r>
    <x v="160"/>
    <s v="Attard"/>
    <s v="Walter Joseph"/>
    <s v="MLT0118"/>
    <s v="VET"/>
    <x v="80"/>
    <s v="MLT"/>
    <m/>
    <m/>
    <m/>
    <m/>
    <m/>
    <s v="MTFSA"/>
    <s v="CESTFA"/>
  </r>
  <r>
    <x v="161"/>
    <s v="Attwood"/>
    <s v="Billy"/>
    <s v="ENG0555"/>
    <s v="OPEN"/>
    <x v="81"/>
    <s v="ENG"/>
    <m/>
    <m/>
    <m/>
    <m/>
    <m/>
    <s v="ESA"/>
    <s v="CESTFA"/>
  </r>
  <r>
    <x v="162"/>
    <s v="Ausset"/>
    <s v="Laurent"/>
    <s v="FRA0119"/>
    <s v="VET"/>
    <x v="82"/>
    <s v="FRA"/>
    <m/>
    <m/>
    <m/>
    <m/>
    <m/>
    <s v="3FTS"/>
    <s v="CESTFA"/>
  </r>
  <r>
    <x v="163"/>
    <s v="Ausset"/>
    <s v="Quentin"/>
    <s v="FRA0120"/>
    <s v="U20"/>
    <x v="82"/>
    <s v="FRA"/>
    <m/>
    <m/>
    <m/>
    <m/>
    <m/>
    <s v="3FTS"/>
    <s v="CESTFA"/>
  </r>
  <r>
    <x v="164"/>
    <s v="Austin"/>
    <s v="Steve"/>
    <s v="MLT0003"/>
    <s v="VET"/>
    <x v="83"/>
    <s v="MLT"/>
    <m/>
    <m/>
    <m/>
    <m/>
    <m/>
    <s v="MTFSA"/>
    <s v="CESTFA"/>
  </r>
  <r>
    <x v="165"/>
    <s v="Avellano"/>
    <s v="Francis"/>
    <s v="GIB0051"/>
    <s v="OPEN"/>
    <x v="37"/>
    <s v="GIB"/>
    <m/>
    <m/>
    <m/>
    <m/>
    <m/>
    <s v="GTSA"/>
    <s v="CESTFA"/>
  </r>
  <r>
    <x v="166"/>
    <s v="Avellano"/>
    <s v="Leon"/>
    <s v="GIB0053"/>
    <s v="U20"/>
    <x v="37"/>
    <s v="GIB"/>
    <m/>
    <m/>
    <m/>
    <m/>
    <m/>
    <s v="GTSA"/>
    <s v="CESTFA"/>
  </r>
  <r>
    <x v="167"/>
    <s v="Averlant"/>
    <s v="Matthias"/>
    <s v="BEL0242"/>
    <s v="OPEN"/>
    <x v="51"/>
    <s v="BEL"/>
    <m/>
    <m/>
    <m/>
    <m/>
    <m/>
    <m/>
    <m/>
  </r>
  <r>
    <x v="168"/>
    <s v="Averna"/>
    <s v="Dafne"/>
    <s v="ITA3374"/>
    <s v="U12"/>
    <x v="84"/>
    <s v="ITA"/>
    <m/>
    <m/>
    <m/>
    <m/>
    <m/>
    <s v="FISCT"/>
    <s v="CESTFA"/>
  </r>
  <r>
    <x v="169"/>
    <s v="Averna"/>
    <s v="Marco"/>
    <s v="ITA3373"/>
    <s v="U12"/>
    <x v="84"/>
    <s v="ITA"/>
    <m/>
    <m/>
    <m/>
    <m/>
    <m/>
    <s v="FISCT"/>
    <s v="CESTFA"/>
  </r>
  <r>
    <x v="170"/>
    <s v="Averna"/>
    <s v="Massimo"/>
    <s v="ITA3372"/>
    <s v="VET"/>
    <x v="84"/>
    <s v="ITA"/>
    <m/>
    <m/>
    <m/>
    <m/>
    <m/>
    <s v="FISCT"/>
    <s v="CESTFA"/>
  </r>
  <r>
    <x v="171"/>
    <s v="Avgeas"/>
    <s v="Vasileios"/>
    <s v="GRE0431"/>
    <s v="OPEN"/>
    <x v="14"/>
    <s v="GRE"/>
    <m/>
    <m/>
    <m/>
    <m/>
    <m/>
    <s v="UHTF"/>
    <s v="CESTFA"/>
  </r>
  <r>
    <x v="172"/>
    <s v="Avgitidis"/>
    <s v="Georgios M"/>
    <s v="GRE0699"/>
    <s v="U20"/>
    <x v="14"/>
    <s v="GRE"/>
    <m/>
    <m/>
    <m/>
    <m/>
    <m/>
    <s v="UHTF"/>
    <s v="CESTFA"/>
  </r>
  <r>
    <x v="173"/>
    <s v="Avgitidis"/>
    <s v="Georgios N"/>
    <s v="GRE0701"/>
    <s v="U16"/>
    <x v="14"/>
    <s v="GRE"/>
    <m/>
    <m/>
    <m/>
    <m/>
    <m/>
    <s v="UHTF"/>
    <s v="CESTFA"/>
  </r>
  <r>
    <x v="174"/>
    <s v="Avgitidis"/>
    <s v="Miltiadis"/>
    <s v="GRE0698"/>
    <s v="OPEN"/>
    <x v="14"/>
    <s v="GRE"/>
    <m/>
    <m/>
    <m/>
    <m/>
    <m/>
    <s v="UHTF"/>
    <s v="CESTFA"/>
  </r>
  <r>
    <x v="175"/>
    <s v="Avgitidis"/>
    <s v="Nikolaos"/>
    <s v="GRE0700"/>
    <s v="OPEN"/>
    <x v="14"/>
    <s v="GRE"/>
    <m/>
    <m/>
    <m/>
    <m/>
    <m/>
    <s v="UHTF"/>
    <s v="CESTFA"/>
  </r>
  <r>
    <x v="176"/>
    <s v="Axiomakaros"/>
    <s v="Panagiotis"/>
    <s v="GRE0182"/>
    <s v="VET"/>
    <x v="14"/>
    <s v="GRE"/>
    <m/>
    <m/>
    <m/>
    <m/>
    <m/>
    <s v="UHTF"/>
    <s v="CESTFA"/>
  </r>
  <r>
    <x v="177"/>
    <s v="Azhar"/>
    <s v="Muhd Azim Haikal"/>
    <s v="SGP0015"/>
    <s v="OPEN"/>
    <x v="23"/>
    <s v="SGP"/>
    <m/>
    <m/>
    <m/>
    <m/>
    <m/>
    <s v="TFAS"/>
    <s v="CASTFA"/>
  </r>
  <r>
    <x v="178"/>
    <s v="Azman"/>
    <s v="Hisham"/>
    <s v="MAS0010"/>
    <s v="VET"/>
    <x v="85"/>
    <s v="MAS"/>
    <m/>
    <m/>
    <m/>
    <m/>
    <m/>
    <m/>
    <m/>
  </r>
  <r>
    <x v="179"/>
    <s v="Azman"/>
    <s v="Nur Hazely"/>
    <s v="SGP0016"/>
    <s v="OPEN"/>
    <x v="23"/>
    <s v="SGP"/>
    <m/>
    <m/>
    <m/>
    <m/>
    <m/>
    <s v="TFAS"/>
    <s v="CASTFA"/>
  </r>
  <r>
    <x v="180"/>
    <s v="Azzali"/>
    <s v="Alberto"/>
    <s v="ITA2533"/>
    <s v="VET"/>
    <x v="86"/>
    <s v="ITA"/>
    <m/>
    <m/>
    <m/>
    <m/>
    <m/>
    <s v="FISCT"/>
    <s v="CESTFA"/>
  </r>
  <r>
    <x v="181"/>
    <s v="Azzaro"/>
    <s v="Arturo"/>
    <s v="ITA1511"/>
    <s v="VET"/>
    <x v="87"/>
    <s v="ITA"/>
    <m/>
    <m/>
    <m/>
    <m/>
    <m/>
    <s v="FISCT"/>
    <s v="CESTFA"/>
  </r>
  <r>
    <x v="182"/>
    <s v="Azzopardi Conti"/>
    <s v="Deisler"/>
    <s v="MLT0084"/>
    <s v="OPEN"/>
    <x v="83"/>
    <s v="MLT"/>
    <m/>
    <m/>
    <m/>
    <m/>
    <m/>
    <s v="MTFSA"/>
    <s v="CESTFA"/>
  </r>
  <r>
    <x v="183"/>
    <s v="Babel"/>
    <s v="Sumit"/>
    <s v="SGP0149"/>
    <s v="OPEN"/>
    <x v="4"/>
    <s v="SGP"/>
    <m/>
    <m/>
    <m/>
    <m/>
    <m/>
    <s v="TFAS"/>
    <s v="CASTFA"/>
  </r>
  <r>
    <x v="184"/>
    <s v="Babel"/>
    <s v="Viaan"/>
    <s v="SGP0150"/>
    <s v="U12"/>
    <x v="4"/>
    <s v="SGP"/>
    <m/>
    <m/>
    <m/>
    <m/>
    <m/>
    <s v="TFAS"/>
    <s v="CASTFA"/>
  </r>
  <r>
    <x v="185"/>
    <s v="Bacchin"/>
    <s v="Davide"/>
    <s v="ITA3176"/>
    <s v="OPEN"/>
    <x v="56"/>
    <s v="ITA"/>
    <m/>
    <m/>
    <m/>
    <m/>
    <m/>
    <s v="FISCT"/>
    <s v="CESTFA"/>
  </r>
  <r>
    <x v="186"/>
    <s v="Bacchin"/>
    <s v="Stefano"/>
    <s v="ITA0045"/>
    <s v="VET"/>
    <x v="28"/>
    <s v="ITA"/>
    <m/>
    <m/>
    <m/>
    <m/>
    <m/>
    <s v="FISCT"/>
    <s v="CESTFA"/>
  </r>
  <r>
    <x v="187"/>
    <s v="Bacci"/>
    <s v="Marco"/>
    <s v="ITA0046"/>
    <s v="VET"/>
    <x v="88"/>
    <s v="ITA"/>
    <m/>
    <m/>
    <m/>
    <m/>
    <m/>
    <s v="FISCT"/>
    <s v="CESTFA"/>
  </r>
  <r>
    <x v="188"/>
    <s v="Bacich"/>
    <s v="Ennio"/>
    <s v="ITA3174"/>
    <s v="VET"/>
    <x v="89"/>
    <s v="ITA"/>
    <m/>
    <m/>
    <m/>
    <m/>
    <m/>
    <s v="FISCT"/>
    <s v="CESTFA"/>
  </r>
  <r>
    <x v="189"/>
    <s v="Bacigalupo"/>
    <s v="Gianmarco"/>
    <s v="ITA3117"/>
    <s v="VET"/>
    <x v="32"/>
    <s v="ITA"/>
    <m/>
    <m/>
    <m/>
    <m/>
    <m/>
    <s v="FISCT"/>
    <s v="CESTFA"/>
  </r>
  <r>
    <x v="190"/>
    <s v="Badger"/>
    <s v="Gage"/>
    <s v="ENG0486"/>
    <s v="U20"/>
    <x v="90"/>
    <s v="ENG"/>
    <m/>
    <m/>
    <m/>
    <m/>
    <m/>
    <s v="ESA"/>
    <s v="CESTFA"/>
  </r>
  <r>
    <x v="191"/>
    <s v="Badger"/>
    <s v="Richard"/>
    <s v="ENG0357"/>
    <s v="VET"/>
    <x v="90"/>
    <s v="ENG"/>
    <m/>
    <m/>
    <m/>
    <m/>
    <m/>
    <s v="ESA"/>
    <s v="CESTFA"/>
  </r>
  <r>
    <x v="192"/>
    <s v="Badziung"/>
    <s v="Daniel"/>
    <s v="GER0089"/>
    <s v="OPEN"/>
    <x v="91"/>
    <s v="GER"/>
    <m/>
    <m/>
    <m/>
    <m/>
    <m/>
    <s v="DSTFB"/>
    <s v="CESTFA"/>
  </r>
  <r>
    <x v="193"/>
    <s v="Baena"/>
    <s v="Manuel"/>
    <s v="ESP0554"/>
    <s v="U16"/>
    <x v="31"/>
    <s v="ESP"/>
    <m/>
    <m/>
    <m/>
    <m/>
    <m/>
    <s v="AEFM"/>
    <s v="CESTFA"/>
  </r>
  <r>
    <x v="194"/>
    <s v="Baeza"/>
    <s v="Pablo"/>
    <s v="ESP0556"/>
    <s v="OPEN"/>
    <x v="12"/>
    <s v="ESP"/>
    <m/>
    <m/>
    <m/>
    <m/>
    <m/>
    <s v="AEFM"/>
    <s v="CESTFA"/>
  </r>
  <r>
    <x v="195"/>
    <s v="Baglioni"/>
    <s v="Paolo"/>
    <s v="ITA2290"/>
    <s v="VET"/>
    <x v="92"/>
    <s v="ITA"/>
    <m/>
    <m/>
    <m/>
    <m/>
    <m/>
    <s v="FISCT"/>
    <s v="CESTFA"/>
  </r>
  <r>
    <x v="196"/>
    <s v="Bagnato"/>
    <s v="Bruno"/>
    <s v="ITA2475"/>
    <s v="VET"/>
    <x v="93"/>
    <s v="ITA"/>
    <m/>
    <m/>
    <m/>
    <m/>
    <m/>
    <s v="FISCT"/>
    <s v="CESTFA"/>
  </r>
  <r>
    <x v="197"/>
    <s v="Bahr"/>
    <s v="Alex"/>
    <s v="BRA0103"/>
    <s v="OPEN"/>
    <x v="94"/>
    <s v="BRA"/>
    <m/>
    <m/>
    <m/>
    <m/>
    <m/>
    <s v="CBFM (Suspended)"/>
    <m/>
  </r>
  <r>
    <x v="198"/>
    <s v="Bahrin"/>
    <s v="Muhd Firdaus"/>
    <s v="SGP0116"/>
    <s v="OPEN"/>
    <x v="23"/>
    <s v="SGP"/>
    <m/>
    <m/>
    <m/>
    <m/>
    <m/>
    <s v="TFAS"/>
    <s v="CASTFA"/>
  </r>
  <r>
    <x v="199"/>
    <s v="Baira"/>
    <s v="Athina"/>
    <s v="GRE0143"/>
    <s v="OPEN"/>
    <x v="14"/>
    <s v="GRE"/>
    <m/>
    <m/>
    <m/>
    <m/>
    <m/>
    <s v="UHTF"/>
    <s v="CESTFA"/>
  </r>
  <r>
    <x v="200"/>
    <s v="Bairas"/>
    <s v="Tasos"/>
    <s v="GRE0149"/>
    <s v="VET"/>
    <x v="14"/>
    <s v="GRE"/>
    <m/>
    <m/>
    <m/>
    <m/>
    <m/>
    <s v="UHTF"/>
    <s v="CESTFA"/>
  </r>
  <r>
    <x v="201"/>
    <s v="Bairas"/>
    <s v="Vaggelis"/>
    <s v="GRE0290"/>
    <s v="OPEN"/>
    <x v="14"/>
    <s v="GRE"/>
    <m/>
    <m/>
    <m/>
    <m/>
    <m/>
    <s v="UHTF"/>
    <s v="CESTFA"/>
  </r>
  <r>
    <x v="202"/>
    <s v="Bairasm Jr"/>
    <s v="Stelios"/>
    <s v="GRE0274"/>
    <s v="OPEN"/>
    <x v="14"/>
    <s v="GRE"/>
    <m/>
    <m/>
    <m/>
    <m/>
    <m/>
    <s v="UHTF"/>
    <s v="CESTFA"/>
  </r>
  <r>
    <x v="203"/>
    <s v="Baj"/>
    <s v="Marco"/>
    <s v="ITA1445"/>
    <s v="VET"/>
    <x v="87"/>
    <s v="ITA"/>
    <m/>
    <m/>
    <m/>
    <m/>
    <m/>
    <s v="FISCT"/>
    <s v="CESTFA"/>
  </r>
  <r>
    <x v="204"/>
    <s v="Bakshi"/>
    <s v="Hussein"/>
    <s v="FIS0002"/>
    <s v="OPEN"/>
    <x v="14"/>
    <s v="AFG"/>
    <m/>
    <m/>
    <m/>
    <m/>
    <m/>
    <s v="FISTF"/>
    <s v="FISTF"/>
  </r>
  <r>
    <x v="205"/>
    <s v="Bal"/>
    <s v="Shaan"/>
    <s v="CAN0012"/>
    <s v="OPEN"/>
    <x v="95"/>
    <s v="CAN"/>
    <m/>
    <m/>
    <m/>
    <m/>
    <m/>
    <s v="SCA"/>
    <m/>
  </r>
  <r>
    <x v="206"/>
    <s v="Balaguer"/>
    <s v="Guillem"/>
    <s v="ESP0065"/>
    <s v="OPEN"/>
    <x v="96"/>
    <s v="ESP"/>
    <m/>
    <m/>
    <m/>
    <m/>
    <m/>
    <s v="AEFM"/>
    <s v="CESTFA"/>
  </r>
  <r>
    <x v="207"/>
    <s v="Balakakis"/>
    <s v="Alexandros"/>
    <s v="GRE0593"/>
    <s v="VET"/>
    <x v="14"/>
    <s v="GRE"/>
    <m/>
    <m/>
    <m/>
    <m/>
    <m/>
    <s v="UHTF"/>
    <s v="CESTFA"/>
  </r>
  <r>
    <x v="208"/>
    <s v="Balard"/>
    <s v="Jean-François"/>
    <s v="FRA0010"/>
    <s v="VET"/>
    <x v="97"/>
    <s v="FRA"/>
    <m/>
    <m/>
    <m/>
    <m/>
    <m/>
    <s v="3FTS"/>
    <s v="CESTFA"/>
  </r>
  <r>
    <x v="209"/>
    <s v="Balboni"/>
    <s v="Matteo"/>
    <s v="ITA0052"/>
    <s v="OPEN"/>
    <x v="98"/>
    <s v="ITA"/>
    <m/>
    <m/>
    <m/>
    <m/>
    <m/>
    <s v="FISCT"/>
    <s v="CESTFA"/>
  </r>
  <r>
    <x v="210"/>
    <s v="Baldacchino"/>
    <s v="Mark"/>
    <s v="MLT145"/>
    <s v="OPEN"/>
    <x v="99"/>
    <s v="MLT"/>
    <m/>
    <m/>
    <m/>
    <m/>
    <m/>
    <s v="MTFSA"/>
    <s v="CESTFA"/>
  </r>
  <r>
    <x v="211"/>
    <s v="Balestrieri"/>
    <s v="Armando"/>
    <s v="ITA0054"/>
    <s v="OPEN"/>
    <x v="100"/>
    <s v="ITA"/>
    <m/>
    <m/>
    <m/>
    <m/>
    <m/>
    <s v="FISCT"/>
    <s v="CESTFA"/>
  </r>
  <r>
    <x v="212"/>
    <s v="Balestrieri"/>
    <s v="Massimo"/>
    <s v="ITA1551"/>
    <s v="VET"/>
    <x v="25"/>
    <s v="ITA"/>
    <m/>
    <m/>
    <m/>
    <m/>
    <m/>
    <s v="FISCT"/>
    <s v="CESTFA"/>
  </r>
  <r>
    <x v="213"/>
    <s v="Balestrucci"/>
    <s v="Andrea"/>
    <s v="ITA3016"/>
    <s v="VET"/>
    <x v="101"/>
    <s v="ITA"/>
    <m/>
    <m/>
    <m/>
    <m/>
    <m/>
    <s v="FISCT"/>
    <s v="CESTFA"/>
  </r>
  <r>
    <x v="214"/>
    <s v="Balice"/>
    <s v="Patrizio"/>
    <s v="ITA2898"/>
    <s v="OPEN"/>
    <x v="102"/>
    <s v="ITA"/>
    <m/>
    <m/>
    <m/>
    <m/>
    <m/>
    <s v="FISCT"/>
    <s v="CESTFA"/>
  </r>
  <r>
    <x v="215"/>
    <s v="Balito"/>
    <s v="Davide"/>
    <s v="ITA3112"/>
    <s v="U12"/>
    <x v="29"/>
    <s v="ITA"/>
    <m/>
    <m/>
    <m/>
    <m/>
    <m/>
    <s v="FISCT"/>
    <s v="CESTFA"/>
  </r>
  <r>
    <x v="216"/>
    <s v="Ball"/>
    <s v="Jonny"/>
    <s v="AUS0028"/>
    <s v="VET"/>
    <x v="103"/>
    <s v="AUS"/>
    <m/>
    <m/>
    <m/>
    <m/>
    <m/>
    <s v="ATFA"/>
    <s v="CASTFA"/>
  </r>
  <r>
    <x v="217"/>
    <s v="Balzan"/>
    <s v="Jurgen"/>
    <s v="MLT0064"/>
    <s v="OPEN"/>
    <x v="104"/>
    <s v="MLT"/>
    <m/>
    <m/>
    <m/>
    <m/>
    <m/>
    <s v="MTFSA"/>
    <s v="CESTFA"/>
  </r>
  <r>
    <x v="218"/>
    <s v="Balzano"/>
    <s v="Romualdo"/>
    <s v="ITA0055"/>
    <s v="OPEN"/>
    <x v="105"/>
    <s v="ITA"/>
    <m/>
    <m/>
    <m/>
    <m/>
    <m/>
    <s v="FISCT"/>
    <s v="CESTFA"/>
  </r>
  <r>
    <x v="219"/>
    <s v="Bambagioni"/>
    <s v="Jonathan"/>
    <s v="ITA3283"/>
    <s v="VET"/>
    <x v="106"/>
    <s v="ITA"/>
    <m/>
    <m/>
    <m/>
    <m/>
    <m/>
    <s v="FISCT"/>
    <s v="CESTFA"/>
  </r>
  <r>
    <x v="220"/>
    <s v="Bamberzky"/>
    <s v="Günther"/>
    <s v="AUT0045"/>
    <s v="VET"/>
    <x v="107"/>
    <s v="AUT"/>
    <m/>
    <m/>
    <m/>
    <m/>
    <m/>
    <s v="EÖTV"/>
    <s v="CESTFA"/>
  </r>
  <r>
    <x v="221"/>
    <s v="Bancherus"/>
    <s v="Leif"/>
    <s v="GER0002"/>
    <s v="OPEN"/>
    <x v="108"/>
    <s v="GER"/>
    <m/>
    <m/>
    <m/>
    <m/>
    <m/>
    <s v="DSTFB"/>
    <s v="CESTFA"/>
  </r>
  <r>
    <x v="222"/>
    <s v="Banditelli"/>
    <s v="Mario"/>
    <s v="ITA0056"/>
    <s v="VET"/>
    <x v="100"/>
    <s v="ITA"/>
    <m/>
    <m/>
    <m/>
    <m/>
    <m/>
    <s v="FISCT"/>
    <s v="CESTFA"/>
  </r>
  <r>
    <x v="223"/>
    <s v="Banks"/>
    <s v="Tony"/>
    <s v="ENG1027"/>
    <s v="VET"/>
    <x v="21"/>
    <s v="ENG"/>
    <m/>
    <m/>
    <m/>
    <m/>
    <m/>
    <s v="ESA"/>
    <s v="CESTFA"/>
  </r>
  <r>
    <x v="224"/>
    <s v="Bao"/>
    <s v="Kevin"/>
    <s v="USA0222"/>
    <s v="OPEN"/>
    <x v="109"/>
    <s v="USA"/>
    <m/>
    <m/>
    <m/>
    <m/>
    <m/>
    <s v="ASA"/>
    <s v="CONASTF"/>
  </r>
  <r>
    <x v="225"/>
    <s v="Barabino"/>
    <s v="Andrea"/>
    <s v="ITA2365"/>
    <s v="OPEN"/>
    <x v="110"/>
    <s v="ITA"/>
    <m/>
    <m/>
    <m/>
    <m/>
    <m/>
    <s v="FISCT"/>
    <s v="CESTFA"/>
  </r>
  <r>
    <x v="226"/>
    <s v="Baraldi"/>
    <s v="Luca"/>
    <s v="ITA0057"/>
    <s v="OPEN"/>
    <x v="111"/>
    <s v="ITA"/>
    <m/>
    <m/>
    <m/>
    <m/>
    <m/>
    <s v="FISCT"/>
    <s v="CESTFA"/>
  </r>
  <r>
    <x v="227"/>
    <s v="Baratella"/>
    <s v="Gian Marco"/>
    <s v="ITA3229"/>
    <s v="VET"/>
    <x v="46"/>
    <s v="ITA"/>
    <m/>
    <m/>
    <m/>
    <m/>
    <m/>
    <s v="FISCT"/>
    <s v="CESTFA"/>
  </r>
  <r>
    <x v="228"/>
    <s v="Barattucci"/>
    <s v="Massimiliano"/>
    <s v="ITA3314"/>
    <s v="OPEN"/>
    <x v="112"/>
    <s v="ITA"/>
    <m/>
    <m/>
    <m/>
    <m/>
    <m/>
    <s v="FISCT"/>
    <s v="CESTFA"/>
  </r>
  <r>
    <x v="229"/>
    <s v="Baratucci"/>
    <s v="Alberto"/>
    <s v="ITA3278"/>
    <s v="U12"/>
    <x v="112"/>
    <s v="ITA"/>
    <m/>
    <m/>
    <m/>
    <m/>
    <m/>
    <s v="FISCT"/>
    <s v="CESTFA"/>
  </r>
  <r>
    <x v="230"/>
    <s v="Barbani"/>
    <s v="Stefano"/>
    <s v="ITA3041"/>
    <s v="VET"/>
    <x v="46"/>
    <s v="ITA"/>
    <m/>
    <m/>
    <m/>
    <m/>
    <m/>
    <s v="FISCT"/>
    <s v="CESTFA"/>
  </r>
  <r>
    <x v="231"/>
    <s v="Barbaris"/>
    <s v="Dimitris"/>
    <s v="AUS0172"/>
    <s v="U16"/>
    <x v="113"/>
    <s v="AUS"/>
    <m/>
    <m/>
    <m/>
    <m/>
    <m/>
    <s v="ATFA"/>
    <s v="CASTFA"/>
  </r>
  <r>
    <x v="232"/>
    <s v="Barbaris"/>
    <s v="Kostas"/>
    <s v="AUS0140"/>
    <s v="OPEN"/>
    <x v="113"/>
    <s v="AUS"/>
    <m/>
    <m/>
    <m/>
    <m/>
    <m/>
    <s v="ATFA"/>
    <s v="CASTFA"/>
  </r>
  <r>
    <x v="233"/>
    <s v="Barbieri"/>
    <s v="Massimiliano"/>
    <s v="ITA0063"/>
    <s v="VET"/>
    <x v="114"/>
    <s v="ITA"/>
    <m/>
    <m/>
    <m/>
    <m/>
    <m/>
    <s v="FISCT"/>
    <s v="CESTFA"/>
  </r>
  <r>
    <x v="234"/>
    <s v="Barbosa de Farias"/>
    <s v="João Tassio"/>
    <s v="BRA0177"/>
    <s v="U20"/>
    <x v="58"/>
    <s v="BRA"/>
    <m/>
    <m/>
    <m/>
    <m/>
    <m/>
    <s v="CBFM (Suspended)"/>
    <m/>
  </r>
  <r>
    <x v="235"/>
    <s v="Barcelos"/>
    <s v="Luciano"/>
    <s v="BRA0099"/>
    <s v="OPEN"/>
    <x v="115"/>
    <s v="BRA"/>
    <m/>
    <m/>
    <m/>
    <m/>
    <m/>
    <s v="CBFM (Suspended)"/>
    <m/>
  </r>
  <r>
    <x v="236"/>
    <s v="Bardari"/>
    <s v="Federico"/>
    <s v="ITA0065"/>
    <s v="U20"/>
    <x v="116"/>
    <s v="ITA"/>
    <m/>
    <m/>
    <m/>
    <m/>
    <m/>
    <s v="FISCT"/>
    <s v="CESTFA"/>
  </r>
  <r>
    <x v="237"/>
    <s v="Bardari"/>
    <s v="Stefano"/>
    <s v="ITA2197"/>
    <s v="OPEN"/>
    <x v="116"/>
    <s v="ITA"/>
    <m/>
    <m/>
    <m/>
    <m/>
    <m/>
    <s v="FISCT"/>
    <s v="CESTFA"/>
  </r>
  <r>
    <x v="238"/>
    <s v="Barducci"/>
    <s v="Stefano"/>
    <s v="ITA1702"/>
    <s v="OPEN"/>
    <x v="33"/>
    <s v="ITA"/>
    <m/>
    <m/>
    <m/>
    <m/>
    <m/>
    <s v="FISCT"/>
    <s v="CESTFA"/>
  </r>
  <r>
    <x v="239"/>
    <s v="Bargilly"/>
    <s v="Antonis"/>
    <s v="CYP0029"/>
    <m/>
    <x v="50"/>
    <s v="CYP"/>
    <m/>
    <m/>
    <m/>
    <m/>
    <m/>
    <s v="CYSTFA (Provisional)"/>
    <m/>
  </r>
  <r>
    <x v="240"/>
    <s v="Bari"/>
    <s v="Baver"/>
    <s v="SCO0036"/>
    <s v="OPEN"/>
    <x v="49"/>
    <s v="SCO"/>
    <m/>
    <m/>
    <m/>
    <m/>
    <m/>
    <s v="SSA"/>
    <s v="CESTFA"/>
  </r>
  <r>
    <x v="241"/>
    <s v="Bari"/>
    <s v="Maria"/>
    <s v="ITA3055"/>
    <s v="VET"/>
    <x v="117"/>
    <s v="ITA"/>
    <m/>
    <m/>
    <m/>
    <m/>
    <m/>
    <s v="FISCT"/>
    <s v="CESTFA"/>
  </r>
  <r>
    <x v="242"/>
    <s v="Bari"/>
    <s v="Rossella"/>
    <s v="ITA3056"/>
    <s v="VET"/>
    <x v="117"/>
    <s v="ITA"/>
    <m/>
    <m/>
    <m/>
    <m/>
    <m/>
    <s v="FISCT"/>
    <s v="CESTFA"/>
  </r>
  <r>
    <x v="243"/>
    <s v="Bari"/>
    <s v="Saverio"/>
    <s v="ITA0066"/>
    <s v="VET"/>
    <x v="118"/>
    <s v="ITA"/>
    <m/>
    <m/>
    <m/>
    <m/>
    <m/>
    <s v="FISCT"/>
    <s v="CESTFA"/>
  </r>
  <r>
    <x v="244"/>
    <s v="Barisone"/>
    <s v="Massimo"/>
    <s v="ITA2660"/>
    <s v="OPEN"/>
    <x v="119"/>
    <s v="ITA"/>
    <m/>
    <m/>
    <m/>
    <m/>
    <m/>
    <s v="FISCT"/>
    <s v="CESTFA"/>
  </r>
  <r>
    <x v="245"/>
    <s v="Barnes"/>
    <s v="Darren"/>
    <s v="WAL0028"/>
    <s v="VET"/>
    <x v="120"/>
    <s v="WAL"/>
    <m/>
    <m/>
    <m/>
    <m/>
    <m/>
    <s v="WSTFA"/>
    <s v="CESTFA"/>
  </r>
  <r>
    <x v="246"/>
    <s v="Barnes"/>
    <s v="Flyn"/>
    <s v="WAL0029"/>
    <s v="OPEN"/>
    <x v="121"/>
    <s v="WAL"/>
    <m/>
    <m/>
    <m/>
    <m/>
    <m/>
    <s v="WSTFA"/>
    <s v="CESTFA"/>
  </r>
  <r>
    <x v="247"/>
    <s v="Barnola"/>
    <s v="Arç"/>
    <s v="ESP0560"/>
    <s v="U12"/>
    <x v="64"/>
    <s v="ESP"/>
    <m/>
    <m/>
    <m/>
    <m/>
    <m/>
    <s v="AEFM"/>
    <s v="CESTFA"/>
  </r>
  <r>
    <x v="248"/>
    <s v="Baroncini"/>
    <s v="Valter"/>
    <s v="ENG0557"/>
    <s v="VET"/>
    <x v="21"/>
    <s v="ENG"/>
    <m/>
    <m/>
    <m/>
    <m/>
    <m/>
    <s v="ESA"/>
    <s v="CESTFA"/>
  </r>
  <r>
    <x v="249"/>
    <s v="Barone"/>
    <s v="Luigi"/>
    <s v="ITA0070"/>
    <s v="VET"/>
    <x v="122"/>
    <s v="ITA"/>
    <m/>
    <m/>
    <m/>
    <m/>
    <m/>
    <s v="FISCT"/>
    <s v="CESTFA"/>
  </r>
  <r>
    <x v="250"/>
    <s v="Barone"/>
    <s v="Massimo"/>
    <s v="ESP0567"/>
    <s v="OPEN"/>
    <x v="123"/>
    <s v="ESP"/>
    <m/>
    <m/>
    <m/>
    <m/>
    <m/>
    <s v="AEFM"/>
    <s v="CESTFA"/>
  </r>
  <r>
    <x v="251"/>
    <s v="Barone Sánchez"/>
    <s v="Diego"/>
    <s v="ESP0592"/>
    <s v="U12"/>
    <x v="123"/>
    <s v="ESP"/>
    <m/>
    <m/>
    <m/>
    <m/>
    <m/>
    <s v="AEFM"/>
    <s v="CESTFA"/>
  </r>
  <r>
    <x v="252"/>
    <s v="Baroni"/>
    <s v="Luigi"/>
    <s v="ITA0949"/>
    <s v="VET"/>
    <x v="84"/>
    <s v="ITA"/>
    <m/>
    <m/>
    <m/>
    <m/>
    <m/>
    <s v="FISCT"/>
    <s v="CESTFA"/>
  </r>
  <r>
    <x v="253"/>
    <s v="Barontini"/>
    <s v="Stefano"/>
    <s v="ITA1837"/>
    <s v="VET"/>
    <x v="25"/>
    <s v="ITA"/>
    <m/>
    <m/>
    <m/>
    <m/>
    <m/>
    <s v="FISCT"/>
    <s v="CESTFA"/>
  </r>
  <r>
    <x v="254"/>
    <s v="Baross"/>
    <s v="Gábor"/>
    <s v="HUN0025"/>
    <s v="OPEN"/>
    <x v="124"/>
    <s v="HUN"/>
    <m/>
    <m/>
    <m/>
    <m/>
    <m/>
    <s v="HTFA (Suspended)"/>
    <m/>
  </r>
  <r>
    <x v="255"/>
    <s v="Baross"/>
    <s v="Zoltán"/>
    <s v="HUN0026"/>
    <s v="OPEN"/>
    <x v="125"/>
    <s v="HUN"/>
    <m/>
    <m/>
    <m/>
    <m/>
    <m/>
    <s v="HTFA (Suspended)"/>
    <m/>
  </r>
  <r>
    <x v="256"/>
    <s v="Barqueiro"/>
    <s v="Marco"/>
    <s v="ENG0502"/>
    <s v="OPEN"/>
    <x v="126"/>
    <s v="ENG"/>
    <m/>
    <m/>
    <m/>
    <m/>
    <m/>
    <s v="ESA"/>
    <s v="CESTFA"/>
  </r>
  <r>
    <x v="257"/>
    <s v="Barron"/>
    <s v="Chris"/>
    <s v="USA0107"/>
    <s v="VET"/>
    <x v="127"/>
    <s v="USA"/>
    <m/>
    <m/>
    <m/>
    <m/>
    <m/>
    <s v="ASA"/>
    <s v="CONASTF"/>
  </r>
  <r>
    <x v="258"/>
    <s v="Bartolini"/>
    <s v="Abramo"/>
    <s v="ITA2596"/>
    <s v="VET"/>
    <x v="56"/>
    <s v="ITA"/>
    <m/>
    <m/>
    <m/>
    <m/>
    <m/>
    <s v="FISCT"/>
    <s v="CESTFA"/>
  </r>
  <r>
    <x v="259"/>
    <s v="Bartolo"/>
    <s v="Samuel"/>
    <s v="MLT0004"/>
    <s v="OPEN"/>
    <x v="104"/>
    <s v="MLT"/>
    <m/>
    <m/>
    <m/>
    <m/>
    <m/>
    <s v="MTFSA"/>
    <s v="CESTFA"/>
  </r>
  <r>
    <x v="260"/>
    <s v="Bartolomeo"/>
    <s v="Paolo"/>
    <s v="ITA0074"/>
    <s v="OPEN"/>
    <x v="46"/>
    <s v="ITA"/>
    <m/>
    <m/>
    <m/>
    <m/>
    <m/>
    <s v="FISCT"/>
    <s v="CESTFA"/>
  </r>
  <r>
    <x v="261"/>
    <s v="Bartzis"/>
    <s v="Athanasios"/>
    <s v="GRE0057"/>
    <s v="OPEN"/>
    <x v="128"/>
    <s v="GRE"/>
    <m/>
    <m/>
    <m/>
    <m/>
    <m/>
    <s v="UHTF"/>
    <s v="CESTFA"/>
  </r>
  <r>
    <x v="262"/>
    <s v="Bartzis"/>
    <s v="Ektoras"/>
    <s v="GRE0403"/>
    <s v="U20"/>
    <x v="128"/>
    <s v="GRE"/>
    <m/>
    <m/>
    <m/>
    <m/>
    <m/>
    <s v="UHTF"/>
    <s v="CESTFA"/>
  </r>
  <r>
    <x v="263"/>
    <s v="Barun"/>
    <s v="Melvin"/>
    <s v="MLT0005"/>
    <s v="OPEN"/>
    <x v="129"/>
    <s v="MLT"/>
    <m/>
    <m/>
    <m/>
    <m/>
    <m/>
    <s v="MTFSA"/>
    <s v="CESTFA"/>
  </r>
  <r>
    <x v="264"/>
    <s v="Bärwald"/>
    <s v="Dirk"/>
    <s v="GER0032"/>
    <s v="VET"/>
    <x v="130"/>
    <s v="GER"/>
    <m/>
    <m/>
    <m/>
    <m/>
    <m/>
    <s v="DSTFB"/>
    <s v="CESTFA"/>
  </r>
  <r>
    <x v="265"/>
    <s v="Bärwald"/>
    <s v="Volker"/>
    <s v="GER0033"/>
    <s v="VET"/>
    <x v="130"/>
    <s v="GER"/>
    <m/>
    <m/>
    <m/>
    <m/>
    <m/>
    <s v="DSTFB"/>
    <s v="CESTFA"/>
  </r>
  <r>
    <x v="266"/>
    <s v="Basile"/>
    <s v="Giuseppe"/>
    <s v="ITA2814"/>
    <s v="VET"/>
    <x v="40"/>
    <s v="ITA"/>
    <m/>
    <m/>
    <m/>
    <m/>
    <m/>
    <s v="FISCT"/>
    <s v="CESTFA"/>
  </r>
  <r>
    <x v="267"/>
    <s v="Basile"/>
    <s v="Raffaele"/>
    <s v="ITA2867"/>
    <s v="VET"/>
    <x v="54"/>
    <s v="ITA"/>
    <m/>
    <m/>
    <m/>
    <m/>
    <m/>
    <s v="FISCT"/>
    <s v="CESTFA"/>
  </r>
  <r>
    <x v="268"/>
    <s v="Bastin"/>
    <s v="Olivier"/>
    <s v="FRA0069"/>
    <s v="OPEN"/>
    <x v="97"/>
    <s v="FRA"/>
    <m/>
    <m/>
    <m/>
    <m/>
    <m/>
    <s v="3FTS"/>
    <s v="CESTFA"/>
  </r>
  <r>
    <x v="269"/>
    <s v="Batacchi"/>
    <s v="Alex"/>
    <s v="USA0024"/>
    <s v="VET"/>
    <x v="131"/>
    <s v="USA"/>
    <m/>
    <m/>
    <m/>
    <m/>
    <m/>
    <s v="ASA"/>
    <s v="CONASTF"/>
  </r>
  <r>
    <x v="270"/>
    <s v="Batacchi"/>
    <s v="Isabel"/>
    <s v="USA0030"/>
    <s v="VET"/>
    <x v="131"/>
    <s v="USA"/>
    <m/>
    <m/>
    <m/>
    <m/>
    <m/>
    <s v="ASA"/>
    <s v="CONASTF"/>
  </r>
  <r>
    <x v="271"/>
    <s v="Batalis"/>
    <s v="Georgios"/>
    <s v="GRE0792"/>
    <s v="OPEN"/>
    <x v="14"/>
    <s v="GRE"/>
    <m/>
    <m/>
    <m/>
    <m/>
    <m/>
    <s v="UHTF"/>
    <s v="CESTFA"/>
  </r>
  <r>
    <x v="272"/>
    <s v="Battaglia"/>
    <s v="Giuseppe"/>
    <s v="ITA0076"/>
    <s v="VET"/>
    <x v="132"/>
    <s v="ITA"/>
    <m/>
    <m/>
    <m/>
    <m/>
    <m/>
    <s v="FISCT"/>
    <s v="CESTFA"/>
  </r>
  <r>
    <x v="273"/>
    <s v="Batten"/>
    <s v="Benji"/>
    <s v="AUS0004"/>
    <s v="OPEN"/>
    <x v="133"/>
    <s v="AUS"/>
    <m/>
    <m/>
    <m/>
    <m/>
    <m/>
    <s v="ATFA"/>
    <s v="CASTFA"/>
  </r>
  <r>
    <x v="274"/>
    <s v="Battipaglia"/>
    <s v="Ciro"/>
    <s v="ITA2419"/>
    <s v="VET"/>
    <x v="1"/>
    <s v="ITA"/>
    <m/>
    <m/>
    <m/>
    <m/>
    <m/>
    <s v="FISCT"/>
    <s v="CESTFA"/>
  </r>
  <r>
    <x v="275"/>
    <s v="Battista"/>
    <s v="Luca"/>
    <s v="ITA0077"/>
    <s v="OPEN"/>
    <x v="134"/>
    <s v="ITA"/>
    <m/>
    <m/>
    <m/>
    <m/>
    <m/>
    <s v="FISCT"/>
    <s v="CESTFA"/>
  </r>
  <r>
    <x v="276"/>
    <s v="Battista"/>
    <s v="Umberto"/>
    <s v="ITA0078"/>
    <s v="VET"/>
    <x v="134"/>
    <s v="ITA"/>
    <m/>
    <m/>
    <m/>
    <m/>
    <m/>
    <s v="FISCT"/>
    <s v="CESTFA"/>
  </r>
  <r>
    <x v="277"/>
    <s v="Bauer"/>
    <s v="Bernd"/>
    <s v="GER0059"/>
    <s v="VET"/>
    <x v="135"/>
    <s v="GER"/>
    <m/>
    <m/>
    <m/>
    <m/>
    <m/>
    <s v="DSTFB"/>
    <s v="CESTFA"/>
  </r>
  <r>
    <x v="278"/>
    <s v="Bavasuryan"/>
    <s v="K. S."/>
    <s v="SGP0140"/>
    <s v="U20"/>
    <x v="24"/>
    <s v="SGP"/>
    <m/>
    <m/>
    <m/>
    <m/>
    <m/>
    <s v="TFAS"/>
    <s v="CASTFA"/>
  </r>
  <r>
    <x v="279"/>
    <s v="Baxter"/>
    <s v="Dave"/>
    <s v="CAN0000"/>
    <s v="VET"/>
    <x v="136"/>
    <s v="CAN"/>
    <m/>
    <m/>
    <m/>
    <m/>
    <m/>
    <s v="SCA"/>
    <m/>
  </r>
  <r>
    <x v="280"/>
    <s v="Baxter"/>
    <s v="David"/>
    <s v="SCO0038"/>
    <s v="VET"/>
    <x v="137"/>
    <s v="SCO"/>
    <m/>
    <m/>
    <m/>
    <m/>
    <m/>
    <s v="SSA"/>
    <s v="CESTFA"/>
  </r>
  <r>
    <x v="281"/>
    <s v="Bazzoli"/>
    <s v="Tommaso"/>
    <s v="ITA3240"/>
    <s v="OPEN"/>
    <x v="27"/>
    <s v="ITA"/>
    <m/>
    <m/>
    <m/>
    <m/>
    <m/>
    <s v="FISCT"/>
    <s v="CESTFA"/>
  </r>
  <r>
    <x v="282"/>
    <s v="Beani"/>
    <s v="Giampaolo"/>
    <s v="ITA3237"/>
    <s v="OPEN"/>
    <x v="27"/>
    <s v="ITA"/>
    <m/>
    <m/>
    <m/>
    <m/>
    <m/>
    <s v="FISCT"/>
    <s v="CESTFA"/>
  </r>
  <r>
    <x v="283"/>
    <s v="Beauvais"/>
    <s v="Ludovic"/>
    <s v="FRA0134"/>
    <s v="VET"/>
    <x v="138"/>
    <s v="FRA"/>
    <m/>
    <m/>
    <m/>
    <m/>
    <m/>
    <s v="3FTS"/>
    <s v="CESTFA"/>
  </r>
  <r>
    <x v="284"/>
    <s v="Becattini"/>
    <s v="Filippo"/>
    <s v="ITA2523"/>
    <s v="OPEN"/>
    <x v="139"/>
    <s v="ITA"/>
    <m/>
    <m/>
    <m/>
    <m/>
    <m/>
    <s v="FISCT"/>
    <s v="CESTFA"/>
  </r>
  <r>
    <x v="285"/>
    <s v="Bech Kaysen"/>
    <s v="Camilla"/>
    <s v="DEN0070"/>
    <s v="OPEN"/>
    <x v="10"/>
    <s v="DEN"/>
    <m/>
    <m/>
    <m/>
    <m/>
    <m/>
    <s v="DSBU (Provisional)"/>
    <m/>
  </r>
  <r>
    <x v="286"/>
    <s v="Becker"/>
    <s v="Volker"/>
    <s v="GER0053"/>
    <s v="VET"/>
    <x v="140"/>
    <s v="GER"/>
    <m/>
    <m/>
    <m/>
    <m/>
    <m/>
    <s v="DSTFB"/>
    <s v="CESTFA"/>
  </r>
  <r>
    <x v="287"/>
    <s v="Beckers"/>
    <s v="Kévin"/>
    <s v="BEL0123"/>
    <s v="OPEN"/>
    <x v="45"/>
    <s v="BEL"/>
    <m/>
    <m/>
    <m/>
    <m/>
    <m/>
    <m/>
    <m/>
  </r>
  <r>
    <x v="288"/>
    <s v="Becucci"/>
    <s v="Tiberio"/>
    <s v="ITA0079"/>
    <s v="VET"/>
    <x v="33"/>
    <s v="ITA"/>
    <m/>
    <m/>
    <m/>
    <m/>
    <m/>
    <s v="FISCT"/>
    <s v="CESTFA"/>
  </r>
  <r>
    <x v="289"/>
    <s v="Bedford"/>
    <s v="Chris"/>
    <s v="WAL0048"/>
    <s v="OPEN"/>
    <x v="141"/>
    <s v="WAL"/>
    <m/>
    <m/>
    <m/>
    <m/>
    <m/>
    <s v="WSTFA"/>
    <s v="CESTFA"/>
  </r>
  <r>
    <x v="290"/>
    <s v="Beggs"/>
    <s v="Kenneth"/>
    <s v="NIR0001"/>
    <s v="VET"/>
    <x v="126"/>
    <s v="NIR"/>
    <m/>
    <m/>
    <m/>
    <m/>
    <m/>
    <s v="NITFA"/>
    <s v="CESTFA"/>
  </r>
  <r>
    <x v="291"/>
    <s v="Begnis"/>
    <s v="Dimitrios"/>
    <s v="GRE0436"/>
    <s v="VET"/>
    <x v="14"/>
    <s v="GRE"/>
    <m/>
    <m/>
    <m/>
    <m/>
    <m/>
    <s v="UHTF"/>
    <s v="CESTFA"/>
  </r>
  <r>
    <x v="292"/>
    <s v="Begnis"/>
    <s v="Ioannis"/>
    <s v="GRE0437"/>
    <s v="OPEN"/>
    <x v="14"/>
    <s v="GRE"/>
    <m/>
    <m/>
    <m/>
    <m/>
    <m/>
    <s v="UHTF"/>
    <s v="CESTFA"/>
  </r>
  <r>
    <x v="293"/>
    <s v="Beifuß"/>
    <s v="Michael"/>
    <s v="GER0077"/>
    <s v="OPEN"/>
    <x v="142"/>
    <s v="GER"/>
    <m/>
    <m/>
    <m/>
    <m/>
    <m/>
    <s v="DSTFB"/>
    <s v="CESTFA"/>
  </r>
  <r>
    <x v="294"/>
    <s v="Beis"/>
    <s v="Nikolaos"/>
    <s v="GRE0014"/>
    <s v="OPEN"/>
    <x v="14"/>
    <s v="GRE"/>
    <m/>
    <m/>
    <m/>
    <m/>
    <m/>
    <s v="UHTF"/>
    <s v="CESTFA"/>
  </r>
  <r>
    <x v="295"/>
    <s v="Belcher"/>
    <s v="Chris"/>
    <s v="USA0421"/>
    <s v="U20"/>
    <x v="143"/>
    <s v="USA"/>
    <m/>
    <m/>
    <m/>
    <m/>
    <m/>
    <s v="ASA"/>
    <s v="CONASTF"/>
  </r>
  <r>
    <x v="296"/>
    <s v="Belcher"/>
    <s v="Ryan"/>
    <s v="USA0425"/>
    <s v="U16"/>
    <x v="60"/>
    <s v="USA"/>
    <m/>
    <m/>
    <m/>
    <m/>
    <m/>
    <s v="ASA"/>
    <s v="CONASTF"/>
  </r>
  <r>
    <x v="297"/>
    <s v="Belfort de Moura"/>
    <s v="Tacito"/>
    <s v="BRA0156"/>
    <s v="OPEN"/>
    <x v="144"/>
    <s v="BRA"/>
    <m/>
    <m/>
    <m/>
    <m/>
    <m/>
    <s v="CBFM (Suspended)"/>
    <m/>
  </r>
  <r>
    <x v="298"/>
    <s v="Belisario"/>
    <s v="Fabio"/>
    <s v="ITA3119"/>
    <s v="VET"/>
    <x v="27"/>
    <s v="ITA"/>
    <m/>
    <m/>
    <m/>
    <m/>
    <m/>
    <s v="FISCT"/>
    <s v="CESTFA"/>
  </r>
  <r>
    <x v="299"/>
    <s v="Bellefontaine"/>
    <s v="Elliott"/>
    <s v="ENG0049"/>
    <s v="OPEN"/>
    <x v="141"/>
    <s v="ENG"/>
    <m/>
    <m/>
    <m/>
    <m/>
    <m/>
    <s v="ESA"/>
    <s v="CESTFA"/>
  </r>
  <r>
    <x v="300"/>
    <s v="Bellefontaine"/>
    <s v="Francesca"/>
    <s v="ENG0134"/>
    <s v="U20"/>
    <x v="141"/>
    <s v="ENG"/>
    <m/>
    <m/>
    <m/>
    <m/>
    <m/>
    <s v="ESA"/>
    <s v="CESTFA"/>
  </r>
  <r>
    <x v="301"/>
    <s v="Bellefontaine"/>
    <s v="Martin"/>
    <s v="WAL0038"/>
    <s v="VET"/>
    <x v="141"/>
    <s v="WAL"/>
    <m/>
    <m/>
    <m/>
    <m/>
    <m/>
    <s v="WSTFA"/>
    <s v="CESTFA"/>
  </r>
  <r>
    <x v="302"/>
    <s v="Belli"/>
    <s v="Gianni"/>
    <s v="ITA2768"/>
    <s v="VET"/>
    <x v="77"/>
    <s v="ITA"/>
    <m/>
    <m/>
    <m/>
    <m/>
    <m/>
    <s v="FISCT"/>
    <s v="CESTFA"/>
  </r>
  <r>
    <x v="303"/>
    <s v="Bellingeri"/>
    <s v="Flavio"/>
    <s v="ARG0043"/>
    <s v="VET"/>
    <x v="145"/>
    <s v="ARG"/>
    <m/>
    <m/>
    <m/>
    <m/>
    <m/>
    <s v="LAFM (Suspended)"/>
    <s v="CSAFM"/>
  </r>
  <r>
    <x v="304"/>
    <s v="Belloni"/>
    <s v="Fabio"/>
    <s v="ITA0083"/>
    <s v="VET"/>
    <x v="146"/>
    <s v="ITA"/>
    <m/>
    <m/>
    <m/>
    <m/>
    <m/>
    <s v="FISCT"/>
    <s v="CESTFA"/>
  </r>
  <r>
    <x v="305"/>
    <s v="Bellotto"/>
    <s v="Edoardo"/>
    <s v="ITA0086"/>
    <s v="VET"/>
    <x v="147"/>
    <s v="ITA"/>
    <m/>
    <m/>
    <m/>
    <m/>
    <m/>
    <s v="FISCT"/>
    <s v="CESTFA"/>
  </r>
  <r>
    <x v="306"/>
    <s v="Benavent"/>
    <s v="Pedro"/>
    <s v="ESP0458"/>
    <s v="VET"/>
    <x v="148"/>
    <s v="ESP"/>
    <m/>
    <m/>
    <m/>
    <m/>
    <m/>
    <s v="AEFM"/>
    <s v="CESTFA"/>
  </r>
  <r>
    <x v="307"/>
    <s v="Benecchi"/>
    <s v="Mattia"/>
    <s v="ITA2714"/>
    <s v="OPEN"/>
    <x v="118"/>
    <s v="ITA"/>
    <m/>
    <m/>
    <m/>
    <m/>
    <m/>
    <s v="FISCT"/>
    <s v="CESTFA"/>
  </r>
  <r>
    <x v="308"/>
    <s v="Benedetti"/>
    <s v="Gionata"/>
    <s v="ITA2213"/>
    <s v="VET"/>
    <x v="71"/>
    <s v="ITA"/>
    <m/>
    <m/>
    <m/>
    <m/>
    <m/>
    <s v="FISCT"/>
    <s v="CESTFA"/>
  </r>
  <r>
    <x v="309"/>
    <s v="Benedi"/>
    <s v="Christian"/>
    <s v="USA0434"/>
    <s v="OPEN"/>
    <x v="149"/>
    <s v="USA"/>
    <m/>
    <m/>
    <m/>
    <m/>
    <m/>
    <s v="ASA"/>
    <s v="CONASTF"/>
  </r>
  <r>
    <x v="310"/>
    <s v="Benita"/>
    <s v="Álvaro"/>
    <s v="ESP0511"/>
    <s v="U16"/>
    <x v="150"/>
    <s v="ESP"/>
    <m/>
    <m/>
    <m/>
    <m/>
    <m/>
    <s v="AEFM"/>
    <s v="CESTFA"/>
  </r>
  <r>
    <x v="311"/>
    <s v="Benita"/>
    <s v="Raúl"/>
    <s v="ESP0011"/>
    <s v="OPEN"/>
    <x v="150"/>
    <s v="ESP"/>
    <m/>
    <m/>
    <m/>
    <m/>
    <m/>
    <s v="AEFM"/>
    <s v="CESTFA"/>
  </r>
  <r>
    <x v="312"/>
    <s v="Benita"/>
    <s v="Rubén"/>
    <s v="ESP0466"/>
    <s v="U20"/>
    <x v="150"/>
    <s v="ESP"/>
    <m/>
    <m/>
    <m/>
    <m/>
    <m/>
    <s v="AEFM"/>
    <s v="CESTFA"/>
  </r>
  <r>
    <x v="313"/>
    <s v="Bennett"/>
    <s v="Kaspar"/>
    <s v="ENG0051"/>
    <s v="OPEN"/>
    <x v="96"/>
    <s v="ENG"/>
    <m/>
    <m/>
    <m/>
    <m/>
    <m/>
    <s v="ESA"/>
    <s v="CESTFA"/>
  </r>
  <r>
    <x v="314"/>
    <s v="Bennett"/>
    <s v="Steve"/>
    <s v="SCO0019"/>
    <s v="VET"/>
    <x v="137"/>
    <s v="SCO"/>
    <m/>
    <m/>
    <m/>
    <m/>
    <m/>
    <s v="SSA"/>
    <s v="CESTFA"/>
  </r>
  <r>
    <x v="315"/>
    <s v="Bento"/>
    <s v="Francisco"/>
    <s v="POR0201"/>
    <s v="U12"/>
    <x v="9"/>
    <s v="POR"/>
    <m/>
    <m/>
    <m/>
    <m/>
    <m/>
    <s v="APS"/>
    <s v="CESTFA"/>
  </r>
  <r>
    <x v="316"/>
    <s v="Bento"/>
    <s v="Gabriel"/>
    <s v="POR0235"/>
    <s v="U12"/>
    <x v="11"/>
    <s v="POR"/>
    <m/>
    <m/>
    <m/>
    <m/>
    <m/>
    <s v="APS"/>
    <s v="CESTFA"/>
  </r>
  <r>
    <x v="317"/>
    <s v="Bentzen"/>
    <s v="Jonas"/>
    <s v="DEN0009"/>
    <s v="OPEN"/>
    <x v="10"/>
    <s v="DEN"/>
    <m/>
    <m/>
    <m/>
    <m/>
    <m/>
    <s v="DSBU (Provisional)"/>
    <m/>
  </r>
  <r>
    <x v="318"/>
    <s v="Benussi"/>
    <s v="Francesco"/>
    <s v="ITA3247"/>
    <s v="VET"/>
    <x v="76"/>
    <s v="ITA"/>
    <m/>
    <m/>
    <m/>
    <m/>
    <m/>
    <s v="FISCT"/>
    <s v="CESTFA"/>
  </r>
  <r>
    <x v="319"/>
    <s v="Berardi"/>
    <s v="Antonio"/>
    <s v="ITA1970"/>
    <s v="VET"/>
    <x v="0"/>
    <s v="ITA"/>
    <m/>
    <m/>
    <m/>
    <m/>
    <m/>
    <s v="FISCT"/>
    <s v="CESTFA"/>
  </r>
  <r>
    <x v="320"/>
    <s v="Beretta"/>
    <s v="Carlo Alfredo"/>
    <s v="ITA2691"/>
    <s v="VET"/>
    <x v="110"/>
    <s v="ITA"/>
    <m/>
    <m/>
    <m/>
    <m/>
    <m/>
    <s v="FISCT"/>
    <s v="CESTFA"/>
  </r>
  <r>
    <x v="321"/>
    <s v="Bergamasco"/>
    <s v="Enrico"/>
    <s v="ITA3036"/>
    <s v="OPEN"/>
    <x v="147"/>
    <s v="ITA"/>
    <m/>
    <m/>
    <m/>
    <m/>
    <m/>
    <s v="FISCT"/>
    <s v="CESTFA"/>
  </r>
  <r>
    <x v="322"/>
    <s v="Bergane"/>
    <s v="Anders"/>
    <s v="NOR0001"/>
    <s v="OPEN"/>
    <x v="151"/>
    <s v="NOR"/>
    <m/>
    <m/>
    <m/>
    <m/>
    <m/>
    <s v="NBFF (Suspended)"/>
    <m/>
  </r>
  <r>
    <x v="323"/>
    <s v="Bergane"/>
    <s v="Jon Henning"/>
    <s v="NOR0003"/>
    <s v="VET"/>
    <x v="13"/>
    <s v="NOR"/>
    <m/>
    <m/>
    <m/>
    <m/>
    <m/>
    <s v="NBFF (Suspended)"/>
    <m/>
  </r>
  <r>
    <x v="324"/>
    <s v="Bergholz"/>
    <s v="Thomas"/>
    <s v="AUT0046"/>
    <s v="VET"/>
    <x v="124"/>
    <s v="AUT"/>
    <m/>
    <m/>
    <m/>
    <m/>
    <m/>
    <s v="EÖTV"/>
    <s v="CESTFA"/>
  </r>
  <r>
    <x v="325"/>
    <s v="Berioli"/>
    <s v="Riccardo"/>
    <s v="ITA3128"/>
    <s v="U16"/>
    <x v="110"/>
    <s v="ITA"/>
    <m/>
    <m/>
    <m/>
    <m/>
    <m/>
    <s v="FISCT"/>
    <s v="CESTFA"/>
  </r>
  <r>
    <x v="326"/>
    <s v="Berliaque"/>
    <s v="Richard"/>
    <s v="GIB0057"/>
    <s v="VET"/>
    <x v="37"/>
    <s v="GIB"/>
    <m/>
    <m/>
    <m/>
    <m/>
    <m/>
    <s v="GTSA"/>
    <s v="CESTFA"/>
  </r>
  <r>
    <x v="327"/>
    <s v="Berlinghieri"/>
    <s v="Luigi"/>
    <s v="ITA3136"/>
    <s v="VET"/>
    <x v="44"/>
    <s v="ITA"/>
    <m/>
    <m/>
    <m/>
    <m/>
    <m/>
    <s v="FISCT"/>
    <s v="CESTFA"/>
  </r>
  <r>
    <x v="328"/>
    <s v="Bermudo"/>
    <s v="Junior Alejandro"/>
    <s v="ESP0576"/>
    <s v="U16"/>
    <x v="47"/>
    <s v="ESP"/>
    <m/>
    <m/>
    <m/>
    <m/>
    <m/>
    <s v="AEFM"/>
    <s v="CESTFA"/>
  </r>
  <r>
    <x v="329"/>
    <s v="Bernard"/>
    <s v="Lena"/>
    <s v="FRA0290"/>
    <s v="U16"/>
    <x v="152"/>
    <s v="FRA"/>
    <m/>
    <m/>
    <m/>
    <m/>
    <m/>
    <s v="3FTS"/>
    <s v="CESTFA"/>
  </r>
  <r>
    <x v="330"/>
    <s v="Bernard"/>
    <s v="Paul"/>
    <s v="FRA0291"/>
    <s v="U12"/>
    <x v="152"/>
    <s v="FRA"/>
    <m/>
    <m/>
    <m/>
    <m/>
    <m/>
    <s v="3FTS"/>
    <s v="CESTFA"/>
  </r>
  <r>
    <x v="331"/>
    <s v="Bernardi"/>
    <s v="Daniele Emiliano"/>
    <s v="ITA2183"/>
    <s v="OPEN"/>
    <x v="147"/>
    <s v="ITA"/>
    <m/>
    <m/>
    <m/>
    <m/>
    <m/>
    <s v="FISCT"/>
    <s v="CESTFA"/>
  </r>
  <r>
    <x v="332"/>
    <s v="Bernardini"/>
    <s v="Paolo"/>
    <s v="ITA1424"/>
    <s v="VET"/>
    <x v="153"/>
    <s v="ITA"/>
    <m/>
    <m/>
    <m/>
    <m/>
    <m/>
    <s v="FISCT"/>
    <s v="CESTFA"/>
  </r>
  <r>
    <x v="333"/>
    <s v="Bernhardsgrütter"/>
    <s v="Roman"/>
    <s v="SUI023"/>
    <s v="VET"/>
    <x v="154"/>
    <s v="SUI"/>
    <m/>
    <m/>
    <m/>
    <m/>
    <m/>
    <m/>
    <m/>
  </r>
  <r>
    <x v="334"/>
    <s v="Berry"/>
    <s v="Colin"/>
    <s v="SCO0018"/>
    <s v="VET"/>
    <x v="49"/>
    <s v="SCO"/>
    <m/>
    <m/>
    <m/>
    <m/>
    <m/>
    <s v="SSA"/>
    <s v="CESTFA"/>
  </r>
  <r>
    <x v="335"/>
    <s v="Bertelli"/>
    <s v="Daniele"/>
    <s v="ITA0100"/>
    <s v="OPEN"/>
    <x v="155"/>
    <s v="ITA"/>
    <m/>
    <m/>
    <m/>
    <m/>
    <m/>
    <s v="FISCT"/>
    <s v="CESTFA"/>
  </r>
  <r>
    <x v="336"/>
    <s v="Bertelli"/>
    <s v="Simone"/>
    <s v="ITA0101"/>
    <s v="OPEN"/>
    <x v="156"/>
    <s v="ITA"/>
    <m/>
    <m/>
    <m/>
    <m/>
    <m/>
    <s v="FISCT"/>
    <s v="CESTFA"/>
  </r>
  <r>
    <x v="337"/>
    <s v="Bertholet"/>
    <s v="Elodie"/>
    <s v="BEL0168"/>
    <s v="OPEN"/>
    <x v="51"/>
    <s v="BEL"/>
    <m/>
    <m/>
    <m/>
    <m/>
    <m/>
    <m/>
    <m/>
  </r>
  <r>
    <x v="338"/>
    <s v="Bertolini"/>
    <s v="Fabrizio"/>
    <s v="ARG0002"/>
    <s v="VET"/>
    <x v="157"/>
    <s v="ARG"/>
    <m/>
    <m/>
    <m/>
    <m/>
    <m/>
    <s v="LAFM (Suspended)"/>
    <s v="CSAFM"/>
  </r>
  <r>
    <x v="339"/>
    <s v="Bertolini"/>
    <s v="Mauro"/>
    <s v="ARG0059"/>
    <s v="OPEN"/>
    <x v="157"/>
    <s v="ARG"/>
    <m/>
    <m/>
    <m/>
    <m/>
    <m/>
    <s v="LAFM (Suspended)"/>
    <s v="CSAFM"/>
  </r>
  <r>
    <x v="340"/>
    <s v="Besate"/>
    <s v="Claudio"/>
    <s v="ITA3226"/>
    <s v="OPEN"/>
    <x v="119"/>
    <s v="ITA"/>
    <m/>
    <m/>
    <m/>
    <m/>
    <m/>
    <s v="FISCT"/>
    <s v="CESTFA"/>
  </r>
  <r>
    <x v="341"/>
    <s v="Beskaby"/>
    <s v="Andy"/>
    <s v="SCO0049"/>
    <s v="VET"/>
    <x v="137"/>
    <s v="SCO"/>
    <m/>
    <m/>
    <m/>
    <m/>
    <m/>
    <s v="SSA"/>
    <s v="CESTFA"/>
  </r>
  <r>
    <x v="342"/>
    <s v="Best"/>
    <s v="Hugh"/>
    <s v="AUS0122"/>
    <s v="VET"/>
    <x v="158"/>
    <s v="AUS"/>
    <m/>
    <m/>
    <m/>
    <m/>
    <m/>
    <s v="ATFA"/>
    <s v="CASTFA"/>
  </r>
  <r>
    <x v="343"/>
    <s v="Betaressi"/>
    <s v="Vlademir"/>
    <s v="BRA0058"/>
    <s v="OPEN"/>
    <x v="14"/>
    <s v="BRA"/>
    <m/>
    <m/>
    <m/>
    <m/>
    <m/>
    <s v="CBFM (Suspended)"/>
    <m/>
  </r>
  <r>
    <x v="344"/>
    <s v="BÉTHENCOURT"/>
    <s v="Nicolas"/>
    <s v="UKR0002"/>
    <s v="OPEN"/>
    <x v="159"/>
    <s v="UKR"/>
    <m/>
    <m/>
    <m/>
    <m/>
    <m/>
    <s v="UKT (Provisional)"/>
    <m/>
  </r>
  <r>
    <x v="345"/>
    <s v="Bevilacqua"/>
    <s v="Andrea"/>
    <s v="ITA3017"/>
    <s v="OPEN"/>
    <x v="101"/>
    <s v="ITA"/>
    <m/>
    <m/>
    <m/>
    <m/>
    <m/>
    <s v="FISCT"/>
    <s v="CESTFA"/>
  </r>
  <r>
    <x v="346"/>
    <s v="Bevilacqua"/>
    <s v="Costantino"/>
    <s v="ITA2404"/>
    <s v="VET"/>
    <x v="44"/>
    <s v="ITA"/>
    <m/>
    <m/>
    <m/>
    <m/>
    <m/>
    <s v="FISCT"/>
    <s v="CESTFA"/>
  </r>
  <r>
    <x v="347"/>
    <s v="Bevilacqua"/>
    <s v="Marco"/>
    <s v="SCO0062"/>
    <s v="OPEN"/>
    <x v="160"/>
    <s v="SCO"/>
    <m/>
    <m/>
    <m/>
    <m/>
    <m/>
    <s v="SSA"/>
    <s v="CESTFA"/>
  </r>
  <r>
    <x v="348"/>
    <s v="Bevilacqua"/>
    <s v="Pierluigi"/>
    <s v="ITA1700"/>
    <s v="VET"/>
    <x v="161"/>
    <s v="ITA"/>
    <m/>
    <m/>
    <m/>
    <m/>
    <m/>
    <s v="FISCT"/>
    <s v="CESTFA"/>
  </r>
  <r>
    <x v="349"/>
    <s v="Bezerra de Souza"/>
    <s v="Éder Sergio"/>
    <s v="BRA0174"/>
    <s v="VET"/>
    <x v="162"/>
    <s v="BRA"/>
    <m/>
    <m/>
    <m/>
    <m/>
    <m/>
    <s v="CBFM (Suspended)"/>
    <m/>
  </r>
  <r>
    <x v="350"/>
    <s v="Bianchi"/>
    <s v="Alan"/>
    <s v="ITA1130"/>
    <s v="OPEN"/>
    <x v="55"/>
    <s v="ITA"/>
    <m/>
    <m/>
    <m/>
    <m/>
    <m/>
    <s v="FISCT"/>
    <s v="CESTFA"/>
  </r>
  <r>
    <x v="351"/>
    <s v="Bianchi"/>
    <s v="Pierluigi"/>
    <s v="ITA3067"/>
    <s v="VET"/>
    <x v="35"/>
    <s v="ITA"/>
    <m/>
    <m/>
    <m/>
    <m/>
    <m/>
    <s v="FISCT"/>
    <s v="CESTFA"/>
  </r>
  <r>
    <x v="352"/>
    <s v="Bianco"/>
    <s v="Fabio"/>
    <s v="GER0018"/>
    <s v="OPEN"/>
    <x v="5"/>
    <s v="GER"/>
    <m/>
    <m/>
    <m/>
    <m/>
    <m/>
    <s v="DSTFB"/>
    <s v="CESTFA"/>
  </r>
  <r>
    <x v="353"/>
    <s v="Bianco"/>
    <s v="Pierluigi"/>
    <s v="ITA0105"/>
    <s v="VET"/>
    <x v="156"/>
    <s v="ITA"/>
    <m/>
    <m/>
    <m/>
    <m/>
    <m/>
    <s v="FISCT"/>
    <s v="CESTFA"/>
  </r>
  <r>
    <x v="354"/>
    <s v="Biasci"/>
    <s v="Davide"/>
    <s v="ITA3083"/>
    <s v="OPEN"/>
    <x v="38"/>
    <s v="ITA"/>
    <m/>
    <m/>
    <m/>
    <m/>
    <m/>
    <s v="FISCT"/>
    <s v="CESTFA"/>
  </r>
  <r>
    <x v="355"/>
    <s v="Bicchi"/>
    <s v="Claudio"/>
    <s v="ITA3084"/>
    <s v="OPEN"/>
    <x v="163"/>
    <s v="ITA"/>
    <m/>
    <m/>
    <m/>
    <m/>
    <m/>
    <s v="FISCT"/>
    <s v="CESTFA"/>
  </r>
  <r>
    <x v="356"/>
    <s v="Bickerstaff"/>
    <s v="Ernest"/>
    <s v="NIR0016"/>
    <s v="OPEN"/>
    <x v="126"/>
    <s v="NIR"/>
    <m/>
    <m/>
    <m/>
    <m/>
    <m/>
    <s v="NITFA"/>
    <s v="CESTFA"/>
  </r>
  <r>
    <x v="357"/>
    <s v="Bignardi"/>
    <s v="Luca"/>
    <s v="ITA3104"/>
    <s v="OPEN"/>
    <x v="29"/>
    <s v="ITA"/>
    <m/>
    <m/>
    <m/>
    <m/>
    <m/>
    <s v="FISCT"/>
    <s v="CESTFA"/>
  </r>
  <r>
    <x v="358"/>
    <s v="Bignardi"/>
    <s v="Samuele"/>
    <s v="ITA3097"/>
    <s v="U16"/>
    <x v="29"/>
    <s v="ITA"/>
    <m/>
    <m/>
    <m/>
    <m/>
    <m/>
    <s v="FISCT"/>
    <s v="CESTFA"/>
  </r>
  <r>
    <x v="359"/>
    <s v="Bijlstra"/>
    <s v="Jacob"/>
    <s v="NED0039"/>
    <s v="VET"/>
    <x v="164"/>
    <s v="NED"/>
    <m/>
    <m/>
    <m/>
    <m/>
    <m/>
    <s v="NSVB"/>
    <s v="CESTFA"/>
  </r>
  <r>
    <x v="360"/>
    <s v="Biliotti"/>
    <s v="Thierry"/>
    <s v="FRA0285"/>
    <s v="VET"/>
    <x v="138"/>
    <s v="FRA"/>
    <m/>
    <m/>
    <m/>
    <m/>
    <m/>
    <s v="3FTS"/>
    <s v="CESTFA"/>
  </r>
  <r>
    <x v="361"/>
    <s v="Billi"/>
    <s v="Alessandro"/>
    <s v="ITA0107"/>
    <s v="VET"/>
    <x v="98"/>
    <s v="ITA"/>
    <m/>
    <m/>
    <m/>
    <m/>
    <m/>
    <s v="FISCT"/>
    <s v="CESTFA"/>
  </r>
  <r>
    <x v="362"/>
    <s v="Bilucaglia"/>
    <s v="Dario"/>
    <s v="ITA2797"/>
    <s v="VET"/>
    <x v="89"/>
    <s v="ITA"/>
    <m/>
    <m/>
    <m/>
    <m/>
    <m/>
    <s v="FISCT"/>
    <s v="CESTFA"/>
  </r>
  <r>
    <x v="363"/>
    <s v="Bilucaglia"/>
    <s v="Valerio"/>
    <s v="ITA2796"/>
    <s v="U16"/>
    <x v="89"/>
    <s v="ITA"/>
    <m/>
    <m/>
    <m/>
    <m/>
    <m/>
    <s v="FISCT"/>
    <s v="CESTFA"/>
  </r>
  <r>
    <x v="364"/>
    <s v="Bimplis"/>
    <s v="Emmanouil"/>
    <s v="GRE0793"/>
    <s v="OPEN"/>
    <x v="14"/>
    <s v="GRE"/>
    <m/>
    <m/>
    <m/>
    <m/>
    <m/>
    <s v="UHTF"/>
    <s v="CESTFA"/>
  </r>
  <r>
    <x v="365"/>
    <s v="Bin Aidil"/>
    <s v="Haziq Idraki"/>
    <s v="SGP0144"/>
    <s v="OPEN"/>
    <x v="24"/>
    <s v="SGP"/>
    <m/>
    <m/>
    <m/>
    <m/>
    <m/>
    <s v="TFAS"/>
    <s v="CASTFA"/>
  </r>
  <r>
    <x v="366"/>
    <s v="Bin Halil"/>
    <s v="Fanddy"/>
    <s v="SGP0120"/>
    <s v="OPEN"/>
    <x v="24"/>
    <s v="SGP"/>
    <m/>
    <m/>
    <m/>
    <m/>
    <m/>
    <s v="TFAS"/>
    <s v="CASTFA"/>
  </r>
  <r>
    <x v="367"/>
    <s v="Bin Idris"/>
    <s v="Aidil"/>
    <s v="SGP0143"/>
    <s v="VET"/>
    <x v="24"/>
    <s v="SGP"/>
    <m/>
    <m/>
    <m/>
    <m/>
    <m/>
    <s v="TFAS"/>
    <s v="CASTFA"/>
  </r>
  <r>
    <x v="368"/>
    <s v="Bin Isnin"/>
    <s v="Azhari"/>
    <s v="SGP0142"/>
    <s v="OPEN"/>
    <x v="24"/>
    <s v="SGP"/>
    <m/>
    <m/>
    <m/>
    <m/>
    <m/>
    <s v="TFAS"/>
    <s v="CASTFA"/>
  </r>
  <r>
    <x v="369"/>
    <s v="Bin Kamaruzaman"/>
    <s v="Khairil Zam"/>
    <s v="SGP0109"/>
    <s v="OPEN"/>
    <x v="23"/>
    <s v="SGP"/>
    <m/>
    <m/>
    <m/>
    <m/>
    <m/>
    <s v="TFAS"/>
    <s v="CASTFA"/>
  </r>
  <r>
    <x v="370"/>
    <s v="Bin Kamsani"/>
    <s v="Fathul Rahman"/>
    <s v="SGP0071"/>
    <s v="VET"/>
    <x v="4"/>
    <s v="SGP"/>
    <m/>
    <m/>
    <m/>
    <m/>
    <m/>
    <s v="TFAS"/>
    <s v="CASTFA"/>
  </r>
  <r>
    <x v="371"/>
    <s v="Bin Mohamoad"/>
    <s v="Yazid"/>
    <s v="ENG0547"/>
    <s v="VET"/>
    <x v="14"/>
    <s v="ENG"/>
    <m/>
    <m/>
    <m/>
    <m/>
    <m/>
    <s v="ESA"/>
    <s v="CESTFA"/>
  </r>
  <r>
    <x v="372"/>
    <s v="Bin Mohd"/>
    <s v="Mohamad Zaffinoor, Kassim"/>
    <s v="SGP0095"/>
    <s v="OPEN"/>
    <x v="23"/>
    <s v="SGP"/>
    <m/>
    <m/>
    <m/>
    <m/>
    <m/>
    <s v="TFAS"/>
    <s v="CASTFA"/>
  </r>
  <r>
    <x v="373"/>
    <s v="Bin Norizal"/>
    <s v="Nor Afiq"/>
    <s v="SGP0127"/>
    <s v="U16"/>
    <x v="23"/>
    <s v="SGP"/>
    <m/>
    <m/>
    <m/>
    <m/>
    <m/>
    <s v="TFAS"/>
    <s v="CASTFA"/>
  </r>
  <r>
    <x v="374"/>
    <s v="Bin Norizal"/>
    <s v="Nor Aniq"/>
    <s v="SGP0126"/>
    <s v="U20"/>
    <x v="23"/>
    <s v="SGP"/>
    <m/>
    <m/>
    <m/>
    <m/>
    <m/>
    <s v="TFAS"/>
    <s v="CASTFA"/>
  </r>
  <r>
    <x v="375"/>
    <s v="Bin Rosli"/>
    <s v="Muhammad Salihin"/>
    <s v="SGP0115"/>
    <s v="OPEN"/>
    <x v="23"/>
    <s v="SGP"/>
    <m/>
    <m/>
    <m/>
    <m/>
    <m/>
    <s v="TFAS"/>
    <s v="CASTFA"/>
  </r>
  <r>
    <x v="376"/>
    <s v="Bin Sahir"/>
    <s v="Mohammed Irwan"/>
    <s v="SGP0137"/>
    <s v="OPEN"/>
    <x v="4"/>
    <s v="SGP"/>
    <m/>
    <m/>
    <m/>
    <m/>
    <m/>
    <s v="TFAS"/>
    <s v="CASTFA"/>
  </r>
  <r>
    <x v="377"/>
    <s v="Bin Sidek"/>
    <s v="Azlan"/>
    <s v="SGP0069"/>
    <s v="VET"/>
    <x v="4"/>
    <s v="SGP"/>
    <m/>
    <m/>
    <m/>
    <m/>
    <m/>
    <s v="TFAS"/>
    <s v="CASTFA"/>
  </r>
  <r>
    <x v="378"/>
    <s v="Bin Sidek"/>
    <s v="Izham"/>
    <s v="SGP0070"/>
    <s v="VET"/>
    <x v="4"/>
    <s v="SGP"/>
    <m/>
    <m/>
    <m/>
    <m/>
    <m/>
    <s v="TFAS"/>
    <s v="CASTFA"/>
  </r>
  <r>
    <x v="379"/>
    <s v="Bin Sulaiman"/>
    <s v="Syabil Marzuq"/>
    <s v="SGP0079"/>
    <s v="OPEN"/>
    <x v="23"/>
    <s v="SGP"/>
    <m/>
    <m/>
    <m/>
    <m/>
    <m/>
    <s v="TFAS"/>
    <s v="CASTFA"/>
  </r>
  <r>
    <x v="380"/>
    <s v="Bird"/>
    <s v="Danny"/>
    <s v="WAL0043"/>
    <s v="OPEN"/>
    <x v="165"/>
    <s v="WAL"/>
    <m/>
    <m/>
    <m/>
    <m/>
    <m/>
    <s v="WSTFA"/>
    <s v="CESTFA"/>
  </r>
  <r>
    <x v="381"/>
    <s v="Biscardi"/>
    <s v="Alfredo"/>
    <s v="ITA3120"/>
    <s v="VET"/>
    <x v="27"/>
    <s v="ITA"/>
    <m/>
    <m/>
    <m/>
    <m/>
    <m/>
    <s v="FISCT"/>
    <s v="CESTFA"/>
  </r>
  <r>
    <x v="382"/>
    <s v="Bisio"/>
    <s v="Angelo"/>
    <s v="ITA2825"/>
    <s v="U16"/>
    <x v="166"/>
    <s v="ITA"/>
    <m/>
    <m/>
    <m/>
    <m/>
    <m/>
    <s v="FISCT"/>
    <s v="CESTFA"/>
  </r>
  <r>
    <x v="383"/>
    <s v="Bisio"/>
    <s v="Luca"/>
    <s v="ITA0108"/>
    <s v="VET"/>
    <x v="166"/>
    <s v="ITA"/>
    <m/>
    <m/>
    <m/>
    <m/>
    <m/>
    <s v="FISCT"/>
    <s v="CESTFA"/>
  </r>
  <r>
    <x v="384"/>
    <s v="Biskinis"/>
    <s v="Periklis"/>
    <s v="GRE0085"/>
    <s v="OPEN"/>
    <x v="14"/>
    <s v="GRE"/>
    <m/>
    <m/>
    <m/>
    <m/>
    <m/>
    <s v="UHTF"/>
    <s v="CESTFA"/>
  </r>
  <r>
    <x v="385"/>
    <s v="Bizas"/>
    <s v="Georgios"/>
    <s v="GRE0058"/>
    <s v="OPEN"/>
    <x v="167"/>
    <s v="GRE"/>
    <m/>
    <m/>
    <m/>
    <m/>
    <m/>
    <s v="UHTF"/>
    <s v="CESTFA"/>
  </r>
  <r>
    <x v="386"/>
    <s v="Blanc"/>
    <s v="Mickaël"/>
    <s v="FRA0179"/>
    <s v="OPEN"/>
    <x v="152"/>
    <s v="FRA"/>
    <m/>
    <m/>
    <m/>
    <m/>
    <m/>
    <s v="3FTS"/>
    <s v="CESTFA"/>
  </r>
  <r>
    <x v="387"/>
    <s v="Blanchard"/>
    <s v="Martin"/>
    <s v="ENG0283"/>
    <s v="VET"/>
    <x v="14"/>
    <s v="ENG"/>
    <m/>
    <m/>
    <m/>
    <m/>
    <m/>
    <s v="ESA"/>
    <s v="CESTFA"/>
  </r>
  <r>
    <x v="388"/>
    <s v="Blanchon"/>
    <s v="Julien"/>
    <s v="FRA0180"/>
    <s v="OPEN"/>
    <x v="152"/>
    <s v="FRA"/>
    <m/>
    <m/>
    <m/>
    <m/>
    <m/>
    <s v="3FTS"/>
    <s v="CESTFA"/>
  </r>
  <r>
    <x v="389"/>
    <s v="Blanco"/>
    <s v="Jesús"/>
    <s v="ESP0584"/>
    <s v="U12"/>
    <x v="61"/>
    <s v="ESP"/>
    <m/>
    <m/>
    <m/>
    <m/>
    <m/>
    <s v="AEFM"/>
    <s v="CESTFA"/>
  </r>
  <r>
    <x v="390"/>
    <s v="Blümel"/>
    <s v="Christian"/>
    <s v="AUT0047"/>
    <s v="OPEN"/>
    <x v="124"/>
    <s v="AUT"/>
    <m/>
    <m/>
    <m/>
    <m/>
    <m/>
    <s v="EÖTV"/>
    <s v="CESTFA"/>
  </r>
  <r>
    <x v="391"/>
    <s v="Bocci"/>
    <s v="Marco"/>
    <s v="ITA3027"/>
    <s v="OPEN"/>
    <x v="0"/>
    <s v="ITA"/>
    <m/>
    <m/>
    <m/>
    <m/>
    <m/>
    <s v="FISCT"/>
    <s v="CESTFA"/>
  </r>
  <r>
    <x v="392"/>
    <s v="Bochicchio"/>
    <s v="Franco"/>
    <s v="ITA3072"/>
    <s v="VET"/>
    <x v="168"/>
    <s v="ITA"/>
    <m/>
    <m/>
    <m/>
    <m/>
    <m/>
    <s v="FISCT"/>
    <s v="CESTFA"/>
  </r>
  <r>
    <x v="393"/>
    <s v="Bock"/>
    <s v="Carsten"/>
    <s v="GER0149"/>
    <s v="OPEN"/>
    <x v="169"/>
    <s v="GER"/>
    <m/>
    <m/>
    <m/>
    <m/>
    <m/>
    <s v="DSTFB"/>
    <s v="CESTFA"/>
  </r>
  <r>
    <x v="394"/>
    <s v="Boddenberg"/>
    <s v="Stephan"/>
    <s v="GER0034"/>
    <s v="OPEN"/>
    <x v="130"/>
    <s v="GER"/>
    <m/>
    <m/>
    <m/>
    <m/>
    <m/>
    <s v="DSTFB"/>
    <s v="CESTFA"/>
  </r>
  <r>
    <x v="395"/>
    <s v="Bodily"/>
    <s v="Simon"/>
    <s v="ENG0498"/>
    <s v="OPEN"/>
    <x v="90"/>
    <s v="ENG"/>
    <m/>
    <m/>
    <m/>
    <m/>
    <m/>
    <s v="ESA"/>
    <s v="CESTFA"/>
  </r>
  <r>
    <x v="396"/>
    <s v="Bodin De Chatelard"/>
    <s v="Marcello"/>
    <s v="ITA0110"/>
    <s v="OPEN"/>
    <x v="41"/>
    <s v="ITA"/>
    <m/>
    <m/>
    <m/>
    <m/>
    <m/>
    <s v="FISCT"/>
    <s v="CESTFA"/>
  </r>
  <r>
    <x v="397"/>
    <s v="Boer"/>
    <s v="Henrik"/>
    <s v="GER0095"/>
    <s v="OPEN"/>
    <x v="5"/>
    <s v="GER"/>
    <m/>
    <m/>
    <m/>
    <m/>
    <m/>
    <s v="DSTFB"/>
    <s v="CESTFA"/>
  </r>
  <r>
    <x v="398"/>
    <s v="Bogdanidis"/>
    <s v="Achilleas"/>
    <s v="GRE0021"/>
    <s v="OPEN"/>
    <x v="67"/>
    <s v="GRE"/>
    <m/>
    <m/>
    <m/>
    <m/>
    <m/>
    <s v="UHTF"/>
    <s v="CESTFA"/>
  </r>
  <r>
    <x v="399"/>
    <s v="Bogdanidis"/>
    <s v="Alex"/>
    <s v="GRE0721"/>
    <s v="U12"/>
    <x v="14"/>
    <s v="GRE"/>
    <m/>
    <m/>
    <m/>
    <m/>
    <m/>
    <s v="UHTF"/>
    <s v="CESTFA"/>
  </r>
  <r>
    <x v="400"/>
    <s v="Bogdanidis"/>
    <s v="Dimitris"/>
    <s v="GRE0617"/>
    <s v="U12"/>
    <x v="67"/>
    <s v="GRE"/>
    <m/>
    <m/>
    <m/>
    <m/>
    <m/>
    <s v="UHTF"/>
    <s v="CESTFA"/>
  </r>
  <r>
    <x v="401"/>
    <s v="Bøge"/>
    <s v="Jonas"/>
    <s v="DEN0105"/>
    <s v="OPEN"/>
    <x v="10"/>
    <s v="DEN"/>
    <m/>
    <m/>
    <m/>
    <m/>
    <m/>
    <s v="DSBU (Provisional)"/>
    <m/>
  </r>
  <r>
    <x v="402"/>
    <s v="Boigeol"/>
    <s v="Alban"/>
    <s v="FRA0268"/>
    <s v="VET"/>
    <x v="73"/>
    <s v="FRA"/>
    <m/>
    <m/>
    <m/>
    <m/>
    <m/>
    <s v="3FTS"/>
    <s v="CESTFA"/>
  </r>
  <r>
    <x v="403"/>
    <s v="Bolognino"/>
    <s v="Andrea"/>
    <s v="ITA1553"/>
    <s v="OPEN"/>
    <x v="170"/>
    <s v="ITA"/>
    <m/>
    <m/>
    <m/>
    <m/>
    <m/>
    <s v="FISCT"/>
    <s v="CESTFA"/>
  </r>
  <r>
    <x v="404"/>
    <s v="Bolognino"/>
    <s v="Massimo"/>
    <s v="ITA0111"/>
    <s v="VET"/>
    <x v="170"/>
    <s v="ITA"/>
    <m/>
    <m/>
    <m/>
    <m/>
    <m/>
    <s v="FISCT"/>
    <s v="CESTFA"/>
  </r>
  <r>
    <x v="405"/>
    <s v="Bolte"/>
    <s v="René"/>
    <s v="NED0017"/>
    <s v="VET"/>
    <x v="14"/>
    <s v="NED"/>
    <m/>
    <m/>
    <m/>
    <m/>
    <m/>
    <s v="NSVB"/>
    <s v="CESTFA"/>
  </r>
  <r>
    <x v="406"/>
    <s v="Boltz"/>
    <s v="Corentin"/>
    <s v="BEL0217"/>
    <s v="OPEN"/>
    <x v="171"/>
    <s v="BEL"/>
    <m/>
    <m/>
    <m/>
    <m/>
    <m/>
    <m/>
    <m/>
  </r>
  <r>
    <x v="407"/>
    <s v="Bolusset"/>
    <s v="Cyril"/>
    <s v="FRA0194"/>
    <s v="OPEN"/>
    <x v="152"/>
    <s v="FRA"/>
    <m/>
    <m/>
    <m/>
    <m/>
    <m/>
    <s v="3FTS"/>
    <s v="CESTFA"/>
  </r>
  <r>
    <x v="408"/>
    <s v="Bolusset"/>
    <s v="Noé"/>
    <s v="FRA0181"/>
    <s v="U20"/>
    <x v="152"/>
    <s v="FRA"/>
    <m/>
    <m/>
    <m/>
    <m/>
    <m/>
    <s v="3FTS"/>
    <s v="CESTFA"/>
  </r>
  <r>
    <x v="409"/>
    <s v="Bombacigno"/>
    <s v="Francesco"/>
    <s v="ITA2200"/>
    <s v="OPEN"/>
    <x v="27"/>
    <s v="ITA"/>
    <m/>
    <m/>
    <m/>
    <m/>
    <m/>
    <s v="FISCT"/>
    <s v="CESTFA"/>
  </r>
  <r>
    <x v="410"/>
    <s v="Bonanni"/>
    <s v="Danilo"/>
    <s v="ITA2999"/>
    <s v="OPEN"/>
    <x v="155"/>
    <s v="ITA"/>
    <m/>
    <m/>
    <m/>
    <m/>
    <m/>
    <s v="FISCT"/>
    <s v="CESTFA"/>
  </r>
  <r>
    <x v="411"/>
    <s v="Bonardi"/>
    <s v="Luciano"/>
    <s v="ITA3389"/>
    <s v="VET"/>
    <x v="119"/>
    <s v="ITA"/>
    <m/>
    <m/>
    <m/>
    <m/>
    <m/>
    <s v="FISCT"/>
    <s v="CESTFA"/>
  </r>
  <r>
    <x v="412"/>
    <s v="Bonavia"/>
    <s v="Jose Luis"/>
    <s v="GIB0009"/>
    <s v="VET"/>
    <x v="31"/>
    <s v="GIB"/>
    <m/>
    <m/>
    <m/>
    <m/>
    <m/>
    <s v="GTSA"/>
    <s v="CESTFA"/>
  </r>
  <r>
    <x v="413"/>
    <s v="Bonciani"/>
    <s v="Marco"/>
    <s v="ITA0121"/>
    <s v="OPEN"/>
    <x v="33"/>
    <s v="ITA"/>
    <m/>
    <m/>
    <m/>
    <m/>
    <m/>
    <s v="FISCT"/>
    <s v="CESTFA"/>
  </r>
  <r>
    <x v="414"/>
    <s v="Bonciani"/>
    <s v="Samuele"/>
    <s v="ITA2649"/>
    <s v="U16"/>
    <x v="33"/>
    <s v="ITA"/>
    <m/>
    <m/>
    <m/>
    <m/>
    <m/>
    <s v="FISCT"/>
    <s v="CESTFA"/>
  </r>
  <r>
    <x v="415"/>
    <s v="Bond"/>
    <s v="Jared"/>
    <s v="USA0430"/>
    <s v="OPEN"/>
    <x v="43"/>
    <s v="USA"/>
    <m/>
    <m/>
    <m/>
    <m/>
    <m/>
    <s v="ASA"/>
    <s v="CONASTF"/>
  </r>
  <r>
    <x v="416"/>
    <s v="Bondi"/>
    <s v="Clément"/>
    <s v="FRA0235"/>
    <s v="U12"/>
    <x v="138"/>
    <s v="FRA"/>
    <m/>
    <m/>
    <m/>
    <m/>
    <m/>
    <s v="3FTS"/>
    <s v="CESTFA"/>
  </r>
  <r>
    <x v="417"/>
    <s v="Bondi"/>
    <s v="Frédéric"/>
    <s v="FRA0234"/>
    <s v="OPEN"/>
    <x v="138"/>
    <s v="FRA"/>
    <m/>
    <m/>
    <m/>
    <m/>
    <m/>
    <s v="3FTS"/>
    <s v="CESTFA"/>
  </r>
  <r>
    <x v="418"/>
    <s v="Bonelli"/>
    <s v="Marco"/>
    <s v="ITA2881"/>
    <s v="OPEN"/>
    <x v="139"/>
    <s v="ITA"/>
    <m/>
    <m/>
    <m/>
    <m/>
    <m/>
    <s v="FISCT"/>
    <s v="CESTFA"/>
  </r>
  <r>
    <x v="419"/>
    <s v="Bonfante"/>
    <s v="Pietro"/>
    <s v="ITA0122"/>
    <s v="VET"/>
    <x v="28"/>
    <s v="ITA"/>
    <m/>
    <m/>
    <m/>
    <m/>
    <m/>
    <s v="FISCT"/>
    <s v="CESTFA"/>
  </r>
  <r>
    <x v="420"/>
    <s v="Bonfanti"/>
    <s v="Giulio"/>
    <s v="BEL0358"/>
    <s v="VET"/>
    <x v="172"/>
    <s v="BEL"/>
    <m/>
    <m/>
    <m/>
    <m/>
    <m/>
    <m/>
    <m/>
  </r>
  <r>
    <x v="421"/>
    <s v="Boniface"/>
    <s v="Hélène"/>
    <s v="ITA1785"/>
    <s v="VET"/>
    <x v="173"/>
    <s v="ITA"/>
    <m/>
    <m/>
    <m/>
    <m/>
    <m/>
    <s v="FISCT"/>
    <s v="CESTFA"/>
  </r>
  <r>
    <x v="422"/>
    <s v="Bonnet"/>
    <s v="Cyprien"/>
    <s v="FRA0189"/>
    <s v="OPEN"/>
    <x v="152"/>
    <s v="FRA"/>
    <m/>
    <m/>
    <m/>
    <m/>
    <m/>
    <s v="3FTS"/>
    <s v="CESTFA"/>
  </r>
  <r>
    <x v="423"/>
    <s v="Bonnici"/>
    <s v="Adrian"/>
    <s v="MLT0008"/>
    <s v="VET"/>
    <x v="83"/>
    <s v="MLT"/>
    <m/>
    <m/>
    <m/>
    <m/>
    <m/>
    <s v="MTFSA"/>
    <s v="CESTFA"/>
  </r>
  <r>
    <x v="424"/>
    <s v="Bonnici"/>
    <s v="Alfred"/>
    <s v="MLT0100"/>
    <s v="OPEN"/>
    <x v="83"/>
    <s v="MLT"/>
    <m/>
    <m/>
    <m/>
    <m/>
    <m/>
    <s v="MTFSA"/>
    <s v="CESTFA"/>
  </r>
  <r>
    <x v="425"/>
    <s v="Bonnici"/>
    <s v="Jamie"/>
    <s v="MLT0071"/>
    <s v="OPEN"/>
    <x v="174"/>
    <s v="MLT"/>
    <m/>
    <m/>
    <m/>
    <m/>
    <m/>
    <s v="MTFSA"/>
    <s v="CESTFA"/>
  </r>
  <r>
    <x v="426"/>
    <s v="Bonnici"/>
    <s v="Jayden"/>
    <s v="MLT0113"/>
    <s v="U16"/>
    <x v="83"/>
    <s v="MLT"/>
    <m/>
    <m/>
    <m/>
    <m/>
    <m/>
    <s v="MTFSA"/>
    <s v="CESTFA"/>
  </r>
  <r>
    <x v="427"/>
    <s v="Bonnici"/>
    <s v="Jeshua"/>
    <s v="MLT0073"/>
    <s v="U20"/>
    <x v="83"/>
    <s v="MLT"/>
    <m/>
    <m/>
    <m/>
    <m/>
    <m/>
    <s v="MTFSA"/>
    <s v="CESTFA"/>
  </r>
  <r>
    <x v="428"/>
    <s v="Bonte"/>
    <s v="Jordan"/>
    <s v="BEL0272"/>
    <s v="OPEN"/>
    <x v="51"/>
    <s v="BEL"/>
    <m/>
    <m/>
    <m/>
    <m/>
    <m/>
    <m/>
    <m/>
  </r>
  <r>
    <x v="429"/>
    <s v="Boon"/>
    <s v="Muhd Adam Ihsan"/>
    <s v="SGP0019"/>
    <s v="OPEN"/>
    <x v="23"/>
    <s v="SGP"/>
    <m/>
    <m/>
    <m/>
    <m/>
    <m/>
    <s v="TFAS"/>
    <s v="CASTFA"/>
  </r>
  <r>
    <x v="430"/>
    <s v="Boon"/>
    <s v="Owen"/>
    <s v="ENG0566"/>
    <s v="U16"/>
    <x v="14"/>
    <s v="ENG"/>
    <m/>
    <m/>
    <m/>
    <m/>
    <m/>
    <s v="ESA"/>
    <s v="CESTFA"/>
  </r>
  <r>
    <x v="431"/>
    <s v="Boothman"/>
    <s v="Jeremy"/>
    <s v="ENG0097"/>
    <s v="VET"/>
    <x v="19"/>
    <s v="ENG"/>
    <m/>
    <m/>
    <m/>
    <m/>
    <m/>
    <s v="ESA"/>
    <s v="CESTFA"/>
  </r>
  <r>
    <x v="432"/>
    <s v="Borbones"/>
    <s v="Ferran"/>
    <s v="ESP0478"/>
    <s v="VET"/>
    <x v="12"/>
    <s v="ESP"/>
    <m/>
    <m/>
    <m/>
    <m/>
    <m/>
    <s v="AEFM"/>
    <s v="CESTFA"/>
  </r>
  <r>
    <x v="433"/>
    <s v="Borg"/>
    <s v="Angelo"/>
    <s v="MLT0009"/>
    <s v="OPEN"/>
    <x v="104"/>
    <s v="MLT"/>
    <m/>
    <m/>
    <m/>
    <m/>
    <m/>
    <s v="MTFSA"/>
    <s v="CESTFA"/>
  </r>
  <r>
    <x v="434"/>
    <s v="Borg Bonaci"/>
    <s v="Joseph"/>
    <s v="MLT0010"/>
    <s v="OPEN"/>
    <x v="104"/>
    <s v="MLT"/>
    <m/>
    <m/>
    <m/>
    <m/>
    <m/>
    <s v="MTFSA"/>
    <s v="CESTFA"/>
  </r>
  <r>
    <x v="435"/>
    <s v="Borges"/>
    <s v="Fabio"/>
    <s v="BRA0008"/>
    <s v="OPEN"/>
    <x v="14"/>
    <s v="BRA"/>
    <m/>
    <m/>
    <m/>
    <m/>
    <m/>
    <s v="CBFM (Suspended)"/>
    <m/>
  </r>
  <r>
    <x v="436"/>
    <s v="Borgna"/>
    <s v="Maurizio"/>
    <s v="ITA3057"/>
    <s v="OPEN"/>
    <x v="87"/>
    <s v="ITA"/>
    <m/>
    <m/>
    <m/>
    <m/>
    <m/>
    <s v="FISCT"/>
    <s v="CESTFA"/>
  </r>
  <r>
    <x v="437"/>
    <s v="Borgo"/>
    <s v="Francesco"/>
    <s v="ITA1748"/>
    <s v="U20"/>
    <x v="41"/>
    <s v="ITA"/>
    <m/>
    <m/>
    <m/>
    <m/>
    <m/>
    <s v="FISCT"/>
    <s v="CESTFA"/>
  </r>
  <r>
    <x v="438"/>
    <s v="Boroli"/>
    <s v="Guglielmo"/>
    <s v="FRA0260"/>
    <s v="U12"/>
    <x v="175"/>
    <s v="FRA"/>
    <m/>
    <m/>
    <m/>
    <m/>
    <m/>
    <s v="3FTS"/>
    <s v="CESTFA"/>
  </r>
  <r>
    <x v="439"/>
    <s v="Borriello"/>
    <s v="Marco"/>
    <s v="ITA0126"/>
    <s v="VET"/>
    <x v="176"/>
    <s v="ITA"/>
    <m/>
    <m/>
    <m/>
    <m/>
    <m/>
    <s v="FISCT"/>
    <s v="CESTFA"/>
  </r>
  <r>
    <x v="440"/>
    <s v="Borsani"/>
    <s v="Alberto"/>
    <s v="ITA2676"/>
    <s v="OPEN"/>
    <x v="177"/>
    <s v="ITA"/>
    <m/>
    <m/>
    <m/>
    <m/>
    <m/>
    <s v="FISCT"/>
    <s v="CESTFA"/>
  </r>
  <r>
    <x v="441"/>
    <s v="Boschi"/>
    <s v="Massimiliano"/>
    <s v="ITA3063"/>
    <m/>
    <x v="25"/>
    <s v="ITA"/>
    <m/>
    <m/>
    <m/>
    <m/>
    <m/>
    <s v="FISCT"/>
    <s v="CESTFA"/>
  </r>
  <r>
    <x v="442"/>
    <s v="Botas"/>
    <s v="Ricardo"/>
    <s v="POR0212"/>
    <s v="OPEN"/>
    <x v="15"/>
    <s v="POR"/>
    <m/>
    <m/>
    <m/>
    <m/>
    <m/>
    <s v="APS"/>
    <s v="CESTFA"/>
  </r>
  <r>
    <x v="443"/>
    <s v="Botticelli"/>
    <s v="Jadin"/>
    <s v="USA0419"/>
    <s v="U16"/>
    <x v="143"/>
    <s v="USA"/>
    <m/>
    <m/>
    <m/>
    <m/>
    <m/>
    <s v="ASA"/>
    <s v="CONASTF"/>
  </r>
  <r>
    <x v="444"/>
    <s v="Bottino"/>
    <s v="Alessio"/>
    <s v="ITA3432"/>
    <s v="U12"/>
    <x v="166"/>
    <s v="ITA"/>
    <m/>
    <m/>
    <m/>
    <m/>
    <m/>
    <s v="FISCT"/>
    <s v="CESTFA"/>
  </r>
  <r>
    <x v="445"/>
    <s v="Bouchez"/>
    <s v="Charlotte"/>
    <s v="BEL0266"/>
    <s v="U20"/>
    <x v="178"/>
    <s v="BEL"/>
    <m/>
    <m/>
    <m/>
    <m/>
    <m/>
    <m/>
    <m/>
  </r>
  <r>
    <x v="446"/>
    <s v="Bouchez"/>
    <s v="Corentin"/>
    <s v="BEL0027"/>
    <s v="OPEN"/>
    <x v="178"/>
    <s v="BEL"/>
    <m/>
    <m/>
    <m/>
    <m/>
    <m/>
    <m/>
    <m/>
  </r>
  <r>
    <x v="447"/>
    <s v="Bouchez"/>
    <s v="Denis"/>
    <s v="BEL0028"/>
    <s v="OPEN"/>
    <x v="178"/>
    <s v="BEL"/>
    <m/>
    <m/>
    <m/>
    <m/>
    <m/>
    <m/>
    <m/>
  </r>
  <r>
    <x v="448"/>
    <s v="Boulanger"/>
    <s v="David"/>
    <s v="BEL0446"/>
    <s v="OPEN"/>
    <x v="172"/>
    <s v="BEL"/>
    <m/>
    <m/>
    <m/>
    <m/>
    <m/>
    <m/>
    <m/>
  </r>
  <r>
    <x v="449"/>
    <s v="Boulanger"/>
    <s v="Richard"/>
    <s v="BEL0044"/>
    <s v="VET"/>
    <x v="172"/>
    <s v="BEL"/>
    <m/>
    <m/>
    <m/>
    <m/>
    <m/>
    <m/>
    <m/>
  </r>
  <r>
    <x v="450"/>
    <s v="Bourtzonis"/>
    <s v="Marios"/>
    <s v="GRE0252"/>
    <s v="OPEN"/>
    <x v="14"/>
    <s v="GRE"/>
    <m/>
    <m/>
    <m/>
    <m/>
    <m/>
    <s v="UHTF"/>
    <s v="CESTFA"/>
  </r>
  <r>
    <x v="451"/>
    <s v="Bouzid"/>
    <s v="Marianna"/>
    <s v="GRE0764"/>
    <s v="OPEN"/>
    <x v="179"/>
    <s v="GRE"/>
    <m/>
    <m/>
    <m/>
    <m/>
    <m/>
    <s v="UHTF"/>
    <s v="CESTFA"/>
  </r>
  <r>
    <x v="452"/>
    <s v="Bowen"/>
    <s v="Tim"/>
    <s v="WAL0031"/>
    <s v="VET"/>
    <x v="75"/>
    <s v="WAL"/>
    <m/>
    <m/>
    <m/>
    <m/>
    <m/>
    <s v="WSTFA"/>
    <s v="CESTFA"/>
  </r>
  <r>
    <x v="453"/>
    <s v="Boyer"/>
    <s v="Andrew"/>
    <s v="ENG0006"/>
    <s v="VET"/>
    <x v="180"/>
    <s v="ENG"/>
    <m/>
    <m/>
    <m/>
    <m/>
    <m/>
    <s v="ESA"/>
    <s v="CESTFA"/>
  </r>
  <r>
    <x v="454"/>
    <s v="Boyle"/>
    <s v="Paul"/>
    <s v="NIR0023"/>
    <s v="VET"/>
    <x v="181"/>
    <s v="NIR"/>
    <m/>
    <m/>
    <m/>
    <m/>
    <m/>
    <s v="NITFA"/>
    <s v="CESTFA"/>
  </r>
  <r>
    <x v="455"/>
    <s v="Bozzano"/>
    <s v="Davide"/>
    <s v="ARG0069"/>
    <s v="VET"/>
    <x v="157"/>
    <s v="ARG"/>
    <m/>
    <m/>
    <m/>
    <m/>
    <m/>
    <s v="LAFM (Suspended)"/>
    <s v="CSAFM"/>
  </r>
  <r>
    <x v="456"/>
    <s v="Bracali"/>
    <s v="Alessandro"/>
    <s v="ITA2607"/>
    <s v="VET"/>
    <x v="44"/>
    <s v="ITA"/>
    <m/>
    <m/>
    <m/>
    <m/>
    <m/>
    <s v="FISCT"/>
    <s v="CESTFA"/>
  </r>
  <r>
    <x v="457"/>
    <s v="Brach"/>
    <s v="Christophe"/>
    <s v="BEL0127"/>
    <s v="OPEN"/>
    <x v="182"/>
    <s v="BEL"/>
    <m/>
    <m/>
    <m/>
    <m/>
    <m/>
    <m/>
    <m/>
  </r>
  <r>
    <x v="458"/>
    <s v="Brach"/>
    <s v="Tom"/>
    <s v="BEL0285"/>
    <s v="U20"/>
    <x v="6"/>
    <s v="BEL"/>
    <m/>
    <m/>
    <m/>
    <m/>
    <m/>
    <m/>
    <m/>
  </r>
  <r>
    <x v="459"/>
    <s v="Bradke"/>
    <s v="Kim"/>
    <s v="GER0136"/>
    <s v="OPEN"/>
    <x v="108"/>
    <s v="GER"/>
    <m/>
    <m/>
    <m/>
    <m/>
    <m/>
    <s v="DSTFB"/>
    <s v="CESTFA"/>
  </r>
  <r>
    <x v="460"/>
    <s v="Bradley"/>
    <s v="Jeremy"/>
    <s v="ENG0025"/>
    <s v="VET"/>
    <x v="19"/>
    <s v="ENG"/>
    <m/>
    <m/>
    <m/>
    <m/>
    <m/>
    <s v="ESA"/>
    <s v="CESTFA"/>
  </r>
  <r>
    <x v="461"/>
    <s v="Bradley"/>
    <s v="Lochlin"/>
    <s v="NIR0030"/>
    <m/>
    <x v="183"/>
    <s v="NIR"/>
    <m/>
    <m/>
    <m/>
    <m/>
    <m/>
    <s v="NITFA"/>
    <s v="CESTFA"/>
  </r>
  <r>
    <x v="462"/>
    <s v="Bradley"/>
    <s v="Martinog"/>
    <s v="NIR0025"/>
    <s v="OPEN"/>
    <x v="181"/>
    <s v="NIR"/>
    <m/>
    <m/>
    <m/>
    <m/>
    <m/>
    <s v="NITFA"/>
    <s v="CESTFA"/>
  </r>
  <r>
    <x v="463"/>
    <s v="Braham"/>
    <s v="Tony"/>
    <s v="BEL0173"/>
    <s v="OPEN"/>
    <x v="6"/>
    <s v="BEL"/>
    <m/>
    <m/>
    <m/>
    <m/>
    <m/>
    <m/>
    <m/>
  </r>
  <r>
    <x v="464"/>
    <s v="Brandi"/>
    <s v="Luigi"/>
    <s v="ITA3340"/>
    <s v="OPEN"/>
    <x v="134"/>
    <s v="ITA"/>
    <m/>
    <m/>
    <m/>
    <m/>
    <m/>
    <s v="FISCT"/>
    <s v="CESTFA"/>
  </r>
  <r>
    <x v="465"/>
    <s v="Brandi"/>
    <s v="Vincenzo"/>
    <s v="ITA3341"/>
    <s v="U12"/>
    <x v="134"/>
    <s v="ITA"/>
    <m/>
    <m/>
    <m/>
    <m/>
    <m/>
    <s v="FISCT"/>
    <s v="CESTFA"/>
  </r>
  <r>
    <x v="466"/>
    <s v="Braun"/>
    <s v="Josh"/>
    <s v="CAN0005"/>
    <s v="OPEN"/>
    <x v="184"/>
    <s v="CAN"/>
    <m/>
    <m/>
    <m/>
    <m/>
    <m/>
    <s v="SCA"/>
    <m/>
  </r>
  <r>
    <x v="467"/>
    <s v="Brekke"/>
    <s v="Svein Arne"/>
    <s v="NOR0006"/>
    <s v="OPEN"/>
    <x v="185"/>
    <s v="NOR"/>
    <m/>
    <m/>
    <m/>
    <m/>
    <m/>
    <s v="NBFF (Suspended)"/>
    <m/>
  </r>
  <r>
    <x v="468"/>
    <s v="Brener"/>
    <s v="Jonty"/>
    <s v="AUS0054"/>
    <s v="OPEN"/>
    <x v="103"/>
    <s v="AUS"/>
    <m/>
    <m/>
    <m/>
    <m/>
    <m/>
    <s v="ATFA"/>
    <s v="CASTFA"/>
  </r>
  <r>
    <x v="469"/>
    <s v="Brescia"/>
    <s v="Guido"/>
    <s v="ITA0133"/>
    <s v="VET"/>
    <x v="20"/>
    <s v="ITA"/>
    <m/>
    <m/>
    <m/>
    <m/>
    <m/>
    <s v="FISCT"/>
    <s v="CESTFA"/>
  </r>
  <r>
    <x v="470"/>
    <s v="Breselg"/>
    <s v="Steven"/>
    <s v="GER0035"/>
    <s v="OPEN"/>
    <x v="91"/>
    <s v="GER"/>
    <m/>
    <m/>
    <m/>
    <m/>
    <m/>
    <s v="DSTFB"/>
    <s v="CESTFA"/>
  </r>
  <r>
    <x v="471"/>
    <s v="Bressi"/>
    <s v="Francesco"/>
    <s v="ITA0134"/>
    <s v="VET"/>
    <x v="0"/>
    <s v="ITA"/>
    <m/>
    <m/>
    <m/>
    <m/>
    <m/>
    <s v="FISCT"/>
    <s v="CESTFA"/>
  </r>
  <r>
    <x v="472"/>
    <s v="Brierley"/>
    <s v="Derek"/>
    <s v="SGP0107"/>
    <s v="VET"/>
    <x v="4"/>
    <s v="SGP"/>
    <m/>
    <m/>
    <m/>
    <m/>
    <m/>
    <s v="TFAS"/>
    <s v="CASTFA"/>
  </r>
  <r>
    <x v="473"/>
    <s v="Briffett"/>
    <s v="Stuart"/>
    <s v="ENG0474"/>
    <s v="VET"/>
    <x v="90"/>
    <s v="ENG"/>
    <m/>
    <m/>
    <m/>
    <m/>
    <m/>
    <s v="ESA"/>
    <s v="CESTFA"/>
  </r>
  <r>
    <x v="474"/>
    <s v="Brignon-Kiegl"/>
    <s v="Isaac"/>
    <s v="FRA0266"/>
    <s v="U12"/>
    <x v="175"/>
    <s v="FRA"/>
    <m/>
    <m/>
    <m/>
    <m/>
    <m/>
    <s v="3FTS"/>
    <s v="CESTFA"/>
  </r>
  <r>
    <x v="475"/>
    <s v="Brill"/>
    <s v="Nick"/>
    <s v="AUS0139"/>
    <s v="OPEN"/>
    <x v="186"/>
    <s v="AUS"/>
    <m/>
    <m/>
    <m/>
    <m/>
    <m/>
    <s v="ATFA"/>
    <s v="CASTFA"/>
  </r>
  <r>
    <x v="476"/>
    <s v="Brillantino"/>
    <s v="Maurizio"/>
    <s v="ITA0136"/>
    <s v="VET"/>
    <x v="114"/>
    <s v="ITA"/>
    <m/>
    <m/>
    <m/>
    <m/>
    <m/>
    <s v="FISCT"/>
    <s v="CESTFA"/>
  </r>
  <r>
    <x v="477"/>
    <s v="Briskolas"/>
    <s v="Georgios"/>
    <s v="GRE0641"/>
    <s v="OPEN"/>
    <x v="53"/>
    <s v="GRE"/>
    <m/>
    <m/>
    <m/>
    <m/>
    <m/>
    <s v="UHTF"/>
    <s v="CESTFA"/>
  </r>
  <r>
    <x v="478"/>
    <s v="Bronzetti"/>
    <s v="Marco"/>
    <s v="ITA3318"/>
    <s v="VET"/>
    <x v="187"/>
    <s v="ITA"/>
    <m/>
    <m/>
    <m/>
    <m/>
    <m/>
    <s v="FISCT"/>
    <s v="CESTFA"/>
  </r>
  <r>
    <x v="479"/>
    <s v="Brown"/>
    <s v="Geoffrey"/>
    <s v="ENG0436"/>
    <s v="VET"/>
    <x v="14"/>
    <s v="ENG"/>
    <m/>
    <m/>
    <m/>
    <m/>
    <m/>
    <s v="ESA"/>
    <s v="CESTFA"/>
  </r>
  <r>
    <x v="480"/>
    <s v="Brunelli"/>
    <s v="Marco"/>
    <s v="ITA0137"/>
    <s v="OPEN"/>
    <x v="155"/>
    <s v="ITA"/>
    <m/>
    <m/>
    <m/>
    <m/>
    <m/>
    <s v="FISCT"/>
    <s v="CESTFA"/>
  </r>
  <r>
    <x v="481"/>
    <s v="Bruno"/>
    <s v="Agustin"/>
    <s v="ARG0062"/>
    <s v="OPEN"/>
    <x v="157"/>
    <s v="ARG"/>
    <m/>
    <m/>
    <m/>
    <m/>
    <m/>
    <s v="LAFM (Suspended)"/>
    <s v="CSAFM"/>
  </r>
  <r>
    <x v="482"/>
    <s v="Bryder"/>
    <s v="Mads"/>
    <s v="DEN0098"/>
    <s v="VET"/>
    <x v="10"/>
    <s v="DEN"/>
    <m/>
    <m/>
    <m/>
    <m/>
    <m/>
    <s v="DSBU (Provisional)"/>
    <m/>
  </r>
  <r>
    <x v="483"/>
    <s v="Buccheri"/>
    <s v="Michael"/>
    <s v="USA0422"/>
    <s v="VET"/>
    <x v="60"/>
    <s v="USA"/>
    <m/>
    <m/>
    <m/>
    <m/>
    <m/>
    <s v="ASA"/>
    <s v="CONASTF"/>
  </r>
  <r>
    <x v="484"/>
    <s v="Buccheri"/>
    <s v="Salvatore"/>
    <s v="ITA1710"/>
    <s v="OPEN"/>
    <x v="188"/>
    <s v="ITA"/>
    <m/>
    <m/>
    <m/>
    <m/>
    <m/>
    <s v="FISCT"/>
    <s v="CESTFA"/>
  </r>
  <r>
    <x v="485"/>
    <s v="Bucci"/>
    <s v="Pierpaolo"/>
    <s v="ITA2827"/>
    <s v="OPEN"/>
    <x v="189"/>
    <s v="ITA"/>
    <m/>
    <m/>
    <m/>
    <m/>
    <m/>
    <s v="FISCT"/>
    <s v="CESTFA"/>
  </r>
  <r>
    <x v="486"/>
    <s v="Buhl Hansen"/>
    <s v="Anders"/>
    <s v="DEN0010"/>
    <s v="OPEN"/>
    <x v="10"/>
    <s v="DEN"/>
    <m/>
    <m/>
    <m/>
    <m/>
    <m/>
    <s v="DSBU (Provisional)"/>
    <m/>
  </r>
  <r>
    <x v="487"/>
    <s v="Buldorini"/>
    <s v="Ricardo"/>
    <s v="ARG0065"/>
    <s v="OPEN"/>
    <x v="157"/>
    <s v="ARG"/>
    <m/>
    <m/>
    <m/>
    <m/>
    <m/>
    <s v="LAFM (Suspended)"/>
    <s v="CSAFM"/>
  </r>
  <r>
    <x v="488"/>
    <s v="Bun Kamsani"/>
    <s v="Fazlur Rahman"/>
    <s v="SGP0111"/>
    <s v="U20"/>
    <x v="4"/>
    <s v="SGP"/>
    <m/>
    <m/>
    <m/>
    <m/>
    <m/>
    <s v="TFAS"/>
    <s v="CASTFA"/>
  </r>
  <r>
    <x v="489"/>
    <s v="Buono"/>
    <s v="Gaetano"/>
    <s v="ITA3355"/>
    <s v="U12"/>
    <x v="190"/>
    <s v="ITA"/>
    <m/>
    <m/>
    <m/>
    <m/>
    <m/>
    <s v="FISCT"/>
    <s v="CESTFA"/>
  </r>
  <r>
    <x v="490"/>
    <s v="Buono"/>
    <s v="Gianluca"/>
    <s v="ITA1309"/>
    <s v="OPEN"/>
    <x v="190"/>
    <s v="ITA"/>
    <m/>
    <m/>
    <m/>
    <m/>
    <m/>
    <s v="FISCT"/>
    <s v="CESTFA"/>
  </r>
  <r>
    <x v="491"/>
    <s v="Buono"/>
    <s v="Lorenzo"/>
    <s v="ITA3354"/>
    <s v="U12"/>
    <x v="190"/>
    <s v="ITA"/>
    <m/>
    <m/>
    <m/>
    <m/>
    <m/>
    <s v="FISCT"/>
    <s v="CESTFA"/>
  </r>
  <r>
    <x v="492"/>
    <s v="Buono"/>
    <s v="Stefano"/>
    <s v="ITA0139"/>
    <s v="OPEN"/>
    <x v="190"/>
    <s v="ITA"/>
    <m/>
    <m/>
    <m/>
    <m/>
    <m/>
    <s v="FISCT"/>
    <s v="CESTFA"/>
  </r>
  <r>
    <x v="493"/>
    <s v="Burford"/>
    <s v="Chris"/>
    <s v="ENG0466"/>
    <s v="VET"/>
    <x v="75"/>
    <s v="ENG"/>
    <m/>
    <m/>
    <m/>
    <m/>
    <m/>
    <s v="ESA"/>
    <s v="CESTFA"/>
  </r>
  <r>
    <x v="494"/>
    <s v="Burns"/>
    <s v="Tom"/>
    <s v="SCO0016"/>
    <s v="VET"/>
    <x v="49"/>
    <s v="SCO"/>
    <m/>
    <m/>
    <m/>
    <m/>
    <m/>
    <s v="SSA"/>
    <s v="CESTFA"/>
  </r>
  <r>
    <x v="495"/>
    <s v="Burt"/>
    <s v="Paul"/>
    <s v="CAN0029"/>
    <s v="VET"/>
    <x v="191"/>
    <s v="CAN"/>
    <m/>
    <m/>
    <m/>
    <m/>
    <m/>
    <s v="SCA"/>
    <m/>
  </r>
  <r>
    <x v="496"/>
    <s v="Burt"/>
    <s v="Shaun"/>
    <s v="CAN0020"/>
    <s v="VET"/>
    <x v="191"/>
    <s v="CAN"/>
    <m/>
    <m/>
    <m/>
    <m/>
    <m/>
    <s v="SCA"/>
    <m/>
  </r>
  <r>
    <x v="497"/>
    <s v="Busch"/>
    <s v="David"/>
    <s v="AUT0069"/>
    <s v="VET"/>
    <x v="63"/>
    <s v="AUT"/>
    <m/>
    <m/>
    <m/>
    <m/>
    <m/>
    <s v="EÖTV"/>
    <s v="CESTFA"/>
  </r>
  <r>
    <x v="498"/>
    <s v="Busch"/>
    <s v="Thomas"/>
    <s v="AUT0070"/>
    <s v="VET"/>
    <x v="124"/>
    <s v="AUT"/>
    <m/>
    <m/>
    <m/>
    <m/>
    <m/>
    <s v="EÖTV"/>
    <s v="CESTFA"/>
  </r>
  <r>
    <x v="499"/>
    <s v="Buscicchio"/>
    <s v="Roberto"/>
    <s v="ITA3402"/>
    <s v="VET"/>
    <x v="54"/>
    <s v="ITA"/>
    <m/>
    <m/>
    <m/>
    <m/>
    <m/>
    <s v="FISCT"/>
    <s v="CESTFA"/>
  </r>
  <r>
    <x v="500"/>
    <s v="Büsing"/>
    <s v="Alexander"/>
    <s v="GER0003"/>
    <s v="OPEN"/>
    <x v="5"/>
    <s v="GER"/>
    <m/>
    <m/>
    <m/>
    <m/>
    <m/>
    <s v="DSTFB"/>
    <s v="CESTFA"/>
  </r>
  <r>
    <x v="501"/>
    <s v="Büsing"/>
    <s v="Thossa"/>
    <s v="GER0004"/>
    <s v="VET"/>
    <x v="108"/>
    <s v="GER"/>
    <m/>
    <m/>
    <m/>
    <m/>
    <m/>
    <s v="DSTFB"/>
    <s v="CESTFA"/>
  </r>
  <r>
    <x v="502"/>
    <s v="Büsing"/>
    <s v="Victoria"/>
    <s v="GER0005"/>
    <s v="OPEN"/>
    <x v="108"/>
    <s v="GER"/>
    <m/>
    <m/>
    <m/>
    <m/>
    <m/>
    <s v="DSTFB"/>
    <s v="CESTFA"/>
  </r>
  <r>
    <x v="503"/>
    <s v="Busmann"/>
    <s v="Joachim"/>
    <s v="GER0150"/>
    <s v="VET"/>
    <x v="5"/>
    <s v="GER"/>
    <m/>
    <m/>
    <m/>
    <m/>
    <m/>
    <s v="DSTFB"/>
    <s v="CESTFA"/>
  </r>
  <r>
    <x v="504"/>
    <s v="Bussotti"/>
    <s v="Michele"/>
    <s v="ITA2550"/>
    <s v="VET"/>
    <x v="155"/>
    <s v="ITA"/>
    <m/>
    <m/>
    <m/>
    <m/>
    <m/>
    <s v="FISCT"/>
    <s v="CESTFA"/>
  </r>
  <r>
    <x v="505"/>
    <s v="Butler"/>
    <s v="Dave"/>
    <s v="SCO0017"/>
    <s v="VET"/>
    <x v="49"/>
    <s v="SCO"/>
    <m/>
    <m/>
    <m/>
    <m/>
    <m/>
    <s v="SSA"/>
    <s v="CESTFA"/>
  </r>
  <r>
    <x v="506"/>
    <s v="Butterworth"/>
    <s v="Brian"/>
    <s v="ENG0287"/>
    <s v="OPEN"/>
    <x v="141"/>
    <s v="ENG"/>
    <m/>
    <m/>
    <m/>
    <m/>
    <m/>
    <s v="ESA"/>
    <s v="CESTFA"/>
  </r>
  <r>
    <x v="507"/>
    <s v="Buttitta"/>
    <s v="Eleonora"/>
    <s v="ITA0142"/>
    <s v="OPEN"/>
    <x v="190"/>
    <s v="ITA"/>
    <m/>
    <m/>
    <m/>
    <m/>
    <m/>
    <s v="FISCT"/>
    <s v="CESTFA"/>
  </r>
  <r>
    <x v="508"/>
    <s v="Buzzi"/>
    <s v="Stefano"/>
    <s v="ITA0143"/>
    <s v="VET"/>
    <x v="166"/>
    <s v="ITA"/>
    <m/>
    <m/>
    <m/>
    <m/>
    <m/>
    <s v="FISCT"/>
    <s v="CESTFA"/>
  </r>
  <r>
    <x v="509"/>
    <s v="Buzzo"/>
    <s v="Simone"/>
    <s v="ITA2873"/>
    <s v="OPEN"/>
    <x v="44"/>
    <s v="ITA"/>
    <m/>
    <m/>
    <m/>
    <m/>
    <m/>
    <s v="FISCT"/>
    <s v="CESTFA"/>
  </r>
  <r>
    <x v="510"/>
    <s v="Byrd"/>
    <s v="Mike"/>
    <s v="USA0261"/>
    <s v="VET"/>
    <x v="192"/>
    <s v="USA"/>
    <m/>
    <m/>
    <m/>
    <m/>
    <m/>
    <s v="ASA"/>
    <s v="CONASTF"/>
  </r>
  <r>
    <x v="511"/>
    <s v="Cacciapuoti"/>
    <s v="Francesco"/>
    <s v="ITA0144"/>
    <s v="OPEN"/>
    <x v="170"/>
    <s v="ITA"/>
    <m/>
    <m/>
    <m/>
    <m/>
    <m/>
    <s v="FISCT"/>
    <s v="CESTFA"/>
  </r>
  <r>
    <x v="512"/>
    <s v="Cacioppo"/>
    <s v="Sacha"/>
    <s v="ITA2884"/>
    <s v="OPEN"/>
    <x v="25"/>
    <s v="ITA"/>
    <m/>
    <m/>
    <m/>
    <m/>
    <m/>
    <s v="FISCT"/>
    <s v="CESTFA"/>
  </r>
  <r>
    <x v="513"/>
    <s v="Cafaggi"/>
    <s v="Stefano"/>
    <s v="ITA1995"/>
    <s v="VET"/>
    <x v="71"/>
    <s v="ITA"/>
    <m/>
    <m/>
    <m/>
    <m/>
    <m/>
    <s v="FISCT"/>
    <s v="CESTFA"/>
  </r>
  <r>
    <x v="514"/>
    <s v="Cafiero"/>
    <s v="Alessandro"/>
    <s v="ITA1917"/>
    <s v="OPEN"/>
    <x v="193"/>
    <s v="ITA"/>
    <m/>
    <m/>
    <m/>
    <m/>
    <m/>
    <s v="FISCT"/>
    <s v="CESTFA"/>
  </r>
  <r>
    <x v="515"/>
    <s v="Calabrese"/>
    <s v="Vincenzo"/>
    <s v="ITA1831"/>
    <s v="VET"/>
    <x v="68"/>
    <s v="ITA"/>
    <m/>
    <m/>
    <m/>
    <m/>
    <m/>
    <s v="FISCT"/>
    <s v="CESTFA"/>
  </r>
  <r>
    <x v="516"/>
    <s v="Calcagno"/>
    <s v="Daniele Vittorio"/>
    <s v="ITA0147"/>
    <s v="OPEN"/>
    <x v="0"/>
    <s v="ITA"/>
    <m/>
    <m/>
    <m/>
    <m/>
    <m/>
    <s v="FISCT"/>
    <s v="CESTFA"/>
  </r>
  <r>
    <x v="517"/>
    <s v="Caldarola"/>
    <s v="Alessandro Giordano"/>
    <s v="ITA3342"/>
    <s v="OPEN"/>
    <x v="87"/>
    <s v="ITA"/>
    <m/>
    <m/>
    <m/>
    <m/>
    <m/>
    <s v="FISCT"/>
    <s v="CESTFA"/>
  </r>
  <r>
    <x v="518"/>
    <s v="Callot"/>
    <s v="Francis"/>
    <s v="FRA0287"/>
    <s v="VET"/>
    <x v="194"/>
    <s v="FRA"/>
    <m/>
    <m/>
    <m/>
    <m/>
    <m/>
    <s v="3FTS"/>
    <s v="CESTFA"/>
  </r>
  <r>
    <x v="519"/>
    <s v="Calò"/>
    <s v="Joseph"/>
    <s v="ITA0149"/>
    <s v="OPEN"/>
    <x v="114"/>
    <s v="ITA"/>
    <m/>
    <m/>
    <m/>
    <m/>
    <m/>
    <s v="FISCT"/>
    <s v="CESTFA"/>
  </r>
  <r>
    <x v="520"/>
    <s v="Calonico"/>
    <s v="Gianfranco"/>
    <s v="ITA0150"/>
    <s v="VET"/>
    <x v="28"/>
    <s v="ITA"/>
    <m/>
    <m/>
    <m/>
    <m/>
    <m/>
    <s v="FISCT"/>
    <s v="CESTFA"/>
  </r>
  <r>
    <x v="521"/>
    <s v="Calvo"/>
    <s v="Carmelo"/>
    <s v="ITA2916"/>
    <s v="OPEN"/>
    <x v="195"/>
    <s v="ITA"/>
    <m/>
    <m/>
    <m/>
    <m/>
    <m/>
    <s v="FISCT"/>
    <s v="CESTFA"/>
  </r>
  <r>
    <x v="522"/>
    <s v="Calzeroni"/>
    <s v="Stefano"/>
    <s v="ITA1778"/>
    <s v="VET"/>
    <x v="25"/>
    <s v="ITA"/>
    <m/>
    <m/>
    <m/>
    <m/>
    <m/>
    <s v="FISCT"/>
    <s v="CESTFA"/>
  </r>
  <r>
    <x v="523"/>
    <s v="Cambi"/>
    <s v="David"/>
    <s v="ITA2520"/>
    <s v="VET"/>
    <x v="38"/>
    <s v="ITA"/>
    <m/>
    <m/>
    <m/>
    <m/>
    <m/>
    <s v="FISCT"/>
    <s v="CESTFA"/>
  </r>
  <r>
    <x v="524"/>
    <s v="Camerini"/>
    <s v="Gioacchino"/>
    <s v="ITA2791"/>
    <s v="VET"/>
    <x v="196"/>
    <s v="ITA"/>
    <m/>
    <m/>
    <m/>
    <m/>
    <m/>
    <s v="FISCT"/>
    <s v="CESTFA"/>
  </r>
  <r>
    <x v="525"/>
    <s v="Camerlingo"/>
    <s v="Gianluigi"/>
    <s v="ITA1459"/>
    <s v="OPEN"/>
    <x v="176"/>
    <s v="ITA"/>
    <m/>
    <m/>
    <m/>
    <m/>
    <m/>
    <s v="FISCT"/>
    <s v="CESTFA"/>
  </r>
  <r>
    <x v="526"/>
    <s v="Camilleri"/>
    <s v="Emanuel"/>
    <s v="MLT0108"/>
    <s v="VET"/>
    <x v="197"/>
    <s v="MLT"/>
    <m/>
    <m/>
    <m/>
    <m/>
    <m/>
    <s v="MTFSA"/>
    <s v="CESTFA"/>
  </r>
  <r>
    <x v="527"/>
    <s v="Camilleri"/>
    <s v="Isaac Sam"/>
    <s v="MLT0110"/>
    <s v="OPEN"/>
    <x v="197"/>
    <s v="MLT"/>
    <m/>
    <m/>
    <m/>
    <m/>
    <m/>
    <s v="MTFSA"/>
    <s v="CESTFA"/>
  </r>
  <r>
    <x v="528"/>
    <s v="Camilleri"/>
    <s v="Josef"/>
    <s v="MLT0013"/>
    <s v="OPEN"/>
    <x v="63"/>
    <s v="MLT"/>
    <m/>
    <m/>
    <m/>
    <m/>
    <m/>
    <s v="MTFSA"/>
    <s v="CESTFA"/>
  </r>
  <r>
    <x v="529"/>
    <s v="Camilleri"/>
    <s v="Mario"/>
    <s v="MLT0014"/>
    <s v="VET"/>
    <x v="78"/>
    <s v="MLT"/>
    <m/>
    <m/>
    <m/>
    <m/>
    <m/>
    <s v="MTFSA"/>
    <s v="CESTFA"/>
  </r>
  <r>
    <x v="530"/>
    <s v="Camilleri"/>
    <s v="Mauro"/>
    <s v="MLT0015"/>
    <s v="OPEN"/>
    <x v="63"/>
    <s v="MLT"/>
    <m/>
    <m/>
    <m/>
    <m/>
    <m/>
    <s v="MTFSA"/>
    <s v="CESTFA"/>
  </r>
  <r>
    <x v="531"/>
    <s v="Campagna"/>
    <s v="Antonino"/>
    <s v="ITA1980"/>
    <s v="VET"/>
    <x v="40"/>
    <s v="ITA"/>
    <m/>
    <m/>
    <m/>
    <m/>
    <m/>
    <s v="FISCT"/>
    <s v="CESTFA"/>
  </r>
  <r>
    <x v="532"/>
    <s v="Campagna"/>
    <s v="Goffredo"/>
    <s v="ITA3202"/>
    <s v="VET"/>
    <x v="40"/>
    <s v="ITA"/>
    <m/>
    <m/>
    <m/>
    <m/>
    <m/>
    <s v="FISCT"/>
    <s v="CESTFA"/>
  </r>
  <r>
    <x v="533"/>
    <s v="Campbell"/>
    <s v="Martin"/>
    <s v="SCO0040"/>
    <s v="OPEN"/>
    <x v="198"/>
    <s v="SCO"/>
    <m/>
    <m/>
    <m/>
    <m/>
    <m/>
    <s v="SSA"/>
    <s v="CESTFA"/>
  </r>
  <r>
    <x v="534"/>
    <s v="Campos"/>
    <s v="Ricardo"/>
    <s v="POR0119"/>
    <s v="OPEN"/>
    <x v="8"/>
    <s v="POR"/>
    <m/>
    <m/>
    <m/>
    <m/>
    <m/>
    <s v="APS"/>
    <s v="CESTFA"/>
  </r>
  <r>
    <x v="535"/>
    <s v="Canale"/>
    <s v="Massimiliano"/>
    <s v="ITA2627"/>
    <s v="VET"/>
    <x v="189"/>
    <s v="ITA"/>
    <m/>
    <m/>
    <m/>
    <m/>
    <m/>
    <s v="FISCT"/>
    <s v="CESTFA"/>
  </r>
  <r>
    <x v="536"/>
    <s v="Candelas"/>
    <s v="Julio"/>
    <s v="ESP0064"/>
    <s v="VET"/>
    <x v="171"/>
    <s v="ESP"/>
    <m/>
    <m/>
    <m/>
    <m/>
    <m/>
    <s v="AEFM"/>
    <s v="CESTFA"/>
  </r>
  <r>
    <x v="537"/>
    <s v="Canessa"/>
    <s v="Christian"/>
    <s v="ITA2383"/>
    <s v="VET"/>
    <x v="44"/>
    <s v="ITA"/>
    <m/>
    <m/>
    <m/>
    <m/>
    <m/>
    <s v="FISCT"/>
    <s v="CESTFA"/>
  </r>
  <r>
    <x v="538"/>
    <s v="Canessa"/>
    <s v="Eric Fasce"/>
    <s v="ITA2387"/>
    <s v="OPEN"/>
    <x v="44"/>
    <s v="ITA"/>
    <m/>
    <m/>
    <m/>
    <m/>
    <m/>
    <s v="FISCT"/>
    <s v="CESTFA"/>
  </r>
  <r>
    <x v="539"/>
    <s v="Canicchio"/>
    <s v="Lucio"/>
    <s v="ITA0154"/>
    <s v="VET"/>
    <x v="199"/>
    <s v="ITA"/>
    <m/>
    <m/>
    <m/>
    <m/>
    <m/>
    <s v="FISCT"/>
    <s v="CESTFA"/>
  </r>
  <r>
    <x v="540"/>
    <s v="Canilla"/>
    <s v="Jason"/>
    <s v="GIB0059"/>
    <s v="VET"/>
    <x v="37"/>
    <s v="GIB"/>
    <m/>
    <m/>
    <m/>
    <m/>
    <m/>
    <s v="GTSA"/>
    <s v="CESTFA"/>
  </r>
  <r>
    <x v="541"/>
    <s v="Cano"/>
    <s v="Luis"/>
    <s v="ESP0354"/>
    <s v="OPEN"/>
    <x v="148"/>
    <s v="ESP"/>
    <m/>
    <m/>
    <m/>
    <m/>
    <m/>
    <s v="AEFM"/>
    <s v="CESTFA"/>
  </r>
  <r>
    <x v="542"/>
    <s v="Canocchiari"/>
    <s v="Eduardo"/>
    <s v="BRA0044"/>
    <s v="OPEN"/>
    <x v="14"/>
    <s v="BRA"/>
    <m/>
    <m/>
    <m/>
    <m/>
    <m/>
    <s v="CBFM (Suspended)"/>
    <m/>
  </r>
  <r>
    <x v="543"/>
    <s v="Cantalini"/>
    <s v="Carlo"/>
    <s v="ITA3396"/>
    <s v="U12"/>
    <x v="92"/>
    <s v="ITA"/>
    <m/>
    <m/>
    <m/>
    <m/>
    <m/>
    <s v="FISCT"/>
    <s v="CESTFA"/>
  </r>
  <r>
    <x v="544"/>
    <s v="Capaccioli"/>
    <s v="Massimiliano"/>
    <s v="ITA3317"/>
    <s v="VET"/>
    <x v="187"/>
    <s v="ITA"/>
    <m/>
    <m/>
    <m/>
    <m/>
    <m/>
    <s v="FISCT"/>
    <s v="CESTFA"/>
  </r>
  <r>
    <x v="545"/>
    <s v="Capellacci"/>
    <s v="Luca"/>
    <s v="ITA0158"/>
    <s v="OPEN"/>
    <x v="41"/>
    <s v="ITA"/>
    <m/>
    <m/>
    <m/>
    <m/>
    <m/>
    <s v="FISCT"/>
    <s v="CESTFA"/>
  </r>
  <r>
    <x v="546"/>
    <s v="Capelli"/>
    <s v="Andrea"/>
    <s v="ITA0159"/>
    <s v="VET"/>
    <x v="27"/>
    <s v="ITA"/>
    <m/>
    <m/>
    <m/>
    <m/>
    <m/>
    <s v="FISCT"/>
    <s v="CESTFA"/>
  </r>
  <r>
    <x v="547"/>
    <s v="Capobianco"/>
    <s v="Guido"/>
    <s v="ITA2219"/>
    <s v="OPEN"/>
    <x v="200"/>
    <s v="ITA"/>
    <m/>
    <m/>
    <m/>
    <m/>
    <m/>
    <s v="FISCT"/>
    <s v="CESTFA"/>
  </r>
  <r>
    <x v="548"/>
    <s v="Capoferri"/>
    <s v="Alberto"/>
    <s v="ITA3096"/>
    <s v="U12"/>
    <x v="29"/>
    <s v="ITA"/>
    <m/>
    <m/>
    <m/>
    <m/>
    <m/>
    <s v="FISCT"/>
    <s v="CESTFA"/>
  </r>
  <r>
    <x v="549"/>
    <s v="Capossela"/>
    <s v="Stefano"/>
    <s v="ITA0161"/>
    <s v="OPEN"/>
    <x v="155"/>
    <s v="ITA"/>
    <m/>
    <m/>
    <m/>
    <m/>
    <m/>
    <s v="FISCT"/>
    <s v="CESTFA"/>
  </r>
  <r>
    <x v="550"/>
    <s v="Cappelli"/>
    <s v="Mirko"/>
    <s v="ITA2476"/>
    <s v="OPEN"/>
    <x v="76"/>
    <s v="ITA"/>
    <m/>
    <m/>
    <m/>
    <m/>
    <m/>
    <s v="FISCT"/>
    <s v="CESTFA"/>
  </r>
  <r>
    <x v="551"/>
    <s v="Capponi"/>
    <s v="Piero"/>
    <s v="ESP0062"/>
    <s v="VET"/>
    <x v="96"/>
    <s v="ESP"/>
    <m/>
    <m/>
    <m/>
    <m/>
    <m/>
    <s v="AEFM"/>
    <s v="CESTFA"/>
  </r>
  <r>
    <x v="552"/>
    <s v="Capra"/>
    <s v="Michel"/>
    <s v="FRA0242"/>
    <s v="VET"/>
    <x v="14"/>
    <s v="FRA"/>
    <m/>
    <m/>
    <m/>
    <m/>
    <m/>
    <s v="3FTS"/>
    <s v="CESTFA"/>
  </r>
  <r>
    <x v="553"/>
    <s v="Caprioli"/>
    <s v="Alfredo"/>
    <s v="ITA3398"/>
    <s v="VET"/>
    <x v="1"/>
    <s v="ITA"/>
    <m/>
    <m/>
    <m/>
    <m/>
    <m/>
    <s v="FISCT"/>
    <s v="CESTFA"/>
  </r>
  <r>
    <x v="554"/>
    <s v="Carabillo"/>
    <s v="Antonio"/>
    <s v="HKG0001"/>
    <s v="VET"/>
    <x v="201"/>
    <s v="HKG"/>
    <m/>
    <m/>
    <m/>
    <m/>
    <m/>
    <m/>
    <m/>
  </r>
  <r>
    <x v="555"/>
    <s v="Carabillo"/>
    <s v="Nicholas"/>
    <s v="HKG0003"/>
    <s v="U20"/>
    <x v="201"/>
    <s v="HKG"/>
    <m/>
    <m/>
    <m/>
    <m/>
    <m/>
    <m/>
    <m/>
  </r>
  <r>
    <x v="556"/>
    <s v="Carbonaro"/>
    <s v="Placido"/>
    <s v="POR0165"/>
    <s v="OPEN"/>
    <x v="14"/>
    <s v="POR"/>
    <m/>
    <m/>
    <m/>
    <m/>
    <m/>
    <s v="APS"/>
    <s v="CESTFA"/>
  </r>
  <r>
    <x v="557"/>
    <s v="Carbonaro"/>
    <s v="Roberto"/>
    <s v="ITA1753"/>
    <s v="OPEN"/>
    <x v="1"/>
    <s v="ITA"/>
    <m/>
    <m/>
    <m/>
    <m/>
    <m/>
    <s v="FISCT"/>
    <s v="CESTFA"/>
  </r>
  <r>
    <x v="558"/>
    <s v="Cardia"/>
    <s v="Andrea"/>
    <s v="ITA3049"/>
    <s v="OPEN"/>
    <x v="105"/>
    <s v="ITA"/>
    <m/>
    <m/>
    <m/>
    <m/>
    <m/>
    <s v="FISCT"/>
    <s v="CESTFA"/>
  </r>
  <r>
    <x v="559"/>
    <s v="Cardinale"/>
    <s v="Stefano"/>
    <s v="SUI031"/>
    <s v="VET"/>
    <x v="202"/>
    <s v="SUI"/>
    <m/>
    <m/>
    <m/>
    <m/>
    <m/>
    <m/>
    <m/>
  </r>
  <r>
    <x v="560"/>
    <s v="Cardoso"/>
    <s v="Bernardo"/>
    <s v="POR0160"/>
    <s v="OPEN"/>
    <x v="11"/>
    <s v="POR"/>
    <m/>
    <m/>
    <m/>
    <m/>
    <m/>
    <s v="APS"/>
    <s v="CESTFA"/>
  </r>
  <r>
    <x v="561"/>
    <s v="Care"/>
    <s v="Ilario"/>
    <s v="ITA2960"/>
    <s v="VET"/>
    <x v="46"/>
    <s v="ITA"/>
    <m/>
    <m/>
    <m/>
    <m/>
    <m/>
    <s v="FISCT"/>
    <s v="CESTFA"/>
  </r>
  <r>
    <x v="562"/>
    <s v="Careddu"/>
    <s v="Filippo"/>
    <s v="ITA3169"/>
    <s v="U12"/>
    <x v="29"/>
    <s v="ITA"/>
    <m/>
    <m/>
    <m/>
    <m/>
    <m/>
    <s v="FISCT"/>
    <s v="CESTFA"/>
  </r>
  <r>
    <x v="563"/>
    <s v="Carles Prat"/>
    <s v="Albert"/>
    <s v="ESP0546"/>
    <s v="VET"/>
    <x v="12"/>
    <s v="ESP"/>
    <m/>
    <m/>
    <m/>
    <m/>
    <m/>
    <s v="AEFM"/>
    <s v="CESTFA"/>
  </r>
  <r>
    <x v="564"/>
    <s v="Carles Prat"/>
    <s v="Ricard"/>
    <s v="ESP0545"/>
    <s v="OPEN"/>
    <x v="12"/>
    <s v="ESP"/>
    <m/>
    <m/>
    <m/>
    <m/>
    <m/>
    <s v="AEFM"/>
    <s v="CESTFA"/>
  </r>
  <r>
    <x v="565"/>
    <s v="Carlucci"/>
    <s v="Leonardo"/>
    <s v="ITA2783"/>
    <s v="OPEN"/>
    <x v="196"/>
    <s v="ITA"/>
    <m/>
    <m/>
    <m/>
    <m/>
    <m/>
    <s v="FISCT"/>
    <s v="CESTFA"/>
  </r>
  <r>
    <x v="566"/>
    <s v="Carman"/>
    <s v="Keith"/>
    <s v="ENG0479"/>
    <s v="VET"/>
    <x v="203"/>
    <s v="ENG"/>
    <m/>
    <m/>
    <m/>
    <m/>
    <m/>
    <s v="ESA"/>
    <s v="CESTFA"/>
  </r>
  <r>
    <x v="567"/>
    <s v="Carmo"/>
    <s v="Maria Joao"/>
    <s v="POR0250"/>
    <s v="VET"/>
    <x v="75"/>
    <s v="POR"/>
    <m/>
    <m/>
    <m/>
    <m/>
    <m/>
    <s v="APS"/>
    <s v="CESTFA"/>
  </r>
  <r>
    <x v="568"/>
    <s v="Carmona"/>
    <s v="Simon"/>
    <s v="FRA0270"/>
    <s v="U16"/>
    <x v="152"/>
    <s v="FRA"/>
    <m/>
    <m/>
    <m/>
    <m/>
    <m/>
    <s v="3FTS"/>
    <s v="CESTFA"/>
  </r>
  <r>
    <x v="569"/>
    <s v="Carneiro da Siva"/>
    <s v="Halisson"/>
    <s v="BRA0163"/>
    <s v="OPEN"/>
    <x v="204"/>
    <s v="BRA"/>
    <m/>
    <m/>
    <m/>
    <m/>
    <m/>
    <s v="CBFM (Suspended)"/>
    <m/>
  </r>
  <r>
    <x v="570"/>
    <s v="Carneiro dos Santos"/>
    <s v="Renato César"/>
    <s v="BRA0180"/>
    <s v="VET"/>
    <x v="144"/>
    <s v="BRA"/>
    <m/>
    <m/>
    <m/>
    <m/>
    <m/>
    <s v="CBFM (Suspended)"/>
    <m/>
  </r>
  <r>
    <x v="571"/>
    <s v="Carnino"/>
    <s v="Fabrizio"/>
    <s v="ITA3356"/>
    <s v="VET"/>
    <x v="205"/>
    <s v="ITA"/>
    <m/>
    <m/>
    <m/>
    <m/>
    <m/>
    <s v="FISCT"/>
    <s v="CESTFA"/>
  </r>
  <r>
    <x v="572"/>
    <s v="Carnino"/>
    <s v="Nicola"/>
    <s v="ITA3357"/>
    <s v="U12"/>
    <x v="205"/>
    <s v="ITA"/>
    <m/>
    <m/>
    <m/>
    <m/>
    <m/>
    <s v="FISCT"/>
    <s v="CESTFA"/>
  </r>
  <r>
    <x v="573"/>
    <s v="Caro Solis"/>
    <s v="Gregorio"/>
    <s v="ARG0042"/>
    <s v="VET"/>
    <x v="145"/>
    <s v="ARG"/>
    <m/>
    <m/>
    <m/>
    <m/>
    <m/>
    <s v="LAFM (Suspended)"/>
    <s v="CSAFM"/>
  </r>
  <r>
    <x v="574"/>
    <s v="Carrara"/>
    <s v="Roberto"/>
    <s v="ITA2966"/>
    <s v="VET"/>
    <x v="27"/>
    <s v="ITA"/>
    <m/>
    <m/>
    <m/>
    <m/>
    <m/>
    <s v="FISCT"/>
    <s v="CESTFA"/>
  </r>
  <r>
    <x v="575"/>
    <s v="Carravetta"/>
    <s v="Paolo"/>
    <s v="ITA0174"/>
    <s v="VET"/>
    <x v="0"/>
    <s v="ITA"/>
    <m/>
    <m/>
    <m/>
    <m/>
    <m/>
    <s v="FISCT"/>
    <s v="CESTFA"/>
  </r>
  <r>
    <x v="576"/>
    <s v="Caruso"/>
    <s v="Francesco"/>
    <s v="ITA1387"/>
    <s v="OPEN"/>
    <x v="206"/>
    <s v="ITA"/>
    <m/>
    <m/>
    <m/>
    <m/>
    <m/>
    <s v="FISCT"/>
    <s v="CESTFA"/>
  </r>
  <r>
    <x v="577"/>
    <s v="Carvalho"/>
    <s v="Hugo"/>
    <s v="POR0052"/>
    <s v="OPEN"/>
    <x v="16"/>
    <s v="POR"/>
    <m/>
    <m/>
    <m/>
    <m/>
    <m/>
    <s v="APS"/>
    <s v="CESTFA"/>
  </r>
  <r>
    <x v="578"/>
    <s v="Carvalho"/>
    <s v="Luiz"/>
    <s v="BRA0118"/>
    <s v="OPEN"/>
    <x v="207"/>
    <s v="BRA"/>
    <m/>
    <m/>
    <m/>
    <m/>
    <m/>
    <s v="CBFM (Suspended)"/>
    <m/>
  </r>
  <r>
    <x v="579"/>
    <s v="Casaca"/>
    <s v="João Paulo"/>
    <s v="USA0386"/>
    <s v="VET"/>
    <x v="208"/>
    <s v="USA"/>
    <m/>
    <m/>
    <m/>
    <m/>
    <m/>
    <s v="ASA"/>
    <s v="CONASTF"/>
  </r>
  <r>
    <x v="580"/>
    <s v="Casagrande"/>
    <s v="Tomaso"/>
    <s v="GRE0811"/>
    <s v="OPEN"/>
    <x v="14"/>
    <s v="GRE"/>
    <m/>
    <m/>
    <m/>
    <m/>
    <m/>
    <s v="UHTF"/>
    <s v="CESTFA"/>
  </r>
  <r>
    <x v="581"/>
    <s v="Casale"/>
    <s v="Simone"/>
    <s v="ITA3302"/>
    <s v="OPEN"/>
    <x v="209"/>
    <s v="ITA"/>
    <m/>
    <m/>
    <m/>
    <m/>
    <m/>
    <s v="FISCT"/>
    <s v="CESTFA"/>
  </r>
  <r>
    <x v="582"/>
    <s v="Casanova"/>
    <s v="Alessandro"/>
    <s v="ITA0178"/>
    <s v="VET"/>
    <x v="76"/>
    <s v="ITA"/>
    <m/>
    <m/>
    <m/>
    <m/>
    <m/>
    <s v="FISCT"/>
    <s v="CESTFA"/>
  </r>
  <r>
    <x v="583"/>
    <s v="Casas"/>
    <s v="José"/>
    <s v="ESP0025"/>
    <s v="VET"/>
    <x v="150"/>
    <s v="ESP"/>
    <m/>
    <m/>
    <m/>
    <m/>
    <m/>
    <s v="AEFM"/>
    <s v="CESTFA"/>
  </r>
  <r>
    <x v="584"/>
    <s v="Casati"/>
    <s v="Gabriele"/>
    <s v="ITA2129"/>
    <s v="VET"/>
    <x v="33"/>
    <s v="ITA"/>
    <m/>
    <m/>
    <m/>
    <m/>
    <m/>
    <s v="FISCT"/>
    <s v="CESTFA"/>
  </r>
  <r>
    <x v="585"/>
    <s v="Casciano"/>
    <s v="Fabio"/>
    <s v="BEL0451"/>
    <s v="U12"/>
    <x v="182"/>
    <s v="BEL"/>
    <m/>
    <m/>
    <m/>
    <m/>
    <m/>
    <m/>
    <m/>
  </r>
  <r>
    <x v="586"/>
    <s v="Casciano"/>
    <s v="Michaël"/>
    <s v="BEL0014"/>
    <s v="OPEN"/>
    <x v="182"/>
    <s v="BEL"/>
    <m/>
    <m/>
    <m/>
    <m/>
    <m/>
    <m/>
    <m/>
  </r>
  <r>
    <x v="587"/>
    <s v="Cascioli"/>
    <s v="Giuseppe"/>
    <s v="ITA0179"/>
    <s v="VET"/>
    <x v="174"/>
    <s v="ITA"/>
    <m/>
    <m/>
    <m/>
    <m/>
    <m/>
    <s v="FISCT"/>
    <s v="CESTFA"/>
  </r>
  <r>
    <x v="588"/>
    <s v="Caseley"/>
    <s v="Pavlos"/>
    <s v="GRE0046"/>
    <s v="OPEN"/>
    <x v="14"/>
    <s v="GRE"/>
    <m/>
    <m/>
    <m/>
    <m/>
    <m/>
    <s v="UHTF"/>
    <s v="CESTFA"/>
  </r>
  <r>
    <x v="589"/>
    <s v="Casentini"/>
    <s v="Andrea"/>
    <s v="ITA0181"/>
    <s v="VET"/>
    <x v="199"/>
    <s v="ITA"/>
    <m/>
    <m/>
    <m/>
    <m/>
    <m/>
    <s v="FISCT"/>
    <s v="CESTFA"/>
  </r>
  <r>
    <x v="590"/>
    <s v="Casín"/>
    <s v="Antonio Jesús"/>
    <s v="ESP0131"/>
    <s v="OPEN"/>
    <x v="31"/>
    <s v="ESP"/>
    <m/>
    <m/>
    <m/>
    <m/>
    <m/>
    <s v="AEFM"/>
    <s v="CESTFA"/>
  </r>
  <r>
    <x v="591"/>
    <s v="Cassani"/>
    <s v="Enrico"/>
    <s v="ITA3005"/>
    <s v="VET"/>
    <x v="161"/>
    <s v="ITA"/>
    <m/>
    <m/>
    <m/>
    <m/>
    <m/>
    <s v="FISCT"/>
    <s v="CESTFA"/>
  </r>
  <r>
    <x v="592"/>
    <s v="Cassano"/>
    <s v="Costantino Francesco"/>
    <s v="ITA3442"/>
    <s v="U12"/>
    <x v="177"/>
    <s v="ITA"/>
    <m/>
    <m/>
    <m/>
    <m/>
    <m/>
    <s v="FISCT"/>
    <s v="CESTFA"/>
  </r>
  <r>
    <x v="593"/>
    <s v="Cassis"/>
    <s v="Thiago Dias"/>
    <s v="BRA0136"/>
    <s v="OPEN"/>
    <x v="14"/>
    <s v="BRA"/>
    <m/>
    <m/>
    <m/>
    <m/>
    <m/>
    <s v="CBFM (Suspended)"/>
    <m/>
  </r>
  <r>
    <x v="594"/>
    <s v="Castellano"/>
    <s v="José M."/>
    <s v="ESP0076"/>
    <s v="VET"/>
    <x v="210"/>
    <s v="ESP"/>
    <m/>
    <m/>
    <m/>
    <m/>
    <m/>
    <s v="AEFM"/>
    <s v="CESTFA"/>
  </r>
  <r>
    <x v="595"/>
    <s v="Castiglioni"/>
    <s v="Mauro"/>
    <s v="ITA0186"/>
    <s v="VET"/>
    <x v="205"/>
    <s v="ITA"/>
    <m/>
    <m/>
    <m/>
    <m/>
    <m/>
    <s v="FISCT"/>
    <s v="CESTFA"/>
  </r>
  <r>
    <x v="596"/>
    <s v="Castillo"/>
    <s v="Mario"/>
    <s v="ESP0467"/>
    <s v="OPEN"/>
    <x v="211"/>
    <s v="ESP"/>
    <m/>
    <m/>
    <m/>
    <m/>
    <m/>
    <s v="AEFM"/>
    <s v="CESTFA"/>
  </r>
  <r>
    <x v="597"/>
    <s v="Castro"/>
    <s v="Miguel"/>
    <s v="POR0012"/>
    <s v="VET"/>
    <x v="15"/>
    <s v="POR"/>
    <m/>
    <m/>
    <m/>
    <m/>
    <m/>
    <s v="APS"/>
    <s v="CESTFA"/>
  </r>
  <r>
    <x v="598"/>
    <s v="Catalanotto"/>
    <s v="Cristoforo Cristiano"/>
    <s v="ITA2581"/>
    <s v="VET"/>
    <x v="187"/>
    <s v="ITA"/>
    <m/>
    <m/>
    <m/>
    <m/>
    <m/>
    <s v="FISCT"/>
    <s v="CESTFA"/>
  </r>
  <r>
    <x v="599"/>
    <s v="Cataldo"/>
    <s v="Luca"/>
    <s v="ITA2022"/>
    <s v="OPEN"/>
    <x v="206"/>
    <s v="ITA"/>
    <m/>
    <m/>
    <m/>
    <m/>
    <m/>
    <s v="FISCT"/>
    <s v="CESTFA"/>
  </r>
  <r>
    <x v="600"/>
    <s v="Cattani"/>
    <s v="Emanuele"/>
    <s v="ITA0192"/>
    <s v="VET"/>
    <x v="33"/>
    <s v="ITA"/>
    <m/>
    <m/>
    <m/>
    <m/>
    <m/>
    <s v="FISCT"/>
    <s v="CESTFA"/>
  </r>
  <r>
    <x v="601"/>
    <s v="Cattellani"/>
    <s v="Piercarlo"/>
    <s v="ITA2685"/>
    <s v="OPEN"/>
    <x v="111"/>
    <s v="ITA"/>
    <m/>
    <m/>
    <m/>
    <m/>
    <m/>
    <s v="FISCT"/>
    <s v="CESTFA"/>
  </r>
  <r>
    <x v="602"/>
    <s v="Caurla"/>
    <s v="Ismaele"/>
    <s v="ITA1569"/>
    <s v="OPEN"/>
    <x v="161"/>
    <s v="ITA"/>
    <m/>
    <m/>
    <m/>
    <m/>
    <m/>
    <s v="FISCT"/>
    <s v="CESTFA"/>
  </r>
  <r>
    <x v="603"/>
    <s v="Caurla"/>
    <s v="Natan"/>
    <s v="ITA1811"/>
    <s v="U16"/>
    <x v="161"/>
    <s v="ITA"/>
    <m/>
    <m/>
    <m/>
    <m/>
    <m/>
    <s v="FISCT"/>
    <s v="CESTFA"/>
  </r>
  <r>
    <x v="604"/>
    <s v="Cavanna Cavanna"/>
    <s v="Giancarlo"/>
    <s v="ITA1213"/>
    <s v="VET"/>
    <x v="153"/>
    <s v="ITA"/>
    <m/>
    <m/>
    <m/>
    <m/>
    <m/>
    <s v="FISCT"/>
    <s v="CESTFA"/>
  </r>
  <r>
    <x v="605"/>
    <s v="Cavazza"/>
    <s v="Fabrizio"/>
    <s v="ITA3173"/>
    <s v="VET"/>
    <x v="193"/>
    <s v="ITA"/>
    <m/>
    <m/>
    <m/>
    <m/>
    <m/>
    <s v="FISCT"/>
    <s v="CESTFA"/>
  </r>
  <r>
    <x v="606"/>
    <s v="Caviglia"/>
    <s v="Marco"/>
    <s v="ITA2403"/>
    <s v="VET"/>
    <x v="174"/>
    <s v="ITA"/>
    <m/>
    <m/>
    <m/>
    <m/>
    <m/>
    <s v="FISCT"/>
    <s v="CESTFA"/>
  </r>
  <r>
    <x v="607"/>
    <s v="Caviglia"/>
    <s v="Marino"/>
    <s v="ITA0196"/>
    <s v="VET"/>
    <x v="110"/>
    <s v="ITA"/>
    <m/>
    <m/>
    <m/>
    <m/>
    <m/>
    <s v="FISCT"/>
    <s v="CESTFA"/>
  </r>
  <r>
    <x v="608"/>
    <s v="Caviglia"/>
    <s v="Micael"/>
    <s v="ITA0195"/>
    <s v="OPEN"/>
    <x v="174"/>
    <s v="ITA"/>
    <m/>
    <m/>
    <m/>
    <m/>
    <m/>
    <s v="FISCT"/>
    <s v="CESTFA"/>
  </r>
  <r>
    <x v="609"/>
    <s v="Cavone"/>
    <s v="Costantino"/>
    <s v="ITA2179"/>
    <s v="VET"/>
    <x v="46"/>
    <s v="ITA"/>
    <m/>
    <m/>
    <m/>
    <m/>
    <m/>
    <s v="FISCT"/>
    <s v="CESTFA"/>
  </r>
  <r>
    <x v="610"/>
    <s v="Cayuela"/>
    <s v="Francisco"/>
    <s v="ESP0018"/>
    <s v="OPEN"/>
    <x v="96"/>
    <s v="ESP"/>
    <m/>
    <m/>
    <m/>
    <m/>
    <m/>
    <s v="AEFM"/>
    <s v="CESTFA"/>
  </r>
  <r>
    <x v="611"/>
    <s v="Cazala"/>
    <s v="Eric"/>
    <s v="FRA0231"/>
    <s v="VET"/>
    <x v="42"/>
    <s v="FRA"/>
    <m/>
    <m/>
    <m/>
    <m/>
    <m/>
    <s v="3FTS"/>
    <s v="CESTFA"/>
  </r>
  <r>
    <x v="612"/>
    <s v="Cecchi"/>
    <s v="Roberto"/>
    <s v="ITA2819"/>
    <s v="OPEN"/>
    <x v="212"/>
    <s v="ITA"/>
    <m/>
    <m/>
    <m/>
    <m/>
    <m/>
    <s v="FISCT"/>
    <s v="CESTFA"/>
  </r>
  <r>
    <x v="613"/>
    <s v="Cecchini"/>
    <s v="Filippo"/>
    <s v="ITA3093"/>
    <s v="U12"/>
    <x v="29"/>
    <s v="ITA"/>
    <m/>
    <m/>
    <m/>
    <m/>
    <m/>
    <s v="FISCT"/>
    <s v="CESTFA"/>
  </r>
  <r>
    <x v="614"/>
    <s v="Celandroni"/>
    <s v="Flavio"/>
    <s v="BRA0049"/>
    <s v="VET"/>
    <x v="2"/>
    <s v="BRA"/>
    <m/>
    <m/>
    <m/>
    <m/>
    <m/>
    <s v="CBFM (Suspended)"/>
    <m/>
  </r>
  <r>
    <x v="615"/>
    <s v="Celotto"/>
    <s v="Francesco"/>
    <s v="ITA0199"/>
    <s v="VET"/>
    <x v="100"/>
    <s v="ITA"/>
    <m/>
    <m/>
    <m/>
    <m/>
    <m/>
    <s v="FISCT"/>
    <s v="CESTFA"/>
  </r>
  <r>
    <x v="616"/>
    <s v="Cencini"/>
    <s v="Ettore"/>
    <s v="ITA1916"/>
    <s v="OPEN"/>
    <x v="213"/>
    <s v="ITA"/>
    <m/>
    <m/>
    <m/>
    <m/>
    <m/>
    <s v="FISCT"/>
    <s v="CESTFA"/>
  </r>
  <r>
    <x v="617"/>
    <s v="Centonze"/>
    <s v="Giulio"/>
    <s v="ITA3065"/>
    <s v="VET"/>
    <x v="71"/>
    <s v="ITA"/>
    <m/>
    <m/>
    <m/>
    <m/>
    <m/>
    <s v="FISCT"/>
    <s v="CESTFA"/>
  </r>
  <r>
    <x v="618"/>
    <s v="Cepa"/>
    <s v="Abel"/>
    <s v="BRA0107"/>
    <s v="OPEN"/>
    <x v="214"/>
    <s v="BRA"/>
    <m/>
    <m/>
    <m/>
    <m/>
    <m/>
    <s v="CBFM (Suspended)"/>
    <m/>
  </r>
  <r>
    <x v="619"/>
    <s v="Cerullo"/>
    <s v="Guido"/>
    <s v="ITA1680"/>
    <s v="OPEN"/>
    <x v="193"/>
    <s v="ITA"/>
    <m/>
    <m/>
    <m/>
    <m/>
    <m/>
    <s v="FISCT"/>
    <s v="CESTFA"/>
  </r>
  <r>
    <x v="620"/>
    <s v="Cerullo"/>
    <s v="Livio"/>
    <s v="ITA0201"/>
    <s v="VET"/>
    <x v="76"/>
    <s v="ITA"/>
    <m/>
    <m/>
    <m/>
    <m/>
    <m/>
    <s v="FISCT"/>
    <s v="CESTFA"/>
  </r>
  <r>
    <x v="621"/>
    <s v="Cerullo"/>
    <s v="Michele"/>
    <s v="ITA2551"/>
    <s v="OPEN"/>
    <x v="193"/>
    <s v="ITA"/>
    <m/>
    <m/>
    <m/>
    <m/>
    <m/>
    <s v="FISCT"/>
    <s v="CESTFA"/>
  </r>
  <r>
    <x v="622"/>
    <s v="Cerullo"/>
    <s v="Nicolò"/>
    <s v="ITA3263"/>
    <s v="U12"/>
    <x v="193"/>
    <s v="ITA"/>
    <m/>
    <m/>
    <m/>
    <m/>
    <m/>
    <s v="FISCT"/>
    <s v="CESTFA"/>
  </r>
  <r>
    <x v="623"/>
    <s v="Ceulemans"/>
    <s v="Jos"/>
    <s v="BEL0045"/>
    <s v="VET"/>
    <x v="215"/>
    <s v="BEL"/>
    <m/>
    <m/>
    <m/>
    <m/>
    <m/>
    <m/>
    <m/>
  </r>
  <r>
    <x v="624"/>
    <s v="Cevolani"/>
    <s v="Greta"/>
    <s v="ITA1879"/>
    <s v="VET"/>
    <x v="46"/>
    <s v="ITA"/>
    <m/>
    <m/>
    <m/>
    <m/>
    <m/>
    <s v="FISCT"/>
    <s v="CESTFA"/>
  </r>
  <r>
    <x v="625"/>
    <s v="Chaitas"/>
    <s v="Charalampos"/>
    <s v="GRE0059"/>
    <s v="VET"/>
    <x v="14"/>
    <s v="GRE"/>
    <m/>
    <m/>
    <m/>
    <m/>
    <m/>
    <s v="UHTF"/>
    <s v="CESTFA"/>
  </r>
  <r>
    <x v="626"/>
    <s v="Chaliotis"/>
    <s v="Athanasios"/>
    <s v="GRE0775"/>
    <s v="VET"/>
    <x v="128"/>
    <s v="GRE"/>
    <m/>
    <m/>
    <m/>
    <m/>
    <m/>
    <s v="UHTF"/>
    <s v="CESTFA"/>
  </r>
  <r>
    <x v="627"/>
    <s v="Chaliotis"/>
    <s v="Konstantinos"/>
    <s v="GRE0776"/>
    <s v="U16"/>
    <x v="14"/>
    <s v="GRE"/>
    <m/>
    <m/>
    <m/>
    <m/>
    <m/>
    <s v="UHTF"/>
    <s v="CESTFA"/>
  </r>
  <r>
    <x v="628"/>
    <s v="Chalkias"/>
    <s v="Sotirios"/>
    <s v="GRE0435"/>
    <s v="VET"/>
    <x v="18"/>
    <s v="GRE"/>
    <m/>
    <m/>
    <m/>
    <m/>
    <m/>
    <s v="UHTF"/>
    <s v="CESTFA"/>
  </r>
  <r>
    <x v="629"/>
    <s v="Chalkidis"/>
    <s v="Eleftherios"/>
    <s v="GRE0492"/>
    <s v="OPEN"/>
    <x v="14"/>
    <s v="GRE"/>
    <m/>
    <m/>
    <m/>
    <m/>
    <m/>
    <s v="UHTF"/>
    <s v="CESTFA"/>
  </r>
  <r>
    <x v="630"/>
    <s v="Chalkidis"/>
    <s v="Theocharis"/>
    <s v="GRE0493"/>
    <s v="U20"/>
    <x v="14"/>
    <s v="GRE"/>
    <m/>
    <m/>
    <m/>
    <m/>
    <m/>
    <s v="UHTF"/>
    <s v="CESTFA"/>
  </r>
  <r>
    <x v="631"/>
    <s v="Challinor"/>
    <s v="Bailey"/>
    <s v="ENG0554"/>
    <s v="OPEN"/>
    <x v="216"/>
    <s v="ENG"/>
    <m/>
    <m/>
    <m/>
    <m/>
    <m/>
    <s v="ESA"/>
    <s v="CESTFA"/>
  </r>
  <r>
    <x v="632"/>
    <s v="Chandiramani"/>
    <s v="Tanishq Vikas"/>
    <s v="SGP0114"/>
    <s v="U20"/>
    <x v="4"/>
    <s v="SGP"/>
    <m/>
    <m/>
    <m/>
    <m/>
    <m/>
    <s v="TFAS"/>
    <s v="CASTFA"/>
  </r>
  <r>
    <x v="633"/>
    <s v="Chandiramani"/>
    <s v="Vikas K"/>
    <s v="SGP0080"/>
    <s v="VET"/>
    <x v="23"/>
    <s v="SGP"/>
    <m/>
    <m/>
    <m/>
    <m/>
    <m/>
    <s v="TFAS"/>
    <s v="CASTFA"/>
  </r>
  <r>
    <x v="634"/>
    <s v="Chang"/>
    <s v="Xin Yu"/>
    <s v="SGP0027"/>
    <s v="OPEN"/>
    <x v="23"/>
    <s v="SGP"/>
    <m/>
    <m/>
    <m/>
    <m/>
    <m/>
    <s v="TFAS"/>
    <s v="CASTFA"/>
  </r>
  <r>
    <x v="635"/>
    <s v="Chanos"/>
    <s v="Ioannis"/>
    <s v="GRE0650"/>
    <s v="U20"/>
    <x v="14"/>
    <s v="GRE"/>
    <m/>
    <m/>
    <m/>
    <m/>
    <m/>
    <s v="UHTF"/>
    <s v="CESTFA"/>
  </r>
  <r>
    <x v="636"/>
    <s v="Chanos"/>
    <s v="Konstantinos"/>
    <s v="GRE0651"/>
    <s v="OPEN"/>
    <x v="217"/>
    <s v="GRE"/>
    <m/>
    <m/>
    <m/>
    <m/>
    <m/>
    <s v="UHTF"/>
    <s v="CESTFA"/>
  </r>
  <r>
    <x v="637"/>
    <s v="Chanos"/>
    <s v="Michail I"/>
    <s v="GRE0652"/>
    <s v="VET"/>
    <x v="217"/>
    <s v="GRE"/>
    <m/>
    <m/>
    <m/>
    <m/>
    <m/>
    <s v="UHTF"/>
    <s v="CESTFA"/>
  </r>
  <r>
    <x v="638"/>
    <s v="Chanos"/>
    <s v="Michail K"/>
    <s v="GRE0653"/>
    <s v="U16"/>
    <x v="217"/>
    <s v="GRE"/>
    <m/>
    <m/>
    <m/>
    <m/>
    <m/>
    <s v="UHTF"/>
    <s v="CESTFA"/>
  </r>
  <r>
    <x v="639"/>
    <s v="Chantzaras"/>
    <s v="Spyridon"/>
    <s v="GRE0107"/>
    <s v="OPEN"/>
    <x v="218"/>
    <s v="GRE"/>
    <m/>
    <m/>
    <m/>
    <m/>
    <m/>
    <s v="UHTF"/>
    <s v="CESTFA"/>
  </r>
  <r>
    <x v="640"/>
    <s v="Chapman"/>
    <s v="Hadley"/>
    <s v="ENG0524"/>
    <s v="U12"/>
    <x v="75"/>
    <s v="ENG"/>
    <m/>
    <m/>
    <m/>
    <m/>
    <m/>
    <s v="ESA"/>
    <s v="CESTFA"/>
  </r>
  <r>
    <x v="641"/>
    <s v="Chappell"/>
    <s v="Nicolas"/>
    <s v="WAL0042"/>
    <s v="VET"/>
    <x v="121"/>
    <s v="WAL"/>
    <m/>
    <m/>
    <m/>
    <m/>
    <m/>
    <s v="WSTFA"/>
    <s v="CESTFA"/>
  </r>
  <r>
    <x v="642"/>
    <s v="Charalambou"/>
    <s v="Konstantinos"/>
    <s v="GRE0677"/>
    <s v="U20"/>
    <x v="14"/>
    <s v="GRE"/>
    <m/>
    <m/>
    <m/>
    <m/>
    <m/>
    <s v="UHTF"/>
    <s v="CESTFA"/>
  </r>
  <r>
    <x v="643"/>
    <s v="Charalampidis"/>
    <s v="Charalambos"/>
    <s v="GRE0043"/>
    <s v="OPEN"/>
    <x v="14"/>
    <s v="GRE"/>
    <m/>
    <m/>
    <m/>
    <m/>
    <m/>
    <s v="UHTF"/>
    <s v="CESTFA"/>
  </r>
  <r>
    <x v="644"/>
    <s v="Charamis"/>
    <s v="Panagiotis"/>
    <s v="GRE0679"/>
    <s v="OPEN"/>
    <x v="14"/>
    <s v="GRE"/>
    <m/>
    <m/>
    <m/>
    <m/>
    <m/>
    <s v="UHTF"/>
    <s v="CESTFA"/>
  </r>
  <r>
    <x v="645"/>
    <s v="Charatsis"/>
    <s v="Nikolaos"/>
    <s v="GRE0296"/>
    <s v="OPEN"/>
    <x v="179"/>
    <s v="GRE"/>
    <m/>
    <m/>
    <m/>
    <m/>
    <m/>
    <s v="UHTF"/>
    <s v="CESTFA"/>
  </r>
  <r>
    <x v="646"/>
    <s v="Charatsis"/>
    <s v="Panagiotis"/>
    <s v="GRE0221"/>
    <s v="VET"/>
    <x v="179"/>
    <s v="GRE"/>
    <m/>
    <m/>
    <m/>
    <m/>
    <m/>
    <s v="UHTF"/>
    <s v="CESTFA"/>
  </r>
  <r>
    <x v="647"/>
    <s v="Charizopoulos"/>
    <s v="George"/>
    <s v="GRE0742"/>
    <s v="U12"/>
    <x v="14"/>
    <s v="GRE"/>
    <m/>
    <m/>
    <m/>
    <m/>
    <m/>
    <s v="UHTF"/>
    <s v="CESTFA"/>
  </r>
  <r>
    <x v="648"/>
    <s v="Charles"/>
    <s v="Alexander"/>
    <s v="USA0410"/>
    <s v="OPEN"/>
    <x v="219"/>
    <s v="USA"/>
    <m/>
    <m/>
    <m/>
    <m/>
    <m/>
    <s v="ASA"/>
    <s v="CONASTF"/>
  </r>
  <r>
    <x v="649"/>
    <s v="Chasoulidis"/>
    <s v="Charilaos"/>
    <s v="GRE0544"/>
    <s v="VET"/>
    <x v="14"/>
    <s v="GRE"/>
    <m/>
    <m/>
    <m/>
    <m/>
    <m/>
    <s v="UHTF"/>
    <s v="CESTFA"/>
  </r>
  <r>
    <x v="650"/>
    <s v="Chasoulidis"/>
    <s v="Ioannis"/>
    <s v="GRE0561"/>
    <s v="U20"/>
    <x v="14"/>
    <s v="GRE"/>
    <m/>
    <m/>
    <m/>
    <m/>
    <m/>
    <s v="UHTF"/>
    <s v="CESTFA"/>
  </r>
  <r>
    <x v="651"/>
    <s v="Chatzakis"/>
    <s v="Eleftherios"/>
    <s v="GRE0400"/>
    <s v="VET"/>
    <x v="220"/>
    <s v="GRE"/>
    <m/>
    <m/>
    <m/>
    <m/>
    <m/>
    <s v="UHTF"/>
    <s v="CESTFA"/>
  </r>
  <r>
    <x v="652"/>
    <s v="Chatzidialechtos"/>
    <s v="Theodoros"/>
    <s v="GRE0710"/>
    <s v="OPEN"/>
    <x v="66"/>
    <s v="GRE"/>
    <m/>
    <m/>
    <m/>
    <m/>
    <m/>
    <s v="UHTF"/>
    <s v="CESTFA"/>
  </r>
  <r>
    <x v="653"/>
    <s v="Chatziplaton"/>
    <s v="Charis"/>
    <s v="GER0147"/>
    <s v="OPEN"/>
    <x v="221"/>
    <s v="GER"/>
    <m/>
    <m/>
    <m/>
    <m/>
    <m/>
    <s v="DSTFB"/>
    <s v="CESTFA"/>
  </r>
  <r>
    <x v="654"/>
    <s v="Chatzistavrakis"/>
    <s v="Emmanouil"/>
    <s v="GRE0737"/>
    <s v="U12"/>
    <x v="67"/>
    <s v="GRE"/>
    <m/>
    <m/>
    <m/>
    <m/>
    <m/>
    <s v="UHTF"/>
    <s v="CESTFA"/>
  </r>
  <r>
    <x v="655"/>
    <s v="Chatzistavrakis"/>
    <s v="Manousos"/>
    <s v="GRE0813"/>
    <s v="OPEN"/>
    <x v="67"/>
    <s v="GRE"/>
    <m/>
    <m/>
    <m/>
    <m/>
    <m/>
    <s v="UHTF"/>
    <s v="CESTFA"/>
  </r>
  <r>
    <x v="656"/>
    <s v="Chatzitheodorou"/>
    <s v="Ioannis"/>
    <s v="GRE0535"/>
    <s v="OPEN"/>
    <x v="14"/>
    <s v="GRE"/>
    <m/>
    <m/>
    <m/>
    <m/>
    <m/>
    <s v="UHTF"/>
    <s v="CESTFA"/>
  </r>
  <r>
    <x v="657"/>
    <s v="Chazarakis"/>
    <s v="Alkaios"/>
    <s v="GRE0584"/>
    <s v="VET"/>
    <x v="14"/>
    <s v="GRE"/>
    <m/>
    <m/>
    <m/>
    <m/>
    <m/>
    <s v="UHTF"/>
    <s v="CESTFA"/>
  </r>
  <r>
    <x v="658"/>
    <s v="Cheiras"/>
    <s v="Dimosthenis"/>
    <s v="GRE0178"/>
    <s v="VET"/>
    <x v="14"/>
    <s v="GRE"/>
    <m/>
    <m/>
    <m/>
    <m/>
    <m/>
    <s v="UHTF"/>
    <s v="CESTFA"/>
  </r>
  <r>
    <x v="659"/>
    <s v="Cheiras"/>
    <s v="Marios"/>
    <s v="GRE0205"/>
    <s v="VET"/>
    <x v="14"/>
    <s v="GRE"/>
    <m/>
    <m/>
    <m/>
    <m/>
    <m/>
    <s v="UHTF"/>
    <s v="CESTFA"/>
  </r>
  <r>
    <x v="660"/>
    <s v="Chennevriere"/>
    <s v="Hugo"/>
    <s v="FRA0236"/>
    <s v="OPEN"/>
    <x v="138"/>
    <s v="FRA"/>
    <m/>
    <m/>
    <m/>
    <m/>
    <m/>
    <s v="3FTS"/>
    <s v="CESTFA"/>
  </r>
  <r>
    <x v="661"/>
    <s v="Cheong"/>
    <s v="Adam"/>
    <s v="SGP0134"/>
    <s v="VET"/>
    <x v="24"/>
    <s v="SGP"/>
    <m/>
    <m/>
    <m/>
    <m/>
    <m/>
    <s v="TFAS"/>
    <s v="CASTFA"/>
  </r>
  <r>
    <x v="662"/>
    <s v="Cheong"/>
    <s v="Jonathan"/>
    <s v="SGP0010"/>
    <s v="OPEN"/>
    <x v="23"/>
    <s v="SGP"/>
    <m/>
    <m/>
    <m/>
    <m/>
    <m/>
    <s v="TFAS"/>
    <s v="CASTFA"/>
  </r>
  <r>
    <x v="663"/>
    <s v="Cheow Hwa"/>
    <s v="Cheow Hwa"/>
    <s v="SGP0133"/>
    <s v="OPEN"/>
    <x v="24"/>
    <s v="SGP"/>
    <m/>
    <m/>
    <m/>
    <m/>
    <m/>
    <s v="TFAS"/>
    <s v="CASTFA"/>
  </r>
  <r>
    <x v="664"/>
    <s v="Cherici"/>
    <s v="Matteo"/>
    <s v="ITA1211"/>
    <s v="VET"/>
    <x v="33"/>
    <s v="ITA"/>
    <m/>
    <m/>
    <m/>
    <m/>
    <m/>
    <s v="FISCT"/>
    <s v="CESTFA"/>
  </r>
  <r>
    <x v="665"/>
    <s v="Chetcuti Dimech"/>
    <s v="Frank"/>
    <s v="MLT0105"/>
    <s v="VET"/>
    <x v="83"/>
    <s v="MLT"/>
    <m/>
    <m/>
    <m/>
    <m/>
    <m/>
    <s v="MTFSA"/>
    <s v="CESTFA"/>
  </r>
  <r>
    <x v="666"/>
    <s v="Chianale"/>
    <s v="Francesco"/>
    <s v="ITA3450"/>
    <s v="OPEN"/>
    <x v="119"/>
    <s v="ITA"/>
    <m/>
    <m/>
    <m/>
    <m/>
    <m/>
    <s v="FISCT"/>
    <s v="CESTFA"/>
  </r>
  <r>
    <x v="667"/>
    <s v="Chianucci"/>
    <s v="Aldo"/>
    <s v="ITA2880"/>
    <s v="OPEN"/>
    <x v="139"/>
    <s v="ITA"/>
    <m/>
    <m/>
    <m/>
    <m/>
    <m/>
    <s v="FISCT"/>
    <s v="CESTFA"/>
  </r>
  <r>
    <x v="668"/>
    <s v="Chiapolino"/>
    <s v="Davide"/>
    <s v="ITA3262"/>
    <s v="OPEN"/>
    <x v="193"/>
    <s v="ITA"/>
    <m/>
    <m/>
    <m/>
    <m/>
    <m/>
    <s v="FISCT"/>
    <s v="CESTFA"/>
  </r>
  <r>
    <x v="669"/>
    <s v="Chiappetta"/>
    <s v="Gabriel"/>
    <s v="FRA0257"/>
    <s v="U12"/>
    <x v="175"/>
    <s v="FRA"/>
    <m/>
    <m/>
    <m/>
    <m/>
    <m/>
    <s v="3FTS"/>
    <s v="CESTFA"/>
  </r>
  <r>
    <x v="670"/>
    <s v="Chiappetta"/>
    <s v="Giovanni"/>
    <s v="FRA0256"/>
    <s v="OPEN"/>
    <x v="175"/>
    <s v="FRA"/>
    <m/>
    <m/>
    <m/>
    <m/>
    <m/>
    <s v="3FTS"/>
    <s v="CESTFA"/>
  </r>
  <r>
    <x v="671"/>
    <s v="Chiara"/>
    <s v="Claudio"/>
    <s v="ITA0954"/>
    <s v="OPEN"/>
    <x v="188"/>
    <s v="ITA"/>
    <m/>
    <m/>
    <m/>
    <m/>
    <m/>
    <s v="FISCT"/>
    <s v="CESTFA"/>
  </r>
  <r>
    <x v="672"/>
    <s v="Chicco"/>
    <s v="Roberto"/>
    <s v="ITA3239"/>
    <s v="VET"/>
    <x v="27"/>
    <s v="ITA"/>
    <m/>
    <m/>
    <m/>
    <m/>
    <m/>
    <s v="FISCT"/>
    <s v="CESTFA"/>
  </r>
  <r>
    <x v="673"/>
    <s v="Chieffallo"/>
    <s v="Mike"/>
    <s v="CAN0045"/>
    <s v="OPEN"/>
    <x v="222"/>
    <s v="CAN"/>
    <m/>
    <m/>
    <m/>
    <m/>
    <m/>
    <s v="SCA"/>
    <m/>
  </r>
  <r>
    <x v="674"/>
    <s v="Chieppa"/>
    <s v="Antonio"/>
    <s v="ITA1472"/>
    <s v="VET"/>
    <x v="120"/>
    <s v="ITA"/>
    <m/>
    <m/>
    <m/>
    <m/>
    <m/>
    <s v="FISCT"/>
    <s v="CESTFA"/>
  </r>
  <r>
    <x v="675"/>
    <s v="Chieppa"/>
    <s v="Riccardo"/>
    <s v="ITA1483"/>
    <s v="U20"/>
    <x v="120"/>
    <s v="ITA"/>
    <m/>
    <m/>
    <m/>
    <m/>
    <m/>
    <s v="FISCT"/>
    <s v="CESTFA"/>
  </r>
  <r>
    <x v="676"/>
    <s v="Chiotis"/>
    <s v="Emmanouil"/>
    <s v="GRE0687"/>
    <s v="VET"/>
    <x v="14"/>
    <s v="GRE"/>
    <m/>
    <m/>
    <m/>
    <m/>
    <m/>
    <s v="UHTF"/>
    <s v="CESTFA"/>
  </r>
  <r>
    <x v="677"/>
    <s v="Chiotis"/>
    <s v="Michalis"/>
    <s v="GRE0686"/>
    <s v="U12"/>
    <x v="67"/>
    <s v="GRE"/>
    <m/>
    <m/>
    <m/>
    <m/>
    <m/>
    <s v="UHTF"/>
    <s v="CESTFA"/>
  </r>
  <r>
    <x v="678"/>
    <s v="Chiovari"/>
    <s v="Filippo"/>
    <s v="ITA2433"/>
    <s v="OPEN"/>
    <x v="200"/>
    <s v="ITA"/>
    <m/>
    <m/>
    <m/>
    <m/>
    <m/>
    <s v="FISCT"/>
    <s v="CESTFA"/>
  </r>
  <r>
    <x v="679"/>
    <s v="Chondroudakis"/>
    <s v="Fotis"/>
    <s v="GRE0303"/>
    <s v="OPEN"/>
    <x v="179"/>
    <s v="GRE"/>
    <m/>
    <m/>
    <m/>
    <m/>
    <m/>
    <s v="UHTF"/>
    <s v="CESTFA"/>
  </r>
  <r>
    <x v="680"/>
    <s v="Choong"/>
    <s v="Giovanni"/>
    <s v="SGP0064"/>
    <s v="OPEN"/>
    <x v="201"/>
    <s v="SGP"/>
    <m/>
    <m/>
    <m/>
    <m/>
    <m/>
    <s v="TFAS"/>
    <s v="CASTFA"/>
  </r>
  <r>
    <x v="681"/>
    <s v="Choong"/>
    <s v="Michael"/>
    <s v="SGP0063"/>
    <s v="VET"/>
    <x v="201"/>
    <s v="SGP"/>
    <m/>
    <m/>
    <m/>
    <m/>
    <m/>
    <s v="TFAS"/>
    <s v="CASTFA"/>
  </r>
  <r>
    <x v="682"/>
    <s v="Christidis"/>
    <s v="Michail"/>
    <s v="GRE0451"/>
    <s v="VET"/>
    <x v="14"/>
    <s v="GRE"/>
    <m/>
    <m/>
    <m/>
    <m/>
    <m/>
    <s v="UHTF"/>
    <s v="CESTFA"/>
  </r>
  <r>
    <x v="683"/>
    <s v="Christie"/>
    <s v="Gareth"/>
    <s v="SCO0025"/>
    <s v="OPEN"/>
    <x v="160"/>
    <s v="SCO"/>
    <m/>
    <m/>
    <m/>
    <m/>
    <m/>
    <s v="SSA"/>
    <s v="CESTFA"/>
  </r>
  <r>
    <x v="684"/>
    <s v="Christodoulou"/>
    <s v="Apostolos"/>
    <s v="GRE0105"/>
    <s v="VET"/>
    <x v="14"/>
    <s v="GRE"/>
    <m/>
    <m/>
    <m/>
    <m/>
    <m/>
    <s v="UHTF"/>
    <s v="CESTFA"/>
  </r>
  <r>
    <x v="685"/>
    <s v="Christodoulou"/>
    <s v="Kostas"/>
    <s v="GRE0284"/>
    <s v="OPEN"/>
    <x v="14"/>
    <s v="GRE"/>
    <m/>
    <m/>
    <m/>
    <m/>
    <m/>
    <s v="UHTF"/>
    <s v="CESTFA"/>
  </r>
  <r>
    <x v="686"/>
    <s v="Christoforou"/>
    <s v="Kleanthos"/>
    <s v="CYP0032"/>
    <m/>
    <x v="14"/>
    <s v="CYP"/>
    <m/>
    <m/>
    <m/>
    <m/>
    <m/>
    <s v="CYSTFA (Provisional)"/>
    <m/>
  </r>
  <r>
    <x v="687"/>
    <s v="Christopher"/>
    <s v="Jason"/>
    <s v="ENG0333"/>
    <s v="VET"/>
    <x v="75"/>
    <s v="ENG"/>
    <m/>
    <m/>
    <m/>
    <m/>
    <m/>
    <s v="ESA"/>
    <s v="CESTFA"/>
  </r>
  <r>
    <x v="688"/>
    <s v="Christopoulos"/>
    <s v="Orestis"/>
    <s v="GRE0272"/>
    <s v="OPEN"/>
    <x v="78"/>
    <s v="GRE"/>
    <m/>
    <m/>
    <m/>
    <m/>
    <m/>
    <s v="UHTF"/>
    <s v="CESTFA"/>
  </r>
  <r>
    <x v="689"/>
    <s v="Christou"/>
    <s v="Alexandros"/>
    <s v="GRE0144"/>
    <s v="OPEN"/>
    <x v="14"/>
    <s v="GRE"/>
    <m/>
    <m/>
    <m/>
    <m/>
    <m/>
    <s v="UHTF"/>
    <s v="CESTFA"/>
  </r>
  <r>
    <x v="690"/>
    <s v="Chronopoulos"/>
    <s v="Dimitris"/>
    <s v="GRE0488"/>
    <s v="OPEN"/>
    <x v="14"/>
    <s v="GRE"/>
    <m/>
    <m/>
    <m/>
    <m/>
    <m/>
    <s v="UHTF"/>
    <s v="CESTFA"/>
  </r>
  <r>
    <x v="691"/>
    <s v="Chugani"/>
    <s v="Chandru G"/>
    <s v="SGP0060"/>
    <s v="VET"/>
    <x v="4"/>
    <s v="SGP"/>
    <m/>
    <m/>
    <m/>
    <m/>
    <m/>
    <s v="TFAS"/>
    <s v="CASTFA"/>
  </r>
  <r>
    <x v="692"/>
    <s v="Chugani"/>
    <s v="Vishal G"/>
    <s v="SGP0061"/>
    <s v="OPEN"/>
    <x v="4"/>
    <s v="SGP"/>
    <m/>
    <m/>
    <m/>
    <m/>
    <m/>
    <s v="TFAS"/>
    <s v="CASTFA"/>
  </r>
  <r>
    <x v="693"/>
    <s v="Chytas"/>
    <s v="Christos"/>
    <s v="GRE0298"/>
    <s v="OPEN"/>
    <x v="17"/>
    <s v="GRE"/>
    <m/>
    <m/>
    <m/>
    <m/>
    <m/>
    <s v="UHTF"/>
    <s v="CESTFA"/>
  </r>
  <r>
    <x v="694"/>
    <s v="Ciabattoni"/>
    <s v="Luca"/>
    <s v="ITA0204"/>
    <s v="OPEN"/>
    <x v="55"/>
    <s v="ITA"/>
    <m/>
    <m/>
    <m/>
    <m/>
    <m/>
    <s v="FISCT"/>
    <s v="CESTFA"/>
  </r>
  <r>
    <x v="695"/>
    <s v="Ciampoli"/>
    <s v="Dario"/>
    <s v="ITA3238"/>
    <s v="VET"/>
    <x v="27"/>
    <s v="ITA"/>
    <m/>
    <m/>
    <m/>
    <m/>
    <m/>
    <s v="FISCT"/>
    <s v="CESTFA"/>
  </r>
  <r>
    <x v="696"/>
    <s v="Cianchella"/>
    <s v="Valeriano"/>
    <s v="ITA1777"/>
    <s v="VET"/>
    <x v="25"/>
    <s v="ITA"/>
    <m/>
    <m/>
    <m/>
    <m/>
    <m/>
    <s v="FISCT"/>
    <s v="CESTFA"/>
  </r>
  <r>
    <x v="697"/>
    <s v="Ciano"/>
    <s v="Massimo"/>
    <s v="ITA0206"/>
    <s v="VET"/>
    <x v="223"/>
    <s v="ITA"/>
    <m/>
    <m/>
    <m/>
    <m/>
    <m/>
    <s v="FISCT"/>
    <s v="CESTFA"/>
  </r>
  <r>
    <x v="698"/>
    <s v="Ciaramella"/>
    <s v="Andrea"/>
    <s v="ITA3227"/>
    <s v="U16"/>
    <x v="119"/>
    <s v="ITA"/>
    <m/>
    <m/>
    <m/>
    <m/>
    <m/>
    <s v="FISCT"/>
    <s v="CESTFA"/>
  </r>
  <r>
    <x v="699"/>
    <s v="Ciaramella"/>
    <s v="Gianni"/>
    <s v="ITA3224"/>
    <s v="U16"/>
    <x v="119"/>
    <s v="ITA"/>
    <m/>
    <m/>
    <m/>
    <m/>
    <m/>
    <s v="FISCT"/>
    <s v="CESTFA"/>
  </r>
  <r>
    <x v="700"/>
    <s v="Ciboldi"/>
    <s v="Paolo"/>
    <s v="ITA2364"/>
    <s v="VET"/>
    <x v="173"/>
    <s v="ITA"/>
    <m/>
    <m/>
    <m/>
    <m/>
    <m/>
    <s v="FISCT"/>
    <s v="CESTFA"/>
  </r>
  <r>
    <x v="701"/>
    <s v="Ciboldi"/>
    <s v="Riccardo"/>
    <s v="ITA2906"/>
    <s v="OPEN"/>
    <x v="173"/>
    <s v="ITA"/>
    <m/>
    <m/>
    <m/>
    <m/>
    <m/>
    <s v="FISCT"/>
    <s v="CESTFA"/>
  </r>
  <r>
    <x v="702"/>
    <s v="Ciccarelli"/>
    <s v="Andrea"/>
    <s v="ITA0207"/>
    <s v="OPEN"/>
    <x v="134"/>
    <s v="ITA"/>
    <m/>
    <m/>
    <m/>
    <m/>
    <m/>
    <s v="FISCT"/>
    <s v="CESTFA"/>
  </r>
  <r>
    <x v="703"/>
    <s v="Ciccarelli"/>
    <s v="Matteo"/>
    <s v="ITA0209"/>
    <s v="OPEN"/>
    <x v="134"/>
    <s v="ITA"/>
    <m/>
    <m/>
    <m/>
    <m/>
    <m/>
    <s v="FISCT"/>
    <s v="CESTFA"/>
  </r>
  <r>
    <x v="704"/>
    <s v="Cicognani"/>
    <s v="Daniele"/>
    <s v="ITA0210"/>
    <s v="VET"/>
    <x v="224"/>
    <s v="ITA"/>
    <m/>
    <m/>
    <m/>
    <m/>
    <m/>
    <s v="FISCT"/>
    <s v="CESTFA"/>
  </r>
  <r>
    <x v="705"/>
    <s v="Cincotto"/>
    <s v="Jeferson"/>
    <s v="BRA0052"/>
    <s v="VET"/>
    <x v="2"/>
    <s v="BRA"/>
    <m/>
    <m/>
    <m/>
    <m/>
    <m/>
    <s v="CBFM (Suspended)"/>
    <m/>
  </r>
  <r>
    <x v="706"/>
    <s v="Cinque"/>
    <s v="Giovanni"/>
    <s v="ITA1669"/>
    <s v="VET"/>
    <x v="92"/>
    <s v="ITA"/>
    <m/>
    <m/>
    <m/>
    <m/>
    <m/>
    <s v="FISCT"/>
    <s v="CESTFA"/>
  </r>
  <r>
    <x v="707"/>
    <s v="Cionfi"/>
    <s v="Mauro"/>
    <s v="ITA1015"/>
    <s v="VET"/>
    <x v="32"/>
    <s v="ITA"/>
    <m/>
    <m/>
    <m/>
    <m/>
    <m/>
    <s v="FISCT"/>
    <s v="CESTFA"/>
  </r>
  <r>
    <x v="708"/>
    <s v="Cipro"/>
    <s v="Roberto"/>
    <s v="ITA2712"/>
    <s v="VET"/>
    <x v="225"/>
    <s v="ITA"/>
    <m/>
    <m/>
    <m/>
    <m/>
    <m/>
    <s v="FISCT"/>
    <s v="CESTFA"/>
  </r>
  <r>
    <x v="709"/>
    <s v="Cipulat"/>
    <s v="Emanuele"/>
    <s v="ITA3069"/>
    <s v="VET"/>
    <x v="35"/>
    <s v="ITA"/>
    <m/>
    <m/>
    <m/>
    <m/>
    <m/>
    <s v="FISCT"/>
    <s v="CESTFA"/>
  </r>
  <r>
    <x v="710"/>
    <s v="Ciraolo"/>
    <s v="Carlo"/>
    <s v="ITA1151"/>
    <s v="VET"/>
    <x v="114"/>
    <s v="ITA"/>
    <m/>
    <m/>
    <m/>
    <m/>
    <m/>
    <s v="FISCT"/>
    <s v="CESTFA"/>
  </r>
  <r>
    <x v="711"/>
    <s v="Ciraolo"/>
    <s v="Gaetano"/>
    <s v="ITA0216"/>
    <s v="VET"/>
    <x v="111"/>
    <s v="ITA"/>
    <m/>
    <m/>
    <m/>
    <m/>
    <m/>
    <s v="FISCT"/>
    <s v="CESTFA"/>
  </r>
  <r>
    <x v="712"/>
    <s v="Cirillo"/>
    <s v="Stefano"/>
    <s v="ITA0217"/>
    <s v="OPEN"/>
    <x v="111"/>
    <s v="ITA"/>
    <m/>
    <m/>
    <m/>
    <m/>
    <m/>
    <s v="FISCT"/>
    <s v="CESTFA"/>
  </r>
  <r>
    <x v="713"/>
    <s v="Cirri"/>
    <s v="Luca"/>
    <s v="ITA2653"/>
    <s v="VET"/>
    <x v="106"/>
    <s v="ITA"/>
    <m/>
    <m/>
    <m/>
    <m/>
    <m/>
    <s v="FISCT"/>
    <s v="CESTFA"/>
  </r>
  <r>
    <x v="714"/>
    <s v="Citrigno"/>
    <s v="Pasquale"/>
    <s v="ITA1053"/>
    <s v="VET"/>
    <x v="84"/>
    <s v="ITA"/>
    <m/>
    <m/>
    <m/>
    <m/>
    <m/>
    <s v="FISCT"/>
    <s v="CESTFA"/>
  </r>
  <r>
    <x v="715"/>
    <s v="Clark"/>
    <s v="Adam"/>
    <s v="ENG0510"/>
    <s v="OPEN"/>
    <x v="14"/>
    <s v="ENG"/>
    <m/>
    <m/>
    <m/>
    <m/>
    <m/>
    <s v="ESA"/>
    <s v="CESTFA"/>
  </r>
  <r>
    <x v="716"/>
    <s v="Clark"/>
    <s v="Darren"/>
    <s v="ENG0092"/>
    <s v="VET"/>
    <x v="96"/>
    <s v="ENG"/>
    <m/>
    <m/>
    <m/>
    <m/>
    <m/>
    <s v="ESA"/>
    <s v="CESTFA"/>
  </r>
  <r>
    <x v="717"/>
    <s v="Clarke"/>
    <s v="Daz"/>
    <s v="ENG0518"/>
    <s v="VET"/>
    <x v="226"/>
    <s v="ENG"/>
    <m/>
    <m/>
    <m/>
    <m/>
    <m/>
    <s v="ESA"/>
    <s v="CESTFA"/>
  </r>
  <r>
    <x v="718"/>
    <s v="Clarkson"/>
    <s v="Iain"/>
    <s v="CAN0021"/>
    <s v="OPEN"/>
    <x v="191"/>
    <s v="CAN"/>
    <m/>
    <m/>
    <m/>
    <m/>
    <m/>
    <s v="SCA"/>
    <m/>
  </r>
  <r>
    <x v="719"/>
    <s v="Clegg"/>
    <s v="David"/>
    <s v="NIR0010"/>
    <s v="VET"/>
    <x v="227"/>
    <s v="NIR"/>
    <m/>
    <m/>
    <m/>
    <m/>
    <m/>
    <s v="NITFA"/>
    <s v="CESTFA"/>
  </r>
  <r>
    <x v="720"/>
    <s v="Clemares"/>
    <s v="Manuel"/>
    <s v="ESP0039"/>
    <s v="VET"/>
    <x v="150"/>
    <s v="ESP"/>
    <m/>
    <m/>
    <m/>
    <m/>
    <m/>
    <s v="AEFM"/>
    <s v="CESTFA"/>
  </r>
  <r>
    <x v="721"/>
    <s v="Clemmensen"/>
    <s v="Oliver"/>
    <s v="DEN0048"/>
    <s v="OPEN"/>
    <x v="10"/>
    <s v="DEN"/>
    <m/>
    <m/>
    <m/>
    <m/>
    <m/>
    <s v="DSBU (Provisional)"/>
    <m/>
  </r>
  <r>
    <x v="722"/>
    <s v="Clerici"/>
    <s v="Paolo"/>
    <s v="ESP0452"/>
    <s v="VET"/>
    <x v="47"/>
    <s v="ESP"/>
    <m/>
    <m/>
    <m/>
    <m/>
    <m/>
    <s v="AEFM"/>
    <s v="CESTFA"/>
  </r>
  <r>
    <x v="723"/>
    <s v="Coco"/>
    <s v="Fabrizio"/>
    <s v="AUS0055"/>
    <s v="OPEN"/>
    <x v="113"/>
    <s v="AUS"/>
    <m/>
    <m/>
    <m/>
    <m/>
    <m/>
    <s v="ATFA"/>
    <s v="CASTFA"/>
  </r>
  <r>
    <x v="724"/>
    <s v="Cogo"/>
    <s v="Diego"/>
    <s v="ITA0222"/>
    <s v="OPEN"/>
    <x v="205"/>
    <s v="ITA"/>
    <m/>
    <m/>
    <m/>
    <m/>
    <m/>
    <s v="FISCT"/>
    <s v="CESTFA"/>
  </r>
  <r>
    <x v="725"/>
    <s v="Cohen"/>
    <s v="Sam"/>
    <s v="USA0406"/>
    <s v="U20"/>
    <x v="60"/>
    <s v="USA"/>
    <m/>
    <m/>
    <m/>
    <m/>
    <m/>
    <s v="ASA"/>
    <s v="CONASTF"/>
  </r>
  <r>
    <x v="726"/>
    <s v="Colangelo"/>
    <s v="Luca"/>
    <s v="ITA0225"/>
    <s v="OPEN"/>
    <x v="156"/>
    <s v="ITA"/>
    <m/>
    <m/>
    <m/>
    <m/>
    <m/>
    <s v="FISCT"/>
    <s v="CESTFA"/>
  </r>
  <r>
    <x v="727"/>
    <s v="Colasanti"/>
    <s v="Alessio"/>
    <s v="ITA1656"/>
    <s v="OPEN"/>
    <x v="155"/>
    <s v="ITA"/>
    <m/>
    <m/>
    <m/>
    <m/>
    <m/>
    <s v="FISCT"/>
    <s v="CESTFA"/>
  </r>
  <r>
    <x v="728"/>
    <s v="Colella"/>
    <s v="Maurizio"/>
    <s v="ITA2690"/>
    <s v="VET"/>
    <x v="46"/>
    <s v="ITA"/>
    <m/>
    <m/>
    <m/>
    <m/>
    <m/>
    <s v="FISCT"/>
    <s v="CESTFA"/>
  </r>
  <r>
    <x v="729"/>
    <s v="Coletta"/>
    <s v="Marco"/>
    <s v="ITA3236"/>
    <s v="VET"/>
    <x v="27"/>
    <s v="ITA"/>
    <m/>
    <m/>
    <m/>
    <m/>
    <m/>
    <s v="FISCT"/>
    <s v="CESTFA"/>
  </r>
  <r>
    <x v="730"/>
    <s v="Colindres"/>
    <s v="Adolfo"/>
    <s v="USA0009"/>
    <s v="OPEN"/>
    <x v="60"/>
    <s v="USA"/>
    <m/>
    <m/>
    <m/>
    <m/>
    <m/>
    <s v="ASA"/>
    <s v="CONASTF"/>
  </r>
  <r>
    <x v="731"/>
    <s v="Coll"/>
    <s v="Ferran"/>
    <s v="ESP0059"/>
    <s v="VET"/>
    <x v="31"/>
    <s v="ESP"/>
    <m/>
    <m/>
    <m/>
    <m/>
    <m/>
    <s v="AEFM"/>
    <s v="CESTFA"/>
  </r>
  <r>
    <x v="732"/>
    <s v="Collier"/>
    <s v="Dave"/>
    <s v="ENG0304"/>
    <s v="VET"/>
    <x v="75"/>
    <s v="ENG"/>
    <m/>
    <m/>
    <m/>
    <m/>
    <m/>
    <s v="ESA"/>
    <s v="CESTFA"/>
  </r>
  <r>
    <x v="733"/>
    <s v="Colossi"/>
    <s v="Francesco"/>
    <s v="ITA3230"/>
    <s v="OPEN"/>
    <x v="54"/>
    <s v="ITA"/>
    <m/>
    <m/>
    <m/>
    <m/>
    <m/>
    <s v="FISCT"/>
    <s v="CESTFA"/>
  </r>
  <r>
    <x v="734"/>
    <s v="Colossi"/>
    <s v="Nicolò"/>
    <s v="ITA3231"/>
    <s v="U16"/>
    <x v="54"/>
    <s v="ITA"/>
    <m/>
    <m/>
    <m/>
    <m/>
    <m/>
    <s v="FISCT"/>
    <s v="CESTFA"/>
  </r>
  <r>
    <x v="735"/>
    <s v="Colpani"/>
    <s v="Claudio"/>
    <s v="ITA0232"/>
    <s v="VET"/>
    <x v="146"/>
    <s v="ITA"/>
    <m/>
    <m/>
    <m/>
    <m/>
    <m/>
    <s v="FISCT"/>
    <s v="CESTFA"/>
  </r>
  <r>
    <x v="736"/>
    <s v="Colucci"/>
    <s v="Gianriccardo"/>
    <s v="ITA2450"/>
    <s v="VET"/>
    <x v="200"/>
    <s v="ITA"/>
    <m/>
    <m/>
    <m/>
    <m/>
    <m/>
    <s v="FISCT"/>
    <s v="CESTFA"/>
  </r>
  <r>
    <x v="737"/>
    <s v="Colwell"/>
    <s v="Martin"/>
    <s v="ENG0530"/>
    <s v="VET"/>
    <x v="75"/>
    <s v="ENG"/>
    <m/>
    <m/>
    <m/>
    <m/>
    <m/>
    <s v="ESA"/>
    <s v="CESTFA"/>
  </r>
  <r>
    <x v="738"/>
    <s v="Connolly"/>
    <s v="Adrian"/>
    <s v="AUS0123"/>
    <s v="OPEN"/>
    <x v="228"/>
    <s v="AUS"/>
    <m/>
    <m/>
    <m/>
    <m/>
    <m/>
    <s v="ATFA"/>
    <s v="CASTFA"/>
  </r>
  <r>
    <x v="739"/>
    <s v="Connolly"/>
    <s v="Frankie"/>
    <s v="IRL0016"/>
    <s v="OPEN"/>
    <x v="181"/>
    <s v="IRL"/>
    <m/>
    <m/>
    <m/>
    <m/>
    <m/>
    <s v="TFAI"/>
    <s v="CESTFA"/>
  </r>
  <r>
    <x v="740"/>
    <s v="Connolly"/>
    <s v="Sean"/>
    <s v="IRL0019"/>
    <s v="OPEN"/>
    <x v="181"/>
    <s v="IRL"/>
    <m/>
    <m/>
    <m/>
    <m/>
    <m/>
    <s v="TFAI"/>
    <s v="CESTFA"/>
  </r>
  <r>
    <x v="741"/>
    <s v="Constantino"/>
    <s v="Marcus"/>
    <s v="BRA0101"/>
    <s v="OPEN"/>
    <x v="214"/>
    <s v="BRA"/>
    <m/>
    <m/>
    <m/>
    <m/>
    <m/>
    <s v="CBFM (Suspended)"/>
    <m/>
  </r>
  <r>
    <x v="742"/>
    <s v="Constantinou"/>
    <s v="Andreas"/>
    <s v="CYP0003"/>
    <s v="OPEN"/>
    <x v="59"/>
    <s v="CYP"/>
    <m/>
    <m/>
    <m/>
    <m/>
    <m/>
    <s v="CYSTFA (Provisional)"/>
    <m/>
  </r>
  <r>
    <x v="743"/>
    <s v="Conti"/>
    <s v="Derek"/>
    <s v="MLT0017"/>
    <s v="OPEN"/>
    <x v="104"/>
    <s v="MLT"/>
    <m/>
    <m/>
    <m/>
    <m/>
    <m/>
    <s v="MTFSA"/>
    <s v="CESTFA"/>
  </r>
  <r>
    <x v="744"/>
    <s v="Conti"/>
    <s v="Spencer"/>
    <s v="MLT0126"/>
    <s v="OPEN"/>
    <x v="83"/>
    <s v="MLT"/>
    <m/>
    <m/>
    <m/>
    <m/>
    <m/>
    <s v="MTFSA"/>
    <s v="CESTFA"/>
  </r>
  <r>
    <x v="745"/>
    <s v="Conturso"/>
    <s v="Massimo"/>
    <s v="USA0003"/>
    <s v="VET"/>
    <x v="229"/>
    <s v="USA"/>
    <m/>
    <m/>
    <m/>
    <m/>
    <m/>
    <s v="ASA"/>
    <s v="CONASTF"/>
  </r>
  <r>
    <x v="746"/>
    <s v="Converti"/>
    <s v="Luca"/>
    <s v="ITA1930"/>
    <s v="VET"/>
    <x v="87"/>
    <s v="ITA"/>
    <m/>
    <m/>
    <m/>
    <m/>
    <m/>
    <s v="FISCT"/>
    <s v="CESTFA"/>
  </r>
  <r>
    <x v="747"/>
    <s v="Converti"/>
    <s v="Raffaele"/>
    <s v="ITA1623"/>
    <s v="VET"/>
    <x v="230"/>
    <s v="ITA"/>
    <m/>
    <m/>
    <m/>
    <m/>
    <m/>
    <s v="FISCT"/>
    <s v="CESTFA"/>
  </r>
  <r>
    <x v="748"/>
    <s v="Convery"/>
    <s v="Donal"/>
    <s v="NIR0033"/>
    <s v="VET"/>
    <x v="72"/>
    <s v="NIR"/>
    <m/>
    <m/>
    <m/>
    <m/>
    <m/>
    <s v="NITFA"/>
    <s v="CESTFA"/>
  </r>
  <r>
    <x v="749"/>
    <s v="Cooper"/>
    <s v="John"/>
    <s v="ENG0541"/>
    <s v="VET"/>
    <x v="19"/>
    <s v="ENG"/>
    <m/>
    <m/>
    <m/>
    <m/>
    <m/>
    <s v="ESA"/>
    <s v="CESTFA"/>
  </r>
  <r>
    <x v="750"/>
    <s v="Cope"/>
    <s v="David"/>
    <s v="ENG0571"/>
    <s v="VET"/>
    <x v="231"/>
    <s v="ENG"/>
    <m/>
    <m/>
    <m/>
    <m/>
    <m/>
    <s v="ESA"/>
    <s v="CESTFA"/>
  </r>
  <r>
    <x v="751"/>
    <s v="Coppolino"/>
    <s v="Angelo"/>
    <s v="ITA2059"/>
    <s v="OPEN"/>
    <x v="195"/>
    <s v="ITA"/>
    <m/>
    <m/>
    <m/>
    <m/>
    <m/>
    <s v="FISCT"/>
    <s v="CESTFA"/>
  </r>
  <r>
    <x v="752"/>
    <s v="Coppolino"/>
    <s v="Samuele"/>
    <s v="ITA3275"/>
    <s v="U12"/>
    <x v="195"/>
    <s v="ITA"/>
    <m/>
    <m/>
    <m/>
    <m/>
    <m/>
    <s v="FISCT"/>
    <s v="CESTFA"/>
  </r>
  <r>
    <x v="753"/>
    <s v="Coquillon"/>
    <s v="Fanch"/>
    <s v="FRA0178"/>
    <s v="U20"/>
    <x v="232"/>
    <s v="FRA"/>
    <m/>
    <m/>
    <m/>
    <m/>
    <m/>
    <s v="3FTS"/>
    <s v="CESTFA"/>
  </r>
  <r>
    <x v="754"/>
    <s v="Corazza"/>
    <s v="Stefano"/>
    <s v="ITA1550"/>
    <s v="OPEN"/>
    <x v="35"/>
    <s v="ITA"/>
    <m/>
    <m/>
    <m/>
    <m/>
    <m/>
    <s v="FISCT"/>
    <s v="CESTFA"/>
  </r>
  <r>
    <x v="755"/>
    <s v="Cordell"/>
    <s v="Kevin"/>
    <s v="ENG0231"/>
    <s v="OPEN"/>
    <x v="197"/>
    <s v="ENG"/>
    <m/>
    <m/>
    <m/>
    <m/>
    <m/>
    <s v="ESA"/>
    <s v="CESTFA"/>
  </r>
  <r>
    <x v="756"/>
    <s v="Cordone"/>
    <s v="Cristiano"/>
    <s v="ITA2471"/>
    <s v="OPEN"/>
    <x v="233"/>
    <s v="ITA"/>
    <m/>
    <m/>
    <m/>
    <m/>
    <m/>
    <s v="FISCT"/>
    <s v="CESTFA"/>
  </r>
  <r>
    <x v="757"/>
    <s v="Coriani"/>
    <s v="Barbara"/>
    <s v="ITA2171"/>
    <s v="VET"/>
    <x v="118"/>
    <s v="ITA"/>
    <m/>
    <m/>
    <m/>
    <m/>
    <m/>
    <s v="FISCT"/>
    <s v="CESTFA"/>
  </r>
  <r>
    <x v="758"/>
    <s v="Corleto"/>
    <s v="Silvano"/>
    <s v="ITA3196"/>
    <s v="OPEN"/>
    <x v="56"/>
    <s v="ITA"/>
    <m/>
    <m/>
    <m/>
    <m/>
    <m/>
    <s v="FISCT"/>
    <s v="CESTFA"/>
  </r>
  <r>
    <x v="759"/>
    <s v="Corleto"/>
    <s v="Stefano"/>
    <s v="ITA3215"/>
    <s v="OPEN"/>
    <x v="56"/>
    <s v="ITA"/>
    <m/>
    <m/>
    <m/>
    <m/>
    <m/>
    <s v="FISCT"/>
    <s v="CESTFA"/>
  </r>
  <r>
    <x v="760"/>
    <s v="Corr"/>
    <s v="Barry"/>
    <s v="SCO0014"/>
    <s v="OPEN"/>
    <x v="49"/>
    <s v="SCO"/>
    <m/>
    <m/>
    <m/>
    <m/>
    <m/>
    <s v="SSA"/>
    <s v="CESTFA"/>
  </r>
  <r>
    <x v="761"/>
    <s v="Corradi"/>
    <s v="Mario"/>
    <s v="ITA0239"/>
    <s v="VET"/>
    <x v="166"/>
    <s v="ITA"/>
    <m/>
    <m/>
    <m/>
    <m/>
    <m/>
    <s v="FISCT"/>
    <s v="CESTFA"/>
  </r>
  <r>
    <x v="762"/>
    <s v="Correia"/>
    <s v="André"/>
    <s v="POR0183"/>
    <s v="U20"/>
    <x v="14"/>
    <s v="POR"/>
    <m/>
    <m/>
    <m/>
    <m/>
    <m/>
    <s v="APS"/>
    <s v="CESTFA"/>
  </r>
  <r>
    <x v="763"/>
    <s v="Corsi"/>
    <s v="Lanfranco"/>
    <s v="ITA2651"/>
    <s v="VET"/>
    <x v="106"/>
    <s v="ITA"/>
    <m/>
    <m/>
    <m/>
    <m/>
    <m/>
    <s v="FISCT"/>
    <s v="CESTFA"/>
  </r>
  <r>
    <x v="764"/>
    <s v="Corso"/>
    <s v="Antonio"/>
    <s v="ITA1464"/>
    <s v="VET"/>
    <x v="190"/>
    <s v="ITA"/>
    <m/>
    <m/>
    <m/>
    <m/>
    <m/>
    <s v="FISCT"/>
    <s v="CESTFA"/>
  </r>
  <r>
    <x v="765"/>
    <s v="Corso"/>
    <s v="Enrico"/>
    <s v="ITA3182"/>
    <s v="VET"/>
    <x v="234"/>
    <s v="ITA"/>
    <m/>
    <m/>
    <m/>
    <m/>
    <m/>
    <s v="FISCT"/>
    <s v="CESTFA"/>
  </r>
  <r>
    <x v="766"/>
    <s v="Cortese"/>
    <s v="Michele"/>
    <s v="ITA1216"/>
    <s v="OPEN"/>
    <x v="195"/>
    <s v="ITA"/>
    <m/>
    <m/>
    <m/>
    <m/>
    <m/>
    <s v="FISCT"/>
    <s v="CESTFA"/>
  </r>
  <r>
    <x v="767"/>
    <s v="Corti"/>
    <s v="Alessio"/>
    <s v="ITA3133"/>
    <s v="U20"/>
    <x v="235"/>
    <s v="ITA"/>
    <m/>
    <m/>
    <m/>
    <m/>
    <m/>
    <s v="FISCT"/>
    <s v="CESTFA"/>
  </r>
  <r>
    <x v="768"/>
    <s v="Corti"/>
    <s v="Daniele"/>
    <s v="ITA1582"/>
    <s v="VET"/>
    <x v="76"/>
    <s v="ITA"/>
    <m/>
    <m/>
    <m/>
    <m/>
    <m/>
    <s v="FISCT"/>
    <s v="CESTFA"/>
  </r>
  <r>
    <x v="769"/>
    <s v="Corti"/>
    <s v="Matteo"/>
    <s v="ITA3134"/>
    <s v="OPEN"/>
    <x v="235"/>
    <s v="ITA"/>
    <m/>
    <m/>
    <m/>
    <m/>
    <m/>
    <s v="FISCT"/>
    <s v="CESTFA"/>
  </r>
  <r>
    <x v="770"/>
    <s v="Corujeira"/>
    <s v="Silvio Alexandre"/>
    <s v="BRA0160"/>
    <s v="VET"/>
    <x v="207"/>
    <s v="BRA"/>
    <m/>
    <m/>
    <m/>
    <m/>
    <m/>
    <s v="CBFM (Suspended)"/>
    <m/>
  </r>
  <r>
    <x v="771"/>
    <s v="Costa"/>
    <s v="Carmo"/>
    <s v="POR0208"/>
    <s v="U20"/>
    <x v="11"/>
    <s v="POR"/>
    <m/>
    <m/>
    <m/>
    <m/>
    <m/>
    <s v="APS"/>
    <s v="CESTFA"/>
  </r>
  <r>
    <x v="772"/>
    <s v="Costa"/>
    <s v="Eduardo"/>
    <s v="BRA0104"/>
    <s v="OPEN"/>
    <x v="214"/>
    <s v="BRA"/>
    <m/>
    <m/>
    <m/>
    <m/>
    <m/>
    <s v="CBFM (Suspended)"/>
    <m/>
  </r>
  <r>
    <x v="773"/>
    <s v="Costa"/>
    <s v="Paolo"/>
    <s v="BRA0089"/>
    <s v="OPEN"/>
    <x v="236"/>
    <s v="BRA"/>
    <m/>
    <m/>
    <m/>
    <m/>
    <m/>
    <s v="CBFM (Suspended)"/>
    <m/>
  </r>
  <r>
    <x v="774"/>
    <s v="Costa Filho"/>
    <s v="Paulo"/>
    <s v="BRA0111"/>
    <s v="OPEN"/>
    <x v="214"/>
    <s v="BRA"/>
    <m/>
    <m/>
    <m/>
    <m/>
    <m/>
    <s v="CBFM (Suspended)"/>
    <m/>
  </r>
  <r>
    <x v="775"/>
    <s v="Costa Júnior"/>
    <s v="Emanoel José"/>
    <s v="BRA0134"/>
    <s v="OPEN"/>
    <x v="14"/>
    <s v="BRA"/>
    <m/>
    <m/>
    <m/>
    <m/>
    <m/>
    <s v="CBFM (Suspended)"/>
    <m/>
  </r>
  <r>
    <x v="776"/>
    <s v="Costantino"/>
    <s v="Giuseppe"/>
    <s v="ITA3252"/>
    <s v="VET"/>
    <x v="200"/>
    <s v="ITA"/>
    <m/>
    <m/>
    <m/>
    <m/>
    <m/>
    <s v="FISCT"/>
    <s v="CESTFA"/>
  </r>
  <r>
    <x v="777"/>
    <s v="Coticelli"/>
    <s v="Adriano"/>
    <s v="ITA2719"/>
    <s v="OPEN"/>
    <x v="100"/>
    <s v="ITA"/>
    <m/>
    <m/>
    <m/>
    <m/>
    <m/>
    <s v="FISCT"/>
    <s v="CESTFA"/>
  </r>
  <r>
    <x v="778"/>
    <s v="Cotugno"/>
    <s v="Massimo"/>
    <s v="ITA1293"/>
    <s v="VET"/>
    <x v="176"/>
    <s v="ITA"/>
    <m/>
    <m/>
    <m/>
    <m/>
    <m/>
    <s v="FISCT"/>
    <s v="CESTFA"/>
  </r>
  <r>
    <x v="779"/>
    <s v="Coutinho"/>
    <s v="Bruno"/>
    <s v="BRA0109"/>
    <s v="OPEN"/>
    <x v="237"/>
    <s v="BRA"/>
    <m/>
    <m/>
    <m/>
    <m/>
    <m/>
    <s v="CBFM (Suspended)"/>
    <m/>
  </r>
  <r>
    <x v="780"/>
    <s v="Coutinho"/>
    <s v="Daniel"/>
    <s v="BRA0110"/>
    <s v="OPEN"/>
    <x v="237"/>
    <s v="BRA"/>
    <m/>
    <m/>
    <m/>
    <m/>
    <m/>
    <s v="CBFM (Suspended)"/>
    <m/>
  </r>
  <r>
    <x v="781"/>
    <s v="Coutinho"/>
    <s v="Marcelo"/>
    <s v="BRA0001"/>
    <s v="VET"/>
    <x v="237"/>
    <s v="BRA"/>
    <m/>
    <m/>
    <m/>
    <m/>
    <m/>
    <s v="CBFM (Suspended)"/>
    <m/>
  </r>
  <r>
    <x v="782"/>
    <s v="Couto"/>
    <s v="Breno"/>
    <s v="BRA0128"/>
    <s v="U20"/>
    <x v="214"/>
    <s v="BRA"/>
    <m/>
    <m/>
    <m/>
    <m/>
    <m/>
    <s v="CBFM (Suspended)"/>
    <m/>
  </r>
  <r>
    <x v="783"/>
    <s v="Couto"/>
    <s v="Lauro"/>
    <s v="BRA0113"/>
    <s v="OPEN"/>
    <x v="214"/>
    <s v="BRA"/>
    <m/>
    <m/>
    <m/>
    <m/>
    <m/>
    <s v="CBFM (Suspended)"/>
    <m/>
  </r>
  <r>
    <x v="784"/>
    <s v="Cova"/>
    <s v="Alessandro"/>
    <s v="ITA1982"/>
    <s v="VET"/>
    <x v="46"/>
    <s v="ITA"/>
    <m/>
    <m/>
    <m/>
    <m/>
    <m/>
    <s v="FISCT"/>
    <s v="CESTFA"/>
  </r>
  <r>
    <x v="785"/>
    <s v="Cozzarin"/>
    <s v="Francis"/>
    <s v="AUS0194"/>
    <s v="OPEN"/>
    <x v="238"/>
    <s v="AUS"/>
    <m/>
    <m/>
    <m/>
    <m/>
    <m/>
    <s v="ATFA"/>
    <s v="CASTFA"/>
  </r>
  <r>
    <x v="786"/>
    <s v="Crampton"/>
    <s v="Alan"/>
    <s v="ENG0491"/>
    <s v="VET"/>
    <x v="14"/>
    <s v="ENG"/>
    <m/>
    <m/>
    <m/>
    <m/>
    <m/>
    <s v="ESA"/>
    <s v="CESTFA"/>
  </r>
  <r>
    <x v="787"/>
    <s v="Cranston"/>
    <s v="Daniel"/>
    <s v="USA0001"/>
    <s v="OPEN"/>
    <x v="27"/>
    <s v="USA"/>
    <m/>
    <m/>
    <m/>
    <m/>
    <m/>
    <s v="ASA"/>
    <s v="CONASTF"/>
  </r>
  <r>
    <x v="788"/>
    <s v="Crasset"/>
    <s v="Mathieu"/>
    <s v="BEL0452"/>
    <s v="OPEN"/>
    <x v="28"/>
    <s v="BEL"/>
    <m/>
    <m/>
    <m/>
    <m/>
    <m/>
    <m/>
    <m/>
  </r>
  <r>
    <x v="789"/>
    <s v="Craviotto"/>
    <s v="Cristiano"/>
    <s v="ITA2401"/>
    <s v="VET"/>
    <x v="44"/>
    <s v="ITA"/>
    <m/>
    <m/>
    <m/>
    <m/>
    <m/>
    <s v="FISCT"/>
    <s v="CESTFA"/>
  </r>
  <r>
    <x v="790"/>
    <s v="Credentino"/>
    <s v="Antonio"/>
    <s v="AUS0059"/>
    <s v="VET"/>
    <x v="113"/>
    <s v="AUS"/>
    <m/>
    <m/>
    <m/>
    <m/>
    <m/>
    <s v="ATFA"/>
    <s v="CASTFA"/>
  </r>
  <r>
    <x v="791"/>
    <s v="Credentino"/>
    <s v="Paolo"/>
    <s v="AUS0187"/>
    <s v="OPEN"/>
    <x v="113"/>
    <s v="AUS"/>
    <m/>
    <m/>
    <m/>
    <m/>
    <m/>
    <s v="ATFA"/>
    <s v="CASTFA"/>
  </r>
  <r>
    <x v="792"/>
    <s v="Cremona"/>
    <s v="Massimo"/>
    <s v="MLT0018"/>
    <s v="VET"/>
    <x v="239"/>
    <s v="MLT"/>
    <m/>
    <m/>
    <m/>
    <m/>
    <m/>
    <s v="MTFSA"/>
    <s v="CESTFA"/>
  </r>
  <r>
    <x v="793"/>
    <s v="Cremona"/>
    <s v="Mauro"/>
    <s v="ITA2254"/>
    <s v="VET"/>
    <x v="71"/>
    <s v="ITA"/>
    <m/>
    <m/>
    <m/>
    <m/>
    <m/>
    <s v="FISCT"/>
    <s v="CESTFA"/>
  </r>
  <r>
    <x v="794"/>
    <s v="Crepaldi"/>
    <s v="Artur"/>
    <s v="BRA0082"/>
    <s v="OPEN"/>
    <x v="94"/>
    <s v="BRA"/>
    <m/>
    <m/>
    <m/>
    <m/>
    <m/>
    <s v="CBFM (Suspended)"/>
    <m/>
  </r>
  <r>
    <x v="795"/>
    <s v="Cribari"/>
    <s v="Vittorio"/>
    <s v="ITA1663"/>
    <s v="OPEN"/>
    <x v="0"/>
    <s v="ITA"/>
    <m/>
    <m/>
    <m/>
    <m/>
    <m/>
    <s v="FISCT"/>
    <s v="CESTFA"/>
  </r>
  <r>
    <x v="796"/>
    <s v="Crisconio"/>
    <s v="Giovanni"/>
    <s v="ITA2218"/>
    <s v="VET"/>
    <x v="188"/>
    <s v="ITA"/>
    <m/>
    <m/>
    <m/>
    <m/>
    <m/>
    <s v="FISCT"/>
    <s v="CESTFA"/>
  </r>
  <r>
    <x v="797"/>
    <s v="Crisconio"/>
    <s v="Lorenzo"/>
    <s v="ITA2231"/>
    <s v="U20"/>
    <x v="188"/>
    <s v="ITA"/>
    <m/>
    <m/>
    <m/>
    <m/>
    <m/>
    <s v="FISCT"/>
    <s v="CESTFA"/>
  </r>
  <r>
    <x v="798"/>
    <s v="Criserà"/>
    <s v="Antonino"/>
    <s v="ITA3371"/>
    <s v="VET"/>
    <x v="84"/>
    <s v="ITA"/>
    <m/>
    <m/>
    <m/>
    <m/>
    <m/>
    <s v="FISCT"/>
    <s v="CESTFA"/>
  </r>
  <r>
    <x v="799"/>
    <s v="Croatti"/>
    <s v="Massimiliano"/>
    <s v="ITA0252"/>
    <s v="VET"/>
    <x v="28"/>
    <s v="ITA"/>
    <m/>
    <m/>
    <m/>
    <m/>
    <m/>
    <s v="FISCT"/>
    <s v="CESTFA"/>
  </r>
  <r>
    <x v="800"/>
    <s v="Croce"/>
    <s v="Morgan"/>
    <s v="ITA0254"/>
    <s v="VET"/>
    <x v="240"/>
    <s v="ITA"/>
    <m/>
    <m/>
    <m/>
    <m/>
    <m/>
    <s v="FISCT"/>
    <s v="CESTFA"/>
  </r>
  <r>
    <x v="801"/>
    <s v="Crocetti"/>
    <s v="Stefano"/>
    <s v="ITA3388"/>
    <s v="VET"/>
    <x v="161"/>
    <s v="ITA"/>
    <m/>
    <m/>
    <m/>
    <m/>
    <m/>
    <s v="FISCT"/>
    <s v="CESTFA"/>
  </r>
  <r>
    <x v="802"/>
    <s v="Crovetti"/>
    <s v="Antonio"/>
    <s v="ITA1181"/>
    <s v="VET"/>
    <x v="166"/>
    <s v="ITA"/>
    <m/>
    <m/>
    <m/>
    <m/>
    <m/>
    <s v="FISCT"/>
    <s v="CESTFA"/>
  </r>
  <r>
    <x v="803"/>
    <s v="Crupi"/>
    <s v="Gianluca"/>
    <s v="ITA3376"/>
    <s v="OPEN"/>
    <x v="84"/>
    <s v="ITA"/>
    <m/>
    <m/>
    <m/>
    <m/>
    <m/>
    <s v="FISCT"/>
    <s v="CESTFA"/>
  </r>
  <r>
    <x v="804"/>
    <s v="Crupi"/>
    <s v="Giuseppe"/>
    <s v="ITA3375"/>
    <s v="U20"/>
    <x v="84"/>
    <s v="ITA"/>
    <m/>
    <m/>
    <m/>
    <m/>
    <m/>
    <s v="FISCT"/>
    <s v="CESTFA"/>
  </r>
  <r>
    <x v="805"/>
    <s v="Cruz"/>
    <s v="Francisca"/>
    <s v="POR0232"/>
    <s v="U16"/>
    <x v="11"/>
    <s v="POR"/>
    <m/>
    <m/>
    <m/>
    <m/>
    <m/>
    <s v="APS"/>
    <s v="CESTFA"/>
  </r>
  <r>
    <x v="806"/>
    <s v="Csibor"/>
    <s v="László"/>
    <s v="HUN0006"/>
    <s v="OPEN"/>
    <x v="125"/>
    <s v="HUN"/>
    <m/>
    <m/>
    <m/>
    <m/>
    <m/>
    <s v="HTFA (Suspended)"/>
    <m/>
  </r>
  <r>
    <x v="807"/>
    <s v="Cubeta"/>
    <s v="Filippo"/>
    <s v="ITA0255"/>
    <s v="OPEN"/>
    <x v="195"/>
    <s v="ITA"/>
    <m/>
    <m/>
    <m/>
    <m/>
    <m/>
    <s v="FISCT"/>
    <s v="CESTFA"/>
  </r>
  <r>
    <x v="808"/>
    <s v="Cucinella"/>
    <s v="Domenico"/>
    <s v="ITA2789"/>
    <s v="VET"/>
    <x v="54"/>
    <s v="ITA"/>
    <m/>
    <m/>
    <m/>
    <m/>
    <m/>
    <s v="FISCT"/>
    <s v="CESTFA"/>
  </r>
  <r>
    <x v="809"/>
    <s v="Cucit"/>
    <s v="Andrea"/>
    <s v="ITA0257"/>
    <s v="OPEN"/>
    <x v="193"/>
    <s v="ITA"/>
    <m/>
    <m/>
    <m/>
    <m/>
    <m/>
    <s v="FISCT"/>
    <s v="CESTFA"/>
  </r>
  <r>
    <x v="810"/>
    <s v="Cuello"/>
    <s v="Claudia"/>
    <s v="ARG0051"/>
    <s v="OPEN"/>
    <x v="145"/>
    <s v="ARG"/>
    <m/>
    <m/>
    <m/>
    <m/>
    <m/>
    <s v="LAFM (Suspended)"/>
    <s v="CSAFM"/>
  </r>
  <r>
    <x v="811"/>
    <s v="Cuenca"/>
    <s v="Jean Michel"/>
    <s v="ESP0513"/>
    <s v="VET"/>
    <x v="31"/>
    <s v="ESP"/>
    <m/>
    <m/>
    <m/>
    <m/>
    <m/>
    <s v="AEFM"/>
    <s v="CESTFA"/>
  </r>
  <r>
    <x v="812"/>
    <s v="Cummings"/>
    <s v="Trevor"/>
    <s v="NIR0019"/>
    <s v="OPEN"/>
    <x v="13"/>
    <s v="NIR"/>
    <m/>
    <m/>
    <m/>
    <m/>
    <m/>
    <s v="NITFA"/>
    <s v="CESTFA"/>
  </r>
  <r>
    <x v="813"/>
    <s v="Cuomo"/>
    <s v="Ettore"/>
    <s v="ITA0259"/>
    <s v="VET"/>
    <x v="116"/>
    <s v="ITA"/>
    <m/>
    <m/>
    <m/>
    <m/>
    <m/>
    <s v="FISCT"/>
    <s v="CESTFA"/>
  </r>
  <r>
    <x v="814"/>
    <s v="Curato"/>
    <s v="Giulio"/>
    <s v="ITA0261"/>
    <s v="VET"/>
    <x v="132"/>
    <s v="ITA"/>
    <m/>
    <m/>
    <m/>
    <m/>
    <m/>
    <s v="FISCT"/>
    <s v="CESTFA"/>
  </r>
  <r>
    <x v="815"/>
    <s v="Curci"/>
    <s v="Pietro"/>
    <s v="ITA2593"/>
    <s v="VET"/>
    <x v="106"/>
    <s v="ITA"/>
    <m/>
    <m/>
    <m/>
    <m/>
    <m/>
    <s v="FISCT"/>
    <s v="CESTFA"/>
  </r>
  <r>
    <x v="816"/>
    <s v="Currò"/>
    <s v="Salvatore"/>
    <s v="ITA1438"/>
    <s v="VET"/>
    <x v="40"/>
    <s v="ITA"/>
    <m/>
    <m/>
    <m/>
    <m/>
    <m/>
    <s v="FISCT"/>
    <s v="CESTFA"/>
  </r>
  <r>
    <x v="817"/>
    <s v="Curtis"/>
    <s v="Samuel"/>
    <s v="ENG0094"/>
    <s v="OPEN"/>
    <x v="180"/>
    <s v="ENG"/>
    <m/>
    <m/>
    <m/>
    <m/>
    <m/>
    <s v="ESA"/>
    <s v="CESTFA"/>
  </r>
  <r>
    <x v="818"/>
    <s v="Custo"/>
    <s v="Ugo"/>
    <s v="ITA2199"/>
    <s v="OPEN"/>
    <x v="233"/>
    <s v="ITA"/>
    <m/>
    <m/>
    <m/>
    <m/>
    <m/>
    <s v="FISCT"/>
    <s v="CESTFA"/>
  </r>
  <r>
    <x v="819"/>
    <s v="Cuzzocrea"/>
    <s v="Leandro"/>
    <s v="ITA0262"/>
    <s v="OPEN"/>
    <x v="177"/>
    <s v="ITA"/>
    <m/>
    <m/>
    <m/>
    <m/>
    <m/>
    <s v="FISCT"/>
    <s v="CESTFA"/>
  </r>
  <r>
    <x v="820"/>
    <s v="Cuzzocrea"/>
    <s v="Maurizio"/>
    <s v="ITA0263"/>
    <s v="VET"/>
    <x v="0"/>
    <s v="ITA"/>
    <m/>
    <m/>
    <m/>
    <m/>
    <m/>
    <s v="FISCT"/>
    <s v="CESTFA"/>
  </r>
  <r>
    <x v="821"/>
    <s v="Cuzzocrea"/>
    <s v="Tommaso"/>
    <s v="ITA3439"/>
    <s v="U12"/>
    <x v="177"/>
    <s v="ITA"/>
    <m/>
    <m/>
    <m/>
    <m/>
    <m/>
    <s v="FISCT"/>
    <s v="CESTFA"/>
  </r>
  <r>
    <x v="822"/>
    <s v="Cyganek"/>
    <s v="Jérôme"/>
    <s v="BEL0300"/>
    <s v="U16"/>
    <x v="51"/>
    <s v="BEL"/>
    <m/>
    <m/>
    <m/>
    <m/>
    <m/>
    <m/>
    <m/>
  </r>
  <r>
    <x v="823"/>
    <s v="da Cunha"/>
    <s v="Marcos Moysés"/>
    <s v="BRA0164"/>
    <s v="VET"/>
    <x v="204"/>
    <s v="BRA"/>
    <m/>
    <m/>
    <m/>
    <m/>
    <m/>
    <s v="CBFM (Suspended)"/>
    <m/>
  </r>
  <r>
    <x v="824"/>
    <s v="Da Re"/>
    <s v="Federico"/>
    <s v="ITA3131"/>
    <s v="U20"/>
    <x v="35"/>
    <s v="ITA"/>
    <m/>
    <m/>
    <m/>
    <m/>
    <m/>
    <s v="FISCT"/>
    <s v="CESTFA"/>
  </r>
  <r>
    <x v="825"/>
    <s v="da Silva"/>
    <s v="Alex"/>
    <s v="BRA0040"/>
    <s v="VET"/>
    <x v="2"/>
    <s v="BRA"/>
    <m/>
    <m/>
    <m/>
    <m/>
    <m/>
    <s v="CBFM (Suspended)"/>
    <m/>
  </r>
  <r>
    <x v="826"/>
    <s v="da Silva"/>
    <s v="Wellington"/>
    <s v="BRA0075"/>
    <s v="OPEN"/>
    <x v="14"/>
    <s v="BRA"/>
    <m/>
    <m/>
    <m/>
    <m/>
    <m/>
    <s v="CBFM (Suspended)"/>
    <m/>
  </r>
  <r>
    <x v="827"/>
    <s v="da Silva Barbosa"/>
    <s v="João Paulo"/>
    <s v="BRA0151"/>
    <s v="OPEN"/>
    <x v="58"/>
    <s v="BRA"/>
    <m/>
    <m/>
    <m/>
    <m/>
    <m/>
    <s v="CBFM (Suspended)"/>
    <m/>
  </r>
  <r>
    <x v="828"/>
    <s v="Daanish"/>
    <s v="Ilhan"/>
    <s v="SGP0106"/>
    <s v="U20"/>
    <x v="23"/>
    <s v="SGP"/>
    <m/>
    <m/>
    <m/>
    <m/>
    <m/>
    <s v="TFAS"/>
    <s v="CASTFA"/>
  </r>
  <r>
    <x v="829"/>
    <s v="Dabbas"/>
    <s v="Ahmad"/>
    <s v="DEN0091"/>
    <s v="U20"/>
    <x v="10"/>
    <s v="DEN"/>
    <m/>
    <m/>
    <m/>
    <m/>
    <m/>
    <s v="DSBU (Provisional)"/>
    <m/>
  </r>
  <r>
    <x v="830"/>
    <s v="Dabbas"/>
    <s v="Batool"/>
    <s v="DEN0103"/>
    <s v="OPEN"/>
    <x v="10"/>
    <s v="DEN"/>
    <m/>
    <m/>
    <m/>
    <m/>
    <m/>
    <s v="DSBU (Provisional)"/>
    <m/>
  </r>
  <r>
    <x v="831"/>
    <s v="Dabbas"/>
    <s v="Minna"/>
    <s v="DEN0090"/>
    <s v="U20"/>
    <x v="10"/>
    <s v="DEN"/>
    <m/>
    <m/>
    <m/>
    <m/>
    <m/>
    <s v="DSBU (Provisional)"/>
    <m/>
  </r>
  <r>
    <x v="832"/>
    <s v="Dabbas"/>
    <s v="Mohammad"/>
    <s v="DEN0092"/>
    <s v="U20"/>
    <x v="10"/>
    <s v="DEN"/>
    <m/>
    <m/>
    <m/>
    <m/>
    <m/>
    <s v="DSBU (Provisional)"/>
    <m/>
  </r>
  <r>
    <x v="833"/>
    <s v="Dabbas"/>
    <s v="Safa"/>
    <s v="DEN0110"/>
    <s v="U20"/>
    <x v="10"/>
    <s v="DEN"/>
    <m/>
    <m/>
    <m/>
    <m/>
    <m/>
    <s v="DSBU (Provisional)"/>
    <m/>
  </r>
  <r>
    <x v="834"/>
    <s v="Dacey"/>
    <s v="Phil"/>
    <s v="WAL0016"/>
    <s v="OPEN"/>
    <x v="121"/>
    <s v="WAL"/>
    <m/>
    <m/>
    <m/>
    <m/>
    <m/>
    <s v="WSTFA"/>
    <s v="CESTFA"/>
  </r>
  <r>
    <x v="835"/>
    <s v="D'adamo"/>
    <s v="Marcello"/>
    <s v="ITA3386"/>
    <s v="VET"/>
    <x v="161"/>
    <s v="ITA"/>
    <m/>
    <m/>
    <m/>
    <m/>
    <m/>
    <s v="FISCT"/>
    <s v="CESTFA"/>
  </r>
  <r>
    <x v="836"/>
    <s v="Daelman"/>
    <s v="Jean-Christophe"/>
    <s v="BEL0256"/>
    <s v="OPEN"/>
    <x v="241"/>
    <s v="BEL"/>
    <m/>
    <m/>
    <m/>
    <m/>
    <m/>
    <m/>
    <m/>
  </r>
  <r>
    <x v="837"/>
    <s v="Dähne"/>
    <s v="Nicola"/>
    <s v="GER0106"/>
    <s v="OPEN"/>
    <x v="5"/>
    <s v="GER"/>
    <m/>
    <m/>
    <m/>
    <m/>
    <m/>
    <s v="DSTFB"/>
    <s v="CESTFA"/>
  </r>
  <r>
    <x v="838"/>
    <s v="Dalcin"/>
    <s v="Roberto"/>
    <s v="BRA0023"/>
    <s v="OPEN"/>
    <x v="14"/>
    <s v="BRA"/>
    <m/>
    <m/>
    <m/>
    <m/>
    <m/>
    <s v="CBFM (Suspended)"/>
    <m/>
  </r>
  <r>
    <x v="839"/>
    <s v="D'Alessandro"/>
    <s v="Nicola"/>
    <s v="ITA3351"/>
    <s v="VET"/>
    <x v="54"/>
    <s v="ITA"/>
    <m/>
    <m/>
    <m/>
    <m/>
    <m/>
    <s v="FISCT"/>
    <s v="CESTFA"/>
  </r>
  <r>
    <x v="840"/>
    <s v="Daley"/>
    <s v="Brian"/>
    <s v="ENG0089"/>
    <s v="VET"/>
    <x v="180"/>
    <s v="ENG"/>
    <m/>
    <m/>
    <m/>
    <m/>
    <m/>
    <s v="ESA"/>
    <s v="CESTFA"/>
  </r>
  <r>
    <x v="841"/>
    <s v="Dalgleish"/>
    <s v="Scott"/>
    <s v="SCO0077"/>
    <s v="OPEN"/>
    <x v="198"/>
    <s v="SCO"/>
    <m/>
    <m/>
    <m/>
    <m/>
    <m/>
    <s v="SSA"/>
    <s v="CESTFA"/>
  </r>
  <r>
    <x v="842"/>
    <s v="Dalietos"/>
    <s v="Kostantinos"/>
    <s v="GRE0192"/>
    <s v="OPEN"/>
    <x v="14"/>
    <s v="GRE"/>
    <m/>
    <m/>
    <m/>
    <m/>
    <m/>
    <s v="UHTF"/>
    <s v="CESTFA"/>
  </r>
  <r>
    <x v="843"/>
    <s v="Dallara"/>
    <s v="Fabrice"/>
    <s v="FRA0264"/>
    <s v="OPEN"/>
    <x v="242"/>
    <s v="FRA"/>
    <m/>
    <m/>
    <m/>
    <m/>
    <m/>
    <s v="3FTS"/>
    <s v="CESTFA"/>
  </r>
  <r>
    <x v="844"/>
    <s v="Damasco"/>
    <s v="Riccardo"/>
    <s v="ITA2758"/>
    <s v="OPEN"/>
    <x v="105"/>
    <s v="ITA"/>
    <m/>
    <m/>
    <m/>
    <m/>
    <m/>
    <s v="FISCT"/>
    <s v="CESTFA"/>
  </r>
  <r>
    <x v="845"/>
    <s v="D'amico"/>
    <s v="Francesco"/>
    <s v="ITA2735"/>
    <s v="VET"/>
    <x v="27"/>
    <s v="ITA"/>
    <m/>
    <m/>
    <m/>
    <m/>
    <m/>
    <s v="FISCT"/>
    <s v="CESTFA"/>
  </r>
  <r>
    <x v="846"/>
    <s v="D'amico"/>
    <s v="Leonardo"/>
    <s v="ITA2318"/>
    <s v="VET"/>
    <x v="243"/>
    <s v="ITA"/>
    <m/>
    <m/>
    <m/>
    <m/>
    <m/>
    <s v="FISCT"/>
    <s v="CESTFA"/>
  </r>
  <r>
    <x v="847"/>
    <s v="D'Andria"/>
    <s v="Amilcare"/>
    <s v="ITA3445"/>
    <s v="VET"/>
    <x v="54"/>
    <s v="ITA"/>
    <m/>
    <m/>
    <m/>
    <m/>
    <m/>
    <s v="FISCT"/>
    <s v="CESTFA"/>
  </r>
  <r>
    <x v="848"/>
    <s v="Danes"/>
    <s v="Rick"/>
    <s v="ENG0493"/>
    <s v="VET"/>
    <x v="14"/>
    <s v="ENG"/>
    <m/>
    <m/>
    <m/>
    <m/>
    <m/>
    <s v="ESA"/>
    <s v="CESTFA"/>
  </r>
  <r>
    <x v="849"/>
    <s v="D'arco"/>
    <s v="Mauro"/>
    <s v="ITA1029"/>
    <s v="OPEN"/>
    <x v="100"/>
    <s v="ITA"/>
    <m/>
    <m/>
    <m/>
    <m/>
    <m/>
    <s v="FISCT"/>
    <s v="CESTFA"/>
  </r>
  <r>
    <x v="850"/>
    <s v="Darling"/>
    <s v="Peter"/>
    <s v="NIR0018"/>
    <s v="OPEN"/>
    <x v="72"/>
    <s v="NIR"/>
    <m/>
    <m/>
    <m/>
    <m/>
    <m/>
    <s v="NITFA"/>
    <s v="CESTFA"/>
  </r>
  <r>
    <x v="851"/>
    <s v="Darmont"/>
    <s v="Sébastien"/>
    <s v="BEL0264"/>
    <s v="OPEN"/>
    <x v="244"/>
    <s v="BEL"/>
    <m/>
    <m/>
    <m/>
    <m/>
    <m/>
    <m/>
    <m/>
  </r>
  <r>
    <x v="852"/>
    <s v="Das"/>
    <s v="Didier"/>
    <s v="BEL0368"/>
    <s v="VET"/>
    <x v="178"/>
    <s v="BEL"/>
    <m/>
    <m/>
    <m/>
    <m/>
    <m/>
    <m/>
    <m/>
  </r>
  <r>
    <x v="853"/>
    <s v="Daud"/>
    <s v="Muhd Ashraf"/>
    <s v="SGP0022"/>
    <s v="OPEN"/>
    <x v="23"/>
    <s v="SGP"/>
    <m/>
    <m/>
    <m/>
    <m/>
    <m/>
    <s v="TFAS"/>
    <s v="CASTFA"/>
  </r>
  <r>
    <x v="854"/>
    <s v="Daud"/>
    <s v="Muhd Farhan"/>
    <s v="SGP0020"/>
    <s v="OPEN"/>
    <x v="23"/>
    <s v="SGP"/>
    <m/>
    <m/>
    <m/>
    <m/>
    <m/>
    <s v="TFAS"/>
    <s v="CASTFA"/>
  </r>
  <r>
    <x v="855"/>
    <s v="D'auria"/>
    <s v="Massimo"/>
    <s v="ITA2420"/>
    <s v="OPEN"/>
    <x v="1"/>
    <s v="ITA"/>
    <m/>
    <m/>
    <m/>
    <m/>
    <m/>
    <s v="FISCT"/>
    <s v="CESTFA"/>
  </r>
  <r>
    <x v="856"/>
    <s v="Davidson"/>
    <s v="Eddie"/>
    <s v="USA0128"/>
    <s v="VET"/>
    <x v="229"/>
    <s v="USA"/>
    <m/>
    <m/>
    <m/>
    <m/>
    <m/>
    <s v="ASA"/>
    <s v="CONASTF"/>
  </r>
  <r>
    <x v="857"/>
    <s v="Davidson"/>
    <s v="Jeff"/>
    <s v="USA0180"/>
    <s v="OPEN"/>
    <x v="229"/>
    <s v="USA"/>
    <m/>
    <m/>
    <m/>
    <m/>
    <m/>
    <s v="ASA"/>
    <s v="CONASTF"/>
  </r>
  <r>
    <x v="858"/>
    <s v="Daxböck"/>
    <s v="Florian"/>
    <s v="AUT0125"/>
    <s v="VET"/>
    <x v="14"/>
    <s v="AUT"/>
    <m/>
    <m/>
    <m/>
    <m/>
    <m/>
    <s v="EÖTV"/>
    <s v="CESTFA"/>
  </r>
  <r>
    <x v="859"/>
    <s v="Day"/>
    <s v="Colin"/>
    <s v="SCO0015"/>
    <s v="VET"/>
    <x v="49"/>
    <s v="SCO"/>
    <m/>
    <m/>
    <m/>
    <m/>
    <m/>
    <s v="SSA"/>
    <s v="CESTFA"/>
  </r>
  <r>
    <x v="860"/>
    <s v="Dazzi"/>
    <s v="Alessandro"/>
    <s v="ITA2344"/>
    <s v="VET"/>
    <x v="71"/>
    <s v="ITA"/>
    <m/>
    <m/>
    <m/>
    <m/>
    <m/>
    <s v="FISCT"/>
    <s v="CESTFA"/>
  </r>
  <r>
    <x v="861"/>
    <s v="De Bellis"/>
    <s v="Antonia"/>
    <s v="ITA3444"/>
    <s v="OPEN"/>
    <x v="193"/>
    <s v="ITA"/>
    <m/>
    <m/>
    <m/>
    <m/>
    <m/>
    <s v="FISCT"/>
    <s v="CESTFA"/>
  </r>
  <r>
    <x v="862"/>
    <s v="De Bruin"/>
    <s v="Marco"/>
    <s v="NED0007"/>
    <s v="VET"/>
    <x v="245"/>
    <s v="NED"/>
    <m/>
    <m/>
    <m/>
    <m/>
    <m/>
    <s v="NSVB"/>
    <s v="CESTFA"/>
  </r>
  <r>
    <x v="863"/>
    <s v="de Carvalho"/>
    <s v="Gilson"/>
    <s v="BRA0069"/>
    <s v="VET"/>
    <x v="14"/>
    <s v="BRA"/>
    <m/>
    <m/>
    <m/>
    <m/>
    <m/>
    <s v="CBFM (Suspended)"/>
    <m/>
  </r>
  <r>
    <x v="864"/>
    <s v="De Cosmo"/>
    <s v="Domenico"/>
    <s v="ITA1286"/>
    <s v="VET"/>
    <x v="246"/>
    <s v="ITA"/>
    <m/>
    <m/>
    <m/>
    <m/>
    <m/>
    <s v="FISCT"/>
    <s v="CESTFA"/>
  </r>
  <r>
    <x v="865"/>
    <s v="De Francesco"/>
    <s v="Antonio"/>
    <s v="ITA0277"/>
    <s v="OPEN"/>
    <x v="146"/>
    <s v="ITA"/>
    <m/>
    <m/>
    <m/>
    <m/>
    <m/>
    <s v="FISCT"/>
    <s v="CESTFA"/>
  </r>
  <r>
    <x v="866"/>
    <s v="De Francesco"/>
    <s v="Stefano"/>
    <s v="ITA0278"/>
    <s v="VET"/>
    <x v="146"/>
    <s v="ITA"/>
    <m/>
    <m/>
    <m/>
    <m/>
    <m/>
    <s v="FISCT"/>
    <s v="CESTFA"/>
  </r>
  <r>
    <x v="867"/>
    <s v="De Gennaro"/>
    <s v="Pietro"/>
    <s v="ITA3424"/>
    <s v="OPEN"/>
    <x v="112"/>
    <s v="ITA"/>
    <m/>
    <m/>
    <m/>
    <m/>
    <m/>
    <s v="FISCT"/>
    <s v="CESTFA"/>
  </r>
  <r>
    <x v="868"/>
    <s v="De Giosa"/>
    <s v="Andrea"/>
    <s v="ITA1721"/>
    <s v="OPEN"/>
    <x v="54"/>
    <s v="ITA"/>
    <m/>
    <m/>
    <m/>
    <m/>
    <m/>
    <s v="FISCT"/>
    <s v="CESTFA"/>
  </r>
  <r>
    <x v="869"/>
    <s v="De Giosa"/>
    <s v="Davide"/>
    <s v="ITA3286"/>
    <s v="U20"/>
    <x v="54"/>
    <s v="ITA"/>
    <m/>
    <m/>
    <m/>
    <m/>
    <m/>
    <s v="FISCT"/>
    <s v="CESTFA"/>
  </r>
  <r>
    <x v="870"/>
    <s v="De Haas"/>
    <s v="Maikel"/>
    <s v="NED0001"/>
    <s v="OPEN"/>
    <x v="182"/>
    <s v="NED"/>
    <m/>
    <m/>
    <m/>
    <m/>
    <m/>
    <s v="NSVB"/>
    <s v="CESTFA"/>
  </r>
  <r>
    <x v="871"/>
    <s v="De Jong"/>
    <s v="Chantal"/>
    <s v="NED0024"/>
    <s v="OPEN"/>
    <x v="83"/>
    <s v="NED"/>
    <m/>
    <m/>
    <m/>
    <m/>
    <m/>
    <s v="NSVB"/>
    <s v="CESTFA"/>
  </r>
  <r>
    <x v="872"/>
    <s v="de Jong"/>
    <s v="Martijn"/>
    <s v="NED0050"/>
    <s v="U20"/>
    <x v="83"/>
    <s v="NED"/>
    <m/>
    <m/>
    <m/>
    <m/>
    <m/>
    <s v="NSVB"/>
    <s v="CESTFA"/>
  </r>
  <r>
    <x v="873"/>
    <s v="De Jong"/>
    <s v="Mirjam"/>
    <s v="NED0025"/>
    <s v="OPEN"/>
    <x v="65"/>
    <s v="NED"/>
    <m/>
    <m/>
    <m/>
    <m/>
    <m/>
    <s v="NSVB"/>
    <s v="CESTFA"/>
  </r>
  <r>
    <x v="874"/>
    <s v="De Jong"/>
    <s v="Patrick"/>
    <s v="NED0018"/>
    <s v="VET"/>
    <x v="83"/>
    <s v="NED"/>
    <m/>
    <m/>
    <m/>
    <m/>
    <m/>
    <s v="NSVB"/>
    <s v="CESTFA"/>
  </r>
  <r>
    <x v="875"/>
    <s v="de Jong - Huijers"/>
    <s v="Liesbeth"/>
    <s v="NED0045"/>
    <s v="VET"/>
    <x v="65"/>
    <s v="NED"/>
    <m/>
    <m/>
    <m/>
    <m/>
    <m/>
    <s v="NSVB"/>
    <s v="CESTFA"/>
  </r>
  <r>
    <x v="876"/>
    <s v="De Leeuw"/>
    <s v="Pierre"/>
    <s v="BEL0015"/>
    <s v="OPEN"/>
    <x v="182"/>
    <s v="BEL"/>
    <m/>
    <m/>
    <m/>
    <m/>
    <m/>
    <m/>
    <m/>
  </r>
  <r>
    <x v="877"/>
    <s v="De Leon"/>
    <s v="Armando"/>
    <s v="USA0078"/>
    <s v="OPEN"/>
    <x v="247"/>
    <s v="USA"/>
    <m/>
    <m/>
    <m/>
    <m/>
    <m/>
    <s v="ASA"/>
    <s v="CONASTF"/>
  </r>
  <r>
    <x v="878"/>
    <s v="De Leonardis"/>
    <s v="Lisa"/>
    <s v="ITA3315"/>
    <s v="OPEN"/>
    <x v="112"/>
    <s v="ITA"/>
    <m/>
    <m/>
    <m/>
    <m/>
    <m/>
    <s v="FISCT"/>
    <s v="CESTFA"/>
  </r>
  <r>
    <x v="879"/>
    <s v="De Lorenzi"/>
    <s v="Giorgio"/>
    <s v="ITA3271"/>
    <s v="OPEN"/>
    <x v="119"/>
    <s v="ITA"/>
    <m/>
    <m/>
    <m/>
    <m/>
    <m/>
    <s v="FISCT"/>
    <s v="CESTFA"/>
  </r>
  <r>
    <x v="880"/>
    <s v="De Luca"/>
    <s v="Carmine"/>
    <s v="ITA2056"/>
    <s v="OPEN"/>
    <x v="199"/>
    <s v="ITA"/>
    <m/>
    <m/>
    <m/>
    <m/>
    <m/>
    <s v="FISCT"/>
    <s v="CESTFA"/>
  </r>
  <r>
    <x v="881"/>
    <s v="De Luca"/>
    <s v="Orlando"/>
    <s v="ITA2899"/>
    <s v="OPEN"/>
    <x v="187"/>
    <s v="ITA"/>
    <m/>
    <m/>
    <m/>
    <m/>
    <m/>
    <s v="FISCT"/>
    <s v="CESTFA"/>
  </r>
  <r>
    <x v="882"/>
    <s v="De Maggi"/>
    <s v="David"/>
    <s v="ITA3019"/>
    <s v="VET"/>
    <x v="27"/>
    <s v="ITA"/>
    <m/>
    <m/>
    <m/>
    <m/>
    <m/>
    <s v="FISCT"/>
    <s v="CESTFA"/>
  </r>
  <r>
    <x v="883"/>
    <s v="De Masellis"/>
    <s v="Antonio"/>
    <s v="ITA2578"/>
    <s v="VET"/>
    <x v="1"/>
    <s v="ITA"/>
    <m/>
    <m/>
    <m/>
    <m/>
    <m/>
    <s v="FISCT"/>
    <s v="CESTFA"/>
  </r>
  <r>
    <x v="884"/>
    <s v="de Matos"/>
    <s v="Daniel"/>
    <s v="BRA0094"/>
    <s v="OPEN"/>
    <x v="214"/>
    <s v="BRA"/>
    <m/>
    <m/>
    <m/>
    <m/>
    <m/>
    <s v="CBFM (Suspended)"/>
    <m/>
  </r>
  <r>
    <x v="885"/>
    <s v="de Miguel"/>
    <s v="Txema"/>
    <s v="ESP0412"/>
    <s v="VET"/>
    <x v="47"/>
    <s v="ESP"/>
    <m/>
    <m/>
    <m/>
    <m/>
    <m/>
    <s v="AEFM"/>
    <s v="CESTFA"/>
  </r>
  <r>
    <x v="886"/>
    <s v="De Miranda"/>
    <s v="Adelchi"/>
    <s v="ITA2560"/>
    <s v="U20"/>
    <x v="224"/>
    <s v="ITA"/>
    <m/>
    <m/>
    <m/>
    <m/>
    <m/>
    <s v="FISCT"/>
    <s v="CESTFA"/>
  </r>
  <r>
    <x v="887"/>
    <s v="De Miranda"/>
    <s v="Paolo"/>
    <s v="ITA2559"/>
    <s v="VET"/>
    <x v="224"/>
    <s v="ITA"/>
    <m/>
    <m/>
    <m/>
    <m/>
    <m/>
    <s v="FISCT"/>
    <s v="CESTFA"/>
  </r>
  <r>
    <x v="888"/>
    <s v="De Paoli"/>
    <s v="Stephano"/>
    <s v="ITA1260"/>
    <s v="VET"/>
    <x v="35"/>
    <s v="ITA"/>
    <m/>
    <m/>
    <m/>
    <m/>
    <m/>
    <s v="FISCT"/>
    <s v="CESTFA"/>
  </r>
  <r>
    <x v="889"/>
    <s v="De Paolis"/>
    <s v="Massimo"/>
    <s v="ITA1863"/>
    <s v="OPEN"/>
    <x v="122"/>
    <s v="ITA"/>
    <m/>
    <m/>
    <m/>
    <m/>
    <m/>
    <s v="FISCT"/>
    <s v="CESTFA"/>
  </r>
  <r>
    <x v="890"/>
    <s v="De Pascale"/>
    <s v="Vittorio"/>
    <s v="ITA1264"/>
    <s v="VET"/>
    <x v="44"/>
    <s v="ITA"/>
    <m/>
    <m/>
    <m/>
    <m/>
    <m/>
    <s v="FISCT"/>
    <s v="CESTFA"/>
  </r>
  <r>
    <x v="891"/>
    <s v="De Pascalis"/>
    <s v="Fabio"/>
    <s v="ITA3178"/>
    <s v="OPEN"/>
    <x v="248"/>
    <s v="ITA"/>
    <m/>
    <m/>
    <m/>
    <m/>
    <m/>
    <s v="FISCT"/>
    <s v="CESTFA"/>
  </r>
  <r>
    <x v="892"/>
    <s v="De Rogati"/>
    <s v="Nunzia"/>
    <s v="ITA0284"/>
    <s v="OPEN"/>
    <x v="170"/>
    <s v="ITA"/>
    <m/>
    <m/>
    <m/>
    <m/>
    <m/>
    <s v="FISCT"/>
    <s v="CESTFA"/>
  </r>
  <r>
    <x v="893"/>
    <s v="De Santis"/>
    <s v="Andrea"/>
    <s v="ITA2291"/>
    <s v="OPEN"/>
    <x v="92"/>
    <s v="ITA"/>
    <m/>
    <m/>
    <m/>
    <m/>
    <m/>
    <s v="FISCT"/>
    <s v="CESTFA"/>
  </r>
  <r>
    <x v="894"/>
    <s v="De Santis"/>
    <s v="Gianpaolo"/>
    <s v="ITA2771"/>
    <s v="VET"/>
    <x v="77"/>
    <s v="ITA"/>
    <m/>
    <m/>
    <m/>
    <m/>
    <m/>
    <s v="FISCT"/>
    <s v="CESTFA"/>
  </r>
  <r>
    <x v="895"/>
    <s v="De Santis"/>
    <s v="Marco"/>
    <s v="ITA2973"/>
    <s v="VET"/>
    <x v="77"/>
    <s v="ITA"/>
    <m/>
    <m/>
    <m/>
    <m/>
    <m/>
    <s v="FISCT"/>
    <s v="CESTFA"/>
  </r>
  <r>
    <x v="896"/>
    <s v="De Schuyteneer"/>
    <s v="Kenny"/>
    <s v="BEL0008"/>
    <s v="OPEN"/>
    <x v="178"/>
    <s v="BEL"/>
    <m/>
    <m/>
    <m/>
    <m/>
    <m/>
    <m/>
    <m/>
  </r>
  <r>
    <x v="897"/>
    <s v="De Smet"/>
    <s v="Rudi"/>
    <s v="BEL0047"/>
    <s v="VET"/>
    <x v="241"/>
    <s v="BEL"/>
    <m/>
    <m/>
    <m/>
    <m/>
    <m/>
    <m/>
    <m/>
  </r>
  <r>
    <x v="898"/>
    <s v="De Sousa"/>
    <s v="Didier"/>
    <s v="FRA0286"/>
    <s v="OPEN"/>
    <x v="249"/>
    <s v="FRA"/>
    <m/>
    <m/>
    <m/>
    <m/>
    <m/>
    <s v="3FTS"/>
    <s v="CESTFA"/>
  </r>
  <r>
    <x v="899"/>
    <s v="de Souza"/>
    <s v="Sidney"/>
    <s v="BRA0083"/>
    <s v="OPEN"/>
    <x v="236"/>
    <s v="BRA"/>
    <m/>
    <m/>
    <m/>
    <m/>
    <m/>
    <s v="CBFM (Suspended)"/>
    <m/>
  </r>
  <r>
    <x v="900"/>
    <s v="De Vos"/>
    <s v="Marc"/>
    <s v="BEL0291"/>
    <s v="VET"/>
    <x v="172"/>
    <s v="BEL"/>
    <m/>
    <m/>
    <m/>
    <m/>
    <m/>
    <m/>
    <m/>
  </r>
  <r>
    <x v="901"/>
    <s v="Dean"/>
    <s v="Niall"/>
    <s v="GIB0052"/>
    <s v="OPEN"/>
    <x v="37"/>
    <s v="GIB"/>
    <m/>
    <m/>
    <m/>
    <m/>
    <m/>
    <s v="GTSA"/>
    <s v="CESTFA"/>
  </r>
  <r>
    <x v="902"/>
    <s v="Dean"/>
    <s v="Patrick"/>
    <s v="GIB0049"/>
    <s v="VET"/>
    <x v="37"/>
    <s v="GIB"/>
    <m/>
    <m/>
    <m/>
    <m/>
    <m/>
    <s v="GTSA"/>
    <s v="CESTFA"/>
  </r>
  <r>
    <x v="903"/>
    <s v="Deffolin"/>
    <s v="Jérome"/>
    <s v="FRA0158"/>
    <s v="OPEN"/>
    <x v="194"/>
    <s v="FRA"/>
    <m/>
    <m/>
    <m/>
    <m/>
    <m/>
    <s v="3FTS"/>
    <s v="CESTFA"/>
  </r>
  <r>
    <x v="904"/>
    <s v="Degaetano"/>
    <s v="Elio"/>
    <s v="ITA3440"/>
    <s v="U12"/>
    <x v="177"/>
    <s v="ITA"/>
    <m/>
    <m/>
    <m/>
    <m/>
    <m/>
    <s v="FISCT"/>
    <s v="CESTFA"/>
  </r>
  <r>
    <x v="905"/>
    <s v="Deinhart"/>
    <s v="Gregg"/>
    <s v="USA0014"/>
    <s v="VET"/>
    <x v="192"/>
    <s v="USA"/>
    <m/>
    <m/>
    <m/>
    <m/>
    <m/>
    <s v="ASA"/>
    <s v="CONASTF"/>
  </r>
  <r>
    <x v="906"/>
    <s v="Dejardin"/>
    <s v="Valéry"/>
    <s v="BEL0079"/>
    <s v="OPEN"/>
    <x v="45"/>
    <s v="BEL"/>
    <m/>
    <m/>
    <m/>
    <m/>
    <m/>
    <m/>
    <m/>
  </r>
  <r>
    <x v="907"/>
    <s v="Del Ben"/>
    <s v="David"/>
    <s v="ITA3132"/>
    <s v="U16"/>
    <x v="35"/>
    <s v="ITA"/>
    <m/>
    <m/>
    <m/>
    <m/>
    <m/>
    <s v="FISCT"/>
    <s v="CESTFA"/>
  </r>
  <r>
    <x v="908"/>
    <s v="Del Ben"/>
    <s v="Federico"/>
    <s v="ITA3068"/>
    <s v="OPEN"/>
    <x v="35"/>
    <s v="ITA"/>
    <m/>
    <m/>
    <m/>
    <m/>
    <m/>
    <s v="FISCT"/>
    <s v="CESTFA"/>
  </r>
  <r>
    <x v="909"/>
    <s v="Del Brocco"/>
    <s v="Gianmarco"/>
    <s v="ITA0288"/>
    <s v="OPEN"/>
    <x v="174"/>
    <s v="ITA"/>
    <m/>
    <m/>
    <m/>
    <m/>
    <m/>
    <s v="FISCT"/>
    <s v="CESTFA"/>
  </r>
  <r>
    <x v="910"/>
    <s v="Del Genovese"/>
    <s v="Cristian"/>
    <s v="ITA3416"/>
    <s v="U12"/>
    <x v="76"/>
    <s v="ITA"/>
    <m/>
    <m/>
    <m/>
    <m/>
    <m/>
    <s v="FISCT"/>
    <s v="CESTFA"/>
  </r>
  <r>
    <x v="911"/>
    <s v="Del Genovese"/>
    <s v="Marco"/>
    <s v="ITA2892"/>
    <s v="OPEN"/>
    <x v="25"/>
    <s v="ITA"/>
    <m/>
    <m/>
    <m/>
    <m/>
    <m/>
    <s v="FISCT"/>
    <s v="CESTFA"/>
  </r>
  <r>
    <x v="912"/>
    <s v="Delagarde"/>
    <s v="Fabrice"/>
    <s v="FRA0283"/>
    <s v="VET"/>
    <x v="138"/>
    <s v="FRA"/>
    <m/>
    <m/>
    <m/>
    <m/>
    <m/>
    <s v="3FTS"/>
    <s v="CESTFA"/>
  </r>
  <r>
    <x v="913"/>
    <s v="Delcroix"/>
    <s v="Emeric"/>
    <s v="BEL0030"/>
    <s v="OPEN"/>
    <x v="178"/>
    <s v="BEL"/>
    <m/>
    <m/>
    <m/>
    <m/>
    <m/>
    <m/>
    <m/>
  </r>
  <r>
    <x v="914"/>
    <s v="Delizisis"/>
    <s v="Athanasios"/>
    <s v="GRE0789"/>
    <s v="OPEN"/>
    <x v="14"/>
    <s v="GRE"/>
    <m/>
    <m/>
    <m/>
    <m/>
    <m/>
    <s v="UHTF"/>
    <s v="CESTFA"/>
  </r>
  <r>
    <x v="915"/>
    <s v="Della Monaca"/>
    <s v="Daniele"/>
    <s v="ITA0294"/>
    <s v="OPEN"/>
    <x v="35"/>
    <s v="ITA"/>
    <m/>
    <m/>
    <m/>
    <m/>
    <m/>
    <s v="FISCT"/>
    <s v="CESTFA"/>
  </r>
  <r>
    <x v="916"/>
    <s v="Dellacha'"/>
    <s v="Paolo"/>
    <s v="ITA0295"/>
    <s v="OPEN"/>
    <x v="153"/>
    <s v="ITA"/>
    <m/>
    <m/>
    <m/>
    <m/>
    <m/>
    <s v="FISCT"/>
    <s v="CESTFA"/>
  </r>
  <r>
    <x v="917"/>
    <s v="Dellepiane"/>
    <s v="Alessandro"/>
    <s v="ITA2699"/>
    <s v="VET"/>
    <x v="29"/>
    <s v="ITA"/>
    <m/>
    <m/>
    <m/>
    <m/>
    <m/>
    <s v="FISCT"/>
    <s v="CESTFA"/>
  </r>
  <r>
    <x v="918"/>
    <s v="Delligianakis"/>
    <s v="Eftichios"/>
    <s v="GRE0282"/>
    <s v="OPEN"/>
    <x v="14"/>
    <s v="GRE"/>
    <m/>
    <m/>
    <m/>
    <m/>
    <m/>
    <s v="UHTF"/>
    <s v="CESTFA"/>
  </r>
  <r>
    <x v="919"/>
    <s v="Dementis"/>
    <s v="Ioannis"/>
    <s v="GRE0778"/>
    <s v="OPEN"/>
    <x v="53"/>
    <s v="GRE"/>
    <m/>
    <m/>
    <m/>
    <m/>
    <m/>
    <s v="UHTF"/>
    <s v="CESTFA"/>
  </r>
  <r>
    <x v="920"/>
    <s v="Demey"/>
    <s v="Jean"/>
    <s v="BEL0390"/>
    <s v="U16"/>
    <x v="178"/>
    <s v="BEL"/>
    <m/>
    <m/>
    <m/>
    <m/>
    <m/>
    <m/>
    <m/>
  </r>
  <r>
    <x v="921"/>
    <s v="Demirtzoglou"/>
    <s v="Iordanis"/>
    <s v="GRE0319"/>
    <s v="OPEN"/>
    <x v="14"/>
    <s v="GRE"/>
    <m/>
    <m/>
    <m/>
    <m/>
    <m/>
    <s v="UHTF"/>
    <s v="CESTFA"/>
  </r>
  <r>
    <x v="922"/>
    <s v="Denne"/>
    <s v="Mael"/>
    <s v="BEL0448"/>
    <s v="U12"/>
    <x v="178"/>
    <s v="BEL"/>
    <m/>
    <m/>
    <m/>
    <m/>
    <m/>
    <m/>
    <m/>
  </r>
  <r>
    <x v="923"/>
    <s v="Denne"/>
    <s v="Noah"/>
    <s v="BEL0328"/>
    <s v="U20"/>
    <x v="178"/>
    <s v="BEL"/>
    <m/>
    <m/>
    <m/>
    <m/>
    <m/>
    <m/>
    <m/>
  </r>
  <r>
    <x v="924"/>
    <s v="Denne"/>
    <s v="Sébastien"/>
    <s v="BEL0340"/>
    <s v="OPEN"/>
    <x v="178"/>
    <s v="BEL"/>
    <m/>
    <m/>
    <m/>
    <m/>
    <m/>
    <m/>
    <m/>
  </r>
  <r>
    <x v="925"/>
    <s v="Denooz"/>
    <s v="Damien"/>
    <s v="BEL0020"/>
    <s v="OPEN"/>
    <x v="178"/>
    <s v="BEL"/>
    <m/>
    <m/>
    <m/>
    <m/>
    <m/>
    <m/>
    <m/>
  </r>
  <r>
    <x v="926"/>
    <s v="Denooz"/>
    <s v="Michaël"/>
    <s v="BEL0130"/>
    <s v="OPEN"/>
    <x v="45"/>
    <s v="BEL"/>
    <m/>
    <m/>
    <m/>
    <m/>
    <m/>
    <m/>
    <m/>
  </r>
  <r>
    <x v="927"/>
    <s v="Dent"/>
    <s v="Michael M"/>
    <s v="MAS0001"/>
    <s v="VET"/>
    <x v="85"/>
    <s v="MAS"/>
    <m/>
    <m/>
    <m/>
    <m/>
    <m/>
    <m/>
    <m/>
  </r>
  <r>
    <x v="928"/>
    <s v="D'ercole Cappelli"/>
    <s v="Francesco"/>
    <s v="ITA3044"/>
    <s v="VET"/>
    <x v="110"/>
    <s v="ITA"/>
    <m/>
    <m/>
    <m/>
    <m/>
    <m/>
    <s v="FISCT"/>
    <s v="CESTFA"/>
  </r>
  <r>
    <x v="929"/>
    <s v="Derekis"/>
    <s v="Georgios"/>
    <s v="GRE0725"/>
    <s v="VET"/>
    <x v="14"/>
    <s v="GRE"/>
    <m/>
    <m/>
    <m/>
    <m/>
    <m/>
    <s v="UHTF"/>
    <s v="CESTFA"/>
  </r>
  <r>
    <x v="930"/>
    <s v="Dervis"/>
    <s v="Adrianos"/>
    <s v="GRE0006"/>
    <s v="VET"/>
    <x v="167"/>
    <s v="GRE"/>
    <m/>
    <m/>
    <m/>
    <m/>
    <m/>
    <s v="UHTF"/>
    <s v="CESTFA"/>
  </r>
  <r>
    <x v="931"/>
    <s v="Despretz"/>
    <s v="Chloé"/>
    <s v="BEL0324"/>
    <s v="U16"/>
    <x v="51"/>
    <s v="BEL"/>
    <m/>
    <m/>
    <m/>
    <m/>
    <m/>
    <m/>
    <m/>
  </r>
  <r>
    <x v="932"/>
    <s v="Despretz"/>
    <s v="Emilie"/>
    <s v="BEL0061"/>
    <s v="OPEN"/>
    <x v="51"/>
    <s v="BEL"/>
    <m/>
    <m/>
    <m/>
    <m/>
    <m/>
    <m/>
    <m/>
  </r>
  <r>
    <x v="933"/>
    <s v="Despretz"/>
    <s v="Léa"/>
    <s v="BEL0236"/>
    <s v="U20"/>
    <x v="51"/>
    <s v="BEL"/>
    <m/>
    <m/>
    <m/>
    <m/>
    <m/>
    <m/>
    <m/>
  </r>
  <r>
    <x v="934"/>
    <s v="Despretz"/>
    <s v="Steffen"/>
    <s v="BEL0063"/>
    <s v="OPEN"/>
    <x v="51"/>
    <s v="BEL"/>
    <m/>
    <m/>
    <m/>
    <m/>
    <m/>
    <m/>
    <m/>
  </r>
  <r>
    <x v="935"/>
    <s v="Destefanis"/>
    <s v="Riccardo"/>
    <s v="NOR0019"/>
    <s v="VET"/>
    <x v="185"/>
    <s v="NOR"/>
    <m/>
    <m/>
    <m/>
    <m/>
    <m/>
    <s v="NBFF (Suspended)"/>
    <m/>
  </r>
  <r>
    <x v="936"/>
    <s v="Detorakis"/>
    <s v="Georgios"/>
    <s v="GRE0452"/>
    <s v="U20"/>
    <x v="14"/>
    <s v="GRE"/>
    <m/>
    <m/>
    <m/>
    <m/>
    <m/>
    <s v="UHTF"/>
    <s v="CESTFA"/>
  </r>
  <r>
    <x v="937"/>
    <s v="Dettre"/>
    <s v="James"/>
    <s v="AUS0020"/>
    <s v="OPEN"/>
    <x v="103"/>
    <s v="AUS"/>
    <m/>
    <m/>
    <m/>
    <m/>
    <m/>
    <s v="ATFA"/>
    <s v="CASTFA"/>
  </r>
  <r>
    <x v="938"/>
    <s v="Dettre"/>
    <s v="Louis"/>
    <s v="AUS0019"/>
    <s v="OPEN"/>
    <x v="103"/>
    <s v="AUS"/>
    <m/>
    <m/>
    <m/>
    <m/>
    <m/>
    <s v="ATFA"/>
    <s v="CASTFA"/>
  </r>
  <r>
    <x v="939"/>
    <s v="Dettre"/>
    <s v="Steve"/>
    <s v="AUS0005"/>
    <s v="VET"/>
    <x v="103"/>
    <s v="AUS"/>
    <m/>
    <m/>
    <m/>
    <m/>
    <m/>
    <s v="ATFA"/>
    <s v="CASTFA"/>
  </r>
  <r>
    <x v="940"/>
    <s v="Devey"/>
    <s v="Mike"/>
    <s v="CAN0046"/>
    <s v="OPEN"/>
    <x v="222"/>
    <s v="CAN"/>
    <m/>
    <m/>
    <m/>
    <m/>
    <m/>
    <s v="SCA"/>
    <m/>
  </r>
  <r>
    <x v="941"/>
    <s v="Dheur"/>
    <s v="Christophe"/>
    <s v="BEL0132"/>
    <s v="OPEN"/>
    <x v="170"/>
    <s v="BEL"/>
    <m/>
    <m/>
    <m/>
    <m/>
    <m/>
    <m/>
    <m/>
  </r>
  <r>
    <x v="942"/>
    <s v="Dhyne"/>
    <s v="Nathanaël"/>
    <s v="BEL0478"/>
    <s v="U16"/>
    <x v="241"/>
    <s v="BEL"/>
    <m/>
    <m/>
    <m/>
    <m/>
    <m/>
    <m/>
    <m/>
  </r>
  <r>
    <x v="943"/>
    <s v="Di Buono"/>
    <s v="Alfredo"/>
    <s v="ITA3197"/>
    <s v="OPEN"/>
    <x v="0"/>
    <s v="ITA"/>
    <m/>
    <m/>
    <m/>
    <m/>
    <m/>
    <s v="FISCT"/>
    <s v="CESTFA"/>
  </r>
  <r>
    <x v="944"/>
    <s v="Di Cè"/>
    <s v="Daniele"/>
    <s v="ITA1947"/>
    <s v="VET"/>
    <x v="111"/>
    <s v="ITA"/>
    <m/>
    <m/>
    <m/>
    <m/>
    <m/>
    <s v="FISCT"/>
    <s v="CESTFA"/>
  </r>
  <r>
    <x v="945"/>
    <s v="Di Feo"/>
    <s v="Gaetano"/>
    <s v="ITA2585"/>
    <s v="VET"/>
    <x v="1"/>
    <s v="ITA"/>
    <m/>
    <m/>
    <m/>
    <m/>
    <m/>
    <s v="FISCT"/>
    <s v="CESTFA"/>
  </r>
  <r>
    <x v="946"/>
    <s v="Di Francesco"/>
    <s v="Camillo"/>
    <s v="ITA1169"/>
    <s v="VET"/>
    <x v="55"/>
    <s v="ITA"/>
    <m/>
    <m/>
    <m/>
    <m/>
    <m/>
    <s v="FISCT"/>
    <s v="CESTFA"/>
  </r>
  <r>
    <x v="947"/>
    <s v="Di Francesco"/>
    <s v="Emanuele"/>
    <s v="ITA1245"/>
    <s v="OPEN"/>
    <x v="112"/>
    <s v="ITA"/>
    <m/>
    <m/>
    <m/>
    <m/>
    <m/>
    <s v="FISCT"/>
    <s v="CESTFA"/>
  </r>
  <r>
    <x v="948"/>
    <s v="Di Gennaro"/>
    <s v="Angelo"/>
    <s v="ITA0302"/>
    <s v="VET"/>
    <x v="98"/>
    <s v="ITA"/>
    <m/>
    <m/>
    <m/>
    <m/>
    <m/>
    <s v="FISCT"/>
    <s v="CESTFA"/>
  </r>
  <r>
    <x v="949"/>
    <s v="Di Gennaro"/>
    <s v="Sebastian"/>
    <s v="ITA1432"/>
    <s v="OPEN"/>
    <x v="98"/>
    <s v="ITA"/>
    <m/>
    <m/>
    <m/>
    <m/>
    <m/>
    <s v="FISCT"/>
    <s v="CESTFA"/>
  </r>
  <r>
    <x v="950"/>
    <s v="Di Giannantonio"/>
    <s v="Gioacchino"/>
    <s v="ARG0009"/>
    <s v="VET"/>
    <x v="157"/>
    <s v="ARG"/>
    <m/>
    <m/>
    <m/>
    <m/>
    <m/>
    <s v="LAFM (Suspended)"/>
    <s v="CSAFM"/>
  </r>
  <r>
    <x v="951"/>
    <s v="Di Giannantonio"/>
    <s v="Gustavo"/>
    <s v="ARG0010"/>
    <s v="OPEN"/>
    <x v="157"/>
    <s v="ARG"/>
    <m/>
    <m/>
    <m/>
    <m/>
    <m/>
    <s v="LAFM (Suspended)"/>
    <s v="CSAFM"/>
  </r>
  <r>
    <x v="952"/>
    <s v="Di Giannantonio"/>
    <s v="Nino"/>
    <s v="ARG0011"/>
    <s v="OPEN"/>
    <x v="157"/>
    <s v="ARG"/>
    <m/>
    <m/>
    <m/>
    <m/>
    <m/>
    <s v="LAFM (Suspended)"/>
    <s v="CSAFM"/>
  </r>
  <r>
    <x v="953"/>
    <s v="Di Leo"/>
    <s v="Pio Giorgio"/>
    <s v="ITA3020"/>
    <s v="VET"/>
    <x v="132"/>
    <s v="ITA"/>
    <m/>
    <m/>
    <m/>
    <m/>
    <m/>
    <s v="FISCT"/>
    <s v="CESTFA"/>
  </r>
  <r>
    <x v="954"/>
    <s v="Di Lernia"/>
    <s v="Nicola"/>
    <s v="ITA0304"/>
    <s v="VET"/>
    <x v="246"/>
    <s v="ITA"/>
    <m/>
    <m/>
    <m/>
    <m/>
    <m/>
    <s v="FISCT"/>
    <s v="CESTFA"/>
  </r>
  <r>
    <x v="955"/>
    <s v="Di Lorenzo"/>
    <s v="Massimiliano"/>
    <s v="ITA3253"/>
    <s v="VET"/>
    <x v="200"/>
    <s v="ITA"/>
    <m/>
    <m/>
    <m/>
    <m/>
    <m/>
    <s v="FISCT"/>
    <s v="CESTFA"/>
  </r>
  <r>
    <x v="956"/>
    <s v="Di Lorenzo"/>
    <s v="Maurizio"/>
    <s v="ITA3366"/>
    <s v="OPEN"/>
    <x v="187"/>
    <s v="ITA"/>
    <m/>
    <m/>
    <m/>
    <m/>
    <m/>
    <s v="FISCT"/>
    <s v="CESTFA"/>
  </r>
  <r>
    <x v="957"/>
    <s v="Di Lullo"/>
    <s v="Francesco"/>
    <s v="ITA3024"/>
    <s v="U12"/>
    <x v="32"/>
    <s v="ITA"/>
    <m/>
    <m/>
    <m/>
    <m/>
    <m/>
    <s v="FISCT"/>
    <s v="CESTFA"/>
  </r>
  <r>
    <x v="958"/>
    <s v="Di Lullo"/>
    <s v="Luca"/>
    <s v="ITA2925"/>
    <s v="VET"/>
    <x v="32"/>
    <s v="ITA"/>
    <m/>
    <m/>
    <m/>
    <m/>
    <m/>
    <s v="FISCT"/>
    <s v="CESTFA"/>
  </r>
  <r>
    <x v="959"/>
    <s v="Di Luozzo"/>
    <s v="Mariano"/>
    <s v="ARG0075"/>
    <s v="OPEN"/>
    <x v="250"/>
    <s v="ARG"/>
    <m/>
    <m/>
    <m/>
    <m/>
    <m/>
    <s v="LAFM (Suspended)"/>
    <s v="CSAFM"/>
  </r>
  <r>
    <x v="960"/>
    <s v="Di Maggio"/>
    <s v="Agapi"/>
    <s v="GRE0606"/>
    <s v="U16"/>
    <x v="128"/>
    <s v="GRE"/>
    <m/>
    <m/>
    <m/>
    <m/>
    <m/>
    <s v="UHTF"/>
    <s v="CESTFA"/>
  </r>
  <r>
    <x v="961"/>
    <s v="Di Maggio"/>
    <s v="Alberto"/>
    <s v="GRE0455"/>
    <s v="OPEN"/>
    <x v="46"/>
    <s v="GRE"/>
    <m/>
    <m/>
    <m/>
    <m/>
    <m/>
    <s v="UHTF"/>
    <s v="CESTFA"/>
  </r>
  <r>
    <x v="962"/>
    <s v="Di Maggio"/>
    <s v="Maximos"/>
    <s v="GRE0581"/>
    <s v="U16"/>
    <x v="128"/>
    <s v="GRE"/>
    <m/>
    <m/>
    <m/>
    <m/>
    <m/>
    <s v="UHTF"/>
    <s v="CESTFA"/>
  </r>
  <r>
    <x v="963"/>
    <s v="Di Michelangelo"/>
    <s v="Paolo"/>
    <s v="ITA3048"/>
    <s v="VET"/>
    <x v="112"/>
    <s v="ITA"/>
    <m/>
    <m/>
    <m/>
    <m/>
    <m/>
    <s v="FISCT"/>
    <s v="CESTFA"/>
  </r>
  <r>
    <x v="964"/>
    <s v="Di Muri"/>
    <s v="Dario"/>
    <s v="ITA1757"/>
    <s v="VET"/>
    <x v="87"/>
    <s v="ITA"/>
    <m/>
    <m/>
    <m/>
    <m/>
    <m/>
    <s v="FISCT"/>
    <s v="CESTFA"/>
  </r>
  <r>
    <x v="965"/>
    <s v="Di Nola"/>
    <s v="Raffaele"/>
    <s v="ITA2482"/>
    <s v="VET"/>
    <x v="1"/>
    <s v="ITA"/>
    <m/>
    <m/>
    <m/>
    <m/>
    <m/>
    <s v="FISCT"/>
    <s v="CESTFA"/>
  </r>
  <r>
    <x v="966"/>
    <s v="Di Paolo Sr."/>
    <s v="Bruno"/>
    <s v="ARG0012"/>
    <s v="VET"/>
    <x v="157"/>
    <s v="ARG"/>
    <m/>
    <m/>
    <m/>
    <m/>
    <m/>
    <s v="LAFM (Suspended)"/>
    <s v="CSAFM"/>
  </r>
  <r>
    <x v="967"/>
    <s v="Di Pierro"/>
    <s v="Andrea"/>
    <s v="ITA0305"/>
    <s v="VET"/>
    <x v="27"/>
    <s v="ITA"/>
    <m/>
    <m/>
    <m/>
    <m/>
    <m/>
    <s v="FISCT"/>
    <s v="CESTFA"/>
  </r>
  <r>
    <x v="968"/>
    <s v="Di Pierro"/>
    <s v="Davide"/>
    <s v="ITA0306"/>
    <s v="U20"/>
    <x v="112"/>
    <s v="ITA"/>
    <m/>
    <m/>
    <m/>
    <m/>
    <m/>
    <s v="FISCT"/>
    <s v="CESTFA"/>
  </r>
  <r>
    <x v="969"/>
    <s v="Di Pierro"/>
    <s v="Simone"/>
    <s v="ITA1485"/>
    <s v="VET"/>
    <x v="27"/>
    <s v="ITA"/>
    <m/>
    <m/>
    <m/>
    <m/>
    <m/>
    <s v="FISCT"/>
    <s v="CESTFA"/>
  </r>
  <r>
    <x v="970"/>
    <s v="Di Pietrantonio"/>
    <s v="Fabio"/>
    <s v="ITA1914"/>
    <s v="OPEN"/>
    <x v="156"/>
    <s v="ITA"/>
    <m/>
    <m/>
    <m/>
    <m/>
    <m/>
    <s v="FISCT"/>
    <s v="CESTFA"/>
  </r>
  <r>
    <x v="971"/>
    <s v="Di Pietrantonio"/>
    <s v="Pietro"/>
    <s v="ITA3291"/>
    <m/>
    <x v="170"/>
    <s v="ITA"/>
    <m/>
    <m/>
    <m/>
    <m/>
    <m/>
    <s v="FISCT"/>
    <s v="CESTFA"/>
  </r>
  <r>
    <x v="972"/>
    <s v="Di Pietrantonio"/>
    <s v="Silvestro"/>
    <s v="ITA0307"/>
    <s v="OPEN"/>
    <x v="240"/>
    <s v="ITA"/>
    <m/>
    <m/>
    <m/>
    <m/>
    <m/>
    <s v="FISCT"/>
    <s v="CESTFA"/>
  </r>
  <r>
    <x v="973"/>
    <s v="Di Ruggiero"/>
    <s v="Vito"/>
    <s v="BEL0017"/>
    <s v="VET"/>
    <x v="182"/>
    <s v="BEL"/>
    <m/>
    <m/>
    <m/>
    <m/>
    <m/>
    <m/>
    <m/>
  </r>
  <r>
    <x v="974"/>
    <s v="Di Stefano"/>
    <s v="Letterio"/>
    <s v="ITA2939"/>
    <s v="VET"/>
    <x v="119"/>
    <s v="ITA"/>
    <m/>
    <m/>
    <m/>
    <m/>
    <m/>
    <s v="FISCT"/>
    <s v="CESTFA"/>
  </r>
  <r>
    <x v="975"/>
    <s v="Di Stefano"/>
    <s v="Paolo"/>
    <s v="CZE0011"/>
    <s v="OPEN"/>
    <x v="251"/>
    <s v="CZE"/>
    <m/>
    <m/>
    <m/>
    <m/>
    <m/>
    <s v="CTSU (Suspended)"/>
    <m/>
  </r>
  <r>
    <x v="976"/>
    <s v="Di Terlizzi"/>
    <s v="Andrea"/>
    <s v="ITA2366"/>
    <s v="OPEN"/>
    <x v="110"/>
    <s v="ITA"/>
    <m/>
    <m/>
    <m/>
    <m/>
    <m/>
    <s v="FISCT"/>
    <s v="CESTFA"/>
  </r>
  <r>
    <x v="977"/>
    <s v="Di Tullio"/>
    <s v="Jury"/>
    <s v="ITA2319"/>
    <s v="VET"/>
    <x v="243"/>
    <s v="ITA"/>
    <m/>
    <m/>
    <m/>
    <m/>
    <m/>
    <s v="FISCT"/>
    <s v="CESTFA"/>
  </r>
  <r>
    <x v="978"/>
    <s v="Di Tullio"/>
    <s v="Simone"/>
    <s v="ITA3333"/>
    <s v="OPEN"/>
    <x v="27"/>
    <s v="ITA"/>
    <m/>
    <m/>
    <m/>
    <m/>
    <m/>
    <s v="FISCT"/>
    <s v="CESTFA"/>
  </r>
  <r>
    <x v="979"/>
    <s v="Di Vincenzo"/>
    <s v="Andrea"/>
    <s v="ITA0308"/>
    <s v="VET"/>
    <x v="46"/>
    <s v="ITA"/>
    <m/>
    <m/>
    <m/>
    <m/>
    <m/>
    <s v="FISCT"/>
    <s v="CESTFA"/>
  </r>
  <r>
    <x v="980"/>
    <s v="Di Vito"/>
    <s v="Luigi"/>
    <s v="ITA1060"/>
    <s v="OPEN"/>
    <x v="170"/>
    <s v="ITA"/>
    <m/>
    <m/>
    <m/>
    <m/>
    <m/>
    <s v="FISCT"/>
    <s v="CESTFA"/>
  </r>
  <r>
    <x v="981"/>
    <s v="Di Vito"/>
    <s v="Marco"/>
    <s v="ITA1061"/>
    <s v="OPEN"/>
    <x v="170"/>
    <s v="ITA"/>
    <m/>
    <m/>
    <m/>
    <m/>
    <m/>
    <s v="FISCT"/>
    <s v="CESTFA"/>
  </r>
  <r>
    <x v="982"/>
    <s v="Di Vito"/>
    <s v="Raffaele"/>
    <s v="ITA1059"/>
    <s v="VET"/>
    <x v="170"/>
    <s v="ITA"/>
    <m/>
    <m/>
    <m/>
    <m/>
    <m/>
    <s v="FISCT"/>
    <s v="CESTFA"/>
  </r>
  <r>
    <x v="983"/>
    <s v="Diamantopoulos"/>
    <s v="Dimitrios"/>
    <s v="GRE0466"/>
    <s v="VET"/>
    <x v="14"/>
    <s v="GRE"/>
    <m/>
    <m/>
    <m/>
    <m/>
    <m/>
    <s v="UHTF"/>
    <s v="CESTFA"/>
  </r>
  <r>
    <x v="984"/>
    <s v="Dias"/>
    <s v="Daniel"/>
    <s v="POR0140"/>
    <s v="U12"/>
    <x v="11"/>
    <s v="POR"/>
    <m/>
    <m/>
    <m/>
    <m/>
    <m/>
    <s v="APS"/>
    <s v="CESTFA"/>
  </r>
  <r>
    <x v="985"/>
    <s v="Dias"/>
    <s v="Guilherme"/>
    <s v="POR0193"/>
    <s v="U20"/>
    <x v="11"/>
    <s v="POR"/>
    <m/>
    <m/>
    <m/>
    <m/>
    <m/>
    <s v="APS"/>
    <s v="CESTFA"/>
  </r>
  <r>
    <x v="986"/>
    <s v="Dias"/>
    <s v="João Matos"/>
    <s v="POR0087"/>
    <s v="VET"/>
    <x v="14"/>
    <s v="POR"/>
    <m/>
    <m/>
    <m/>
    <m/>
    <m/>
    <s v="APS"/>
    <s v="CESTFA"/>
  </r>
  <r>
    <x v="987"/>
    <s v="Diéguez"/>
    <s v="José Mª"/>
    <s v="ESP0590"/>
    <s v="OPEN"/>
    <x v="12"/>
    <s v="ESP"/>
    <m/>
    <m/>
    <m/>
    <m/>
    <m/>
    <s v="AEFM"/>
    <s v="CESTFA"/>
  </r>
  <r>
    <x v="988"/>
    <s v="Dieudonne"/>
    <s v="Delphine"/>
    <s v="BEL0064"/>
    <s v="OPEN"/>
    <x v="51"/>
    <s v="BEL"/>
    <m/>
    <m/>
    <m/>
    <m/>
    <m/>
    <m/>
    <m/>
  </r>
  <r>
    <x v="989"/>
    <s v="Dimakeas"/>
    <s v="Apollon"/>
    <s v="GRE0732"/>
    <s v="U12"/>
    <x v="67"/>
    <s v="GRE"/>
    <m/>
    <m/>
    <m/>
    <m/>
    <m/>
    <s v="UHTF"/>
    <s v="CESTFA"/>
  </r>
  <r>
    <x v="990"/>
    <s v="Dimakeas"/>
    <s v="Georgios"/>
    <s v="GRE0079"/>
    <s v="VET"/>
    <x v="67"/>
    <s v="GRE"/>
    <m/>
    <m/>
    <m/>
    <m/>
    <m/>
    <s v="UHTF"/>
    <s v="CESTFA"/>
  </r>
  <r>
    <x v="991"/>
    <s v="Dimitriadis"/>
    <s v="Valantis"/>
    <s v="GRE0774"/>
    <s v="U12"/>
    <x v="14"/>
    <s v="GRE"/>
    <m/>
    <m/>
    <m/>
    <m/>
    <m/>
    <s v="UHTF"/>
    <s v="CESTFA"/>
  </r>
  <r>
    <x v="992"/>
    <s v="Dimopoulos"/>
    <s v="Dimitrios"/>
    <s v="GRE0228"/>
    <s v="OPEN"/>
    <x v="167"/>
    <s v="GRE"/>
    <m/>
    <m/>
    <m/>
    <m/>
    <m/>
    <s v="UHTF"/>
    <s v="CESTFA"/>
  </r>
  <r>
    <x v="993"/>
    <s v="Dimopoulos"/>
    <s v="Iasonas"/>
    <s v="GRE0481"/>
    <s v="U20"/>
    <x v="14"/>
    <s v="GRE"/>
    <m/>
    <m/>
    <m/>
    <m/>
    <m/>
    <s v="UHTF"/>
    <s v="CESTFA"/>
  </r>
  <r>
    <x v="994"/>
    <s v="Dimopoulos"/>
    <s v="Periklis"/>
    <s v="GRE0005"/>
    <s v="VET"/>
    <x v="167"/>
    <s v="GRE"/>
    <m/>
    <m/>
    <m/>
    <m/>
    <m/>
    <s v="UHTF"/>
    <s v="CESTFA"/>
  </r>
  <r>
    <x v="995"/>
    <s v="Dimopoulos"/>
    <s v="Rafail"/>
    <s v="GRE0229"/>
    <s v="OPEN"/>
    <x v="14"/>
    <s v="GRE"/>
    <m/>
    <m/>
    <m/>
    <m/>
    <m/>
    <s v="UHTF"/>
    <s v="CESTFA"/>
  </r>
  <r>
    <x v="996"/>
    <s v="Dimos"/>
    <s v="Christos"/>
    <s v="GRE0647"/>
    <s v="VET"/>
    <x v="14"/>
    <s v="GRE"/>
    <m/>
    <m/>
    <m/>
    <m/>
    <m/>
    <s v="UHTF"/>
    <s v="CESTFA"/>
  </r>
  <r>
    <x v="997"/>
    <s v="Diogenes"/>
    <s v="Herculano"/>
    <s v="POR0245"/>
    <s v="OPEN"/>
    <x v="252"/>
    <s v="POR"/>
    <m/>
    <m/>
    <m/>
    <m/>
    <m/>
    <s v="APS"/>
    <s v="CESTFA"/>
  </r>
  <r>
    <x v="998"/>
    <s v="Dionisopoulos"/>
    <s v="Georgios"/>
    <s v="GRE0616"/>
    <s v="U16"/>
    <x v="67"/>
    <s v="GRE"/>
    <m/>
    <m/>
    <m/>
    <m/>
    <m/>
    <s v="UHTF"/>
    <s v="CESTFA"/>
  </r>
  <r>
    <x v="999"/>
    <s v="Diradourian"/>
    <s v="Christophe"/>
    <s v="FRA0013"/>
    <s v="VET"/>
    <x v="33"/>
    <s v="FRA"/>
    <m/>
    <m/>
    <m/>
    <m/>
    <m/>
    <s v="3FTS"/>
    <s v="CESTFA"/>
  </r>
  <r>
    <x v="1000"/>
    <s v="Diradourian"/>
    <s v="Margot"/>
    <s v="FRA0002"/>
    <s v="OPEN"/>
    <x v="33"/>
    <s v="FRA"/>
    <m/>
    <m/>
    <m/>
    <m/>
    <m/>
    <s v="3FTS"/>
    <s v="CESTFA"/>
  </r>
  <r>
    <x v="1001"/>
    <s v="Dirick"/>
    <s v="Noah"/>
    <s v="BEL0444"/>
    <s v="U16"/>
    <x v="172"/>
    <s v="BEL"/>
    <m/>
    <m/>
    <m/>
    <m/>
    <m/>
    <m/>
    <m/>
  </r>
  <r>
    <x v="1002"/>
    <s v="Dirick"/>
    <s v="Vincent"/>
    <s v="BEL0484"/>
    <s v="VET"/>
    <x v="172"/>
    <s v="BEL"/>
    <m/>
    <m/>
    <m/>
    <m/>
    <m/>
    <m/>
    <m/>
  </r>
  <r>
    <x v="1003"/>
    <s v="Discepoli"/>
    <s v="Francesco"/>
    <s v="ITA0309"/>
    <s v="VET"/>
    <x v="76"/>
    <s v="ITA"/>
    <m/>
    <m/>
    <m/>
    <m/>
    <m/>
    <s v="FISCT"/>
    <s v="CESTFA"/>
  </r>
  <r>
    <x v="1004"/>
    <s v="Disma"/>
    <s v="Davide"/>
    <s v="ITA1563"/>
    <s v="OPEN"/>
    <x v="188"/>
    <s v="ITA"/>
    <m/>
    <m/>
    <m/>
    <m/>
    <m/>
    <s v="FISCT"/>
    <s v="CESTFA"/>
  </r>
  <r>
    <x v="1005"/>
    <s v="Dizier"/>
    <s v="Nathan"/>
    <s v="BEL0082"/>
    <s v="OPEN"/>
    <x v="45"/>
    <s v="BEL"/>
    <m/>
    <m/>
    <m/>
    <m/>
    <m/>
    <m/>
    <m/>
  </r>
  <r>
    <x v="1006"/>
    <s v="Dogali"/>
    <s v="Claudio"/>
    <s v="ITA0311"/>
    <s v="VET"/>
    <x v="28"/>
    <s v="ITA"/>
    <m/>
    <m/>
    <m/>
    <m/>
    <m/>
    <s v="FISCT"/>
    <s v="CESTFA"/>
  </r>
  <r>
    <x v="1007"/>
    <s v="Dohadwala"/>
    <s v="Talib K"/>
    <s v="SGP0125"/>
    <s v="VET"/>
    <x v="4"/>
    <s v="SGP"/>
    <m/>
    <m/>
    <m/>
    <m/>
    <m/>
    <s v="TFAS"/>
    <s v="CASTFA"/>
  </r>
  <r>
    <x v="1008"/>
    <s v="Doherty"/>
    <s v="Neil"/>
    <s v="ENG0342"/>
    <s v="VET"/>
    <x v="197"/>
    <s v="ENG"/>
    <m/>
    <m/>
    <m/>
    <m/>
    <m/>
    <s v="ESA"/>
    <s v="CESTFA"/>
  </r>
  <r>
    <x v="1009"/>
    <s v="Dohet"/>
    <s v="Sébastien"/>
    <s v="BEL0396"/>
    <s v="OPEN"/>
    <x v="73"/>
    <s v="BEL"/>
    <m/>
    <m/>
    <m/>
    <m/>
    <m/>
    <m/>
    <m/>
  </r>
  <r>
    <x v="1010"/>
    <s v="Dolmes"/>
    <s v="Pantelis"/>
    <s v="GRE0288"/>
    <s v="OPEN"/>
    <x v="14"/>
    <s v="GRE"/>
    <m/>
    <m/>
    <m/>
    <m/>
    <m/>
    <s v="UHTF"/>
    <s v="CESTFA"/>
  </r>
  <r>
    <x v="1011"/>
    <s v="Domenico"/>
    <s v="Fabio"/>
    <s v="SUI051"/>
    <s v="VET"/>
    <x v="14"/>
    <s v="SUI"/>
    <m/>
    <m/>
    <m/>
    <m/>
    <m/>
    <m/>
    <m/>
  </r>
  <r>
    <x v="1012"/>
    <s v="Dominos"/>
    <s v="Marcos"/>
    <s v="BRA0070"/>
    <s v="VET"/>
    <x v="14"/>
    <s v="BRA"/>
    <m/>
    <m/>
    <m/>
    <m/>
    <m/>
    <s v="CBFM (Suspended)"/>
    <m/>
  </r>
  <r>
    <x v="1013"/>
    <s v="Donizeti Bergamini"/>
    <s v="Norberto"/>
    <s v="BRA0162"/>
    <s v="VET"/>
    <x v="14"/>
    <s v="BRA"/>
    <m/>
    <m/>
    <m/>
    <m/>
    <m/>
    <s v="CBFM (Suspended)"/>
    <m/>
  </r>
  <r>
    <x v="1014"/>
    <s v="Donval"/>
    <s v="Axel"/>
    <s v="FRA0019"/>
    <s v="OPEN"/>
    <x v="42"/>
    <s v="FRA"/>
    <m/>
    <m/>
    <m/>
    <m/>
    <m/>
    <s v="3FTS"/>
    <s v="CESTFA"/>
  </r>
  <r>
    <x v="1015"/>
    <s v="Donzelli"/>
    <s v="Vito"/>
    <s v="ITA2556"/>
    <s v="VET"/>
    <x v="234"/>
    <s v="ITA"/>
    <m/>
    <m/>
    <m/>
    <m/>
    <m/>
    <s v="FISCT"/>
    <s v="CESTFA"/>
  </r>
  <r>
    <x v="1016"/>
    <s v="Dorato"/>
    <s v="Andrea"/>
    <s v="ITA1006"/>
    <s v="OPEN"/>
    <x v="41"/>
    <s v="ITA"/>
    <m/>
    <m/>
    <m/>
    <m/>
    <m/>
    <s v="FISCT"/>
    <s v="CESTFA"/>
  </r>
  <r>
    <x v="1017"/>
    <s v="Dore"/>
    <s v="Emanuele"/>
    <s v="ITA0314"/>
    <s v="OPEN"/>
    <x v="230"/>
    <s v="ITA"/>
    <m/>
    <m/>
    <m/>
    <m/>
    <m/>
    <s v="FISCT"/>
    <s v="CESTFA"/>
  </r>
  <r>
    <x v="1018"/>
    <s v="Dore"/>
    <s v="Pierpaolo"/>
    <s v="ITA0313"/>
    <s v="VET"/>
    <x v="76"/>
    <s v="ITA"/>
    <m/>
    <m/>
    <m/>
    <m/>
    <m/>
    <s v="FISCT"/>
    <s v="CESTFA"/>
  </r>
  <r>
    <x v="1019"/>
    <s v="Dore"/>
    <s v="Salvatore"/>
    <s v="ITA1835"/>
    <s v="VET"/>
    <x v="230"/>
    <s v="ITA"/>
    <m/>
    <m/>
    <m/>
    <m/>
    <m/>
    <s v="FISCT"/>
    <s v="CESTFA"/>
  </r>
  <r>
    <x v="1020"/>
    <s v="dos Santos"/>
    <s v="Antonio Carlos"/>
    <s v="BRA0137"/>
    <s v="VET"/>
    <x v="207"/>
    <s v="BRA"/>
    <m/>
    <m/>
    <m/>
    <m/>
    <m/>
    <s v="CBFM (Suspended)"/>
    <m/>
  </r>
  <r>
    <x v="1021"/>
    <s v="dos Santos Matos"/>
    <s v="Maurício"/>
    <s v="BRA0171"/>
    <s v="VET"/>
    <x v="14"/>
    <s v="BRA"/>
    <m/>
    <m/>
    <m/>
    <m/>
    <m/>
    <s v="CBFM (Suspended)"/>
    <m/>
  </r>
  <r>
    <x v="1022"/>
    <s v="Dotto"/>
    <s v="Jonathan"/>
    <s v="GIB0056"/>
    <s v="OPEN"/>
    <x v="37"/>
    <s v="GIB"/>
    <m/>
    <m/>
    <m/>
    <m/>
    <m/>
    <s v="GTSA"/>
    <s v="CESTFA"/>
  </r>
  <r>
    <x v="1023"/>
    <s v="Dotto"/>
    <s v="William"/>
    <s v="ITA1275"/>
    <s v="VET"/>
    <x v="118"/>
    <s v="ITA"/>
    <m/>
    <m/>
    <m/>
    <m/>
    <m/>
    <s v="FISCT"/>
    <s v="CESTFA"/>
  </r>
  <r>
    <x v="1024"/>
    <s v="Douglas"/>
    <s v="Adam"/>
    <s v="ENG0040"/>
    <s v="OPEN"/>
    <x v="75"/>
    <s v="ENG"/>
    <m/>
    <m/>
    <m/>
    <m/>
    <m/>
    <s v="ESA"/>
    <s v="CESTFA"/>
  </r>
  <r>
    <x v="1025"/>
    <s v="Dragomanidis"/>
    <s v="Ioannis"/>
    <s v="GRE0321"/>
    <s v="VET"/>
    <x v="14"/>
    <s v="GRE"/>
    <m/>
    <m/>
    <m/>
    <m/>
    <m/>
    <s v="UHTF"/>
    <s v="CESTFA"/>
  </r>
  <r>
    <x v="1026"/>
    <s v="Dragonetti"/>
    <s v="Ilario"/>
    <s v="ITA0315"/>
    <s v="OPEN"/>
    <x v="190"/>
    <s v="ITA"/>
    <m/>
    <m/>
    <m/>
    <m/>
    <m/>
    <s v="FISCT"/>
    <s v="CESTFA"/>
  </r>
  <r>
    <x v="1027"/>
    <s v="Dragoni"/>
    <s v="Nicola"/>
    <s v="ITA2333"/>
    <s v="VET"/>
    <x v="163"/>
    <s v="ITA"/>
    <m/>
    <m/>
    <m/>
    <m/>
    <m/>
    <s v="FISCT"/>
    <s v="CESTFA"/>
  </r>
  <r>
    <x v="1028"/>
    <s v="Dragosis"/>
    <s v="Dimitrios"/>
    <s v="GRE0476"/>
    <s v="OPEN"/>
    <x v="14"/>
    <s v="GRE"/>
    <m/>
    <m/>
    <m/>
    <m/>
    <m/>
    <s v="UHTF"/>
    <s v="CESTFA"/>
  </r>
  <r>
    <x v="1029"/>
    <s v="Dragosis"/>
    <s v="Michail"/>
    <s v="GRE0475"/>
    <s v="OPEN"/>
    <x v="14"/>
    <s v="GRE"/>
    <m/>
    <m/>
    <m/>
    <m/>
    <m/>
    <s v="UHTF"/>
    <s v="CESTFA"/>
  </r>
  <r>
    <x v="1030"/>
    <s v="Dragosis"/>
    <s v="Vasileios"/>
    <s v="GRE0474"/>
    <s v="VET"/>
    <x v="14"/>
    <s v="GRE"/>
    <m/>
    <m/>
    <m/>
    <m/>
    <m/>
    <s v="UHTF"/>
    <s v="CESTFA"/>
  </r>
  <r>
    <x v="1031"/>
    <s v="Dragoumis"/>
    <s v="Christos"/>
    <s v="GRE0759"/>
    <s v="U12"/>
    <x v="22"/>
    <s v="GRE"/>
    <m/>
    <m/>
    <m/>
    <m/>
    <m/>
    <s v="UHTF"/>
    <s v="CESTFA"/>
  </r>
  <r>
    <x v="1032"/>
    <s v="Dragoumis"/>
    <s v="Michail"/>
    <s v="GRE0760"/>
    <s v="VET"/>
    <x v="22"/>
    <s v="GRE"/>
    <m/>
    <m/>
    <m/>
    <m/>
    <m/>
    <s v="UHTF"/>
    <s v="CESTFA"/>
  </r>
  <r>
    <x v="1033"/>
    <s v="Drake"/>
    <s v="Jeff"/>
    <s v="USA0181"/>
    <s v="VET"/>
    <x v="253"/>
    <s v="USA"/>
    <m/>
    <m/>
    <m/>
    <m/>
    <m/>
    <s v="ASA"/>
    <s v="CONASTF"/>
  </r>
  <r>
    <x v="1034"/>
    <s v="Drazinakis"/>
    <s v="Giorgos"/>
    <s v="GRE0227"/>
    <s v="VET"/>
    <x v="179"/>
    <s v="GRE"/>
    <m/>
    <m/>
    <m/>
    <m/>
    <m/>
    <s v="UHTF"/>
    <s v="CESTFA"/>
  </r>
  <r>
    <x v="1035"/>
    <s v="Drazinakis"/>
    <s v="Kostas"/>
    <s v="GRE0297"/>
    <s v="OPEN"/>
    <x v="14"/>
    <s v="GRE"/>
    <m/>
    <m/>
    <m/>
    <m/>
    <m/>
    <s v="UHTF"/>
    <s v="CESTFA"/>
  </r>
  <r>
    <x v="1036"/>
    <s v="Droeven"/>
    <s v="Pascal"/>
    <s v="BEL0290"/>
    <s v="VET"/>
    <x v="172"/>
    <s v="BEL"/>
    <m/>
    <m/>
    <m/>
    <m/>
    <m/>
    <m/>
    <m/>
  </r>
  <r>
    <x v="1037"/>
    <s v="Drossopoulos"/>
    <s v="Lampros"/>
    <s v="GRE0111"/>
    <s v="VET"/>
    <x v="30"/>
    <s v="GRE"/>
    <m/>
    <m/>
    <m/>
    <m/>
    <m/>
    <s v="UHTF"/>
    <s v="CESTFA"/>
  </r>
  <r>
    <x v="1038"/>
    <s v="Drossopoulos"/>
    <s v="Nasos"/>
    <s v="GRE0047"/>
    <s v="VET"/>
    <x v="14"/>
    <s v="GRE"/>
    <m/>
    <m/>
    <m/>
    <m/>
    <m/>
    <s v="UHTF"/>
    <s v="CESTFA"/>
  </r>
  <r>
    <x v="1039"/>
    <s v="Dubois"/>
    <s v="Olivier"/>
    <s v="BEL0162"/>
    <s v="VET"/>
    <x v="241"/>
    <s v="BEL"/>
    <m/>
    <m/>
    <m/>
    <m/>
    <m/>
    <m/>
    <m/>
  </r>
  <r>
    <x v="1040"/>
    <s v="Dubois"/>
    <s v="Xavier"/>
    <s v="FRA0122"/>
    <s v="VET"/>
    <x v="57"/>
    <s v="FRA"/>
    <m/>
    <m/>
    <m/>
    <m/>
    <m/>
    <s v="3FTS"/>
    <s v="CESTFA"/>
  </r>
  <r>
    <x v="1041"/>
    <s v="Dubreuil"/>
    <s v="Franck"/>
    <s v="FRA0170"/>
    <s v="OPEN"/>
    <x v="82"/>
    <s v="FRA"/>
    <m/>
    <m/>
    <m/>
    <m/>
    <m/>
    <s v="3FTS"/>
    <s v="CESTFA"/>
  </r>
  <r>
    <x v="1042"/>
    <s v="Duckworth"/>
    <s v="Riley"/>
    <s v="ENG0549"/>
    <s v="U20"/>
    <x v="216"/>
    <s v="ENG"/>
    <m/>
    <m/>
    <m/>
    <m/>
    <m/>
    <s v="ESA"/>
    <s v="CESTFA"/>
  </r>
  <r>
    <x v="1043"/>
    <s v="Duckworth"/>
    <s v="Roger"/>
    <s v="ENG0490"/>
    <s v="VET"/>
    <x v="216"/>
    <s v="ENG"/>
    <m/>
    <m/>
    <m/>
    <m/>
    <m/>
    <s v="ESA"/>
    <s v="CESTFA"/>
  </r>
  <r>
    <x v="1044"/>
    <s v="Dujardin"/>
    <s v="Eric"/>
    <s v="FRA0278"/>
    <s v="VET"/>
    <x v="14"/>
    <s v="FRA"/>
    <m/>
    <m/>
    <m/>
    <m/>
    <m/>
    <s v="3FTS"/>
    <s v="CESTFA"/>
  </r>
  <r>
    <x v="1045"/>
    <s v="Dumazi"/>
    <s v="Stéphane"/>
    <s v="FRA0196"/>
    <s v="VET"/>
    <x v="14"/>
    <s v="FRA"/>
    <m/>
    <m/>
    <m/>
    <m/>
    <m/>
    <s v="3FTS"/>
    <s v="CESTFA"/>
  </r>
  <r>
    <x v="1046"/>
    <s v="Dunne"/>
    <s v="Shaun"/>
    <s v="ENG0426"/>
    <s v="OPEN"/>
    <x v="180"/>
    <s v="ENG"/>
    <m/>
    <m/>
    <m/>
    <m/>
    <m/>
    <s v="ESA"/>
    <s v="CESTFA"/>
  </r>
  <r>
    <x v="1047"/>
    <s v="Dupret"/>
    <s v="Michaël"/>
    <s v="BEL0347"/>
    <s v="OPEN"/>
    <x v="254"/>
    <s v="BEL"/>
    <m/>
    <m/>
    <m/>
    <m/>
    <m/>
    <m/>
    <m/>
  </r>
  <r>
    <x v="1048"/>
    <s v="Durand"/>
    <s v="David"/>
    <s v="FRA0186"/>
    <s v="VET"/>
    <x v="152"/>
    <s v="FRA"/>
    <m/>
    <m/>
    <m/>
    <m/>
    <m/>
    <s v="3FTS"/>
    <s v="CESTFA"/>
  </r>
  <r>
    <x v="1049"/>
    <s v="Durandeau"/>
    <s v="Sébastien"/>
    <s v="FRA0284"/>
    <s v="VET"/>
    <x v="138"/>
    <s v="FRA"/>
    <m/>
    <m/>
    <m/>
    <m/>
    <m/>
    <s v="3FTS"/>
    <s v="CESTFA"/>
  </r>
  <r>
    <x v="1050"/>
    <s v="Dyson"/>
    <s v="Kevin"/>
    <s v="ENG0033"/>
    <s v="VET"/>
    <x v="19"/>
    <s v="ENG"/>
    <m/>
    <m/>
    <m/>
    <m/>
    <m/>
    <s v="ESA"/>
    <s v="CESTFA"/>
  </r>
  <r>
    <x v="1051"/>
    <s v="Ebejer"/>
    <s v="Gabriel"/>
    <s v="MLT0140"/>
    <s v="U16"/>
    <x v="63"/>
    <s v="MLT"/>
    <m/>
    <m/>
    <m/>
    <m/>
    <m/>
    <s v="MTFSA"/>
    <s v="CESTFA"/>
  </r>
  <r>
    <x v="1052"/>
    <s v="Ebejer"/>
    <s v="George"/>
    <s v="MLT0019"/>
    <s v="OPEN"/>
    <x v="63"/>
    <s v="MLT"/>
    <m/>
    <m/>
    <m/>
    <m/>
    <m/>
    <s v="MTFSA"/>
    <s v="CESTFA"/>
  </r>
  <r>
    <x v="1053"/>
    <s v="Ebejer"/>
    <s v="Larson"/>
    <s v="MLT0139"/>
    <s v="OPEN"/>
    <x v="63"/>
    <s v="MLT"/>
    <m/>
    <m/>
    <m/>
    <m/>
    <m/>
    <s v="MTFSA"/>
    <s v="CESTFA"/>
  </r>
  <r>
    <x v="1054"/>
    <s v="Ebejer"/>
    <s v="Thomas"/>
    <s v="MLT0060"/>
    <s v="U20"/>
    <x v="63"/>
    <s v="MLT"/>
    <m/>
    <m/>
    <m/>
    <m/>
    <m/>
    <s v="MTFSA"/>
    <s v="CESTFA"/>
  </r>
  <r>
    <x v="1055"/>
    <s v="Echevarrieta"/>
    <s v="Patricio"/>
    <s v="ARG0046"/>
    <s v="OPEN"/>
    <x v="145"/>
    <s v="ARG"/>
    <m/>
    <m/>
    <m/>
    <m/>
    <m/>
    <s v="LAFM (Suspended)"/>
    <s v="CSAFM"/>
  </r>
  <r>
    <x v="1056"/>
    <s v="Ecker"/>
    <s v="Gerhard"/>
    <s v="AUT0020"/>
    <s v="VET"/>
    <x v="107"/>
    <s v="AUT"/>
    <m/>
    <m/>
    <m/>
    <m/>
    <m/>
    <s v="EÖTV"/>
    <s v="CESTFA"/>
  </r>
  <r>
    <x v="1057"/>
    <s v="Eder"/>
    <s v="Heinz"/>
    <s v="AUT0021"/>
    <s v="OPEN"/>
    <x v="107"/>
    <s v="AUT"/>
    <m/>
    <m/>
    <m/>
    <m/>
    <m/>
    <s v="EÖTV"/>
    <s v="CESTFA"/>
  </r>
  <r>
    <x v="1058"/>
    <s v="Edeson"/>
    <s v="Richard"/>
    <s v="FIS0001"/>
    <s v="VET"/>
    <x v="228"/>
    <s v="NZL"/>
    <m/>
    <m/>
    <m/>
    <m/>
    <m/>
    <s v="FISTF"/>
    <s v="FISTF"/>
  </r>
  <r>
    <x v="1059"/>
    <s v="Edwards"/>
    <s v="Nigel"/>
    <s v="ENG0544"/>
    <s v="VET"/>
    <x v="79"/>
    <s v="ENG"/>
    <m/>
    <m/>
    <m/>
    <m/>
    <m/>
    <s v="ESA"/>
    <s v="CESTFA"/>
  </r>
  <r>
    <x v="1060"/>
    <s v="Eeg Jensen"/>
    <s v="André"/>
    <s v="DEN0071"/>
    <s v="OPEN"/>
    <x v="10"/>
    <s v="DEN"/>
    <m/>
    <m/>
    <m/>
    <m/>
    <m/>
    <s v="DSBU (Provisional)"/>
    <m/>
  </r>
  <r>
    <x v="1061"/>
    <s v="Efangelo Júnior"/>
    <s v="Antonio Carlos"/>
    <s v="BRA0173"/>
    <s v="OPEN"/>
    <x v="94"/>
    <s v="BRA"/>
    <m/>
    <m/>
    <m/>
    <m/>
    <m/>
    <s v="CBFM (Suspended)"/>
    <m/>
  </r>
  <r>
    <x v="1062"/>
    <s v="Eger"/>
    <s v="Felix"/>
    <s v="GER0019"/>
    <s v="OPEN"/>
    <x v="5"/>
    <s v="GER"/>
    <m/>
    <m/>
    <m/>
    <m/>
    <m/>
    <s v="DSTFB"/>
    <s v="CESTFA"/>
  </r>
  <r>
    <x v="1063"/>
    <s v="Eglit"/>
    <s v="Marcio"/>
    <s v="BRA0072"/>
    <s v="VET"/>
    <x v="14"/>
    <s v="BRA"/>
    <m/>
    <m/>
    <m/>
    <m/>
    <m/>
    <s v="CBFM (Suspended)"/>
    <m/>
  </r>
  <r>
    <x v="1064"/>
    <s v="Eikeland"/>
    <s v="Martin"/>
    <s v="NOR0010"/>
    <s v="VET"/>
    <x v="255"/>
    <s v="NOR"/>
    <m/>
    <m/>
    <m/>
    <m/>
    <m/>
    <s v="NBFF (Suspended)"/>
    <m/>
  </r>
  <r>
    <x v="1065"/>
    <s v="Eira"/>
    <s v="Rodrigo"/>
    <s v="POR0155"/>
    <s v="OPEN"/>
    <x v="14"/>
    <s v="POR"/>
    <m/>
    <m/>
    <m/>
    <m/>
    <m/>
    <s v="APS"/>
    <s v="CESTFA"/>
  </r>
  <r>
    <x v="1066"/>
    <s v="Eiring"/>
    <s v="Wilfried"/>
    <s v="GER0103"/>
    <s v="VET"/>
    <x v="130"/>
    <s v="GER"/>
    <m/>
    <m/>
    <m/>
    <m/>
    <m/>
    <s v="DSTFB"/>
    <s v="CESTFA"/>
  </r>
  <r>
    <x v="1067"/>
    <s v="Eisemann"/>
    <s v="Dennis"/>
    <s v="GER0016"/>
    <s v="OPEN"/>
    <x v="91"/>
    <s v="GER"/>
    <m/>
    <m/>
    <m/>
    <m/>
    <m/>
    <s v="DSTFB"/>
    <s v="CESTFA"/>
  </r>
  <r>
    <x v="1068"/>
    <s v="Eisen"/>
    <s v="Sara"/>
    <s v="GER0140"/>
    <s v="OPEN"/>
    <x v="135"/>
    <s v="GER"/>
    <m/>
    <m/>
    <m/>
    <m/>
    <m/>
    <s v="DSTFB"/>
    <s v="CESTFA"/>
  </r>
  <r>
    <x v="1069"/>
    <s v="Eleftheriou"/>
    <s v="Andreas"/>
    <s v="GRE0126"/>
    <s v="VET"/>
    <x v="52"/>
    <s v="GRE"/>
    <m/>
    <m/>
    <m/>
    <m/>
    <m/>
    <s v="UHTF"/>
    <s v="CESTFA"/>
  </r>
  <r>
    <x v="1070"/>
    <s v="Eleftheriou"/>
    <s v="Charalambos"/>
    <s v="GRE0596"/>
    <s v="U20"/>
    <x v="14"/>
    <s v="GRE"/>
    <m/>
    <m/>
    <m/>
    <m/>
    <m/>
    <s v="UHTF"/>
    <s v="CESTFA"/>
  </r>
  <r>
    <x v="1071"/>
    <s v="Elekidis"/>
    <s v="Valsamas"/>
    <s v="GRE0750"/>
    <s v="OPEN"/>
    <x v="14"/>
    <s v="GRE"/>
    <m/>
    <m/>
    <m/>
    <m/>
    <m/>
    <s v="UHTF"/>
    <s v="CESTFA"/>
  </r>
  <r>
    <x v="1072"/>
    <s v="Elesbao"/>
    <s v="Fred"/>
    <s v="GER0145"/>
    <s v="OPEN"/>
    <x v="221"/>
    <s v="GER"/>
    <m/>
    <m/>
    <m/>
    <m/>
    <m/>
    <s v="DSTFB"/>
    <s v="CESTFA"/>
  </r>
  <r>
    <x v="1073"/>
    <s v="Elias"/>
    <s v="Paulo"/>
    <s v="POR0078"/>
    <s v="VET"/>
    <x v="14"/>
    <s v="POR"/>
    <m/>
    <m/>
    <m/>
    <m/>
    <m/>
    <s v="APS"/>
    <s v="CESTFA"/>
  </r>
  <r>
    <x v="1074"/>
    <s v="Ellaway"/>
    <s v="Martin"/>
    <s v="ENG0558"/>
    <s v="OPEN"/>
    <x v="14"/>
    <s v="ENG"/>
    <m/>
    <m/>
    <m/>
    <m/>
    <m/>
    <s v="ESA"/>
    <s v="CESTFA"/>
  </r>
  <r>
    <x v="1075"/>
    <s v="Ellefsen"/>
    <s v="Terje"/>
    <s v="NOR0015"/>
    <s v="OPEN"/>
    <x v="75"/>
    <s v="NOR"/>
    <m/>
    <m/>
    <m/>
    <m/>
    <m/>
    <s v="NBFF (Suspended)"/>
    <m/>
  </r>
  <r>
    <x v="1076"/>
    <s v="Ellina"/>
    <s v="Maria"/>
    <s v="GRE0787"/>
    <s v="U12"/>
    <x v="14"/>
    <s v="GRE"/>
    <m/>
    <m/>
    <m/>
    <m/>
    <m/>
    <s v="UHTF"/>
    <s v="CESTFA"/>
  </r>
  <r>
    <x v="1077"/>
    <s v="Ellinas"/>
    <s v="Efthimis"/>
    <s v="GRE0786"/>
    <s v="U12"/>
    <x v="14"/>
    <s v="GRE"/>
    <m/>
    <m/>
    <m/>
    <m/>
    <m/>
    <s v="UHTF"/>
    <s v="CESTFA"/>
  </r>
  <r>
    <x v="1078"/>
    <s v="Ellinas"/>
    <s v="Fanis"/>
    <s v="GRE0785"/>
    <s v="VET"/>
    <x v="14"/>
    <s v="GRE"/>
    <m/>
    <m/>
    <m/>
    <m/>
    <m/>
    <s v="UHTF"/>
    <s v="CESTFA"/>
  </r>
  <r>
    <x v="1079"/>
    <s v="Ellis"/>
    <s v="John"/>
    <s v="ENG0561"/>
    <s v="VET"/>
    <x v="21"/>
    <s v="ENG"/>
    <m/>
    <m/>
    <m/>
    <m/>
    <m/>
    <s v="ESA"/>
    <s v="CESTFA"/>
  </r>
  <r>
    <x v="1080"/>
    <s v="Ellis"/>
    <s v="Sean"/>
    <s v="ENG0489"/>
    <s v="VET"/>
    <x v="14"/>
    <s v="ENG"/>
    <m/>
    <m/>
    <m/>
    <m/>
    <m/>
    <s v="ESA"/>
    <s v="CESTFA"/>
  </r>
  <r>
    <x v="1081"/>
    <s v="Elmensaoui"/>
    <s v="Georgios"/>
    <s v="GRE0822"/>
    <s v="OPEN"/>
    <x v="66"/>
    <s v="GRE"/>
    <m/>
    <m/>
    <m/>
    <m/>
    <m/>
    <s v="UHTF"/>
    <s v="CESTFA"/>
  </r>
  <r>
    <x v="1082"/>
    <s v="Elmer"/>
    <s v="Adrian"/>
    <s v="AUS0006"/>
    <s v="VET"/>
    <x v="238"/>
    <s v="AUS"/>
    <m/>
    <m/>
    <m/>
    <m/>
    <m/>
    <s v="ATFA"/>
    <s v="CASTFA"/>
  </r>
  <r>
    <x v="1083"/>
    <s v="Elmer"/>
    <s v="Imojjen"/>
    <s v="AUS0023"/>
    <s v="OPEN"/>
    <x v="238"/>
    <s v="AUS"/>
    <m/>
    <m/>
    <m/>
    <m/>
    <m/>
    <s v="ATFA"/>
    <s v="CASTFA"/>
  </r>
  <r>
    <x v="1084"/>
    <s v="Elton"/>
    <s v="David"/>
    <s v="IRL0018"/>
    <s v="VET"/>
    <x v="126"/>
    <s v="IRL"/>
    <m/>
    <m/>
    <m/>
    <m/>
    <m/>
    <s v="TFAI"/>
    <s v="CESTFA"/>
  </r>
  <r>
    <x v="1085"/>
    <s v="Emil Christiansen"/>
    <s v="Christian"/>
    <s v="DEN0003"/>
    <s v="OPEN"/>
    <x v="107"/>
    <s v="DEN"/>
    <m/>
    <m/>
    <m/>
    <m/>
    <m/>
    <s v="DSBU (Provisional)"/>
    <m/>
  </r>
  <r>
    <x v="1086"/>
    <s v="Enevoldsen"/>
    <s v="Jens"/>
    <s v="DEN0038"/>
    <s v="OPEN"/>
    <x v="10"/>
    <s v="DEN"/>
    <m/>
    <m/>
    <m/>
    <m/>
    <m/>
    <s v="DSBU (Provisional)"/>
    <m/>
  </r>
  <r>
    <x v="1087"/>
    <s v="Enevoldsen"/>
    <s v="Lukas"/>
    <s v="DEN0014"/>
    <s v="OPEN"/>
    <x v="10"/>
    <s v="DEN"/>
    <m/>
    <m/>
    <m/>
    <m/>
    <m/>
    <s v="DSBU (Provisional)"/>
    <m/>
  </r>
  <r>
    <x v="1088"/>
    <s v="Enevoldsen"/>
    <s v="Simon"/>
    <s v="DEN0039"/>
    <s v="OPEN"/>
    <x v="10"/>
    <s v="DEN"/>
    <m/>
    <m/>
    <m/>
    <m/>
    <m/>
    <s v="DSBU (Provisional)"/>
    <m/>
  </r>
  <r>
    <x v="1089"/>
    <s v="Enevoldsen"/>
    <s v="Thyge"/>
    <s v="DEN0037"/>
    <s v="VET"/>
    <x v="10"/>
    <s v="DEN"/>
    <m/>
    <m/>
    <m/>
    <m/>
    <m/>
    <s v="DSBU (Provisional)"/>
    <m/>
  </r>
  <r>
    <x v="1090"/>
    <s v="Erb"/>
    <s v="Peter"/>
    <s v="SUI007"/>
    <s v="VET"/>
    <x v="202"/>
    <s v="SUI"/>
    <m/>
    <m/>
    <m/>
    <m/>
    <m/>
    <m/>
    <m/>
  </r>
  <r>
    <x v="1091"/>
    <s v="Erbì"/>
    <s v="Alessandro"/>
    <s v="ITA3205"/>
    <s v="U12"/>
    <x v="119"/>
    <s v="ITA"/>
    <m/>
    <m/>
    <m/>
    <m/>
    <m/>
    <s v="FISCT"/>
    <s v="CESTFA"/>
  </r>
  <r>
    <x v="1092"/>
    <s v="Erbì"/>
    <s v="Donato"/>
    <s v="ITA2972"/>
    <s v="OPEN"/>
    <x v="173"/>
    <s v="ITA"/>
    <m/>
    <m/>
    <m/>
    <m/>
    <m/>
    <s v="FISCT"/>
    <s v="CESTFA"/>
  </r>
  <r>
    <x v="1093"/>
    <s v="Erminione"/>
    <s v="Eduardo"/>
    <s v="ITA1125"/>
    <s v="OPEN"/>
    <x v="100"/>
    <s v="ITA"/>
    <m/>
    <m/>
    <m/>
    <m/>
    <m/>
    <s v="FISCT"/>
    <s v="CESTFA"/>
  </r>
  <r>
    <x v="1094"/>
    <s v="Escudero"/>
    <s v="Santiago"/>
    <s v="ESP0052"/>
    <s v="OPEN"/>
    <x v="150"/>
    <s v="ESP"/>
    <m/>
    <m/>
    <m/>
    <m/>
    <m/>
    <s v="AEFM"/>
    <s v="CESTFA"/>
  </r>
  <r>
    <x v="1095"/>
    <s v="Eskitzioglou"/>
    <s v="Erinarhos"/>
    <s v="GRE0529"/>
    <s v="U20"/>
    <x v="14"/>
    <s v="GRE"/>
    <m/>
    <m/>
    <m/>
    <m/>
    <m/>
    <s v="UHTF"/>
    <s v="CESTFA"/>
  </r>
  <r>
    <x v="1096"/>
    <s v="Eskitzioglou"/>
    <s v="Victoras"/>
    <s v="GRE0528"/>
    <s v="U20"/>
    <x v="14"/>
    <s v="GRE"/>
    <m/>
    <m/>
    <m/>
    <m/>
    <m/>
    <s v="UHTF"/>
    <s v="CESTFA"/>
  </r>
  <r>
    <x v="1097"/>
    <s v="Eskitzis"/>
    <s v="Anastasios"/>
    <s v="GRE0815"/>
    <s v="OPEN"/>
    <x v="66"/>
    <s v="GRE"/>
    <m/>
    <m/>
    <m/>
    <m/>
    <m/>
    <s v="UHTF"/>
    <s v="CESTFA"/>
  </r>
  <r>
    <x v="1098"/>
    <s v="Eskitzis"/>
    <s v="Athanasios"/>
    <s v="GRE0817"/>
    <s v="U12"/>
    <x v="66"/>
    <s v="GRE"/>
    <m/>
    <m/>
    <m/>
    <m/>
    <m/>
    <s v="UHTF"/>
    <s v="CESTFA"/>
  </r>
  <r>
    <x v="1099"/>
    <s v="Esmark"/>
    <s v="Ole"/>
    <s v="DEN0069"/>
    <s v="OPEN"/>
    <x v="10"/>
    <s v="DEN"/>
    <m/>
    <m/>
    <m/>
    <m/>
    <m/>
    <s v="DSBU (Provisional)"/>
    <m/>
  </r>
  <r>
    <x v="1100"/>
    <s v="Espada"/>
    <s v="Carlos"/>
    <s v="ESP0573"/>
    <s v="VET"/>
    <x v="150"/>
    <s v="ESP"/>
    <m/>
    <m/>
    <m/>
    <m/>
    <m/>
    <s v="AEFM"/>
    <s v="CESTFA"/>
  </r>
  <r>
    <x v="1101"/>
    <s v="Esposito"/>
    <s v="Bruno"/>
    <s v="ITA2693"/>
    <s v="OPEN"/>
    <x v="163"/>
    <s v="ITA"/>
    <m/>
    <m/>
    <m/>
    <m/>
    <m/>
    <s v="FISCT"/>
    <s v="CESTFA"/>
  </r>
  <r>
    <x v="1102"/>
    <s v="Esposito"/>
    <s v="Gabriele"/>
    <s v="ITA2907"/>
    <s v="U20"/>
    <x v="163"/>
    <s v="ITA"/>
    <m/>
    <m/>
    <m/>
    <m/>
    <m/>
    <s v="FISCT"/>
    <s v="CESTFA"/>
  </r>
  <r>
    <x v="1103"/>
    <s v="Esposito"/>
    <s v="Giosuè"/>
    <s v="ITA0319"/>
    <s v="OPEN"/>
    <x v="156"/>
    <s v="ITA"/>
    <m/>
    <m/>
    <m/>
    <m/>
    <m/>
    <s v="FISCT"/>
    <s v="CESTFA"/>
  </r>
  <r>
    <x v="1104"/>
    <s v="Esposito"/>
    <s v="Massimo"/>
    <s v="ITA0320"/>
    <s v="OPEN"/>
    <x v="223"/>
    <s v="ITA"/>
    <m/>
    <m/>
    <m/>
    <m/>
    <m/>
    <s v="FISCT"/>
    <s v="CESTFA"/>
  </r>
  <r>
    <x v="1105"/>
    <s v="Esposito"/>
    <s v="Matteo"/>
    <s v="ITA1849"/>
    <s v="U20"/>
    <x v="134"/>
    <s v="ITA"/>
    <m/>
    <m/>
    <m/>
    <m/>
    <m/>
    <s v="FISCT"/>
    <s v="CESTFA"/>
  </r>
  <r>
    <x v="1106"/>
    <s v="Esposito"/>
    <s v="Simone"/>
    <s v="ITA2980"/>
    <s v="OPEN"/>
    <x v="176"/>
    <s v="ITA"/>
    <m/>
    <m/>
    <m/>
    <m/>
    <m/>
    <s v="FISCT"/>
    <s v="CESTFA"/>
  </r>
  <r>
    <x v="1107"/>
    <s v="Esteban"/>
    <s v="Tony"/>
    <s v="USA0407"/>
    <s v="OPEN"/>
    <x v="60"/>
    <s v="USA"/>
    <m/>
    <m/>
    <m/>
    <m/>
    <m/>
    <s v="ASA"/>
    <s v="CONASTF"/>
  </r>
  <r>
    <x v="1108"/>
    <s v="Euler"/>
    <s v="Uli"/>
    <s v="GER0090"/>
    <s v="OPEN"/>
    <x v="142"/>
    <s v="GER"/>
    <m/>
    <m/>
    <m/>
    <m/>
    <m/>
    <s v="DSTFB"/>
    <s v="CESTFA"/>
  </r>
  <r>
    <x v="1109"/>
    <s v="Evangelisti"/>
    <s v="Stefano"/>
    <s v="ITA0322"/>
    <s v="VET"/>
    <x v="46"/>
    <s v="ITA"/>
    <m/>
    <m/>
    <m/>
    <m/>
    <m/>
    <s v="FISCT"/>
    <s v="CESTFA"/>
  </r>
  <r>
    <x v="1110"/>
    <s v="Evangelou"/>
    <s v="Georgios"/>
    <s v="GRE0728"/>
    <s v="OPEN"/>
    <x v="62"/>
    <s v="GRE"/>
    <m/>
    <m/>
    <m/>
    <m/>
    <m/>
    <s v="UHTF"/>
    <s v="CESTFA"/>
  </r>
  <r>
    <x v="1111"/>
    <s v="Evans"/>
    <s v="Kenny"/>
    <s v="WAL0051"/>
    <s v="OPEN"/>
    <x v="121"/>
    <s v="WAL"/>
    <m/>
    <m/>
    <m/>
    <m/>
    <m/>
    <s v="WSTFA"/>
    <s v="CESTFA"/>
  </r>
  <r>
    <x v="1112"/>
    <s v="Evans"/>
    <s v="Steven"/>
    <s v="GER0100"/>
    <s v="OPEN"/>
    <x v="7"/>
    <s v="GER"/>
    <m/>
    <m/>
    <m/>
    <m/>
    <m/>
    <s v="DSTFB"/>
    <s v="CESTFA"/>
  </r>
  <r>
    <x v="1113"/>
    <s v="Eveleigh"/>
    <s v="Beth"/>
    <s v="AUS0074"/>
    <s v="VET"/>
    <x v="256"/>
    <s v="AUS"/>
    <m/>
    <m/>
    <m/>
    <m/>
    <m/>
    <s v="ATFA"/>
    <s v="CASTFA"/>
  </r>
  <r>
    <x v="1114"/>
    <s v="Everitt"/>
    <s v="David"/>
    <s v="ENG0527"/>
    <s v="VET"/>
    <x v="257"/>
    <s v="ENG"/>
    <m/>
    <m/>
    <m/>
    <m/>
    <m/>
    <s v="ESA"/>
    <s v="CESTFA"/>
  </r>
  <r>
    <x v="1115"/>
    <s v="Exarchou"/>
    <s v="Athanasios"/>
    <s v="GRE0788"/>
    <s v="U12"/>
    <x v="78"/>
    <s v="GRE"/>
    <m/>
    <m/>
    <m/>
    <m/>
    <m/>
    <s v="UHTF"/>
    <s v="CESTFA"/>
  </r>
  <r>
    <x v="1116"/>
    <s v="Exarchou"/>
    <s v="Menelaos"/>
    <s v="GRE0755"/>
    <s v="U16"/>
    <x v="78"/>
    <s v="GRE"/>
    <m/>
    <m/>
    <m/>
    <m/>
    <m/>
    <s v="UHTF"/>
    <s v="CESTFA"/>
  </r>
  <r>
    <x v="1117"/>
    <s v="Exler"/>
    <s v="Günter"/>
    <s v="AUT0002"/>
    <s v="VET"/>
    <x v="258"/>
    <s v="AUT"/>
    <m/>
    <m/>
    <m/>
    <m/>
    <m/>
    <s v="EÖTV"/>
    <s v="CESTFA"/>
  </r>
  <r>
    <x v="1118"/>
    <s v="Exler"/>
    <s v="Thomas"/>
    <s v="AUT0003"/>
    <s v="OPEN"/>
    <x v="258"/>
    <s v="AUT"/>
    <m/>
    <m/>
    <m/>
    <m/>
    <m/>
    <s v="EÖTV"/>
    <s v="CESTFA"/>
  </r>
  <r>
    <x v="1119"/>
    <s v="Eyes"/>
    <s v="Paul"/>
    <s v="USA0002"/>
    <s v="VET"/>
    <x v="27"/>
    <s v="USA"/>
    <m/>
    <m/>
    <m/>
    <m/>
    <m/>
    <s v="ASA"/>
    <s v="CONASTF"/>
  </r>
  <r>
    <x v="1120"/>
    <s v="Fabbri"/>
    <s v="Diego"/>
    <s v="ITA3324"/>
    <s v="VET"/>
    <x v="209"/>
    <s v="ITA"/>
    <m/>
    <m/>
    <m/>
    <m/>
    <m/>
    <s v="FISCT"/>
    <s v="CESTFA"/>
  </r>
  <r>
    <x v="1121"/>
    <s v="Fahmi"/>
    <s v="Muhd Fadhly"/>
    <s v="SGP0009"/>
    <s v="OPEN"/>
    <x v="23"/>
    <s v="SGP"/>
    <m/>
    <m/>
    <m/>
    <m/>
    <m/>
    <s v="TFAS"/>
    <s v="CASTFA"/>
  </r>
  <r>
    <x v="1122"/>
    <s v="Fahmi"/>
    <s v="Muhd Farhan"/>
    <s v="SGP0036"/>
    <s v="OPEN"/>
    <x v="259"/>
    <s v="SGP"/>
    <m/>
    <m/>
    <m/>
    <m/>
    <m/>
    <s v="TFAS"/>
    <s v="CASTFA"/>
  </r>
  <r>
    <x v="1123"/>
    <s v="Fairbrother"/>
    <s v="Robert"/>
    <s v="ENG0351"/>
    <s v="VET"/>
    <x v="260"/>
    <s v="ENG"/>
    <m/>
    <m/>
    <m/>
    <m/>
    <m/>
    <s v="ESA"/>
    <s v="CESTFA"/>
  </r>
  <r>
    <x v="1124"/>
    <s v="Fako"/>
    <s v="Albert"/>
    <s v="BEL0482"/>
    <s v="U12"/>
    <x v="14"/>
    <s v="BEL"/>
    <m/>
    <m/>
    <m/>
    <m/>
    <m/>
    <m/>
    <m/>
  </r>
  <r>
    <x v="1125"/>
    <s v="Fako"/>
    <s v="Peter"/>
    <s v="BEL0483"/>
    <s v="OPEN"/>
    <x v="14"/>
    <s v="BEL"/>
    <m/>
    <m/>
    <m/>
    <m/>
    <m/>
    <m/>
    <m/>
  </r>
  <r>
    <x v="1126"/>
    <s v="Falaschi"/>
    <s v="David"/>
    <s v="ITA2480"/>
    <s v="OPEN"/>
    <x v="76"/>
    <s v="ITA"/>
    <m/>
    <m/>
    <m/>
    <m/>
    <m/>
    <s v="FISCT"/>
    <s v="CESTFA"/>
  </r>
  <r>
    <x v="1127"/>
    <s v="Falelakis"/>
    <s v="Evaggelos"/>
    <s v="GRE0384"/>
    <s v="VET"/>
    <x v="14"/>
    <s v="GRE"/>
    <m/>
    <m/>
    <m/>
    <m/>
    <m/>
    <s v="UHTF"/>
    <s v="CESTFA"/>
  </r>
  <r>
    <x v="1128"/>
    <s v="Falelakis"/>
    <s v="Markos"/>
    <s v="GRE0385"/>
    <s v="U20"/>
    <x v="14"/>
    <s v="GRE"/>
    <m/>
    <m/>
    <m/>
    <m/>
    <m/>
    <s v="UHTF"/>
    <s v="CESTFA"/>
  </r>
  <r>
    <x v="1129"/>
    <s v="Falk-Hansen"/>
    <s v="Kristoffer"/>
    <s v="DEN0081"/>
    <s v="U16"/>
    <x v="10"/>
    <s v="DEN"/>
    <m/>
    <m/>
    <m/>
    <m/>
    <m/>
    <s v="DSBU (Provisional)"/>
    <m/>
  </r>
  <r>
    <x v="1130"/>
    <s v="Fallie"/>
    <s v="Chris"/>
    <s v="CAN0031"/>
    <s v="OPEN"/>
    <x v="191"/>
    <s v="CAN"/>
    <m/>
    <m/>
    <m/>
    <m/>
    <m/>
    <s v="SCA"/>
    <m/>
  </r>
  <r>
    <x v="1131"/>
    <s v="Falorni"/>
    <s v="Riccardo"/>
    <s v="ITA2098"/>
    <s v="VET"/>
    <x v="76"/>
    <s v="ITA"/>
    <m/>
    <m/>
    <m/>
    <m/>
    <m/>
    <s v="FISCT"/>
    <s v="CESTFA"/>
  </r>
  <r>
    <x v="1132"/>
    <s v="Famà"/>
    <s v="Vito Antonino"/>
    <s v="ITA2358"/>
    <s v="OPEN"/>
    <x v="195"/>
    <s v="ITA"/>
    <m/>
    <m/>
    <m/>
    <m/>
    <m/>
    <s v="FISCT"/>
    <s v="CESTFA"/>
  </r>
  <r>
    <x v="1133"/>
    <s v="Family Name"/>
    <s v="Given Name"/>
    <s v="FISTF Code"/>
    <m/>
    <x v="261"/>
    <s v="Nation"/>
    <m/>
    <m/>
    <m/>
    <m/>
    <m/>
    <s v="FISTF"/>
    <m/>
  </r>
  <r>
    <x v="1134"/>
    <s v="Fanaras"/>
    <s v="Christos"/>
    <s v="GRE0185"/>
    <s v="OPEN"/>
    <x v="14"/>
    <s v="GRE"/>
    <m/>
    <m/>
    <m/>
    <m/>
    <m/>
    <s v="UHTF"/>
    <s v="CESTFA"/>
  </r>
  <r>
    <x v="1135"/>
    <s v="Fanariotis"/>
    <s v="George"/>
    <s v="GRE0587"/>
    <s v="VET"/>
    <x v="14"/>
    <s v="GRE"/>
    <m/>
    <m/>
    <m/>
    <m/>
    <m/>
    <s v="UHTF"/>
    <s v="CESTFA"/>
  </r>
  <r>
    <x v="1136"/>
    <s v="Fantino"/>
    <s v="Gabriel"/>
    <s v="ARG0086"/>
    <s v="OPEN"/>
    <x v="157"/>
    <s v="ARG"/>
    <m/>
    <m/>
    <m/>
    <m/>
    <m/>
    <s v="LAFM (Suspended)"/>
    <s v="CSAFM"/>
  </r>
  <r>
    <x v="1137"/>
    <s v="Fantino"/>
    <s v="Mauro"/>
    <s v="ARG0076"/>
    <s v="VET"/>
    <x v="157"/>
    <s v="ARG"/>
    <m/>
    <m/>
    <m/>
    <m/>
    <m/>
    <s v="LAFM (Suspended)"/>
    <s v="CSAFM"/>
  </r>
  <r>
    <x v="1138"/>
    <s v="Faour"/>
    <s v="Khalil"/>
    <s v="DEN0107"/>
    <s v="U20"/>
    <x v="10"/>
    <s v="DEN"/>
    <m/>
    <m/>
    <m/>
    <m/>
    <m/>
    <s v="DSBU (Provisional)"/>
    <m/>
  </r>
  <r>
    <x v="1139"/>
    <s v="Faour"/>
    <s v="Mohammad"/>
    <s v="DEN0102"/>
    <s v="U20"/>
    <x v="10"/>
    <s v="DEN"/>
    <m/>
    <m/>
    <m/>
    <m/>
    <m/>
    <s v="DSBU (Provisional)"/>
    <m/>
  </r>
  <r>
    <x v="1140"/>
    <s v="Farace"/>
    <s v="Michele"/>
    <s v="ITA0330"/>
    <s v="VET"/>
    <x v="176"/>
    <s v="ITA"/>
    <m/>
    <m/>
    <m/>
    <m/>
    <m/>
    <s v="FISCT"/>
    <s v="CESTFA"/>
  </r>
  <r>
    <x v="1141"/>
    <s v="Farah"/>
    <s v="José"/>
    <s v="BRA0032"/>
    <s v="VET"/>
    <x v="2"/>
    <s v="BRA"/>
    <m/>
    <m/>
    <m/>
    <m/>
    <m/>
    <s v="CBFM (Suspended)"/>
    <m/>
  </r>
  <r>
    <x v="1142"/>
    <s v="Faria"/>
    <s v="Miguel"/>
    <s v="POR0013"/>
    <s v="VET"/>
    <x v="16"/>
    <s v="POR"/>
    <m/>
    <m/>
    <m/>
    <m/>
    <m/>
    <s v="APS"/>
    <s v="CESTFA"/>
  </r>
  <r>
    <x v="1143"/>
    <s v="Farina"/>
    <s v="Corrado"/>
    <s v="ITA1575"/>
    <s v="VET"/>
    <x v="105"/>
    <s v="ITA"/>
    <m/>
    <m/>
    <m/>
    <m/>
    <m/>
    <s v="FISCT"/>
    <s v="CESTFA"/>
  </r>
  <r>
    <x v="1144"/>
    <s v="Farmakis"/>
    <s v="Alexios"/>
    <s v="GRE0649"/>
    <s v="OPEN"/>
    <x v="217"/>
    <s v="GRE"/>
    <m/>
    <m/>
    <m/>
    <m/>
    <m/>
    <s v="UHTF"/>
    <s v="CESTFA"/>
  </r>
  <r>
    <x v="1145"/>
    <s v="Farnesi"/>
    <s v="Massimiliano"/>
    <s v="ITA0338"/>
    <s v="VET"/>
    <x v="25"/>
    <s v="ITA"/>
    <m/>
    <m/>
    <m/>
    <m/>
    <m/>
    <s v="FISCT"/>
    <s v="CESTFA"/>
  </r>
  <r>
    <x v="1146"/>
    <s v="Farneti"/>
    <s v="Andrea"/>
    <s v="ITA3077"/>
    <s v="U16"/>
    <x v="224"/>
    <s v="ITA"/>
    <m/>
    <m/>
    <m/>
    <m/>
    <m/>
    <s v="FISCT"/>
    <s v="CESTFA"/>
  </r>
  <r>
    <x v="1147"/>
    <s v="Farneti"/>
    <s v="Marco"/>
    <s v="ITA3076"/>
    <s v="OPEN"/>
    <x v="224"/>
    <s v="ITA"/>
    <m/>
    <m/>
    <m/>
    <m/>
    <m/>
    <s v="FISCT"/>
    <s v="CESTFA"/>
  </r>
  <r>
    <x v="1148"/>
    <s v="Farrell"/>
    <s v="Mark"/>
    <s v="IRL0001"/>
    <s v="OPEN"/>
    <x v="13"/>
    <s v="IRL"/>
    <m/>
    <m/>
    <m/>
    <m/>
    <m/>
    <s v="TFAI"/>
    <s v="CESTFA"/>
  </r>
  <r>
    <x v="1149"/>
    <s v="Farrugia Randon"/>
    <s v="Robert"/>
    <s v="MLT0122"/>
    <s v="U16"/>
    <x v="80"/>
    <s v="MLT"/>
    <m/>
    <m/>
    <m/>
    <m/>
    <m/>
    <s v="MTFSA"/>
    <s v="CESTFA"/>
  </r>
  <r>
    <x v="1150"/>
    <s v="Farrugia Randon"/>
    <s v="Stanley"/>
    <s v="MLT0101"/>
    <s v="OPEN"/>
    <x v="80"/>
    <s v="MLT"/>
    <m/>
    <m/>
    <m/>
    <m/>
    <m/>
    <s v="MTFSA"/>
    <s v="CESTFA"/>
  </r>
  <r>
    <x v="1151"/>
    <s v="Farza"/>
    <s v="Skander"/>
    <s v="TUN0001"/>
    <s v="VET"/>
    <x v="232"/>
    <s v="TUN"/>
    <m/>
    <m/>
    <m/>
    <m/>
    <m/>
    <s v="TTF (TUNISIA TABLE FOOTBALL) (Suspended)"/>
    <s v="CNASTF"/>
  </r>
  <r>
    <x v="1152"/>
    <s v="Farza"/>
    <s v="Yanis"/>
    <s v="TUN0016"/>
    <s v="OPEN"/>
    <x v="232"/>
    <s v="TUN"/>
    <m/>
    <m/>
    <m/>
    <m/>
    <m/>
    <s v="TTF (TUNISIA TABLE FOOTBALL) (Suspended)"/>
    <s v="CNASTF"/>
  </r>
  <r>
    <x v="1153"/>
    <s v="Faucher"/>
    <s v="Clement"/>
    <s v="FRA0276"/>
    <s v="U16"/>
    <x v="14"/>
    <s v="FRA"/>
    <m/>
    <m/>
    <m/>
    <m/>
    <m/>
    <s v="3FTS"/>
    <s v="CESTFA"/>
  </r>
  <r>
    <x v="1154"/>
    <s v="Faucher"/>
    <s v="Guillaume"/>
    <s v="FRA0274"/>
    <s v="OPEN"/>
    <x v="14"/>
    <s v="FRA"/>
    <m/>
    <m/>
    <m/>
    <m/>
    <m/>
    <s v="3FTS"/>
    <s v="CESTFA"/>
  </r>
  <r>
    <x v="1155"/>
    <s v="Faucher"/>
    <s v="Hugo"/>
    <s v="FRA0275"/>
    <s v="U16"/>
    <x v="14"/>
    <s v="FRA"/>
    <m/>
    <m/>
    <m/>
    <m/>
    <m/>
    <s v="3FTS"/>
    <s v="CESTFA"/>
  </r>
  <r>
    <x v="1156"/>
    <s v="Favier"/>
    <s v="Pierre"/>
    <s v="FRA0217"/>
    <s v="VET"/>
    <x v="14"/>
    <s v="FRA"/>
    <m/>
    <m/>
    <m/>
    <m/>
    <m/>
    <s v="3FTS"/>
    <s v="CESTFA"/>
  </r>
  <r>
    <x v="1157"/>
    <s v="Fazio"/>
    <s v="Lorenzo"/>
    <s v="ITA3090"/>
    <s v="U16"/>
    <x v="29"/>
    <s v="ITA"/>
    <m/>
    <m/>
    <m/>
    <m/>
    <m/>
    <s v="FISCT"/>
    <s v="CESTFA"/>
  </r>
  <r>
    <x v="1158"/>
    <s v="Fazura"/>
    <s v="Fatin"/>
    <s v="SGP0018"/>
    <s v="OPEN"/>
    <x v="23"/>
    <s v="SGP"/>
    <m/>
    <m/>
    <m/>
    <m/>
    <m/>
    <s v="TFAS"/>
    <s v="CASTFA"/>
  </r>
  <r>
    <x v="1159"/>
    <s v="Fedele"/>
    <s v="Fabrizio"/>
    <s v="ITA0342"/>
    <s v="OPEN"/>
    <x v="46"/>
    <s v="ITA"/>
    <m/>
    <m/>
    <m/>
    <m/>
    <m/>
    <s v="FISCT"/>
    <s v="CESTFA"/>
  </r>
  <r>
    <x v="1160"/>
    <s v="Fedele"/>
    <s v="Ilaria"/>
    <s v="ITA3313"/>
    <s v="U12"/>
    <x v="112"/>
    <s v="ITA"/>
    <m/>
    <m/>
    <m/>
    <m/>
    <m/>
    <s v="FISCT"/>
    <s v="CESTFA"/>
  </r>
  <r>
    <x v="1161"/>
    <s v="Feiteira"/>
    <s v="João"/>
    <s v="POR0150"/>
    <s v="VET"/>
    <x v="14"/>
    <s v="POR"/>
    <m/>
    <m/>
    <m/>
    <m/>
    <m/>
    <s v="APS"/>
    <s v="CESTFA"/>
  </r>
  <r>
    <x v="1162"/>
    <s v="Felicio"/>
    <s v="Ernandes"/>
    <s v="BRA0085"/>
    <s v="OPEN"/>
    <x v="236"/>
    <s v="BRA"/>
    <m/>
    <m/>
    <m/>
    <m/>
    <m/>
    <s v="CBFM (Suspended)"/>
    <m/>
  </r>
  <r>
    <x v="1163"/>
    <s v="Fenech"/>
    <s v="Ismaël"/>
    <s v="MLT0041"/>
    <s v="OPEN"/>
    <x v="63"/>
    <s v="MLT"/>
    <m/>
    <m/>
    <m/>
    <m/>
    <m/>
    <s v="MTFSA"/>
    <s v="CESTFA"/>
  </r>
  <r>
    <x v="1164"/>
    <s v="Fenech"/>
    <s v="Tristan"/>
    <s v="MLT0020"/>
    <s v="OPEN"/>
    <x v="67"/>
    <s v="MLT"/>
    <m/>
    <m/>
    <m/>
    <m/>
    <m/>
    <s v="MTFSA"/>
    <s v="CESTFA"/>
  </r>
  <r>
    <x v="1165"/>
    <s v="Fenton"/>
    <s v="Alex"/>
    <s v="ENG0515"/>
    <s v="U16"/>
    <x v="262"/>
    <s v="ENG"/>
    <m/>
    <m/>
    <m/>
    <m/>
    <m/>
    <s v="ESA"/>
    <s v="CESTFA"/>
  </r>
  <r>
    <x v="1166"/>
    <s v="Fenton"/>
    <s v="Lee"/>
    <s v="ENG0202"/>
    <s v="VET"/>
    <x v="262"/>
    <s v="ENG"/>
    <m/>
    <m/>
    <m/>
    <m/>
    <m/>
    <s v="ESA"/>
    <s v="CESTFA"/>
  </r>
  <r>
    <x v="1167"/>
    <s v="Fenucci"/>
    <s v="Michele"/>
    <s v="ITA2357"/>
    <s v="VET"/>
    <x v="240"/>
    <s v="ITA"/>
    <m/>
    <m/>
    <m/>
    <m/>
    <m/>
    <s v="FISCT"/>
    <s v="CESTFA"/>
  </r>
  <r>
    <x v="1168"/>
    <s v="Feo"/>
    <s v="Luciano"/>
    <s v="ITA0345"/>
    <s v="VET"/>
    <x v="134"/>
    <s v="ITA"/>
    <m/>
    <m/>
    <m/>
    <m/>
    <m/>
    <s v="FISCT"/>
    <s v="CESTFA"/>
  </r>
  <r>
    <x v="1169"/>
    <s v="Feri"/>
    <s v="Stefano"/>
    <s v="ITA3013"/>
    <s v="VET"/>
    <x v="71"/>
    <s v="ITA"/>
    <m/>
    <m/>
    <m/>
    <m/>
    <m/>
    <s v="FISCT"/>
    <s v="CESTFA"/>
  </r>
  <r>
    <x v="1170"/>
    <s v="Fernandes"/>
    <s v="André"/>
    <s v="POR0135"/>
    <s v="OPEN"/>
    <x v="9"/>
    <s v="POR"/>
    <m/>
    <m/>
    <m/>
    <m/>
    <m/>
    <s v="APS"/>
    <s v="CESTFA"/>
  </r>
  <r>
    <x v="1171"/>
    <s v="Fernández"/>
    <s v="Antonio"/>
    <s v="ESP0242"/>
    <s v="OPEN"/>
    <x v="31"/>
    <s v="ESP"/>
    <m/>
    <m/>
    <m/>
    <m/>
    <m/>
    <s v="AEFM"/>
    <s v="CESTFA"/>
  </r>
  <r>
    <x v="1172"/>
    <s v="Fernando Pacheco"/>
    <s v="Macio"/>
    <s v="BRA0154"/>
    <s v="VET"/>
    <x v="263"/>
    <s v="BRA"/>
    <m/>
    <m/>
    <m/>
    <m/>
    <m/>
    <s v="CBFM (Suspended)"/>
    <m/>
  </r>
  <r>
    <x v="1173"/>
    <s v="Ferracin de Oliveira"/>
    <s v="Roger"/>
    <s v="BRA0168"/>
    <s v="OPEN"/>
    <x v="264"/>
    <s v="BRA"/>
    <m/>
    <m/>
    <m/>
    <m/>
    <m/>
    <s v="CBFM (Suspended)"/>
    <m/>
  </r>
  <r>
    <x v="1174"/>
    <s v="Ferrante"/>
    <s v="Mattia"/>
    <s v="ITA0348"/>
    <s v="U20"/>
    <x v="156"/>
    <s v="ITA"/>
    <m/>
    <m/>
    <m/>
    <m/>
    <m/>
    <s v="FISCT"/>
    <s v="CESTFA"/>
  </r>
  <r>
    <x v="1175"/>
    <s v="Ferrante"/>
    <s v="Saverio"/>
    <s v="ITA1486"/>
    <s v="VET"/>
    <x v="223"/>
    <s v="ITA"/>
    <m/>
    <m/>
    <m/>
    <m/>
    <m/>
    <s v="FISCT"/>
    <s v="CESTFA"/>
  </r>
  <r>
    <x v="1176"/>
    <s v="Ferranti"/>
    <s v="Francesco"/>
    <s v="ITA3452"/>
    <s v="U12"/>
    <x v="98"/>
    <s v="ITA"/>
    <m/>
    <m/>
    <m/>
    <m/>
    <m/>
    <s v="FISCT"/>
    <s v="CESTFA"/>
  </r>
  <r>
    <x v="1177"/>
    <s v="Ferranti"/>
    <s v="Mattia"/>
    <s v="ITA3451"/>
    <s v="U12"/>
    <x v="98"/>
    <s v="ITA"/>
    <m/>
    <m/>
    <m/>
    <m/>
    <m/>
    <s v="FISCT"/>
    <s v="CESTFA"/>
  </r>
  <r>
    <x v="1178"/>
    <s v="Ferrara"/>
    <s v="Paolo"/>
    <s v="ARG0013"/>
    <s v="OPEN"/>
    <x v="157"/>
    <s v="ARG"/>
    <m/>
    <m/>
    <m/>
    <m/>
    <m/>
    <s v="LAFM (Suspended)"/>
    <s v="CSAFM"/>
  </r>
  <r>
    <x v="1179"/>
    <s v="Ferrari"/>
    <s v="Andrea"/>
    <s v="ITA2595"/>
    <s v="VET"/>
    <x v="56"/>
    <s v="ITA"/>
    <m/>
    <m/>
    <m/>
    <m/>
    <m/>
    <s v="FISCT"/>
    <s v="CESTFA"/>
  </r>
  <r>
    <x v="1180"/>
    <s v="Ferreira"/>
    <s v="Ailton"/>
    <s v="BRA0018"/>
    <s v="VET"/>
    <x v="264"/>
    <s v="BRA"/>
    <m/>
    <m/>
    <m/>
    <m/>
    <m/>
    <s v="CBFM (Suspended)"/>
    <m/>
  </r>
  <r>
    <x v="1181"/>
    <s v="Ferreira"/>
    <s v="Fernando"/>
    <s v="BRA0114"/>
    <s v="OPEN"/>
    <x v="214"/>
    <s v="BRA"/>
    <m/>
    <m/>
    <m/>
    <m/>
    <m/>
    <s v="CBFM (Suspended)"/>
    <m/>
  </r>
  <r>
    <x v="1182"/>
    <s v="Ferreira"/>
    <s v="Vitorino"/>
    <s v="POR0142"/>
    <s v="VET"/>
    <x v="265"/>
    <s v="POR"/>
    <m/>
    <m/>
    <m/>
    <m/>
    <m/>
    <s v="APS"/>
    <s v="CESTFA"/>
  </r>
  <r>
    <x v="1183"/>
    <s v="Ferretti"/>
    <s v="Andrea"/>
    <s v="ITA3094"/>
    <s v="U16"/>
    <x v="29"/>
    <s v="ITA"/>
    <m/>
    <m/>
    <m/>
    <m/>
    <m/>
    <s v="FISCT"/>
    <s v="CESTFA"/>
  </r>
  <r>
    <x v="1184"/>
    <s v="Ferri"/>
    <s v="Riccardo"/>
    <s v="ITA1833"/>
    <s v="VET"/>
    <x v="33"/>
    <s v="ITA"/>
    <m/>
    <m/>
    <m/>
    <m/>
    <m/>
    <s v="FISCT"/>
    <s v="CESTFA"/>
  </r>
  <r>
    <x v="1185"/>
    <s v="Ferri"/>
    <s v="Stefano"/>
    <s v="ITA3344"/>
    <s v="OPEN"/>
    <x v="54"/>
    <s v="ITA"/>
    <m/>
    <m/>
    <m/>
    <m/>
    <m/>
    <s v="FISCT"/>
    <s v="CESTFA"/>
  </r>
  <r>
    <x v="1186"/>
    <s v="Ferro"/>
    <s v="Giuseppe"/>
    <s v="ITA1465"/>
    <s v="OPEN"/>
    <x v="122"/>
    <s v="ITA"/>
    <m/>
    <m/>
    <m/>
    <m/>
    <m/>
    <s v="FISCT"/>
    <s v="CESTFA"/>
  </r>
  <r>
    <x v="1187"/>
    <s v="Ferro"/>
    <s v="Roberto"/>
    <s v="ITA1517"/>
    <s v="VET"/>
    <x v="246"/>
    <s v="ITA"/>
    <m/>
    <m/>
    <m/>
    <m/>
    <m/>
    <s v="FISCT"/>
    <s v="CESTFA"/>
  </r>
  <r>
    <x v="1188"/>
    <s v="Ferrucci"/>
    <s v="Marco"/>
    <s v="ITA0351"/>
    <s v="U16"/>
    <x v="134"/>
    <s v="ITA"/>
    <m/>
    <m/>
    <m/>
    <m/>
    <m/>
    <s v="FISCT"/>
    <s v="CESTFA"/>
  </r>
  <r>
    <x v="1189"/>
    <s v="Ferrucci"/>
    <s v="Michele"/>
    <s v="ITA2243"/>
    <s v="OPEN"/>
    <x v="134"/>
    <s v="ITA"/>
    <m/>
    <m/>
    <m/>
    <m/>
    <m/>
    <s v="FISCT"/>
    <s v="CESTFA"/>
  </r>
  <r>
    <x v="1190"/>
    <s v="Feye"/>
    <s v="Aurélien"/>
    <s v="BEL0306"/>
    <s v="U20"/>
    <x v="6"/>
    <s v="BEL"/>
    <m/>
    <m/>
    <m/>
    <m/>
    <m/>
    <m/>
    <m/>
  </r>
  <r>
    <x v="1191"/>
    <s v="Feyjoo"/>
    <s v="José María"/>
    <s v="ESP0063"/>
    <s v="VET"/>
    <x v="171"/>
    <s v="ESP"/>
    <m/>
    <m/>
    <m/>
    <m/>
    <m/>
    <s v="AEFM"/>
    <s v="CESTFA"/>
  </r>
  <r>
    <x v="1192"/>
    <s v="Ficini"/>
    <s v="Roberto"/>
    <s v="ITA3216"/>
    <s v="OPEN"/>
    <x v="25"/>
    <s v="ITA"/>
    <m/>
    <m/>
    <m/>
    <m/>
    <m/>
    <s v="FISCT"/>
    <s v="CESTFA"/>
  </r>
  <r>
    <x v="1193"/>
    <s v="Ficola"/>
    <s v="Tiziano"/>
    <s v="ITA2052"/>
    <s v="VET"/>
    <x v="76"/>
    <s v="ITA"/>
    <m/>
    <m/>
    <m/>
    <m/>
    <m/>
    <s v="FISCT"/>
    <s v="CESTFA"/>
  </r>
  <r>
    <x v="1194"/>
    <s v="Field"/>
    <s v="John"/>
    <s v="GIB0002"/>
    <s v="VET"/>
    <x v="31"/>
    <s v="GIB"/>
    <m/>
    <m/>
    <m/>
    <m/>
    <m/>
    <s v="GTSA"/>
    <s v="CESTFA"/>
  </r>
  <r>
    <x v="1195"/>
    <s v="Fiesal"/>
    <s v="Muhammad"/>
    <s v="MAS0006"/>
    <s v="VET"/>
    <x v="85"/>
    <s v="MAS"/>
    <m/>
    <m/>
    <m/>
    <m/>
    <m/>
    <m/>
    <m/>
  </r>
  <r>
    <x v="1196"/>
    <s v="Figliolino"/>
    <s v="Emiddio"/>
    <s v="ITA3021"/>
    <s v="OPEN"/>
    <x v="71"/>
    <s v="ITA"/>
    <m/>
    <m/>
    <m/>
    <m/>
    <m/>
    <s v="FISCT"/>
    <s v="CESTFA"/>
  </r>
  <r>
    <x v="1197"/>
    <s v="Figueiredo"/>
    <s v="Tiago"/>
    <s v="POR0211"/>
    <s v="U20"/>
    <x v="11"/>
    <s v="POR"/>
    <m/>
    <m/>
    <m/>
    <m/>
    <m/>
    <s v="APS"/>
    <s v="CESTFA"/>
  </r>
  <r>
    <x v="1198"/>
    <s v="Figus"/>
    <s v="Gianluca"/>
    <s v="ITA0352"/>
    <s v="VET"/>
    <x v="105"/>
    <s v="ITA"/>
    <m/>
    <m/>
    <m/>
    <m/>
    <m/>
    <s v="FISCT"/>
    <s v="CESTFA"/>
  </r>
  <r>
    <x v="1199"/>
    <s v="Filardo"/>
    <s v="Giuseppe"/>
    <s v="ITA2224"/>
    <s v="OPEN"/>
    <x v="84"/>
    <s v="ITA"/>
    <m/>
    <m/>
    <m/>
    <m/>
    <m/>
    <s v="FISCT"/>
    <s v="CESTFA"/>
  </r>
  <r>
    <x v="1200"/>
    <s v="Filipoppoulos"/>
    <s v="Konstantinos"/>
    <s v="GRE0770"/>
    <s v="OPEN"/>
    <x v="14"/>
    <s v="GRE"/>
    <m/>
    <m/>
    <m/>
    <m/>
    <m/>
    <s v="UHTF"/>
    <s v="CESTFA"/>
  </r>
  <r>
    <x v="1201"/>
    <s v="Filippella"/>
    <s v="Christian"/>
    <s v="USA0392"/>
    <s v="OPEN"/>
    <x v="134"/>
    <s v="USA"/>
    <m/>
    <m/>
    <m/>
    <m/>
    <m/>
    <s v="ASA"/>
    <s v="CONASTF"/>
  </r>
  <r>
    <x v="1202"/>
    <s v="Filippella"/>
    <s v="Filippo"/>
    <s v="ITA1646"/>
    <s v="VET"/>
    <x v="173"/>
    <s v="ITA"/>
    <m/>
    <m/>
    <m/>
    <m/>
    <m/>
    <s v="FISCT"/>
    <s v="CESTFA"/>
  </r>
  <r>
    <x v="1203"/>
    <s v="Filippella Nasti"/>
    <s v="Julia"/>
    <s v="ITA2018"/>
    <s v="U20"/>
    <x v="173"/>
    <s v="ITA"/>
    <m/>
    <m/>
    <m/>
    <m/>
    <m/>
    <s v="FISCT"/>
    <s v="CESTFA"/>
  </r>
  <r>
    <x v="1204"/>
    <s v="Filippella Nasti"/>
    <s v="Sean"/>
    <s v="ITA2019"/>
    <s v="U16"/>
    <x v="173"/>
    <s v="ITA"/>
    <m/>
    <m/>
    <m/>
    <m/>
    <m/>
    <s v="FISCT"/>
    <s v="CESTFA"/>
  </r>
  <r>
    <x v="1205"/>
    <s v="Filippou"/>
    <s v="Christos"/>
    <s v="GRE0683"/>
    <s v="U12"/>
    <x v="14"/>
    <s v="GRE"/>
    <m/>
    <m/>
    <m/>
    <m/>
    <m/>
    <s v="UHTF"/>
    <s v="CESTFA"/>
  </r>
  <r>
    <x v="1206"/>
    <s v="Filippou"/>
    <s v="Giorgos"/>
    <s v="GRE0485"/>
    <s v="OPEN"/>
    <x v="78"/>
    <s v="GRE"/>
    <m/>
    <m/>
    <m/>
    <m/>
    <m/>
    <s v="UHTF"/>
    <s v="CESTFA"/>
  </r>
  <r>
    <x v="1207"/>
    <s v="Filippousis"/>
    <s v="Michail"/>
    <s v="GRE0060"/>
    <s v="OPEN"/>
    <x v="14"/>
    <s v="GRE"/>
    <m/>
    <m/>
    <m/>
    <m/>
    <m/>
    <s v="UHTF"/>
    <s v="CESTFA"/>
  </r>
  <r>
    <x v="1208"/>
    <s v="Fina"/>
    <s v="Giovanni"/>
    <s v="ITA2851"/>
    <s v="U20"/>
    <x v="54"/>
    <s v="ITA"/>
    <m/>
    <m/>
    <m/>
    <m/>
    <m/>
    <s v="FISCT"/>
    <s v="CESTFA"/>
  </r>
  <r>
    <x v="1209"/>
    <s v="Fina"/>
    <s v="Giuliano"/>
    <s v="ITA2868"/>
    <s v="VET"/>
    <x v="54"/>
    <s v="ITA"/>
    <m/>
    <m/>
    <m/>
    <m/>
    <m/>
    <s v="FISCT"/>
    <s v="CESTFA"/>
  </r>
  <r>
    <x v="1210"/>
    <s v="Finardi"/>
    <s v="Paolo"/>
    <s v="ITA0355"/>
    <s v="VET"/>
    <x v="55"/>
    <s v="ITA"/>
    <m/>
    <m/>
    <m/>
    <m/>
    <m/>
    <s v="FISCT"/>
    <s v="CESTFA"/>
  </r>
  <r>
    <x v="1211"/>
    <s v="Finch"/>
    <s v="Justin"/>
    <s v="ENG0057"/>
    <s v="VET"/>
    <x v="266"/>
    <s v="ENG"/>
    <m/>
    <m/>
    <m/>
    <m/>
    <m/>
    <s v="ESA"/>
    <s v="CESTFA"/>
  </r>
  <r>
    <x v="1212"/>
    <s v="Finelli"/>
    <s v="Alessandro"/>
    <s v="ITA1880"/>
    <s v="OPEN"/>
    <x v="46"/>
    <s v="ITA"/>
    <m/>
    <m/>
    <m/>
    <m/>
    <m/>
    <s v="FISCT"/>
    <s v="CESTFA"/>
  </r>
  <r>
    <x v="1213"/>
    <s v="FINO"/>
    <s v="Axel"/>
    <s v="FRA0288"/>
    <s v="U16"/>
    <x v="194"/>
    <s v="FRA"/>
    <m/>
    <m/>
    <m/>
    <m/>
    <m/>
    <s v="3FTS"/>
    <s v="CESTFA"/>
  </r>
  <r>
    <x v="1214"/>
    <s v="Fino"/>
    <s v="Hervé"/>
    <s v="FRA0157"/>
    <s v="VET"/>
    <x v="194"/>
    <s v="FRA"/>
    <m/>
    <m/>
    <m/>
    <m/>
    <m/>
    <s v="3FTS"/>
    <s v="CESTFA"/>
  </r>
  <r>
    <x v="1215"/>
    <s v="Fioretti"/>
    <s v="Ermanno Junior"/>
    <s v="ITA1752"/>
    <s v="OPEN"/>
    <x v="46"/>
    <s v="ITA"/>
    <m/>
    <m/>
    <m/>
    <m/>
    <m/>
    <s v="FISCT"/>
    <s v="CESTFA"/>
  </r>
  <r>
    <x v="1216"/>
    <s v="Fiorillo"/>
    <s v="Raffaele"/>
    <s v="ITA2267"/>
    <s v="VET"/>
    <x v="25"/>
    <s v="ITA"/>
    <m/>
    <m/>
    <m/>
    <m/>
    <m/>
    <s v="FISCT"/>
    <s v="CESTFA"/>
  </r>
  <r>
    <x v="1217"/>
    <s v="Firdaus"/>
    <s v="Muhd Faruk"/>
    <s v="SGP0034"/>
    <s v="OPEN"/>
    <x v="259"/>
    <s v="SGP"/>
    <m/>
    <m/>
    <m/>
    <m/>
    <m/>
    <s v="TFAS"/>
    <s v="CASTFA"/>
  </r>
  <r>
    <x v="1218"/>
    <s v="Firman"/>
    <s v="Muhammad"/>
    <s v="MAS0004"/>
    <s v="OPEN"/>
    <x v="85"/>
    <s v="MAS"/>
    <m/>
    <m/>
    <m/>
    <m/>
    <m/>
    <m/>
    <m/>
  </r>
  <r>
    <x v="1219"/>
    <s v="Fitos"/>
    <s v="Kostas"/>
    <s v="GRE0042"/>
    <s v="OPEN"/>
    <x v="217"/>
    <s v="GRE"/>
    <m/>
    <m/>
    <m/>
    <m/>
    <m/>
    <s v="UHTF"/>
    <s v="CESTFA"/>
  </r>
  <r>
    <x v="1220"/>
    <s v="Fitzpatrick"/>
    <s v="Andy"/>
    <s v="IRL0011"/>
    <s v="OPEN"/>
    <x v="126"/>
    <s v="IRL"/>
    <m/>
    <m/>
    <m/>
    <m/>
    <m/>
    <s v="TFAI"/>
    <s v="CESTFA"/>
  </r>
  <r>
    <x v="1221"/>
    <s v="Fitzpatrick"/>
    <s v="Elliot"/>
    <s v="IRL0024"/>
    <s v="U12"/>
    <x v="14"/>
    <s v="IRL"/>
    <m/>
    <m/>
    <m/>
    <m/>
    <m/>
    <s v="TFAI"/>
    <s v="CESTFA"/>
  </r>
  <r>
    <x v="1222"/>
    <s v="Fiumi"/>
    <s v="Alessandro"/>
    <s v="ITA3080"/>
    <s v="OPEN"/>
    <x v="224"/>
    <s v="ITA"/>
    <m/>
    <m/>
    <m/>
    <m/>
    <m/>
    <s v="FISCT"/>
    <s v="CESTFA"/>
  </r>
  <r>
    <x v="1223"/>
    <s v="Flaccomio"/>
    <s v="Stefano"/>
    <s v="ITA3235"/>
    <s v="VET"/>
    <x v="27"/>
    <s v="ITA"/>
    <m/>
    <m/>
    <m/>
    <m/>
    <m/>
    <s v="FISCT"/>
    <s v="CESTFA"/>
  </r>
  <r>
    <x v="1224"/>
    <s v="Flamini"/>
    <s v="Stefano"/>
    <s v="ITA0359"/>
    <s v="VET"/>
    <x v="55"/>
    <s v="ITA"/>
    <m/>
    <m/>
    <m/>
    <m/>
    <m/>
    <s v="FISCT"/>
    <s v="CESTFA"/>
  </r>
  <r>
    <x v="1225"/>
    <s v="Flammini"/>
    <s v="Dario"/>
    <s v="ITA3334"/>
    <s v="VET"/>
    <x v="27"/>
    <s v="ITA"/>
    <m/>
    <m/>
    <m/>
    <m/>
    <m/>
    <s v="FISCT"/>
    <s v="CESTFA"/>
  </r>
  <r>
    <x v="1226"/>
    <s v="Flemer"/>
    <s v="Marian"/>
    <s v="GER0138"/>
    <s v="U20"/>
    <x v="5"/>
    <s v="GER"/>
    <m/>
    <m/>
    <m/>
    <m/>
    <m/>
    <s v="DSTFB"/>
    <s v="CESTFA"/>
  </r>
  <r>
    <x v="1227"/>
    <s v="Flemer"/>
    <s v="Pia"/>
    <s v="GER0143"/>
    <s v="U20"/>
    <x v="5"/>
    <s v="GER"/>
    <m/>
    <m/>
    <m/>
    <m/>
    <m/>
    <s v="DSTFB"/>
    <s v="CESTFA"/>
  </r>
  <r>
    <x v="1228"/>
    <s v="Fleming"/>
    <s v="Scott"/>
    <s v="SCO0021"/>
    <s v="VET"/>
    <x v="267"/>
    <s v="SCO"/>
    <m/>
    <m/>
    <m/>
    <m/>
    <m/>
    <s v="SSA"/>
    <s v="CESTFA"/>
  </r>
  <r>
    <x v="1229"/>
    <s v="Fleming"/>
    <s v="William"/>
    <s v="SCO0013"/>
    <s v="VET"/>
    <x v="49"/>
    <s v="SCO"/>
    <m/>
    <m/>
    <m/>
    <m/>
    <m/>
    <s v="SSA"/>
    <s v="CESTFA"/>
  </r>
  <r>
    <x v="1230"/>
    <s v="Fleri Soler"/>
    <s v="Mario"/>
    <s v="MLT0125"/>
    <s v="OPEN"/>
    <x v="80"/>
    <s v="MLT"/>
    <m/>
    <m/>
    <m/>
    <m/>
    <m/>
    <s v="MTFSA"/>
    <s v="CESTFA"/>
  </r>
  <r>
    <x v="1231"/>
    <s v="Fletcher"/>
    <s v="Colin"/>
    <s v="ENG0091"/>
    <s v="VET"/>
    <x v="19"/>
    <s v="ENG"/>
    <m/>
    <m/>
    <m/>
    <m/>
    <m/>
    <s v="ESA"/>
    <s v="CESTFA"/>
  </r>
  <r>
    <x v="1232"/>
    <s v="Fleury"/>
    <s v="Frederico"/>
    <s v="BRA0059"/>
    <s v="OPEN"/>
    <x v="14"/>
    <s v="BRA"/>
    <m/>
    <m/>
    <m/>
    <m/>
    <m/>
    <s v="CBFM (Suspended)"/>
    <m/>
  </r>
  <r>
    <x v="1233"/>
    <s v="Flores"/>
    <s v="Carlos"/>
    <s v="ESP0024"/>
    <s v="OPEN"/>
    <x v="118"/>
    <s v="ESP"/>
    <m/>
    <m/>
    <m/>
    <m/>
    <m/>
    <s v="AEFM"/>
    <s v="CESTFA"/>
  </r>
  <r>
    <x v="1234"/>
    <s v="Florita"/>
    <s v="Andrea"/>
    <s v="ITA3425"/>
    <s v="VET"/>
    <x v="27"/>
    <s v="ITA"/>
    <m/>
    <m/>
    <m/>
    <m/>
    <m/>
    <s v="FISCT"/>
    <s v="CESTFA"/>
  </r>
  <r>
    <x v="1235"/>
    <s v="Floros"/>
    <s v="dimitrios"/>
    <s v="GRE0662"/>
    <s v="OPEN"/>
    <x v="14"/>
    <s v="GRE"/>
    <m/>
    <m/>
    <m/>
    <m/>
    <m/>
    <s v="UHTF"/>
    <s v="CESTFA"/>
  </r>
  <r>
    <x v="1236"/>
    <s v="Foechterle"/>
    <s v="Martial"/>
    <s v="FRA0267"/>
    <s v="OPEN"/>
    <x v="194"/>
    <s v="FRA"/>
    <m/>
    <m/>
    <m/>
    <m/>
    <m/>
    <s v="3FTS"/>
    <s v="CESTFA"/>
  </r>
  <r>
    <x v="1237"/>
    <s v="Fommei"/>
    <s v="Marco"/>
    <s v="ITA3022"/>
    <s v="VET"/>
    <x v="77"/>
    <s v="ITA"/>
    <m/>
    <m/>
    <m/>
    <m/>
    <m/>
    <s v="FISCT"/>
    <s v="CESTFA"/>
  </r>
  <r>
    <x v="1238"/>
    <s v="Fonseca"/>
    <s v="Rui"/>
    <s v="POR0159"/>
    <s v="OPEN"/>
    <x v="14"/>
    <s v="POR"/>
    <m/>
    <m/>
    <m/>
    <m/>
    <m/>
    <s v="APS"/>
    <s v="CESTFA"/>
  </r>
  <r>
    <x v="1239"/>
    <s v="Fontana"/>
    <s v="Antonino"/>
    <s v="ITA1670"/>
    <s v="OPEN"/>
    <x v="190"/>
    <s v="ITA"/>
    <m/>
    <m/>
    <m/>
    <m/>
    <m/>
    <s v="FISCT"/>
    <s v="CESTFA"/>
  </r>
  <r>
    <x v="1240"/>
    <s v="Fontes"/>
    <s v="Alexandre"/>
    <s v="POR0249"/>
    <s v="VET"/>
    <x v="252"/>
    <s v="POR"/>
    <m/>
    <m/>
    <m/>
    <m/>
    <m/>
    <s v="APS"/>
    <s v="CESTFA"/>
  </r>
  <r>
    <x v="1241"/>
    <s v="Foo"/>
    <s v="Nigel"/>
    <s v="SGP0119"/>
    <s v="VET"/>
    <x v="24"/>
    <s v="SGP"/>
    <m/>
    <m/>
    <m/>
    <m/>
    <m/>
    <s v="TFAS"/>
    <s v="CASTFA"/>
  </r>
  <r>
    <x v="1242"/>
    <s v="Forino"/>
    <s v="Franco"/>
    <s v="ITA2409"/>
    <s v="VET"/>
    <x v="268"/>
    <s v="ITA"/>
    <m/>
    <m/>
    <m/>
    <m/>
    <m/>
    <s v="FISCT"/>
    <s v="CESTFA"/>
  </r>
  <r>
    <x v="1243"/>
    <s v="Forlani"/>
    <s v="Paola"/>
    <s v="ITA0365"/>
    <s v="OPEN"/>
    <x v="166"/>
    <s v="ITA"/>
    <m/>
    <m/>
    <m/>
    <m/>
    <m/>
    <s v="FISCT"/>
    <s v="CESTFA"/>
  </r>
  <r>
    <x v="1244"/>
    <s v="Forlani"/>
    <s v="Valeria"/>
    <s v="ARG0082"/>
    <s v="OPEN"/>
    <x v="250"/>
    <s v="ARG"/>
    <m/>
    <m/>
    <m/>
    <m/>
    <m/>
    <s v="LAFM (Suspended)"/>
    <s v="CSAFM"/>
  </r>
  <r>
    <x v="1245"/>
    <s v="Fornaciai"/>
    <s v="Massimo"/>
    <s v="ITA2416"/>
    <s v="VET"/>
    <x v="106"/>
    <s v="ITA"/>
    <m/>
    <m/>
    <m/>
    <m/>
    <m/>
    <s v="FISCT"/>
    <s v="CESTFA"/>
  </r>
  <r>
    <x v="1246"/>
    <s v="Fornano"/>
    <s v="Enzo"/>
    <s v="SGP0131"/>
    <s v="OPEN"/>
    <x v="4"/>
    <s v="SGP"/>
    <m/>
    <m/>
    <m/>
    <m/>
    <m/>
    <s v="TFAS"/>
    <s v="CASTFA"/>
  </r>
  <r>
    <x v="1247"/>
    <s v="Forster-Fake"/>
    <s v="Andrew"/>
    <s v="ENG0428"/>
    <s v="VET"/>
    <x v="34"/>
    <s v="ENG"/>
    <m/>
    <m/>
    <m/>
    <m/>
    <m/>
    <s v="ESA"/>
    <s v="CESTFA"/>
  </r>
  <r>
    <x v="1248"/>
    <s v="Fosse"/>
    <s v="Kjetil"/>
    <s v="NOR0013"/>
    <s v="OPEN"/>
    <x v="151"/>
    <s v="NOR"/>
    <m/>
    <m/>
    <m/>
    <m/>
    <m/>
    <s v="NBFF (Suspended)"/>
    <m/>
  </r>
  <r>
    <x v="1249"/>
    <s v="Foster"/>
    <s v="Eric"/>
    <s v="USA0424"/>
    <s v="U16"/>
    <x v="247"/>
    <s v="USA"/>
    <m/>
    <m/>
    <m/>
    <m/>
    <m/>
    <s v="ASA"/>
    <s v="CONASTF"/>
  </r>
  <r>
    <x v="1250"/>
    <s v="Foster"/>
    <s v="Lenny"/>
    <s v="USA0230"/>
    <s v="OPEN"/>
    <x v="247"/>
    <s v="USA"/>
    <m/>
    <m/>
    <m/>
    <m/>
    <m/>
    <s v="ASA"/>
    <s v="CONASTF"/>
  </r>
  <r>
    <x v="1251"/>
    <s v="Foti"/>
    <s v="Alessandro"/>
    <s v="ITA2453"/>
    <s v="OPEN"/>
    <x v="41"/>
    <s v="ITA"/>
    <m/>
    <m/>
    <m/>
    <m/>
    <m/>
    <s v="FISCT"/>
    <s v="CESTFA"/>
  </r>
  <r>
    <x v="1252"/>
    <s v="Fotiadou"/>
    <s v="Dimitra"/>
    <s v="GRE0517"/>
    <s v="OPEN"/>
    <x v="14"/>
    <s v="GRE"/>
    <m/>
    <m/>
    <m/>
    <m/>
    <m/>
    <s v="UHTF"/>
    <s v="CESTFA"/>
  </r>
  <r>
    <x v="1253"/>
    <s v="Fotinopoulos"/>
    <s v="Marios"/>
    <s v="GRE0624"/>
    <s v="OPEN"/>
    <x v="14"/>
    <s v="GRE"/>
    <m/>
    <m/>
    <m/>
    <m/>
    <m/>
    <s v="UHTF"/>
    <s v="CESTFA"/>
  </r>
  <r>
    <x v="1254"/>
    <s v="Fotopoulos"/>
    <s v="Athanasios"/>
    <s v="GRE0140"/>
    <s v="VET"/>
    <x v="14"/>
    <s v="GRE"/>
    <m/>
    <m/>
    <m/>
    <m/>
    <m/>
    <s v="UHTF"/>
    <s v="CESTFA"/>
  </r>
  <r>
    <x v="1255"/>
    <s v="Fouetillou"/>
    <s v="Jean-Marie"/>
    <s v="FRA0059"/>
    <s v="VET"/>
    <x v="57"/>
    <s v="FRA"/>
    <m/>
    <m/>
    <m/>
    <m/>
    <m/>
    <s v="3FTS"/>
    <s v="CESTFA"/>
  </r>
  <r>
    <x v="1256"/>
    <s v="Fousteris"/>
    <s v="Emanouil"/>
    <s v="GRE0061"/>
    <s v="VET"/>
    <x v="14"/>
    <s v="GRE"/>
    <m/>
    <m/>
    <m/>
    <m/>
    <m/>
    <s v="UHTF"/>
    <s v="CESTFA"/>
  </r>
  <r>
    <x v="1257"/>
    <s v="Foutrakis"/>
    <s v="Aggelos"/>
    <s v="GRE0469"/>
    <s v="OPEN"/>
    <x v="217"/>
    <s v="GRE"/>
    <m/>
    <m/>
    <m/>
    <m/>
    <m/>
    <s v="UHTF"/>
    <s v="CESTFA"/>
  </r>
  <r>
    <x v="1258"/>
    <s v="Fragkakis"/>
    <s v="Velissarios"/>
    <s v="GRE0106"/>
    <s v="OPEN"/>
    <x v="218"/>
    <s v="GRE"/>
    <m/>
    <m/>
    <m/>
    <m/>
    <m/>
    <s v="UHTF"/>
    <s v="CESTFA"/>
  </r>
  <r>
    <x v="1259"/>
    <s v="Fraikin"/>
    <s v="David"/>
    <s v="BEL0134"/>
    <s v="OPEN"/>
    <x v="182"/>
    <s v="BEL"/>
    <m/>
    <m/>
    <m/>
    <m/>
    <m/>
    <m/>
    <m/>
  </r>
  <r>
    <x v="1260"/>
    <s v="France"/>
    <s v="Christophe"/>
    <s v="FRA0191"/>
    <s v="VET"/>
    <x v="152"/>
    <s v="FRA"/>
    <m/>
    <m/>
    <m/>
    <m/>
    <m/>
    <s v="3FTS"/>
    <s v="CESTFA"/>
  </r>
  <r>
    <x v="1261"/>
    <s v="Franchi"/>
    <s v="Massimo"/>
    <s v="ITA2531"/>
    <s v="VET"/>
    <x v="86"/>
    <s v="ITA"/>
    <m/>
    <m/>
    <m/>
    <m/>
    <m/>
    <s v="FISCT"/>
    <s v="CESTFA"/>
  </r>
  <r>
    <x v="1262"/>
    <s v="Franciolini"/>
    <s v="Massimiliano"/>
    <s v="ITA3436"/>
    <s v="VET"/>
    <x v="187"/>
    <s v="ITA"/>
    <m/>
    <m/>
    <m/>
    <m/>
    <m/>
    <s v="FISCT"/>
    <s v="CESTFA"/>
  </r>
  <r>
    <x v="1263"/>
    <s v="Francis"/>
    <s v="Mark"/>
    <s v="ENG0473"/>
    <s v="VET"/>
    <x v="81"/>
    <s v="ENG"/>
    <m/>
    <m/>
    <m/>
    <m/>
    <m/>
    <s v="ESA"/>
    <s v="CESTFA"/>
  </r>
  <r>
    <x v="1264"/>
    <s v="Francis"/>
    <s v="Simon"/>
    <s v="ENG0573"/>
    <s v="OPEN"/>
    <x v="14"/>
    <s v="ENG"/>
    <m/>
    <m/>
    <m/>
    <m/>
    <m/>
    <s v="ESA"/>
    <s v="CESTFA"/>
  </r>
  <r>
    <x v="1265"/>
    <s v="Franck"/>
    <s v="Jonas"/>
    <s v="DEN0052"/>
    <s v="OPEN"/>
    <x v="10"/>
    <s v="DEN"/>
    <m/>
    <m/>
    <m/>
    <m/>
    <m/>
    <s v="DSBU (Provisional)"/>
    <m/>
  </r>
  <r>
    <x v="1266"/>
    <s v="Franco"/>
    <s v="Sérgio"/>
    <s v="BRA0053"/>
    <s v="OPEN"/>
    <x v="14"/>
    <s v="BRA"/>
    <m/>
    <m/>
    <m/>
    <m/>
    <m/>
    <s v="CBFM (Suspended)"/>
    <m/>
  </r>
  <r>
    <x v="1267"/>
    <s v="Frantzeskou"/>
    <s v="Giota"/>
    <s v="GRE0580"/>
    <s v="VET"/>
    <x v="14"/>
    <s v="GRE"/>
    <m/>
    <m/>
    <m/>
    <m/>
    <m/>
    <s v="UHTF"/>
    <s v="CESTFA"/>
  </r>
  <r>
    <x v="1268"/>
    <s v="Frasca"/>
    <s v="Giuseppe"/>
    <s v="ITA0371"/>
    <s v="OPEN"/>
    <x v="188"/>
    <s v="ITA"/>
    <m/>
    <m/>
    <m/>
    <m/>
    <m/>
    <s v="FISCT"/>
    <s v="CESTFA"/>
  </r>
  <r>
    <x v="1269"/>
    <s v="Frascarelli"/>
    <s v="Giovanni"/>
    <s v="ITA1106"/>
    <s v="VET"/>
    <x v="199"/>
    <s v="ITA"/>
    <m/>
    <m/>
    <m/>
    <m/>
    <m/>
    <s v="FISCT"/>
    <s v="CESTFA"/>
  </r>
  <r>
    <x v="1270"/>
    <s v="Frascaroli"/>
    <s v="Mauro"/>
    <s v="ITA3405"/>
    <s v="VET"/>
    <x v="209"/>
    <s v="ITA"/>
    <m/>
    <m/>
    <m/>
    <m/>
    <m/>
    <s v="FISCT"/>
    <s v="CESTFA"/>
  </r>
  <r>
    <x v="1271"/>
    <s v="Frederiksen"/>
    <s v="Benjamin"/>
    <s v="DEN0093"/>
    <s v="U20"/>
    <x v="10"/>
    <s v="DEN"/>
    <m/>
    <m/>
    <m/>
    <m/>
    <m/>
    <s v="DSBU (Provisional)"/>
    <m/>
  </r>
  <r>
    <x v="1272"/>
    <s v="Frederiksen"/>
    <s v="David"/>
    <s v="DEN0017"/>
    <s v="OPEN"/>
    <x v="10"/>
    <s v="DEN"/>
    <m/>
    <m/>
    <m/>
    <m/>
    <m/>
    <s v="DSBU (Provisional)"/>
    <m/>
  </r>
  <r>
    <x v="1273"/>
    <s v="Fredriksen"/>
    <s v="Thomas Flaaten"/>
    <s v="NOR0014"/>
    <s v="OPEN"/>
    <x v="269"/>
    <s v="NOR"/>
    <m/>
    <m/>
    <m/>
    <m/>
    <m/>
    <s v="NBFF (Suspended)"/>
    <m/>
  </r>
  <r>
    <x v="1274"/>
    <s v="Frega"/>
    <s v="Ferdinando"/>
    <s v="ITA2971"/>
    <s v="VET"/>
    <x v="0"/>
    <s v="ITA"/>
    <m/>
    <m/>
    <m/>
    <m/>
    <m/>
    <s v="FISCT"/>
    <s v="CESTFA"/>
  </r>
  <r>
    <x v="1275"/>
    <s v="Freitas"/>
    <s v="Fabio"/>
    <s v="BRA0081"/>
    <s v="OPEN"/>
    <x v="236"/>
    <s v="BRA"/>
    <m/>
    <m/>
    <m/>
    <m/>
    <m/>
    <s v="CBFM (Suspended)"/>
    <m/>
  </r>
  <r>
    <x v="1276"/>
    <s v="Freitas"/>
    <s v="José"/>
    <s v="POR0030"/>
    <s v="VET"/>
    <x v="15"/>
    <s v="POR"/>
    <m/>
    <m/>
    <m/>
    <m/>
    <m/>
    <s v="APS"/>
    <s v="CESTFA"/>
  </r>
  <r>
    <x v="1277"/>
    <s v="Frey"/>
    <s v="Rene"/>
    <s v="GER0114"/>
    <s v="OPEN"/>
    <x v="91"/>
    <s v="GER"/>
    <m/>
    <m/>
    <m/>
    <m/>
    <m/>
    <s v="DSTFB"/>
    <s v="CESTFA"/>
  </r>
  <r>
    <x v="1278"/>
    <s v="Fricano"/>
    <s v="Christian"/>
    <s v="ITA1749"/>
    <s v="U20"/>
    <x v="41"/>
    <s v="ITA"/>
    <m/>
    <m/>
    <m/>
    <m/>
    <m/>
    <s v="FISCT"/>
    <s v="CESTFA"/>
  </r>
  <r>
    <x v="1279"/>
    <s v="Fricano"/>
    <s v="Lorenzo"/>
    <s v="ITA2140"/>
    <s v="U16"/>
    <x v="41"/>
    <s v="ITA"/>
    <m/>
    <m/>
    <m/>
    <m/>
    <m/>
    <s v="FISCT"/>
    <s v="CESTFA"/>
  </r>
  <r>
    <x v="1280"/>
    <s v="Fricke"/>
    <s v="Jürgen"/>
    <s v="GER0006"/>
    <s v="VET"/>
    <x v="91"/>
    <s v="GER"/>
    <m/>
    <m/>
    <m/>
    <m/>
    <m/>
    <s v="DSTFB"/>
    <s v="CESTFA"/>
  </r>
  <r>
    <x v="1281"/>
    <s v="Frisone"/>
    <s v="Enrico"/>
    <s v="ITA2384"/>
    <s v="VET"/>
    <x v="44"/>
    <s v="ITA"/>
    <m/>
    <m/>
    <m/>
    <m/>
    <m/>
    <s v="FISCT"/>
    <s v="CESTFA"/>
  </r>
  <r>
    <x v="1282"/>
    <s v="Frisone"/>
    <s v="Giorgio"/>
    <s v="ITA2388"/>
    <s v="OPEN"/>
    <x v="44"/>
    <s v="ITA"/>
    <m/>
    <m/>
    <m/>
    <m/>
    <m/>
    <s v="FISCT"/>
    <s v="CESTFA"/>
  </r>
  <r>
    <x v="1283"/>
    <s v="Fritz"/>
    <s v="Klaus"/>
    <s v="GER0117"/>
    <s v="VET"/>
    <x v="5"/>
    <s v="GER"/>
    <m/>
    <m/>
    <m/>
    <m/>
    <m/>
    <s v="DSTFB"/>
    <s v="CESTFA"/>
  </r>
  <r>
    <x v="1284"/>
    <s v="From"/>
    <s v="Patrick"/>
    <s v="DEN0055"/>
    <s v="OPEN"/>
    <x v="10"/>
    <s v="DEN"/>
    <m/>
    <m/>
    <m/>
    <m/>
    <m/>
    <s v="DSBU (Provisional)"/>
    <m/>
  </r>
  <r>
    <x v="1285"/>
    <s v="Fromweiler"/>
    <s v="Théo"/>
    <s v="FRA0228"/>
    <s v="U16"/>
    <x v="152"/>
    <s v="FRA"/>
    <m/>
    <m/>
    <m/>
    <m/>
    <m/>
    <s v="3FTS"/>
    <s v="CESTFA"/>
  </r>
  <r>
    <x v="1286"/>
    <s v="Ftakas"/>
    <s v="Kostas"/>
    <s v="GRE0208"/>
    <s v="OPEN"/>
    <x v="14"/>
    <s v="GRE"/>
    <m/>
    <m/>
    <m/>
    <m/>
    <m/>
    <s v="UHTF"/>
    <s v="CESTFA"/>
  </r>
  <r>
    <x v="1287"/>
    <s v="Fucci"/>
    <s v="Antonio"/>
    <s v="ITA1062"/>
    <s v="OPEN"/>
    <x v="170"/>
    <s v="ITA"/>
    <m/>
    <m/>
    <m/>
    <m/>
    <m/>
    <s v="FISCT"/>
    <s v="CESTFA"/>
  </r>
  <r>
    <x v="1288"/>
    <s v="Fuchigami"/>
    <s v="Chiharu"/>
    <s v="JPN166"/>
    <s v="OPEN"/>
    <x v="26"/>
    <s v="JPN"/>
    <m/>
    <m/>
    <m/>
    <m/>
    <m/>
    <s v="JTFA"/>
    <s v="CASTFA"/>
  </r>
  <r>
    <x v="1289"/>
    <s v="Fuertes"/>
    <s v="César"/>
    <s v="ESP0464"/>
    <s v="OPEN"/>
    <x v="150"/>
    <s v="ESP"/>
    <m/>
    <m/>
    <m/>
    <m/>
    <m/>
    <s v="AEFM"/>
    <s v="CESTFA"/>
  </r>
  <r>
    <x v="1290"/>
    <s v="Fujino"/>
    <s v="Suguru"/>
    <s v="JPN078"/>
    <s v="OPEN"/>
    <x v="270"/>
    <s v="JPN"/>
    <m/>
    <m/>
    <m/>
    <m/>
    <m/>
    <s v="JTFA"/>
    <s v="CASTFA"/>
  </r>
  <r>
    <x v="1291"/>
    <s v="Fujisão"/>
    <s v="Bruno"/>
    <s v="BRA0092"/>
    <s v="OPEN"/>
    <x v="14"/>
    <s v="BRA"/>
    <m/>
    <m/>
    <m/>
    <m/>
    <m/>
    <s v="CBFM (Suspended)"/>
    <m/>
  </r>
  <r>
    <x v="1292"/>
    <s v="Fukuoka"/>
    <s v="Katsuhiko"/>
    <s v="JPN072"/>
    <s v="OPEN"/>
    <x v="271"/>
    <s v="JPN"/>
    <m/>
    <m/>
    <m/>
    <m/>
    <m/>
    <s v="JTFA"/>
    <s v="CASTFA"/>
  </r>
  <r>
    <x v="1293"/>
    <s v="Fumai"/>
    <s v="Matteo"/>
    <s v="ITA2701"/>
    <s v="OPEN"/>
    <x v="193"/>
    <s v="ITA"/>
    <m/>
    <m/>
    <m/>
    <m/>
    <m/>
    <s v="FISCT"/>
    <s v="CESTFA"/>
  </r>
  <r>
    <x v="1294"/>
    <s v="Funaro"/>
    <s v="Ascer"/>
    <s v="ISR0034"/>
    <s v="OPEN"/>
    <x v="76"/>
    <s v="ISR"/>
    <m/>
    <m/>
    <m/>
    <m/>
    <m/>
    <m/>
    <m/>
  </r>
  <r>
    <x v="1295"/>
    <s v="Funaro"/>
    <s v="Davide"/>
    <s v="ISR0035"/>
    <s v="OPEN"/>
    <x v="76"/>
    <s v="ISR"/>
    <m/>
    <m/>
    <m/>
    <m/>
    <m/>
    <m/>
    <m/>
  </r>
  <r>
    <x v="1296"/>
    <s v="Funaro"/>
    <s v="Emanuele"/>
    <s v="ITA3346"/>
    <s v="VET"/>
    <x v="44"/>
    <s v="ITA"/>
    <m/>
    <m/>
    <m/>
    <m/>
    <m/>
    <s v="FISCT"/>
    <s v="CESTFA"/>
  </r>
  <r>
    <x v="1297"/>
    <s v="Funaro"/>
    <s v="Simone"/>
    <s v="ISR0033"/>
    <s v="OPEN"/>
    <x v="76"/>
    <s v="ISR"/>
    <m/>
    <m/>
    <m/>
    <m/>
    <m/>
    <m/>
    <m/>
  </r>
  <r>
    <x v="1298"/>
    <s v="Furini"/>
    <s v="Davide"/>
    <s v="ITA0375"/>
    <s v="OPEN"/>
    <x v="225"/>
    <s v="ITA"/>
    <m/>
    <m/>
    <m/>
    <m/>
    <m/>
    <s v="FISCT"/>
    <s v="CESTFA"/>
  </r>
  <r>
    <x v="1299"/>
    <s v="Furnari"/>
    <s v="Antonella"/>
    <s v="ITA2168"/>
    <s v="OPEN"/>
    <x v="195"/>
    <s v="ITA"/>
    <m/>
    <m/>
    <m/>
    <m/>
    <m/>
    <s v="FISCT"/>
    <s v="CESTFA"/>
  </r>
  <r>
    <x v="1300"/>
    <s v="Fursund"/>
    <s v="Peter"/>
    <s v="DEN0004"/>
    <s v="OPEN"/>
    <x v="10"/>
    <s v="DEN"/>
    <m/>
    <m/>
    <m/>
    <m/>
    <m/>
    <s v="DSBU (Provisional)"/>
    <m/>
  </r>
  <r>
    <x v="1301"/>
    <s v="Fuseau"/>
    <s v="Christophe"/>
    <s v="FRA0106"/>
    <s v="VET"/>
    <x v="14"/>
    <s v="FRA"/>
    <m/>
    <m/>
    <m/>
    <m/>
    <m/>
    <s v="3FTS"/>
    <s v="CESTFA"/>
  </r>
  <r>
    <x v="1302"/>
    <s v="G. Berral"/>
    <s v="Pepe"/>
    <s v="ESP0586"/>
    <s v="U12"/>
    <x v="61"/>
    <s v="ESP"/>
    <m/>
    <m/>
    <m/>
    <m/>
    <m/>
    <s v="AEFM"/>
    <s v="CESTFA"/>
  </r>
  <r>
    <x v="1303"/>
    <s v="Gaba"/>
    <s v="Rafael"/>
    <s v="BRA0172"/>
    <s v="OPEN"/>
    <x v="94"/>
    <s v="BRA"/>
    <m/>
    <m/>
    <m/>
    <m/>
    <m/>
    <s v="CBFM (Suspended)"/>
    <m/>
  </r>
  <r>
    <x v="1304"/>
    <s v="Gabbani"/>
    <s v="Alessandro"/>
    <s v="ITA1951"/>
    <s v="VET"/>
    <x v="25"/>
    <s v="ITA"/>
    <m/>
    <m/>
    <m/>
    <m/>
    <m/>
    <s v="FISCT"/>
    <s v="CESTFA"/>
  </r>
  <r>
    <x v="1305"/>
    <s v="Gadais"/>
    <s v="Romain"/>
    <s v="FRA0214"/>
    <s v="OPEN"/>
    <x v="14"/>
    <s v="FRA"/>
    <m/>
    <m/>
    <m/>
    <m/>
    <m/>
    <s v="3FTS"/>
    <s v="CESTFA"/>
  </r>
  <r>
    <x v="1306"/>
    <s v="Gaffo"/>
    <s v="Ednilson"/>
    <s v="BRA0021"/>
    <s v="OPEN"/>
    <x v="94"/>
    <s v="BRA"/>
    <m/>
    <m/>
    <m/>
    <m/>
    <m/>
    <s v="CBFM (Suspended)"/>
    <m/>
  </r>
  <r>
    <x v="1307"/>
    <s v="Gagas"/>
    <s v="Thrasyvoulos"/>
    <s v="GRE0187"/>
    <s v="OPEN"/>
    <x v="78"/>
    <s v="GRE"/>
    <m/>
    <m/>
    <m/>
    <m/>
    <m/>
    <s v="UHTF"/>
    <s v="CESTFA"/>
  </r>
  <r>
    <x v="1308"/>
    <s v="Gagliardi"/>
    <s v="Alberto"/>
    <s v="ITA2317"/>
    <s v="VET"/>
    <x v="233"/>
    <s v="ITA"/>
    <m/>
    <m/>
    <m/>
    <m/>
    <m/>
    <s v="FISCT"/>
    <s v="CESTFA"/>
  </r>
  <r>
    <x v="1309"/>
    <s v="Gähwiler"/>
    <s v="Clinton"/>
    <s v="SUI053"/>
    <s v="VET"/>
    <x v="272"/>
    <s v="SUI"/>
    <m/>
    <m/>
    <m/>
    <m/>
    <m/>
    <m/>
    <m/>
  </r>
  <r>
    <x v="1310"/>
    <s v="Gaia"/>
    <s v="Lorenzo"/>
    <s v="ITA0380"/>
    <s v="OPEN"/>
    <x v="230"/>
    <s v="ITA"/>
    <m/>
    <m/>
    <m/>
    <m/>
    <m/>
    <s v="FISCT"/>
    <s v="CESTFA"/>
  </r>
  <r>
    <x v="1311"/>
    <s v="Galanakis"/>
    <s v="Panagiotis"/>
    <s v="GRE0440"/>
    <s v="OPEN"/>
    <x v="14"/>
    <s v="GRE"/>
    <m/>
    <m/>
    <m/>
    <m/>
    <m/>
    <s v="UHTF"/>
    <s v="CESTFA"/>
  </r>
  <r>
    <x v="1312"/>
    <s v="Galanis"/>
    <s v="Ioannis"/>
    <s v="GRE0723"/>
    <s v="VET"/>
    <x v="14"/>
    <s v="GRE"/>
    <m/>
    <m/>
    <m/>
    <m/>
    <m/>
    <s v="UHTF"/>
    <s v="CESTFA"/>
  </r>
  <r>
    <x v="1313"/>
    <s v="Galanopoulos"/>
    <s v="Ilias"/>
    <s v="GRE0643"/>
    <s v="OPEN"/>
    <x v="17"/>
    <s v="GRE"/>
    <m/>
    <m/>
    <m/>
    <m/>
    <m/>
    <s v="UHTF"/>
    <s v="CESTFA"/>
  </r>
  <r>
    <x v="1314"/>
    <s v="Galanopoulos"/>
    <s v="Kostantinos"/>
    <s v="GRE0682"/>
    <s v="U12"/>
    <x v="17"/>
    <s v="GRE"/>
    <m/>
    <m/>
    <m/>
    <m/>
    <m/>
    <s v="UHTF"/>
    <s v="CESTFA"/>
  </r>
  <r>
    <x v="1315"/>
    <s v="Galanopoulos"/>
    <s v="Symeon"/>
    <s v="GRE0681"/>
    <s v="U12"/>
    <x v="17"/>
    <s v="GRE"/>
    <m/>
    <m/>
    <m/>
    <m/>
    <m/>
    <s v="UHTF"/>
    <s v="CESTFA"/>
  </r>
  <r>
    <x v="1316"/>
    <s v="Galarza"/>
    <s v="Alex"/>
    <s v="USA0385"/>
    <s v="OPEN"/>
    <x v="273"/>
    <s v="USA"/>
    <m/>
    <m/>
    <m/>
    <m/>
    <m/>
    <s v="ASA"/>
    <s v="CONASTF"/>
  </r>
  <r>
    <x v="1317"/>
    <s v="Galassi"/>
    <s v="Juan Carlos"/>
    <s v="ARG0055"/>
    <s v="VET"/>
    <x v="274"/>
    <s v="ARG"/>
    <m/>
    <m/>
    <m/>
    <m/>
    <m/>
    <s v="LAFM (Suspended)"/>
    <s v="CSAFM"/>
  </r>
  <r>
    <x v="1318"/>
    <s v="Galassi"/>
    <s v="Leonardo"/>
    <s v="ARG0056"/>
    <s v="VET"/>
    <x v="274"/>
    <s v="ARG"/>
    <m/>
    <m/>
    <m/>
    <m/>
    <m/>
    <s v="LAFM (Suspended)"/>
    <s v="CSAFM"/>
  </r>
  <r>
    <x v="1319"/>
    <s v="Galeazzi"/>
    <s v="Gianluca"/>
    <s v="ITA0382"/>
    <s v="VET"/>
    <x v="166"/>
    <s v="ITA"/>
    <m/>
    <m/>
    <m/>
    <m/>
    <m/>
    <s v="FISCT"/>
    <s v="CESTFA"/>
  </r>
  <r>
    <x v="1320"/>
    <s v="Galieti"/>
    <s v="Riccardo"/>
    <s v="ITA2046"/>
    <s v="VET"/>
    <x v="174"/>
    <s v="ITA"/>
    <m/>
    <m/>
    <m/>
    <m/>
    <m/>
    <s v="FISCT"/>
    <s v="CESTFA"/>
  </r>
  <r>
    <x v="1321"/>
    <s v="Galindo Perez"/>
    <s v="Marco Antonio"/>
    <s v="BRA0126"/>
    <s v="VET"/>
    <x v="14"/>
    <s v="BRA"/>
    <m/>
    <m/>
    <m/>
    <m/>
    <m/>
    <s v="CBFM (Suspended)"/>
    <m/>
  </r>
  <r>
    <x v="1322"/>
    <s v="Gallagher"/>
    <s v="Colm"/>
    <s v="IRL0017"/>
    <s v="OPEN"/>
    <x v="14"/>
    <s v="IRL"/>
    <m/>
    <m/>
    <m/>
    <m/>
    <m/>
    <s v="TFAI"/>
    <s v="CESTFA"/>
  </r>
  <r>
    <x v="1323"/>
    <s v="Gallart"/>
    <s v="David"/>
    <s v="ESP0013"/>
    <s v="VET"/>
    <x v="36"/>
    <s v="ESP"/>
    <m/>
    <m/>
    <m/>
    <m/>
    <m/>
    <s v="AEFM"/>
    <s v="CESTFA"/>
  </r>
  <r>
    <x v="1324"/>
    <s v="Gallelli"/>
    <s v="Gianfranco"/>
    <s v="ITA2001"/>
    <s v="VET"/>
    <x v="233"/>
    <s v="ITA"/>
    <m/>
    <m/>
    <m/>
    <m/>
    <m/>
    <s v="FISCT"/>
    <s v="CESTFA"/>
  </r>
  <r>
    <x v="1325"/>
    <s v="Gallez"/>
    <s v="Chantal"/>
    <s v="BEL0066"/>
    <s v="VET"/>
    <x v="51"/>
    <s v="BEL"/>
    <m/>
    <m/>
    <m/>
    <m/>
    <m/>
    <m/>
    <m/>
  </r>
  <r>
    <x v="1326"/>
    <s v="Galli"/>
    <s v="Paolo"/>
    <s v="ITA3303"/>
    <s v="VET"/>
    <x v="209"/>
    <s v="ITA"/>
    <m/>
    <m/>
    <m/>
    <m/>
    <m/>
    <s v="FISCT"/>
    <s v="CESTFA"/>
  </r>
  <r>
    <x v="1327"/>
    <s v="Gallimò"/>
    <s v="Martín"/>
    <s v="ARG0078"/>
    <s v="OPEN"/>
    <x v="157"/>
    <s v="ARG"/>
    <m/>
    <m/>
    <m/>
    <m/>
    <m/>
    <s v="LAFM (Suspended)"/>
    <s v="CSAFM"/>
  </r>
  <r>
    <x v="1328"/>
    <s v="Gallo"/>
    <s v="Cristiano"/>
    <s v="ITA3225"/>
    <s v="VET"/>
    <x v="119"/>
    <s v="ITA"/>
    <m/>
    <m/>
    <m/>
    <m/>
    <m/>
    <s v="FISCT"/>
    <s v="CESTFA"/>
  </r>
  <r>
    <x v="1329"/>
    <s v="Gallo"/>
    <s v="Mario"/>
    <s v="ITA0384"/>
    <s v="VET"/>
    <x v="223"/>
    <s v="ITA"/>
    <m/>
    <m/>
    <m/>
    <m/>
    <m/>
    <s v="FISCT"/>
    <s v="CESTFA"/>
  </r>
  <r>
    <x v="1330"/>
    <s v="Gamba"/>
    <s v="Daniele"/>
    <s v="CZE0006"/>
    <s v="VET"/>
    <x v="251"/>
    <s v="CZE"/>
    <m/>
    <m/>
    <m/>
    <m/>
    <m/>
    <s v="CTSU (Suspended)"/>
    <m/>
  </r>
  <r>
    <x v="1331"/>
    <s v="Gambara"/>
    <s v="Guido"/>
    <s v="ITA3045"/>
    <s v="VET"/>
    <x v="27"/>
    <s v="ITA"/>
    <m/>
    <m/>
    <m/>
    <m/>
    <m/>
    <s v="FISCT"/>
    <s v="CESTFA"/>
  </r>
  <r>
    <x v="1332"/>
    <s v="Gambaruto"/>
    <s v="Carlo"/>
    <s v="ITA3074"/>
    <s v="VET"/>
    <x v="168"/>
    <s v="ITA"/>
    <m/>
    <m/>
    <m/>
    <m/>
    <m/>
    <s v="FISCT"/>
    <s v="CESTFA"/>
  </r>
  <r>
    <x v="1333"/>
    <s v="Gambella"/>
    <s v="Stefano"/>
    <s v="ITA2320"/>
    <s v="VET"/>
    <x v="243"/>
    <s v="ITA"/>
    <m/>
    <m/>
    <m/>
    <m/>
    <m/>
    <s v="FISCT"/>
    <s v="CESTFA"/>
  </r>
  <r>
    <x v="1334"/>
    <s v="Gammarota"/>
    <s v="Fabrizio"/>
    <s v="ITA2658"/>
    <s v="VET"/>
    <x v="25"/>
    <s v="ITA"/>
    <m/>
    <m/>
    <m/>
    <m/>
    <m/>
    <s v="FISCT"/>
    <s v="CESTFA"/>
  </r>
  <r>
    <x v="1335"/>
    <s v="Gandin"/>
    <s v="Alessandro"/>
    <s v="ITA3098"/>
    <s v="U12"/>
    <x v="29"/>
    <s v="ITA"/>
    <m/>
    <m/>
    <m/>
    <m/>
    <m/>
    <s v="FISCT"/>
    <s v="CESTFA"/>
  </r>
  <r>
    <x v="1336"/>
    <s v="Gandin"/>
    <s v="Andrea"/>
    <s v="ITA3129"/>
    <s v="OPEN"/>
    <x v="29"/>
    <s v="ITA"/>
    <m/>
    <m/>
    <m/>
    <m/>
    <m/>
    <s v="FISCT"/>
    <s v="CESTFA"/>
  </r>
  <r>
    <x v="1337"/>
    <s v="Gara"/>
    <s v="Severino"/>
    <s v="ITA0386"/>
    <s v="VET"/>
    <x v="76"/>
    <s v="ITA"/>
    <m/>
    <m/>
    <m/>
    <m/>
    <m/>
    <s v="FISCT"/>
    <s v="CESTFA"/>
  </r>
  <r>
    <x v="1338"/>
    <s v="Garatti"/>
    <s v="Massimo"/>
    <s v="ITA2968"/>
    <s v="VET"/>
    <x v="110"/>
    <s v="ITA"/>
    <m/>
    <m/>
    <m/>
    <m/>
    <m/>
    <s v="FISCT"/>
    <s v="CESTFA"/>
  </r>
  <r>
    <x v="1339"/>
    <s v="Garau"/>
    <s v="Efisio"/>
    <s v="ITA2751"/>
    <s v="VET"/>
    <x v="105"/>
    <s v="ITA"/>
    <m/>
    <m/>
    <m/>
    <m/>
    <m/>
    <s v="FISCT"/>
    <s v="CESTFA"/>
  </r>
  <r>
    <x v="1340"/>
    <s v="Garcia"/>
    <s v="Cláudio Miguel"/>
    <s v="POR0207"/>
    <s v="OPEN"/>
    <x v="16"/>
    <s v="POR"/>
    <m/>
    <m/>
    <m/>
    <m/>
    <m/>
    <s v="APS"/>
    <s v="CESTFA"/>
  </r>
  <r>
    <x v="1341"/>
    <s v="Garcia"/>
    <s v="João"/>
    <s v="BRA0067"/>
    <s v="OPEN"/>
    <x v="14"/>
    <s v="BRA"/>
    <m/>
    <m/>
    <m/>
    <m/>
    <m/>
    <s v="CBFM (Suspended)"/>
    <m/>
  </r>
  <r>
    <x v="1342"/>
    <s v="Garcia"/>
    <s v="Luis"/>
    <s v="POR0220"/>
    <s v="U16"/>
    <x v="11"/>
    <s v="POR"/>
    <m/>
    <m/>
    <m/>
    <m/>
    <m/>
    <s v="APS"/>
    <s v="CESTFA"/>
  </r>
  <r>
    <x v="1343"/>
    <s v="García"/>
    <s v="Adrián"/>
    <s v="ESP0473"/>
    <s v="U20"/>
    <x v="61"/>
    <s v="ESP"/>
    <m/>
    <m/>
    <m/>
    <m/>
    <m/>
    <s v="AEFM"/>
    <s v="CESTFA"/>
  </r>
  <r>
    <x v="1344"/>
    <s v="García"/>
    <s v="Alejandro"/>
    <s v="ESP0588"/>
    <s v="U16"/>
    <x v="61"/>
    <s v="ESP"/>
    <m/>
    <m/>
    <m/>
    <m/>
    <m/>
    <s v="AEFM"/>
    <s v="CESTFA"/>
  </r>
  <r>
    <x v="1345"/>
    <s v="García"/>
    <s v="Isaac"/>
    <s v="ESP0061"/>
    <s v="VET"/>
    <x v="171"/>
    <s v="ESP"/>
    <m/>
    <m/>
    <m/>
    <m/>
    <m/>
    <s v="AEFM"/>
    <s v="CESTFA"/>
  </r>
  <r>
    <x v="1346"/>
    <s v="García"/>
    <s v="Juan Antonio"/>
    <s v="ESP0352"/>
    <s v="OPEN"/>
    <x v="123"/>
    <s v="ESP"/>
    <m/>
    <m/>
    <m/>
    <m/>
    <m/>
    <s v="AEFM"/>
    <s v="CESTFA"/>
  </r>
  <r>
    <x v="1347"/>
    <s v="Garcia Ciraudo"/>
    <s v="Juan Sebastián"/>
    <s v="ARG0080"/>
    <s v="OPEN"/>
    <x v="250"/>
    <s v="ARG"/>
    <m/>
    <m/>
    <m/>
    <m/>
    <m/>
    <s v="LAFM (Suspended)"/>
    <s v="CSAFM"/>
  </r>
  <r>
    <x v="1348"/>
    <s v="García Ciraudo"/>
    <s v="Valentino"/>
    <s v="ARG0083"/>
    <s v="U20"/>
    <x v="250"/>
    <s v="ARG"/>
    <m/>
    <m/>
    <m/>
    <m/>
    <m/>
    <s v="LAFM (Suspended)"/>
    <s v="CSAFM"/>
  </r>
  <r>
    <x v="1349"/>
    <s v="García del Arco"/>
    <s v="Juan Andrés"/>
    <s v="ESP0219"/>
    <s v="OPEN"/>
    <x v="210"/>
    <s v="ESP"/>
    <m/>
    <m/>
    <m/>
    <m/>
    <m/>
    <s v="AEFM"/>
    <s v="CESTFA"/>
  </r>
  <r>
    <x v="1350"/>
    <s v="García Fernández"/>
    <s v="Antonio"/>
    <s v="ESP0342"/>
    <s v="OPEN"/>
    <x v="210"/>
    <s v="ESP"/>
    <m/>
    <m/>
    <m/>
    <m/>
    <m/>
    <s v="AEFM"/>
    <s v="CESTFA"/>
  </r>
  <r>
    <x v="1351"/>
    <s v="García Ferri"/>
    <s v="José"/>
    <s v="ESP0459"/>
    <s v="OPEN"/>
    <x v="148"/>
    <s v="ESP"/>
    <m/>
    <m/>
    <m/>
    <m/>
    <m/>
    <s v="AEFM"/>
    <s v="CESTFA"/>
  </r>
  <r>
    <x v="1352"/>
    <s v="Garefalakis"/>
    <s v="Dimitris"/>
    <s v="GRE0073"/>
    <s v="VET"/>
    <x v="14"/>
    <s v="GRE"/>
    <m/>
    <m/>
    <m/>
    <m/>
    <m/>
    <s v="UHTF"/>
    <s v="CESTFA"/>
  </r>
  <r>
    <x v="1353"/>
    <s v="Gargiulo"/>
    <s v="Alfonso"/>
    <s v="ITA0388"/>
    <s v="VET"/>
    <x v="98"/>
    <s v="ITA"/>
    <m/>
    <m/>
    <m/>
    <m/>
    <m/>
    <s v="FISCT"/>
    <s v="CESTFA"/>
  </r>
  <r>
    <x v="1354"/>
    <s v="Gargiulo"/>
    <s v="Catello"/>
    <s v="ITA0389"/>
    <s v="OPEN"/>
    <x v="100"/>
    <s v="ITA"/>
    <m/>
    <m/>
    <m/>
    <m/>
    <m/>
    <s v="FISCT"/>
    <s v="CESTFA"/>
  </r>
  <r>
    <x v="1355"/>
    <s v="Garnier"/>
    <s v="Caline"/>
    <s v="JPN161"/>
    <s v="U12"/>
    <x v="270"/>
    <s v="JPN"/>
    <m/>
    <m/>
    <m/>
    <m/>
    <m/>
    <s v="JTFA"/>
    <s v="CASTFA"/>
  </r>
  <r>
    <x v="1356"/>
    <s v="Garnier"/>
    <s v="Cédric"/>
    <s v="JPN104"/>
    <s v="OPEN"/>
    <x v="270"/>
    <s v="JPN"/>
    <m/>
    <m/>
    <m/>
    <m/>
    <m/>
    <s v="JTFA"/>
    <s v="CASTFA"/>
  </r>
  <r>
    <x v="1357"/>
    <s v="Garnier"/>
    <s v="Domitille"/>
    <s v="FRA0233"/>
    <s v="U16"/>
    <x v="14"/>
    <s v="FRA"/>
    <m/>
    <m/>
    <m/>
    <m/>
    <m/>
    <s v="3FTS"/>
    <s v="CESTFA"/>
  </r>
  <r>
    <x v="1358"/>
    <s v="Garnier"/>
    <s v="Stéphanie"/>
    <s v="FRA0171"/>
    <s v="OPEN"/>
    <x v="31"/>
    <s v="FRA"/>
    <m/>
    <m/>
    <m/>
    <m/>
    <m/>
    <s v="3FTS"/>
    <s v="CESTFA"/>
  </r>
  <r>
    <x v="1359"/>
    <s v="Garza"/>
    <s v="Eric"/>
    <s v="USA0136"/>
    <s v="OPEN"/>
    <x v="247"/>
    <s v="USA"/>
    <m/>
    <m/>
    <m/>
    <m/>
    <m/>
    <s v="ASA"/>
    <s v="CONASTF"/>
  </r>
  <r>
    <x v="1360"/>
    <s v="Gasparetto"/>
    <s v="Dino"/>
    <s v="ITA1492"/>
    <s v="OPEN"/>
    <x v="98"/>
    <s v="ITA"/>
    <m/>
    <m/>
    <m/>
    <m/>
    <m/>
    <s v="FISCT"/>
    <s v="CESTFA"/>
  </r>
  <r>
    <x v="1361"/>
    <s v="Gasparini"/>
    <s v="Ferdinando"/>
    <s v="ITA2163"/>
    <s v="OPEN"/>
    <x v="199"/>
    <s v="ITA"/>
    <m/>
    <m/>
    <m/>
    <m/>
    <m/>
    <s v="FISCT"/>
    <s v="CESTFA"/>
  </r>
  <r>
    <x v="1362"/>
    <s v="Gauci"/>
    <s v="Mark"/>
    <s v="MLT0022"/>
    <s v="OPEN"/>
    <x v="104"/>
    <s v="MLT"/>
    <m/>
    <m/>
    <m/>
    <m/>
    <m/>
    <s v="MTFSA"/>
    <s v="CESTFA"/>
  </r>
  <r>
    <x v="1363"/>
    <s v="Gauthier"/>
    <s v="Thibaud"/>
    <s v="FRA0227"/>
    <s v="U20"/>
    <x v="152"/>
    <s v="FRA"/>
    <m/>
    <m/>
    <m/>
    <m/>
    <m/>
    <s v="3FTS"/>
    <s v="CESTFA"/>
  </r>
  <r>
    <x v="1364"/>
    <s v="Gautschi"/>
    <s v="Maxwell S"/>
    <s v="SUI008"/>
    <s v="VET"/>
    <x v="202"/>
    <s v="SUI"/>
    <m/>
    <m/>
    <m/>
    <m/>
    <m/>
    <m/>
    <m/>
  </r>
  <r>
    <x v="1365"/>
    <s v="Gauvin"/>
    <s v="Victor"/>
    <s v="FRA0293"/>
    <s v="U12"/>
    <x v="175"/>
    <s v="FRA"/>
    <m/>
    <m/>
    <m/>
    <m/>
    <m/>
    <s v="3FTS"/>
    <s v="CESTFA"/>
  </r>
  <r>
    <x v="1366"/>
    <s v="Gazzaniga"/>
    <s v="Daniele"/>
    <s v="ITA3363"/>
    <s v="VET"/>
    <x v="114"/>
    <s v="ITA"/>
    <m/>
    <m/>
    <m/>
    <m/>
    <m/>
    <s v="FISCT"/>
    <s v="CESTFA"/>
  </r>
  <r>
    <x v="1367"/>
    <s v="Gazzaniga"/>
    <s v="Giuseppe"/>
    <s v="ITA3362"/>
    <s v="VET"/>
    <x v="114"/>
    <s v="ITA"/>
    <m/>
    <m/>
    <m/>
    <m/>
    <m/>
    <s v="FISCT"/>
    <s v="CESTFA"/>
  </r>
  <r>
    <x v="1368"/>
    <s v="Gazzarri"/>
    <s v="Carlo"/>
    <s v="ITA2816"/>
    <s v="VET"/>
    <x v="212"/>
    <s v="ITA"/>
    <m/>
    <m/>
    <m/>
    <m/>
    <m/>
    <s v="FISCT"/>
    <s v="CESTFA"/>
  </r>
  <r>
    <x v="1369"/>
    <s v="Gazzoldi"/>
    <s v="Giuliano"/>
    <s v="ITA0393"/>
    <s v="OPEN"/>
    <x v="225"/>
    <s v="ITA"/>
    <m/>
    <m/>
    <m/>
    <m/>
    <m/>
    <s v="FISCT"/>
    <s v="CESTFA"/>
  </r>
  <r>
    <x v="1370"/>
    <s v="Geerontitis"/>
    <s v="Synodis"/>
    <s v="GRE0753"/>
    <s v="OPEN"/>
    <x v="217"/>
    <s v="GRE"/>
    <m/>
    <m/>
    <m/>
    <m/>
    <m/>
    <s v="UHTF"/>
    <s v="CESTFA"/>
  </r>
  <r>
    <x v="1371"/>
    <s v="Genart"/>
    <s v="Alex"/>
    <s v="BEL0240"/>
    <s v="U20"/>
    <x v="178"/>
    <s v="BEL"/>
    <m/>
    <m/>
    <m/>
    <m/>
    <m/>
    <m/>
    <m/>
  </r>
  <r>
    <x v="1372"/>
    <s v="Genart"/>
    <s v="Jean-Pierre"/>
    <s v="BEL0399"/>
    <s v="VET"/>
    <x v="241"/>
    <s v="BEL"/>
    <m/>
    <m/>
    <m/>
    <m/>
    <m/>
    <m/>
    <m/>
  </r>
  <r>
    <x v="1373"/>
    <s v="Generali"/>
    <s v="Riccardo"/>
    <s v="ITA3448"/>
    <s v="OPEN"/>
    <x v="114"/>
    <s v="ITA"/>
    <m/>
    <m/>
    <m/>
    <m/>
    <m/>
    <s v="FISCT"/>
    <s v="CESTFA"/>
  </r>
  <r>
    <x v="1374"/>
    <s v="Genitsaropoulos"/>
    <s v="Georgios"/>
    <s v="GRE0333"/>
    <s v="OPEN"/>
    <x v="199"/>
    <s v="GRE"/>
    <m/>
    <m/>
    <m/>
    <m/>
    <m/>
    <s v="UHTF"/>
    <s v="CESTFA"/>
  </r>
  <r>
    <x v="1375"/>
    <s v="Genovese"/>
    <s v="Vincenzo Maria"/>
    <s v="ITA3032"/>
    <s v="VET"/>
    <x v="1"/>
    <s v="ITA"/>
    <m/>
    <m/>
    <m/>
    <m/>
    <m/>
    <s v="FISCT"/>
    <s v="CESTFA"/>
  </r>
  <r>
    <x v="1376"/>
    <s v="Genta"/>
    <s v="Jefferson"/>
    <s v="BRA0077"/>
    <s v="VET"/>
    <x v="236"/>
    <s v="BRA"/>
    <m/>
    <m/>
    <m/>
    <m/>
    <m/>
    <s v="CBFM (Suspended)"/>
    <m/>
  </r>
  <r>
    <x v="1377"/>
    <s v="Genta"/>
    <s v="Pedro Canali"/>
    <s v="BRA0141"/>
    <s v="U16"/>
    <x v="236"/>
    <s v="BRA"/>
    <m/>
    <m/>
    <m/>
    <m/>
    <m/>
    <s v="CBFM (Suspended)"/>
    <m/>
  </r>
  <r>
    <x v="1378"/>
    <s v="Gentile"/>
    <s v="Antonio"/>
    <s v="ITA0396"/>
    <s v="VET"/>
    <x v="0"/>
    <s v="ITA"/>
    <m/>
    <m/>
    <m/>
    <m/>
    <m/>
    <s v="FISCT"/>
    <s v="CESTFA"/>
  </r>
  <r>
    <x v="1379"/>
    <s v="Gentile"/>
    <s v="Ernesto"/>
    <s v="ITA0397"/>
    <s v="OPEN"/>
    <x v="0"/>
    <s v="ITA"/>
    <m/>
    <m/>
    <m/>
    <m/>
    <m/>
    <s v="FISCT"/>
    <s v="CESTFA"/>
  </r>
  <r>
    <x v="1380"/>
    <s v="Gentile"/>
    <s v="Luca"/>
    <s v="ITA0398"/>
    <s v="OPEN"/>
    <x v="134"/>
    <s v="ITA"/>
    <m/>
    <m/>
    <m/>
    <m/>
    <m/>
    <s v="FISCT"/>
    <s v="CESTFA"/>
  </r>
  <r>
    <x v="1381"/>
    <s v="Gentileschi"/>
    <s v="Aldo"/>
    <s v="ITA1614"/>
    <s v="VET"/>
    <x v="213"/>
    <s v="ITA"/>
    <m/>
    <m/>
    <m/>
    <m/>
    <m/>
    <s v="FISCT"/>
    <s v="CESTFA"/>
  </r>
  <r>
    <x v="1382"/>
    <s v="Genvo"/>
    <s v="Florian"/>
    <s v="FRA0253"/>
    <s v="OPEN"/>
    <x v="275"/>
    <s v="FRA"/>
    <m/>
    <m/>
    <m/>
    <m/>
    <m/>
    <s v="3FTS"/>
    <s v="CESTFA"/>
  </r>
  <r>
    <x v="1383"/>
    <s v="Genvo"/>
    <s v="Stéphane"/>
    <s v="FRA0252"/>
    <s v="OPEN"/>
    <x v="275"/>
    <s v="FRA"/>
    <m/>
    <m/>
    <m/>
    <m/>
    <m/>
    <s v="3FTS"/>
    <s v="CESTFA"/>
  </r>
  <r>
    <x v="1384"/>
    <s v="Georgakis"/>
    <s v="Dimitris"/>
    <s v="GRE0151"/>
    <s v="OPEN"/>
    <x v="14"/>
    <s v="GRE"/>
    <m/>
    <m/>
    <m/>
    <m/>
    <m/>
    <s v="UHTF"/>
    <s v="CESTFA"/>
  </r>
  <r>
    <x v="1385"/>
    <s v="Georganoudis"/>
    <s v="Grigorios"/>
    <s v="GRE0803"/>
    <s v="OPEN"/>
    <x v="67"/>
    <s v="GRE"/>
    <m/>
    <m/>
    <m/>
    <m/>
    <m/>
    <s v="UHTF"/>
    <s v="CESTFA"/>
  </r>
  <r>
    <x v="1386"/>
    <s v="Georganoudis"/>
    <s v="Nikolaos"/>
    <s v="GRE0765"/>
    <s v="U12"/>
    <x v="179"/>
    <s v="GRE"/>
    <m/>
    <m/>
    <m/>
    <m/>
    <m/>
    <s v="UHTF"/>
    <s v="CESTFA"/>
  </r>
  <r>
    <x v="1387"/>
    <s v="George"/>
    <s v="Christopher"/>
    <s v="SGP0083"/>
    <s v="U20"/>
    <x v="4"/>
    <s v="SGP"/>
    <m/>
    <m/>
    <m/>
    <m/>
    <m/>
    <s v="TFAS"/>
    <s v="CASTFA"/>
  </r>
  <r>
    <x v="1388"/>
    <s v="George"/>
    <s v="Steve"/>
    <s v="ENG0061"/>
    <s v="VET"/>
    <x v="75"/>
    <s v="ENG"/>
    <m/>
    <m/>
    <m/>
    <m/>
    <m/>
    <s v="ESA"/>
    <s v="CESTFA"/>
  </r>
  <r>
    <x v="1389"/>
    <s v="Georgi"/>
    <s v="Christoph"/>
    <s v="GER0020"/>
    <s v="OPEN"/>
    <x v="5"/>
    <s v="GER"/>
    <m/>
    <m/>
    <m/>
    <m/>
    <m/>
    <s v="DSTFB"/>
    <s v="CESTFA"/>
  </r>
  <r>
    <x v="1390"/>
    <s v="Georginis"/>
    <s v="Nikolaos"/>
    <s v="GRE0331"/>
    <s v="OPEN"/>
    <x v="14"/>
    <s v="GRE"/>
    <m/>
    <m/>
    <m/>
    <m/>
    <m/>
    <s v="UHTF"/>
    <s v="CESTFA"/>
  </r>
  <r>
    <x v="1391"/>
    <s v="Georgiopoulos"/>
    <s v="Nikolaos"/>
    <s v="GRE0160"/>
    <s v="VET"/>
    <x v="14"/>
    <s v="GRE"/>
    <m/>
    <m/>
    <m/>
    <m/>
    <m/>
    <s v="UHTF"/>
    <s v="CESTFA"/>
  </r>
  <r>
    <x v="1392"/>
    <s v="Georgiou"/>
    <s v="Nikitas"/>
    <s v="CYP0042"/>
    <s v="OPEN"/>
    <x v="59"/>
    <s v="CYP"/>
    <m/>
    <m/>
    <m/>
    <m/>
    <m/>
    <s v="CYSTFA (Provisional)"/>
    <m/>
  </r>
  <r>
    <x v="1393"/>
    <s v="Georgiou"/>
    <s v="Nikolaos"/>
    <s v="GRE0306"/>
    <s v="OPEN"/>
    <x v="14"/>
    <s v="GRE"/>
    <m/>
    <m/>
    <m/>
    <m/>
    <m/>
    <s v="UHTF"/>
    <s v="CESTFA"/>
  </r>
  <r>
    <x v="1394"/>
    <s v="Georgiou"/>
    <s v="Pantazis"/>
    <s v="GRE0533"/>
    <s v="VET"/>
    <x v="14"/>
    <s v="GRE"/>
    <m/>
    <m/>
    <m/>
    <m/>
    <m/>
    <s v="UHTF"/>
    <s v="CESTFA"/>
  </r>
  <r>
    <x v="1395"/>
    <s v="Georgopoulos"/>
    <s v="Georgios"/>
    <s v="GRE0030"/>
    <s v="VET"/>
    <x v="14"/>
    <s v="GRE"/>
    <m/>
    <m/>
    <m/>
    <m/>
    <m/>
    <s v="UHTF"/>
    <s v="CESTFA"/>
  </r>
  <r>
    <x v="1396"/>
    <s v="Georgoulis"/>
    <s v="Dimitrios"/>
    <s v="GRE0422"/>
    <s v="OPEN"/>
    <x v="14"/>
    <s v="GRE"/>
    <m/>
    <m/>
    <m/>
    <m/>
    <m/>
    <s v="UHTF"/>
    <s v="CESTFA"/>
  </r>
  <r>
    <x v="1397"/>
    <s v="Georgoulis"/>
    <s v="Nikolaos"/>
    <s v="GRE0433"/>
    <s v="U20"/>
    <x v="14"/>
    <s v="GRE"/>
    <m/>
    <m/>
    <m/>
    <m/>
    <m/>
    <s v="UHTF"/>
    <s v="CESTFA"/>
  </r>
  <r>
    <x v="1398"/>
    <s v="Gerbasits"/>
    <s v="Christoph"/>
    <s v="AUT0022"/>
    <s v="OPEN"/>
    <x v="107"/>
    <s v="AUT"/>
    <m/>
    <m/>
    <m/>
    <m/>
    <m/>
    <s v="EÖTV"/>
    <s v="CESTFA"/>
  </r>
  <r>
    <x v="1399"/>
    <s v="Geretto"/>
    <s v="Ludovic"/>
    <s v="FRA0147"/>
    <s v="VET"/>
    <x v="138"/>
    <s v="FRA"/>
    <m/>
    <m/>
    <m/>
    <m/>
    <m/>
    <s v="3FTS"/>
    <s v="CESTFA"/>
  </r>
  <r>
    <x v="1400"/>
    <s v="Geretto"/>
    <s v="Stéphane"/>
    <s v="FRA0116"/>
    <s v="VET"/>
    <x v="138"/>
    <s v="FRA"/>
    <m/>
    <m/>
    <m/>
    <m/>
    <m/>
    <s v="3FTS"/>
    <s v="CESTFA"/>
  </r>
  <r>
    <x v="1401"/>
    <s v="Geronès"/>
    <s v="Jordi"/>
    <s v="ESP0494"/>
    <s v="OPEN"/>
    <x v="12"/>
    <s v="ESP"/>
    <m/>
    <m/>
    <m/>
    <m/>
    <m/>
    <s v="AEFM"/>
    <s v="CESTFA"/>
  </r>
  <r>
    <x v="1402"/>
    <s v="Gerosa Cisneros"/>
    <s v="Bruno"/>
    <s v="ESP0205"/>
    <s v="OPEN"/>
    <x v="210"/>
    <s v="ESP"/>
    <m/>
    <m/>
    <m/>
    <m/>
    <m/>
    <s v="AEFM"/>
    <s v="CESTFA"/>
  </r>
  <r>
    <x v="1403"/>
    <s v="Gerrets"/>
    <s v="Kenney"/>
    <s v="NED0016"/>
    <s v="OPEN"/>
    <x v="193"/>
    <s v="NED"/>
    <m/>
    <m/>
    <m/>
    <m/>
    <m/>
    <s v="NSVB"/>
    <s v="CESTFA"/>
  </r>
  <r>
    <x v="1404"/>
    <s v="Gerrets"/>
    <s v="Mikey"/>
    <s v="NED0027"/>
    <s v="OPEN"/>
    <x v="276"/>
    <s v="NED"/>
    <m/>
    <m/>
    <m/>
    <m/>
    <m/>
    <s v="NSVB"/>
    <s v="CESTFA"/>
  </r>
  <r>
    <x v="1405"/>
    <s v="Gerrets"/>
    <s v="Quincy"/>
    <s v="NED0023"/>
    <s v="U20"/>
    <x v="276"/>
    <s v="NED"/>
    <m/>
    <m/>
    <m/>
    <m/>
    <m/>
    <s v="NSVB"/>
    <s v="CESTFA"/>
  </r>
  <r>
    <x v="1406"/>
    <s v="Gersie"/>
    <s v="Hagen"/>
    <s v="GER0074"/>
    <s v="OPEN"/>
    <x v="277"/>
    <s v="GER"/>
    <m/>
    <m/>
    <m/>
    <m/>
    <m/>
    <s v="DSTFB"/>
    <s v="CESTFA"/>
  </r>
  <r>
    <x v="1407"/>
    <s v="Gersie"/>
    <s v="Janus"/>
    <s v="GER0078"/>
    <s v="VET"/>
    <x v="142"/>
    <s v="GER"/>
    <m/>
    <m/>
    <m/>
    <m/>
    <m/>
    <s v="DSTFB"/>
    <s v="CESTFA"/>
  </r>
  <r>
    <x v="1408"/>
    <s v="Gersie"/>
    <s v="Nora"/>
    <s v="GER0075"/>
    <s v="OPEN"/>
    <x v="277"/>
    <s v="GER"/>
    <m/>
    <m/>
    <m/>
    <m/>
    <m/>
    <s v="DSTFB"/>
    <s v="CESTFA"/>
  </r>
  <r>
    <x v="1409"/>
    <s v="Ghani"/>
    <s v="Mohd Fauzi, Abdul"/>
    <s v="SGP0072"/>
    <s v="OPEN"/>
    <x v="23"/>
    <s v="SGP"/>
    <m/>
    <m/>
    <m/>
    <m/>
    <m/>
    <s v="TFAS"/>
    <s v="CASTFA"/>
  </r>
  <r>
    <x v="1410"/>
    <s v="Ghersi"/>
    <s v="Gian Paolo"/>
    <s v="ITA3043"/>
    <s v="OPEN"/>
    <x v="110"/>
    <s v="ITA"/>
    <m/>
    <m/>
    <m/>
    <m/>
    <m/>
    <s v="FISCT"/>
    <s v="CESTFA"/>
  </r>
  <r>
    <x v="1411"/>
    <s v="Ghigliotti"/>
    <s v="Davide"/>
    <s v="ITA3199"/>
    <s v="U20"/>
    <x v="29"/>
    <s v="ITA"/>
    <m/>
    <m/>
    <m/>
    <m/>
    <m/>
    <s v="FISCT"/>
    <s v="CESTFA"/>
  </r>
  <r>
    <x v="1412"/>
    <s v="Ghigliotti"/>
    <s v="Enrico"/>
    <s v="ITA3198"/>
    <s v="U20"/>
    <x v="29"/>
    <s v="ITA"/>
    <m/>
    <m/>
    <m/>
    <m/>
    <m/>
    <s v="FISCT"/>
    <s v="CESTFA"/>
  </r>
  <r>
    <x v="1413"/>
    <s v="Ghigliotti"/>
    <s v="Marco"/>
    <s v="ENG0339"/>
    <s v="VET"/>
    <x v="197"/>
    <s v="ENG"/>
    <m/>
    <m/>
    <m/>
    <m/>
    <m/>
    <s v="ESA"/>
    <s v="CESTFA"/>
  </r>
  <r>
    <x v="1414"/>
    <s v="Ghirelli"/>
    <s v="Francesco"/>
    <s v="ITA0399"/>
    <s v="VET"/>
    <x v="98"/>
    <s v="ITA"/>
    <m/>
    <m/>
    <m/>
    <m/>
    <m/>
    <s v="FISCT"/>
    <s v="CESTFA"/>
  </r>
  <r>
    <x v="1415"/>
    <s v="Ghiselli"/>
    <s v="Salvatore"/>
    <s v="ITA1247"/>
    <s v="VET"/>
    <x v="88"/>
    <s v="ITA"/>
    <m/>
    <m/>
    <m/>
    <m/>
    <m/>
    <s v="FISCT"/>
    <s v="CESTFA"/>
  </r>
  <r>
    <x v="1416"/>
    <s v="Giaglis"/>
    <s v="Athanasios"/>
    <s v="GRE0051"/>
    <s v="OPEN"/>
    <x v="14"/>
    <s v="GRE"/>
    <m/>
    <m/>
    <m/>
    <m/>
    <m/>
    <s v="UHTF"/>
    <s v="CESTFA"/>
  </r>
  <r>
    <x v="1417"/>
    <s v="Gialitsis"/>
    <s v="Porfyrios"/>
    <s v="GRE0295"/>
    <s v="OPEN"/>
    <x v="14"/>
    <s v="GRE"/>
    <m/>
    <m/>
    <m/>
    <m/>
    <m/>
    <s v="UHTF"/>
    <s v="CESTFA"/>
  </r>
  <r>
    <x v="1418"/>
    <s v="Giambelluca"/>
    <s v="Francesco"/>
    <s v="ITA2457"/>
    <s v="VET"/>
    <x v="199"/>
    <s v="ITA"/>
    <m/>
    <m/>
    <m/>
    <m/>
    <m/>
    <s v="FISCT"/>
    <s v="CESTFA"/>
  </r>
  <r>
    <x v="1419"/>
    <s v="Giampaola"/>
    <s v="Damiano"/>
    <s v="ITA3186"/>
    <s v="U16"/>
    <x v="112"/>
    <s v="ITA"/>
    <m/>
    <m/>
    <m/>
    <m/>
    <m/>
    <s v="FISCT"/>
    <s v="CESTFA"/>
  </r>
  <r>
    <x v="1420"/>
    <s v="Giampaola"/>
    <s v="Jacopo"/>
    <s v="ITA3185"/>
    <s v="VET"/>
    <x v="112"/>
    <s v="ITA"/>
    <m/>
    <m/>
    <m/>
    <m/>
    <m/>
    <s v="FISCT"/>
    <s v="CESTFA"/>
  </r>
  <r>
    <x v="1421"/>
    <s v="Giampaola"/>
    <s v="Marco"/>
    <s v="ITA3187"/>
    <s v="VET"/>
    <x v="112"/>
    <s v="ITA"/>
    <m/>
    <m/>
    <m/>
    <m/>
    <m/>
    <s v="FISCT"/>
    <s v="CESTFA"/>
  </r>
  <r>
    <x v="1422"/>
    <s v="Gianluca"/>
    <s v="Vetere"/>
    <s v="ITA3251"/>
    <s v="VET"/>
    <x v="0"/>
    <s v="ITA"/>
    <m/>
    <m/>
    <m/>
    <m/>
    <m/>
    <s v="FISCT"/>
    <s v="CESTFA"/>
  </r>
  <r>
    <x v="1423"/>
    <s v="Giannarelli"/>
    <s v="Enrico"/>
    <s v="ITA0402"/>
    <s v="VET"/>
    <x v="76"/>
    <s v="ITA"/>
    <m/>
    <m/>
    <m/>
    <m/>
    <m/>
    <s v="FISCT"/>
    <s v="CESTFA"/>
  </r>
  <r>
    <x v="1424"/>
    <s v="Giannelli"/>
    <s v="Giulio"/>
    <s v="ITA2978"/>
    <s v="OPEN"/>
    <x v="77"/>
    <s v="ITA"/>
    <m/>
    <m/>
    <m/>
    <m/>
    <m/>
    <s v="FISCT"/>
    <s v="CESTFA"/>
  </r>
  <r>
    <x v="1425"/>
    <s v="Giannopoulos"/>
    <s v="Nikolaos"/>
    <s v="GRE0204"/>
    <s v="VET"/>
    <x v="14"/>
    <s v="GRE"/>
    <m/>
    <m/>
    <m/>
    <m/>
    <m/>
    <s v="UHTF"/>
    <s v="CESTFA"/>
  </r>
  <r>
    <x v="1426"/>
    <s v="Giannoulas"/>
    <s v="Dimitris"/>
    <s v="GRE0784"/>
    <s v="OPEN"/>
    <x v="14"/>
    <s v="GRE"/>
    <m/>
    <m/>
    <m/>
    <m/>
    <m/>
    <s v="UHTF"/>
    <s v="CESTFA"/>
  </r>
  <r>
    <x v="1427"/>
    <s v="Giannoulis"/>
    <s v="Georgios"/>
    <s v="GRE0752"/>
    <s v="OPEN"/>
    <x v="217"/>
    <s v="GRE"/>
    <m/>
    <m/>
    <m/>
    <m/>
    <m/>
    <s v="UHTF"/>
    <s v="CESTFA"/>
  </r>
  <r>
    <x v="1428"/>
    <s v="Gianoglio"/>
    <s v="Alfredo"/>
    <s v="NOR0021"/>
    <s v="OPEN"/>
    <x v="185"/>
    <s v="NOR"/>
    <m/>
    <m/>
    <m/>
    <m/>
    <m/>
    <s v="NBFF (Suspended)"/>
    <m/>
  </r>
  <r>
    <x v="1429"/>
    <s v="Giantais"/>
    <s v="Emilios"/>
    <s v="GRE0808"/>
    <s v="U12"/>
    <x v="278"/>
    <s v="GRE"/>
    <m/>
    <m/>
    <m/>
    <m/>
    <m/>
    <s v="UHTF"/>
    <s v="CESTFA"/>
  </r>
  <r>
    <x v="1430"/>
    <s v="Giantais"/>
    <s v="Vaggelis"/>
    <s v="GRE0465"/>
    <s v="OPEN"/>
    <x v="53"/>
    <s v="GRE"/>
    <m/>
    <m/>
    <m/>
    <m/>
    <m/>
    <s v="UHTF"/>
    <s v="CESTFA"/>
  </r>
  <r>
    <x v="1431"/>
    <s v="Giapoutzis"/>
    <s v="Constantios"/>
    <s v="GRE0532"/>
    <s v="VET"/>
    <x v="22"/>
    <s v="GRE"/>
    <m/>
    <m/>
    <m/>
    <m/>
    <m/>
    <s v="UHTF"/>
    <s v="CESTFA"/>
  </r>
  <r>
    <x v="1432"/>
    <s v="Giapoutzis"/>
    <s v="Nikiforos"/>
    <s v="GRE0605"/>
    <s v="U20"/>
    <x v="22"/>
    <s v="GRE"/>
    <m/>
    <m/>
    <m/>
    <m/>
    <m/>
    <s v="UHTF"/>
    <s v="CESTFA"/>
  </r>
  <r>
    <x v="1433"/>
    <s v="Giapoutzis"/>
    <s v="Stavros"/>
    <s v="GRE0538"/>
    <s v="OPEN"/>
    <x v="22"/>
    <s v="GRE"/>
    <m/>
    <m/>
    <m/>
    <m/>
    <m/>
    <s v="UHTF"/>
    <s v="CESTFA"/>
  </r>
  <r>
    <x v="1434"/>
    <s v="Giaux"/>
    <s v="Florian"/>
    <s v="BEL0104"/>
    <s v="OPEN"/>
    <x v="57"/>
    <s v="BEL"/>
    <m/>
    <m/>
    <m/>
    <m/>
    <m/>
    <m/>
    <m/>
  </r>
  <r>
    <x v="1435"/>
    <s v="Giaux"/>
    <s v="Louison"/>
    <s v="BEL0106"/>
    <s v="OPEN"/>
    <x v="31"/>
    <s v="BEL"/>
    <m/>
    <m/>
    <m/>
    <m/>
    <m/>
    <m/>
    <m/>
  </r>
  <r>
    <x v="1436"/>
    <s v="Giffen"/>
    <s v="Andrew"/>
    <s v="USA0026"/>
    <s v="OPEN"/>
    <x v="192"/>
    <s v="USA"/>
    <m/>
    <m/>
    <m/>
    <m/>
    <m/>
    <s v="ASA"/>
    <s v="CONASTF"/>
  </r>
  <r>
    <x v="1437"/>
    <s v="Gikas"/>
    <s v="Ilias"/>
    <s v="USA0164"/>
    <s v="VET"/>
    <x v="279"/>
    <s v="USA"/>
    <m/>
    <m/>
    <m/>
    <m/>
    <m/>
    <s v="ASA"/>
    <s v="CONASTF"/>
  </r>
  <r>
    <x v="1438"/>
    <s v="Giliberto"/>
    <s v="Gianluca"/>
    <s v="ITA0403"/>
    <s v="OPEN"/>
    <x v="40"/>
    <s v="ITA"/>
    <m/>
    <m/>
    <m/>
    <m/>
    <m/>
    <s v="FISCT"/>
    <s v="CESTFA"/>
  </r>
  <r>
    <x v="1439"/>
    <s v="Ginesi"/>
    <s v="Gianluca"/>
    <s v="ITA3390"/>
    <s v="OPEN"/>
    <x v="240"/>
    <s v="ITA"/>
    <m/>
    <m/>
    <m/>
    <m/>
    <m/>
    <s v="FISCT"/>
    <s v="CESTFA"/>
  </r>
  <r>
    <x v="1440"/>
    <s v="Giorgianni"/>
    <s v="Andrea"/>
    <s v="ITA1965"/>
    <s v="OPEN"/>
    <x v="40"/>
    <s v="ITA"/>
    <m/>
    <m/>
    <m/>
    <m/>
    <m/>
    <s v="FISCT"/>
    <s v="CESTFA"/>
  </r>
  <r>
    <x v="1441"/>
    <s v="Giorio"/>
    <s v="Diego"/>
    <s v="ITA2504"/>
    <s v="U20"/>
    <x v="280"/>
    <s v="ITA"/>
    <m/>
    <m/>
    <m/>
    <m/>
    <m/>
    <s v="FISCT"/>
    <s v="CESTFA"/>
  </r>
  <r>
    <x v="1442"/>
    <s v="Giorio"/>
    <s v="Guido"/>
    <s v="ITA2505"/>
    <s v="VET"/>
    <x v="280"/>
    <s v="ITA"/>
    <m/>
    <m/>
    <m/>
    <m/>
    <m/>
    <s v="FISCT"/>
    <s v="CESTFA"/>
  </r>
  <r>
    <x v="1443"/>
    <s v="Gioutsas"/>
    <s v="Dimitris"/>
    <s v="GRE0491"/>
    <s v="OPEN"/>
    <x v="14"/>
    <s v="GRE"/>
    <m/>
    <m/>
    <m/>
    <m/>
    <m/>
    <s v="UHTF"/>
    <s v="CESTFA"/>
  </r>
  <r>
    <x v="1444"/>
    <s v="Giovangiacomo"/>
    <s v="Cristian"/>
    <s v="ITA2180"/>
    <s v="OPEN"/>
    <x v="71"/>
    <s v="ITA"/>
    <m/>
    <m/>
    <m/>
    <m/>
    <m/>
    <s v="FISCT"/>
    <s v="CESTFA"/>
  </r>
  <r>
    <x v="1445"/>
    <s v="Giovenali"/>
    <s v="André"/>
    <s v="ITA2945"/>
    <s v="VET"/>
    <x v="155"/>
    <s v="ITA"/>
    <m/>
    <m/>
    <m/>
    <m/>
    <m/>
    <s v="FISCT"/>
    <s v="CESTFA"/>
  </r>
  <r>
    <x v="1446"/>
    <s v="Giraudo"/>
    <s v="Francesco"/>
    <s v="ITA2974"/>
    <s v="OPEN"/>
    <x v="77"/>
    <s v="ITA"/>
    <m/>
    <m/>
    <m/>
    <m/>
    <m/>
    <s v="FISCT"/>
    <s v="CESTFA"/>
  </r>
  <r>
    <x v="1447"/>
    <s v="Girelli"/>
    <s v="Alessandro"/>
    <s v="ITA2536"/>
    <s v="VET"/>
    <x v="86"/>
    <s v="ITA"/>
    <m/>
    <m/>
    <m/>
    <m/>
    <m/>
    <s v="FISCT"/>
    <s v="CESTFA"/>
  </r>
  <r>
    <x v="1448"/>
    <s v="Gissara"/>
    <s v="Carlo"/>
    <s v="ITA0408"/>
    <s v="OPEN"/>
    <x v="188"/>
    <s v="ITA"/>
    <m/>
    <m/>
    <m/>
    <m/>
    <m/>
    <s v="FISCT"/>
    <s v="CESTFA"/>
  </r>
  <r>
    <x v="1449"/>
    <s v="Gissara"/>
    <s v="Fabio"/>
    <s v="ITA0407"/>
    <s v="OPEN"/>
    <x v="188"/>
    <s v="ITA"/>
    <m/>
    <m/>
    <m/>
    <m/>
    <m/>
    <s v="FISCT"/>
    <s v="CESTFA"/>
  </r>
  <r>
    <x v="1450"/>
    <s v="Giubbilini"/>
    <s v="Fabrizio"/>
    <s v="ITA2926"/>
    <s v="VET"/>
    <x v="38"/>
    <s v="ITA"/>
    <m/>
    <m/>
    <m/>
    <m/>
    <m/>
    <s v="FISCT"/>
    <s v="CESTFA"/>
  </r>
  <r>
    <x v="1451"/>
    <s v="Giudice"/>
    <s v="Gaetano"/>
    <s v="ITA1649"/>
    <s v="VET"/>
    <x v="71"/>
    <s v="ITA"/>
    <m/>
    <m/>
    <m/>
    <m/>
    <m/>
    <s v="FISCT"/>
    <s v="CESTFA"/>
  </r>
  <r>
    <x v="1452"/>
    <s v="Giudice"/>
    <s v="Giorgio"/>
    <s v="ITA1587"/>
    <s v="U20"/>
    <x v="71"/>
    <s v="ITA"/>
    <m/>
    <m/>
    <m/>
    <m/>
    <m/>
    <s v="FISCT"/>
    <s v="CESTFA"/>
  </r>
  <r>
    <x v="1453"/>
    <s v="Giudice"/>
    <s v="Leonardo"/>
    <s v="ITA1138"/>
    <s v="OPEN"/>
    <x v="71"/>
    <s v="ITA"/>
    <m/>
    <m/>
    <m/>
    <m/>
    <m/>
    <s v="FISCT"/>
    <s v="CESTFA"/>
  </r>
  <r>
    <x v="1454"/>
    <s v="Giudice"/>
    <s v="Michele"/>
    <s v="ITA1126"/>
    <s v="VET"/>
    <x v="71"/>
    <s v="ITA"/>
    <m/>
    <m/>
    <m/>
    <m/>
    <m/>
    <s v="FISCT"/>
    <s v="CESTFA"/>
  </r>
  <r>
    <x v="1455"/>
    <s v="Giuffrè"/>
    <s v="Armando"/>
    <s v="ITA1217"/>
    <s v="OPEN"/>
    <x v="40"/>
    <s v="ITA"/>
    <m/>
    <m/>
    <m/>
    <m/>
    <m/>
    <s v="FISCT"/>
    <s v="CESTFA"/>
  </r>
  <r>
    <x v="1456"/>
    <s v="Giummo"/>
    <s v="Vittorio"/>
    <s v="ITA1730"/>
    <s v="VET"/>
    <x v="233"/>
    <s v="ITA"/>
    <m/>
    <m/>
    <m/>
    <m/>
    <m/>
    <s v="FISCT"/>
    <s v="CESTFA"/>
  </r>
  <r>
    <x v="1457"/>
    <s v="Giunti"/>
    <s v="Roberto"/>
    <s v="ITA3249"/>
    <s v="VET"/>
    <x v="25"/>
    <s v="ITA"/>
    <m/>
    <m/>
    <m/>
    <m/>
    <m/>
    <s v="FISCT"/>
    <s v="CESTFA"/>
  </r>
  <r>
    <x v="1458"/>
    <s v="Gkiochalas"/>
    <s v="Miltiadis"/>
    <s v="GRE0007"/>
    <s v="OPEN"/>
    <x v="220"/>
    <s v="GRE"/>
    <m/>
    <m/>
    <m/>
    <m/>
    <m/>
    <s v="UHTF"/>
    <s v="CESTFA"/>
  </r>
  <r>
    <x v="1459"/>
    <s v="Gkiotlis"/>
    <s v="Giorgos"/>
    <s v="GRE0614"/>
    <s v="OPEN"/>
    <x v="66"/>
    <s v="GRE"/>
    <m/>
    <m/>
    <m/>
    <m/>
    <m/>
    <s v="UHTF"/>
    <s v="CESTFA"/>
  </r>
  <r>
    <x v="1460"/>
    <s v="Gkiotlis"/>
    <s v="Nikolaos"/>
    <s v="GRE0526"/>
    <s v="VET"/>
    <x v="66"/>
    <s v="GRE"/>
    <m/>
    <m/>
    <m/>
    <m/>
    <m/>
    <s v="UHTF"/>
    <s v="CESTFA"/>
  </r>
  <r>
    <x v="1461"/>
    <s v="Gkogkos"/>
    <s v="Athanasios"/>
    <s v="GRE0299"/>
    <s v="VET"/>
    <x v="53"/>
    <s v="GRE"/>
    <m/>
    <m/>
    <m/>
    <m/>
    <m/>
    <s v="UHTF"/>
    <s v="CESTFA"/>
  </r>
  <r>
    <x v="1462"/>
    <s v="Gkogkos"/>
    <s v="Dimitrios"/>
    <s v="GRE0825"/>
    <s v="U16"/>
    <x v="53"/>
    <s v="GRE"/>
    <m/>
    <m/>
    <m/>
    <m/>
    <m/>
    <s v="UHTF"/>
    <s v="CESTFA"/>
  </r>
  <r>
    <x v="1463"/>
    <s v="Gladman"/>
    <s v="Dave"/>
    <s v="SCO0012"/>
    <s v="VET"/>
    <x v="49"/>
    <s v="SCO"/>
    <m/>
    <m/>
    <m/>
    <m/>
    <m/>
    <s v="SSA"/>
    <s v="CESTFA"/>
  </r>
  <r>
    <x v="1464"/>
    <s v="Gladwell"/>
    <s v="Gary"/>
    <s v="ENG0462"/>
    <s v="VET"/>
    <x v="81"/>
    <s v="ENG"/>
    <m/>
    <m/>
    <m/>
    <m/>
    <m/>
    <s v="ESA"/>
    <s v="CESTFA"/>
  </r>
  <r>
    <x v="1465"/>
    <s v="Göbel"/>
    <s v="Wolfgang"/>
    <s v="GER0055"/>
    <s v="VET"/>
    <x v="281"/>
    <s v="GER"/>
    <m/>
    <m/>
    <m/>
    <m/>
    <m/>
    <s v="DSTFB"/>
    <s v="CESTFA"/>
  </r>
  <r>
    <x v="1466"/>
    <s v="Goblet"/>
    <s v="Augustin"/>
    <s v="BEL0471"/>
    <s v="U16"/>
    <x v="172"/>
    <s v="BEL"/>
    <m/>
    <m/>
    <m/>
    <m/>
    <m/>
    <m/>
    <m/>
  </r>
  <r>
    <x v="1467"/>
    <s v="Goffin"/>
    <s v="Eva"/>
    <s v="BEL0458"/>
    <s v="U12"/>
    <x v="178"/>
    <s v="BEL"/>
    <m/>
    <m/>
    <m/>
    <m/>
    <m/>
    <m/>
    <m/>
  </r>
  <r>
    <x v="1468"/>
    <s v="Goffin"/>
    <s v="Guillaume"/>
    <s v="BEL0459"/>
    <s v="OPEN"/>
    <x v="178"/>
    <s v="BEL"/>
    <m/>
    <m/>
    <m/>
    <m/>
    <m/>
    <m/>
    <m/>
  </r>
  <r>
    <x v="1469"/>
    <s v="Goffin"/>
    <s v="Mathis"/>
    <s v="BEL0460"/>
    <s v="U12"/>
    <x v="178"/>
    <s v="BEL"/>
    <m/>
    <m/>
    <m/>
    <m/>
    <m/>
    <m/>
    <m/>
  </r>
  <r>
    <x v="1470"/>
    <s v="Goh"/>
    <s v="Darren"/>
    <s v="SGP0088"/>
    <s v="U20"/>
    <x v="4"/>
    <s v="SGP"/>
    <m/>
    <m/>
    <m/>
    <m/>
    <m/>
    <s v="TFAS"/>
    <s v="CASTFA"/>
  </r>
  <r>
    <x v="1471"/>
    <s v="Goh"/>
    <s v="Dickson"/>
    <s v="SGP0087"/>
    <s v="OPEN"/>
    <x v="4"/>
    <s v="SGP"/>
    <m/>
    <m/>
    <m/>
    <m/>
    <m/>
    <s v="TFAS"/>
    <s v="CASTFA"/>
  </r>
  <r>
    <x v="1472"/>
    <s v="Goh"/>
    <s v="Jocelyn"/>
    <s v="SGP0086"/>
    <s v="OPEN"/>
    <x v="4"/>
    <s v="SGP"/>
    <m/>
    <m/>
    <m/>
    <m/>
    <m/>
    <s v="TFAS"/>
    <s v="CASTFA"/>
  </r>
  <r>
    <x v="1473"/>
    <s v="Göhring"/>
    <s v="Christian"/>
    <s v="GER0061"/>
    <s v="OPEN"/>
    <x v="135"/>
    <s v="GER"/>
    <m/>
    <m/>
    <m/>
    <m/>
    <m/>
    <s v="DSTFB"/>
    <s v="CESTFA"/>
  </r>
  <r>
    <x v="1474"/>
    <s v="Göhring"/>
    <s v="Jürgen"/>
    <s v="GER0060"/>
    <s v="VET"/>
    <x v="135"/>
    <s v="GER"/>
    <m/>
    <m/>
    <m/>
    <m/>
    <m/>
    <s v="DSTFB"/>
    <s v="CESTFA"/>
  </r>
  <r>
    <x v="1475"/>
    <s v="Gold Christiansen"/>
    <s v="Tommy"/>
    <s v="DEN0011"/>
    <s v="OPEN"/>
    <x v="10"/>
    <s v="DEN"/>
    <m/>
    <m/>
    <m/>
    <m/>
    <m/>
    <s v="DSBU (Provisional)"/>
    <m/>
  </r>
  <r>
    <x v="1476"/>
    <s v="Goldoni"/>
    <s v="Massimiliano"/>
    <s v="ITA2552"/>
    <s v="VET"/>
    <x v="88"/>
    <s v="ITA"/>
    <m/>
    <m/>
    <m/>
    <m/>
    <m/>
    <s v="FISCT"/>
    <s v="CESTFA"/>
  </r>
  <r>
    <x v="1477"/>
    <s v="Golemis"/>
    <s v="Georgios"/>
    <s v="GRE0315"/>
    <s v="OPEN"/>
    <x v="18"/>
    <s v="GRE"/>
    <m/>
    <m/>
    <m/>
    <m/>
    <m/>
    <s v="UHTF"/>
    <s v="CESTFA"/>
  </r>
  <r>
    <x v="1478"/>
    <s v="Golger"/>
    <s v="Bessim"/>
    <s v="BEL0018"/>
    <s v="OPEN"/>
    <x v="63"/>
    <s v="BEL"/>
    <m/>
    <m/>
    <m/>
    <m/>
    <m/>
    <m/>
    <m/>
  </r>
  <r>
    <x v="1479"/>
    <s v="Golze"/>
    <s v="Jennifer"/>
    <s v="GER0146"/>
    <s v="OPEN"/>
    <x v="258"/>
    <s v="GER"/>
    <m/>
    <m/>
    <m/>
    <m/>
    <m/>
    <s v="DSTFB"/>
    <s v="CESTFA"/>
  </r>
  <r>
    <x v="1480"/>
    <s v="Gomes"/>
    <s v="Felipe"/>
    <s v="BRA0106"/>
    <s v="OPEN"/>
    <x v="214"/>
    <s v="BRA"/>
    <m/>
    <m/>
    <m/>
    <m/>
    <m/>
    <s v="CBFM (Suspended)"/>
    <m/>
  </r>
  <r>
    <x v="1481"/>
    <s v="Gomes"/>
    <s v="Guilherme"/>
    <s v="BRA0029"/>
    <s v="OPEN"/>
    <x v="282"/>
    <s v="BRA"/>
    <m/>
    <m/>
    <m/>
    <m/>
    <m/>
    <s v="CBFM (Suspended)"/>
    <m/>
  </r>
  <r>
    <x v="1482"/>
    <s v="Gomes"/>
    <s v="Weber José"/>
    <s v="BRA0145"/>
    <s v="VET"/>
    <x v="237"/>
    <s v="BRA"/>
    <m/>
    <m/>
    <m/>
    <m/>
    <m/>
    <s v="CBFM (Suspended)"/>
    <m/>
  </r>
  <r>
    <x v="1483"/>
    <s v="Gomes Júnior"/>
    <s v="Weber José"/>
    <s v="BRA0148"/>
    <s v="U20"/>
    <x v="237"/>
    <s v="BRA"/>
    <m/>
    <m/>
    <m/>
    <m/>
    <m/>
    <s v="CBFM (Suspended)"/>
    <m/>
  </r>
  <r>
    <x v="1484"/>
    <s v="Gómez"/>
    <s v="Alberto"/>
    <s v="ESP0404"/>
    <s v="VET"/>
    <x v="123"/>
    <s v="ESP"/>
    <m/>
    <m/>
    <m/>
    <m/>
    <m/>
    <s v="AEFM"/>
    <s v="CESTFA"/>
  </r>
  <r>
    <x v="1485"/>
    <s v="Gómez"/>
    <s v="Fernando"/>
    <s v="ESP0014"/>
    <s v="VET"/>
    <x v="150"/>
    <s v="ESP"/>
    <m/>
    <m/>
    <m/>
    <m/>
    <m/>
    <s v="AEFM"/>
    <s v="CESTFA"/>
  </r>
  <r>
    <x v="1486"/>
    <s v="Gómez"/>
    <s v="Gonzalo"/>
    <s v="ARG0014"/>
    <s v="OPEN"/>
    <x v="157"/>
    <s v="ARG"/>
    <m/>
    <m/>
    <m/>
    <m/>
    <m/>
    <s v="LAFM (Suspended)"/>
    <s v="CSAFM"/>
  </r>
  <r>
    <x v="1487"/>
    <s v="Gómez"/>
    <s v="Rafael"/>
    <s v="ESP0538"/>
    <s v="VET"/>
    <x v="150"/>
    <s v="ESP"/>
    <m/>
    <m/>
    <m/>
    <m/>
    <m/>
    <s v="AEFM"/>
    <s v="CESTFA"/>
  </r>
  <r>
    <x v="1488"/>
    <s v="Gomi"/>
    <s v="Yohei"/>
    <s v="JPN164"/>
    <s v="OPEN"/>
    <x v="39"/>
    <s v="JPN"/>
    <m/>
    <m/>
    <m/>
    <m/>
    <m/>
    <s v="JTFA"/>
    <s v="CASTFA"/>
  </r>
  <r>
    <x v="1489"/>
    <s v="Gonçalves"/>
    <s v="Salvador"/>
    <s v="POR0204"/>
    <s v="OPEN"/>
    <x v="9"/>
    <s v="POR"/>
    <m/>
    <m/>
    <m/>
    <m/>
    <m/>
    <s v="APS"/>
    <s v="CESTFA"/>
  </r>
  <r>
    <x v="1490"/>
    <s v="Goninan"/>
    <s v="Jeremy"/>
    <s v="USA0414"/>
    <s v="OPEN"/>
    <x v="149"/>
    <s v="USA"/>
    <m/>
    <m/>
    <m/>
    <m/>
    <m/>
    <s v="ASA"/>
    <s v="CONASTF"/>
  </r>
  <r>
    <x v="1491"/>
    <s v="Goninan"/>
    <s v="Jonathan"/>
    <s v="USA0427"/>
    <s v="OPEN"/>
    <x v="149"/>
    <s v="USA"/>
    <m/>
    <m/>
    <m/>
    <m/>
    <m/>
    <s v="ASA"/>
    <s v="CONASTF"/>
  </r>
  <r>
    <x v="1492"/>
    <s v="Goninan"/>
    <s v="Joshua"/>
    <s v="USA0433"/>
    <s v="OPEN"/>
    <x v="149"/>
    <s v="USA"/>
    <m/>
    <m/>
    <m/>
    <m/>
    <m/>
    <s v="ASA"/>
    <s v="CONASTF"/>
  </r>
  <r>
    <x v="1493"/>
    <s v="González"/>
    <s v="Brian"/>
    <s v="ARG0085"/>
    <s v="U20"/>
    <x v="250"/>
    <s v="ARG"/>
    <m/>
    <m/>
    <m/>
    <m/>
    <m/>
    <s v="LAFM (Suspended)"/>
    <s v="CSAFM"/>
  </r>
  <r>
    <x v="1494"/>
    <s v="González"/>
    <s v="David"/>
    <s v="ESP0121"/>
    <s v="OPEN"/>
    <x v="31"/>
    <s v="ESP"/>
    <m/>
    <m/>
    <m/>
    <m/>
    <m/>
    <s v="AEFM"/>
    <s v="CESTFA"/>
  </r>
  <r>
    <x v="1495"/>
    <s v="González"/>
    <s v="Jesús"/>
    <s v="ESP0587"/>
    <s v="U12"/>
    <x v="61"/>
    <s v="ESP"/>
    <m/>
    <m/>
    <m/>
    <m/>
    <m/>
    <s v="AEFM"/>
    <s v="CESTFA"/>
  </r>
  <r>
    <x v="1496"/>
    <s v="González"/>
    <s v="José Pedro"/>
    <s v="ESP0378"/>
    <s v="OPEN"/>
    <x v="36"/>
    <s v="ESP"/>
    <m/>
    <m/>
    <m/>
    <m/>
    <m/>
    <s v="AEFM"/>
    <s v="CESTFA"/>
  </r>
  <r>
    <x v="1497"/>
    <s v="González"/>
    <s v="Juan Ramòn"/>
    <s v="ARG0088"/>
    <s v="VET"/>
    <x v="250"/>
    <s v="ARG"/>
    <m/>
    <m/>
    <m/>
    <m/>
    <m/>
    <s v="LAFM (Suspended)"/>
    <s v="CSAFM"/>
  </r>
  <r>
    <x v="1498"/>
    <s v="González Pagliarulo"/>
    <s v="Álvaro"/>
    <s v="ESP0580"/>
    <s v="U20"/>
    <x v="210"/>
    <s v="ESP"/>
    <m/>
    <m/>
    <m/>
    <m/>
    <m/>
    <s v="AEFM"/>
    <s v="CESTFA"/>
  </r>
  <r>
    <x v="1499"/>
    <s v="Goodman"/>
    <s v="Simon"/>
    <s v="ENG0465"/>
    <s v="VET"/>
    <x v="197"/>
    <s v="ENG"/>
    <m/>
    <m/>
    <m/>
    <m/>
    <m/>
    <s v="ESA"/>
    <s v="CESTFA"/>
  </r>
  <r>
    <x v="1500"/>
    <s v="Goor"/>
    <s v="Laurent"/>
    <s v="BEL0067"/>
    <s v="OPEN"/>
    <x v="51"/>
    <s v="BEL"/>
    <m/>
    <m/>
    <m/>
    <m/>
    <m/>
    <m/>
    <m/>
  </r>
  <r>
    <x v="1501"/>
    <s v="Gorgette"/>
    <s v="Emmanuel"/>
    <s v="FRA0017"/>
    <s v="OPEN"/>
    <x v="283"/>
    <s v="FRA"/>
    <m/>
    <m/>
    <m/>
    <m/>
    <m/>
    <s v="3FTS"/>
    <s v="CESTFA"/>
  </r>
  <r>
    <x v="1502"/>
    <s v="Gori"/>
    <s v="Francesco"/>
    <s v="ITA1701"/>
    <s v="OPEN"/>
    <x v="33"/>
    <s v="ITA"/>
    <m/>
    <m/>
    <m/>
    <m/>
    <m/>
    <s v="FISCT"/>
    <s v="CESTFA"/>
  </r>
  <r>
    <x v="1503"/>
    <s v="Gorna"/>
    <s v="Luca"/>
    <s v="ITA2534"/>
    <s v="VET"/>
    <x v="86"/>
    <s v="ITA"/>
    <m/>
    <m/>
    <m/>
    <m/>
    <m/>
    <s v="FISCT"/>
    <s v="CESTFA"/>
  </r>
  <r>
    <x v="1504"/>
    <s v="Gørtz"/>
    <s v="Christian"/>
    <s v="DEN0019"/>
    <s v="OPEN"/>
    <x v="10"/>
    <s v="DEN"/>
    <m/>
    <m/>
    <m/>
    <m/>
    <m/>
    <s v="DSBU (Provisional)"/>
    <m/>
  </r>
  <r>
    <x v="1505"/>
    <s v="Gortzas"/>
    <s v="Dimitris"/>
    <s v="GRE0168"/>
    <s v="OPEN"/>
    <x v="14"/>
    <s v="GRE"/>
    <m/>
    <m/>
    <m/>
    <m/>
    <m/>
    <s v="UHTF"/>
    <s v="CESTFA"/>
  </r>
  <r>
    <x v="1506"/>
    <s v="Goset"/>
    <s v="Bruno"/>
    <s v="BEL0137"/>
    <s v="VET"/>
    <x v="6"/>
    <s v="BEL"/>
    <m/>
    <m/>
    <m/>
    <m/>
    <m/>
    <m/>
    <m/>
  </r>
  <r>
    <x v="1507"/>
    <s v="Goset"/>
    <s v="Charles"/>
    <s v="BEL0260"/>
    <s v="VET"/>
    <x v="6"/>
    <s v="BEL"/>
    <m/>
    <m/>
    <m/>
    <m/>
    <m/>
    <m/>
    <m/>
  </r>
  <r>
    <x v="1508"/>
    <s v="Gottke"/>
    <s v="Klaus"/>
    <s v="GER0041"/>
    <s v="VET"/>
    <x v="284"/>
    <s v="GER"/>
    <m/>
    <m/>
    <m/>
    <m/>
    <m/>
    <s v="DSTFB"/>
    <s v="CESTFA"/>
  </r>
  <r>
    <x v="1509"/>
    <s v="Gottke"/>
    <s v="Olaf"/>
    <s v="GER0040"/>
    <s v="VET"/>
    <x v="284"/>
    <s v="GER"/>
    <m/>
    <m/>
    <m/>
    <m/>
    <m/>
    <s v="DSTFB"/>
    <s v="CESTFA"/>
  </r>
  <r>
    <x v="1510"/>
    <s v="Goulopoulos"/>
    <s v="Constantios"/>
    <s v="GRE0746"/>
    <s v="OPEN"/>
    <x v="14"/>
    <s v="GRE"/>
    <m/>
    <m/>
    <m/>
    <m/>
    <m/>
    <s v="UHTF"/>
    <s v="CESTFA"/>
  </r>
  <r>
    <x v="1511"/>
    <s v="Gouloulis"/>
    <s v="Alex"/>
    <s v="GRE0145"/>
    <s v="OPEN"/>
    <x v="17"/>
    <s v="GRE"/>
    <m/>
    <m/>
    <m/>
    <m/>
    <m/>
    <s v="UHTF"/>
    <s v="CESTFA"/>
  </r>
  <r>
    <x v="1512"/>
    <s v="Goutzioulis"/>
    <s v="Georgios"/>
    <s v="GRE0454"/>
    <s v="OPEN"/>
    <x v="30"/>
    <s v="GRE"/>
    <m/>
    <m/>
    <m/>
    <m/>
    <m/>
    <s v="UHTF"/>
    <s v="CESTFA"/>
  </r>
  <r>
    <x v="1513"/>
    <s v="Gouvêa"/>
    <s v="Maicon"/>
    <s v="BRA0012"/>
    <s v="OPEN"/>
    <x v="264"/>
    <s v="BRA"/>
    <m/>
    <m/>
    <m/>
    <m/>
    <m/>
    <s v="CBFM (Suspended)"/>
    <m/>
  </r>
  <r>
    <x v="1514"/>
    <s v="Gouveia"/>
    <s v="Afonso"/>
    <s v="POR0210"/>
    <s v="U20"/>
    <x v="11"/>
    <s v="POR"/>
    <m/>
    <m/>
    <m/>
    <m/>
    <m/>
    <s v="APS"/>
    <s v="CESTFA"/>
  </r>
  <r>
    <x v="1515"/>
    <s v="Gouveia"/>
    <s v="Paulo"/>
    <s v="POR0117"/>
    <s v="OPEN"/>
    <x v="14"/>
    <s v="POR"/>
    <m/>
    <m/>
    <m/>
    <m/>
    <m/>
    <s v="APS"/>
    <s v="CESTFA"/>
  </r>
  <r>
    <x v="1516"/>
    <s v="Gouvelis"/>
    <s v="Giannis"/>
    <s v="GRE0062"/>
    <s v="OPEN"/>
    <x v="14"/>
    <s v="GRE"/>
    <m/>
    <m/>
    <m/>
    <m/>
    <m/>
    <s v="UHTF"/>
    <s v="CESTFA"/>
  </r>
  <r>
    <x v="1517"/>
    <s v="Gramajo"/>
    <s v="Guillermo Joel"/>
    <s v="ARG0073"/>
    <s v="OPEN"/>
    <x v="285"/>
    <s v="ARG"/>
    <m/>
    <m/>
    <m/>
    <m/>
    <m/>
    <s v="LAFM (Suspended)"/>
    <s v="CSAFM"/>
  </r>
  <r>
    <x v="1518"/>
    <s v="Granados"/>
    <s v="Juan Carlos"/>
    <s v="ESP0015"/>
    <s v="VET"/>
    <x v="96"/>
    <s v="ESP"/>
    <m/>
    <m/>
    <m/>
    <m/>
    <m/>
    <s v="AEFM"/>
    <s v="CESTFA"/>
  </r>
  <r>
    <x v="1519"/>
    <s v="Granato"/>
    <s v="Alfredo"/>
    <s v="ITA0415"/>
    <s v="VET"/>
    <x v="187"/>
    <s v="ITA"/>
    <m/>
    <m/>
    <m/>
    <m/>
    <m/>
    <s v="FISCT"/>
    <s v="CESTFA"/>
  </r>
  <r>
    <x v="1520"/>
    <s v="Grangier"/>
    <s v="Patrice"/>
    <s v="FRA0182"/>
    <s v="VET"/>
    <x v="152"/>
    <s v="FRA"/>
    <m/>
    <m/>
    <m/>
    <m/>
    <m/>
    <s v="3FTS"/>
    <s v="CESTFA"/>
  </r>
  <r>
    <x v="1521"/>
    <s v="Grant"/>
    <s v="Kevin"/>
    <s v="AUS0124"/>
    <s v="VET"/>
    <x v="286"/>
    <s v="AUS"/>
    <m/>
    <m/>
    <m/>
    <m/>
    <m/>
    <s v="ATFA"/>
    <s v="CASTFA"/>
  </r>
  <r>
    <x v="1522"/>
    <s v="Grant"/>
    <s v="Stewart"/>
    <s v="ENG0420"/>
    <s v="OPEN"/>
    <x v="287"/>
    <s v="ENG"/>
    <m/>
    <m/>
    <m/>
    <m/>
    <m/>
    <s v="ESA"/>
    <s v="CESTFA"/>
  </r>
  <r>
    <x v="1523"/>
    <s v="Grassini"/>
    <s v="Marco"/>
    <s v="ITA2393"/>
    <s v="VET"/>
    <x v="196"/>
    <s v="ITA"/>
    <m/>
    <m/>
    <m/>
    <m/>
    <m/>
    <s v="FISCT"/>
    <s v="CESTFA"/>
  </r>
  <r>
    <x v="1524"/>
    <s v="Green"/>
    <s v="Robert"/>
    <s v="AUS0002"/>
    <s v="VET"/>
    <x v="103"/>
    <s v="AUS"/>
    <m/>
    <m/>
    <m/>
    <m/>
    <m/>
    <s v="ATFA"/>
    <s v="CASTFA"/>
  </r>
  <r>
    <x v="1525"/>
    <s v="Greer"/>
    <s v="Ian"/>
    <s v="NIR0035"/>
    <s v="VET"/>
    <x v="181"/>
    <s v="NIR"/>
    <m/>
    <m/>
    <m/>
    <m/>
    <m/>
    <s v="NITFA"/>
    <s v="CESTFA"/>
  </r>
  <r>
    <x v="1526"/>
    <s v="Gregoire"/>
    <s v="Ralf"/>
    <s v="BEL0163"/>
    <s v="OPEN"/>
    <x v="244"/>
    <s v="BEL"/>
    <m/>
    <m/>
    <m/>
    <m/>
    <m/>
    <m/>
    <m/>
  </r>
  <r>
    <x v="1527"/>
    <s v="Grégoire"/>
    <s v="Mathéo"/>
    <s v="BEL0286"/>
    <s v="OPEN"/>
    <x v="6"/>
    <s v="BEL"/>
    <m/>
    <m/>
    <m/>
    <m/>
    <m/>
    <m/>
    <m/>
  </r>
  <r>
    <x v="1528"/>
    <s v="Gregoriou"/>
    <s v="Nick"/>
    <s v="CYP0028"/>
    <m/>
    <x v="14"/>
    <s v="CYP"/>
    <m/>
    <m/>
    <m/>
    <m/>
    <m/>
    <s v="CYSTFA (Provisional)"/>
    <m/>
  </r>
  <r>
    <x v="1529"/>
    <s v="Gregory"/>
    <s v="Andrew"/>
    <s v="ENG0560"/>
    <s v="VET"/>
    <x v="14"/>
    <s v="ENG"/>
    <m/>
    <m/>
    <m/>
    <m/>
    <m/>
    <s v="ESA"/>
    <s v="CESTFA"/>
  </r>
  <r>
    <x v="1530"/>
    <s v="Gregory"/>
    <s v="Connor"/>
    <s v="ENG0496"/>
    <s v="U16"/>
    <x v="75"/>
    <s v="ENG"/>
    <m/>
    <m/>
    <m/>
    <m/>
    <m/>
    <s v="ESA"/>
    <s v="CESTFA"/>
  </r>
  <r>
    <x v="1531"/>
    <s v="Gregory"/>
    <s v="Danny"/>
    <s v="SCO0075"/>
    <s v="OPEN"/>
    <x v="49"/>
    <s v="SCO"/>
    <m/>
    <m/>
    <m/>
    <m/>
    <m/>
    <s v="SSA"/>
    <s v="CESTFA"/>
  </r>
  <r>
    <x v="1532"/>
    <s v="Greier"/>
    <s v="Frank"/>
    <s v="GER0051"/>
    <s v="VET"/>
    <x v="288"/>
    <s v="GER"/>
    <m/>
    <m/>
    <m/>
    <m/>
    <m/>
    <s v="DSTFB"/>
    <s v="CESTFA"/>
  </r>
  <r>
    <x v="1533"/>
    <s v="Grenot"/>
    <s v="Dom"/>
    <s v="AUS0056"/>
    <s v="VET"/>
    <x v="103"/>
    <s v="AUS"/>
    <m/>
    <m/>
    <m/>
    <m/>
    <m/>
    <s v="ATFA"/>
    <s v="CASTFA"/>
  </r>
  <r>
    <x v="1534"/>
    <s v="Grigiotti"/>
    <s v="Roberto"/>
    <s v="ITA2525"/>
    <s v="OPEN"/>
    <x v="139"/>
    <s v="ITA"/>
    <m/>
    <m/>
    <m/>
    <m/>
    <m/>
    <s v="FISCT"/>
    <s v="CESTFA"/>
  </r>
  <r>
    <x v="1535"/>
    <s v="Grillo"/>
    <s v="Giuseppina"/>
    <s v="ITA3377"/>
    <s v="VET"/>
    <x v="84"/>
    <s v="ITA"/>
    <m/>
    <m/>
    <m/>
    <m/>
    <m/>
    <s v="FISCT"/>
    <s v="CESTFA"/>
  </r>
  <r>
    <x v="1536"/>
    <s v="Grillo"/>
    <s v="Luigi"/>
    <s v="ITA1662"/>
    <s v="VET"/>
    <x v="0"/>
    <s v="ITA"/>
    <m/>
    <m/>
    <m/>
    <m/>
    <m/>
    <s v="FISCT"/>
    <s v="CESTFA"/>
  </r>
  <r>
    <x v="1537"/>
    <s v="Grimaldi"/>
    <s v="Franco"/>
    <s v="ITA1507"/>
    <s v="OPEN"/>
    <x v="87"/>
    <s v="ITA"/>
    <m/>
    <m/>
    <m/>
    <m/>
    <m/>
    <s v="FISCT"/>
    <s v="CESTFA"/>
  </r>
  <r>
    <x v="1538"/>
    <s v="Grorud"/>
    <s v="Anders"/>
    <s v="NOR0002"/>
    <s v="VET"/>
    <x v="19"/>
    <s v="NOR"/>
    <m/>
    <m/>
    <m/>
    <m/>
    <m/>
    <s v="NBFF (Suspended)"/>
    <m/>
  </r>
  <r>
    <x v="1539"/>
    <s v="Grosdent"/>
    <s v="Aurore"/>
    <s v="BEL0349"/>
    <s v="OPEN"/>
    <x v="172"/>
    <s v="BEL"/>
    <m/>
    <m/>
    <m/>
    <m/>
    <m/>
    <m/>
    <m/>
  </r>
  <r>
    <x v="1540"/>
    <s v="Grosdent"/>
    <s v="Henri"/>
    <s v="BEL0333"/>
    <s v="U20"/>
    <x v="172"/>
    <s v="BEL"/>
    <m/>
    <m/>
    <m/>
    <m/>
    <m/>
    <m/>
    <m/>
  </r>
  <r>
    <x v="1541"/>
    <s v="Grosdent"/>
    <s v="Jean"/>
    <s v="BEL0332"/>
    <s v="OPEN"/>
    <x v="172"/>
    <s v="BEL"/>
    <m/>
    <m/>
    <m/>
    <m/>
    <m/>
    <m/>
    <m/>
  </r>
  <r>
    <x v="1542"/>
    <s v="Grosdent"/>
    <s v="Luc"/>
    <s v="BEL0344"/>
    <s v="OPEN"/>
    <x v="172"/>
    <s v="BEL"/>
    <m/>
    <m/>
    <m/>
    <m/>
    <m/>
    <m/>
    <m/>
  </r>
  <r>
    <x v="1543"/>
    <s v="Grosdent"/>
    <s v="Maxim"/>
    <s v="BEL0355"/>
    <s v="U16"/>
    <x v="172"/>
    <s v="BEL"/>
    <m/>
    <m/>
    <m/>
    <m/>
    <m/>
    <m/>
    <m/>
  </r>
  <r>
    <x v="1544"/>
    <s v="Grosdent"/>
    <s v="Robin"/>
    <s v="BEL0470"/>
    <s v="U12"/>
    <x v="172"/>
    <s v="BEL"/>
    <m/>
    <m/>
    <m/>
    <m/>
    <m/>
    <m/>
    <m/>
  </r>
  <r>
    <x v="1545"/>
    <s v="Grosdent"/>
    <s v="Sophia"/>
    <s v="BEL0449"/>
    <s v="U12"/>
    <x v="172"/>
    <s v="BEL"/>
    <m/>
    <m/>
    <m/>
    <m/>
    <m/>
    <m/>
    <m/>
  </r>
  <r>
    <x v="1546"/>
    <s v="Grunbach"/>
    <s v="Adrian"/>
    <s v="AUS0156"/>
    <s v="OPEN"/>
    <x v="103"/>
    <s v="AUS"/>
    <m/>
    <m/>
    <m/>
    <m/>
    <m/>
    <s v="ATFA"/>
    <s v="CASTFA"/>
  </r>
  <r>
    <x v="1547"/>
    <s v="Grunbach"/>
    <s v="Katelyn"/>
    <s v="AUS0195"/>
    <s v="U16"/>
    <x v="103"/>
    <s v="AUS"/>
    <m/>
    <m/>
    <m/>
    <m/>
    <m/>
    <s v="ATFA"/>
    <s v="CASTFA"/>
  </r>
  <r>
    <x v="1548"/>
    <s v="Grünberg"/>
    <s v="Daniela"/>
    <s v="GER0133"/>
    <s v="OPEN"/>
    <x v="142"/>
    <s v="GER"/>
    <m/>
    <m/>
    <m/>
    <m/>
    <m/>
    <s v="DSTFB"/>
    <s v="CESTFA"/>
  </r>
  <r>
    <x v="1549"/>
    <s v="Grünberg"/>
    <s v="Gerhard"/>
    <s v="GER0091"/>
    <s v="VET"/>
    <x v="289"/>
    <s v="GER"/>
    <m/>
    <m/>
    <m/>
    <m/>
    <m/>
    <s v="DSTFB"/>
    <s v="CESTFA"/>
  </r>
  <r>
    <x v="1550"/>
    <s v="Grunwald"/>
    <s v="Patrick"/>
    <s v="GER0062"/>
    <s v="OPEN"/>
    <x v="135"/>
    <s v="GER"/>
    <m/>
    <m/>
    <m/>
    <m/>
    <m/>
    <s v="DSTFB"/>
    <s v="CESTFA"/>
  </r>
  <r>
    <x v="1551"/>
    <s v="Guagliardi"/>
    <s v="Erica"/>
    <s v="ITA1939"/>
    <s v="OPEN"/>
    <x v="290"/>
    <s v="ITA"/>
    <m/>
    <m/>
    <m/>
    <m/>
    <m/>
    <s v="FISCT"/>
    <s v="CESTFA"/>
  </r>
  <r>
    <x v="1552"/>
    <s v="Gualerci"/>
    <s v="Marcello"/>
    <s v="ITA2394"/>
    <s v="VET"/>
    <x v="196"/>
    <s v="ITA"/>
    <m/>
    <m/>
    <m/>
    <m/>
    <m/>
    <s v="FISCT"/>
    <s v="CESTFA"/>
  </r>
  <r>
    <x v="1553"/>
    <s v="Guardini"/>
    <s v="Alessio"/>
    <s v="ITA2477"/>
    <s v="VET"/>
    <x v="76"/>
    <s v="ITA"/>
    <m/>
    <m/>
    <m/>
    <m/>
    <m/>
    <s v="FISCT"/>
    <s v="CESTFA"/>
  </r>
  <r>
    <x v="1554"/>
    <s v="Guarino"/>
    <s v="Fabrizio"/>
    <s v="ITA3414"/>
    <s v="VET"/>
    <x v="200"/>
    <s v="ITA"/>
    <m/>
    <m/>
    <m/>
    <m/>
    <m/>
    <s v="FISCT"/>
    <s v="CESTFA"/>
  </r>
  <r>
    <x v="1555"/>
    <s v="Guarino"/>
    <s v="Michele"/>
    <s v="ITA2642"/>
    <s v="U20"/>
    <x v="200"/>
    <s v="ITA"/>
    <m/>
    <m/>
    <m/>
    <m/>
    <m/>
    <s v="FISCT"/>
    <s v="CESTFA"/>
  </r>
  <r>
    <x v="1556"/>
    <s v="Guastella"/>
    <s v="Fabrizio"/>
    <s v="ITA1564"/>
    <s v="OPEN"/>
    <x v="188"/>
    <s v="ITA"/>
    <m/>
    <m/>
    <m/>
    <m/>
    <m/>
    <s v="FISCT"/>
    <s v="CESTFA"/>
  </r>
  <r>
    <x v="1557"/>
    <s v="Guerra"/>
    <s v="Alexandre"/>
    <s v="BRA0034"/>
    <s v="VET"/>
    <x v="282"/>
    <s v="BRA"/>
    <m/>
    <m/>
    <m/>
    <m/>
    <m/>
    <s v="CBFM (Suspended)"/>
    <m/>
  </r>
  <r>
    <x v="1558"/>
    <s v="Guerra"/>
    <s v="Pasquale"/>
    <s v="ITA0426"/>
    <s v="VET"/>
    <x v="111"/>
    <s v="ITA"/>
    <m/>
    <m/>
    <m/>
    <m/>
    <m/>
    <s v="FISCT"/>
    <s v="CESTFA"/>
  </r>
  <r>
    <x v="1559"/>
    <s v="Guhr"/>
    <s v="Andreas"/>
    <s v="GER0141"/>
    <s v="VET"/>
    <x v="5"/>
    <s v="GER"/>
    <m/>
    <m/>
    <m/>
    <m/>
    <m/>
    <s v="DSTFB"/>
    <s v="CESTFA"/>
  </r>
  <r>
    <x v="1560"/>
    <s v="Guhr"/>
    <s v="Thomas"/>
    <s v="GER0142"/>
    <s v="U20"/>
    <x v="5"/>
    <s v="GER"/>
    <m/>
    <m/>
    <m/>
    <m/>
    <m/>
    <s v="DSTFB"/>
    <s v="CESTFA"/>
  </r>
  <r>
    <x v="1561"/>
    <s v="Guidara"/>
    <s v="Paolo"/>
    <s v="ITA2323"/>
    <s v="VET"/>
    <x v="243"/>
    <s v="ITA"/>
    <m/>
    <m/>
    <m/>
    <m/>
    <m/>
    <s v="FISCT"/>
    <s v="CESTFA"/>
  </r>
  <r>
    <x v="1562"/>
    <s v="Guidi"/>
    <s v="Alessandro"/>
    <s v="ITA0428"/>
    <s v="VET"/>
    <x v="27"/>
    <s v="ITA"/>
    <m/>
    <m/>
    <m/>
    <m/>
    <m/>
    <s v="FISCT"/>
    <s v="CESTFA"/>
  </r>
  <r>
    <x v="1563"/>
    <s v="Guidi"/>
    <s v="Enrico"/>
    <s v="ITA2425"/>
    <s v="VET"/>
    <x v="76"/>
    <s v="ITA"/>
    <m/>
    <m/>
    <m/>
    <m/>
    <m/>
    <s v="FISCT"/>
    <s v="CESTFA"/>
  </r>
  <r>
    <x v="1564"/>
    <s v="Guidi"/>
    <s v="Leandro"/>
    <s v="ITA2883"/>
    <s v="VET"/>
    <x v="25"/>
    <s v="ITA"/>
    <m/>
    <m/>
    <m/>
    <m/>
    <m/>
    <s v="FISCT"/>
    <s v="CESTFA"/>
  </r>
  <r>
    <x v="1565"/>
    <s v="Guidi"/>
    <s v="Massimiliano"/>
    <s v="ITA2820"/>
    <s v="OPEN"/>
    <x v="212"/>
    <s v="ITA"/>
    <m/>
    <m/>
    <m/>
    <m/>
    <m/>
    <s v="FISCT"/>
    <s v="CESTFA"/>
  </r>
  <r>
    <x v="1566"/>
    <s v="Guido"/>
    <s v="Giuseppe"/>
    <s v="ITA3030"/>
    <s v="VET"/>
    <x v="0"/>
    <s v="ITA"/>
    <m/>
    <m/>
    <m/>
    <m/>
    <m/>
    <s v="FISCT"/>
    <s v="CESTFA"/>
  </r>
  <r>
    <x v="1567"/>
    <s v="Guimaraes"/>
    <s v="Vasco"/>
    <s v="POR0055"/>
    <s v="OPEN"/>
    <x v="83"/>
    <s v="POR"/>
    <m/>
    <m/>
    <m/>
    <m/>
    <m/>
    <s v="APS"/>
    <s v="CESTFA"/>
  </r>
  <r>
    <x v="1568"/>
    <s v="Guio"/>
    <s v="Lorenzo"/>
    <s v="ITA0430"/>
    <s v="VET"/>
    <x v="98"/>
    <s v="ITA"/>
    <m/>
    <m/>
    <m/>
    <m/>
    <m/>
    <s v="FISCT"/>
    <s v="CESTFA"/>
  </r>
  <r>
    <x v="1569"/>
    <s v="Gulyev"/>
    <s v="Maksim Petrovich"/>
    <s v="RUS0001"/>
    <s v="OPEN"/>
    <x v="291"/>
    <s v="RUS"/>
    <m/>
    <m/>
    <m/>
    <m/>
    <m/>
    <s v="RSTFF (Suspended)"/>
    <m/>
  </r>
  <r>
    <x v="1570"/>
    <s v="Guth"/>
    <s v="Manfred"/>
    <s v="GER0124"/>
    <s v="VET"/>
    <x v="292"/>
    <s v="GER"/>
    <m/>
    <m/>
    <m/>
    <m/>
    <m/>
    <s v="DSTFB"/>
    <s v="CESTFA"/>
  </r>
  <r>
    <x v="1571"/>
    <s v="Gütl"/>
    <s v="Herbert"/>
    <s v="AUT0023"/>
    <s v="OPEN"/>
    <x v="107"/>
    <s v="AUT"/>
    <m/>
    <m/>
    <m/>
    <m/>
    <m/>
    <s v="EÖTV"/>
    <s v="CESTFA"/>
  </r>
  <r>
    <x v="1572"/>
    <s v="Gütl"/>
    <s v="Ivana"/>
    <s v="SER0003"/>
    <s v="OPEN"/>
    <x v="293"/>
    <s v="SRB"/>
    <m/>
    <m/>
    <m/>
    <m/>
    <m/>
    <m/>
    <m/>
  </r>
  <r>
    <x v="1573"/>
    <s v="Guyaux"/>
    <s v="Adam"/>
    <s v="BEL0473"/>
    <s v="U12"/>
    <x v="244"/>
    <s v="BEL"/>
    <m/>
    <m/>
    <m/>
    <m/>
    <m/>
    <m/>
    <m/>
  </r>
  <r>
    <x v="1574"/>
    <s v="Guyaux"/>
    <s v="Fabrice"/>
    <s v="BEL0259"/>
    <s v="VET"/>
    <x v="244"/>
    <s v="BEL"/>
    <m/>
    <m/>
    <m/>
    <m/>
    <m/>
    <m/>
    <m/>
  </r>
  <r>
    <x v="1575"/>
    <s v="Guyaux"/>
    <s v="Vincent"/>
    <s v="BEL0049"/>
    <s v="OPEN"/>
    <x v="63"/>
    <s v="BEL"/>
    <m/>
    <m/>
    <m/>
    <m/>
    <m/>
    <m/>
    <m/>
  </r>
  <r>
    <x v="1576"/>
    <s v="Guyot"/>
    <s v="Charlotte"/>
    <s v="FRA0289"/>
    <s v="U12"/>
    <x v="152"/>
    <s v="FRA"/>
    <m/>
    <m/>
    <m/>
    <m/>
    <m/>
    <s v="3FTS"/>
    <s v="CESTFA"/>
  </r>
  <r>
    <x v="1577"/>
    <s v="Guyot"/>
    <s v="Daniel"/>
    <s v="FRA0183"/>
    <s v="VET"/>
    <x v="152"/>
    <s v="FRA"/>
    <m/>
    <m/>
    <m/>
    <m/>
    <m/>
    <s v="3FTS"/>
    <s v="CESTFA"/>
  </r>
  <r>
    <x v="1578"/>
    <s v="Guyot"/>
    <s v="Françoise"/>
    <s v="FRA0039"/>
    <s v="VET"/>
    <x v="82"/>
    <s v="FRA"/>
    <m/>
    <m/>
    <m/>
    <m/>
    <m/>
    <s v="3FTS"/>
    <s v="CESTFA"/>
  </r>
  <r>
    <x v="1579"/>
    <s v="Guyot"/>
    <s v="Jade"/>
    <s v="FRA0225"/>
    <s v="U16"/>
    <x v="152"/>
    <s v="FRA"/>
    <m/>
    <m/>
    <m/>
    <m/>
    <m/>
    <s v="3FTS"/>
    <s v="CESTFA"/>
  </r>
  <r>
    <x v="1580"/>
    <s v="Guzzetta"/>
    <s v="Giuseppe"/>
    <s v="ITA0431"/>
    <s v="OPEN"/>
    <x v="290"/>
    <s v="ITA"/>
    <m/>
    <m/>
    <m/>
    <m/>
    <m/>
    <s v="FISCT"/>
    <s v="CESTFA"/>
  </r>
  <r>
    <x v="1581"/>
    <s v="Haas"/>
    <s v="Alexander"/>
    <s v="AUT0024"/>
    <s v="OPEN"/>
    <x v="107"/>
    <s v="AUT"/>
    <m/>
    <m/>
    <m/>
    <m/>
    <m/>
    <s v="EÖTV"/>
    <s v="CESTFA"/>
  </r>
  <r>
    <x v="1582"/>
    <s v="Haas"/>
    <s v="Christian"/>
    <s v="AUT0025"/>
    <s v="OPEN"/>
    <x v="141"/>
    <s v="AUT"/>
    <m/>
    <m/>
    <m/>
    <m/>
    <m/>
    <s v="EÖTV"/>
    <s v="CESTFA"/>
  </r>
  <r>
    <x v="1583"/>
    <s v="Haas"/>
    <s v="Johannes"/>
    <s v="AUT0123"/>
    <s v="U12"/>
    <x v="14"/>
    <s v="AUT"/>
    <m/>
    <m/>
    <m/>
    <m/>
    <m/>
    <s v="EÖTV"/>
    <s v="CESTFA"/>
  </r>
  <r>
    <x v="1584"/>
    <s v="Haas"/>
    <s v="Louis"/>
    <s v="AUT0122"/>
    <s v="U12"/>
    <x v="107"/>
    <s v="AUT"/>
    <m/>
    <m/>
    <m/>
    <m/>
    <m/>
    <s v="EÖTV"/>
    <s v="CESTFA"/>
  </r>
  <r>
    <x v="1585"/>
    <s v="Haas"/>
    <s v="Wolfgang"/>
    <s v="AUT0044"/>
    <s v="OPEN"/>
    <x v="141"/>
    <s v="AUT"/>
    <m/>
    <m/>
    <m/>
    <m/>
    <m/>
    <s v="EÖTV"/>
    <s v="CESTFA"/>
  </r>
  <r>
    <x v="1586"/>
    <s v="Häcker"/>
    <s v="Gerd"/>
    <s v="GER0113"/>
    <s v="VET"/>
    <x v="292"/>
    <s v="GER"/>
    <m/>
    <m/>
    <m/>
    <m/>
    <m/>
    <s v="DSTFB"/>
    <s v="CESTFA"/>
  </r>
  <r>
    <x v="1587"/>
    <s v="Häcker"/>
    <s v="Oskar"/>
    <s v="GER0120"/>
    <s v="OPEN"/>
    <x v="292"/>
    <s v="GER"/>
    <m/>
    <m/>
    <m/>
    <m/>
    <m/>
    <s v="DSTFB"/>
    <s v="CESTFA"/>
  </r>
  <r>
    <x v="1588"/>
    <s v="Hadjikypris"/>
    <s v="Christofis"/>
    <s v="CYP0036"/>
    <s v="OPEN"/>
    <x v="59"/>
    <s v="CYP"/>
    <m/>
    <m/>
    <m/>
    <m/>
    <m/>
    <s v="CYSTFA (Provisional)"/>
    <m/>
  </r>
  <r>
    <x v="1589"/>
    <s v="Hadjikypris"/>
    <s v="Melios"/>
    <s v="CYP0038"/>
    <s v="OPEN"/>
    <x v="59"/>
    <s v="CYP"/>
    <m/>
    <m/>
    <m/>
    <m/>
    <m/>
    <s v="CYSTFA (Provisional)"/>
    <m/>
  </r>
  <r>
    <x v="1590"/>
    <s v="Hadjitheklis"/>
    <s v="Theodosis"/>
    <s v="CYP0004"/>
    <s v="OPEN"/>
    <x v="59"/>
    <s v="CYP"/>
    <m/>
    <m/>
    <m/>
    <m/>
    <m/>
    <s v="CYSTFA (Provisional)"/>
    <m/>
  </r>
  <r>
    <x v="1591"/>
    <s v="Haefke"/>
    <s v="Erik"/>
    <s v="USA0139"/>
    <s v="VET"/>
    <x v="294"/>
    <s v="USA"/>
    <m/>
    <m/>
    <m/>
    <m/>
    <m/>
    <s v="ASA"/>
    <s v="CONASTF"/>
  </r>
  <r>
    <x v="1592"/>
    <s v="Hagenkötter"/>
    <s v="Frank"/>
    <s v="GER0036"/>
    <s v="VET"/>
    <x v="290"/>
    <s v="GER"/>
    <m/>
    <m/>
    <m/>
    <m/>
    <m/>
    <s v="DSTFB"/>
    <s v="CESTFA"/>
  </r>
  <r>
    <x v="1593"/>
    <s v="Hagenkötter"/>
    <s v="Kai"/>
    <s v="GER0037"/>
    <s v="OPEN"/>
    <x v="290"/>
    <s v="GER"/>
    <m/>
    <m/>
    <m/>
    <m/>
    <m/>
    <s v="DSTFB"/>
    <s v="CESTFA"/>
  </r>
  <r>
    <x v="1594"/>
    <s v="Hain"/>
    <s v="Michael"/>
    <s v="GER0086"/>
    <s v="VET"/>
    <x v="295"/>
    <s v="GER"/>
    <m/>
    <m/>
    <m/>
    <m/>
    <m/>
    <s v="DSTFB"/>
    <s v="CESTFA"/>
  </r>
  <r>
    <x v="1595"/>
    <s v="Hall"/>
    <s v="Brian"/>
    <s v="ENG0500"/>
    <s v="VET"/>
    <x v="296"/>
    <s v="ENG"/>
    <m/>
    <m/>
    <m/>
    <m/>
    <m/>
    <s v="ESA"/>
    <s v="CESTFA"/>
  </r>
  <r>
    <x v="1596"/>
    <s v="Halliday"/>
    <s v="Kevin"/>
    <s v="AUS0198"/>
    <s v="OPEN"/>
    <x v="297"/>
    <s v="AUS"/>
    <m/>
    <m/>
    <m/>
    <m/>
    <m/>
    <s v="ATFA"/>
    <s v="CASTFA"/>
  </r>
  <r>
    <x v="1597"/>
    <s v="Hallin"/>
    <s v="Michaël"/>
    <s v="BEL0270"/>
    <s v="VET"/>
    <x v="241"/>
    <s v="BEL"/>
    <m/>
    <m/>
    <m/>
    <m/>
    <m/>
    <m/>
    <m/>
  </r>
  <r>
    <x v="1598"/>
    <s v="Halpin"/>
    <s v="John"/>
    <s v="SCO0046"/>
    <s v="VET"/>
    <x v="49"/>
    <s v="SCO"/>
    <m/>
    <m/>
    <m/>
    <m/>
    <m/>
    <s v="SSA"/>
    <s v="CESTFA"/>
  </r>
  <r>
    <x v="1599"/>
    <s v="Hamagami"/>
    <s v="Haruka"/>
    <s v="JPN173"/>
    <s v="OPEN"/>
    <x v="26"/>
    <s v="JPN"/>
    <m/>
    <m/>
    <m/>
    <m/>
    <m/>
    <s v="JTFA"/>
    <s v="CASTFA"/>
  </r>
  <r>
    <x v="1600"/>
    <s v="Hamagami"/>
    <s v="Hideki"/>
    <s v="JPN165"/>
    <s v="VET"/>
    <x v="26"/>
    <s v="JPN"/>
    <m/>
    <m/>
    <m/>
    <m/>
    <m/>
    <s v="JTFA"/>
    <s v="CASTFA"/>
  </r>
  <r>
    <x v="1601"/>
    <s v="Hammersley"/>
    <s v="Mark"/>
    <s v="ENG0499"/>
    <s v="VET"/>
    <x v="262"/>
    <s v="ENG"/>
    <m/>
    <m/>
    <m/>
    <m/>
    <m/>
    <s v="ESA"/>
    <s v="CESTFA"/>
  </r>
  <r>
    <x v="1602"/>
    <s v="Hammonds"/>
    <s v="Mick"/>
    <s v="ENG0346"/>
    <s v="VET"/>
    <x v="90"/>
    <s v="ENG"/>
    <m/>
    <m/>
    <m/>
    <m/>
    <m/>
    <s v="ESA"/>
    <s v="CESTFA"/>
  </r>
  <r>
    <x v="1603"/>
    <s v="Hanosset"/>
    <s v="Jules"/>
    <s v="BEL0450"/>
    <s v="U16"/>
    <x v="241"/>
    <s v="BEL"/>
    <m/>
    <m/>
    <m/>
    <m/>
    <m/>
    <m/>
    <m/>
  </r>
  <r>
    <x v="1604"/>
    <s v="Hanotiaux"/>
    <s v="Alain"/>
    <s v="BEL0019"/>
    <s v="VET"/>
    <x v="182"/>
    <s v="BEL"/>
    <m/>
    <m/>
    <m/>
    <m/>
    <m/>
    <m/>
    <m/>
  </r>
  <r>
    <x v="1605"/>
    <s v="Hansen"/>
    <s v="Brian Illum"/>
    <s v="DEN0058"/>
    <s v="OPEN"/>
    <x v="10"/>
    <s v="DEN"/>
    <m/>
    <m/>
    <m/>
    <m/>
    <m/>
    <s v="DSBU (Provisional)"/>
    <m/>
  </r>
  <r>
    <x v="1606"/>
    <s v="Harillo"/>
    <s v="Joaquín"/>
    <s v="ESP0597"/>
    <s v="U12"/>
    <x v="61"/>
    <s v="ESP"/>
    <m/>
    <m/>
    <m/>
    <m/>
    <m/>
    <s v="AEFM"/>
    <s v="CESTFA"/>
  </r>
  <r>
    <x v="1607"/>
    <s v="Haris"/>
    <s v="Abdul"/>
    <s v="SGP0035"/>
    <s v="OPEN"/>
    <x v="259"/>
    <s v="SGP"/>
    <m/>
    <m/>
    <m/>
    <m/>
    <m/>
    <s v="TFAS"/>
    <s v="CASTFA"/>
  </r>
  <r>
    <x v="1608"/>
    <s v="Harker"/>
    <s v="Russ"/>
    <s v="ENG0188"/>
    <s v="OPEN"/>
    <x v="180"/>
    <s v="ENG"/>
    <m/>
    <m/>
    <m/>
    <m/>
    <m/>
    <s v="ESA"/>
    <s v="CESTFA"/>
  </r>
  <r>
    <x v="1609"/>
    <s v="Harman"/>
    <s v="Menashe"/>
    <s v="ISR0036"/>
    <s v="VET"/>
    <x v="293"/>
    <s v="ISR"/>
    <m/>
    <m/>
    <m/>
    <m/>
    <m/>
    <m/>
    <m/>
  </r>
  <r>
    <x v="1610"/>
    <s v="Haro"/>
    <s v="Juan Manuel"/>
    <s v="ESP0436"/>
    <s v="VET"/>
    <x v="36"/>
    <s v="ESP"/>
    <m/>
    <m/>
    <m/>
    <m/>
    <m/>
    <s v="AEFM"/>
    <s v="CESTFA"/>
  </r>
  <r>
    <x v="1611"/>
    <s v="Haroulis"/>
    <s v="Nikolaos"/>
    <s v="GRE0797"/>
    <s v="OPEN"/>
    <x v="14"/>
    <s v="GRE"/>
    <m/>
    <m/>
    <m/>
    <m/>
    <m/>
    <s v="UHTF"/>
    <s v="CESTFA"/>
  </r>
  <r>
    <x v="1612"/>
    <s v="Harregaard"/>
    <s v="Jonathan"/>
    <s v="DEN0072"/>
    <s v="OPEN"/>
    <x v="10"/>
    <s v="DEN"/>
    <m/>
    <m/>
    <m/>
    <m/>
    <m/>
    <s v="DSBU (Provisional)"/>
    <m/>
  </r>
  <r>
    <x v="1613"/>
    <s v="Harrington"/>
    <s v="Gerry"/>
    <s v="IRL0012"/>
    <s v="VET"/>
    <x v="126"/>
    <s v="IRL"/>
    <m/>
    <m/>
    <m/>
    <m/>
    <m/>
    <s v="TFAI"/>
    <s v="CESTFA"/>
  </r>
  <r>
    <x v="1614"/>
    <s v="Harrington"/>
    <s v="Josef"/>
    <s v="ENG0407"/>
    <s v="OPEN"/>
    <x v="126"/>
    <s v="ENG"/>
    <m/>
    <m/>
    <m/>
    <m/>
    <m/>
    <s v="ESA"/>
    <s v="CESTFA"/>
  </r>
  <r>
    <x v="1615"/>
    <s v="Harwood"/>
    <s v="Graham"/>
    <s v="ENG0371"/>
    <s v="VET"/>
    <x v="90"/>
    <s v="ENG"/>
    <m/>
    <m/>
    <m/>
    <m/>
    <m/>
    <s v="ESA"/>
    <s v="CESTFA"/>
  </r>
  <r>
    <x v="1616"/>
    <s v="Hashim"/>
    <s v="Nur"/>
    <s v="SGP0068"/>
    <s v="OPEN"/>
    <x v="4"/>
    <s v="SGP"/>
    <m/>
    <m/>
    <m/>
    <m/>
    <m/>
    <s v="TFAS"/>
    <s v="CASTFA"/>
  </r>
  <r>
    <x v="1617"/>
    <s v="Hasieber"/>
    <s v="Michael"/>
    <s v="AUT0026"/>
    <s v="VET"/>
    <x v="107"/>
    <s v="AUT"/>
    <m/>
    <m/>
    <m/>
    <m/>
    <m/>
    <s v="EÖTV"/>
    <s v="CESTFA"/>
  </r>
  <r>
    <x v="1618"/>
    <s v="Hatzikonstantinou"/>
    <s v="Lakis"/>
    <s v="GRE0381"/>
    <s v="OPEN"/>
    <x v="14"/>
    <s v="GRE"/>
    <m/>
    <m/>
    <m/>
    <m/>
    <m/>
    <s v="UHTF"/>
    <s v="CESTFA"/>
  </r>
  <r>
    <x v="1619"/>
    <s v="Hatziliadis"/>
    <s v="Haralampos"/>
    <s v="GRE0214"/>
    <s v="OPEN"/>
    <x v="14"/>
    <s v="GRE"/>
    <m/>
    <m/>
    <m/>
    <m/>
    <m/>
    <s v="UHTF"/>
    <s v="CESTFA"/>
  </r>
  <r>
    <x v="1620"/>
    <s v="Hatziliadis"/>
    <s v="Ioannis"/>
    <s v="GRE0215"/>
    <s v="U20"/>
    <x v="14"/>
    <s v="GRE"/>
    <m/>
    <m/>
    <m/>
    <m/>
    <m/>
    <s v="UHTF"/>
    <s v="CESTFA"/>
  </r>
  <r>
    <x v="1621"/>
    <s v="Hatzopoulos"/>
    <s v="Konstantinos"/>
    <s v="GRE0722"/>
    <s v="VET"/>
    <x v="14"/>
    <s v="GRE"/>
    <m/>
    <m/>
    <m/>
    <m/>
    <m/>
    <s v="UHTF"/>
    <s v="CESTFA"/>
  </r>
  <r>
    <x v="1622"/>
    <s v="Hausmann"/>
    <s v="Christian"/>
    <s v="AUT0117"/>
    <s v="OPEN"/>
    <x v="107"/>
    <s v="AUT"/>
    <m/>
    <m/>
    <m/>
    <m/>
    <m/>
    <s v="EÖTV"/>
    <s v="CESTFA"/>
  </r>
  <r>
    <x v="1623"/>
    <s v="Haylett"/>
    <s v="Nathan"/>
    <s v="CAN0008"/>
    <s v="OPEN"/>
    <x v="184"/>
    <s v="CAN"/>
    <m/>
    <m/>
    <m/>
    <m/>
    <m/>
    <s v="SCA"/>
    <m/>
  </r>
  <r>
    <x v="1624"/>
    <s v="Heard"/>
    <s v="Nathan"/>
    <s v="AUS0208"/>
    <s v="VET"/>
    <x v="256"/>
    <s v="AUS"/>
    <m/>
    <m/>
    <m/>
    <m/>
    <m/>
    <s v="ATFA"/>
    <s v="CASTFA"/>
  </r>
  <r>
    <x v="1625"/>
    <s v="Heath"/>
    <s v="Andrew Jon"/>
    <s v="ENG0546"/>
    <s v="OPEN"/>
    <x v="298"/>
    <s v="ENG"/>
    <m/>
    <m/>
    <m/>
    <m/>
    <m/>
    <s v="ESA"/>
    <s v="CESTFA"/>
  </r>
  <r>
    <x v="1626"/>
    <s v="Hedegård"/>
    <s v="Michael"/>
    <s v="DEN0035"/>
    <s v="VET"/>
    <x v="10"/>
    <s v="DEN"/>
    <m/>
    <m/>
    <m/>
    <m/>
    <m/>
    <s v="DSBU (Provisional)"/>
    <m/>
  </r>
  <r>
    <x v="1627"/>
    <s v="Heithoff"/>
    <s v="Kurtis"/>
    <s v="USA0428"/>
    <s v="OPEN"/>
    <x v="299"/>
    <s v="USA"/>
    <m/>
    <m/>
    <m/>
    <m/>
    <m/>
    <s v="ASA"/>
    <s v="CONASTF"/>
  </r>
  <r>
    <x v="1628"/>
    <s v="Henrioul"/>
    <s v="Jody"/>
    <s v="BEL0032"/>
    <s v="OPEN"/>
    <x v="178"/>
    <s v="BEL"/>
    <m/>
    <m/>
    <m/>
    <m/>
    <m/>
    <m/>
    <m/>
  </r>
  <r>
    <x v="1629"/>
    <s v="Henrique"/>
    <s v="Pedro"/>
    <s v="POR0227"/>
    <s v="VET"/>
    <x v="8"/>
    <s v="POR"/>
    <m/>
    <m/>
    <m/>
    <m/>
    <m/>
    <s v="APS"/>
    <s v="CESTFA"/>
  </r>
  <r>
    <x v="1630"/>
    <s v="Henriques"/>
    <s v="Matilde"/>
    <s v="POR0157"/>
    <s v="U20"/>
    <x v="14"/>
    <s v="POR"/>
    <m/>
    <m/>
    <m/>
    <m/>
    <m/>
    <s v="APS"/>
    <s v="CESTFA"/>
  </r>
  <r>
    <x v="1631"/>
    <s v="Henriques"/>
    <s v="Nuno"/>
    <s v="POR0144"/>
    <s v="OPEN"/>
    <x v="9"/>
    <s v="POR"/>
    <m/>
    <m/>
    <m/>
    <m/>
    <m/>
    <s v="APS"/>
    <s v="CESTFA"/>
  </r>
  <r>
    <x v="1632"/>
    <s v="Henriques"/>
    <s v="Vasco"/>
    <s v="POR0145"/>
    <s v="OPEN"/>
    <x v="9"/>
    <s v="POR"/>
    <m/>
    <m/>
    <m/>
    <m/>
    <m/>
    <s v="APS"/>
    <s v="CESTFA"/>
  </r>
  <r>
    <x v="1633"/>
    <s v="Hentrich"/>
    <s v="Annika"/>
    <s v="GER0121"/>
    <s v="OPEN"/>
    <x v="5"/>
    <s v="GER"/>
    <m/>
    <m/>
    <m/>
    <m/>
    <m/>
    <s v="DSTFB"/>
    <s v="CESTFA"/>
  </r>
  <r>
    <x v="1634"/>
    <s v="Heraclio Gomes Barbosa"/>
    <s v="João Lucas"/>
    <s v="BRA0178"/>
    <s v="U12"/>
    <x v="58"/>
    <s v="BRA"/>
    <m/>
    <m/>
    <m/>
    <m/>
    <m/>
    <s v="CBFM (Suspended)"/>
    <m/>
  </r>
  <r>
    <x v="1635"/>
    <s v="Herbaut"/>
    <s v="Antoine"/>
    <s v="FRA0034"/>
    <s v="OPEN"/>
    <x v="82"/>
    <s v="FRA"/>
    <m/>
    <m/>
    <m/>
    <m/>
    <m/>
    <s v="3FTS"/>
    <s v="CESTFA"/>
  </r>
  <r>
    <x v="1636"/>
    <s v="Herbaut"/>
    <s v="Audrey"/>
    <s v="FRA0035"/>
    <s v="OPEN"/>
    <x v="82"/>
    <s v="FRA"/>
    <m/>
    <m/>
    <m/>
    <m/>
    <m/>
    <s v="3FTS"/>
    <s v="CESTFA"/>
  </r>
  <r>
    <x v="1637"/>
    <s v="Herbaut"/>
    <s v="Gilles"/>
    <s v="FRA0175"/>
    <s v="VET"/>
    <x v="82"/>
    <s v="FRA"/>
    <m/>
    <m/>
    <m/>
    <m/>
    <m/>
    <s v="3FTS"/>
    <s v="CESTFA"/>
  </r>
  <r>
    <x v="1638"/>
    <s v="Heredia"/>
    <s v="Miguel Ángel"/>
    <s v="ESP0016"/>
    <s v="VET"/>
    <x v="96"/>
    <s v="ESP"/>
    <m/>
    <m/>
    <m/>
    <m/>
    <m/>
    <s v="AEFM"/>
    <s v="CESTFA"/>
  </r>
  <r>
    <x v="1639"/>
    <s v="Heremann"/>
    <s v="Victor"/>
    <s v="BRA0010"/>
    <s v="OPEN"/>
    <x v="94"/>
    <s v="BRA"/>
    <m/>
    <m/>
    <m/>
    <m/>
    <m/>
    <s v="CBFM (Suspended)"/>
    <m/>
  </r>
  <r>
    <x v="1640"/>
    <s v="Herman"/>
    <s v="Xavier"/>
    <s v="BEL0140"/>
    <s v="OPEN"/>
    <x v="14"/>
    <s v="BEL"/>
    <m/>
    <m/>
    <m/>
    <m/>
    <m/>
    <m/>
    <m/>
  </r>
  <r>
    <x v="1641"/>
    <s v="Hermenegildo"/>
    <s v="Flavio"/>
    <s v="BRA0068"/>
    <s v="VET"/>
    <x v="14"/>
    <s v="BRA"/>
    <m/>
    <m/>
    <m/>
    <m/>
    <m/>
    <s v="CBFM (Suspended)"/>
    <m/>
  </r>
  <r>
    <x v="1642"/>
    <s v="Hernández"/>
    <s v="Antonio Manuel"/>
    <s v="ESP0490"/>
    <s v="VET"/>
    <x v="12"/>
    <s v="ESP"/>
    <m/>
    <m/>
    <m/>
    <m/>
    <m/>
    <s v="AEFM"/>
    <s v="CESTFA"/>
  </r>
  <r>
    <x v="1643"/>
    <s v="Herrel"/>
    <s v="Ben"/>
    <s v="CAN0009"/>
    <s v="OPEN"/>
    <x v="184"/>
    <s v="CAN"/>
    <m/>
    <m/>
    <m/>
    <m/>
    <m/>
    <s v="SCA"/>
    <m/>
  </r>
  <r>
    <x v="1644"/>
    <s v="Herrmannsdörfer"/>
    <s v="Felix"/>
    <s v="GER0007"/>
    <s v="OPEN"/>
    <x v="108"/>
    <s v="GER"/>
    <m/>
    <m/>
    <m/>
    <m/>
    <m/>
    <s v="DSTFB"/>
    <s v="CESTFA"/>
  </r>
  <r>
    <x v="1645"/>
    <s v="Heslop"/>
    <s v="Thomas"/>
    <s v="ENG0487"/>
    <s v="VET"/>
    <x v="300"/>
    <s v="ENG"/>
    <m/>
    <m/>
    <m/>
    <m/>
    <m/>
    <s v="ESA"/>
    <s v="CESTFA"/>
  </r>
  <r>
    <x v="1646"/>
    <s v="Heward"/>
    <s v="Craig"/>
    <s v="ENG0074"/>
    <s v="VET"/>
    <x v="180"/>
    <s v="ENG"/>
    <m/>
    <m/>
    <m/>
    <m/>
    <m/>
    <s v="ESA"/>
    <s v="CESTFA"/>
  </r>
  <r>
    <x v="1647"/>
    <s v="Heyvaert"/>
    <s v="Jérôme"/>
    <s v="BEL0021"/>
    <s v="OPEN"/>
    <x v="28"/>
    <s v="BEL"/>
    <m/>
    <m/>
    <m/>
    <m/>
    <m/>
    <m/>
    <m/>
  </r>
  <r>
    <x v="1648"/>
    <s v="Hicz"/>
    <s v="Andras"/>
    <s v="HUN0002"/>
    <s v="OPEN"/>
    <x v="125"/>
    <s v="HUN"/>
    <m/>
    <m/>
    <m/>
    <m/>
    <m/>
    <s v="HTFA (Suspended)"/>
    <m/>
  </r>
  <r>
    <x v="1649"/>
    <s v="Hill"/>
    <s v="Martin"/>
    <s v="ENG0534"/>
    <s v="VET"/>
    <x v="257"/>
    <s v="ENG"/>
    <m/>
    <m/>
    <m/>
    <m/>
    <m/>
    <s v="ESA"/>
    <s v="CESTFA"/>
  </r>
  <r>
    <x v="1650"/>
    <s v="Hill"/>
    <s v="Tim"/>
    <s v="ENG1013"/>
    <s v="VET"/>
    <x v="216"/>
    <s v="ENG"/>
    <m/>
    <m/>
    <m/>
    <m/>
    <m/>
    <s v="ESA"/>
    <s v="CESTFA"/>
  </r>
  <r>
    <x v="1651"/>
    <s v="Hinkelmann"/>
    <s v="Erich"/>
    <s v="AUT0051"/>
    <s v="VET"/>
    <x v="124"/>
    <s v="AUT"/>
    <m/>
    <m/>
    <m/>
    <m/>
    <m/>
    <s v="EÖTV"/>
    <s v="CESTFA"/>
  </r>
  <r>
    <x v="1652"/>
    <s v="Hirzmann"/>
    <s v="Jörg"/>
    <s v="GER0054"/>
    <s v="VET"/>
    <x v="140"/>
    <s v="GER"/>
    <m/>
    <m/>
    <m/>
    <m/>
    <m/>
    <s v="DSTFB"/>
    <s v="CESTFA"/>
  </r>
  <r>
    <x v="1653"/>
    <s v="Hliaoutakis"/>
    <s v="Aristidis"/>
    <s v="GRE0549"/>
    <s v="OPEN"/>
    <x v="14"/>
    <s v="GRE"/>
    <m/>
    <m/>
    <m/>
    <m/>
    <m/>
    <s v="UHTF"/>
    <s v="CESTFA"/>
  </r>
  <r>
    <x v="1654"/>
    <s v="Ho"/>
    <s v="Richard"/>
    <s v="CAN0013"/>
    <s v="OPEN"/>
    <x v="95"/>
    <s v="CAN"/>
    <m/>
    <m/>
    <m/>
    <m/>
    <m/>
    <s v="SCA"/>
    <m/>
  </r>
  <r>
    <x v="1655"/>
    <s v="Ho"/>
    <s v="Shiong Bock, John"/>
    <s v="SGP0046"/>
    <s v="VET"/>
    <x v="4"/>
    <s v="SGP"/>
    <m/>
    <m/>
    <m/>
    <m/>
    <m/>
    <s v="TFAS"/>
    <s v="CASTFA"/>
  </r>
  <r>
    <x v="1656"/>
    <s v="Ho"/>
    <s v="Zi Rong, Galvin"/>
    <s v="SGP0057"/>
    <s v="OPEN"/>
    <x v="23"/>
    <s v="SGP"/>
    <m/>
    <m/>
    <m/>
    <m/>
    <m/>
    <s v="TFAS"/>
    <s v="CASTFA"/>
  </r>
  <r>
    <x v="1657"/>
    <s v="Hodds"/>
    <s v="Jacob"/>
    <s v="ENG0525"/>
    <s v="U12"/>
    <x v="180"/>
    <s v="ENG"/>
    <m/>
    <m/>
    <m/>
    <m/>
    <m/>
    <s v="ESA"/>
    <s v="CESTFA"/>
  </r>
  <r>
    <x v="1658"/>
    <s v="Hodds"/>
    <s v="Martin"/>
    <s v="ENG0009"/>
    <s v="VET"/>
    <x v="180"/>
    <s v="ENG"/>
    <m/>
    <m/>
    <m/>
    <m/>
    <m/>
    <s v="ESA"/>
    <s v="CESTFA"/>
  </r>
  <r>
    <x v="1659"/>
    <s v="Holliday"/>
    <s v="William"/>
    <s v="WAL0015"/>
    <s v="OPEN"/>
    <x v="121"/>
    <s v="WAL"/>
    <m/>
    <m/>
    <m/>
    <m/>
    <m/>
    <s v="WSTFA"/>
    <s v="CESTFA"/>
  </r>
  <r>
    <x v="1660"/>
    <s v="Holmes"/>
    <s v="Martin"/>
    <s v="ENG0526"/>
    <s v="VET"/>
    <x v="257"/>
    <s v="ENG"/>
    <m/>
    <m/>
    <m/>
    <m/>
    <m/>
    <s v="ESA"/>
    <s v="CESTFA"/>
  </r>
  <r>
    <x v="1661"/>
    <s v="Holmes"/>
    <s v="Peter"/>
    <s v="ENG0416"/>
    <s v="VET"/>
    <x v="301"/>
    <s v="ENG"/>
    <m/>
    <m/>
    <m/>
    <m/>
    <m/>
    <s v="ESA"/>
    <s v="CESTFA"/>
  </r>
  <r>
    <x v="1662"/>
    <s v="Holmes"/>
    <s v="Phil"/>
    <s v="ENG0123"/>
    <s v="VET"/>
    <x v="19"/>
    <s v="ENG"/>
    <m/>
    <m/>
    <m/>
    <m/>
    <m/>
    <s v="ESA"/>
    <s v="CESTFA"/>
  </r>
  <r>
    <x v="1663"/>
    <s v="Honet"/>
    <s v="Rémy"/>
    <s v="BEL0084"/>
    <s v="OPEN"/>
    <x v="45"/>
    <s v="BEL"/>
    <m/>
    <m/>
    <m/>
    <m/>
    <m/>
    <m/>
    <m/>
  </r>
  <r>
    <x v="1664"/>
    <s v="Honore"/>
    <s v="Lasse"/>
    <s v="DEN0016"/>
    <s v="OPEN"/>
    <x v="10"/>
    <s v="DEN"/>
    <m/>
    <m/>
    <m/>
    <m/>
    <m/>
    <s v="DSBU (Provisional)"/>
    <m/>
  </r>
  <r>
    <x v="1665"/>
    <s v="Honore"/>
    <s v="Magnus"/>
    <s v="DEN0043"/>
    <s v="OPEN"/>
    <x v="10"/>
    <s v="DEN"/>
    <m/>
    <m/>
    <m/>
    <m/>
    <m/>
    <s v="DSBU (Provisional)"/>
    <m/>
  </r>
  <r>
    <x v="1666"/>
    <s v="Hoopfer"/>
    <s v="Shane"/>
    <s v="CAN0002"/>
    <s v="OPEN"/>
    <x v="184"/>
    <s v="CAN"/>
    <m/>
    <m/>
    <m/>
    <m/>
    <m/>
    <s v="SCA"/>
    <m/>
  </r>
  <r>
    <x v="1667"/>
    <s v="Hoopfer"/>
    <s v="Travis"/>
    <s v="CAN0006"/>
    <s v="OPEN"/>
    <x v="184"/>
    <s v="CAN"/>
    <m/>
    <m/>
    <m/>
    <m/>
    <m/>
    <s v="SCA"/>
    <m/>
  </r>
  <r>
    <x v="1668"/>
    <s v="Hopwood"/>
    <s v="Mark"/>
    <s v="WAL0040"/>
    <s v="VET"/>
    <x v="165"/>
    <s v="WAL"/>
    <m/>
    <m/>
    <m/>
    <m/>
    <m/>
    <s v="WSTFA"/>
    <s v="CESTFA"/>
  </r>
  <r>
    <x v="1669"/>
    <s v="Horino"/>
    <s v="Nanami"/>
    <s v="JPN057"/>
    <s v="OPEN"/>
    <x v="302"/>
    <s v="JPN"/>
    <m/>
    <m/>
    <m/>
    <m/>
    <m/>
    <s v="JTFA"/>
    <s v="CASTFA"/>
  </r>
  <r>
    <x v="1670"/>
    <s v="Horino"/>
    <s v="Naruhisa"/>
    <s v="JPN031"/>
    <s v="VET"/>
    <x v="302"/>
    <s v="JPN"/>
    <m/>
    <m/>
    <m/>
    <m/>
    <m/>
    <s v="JTFA"/>
    <s v="CASTFA"/>
  </r>
  <r>
    <x v="1671"/>
    <s v="Horn"/>
    <s v="Tom"/>
    <s v="GER0085"/>
    <s v="VET"/>
    <x v="5"/>
    <s v="GER"/>
    <m/>
    <m/>
    <m/>
    <m/>
    <m/>
    <s v="DSTFB"/>
    <s v="CESTFA"/>
  </r>
  <r>
    <x v="1672"/>
    <s v="Horncastle"/>
    <s v="Amy"/>
    <s v="ENG0576"/>
    <s v="U16"/>
    <x v="303"/>
    <s v="ENG"/>
    <m/>
    <m/>
    <m/>
    <m/>
    <m/>
    <s v="ESA"/>
    <s v="CESTFA"/>
  </r>
  <r>
    <x v="1673"/>
    <s v="Horta"/>
    <s v="Luís Filipe"/>
    <s v="POR0027"/>
    <s v="VET"/>
    <x v="14"/>
    <s v="POR"/>
    <m/>
    <m/>
    <m/>
    <m/>
    <m/>
    <s v="APS"/>
    <s v="CESTFA"/>
  </r>
  <r>
    <x v="1674"/>
    <s v="Hotzakis"/>
    <s v="Stavros"/>
    <s v="GRE0029"/>
    <s v="VET"/>
    <x v="14"/>
    <s v="GRE"/>
    <m/>
    <m/>
    <m/>
    <m/>
    <m/>
    <s v="UHTF"/>
    <s v="CESTFA"/>
  </r>
  <r>
    <x v="1675"/>
    <s v="Houston"/>
    <s v="David"/>
    <s v="SCO0041"/>
    <s v="VET"/>
    <x v="49"/>
    <s v="SCO"/>
    <m/>
    <m/>
    <m/>
    <m/>
    <m/>
    <s v="SSA"/>
    <s v="CESTFA"/>
  </r>
  <r>
    <x v="1676"/>
    <s v="Howat"/>
    <s v="Darren"/>
    <s v="ENG0570"/>
    <s v="VET"/>
    <x v="14"/>
    <s v="ENG"/>
    <m/>
    <m/>
    <m/>
    <m/>
    <m/>
    <s v="ESA"/>
    <s v="CESTFA"/>
  </r>
  <r>
    <x v="1677"/>
    <s v="Hubert"/>
    <s v="Cameron"/>
    <s v="BEL0362"/>
    <s v="U20"/>
    <x v="178"/>
    <s v="BEL"/>
    <m/>
    <m/>
    <m/>
    <m/>
    <m/>
    <m/>
    <m/>
  </r>
  <r>
    <x v="1678"/>
    <s v="Hubert"/>
    <s v="Christophe"/>
    <s v="BEL0407"/>
    <s v="OPEN"/>
    <x v="178"/>
    <s v="BEL"/>
    <m/>
    <m/>
    <m/>
    <m/>
    <m/>
    <m/>
    <m/>
  </r>
  <r>
    <x v="1679"/>
    <s v="Hubert"/>
    <s v="Morgane"/>
    <s v="BEL0361"/>
    <s v="OPEN"/>
    <x v="178"/>
    <s v="BEL"/>
    <m/>
    <m/>
    <m/>
    <m/>
    <m/>
    <m/>
    <m/>
  </r>
  <r>
    <x v="1680"/>
    <s v="Huet"/>
    <s v="Olivia"/>
    <s v="BEL0467"/>
    <s v="U12"/>
    <x v="304"/>
    <s v="BEL"/>
    <m/>
    <m/>
    <m/>
    <m/>
    <m/>
    <m/>
    <m/>
  </r>
  <r>
    <x v="1681"/>
    <s v="Hughes"/>
    <s v="John"/>
    <s v="NIR0009"/>
    <s v="OPEN"/>
    <x v="72"/>
    <s v="NIR"/>
    <m/>
    <m/>
    <m/>
    <m/>
    <m/>
    <s v="NITFA"/>
    <s v="CESTFA"/>
  </r>
  <r>
    <x v="1682"/>
    <s v="Hunt"/>
    <s v="Scott"/>
    <s v="ENG0481"/>
    <s v="VET"/>
    <x v="305"/>
    <s v="ENG"/>
    <m/>
    <m/>
    <m/>
    <m/>
    <m/>
    <s v="ESA"/>
    <s v="CESTFA"/>
  </r>
  <r>
    <x v="1683"/>
    <s v="Hunter"/>
    <s v="David"/>
    <s v="ENG0397"/>
    <s v="OPEN"/>
    <x v="216"/>
    <s v="ENG"/>
    <m/>
    <m/>
    <m/>
    <m/>
    <m/>
    <s v="ESA"/>
    <s v="CESTFA"/>
  </r>
  <r>
    <x v="1684"/>
    <s v="Husain"/>
    <s v="Mohd Asyraaf"/>
    <s v="SGP0038"/>
    <s v="OPEN"/>
    <x v="259"/>
    <s v="SGP"/>
    <m/>
    <m/>
    <m/>
    <m/>
    <m/>
    <s v="TFAS"/>
    <s v="CASTFA"/>
  </r>
  <r>
    <x v="1685"/>
    <s v="Husarek"/>
    <s v="Holger"/>
    <s v="GER0008"/>
    <s v="VET"/>
    <x v="306"/>
    <s v="GER"/>
    <m/>
    <m/>
    <m/>
    <m/>
    <m/>
    <s v="DSTFB"/>
    <s v="CESTFA"/>
  </r>
  <r>
    <x v="1686"/>
    <s v="Huynh"/>
    <s v="Rémy"/>
    <s v="BEL0108"/>
    <s v="OPEN"/>
    <x v="118"/>
    <s v="BEL"/>
    <m/>
    <m/>
    <m/>
    <m/>
    <m/>
    <m/>
    <m/>
  </r>
  <r>
    <x v="1687"/>
    <s v="Iannazzo"/>
    <s v="Valerio"/>
    <s v="ITA2351"/>
    <s v="OPEN"/>
    <x v="71"/>
    <s v="ITA"/>
    <m/>
    <m/>
    <m/>
    <m/>
    <m/>
    <s v="FISCT"/>
    <s v="CESTFA"/>
  </r>
  <r>
    <x v="1688"/>
    <s v="Iarlori"/>
    <s v="Rocco Antonio"/>
    <s v="ITA2324"/>
    <s v="OPEN"/>
    <x v="243"/>
    <s v="ITA"/>
    <m/>
    <m/>
    <m/>
    <m/>
    <m/>
    <s v="FISCT"/>
    <s v="CESTFA"/>
  </r>
  <r>
    <x v="1689"/>
    <s v="Iazzetta"/>
    <s v="Gianfranco"/>
    <s v="ITA1510"/>
    <s v="VET"/>
    <x v="170"/>
    <s v="ITA"/>
    <m/>
    <m/>
    <m/>
    <m/>
    <m/>
    <s v="FISCT"/>
    <s v="CESTFA"/>
  </r>
  <r>
    <x v="1690"/>
    <s v="Ichiba"/>
    <s v="Masumi"/>
    <s v="JPN184"/>
    <s v="VET"/>
    <x v="307"/>
    <s v="JPN"/>
    <m/>
    <m/>
    <m/>
    <m/>
    <m/>
    <s v="JTFA"/>
    <s v="CASTFA"/>
  </r>
  <r>
    <x v="1691"/>
    <s v="Idema"/>
    <s v="Chad Allen"/>
    <s v="USA0361"/>
    <s v="OPEN"/>
    <x v="273"/>
    <s v="USA"/>
    <m/>
    <m/>
    <m/>
    <m/>
    <m/>
    <s v="ASA"/>
    <s v="CONASTF"/>
  </r>
  <r>
    <x v="1692"/>
    <s v="Idoux"/>
    <s v="Jérémy"/>
    <s v="FRA0244"/>
    <s v="OPEN"/>
    <x v="275"/>
    <s v="FRA"/>
    <m/>
    <m/>
    <m/>
    <m/>
    <m/>
    <s v="3FTS"/>
    <s v="CESTFA"/>
  </r>
  <r>
    <x v="1693"/>
    <s v="Idoux"/>
    <s v="Michel"/>
    <s v="FRA0251"/>
    <s v="VET"/>
    <x v="275"/>
    <s v="FRA"/>
    <m/>
    <m/>
    <m/>
    <m/>
    <m/>
    <s v="3FTS"/>
    <s v="CESTFA"/>
  </r>
  <r>
    <x v="1694"/>
    <s v="Idriss"/>
    <s v="Mohammad"/>
    <s v="DEN0106"/>
    <s v="U20"/>
    <x v="10"/>
    <s v="DEN"/>
    <m/>
    <m/>
    <m/>
    <m/>
    <m/>
    <s v="DSBU (Provisional)"/>
    <m/>
  </r>
  <r>
    <x v="1695"/>
    <s v="Ielapi"/>
    <s v="Gaetano"/>
    <s v="ITA0437"/>
    <s v="VET"/>
    <x v="40"/>
    <s v="ITA"/>
    <m/>
    <m/>
    <m/>
    <m/>
    <m/>
    <s v="FISCT"/>
    <s v="CESTFA"/>
  </r>
  <r>
    <x v="1696"/>
    <s v="Ielapi"/>
    <s v="Pietro"/>
    <s v="ITA0436"/>
    <s v="VET"/>
    <x v="84"/>
    <s v="ITA"/>
    <m/>
    <m/>
    <m/>
    <m/>
    <m/>
    <s v="FISCT"/>
    <s v="CESTFA"/>
  </r>
  <r>
    <x v="1697"/>
    <s v="Ieppariello"/>
    <s v="Nunzio"/>
    <s v="ITA2961"/>
    <s v="VET"/>
    <x v="1"/>
    <s v="ITA"/>
    <m/>
    <m/>
    <m/>
    <m/>
    <m/>
    <s v="FISCT"/>
    <s v="CESTFA"/>
  </r>
  <r>
    <x v="1698"/>
    <s v="Iervese"/>
    <s v="Federico"/>
    <s v="ITA3347"/>
    <m/>
    <x v="112"/>
    <s v="ITA"/>
    <m/>
    <m/>
    <m/>
    <m/>
    <m/>
    <s v="FISCT"/>
    <s v="CESTFA"/>
  </r>
  <r>
    <x v="1699"/>
    <s v="Iervese"/>
    <s v="Massimiliano"/>
    <s v="ITA1846"/>
    <s v="OPEN"/>
    <x v="112"/>
    <s v="ITA"/>
    <m/>
    <m/>
    <m/>
    <m/>
    <m/>
    <s v="FISCT"/>
    <s v="CESTFA"/>
  </r>
  <r>
    <x v="1700"/>
    <s v="Ifantis"/>
    <s v="Konstantinos"/>
    <s v="GRE0392"/>
    <s v="VET"/>
    <x v="14"/>
    <s v="GRE"/>
    <m/>
    <m/>
    <m/>
    <m/>
    <m/>
    <s v="UHTF"/>
    <s v="CESTFA"/>
  </r>
  <r>
    <x v="1701"/>
    <s v="Ifrigerio"/>
    <s v="Rosario"/>
    <s v="ITA1163"/>
    <s v="VET"/>
    <x v="40"/>
    <s v="ITA"/>
    <m/>
    <m/>
    <m/>
    <m/>
    <m/>
    <s v="FISCT"/>
    <s v="CESTFA"/>
  </r>
  <r>
    <x v="1702"/>
    <s v="Ihle"/>
    <s v="Bernhard"/>
    <s v="GER0084"/>
    <s v="VET"/>
    <x v="308"/>
    <s v="GER"/>
    <m/>
    <m/>
    <m/>
    <m/>
    <m/>
    <s v="DSTFB"/>
    <s v="CESTFA"/>
  </r>
  <r>
    <x v="1703"/>
    <s v="Ikeya"/>
    <s v="Tomoyoshi"/>
    <s v="JPN014"/>
    <s v="OPEN"/>
    <x v="271"/>
    <s v="JPN"/>
    <m/>
    <m/>
    <m/>
    <m/>
    <m/>
    <s v="JTFA"/>
    <s v="CASTFA"/>
  </r>
  <r>
    <x v="1704"/>
    <s v="Iliadakis"/>
    <s v="Ioannis- Georgios"/>
    <s v="GRE0804"/>
    <s v="U12"/>
    <x v="67"/>
    <s v="GRE"/>
    <m/>
    <m/>
    <m/>
    <m/>
    <m/>
    <s v="UHTF"/>
    <s v="CESTFA"/>
  </r>
  <r>
    <x v="1705"/>
    <s v="Iliadis"/>
    <s v="Eleftherios"/>
    <s v="GRE0341"/>
    <s v="OPEN"/>
    <x v="14"/>
    <s v="GRE"/>
    <m/>
    <m/>
    <m/>
    <m/>
    <m/>
    <s v="UHTF"/>
    <s v="CESTFA"/>
  </r>
  <r>
    <x v="1706"/>
    <s v="Iliev"/>
    <s v="Álex"/>
    <s v="ESP0437"/>
    <s v="U16"/>
    <x v="150"/>
    <s v="ESP"/>
    <m/>
    <m/>
    <m/>
    <m/>
    <m/>
    <s v="AEFM"/>
    <s v="CESTFA"/>
  </r>
  <r>
    <x v="1707"/>
    <s v="Imbrogiano"/>
    <s v="John"/>
    <s v="SUI019"/>
    <s v="OPEN"/>
    <x v="202"/>
    <s v="SUI"/>
    <m/>
    <m/>
    <m/>
    <m/>
    <m/>
    <m/>
    <m/>
  </r>
  <r>
    <x v="1708"/>
    <s v="Impallomeni"/>
    <s v="Bernardo"/>
    <s v="ITA0439"/>
    <s v="VET"/>
    <x v="116"/>
    <s v="ITA"/>
    <m/>
    <m/>
    <m/>
    <m/>
    <m/>
    <s v="FISCT"/>
    <s v="CESTFA"/>
  </r>
  <r>
    <x v="1709"/>
    <s v="Imperato"/>
    <s v="Marco"/>
    <s v="ITA3285"/>
    <s v="OPEN"/>
    <x v="54"/>
    <s v="ITA"/>
    <m/>
    <m/>
    <m/>
    <m/>
    <m/>
    <s v="FISCT"/>
    <s v="CESTFA"/>
  </r>
  <r>
    <x v="1710"/>
    <s v="Incardona"/>
    <s v="Emanuele"/>
    <s v="ITA3254"/>
    <s v="VET"/>
    <x v="234"/>
    <s v="ITA"/>
    <m/>
    <m/>
    <m/>
    <m/>
    <m/>
    <s v="FISCT"/>
    <s v="CESTFA"/>
  </r>
  <r>
    <x v="1711"/>
    <s v="Incorvaia"/>
    <s v="Alex"/>
    <s v="ITA0440"/>
    <s v="OPEN"/>
    <x v="41"/>
    <s v="ITA"/>
    <m/>
    <m/>
    <m/>
    <m/>
    <m/>
    <s v="FISCT"/>
    <s v="CESTFA"/>
  </r>
  <r>
    <x v="1712"/>
    <s v="Indelli"/>
    <s v="Alessandro"/>
    <s v="ITA3453"/>
    <s v="VET"/>
    <x v="289"/>
    <s v="ITA"/>
    <m/>
    <m/>
    <m/>
    <m/>
    <m/>
    <s v="FISCT"/>
    <s v="CESTFA"/>
  </r>
  <r>
    <x v="1713"/>
    <s v="Indino"/>
    <s v="Gianluca"/>
    <s v="ITA3232"/>
    <s v="VET"/>
    <x v="27"/>
    <s v="ITA"/>
    <m/>
    <m/>
    <m/>
    <m/>
    <m/>
    <s v="FISCT"/>
    <s v="CESTFA"/>
  </r>
  <r>
    <x v="1714"/>
    <s v="Intra"/>
    <s v="Efrem"/>
    <s v="ITA0443"/>
    <s v="OPEN"/>
    <x v="134"/>
    <s v="ITA"/>
    <m/>
    <m/>
    <m/>
    <m/>
    <m/>
    <s v="FISCT"/>
    <s v="CESTFA"/>
  </r>
  <r>
    <x v="1715"/>
    <s v="Inverardi"/>
    <s v="Massimo"/>
    <s v="ITA3361"/>
    <s v="VET"/>
    <x v="114"/>
    <s v="ITA"/>
    <m/>
    <m/>
    <m/>
    <m/>
    <m/>
    <s v="FISCT"/>
    <s v="CESTFA"/>
  </r>
  <r>
    <x v="1716"/>
    <s v="Ioakim"/>
    <s v="Vasiliki"/>
    <s v="GRE0360"/>
    <s v="OPEN"/>
    <x v="14"/>
    <s v="GRE"/>
    <m/>
    <m/>
    <m/>
    <m/>
    <m/>
    <s v="UHTF"/>
    <s v="CESTFA"/>
  </r>
  <r>
    <x v="1717"/>
    <s v="Ioakimidis"/>
    <s v="Panagiotis"/>
    <s v="GRE0069"/>
    <s v="OPEN"/>
    <x v="14"/>
    <s v="GRE"/>
    <m/>
    <m/>
    <m/>
    <m/>
    <m/>
    <s v="UHTF"/>
    <s v="CESTFA"/>
  </r>
  <r>
    <x v="1718"/>
    <s v="Ioan"/>
    <s v="Alessandro"/>
    <s v="ITA0446"/>
    <s v="VET"/>
    <x v="193"/>
    <s v="ITA"/>
    <m/>
    <m/>
    <m/>
    <m/>
    <m/>
    <s v="FISCT"/>
    <s v="CESTFA"/>
  </r>
  <r>
    <x v="1719"/>
    <s v="Ioannides"/>
    <s v="Neophytos"/>
    <s v="CYP0005"/>
    <s v="OPEN"/>
    <x v="59"/>
    <s v="CYP"/>
    <m/>
    <m/>
    <m/>
    <m/>
    <m/>
    <s v="CYSTFA (Provisional)"/>
    <m/>
  </r>
  <r>
    <x v="1720"/>
    <s v="Ioannou"/>
    <s v="Christakis"/>
    <s v="CYP0026"/>
    <s v="VET"/>
    <x v="50"/>
    <s v="CYP"/>
    <m/>
    <m/>
    <m/>
    <m/>
    <m/>
    <s v="CYSTFA (Provisional)"/>
    <m/>
  </r>
  <r>
    <x v="1721"/>
    <s v="Ioannou"/>
    <s v="Gerasimos"/>
    <s v="GRE0045"/>
    <s v="OPEN"/>
    <x v="14"/>
    <s v="GRE"/>
    <m/>
    <m/>
    <m/>
    <m/>
    <m/>
    <s v="UHTF"/>
    <s v="CESTFA"/>
  </r>
  <r>
    <x v="1722"/>
    <s v="Ioannou"/>
    <s v="Nikolas"/>
    <s v="CYP0039"/>
    <s v="VET"/>
    <x v="59"/>
    <s v="CYP"/>
    <m/>
    <m/>
    <m/>
    <m/>
    <m/>
    <s v="CYSTFA (Provisional)"/>
    <m/>
  </r>
  <r>
    <x v="1723"/>
    <s v="Ioannou"/>
    <s v="Paris"/>
    <s v="ENG0475"/>
    <s v="OPEN"/>
    <x v="14"/>
    <s v="ENG"/>
    <m/>
    <m/>
    <m/>
    <m/>
    <m/>
    <s v="ESA"/>
    <s v="CESTFA"/>
  </r>
  <r>
    <x v="1724"/>
    <s v="Iobbi"/>
    <s v="Adriano"/>
    <s v="ITA1473"/>
    <s v="VET"/>
    <x v="120"/>
    <s v="ITA"/>
    <m/>
    <m/>
    <m/>
    <m/>
    <m/>
    <s v="FISCT"/>
    <s v="CESTFA"/>
  </r>
  <r>
    <x v="1725"/>
    <s v="Iordanidis"/>
    <s v="Eleftherios"/>
    <s v="GRE0717"/>
    <s v="OPEN"/>
    <x v="14"/>
    <s v="GRE"/>
    <m/>
    <m/>
    <m/>
    <m/>
    <m/>
    <s v="UHTF"/>
    <s v="CESTFA"/>
  </r>
  <r>
    <x v="1726"/>
    <s v="Iordanidis"/>
    <s v="Giorgos"/>
    <s v="GRE0709"/>
    <s v="VET"/>
    <x v="66"/>
    <s v="GRE"/>
    <m/>
    <m/>
    <m/>
    <m/>
    <m/>
    <s v="UHTF"/>
    <s v="CESTFA"/>
  </r>
  <r>
    <x v="1727"/>
    <s v="Iorio"/>
    <s v="Alex"/>
    <s v="ITA0447"/>
    <s v="OPEN"/>
    <x v="166"/>
    <s v="ITA"/>
    <m/>
    <m/>
    <m/>
    <m/>
    <m/>
    <s v="FISCT"/>
    <s v="CESTFA"/>
  </r>
  <r>
    <x v="1728"/>
    <s v="Iovino"/>
    <s v="Vincenzo"/>
    <s v="ITA2033"/>
    <s v="OPEN"/>
    <x v="268"/>
    <s v="ITA"/>
    <m/>
    <m/>
    <m/>
    <m/>
    <m/>
    <s v="FISCT"/>
    <s v="CESTFA"/>
  </r>
  <r>
    <x v="1729"/>
    <s v="Irwanshah"/>
    <s v="Kassim"/>
    <s v="SGP0098"/>
    <s v="OPEN"/>
    <x v="23"/>
    <s v="SGP"/>
    <m/>
    <m/>
    <m/>
    <m/>
    <m/>
    <s v="TFAS"/>
    <s v="CASTFA"/>
  </r>
  <r>
    <x v="1730"/>
    <s v="Iskandar"/>
    <s v="Irwan"/>
    <s v="SGP0096"/>
    <s v="OPEN"/>
    <x v="23"/>
    <s v="SGP"/>
    <m/>
    <m/>
    <m/>
    <m/>
    <m/>
    <s v="TFAS"/>
    <s v="CASTFA"/>
  </r>
  <r>
    <x v="1731"/>
    <s v="Ito"/>
    <s v="Miyuki"/>
    <s v="JPN186"/>
    <s v="VET"/>
    <x v="307"/>
    <s v="JPN"/>
    <m/>
    <m/>
    <m/>
    <m/>
    <m/>
    <s v="JTFA"/>
    <s v="CASTFA"/>
  </r>
  <r>
    <x v="1732"/>
    <s v="Ito"/>
    <s v="Ryoichiro"/>
    <s v="JPN157"/>
    <s v="OPEN"/>
    <x v="26"/>
    <s v="JPN"/>
    <m/>
    <m/>
    <m/>
    <m/>
    <m/>
    <s v="JTFA"/>
    <s v="CASTFA"/>
  </r>
  <r>
    <x v="1733"/>
    <s v="Izard"/>
    <s v="Paul"/>
    <s v="ENG0535"/>
    <s v="VET"/>
    <x v="75"/>
    <s v="ENG"/>
    <m/>
    <m/>
    <m/>
    <m/>
    <m/>
    <s v="ESA"/>
    <s v="CESTFA"/>
  </r>
  <r>
    <x v="1734"/>
    <s v="Jaafar"/>
    <s v="Mohd Faizul"/>
    <s v="SGP0056"/>
    <s v="OPEN"/>
    <x v="23"/>
    <s v="SGP"/>
    <m/>
    <m/>
    <m/>
    <m/>
    <m/>
    <s v="TFAS"/>
    <s v="CASTFA"/>
  </r>
  <r>
    <x v="1735"/>
    <s v="Jaafar"/>
    <s v="Mohd Farhan"/>
    <s v="SGP0008"/>
    <s v="OPEN"/>
    <x v="23"/>
    <s v="SGP"/>
    <m/>
    <m/>
    <m/>
    <m/>
    <m/>
    <s v="TFAS"/>
    <s v="CASTFA"/>
  </r>
  <r>
    <x v="1736"/>
    <s v="Jack"/>
    <s v="David"/>
    <s v="SCO0076"/>
    <s v="VET"/>
    <x v="49"/>
    <s v="SCO"/>
    <m/>
    <m/>
    <m/>
    <m/>
    <m/>
    <s v="SSA"/>
    <s v="CESTFA"/>
  </r>
  <r>
    <x v="1737"/>
    <s v="Jackson"/>
    <s v="Adam"/>
    <s v="ENG1005"/>
    <s v="OPEN"/>
    <x v="81"/>
    <s v="ENG"/>
    <m/>
    <m/>
    <m/>
    <m/>
    <m/>
    <s v="ESA"/>
    <s v="CESTFA"/>
  </r>
  <r>
    <x v="1738"/>
    <s v="Jaillet"/>
    <s v="Laurent"/>
    <s v="FRA0210"/>
    <s v="VET"/>
    <x v="82"/>
    <s v="FRA"/>
    <m/>
    <m/>
    <m/>
    <m/>
    <m/>
    <s v="3FTS"/>
    <s v="CESTFA"/>
  </r>
  <r>
    <x v="1739"/>
    <s v="Jake"/>
    <s v="Schoonmaker"/>
    <s v="USA0409"/>
    <s v="OPEN"/>
    <x v="219"/>
    <s v="USA"/>
    <m/>
    <m/>
    <m/>
    <m/>
    <m/>
    <s v="ASA"/>
    <s v="CONASTF"/>
  </r>
  <r>
    <x v="1740"/>
    <s v="Jakubowski"/>
    <s v="Michael"/>
    <s v="USA0431"/>
    <s v="OPEN"/>
    <x v="247"/>
    <s v="USA"/>
    <m/>
    <m/>
    <m/>
    <m/>
    <m/>
    <s v="ASA"/>
    <s v="CONASTF"/>
  </r>
  <r>
    <x v="1741"/>
    <s v="Jalbert"/>
    <s v="Thierry"/>
    <s v="FRA0040"/>
    <s v="VET"/>
    <x v="82"/>
    <s v="FRA"/>
    <m/>
    <m/>
    <m/>
    <m/>
    <m/>
    <s v="3FTS"/>
    <s v="CESTFA"/>
  </r>
  <r>
    <x v="1742"/>
    <s v="James"/>
    <s v="Tim"/>
    <s v="ENG0575"/>
    <s v="VET"/>
    <x v="14"/>
    <s v="ENG"/>
    <m/>
    <m/>
    <m/>
    <m/>
    <m/>
    <s v="ESA"/>
    <s v="CESTFA"/>
  </r>
  <r>
    <x v="1743"/>
    <s v="James"/>
    <s v="Wyss"/>
    <s v="USA0408"/>
    <s v="VET"/>
    <x v="14"/>
    <s v="USA"/>
    <m/>
    <m/>
    <m/>
    <m/>
    <m/>
    <s v="ASA"/>
    <s v="CONASTF"/>
  </r>
  <r>
    <x v="1744"/>
    <s v="Jamieson"/>
    <s v="Kyle"/>
    <s v="ENG0523"/>
    <s v="OPEN"/>
    <x v="75"/>
    <s v="ENG"/>
    <m/>
    <m/>
    <m/>
    <m/>
    <m/>
    <s v="ESA"/>
    <s v="CESTFA"/>
  </r>
  <r>
    <x v="1745"/>
    <s v="Jamieson"/>
    <s v="Malcolm"/>
    <s v="ENG0323"/>
    <s v="VET"/>
    <x v="75"/>
    <s v="ENG"/>
    <m/>
    <m/>
    <m/>
    <m/>
    <m/>
    <s v="ESA"/>
    <s v="CESTFA"/>
  </r>
  <r>
    <x v="1746"/>
    <s v="Jan"/>
    <s v="Franck"/>
    <s v="FRA0261"/>
    <s v="VET"/>
    <x v="14"/>
    <s v="FRA"/>
    <m/>
    <m/>
    <m/>
    <m/>
    <m/>
    <s v="3FTS"/>
    <s v="CESTFA"/>
  </r>
  <r>
    <x v="1747"/>
    <s v="Janssens"/>
    <s v="Noah"/>
    <s v="BEL0445"/>
    <s v="U20"/>
    <x v="172"/>
    <s v="BEL"/>
    <m/>
    <m/>
    <m/>
    <m/>
    <m/>
    <m/>
    <m/>
  </r>
  <r>
    <x v="1748"/>
    <s v="Janssens"/>
    <s v="Thomas"/>
    <s v="BEL0472"/>
    <s v="OPEN"/>
    <x v="172"/>
    <s v="BEL"/>
    <m/>
    <m/>
    <m/>
    <m/>
    <m/>
    <m/>
    <m/>
  </r>
  <r>
    <x v="1749"/>
    <s v="Jardim"/>
    <s v="Rhaniery"/>
    <s v="BRA0105"/>
    <s v="OPEN"/>
    <x v="214"/>
    <s v="BRA"/>
    <m/>
    <m/>
    <m/>
    <m/>
    <m/>
    <s v="CBFM (Suspended)"/>
    <m/>
  </r>
  <r>
    <x v="1750"/>
    <s v="Jenkins"/>
    <s v="Dee"/>
    <s v="NIR0032"/>
    <s v="VET"/>
    <x v="181"/>
    <s v="NIR"/>
    <m/>
    <m/>
    <m/>
    <m/>
    <m/>
    <s v="NITFA"/>
    <s v="CESTFA"/>
  </r>
  <r>
    <x v="1751"/>
    <s v="Jenner"/>
    <s v="Mike"/>
    <s v="GRE0468"/>
    <s v="OPEN"/>
    <x v="14"/>
    <s v="GRE"/>
    <m/>
    <m/>
    <m/>
    <m/>
    <m/>
    <s v="UHTF"/>
    <s v="CESTFA"/>
  </r>
  <r>
    <x v="1752"/>
    <s v="Jibril"/>
    <s v="Muhammad"/>
    <s v="MAS0009"/>
    <s v="OPEN"/>
    <x v="85"/>
    <s v="MAS"/>
    <m/>
    <m/>
    <m/>
    <m/>
    <m/>
    <m/>
    <m/>
  </r>
  <r>
    <x v="1753"/>
    <s v="Joachim"/>
    <s v="Mathis"/>
    <s v="BEL0464"/>
    <s v="U12"/>
    <x v="304"/>
    <s v="BEL"/>
    <m/>
    <m/>
    <m/>
    <m/>
    <m/>
    <m/>
    <m/>
  </r>
  <r>
    <x v="1754"/>
    <s v="Johansen"/>
    <s v="Maja"/>
    <s v="DEN0059"/>
    <s v="OPEN"/>
    <x v="10"/>
    <s v="DEN"/>
    <m/>
    <m/>
    <m/>
    <m/>
    <m/>
    <s v="DSBU (Provisional)"/>
    <m/>
  </r>
  <r>
    <x v="1755"/>
    <s v="Jon Scotta"/>
    <s v="Maurizio"/>
    <s v="ITA0450"/>
    <s v="OPEN"/>
    <x v="153"/>
    <s v="ITA"/>
    <m/>
    <m/>
    <m/>
    <m/>
    <m/>
    <s v="FISCT"/>
    <s v="CESTFA"/>
  </r>
  <r>
    <x v="1756"/>
    <s v="Jones"/>
    <s v="Robert"/>
    <s v="ENG0495"/>
    <s v="OPEN"/>
    <x v="90"/>
    <s v="ENG"/>
    <m/>
    <m/>
    <m/>
    <m/>
    <m/>
    <s v="ESA"/>
    <s v="CESTFA"/>
  </r>
  <r>
    <x v="1757"/>
    <s v="Jones"/>
    <s v="Victor"/>
    <s v="ENG0115"/>
    <s v="OPEN"/>
    <x v="197"/>
    <s v="ENG"/>
    <m/>
    <m/>
    <m/>
    <m/>
    <m/>
    <s v="ESA"/>
    <s v="CESTFA"/>
  </r>
  <r>
    <x v="1758"/>
    <s v="Jorge"/>
    <s v="André"/>
    <s v="POR0205"/>
    <s v="U20"/>
    <x v="11"/>
    <s v="POR"/>
    <m/>
    <m/>
    <m/>
    <m/>
    <m/>
    <s v="APS"/>
    <s v="CESTFA"/>
  </r>
  <r>
    <x v="1759"/>
    <s v="Jørgensen"/>
    <s v="Katrine"/>
    <s v="DEN0036"/>
    <s v="OPEN"/>
    <x v="10"/>
    <s v="DEN"/>
    <m/>
    <m/>
    <m/>
    <m/>
    <m/>
    <s v="DSBU (Provisional)"/>
    <m/>
  </r>
  <r>
    <x v="1760"/>
    <s v="Joris"/>
    <s v="Romain"/>
    <s v="BEL0465"/>
    <s v="U12"/>
    <x v="304"/>
    <s v="BEL"/>
    <m/>
    <m/>
    <m/>
    <m/>
    <m/>
    <m/>
    <m/>
  </r>
  <r>
    <x v="1761"/>
    <s v="Joris"/>
    <s v="Martin"/>
    <s v="BEL0475"/>
    <s v="U12"/>
    <x v="304"/>
    <s v="BEL"/>
    <m/>
    <m/>
    <m/>
    <m/>
    <m/>
    <m/>
    <m/>
  </r>
  <r>
    <x v="1762"/>
    <s v="José"/>
    <s v="Ricardo"/>
    <s v="POR0024"/>
    <s v="OPEN"/>
    <x v="123"/>
    <s v="POR"/>
    <m/>
    <m/>
    <m/>
    <m/>
    <m/>
    <s v="APS"/>
    <s v="CESTFA"/>
  </r>
  <r>
    <x v="1763"/>
    <s v="Juanto"/>
    <s v="Leonardo Mario"/>
    <s v="ARG0017"/>
    <s v="OPEN"/>
    <x v="157"/>
    <s v="ARG"/>
    <m/>
    <m/>
    <m/>
    <m/>
    <m/>
    <s v="LAFM (Suspended)"/>
    <s v="CSAFM"/>
  </r>
  <r>
    <x v="1764"/>
    <s v="Juárez"/>
    <s v="Javier"/>
    <s v="ESP0550"/>
    <s v="OPEN"/>
    <x v="211"/>
    <s v="ESP"/>
    <m/>
    <m/>
    <m/>
    <m/>
    <m/>
    <s v="AEFM"/>
    <s v="CESTFA"/>
  </r>
  <r>
    <x v="1765"/>
    <s v="Jung"/>
    <s v="Andreas"/>
    <s v="GER0063"/>
    <s v="VET"/>
    <x v="135"/>
    <s v="GER"/>
    <m/>
    <m/>
    <m/>
    <m/>
    <m/>
    <s v="DSTFB"/>
    <s v="CESTFA"/>
  </r>
  <r>
    <x v="1765"/>
    <s v="Jung"/>
    <s v="Andreas"/>
    <s v="GER0064"/>
    <s v="OPEN"/>
    <x v="135"/>
    <s v="GER"/>
    <m/>
    <m/>
    <m/>
    <m/>
    <m/>
    <s v="DSTFB"/>
    <s v="CESTFA"/>
  </r>
  <r>
    <x v="1766"/>
    <s v="Jung"/>
    <s v="Moritz"/>
    <s v="GER0094"/>
    <s v="OPEN"/>
    <x v="135"/>
    <s v="GER"/>
    <m/>
    <m/>
    <m/>
    <m/>
    <m/>
    <s v="DSTFB"/>
    <s v="CESTFA"/>
  </r>
  <r>
    <x v="1767"/>
    <s v="Junior"/>
    <s v="Carlos"/>
    <s v="BRA0020"/>
    <s v="VET"/>
    <x v="14"/>
    <s v="BRA"/>
    <m/>
    <m/>
    <m/>
    <m/>
    <m/>
    <s v="CBFM (Suspended)"/>
    <m/>
  </r>
  <r>
    <x v="1768"/>
    <s v="Junior"/>
    <s v="Vandir"/>
    <s v="BRA0064"/>
    <s v="VET"/>
    <x v="14"/>
    <s v="BRA"/>
    <m/>
    <m/>
    <m/>
    <m/>
    <m/>
    <s v="CBFM (Suspended)"/>
    <m/>
  </r>
  <r>
    <x v="1769"/>
    <s v="Júnior"/>
    <s v="Luís Coelho"/>
    <s v="BRA0146"/>
    <s v="OPEN"/>
    <x v="237"/>
    <s v="BRA"/>
    <m/>
    <m/>
    <m/>
    <m/>
    <m/>
    <s v="CBFM (Suspended)"/>
    <m/>
  </r>
  <r>
    <x v="1770"/>
    <s v="Junquera Miñambres"/>
    <s v="Javier"/>
    <s v="ESP0381"/>
    <s v="U20"/>
    <x v="309"/>
    <s v="ESP"/>
    <m/>
    <m/>
    <m/>
    <m/>
    <m/>
    <s v="AEFM"/>
    <s v="CESTFA"/>
  </r>
  <r>
    <x v="1771"/>
    <s v="Junquera Quintana"/>
    <s v="Javier"/>
    <s v="ESP0382"/>
    <s v="OPEN"/>
    <x v="309"/>
    <s v="ESP"/>
    <m/>
    <m/>
    <m/>
    <m/>
    <m/>
    <s v="AEFM"/>
    <s v="CESTFA"/>
  </r>
  <r>
    <x v="1772"/>
    <s v="Kadinopoulos"/>
    <s v="Aggelos-Chrisostomos"/>
    <s v="GRE0325"/>
    <s v="U16"/>
    <x v="128"/>
    <s v="GRE"/>
    <m/>
    <m/>
    <m/>
    <m/>
    <m/>
    <s v="UHTF"/>
    <s v="CESTFA"/>
  </r>
  <r>
    <x v="1773"/>
    <s v="Kadinopoulos"/>
    <s v="Grigorios"/>
    <s v="GRE0326"/>
    <s v="OPEN"/>
    <x v="128"/>
    <s v="GRE"/>
    <m/>
    <m/>
    <m/>
    <m/>
    <m/>
    <s v="UHTF"/>
    <s v="CESTFA"/>
  </r>
  <r>
    <x v="1774"/>
    <s v="Kadinopoulos"/>
    <s v="Maria Christina"/>
    <s v="GRE0608"/>
    <s v="U16"/>
    <x v="128"/>
    <s v="GRE"/>
    <m/>
    <m/>
    <m/>
    <m/>
    <m/>
    <s v="UHTF"/>
    <s v="CESTFA"/>
  </r>
  <r>
    <x v="1775"/>
    <s v="Kadinopoulos"/>
    <s v="Stefanos"/>
    <s v="GRE0609"/>
    <s v="U16"/>
    <x v="128"/>
    <s v="GRE"/>
    <m/>
    <m/>
    <m/>
    <m/>
    <m/>
    <s v="UHTF"/>
    <s v="CESTFA"/>
  </r>
  <r>
    <x v="1776"/>
    <s v="Kadinopoulos"/>
    <s v="Vasileios"/>
    <s v="GRE0100"/>
    <s v="OPEN"/>
    <x v="128"/>
    <s v="GRE"/>
    <m/>
    <m/>
    <m/>
    <m/>
    <m/>
    <s v="UHTF"/>
    <s v="CESTFA"/>
  </r>
  <r>
    <x v="1777"/>
    <s v="Kaffes"/>
    <s v="Thanos"/>
    <s v="GRE0199"/>
    <s v="OPEN"/>
    <x v="14"/>
    <s v="GRE"/>
    <m/>
    <m/>
    <m/>
    <m/>
    <m/>
    <s v="UHTF"/>
    <s v="CESTFA"/>
  </r>
  <r>
    <x v="1778"/>
    <s v="Kailoglou"/>
    <s v="Giannis"/>
    <s v="GRE0200"/>
    <s v="OPEN"/>
    <x v="14"/>
    <s v="GRE"/>
    <m/>
    <m/>
    <m/>
    <m/>
    <m/>
    <s v="UHTF"/>
    <s v="CESTFA"/>
  </r>
  <r>
    <x v="1779"/>
    <s v="Kakantousis"/>
    <s v="Christos"/>
    <s v="GRE0805"/>
    <s v="VET"/>
    <x v="66"/>
    <s v="GRE"/>
    <m/>
    <m/>
    <m/>
    <m/>
    <m/>
    <s v="UHTF"/>
    <s v="CESTFA"/>
  </r>
  <r>
    <x v="1780"/>
    <s v="Kakavas"/>
    <s v="Filippos"/>
    <s v="GRE0275"/>
    <s v="OPEN"/>
    <x v="14"/>
    <s v="GRE"/>
    <m/>
    <m/>
    <m/>
    <m/>
    <m/>
    <s v="UHTF"/>
    <s v="CESTFA"/>
  </r>
  <r>
    <x v="1781"/>
    <s v="Kakavas"/>
    <s v="Ioannis"/>
    <s v="GRE0156"/>
    <s v="VET"/>
    <x v="30"/>
    <s v="GRE"/>
    <m/>
    <m/>
    <m/>
    <m/>
    <m/>
    <s v="UHTF"/>
    <s v="CESTFA"/>
  </r>
  <r>
    <x v="1782"/>
    <s v="Kakiltakis"/>
    <s v="Minas"/>
    <s v="GRE0727"/>
    <s v="VET"/>
    <x v="62"/>
    <s v="GRE"/>
    <m/>
    <m/>
    <m/>
    <m/>
    <m/>
    <s v="UHTF"/>
    <s v="CESTFA"/>
  </r>
  <r>
    <x v="1783"/>
    <s v="Kakopoulos"/>
    <s v="Giorgos"/>
    <s v="GRE0757"/>
    <s v="OPEN"/>
    <x v="14"/>
    <s v="GRE"/>
    <m/>
    <m/>
    <m/>
    <m/>
    <m/>
    <s v="UHTF"/>
    <s v="CESTFA"/>
  </r>
  <r>
    <x v="1784"/>
    <s v="Kalakos"/>
    <s v="Athanasios"/>
    <s v="GRE0565"/>
    <s v="VET"/>
    <x v="14"/>
    <s v="GRE"/>
    <m/>
    <m/>
    <m/>
    <m/>
    <m/>
    <s v="UHTF"/>
    <s v="CESTFA"/>
  </r>
  <r>
    <x v="1785"/>
    <s v="Kalamaris"/>
    <s v="Petros"/>
    <s v="GRE0625"/>
    <s v="OPEN"/>
    <x v="14"/>
    <s v="GRE"/>
    <m/>
    <m/>
    <m/>
    <m/>
    <m/>
    <s v="UHTF"/>
    <s v="CESTFA"/>
  </r>
  <r>
    <x v="1786"/>
    <s v="Kalatzis"/>
    <s v="Dimosthenis"/>
    <s v="GRE0408"/>
    <s v="OPEN"/>
    <x v="14"/>
    <s v="GRE"/>
    <m/>
    <m/>
    <m/>
    <m/>
    <m/>
    <s v="UHTF"/>
    <s v="CESTFA"/>
  </r>
  <r>
    <x v="1787"/>
    <s v="Kalavros"/>
    <s v="Ioannis"/>
    <s v="GRE0183"/>
    <s v="VET"/>
    <x v="14"/>
    <s v="GRE"/>
    <m/>
    <m/>
    <m/>
    <m/>
    <m/>
    <s v="UHTF"/>
    <s v="CESTFA"/>
  </r>
  <r>
    <x v="1788"/>
    <s v="Kaliszewski"/>
    <s v="Daniel"/>
    <s v="IRL0013"/>
    <s v="U16"/>
    <x v="126"/>
    <s v="IRL"/>
    <m/>
    <m/>
    <m/>
    <m/>
    <m/>
    <s v="TFAI"/>
    <s v="CESTFA"/>
  </r>
  <r>
    <x v="1789"/>
    <s v="Kalogerakos"/>
    <s v="Michail"/>
    <s v="GRE0489"/>
    <s v="VET"/>
    <x v="18"/>
    <s v="GRE"/>
    <m/>
    <m/>
    <m/>
    <m/>
    <m/>
    <s v="UHTF"/>
    <s v="CESTFA"/>
  </r>
  <r>
    <x v="1790"/>
    <s v="Kalogerakos"/>
    <s v="Rafail"/>
    <s v="GRE0512"/>
    <s v="U20"/>
    <x v="67"/>
    <s v="GRE"/>
    <m/>
    <m/>
    <m/>
    <m/>
    <m/>
    <s v="UHTF"/>
    <s v="CESTFA"/>
  </r>
  <r>
    <x v="1791"/>
    <s v="Kalogiros"/>
    <s v="Athanasios"/>
    <s v="GRE0337"/>
    <s v="OPEN"/>
    <x v="14"/>
    <s v="GRE"/>
    <m/>
    <m/>
    <m/>
    <m/>
    <m/>
    <s v="UHTF"/>
    <s v="CESTFA"/>
  </r>
  <r>
    <x v="1792"/>
    <s v="Kalogiros"/>
    <s v="Georgios"/>
    <s v="GRE0350"/>
    <s v="U20"/>
    <x v="14"/>
    <s v="GRE"/>
    <m/>
    <m/>
    <m/>
    <m/>
    <m/>
    <s v="UHTF"/>
    <s v="CESTFA"/>
  </r>
  <r>
    <x v="1793"/>
    <s v="Kalogiros"/>
    <s v="Nasos"/>
    <s v="GRE0336"/>
    <s v="VET"/>
    <x v="14"/>
    <s v="GRE"/>
    <m/>
    <m/>
    <m/>
    <m/>
    <m/>
    <s v="UHTF"/>
    <s v="CESTFA"/>
  </r>
  <r>
    <x v="1794"/>
    <s v="Kalopsidiotis"/>
    <s v="Kostas"/>
    <s v="CYP0006"/>
    <s v="OPEN"/>
    <x v="59"/>
    <s v="CYP"/>
    <m/>
    <m/>
    <m/>
    <m/>
    <m/>
    <s v="CYSTFA (Provisional)"/>
    <m/>
  </r>
  <r>
    <x v="1795"/>
    <s v="Kalopsidiotis"/>
    <s v="Marcos"/>
    <s v="CYP0007"/>
    <s v="OPEN"/>
    <x v="59"/>
    <s v="CYP"/>
    <m/>
    <m/>
    <m/>
    <m/>
    <m/>
    <s v="CYSTFA (Provisional)"/>
    <m/>
  </r>
  <r>
    <x v="1796"/>
    <s v="Kaloudaki"/>
    <s v="Theodora"/>
    <s v="GRE0579"/>
    <s v="OPEN"/>
    <x v="14"/>
    <s v="GRE"/>
    <m/>
    <m/>
    <m/>
    <m/>
    <m/>
    <s v="UHTF"/>
    <s v="CESTFA"/>
  </r>
  <r>
    <x v="1797"/>
    <s v="Kalvakis"/>
    <s v="Aggelos"/>
    <s v="GRE0438"/>
    <s v="U20"/>
    <x v="14"/>
    <s v="GRE"/>
    <m/>
    <m/>
    <m/>
    <m/>
    <m/>
    <s v="UHTF"/>
    <s v="CESTFA"/>
  </r>
  <r>
    <x v="1798"/>
    <s v="Kalvakis"/>
    <s v="Nasos"/>
    <s v="GRE0479"/>
    <s v="VET"/>
    <x v="14"/>
    <s v="GRE"/>
    <m/>
    <m/>
    <m/>
    <m/>
    <m/>
    <s v="UHTF"/>
    <s v="CESTFA"/>
  </r>
  <r>
    <x v="1799"/>
    <s v="Kalyta"/>
    <s v="Frank"/>
    <s v="GER0108"/>
    <s v="OPEN"/>
    <x v="310"/>
    <s v="GER"/>
    <m/>
    <m/>
    <m/>
    <m/>
    <m/>
    <s v="DSTFB"/>
    <s v="CESTFA"/>
  </r>
  <r>
    <x v="1800"/>
    <s v="Kampas"/>
    <s v="Anderas"/>
    <s v="GRE0667"/>
    <s v="OPEN"/>
    <x v="14"/>
    <s v="GRE"/>
    <m/>
    <m/>
    <m/>
    <m/>
    <m/>
    <s v="UHTF"/>
    <s v="CESTFA"/>
  </r>
  <r>
    <x v="1801"/>
    <s v="Kanakis"/>
    <s v="Iordanis"/>
    <s v="GRE0537"/>
    <s v="OPEN"/>
    <x v="14"/>
    <s v="GRE"/>
    <m/>
    <m/>
    <m/>
    <m/>
    <m/>
    <s v="UHTF"/>
    <s v="CESTFA"/>
  </r>
  <r>
    <x v="1802"/>
    <s v="Kanda"/>
    <s v="Aki"/>
    <s v="JPN179"/>
    <s v="OPEN"/>
    <x v="307"/>
    <s v="JPN"/>
    <m/>
    <m/>
    <m/>
    <m/>
    <m/>
    <s v="JTFA"/>
    <s v="CASTFA"/>
  </r>
  <r>
    <x v="1803"/>
    <s v="Kanda"/>
    <s v="Junya"/>
    <s v="JPN181"/>
    <s v="VET"/>
    <x v="307"/>
    <s v="JPN"/>
    <m/>
    <m/>
    <m/>
    <m/>
    <m/>
    <s v="JTFA"/>
    <s v="CASTFA"/>
  </r>
  <r>
    <x v="1804"/>
    <s v="Kanda"/>
    <s v="Kotetsu"/>
    <s v="JPN180"/>
    <s v="U12"/>
    <x v="307"/>
    <s v="JPN"/>
    <m/>
    <m/>
    <m/>
    <m/>
    <m/>
    <s v="JTFA"/>
    <s v="CASTFA"/>
  </r>
  <r>
    <x v="1805"/>
    <s v="Kanetis"/>
    <s v="Eleftherios"/>
    <s v="GRE0702"/>
    <s v="OPEN"/>
    <x v="128"/>
    <s v="GRE"/>
    <m/>
    <m/>
    <m/>
    <m/>
    <m/>
    <s v="UHTF"/>
    <s v="CESTFA"/>
  </r>
  <r>
    <x v="1806"/>
    <s v="Kantarakis"/>
    <s v="Anastasia"/>
    <s v="GRE0518"/>
    <s v="U20"/>
    <x v="14"/>
    <s v="GRE"/>
    <m/>
    <m/>
    <m/>
    <m/>
    <m/>
    <s v="UHTF"/>
    <s v="CESTFA"/>
  </r>
  <r>
    <x v="1807"/>
    <s v="Kantarakis"/>
    <s v="Filippos"/>
    <s v="GRE0478"/>
    <s v="VET"/>
    <x v="14"/>
    <s v="GRE"/>
    <m/>
    <m/>
    <m/>
    <m/>
    <m/>
    <s v="UHTF"/>
    <s v="CESTFA"/>
  </r>
  <r>
    <x v="1808"/>
    <s v="Kantarakis"/>
    <s v="Stamatios"/>
    <s v="GRE0519"/>
    <s v="U20"/>
    <x v="14"/>
    <s v="GRE"/>
    <m/>
    <m/>
    <m/>
    <m/>
    <m/>
    <s v="UHTF"/>
    <s v="CESTFA"/>
  </r>
  <r>
    <x v="1809"/>
    <s v="Kaouane"/>
    <s v="Luc"/>
    <s v="GER0148"/>
    <s v="OPEN"/>
    <x v="221"/>
    <s v="GER"/>
    <m/>
    <m/>
    <m/>
    <m/>
    <m/>
    <s v="DSTFB"/>
    <s v="CESTFA"/>
  </r>
  <r>
    <x v="1810"/>
    <s v="Kapelis"/>
    <s v="Christos"/>
    <s v="GRE0806"/>
    <s v="OPEN"/>
    <x v="66"/>
    <s v="GRE"/>
    <m/>
    <m/>
    <m/>
    <m/>
    <m/>
    <s v="UHTF"/>
    <s v="CESTFA"/>
  </r>
  <r>
    <x v="1811"/>
    <s v="Kapelis"/>
    <s v="Eleftherios"/>
    <s v="GRE0807"/>
    <s v="U20"/>
    <x v="66"/>
    <s v="GRE"/>
    <m/>
    <m/>
    <m/>
    <m/>
    <m/>
    <s v="UHTF"/>
    <s v="CESTFA"/>
  </r>
  <r>
    <x v="1812"/>
    <s v="Kaperonis"/>
    <s v="Dimitrios"/>
    <s v="GRE0577"/>
    <s v="U20"/>
    <x v="14"/>
    <s v="GRE"/>
    <m/>
    <m/>
    <m/>
    <m/>
    <m/>
    <s v="UHTF"/>
    <s v="CESTFA"/>
  </r>
  <r>
    <x v="1813"/>
    <s v="Kaperonis"/>
    <s v="Konstantinos"/>
    <s v="GRE0163"/>
    <s v="VET"/>
    <x v="167"/>
    <s v="GRE"/>
    <m/>
    <m/>
    <m/>
    <m/>
    <m/>
    <s v="UHTF"/>
    <s v="CESTFA"/>
  </r>
  <r>
    <x v="1814"/>
    <s v="Kaperonis"/>
    <s v="Nikolaos"/>
    <s v="GRE0576"/>
    <s v="U16"/>
    <x v="14"/>
    <s v="GRE"/>
    <m/>
    <m/>
    <m/>
    <m/>
    <m/>
    <s v="UHTF"/>
    <s v="CESTFA"/>
  </r>
  <r>
    <x v="1815"/>
    <s v="Kappatos"/>
    <s v="Orestis"/>
    <s v="GRE0395"/>
    <s v="VET"/>
    <x v="14"/>
    <s v="GRE"/>
    <m/>
    <m/>
    <m/>
    <m/>
    <m/>
    <s v="UHTF"/>
    <s v="CESTFA"/>
  </r>
  <r>
    <x v="1816"/>
    <s v="Kappatos"/>
    <s v="Panagiotis"/>
    <s v="GRE0396"/>
    <s v="U20"/>
    <x v="14"/>
    <s v="GRE"/>
    <m/>
    <m/>
    <m/>
    <m/>
    <m/>
    <s v="UHTF"/>
    <s v="CESTFA"/>
  </r>
  <r>
    <x v="1817"/>
    <s v="Kappl"/>
    <s v="Michael"/>
    <s v="GER0079"/>
    <s v="VET"/>
    <x v="142"/>
    <s v="GER"/>
    <m/>
    <m/>
    <m/>
    <m/>
    <m/>
    <s v="DSTFB"/>
    <s v="CESTFA"/>
  </r>
  <r>
    <x v="1818"/>
    <s v="Kapsabelis"/>
    <s v="Manos"/>
    <s v="GRE0260"/>
    <s v="OPEN"/>
    <x v="14"/>
    <s v="GRE"/>
    <m/>
    <m/>
    <m/>
    <m/>
    <m/>
    <s v="UHTF"/>
    <s v="CESTFA"/>
  </r>
  <r>
    <x v="1819"/>
    <s v="Kapsabelis"/>
    <s v="Marcos"/>
    <s v="GRE0003"/>
    <s v="VET"/>
    <x v="132"/>
    <s v="GRE"/>
    <m/>
    <m/>
    <m/>
    <m/>
    <m/>
    <s v="UHTF"/>
    <s v="CESTFA"/>
  </r>
  <r>
    <x v="1820"/>
    <s v="Kaptsas"/>
    <s v="Charis"/>
    <s v="CYP0033"/>
    <m/>
    <x v="59"/>
    <s v="CYP"/>
    <m/>
    <m/>
    <m/>
    <m/>
    <m/>
    <s v="CYSTFA (Provisional)"/>
    <m/>
  </r>
  <r>
    <x v="1821"/>
    <s v="Karadedos"/>
    <s v="Christos"/>
    <s v="GRE0115"/>
    <s v="VET"/>
    <x v="14"/>
    <s v="GRE"/>
    <m/>
    <m/>
    <m/>
    <m/>
    <m/>
    <s v="UHTF"/>
    <s v="CESTFA"/>
  </r>
  <r>
    <x v="1822"/>
    <s v="Karagianniotis"/>
    <s v="Theofilos"/>
    <s v="GRE0226"/>
    <s v="OPEN"/>
    <x v="67"/>
    <s v="GRE"/>
    <m/>
    <m/>
    <m/>
    <m/>
    <m/>
    <s v="UHTF"/>
    <s v="CESTFA"/>
  </r>
  <r>
    <x v="1823"/>
    <s v="Karahalios"/>
    <s v="Giorgos"/>
    <s v="GRE0628"/>
    <s v="VET"/>
    <x v="67"/>
    <s v="GRE"/>
    <m/>
    <m/>
    <m/>
    <m/>
    <m/>
    <s v="UHTF"/>
    <s v="CESTFA"/>
  </r>
  <r>
    <x v="1824"/>
    <s v="Karamanis"/>
    <s v="Athanasios"/>
    <s v="GRE0121"/>
    <s v="VET"/>
    <x v="67"/>
    <s v="GRE"/>
    <m/>
    <m/>
    <m/>
    <m/>
    <m/>
    <s v="UHTF"/>
    <s v="CESTFA"/>
  </r>
  <r>
    <x v="1825"/>
    <s v="Karaminas"/>
    <s v="Dimitrios"/>
    <s v="GRE0482"/>
    <s v="U16"/>
    <x v="14"/>
    <s v="GRE"/>
    <m/>
    <m/>
    <m/>
    <m/>
    <m/>
    <s v="UHTF"/>
    <s v="CESTFA"/>
  </r>
  <r>
    <x v="1826"/>
    <s v="Karasavvas"/>
    <s v="Konstantinos"/>
    <s v="GRE0779"/>
    <s v="OPEN"/>
    <x v="30"/>
    <s v="GRE"/>
    <m/>
    <m/>
    <m/>
    <m/>
    <m/>
    <s v="UHTF"/>
    <s v="CESTFA"/>
  </r>
  <r>
    <x v="1827"/>
    <s v="Karatarakis"/>
    <s v="Georgios"/>
    <s v="GRE0232"/>
    <s v="OPEN"/>
    <x v="167"/>
    <s v="GRE"/>
    <m/>
    <m/>
    <m/>
    <m/>
    <m/>
    <s v="UHTF"/>
    <s v="CESTFA"/>
  </r>
  <r>
    <x v="1828"/>
    <s v="Karatarakis"/>
    <s v="Michalis"/>
    <s v="GRE0027"/>
    <s v="VET"/>
    <x v="14"/>
    <s v="GRE"/>
    <m/>
    <m/>
    <m/>
    <m/>
    <m/>
    <s v="UHTF"/>
    <s v="CESTFA"/>
  </r>
  <r>
    <x v="1829"/>
    <s v="Karatarakis"/>
    <s v="Nikiforos"/>
    <s v="GRE0233"/>
    <s v="OPEN"/>
    <x v="14"/>
    <s v="GRE"/>
    <m/>
    <m/>
    <m/>
    <m/>
    <m/>
    <s v="UHTF"/>
    <s v="CESTFA"/>
  </r>
  <r>
    <x v="1830"/>
    <s v="Karatosidis"/>
    <s v="Dimitris"/>
    <s v="GRE0268"/>
    <s v="OPEN"/>
    <x v="14"/>
    <s v="GRE"/>
    <m/>
    <m/>
    <m/>
    <m/>
    <m/>
    <s v="UHTF"/>
    <s v="CESTFA"/>
  </r>
  <r>
    <x v="1831"/>
    <s v="Karavas"/>
    <s v="Agis Filippos"/>
    <s v="GRE0747"/>
    <s v="U12"/>
    <x v="14"/>
    <s v="GRE"/>
    <m/>
    <m/>
    <m/>
    <m/>
    <m/>
    <s v="UHTF"/>
    <s v="CESTFA"/>
  </r>
  <r>
    <x v="1832"/>
    <s v="Karavas"/>
    <s v="Giorgos"/>
    <s v="GRE0590"/>
    <s v="OPEN"/>
    <x v="218"/>
    <s v="GRE"/>
    <m/>
    <m/>
    <m/>
    <m/>
    <m/>
    <s v="UHTF"/>
    <s v="CESTFA"/>
  </r>
  <r>
    <x v="1833"/>
    <s v="Karavasilis"/>
    <s v="Menelaos"/>
    <s v="GRE0158"/>
    <s v="OPEN"/>
    <x v="17"/>
    <s v="GRE"/>
    <m/>
    <m/>
    <m/>
    <m/>
    <m/>
    <s v="UHTF"/>
    <s v="CESTFA"/>
  </r>
  <r>
    <x v="1834"/>
    <s v="Karavasilis"/>
    <s v="Nikolaos"/>
    <s v="GRE0159"/>
    <s v="OPEN"/>
    <x v="78"/>
    <s v="GRE"/>
    <m/>
    <m/>
    <m/>
    <m/>
    <m/>
    <s v="UHTF"/>
    <s v="CESTFA"/>
  </r>
  <r>
    <x v="1835"/>
    <s v="Karayiannis"/>
    <s v="Achilles"/>
    <s v="CYP0027"/>
    <m/>
    <x v="50"/>
    <s v="CYP"/>
    <m/>
    <m/>
    <m/>
    <m/>
    <m/>
    <s v="CYSTFA (Provisional)"/>
    <m/>
  </r>
  <r>
    <x v="1836"/>
    <s v="Karayiannis"/>
    <s v="Yiannos"/>
    <s v="CYP0030"/>
    <s v="OPEN"/>
    <x v="50"/>
    <s v="CYP"/>
    <m/>
    <m/>
    <m/>
    <m/>
    <m/>
    <s v="CYSTFA (Provisional)"/>
    <m/>
  </r>
  <r>
    <x v="1837"/>
    <s v="Karnezis"/>
    <s v="Ioannis"/>
    <s v="GRE0790"/>
    <s v="OPEN"/>
    <x v="67"/>
    <s v="GRE"/>
    <m/>
    <m/>
    <m/>
    <m/>
    <m/>
    <s v="UHTF"/>
    <s v="CESTFA"/>
  </r>
  <r>
    <x v="1838"/>
    <s v="Karnthaler"/>
    <s v="Thomas"/>
    <s v="AUT0054"/>
    <s v="OPEN"/>
    <x v="124"/>
    <s v="AUT"/>
    <m/>
    <m/>
    <m/>
    <m/>
    <m/>
    <s v="EÖTV"/>
    <s v="CESTFA"/>
  </r>
  <r>
    <x v="1839"/>
    <s v="Karouzos"/>
    <s v="Christos"/>
    <s v="GRE0407"/>
    <s v="OPEN"/>
    <x v="30"/>
    <s v="GRE"/>
    <m/>
    <m/>
    <m/>
    <m/>
    <m/>
    <s v="UHTF"/>
    <s v="CESTFA"/>
  </r>
  <r>
    <x v="1840"/>
    <s v="Karouzos"/>
    <s v="Georgios"/>
    <s v="GRE0637"/>
    <s v="OPEN"/>
    <x v="30"/>
    <s v="GRE"/>
    <m/>
    <m/>
    <m/>
    <m/>
    <m/>
    <s v="UHTF"/>
    <s v="CESTFA"/>
  </r>
  <r>
    <x v="1841"/>
    <s v="Karpouzos"/>
    <s v="Dimitrios"/>
    <s v="GRE0527"/>
    <s v="VET"/>
    <x v="14"/>
    <s v="GRE"/>
    <m/>
    <m/>
    <m/>
    <m/>
    <m/>
    <s v="UHTF"/>
    <s v="CESTFA"/>
  </r>
  <r>
    <x v="1842"/>
    <s v="Kartalis"/>
    <s v="Giorgos"/>
    <s v="GRE0220"/>
    <s v="VET"/>
    <x v="14"/>
    <s v="GRE"/>
    <m/>
    <m/>
    <m/>
    <m/>
    <m/>
    <s v="UHTF"/>
    <s v="CESTFA"/>
  </r>
  <r>
    <x v="1843"/>
    <s v="Karvounis"/>
    <s v="John"/>
    <s v="GRE0391"/>
    <s v="VET"/>
    <x v="179"/>
    <s v="GRE"/>
    <m/>
    <m/>
    <m/>
    <m/>
    <m/>
    <s v="UHTF"/>
    <s v="CESTFA"/>
  </r>
  <r>
    <x v="1844"/>
    <s v="Kastellanos"/>
    <s v="Antonios"/>
    <s v="GRE0133"/>
    <s v="VET"/>
    <x v="53"/>
    <s v="GRE"/>
    <m/>
    <m/>
    <m/>
    <m/>
    <m/>
    <s v="UHTF"/>
    <s v="CESTFA"/>
  </r>
  <r>
    <x v="1845"/>
    <s v="Kastet"/>
    <s v="Mathias"/>
    <s v="NOR0012"/>
    <s v="OPEN"/>
    <x v="269"/>
    <s v="NOR"/>
    <m/>
    <m/>
    <m/>
    <m/>
    <m/>
    <s v="NBFF (Suspended)"/>
    <m/>
  </r>
  <r>
    <x v="1846"/>
    <s v="Kato"/>
    <s v="Taichi"/>
    <s v="JPN033"/>
    <s v="U20"/>
    <x v="39"/>
    <s v="JPN"/>
    <m/>
    <m/>
    <m/>
    <m/>
    <m/>
    <s v="JTFA"/>
    <s v="CASTFA"/>
  </r>
  <r>
    <x v="1847"/>
    <s v="Kato"/>
    <s v="Yuka"/>
    <s v="JPN092"/>
    <s v="OPEN"/>
    <x v="271"/>
    <s v="JPN"/>
    <m/>
    <m/>
    <m/>
    <m/>
    <m/>
    <s v="JTFA"/>
    <s v="CASTFA"/>
  </r>
  <r>
    <x v="1848"/>
    <s v="Katsoulas"/>
    <s v="Spyridon"/>
    <s v="GRE0405"/>
    <s v="VET"/>
    <x v="52"/>
    <s v="GRE"/>
    <m/>
    <m/>
    <m/>
    <m/>
    <m/>
    <s v="UHTF"/>
    <s v="CESTFA"/>
  </r>
  <r>
    <x v="1849"/>
    <s v="Kavgas"/>
    <s v="Panagiotis"/>
    <s v="GRE0374"/>
    <s v="OPEN"/>
    <x v="14"/>
    <s v="GRE"/>
    <m/>
    <m/>
    <m/>
    <m/>
    <m/>
    <s v="UHTF"/>
    <s v="CESTFA"/>
  </r>
  <r>
    <x v="1850"/>
    <s v="Kayia"/>
    <s v="Natasha"/>
    <s v="GRE0427"/>
    <s v="OPEN"/>
    <x v="14"/>
    <s v="GRE"/>
    <m/>
    <m/>
    <m/>
    <m/>
    <m/>
    <s v="UHTF"/>
    <s v="CESTFA"/>
  </r>
  <r>
    <x v="1851"/>
    <s v="Kazantzoglou"/>
    <s v="Charalampos"/>
    <s v="GRE0771"/>
    <s v="VET"/>
    <x v="62"/>
    <s v="GRE"/>
    <m/>
    <m/>
    <m/>
    <m/>
    <m/>
    <s v="UHTF"/>
    <s v="CESTFA"/>
  </r>
  <r>
    <x v="1852"/>
    <s v="Kazantzoglou"/>
    <s v="Serafim"/>
    <s v="GRE0025"/>
    <s v="VET"/>
    <x v="14"/>
    <s v="GRE"/>
    <m/>
    <m/>
    <m/>
    <m/>
    <m/>
    <s v="UHTF"/>
    <s v="CESTFA"/>
  </r>
  <r>
    <x v="1853"/>
    <s v="Kechris"/>
    <s v="Artemis"/>
    <s v="GRE0245"/>
    <s v="OPEN"/>
    <x v="14"/>
    <s v="GRE"/>
    <m/>
    <m/>
    <m/>
    <m/>
    <m/>
    <s v="UHTF"/>
    <s v="CESTFA"/>
  </r>
  <r>
    <x v="1854"/>
    <s v="Kees"/>
    <s v="Tony"/>
    <s v="USA0394"/>
    <s v="VET"/>
    <x v="294"/>
    <s v="USA"/>
    <m/>
    <m/>
    <m/>
    <m/>
    <m/>
    <s v="ASA"/>
    <s v="CONASTF"/>
  </r>
  <r>
    <x v="1855"/>
    <s v="Kegenbein"/>
    <s v="Björn"/>
    <s v="GER0021"/>
    <s v="OPEN"/>
    <x v="258"/>
    <s v="GER"/>
    <m/>
    <m/>
    <m/>
    <m/>
    <m/>
    <s v="DSTFB"/>
    <s v="CESTFA"/>
  </r>
  <r>
    <x v="1856"/>
    <s v="Kennedy"/>
    <s v="Eliot"/>
    <s v="AUS0007"/>
    <s v="VET"/>
    <x v="103"/>
    <s v="AUS"/>
    <m/>
    <m/>
    <m/>
    <m/>
    <m/>
    <s v="ATFA"/>
    <s v="CASTFA"/>
  </r>
  <r>
    <x v="1857"/>
    <s v="Kent"/>
    <s v="Andrew"/>
    <s v="SCO0082"/>
    <s v="OPEN"/>
    <x v="198"/>
    <s v="SCO"/>
    <m/>
    <m/>
    <m/>
    <m/>
    <m/>
    <s v="SSA"/>
    <s v="CESTFA"/>
  </r>
  <r>
    <x v="1858"/>
    <s v="Kettley"/>
    <s v="Jason"/>
    <s v="ENG0550"/>
    <s v="OPEN"/>
    <x v="81"/>
    <s v="ENG"/>
    <m/>
    <m/>
    <m/>
    <m/>
    <m/>
    <s v="ESA"/>
    <s v="CESTFA"/>
  </r>
  <r>
    <x v="1859"/>
    <s v="Khaira"/>
    <s v="Gavin"/>
    <s v="CAN0043"/>
    <s v="U20"/>
    <x v="95"/>
    <s v="CAN"/>
    <m/>
    <m/>
    <m/>
    <m/>
    <m/>
    <s v="SCA"/>
    <m/>
  </r>
  <r>
    <x v="1860"/>
    <s v="Khaira"/>
    <s v="Gurmeet"/>
    <s v="CAN0010"/>
    <s v="VET"/>
    <x v="95"/>
    <s v="CAN"/>
    <m/>
    <m/>
    <m/>
    <m/>
    <m/>
    <s v="SCA"/>
    <m/>
  </r>
  <r>
    <x v="1861"/>
    <s v="Khaira"/>
    <s v="Sarjit"/>
    <s v="CAN0042"/>
    <s v="VET"/>
    <x v="95"/>
    <s v="CAN"/>
    <m/>
    <m/>
    <m/>
    <m/>
    <m/>
    <s v="SCA"/>
    <m/>
  </r>
  <r>
    <x v="1862"/>
    <s v="Kidis"/>
    <s v="Christos"/>
    <s v="GRE0023"/>
    <s v="OPEN"/>
    <x v="14"/>
    <s v="GRE"/>
    <m/>
    <m/>
    <m/>
    <m/>
    <m/>
    <s v="UHTF"/>
    <s v="CESTFA"/>
  </r>
  <r>
    <x v="1863"/>
    <s v="Kido"/>
    <s v="Takafumi"/>
    <s v="JPN071"/>
    <s v="OPEN"/>
    <x v="26"/>
    <s v="JPN"/>
    <m/>
    <m/>
    <m/>
    <m/>
    <m/>
    <s v="JTFA"/>
    <s v="CASTFA"/>
  </r>
  <r>
    <x v="1864"/>
    <s v="Kidsley"/>
    <s v="Shaun"/>
    <s v="USA0405"/>
    <s v="OPEN"/>
    <x v="13"/>
    <s v="USA"/>
    <m/>
    <m/>
    <m/>
    <m/>
    <m/>
    <s v="ASA"/>
    <s v="CONASTF"/>
  </r>
  <r>
    <x v="1865"/>
    <s v="Kiely"/>
    <s v="Drew"/>
    <s v="ENG0562"/>
    <s v="OPEN"/>
    <x v="21"/>
    <s v="ENG"/>
    <m/>
    <m/>
    <m/>
    <m/>
    <m/>
    <s v="ESA"/>
    <s v="CESTFA"/>
  </r>
  <r>
    <x v="1866"/>
    <s v="Kiely"/>
    <s v="Tony"/>
    <s v="ENG0569"/>
    <s v="VET"/>
    <x v="21"/>
    <s v="ENG"/>
    <m/>
    <m/>
    <m/>
    <m/>
    <m/>
    <s v="ESA"/>
    <s v="CESTFA"/>
  </r>
  <r>
    <x v="1867"/>
    <s v="Kilias"/>
    <s v="Giorgos"/>
    <s v="GRE0266"/>
    <s v="OPEN"/>
    <x v="14"/>
    <s v="GRE"/>
    <m/>
    <m/>
    <m/>
    <m/>
    <m/>
    <s v="UHTF"/>
    <s v="CESTFA"/>
  </r>
  <r>
    <x v="1868"/>
    <s v="Kilias"/>
    <s v="Kostas"/>
    <s v="GRE0270"/>
    <s v="OPEN"/>
    <x v="14"/>
    <s v="GRE"/>
    <m/>
    <m/>
    <m/>
    <m/>
    <m/>
    <s v="UHTF"/>
    <s v="CESTFA"/>
  </r>
  <r>
    <x v="1869"/>
    <s v="Kim"/>
    <s v="Byung"/>
    <s v="USA0006"/>
    <s v="OPEN"/>
    <x v="60"/>
    <s v="USA"/>
    <m/>
    <m/>
    <m/>
    <m/>
    <m/>
    <s v="ASA"/>
    <s v="CONASTF"/>
  </r>
  <r>
    <x v="1870"/>
    <s v="Kimack"/>
    <s v="Michael"/>
    <s v="USA0432"/>
    <s v="OPEN"/>
    <x v="60"/>
    <s v="USA"/>
    <m/>
    <m/>
    <m/>
    <m/>
    <m/>
    <s v="ASA"/>
    <s v="CONASTF"/>
  </r>
  <r>
    <x v="1871"/>
    <s v="King"/>
    <s v="Brian"/>
    <s v="USA0362"/>
    <s v="VET"/>
    <x v="311"/>
    <s v="USA"/>
    <m/>
    <m/>
    <m/>
    <m/>
    <m/>
    <s v="ASA"/>
    <s v="CONASTF"/>
  </r>
  <r>
    <x v="1872"/>
    <s v="King"/>
    <s v="Javier"/>
    <s v="USA0363"/>
    <s v="OPEN"/>
    <x v="311"/>
    <s v="USA"/>
    <m/>
    <m/>
    <m/>
    <m/>
    <m/>
    <s v="ASA"/>
    <s v="CONASTF"/>
  </r>
  <r>
    <x v="1873"/>
    <s v="Kingston"/>
    <s v="Stuart"/>
    <s v="ISR0039"/>
    <s v="VET"/>
    <x v="293"/>
    <s v="ISR"/>
    <m/>
    <m/>
    <m/>
    <m/>
    <m/>
    <m/>
    <m/>
  </r>
  <r>
    <x v="1874"/>
    <s v="Kinrade"/>
    <s v="Brian"/>
    <s v="ENG0086"/>
    <s v="VET"/>
    <x v="171"/>
    <s v="ENG"/>
    <m/>
    <m/>
    <m/>
    <m/>
    <m/>
    <s v="ESA"/>
    <s v="CESTFA"/>
  </r>
  <r>
    <x v="1875"/>
    <s v="Kinsella"/>
    <s v="John"/>
    <s v="IRL0022"/>
    <s v="VET"/>
    <x v="126"/>
    <s v="IRL"/>
    <m/>
    <m/>
    <m/>
    <m/>
    <m/>
    <s v="TFAI"/>
    <s v="CESTFA"/>
  </r>
  <r>
    <x v="1876"/>
    <s v="Kiritsis"/>
    <s v="Antonis"/>
    <s v="GRE0277"/>
    <s v="OPEN"/>
    <x v="14"/>
    <s v="GRE"/>
    <m/>
    <m/>
    <m/>
    <m/>
    <m/>
    <s v="UHTF"/>
    <s v="CESTFA"/>
  </r>
  <r>
    <x v="1877"/>
    <s v="Kiritsis"/>
    <s v="Nikolaos"/>
    <s v="GRE0293"/>
    <s v="OPEN"/>
    <x v="14"/>
    <s v="GRE"/>
    <m/>
    <m/>
    <m/>
    <m/>
    <m/>
    <s v="UHTF"/>
    <s v="CESTFA"/>
  </r>
  <r>
    <x v="1878"/>
    <s v="Kitamura"/>
    <s v="Yutaka"/>
    <s v="JPN192"/>
    <s v="VET"/>
    <x v="307"/>
    <s v="JPN"/>
    <m/>
    <m/>
    <m/>
    <m/>
    <m/>
    <s v="JTFA"/>
    <s v="CASTFA"/>
  </r>
  <r>
    <x v="1879"/>
    <s v="Kitsios"/>
    <s v="Vasilis"/>
    <s v="GRE0495"/>
    <s v="U20"/>
    <x v="14"/>
    <s v="GRE"/>
    <m/>
    <m/>
    <m/>
    <m/>
    <m/>
    <s v="UHTF"/>
    <s v="CESTFA"/>
  </r>
  <r>
    <x v="1880"/>
    <s v="Kleanthis"/>
    <s v="Christoforou"/>
    <s v="CYP0025"/>
    <m/>
    <x v="312"/>
    <s v="CYP"/>
    <m/>
    <m/>
    <m/>
    <m/>
    <m/>
    <s v="CYSTFA (Provisional)"/>
    <m/>
  </r>
  <r>
    <x v="1881"/>
    <s v="Kleonakos"/>
    <s v="Petros"/>
    <s v="GRE0570"/>
    <s v="OPEN"/>
    <x v="14"/>
    <s v="GRE"/>
    <m/>
    <m/>
    <m/>
    <m/>
    <m/>
    <s v="UHTF"/>
    <s v="CESTFA"/>
  </r>
  <r>
    <x v="1882"/>
    <s v="Kleppin"/>
    <s v="Todd"/>
    <s v="USA0329"/>
    <s v="VET"/>
    <x v="109"/>
    <s v="USA"/>
    <m/>
    <m/>
    <m/>
    <m/>
    <m/>
    <s v="ASA"/>
    <s v="CONASTF"/>
  </r>
  <r>
    <x v="1883"/>
    <s v="Klironomos"/>
    <s v="Nikolaos"/>
    <s v="GRE0522"/>
    <s v="OPEN"/>
    <x v="14"/>
    <s v="GRE"/>
    <m/>
    <m/>
    <m/>
    <m/>
    <m/>
    <s v="UHTF"/>
    <s v="CESTFA"/>
  </r>
  <r>
    <x v="1884"/>
    <s v="Kluge"/>
    <s v="Julius"/>
    <s v="DEN0100"/>
    <s v="U20"/>
    <x v="10"/>
    <s v="DEN"/>
    <m/>
    <m/>
    <m/>
    <m/>
    <m/>
    <s v="DSBU (Provisional)"/>
    <m/>
  </r>
  <r>
    <x v="1885"/>
    <s v="Knezevic"/>
    <s v="Milan"/>
    <s v="SER0004"/>
    <s v="OPEN"/>
    <x v="193"/>
    <s v="SRB"/>
    <m/>
    <m/>
    <m/>
    <m/>
    <m/>
    <m/>
    <m/>
  </r>
  <r>
    <x v="1886"/>
    <s v="Knezevic-Schlosser"/>
    <s v="Katrin"/>
    <s v="GER0132"/>
    <s v="OPEN"/>
    <x v="277"/>
    <s v="GER"/>
    <m/>
    <m/>
    <m/>
    <m/>
    <m/>
    <s v="DSTFB"/>
    <s v="CESTFA"/>
  </r>
  <r>
    <x v="1887"/>
    <s v="Knudsen"/>
    <s v="Tobias"/>
    <s v="DEN0109"/>
    <s v="OPEN"/>
    <x v="10"/>
    <s v="DEN"/>
    <m/>
    <m/>
    <m/>
    <m/>
    <m/>
    <s v="DSBU (Provisional)"/>
    <m/>
  </r>
  <r>
    <x v="1888"/>
    <s v="Knuf"/>
    <s v="Rudi"/>
    <s v="GER0042"/>
    <s v="OPEN"/>
    <x v="220"/>
    <s v="GER"/>
    <m/>
    <m/>
    <m/>
    <m/>
    <m/>
    <s v="DSTFB"/>
    <s v="CESTFA"/>
  </r>
  <r>
    <x v="1889"/>
    <s v="Koch"/>
    <s v="Mathias"/>
    <s v="FRA0292"/>
    <s v="U12"/>
    <x v="194"/>
    <s v="FRA"/>
    <m/>
    <m/>
    <m/>
    <m/>
    <m/>
    <s v="3FTS"/>
    <s v="CESTFA"/>
  </r>
  <r>
    <x v="1890"/>
    <s v="Koffas"/>
    <s v="Georgios"/>
    <s v="GRE0513"/>
    <s v="U20"/>
    <x v="14"/>
    <s v="GRE"/>
    <m/>
    <m/>
    <m/>
    <m/>
    <m/>
    <s v="UHTF"/>
    <s v="CESTFA"/>
  </r>
  <r>
    <x v="1891"/>
    <s v="Koh"/>
    <s v="Celine"/>
    <s v="SGP0028"/>
    <s v="OPEN"/>
    <x v="23"/>
    <s v="SGP"/>
    <m/>
    <m/>
    <m/>
    <m/>
    <m/>
    <s v="TFAS"/>
    <s v="CASTFA"/>
  </r>
  <r>
    <x v="1892"/>
    <s v="Koi"/>
    <s v="Kenzo"/>
    <s v="JPN001"/>
    <s v="VET"/>
    <x v="39"/>
    <s v="JPN"/>
    <m/>
    <m/>
    <m/>
    <m/>
    <m/>
    <s v="JTFA"/>
    <s v="CASTFA"/>
  </r>
  <r>
    <x v="1893"/>
    <s v="Kokkalis"/>
    <s v="Apostolos"/>
    <s v="GRE0064"/>
    <s v="VET"/>
    <x v="14"/>
    <s v="GRE"/>
    <m/>
    <m/>
    <m/>
    <m/>
    <m/>
    <s v="UHTF"/>
    <s v="CESTFA"/>
  </r>
  <r>
    <x v="1894"/>
    <s v="Koletti"/>
    <s v="Aggeliki"/>
    <s v="GRE0578"/>
    <s v="U20"/>
    <x v="14"/>
    <s v="GRE"/>
    <m/>
    <m/>
    <m/>
    <m/>
    <m/>
    <s v="UHTF"/>
    <s v="CESTFA"/>
  </r>
  <r>
    <x v="1895"/>
    <s v="Kolettis"/>
    <s v="Apostolos"/>
    <s v="GRE0575"/>
    <s v="U16"/>
    <x v="14"/>
    <s v="GRE"/>
    <m/>
    <m/>
    <m/>
    <m/>
    <m/>
    <s v="UHTF"/>
    <s v="CESTFA"/>
  </r>
  <r>
    <x v="1896"/>
    <s v="Kolidakis"/>
    <s v="Aggelos"/>
    <s v="GRE0231"/>
    <s v="OPEN"/>
    <x v="14"/>
    <s v="GRE"/>
    <m/>
    <m/>
    <m/>
    <m/>
    <m/>
    <s v="UHTF"/>
    <s v="CESTFA"/>
  </r>
  <r>
    <x v="1897"/>
    <s v="Kolidakis"/>
    <s v="Georgios"/>
    <s v="GRE0035"/>
    <s v="OPEN"/>
    <x v="14"/>
    <s v="GRE"/>
    <m/>
    <m/>
    <m/>
    <m/>
    <m/>
    <s v="UHTF"/>
    <s v="CESTFA"/>
  </r>
  <r>
    <x v="1898"/>
    <s v="Kolidakis"/>
    <s v="Nikolaos"/>
    <s v="GRE0034"/>
    <s v="VET"/>
    <x v="14"/>
    <s v="GRE"/>
    <m/>
    <m/>
    <m/>
    <m/>
    <m/>
    <s v="UHTF"/>
    <s v="CESTFA"/>
  </r>
  <r>
    <x v="1899"/>
    <s v="Kolidakis Jr"/>
    <s v="Georgios"/>
    <s v="GRE0230"/>
    <s v="OPEN"/>
    <x v="14"/>
    <s v="GRE"/>
    <m/>
    <m/>
    <m/>
    <m/>
    <m/>
    <s v="UHTF"/>
    <s v="CESTFA"/>
  </r>
  <r>
    <x v="1900"/>
    <s v="Kollias"/>
    <s v="Efthimios"/>
    <s v="GRE0664"/>
    <s v="OPEN"/>
    <x v="52"/>
    <s v="GRE"/>
    <m/>
    <m/>
    <m/>
    <m/>
    <m/>
    <s v="UHTF"/>
    <s v="CESTFA"/>
  </r>
  <r>
    <x v="1901"/>
    <s v="Kollias"/>
    <s v="Georgios"/>
    <s v="GRE0217"/>
    <s v="OPEN"/>
    <x v="128"/>
    <s v="GRE"/>
    <m/>
    <m/>
    <m/>
    <m/>
    <m/>
    <s v="UHTF"/>
    <s v="CESTFA"/>
  </r>
  <r>
    <x v="1902"/>
    <s v="Kolofotias"/>
    <s v="Vaios"/>
    <s v="GRE0731"/>
    <s v="VET"/>
    <x v="14"/>
    <s v="GRE"/>
    <m/>
    <m/>
    <m/>
    <m/>
    <m/>
    <s v="UHTF"/>
    <s v="CESTFA"/>
  </r>
  <r>
    <x v="1903"/>
    <s v="Kolokotronis"/>
    <s v="Aggelos-Konstantinos"/>
    <s v="GRE0695"/>
    <s v="U16"/>
    <x v="14"/>
    <s v="GRE"/>
    <m/>
    <m/>
    <m/>
    <m/>
    <m/>
    <s v="UHTF"/>
    <s v="CESTFA"/>
  </r>
  <r>
    <x v="1904"/>
    <s v="Kolokotronis"/>
    <s v="Theodos"/>
    <s v="GRE0582"/>
    <s v="OPEN"/>
    <x v="14"/>
    <s v="GRE"/>
    <m/>
    <m/>
    <m/>
    <m/>
    <m/>
    <s v="UHTF"/>
    <s v="CESTFA"/>
  </r>
  <r>
    <x v="1905"/>
    <s v="Kolovos"/>
    <s v="Dimitrios"/>
    <s v="GRE0390"/>
    <s v="OPEN"/>
    <x v="18"/>
    <s v="GRE"/>
    <m/>
    <m/>
    <m/>
    <m/>
    <m/>
    <s v="UHTF"/>
    <s v="CESTFA"/>
  </r>
  <r>
    <x v="1906"/>
    <s v="Kolovos"/>
    <s v="Giorgos"/>
    <s v="GRE0657"/>
    <s v="U16"/>
    <x v="14"/>
    <s v="GRE"/>
    <m/>
    <m/>
    <m/>
    <m/>
    <m/>
    <s v="UHTF"/>
    <s v="CESTFA"/>
  </r>
  <r>
    <x v="1907"/>
    <s v="Kolydakis"/>
    <s v="Dimitrios"/>
    <s v="GRE0558"/>
    <s v="OPEN"/>
    <x v="14"/>
    <s v="GRE"/>
    <m/>
    <m/>
    <m/>
    <m/>
    <m/>
    <s v="UHTF"/>
    <s v="CESTFA"/>
  </r>
  <r>
    <x v="1908"/>
    <s v="Kolydas"/>
    <s v="Nikolaos"/>
    <s v="GRE0413"/>
    <s v="VET"/>
    <x v="14"/>
    <s v="GRE"/>
    <m/>
    <m/>
    <m/>
    <m/>
    <m/>
    <s v="UHTF"/>
    <s v="CESTFA"/>
  </r>
  <r>
    <x v="1909"/>
    <s v="Kondylis"/>
    <s v="Ioannis"/>
    <s v="GRE0600"/>
    <s v="OPEN"/>
    <x v="52"/>
    <s v="GRE"/>
    <m/>
    <m/>
    <m/>
    <m/>
    <m/>
    <s v="UHTF"/>
    <s v="CESTFA"/>
  </r>
  <r>
    <x v="1910"/>
    <s v="Kong"/>
    <s v="Jamie"/>
    <s v="MAS0005"/>
    <s v="VET"/>
    <x v="85"/>
    <s v="MAS"/>
    <m/>
    <m/>
    <m/>
    <m/>
    <m/>
    <m/>
    <m/>
  </r>
  <r>
    <x v="1911"/>
    <s v="Konidaris"/>
    <s v="Konstantinos"/>
    <s v="GRE0769"/>
    <s v="U12"/>
    <x v="67"/>
    <s v="GRE"/>
    <m/>
    <m/>
    <m/>
    <m/>
    <m/>
    <s v="UHTF"/>
    <s v="CESTFA"/>
  </r>
  <r>
    <x v="1912"/>
    <s v="Konidaris"/>
    <s v="Panagiotis"/>
    <s v="GRE0768"/>
    <s v="VET"/>
    <x v="67"/>
    <s v="GRE"/>
    <m/>
    <m/>
    <m/>
    <m/>
    <m/>
    <s v="UHTF"/>
    <s v="CESTFA"/>
  </r>
  <r>
    <x v="1913"/>
    <s v="König-Danielson"/>
    <s v="Michael"/>
    <s v="GER0159"/>
    <s v="OPEN"/>
    <x v="169"/>
    <s v="GER"/>
    <m/>
    <m/>
    <m/>
    <m/>
    <m/>
    <s v="DSTFB"/>
    <s v="CESTFA"/>
  </r>
  <r>
    <x v="1914"/>
    <s v="Konno"/>
    <s v="Keiichi"/>
    <s v="JPN106"/>
    <s v="OPEN"/>
    <x v="270"/>
    <s v="JPN"/>
    <m/>
    <m/>
    <m/>
    <m/>
    <m/>
    <s v="JTFA"/>
    <s v="CASTFA"/>
  </r>
  <r>
    <x v="1915"/>
    <s v="Konstantakos"/>
    <s v="Panagiotis"/>
    <s v="GRE0382"/>
    <s v="VET"/>
    <x v="128"/>
    <s v="GRE"/>
    <m/>
    <m/>
    <m/>
    <m/>
    <m/>
    <s v="UHTF"/>
    <s v="CESTFA"/>
  </r>
  <r>
    <x v="1916"/>
    <s v="Konstantakou"/>
    <s v="Danai"/>
    <s v="GRE0632"/>
    <s v="OPEN"/>
    <x v="128"/>
    <s v="GRE"/>
    <m/>
    <m/>
    <m/>
    <m/>
    <m/>
    <s v="UHTF"/>
    <s v="CESTFA"/>
  </r>
  <r>
    <x v="1917"/>
    <s v="Kontaxakis"/>
    <s v="Periklis"/>
    <s v="GRE0294"/>
    <s v="OPEN"/>
    <x v="14"/>
    <s v="GRE"/>
    <m/>
    <m/>
    <m/>
    <m/>
    <m/>
    <s v="UHTF"/>
    <s v="CESTFA"/>
  </r>
  <r>
    <x v="1918"/>
    <s v="Kontogiannis"/>
    <s v="Dimitrios"/>
    <s v="GRE0203"/>
    <s v="VET"/>
    <x v="14"/>
    <s v="GRE"/>
    <m/>
    <m/>
    <m/>
    <m/>
    <m/>
    <s v="UHTF"/>
    <s v="CESTFA"/>
  </r>
  <r>
    <x v="1919"/>
    <s v="Kontogiannis"/>
    <s v="Dimitris"/>
    <s v="GRE0310"/>
    <s v="OPEN"/>
    <x v="14"/>
    <s v="GRE"/>
    <m/>
    <m/>
    <m/>
    <m/>
    <m/>
    <s v="UHTF"/>
    <s v="CESTFA"/>
  </r>
  <r>
    <x v="1920"/>
    <s v="Kontorouchas"/>
    <s v="Alexandros"/>
    <s v="GRE0620"/>
    <s v="OPEN"/>
    <x v="14"/>
    <s v="GRE"/>
    <m/>
    <m/>
    <m/>
    <m/>
    <m/>
    <s v="UHTF"/>
    <s v="CESTFA"/>
  </r>
  <r>
    <x v="1921"/>
    <s v="Kontos"/>
    <s v="Serafeim"/>
    <s v="GRE0065"/>
    <s v="OPEN"/>
    <x v="57"/>
    <s v="GRE"/>
    <m/>
    <m/>
    <m/>
    <m/>
    <m/>
    <s v="UHTF"/>
    <s v="CESTFA"/>
  </r>
  <r>
    <x v="1922"/>
    <s v="Korakas"/>
    <s v="Ioannis"/>
    <s v="GRE0736"/>
    <s v="VET"/>
    <x v="14"/>
    <s v="GRE"/>
    <m/>
    <m/>
    <m/>
    <m/>
    <m/>
    <s v="UHTF"/>
    <s v="CESTFA"/>
  </r>
  <r>
    <x v="1923"/>
    <s v="Kordantonopoulos"/>
    <s v="Athanasios"/>
    <s v="GRE0090"/>
    <s v="OPEN"/>
    <x v="67"/>
    <s v="GRE"/>
    <m/>
    <m/>
    <m/>
    <m/>
    <m/>
    <s v="UHTF"/>
    <s v="CESTFA"/>
  </r>
  <r>
    <x v="1924"/>
    <s v="Kordantonopoulos"/>
    <s v="Christina"/>
    <s v="GRE0607"/>
    <s v="U12"/>
    <x v="14"/>
    <s v="GRE"/>
    <m/>
    <m/>
    <m/>
    <m/>
    <m/>
    <s v="UHTF"/>
    <s v="CESTFA"/>
  </r>
  <r>
    <x v="1925"/>
    <s v="Kordantonopoulos"/>
    <s v="Ioannis"/>
    <s v="GRE0089"/>
    <s v="OPEN"/>
    <x v="128"/>
    <s v="GRE"/>
    <m/>
    <m/>
    <m/>
    <m/>
    <m/>
    <s v="UHTF"/>
    <s v="CESTFA"/>
  </r>
  <r>
    <x v="1926"/>
    <s v="Kordantonopoulos"/>
    <s v="Phillipos"/>
    <s v="GRE0802"/>
    <s v="U12"/>
    <x v="67"/>
    <s v="GRE"/>
    <m/>
    <m/>
    <m/>
    <m/>
    <m/>
    <s v="UHTF"/>
    <s v="CESTFA"/>
  </r>
  <r>
    <x v="1927"/>
    <s v="Kordatos"/>
    <s v="Konstantinos"/>
    <s v="GRE0169"/>
    <s v="OPEN"/>
    <x v="53"/>
    <s v="GRE"/>
    <m/>
    <m/>
    <m/>
    <m/>
    <m/>
    <s v="UHTF"/>
    <s v="CESTFA"/>
  </r>
  <r>
    <x v="1928"/>
    <s v="Kordatos Jr"/>
    <s v="Konstantinos"/>
    <s v="GRE0283"/>
    <s v="OPEN"/>
    <x v="14"/>
    <s v="GRE"/>
    <m/>
    <m/>
    <m/>
    <m/>
    <m/>
    <s v="UHTF"/>
    <s v="CESTFA"/>
  </r>
  <r>
    <x v="1929"/>
    <s v="Korologos"/>
    <s v="Sotiris"/>
    <s v="GRE0330"/>
    <s v="VET"/>
    <x v="128"/>
    <s v="GRE"/>
    <m/>
    <m/>
    <m/>
    <m/>
    <m/>
    <s v="UHTF"/>
    <s v="CESTFA"/>
  </r>
  <r>
    <x v="1930"/>
    <s v="Korzil"/>
    <s v="Thorsten"/>
    <s v="AUT0072"/>
    <s v="OPEN"/>
    <x v="258"/>
    <s v="AUT"/>
    <m/>
    <m/>
    <m/>
    <m/>
    <m/>
    <s v="EÖTV"/>
    <s v="CESTFA"/>
  </r>
  <r>
    <x v="1931"/>
    <s v="Kosmadakis"/>
    <s v="Antonios"/>
    <s v="GRE0499"/>
    <s v="OPEN"/>
    <x v="14"/>
    <s v="GRE"/>
    <m/>
    <m/>
    <m/>
    <m/>
    <m/>
    <s v="UHTF"/>
    <s v="CESTFA"/>
  </r>
  <r>
    <x v="1932"/>
    <s v="Kosmas"/>
    <s v="Petros"/>
    <s v="GRE0713"/>
    <s v="OPEN"/>
    <x v="14"/>
    <s v="GRE"/>
    <m/>
    <m/>
    <m/>
    <m/>
    <m/>
    <s v="UHTF"/>
    <s v="CESTFA"/>
  </r>
  <r>
    <x v="1933"/>
    <s v="Kosmopoulos"/>
    <s v="Dimitrios"/>
    <s v="GRE0136"/>
    <s v="OPEN"/>
    <x v="30"/>
    <s v="GRE"/>
    <m/>
    <m/>
    <m/>
    <m/>
    <m/>
    <s v="UHTF"/>
    <s v="CESTFA"/>
  </r>
  <r>
    <x v="1934"/>
    <s v="Kosmopoulos"/>
    <s v="Ioannis"/>
    <s v="GRE0176"/>
    <s v="OPEN"/>
    <x v="14"/>
    <s v="GRE"/>
    <m/>
    <m/>
    <m/>
    <m/>
    <m/>
    <s v="UHTF"/>
    <s v="CESTFA"/>
  </r>
  <r>
    <x v="1935"/>
    <s v="Kosovas"/>
    <s v="Ilias"/>
    <s v="GRE0569"/>
    <s v="OPEN"/>
    <x v="14"/>
    <s v="GRE"/>
    <m/>
    <m/>
    <m/>
    <m/>
    <m/>
    <s v="UHTF"/>
    <s v="CESTFA"/>
  </r>
  <r>
    <x v="1936"/>
    <s v="Kostantakopoulos"/>
    <s v="Nikolaos"/>
    <s v="GRE0503"/>
    <s v="VET"/>
    <x v="14"/>
    <s v="GRE"/>
    <m/>
    <m/>
    <m/>
    <m/>
    <m/>
    <s v="UHTF"/>
    <s v="CESTFA"/>
  </r>
  <r>
    <x v="1937"/>
    <s v="Kotakos"/>
    <s v="Stylianos"/>
    <s v="GRE0734"/>
    <s v="U16"/>
    <x v="179"/>
    <s v="GRE"/>
    <m/>
    <m/>
    <m/>
    <m/>
    <m/>
    <s v="UHTF"/>
    <s v="CESTFA"/>
  </r>
  <r>
    <x v="1938"/>
    <s v="Kotrotsos"/>
    <s v="Athanasios"/>
    <s v="GRE0671"/>
    <s v="U12"/>
    <x v="67"/>
    <s v="GRE"/>
    <m/>
    <m/>
    <m/>
    <m/>
    <m/>
    <s v="UHTF"/>
    <s v="CESTFA"/>
  </r>
  <r>
    <x v="1939"/>
    <s v="Kotrotsos"/>
    <s v="Christos"/>
    <s v="GRE0309"/>
    <s v="VET"/>
    <x v="67"/>
    <s v="GRE"/>
    <m/>
    <m/>
    <m/>
    <m/>
    <m/>
    <s v="UHTF"/>
    <s v="CESTFA"/>
  </r>
  <r>
    <x v="1940"/>
    <s v="Kotrotsos"/>
    <s v="Evangelos"/>
    <s v="GRE0190"/>
    <s v="U20"/>
    <x v="67"/>
    <s v="GRE"/>
    <m/>
    <m/>
    <m/>
    <m/>
    <m/>
    <s v="UHTF"/>
    <s v="CESTFA"/>
  </r>
  <r>
    <x v="1941"/>
    <s v="Kotsinis"/>
    <s v="Lambros"/>
    <s v="GRE0634"/>
    <s v="OPEN"/>
    <x v="14"/>
    <s v="GRE"/>
    <m/>
    <m/>
    <m/>
    <m/>
    <m/>
    <s v="UHTF"/>
    <s v="CESTFA"/>
  </r>
  <r>
    <x v="1942"/>
    <s v="Kouimanis"/>
    <s v="Nicos"/>
    <s v="GRE0411"/>
    <s v="OPEN"/>
    <x v="14"/>
    <s v="GRE"/>
    <m/>
    <m/>
    <m/>
    <m/>
    <m/>
    <s v="UHTF"/>
    <s v="CESTFA"/>
  </r>
  <r>
    <x v="1943"/>
    <s v="Koukoutsas"/>
    <s v="Ilias"/>
    <s v="GRE0251"/>
    <s v="OPEN"/>
    <x v="14"/>
    <s v="GRE"/>
    <m/>
    <m/>
    <m/>
    <m/>
    <m/>
    <s v="UHTF"/>
    <s v="CESTFA"/>
  </r>
  <r>
    <x v="1944"/>
    <s v="Koulakis"/>
    <s v="Athanasios"/>
    <s v="GRE0472"/>
    <s v="OPEN"/>
    <x v="14"/>
    <s v="GRE"/>
    <m/>
    <m/>
    <m/>
    <m/>
    <m/>
    <s v="UHTF"/>
    <s v="CESTFA"/>
  </r>
  <r>
    <x v="1945"/>
    <s v="Koulosousa"/>
    <s v="Dionysia"/>
    <s v="GRE0281"/>
    <s v="OPEN"/>
    <x v="167"/>
    <s v="GRE"/>
    <m/>
    <m/>
    <m/>
    <m/>
    <m/>
    <s v="UHTF"/>
    <s v="CESTFA"/>
  </r>
  <r>
    <x v="1946"/>
    <s v="Koulosousa"/>
    <s v="Eleni"/>
    <s v="GRE0242"/>
    <s v="OPEN"/>
    <x v="14"/>
    <s v="GRE"/>
    <m/>
    <m/>
    <m/>
    <m/>
    <m/>
    <s v="UHTF"/>
    <s v="CESTFA"/>
  </r>
  <r>
    <x v="1947"/>
    <s v="Koulosousas"/>
    <s v="Dimitrios"/>
    <s v="GRE0241"/>
    <s v="OPEN"/>
    <x v="167"/>
    <s v="GRE"/>
    <m/>
    <m/>
    <m/>
    <m/>
    <m/>
    <s v="UHTF"/>
    <s v="CESTFA"/>
  </r>
  <r>
    <x v="1948"/>
    <s v="Koulosousas"/>
    <s v="Serafeim"/>
    <s v="GRE0049"/>
    <s v="VET"/>
    <x v="167"/>
    <s v="GRE"/>
    <m/>
    <m/>
    <m/>
    <m/>
    <m/>
    <s v="UHTF"/>
    <s v="CESTFA"/>
  </r>
  <r>
    <x v="1949"/>
    <s v="Kounadis"/>
    <s v="Kostas"/>
    <s v="GRE0636"/>
    <s v="VET"/>
    <x v="14"/>
    <s v="GRE"/>
    <m/>
    <m/>
    <m/>
    <m/>
    <m/>
    <s v="UHTF"/>
    <s v="CESTFA"/>
  </r>
  <r>
    <x v="1950"/>
    <s v="Kounenos"/>
    <s v="Georgios"/>
    <s v="GRE0343"/>
    <s v="OPEN"/>
    <x v="14"/>
    <s v="GRE"/>
    <m/>
    <m/>
    <m/>
    <m/>
    <m/>
    <s v="UHTF"/>
    <s v="CESTFA"/>
  </r>
  <r>
    <x v="1951"/>
    <s v="Kounenos"/>
    <s v="Miltiadis"/>
    <s v="GRE0342"/>
    <s v="VET"/>
    <x v="14"/>
    <s v="GRE"/>
    <m/>
    <m/>
    <m/>
    <m/>
    <m/>
    <s v="UHTF"/>
    <s v="CESTFA"/>
  </r>
  <r>
    <x v="1952"/>
    <s v="Kouniadis"/>
    <s v="Theodore"/>
    <s v="GRE0720"/>
    <s v="OPEN"/>
    <x v="14"/>
    <s v="GRE"/>
    <m/>
    <m/>
    <m/>
    <m/>
    <m/>
    <s v="UHTF"/>
    <s v="CESTFA"/>
  </r>
  <r>
    <x v="1953"/>
    <s v="Kouraba"/>
    <s v="Panagiota"/>
    <s v="GRE0401"/>
    <s v="OPEN"/>
    <x v="14"/>
    <s v="GRE"/>
    <m/>
    <m/>
    <m/>
    <m/>
    <m/>
    <s v="UHTF"/>
    <s v="CESTFA"/>
  </r>
  <r>
    <x v="1954"/>
    <s v="Kourabas"/>
    <s v="Dimitris"/>
    <s v="GRE0172"/>
    <s v="VET"/>
    <x v="62"/>
    <s v="GRE"/>
    <m/>
    <m/>
    <m/>
    <m/>
    <m/>
    <s v="UHTF"/>
    <s v="CESTFA"/>
  </r>
  <r>
    <x v="1955"/>
    <s v="Kourabas"/>
    <s v="Nikolas"/>
    <s v="GRE0402"/>
    <s v="OPEN"/>
    <x v="14"/>
    <s v="GRE"/>
    <m/>
    <m/>
    <m/>
    <m/>
    <m/>
    <s v="UHTF"/>
    <s v="CESTFA"/>
  </r>
  <r>
    <x v="1956"/>
    <s v="Kouratzis"/>
    <s v="Stefanos"/>
    <s v="CYP0008"/>
    <s v="OPEN"/>
    <x v="50"/>
    <s v="CYP"/>
    <m/>
    <m/>
    <m/>
    <m/>
    <m/>
    <s v="CYSTFA (Provisional)"/>
    <m/>
  </r>
  <r>
    <x v="1957"/>
    <s v="Koureas"/>
    <s v="Giannis"/>
    <s v="CYP0041"/>
    <s v="OPEN"/>
    <x v="59"/>
    <s v="CYP"/>
    <m/>
    <m/>
    <m/>
    <m/>
    <m/>
    <s v="CYSTFA (Provisional)"/>
    <m/>
  </r>
  <r>
    <x v="1958"/>
    <s v="Kouridakis"/>
    <s v="Christos"/>
    <s v="GRE0404"/>
    <s v="OPEN"/>
    <x v="18"/>
    <s v="GRE"/>
    <m/>
    <m/>
    <m/>
    <m/>
    <m/>
    <s v="UHTF"/>
    <s v="CESTFA"/>
  </r>
  <r>
    <x v="1959"/>
    <s v="Kourou"/>
    <s v="Dimosthenis"/>
    <s v="GRE0623"/>
    <s v="VET"/>
    <x v="14"/>
    <s v="GRE"/>
    <m/>
    <m/>
    <m/>
    <m/>
    <m/>
    <s v="UHTF"/>
    <s v="CESTFA"/>
  </r>
  <r>
    <x v="1960"/>
    <s v="Kourouklis"/>
    <s v="Angelos"/>
    <s v="GRE0104"/>
    <s v="VET"/>
    <x v="14"/>
    <s v="GRE"/>
    <m/>
    <m/>
    <m/>
    <m/>
    <m/>
    <s v="UHTF"/>
    <s v="CESTFA"/>
  </r>
  <r>
    <x v="1961"/>
    <s v="Kourouklis"/>
    <s v="Christos"/>
    <s v="GRE0254"/>
    <s v="OPEN"/>
    <x v="14"/>
    <s v="GRE"/>
    <m/>
    <m/>
    <m/>
    <m/>
    <m/>
    <s v="UHTF"/>
    <s v="CESTFA"/>
  </r>
  <r>
    <x v="1962"/>
    <s v="Kourtis"/>
    <s v="Dimitrios"/>
    <s v="GRE0162"/>
    <s v="OPEN"/>
    <x v="14"/>
    <s v="GRE"/>
    <m/>
    <m/>
    <m/>
    <m/>
    <m/>
    <s v="UHTF"/>
    <s v="CESTFA"/>
  </r>
  <r>
    <x v="1963"/>
    <s v="Koutis"/>
    <s v="Dionysios"/>
    <s v="GRE0108"/>
    <s v="OPEN"/>
    <x v="218"/>
    <s v="GRE"/>
    <m/>
    <m/>
    <m/>
    <m/>
    <m/>
    <s v="UHTF"/>
    <s v="CESTFA"/>
  </r>
  <r>
    <x v="1964"/>
    <s v="Koutis"/>
    <s v="Georgios"/>
    <s v="GRE0009"/>
    <s v="OPEN"/>
    <x v="218"/>
    <s v="GRE"/>
    <m/>
    <m/>
    <m/>
    <m/>
    <m/>
    <s v="UHTF"/>
    <s v="CESTFA"/>
  </r>
  <r>
    <x v="1965"/>
    <s v="Koutoulas"/>
    <s v="Sotirios"/>
    <s v="GRE0520"/>
    <s v="U20"/>
    <x v="14"/>
    <s v="GRE"/>
    <m/>
    <m/>
    <m/>
    <m/>
    <m/>
    <s v="UHTF"/>
    <s v="CESTFA"/>
  </r>
  <r>
    <x v="1966"/>
    <s v="Koutroumanos"/>
    <s v="Efthymios"/>
    <s v="GRE0004"/>
    <s v="OPEN"/>
    <x v="14"/>
    <s v="GRE"/>
    <m/>
    <m/>
    <m/>
    <m/>
    <m/>
    <s v="UHTF"/>
    <s v="CESTFA"/>
  </r>
  <r>
    <x v="1967"/>
    <s v="Koutroumanos"/>
    <s v="Leonidas"/>
    <s v="GRE0002"/>
    <s v="VET"/>
    <x v="52"/>
    <s v="GRE"/>
    <m/>
    <m/>
    <m/>
    <m/>
    <m/>
    <s v="UHTF"/>
    <s v="CESTFA"/>
  </r>
  <r>
    <x v="1968"/>
    <s v="Koutsiana"/>
    <s v="Dimitra"/>
    <s v="GRE0359"/>
    <s v="OPEN"/>
    <x v="14"/>
    <s v="GRE"/>
    <m/>
    <m/>
    <m/>
    <m/>
    <m/>
    <s v="UHTF"/>
    <s v="CESTFA"/>
  </r>
  <r>
    <x v="1969"/>
    <s v="Koutsogiannis"/>
    <s v="Efthimios"/>
    <s v="GRE0490"/>
    <s v="OPEN"/>
    <x v="78"/>
    <s v="GRE"/>
    <m/>
    <m/>
    <m/>
    <m/>
    <m/>
    <s v="UHTF"/>
    <s v="CESTFA"/>
  </r>
  <r>
    <x v="1970"/>
    <s v="Koutsompinas"/>
    <s v="Vasileios"/>
    <s v="GRE0112"/>
    <s v="OPEN"/>
    <x v="128"/>
    <s v="GRE"/>
    <m/>
    <m/>
    <m/>
    <m/>
    <m/>
    <s v="UHTF"/>
    <s v="CESTFA"/>
  </r>
  <r>
    <x v="1971"/>
    <s v="Koutzas"/>
    <s v="Billy"/>
    <s v="AUS0138"/>
    <s v="OPEN"/>
    <x v="113"/>
    <s v="AUS"/>
    <m/>
    <m/>
    <m/>
    <m/>
    <m/>
    <s v="ATFA"/>
    <s v="CASTFA"/>
  </r>
  <r>
    <x v="1972"/>
    <s v="Kouvelas"/>
    <s v="Konstantinos"/>
    <s v="GRE0066"/>
    <s v="OPEN"/>
    <x v="14"/>
    <s v="GRE"/>
    <m/>
    <m/>
    <m/>
    <m/>
    <m/>
    <s v="UHTF"/>
    <s v="CESTFA"/>
  </r>
  <r>
    <x v="1973"/>
    <s v="KOZAK"/>
    <s v="Denys"/>
    <s v="UKR0005"/>
    <s v="OPEN"/>
    <x v="159"/>
    <s v="UKR"/>
    <m/>
    <m/>
    <m/>
    <m/>
    <m/>
    <s v="UKT (Provisional)"/>
    <m/>
  </r>
  <r>
    <x v="1974"/>
    <s v="Krause"/>
    <s v="Alwin"/>
    <s v="GER0092"/>
    <s v="OPEN"/>
    <x v="5"/>
    <s v="GER"/>
    <m/>
    <m/>
    <m/>
    <m/>
    <m/>
    <s v="DSTFB"/>
    <s v="CESTFA"/>
  </r>
  <r>
    <x v="1975"/>
    <s v="Krause"/>
    <s v="Maike"/>
    <s v="GER0009"/>
    <s v="OPEN"/>
    <x v="5"/>
    <s v="GER"/>
    <m/>
    <m/>
    <m/>
    <m/>
    <m/>
    <s v="DSTFB"/>
    <s v="CESTFA"/>
  </r>
  <r>
    <x v="1976"/>
    <s v="Krause"/>
    <s v="Svenja"/>
    <s v="GER0123"/>
    <s v="OPEN"/>
    <x v="5"/>
    <s v="GER"/>
    <m/>
    <m/>
    <m/>
    <m/>
    <m/>
    <s v="DSTFB"/>
    <s v="CESTFA"/>
  </r>
  <r>
    <x v="1977"/>
    <s v="Kreeger"/>
    <s v="Steve"/>
    <s v="ENG0516"/>
    <s v="OPEN"/>
    <x v="14"/>
    <s v="ENG"/>
    <m/>
    <m/>
    <m/>
    <m/>
    <m/>
    <s v="ESA"/>
    <s v="CESTFA"/>
  </r>
  <r>
    <x v="1978"/>
    <s v="Krevvatas"/>
    <s v="Nikolaos"/>
    <s v="GRE0031"/>
    <s v="VET"/>
    <x v="14"/>
    <s v="GRE"/>
    <m/>
    <m/>
    <m/>
    <m/>
    <m/>
    <s v="UHTF"/>
    <s v="CESTFA"/>
  </r>
  <r>
    <x v="1979"/>
    <s v="Krichel"/>
    <s v="Achim"/>
    <s v="GER0001"/>
    <s v="VET"/>
    <x v="313"/>
    <s v="GER"/>
    <m/>
    <m/>
    <m/>
    <m/>
    <m/>
    <s v="DSTFB"/>
    <s v="CESTFA"/>
  </r>
  <r>
    <x v="1980"/>
    <s v="Krikelis"/>
    <s v="Stefanos"/>
    <s v="GRE0161"/>
    <s v="VET"/>
    <x v="30"/>
    <s v="GRE"/>
    <m/>
    <m/>
    <m/>
    <m/>
    <m/>
    <s v="UHTF"/>
    <s v="CESTFA"/>
  </r>
  <r>
    <x v="1981"/>
    <s v="Kristensen"/>
    <s v="Daniel"/>
    <s v="DEN0063"/>
    <s v="OPEN"/>
    <x v="10"/>
    <s v="DEN"/>
    <m/>
    <m/>
    <m/>
    <m/>
    <m/>
    <s v="DSBU (Provisional)"/>
    <m/>
  </r>
  <r>
    <x v="1982"/>
    <s v="Kristensen"/>
    <s v="Kamilla"/>
    <s v="DEN0013"/>
    <s v="OPEN"/>
    <x v="10"/>
    <s v="DEN"/>
    <m/>
    <m/>
    <m/>
    <m/>
    <m/>
    <s v="DSBU (Provisional)"/>
    <m/>
  </r>
  <r>
    <x v="1983"/>
    <s v="Kristensen"/>
    <s v="Kim"/>
    <s v="DEN0060"/>
    <s v="OPEN"/>
    <x v="10"/>
    <s v="DEN"/>
    <m/>
    <m/>
    <m/>
    <m/>
    <m/>
    <s v="DSBU (Provisional)"/>
    <m/>
  </r>
  <r>
    <x v="1984"/>
    <s v="Kristensen"/>
    <s v="Thomas Hjorth"/>
    <s v="DEN0053"/>
    <s v="OPEN"/>
    <x v="10"/>
    <s v="DEN"/>
    <m/>
    <m/>
    <m/>
    <m/>
    <m/>
    <s v="DSBU (Provisional)"/>
    <m/>
  </r>
  <r>
    <x v="1985"/>
    <s v="Krokos"/>
    <s v="Ioannis"/>
    <s v="GRE0470"/>
    <s v="OPEN"/>
    <x v="14"/>
    <s v="GRE"/>
    <m/>
    <m/>
    <m/>
    <m/>
    <m/>
    <s v="UHTF"/>
    <s v="CESTFA"/>
  </r>
  <r>
    <x v="1986"/>
    <s v="Krommydas"/>
    <s v="Panagiotis"/>
    <s v="GER0131"/>
    <s v="VET"/>
    <x v="289"/>
    <s v="GER"/>
    <m/>
    <m/>
    <m/>
    <m/>
    <m/>
    <s v="DSTFB"/>
    <s v="CESTFA"/>
  </r>
  <r>
    <x v="1987"/>
    <s v="Krommydas"/>
    <s v="Panagiotis (05)"/>
    <s v="GRE0573"/>
    <s v="U20"/>
    <x v="14"/>
    <s v="GRE"/>
    <m/>
    <m/>
    <m/>
    <m/>
    <m/>
    <s v="UHTF"/>
    <s v="CESTFA"/>
  </r>
  <r>
    <x v="1988"/>
    <s v="Kronmüller"/>
    <s v="Melanie"/>
    <s v="GER0135"/>
    <s v="OPEN"/>
    <x v="289"/>
    <s v="GER"/>
    <m/>
    <m/>
    <m/>
    <m/>
    <m/>
    <s v="DSTFB"/>
    <s v="CESTFA"/>
  </r>
  <r>
    <x v="1989"/>
    <s v="Krysilas"/>
    <s v="Antonis"/>
    <s v="GRE0394"/>
    <s v="VET"/>
    <x v="278"/>
    <s v="GRE"/>
    <m/>
    <m/>
    <m/>
    <m/>
    <m/>
    <s v="UHTF"/>
    <s v="CESTFA"/>
  </r>
  <r>
    <x v="1990"/>
    <s v="Ktenas"/>
    <s v="Kyriacos"/>
    <s v="CYP0009"/>
    <s v="OPEN"/>
    <x v="314"/>
    <s v="CYP"/>
    <m/>
    <m/>
    <m/>
    <m/>
    <m/>
    <s v="CYSTFA (Provisional)"/>
    <m/>
  </r>
  <r>
    <x v="1991"/>
    <s v="Kudryashov"/>
    <s v="Andrey Nicolaevich"/>
    <s v="RUS0002"/>
    <s v="VET"/>
    <x v="291"/>
    <s v="RUS"/>
    <m/>
    <m/>
    <m/>
    <m/>
    <m/>
    <s v="RSTFF (Suspended)"/>
    <m/>
  </r>
  <r>
    <x v="1992"/>
    <s v="Kumar"/>
    <s v="Vikkram S"/>
    <s v="SGP0135"/>
    <s v="U20"/>
    <x v="24"/>
    <s v="SGP"/>
    <m/>
    <m/>
    <m/>
    <m/>
    <m/>
    <s v="TFAS"/>
    <s v="CASTFA"/>
  </r>
  <r>
    <x v="1993"/>
    <s v="Kurkeyerian"/>
    <s v="Varant"/>
    <s v="USA0349"/>
    <s v="VET"/>
    <x v="219"/>
    <s v="USA"/>
    <m/>
    <m/>
    <m/>
    <m/>
    <m/>
    <s v="ASA"/>
    <s v="CONASTF"/>
  </r>
  <r>
    <x v="1994"/>
    <s v="Kushmyruk"/>
    <s v="Alexandre"/>
    <s v="POR0239"/>
    <s v="U16"/>
    <x v="11"/>
    <s v="POR"/>
    <m/>
    <m/>
    <m/>
    <m/>
    <m/>
    <s v="APS"/>
    <s v="CESTFA"/>
  </r>
  <r>
    <x v="1995"/>
    <s v="Kusnadi"/>
    <s v="Erfandy"/>
    <s v="SGP0042"/>
    <s v="OPEN"/>
    <x v="315"/>
    <s v="SGP"/>
    <m/>
    <m/>
    <m/>
    <m/>
    <m/>
    <s v="TFAS"/>
    <s v="CASTFA"/>
  </r>
  <r>
    <x v="1996"/>
    <s v="Kwiatkowski"/>
    <s v="Manuela"/>
    <s v="GER0093"/>
    <s v="VET"/>
    <x v="5"/>
    <s v="GER"/>
    <m/>
    <m/>
    <m/>
    <m/>
    <m/>
    <s v="DSTFB"/>
    <s v="CESTFA"/>
  </r>
  <r>
    <x v="1997"/>
    <s v="Kwiatkowski"/>
    <s v="Marcel"/>
    <s v="GER0022"/>
    <s v="OPEN"/>
    <x v="5"/>
    <s v="GER"/>
    <m/>
    <m/>
    <m/>
    <m/>
    <m/>
    <s v="DSTFB"/>
    <s v="CESTFA"/>
  </r>
  <r>
    <x v="1998"/>
    <s v="Kyriacou"/>
    <s v="Marios"/>
    <s v="CYP0010"/>
    <s v="VET"/>
    <x v="50"/>
    <s v="CYP"/>
    <m/>
    <m/>
    <m/>
    <m/>
    <m/>
    <s v="CYSTFA (Provisional)"/>
    <m/>
  </r>
  <r>
    <x v="1999"/>
    <s v="Kyriakoulakos"/>
    <s v="Panagiotis"/>
    <s v="GRE0146"/>
    <s v="OPEN"/>
    <x v="14"/>
    <s v="GRE"/>
    <m/>
    <m/>
    <m/>
    <m/>
    <m/>
    <s v="UHTF"/>
    <s v="CESTFA"/>
  </r>
  <r>
    <x v="2000"/>
    <s v="Kyriakoulakos"/>
    <s v="Stilianos"/>
    <s v="GRE0152"/>
    <s v="VET"/>
    <x v="14"/>
    <s v="GRE"/>
    <m/>
    <m/>
    <m/>
    <m/>
    <m/>
    <s v="UHTF"/>
    <s v="CESTFA"/>
  </r>
  <r>
    <x v="2001"/>
    <s v="La Pietra"/>
    <s v="Simongiorgio"/>
    <s v="ITA0454"/>
    <s v="OPEN"/>
    <x v="234"/>
    <s v="ITA"/>
    <m/>
    <m/>
    <m/>
    <m/>
    <m/>
    <s v="FISCT"/>
    <s v="CESTFA"/>
  </r>
  <r>
    <x v="2002"/>
    <s v="La Rosa"/>
    <s v="Alberto"/>
    <s v="ITA0456"/>
    <s v="VET"/>
    <x v="205"/>
    <s v="ITA"/>
    <m/>
    <m/>
    <m/>
    <m/>
    <m/>
    <s v="FISCT"/>
    <s v="CESTFA"/>
  </r>
  <r>
    <x v="2003"/>
    <s v="La Rosa"/>
    <s v="Riccardo"/>
    <s v="ITA0455"/>
    <s v="OPEN"/>
    <x v="200"/>
    <s v="ITA"/>
    <m/>
    <m/>
    <m/>
    <m/>
    <m/>
    <s v="FISCT"/>
    <s v="CESTFA"/>
  </r>
  <r>
    <x v="2004"/>
    <s v="La Torre"/>
    <s v="Antonio"/>
    <s v="ITA1524"/>
    <s v="OPEN"/>
    <x v="195"/>
    <s v="ITA"/>
    <m/>
    <m/>
    <m/>
    <m/>
    <m/>
    <s v="FISCT"/>
    <s v="CESTFA"/>
  </r>
  <r>
    <x v="2005"/>
    <s v="La Torre"/>
    <s v="Claudio"/>
    <s v="ITA0459"/>
    <s v="OPEN"/>
    <x v="195"/>
    <s v="ITA"/>
    <m/>
    <m/>
    <m/>
    <m/>
    <m/>
    <s v="FISCT"/>
    <s v="CESTFA"/>
  </r>
  <r>
    <x v="2006"/>
    <s v="La Torre"/>
    <s v="Concetto"/>
    <s v="ITA0457"/>
    <s v="VET"/>
    <x v="195"/>
    <s v="ITA"/>
    <m/>
    <m/>
    <m/>
    <m/>
    <m/>
    <s v="FISCT"/>
    <s v="CESTFA"/>
  </r>
  <r>
    <x v="2007"/>
    <s v="La Torre"/>
    <s v="Francesco"/>
    <s v="ITA0458"/>
    <s v="OPEN"/>
    <x v="195"/>
    <s v="ITA"/>
    <m/>
    <m/>
    <m/>
    <m/>
    <m/>
    <s v="FISCT"/>
    <s v="CESTFA"/>
  </r>
  <r>
    <x v="2008"/>
    <s v="Lacey"/>
    <s v="Thomas"/>
    <s v="ENG0522"/>
    <s v="OPEN"/>
    <x v="75"/>
    <s v="ENG"/>
    <m/>
    <m/>
    <m/>
    <m/>
    <m/>
    <s v="ESA"/>
    <s v="CESTFA"/>
  </r>
  <r>
    <x v="2009"/>
    <s v="Lafontaine"/>
    <s v="Emmanuel"/>
    <s v="FRA0096"/>
    <s v="OPEN"/>
    <x v="57"/>
    <s v="FRA"/>
    <m/>
    <m/>
    <m/>
    <m/>
    <m/>
    <s v="3FTS"/>
    <s v="CESTFA"/>
  </r>
  <r>
    <x v="2010"/>
    <s v="Lafontaine"/>
    <s v="Romain"/>
    <s v="FRA0216"/>
    <s v="OPEN"/>
    <x v="57"/>
    <s v="FRA"/>
    <m/>
    <m/>
    <m/>
    <m/>
    <m/>
    <s v="3FTS"/>
    <s v="CESTFA"/>
  </r>
  <r>
    <x v="2011"/>
    <s v="Lagios"/>
    <s v="Dimitris"/>
    <s v="GRE0588"/>
    <s v="OPEN"/>
    <x v="14"/>
    <s v="GRE"/>
    <m/>
    <m/>
    <m/>
    <m/>
    <m/>
    <s v="UHTF"/>
    <s v="CESTFA"/>
  </r>
  <r>
    <x v="2012"/>
    <s v="Lagios"/>
    <s v="Dionysis"/>
    <s v="GRE0589"/>
    <s v="U16"/>
    <x v="14"/>
    <s v="GRE"/>
    <m/>
    <m/>
    <m/>
    <m/>
    <m/>
    <s v="UHTF"/>
    <s v="CESTFA"/>
  </r>
  <r>
    <x v="2013"/>
    <s v="Lagneau"/>
    <s v="Benoit"/>
    <s v="BEL0262"/>
    <s v="OPEN"/>
    <x v="51"/>
    <s v="BEL"/>
    <m/>
    <m/>
    <m/>
    <m/>
    <m/>
    <m/>
    <m/>
  </r>
  <r>
    <x v="2014"/>
    <s v="Laguea"/>
    <s v="Gerald"/>
    <s v="GIB0065"/>
    <s v="VET"/>
    <x v="37"/>
    <s v="GIB"/>
    <m/>
    <m/>
    <m/>
    <m/>
    <m/>
    <s v="GTSA"/>
    <s v="CESTFA"/>
  </r>
  <r>
    <x v="2015"/>
    <s v="Lam"/>
    <s v="Ying En, Vivian"/>
    <s v="SGP0141"/>
    <s v="U20"/>
    <x v="24"/>
    <s v="SGP"/>
    <m/>
    <m/>
    <m/>
    <m/>
    <m/>
    <s v="TFAS"/>
    <s v="CASTFA"/>
  </r>
  <r>
    <x v="2016"/>
    <s v="Lambert"/>
    <s v="Brian"/>
    <s v="USA0375"/>
    <s v="VET"/>
    <x v="273"/>
    <s v="USA"/>
    <m/>
    <m/>
    <m/>
    <m/>
    <m/>
    <s v="ASA"/>
    <s v="CONASTF"/>
  </r>
  <r>
    <x v="2017"/>
    <s v="Lambert"/>
    <s v="Stéphane"/>
    <s v="BEL0050"/>
    <s v="VET"/>
    <x v="75"/>
    <s v="BEL"/>
    <m/>
    <m/>
    <m/>
    <m/>
    <m/>
    <m/>
    <m/>
  </r>
  <r>
    <x v="2018"/>
    <s v="Lamberti"/>
    <s v="Marco"/>
    <s v="ITA0461"/>
    <s v="VET"/>
    <x v="118"/>
    <s v="ITA"/>
    <m/>
    <m/>
    <m/>
    <m/>
    <m/>
    <s v="FISCT"/>
    <s v="CESTFA"/>
  </r>
  <r>
    <x v="2019"/>
    <s v="Lambertucci"/>
    <s v="Toribio"/>
    <s v="ARG0018"/>
    <s v="VET"/>
    <x v="157"/>
    <s v="ARG"/>
    <m/>
    <m/>
    <m/>
    <m/>
    <m/>
    <s v="LAFM (Suspended)"/>
    <s v="CSAFM"/>
  </r>
  <r>
    <x v="2020"/>
    <s v="Lampis"/>
    <s v="Diamantis"/>
    <s v="GRE0658"/>
    <s v="OPEN"/>
    <x v="14"/>
    <s v="GRE"/>
    <m/>
    <m/>
    <m/>
    <m/>
    <m/>
    <s v="UHTF"/>
    <s v="CESTFA"/>
  </r>
  <r>
    <x v="2021"/>
    <s v="Lampis"/>
    <s v="Fotis"/>
    <s v="GRE0659"/>
    <s v="OPEN"/>
    <x v="14"/>
    <s v="GRE"/>
    <m/>
    <m/>
    <m/>
    <m/>
    <m/>
    <s v="UHTF"/>
    <s v="CESTFA"/>
  </r>
  <r>
    <x v="2022"/>
    <s v="Lampitt"/>
    <s v="Matt"/>
    <s v="ENG0022"/>
    <s v="OPEN"/>
    <x v="141"/>
    <s v="ENG"/>
    <m/>
    <m/>
    <m/>
    <m/>
    <m/>
    <s v="ESA"/>
    <s v="CESTFA"/>
  </r>
  <r>
    <x v="2023"/>
    <s v="Lamprakis"/>
    <s v="Georgios"/>
    <s v="GRE0724"/>
    <s v="OPEN"/>
    <x v="14"/>
    <s v="GRE"/>
    <m/>
    <m/>
    <m/>
    <m/>
    <m/>
    <s v="UHTF"/>
    <s v="CESTFA"/>
  </r>
  <r>
    <x v="2024"/>
    <s v="Lamprakis"/>
    <s v="Panagiotis"/>
    <s v="GRE0425"/>
    <s v="OPEN"/>
    <x v="14"/>
    <s v="GRE"/>
    <m/>
    <m/>
    <m/>
    <m/>
    <m/>
    <s v="UHTF"/>
    <s v="CESTFA"/>
  </r>
  <r>
    <x v="2025"/>
    <s v="Lampropoulos"/>
    <s v="Anastasios"/>
    <s v="GRE0498"/>
    <s v="OPEN"/>
    <x v="14"/>
    <s v="GRE"/>
    <m/>
    <m/>
    <m/>
    <m/>
    <m/>
    <s v="UHTF"/>
    <s v="CESTFA"/>
  </r>
  <r>
    <x v="2026"/>
    <s v="Lampugnani"/>
    <s v="Andrea"/>
    <s v="ITA0463"/>
    <s v="VET"/>
    <x v="44"/>
    <s v="ITA"/>
    <m/>
    <m/>
    <m/>
    <m/>
    <m/>
    <s v="FISCT"/>
    <s v="CESTFA"/>
  </r>
  <r>
    <x v="2027"/>
    <s v="Lanci"/>
    <s v="Edoardo"/>
    <s v="ITA3309"/>
    <s v="U16"/>
    <x v="111"/>
    <s v="ITA"/>
    <m/>
    <m/>
    <m/>
    <m/>
    <m/>
    <s v="FISCT"/>
    <s v="CESTFA"/>
  </r>
  <r>
    <x v="2028"/>
    <s v="Landi"/>
    <s v="Edoardo"/>
    <s v="ITA2734"/>
    <s v="U16"/>
    <x v="98"/>
    <s v="ITA"/>
    <m/>
    <m/>
    <m/>
    <m/>
    <m/>
    <s v="FISCT"/>
    <s v="CESTFA"/>
  </r>
  <r>
    <x v="2029"/>
    <s v="Landi"/>
    <s v="Nico"/>
    <s v="ITA1493"/>
    <s v="VET"/>
    <x v="98"/>
    <s v="ITA"/>
    <m/>
    <m/>
    <m/>
    <m/>
    <m/>
    <s v="FISCT"/>
    <s v="CESTFA"/>
  </r>
  <r>
    <x v="2030"/>
    <s v="Landzaat"/>
    <s v="Dennis"/>
    <s v="NED0004"/>
    <s v="OPEN"/>
    <x v="244"/>
    <s v="NED"/>
    <m/>
    <m/>
    <m/>
    <m/>
    <m/>
    <s v="NSVB"/>
    <s v="CESTFA"/>
  </r>
  <r>
    <x v="2031"/>
    <s v="Landzaat"/>
    <s v="Henk"/>
    <s v="NED0029"/>
    <s v="VET"/>
    <x v="83"/>
    <s v="NED"/>
    <m/>
    <m/>
    <m/>
    <m/>
    <m/>
    <s v="NSVB"/>
    <s v="CESTFA"/>
  </r>
  <r>
    <x v="2032"/>
    <s v="Lange Klausen"/>
    <s v="Tommas"/>
    <s v="DEN0012"/>
    <s v="VET"/>
    <x v="10"/>
    <s v="DEN"/>
    <m/>
    <m/>
    <m/>
    <m/>
    <m/>
    <s v="DSBU (Provisional)"/>
    <m/>
  </r>
  <r>
    <x v="2033"/>
    <s v="Lannoy"/>
    <s v="Frank"/>
    <s v="BEL0051"/>
    <s v="VET"/>
    <x v="241"/>
    <s v="BEL"/>
    <m/>
    <m/>
    <m/>
    <m/>
    <m/>
    <m/>
    <m/>
  </r>
  <r>
    <x v="2034"/>
    <s v="Lanzani"/>
    <s v="Luca"/>
    <s v="ENG1011"/>
    <s v="VET"/>
    <x v="203"/>
    <s v="ENG"/>
    <m/>
    <m/>
    <m/>
    <m/>
    <m/>
    <s v="ESA"/>
    <s v="CESTFA"/>
  </r>
  <r>
    <x v="2035"/>
    <s v="Laporta"/>
    <s v="Alfred"/>
    <s v="ESP0004"/>
    <s v="VET"/>
    <x v="14"/>
    <s v="ESP"/>
    <m/>
    <m/>
    <m/>
    <m/>
    <m/>
    <s v="AEFM"/>
    <s v="CESTFA"/>
  </r>
  <r>
    <x v="2036"/>
    <s v="Laranjeira"/>
    <s v="Paulo"/>
    <s v="POR0016"/>
    <s v="VET"/>
    <x v="8"/>
    <s v="POR"/>
    <m/>
    <m/>
    <m/>
    <m/>
    <m/>
    <s v="APS"/>
    <s v="CESTFA"/>
  </r>
  <r>
    <x v="2037"/>
    <s v="Lari"/>
    <s v="Davide"/>
    <s v="ITA3392"/>
    <s v="U16"/>
    <x v="76"/>
    <s v="ITA"/>
    <m/>
    <m/>
    <m/>
    <m/>
    <m/>
    <s v="FISCT"/>
    <s v="CESTFA"/>
  </r>
  <r>
    <x v="2038"/>
    <s v="Larochelle"/>
    <s v="Dewey"/>
    <s v="USA0022"/>
    <s v="VET"/>
    <x v="192"/>
    <s v="USA"/>
    <m/>
    <m/>
    <m/>
    <m/>
    <m/>
    <s v="ASA"/>
    <s v="CONASTF"/>
  </r>
  <r>
    <x v="2039"/>
    <s v="Larroumes"/>
    <s v="Pierre"/>
    <s v="FRA0262"/>
    <s v="VET"/>
    <x v="152"/>
    <s v="FRA"/>
    <m/>
    <m/>
    <m/>
    <m/>
    <m/>
    <s v="3FTS"/>
    <s v="CESTFA"/>
  </r>
  <r>
    <x v="2040"/>
    <s v="Lastrucci"/>
    <s v="Tiziano"/>
    <s v="ITA3060"/>
    <s v="VET"/>
    <x v="316"/>
    <s v="ITA"/>
    <m/>
    <m/>
    <m/>
    <m/>
    <m/>
    <s v="FISCT"/>
    <s v="CESTFA"/>
  </r>
  <r>
    <x v="2041"/>
    <s v="Lauder"/>
    <s v="David"/>
    <s v="WAL0001"/>
    <s v="OPEN"/>
    <x v="121"/>
    <s v="WAL"/>
    <m/>
    <m/>
    <m/>
    <m/>
    <m/>
    <s v="WSTFA"/>
    <s v="CESTFA"/>
  </r>
  <r>
    <x v="2042"/>
    <s v="Lauder"/>
    <s v="John"/>
    <s v="WAL0009"/>
    <s v="VET"/>
    <x v="120"/>
    <s v="WAL"/>
    <m/>
    <m/>
    <m/>
    <m/>
    <m/>
    <s v="WSTFA"/>
    <s v="CESTFA"/>
  </r>
  <r>
    <x v="2043"/>
    <s v="Laurent"/>
    <s v="Francis"/>
    <s v="FRA0243"/>
    <s v="VET"/>
    <x v="275"/>
    <s v="FRA"/>
    <m/>
    <m/>
    <m/>
    <m/>
    <m/>
    <s v="3FTS"/>
    <s v="CESTFA"/>
  </r>
  <r>
    <x v="2044"/>
    <s v="Laurent"/>
    <s v="Joffray"/>
    <s v="BEL0033"/>
    <s v="OPEN"/>
    <x v="178"/>
    <s v="BEL"/>
    <m/>
    <m/>
    <m/>
    <m/>
    <m/>
    <m/>
    <m/>
  </r>
  <r>
    <x v="2045"/>
    <s v="Laurentius"/>
    <s v="Finn"/>
    <s v="GER0139"/>
    <s v="OPEN"/>
    <x v="5"/>
    <s v="GER"/>
    <m/>
    <m/>
    <m/>
    <m/>
    <m/>
    <s v="DSTFB"/>
    <s v="CESTFA"/>
  </r>
  <r>
    <x v="2046"/>
    <s v="Laurenzi"/>
    <s v="Alessandro"/>
    <s v="ITA3233"/>
    <s v="VET"/>
    <x v="27"/>
    <s v="ITA"/>
    <m/>
    <m/>
    <m/>
    <m/>
    <m/>
    <s v="FISCT"/>
    <s v="CESTFA"/>
  </r>
  <r>
    <x v="2047"/>
    <s v="Lauretti"/>
    <s v="Marco"/>
    <s v="ITA0466"/>
    <s v="VET"/>
    <x v="46"/>
    <s v="ITA"/>
    <m/>
    <m/>
    <m/>
    <m/>
    <m/>
    <s v="FISCT"/>
    <s v="CESTFA"/>
  </r>
  <r>
    <x v="2048"/>
    <s v="Lavender"/>
    <s v="Brandon"/>
    <s v="ENG0171"/>
    <s v="OPEN"/>
    <x v="14"/>
    <s v="ENG"/>
    <m/>
    <m/>
    <m/>
    <m/>
    <m/>
    <s v="ESA"/>
    <s v="CESTFA"/>
  </r>
  <r>
    <x v="2049"/>
    <s v="Lavoratti"/>
    <s v="Roberto"/>
    <s v="ITA2812"/>
    <s v="VET"/>
    <x v="29"/>
    <s v="ITA"/>
    <m/>
    <m/>
    <m/>
    <m/>
    <m/>
    <s v="FISCT"/>
    <s v="CESTFA"/>
  </r>
  <r>
    <x v="2050"/>
    <s v="Lavrakis"/>
    <s v="Marios"/>
    <s v="GRE0812"/>
    <s v="U12"/>
    <x v="128"/>
    <s v="GRE"/>
    <m/>
    <m/>
    <m/>
    <m/>
    <m/>
    <s v="UHTF"/>
    <s v="CESTFA"/>
  </r>
  <r>
    <x v="2051"/>
    <s v="Lavrakis"/>
    <s v="Panagiotis"/>
    <s v="GRE0521"/>
    <s v="OPEN"/>
    <x v="128"/>
    <s v="GRE"/>
    <m/>
    <m/>
    <m/>
    <m/>
    <m/>
    <s v="UHTF"/>
    <s v="CESTFA"/>
  </r>
  <r>
    <x v="2052"/>
    <s v="Lavrentcov"/>
    <s v="Dmitry Valeryavich"/>
    <s v="RUS0003"/>
    <s v="OPEN"/>
    <x v="291"/>
    <s v="RUS"/>
    <m/>
    <m/>
    <m/>
    <m/>
    <m/>
    <s v="RSTFF (Suspended)"/>
    <m/>
  </r>
  <r>
    <x v="2053"/>
    <s v="Lawrenson"/>
    <s v="Paul"/>
    <s v="ENG0041"/>
    <s v="OPEN"/>
    <x v="180"/>
    <s v="ENG"/>
    <m/>
    <m/>
    <m/>
    <m/>
    <m/>
    <s v="ESA"/>
    <s v="CESTFA"/>
  </r>
  <r>
    <x v="2054"/>
    <s v="Lay"/>
    <s v="Fabrizio"/>
    <s v="ITA1574"/>
    <s v="VET"/>
    <x v="230"/>
    <s v="ITA"/>
    <m/>
    <m/>
    <m/>
    <m/>
    <m/>
    <s v="FISCT"/>
    <s v="CESTFA"/>
  </r>
  <r>
    <x v="2055"/>
    <s v="Lazaridis"/>
    <s v="Michail"/>
    <s v="GRE0480"/>
    <s v="VET"/>
    <x v="14"/>
    <s v="GRE"/>
    <m/>
    <m/>
    <m/>
    <m/>
    <m/>
    <s v="UHTF"/>
    <s v="CESTFA"/>
  </r>
  <r>
    <x v="2056"/>
    <s v="Lazaridis"/>
    <s v="Nikolaos"/>
    <s v="GRE0572"/>
    <s v="OPEN"/>
    <x v="14"/>
    <s v="GRE"/>
    <m/>
    <m/>
    <m/>
    <m/>
    <m/>
    <s v="UHTF"/>
    <s v="CESTFA"/>
  </r>
  <r>
    <x v="2057"/>
    <s v="Lazzaretti"/>
    <s v="Lorenzo"/>
    <s v="ITA2376"/>
    <s v="OPEN"/>
    <x v="174"/>
    <s v="ITA"/>
    <m/>
    <m/>
    <m/>
    <m/>
    <m/>
    <s v="FISCT"/>
    <s v="CESTFA"/>
  </r>
  <r>
    <x v="2058"/>
    <s v="Lazzaretti"/>
    <s v="Patrizio"/>
    <s v="ITA1487"/>
    <s v="VET"/>
    <x v="174"/>
    <s v="ITA"/>
    <m/>
    <m/>
    <m/>
    <m/>
    <m/>
    <s v="FISCT"/>
    <s v="CESTFA"/>
  </r>
  <r>
    <x v="2059"/>
    <s v="Lazzari"/>
    <s v="David"/>
    <s v="CZE0001"/>
    <s v="VET"/>
    <x v="205"/>
    <s v="CZE"/>
    <m/>
    <m/>
    <m/>
    <m/>
    <m/>
    <s v="CTSU (Suspended)"/>
    <m/>
  </r>
  <r>
    <x v="2060"/>
    <s v="Lazzaroni"/>
    <s v="Diego"/>
    <s v="ITA2709"/>
    <s v="VET"/>
    <x v="225"/>
    <s v="ITA"/>
    <m/>
    <m/>
    <m/>
    <m/>
    <m/>
    <s v="FISCT"/>
    <s v="CESTFA"/>
  </r>
  <r>
    <x v="2061"/>
    <s v="Le De"/>
    <s v="Didier"/>
    <s v="FRA0219"/>
    <s v="VET"/>
    <x v="73"/>
    <s v="FRA"/>
    <m/>
    <m/>
    <m/>
    <m/>
    <m/>
    <s v="3FTS"/>
    <s v="CESTFA"/>
  </r>
  <r>
    <x v="2062"/>
    <s v="Le Teno"/>
    <s v="Arnaud"/>
    <s v="FRA0029"/>
    <s v="OPEN"/>
    <x v="14"/>
    <s v="FRA"/>
    <m/>
    <m/>
    <m/>
    <m/>
    <m/>
    <s v="3FTS"/>
    <s v="CESTFA"/>
  </r>
  <r>
    <x v="2063"/>
    <s v="Le Teno"/>
    <s v="Lucie"/>
    <s v="FRA0028"/>
    <s v="OPEN"/>
    <x v="82"/>
    <s v="FRA"/>
    <m/>
    <m/>
    <m/>
    <m/>
    <m/>
    <s v="3FTS"/>
    <s v="CESTFA"/>
  </r>
  <r>
    <x v="2064"/>
    <s v="Leandro"/>
    <s v="Ricardo"/>
    <s v="BRA0153"/>
    <s v="VET"/>
    <x v="317"/>
    <s v="BRA"/>
    <m/>
    <m/>
    <m/>
    <m/>
    <m/>
    <s v="CBFM (Suspended)"/>
    <m/>
  </r>
  <r>
    <x v="2065"/>
    <s v="Lebutte"/>
    <s v="Martin"/>
    <s v="BEL0476"/>
    <s v="U12"/>
    <x v="304"/>
    <s v="BEL"/>
    <m/>
    <m/>
    <m/>
    <m/>
    <m/>
    <m/>
    <m/>
  </r>
  <r>
    <x v="2066"/>
    <s v="Lecce"/>
    <s v="Pasquale"/>
    <s v="ITA1080"/>
    <s v="OPEN"/>
    <x v="193"/>
    <s v="ITA"/>
    <m/>
    <m/>
    <m/>
    <m/>
    <m/>
    <s v="FISCT"/>
    <s v="CESTFA"/>
  </r>
  <r>
    <x v="2067"/>
    <s v="Lecerf"/>
    <s v="Emeline"/>
    <s v="FRA0298"/>
    <s v="U12"/>
    <x v="318"/>
    <s v="FRA"/>
    <m/>
    <m/>
    <m/>
    <m/>
    <m/>
    <s v="3FTS"/>
    <s v="CESTFA"/>
  </r>
  <r>
    <x v="2068"/>
    <s v="Lecerf"/>
    <s v="Sebastien"/>
    <s v="FRA0297"/>
    <s v="OPEN"/>
    <x v="318"/>
    <s v="FRA"/>
    <m/>
    <m/>
    <m/>
    <m/>
    <m/>
    <s v="3FTS"/>
    <s v="CESTFA"/>
  </r>
  <r>
    <x v="2069"/>
    <s v="Ledieu"/>
    <s v="Johnny"/>
    <s v="FRA0038"/>
    <s v="OPEN"/>
    <x v="82"/>
    <s v="FRA"/>
    <m/>
    <m/>
    <m/>
    <m/>
    <m/>
    <s v="3FTS"/>
    <s v="CESTFA"/>
  </r>
  <r>
    <x v="2070"/>
    <s v="Ledoit"/>
    <s v="Augustin"/>
    <s v="FRA0258"/>
    <s v="U12"/>
    <x v="175"/>
    <s v="FRA"/>
    <m/>
    <m/>
    <m/>
    <m/>
    <m/>
    <s v="3FTS"/>
    <s v="CESTFA"/>
  </r>
  <r>
    <x v="2071"/>
    <s v="Ledoit"/>
    <s v="Cyril"/>
    <s v="FRA0259"/>
    <s v="VET"/>
    <x v="175"/>
    <s v="FRA"/>
    <m/>
    <m/>
    <m/>
    <m/>
    <m/>
    <s v="3FTS"/>
    <s v="CESTFA"/>
  </r>
  <r>
    <x v="2072"/>
    <s v="Lee"/>
    <s v="Alan"/>
    <s v="ENG0373"/>
    <s v="VET"/>
    <x v="197"/>
    <s v="ENG"/>
    <m/>
    <m/>
    <m/>
    <m/>
    <m/>
    <s v="ESA"/>
    <s v="CESTFA"/>
  </r>
  <r>
    <x v="2073"/>
    <s v="Lees"/>
    <s v="Malcolm"/>
    <s v="SCO0005"/>
    <s v="VET"/>
    <x v="49"/>
    <s v="SCO"/>
    <m/>
    <m/>
    <m/>
    <m/>
    <m/>
    <s v="SSA"/>
    <s v="CESTFA"/>
  </r>
  <r>
    <x v="2074"/>
    <s v="Lefebvre"/>
    <s v="Nicolas"/>
    <s v="FRA0094"/>
    <s v="OPEN"/>
    <x v="57"/>
    <s v="FRA"/>
    <m/>
    <m/>
    <m/>
    <m/>
    <m/>
    <s v="3FTS"/>
    <s v="CESTFA"/>
  </r>
  <r>
    <x v="2075"/>
    <s v="Legall"/>
    <s v="Eliott"/>
    <s v="FRA0152"/>
    <s v="OPEN"/>
    <x v="319"/>
    <s v="FRA"/>
    <m/>
    <m/>
    <m/>
    <m/>
    <m/>
    <s v="3FTS"/>
    <s v="CESTFA"/>
  </r>
  <r>
    <x v="2076"/>
    <s v="Legatz"/>
    <s v="Joe"/>
    <s v="USA0404"/>
    <s v="VET"/>
    <x v="273"/>
    <s v="USA"/>
    <m/>
    <m/>
    <m/>
    <m/>
    <m/>
    <s v="ASA"/>
    <s v="CONASTF"/>
  </r>
  <r>
    <x v="2077"/>
    <s v="Leitão"/>
    <s v="Miguel"/>
    <s v="POR0237"/>
    <s v="U16"/>
    <x v="11"/>
    <s v="POR"/>
    <m/>
    <m/>
    <m/>
    <m/>
    <m/>
    <s v="APS"/>
    <s v="CESTFA"/>
  </r>
  <r>
    <x v="2078"/>
    <s v="Leitão"/>
    <s v="Nélson"/>
    <s v="POR0137"/>
    <s v="VET"/>
    <x v="14"/>
    <s v="POR"/>
    <m/>
    <m/>
    <m/>
    <m/>
    <m/>
    <s v="APS"/>
    <s v="CESTFA"/>
  </r>
  <r>
    <x v="2079"/>
    <s v="Leitner"/>
    <s v="Wolfgang"/>
    <s v="AUT0010"/>
    <s v="OPEN"/>
    <x v="107"/>
    <s v="AUT"/>
    <m/>
    <m/>
    <m/>
    <m/>
    <m/>
    <s v="EÖTV"/>
    <s v="CESTFA"/>
  </r>
  <r>
    <x v="2080"/>
    <s v="Lek"/>
    <s v="Eugene"/>
    <s v="SGP0094"/>
    <s v="OPEN"/>
    <x v="4"/>
    <s v="SGP"/>
    <m/>
    <m/>
    <m/>
    <m/>
    <m/>
    <s v="TFAS"/>
    <s v="CASTFA"/>
  </r>
  <r>
    <x v="2081"/>
    <s v="Lek"/>
    <s v="Wai Mun"/>
    <s v="SGP0093"/>
    <s v="VET"/>
    <x v="4"/>
    <s v="SGP"/>
    <m/>
    <m/>
    <m/>
    <m/>
    <m/>
    <s v="TFAS"/>
    <s v="CASTFA"/>
  </r>
  <r>
    <x v="2082"/>
    <s v="Lelubre"/>
    <s v="Kevin"/>
    <s v="BEL0034"/>
    <s v="OPEN"/>
    <x v="178"/>
    <s v="BEL"/>
    <m/>
    <m/>
    <m/>
    <m/>
    <m/>
    <m/>
    <m/>
  </r>
  <r>
    <x v="2083"/>
    <s v="Lemak"/>
    <s v="Andrew"/>
    <s v="CAN0023"/>
    <s v="OPEN"/>
    <x v="191"/>
    <s v="CAN"/>
    <m/>
    <m/>
    <m/>
    <m/>
    <m/>
    <s v="SCA"/>
    <m/>
  </r>
  <r>
    <x v="2084"/>
    <s v="Lena"/>
    <s v="Gianmaria"/>
    <s v="ITA0473"/>
    <s v="OPEN"/>
    <x v="84"/>
    <s v="ITA"/>
    <m/>
    <m/>
    <m/>
    <m/>
    <m/>
    <s v="FISCT"/>
    <s v="CESTFA"/>
  </r>
  <r>
    <x v="2085"/>
    <s v="Lenz"/>
    <s v="Bettina"/>
    <s v="AUT0074"/>
    <s v="OPEN"/>
    <x v="258"/>
    <s v="AUT"/>
    <m/>
    <m/>
    <m/>
    <m/>
    <m/>
    <s v="EÖTV"/>
    <s v="CESTFA"/>
  </r>
  <r>
    <x v="2086"/>
    <s v="Lenz"/>
    <s v="Robert"/>
    <s v="AUT0012"/>
    <s v="VET"/>
    <x v="107"/>
    <s v="AUT"/>
    <m/>
    <m/>
    <m/>
    <m/>
    <m/>
    <s v="EÖTV"/>
    <s v="CESTFA"/>
  </r>
  <r>
    <x v="2087"/>
    <s v="León Moreno"/>
    <s v="José"/>
    <s v="ESP0017"/>
    <s v="VET"/>
    <x v="150"/>
    <s v="ESP"/>
    <m/>
    <m/>
    <m/>
    <m/>
    <m/>
    <s v="AEFM"/>
    <s v="CESTFA"/>
  </r>
  <r>
    <x v="2088"/>
    <s v="Leonard"/>
    <s v="David"/>
    <s v="USA0436"/>
    <s v="OPEN"/>
    <x v="14"/>
    <s v="USA"/>
    <m/>
    <m/>
    <m/>
    <m/>
    <m/>
    <s v="ASA"/>
    <s v="CONASTF"/>
  </r>
  <r>
    <x v="2089"/>
    <s v="Leotta"/>
    <s v="Giuseppe"/>
    <s v="ITA2965"/>
    <s v="OPEN"/>
    <x v="27"/>
    <s v="ITA"/>
    <m/>
    <m/>
    <m/>
    <m/>
    <m/>
    <s v="FISCT"/>
    <s v="CESTFA"/>
  </r>
  <r>
    <x v="2090"/>
    <s v="Lepore"/>
    <s v="Massimiliano"/>
    <s v="ITA0475"/>
    <s v="VET"/>
    <x v="46"/>
    <s v="ITA"/>
    <m/>
    <m/>
    <m/>
    <m/>
    <m/>
    <s v="FISCT"/>
    <s v="CESTFA"/>
  </r>
  <r>
    <x v="2091"/>
    <s v="Lepri"/>
    <s v="Maurizio"/>
    <s v="ITA0476"/>
    <s v="OPEN"/>
    <x v="199"/>
    <s v="ITA"/>
    <m/>
    <m/>
    <m/>
    <m/>
    <m/>
    <s v="FISCT"/>
    <s v="CESTFA"/>
  </r>
  <r>
    <x v="2092"/>
    <s v="Leroy"/>
    <s v="David"/>
    <s v="FRA0254"/>
    <s v="OPEN"/>
    <x v="97"/>
    <s v="FRA"/>
    <m/>
    <m/>
    <m/>
    <m/>
    <m/>
    <s v="3FTS"/>
    <s v="CESTFA"/>
  </r>
  <r>
    <x v="2093"/>
    <s v="Leroy"/>
    <s v="Justin"/>
    <s v="BEL0114"/>
    <s v="OPEN"/>
    <x v="170"/>
    <s v="BEL"/>
    <m/>
    <m/>
    <m/>
    <m/>
    <m/>
    <m/>
    <m/>
  </r>
  <r>
    <x v="2094"/>
    <s v="Leroy"/>
    <s v="Serge"/>
    <s v="FRA0012"/>
    <s v="VET"/>
    <x v="97"/>
    <s v="FRA"/>
    <m/>
    <m/>
    <m/>
    <m/>
    <m/>
    <s v="3FTS"/>
    <s v="CESTFA"/>
  </r>
  <r>
    <x v="2095"/>
    <s v="Lesne"/>
    <s v="Thibault"/>
    <s v="FRA0232"/>
    <s v="VET"/>
    <x v="73"/>
    <s v="FRA"/>
    <m/>
    <m/>
    <m/>
    <m/>
    <m/>
    <s v="3FTS"/>
    <s v="CESTFA"/>
  </r>
  <r>
    <x v="2096"/>
    <s v="Levy"/>
    <s v="Samantha"/>
    <s v="ENG0505"/>
    <s v="OPEN"/>
    <x v="81"/>
    <s v="ENG"/>
    <m/>
    <m/>
    <m/>
    <m/>
    <m/>
    <s v="ESA"/>
    <s v="CESTFA"/>
  </r>
  <r>
    <x v="2097"/>
    <s v="Lew"/>
    <s v="Joshua"/>
    <s v="SGP0136"/>
    <s v="U16"/>
    <x v="4"/>
    <s v="SGP"/>
    <m/>
    <m/>
    <m/>
    <m/>
    <m/>
    <s v="TFAS"/>
    <s v="CASTFA"/>
  </r>
  <r>
    <x v="2098"/>
    <s v="Lewis"/>
    <s v="Colin"/>
    <s v="WAL0002"/>
    <s v="OPEN"/>
    <x v="121"/>
    <s v="WAL"/>
    <m/>
    <m/>
    <m/>
    <m/>
    <m/>
    <s v="WSTFA"/>
    <s v="CESTFA"/>
  </r>
  <r>
    <x v="2099"/>
    <s v="Lewis"/>
    <s v="Vicky"/>
    <s v="ENG0542"/>
    <s v="VET"/>
    <x v="320"/>
    <s v="ENG"/>
    <m/>
    <m/>
    <m/>
    <m/>
    <m/>
    <s v="ESA"/>
    <s v="CESTFA"/>
  </r>
  <r>
    <x v="2100"/>
    <s v="Leys"/>
    <s v="Geert"/>
    <s v="BEL0052"/>
    <s v="VET"/>
    <x v="215"/>
    <s v="BEL"/>
    <m/>
    <m/>
    <m/>
    <m/>
    <m/>
    <m/>
    <m/>
  </r>
  <r>
    <x v="2101"/>
    <s v="Li"/>
    <s v="Ming Liang"/>
    <s v="SGP0108"/>
    <s v="U20"/>
    <x v="23"/>
    <s v="SGP"/>
    <m/>
    <m/>
    <m/>
    <m/>
    <m/>
    <s v="TFAS"/>
    <s v="CASTFA"/>
  </r>
  <r>
    <x v="2102"/>
    <s v="Liakopoulos"/>
    <s v="Nikolaos"/>
    <s v="GRE0497"/>
    <s v="OPEN"/>
    <x v="53"/>
    <s v="GRE"/>
    <m/>
    <m/>
    <m/>
    <m/>
    <m/>
    <s v="UHTF"/>
    <s v="CESTFA"/>
  </r>
  <r>
    <x v="2103"/>
    <s v="Liaromati"/>
    <s v="Penny"/>
    <s v="GRE0097"/>
    <s v="OPEN"/>
    <x v="14"/>
    <s v="GRE"/>
    <m/>
    <m/>
    <m/>
    <m/>
    <m/>
    <s v="UHTF"/>
    <s v="CESTFA"/>
  </r>
  <r>
    <x v="2104"/>
    <s v="Licheri"/>
    <s v="Emanuele"/>
    <s v="ITA0481"/>
    <s v="OPEN"/>
    <x v="118"/>
    <s v="ITA"/>
    <m/>
    <m/>
    <m/>
    <m/>
    <m/>
    <s v="FISCT"/>
    <s v="CESTFA"/>
  </r>
  <r>
    <x v="2105"/>
    <s v="Lienhardt"/>
    <s v="Eric"/>
    <s v="FRA0023"/>
    <s v="VET"/>
    <x v="244"/>
    <s v="FRA"/>
    <m/>
    <m/>
    <m/>
    <m/>
    <m/>
    <s v="3FTS"/>
    <s v="CESTFA"/>
  </r>
  <r>
    <x v="2106"/>
    <s v="Ligos"/>
    <s v="Marc"/>
    <s v="ESP0067"/>
    <s v="OPEN"/>
    <x v="64"/>
    <s v="ESP"/>
    <m/>
    <m/>
    <m/>
    <m/>
    <m/>
    <s v="AEFM"/>
    <s v="CESTFA"/>
  </r>
  <r>
    <x v="2107"/>
    <s v="Liguori"/>
    <s v="Gabriele"/>
    <s v="ITA2554"/>
    <s v="VET"/>
    <x v="206"/>
    <s v="ITA"/>
    <m/>
    <m/>
    <m/>
    <m/>
    <m/>
    <s v="FISCT"/>
    <s v="CESTFA"/>
  </r>
  <r>
    <x v="2108"/>
    <s v="Lilly"/>
    <s v="Grant"/>
    <s v="USA0040"/>
    <s v="OPEN"/>
    <x v="60"/>
    <s v="USA"/>
    <m/>
    <m/>
    <m/>
    <m/>
    <m/>
    <s v="ASA"/>
    <s v="CONASTF"/>
  </r>
  <r>
    <x v="2109"/>
    <s v="Lilly"/>
    <s v="Mason"/>
    <s v="USA0415"/>
    <s v="U20"/>
    <x v="60"/>
    <s v="USA"/>
    <m/>
    <m/>
    <m/>
    <m/>
    <m/>
    <s v="ASA"/>
    <s v="CONASTF"/>
  </r>
  <r>
    <x v="2110"/>
    <s v="Lim"/>
    <s v="Arthur"/>
    <s v="SGP0092"/>
    <s v="VET"/>
    <x v="4"/>
    <s v="SGP"/>
    <m/>
    <m/>
    <m/>
    <m/>
    <m/>
    <s v="TFAS"/>
    <s v="CASTFA"/>
  </r>
  <r>
    <x v="2111"/>
    <s v="Lim"/>
    <s v="Bernard"/>
    <s v="SGP0074"/>
    <s v="VET"/>
    <x v="4"/>
    <s v="SGP"/>
    <m/>
    <m/>
    <m/>
    <m/>
    <m/>
    <s v="TFAS"/>
    <s v="CASTFA"/>
  </r>
  <r>
    <x v="2112"/>
    <s v="Lim"/>
    <s v="Claris"/>
    <s v="SGP0139"/>
    <s v="OPEN"/>
    <x v="201"/>
    <s v="SGP"/>
    <m/>
    <m/>
    <m/>
    <m/>
    <m/>
    <s v="TFAS"/>
    <s v="CASTFA"/>
  </r>
  <r>
    <x v="2113"/>
    <s v="Lim"/>
    <s v="Ding Heng"/>
    <s v="SGP0102"/>
    <s v="U20"/>
    <x v="23"/>
    <s v="SGP"/>
    <m/>
    <m/>
    <m/>
    <m/>
    <m/>
    <s v="TFAS"/>
    <s v="CASTFA"/>
  </r>
  <r>
    <x v="2114"/>
    <s v="Lim"/>
    <s v="Isaac"/>
    <s v="SGP0085"/>
    <s v="U20"/>
    <x v="4"/>
    <s v="SGP"/>
    <m/>
    <m/>
    <m/>
    <m/>
    <m/>
    <s v="TFAS"/>
    <s v="CASTFA"/>
  </r>
  <r>
    <x v="2115"/>
    <s v="Lim"/>
    <s v="Kah Jun, Dylan"/>
    <s v="SGP0112"/>
    <s v="OPEN"/>
    <x v="23"/>
    <s v="SGP"/>
    <m/>
    <m/>
    <m/>
    <m/>
    <m/>
    <s v="TFAS"/>
    <s v="CASTFA"/>
  </r>
  <r>
    <x v="2116"/>
    <s v="Lim"/>
    <s v="Luke"/>
    <s v="SGP0084"/>
    <s v="OPEN"/>
    <x v="4"/>
    <s v="SGP"/>
    <m/>
    <m/>
    <m/>
    <m/>
    <m/>
    <s v="TFAS"/>
    <s v="CASTFA"/>
  </r>
  <r>
    <x v="2117"/>
    <s v="Lim"/>
    <s v="Quan Feng"/>
    <s v="SGP0099"/>
    <s v="OPEN"/>
    <x v="23"/>
    <s v="SGP"/>
    <m/>
    <m/>
    <m/>
    <m/>
    <m/>
    <s v="TFAS"/>
    <s v="CASTFA"/>
  </r>
  <r>
    <x v="2118"/>
    <s v="Lim"/>
    <s v="Wei Xuan"/>
    <s v="SGP0105"/>
    <s v="U20"/>
    <x v="23"/>
    <s v="SGP"/>
    <m/>
    <m/>
    <m/>
    <m/>
    <m/>
    <s v="TFAS"/>
    <s v="CASTFA"/>
  </r>
  <r>
    <x v="2119"/>
    <s v="Lim"/>
    <s v="Yew Seng"/>
    <s v="SGP0103"/>
    <s v="VET"/>
    <x v="23"/>
    <s v="SGP"/>
    <m/>
    <m/>
    <m/>
    <m/>
    <m/>
    <s v="TFAS"/>
    <s v="CASTFA"/>
  </r>
  <r>
    <x v="2120"/>
    <s v="Lim"/>
    <s v="Yu Wei, Aldrich"/>
    <s v="SGP0047"/>
    <s v="OPEN"/>
    <x v="315"/>
    <s v="SGP"/>
    <m/>
    <m/>
    <m/>
    <m/>
    <m/>
    <s v="TFAS"/>
    <s v="CASTFA"/>
  </r>
  <r>
    <x v="2121"/>
    <s v="Lima"/>
    <s v="Bruno"/>
    <s v="POR0221"/>
    <s v="U16"/>
    <x v="11"/>
    <s v="POR"/>
    <m/>
    <m/>
    <m/>
    <m/>
    <m/>
    <s v="APS"/>
    <s v="CESTFA"/>
  </r>
  <r>
    <x v="2122"/>
    <s v="Lima"/>
    <s v="Matheus"/>
    <s v="BRA0025"/>
    <s v="OPEN"/>
    <x v="14"/>
    <s v="BRA"/>
    <m/>
    <m/>
    <m/>
    <m/>
    <m/>
    <s v="CBFM (Suspended)"/>
    <m/>
  </r>
  <r>
    <x v="2123"/>
    <s v="Lima Rolim"/>
    <s v="Vinícius"/>
    <s v="BRA0165"/>
    <s v="OPEN"/>
    <x v="207"/>
    <s v="BRA"/>
    <m/>
    <m/>
    <m/>
    <m/>
    <m/>
    <s v="CBFM (Suspended)"/>
    <m/>
  </r>
  <r>
    <x v="2124"/>
    <s v="Limbardi"/>
    <s v="Pietro"/>
    <s v="ITA2752"/>
    <s v="VET"/>
    <x v="105"/>
    <s v="ITA"/>
    <m/>
    <m/>
    <m/>
    <m/>
    <m/>
    <s v="FISCT"/>
    <s v="CESTFA"/>
  </r>
  <r>
    <x v="2125"/>
    <s v="Limpens"/>
    <s v="Fabian"/>
    <s v="BEL0023"/>
    <s v="VET"/>
    <x v="14"/>
    <s v="BEL"/>
    <m/>
    <m/>
    <m/>
    <m/>
    <m/>
    <m/>
    <m/>
  </r>
  <r>
    <x v="2126"/>
    <s v="Lind"/>
    <s v="Sebastian"/>
    <s v="DEN0049"/>
    <s v="OPEN"/>
    <x v="10"/>
    <s v="DEN"/>
    <m/>
    <m/>
    <m/>
    <m/>
    <m/>
    <s v="DSBU (Provisional)"/>
    <m/>
  </r>
  <r>
    <x v="2127"/>
    <s v="Lindner"/>
    <s v="Markus"/>
    <s v="GER0045"/>
    <s v="VET"/>
    <x v="284"/>
    <s v="GER"/>
    <m/>
    <m/>
    <m/>
    <m/>
    <m/>
    <s v="DSTFB"/>
    <s v="CESTFA"/>
  </r>
  <r>
    <x v="2128"/>
    <s v="Lineton"/>
    <s v="Melissa"/>
    <s v="WAL0050"/>
    <s v="OPEN"/>
    <x v="165"/>
    <s v="WAL"/>
    <m/>
    <m/>
    <m/>
    <m/>
    <m/>
    <s v="WSTFA"/>
    <s v="CESTFA"/>
  </r>
  <r>
    <x v="2129"/>
    <s v="Linquercq-Rivière"/>
    <s v="Irène"/>
    <s v="FRA0174"/>
    <s v="OPEN"/>
    <x v="42"/>
    <s v="FRA"/>
    <m/>
    <m/>
    <m/>
    <m/>
    <m/>
    <s v="3FTS"/>
    <s v="CESTFA"/>
  </r>
  <r>
    <x v="2130"/>
    <s v="Liolios"/>
    <s v="Dimitrios"/>
    <s v="GRE0267"/>
    <s v="OPEN"/>
    <x v="14"/>
    <s v="GRE"/>
    <m/>
    <m/>
    <m/>
    <m/>
    <m/>
    <s v="UHTF"/>
    <s v="CESTFA"/>
  </r>
  <r>
    <x v="2131"/>
    <s v="Liolios"/>
    <s v="Evaggelos"/>
    <s v="GRE0114"/>
    <s v="VET"/>
    <x v="18"/>
    <s v="GRE"/>
    <m/>
    <m/>
    <m/>
    <m/>
    <m/>
    <s v="UHTF"/>
    <s v="CESTFA"/>
  </r>
  <r>
    <x v="2132"/>
    <s v="Lioy"/>
    <s v="Matías"/>
    <s v="ARG0019"/>
    <s v="OPEN"/>
    <x v="157"/>
    <s v="ARG"/>
    <m/>
    <m/>
    <m/>
    <m/>
    <m/>
    <s v="LAFM (Suspended)"/>
    <s v="CSAFM"/>
  </r>
  <r>
    <x v="2133"/>
    <s v="Lioy"/>
    <s v="Nicolás"/>
    <s v="ARG0020"/>
    <s v="OPEN"/>
    <x v="157"/>
    <s v="ARG"/>
    <m/>
    <m/>
    <m/>
    <m/>
    <m/>
    <s v="LAFM (Suspended)"/>
    <s v="CSAFM"/>
  </r>
  <r>
    <x v="2134"/>
    <s v="Lista"/>
    <s v="Leonardo"/>
    <s v="ITA2413"/>
    <s v="VET"/>
    <x v="106"/>
    <s v="ITA"/>
    <m/>
    <m/>
    <m/>
    <m/>
    <m/>
    <s v="FISCT"/>
    <s v="CESTFA"/>
  </r>
  <r>
    <x v="2135"/>
    <s v="Liucci"/>
    <s v="Ciro"/>
    <s v="ITA0482"/>
    <s v="VET"/>
    <x v="176"/>
    <s v="ITA"/>
    <m/>
    <m/>
    <m/>
    <m/>
    <m/>
    <s v="FISCT"/>
    <s v="CESTFA"/>
  </r>
  <r>
    <x v="2136"/>
    <s v="Lizar"/>
    <s v="Jürgen"/>
    <s v="AUT0056"/>
    <s v="OPEN"/>
    <x v="124"/>
    <s v="AUT"/>
    <m/>
    <m/>
    <m/>
    <m/>
    <m/>
    <s v="EÖTV"/>
    <s v="CESTFA"/>
  </r>
  <r>
    <x v="2137"/>
    <s v="Ljubisavljevic"/>
    <s v="Igor"/>
    <s v="AUT0124"/>
    <s v="OPEN"/>
    <x v="124"/>
    <s v="AUT"/>
    <m/>
    <m/>
    <m/>
    <m/>
    <m/>
    <s v="EÖTV"/>
    <s v="CESTFA"/>
  </r>
  <r>
    <x v="2138"/>
    <s v="Ljubisavljevic"/>
    <s v="Nikola"/>
    <s v="SER0002"/>
    <s v="VET"/>
    <x v="293"/>
    <s v="SRB"/>
    <m/>
    <m/>
    <m/>
    <m/>
    <m/>
    <m/>
    <m/>
  </r>
  <r>
    <x v="2139"/>
    <s v="Lo Cascio"/>
    <s v="Emanuele"/>
    <s v="ITA1839"/>
    <s v="VET"/>
    <x v="122"/>
    <s v="ITA"/>
    <m/>
    <m/>
    <m/>
    <m/>
    <m/>
    <s v="FISCT"/>
    <s v="CESTFA"/>
  </r>
  <r>
    <x v="2140"/>
    <s v="Lo Cascio"/>
    <s v="Giovanna"/>
    <s v="ITA2217"/>
    <s v="OPEN"/>
    <x v="195"/>
    <s v="ITA"/>
    <m/>
    <m/>
    <m/>
    <m/>
    <m/>
    <s v="FISCT"/>
    <s v="CESTFA"/>
  </r>
  <r>
    <x v="2141"/>
    <s v="Lo Cascio"/>
    <s v="Giuditta"/>
    <s v="ITA0484"/>
    <s v="OPEN"/>
    <x v="190"/>
    <s v="ITA"/>
    <m/>
    <m/>
    <m/>
    <m/>
    <m/>
    <s v="FISCT"/>
    <s v="CESTFA"/>
  </r>
  <r>
    <x v="2142"/>
    <s v="Lo Cascio"/>
    <s v="Giuseppe"/>
    <s v="ITA0485"/>
    <s v="VET"/>
    <x v="190"/>
    <s v="ITA"/>
    <m/>
    <m/>
    <m/>
    <m/>
    <m/>
    <s v="FISCT"/>
    <s v="CESTFA"/>
  </r>
  <r>
    <x v="2143"/>
    <s v="Lo Iacono"/>
    <s v="Mario"/>
    <s v="ITA1909"/>
    <s v="VET"/>
    <x v="174"/>
    <s v="ITA"/>
    <m/>
    <m/>
    <m/>
    <m/>
    <m/>
    <s v="FISCT"/>
    <s v="CESTFA"/>
  </r>
  <r>
    <x v="2144"/>
    <s v="Lo Iacono"/>
    <s v="Simone"/>
    <s v="ITA0486"/>
    <s v="OPEN"/>
    <x v="174"/>
    <s v="ITA"/>
    <m/>
    <m/>
    <m/>
    <m/>
    <m/>
    <s v="FISCT"/>
    <s v="CESTFA"/>
  </r>
  <r>
    <x v="2145"/>
    <s v="Lo Presti"/>
    <s v="Angelo"/>
    <s v="ITA0488"/>
    <s v="OPEN"/>
    <x v="188"/>
    <s v="ITA"/>
    <m/>
    <m/>
    <m/>
    <m/>
    <m/>
    <s v="FISCT"/>
    <s v="CESTFA"/>
  </r>
  <r>
    <x v="2146"/>
    <s v="Lo Presti"/>
    <s v="Francesco"/>
    <s v="ITA0487"/>
    <s v="OPEN"/>
    <x v="190"/>
    <s v="ITA"/>
    <m/>
    <m/>
    <m/>
    <m/>
    <m/>
    <s v="FISCT"/>
    <s v="CESTFA"/>
  </r>
  <r>
    <x v="2147"/>
    <s v="Lo Preti"/>
    <s v="Lorenzo"/>
    <s v="FRA0176"/>
    <s v="U20"/>
    <x v="194"/>
    <s v="FRA"/>
    <m/>
    <m/>
    <m/>
    <m/>
    <m/>
    <s v="3FTS"/>
    <s v="CESTFA"/>
  </r>
  <r>
    <x v="2148"/>
    <s v="Loarec"/>
    <s v="Yann"/>
    <s v="FRA0054"/>
    <s v="VET"/>
    <x v="232"/>
    <s v="FRA"/>
    <m/>
    <m/>
    <m/>
    <m/>
    <m/>
    <s v="3FTS"/>
    <s v="CESTFA"/>
  </r>
  <r>
    <x v="2149"/>
    <s v="Lobo"/>
    <s v="Luis"/>
    <s v="POR0225"/>
    <s v="VET"/>
    <x v="8"/>
    <s v="POR"/>
    <m/>
    <m/>
    <m/>
    <m/>
    <m/>
    <s v="APS"/>
    <s v="CESTFA"/>
  </r>
  <r>
    <x v="2150"/>
    <s v="Locci"/>
    <s v="Luca"/>
    <s v="ITA2233"/>
    <s v="OPEN"/>
    <x v="25"/>
    <s v="ITA"/>
    <m/>
    <m/>
    <m/>
    <m/>
    <m/>
    <s v="FISCT"/>
    <s v="CESTFA"/>
  </r>
  <r>
    <x v="2151"/>
    <s v="Lojacono"/>
    <s v="Francesco"/>
    <s v="ITA0489"/>
    <s v="OPEN"/>
    <x v="177"/>
    <s v="ITA"/>
    <m/>
    <m/>
    <m/>
    <m/>
    <m/>
    <s v="FISCT"/>
    <s v="CESTFA"/>
  </r>
  <r>
    <x v="2152"/>
    <s v="Lombard"/>
    <s v="Daniel"/>
    <s v="AUS0018"/>
    <s v="OPEN"/>
    <x v="113"/>
    <s v="AUS"/>
    <m/>
    <m/>
    <m/>
    <m/>
    <m/>
    <s v="ATFA"/>
    <s v="CASTFA"/>
  </r>
  <r>
    <x v="2153"/>
    <s v="Lombardi"/>
    <s v="Flavio"/>
    <s v="ITA2198"/>
    <s v="VET"/>
    <x v="71"/>
    <s v="ITA"/>
    <m/>
    <m/>
    <m/>
    <m/>
    <m/>
    <s v="FISCT"/>
    <s v="CESTFA"/>
  </r>
  <r>
    <x v="2154"/>
    <s v="Lombardo"/>
    <s v="Valentino"/>
    <s v="ITA2646"/>
    <s v="OPEN"/>
    <x v="200"/>
    <s v="ITA"/>
    <m/>
    <m/>
    <m/>
    <m/>
    <m/>
    <s v="FISCT"/>
    <s v="CESTFA"/>
  </r>
  <r>
    <x v="2155"/>
    <s v="Lombardo"/>
    <s v="Valerio"/>
    <s v="ITA2279"/>
    <s v="VET"/>
    <x v="174"/>
    <s v="ITA"/>
    <m/>
    <m/>
    <m/>
    <m/>
    <m/>
    <s v="FISCT"/>
    <s v="CESTFA"/>
  </r>
  <r>
    <x v="2156"/>
    <s v="Lønfeldt"/>
    <s v="Kasper"/>
    <s v="DEN0085"/>
    <s v="U16"/>
    <x v="10"/>
    <s v="DEN"/>
    <m/>
    <m/>
    <m/>
    <m/>
    <m/>
    <s v="DSBU (Provisional)"/>
    <m/>
  </r>
  <r>
    <x v="2157"/>
    <s v="Long"/>
    <s v="Ji Quan, Joel"/>
    <s v="SGP0031"/>
    <s v="OPEN"/>
    <x v="259"/>
    <s v="SGP"/>
    <m/>
    <m/>
    <m/>
    <m/>
    <m/>
    <s v="TFAS"/>
    <s v="CASTFA"/>
  </r>
  <r>
    <x v="2158"/>
    <s v="Longo"/>
    <s v="Santo"/>
    <s v="ITA1148"/>
    <s v="VET"/>
    <x v="290"/>
    <s v="ITA"/>
    <m/>
    <m/>
    <m/>
    <m/>
    <m/>
    <s v="FISCT"/>
    <s v="CESTFA"/>
  </r>
  <r>
    <x v="2159"/>
    <s v="Longobardi"/>
    <s v="Antonio"/>
    <s v="ITA3296"/>
    <s v="VET"/>
    <x v="25"/>
    <s v="ITA"/>
    <m/>
    <m/>
    <m/>
    <m/>
    <m/>
    <s v="FISCT"/>
    <s v="CESTFA"/>
  </r>
  <r>
    <x v="2160"/>
    <s v="López"/>
    <s v="Luis"/>
    <s v="ESP0080"/>
    <s v="VET"/>
    <x v="31"/>
    <s v="ESP"/>
    <m/>
    <m/>
    <m/>
    <m/>
    <m/>
    <s v="AEFM"/>
    <s v="CESTFA"/>
  </r>
  <r>
    <x v="2161"/>
    <s v="López"/>
    <s v="Miguel Ángel"/>
    <s v="ESP0036"/>
    <s v="OPEN"/>
    <x v="210"/>
    <s v="ESP"/>
    <m/>
    <m/>
    <m/>
    <m/>
    <m/>
    <s v="AEFM"/>
    <s v="CESTFA"/>
  </r>
  <r>
    <x v="2162"/>
    <s v="López Soligó"/>
    <s v="Jorge Juan"/>
    <s v="ESP0051"/>
    <s v="VET"/>
    <x v="14"/>
    <s v="ESP"/>
    <m/>
    <m/>
    <m/>
    <m/>
    <m/>
    <s v="AEFM"/>
    <s v="CESTFA"/>
  </r>
  <r>
    <x v="2163"/>
    <s v="Lopez-Real"/>
    <s v="Jonathan"/>
    <s v="ENG0138"/>
    <s v="VET"/>
    <x v="14"/>
    <s v="ENG"/>
    <m/>
    <m/>
    <m/>
    <m/>
    <m/>
    <s v="ESA"/>
    <s v="CESTFA"/>
  </r>
  <r>
    <x v="2164"/>
    <s v="Lopresto"/>
    <s v="Daniele"/>
    <s v="ITA1496"/>
    <s v="VET"/>
    <x v="155"/>
    <s v="ITA"/>
    <m/>
    <m/>
    <m/>
    <m/>
    <m/>
    <s v="FISCT"/>
    <s v="CESTFA"/>
  </r>
  <r>
    <x v="2165"/>
    <s v="Lorenz"/>
    <s v="Niklas-Joel"/>
    <s v="GER0130"/>
    <s v="OPEN"/>
    <x v="7"/>
    <s v="GER"/>
    <m/>
    <m/>
    <m/>
    <m/>
    <m/>
    <s v="DSTFB"/>
    <s v="CESTFA"/>
  </r>
  <r>
    <x v="2166"/>
    <s v="Lorusso"/>
    <s v="Giuseppe"/>
    <s v="ITA3306"/>
    <s v="VET"/>
    <x v="209"/>
    <s v="ITA"/>
    <m/>
    <m/>
    <m/>
    <m/>
    <m/>
    <s v="FISCT"/>
    <s v="CESTFA"/>
  </r>
  <r>
    <x v="2167"/>
    <s v="Louis"/>
    <s v="Daniel"/>
    <s v="USA0365"/>
    <s v="OPEN"/>
    <x v="131"/>
    <s v="USA"/>
    <m/>
    <m/>
    <m/>
    <m/>
    <m/>
    <s v="ASA"/>
    <s v="CONASTF"/>
  </r>
  <r>
    <x v="2168"/>
    <s v="Lountzis"/>
    <s v="Nikolaos"/>
    <s v="GRE0399"/>
    <s v="U20"/>
    <x v="14"/>
    <s v="GRE"/>
    <m/>
    <m/>
    <m/>
    <m/>
    <m/>
    <s v="UHTF"/>
    <s v="CESTFA"/>
  </r>
  <r>
    <x v="2169"/>
    <s v="Loureiro"/>
    <s v="Sérgio"/>
    <s v="POR0056"/>
    <s v="OPEN"/>
    <x v="218"/>
    <s v="POR"/>
    <m/>
    <m/>
    <m/>
    <m/>
    <m/>
    <s v="APS"/>
    <s v="CESTFA"/>
  </r>
  <r>
    <x v="2170"/>
    <s v="Lours"/>
    <s v="Rémy"/>
    <s v="FRA0109"/>
    <s v="OPEN"/>
    <x v="57"/>
    <s v="FRA"/>
    <m/>
    <m/>
    <m/>
    <m/>
    <m/>
    <s v="3FTS"/>
    <s v="CESTFA"/>
  </r>
  <r>
    <x v="2171"/>
    <s v="Lovegrove"/>
    <s v="Shawn"/>
    <s v="CAN0030"/>
    <s v="VET"/>
    <x v="191"/>
    <s v="CAN"/>
    <m/>
    <m/>
    <m/>
    <m/>
    <m/>
    <s v="SCA"/>
    <m/>
  </r>
  <r>
    <x v="2172"/>
    <s v="Lubrano"/>
    <s v="Alfredo"/>
    <s v="ITA1385"/>
    <s v="VET"/>
    <x v="38"/>
    <s v="ITA"/>
    <m/>
    <m/>
    <m/>
    <m/>
    <m/>
    <s v="FISCT"/>
    <s v="CESTFA"/>
  </r>
  <r>
    <x v="2173"/>
    <s v="Lucchesi"/>
    <s v="Nico"/>
    <s v="ITA2181"/>
    <s v="OPEN"/>
    <x v="76"/>
    <s v="ITA"/>
    <m/>
    <m/>
    <m/>
    <m/>
    <m/>
    <s v="FISCT"/>
    <s v="CESTFA"/>
  </r>
  <r>
    <x v="2174"/>
    <s v="Luchetti"/>
    <s v="Giacomo"/>
    <s v="ITA3194"/>
    <s v="VET"/>
    <x v="243"/>
    <s v="ITA"/>
    <m/>
    <m/>
    <m/>
    <m/>
    <m/>
    <s v="FISCT"/>
    <s v="CESTFA"/>
  </r>
  <r>
    <x v="2175"/>
    <s v="Luciani"/>
    <s v="Stefano"/>
    <s v="ITA1792"/>
    <s v="OPEN"/>
    <x v="32"/>
    <s v="ITA"/>
    <m/>
    <m/>
    <m/>
    <m/>
    <m/>
    <s v="FISCT"/>
    <s v="CESTFA"/>
  </r>
  <r>
    <x v="2176"/>
    <s v="Ludovici"/>
    <s v="Matteo"/>
    <s v="ITA3395"/>
    <s v="U12"/>
    <x v="92"/>
    <s v="ITA"/>
    <m/>
    <m/>
    <m/>
    <m/>
    <m/>
    <s v="FISCT"/>
    <s v="CESTFA"/>
  </r>
  <r>
    <x v="2177"/>
    <s v="Ludovici"/>
    <s v="Pietro"/>
    <s v="ITA3394"/>
    <s v="U16"/>
    <x v="92"/>
    <s v="ITA"/>
    <m/>
    <m/>
    <m/>
    <m/>
    <m/>
    <s v="FISCT"/>
    <s v="CESTFA"/>
  </r>
  <r>
    <x v="2178"/>
    <s v="Ludvigsen"/>
    <s v="Robert"/>
    <s v="NOR0016"/>
    <s v="OPEN"/>
    <x v="269"/>
    <s v="NOR"/>
    <m/>
    <m/>
    <m/>
    <m/>
    <m/>
    <s v="NBFF (Suspended)"/>
    <m/>
  </r>
  <r>
    <x v="2179"/>
    <s v="Lui"/>
    <s v="Tyler"/>
    <s v="USA0417"/>
    <s v="U16"/>
    <x v="143"/>
    <s v="USA"/>
    <m/>
    <m/>
    <m/>
    <m/>
    <m/>
    <s v="ASA"/>
    <s v="CONASTF"/>
  </r>
  <r>
    <x v="2180"/>
    <s v="Lukassen"/>
    <s v="Ard"/>
    <s v="NED0035"/>
    <s v="VET"/>
    <x v="164"/>
    <s v="NED"/>
    <m/>
    <m/>
    <m/>
    <m/>
    <m/>
    <s v="NSVB"/>
    <s v="CESTFA"/>
  </r>
  <r>
    <x v="2181"/>
    <s v="Lund"/>
    <s v="Patrick"/>
    <s v="DEN0050"/>
    <s v="OPEN"/>
    <x v="10"/>
    <s v="DEN"/>
    <m/>
    <m/>
    <m/>
    <m/>
    <m/>
    <s v="DSBU (Provisional)"/>
    <m/>
  </r>
  <r>
    <x v="2182"/>
    <s v="Lund"/>
    <s v="Rasmus"/>
    <s v="DEN0002"/>
    <s v="OPEN"/>
    <x v="321"/>
    <s v="DEN"/>
    <m/>
    <m/>
    <m/>
    <m/>
    <m/>
    <s v="DSBU (Provisional)"/>
    <m/>
  </r>
  <r>
    <x v="2183"/>
    <s v="Lunde"/>
    <s v="Håkon"/>
    <s v="NOR0011"/>
    <s v="OPEN"/>
    <x v="269"/>
    <s v="NOR"/>
    <m/>
    <m/>
    <m/>
    <m/>
    <m/>
    <s v="NBFF (Suspended)"/>
    <m/>
  </r>
  <r>
    <x v="2184"/>
    <s v="Lundy"/>
    <s v="Adam"/>
    <s v="WAL0032"/>
    <s v="OPEN"/>
    <x v="322"/>
    <s v="WAL"/>
    <m/>
    <m/>
    <m/>
    <m/>
    <m/>
    <s v="WSTFA"/>
    <s v="CESTFA"/>
  </r>
  <r>
    <x v="2185"/>
    <s v="Lupi"/>
    <s v="Alessandro"/>
    <s v="ITA2427"/>
    <s v="OPEN"/>
    <x v="102"/>
    <s v="ITA"/>
    <m/>
    <m/>
    <m/>
    <m/>
    <m/>
    <s v="FISCT"/>
    <s v="CESTFA"/>
  </r>
  <r>
    <x v="2186"/>
    <s v="Lupo"/>
    <s v="Davide"/>
    <s v="ITA2913"/>
    <s v="VET"/>
    <x v="177"/>
    <s v="ITA"/>
    <m/>
    <m/>
    <m/>
    <m/>
    <m/>
    <s v="FISCT"/>
    <s v="CESTFA"/>
  </r>
  <r>
    <x v="2187"/>
    <s v="Lupo"/>
    <s v="Enrico"/>
    <s v="FRA0148"/>
    <s v="VET"/>
    <x v="138"/>
    <s v="FRA"/>
    <m/>
    <m/>
    <m/>
    <m/>
    <m/>
    <s v="3FTS"/>
    <s v="CESTFA"/>
  </r>
  <r>
    <x v="2188"/>
    <s v="Lupo"/>
    <s v="Liam"/>
    <s v="FRA0237"/>
    <s v="U16"/>
    <x v="138"/>
    <s v="FRA"/>
    <m/>
    <m/>
    <m/>
    <m/>
    <m/>
    <s v="3FTS"/>
    <s v="CESTFA"/>
  </r>
  <r>
    <x v="2189"/>
    <s v="Lupo"/>
    <s v="Luciano"/>
    <s v="ITA3415"/>
    <s v="VET"/>
    <x v="177"/>
    <s v="ITA"/>
    <m/>
    <m/>
    <m/>
    <m/>
    <m/>
    <s v="FISCT"/>
    <s v="CESTFA"/>
  </r>
  <r>
    <x v="2190"/>
    <s v="Lussu"/>
    <s v="Davide"/>
    <s v="ITA2888"/>
    <s v="VET"/>
    <x v="105"/>
    <s v="ITA"/>
    <m/>
    <m/>
    <m/>
    <m/>
    <m/>
    <s v="FISCT"/>
    <s v="CESTFA"/>
  </r>
  <r>
    <x v="2191"/>
    <s v="Lynch"/>
    <s v="Douglas"/>
    <s v="SCO0078"/>
    <s v="OPEN"/>
    <x v="198"/>
    <s v="SCO"/>
    <m/>
    <m/>
    <m/>
    <m/>
    <m/>
    <s v="SSA"/>
    <s v="CESTFA"/>
  </r>
  <r>
    <x v="2192"/>
    <s v="Lysandrou"/>
    <s v="Andonis"/>
    <s v="CYP0043"/>
    <s v="OPEN"/>
    <x v="59"/>
    <s v="CYP"/>
    <m/>
    <m/>
    <m/>
    <m/>
    <m/>
    <s v="CYSTFA (Provisional)"/>
    <m/>
  </r>
  <r>
    <x v="2193"/>
    <s v="Lysikatos"/>
    <s v="Manos"/>
    <s v="GRE0262"/>
    <s v="OPEN"/>
    <x v="14"/>
    <s v="GRE"/>
    <m/>
    <m/>
    <m/>
    <m/>
    <m/>
    <s v="UHTF"/>
    <s v="CESTFA"/>
  </r>
  <r>
    <x v="2194"/>
    <s v="Lytras"/>
    <s v="Ioannis"/>
    <s v="GRE0754"/>
    <s v="OPEN"/>
    <x v="78"/>
    <s v="GRE"/>
    <m/>
    <m/>
    <m/>
    <m/>
    <m/>
    <s v="UHTF"/>
    <s v="CESTFA"/>
  </r>
  <r>
    <x v="2195"/>
    <s v="Maaß"/>
    <s v="Jens"/>
    <s v="GER0122"/>
    <s v="VET"/>
    <x v="292"/>
    <s v="GER"/>
    <m/>
    <m/>
    <m/>
    <m/>
    <m/>
    <s v="DSTFB"/>
    <s v="CESTFA"/>
  </r>
  <r>
    <x v="2196"/>
    <s v="Maaz"/>
    <s v="Maiko"/>
    <s v="GER0039"/>
    <s v="OPEN"/>
    <x v="130"/>
    <s v="GER"/>
    <m/>
    <m/>
    <m/>
    <m/>
    <m/>
    <s v="DSTFB"/>
    <s v="CESTFA"/>
  </r>
  <r>
    <x v="2197"/>
    <s v="Mac Eó"/>
    <s v="Oisín"/>
    <s v="IRL0010"/>
    <s v="OPEN"/>
    <x v="181"/>
    <s v="IRL"/>
    <m/>
    <m/>
    <m/>
    <m/>
    <m/>
    <s v="TFAI"/>
    <s v="CESTFA"/>
  </r>
  <r>
    <x v="2198"/>
    <s v="Machairidis"/>
    <s v="Konstantinos"/>
    <s v="GRE0571"/>
    <s v="OPEN"/>
    <x v="14"/>
    <s v="GRE"/>
    <m/>
    <m/>
    <m/>
    <m/>
    <m/>
    <s v="UHTF"/>
    <s v="CESTFA"/>
  </r>
  <r>
    <x v="2199"/>
    <s v="Macino"/>
    <s v="Marco"/>
    <s v="ITA1307"/>
    <s v="OPEN"/>
    <x v="193"/>
    <s v="ITA"/>
    <m/>
    <m/>
    <m/>
    <m/>
    <m/>
    <s v="FISCT"/>
    <s v="CESTFA"/>
  </r>
  <r>
    <x v="2200"/>
    <s v="Macri"/>
    <s v="Gianluca"/>
    <s v="SUI029"/>
    <s v="OPEN"/>
    <x v="323"/>
    <s v="SUI"/>
    <m/>
    <m/>
    <m/>
    <m/>
    <m/>
    <m/>
    <m/>
  </r>
  <r>
    <x v="2201"/>
    <s v="Madeira"/>
    <s v="Cláudio"/>
    <s v="POR0199"/>
    <s v="OPEN"/>
    <x v="15"/>
    <s v="POR"/>
    <m/>
    <m/>
    <m/>
    <m/>
    <m/>
    <s v="APS"/>
    <s v="CESTFA"/>
  </r>
  <r>
    <x v="2202"/>
    <s v="Madsen"/>
    <s v="Magnus Emil"/>
    <s v="DEN0042"/>
    <s v="OPEN"/>
    <x v="10"/>
    <s v="DEN"/>
    <m/>
    <m/>
    <m/>
    <m/>
    <m/>
    <s v="DSBU (Provisional)"/>
    <m/>
  </r>
  <r>
    <x v="2203"/>
    <s v="Magee"/>
    <s v="Paul"/>
    <s v="AUS0039"/>
    <s v="VET"/>
    <x v="238"/>
    <s v="AUS"/>
    <m/>
    <m/>
    <m/>
    <m/>
    <m/>
    <s v="ATFA"/>
    <s v="CASTFA"/>
  </r>
  <r>
    <x v="2204"/>
    <s v="Magermans"/>
    <s v="Thierry"/>
    <s v="BEL0265"/>
    <s v="VET"/>
    <x v="241"/>
    <s v="BEL"/>
    <m/>
    <m/>
    <m/>
    <m/>
    <m/>
    <m/>
    <m/>
  </r>
  <r>
    <x v="2205"/>
    <s v="Maghenzani"/>
    <s v="Gilmar"/>
    <s v="BRA0045"/>
    <s v="VET"/>
    <x v="2"/>
    <s v="BRA"/>
    <m/>
    <m/>
    <m/>
    <m/>
    <m/>
    <s v="CBFM (Suspended)"/>
    <m/>
  </r>
  <r>
    <x v="2206"/>
    <s v="Maglio"/>
    <s v="Marco"/>
    <s v="ITA3010"/>
    <s v="OPEN"/>
    <x v="25"/>
    <s v="ITA"/>
    <m/>
    <m/>
    <m/>
    <m/>
    <m/>
    <s v="FISCT"/>
    <s v="CESTFA"/>
  </r>
  <r>
    <x v="2207"/>
    <s v="Magnier"/>
    <s v="William"/>
    <s v="ENG0497"/>
    <s v="VET"/>
    <x v="324"/>
    <s v="ENG"/>
    <m/>
    <m/>
    <m/>
    <m/>
    <m/>
    <s v="ESA"/>
    <s v="CESTFA"/>
  </r>
  <r>
    <x v="2207"/>
    <s v="Magnier"/>
    <s v="William"/>
    <s v="IRL0021"/>
    <s v="VET"/>
    <x v="14"/>
    <s v="IRL"/>
    <m/>
    <m/>
    <m/>
    <m/>
    <m/>
    <s v="TFAI"/>
    <s v="CESTFA"/>
  </r>
  <r>
    <x v="2208"/>
    <s v="Magno"/>
    <s v="Tiago"/>
    <s v="POR0215"/>
    <s v="U20"/>
    <x v="11"/>
    <s v="POR"/>
    <m/>
    <m/>
    <m/>
    <m/>
    <m/>
    <s v="APS"/>
    <s v="CESTFA"/>
  </r>
  <r>
    <x v="2209"/>
    <s v="Magro"/>
    <s v="Melanie"/>
    <s v="MLT0040"/>
    <s v="OPEN"/>
    <x v="63"/>
    <s v="MLT"/>
    <m/>
    <m/>
    <m/>
    <m/>
    <m/>
    <s v="MTFSA"/>
    <s v="CESTFA"/>
  </r>
  <r>
    <x v="2210"/>
    <s v="Magro"/>
    <s v="Pietro"/>
    <s v="ITA2773"/>
    <s v="VET"/>
    <x v="77"/>
    <s v="ITA"/>
    <m/>
    <m/>
    <m/>
    <m/>
    <m/>
    <s v="FISCT"/>
    <s v="CESTFA"/>
  </r>
  <r>
    <x v="2211"/>
    <s v="Maia"/>
    <s v="Filipe"/>
    <s v="POR0077"/>
    <s v="VET"/>
    <x v="16"/>
    <s v="POR"/>
    <m/>
    <m/>
    <m/>
    <m/>
    <m/>
    <s v="APS"/>
    <s v="CESTFA"/>
  </r>
  <r>
    <x v="2212"/>
    <s v="Maiandi"/>
    <s v="Fabrizio"/>
    <s v="ITA0499"/>
    <s v="VET"/>
    <x v="173"/>
    <s v="ITA"/>
    <m/>
    <m/>
    <m/>
    <m/>
    <m/>
    <s v="FISCT"/>
    <s v="CESTFA"/>
  </r>
  <r>
    <x v="2213"/>
    <s v="Maida"/>
    <s v="Luca"/>
    <s v="SGP0146"/>
    <s v="VET"/>
    <x v="23"/>
    <s v="SGP"/>
    <m/>
    <m/>
    <m/>
    <m/>
    <m/>
    <s v="TFAS"/>
    <s v="CASTFA"/>
  </r>
  <r>
    <x v="2214"/>
    <s v="Maielli"/>
    <s v="Antonio"/>
    <s v="ITA2817"/>
    <s v="OPEN"/>
    <x v="212"/>
    <s v="ITA"/>
    <m/>
    <m/>
    <m/>
    <m/>
    <m/>
    <s v="FISCT"/>
    <s v="CESTFA"/>
  </r>
  <r>
    <x v="2215"/>
    <s v="Maillard"/>
    <s v="Raphaël"/>
    <s v="BEL0086"/>
    <s v="OPEN"/>
    <x v="172"/>
    <s v="BEL"/>
    <m/>
    <m/>
    <m/>
    <m/>
    <m/>
    <m/>
    <m/>
  </r>
  <r>
    <x v="2216"/>
    <s v="Maina"/>
    <s v="Roberto"/>
    <s v="ITA0928"/>
    <s v="VET"/>
    <x v="87"/>
    <s v="ITA"/>
    <m/>
    <m/>
    <m/>
    <m/>
    <m/>
    <s v="FISCT"/>
    <s v="CESTFA"/>
  </r>
  <r>
    <x v="2217"/>
    <s v="Maioli"/>
    <s v="Andrea"/>
    <s v="ITA3180"/>
    <s v="VET"/>
    <x v="98"/>
    <s v="ITA"/>
    <m/>
    <m/>
    <m/>
    <m/>
    <m/>
    <s v="FISCT"/>
    <s v="CESTFA"/>
  </r>
  <r>
    <x v="2218"/>
    <s v="Maioli"/>
    <s v="Martin"/>
    <s v="ITA3179"/>
    <s v="U16"/>
    <x v="98"/>
    <s v="ITA"/>
    <m/>
    <m/>
    <m/>
    <m/>
    <m/>
    <s v="FISCT"/>
    <s v="CESTFA"/>
  </r>
  <r>
    <x v="2219"/>
    <s v="Mair"/>
    <s v="Arnold"/>
    <s v="GER0065"/>
    <s v="VET"/>
    <x v="135"/>
    <s v="GER"/>
    <m/>
    <m/>
    <m/>
    <m/>
    <m/>
    <s v="DSTFB"/>
    <s v="CESTFA"/>
  </r>
  <r>
    <x v="2220"/>
    <s v="Mair"/>
    <s v="Wolfgang"/>
    <s v="GER0066"/>
    <s v="VET"/>
    <x v="135"/>
    <s v="GER"/>
    <m/>
    <m/>
    <m/>
    <m/>
    <m/>
    <s v="DSTFB"/>
    <s v="CESTFA"/>
  </r>
  <r>
    <x v="2221"/>
    <s v="Maireles"/>
    <s v="Paula"/>
    <s v="ESP0430"/>
    <s v="U20"/>
    <x v="31"/>
    <s v="ESP"/>
    <m/>
    <m/>
    <m/>
    <m/>
    <m/>
    <s v="AEFM"/>
    <s v="CESTFA"/>
  </r>
  <r>
    <x v="2222"/>
    <s v="Maireles Alfaro"/>
    <s v="Jesús"/>
    <s v="ESP0441"/>
    <s v="U16"/>
    <x v="31"/>
    <s v="ESP"/>
    <m/>
    <m/>
    <m/>
    <m/>
    <m/>
    <s v="AEFM"/>
    <s v="CESTFA"/>
  </r>
  <r>
    <x v="2223"/>
    <s v="Maireles Reyes"/>
    <s v="Jesús"/>
    <s v="ESP0449"/>
    <s v="OPEN"/>
    <x v="31"/>
    <s v="ESP"/>
    <m/>
    <m/>
    <m/>
    <m/>
    <m/>
    <s v="AEFM"/>
    <s v="CESTFA"/>
  </r>
  <r>
    <x v="2224"/>
    <s v="Mairesse"/>
    <s v="Philippe"/>
    <s v="BEL0068"/>
    <s v="VET"/>
    <x v="51"/>
    <s v="BEL"/>
    <m/>
    <m/>
    <m/>
    <m/>
    <m/>
    <m/>
    <m/>
  </r>
  <r>
    <x v="2225"/>
    <s v="Makhlouf"/>
    <s v="Rayan"/>
    <s v="FRA0282"/>
    <s v="OPEN"/>
    <x v="325"/>
    <s v="FRA"/>
    <m/>
    <m/>
    <m/>
    <m/>
    <m/>
    <s v="3FTS"/>
    <s v="CESTFA"/>
  </r>
  <r>
    <x v="2226"/>
    <s v="Makkas"/>
    <s v="Vaggelis"/>
    <s v="GRE0279"/>
    <s v="OPEN"/>
    <x v="14"/>
    <s v="GRE"/>
    <m/>
    <m/>
    <m/>
    <m/>
    <m/>
    <s v="UHTF"/>
    <s v="CESTFA"/>
  </r>
  <r>
    <x v="2227"/>
    <s v="Makkos"/>
    <s v="Spyros"/>
    <s v="GRE0273"/>
    <s v="OPEN"/>
    <x v="14"/>
    <s v="GRE"/>
    <m/>
    <m/>
    <m/>
    <m/>
    <m/>
    <s v="UHTF"/>
    <s v="CESTFA"/>
  </r>
  <r>
    <x v="2228"/>
    <s v="Makrydakis"/>
    <s v="Manousos"/>
    <s v="GRE0067"/>
    <s v="OPEN"/>
    <x v="14"/>
    <s v="GRE"/>
    <m/>
    <m/>
    <m/>
    <m/>
    <m/>
    <s v="UHTF"/>
    <s v="CESTFA"/>
  </r>
  <r>
    <x v="2229"/>
    <s v="Malevolti"/>
    <s v="Lorenzo"/>
    <s v="ITA3046"/>
    <s v="OPEN"/>
    <x v="71"/>
    <s v="ITA"/>
    <m/>
    <m/>
    <m/>
    <m/>
    <m/>
    <s v="FISCT"/>
    <s v="CESTFA"/>
  </r>
  <r>
    <x v="2230"/>
    <s v="Malindretos"/>
    <s v="Michail"/>
    <s v="GRE0810"/>
    <s v="VET"/>
    <x v="67"/>
    <s v="GRE"/>
    <m/>
    <m/>
    <m/>
    <m/>
    <m/>
    <s v="UHTF"/>
    <s v="CESTFA"/>
  </r>
  <r>
    <x v="2231"/>
    <s v="Malindretos"/>
    <s v="Pavlos"/>
    <s v="GRE0510"/>
    <s v="U20"/>
    <x v="67"/>
    <s v="GRE"/>
    <m/>
    <m/>
    <m/>
    <m/>
    <m/>
    <s v="UHTF"/>
    <s v="CESTFA"/>
  </r>
  <r>
    <x v="2232"/>
    <s v="Malindretou"/>
    <s v="Marianna"/>
    <s v="GRE0627"/>
    <s v="U20"/>
    <x v="67"/>
    <s v="GRE"/>
    <m/>
    <m/>
    <m/>
    <m/>
    <m/>
    <s v="UHTF"/>
    <s v="CESTFA"/>
  </r>
  <r>
    <x v="2233"/>
    <s v="Mallardi"/>
    <s v="Giuseppe"/>
    <s v="ITA3422"/>
    <s v="VET"/>
    <x v="206"/>
    <s v="ITA"/>
    <m/>
    <m/>
    <m/>
    <m/>
    <m/>
    <s v="FISCT"/>
    <s v="CESTFA"/>
  </r>
  <r>
    <x v="2234"/>
    <s v="Mallia"/>
    <s v="Hansel"/>
    <s v="MLT0025"/>
    <s v="OPEN"/>
    <x v="156"/>
    <s v="MLT"/>
    <m/>
    <m/>
    <m/>
    <m/>
    <m/>
    <s v="MTFSA"/>
    <s v="CESTFA"/>
  </r>
  <r>
    <x v="2235"/>
    <s v="Mallias"/>
    <s v="Dimitrios"/>
    <s v="GRE0177"/>
    <s v="VET"/>
    <x v="14"/>
    <s v="GRE"/>
    <m/>
    <m/>
    <m/>
    <m/>
    <m/>
    <s v="UHTF"/>
    <s v="CESTFA"/>
  </r>
  <r>
    <x v="2236"/>
    <s v="Mallias"/>
    <s v="Ioannis"/>
    <s v="GRE0175"/>
    <s v="OPEN"/>
    <x v="14"/>
    <s v="GRE"/>
    <m/>
    <m/>
    <m/>
    <m/>
    <m/>
    <s v="UHTF"/>
    <s v="CESTFA"/>
  </r>
  <r>
    <x v="2237"/>
    <s v="Malossi"/>
    <s v="Enrico"/>
    <s v="ITA3228"/>
    <s v="OPEN"/>
    <x v="98"/>
    <s v="ITA"/>
    <m/>
    <m/>
    <m/>
    <m/>
    <m/>
    <s v="FISCT"/>
    <s v="CESTFA"/>
  </r>
  <r>
    <x v="2238"/>
    <s v="Malousidou"/>
    <s v="Kyriaki"/>
    <s v="GRE0551"/>
    <s v="OPEN"/>
    <x v="14"/>
    <s v="GRE"/>
    <m/>
    <m/>
    <m/>
    <m/>
    <m/>
    <s v="UHTF"/>
    <s v="CESTFA"/>
  </r>
  <r>
    <x v="2239"/>
    <s v="Malvaso"/>
    <s v="Fabio"/>
    <s v="ITA0503"/>
    <s v="VET"/>
    <x v="155"/>
    <s v="ITA"/>
    <m/>
    <m/>
    <m/>
    <m/>
    <m/>
    <s v="FISCT"/>
    <s v="CESTFA"/>
  </r>
  <r>
    <x v="2240"/>
    <s v="Mamalakis"/>
    <s v="Giorgos"/>
    <s v="GRE0316"/>
    <s v="VET"/>
    <x v="14"/>
    <s v="GRE"/>
    <m/>
    <m/>
    <m/>
    <m/>
    <m/>
    <s v="UHTF"/>
    <s v="CESTFA"/>
  </r>
  <r>
    <x v="2241"/>
    <s v="Mamoni"/>
    <s v="Hylson"/>
    <s v="BRA0084"/>
    <s v="OPEN"/>
    <x v="236"/>
    <s v="BRA"/>
    <m/>
    <m/>
    <m/>
    <m/>
    <m/>
    <s v="CBFM (Suspended)"/>
    <m/>
  </r>
  <r>
    <x v="2242"/>
    <s v="Mancaruso"/>
    <s v="Ezio"/>
    <s v="ITA0505"/>
    <s v="VET"/>
    <x v="116"/>
    <s v="ITA"/>
    <m/>
    <m/>
    <m/>
    <m/>
    <m/>
    <s v="FISCT"/>
    <s v="CESTFA"/>
  </r>
  <r>
    <x v="2243"/>
    <s v="Manceira"/>
    <s v="Luiz"/>
    <s v="BRA0066"/>
    <s v="OPEN"/>
    <x v="14"/>
    <s v="BRA"/>
    <m/>
    <m/>
    <m/>
    <m/>
    <m/>
    <s v="CBFM (Suspended)"/>
    <m/>
  </r>
  <r>
    <x v="2244"/>
    <s v="Mancinelli"/>
    <s v="Daniele"/>
    <s v="ITA3195"/>
    <s v="OPEN"/>
    <x v="101"/>
    <s v="ITA"/>
    <m/>
    <m/>
    <m/>
    <m/>
    <m/>
    <s v="FISCT"/>
    <s v="CESTFA"/>
  </r>
  <r>
    <x v="2245"/>
    <s v="Mancini"/>
    <s v="Gennaro"/>
    <s v="ITA2702"/>
    <s v="VET"/>
    <x v="193"/>
    <s v="ITA"/>
    <m/>
    <m/>
    <m/>
    <m/>
    <m/>
    <s v="FISCT"/>
    <s v="CESTFA"/>
  </r>
  <r>
    <x v="2246"/>
    <s v="Mandanici"/>
    <s v="Salvatore"/>
    <s v="ITA1966"/>
    <s v="OPEN"/>
    <x v="195"/>
    <s v="ITA"/>
    <m/>
    <m/>
    <m/>
    <m/>
    <m/>
    <s v="FISCT"/>
    <s v="CESTFA"/>
  </r>
  <r>
    <x v="2247"/>
    <s v="Mandarakas"/>
    <s v="Nikos"/>
    <s v="GRE0809"/>
    <s v="VET"/>
    <x v="52"/>
    <s v="GRE"/>
    <m/>
    <m/>
    <m/>
    <m/>
    <m/>
    <s v="UHTF"/>
    <s v="CESTFA"/>
  </r>
  <r>
    <x v="2248"/>
    <s v="Mandl"/>
    <s v="Gerhard"/>
    <s v="AUT0013"/>
    <s v="VET"/>
    <x v="258"/>
    <s v="AUT"/>
    <m/>
    <m/>
    <m/>
    <m/>
    <m/>
    <s v="EÖTV"/>
    <s v="CESTFA"/>
  </r>
  <r>
    <x v="2249"/>
    <s v="Manfioletti"/>
    <s v="Giorgio"/>
    <s v="ITA1758"/>
    <s v="VET"/>
    <x v="161"/>
    <s v="ITA"/>
    <m/>
    <m/>
    <m/>
    <m/>
    <m/>
    <s v="FISCT"/>
    <s v="CESTFA"/>
  </r>
  <r>
    <x v="2250"/>
    <s v="Manfredelli"/>
    <s v="Francesco"/>
    <s v="ITA2617"/>
    <s v="U16"/>
    <x v="170"/>
    <s v="ITA"/>
    <m/>
    <m/>
    <m/>
    <m/>
    <m/>
    <s v="FISCT"/>
    <s v="CESTFA"/>
  </r>
  <r>
    <x v="2251"/>
    <s v="Manfredelli"/>
    <s v="Massimo"/>
    <s v="ITA2870"/>
    <s v="VET"/>
    <x v="170"/>
    <s v="ITA"/>
    <m/>
    <m/>
    <m/>
    <m/>
    <m/>
    <s v="FISCT"/>
    <s v="CESTFA"/>
  </r>
  <r>
    <x v="2252"/>
    <s v="Manganello"/>
    <s v="Andrea"/>
    <s v="ITA0510"/>
    <s v="OPEN"/>
    <x v="146"/>
    <s v="ITA"/>
    <m/>
    <m/>
    <m/>
    <m/>
    <m/>
    <s v="FISCT"/>
    <s v="CESTFA"/>
  </r>
  <r>
    <x v="2253"/>
    <s v="Manganello"/>
    <s v="Mauro"/>
    <s v="ITA0511"/>
    <s v="VET"/>
    <x v="146"/>
    <s v="ITA"/>
    <m/>
    <m/>
    <m/>
    <m/>
    <m/>
    <s v="FISCT"/>
    <s v="CESTFA"/>
  </r>
  <r>
    <x v="2254"/>
    <s v="Manger"/>
    <s v="Marc"/>
    <s v="GER0050"/>
    <s v="VET"/>
    <x v="288"/>
    <s v="GER"/>
    <m/>
    <m/>
    <m/>
    <m/>
    <m/>
    <s v="DSTFB"/>
    <s v="CESTFA"/>
  </r>
  <r>
    <x v="2255"/>
    <s v="Mangione"/>
    <s v="Fabio"/>
    <s v="ITA3183"/>
    <s v="VET"/>
    <x v="234"/>
    <s v="ITA"/>
    <m/>
    <m/>
    <m/>
    <m/>
    <m/>
    <s v="FISCT"/>
    <s v="CESTFA"/>
  </r>
  <r>
    <x v="2256"/>
    <s v="Maniatis"/>
    <s v="Spyridon"/>
    <s v="GRE0301"/>
    <s v="OPEN"/>
    <x v="53"/>
    <s v="GRE"/>
    <m/>
    <m/>
    <m/>
    <m/>
    <m/>
    <s v="UHTF"/>
    <s v="CESTFA"/>
  </r>
  <r>
    <x v="2257"/>
    <s v="Manica"/>
    <s v="Vincenzo"/>
    <s v="ITA1665"/>
    <s v="VET"/>
    <x v="233"/>
    <s v="ITA"/>
    <m/>
    <m/>
    <m/>
    <m/>
    <m/>
    <s v="FISCT"/>
    <s v="CESTFA"/>
  </r>
  <r>
    <x v="2258"/>
    <s v="Manicoro"/>
    <s v="Sherona"/>
    <s v="MLT143"/>
    <s v="OPEN"/>
    <x v="63"/>
    <s v="MLT"/>
    <m/>
    <m/>
    <m/>
    <m/>
    <m/>
    <s v="MTFSA"/>
    <s v="CESTFA"/>
  </r>
  <r>
    <x v="2259"/>
    <s v="Mann"/>
    <s v="Miko"/>
    <s v="USA0258"/>
    <s v="OPEN"/>
    <x v="326"/>
    <s v="USA"/>
    <m/>
    <m/>
    <m/>
    <m/>
    <m/>
    <s v="ASA"/>
    <s v="CONASTF"/>
  </r>
  <r>
    <x v="2260"/>
    <s v="Mann"/>
    <s v="Sean"/>
    <s v="USA0371"/>
    <s v="VET"/>
    <x v="326"/>
    <s v="USA"/>
    <m/>
    <m/>
    <m/>
    <m/>
    <m/>
    <s v="ASA"/>
    <s v="CONASTF"/>
  </r>
  <r>
    <x v="2261"/>
    <s v="Mannix"/>
    <s v="Andrew"/>
    <s v="ENG0492"/>
    <s v="VET"/>
    <x v="14"/>
    <s v="ENG"/>
    <m/>
    <m/>
    <m/>
    <m/>
    <m/>
    <s v="ESA"/>
    <s v="CESTFA"/>
  </r>
  <r>
    <x v="2262"/>
    <s v="Manoloulis"/>
    <s v="Vasileios"/>
    <s v="GRE0055"/>
    <s v="OPEN"/>
    <x v="18"/>
    <s v="GRE"/>
    <m/>
    <m/>
    <m/>
    <m/>
    <m/>
    <s v="UHTF"/>
    <s v="CESTFA"/>
  </r>
  <r>
    <x v="2263"/>
    <s v="Manopoulos"/>
    <s v="Panagiotis"/>
    <s v="GRE0531"/>
    <s v="VET"/>
    <x v="14"/>
    <s v="GRE"/>
    <m/>
    <m/>
    <m/>
    <m/>
    <m/>
    <s v="UHTF"/>
    <s v="CESTFA"/>
  </r>
  <r>
    <x v="2264"/>
    <s v="Manos"/>
    <s v="Nikolaos"/>
    <s v="GRE0429"/>
    <s v="OPEN"/>
    <x v="14"/>
    <s v="GRE"/>
    <m/>
    <m/>
    <m/>
    <m/>
    <m/>
    <s v="UHTF"/>
    <s v="CESTFA"/>
  </r>
  <r>
    <x v="2265"/>
    <s v="Mantile"/>
    <s v="Eugenio"/>
    <s v="ITA0515"/>
    <s v="VET"/>
    <x v="134"/>
    <s v="ITA"/>
    <m/>
    <m/>
    <m/>
    <m/>
    <m/>
    <s v="FISCT"/>
    <s v="CESTFA"/>
  </r>
  <r>
    <x v="2266"/>
    <s v="Mantzouranis"/>
    <s v="Nikolaos"/>
    <s v="GRE0553"/>
    <s v="OPEN"/>
    <x v="14"/>
    <s v="GRE"/>
    <m/>
    <m/>
    <m/>
    <m/>
    <m/>
    <s v="UHTF"/>
    <s v="CESTFA"/>
  </r>
  <r>
    <x v="2267"/>
    <s v="Manzella"/>
    <s v="Roberto"/>
    <s v="ITA1476"/>
    <s v="OPEN"/>
    <x v="68"/>
    <s v="ITA"/>
    <m/>
    <m/>
    <m/>
    <m/>
    <m/>
    <s v="FISCT"/>
    <s v="CESTFA"/>
  </r>
  <r>
    <x v="2268"/>
    <s v="Marabello"/>
    <s v="Dario"/>
    <s v="ITA3003"/>
    <s v="VET"/>
    <x v="40"/>
    <s v="ITA"/>
    <m/>
    <m/>
    <m/>
    <m/>
    <m/>
    <s v="FISCT"/>
    <s v="CESTFA"/>
  </r>
  <r>
    <x v="2269"/>
    <s v="Maragopoulos"/>
    <s v="Dimitrios"/>
    <s v="GRE0508"/>
    <s v="OPEN"/>
    <x v="14"/>
    <s v="GRE"/>
    <m/>
    <m/>
    <m/>
    <m/>
    <m/>
    <s v="UHTF"/>
    <s v="CESTFA"/>
  </r>
  <r>
    <x v="2270"/>
    <s v="Marain"/>
    <s v="Benjamin"/>
    <s v="BEL0298"/>
    <s v="U16"/>
    <x v="51"/>
    <s v="BEL"/>
    <m/>
    <m/>
    <m/>
    <m/>
    <m/>
    <m/>
    <m/>
  </r>
  <r>
    <x v="2271"/>
    <s v="Marain"/>
    <s v="Geoffrey"/>
    <s v="BEL0171"/>
    <s v="OPEN"/>
    <x v="51"/>
    <s v="BEL"/>
    <m/>
    <m/>
    <m/>
    <m/>
    <m/>
    <m/>
    <m/>
  </r>
  <r>
    <x v="2272"/>
    <s v="Marakis"/>
    <s v="Michail"/>
    <s v="GRE0349"/>
    <s v="OPEN"/>
    <x v="14"/>
    <s v="GRE"/>
    <m/>
    <m/>
    <m/>
    <m/>
    <m/>
    <s v="UHTF"/>
    <s v="CESTFA"/>
  </r>
  <r>
    <x v="2273"/>
    <s v="Marando"/>
    <s v="Emanuele"/>
    <s v="ITA2300"/>
    <s v="OPEN"/>
    <x v="0"/>
    <s v="ITA"/>
    <m/>
    <m/>
    <m/>
    <m/>
    <m/>
    <s v="FISCT"/>
    <s v="CESTFA"/>
  </r>
  <r>
    <x v="2274"/>
    <s v="Marani"/>
    <s v="Alessandro"/>
    <s v="ITA2532"/>
    <s v="VET"/>
    <x v="71"/>
    <s v="ITA"/>
    <m/>
    <m/>
    <m/>
    <m/>
    <m/>
    <s v="FISCT"/>
    <s v="CESTFA"/>
  </r>
  <r>
    <x v="2275"/>
    <s v="Marazzato"/>
    <s v="Alberto"/>
    <s v="ITA2940"/>
    <s v="OPEN"/>
    <x v="119"/>
    <s v="ITA"/>
    <m/>
    <m/>
    <m/>
    <m/>
    <m/>
    <s v="FISCT"/>
    <s v="CESTFA"/>
  </r>
  <r>
    <x v="2276"/>
    <s v="Marazzato"/>
    <s v="Leonardo"/>
    <s v="ITA2943"/>
    <s v="U16"/>
    <x v="119"/>
    <s v="ITA"/>
    <m/>
    <m/>
    <m/>
    <m/>
    <m/>
    <s v="FISCT"/>
    <s v="CESTFA"/>
  </r>
  <r>
    <x v="2277"/>
    <s v="Marazzotta"/>
    <s v="Stefano"/>
    <s v="ITA2733"/>
    <s v="VET"/>
    <x v="87"/>
    <s v="ITA"/>
    <m/>
    <m/>
    <m/>
    <m/>
    <m/>
    <s v="FISCT"/>
    <s v="CESTFA"/>
  </r>
  <r>
    <x v="2278"/>
    <s v="Marchán"/>
    <s v="Alberto"/>
    <s v="ESP0585"/>
    <s v="U12"/>
    <x v="61"/>
    <s v="ESP"/>
    <m/>
    <m/>
    <m/>
    <m/>
    <m/>
    <s v="AEFM"/>
    <s v="CESTFA"/>
  </r>
  <r>
    <x v="2279"/>
    <s v="Marchetti"/>
    <s v="Ermanno"/>
    <s v="ITA1518"/>
    <s v="VET"/>
    <x v="240"/>
    <s v="ITA"/>
    <m/>
    <m/>
    <m/>
    <m/>
    <m/>
    <s v="FISCT"/>
    <s v="CESTFA"/>
  </r>
  <r>
    <x v="2280"/>
    <s v="Marchi"/>
    <s v="Daniele"/>
    <s v="ITA3335"/>
    <s v="VET"/>
    <x v="27"/>
    <s v="ITA"/>
    <m/>
    <m/>
    <m/>
    <m/>
    <m/>
    <s v="FISCT"/>
    <s v="CESTFA"/>
  </r>
  <r>
    <x v="2281"/>
    <s v="Marchisio"/>
    <s v="Mario"/>
    <s v="SUI011"/>
    <s v="OPEN"/>
    <x v="323"/>
    <s v="SUI"/>
    <m/>
    <m/>
    <m/>
    <m/>
    <m/>
    <m/>
    <m/>
  </r>
  <r>
    <x v="2282"/>
    <s v="Marcolini"/>
    <s v="Mario"/>
    <s v="ITA2325"/>
    <s v="VET"/>
    <x v="243"/>
    <s v="ITA"/>
    <m/>
    <m/>
    <m/>
    <m/>
    <m/>
    <s v="FISCT"/>
    <s v="CESTFA"/>
  </r>
  <r>
    <x v="2283"/>
    <s v="Marconcini"/>
    <s v="Giovanni"/>
    <s v="ITA2345"/>
    <s v="VET"/>
    <x v="71"/>
    <s v="ITA"/>
    <m/>
    <m/>
    <m/>
    <m/>
    <m/>
    <s v="FISCT"/>
    <s v="CESTFA"/>
  </r>
  <r>
    <x v="2284"/>
    <s v="Maresca"/>
    <s v="Graziano"/>
    <s v="ITA0521"/>
    <s v="VET"/>
    <x v="176"/>
    <s v="ITA"/>
    <m/>
    <m/>
    <m/>
    <m/>
    <m/>
    <s v="FISCT"/>
    <s v="CESTFA"/>
  </r>
  <r>
    <x v="2285"/>
    <s v="Marfa"/>
    <s v="Róbson Fabricio"/>
    <s v="BRA0132"/>
    <s v="VET"/>
    <x v="204"/>
    <s v="BRA"/>
    <m/>
    <m/>
    <m/>
    <m/>
    <m/>
    <s v="CBFM (Suspended)"/>
    <m/>
  </r>
  <r>
    <x v="2286"/>
    <s v="Mariconda"/>
    <s v="Nicola"/>
    <s v="ITA3360"/>
    <s v="OPEN"/>
    <x v="289"/>
    <s v="ITA"/>
    <m/>
    <m/>
    <m/>
    <m/>
    <m/>
    <s v="FISCT"/>
    <s v="CESTFA"/>
  </r>
  <r>
    <x v="2287"/>
    <s v="Marinari"/>
    <s v="Mirco"/>
    <s v="ITA1545"/>
    <s v="OPEN"/>
    <x v="25"/>
    <s v="ITA"/>
    <m/>
    <m/>
    <m/>
    <m/>
    <m/>
    <s v="FISCT"/>
    <s v="CESTFA"/>
  </r>
  <r>
    <x v="2288"/>
    <s v="Marini"/>
    <s v="Damiano"/>
    <s v="ITA0525"/>
    <s v="VET"/>
    <x v="193"/>
    <s v="ITA"/>
    <m/>
    <m/>
    <m/>
    <m/>
    <m/>
    <s v="FISCT"/>
    <s v="CESTFA"/>
  </r>
  <r>
    <x v="2289"/>
    <s v="Marini"/>
    <s v="Davide"/>
    <s v="ITA0526"/>
    <s v="OPEN"/>
    <x v="193"/>
    <s v="ITA"/>
    <m/>
    <m/>
    <m/>
    <m/>
    <m/>
    <s v="FISCT"/>
    <s v="CESTFA"/>
  </r>
  <r>
    <x v="2290"/>
    <s v="Marinis"/>
    <s v="Michail"/>
    <s v="GRE0447"/>
    <s v="OPEN"/>
    <x v="14"/>
    <s v="GRE"/>
    <m/>
    <m/>
    <m/>
    <m/>
    <m/>
    <s v="UHTF"/>
    <s v="CESTFA"/>
  </r>
  <r>
    <x v="2291"/>
    <s v="Marino"/>
    <s v="Alessandro"/>
    <s v="ITA2541"/>
    <s v="VET"/>
    <x v="155"/>
    <s v="ITA"/>
    <m/>
    <m/>
    <m/>
    <m/>
    <m/>
    <s v="FISCT"/>
    <s v="CESTFA"/>
  </r>
  <r>
    <x v="2292"/>
    <s v="Marinucci"/>
    <s v="Riccardo"/>
    <s v="ITA0530"/>
    <s v="VET"/>
    <x v="46"/>
    <s v="ITA"/>
    <m/>
    <m/>
    <m/>
    <m/>
    <m/>
    <s v="FISCT"/>
    <s v="CESTFA"/>
  </r>
  <r>
    <x v="2293"/>
    <s v="Mariotto"/>
    <s v="Paolo"/>
    <s v="ITA1174"/>
    <s v="VET"/>
    <x v="246"/>
    <s v="ITA"/>
    <m/>
    <m/>
    <m/>
    <m/>
    <m/>
    <s v="FISCT"/>
    <s v="CESTFA"/>
  </r>
  <r>
    <x v="2294"/>
    <s v="Markantonis"/>
    <s v="Apostolis"/>
    <s v="GRE0552"/>
    <s v="OPEN"/>
    <x v="14"/>
    <s v="GRE"/>
    <m/>
    <m/>
    <m/>
    <m/>
    <m/>
    <s v="UHTF"/>
    <s v="CESTFA"/>
  </r>
  <r>
    <x v="2295"/>
    <s v="Markoudakis"/>
    <s v="Manolis"/>
    <s v="GRE0322"/>
    <s v="OPEN"/>
    <x v="14"/>
    <s v="GRE"/>
    <m/>
    <m/>
    <m/>
    <m/>
    <m/>
    <s v="UHTF"/>
    <s v="CESTFA"/>
  </r>
  <r>
    <x v="2296"/>
    <s v="Marks"/>
    <s v="Cailim"/>
    <s v="NED0044"/>
    <s v="OPEN"/>
    <x v="65"/>
    <s v="NED"/>
    <m/>
    <m/>
    <m/>
    <m/>
    <m/>
    <s v="NSVB"/>
    <s v="CESTFA"/>
  </r>
  <r>
    <x v="2297"/>
    <s v="Marks"/>
    <s v="Jarno"/>
    <s v="NED0046"/>
    <s v="OPEN"/>
    <x v="65"/>
    <s v="NED"/>
    <m/>
    <m/>
    <m/>
    <m/>
    <m/>
    <s v="NSVB"/>
    <s v="CESTFA"/>
  </r>
  <r>
    <x v="2298"/>
    <s v="Marks"/>
    <s v="Nico"/>
    <s v="NED0012"/>
    <s v="VET"/>
    <x v="65"/>
    <s v="NED"/>
    <m/>
    <m/>
    <m/>
    <m/>
    <m/>
    <s v="NSVB"/>
    <s v="CESTFA"/>
  </r>
  <r>
    <x v="2299"/>
    <s v="Marlair"/>
    <s v="Mathieu"/>
    <s v="BEL0440"/>
    <s v="OPEN"/>
    <x v="45"/>
    <s v="BEL"/>
    <m/>
    <m/>
    <m/>
    <m/>
    <m/>
    <m/>
    <m/>
  </r>
  <r>
    <x v="2300"/>
    <s v="Marletta"/>
    <s v="Davide Angelo"/>
    <s v="ITA2865"/>
    <s v="VET"/>
    <x v="290"/>
    <s v="ITA"/>
    <m/>
    <m/>
    <m/>
    <m/>
    <m/>
    <s v="FISCT"/>
    <s v="CESTFA"/>
  </r>
  <r>
    <x v="2301"/>
    <s v="Marlia"/>
    <s v="Martin Aliou"/>
    <s v="ITA3421"/>
    <s v="U12"/>
    <x v="88"/>
    <s v="ITA"/>
    <m/>
    <m/>
    <m/>
    <m/>
    <m/>
    <s v="FISCT"/>
    <s v="CESTFA"/>
  </r>
  <r>
    <x v="2302"/>
    <s v="Maroulas"/>
    <s v="Anastasios"/>
    <s v="GRE0261"/>
    <s v="OPEN"/>
    <x v="14"/>
    <s v="GRE"/>
    <m/>
    <m/>
    <m/>
    <m/>
    <m/>
    <s v="UHTF"/>
    <s v="CESTFA"/>
  </r>
  <r>
    <x v="2303"/>
    <s v="Marques"/>
    <s v="Duarte"/>
    <s v="POR0238"/>
    <s v="U16"/>
    <x v="11"/>
    <s v="POR"/>
    <m/>
    <m/>
    <m/>
    <m/>
    <m/>
    <s v="APS"/>
    <s v="CESTFA"/>
  </r>
  <r>
    <x v="2304"/>
    <s v="Marques"/>
    <s v="José Carlos"/>
    <s v="POR0045"/>
    <s v="OPEN"/>
    <x v="14"/>
    <s v="POR"/>
    <m/>
    <m/>
    <m/>
    <m/>
    <m/>
    <s v="APS"/>
    <s v="CESTFA"/>
  </r>
  <r>
    <x v="2305"/>
    <s v="Marques"/>
    <s v="Ronaldo"/>
    <s v="BRA0028"/>
    <s v="VET"/>
    <x v="282"/>
    <s v="BRA"/>
    <m/>
    <m/>
    <m/>
    <m/>
    <m/>
    <s v="CBFM (Suspended)"/>
    <m/>
  </r>
  <r>
    <x v="2306"/>
    <s v="Márquez"/>
    <s v="José Luis"/>
    <s v="ESP0002"/>
    <s v="VET"/>
    <x v="12"/>
    <s v="ESP"/>
    <m/>
    <m/>
    <m/>
    <m/>
    <m/>
    <s v="AEFM"/>
    <s v="CESTFA"/>
  </r>
  <r>
    <x v="2307"/>
    <s v="Márquez Galisteo"/>
    <s v="Owen"/>
    <s v="ESP0564"/>
    <s v="U12"/>
    <x v="64"/>
    <s v="ESP"/>
    <m/>
    <m/>
    <m/>
    <m/>
    <m/>
    <s v="AEFM"/>
    <s v="CESTFA"/>
  </r>
  <r>
    <x v="2308"/>
    <s v="Marshall"/>
    <s v="John"/>
    <s v="SCO0070"/>
    <s v="VET"/>
    <x v="198"/>
    <s v="SCO"/>
    <m/>
    <m/>
    <m/>
    <m/>
    <m/>
    <s v="SSA"/>
    <s v="CESTFA"/>
  </r>
  <r>
    <x v="2309"/>
    <s v="Martens"/>
    <s v="Hans"/>
    <s v="DEN0073"/>
    <s v="OPEN"/>
    <x v="10"/>
    <s v="DEN"/>
    <m/>
    <m/>
    <m/>
    <m/>
    <m/>
    <s v="DSBU (Provisional)"/>
    <m/>
  </r>
  <r>
    <x v="2310"/>
    <s v="Martens"/>
    <s v="Laura Høj"/>
    <s v="DEN0096"/>
    <s v="U20"/>
    <x v="10"/>
    <s v="DEN"/>
    <m/>
    <m/>
    <m/>
    <m/>
    <m/>
    <s v="DSBU (Provisional)"/>
    <m/>
  </r>
  <r>
    <x v="2311"/>
    <s v="Martens"/>
    <s v="Rasmus Høj"/>
    <s v="DEN0097"/>
    <s v="U12"/>
    <x v="10"/>
    <s v="DEN"/>
    <m/>
    <m/>
    <m/>
    <m/>
    <m/>
    <s v="DSBU (Provisional)"/>
    <m/>
  </r>
  <r>
    <x v="2312"/>
    <s v="Martens"/>
    <s v="Tobias Høj"/>
    <s v="DEN0095"/>
    <s v="U16"/>
    <x v="10"/>
    <s v="DEN"/>
    <m/>
    <m/>
    <m/>
    <m/>
    <m/>
    <s v="DSBU (Provisional)"/>
    <m/>
  </r>
  <r>
    <x v="2313"/>
    <s v="Martin"/>
    <s v="José"/>
    <s v="POR0226"/>
    <s v="VET"/>
    <x v="8"/>
    <s v="POR"/>
    <m/>
    <m/>
    <m/>
    <m/>
    <m/>
    <s v="APS"/>
    <s v="CESTFA"/>
  </r>
  <r>
    <x v="2314"/>
    <s v="Martin"/>
    <s v="Orlan"/>
    <s v="FRA0226"/>
    <s v="U16"/>
    <x v="152"/>
    <s v="FRA"/>
    <m/>
    <m/>
    <m/>
    <m/>
    <m/>
    <s v="3FTS"/>
    <s v="CESTFA"/>
  </r>
  <r>
    <x v="2315"/>
    <s v="Martin"/>
    <s v="Robin"/>
    <s v="ENG0574"/>
    <s v="VET"/>
    <x v="14"/>
    <s v="ENG"/>
    <m/>
    <m/>
    <m/>
    <m/>
    <m/>
    <s v="ESA"/>
    <s v="CESTFA"/>
  </r>
  <r>
    <x v="2316"/>
    <s v="Martín"/>
    <s v="Curro"/>
    <s v="ESP0599"/>
    <s v="U12"/>
    <x v="61"/>
    <s v="ESP"/>
    <m/>
    <m/>
    <m/>
    <m/>
    <m/>
    <s v="AEFM"/>
    <s v="CESTFA"/>
  </r>
  <r>
    <x v="2317"/>
    <s v="Martín"/>
    <s v="Eduardo"/>
    <s v="ESP0523"/>
    <s v="VET"/>
    <x v="47"/>
    <s v="ESP"/>
    <m/>
    <m/>
    <m/>
    <m/>
    <m/>
    <s v="AEFM"/>
    <s v="CESTFA"/>
  </r>
  <r>
    <x v="2318"/>
    <s v="Martinelli"/>
    <s v="Antonio"/>
    <s v="ITA3381"/>
    <s v="U12"/>
    <x v="54"/>
    <s v="ITA"/>
    <m/>
    <m/>
    <m/>
    <m/>
    <m/>
    <s v="FISCT"/>
    <s v="CESTFA"/>
  </r>
  <r>
    <x v="2319"/>
    <s v="Martinelli"/>
    <s v="Vito Sante"/>
    <s v="ITA3437"/>
    <s v="OPEN"/>
    <x v="54"/>
    <s v="ITA"/>
    <m/>
    <m/>
    <m/>
    <m/>
    <m/>
    <s v="FISCT"/>
    <s v="CESTFA"/>
  </r>
  <r>
    <x v="2320"/>
    <s v="Martiner Testa"/>
    <s v="Paolo"/>
    <s v="ITA0538"/>
    <s v="OPEN"/>
    <x v="153"/>
    <s v="ITA"/>
    <m/>
    <m/>
    <m/>
    <m/>
    <m/>
    <s v="FISCT"/>
    <s v="CESTFA"/>
  </r>
  <r>
    <x v="2321"/>
    <s v="Martinez"/>
    <s v="Manuel"/>
    <s v="GIB0001"/>
    <s v="VET"/>
    <x v="37"/>
    <s v="GIB"/>
    <m/>
    <m/>
    <m/>
    <m/>
    <m/>
    <s v="GTSA"/>
    <s v="CESTFA"/>
  </r>
  <r>
    <x v="2322"/>
    <s v="Martínez"/>
    <s v="Abraham"/>
    <s v="ESP0465"/>
    <s v="OPEN"/>
    <x v="150"/>
    <s v="ESP"/>
    <m/>
    <m/>
    <m/>
    <m/>
    <m/>
    <s v="AEFM"/>
    <s v="CESTFA"/>
  </r>
  <r>
    <x v="2323"/>
    <s v="Martínez"/>
    <s v="Arturo"/>
    <s v="ESP0001"/>
    <s v="VET"/>
    <x v="146"/>
    <s v="ESP"/>
    <m/>
    <m/>
    <m/>
    <m/>
    <m/>
    <s v="AEFM"/>
    <s v="CESTFA"/>
  </r>
  <r>
    <x v="2324"/>
    <s v="Martínez"/>
    <s v="Carlos Alberto"/>
    <s v="ARG0072"/>
    <s v="OPEN"/>
    <x v="285"/>
    <s v="ARG"/>
    <m/>
    <m/>
    <m/>
    <m/>
    <m/>
    <s v="LAFM (Suspended)"/>
    <s v="CSAFM"/>
  </r>
  <r>
    <x v="2325"/>
    <s v="Martínez"/>
    <s v="Joaquín"/>
    <s v="ARG0077"/>
    <s v="U20"/>
    <x v="285"/>
    <s v="ARG"/>
    <m/>
    <m/>
    <m/>
    <m/>
    <m/>
    <s v="LAFM (Suspended)"/>
    <s v="CSAFM"/>
  </r>
  <r>
    <x v="2326"/>
    <s v="Martínez"/>
    <s v="Norberto"/>
    <s v="ARG0070"/>
    <s v="VET"/>
    <x v="285"/>
    <s v="ARG"/>
    <m/>
    <m/>
    <m/>
    <m/>
    <m/>
    <s v="LAFM (Suspended)"/>
    <s v="CSAFM"/>
  </r>
  <r>
    <x v="2327"/>
    <s v="Martínez"/>
    <s v="Norberto Oscar"/>
    <s v="ARG0071"/>
    <s v="VET"/>
    <x v="285"/>
    <s v="ARG"/>
    <m/>
    <m/>
    <m/>
    <m/>
    <m/>
    <s v="LAFM (Suspended)"/>
    <s v="CSAFM"/>
  </r>
  <r>
    <x v="2328"/>
    <s v="Martini"/>
    <s v="Andrew"/>
    <s v="JPN153"/>
    <s v="VET"/>
    <x v="327"/>
    <s v="JPN"/>
    <m/>
    <m/>
    <m/>
    <m/>
    <m/>
    <s v="JTFA"/>
    <s v="CASTFA"/>
  </r>
  <r>
    <x v="2329"/>
    <s v="Martins"/>
    <s v="Francisco"/>
    <s v="POR0187"/>
    <s v="U20"/>
    <x v="11"/>
    <s v="POR"/>
    <m/>
    <m/>
    <m/>
    <m/>
    <m/>
    <s v="APS"/>
    <s v="CESTFA"/>
  </r>
  <r>
    <x v="2330"/>
    <s v="Martins"/>
    <s v="Vitor"/>
    <s v="BRA0091"/>
    <s v="OPEN"/>
    <x v="264"/>
    <s v="BRA"/>
    <m/>
    <m/>
    <m/>
    <m/>
    <m/>
    <s v="CBFM (Suspended)"/>
    <m/>
  </r>
  <r>
    <x v="2331"/>
    <s v="Martz"/>
    <s v="Tom"/>
    <s v="USA0399"/>
    <s v="OPEN"/>
    <x v="60"/>
    <s v="USA"/>
    <m/>
    <m/>
    <m/>
    <m/>
    <m/>
    <s v="ASA"/>
    <s v="CONASTF"/>
  </r>
  <r>
    <x v="2332"/>
    <s v="Marutani"/>
    <s v="Takanobu"/>
    <s v="JPN045"/>
    <s v="VET"/>
    <x v="270"/>
    <s v="JPN"/>
    <m/>
    <m/>
    <m/>
    <m/>
    <m/>
    <s v="JTFA"/>
    <s v="CASTFA"/>
  </r>
  <r>
    <x v="2333"/>
    <s v="Marziani"/>
    <s v="Michele"/>
    <s v="ITA2255"/>
    <s v="VET"/>
    <x v="196"/>
    <s v="ITA"/>
    <m/>
    <m/>
    <m/>
    <m/>
    <m/>
    <s v="FISCT"/>
    <s v="CESTFA"/>
  </r>
  <r>
    <x v="2334"/>
    <s v="Marzocchi"/>
    <s v="Mirco"/>
    <s v="ITA0541"/>
    <s v="VET"/>
    <x v="328"/>
    <s v="ITA"/>
    <m/>
    <m/>
    <m/>
    <m/>
    <m/>
    <s v="FISCT"/>
    <s v="CESTFA"/>
  </r>
  <r>
    <x v="2335"/>
    <s v="Mascitti"/>
    <s v="Christian"/>
    <s v="ITA2494"/>
    <s v="OPEN"/>
    <x v="173"/>
    <s v="ITA"/>
    <m/>
    <m/>
    <m/>
    <m/>
    <m/>
    <s v="FISCT"/>
    <s v="CESTFA"/>
  </r>
  <r>
    <x v="2336"/>
    <s v="Masile"/>
    <s v="Antonio"/>
    <s v="ITA3270"/>
    <s v="OPEN"/>
    <x v="111"/>
    <s v="ITA"/>
    <m/>
    <m/>
    <m/>
    <m/>
    <m/>
    <s v="FISCT"/>
    <s v="CESTFA"/>
  </r>
  <r>
    <x v="2337"/>
    <s v="Masini"/>
    <s v="Mirko"/>
    <s v="ITA0545"/>
    <s v="OPEN"/>
    <x v="33"/>
    <s v="ITA"/>
    <m/>
    <m/>
    <m/>
    <m/>
    <m/>
    <s v="FISCT"/>
    <s v="CESTFA"/>
  </r>
  <r>
    <x v="2338"/>
    <s v="Maso"/>
    <s v="Xavi"/>
    <s v="ESP0557"/>
    <s v="OPEN"/>
    <x v="64"/>
    <s v="ESP"/>
    <m/>
    <m/>
    <m/>
    <m/>
    <m/>
    <s v="AEFM"/>
    <s v="CESTFA"/>
  </r>
  <r>
    <x v="2339"/>
    <s v="Massart"/>
    <s v="Benoît"/>
    <s v="BEL0164"/>
    <s v="VET"/>
    <x v="241"/>
    <s v="BEL"/>
    <m/>
    <m/>
    <m/>
    <m/>
    <m/>
    <m/>
    <m/>
  </r>
  <r>
    <x v="2340"/>
    <s v="Masserini"/>
    <s v="Guglielmo"/>
    <s v="ITA3420"/>
    <s v="VET"/>
    <x v="112"/>
    <s v="ITA"/>
    <m/>
    <m/>
    <m/>
    <m/>
    <m/>
    <s v="FISCT"/>
    <s v="CESTFA"/>
  </r>
  <r>
    <x v="2341"/>
    <s v="Massone"/>
    <s v="Davide"/>
    <s v="ITA2694"/>
    <s v="VET"/>
    <x v="40"/>
    <s v="ITA"/>
    <m/>
    <m/>
    <m/>
    <m/>
    <m/>
    <s v="FISCT"/>
    <s v="CESTFA"/>
  </r>
  <r>
    <x v="2342"/>
    <s v="Mastrangelo"/>
    <s v="Antonio"/>
    <s v="ITA1168"/>
    <s v="VET"/>
    <x v="205"/>
    <s v="ITA"/>
    <m/>
    <m/>
    <m/>
    <m/>
    <m/>
    <s v="FISCT"/>
    <s v="CESTFA"/>
  </r>
  <r>
    <x v="2343"/>
    <s v="Mastrantuono"/>
    <s v="Gianfranco"/>
    <s v="ITA0547"/>
    <s v="VET"/>
    <x v="28"/>
    <s v="ITA"/>
    <m/>
    <m/>
    <m/>
    <m/>
    <m/>
    <s v="FISCT"/>
    <s v="CESTFA"/>
  </r>
  <r>
    <x v="2344"/>
    <s v="Mastrantuono"/>
    <s v="Manuel"/>
    <s v="ITA0548"/>
    <s v="OPEN"/>
    <x v="28"/>
    <s v="ITA"/>
    <m/>
    <m/>
    <m/>
    <m/>
    <m/>
    <s v="FISCT"/>
    <s v="CESTFA"/>
  </r>
  <r>
    <x v="2345"/>
    <s v="Mastrobuono"/>
    <s v="Marco"/>
    <s v="ITA3384"/>
    <s v="U16"/>
    <x v="209"/>
    <s v="ITA"/>
    <m/>
    <m/>
    <m/>
    <m/>
    <m/>
    <s v="FISCT"/>
    <s v="CESTFA"/>
  </r>
  <r>
    <x v="2346"/>
    <s v="Mastrobuono"/>
    <s v="Massimo Francesco"/>
    <s v="ITA3328"/>
    <s v="VET"/>
    <x v="209"/>
    <s v="ITA"/>
    <m/>
    <m/>
    <m/>
    <m/>
    <m/>
    <s v="FISCT"/>
    <s v="CESTFA"/>
  </r>
  <r>
    <x v="2347"/>
    <s v="Mastroianni"/>
    <s v="Fabio"/>
    <s v="ESP0520"/>
    <s v="OPEN"/>
    <x v="210"/>
    <s v="ESP"/>
    <m/>
    <m/>
    <m/>
    <m/>
    <m/>
    <s v="AEFM"/>
    <s v="CESTFA"/>
  </r>
  <r>
    <x v="2348"/>
    <s v="Mastropasqua"/>
    <s v="Alessandro"/>
    <s v="ITA0549"/>
    <s v="OPEN"/>
    <x v="147"/>
    <s v="ITA"/>
    <m/>
    <m/>
    <m/>
    <m/>
    <m/>
    <s v="FISCT"/>
    <s v="CESTFA"/>
  </r>
  <r>
    <x v="2349"/>
    <s v="Mata"/>
    <s v="Brandon"/>
    <s v="USA0356"/>
    <s v="OPEN"/>
    <x v="329"/>
    <s v="USA"/>
    <m/>
    <m/>
    <m/>
    <m/>
    <m/>
    <s v="ASA"/>
    <s v="CONASTF"/>
  </r>
  <r>
    <x v="2350"/>
    <s v="Matabuena"/>
    <s v="Miguel Ángel"/>
    <s v="ESP0433"/>
    <s v="OPEN"/>
    <x v="36"/>
    <s v="ESP"/>
    <m/>
    <m/>
    <m/>
    <m/>
    <m/>
    <s v="AEFM"/>
    <s v="CESTFA"/>
  </r>
  <r>
    <x v="2351"/>
    <s v="Matalone"/>
    <s v="Domenico"/>
    <s v="ITA2992"/>
    <s v="VET"/>
    <x v="40"/>
    <s v="ITA"/>
    <m/>
    <m/>
    <m/>
    <m/>
    <m/>
    <s v="FISCT"/>
    <s v="CESTFA"/>
  </r>
  <r>
    <x v="2352"/>
    <s v="Matalone"/>
    <s v="Edoardo"/>
    <s v="ITA3211"/>
    <s v="U12"/>
    <x v="40"/>
    <s v="ITA"/>
    <m/>
    <m/>
    <m/>
    <m/>
    <m/>
    <s v="FISCT"/>
    <s v="CESTFA"/>
  </r>
  <r>
    <x v="2353"/>
    <s v="Mateos"/>
    <s v="Alberto"/>
    <s v="ESP0019"/>
    <s v="OPEN"/>
    <x v="156"/>
    <s v="ESP"/>
    <m/>
    <m/>
    <m/>
    <m/>
    <m/>
    <s v="AEFM"/>
    <s v="CESTFA"/>
  </r>
  <r>
    <x v="2354"/>
    <s v="Mateos"/>
    <s v="Luis"/>
    <s v="ESP0022"/>
    <s v="OPEN"/>
    <x v="210"/>
    <s v="ESP"/>
    <m/>
    <m/>
    <m/>
    <m/>
    <m/>
    <s v="AEFM"/>
    <s v="CESTFA"/>
  </r>
  <r>
    <x v="2355"/>
    <s v="Mather"/>
    <s v="Gary"/>
    <s v="ENG0476"/>
    <s v="VET"/>
    <x v="330"/>
    <s v="ENG"/>
    <m/>
    <m/>
    <m/>
    <m/>
    <m/>
    <s v="ESA"/>
    <s v="CESTFA"/>
  </r>
  <r>
    <x v="2356"/>
    <s v="Mathieson"/>
    <s v="John"/>
    <s v="SCO0059"/>
    <s v="OPEN"/>
    <x v="49"/>
    <s v="SCO"/>
    <m/>
    <m/>
    <m/>
    <m/>
    <m/>
    <s v="SSA"/>
    <s v="CESTFA"/>
  </r>
  <r>
    <x v="2357"/>
    <s v="Mathieu"/>
    <s v="David"/>
    <s v="FRA0150"/>
    <s v="VET"/>
    <x v="138"/>
    <s v="FRA"/>
    <m/>
    <m/>
    <m/>
    <m/>
    <m/>
    <s v="3FTS"/>
    <s v="CESTFA"/>
  </r>
  <r>
    <x v="2358"/>
    <s v="Matias"/>
    <s v="João"/>
    <s v="POR0151"/>
    <s v="OPEN"/>
    <x v="8"/>
    <s v="POR"/>
    <m/>
    <m/>
    <m/>
    <m/>
    <m/>
    <s v="APS"/>
    <s v="CESTFA"/>
  </r>
  <r>
    <x v="2359"/>
    <s v="Matos"/>
    <s v="Allan"/>
    <s v="BRA0108"/>
    <s v="OPEN"/>
    <x v="14"/>
    <s v="BRA"/>
    <m/>
    <m/>
    <m/>
    <m/>
    <m/>
    <s v="CBFM (Suspended)"/>
    <m/>
  </r>
  <r>
    <x v="2360"/>
    <s v="Matos"/>
    <s v="Giorgos"/>
    <s v="GRE0684"/>
    <s v="OPEN"/>
    <x v="14"/>
    <s v="GRE"/>
    <m/>
    <m/>
    <m/>
    <m/>
    <m/>
    <s v="UHTF"/>
    <s v="CESTFA"/>
  </r>
  <r>
    <x v="2361"/>
    <s v="Matos"/>
    <s v="Marcelo"/>
    <s v="BRA0056"/>
    <s v="VET"/>
    <x v="14"/>
    <s v="BRA"/>
    <m/>
    <m/>
    <m/>
    <m/>
    <m/>
    <s v="CBFM (Suspended)"/>
    <m/>
  </r>
  <r>
    <x v="2362"/>
    <s v="Matsakas"/>
    <s v="Georgios"/>
    <s v="GRE0443"/>
    <s v="OPEN"/>
    <x v="14"/>
    <s v="GRE"/>
    <m/>
    <m/>
    <m/>
    <m/>
    <m/>
    <s v="UHTF"/>
    <s v="CESTFA"/>
  </r>
  <r>
    <x v="2363"/>
    <s v="Matsopoulos"/>
    <s v="Stilianos"/>
    <s v="GRE0212"/>
    <s v="OPEN"/>
    <x v="30"/>
    <s v="GRE"/>
    <m/>
    <m/>
    <m/>
    <m/>
    <m/>
    <s v="UHTF"/>
    <s v="CESTFA"/>
  </r>
  <r>
    <x v="2364"/>
    <s v="Matteucci"/>
    <s v="Massimo"/>
    <s v="ITA2246"/>
    <s v="VET"/>
    <x v="71"/>
    <s v="ITA"/>
    <m/>
    <m/>
    <m/>
    <m/>
    <m/>
    <s v="FISCT"/>
    <s v="CESTFA"/>
  </r>
  <r>
    <x v="2365"/>
    <s v="Matthews"/>
    <s v="Cayne"/>
    <s v="ENG1009"/>
    <s v="VET"/>
    <x v="180"/>
    <s v="ENG"/>
    <m/>
    <m/>
    <m/>
    <m/>
    <m/>
    <s v="ESA"/>
    <s v="CESTFA"/>
  </r>
  <r>
    <x v="2366"/>
    <s v="Matthews"/>
    <s v="Paul"/>
    <s v="ENG0461"/>
    <s v="OPEN"/>
    <x v="301"/>
    <s v="ENG"/>
    <m/>
    <m/>
    <m/>
    <m/>
    <m/>
    <s v="ESA"/>
    <s v="CESTFA"/>
  </r>
  <r>
    <x v="2367"/>
    <s v="Matthews"/>
    <s v="Ruby"/>
    <s v="ENG1010"/>
    <s v="U16"/>
    <x v="51"/>
    <s v="ENG"/>
    <m/>
    <m/>
    <m/>
    <m/>
    <m/>
    <s v="ESA"/>
    <s v="CESTFA"/>
  </r>
  <r>
    <x v="2368"/>
    <s v="Mattiangeli"/>
    <s v="Federico"/>
    <s v="ITA0551"/>
    <s v="VET"/>
    <x v="155"/>
    <s v="ITA"/>
    <m/>
    <m/>
    <m/>
    <m/>
    <m/>
    <s v="FISCT"/>
    <s v="CESTFA"/>
  </r>
  <r>
    <x v="2369"/>
    <s v="Mattiangeli"/>
    <s v="Francesco"/>
    <s v="ITA0552"/>
    <s v="VET"/>
    <x v="46"/>
    <s v="ITA"/>
    <m/>
    <m/>
    <m/>
    <m/>
    <m/>
    <s v="FISCT"/>
    <s v="CESTFA"/>
  </r>
  <r>
    <x v="2370"/>
    <s v="Matusch"/>
    <s v="Yannik"/>
    <s v="GER0128"/>
    <s v="OPEN"/>
    <x v="108"/>
    <s v="GER"/>
    <m/>
    <m/>
    <m/>
    <m/>
    <m/>
    <s v="DSTFB"/>
    <s v="CESTFA"/>
  </r>
  <r>
    <x v="2371"/>
    <s v="Matzinger"/>
    <s v="Markus"/>
    <s v="AUT0015"/>
    <s v="OPEN"/>
    <x v="258"/>
    <s v="AUT"/>
    <m/>
    <m/>
    <m/>
    <m/>
    <m/>
    <s v="EÖTV"/>
    <s v="CESTFA"/>
  </r>
  <r>
    <x v="2372"/>
    <s v="Mavraganis"/>
    <s v="Konstantinos"/>
    <s v="GRE0165"/>
    <s v="OPEN"/>
    <x v="14"/>
    <s v="GRE"/>
    <m/>
    <m/>
    <m/>
    <m/>
    <m/>
    <s v="UHTF"/>
    <s v="CESTFA"/>
  </r>
  <r>
    <x v="2373"/>
    <s v="Mavrikidis"/>
    <s v="Michail"/>
    <s v="GRE0560"/>
    <s v="OPEN"/>
    <x v="14"/>
    <s v="GRE"/>
    <m/>
    <m/>
    <m/>
    <m/>
    <m/>
    <s v="UHTF"/>
    <s v="CESTFA"/>
  </r>
  <r>
    <x v="2374"/>
    <s v="Mavroeidakos"/>
    <s v="Ioannis D."/>
    <s v="GRE0063"/>
    <s v="OPEN"/>
    <x v="14"/>
    <s v="GRE"/>
    <m/>
    <m/>
    <m/>
    <m/>
    <m/>
    <s v="UHTF"/>
    <s v="CESTFA"/>
  </r>
  <r>
    <x v="2375"/>
    <s v="Mavroeidakos"/>
    <s v="Ioannis H."/>
    <s v="GRE0068"/>
    <s v="OPEN"/>
    <x v="14"/>
    <s v="GRE"/>
    <m/>
    <m/>
    <m/>
    <m/>
    <m/>
    <s v="UHTF"/>
    <s v="CESTFA"/>
  </r>
  <r>
    <x v="2376"/>
    <s v="Mavroeidakos"/>
    <s v="Spyridon"/>
    <s v="GRE0070"/>
    <s v="OPEN"/>
    <x v="14"/>
    <s v="GRE"/>
    <m/>
    <m/>
    <m/>
    <m/>
    <m/>
    <s v="UHTF"/>
    <s v="CESTFA"/>
  </r>
  <r>
    <x v="2377"/>
    <s v="Mavrogiannis"/>
    <s v="Andreas"/>
    <s v="GRE0324"/>
    <s v="OPEN"/>
    <x v="66"/>
    <s v="GRE"/>
    <m/>
    <m/>
    <m/>
    <m/>
    <m/>
    <s v="UHTF"/>
    <s v="CESTFA"/>
  </r>
  <r>
    <x v="2378"/>
    <s v="Mavromitros"/>
    <s v="Dimitrios"/>
    <s v="GRE0173"/>
    <s v="VET"/>
    <x v="14"/>
    <s v="GRE"/>
    <m/>
    <m/>
    <m/>
    <m/>
    <m/>
    <s v="UHTF"/>
    <s v="CESTFA"/>
  </r>
  <r>
    <x v="2379"/>
    <s v="Mavromitros"/>
    <s v="Vasileios"/>
    <s v="GRE0280"/>
    <s v="OPEN"/>
    <x v="14"/>
    <s v="GRE"/>
    <m/>
    <m/>
    <m/>
    <m/>
    <m/>
    <s v="UHTF"/>
    <s v="CESTFA"/>
  </r>
  <r>
    <x v="2380"/>
    <s v="Mayock"/>
    <s v="Sean"/>
    <s v="AUS0207"/>
    <s v="VET"/>
    <x v="103"/>
    <s v="AUS"/>
    <m/>
    <m/>
    <m/>
    <m/>
    <m/>
    <s v="ATFA"/>
    <s v="CASTFA"/>
  </r>
  <r>
    <x v="2381"/>
    <s v="Mazlan"/>
    <s v="Mursyid"/>
    <s v="SGP0032"/>
    <s v="OPEN"/>
    <x v="259"/>
    <s v="SGP"/>
    <m/>
    <m/>
    <m/>
    <m/>
    <m/>
    <s v="TFAS"/>
    <s v="CASTFA"/>
  </r>
  <r>
    <x v="2382"/>
    <s v="Mazzau"/>
    <s v="Sergio"/>
    <s v="ITA2778"/>
    <s v="VET"/>
    <x v="196"/>
    <s v="ITA"/>
    <m/>
    <m/>
    <m/>
    <m/>
    <m/>
    <s v="FISCT"/>
    <s v="CESTFA"/>
  </r>
  <r>
    <x v="2383"/>
    <s v="Mazzeo"/>
    <s v="Bruno"/>
    <s v="ITA0553"/>
    <s v="OPEN"/>
    <x v="166"/>
    <s v="ITA"/>
    <m/>
    <m/>
    <m/>
    <m/>
    <m/>
    <s v="FISCT"/>
    <s v="CESTFA"/>
  </r>
  <r>
    <x v="2384"/>
    <s v="Mazzilli"/>
    <s v="Michelangelo"/>
    <s v="ITA0555"/>
    <s v="VET"/>
    <x v="55"/>
    <s v="ITA"/>
    <m/>
    <m/>
    <m/>
    <m/>
    <m/>
    <s v="FISCT"/>
    <s v="CESTFA"/>
  </r>
  <r>
    <x v="2385"/>
    <s v="Mazzucchi"/>
    <s v="Roberto"/>
    <s v="ITA2352"/>
    <s v="VET"/>
    <x v="240"/>
    <s v="ITA"/>
    <m/>
    <m/>
    <m/>
    <m/>
    <m/>
    <s v="FISCT"/>
    <s v="CESTFA"/>
  </r>
  <r>
    <x v="2386"/>
    <s v="McCallum"/>
    <s v="David"/>
    <s v="ENG0529"/>
    <s v="VET"/>
    <x v="257"/>
    <s v="ENG"/>
    <m/>
    <m/>
    <m/>
    <m/>
    <m/>
    <s v="ESA"/>
    <s v="CESTFA"/>
  </r>
  <r>
    <x v="2387"/>
    <s v="McCann"/>
    <s v="Tony"/>
    <s v="ENG0078"/>
    <s v="VET"/>
    <x v="180"/>
    <s v="ENG"/>
    <m/>
    <m/>
    <m/>
    <m/>
    <m/>
    <s v="ESA"/>
    <s v="CESTFA"/>
  </r>
  <r>
    <x v="2388"/>
    <s v="McCartney"/>
    <s v="David"/>
    <s v="ENG0509"/>
    <s v="OPEN"/>
    <x v="81"/>
    <s v="ENG"/>
    <m/>
    <m/>
    <m/>
    <m/>
    <m/>
    <s v="ESA"/>
    <s v="CESTFA"/>
  </r>
  <r>
    <x v="2389"/>
    <s v="McCaulley"/>
    <s v="Scott"/>
    <s v="USA0413"/>
    <s v="VET"/>
    <x v="149"/>
    <s v="USA"/>
    <m/>
    <m/>
    <m/>
    <m/>
    <m/>
    <s v="ASA"/>
    <s v="CONASTF"/>
  </r>
  <r>
    <x v="2390"/>
    <s v="McCormick"/>
    <s v="Daniel"/>
    <s v="ENG0533"/>
    <s v="OPEN"/>
    <x v="75"/>
    <s v="ENG"/>
    <m/>
    <m/>
    <m/>
    <m/>
    <m/>
    <s v="ESA"/>
    <s v="CESTFA"/>
  </r>
  <r>
    <x v="2391"/>
    <s v="McCormick"/>
    <s v="James"/>
    <s v="ENG0532"/>
    <s v="OPEN"/>
    <x v="75"/>
    <s v="ENG"/>
    <m/>
    <m/>
    <m/>
    <m/>
    <m/>
    <s v="ESA"/>
    <s v="CESTFA"/>
  </r>
  <r>
    <x v="2392"/>
    <s v="McCrossan"/>
    <s v="Mark"/>
    <s v="NIR0022"/>
    <s v="OPEN"/>
    <x v="181"/>
    <s v="NIR"/>
    <m/>
    <m/>
    <m/>
    <m/>
    <m/>
    <s v="NITFA"/>
    <s v="CESTFA"/>
  </r>
  <r>
    <x v="2393"/>
    <s v="McFadyen"/>
    <s v="Paul"/>
    <s v="SCO0071"/>
    <s v="VET"/>
    <x v="198"/>
    <s v="SCO"/>
    <m/>
    <m/>
    <m/>
    <m/>
    <m/>
    <s v="SSA"/>
    <s v="CESTFA"/>
  </r>
  <r>
    <x v="2394"/>
    <s v="McIlroy"/>
    <s v="Stuart"/>
    <s v="NIR0013"/>
    <s v="VET"/>
    <x v="13"/>
    <s v="NIR"/>
    <m/>
    <m/>
    <m/>
    <m/>
    <m/>
    <s v="NITFA"/>
    <s v="CESTFA"/>
  </r>
  <r>
    <x v="2395"/>
    <s v="McKane"/>
    <s v="Mark"/>
    <s v="NIR0012"/>
    <s v="OPEN"/>
    <x v="72"/>
    <s v="NIR"/>
    <m/>
    <m/>
    <m/>
    <m/>
    <m/>
    <s v="NITFA"/>
    <s v="CESTFA"/>
  </r>
  <r>
    <x v="2396"/>
    <s v="Mckay"/>
    <s v="John"/>
    <s v="CAN0028"/>
    <s v="VET"/>
    <x v="191"/>
    <s v="CAN"/>
    <m/>
    <m/>
    <m/>
    <m/>
    <m/>
    <s v="SCA"/>
    <m/>
  </r>
  <r>
    <x v="2397"/>
    <s v="McKeever"/>
    <s v="Patrick"/>
    <s v="NIR0021"/>
    <s v="VET"/>
    <x v="181"/>
    <s v="NIR"/>
    <m/>
    <m/>
    <m/>
    <m/>
    <m/>
    <s v="NITFA"/>
    <s v="CESTFA"/>
  </r>
  <r>
    <x v="2398"/>
    <s v="McKenzie"/>
    <s v="Fraser"/>
    <s v="SCO0051"/>
    <s v="OPEN"/>
    <x v="49"/>
    <s v="SCO"/>
    <m/>
    <m/>
    <m/>
    <m/>
    <m/>
    <s v="SSA"/>
    <s v="CESTFA"/>
  </r>
  <r>
    <x v="2399"/>
    <s v="McKenzie"/>
    <s v="Gary"/>
    <s v="SCO0079"/>
    <s v="U20"/>
    <x v="49"/>
    <s v="SCO"/>
    <m/>
    <m/>
    <m/>
    <m/>
    <m/>
    <s v="SSA"/>
    <s v="CESTFA"/>
  </r>
  <r>
    <x v="2400"/>
    <s v="McKenzie"/>
    <s v="Ken"/>
    <s v="IRL0005"/>
    <s v="OPEN"/>
    <x v="126"/>
    <s v="IRL"/>
    <m/>
    <m/>
    <m/>
    <m/>
    <m/>
    <s v="TFAI"/>
    <s v="CESTFA"/>
  </r>
  <r>
    <x v="2401"/>
    <s v="McKenzie"/>
    <s v="Ronnie"/>
    <s v="SCO0010"/>
    <s v="VET"/>
    <x v="49"/>
    <s v="SCO"/>
    <m/>
    <m/>
    <m/>
    <m/>
    <m/>
    <s v="SSA"/>
    <s v="CESTFA"/>
  </r>
  <r>
    <x v="2402"/>
    <s v="McKenzie"/>
    <s v="Scott"/>
    <s v="SCO0080"/>
    <s v="U20"/>
    <x v="331"/>
    <s v="SCO"/>
    <m/>
    <m/>
    <m/>
    <m/>
    <m/>
    <s v="SSA"/>
    <s v="CESTFA"/>
  </r>
  <r>
    <x v="2403"/>
    <s v="Mclane"/>
    <s v="Eddy"/>
    <s v="USA0129"/>
    <s v="OPEN"/>
    <x v="247"/>
    <s v="USA"/>
    <m/>
    <m/>
    <m/>
    <m/>
    <m/>
    <s v="ASA"/>
    <s v="CONASTF"/>
  </r>
  <r>
    <x v="2404"/>
    <s v="McMurray"/>
    <s v="Simon"/>
    <s v="ENG0232"/>
    <s v="OPEN"/>
    <x v="90"/>
    <s v="ENG"/>
    <m/>
    <m/>
    <m/>
    <m/>
    <m/>
    <s v="ESA"/>
    <s v="CESTFA"/>
  </r>
  <r>
    <x v="2405"/>
    <s v="McNab"/>
    <s v="Stephan"/>
    <s v="CAN0017"/>
    <s v="VET"/>
    <x v="191"/>
    <s v="CAN"/>
    <m/>
    <m/>
    <m/>
    <m/>
    <m/>
    <s v="SCA"/>
    <m/>
  </r>
  <r>
    <x v="2406"/>
    <s v="McPhail"/>
    <s v="Ryan"/>
    <s v="SCO0063"/>
    <s v="OPEN"/>
    <x v="49"/>
    <s v="SCO"/>
    <m/>
    <m/>
    <m/>
    <m/>
    <m/>
    <s v="SSA"/>
    <s v="CESTFA"/>
  </r>
  <r>
    <x v="2407"/>
    <s v="Meggitt"/>
    <s v="Andrew"/>
    <s v="ENG1029"/>
    <s v="VET"/>
    <x v="14"/>
    <s v="ENG"/>
    <m/>
    <m/>
    <m/>
    <m/>
    <m/>
    <s v="ESA"/>
    <s v="CESTFA"/>
  </r>
  <r>
    <x v="2408"/>
    <s v="Megna"/>
    <s v="Pietro"/>
    <s v="ITA3412"/>
    <s v="VET"/>
    <x v="332"/>
    <s v="ITA"/>
    <m/>
    <m/>
    <m/>
    <m/>
    <m/>
    <s v="FISCT"/>
    <s v="CESTFA"/>
  </r>
  <r>
    <x v="2409"/>
    <s v="Meleas"/>
    <s v="Konstantinos"/>
    <s v="GRE0525"/>
    <s v="VET"/>
    <x v="62"/>
    <s v="GRE"/>
    <m/>
    <m/>
    <m/>
    <m/>
    <m/>
    <s v="UHTF"/>
    <s v="CESTFA"/>
  </r>
  <r>
    <x v="2410"/>
    <s v="Melis"/>
    <s v="Cristian"/>
    <s v="ITA2987"/>
    <s v="OPEN"/>
    <x v="230"/>
    <s v="ITA"/>
    <m/>
    <m/>
    <m/>
    <m/>
    <m/>
    <s v="FISCT"/>
    <s v="CESTFA"/>
  </r>
  <r>
    <x v="2411"/>
    <s v="Melli"/>
    <s v="Emerson"/>
    <s v="BRA0087"/>
    <s v="OPEN"/>
    <x v="236"/>
    <s v="BRA"/>
    <m/>
    <m/>
    <m/>
    <m/>
    <m/>
    <s v="CBFM (Suspended)"/>
    <m/>
  </r>
  <r>
    <x v="2412"/>
    <s v="Mellios"/>
    <s v="Stavros"/>
    <s v="GRE0680"/>
    <s v="U16"/>
    <x v="17"/>
    <s v="GRE"/>
    <m/>
    <m/>
    <m/>
    <m/>
    <m/>
    <s v="UHTF"/>
    <s v="CESTFA"/>
  </r>
  <r>
    <x v="2413"/>
    <s v="Mellott"/>
    <s v="Richard"/>
    <s v="USA0293"/>
    <s v="VET"/>
    <x v="333"/>
    <s v="USA"/>
    <m/>
    <m/>
    <m/>
    <m/>
    <m/>
    <s v="ASA"/>
    <s v="CONASTF"/>
  </r>
  <r>
    <x v="2414"/>
    <s v="Mendes"/>
    <s v="Diogo"/>
    <s v="POR0217"/>
    <s v="U16"/>
    <x v="334"/>
    <s v="POR"/>
    <m/>
    <m/>
    <m/>
    <m/>
    <m/>
    <s v="APS"/>
    <s v="CESTFA"/>
  </r>
  <r>
    <x v="2415"/>
    <s v="Mendes"/>
    <s v="Francisco"/>
    <s v="POR0152"/>
    <s v="OPEN"/>
    <x v="14"/>
    <s v="POR"/>
    <m/>
    <m/>
    <m/>
    <m/>
    <m/>
    <s v="APS"/>
    <s v="CESTFA"/>
  </r>
  <r>
    <x v="2416"/>
    <s v="Mendes"/>
    <s v="Júlia"/>
    <s v="POR0188"/>
    <s v="U20"/>
    <x v="11"/>
    <s v="POR"/>
    <m/>
    <m/>
    <m/>
    <m/>
    <m/>
    <s v="APS"/>
    <s v="CESTFA"/>
  </r>
  <r>
    <x v="2417"/>
    <s v="Mendes"/>
    <s v="Rui"/>
    <s v="POR0153"/>
    <s v="VET"/>
    <x v="14"/>
    <s v="POR"/>
    <m/>
    <m/>
    <m/>
    <m/>
    <m/>
    <s v="APS"/>
    <s v="CESTFA"/>
  </r>
  <r>
    <x v="2418"/>
    <s v="Méndez"/>
    <s v="Luis Felipe"/>
    <s v="ESP0068"/>
    <s v="VET"/>
    <x v="31"/>
    <s v="ESP"/>
    <m/>
    <m/>
    <m/>
    <m/>
    <m/>
    <s v="AEFM"/>
    <s v="CESTFA"/>
  </r>
  <r>
    <x v="2419"/>
    <s v="Menditto"/>
    <s v="Francesco"/>
    <s v="ITA3037"/>
    <s v="OPEN"/>
    <x v="28"/>
    <s v="ITA"/>
    <m/>
    <m/>
    <m/>
    <m/>
    <m/>
    <s v="FISCT"/>
    <s v="CESTFA"/>
  </r>
  <r>
    <x v="2420"/>
    <s v="Mendonça"/>
    <s v="Guilherme"/>
    <s v="POR0158"/>
    <s v="OPEN"/>
    <x v="335"/>
    <s v="POR"/>
    <m/>
    <m/>
    <m/>
    <m/>
    <m/>
    <s v="APS"/>
    <s v="CESTFA"/>
  </r>
  <r>
    <x v="2421"/>
    <s v="Menegakos"/>
    <s v="Anastasios"/>
    <s v="GRE0791"/>
    <s v="OPEN"/>
    <x v="14"/>
    <s v="GRE"/>
    <m/>
    <m/>
    <m/>
    <m/>
    <m/>
    <s v="UHTF"/>
    <s v="CESTFA"/>
  </r>
  <r>
    <x v="2422"/>
    <s v="Meneghetti (62)"/>
    <s v="Alessandro"/>
    <s v="ITA1200"/>
    <s v="VET"/>
    <x v="205"/>
    <s v="ITA"/>
    <m/>
    <m/>
    <m/>
    <m/>
    <m/>
    <s v="FISCT"/>
    <s v="CESTFA"/>
  </r>
  <r>
    <x v="2423"/>
    <s v="Mengele"/>
    <s v="Brian"/>
    <s v="USA0099"/>
    <s v="OPEN"/>
    <x v="60"/>
    <s v="USA"/>
    <m/>
    <m/>
    <m/>
    <m/>
    <m/>
    <s v="ASA"/>
    <s v="CONASTF"/>
  </r>
  <r>
    <x v="2424"/>
    <s v="Meni"/>
    <s v="Ricardo"/>
    <s v="BRA0076"/>
    <s v="VET"/>
    <x v="14"/>
    <s v="BRA"/>
    <m/>
    <m/>
    <m/>
    <m/>
    <m/>
    <s v="CBFM (Suspended)"/>
    <m/>
  </r>
  <r>
    <x v="2425"/>
    <s v="Mensel"/>
    <s v="Anna-Lisa"/>
    <s v="GER0023"/>
    <s v="OPEN"/>
    <x v="5"/>
    <s v="GER"/>
    <m/>
    <m/>
    <m/>
    <m/>
    <m/>
    <s v="DSTFB"/>
    <s v="CESTFA"/>
  </r>
  <r>
    <x v="2426"/>
    <s v="Mentasti"/>
    <s v="Giorgio"/>
    <s v="ITA1759"/>
    <s v="VET"/>
    <x v="161"/>
    <s v="ITA"/>
    <m/>
    <m/>
    <m/>
    <m/>
    <m/>
    <s v="FISCT"/>
    <s v="CESTFA"/>
  </r>
  <r>
    <x v="2427"/>
    <s v="Mentasti"/>
    <s v="Lorenzo"/>
    <s v="ITA2900"/>
    <s v="VET"/>
    <x v="161"/>
    <s v="ITA"/>
    <m/>
    <m/>
    <m/>
    <m/>
    <m/>
    <s v="FISCT"/>
    <s v="CESTFA"/>
  </r>
  <r>
    <x v="2428"/>
    <s v="Meo"/>
    <s v="Felice"/>
    <s v="ITA2034"/>
    <s v="VET"/>
    <x v="268"/>
    <s v="ITA"/>
    <m/>
    <m/>
    <m/>
    <m/>
    <m/>
    <s v="FISCT"/>
    <s v="CESTFA"/>
  </r>
  <r>
    <x v="2429"/>
    <s v="Meo (04)"/>
    <s v="Giovanni"/>
    <s v="ITA2035"/>
    <s v="U20"/>
    <x v="268"/>
    <s v="ITA"/>
    <m/>
    <m/>
    <m/>
    <m/>
    <m/>
    <s v="FISCT"/>
    <s v="CESTFA"/>
  </r>
  <r>
    <x v="2429"/>
    <s v="Meo (04)"/>
    <s v="Giovanni"/>
    <s v="ITA2035"/>
    <s v="U20"/>
    <x v="268"/>
    <s v="ITA"/>
    <m/>
    <m/>
    <m/>
    <m/>
    <m/>
    <s v="FISCT"/>
    <s v="CESTFA"/>
  </r>
  <r>
    <x v="2430"/>
    <s v="Meo (98)"/>
    <s v="Giovanni"/>
    <s v="ITA2137"/>
    <s v="OPEN"/>
    <x v="268"/>
    <s v="ITA"/>
    <m/>
    <m/>
    <m/>
    <m/>
    <m/>
    <s v="FISCT"/>
    <s v="CESTFA"/>
  </r>
  <r>
    <x v="2431"/>
    <s v="Mercer"/>
    <s v="Paul"/>
    <s v="AUS0030"/>
    <s v="VET"/>
    <x v="256"/>
    <s v="AUS"/>
    <m/>
    <m/>
    <m/>
    <m/>
    <m/>
    <s v="ATFA"/>
    <s v="CASTFA"/>
  </r>
  <r>
    <x v="2432"/>
    <s v="Merkouris"/>
    <s v="Maria Felice"/>
    <s v="ITA2429"/>
    <s v="OPEN"/>
    <x v="200"/>
    <s v="ITA"/>
    <m/>
    <m/>
    <m/>
    <m/>
    <m/>
    <s v="FISCT"/>
    <s v="CESTFA"/>
  </r>
  <r>
    <x v="2433"/>
    <s v="Merkouris"/>
    <s v="Michail Angelos"/>
    <s v="GRE0619"/>
    <s v="U20"/>
    <x v="14"/>
    <s v="GRE"/>
    <m/>
    <m/>
    <m/>
    <m/>
    <m/>
    <s v="UHTF"/>
    <s v="CESTFA"/>
  </r>
  <r>
    <x v="2434"/>
    <s v="Meros"/>
    <s v="Eleftherios"/>
    <s v="GRE0712"/>
    <s v="VET"/>
    <x v="18"/>
    <s v="GRE"/>
    <m/>
    <m/>
    <m/>
    <m/>
    <m/>
    <s v="UHTF"/>
    <s v="CESTFA"/>
  </r>
  <r>
    <x v="2435"/>
    <s v="Meros"/>
    <s v="John"/>
    <s v="GRE0155"/>
    <s v="OPEN"/>
    <x v="14"/>
    <s v="GRE"/>
    <m/>
    <m/>
    <m/>
    <m/>
    <m/>
    <s v="UHTF"/>
    <s v="CESTFA"/>
  </r>
  <r>
    <x v="2436"/>
    <s v="Merrilees-Kelly"/>
    <s v="David"/>
    <s v="WAL0039"/>
    <s v="VET"/>
    <x v="165"/>
    <s v="WAL"/>
    <m/>
    <m/>
    <m/>
    <m/>
    <m/>
    <s v="WSTFA"/>
    <s v="CESTFA"/>
  </r>
  <r>
    <x v="2437"/>
    <s v="Merrilees-Kelly"/>
    <s v="Yanik"/>
    <s v="WAL0035"/>
    <s v="U20"/>
    <x v="165"/>
    <s v="WAL"/>
    <m/>
    <m/>
    <m/>
    <m/>
    <m/>
    <s v="WSTFA"/>
    <s v="CESTFA"/>
  </r>
  <r>
    <x v="2438"/>
    <s v="Mertins"/>
    <s v="Fabian"/>
    <s v="GER0099"/>
    <s v="OPEN"/>
    <x v="7"/>
    <s v="GER"/>
    <m/>
    <m/>
    <m/>
    <m/>
    <m/>
    <s v="DSTFB"/>
    <s v="CESTFA"/>
  </r>
  <r>
    <x v="2439"/>
    <s v="Mesaikos"/>
    <s v="Ilias"/>
    <s v="GRE0536"/>
    <s v="OPEN"/>
    <x v="14"/>
    <s v="GRE"/>
    <m/>
    <m/>
    <m/>
    <m/>
    <m/>
    <s v="UHTF"/>
    <s v="CESTFA"/>
  </r>
  <r>
    <x v="2440"/>
    <s v="Messonisanakis"/>
    <s v="Stavros"/>
    <s v="GRE0660"/>
    <s v="OPEN"/>
    <x v="67"/>
    <s v="GRE"/>
    <m/>
    <m/>
    <m/>
    <m/>
    <m/>
    <s v="UHTF"/>
    <s v="CESTFA"/>
  </r>
  <r>
    <x v="2441"/>
    <s v="Metaxas"/>
    <s v="Ioannis"/>
    <s v="GRE0071"/>
    <s v="VET"/>
    <x v="14"/>
    <s v="GRE"/>
    <m/>
    <m/>
    <m/>
    <m/>
    <m/>
    <s v="UHTF"/>
    <s v="CESTFA"/>
  </r>
  <r>
    <x v="2442"/>
    <s v="Mettivieri"/>
    <s v="Antonio"/>
    <s v="ITA0568"/>
    <s v="OPEN"/>
    <x v="170"/>
    <s v="ITA"/>
    <m/>
    <m/>
    <m/>
    <m/>
    <m/>
    <s v="FISCT"/>
    <s v="CESTFA"/>
  </r>
  <r>
    <x v="2443"/>
    <s v="Metzidakis"/>
    <s v="Apostolis"/>
    <s v="GRE0056"/>
    <s v="OPEN"/>
    <x v="14"/>
    <s v="GRE"/>
    <m/>
    <m/>
    <m/>
    <m/>
    <m/>
    <s v="UHTF"/>
    <s v="CESTFA"/>
  </r>
  <r>
    <x v="2444"/>
    <s v="Meygret"/>
    <s v="Laurent"/>
    <s v="FRA0190"/>
    <s v="OPEN"/>
    <x v="152"/>
    <s v="FRA"/>
    <m/>
    <m/>
    <m/>
    <m/>
    <m/>
    <s v="3FTS"/>
    <s v="CESTFA"/>
  </r>
  <r>
    <x v="2445"/>
    <s v="Meyus"/>
    <s v="Cédric"/>
    <s v="BEL0469"/>
    <s v="U12"/>
    <x v="215"/>
    <s v="BEL"/>
    <m/>
    <m/>
    <m/>
    <m/>
    <m/>
    <m/>
    <m/>
  </r>
  <r>
    <x v="2446"/>
    <s v="Micati"/>
    <s v="Giovanni"/>
    <s v="ITA1842"/>
    <s v="OPEN"/>
    <x v="189"/>
    <s v="ITA"/>
    <m/>
    <m/>
    <m/>
    <m/>
    <m/>
    <s v="FISCT"/>
    <s v="CESTFA"/>
  </r>
  <r>
    <x v="2447"/>
    <s v="Miccoli"/>
    <s v="Francesco Mattia"/>
    <s v="ITA3139"/>
    <s v="OPEN"/>
    <x v="112"/>
    <s v="ITA"/>
    <m/>
    <m/>
    <m/>
    <m/>
    <m/>
    <s v="FISCT"/>
    <s v="CESTFA"/>
  </r>
  <r>
    <x v="2448"/>
    <s v="Miccolupi"/>
    <s v="Vincenzo"/>
    <s v="ITA2488"/>
    <s v="OPEN"/>
    <x v="1"/>
    <s v="ITA"/>
    <m/>
    <m/>
    <m/>
    <m/>
    <m/>
    <s v="FISCT"/>
    <s v="CESTFA"/>
  </r>
  <r>
    <x v="2449"/>
    <s v="Michail"/>
    <s v="Argiris"/>
    <s v="GRE0743"/>
    <s v="VET"/>
    <x v="14"/>
    <s v="GRE"/>
    <m/>
    <m/>
    <m/>
    <m/>
    <m/>
    <s v="UHTF"/>
    <s v="CESTFA"/>
  </r>
  <r>
    <x v="2450"/>
    <s v="Michalatos"/>
    <s v="Panagiotis"/>
    <s v="GRE0036"/>
    <s v="VET"/>
    <x v="14"/>
    <s v="GRE"/>
    <m/>
    <m/>
    <m/>
    <m/>
    <m/>
    <s v="UHTF"/>
    <s v="CESTFA"/>
  </r>
  <r>
    <x v="2451"/>
    <s v="Michel"/>
    <s v="Andrew"/>
    <s v="CYP0047"/>
    <s v="VET"/>
    <x v="336"/>
    <s v="CYP"/>
    <m/>
    <m/>
    <m/>
    <m/>
    <m/>
    <s v="CYSTFA (Provisional)"/>
    <m/>
  </r>
  <r>
    <x v="2452"/>
    <s v="Micheletti"/>
    <s v="Oriano"/>
    <s v="SCO0064"/>
    <s v="VET"/>
    <x v="71"/>
    <s v="SCO"/>
    <m/>
    <m/>
    <m/>
    <m/>
    <m/>
    <s v="SSA"/>
    <s v="CESTFA"/>
  </r>
  <r>
    <x v="2453"/>
    <s v="Michilin"/>
    <s v="Mauro"/>
    <s v="BRA0078"/>
    <s v="OPEN"/>
    <x v="236"/>
    <s v="BRA"/>
    <m/>
    <m/>
    <m/>
    <m/>
    <m/>
    <s v="CBFM (Suspended)"/>
    <m/>
  </r>
  <r>
    <x v="2454"/>
    <s v="Michilin"/>
    <s v="Paulo"/>
    <s v="BRA0079"/>
    <s v="VET"/>
    <x v="236"/>
    <s v="BRA"/>
    <m/>
    <m/>
    <m/>
    <m/>
    <m/>
    <s v="CBFM (Suspended)"/>
    <m/>
  </r>
  <r>
    <x v="2455"/>
    <s v="Michopoulos"/>
    <s v="Evangelos"/>
    <s v="GRE0505"/>
    <s v="OPEN"/>
    <x v="14"/>
    <s v="GRE"/>
    <m/>
    <m/>
    <m/>
    <m/>
    <m/>
    <s v="UHTF"/>
    <s v="CESTFA"/>
  </r>
  <r>
    <x v="2456"/>
    <s v="Midoro"/>
    <s v="Marco"/>
    <s v="ITA0921"/>
    <s v="OPEN"/>
    <x v="87"/>
    <s v="ITA"/>
    <m/>
    <m/>
    <m/>
    <m/>
    <m/>
    <s v="FISCT"/>
    <s v="CESTFA"/>
  </r>
  <r>
    <x v="2457"/>
    <s v="Midoux"/>
    <s v="Ludovic"/>
    <s v="FRA0092"/>
    <s v="OPEN"/>
    <x v="51"/>
    <s v="FRA"/>
    <m/>
    <m/>
    <m/>
    <m/>
    <m/>
    <s v="3FTS"/>
    <s v="CESTFA"/>
  </r>
  <r>
    <x v="2458"/>
    <s v="Midoux"/>
    <s v="Rafaël"/>
    <s v="FRA0168"/>
    <s v="U16"/>
    <x v="51"/>
    <s v="FRA"/>
    <m/>
    <m/>
    <m/>
    <m/>
    <m/>
    <s v="3FTS"/>
    <s v="CESTFA"/>
  </r>
  <r>
    <x v="2459"/>
    <s v="Mienville"/>
    <s v="Bertrand"/>
    <s v="FRA0247"/>
    <s v="VET"/>
    <x v="337"/>
    <s v="FRA"/>
    <m/>
    <m/>
    <m/>
    <m/>
    <m/>
    <s v="3FTS"/>
    <s v="CESTFA"/>
  </r>
  <r>
    <x v="2460"/>
    <s v="Mifsud"/>
    <s v="Joseph"/>
    <s v="MLT0033"/>
    <s v="VET"/>
    <x v="104"/>
    <s v="MLT"/>
    <m/>
    <m/>
    <m/>
    <m/>
    <m/>
    <s v="MTFSA"/>
    <s v="CESTFA"/>
  </r>
  <r>
    <x v="2461"/>
    <s v="Mifsud"/>
    <s v="Vincent"/>
    <s v="MLT0036"/>
    <s v="VET"/>
    <x v="80"/>
    <s v="MLT"/>
    <m/>
    <m/>
    <m/>
    <m/>
    <m/>
    <s v="MTFSA"/>
    <s v="CESTFA"/>
  </r>
  <r>
    <x v="2462"/>
    <s v="Migliore"/>
    <s v="Yoan"/>
    <s v="BEL0463"/>
    <s v="OPEN"/>
    <x v="172"/>
    <s v="BEL"/>
    <m/>
    <m/>
    <m/>
    <m/>
    <m/>
    <m/>
    <m/>
  </r>
  <r>
    <x v="2463"/>
    <s v="Migliori"/>
    <s v="Alessandro"/>
    <s v="ITA1070"/>
    <s v="OPEN"/>
    <x v="55"/>
    <s v="ITA"/>
    <m/>
    <m/>
    <m/>
    <m/>
    <m/>
    <s v="FISCT"/>
    <s v="CESTFA"/>
  </r>
  <r>
    <x v="2464"/>
    <s v="Miguel"/>
    <s v="Norberto"/>
    <s v="POR0014"/>
    <s v="OPEN"/>
    <x v="235"/>
    <s v="POR"/>
    <m/>
    <m/>
    <m/>
    <m/>
    <m/>
    <s v="APS"/>
    <s v="CESTFA"/>
  </r>
  <r>
    <x v="2465"/>
    <s v="Mike"/>
    <s v="Jercich"/>
    <s v="USA0412"/>
    <s v="OPEN"/>
    <x v="219"/>
    <s v="USA"/>
    <m/>
    <m/>
    <m/>
    <m/>
    <m/>
    <s v="ASA"/>
    <s v="CONASTF"/>
  </r>
  <r>
    <x v="2466"/>
    <s v="Mikkelsen"/>
    <s v="Egon Lund"/>
    <s v="DEN0067"/>
    <s v="VET"/>
    <x v="10"/>
    <s v="DEN"/>
    <m/>
    <m/>
    <m/>
    <m/>
    <m/>
    <s v="DSBU (Provisional)"/>
    <m/>
  </r>
  <r>
    <x v="2467"/>
    <s v="Milan"/>
    <s v="Federico"/>
    <s v="ITA2094"/>
    <s v="VET"/>
    <x v="86"/>
    <s v="ITA"/>
    <m/>
    <m/>
    <m/>
    <m/>
    <m/>
    <s v="FISCT"/>
    <s v="CESTFA"/>
  </r>
  <r>
    <x v="2468"/>
    <s v="Milanese"/>
    <s v="Roberto"/>
    <s v="ITA3327"/>
    <s v="OPEN"/>
    <x v="209"/>
    <s v="ITA"/>
    <m/>
    <m/>
    <m/>
    <m/>
    <m/>
    <s v="FISCT"/>
    <s v="CESTFA"/>
  </r>
  <r>
    <x v="2469"/>
    <s v="Milani"/>
    <s v="Raffaello"/>
    <s v="ITA3052"/>
    <s v="VET"/>
    <x v="77"/>
    <s v="ITA"/>
    <m/>
    <m/>
    <m/>
    <m/>
    <m/>
    <s v="FISCT"/>
    <s v="CESTFA"/>
  </r>
  <r>
    <x v="2470"/>
    <s v="Milbo Hansen"/>
    <s v="Nadja"/>
    <s v="DEN0101"/>
    <s v="U16"/>
    <x v="10"/>
    <s v="DEN"/>
    <m/>
    <m/>
    <m/>
    <m/>
    <m/>
    <s v="DSBU (Provisional)"/>
    <m/>
  </r>
  <r>
    <x v="2471"/>
    <s v="Milei"/>
    <s v="Giampaolo"/>
    <s v="ITA1635"/>
    <s v="OPEN"/>
    <x v="76"/>
    <s v="ITA"/>
    <m/>
    <m/>
    <m/>
    <m/>
    <m/>
    <s v="FISCT"/>
    <s v="CESTFA"/>
  </r>
  <r>
    <x v="2472"/>
    <s v="Milessa"/>
    <s v="Christian"/>
    <s v="ITA3222"/>
    <s v="VET"/>
    <x v="89"/>
    <s v="ITA"/>
    <m/>
    <m/>
    <m/>
    <m/>
    <m/>
    <s v="FISCT"/>
    <s v="CESTFA"/>
  </r>
  <r>
    <x v="2473"/>
    <s v="Miliarakis"/>
    <s v="Evaggelos"/>
    <s v="GRE0417"/>
    <s v="VET"/>
    <x v="14"/>
    <s v="GRE"/>
    <m/>
    <m/>
    <m/>
    <m/>
    <m/>
    <s v="UHTF"/>
    <s v="CESTFA"/>
  </r>
  <r>
    <x v="2474"/>
    <s v="Milidonis"/>
    <s v="Grigoris"/>
    <s v="GRE0446"/>
    <s v="VET"/>
    <x v="14"/>
    <s v="GRE"/>
    <m/>
    <m/>
    <m/>
    <m/>
    <m/>
    <s v="UHTF"/>
    <s v="CESTFA"/>
  </r>
  <r>
    <x v="2475"/>
    <s v="Minnetti"/>
    <s v="Riccardo"/>
    <s v="ITA2049"/>
    <s v="VET"/>
    <x v="27"/>
    <s v="ITA"/>
    <m/>
    <m/>
    <m/>
    <m/>
    <m/>
    <s v="FISCT"/>
    <s v="CESTFA"/>
  </r>
  <r>
    <x v="2476"/>
    <s v="Minton"/>
    <s v="Brandon"/>
    <s v="USA0397"/>
    <s v="OPEN"/>
    <x v="208"/>
    <s v="USA"/>
    <m/>
    <m/>
    <m/>
    <m/>
    <m/>
    <s v="ASA"/>
    <s v="CONASTF"/>
  </r>
  <r>
    <x v="2477"/>
    <s v="Minty"/>
    <s v="Dave"/>
    <s v="SCO0060"/>
    <s v="VET"/>
    <x v="137"/>
    <s v="SCO"/>
    <m/>
    <m/>
    <m/>
    <m/>
    <m/>
    <s v="SSA"/>
    <s v="CESTFA"/>
  </r>
  <r>
    <x v="2478"/>
    <s v="Miotti"/>
    <s v="Fulvio"/>
    <s v="ITA3429"/>
    <s v="VET"/>
    <x v="25"/>
    <s v="ITA"/>
    <m/>
    <m/>
    <m/>
    <m/>
    <m/>
    <s v="FISCT"/>
    <s v="CESTFA"/>
  </r>
  <r>
    <x v="2479"/>
    <s v="Mishima"/>
    <s v="Mitsuki"/>
    <s v="JPN172"/>
    <s v="OPEN"/>
    <x v="39"/>
    <s v="JPN"/>
    <m/>
    <m/>
    <m/>
    <m/>
    <m/>
    <s v="JTFA"/>
    <s v="CASTFA"/>
  </r>
  <r>
    <x v="2480"/>
    <s v="Misiros"/>
    <s v="Nikolaos"/>
    <s v="GRE0511"/>
    <s v="OPEN"/>
    <x v="14"/>
    <s v="GRE"/>
    <m/>
    <m/>
    <m/>
    <m/>
    <m/>
    <s v="UHTF"/>
    <s v="CESTFA"/>
  </r>
  <r>
    <x v="2481"/>
    <s v="Mitchell"/>
    <s v="Colin"/>
    <s v="ENG0512"/>
    <s v="VET"/>
    <x v="14"/>
    <s v="ENG"/>
    <m/>
    <m/>
    <m/>
    <m/>
    <m/>
    <s v="ESA"/>
    <s v="CESTFA"/>
  </r>
  <r>
    <x v="2482"/>
    <s v="Mitellas"/>
    <s v="Marinos"/>
    <s v="CYP0049"/>
    <s v="U20"/>
    <x v="59"/>
    <s v="CYP"/>
    <m/>
    <m/>
    <m/>
    <m/>
    <m/>
    <s v="CYSTFA (Provisional)"/>
    <m/>
  </r>
  <r>
    <x v="2483"/>
    <s v="Mitrakopoulos"/>
    <s v="Kostas"/>
    <s v="GRE0157"/>
    <s v="OPEN"/>
    <x v="14"/>
    <s v="GRE"/>
    <m/>
    <m/>
    <m/>
    <m/>
    <m/>
    <s v="UHTF"/>
    <s v="CESTFA"/>
  </r>
  <r>
    <x v="2484"/>
    <s v="Mitropoulos"/>
    <s v="Theodoros"/>
    <s v="GRE0216"/>
    <s v="OPEN"/>
    <x v="14"/>
    <s v="GRE"/>
    <m/>
    <m/>
    <m/>
    <m/>
    <m/>
    <s v="UHTF"/>
    <s v="CESTFA"/>
  </r>
  <r>
    <x v="2485"/>
    <s v="Miyake"/>
    <s v="Makoto"/>
    <s v="JPN034"/>
    <s v="OPEN"/>
    <x v="39"/>
    <s v="JPN"/>
    <m/>
    <m/>
    <m/>
    <m/>
    <m/>
    <s v="JTFA"/>
    <s v="CASTFA"/>
  </r>
  <r>
    <x v="2486"/>
    <s v="Mochi"/>
    <s v="Manlio"/>
    <s v="ITA2677"/>
    <s v="VET"/>
    <x v="174"/>
    <s v="ITA"/>
    <m/>
    <m/>
    <m/>
    <m/>
    <m/>
    <s v="FISCT"/>
    <s v="CESTFA"/>
  </r>
  <r>
    <x v="2487"/>
    <s v="Modeste"/>
    <s v="Axel"/>
    <s v="FRA0020"/>
    <s v="VET"/>
    <x v="42"/>
    <s v="FRA"/>
    <m/>
    <m/>
    <m/>
    <m/>
    <m/>
    <s v="3FTS"/>
    <s v="CESTFA"/>
  </r>
  <r>
    <x v="2488"/>
    <s v="Modeste"/>
    <s v="Théo"/>
    <s v="FRA0025"/>
    <s v="OPEN"/>
    <x v="42"/>
    <s v="FRA"/>
    <m/>
    <m/>
    <m/>
    <m/>
    <m/>
    <s v="3FTS"/>
    <s v="CESTFA"/>
  </r>
  <r>
    <x v="2489"/>
    <s v="Modugno"/>
    <s v="Daniele"/>
    <s v="ITA3102"/>
    <s v="OPEN"/>
    <x v="29"/>
    <s v="ITA"/>
    <m/>
    <m/>
    <m/>
    <m/>
    <m/>
    <s v="FISCT"/>
    <s v="CESTFA"/>
  </r>
  <r>
    <x v="2490"/>
    <s v="Moen"/>
    <s v="Jan-Thomas"/>
    <s v="NOR0018"/>
    <s v="OPEN"/>
    <x v="269"/>
    <s v="NOR"/>
    <m/>
    <m/>
    <m/>
    <m/>
    <m/>
    <s v="NBFF (Suspended)"/>
    <m/>
  </r>
  <r>
    <x v="2491"/>
    <s v="Mohd Amirul"/>
    <s v="Rizal"/>
    <s v="SGP0122"/>
    <s v="U20"/>
    <x v="24"/>
    <s v="SGP"/>
    <m/>
    <m/>
    <m/>
    <m/>
    <m/>
    <s v="TFAS"/>
    <s v="CASTFA"/>
  </r>
  <r>
    <x v="2492"/>
    <s v="Mohd Anis"/>
    <s v="Amin"/>
    <s v="SGP0002"/>
    <s v="OPEN"/>
    <x v="23"/>
    <s v="SGP"/>
    <m/>
    <m/>
    <m/>
    <m/>
    <m/>
    <s v="TFAS"/>
    <s v="CASTFA"/>
  </r>
  <r>
    <x v="2493"/>
    <s v="Mohd Asyraf"/>
    <s v="Mohd Rizal"/>
    <s v="SGP0066"/>
    <s v="OPEN"/>
    <x v="24"/>
    <s v="SGP"/>
    <m/>
    <m/>
    <m/>
    <m/>
    <m/>
    <s v="TFAS"/>
    <s v="CASTFA"/>
  </r>
  <r>
    <x v="2494"/>
    <s v="Mohd Noor"/>
    <s v="Mohd Faruq"/>
    <s v="SGP0040"/>
    <s v="OPEN"/>
    <x v="259"/>
    <s v="SGP"/>
    <m/>
    <m/>
    <m/>
    <m/>
    <m/>
    <s v="TFAS"/>
    <s v="CASTFA"/>
  </r>
  <r>
    <x v="2495"/>
    <s v="Mohd Noor"/>
    <s v="Norizal"/>
    <s v="SGP0037"/>
    <s v="OPEN"/>
    <x v="259"/>
    <s v="SGP"/>
    <m/>
    <m/>
    <m/>
    <m/>
    <m/>
    <s v="TFAS"/>
    <s v="CASTFA"/>
  </r>
  <r>
    <x v="2496"/>
    <s v="Mohd Sabah"/>
    <s v="Noor Haikal"/>
    <s v="SGP0004"/>
    <s v="OPEN"/>
    <x v="23"/>
    <s v="SGP"/>
    <m/>
    <m/>
    <m/>
    <m/>
    <m/>
    <s v="TFAS"/>
    <s v="CASTFA"/>
  </r>
  <r>
    <x v="2497"/>
    <s v="Mohd Yusoff"/>
    <s v="Muhd Irshadullah"/>
    <s v="SGP0003"/>
    <s v="OPEN"/>
    <x v="23"/>
    <s v="SGP"/>
    <m/>
    <m/>
    <m/>
    <m/>
    <m/>
    <s v="TFAS"/>
    <s v="CASTFA"/>
  </r>
  <r>
    <x v="2498"/>
    <s v="Mohnish"/>
    <s v="Rajakumaran"/>
    <s v="MAS0007"/>
    <s v="OPEN"/>
    <x v="85"/>
    <s v="MAS"/>
    <m/>
    <m/>
    <m/>
    <m/>
    <m/>
    <m/>
    <m/>
  </r>
  <r>
    <x v="2499"/>
    <s v="Molina"/>
    <s v="João"/>
    <s v="BRA0061"/>
    <s v="OPEN"/>
    <x v="14"/>
    <s v="BRA"/>
    <m/>
    <m/>
    <m/>
    <m/>
    <m/>
    <s v="CBFM (Suspended)"/>
    <m/>
  </r>
  <r>
    <x v="2500"/>
    <s v="Molinari"/>
    <s v="Francesco"/>
    <s v="ITA2599"/>
    <s v="VET"/>
    <x v="56"/>
    <s v="ITA"/>
    <m/>
    <m/>
    <m/>
    <m/>
    <m/>
    <s v="FISCT"/>
    <s v="CESTFA"/>
  </r>
  <r>
    <x v="2501"/>
    <s v="Molinaro"/>
    <s v="Friedel"/>
    <s v="GER0043"/>
    <s v="VET"/>
    <x v="284"/>
    <s v="GER"/>
    <m/>
    <m/>
    <m/>
    <m/>
    <m/>
    <s v="DSTFB"/>
    <s v="CESTFA"/>
  </r>
  <r>
    <x v="2502"/>
    <s v="Molinaro"/>
    <s v="Marco"/>
    <s v="ITA3217"/>
    <s v="OPEN"/>
    <x v="187"/>
    <s v="ITA"/>
    <m/>
    <m/>
    <m/>
    <m/>
    <m/>
    <s v="FISCT"/>
    <s v="CESTFA"/>
  </r>
  <r>
    <x v="2503"/>
    <s v="Molinaro"/>
    <s v="Mario"/>
    <s v="GER0044"/>
    <s v="OPEN"/>
    <x v="284"/>
    <s v="GER"/>
    <m/>
    <m/>
    <m/>
    <m/>
    <m/>
    <s v="DSTFB"/>
    <s v="CESTFA"/>
  </r>
  <r>
    <x v="2504"/>
    <s v="Møller"/>
    <s v="Bertram"/>
    <s v="DEN0104"/>
    <s v="U16"/>
    <x v="10"/>
    <s v="DEN"/>
    <m/>
    <m/>
    <m/>
    <m/>
    <m/>
    <s v="DSBU (Provisional)"/>
    <m/>
  </r>
  <r>
    <x v="2505"/>
    <s v="Monchalin"/>
    <s v="Jérôme"/>
    <s v="FRA0224"/>
    <s v="OPEN"/>
    <x v="152"/>
    <s v="FRA"/>
    <m/>
    <m/>
    <m/>
    <m/>
    <m/>
    <s v="3FTS"/>
    <s v="CESTFA"/>
  </r>
  <r>
    <x v="2506"/>
    <s v="Monchalin"/>
    <s v="Tristan"/>
    <s v="FRA0230"/>
    <s v="U12"/>
    <x v="152"/>
    <s v="FRA"/>
    <m/>
    <m/>
    <m/>
    <m/>
    <m/>
    <s v="3FTS"/>
    <s v="CESTFA"/>
  </r>
  <r>
    <x v="2507"/>
    <s v="Mondo"/>
    <s v="Enrico"/>
    <s v="ITA1707"/>
    <s v="OPEN"/>
    <x v="195"/>
    <s v="ITA"/>
    <m/>
    <m/>
    <m/>
    <m/>
    <m/>
    <s v="FISCT"/>
    <s v="CESTFA"/>
  </r>
  <r>
    <x v="2508"/>
    <s v="Mondo"/>
    <s v="Valerio"/>
    <s v="ITA1708"/>
    <s v="OPEN"/>
    <x v="200"/>
    <s v="ITA"/>
    <m/>
    <m/>
    <m/>
    <m/>
    <m/>
    <s v="FISCT"/>
    <s v="CESTFA"/>
  </r>
  <r>
    <x v="2509"/>
    <s v="Monemvasitis"/>
    <s v="Dimitrios Ioannis"/>
    <s v="GRE0264"/>
    <s v="OPEN"/>
    <x v="14"/>
    <s v="GRE"/>
    <m/>
    <m/>
    <m/>
    <m/>
    <m/>
    <s v="UHTF"/>
    <s v="CESTFA"/>
  </r>
  <r>
    <x v="2510"/>
    <s v="Monemvasitis"/>
    <s v="Dimitrios Sarantos"/>
    <s v="GRE0265"/>
    <s v="U16"/>
    <x v="14"/>
    <s v="GRE"/>
    <m/>
    <m/>
    <m/>
    <m/>
    <m/>
    <s v="UHTF"/>
    <s v="CESTFA"/>
  </r>
  <r>
    <x v="2511"/>
    <s v="Monemvasitis"/>
    <s v="Tzanis"/>
    <s v="GRE0263"/>
    <s v="OPEN"/>
    <x v="14"/>
    <s v="GRE"/>
    <m/>
    <m/>
    <m/>
    <m/>
    <m/>
    <s v="UHTF"/>
    <s v="CESTFA"/>
  </r>
  <r>
    <x v="2512"/>
    <s v="Monge"/>
    <s v="Afonso"/>
    <s v="POR0126"/>
    <s v="U12"/>
    <x v="11"/>
    <s v="POR"/>
    <m/>
    <m/>
    <m/>
    <m/>
    <m/>
    <s v="APS"/>
    <s v="CESTFA"/>
  </r>
  <r>
    <x v="2513"/>
    <s v="Montabon"/>
    <s v="Frank"/>
    <s v="USA0145"/>
    <s v="VET"/>
    <x v="338"/>
    <s v="USA"/>
    <m/>
    <m/>
    <m/>
    <m/>
    <m/>
    <s v="ASA"/>
    <s v="CONASTF"/>
  </r>
  <r>
    <x v="2514"/>
    <s v="Montaguti"/>
    <s v="GianMaria"/>
    <s v="ITA3311"/>
    <s v="OPEN"/>
    <x v="98"/>
    <s v="ITA"/>
    <m/>
    <m/>
    <m/>
    <m/>
    <m/>
    <s v="FISCT"/>
    <s v="CESTFA"/>
  </r>
  <r>
    <x v="2515"/>
    <s v="Montanari"/>
    <s v="Alessandro"/>
    <s v="ITA1136"/>
    <s v="OPEN"/>
    <x v="118"/>
    <s v="ITA"/>
    <m/>
    <m/>
    <m/>
    <m/>
    <m/>
    <s v="FISCT"/>
    <s v="CESTFA"/>
  </r>
  <r>
    <x v="2516"/>
    <s v="Montaño"/>
    <s v="Alfonso"/>
    <s v="ESP0070"/>
    <s v="OPEN"/>
    <x v="31"/>
    <s v="ESP"/>
    <m/>
    <m/>
    <m/>
    <m/>
    <m/>
    <s v="AEFM"/>
    <s v="CESTFA"/>
  </r>
  <r>
    <x v="2517"/>
    <s v="Montaño"/>
    <s v="Antonio"/>
    <s v="ESP0069"/>
    <s v="VET"/>
    <x v="31"/>
    <s v="ESP"/>
    <m/>
    <m/>
    <m/>
    <m/>
    <m/>
    <s v="AEFM"/>
    <s v="CESTFA"/>
  </r>
  <r>
    <x v="2518"/>
    <s v="Montaño"/>
    <s v="Juan Antonio"/>
    <s v="ESP0593"/>
    <s v="U12"/>
    <x v="61"/>
    <s v="ESP"/>
    <m/>
    <m/>
    <m/>
    <m/>
    <m/>
    <s v="AEFM"/>
    <s v="CESTFA"/>
  </r>
  <r>
    <x v="2519"/>
    <s v="Montecalvo"/>
    <s v="Michelangelo"/>
    <s v="ITA2314"/>
    <s v="OPEN"/>
    <x v="46"/>
    <s v="ITA"/>
    <m/>
    <m/>
    <m/>
    <m/>
    <m/>
    <s v="FISCT"/>
    <s v="CESTFA"/>
  </r>
  <r>
    <x v="2520"/>
    <s v="Montefiori"/>
    <s v="Stefano"/>
    <s v="ITA0580"/>
    <s v="VET"/>
    <x v="224"/>
    <s v="ITA"/>
    <m/>
    <m/>
    <m/>
    <m/>
    <m/>
    <s v="FISCT"/>
    <s v="CESTFA"/>
  </r>
  <r>
    <x v="2521"/>
    <s v="Montefusco"/>
    <s v="Nicola"/>
    <s v="ITA2781"/>
    <s v="VET"/>
    <x v="76"/>
    <s v="ITA"/>
    <m/>
    <m/>
    <m/>
    <m/>
    <m/>
    <s v="FISCT"/>
    <s v="CESTFA"/>
  </r>
  <r>
    <x v="2522"/>
    <s v="Monteiro"/>
    <s v="Christophe"/>
    <s v="FRA0164"/>
    <s v="OPEN"/>
    <x v="42"/>
    <s v="FRA"/>
    <m/>
    <m/>
    <m/>
    <m/>
    <m/>
    <s v="3FTS"/>
    <s v="CESTFA"/>
  </r>
  <r>
    <x v="2523"/>
    <s v="Monteiro"/>
    <s v="Dilton"/>
    <s v="BRA0155"/>
    <s v="OPEN"/>
    <x v="263"/>
    <s v="BRA"/>
    <m/>
    <m/>
    <m/>
    <m/>
    <m/>
    <s v="CBFM (Suspended)"/>
    <m/>
  </r>
  <r>
    <x v="2524"/>
    <s v="Monteiro"/>
    <s v="Ruben"/>
    <s v="POR0048"/>
    <s v="OPEN"/>
    <x v="15"/>
    <s v="POR"/>
    <m/>
    <m/>
    <m/>
    <m/>
    <m/>
    <s v="APS"/>
    <s v="CESTFA"/>
  </r>
  <r>
    <x v="2525"/>
    <s v="Monteleone"/>
    <s v="Sergio"/>
    <s v="BRA0004"/>
    <s v="VET"/>
    <x v="214"/>
    <s v="BRA"/>
    <m/>
    <m/>
    <m/>
    <m/>
    <m/>
    <s v="CBFM (Suspended)"/>
    <m/>
  </r>
  <r>
    <x v="2526"/>
    <s v="Moore"/>
    <s v="Chris"/>
    <s v="CAN0024"/>
    <s v="OPEN"/>
    <x v="191"/>
    <s v="CAN"/>
    <m/>
    <m/>
    <m/>
    <m/>
    <m/>
    <s v="SCA"/>
    <m/>
  </r>
  <r>
    <x v="2527"/>
    <s v="Moore"/>
    <s v="Cian"/>
    <s v="IRL0015"/>
    <s v="U12"/>
    <x v="339"/>
    <s v="IRL"/>
    <m/>
    <m/>
    <m/>
    <m/>
    <m/>
    <s v="TFAI"/>
    <s v="CESTFA"/>
  </r>
  <r>
    <x v="2528"/>
    <s v="Moore"/>
    <s v="Fiona"/>
    <s v="IRL0014"/>
    <s v="U16"/>
    <x v="126"/>
    <s v="IRL"/>
    <m/>
    <m/>
    <m/>
    <m/>
    <m/>
    <s v="TFAI"/>
    <s v="CESTFA"/>
  </r>
  <r>
    <x v="2529"/>
    <s v="Moore"/>
    <s v="Gary"/>
    <s v="IRL0002"/>
    <s v="OPEN"/>
    <x v="339"/>
    <s v="IRL"/>
    <m/>
    <m/>
    <m/>
    <m/>
    <m/>
    <s v="TFAI"/>
    <s v="CESTFA"/>
  </r>
  <r>
    <x v="2530"/>
    <s v="Moore"/>
    <s v="Gerald"/>
    <s v="CAN0025"/>
    <s v="VET"/>
    <x v="191"/>
    <s v="CAN"/>
    <m/>
    <m/>
    <m/>
    <m/>
    <m/>
    <s v="SCA"/>
    <m/>
  </r>
  <r>
    <x v="2531"/>
    <s v="Moore"/>
    <s v="John"/>
    <s v="IRL0003"/>
    <s v="VET"/>
    <x v="126"/>
    <s v="IRL"/>
    <m/>
    <m/>
    <m/>
    <m/>
    <m/>
    <s v="TFAI"/>
    <s v="CESTFA"/>
  </r>
  <r>
    <x v="2532"/>
    <s v="Moore"/>
    <s v="Nicky"/>
    <s v="IRL0004"/>
    <s v="VET"/>
    <x v="126"/>
    <s v="IRL"/>
    <m/>
    <m/>
    <m/>
    <m/>
    <m/>
    <s v="TFAI"/>
    <s v="CESTFA"/>
  </r>
  <r>
    <x v="2533"/>
    <s v="Moraes"/>
    <s v="André Luiz"/>
    <s v="BRA0149"/>
    <s v="OPEN"/>
    <x v="214"/>
    <s v="BRA"/>
    <m/>
    <m/>
    <m/>
    <m/>
    <m/>
    <s v="CBFM (Suspended)"/>
    <m/>
  </r>
  <r>
    <x v="2534"/>
    <s v="Morandi"/>
    <s v="Gerardo"/>
    <s v="ITA2417"/>
    <s v="VET"/>
    <x v="187"/>
    <s v="ITA"/>
    <m/>
    <m/>
    <m/>
    <m/>
    <m/>
    <s v="FISCT"/>
    <s v="CESTFA"/>
  </r>
  <r>
    <x v="2535"/>
    <s v="Mørch"/>
    <s v="Magnus"/>
    <s v="DEN0111"/>
    <s v="U16"/>
    <x v="10"/>
    <s v="DEN"/>
    <m/>
    <m/>
    <m/>
    <m/>
    <m/>
    <s v="DSBU (Provisional)"/>
    <m/>
  </r>
  <r>
    <x v="2536"/>
    <s v="Moreira"/>
    <s v="Chris"/>
    <s v="CAN0048"/>
    <s v="OPEN"/>
    <x v="222"/>
    <s v="CAN"/>
    <m/>
    <m/>
    <m/>
    <m/>
    <m/>
    <s v="SCA"/>
    <m/>
  </r>
  <r>
    <x v="2537"/>
    <s v="Moreira"/>
    <s v="Erick"/>
    <s v="ESP0553"/>
    <s v="U16"/>
    <x v="171"/>
    <s v="ESP"/>
    <m/>
    <m/>
    <m/>
    <m/>
    <m/>
    <s v="AEFM"/>
    <s v="CESTFA"/>
  </r>
  <r>
    <x v="2538"/>
    <s v="Moreno Vico"/>
    <s v="Antonio"/>
    <s v="ESP0571"/>
    <s v="VET"/>
    <x v="148"/>
    <s v="ESP"/>
    <m/>
    <m/>
    <m/>
    <m/>
    <m/>
    <s v="AEFM"/>
    <s v="CESTFA"/>
  </r>
  <r>
    <x v="2539"/>
    <s v="Moreno Villegas"/>
    <s v="Otger"/>
    <s v="ESP0598"/>
    <s v="U12"/>
    <x v="64"/>
    <s v="ESP"/>
    <m/>
    <m/>
    <m/>
    <m/>
    <m/>
    <s v="AEFM"/>
    <s v="CESTFA"/>
  </r>
  <r>
    <x v="2540"/>
    <s v="Moreton"/>
    <s v="Stephen"/>
    <s v="ENG0484"/>
    <s v="VET"/>
    <x v="81"/>
    <s v="ENG"/>
    <m/>
    <m/>
    <m/>
    <m/>
    <m/>
    <s v="ESA"/>
    <s v="CESTFA"/>
  </r>
  <r>
    <x v="2541"/>
    <s v="Moretti"/>
    <s v="Leonardo"/>
    <s v="ITA0587"/>
    <s v="VET"/>
    <x v="77"/>
    <s v="ITA"/>
    <m/>
    <m/>
    <m/>
    <m/>
    <m/>
    <s v="FISCT"/>
    <s v="CESTFA"/>
  </r>
  <r>
    <x v="2542"/>
    <s v="Morfiadis"/>
    <s v="Konstantinos"/>
    <s v="GRE0821"/>
    <s v="OPEN"/>
    <x v="66"/>
    <s v="GRE"/>
    <m/>
    <m/>
    <m/>
    <m/>
    <m/>
    <s v="UHTF"/>
    <s v="CESTFA"/>
  </r>
  <r>
    <x v="2543"/>
    <s v="Morgan"/>
    <s v="Nigel"/>
    <s v="ENG0470"/>
    <s v="VET"/>
    <x v="216"/>
    <s v="ENG"/>
    <m/>
    <m/>
    <m/>
    <m/>
    <m/>
    <s v="ESA"/>
    <s v="CESTFA"/>
  </r>
  <r>
    <x v="2544"/>
    <s v="Morganelli"/>
    <s v="Rocco"/>
    <s v="ITA1443"/>
    <s v="OPEN"/>
    <x v="114"/>
    <s v="ITA"/>
    <m/>
    <m/>
    <m/>
    <m/>
    <m/>
    <s v="FISCT"/>
    <s v="CESTFA"/>
  </r>
  <r>
    <x v="2545"/>
    <s v="Mori"/>
    <s v="Daigo"/>
    <s v="JPN140"/>
    <s v="U16"/>
    <x v="340"/>
    <s v="JPN"/>
    <m/>
    <m/>
    <m/>
    <m/>
    <m/>
    <s v="JTFA"/>
    <s v="CASTFA"/>
  </r>
  <r>
    <x v="2546"/>
    <s v="Mori"/>
    <s v="Isshin"/>
    <s v="JPN141"/>
    <s v="U16"/>
    <x v="340"/>
    <s v="JPN"/>
    <m/>
    <m/>
    <m/>
    <m/>
    <m/>
    <s v="JTFA"/>
    <s v="CASTFA"/>
  </r>
  <r>
    <x v="2547"/>
    <s v="Mori"/>
    <s v="Michele"/>
    <s v="ITA2517"/>
    <s v="OPEN"/>
    <x v="38"/>
    <s v="ITA"/>
    <m/>
    <m/>
    <m/>
    <m/>
    <m/>
    <s v="FISCT"/>
    <s v="CESTFA"/>
  </r>
  <r>
    <x v="2548"/>
    <s v="Mori"/>
    <s v="Tatsuki"/>
    <s v="JPN154"/>
    <s v="U12"/>
    <x v="340"/>
    <s v="JPN"/>
    <m/>
    <m/>
    <m/>
    <m/>
    <m/>
    <s v="JTFA"/>
    <s v="CASTFA"/>
  </r>
  <r>
    <x v="2549"/>
    <s v="Morias"/>
    <s v="Alekos"/>
    <s v="GRE0195"/>
    <s v="OPEN"/>
    <x v="14"/>
    <s v="GRE"/>
    <m/>
    <m/>
    <m/>
    <m/>
    <m/>
    <s v="UHTF"/>
    <s v="CESTFA"/>
  </r>
  <r>
    <x v="2550"/>
    <s v="Moricz"/>
    <s v="Danilo"/>
    <s v="BRA0117"/>
    <s v="VET"/>
    <x v="94"/>
    <s v="BRA"/>
    <m/>
    <m/>
    <m/>
    <m/>
    <m/>
    <s v="CBFM (Suspended)"/>
    <m/>
  </r>
  <r>
    <x v="2551"/>
    <s v="Morier"/>
    <s v="Nicolas"/>
    <s v="FRA0221"/>
    <s v="VET"/>
    <x v="73"/>
    <s v="FRA"/>
    <m/>
    <m/>
    <m/>
    <m/>
    <m/>
    <s v="3FTS"/>
    <s v="CESTFA"/>
  </r>
  <r>
    <x v="2552"/>
    <s v="Morigi"/>
    <s v="Massimo"/>
    <s v="ITA3078"/>
    <s v="OPEN"/>
    <x v="224"/>
    <s v="ITA"/>
    <m/>
    <m/>
    <m/>
    <m/>
    <m/>
    <s v="FISCT"/>
    <s v="CESTFA"/>
  </r>
  <r>
    <x v="2553"/>
    <s v="Morioka"/>
    <s v="Nozomu"/>
    <s v="JPN183"/>
    <s v="VET"/>
    <x v="26"/>
    <s v="JPN"/>
    <m/>
    <m/>
    <m/>
    <m/>
    <m/>
    <s v="JTFA"/>
    <s v="CASTFA"/>
  </r>
  <r>
    <x v="2554"/>
    <s v="Moritake"/>
    <s v="Yoshiharu"/>
    <s v="JPN194"/>
    <s v="VET"/>
    <x v="307"/>
    <s v="JPN"/>
    <m/>
    <m/>
    <m/>
    <m/>
    <m/>
    <s v="JTFA"/>
    <s v="CASTFA"/>
  </r>
  <r>
    <x v="2555"/>
    <s v="Moro"/>
    <s v="Giovanni Maria"/>
    <s v="ITA1440"/>
    <s v="OPEN"/>
    <x v="230"/>
    <s v="ITA"/>
    <m/>
    <m/>
    <m/>
    <m/>
    <m/>
    <s v="FISCT"/>
    <s v="CESTFA"/>
  </r>
  <r>
    <x v="2556"/>
    <s v="Moro"/>
    <s v="Rodrigo"/>
    <s v="BRA0161"/>
    <s v="OPEN"/>
    <x v="207"/>
    <s v="BRA"/>
    <m/>
    <m/>
    <m/>
    <m/>
    <m/>
    <s v="CBFM (Suspended)"/>
    <m/>
  </r>
  <r>
    <x v="2557"/>
    <s v="Moros"/>
    <s v="Efstratios"/>
    <s v="GRE0247"/>
    <s v="U20"/>
    <x v="14"/>
    <s v="GRE"/>
    <m/>
    <m/>
    <m/>
    <m/>
    <m/>
    <s v="UHTF"/>
    <s v="CESTFA"/>
  </r>
  <r>
    <x v="2558"/>
    <s v="Moros"/>
    <s v="Konstantinos"/>
    <s v="GRE0072"/>
    <s v="OPEN"/>
    <x v="14"/>
    <s v="GRE"/>
    <m/>
    <m/>
    <m/>
    <m/>
    <m/>
    <s v="UHTF"/>
    <s v="CESTFA"/>
  </r>
  <r>
    <x v="2559"/>
    <s v="Morrison"/>
    <s v="Alistair"/>
    <s v="NIR0003"/>
    <s v="VET"/>
    <x v="72"/>
    <s v="NIR"/>
    <m/>
    <m/>
    <m/>
    <m/>
    <m/>
    <s v="NITFA"/>
    <s v="CESTFA"/>
  </r>
  <r>
    <x v="2560"/>
    <s v="Morrison"/>
    <s v="Andrew"/>
    <s v="NIR0004"/>
    <s v="OPEN"/>
    <x v="72"/>
    <s v="NIR"/>
    <m/>
    <m/>
    <m/>
    <m/>
    <m/>
    <s v="NITFA"/>
    <s v="CESTFA"/>
  </r>
  <r>
    <x v="2561"/>
    <s v="Morrison"/>
    <s v="Peter"/>
    <s v="NIR0005"/>
    <s v="OPEN"/>
    <x v="72"/>
    <s v="NIR"/>
    <m/>
    <m/>
    <m/>
    <m/>
    <m/>
    <s v="NITFA"/>
    <s v="CESTFA"/>
  </r>
  <r>
    <x v="2562"/>
    <s v="Morrison"/>
    <s v="Rory"/>
    <s v="NIR0024"/>
    <s v="VET"/>
    <x v="181"/>
    <s v="NIR"/>
    <m/>
    <m/>
    <m/>
    <m/>
    <m/>
    <s v="NITFA"/>
    <s v="CESTFA"/>
  </r>
  <r>
    <x v="2563"/>
    <s v="Morrow"/>
    <s v="Jude"/>
    <s v="NIR0031"/>
    <m/>
    <x v="181"/>
    <s v="NIR"/>
    <m/>
    <m/>
    <m/>
    <m/>
    <m/>
    <s v="NITFA"/>
    <s v="CESTFA"/>
  </r>
  <r>
    <x v="2564"/>
    <s v="Moschopoulos"/>
    <s v="Dimosthenis"/>
    <s v="GRE0706"/>
    <s v="OPEN"/>
    <x v="14"/>
    <s v="GRE"/>
    <m/>
    <m/>
    <m/>
    <m/>
    <m/>
    <s v="UHTF"/>
    <s v="CESTFA"/>
  </r>
  <r>
    <x v="2565"/>
    <s v="Moshidis"/>
    <s v="Nikolaos"/>
    <s v="GRE0202"/>
    <s v="OPEN"/>
    <x v="14"/>
    <s v="GRE"/>
    <m/>
    <m/>
    <m/>
    <m/>
    <m/>
    <s v="UHTF"/>
    <s v="CESTFA"/>
  </r>
  <r>
    <x v="2566"/>
    <s v="Mottet"/>
    <s v="Bruno"/>
    <s v="BEL0354"/>
    <s v="OPEN"/>
    <x v="241"/>
    <s v="BEL"/>
    <m/>
    <m/>
    <m/>
    <m/>
    <m/>
    <m/>
    <m/>
  </r>
  <r>
    <x v="2567"/>
    <s v="Mougis"/>
    <s v="Sophoklis"/>
    <s v="CYP0050"/>
    <s v="OPEN"/>
    <x v="59"/>
    <s v="CYP"/>
    <m/>
    <m/>
    <m/>
    <m/>
    <m/>
    <s v="CYSTFA (Provisional)"/>
    <m/>
  </r>
  <r>
    <x v="2568"/>
    <s v="Moura"/>
    <s v="Salvador"/>
    <s v="POR0230"/>
    <s v="U16"/>
    <x v="11"/>
    <s v="POR"/>
    <m/>
    <m/>
    <m/>
    <m/>
    <m/>
    <s v="APS"/>
    <s v="CESTFA"/>
  </r>
  <r>
    <x v="2569"/>
    <s v="Mpelanti"/>
    <s v="Evaggelia"/>
    <s v="GRE0335"/>
    <s v="OPEN"/>
    <x v="14"/>
    <s v="GRE"/>
    <m/>
    <m/>
    <m/>
    <m/>
    <m/>
    <s v="UHTF"/>
    <s v="CESTFA"/>
  </r>
  <r>
    <x v="2570"/>
    <s v="Mpitras"/>
    <s v="Antonis"/>
    <s v="GRE0278"/>
    <s v="OPEN"/>
    <x v="14"/>
    <s v="GRE"/>
    <m/>
    <m/>
    <m/>
    <m/>
    <m/>
    <s v="UHTF"/>
    <s v="CESTFA"/>
  </r>
  <r>
    <x v="2571"/>
    <s v="Mpougiouris"/>
    <s v="Ioannis"/>
    <s v="GRE0506"/>
    <s v="VET"/>
    <x v="62"/>
    <s v="GRE"/>
    <m/>
    <m/>
    <m/>
    <m/>
    <m/>
    <s v="UHTF"/>
    <s v="CESTFA"/>
  </r>
  <r>
    <x v="2572"/>
    <s v="Mpratis"/>
    <s v="Giannis"/>
    <s v="GRE0372"/>
    <s v="OPEN"/>
    <x v="14"/>
    <s v="GRE"/>
    <m/>
    <m/>
    <m/>
    <m/>
    <m/>
    <s v="UHTF"/>
    <s v="CESTFA"/>
  </r>
  <r>
    <x v="2573"/>
    <s v="Mudge"/>
    <s v="Conrad"/>
    <s v="FIS0011"/>
    <s v="VET"/>
    <x v="228"/>
    <s v="NZL"/>
    <m/>
    <m/>
    <m/>
    <m/>
    <m/>
    <s v="FISTF"/>
    <s v="FISTF"/>
  </r>
  <r>
    <x v="2574"/>
    <s v="Muhd Abdullah"/>
    <s v="Rusydi"/>
    <s v="SGP0054"/>
    <s v="OPEN"/>
    <x v="259"/>
    <s v="SGP"/>
    <m/>
    <m/>
    <m/>
    <m/>
    <m/>
    <s v="TFAS"/>
    <s v="CASTFA"/>
  </r>
  <r>
    <x v="2575"/>
    <s v="Muhd Farish"/>
    <s v="Aqhari, Bin Muhd Azhar"/>
    <s v="SGP0130"/>
    <s v="U20"/>
    <x v="24"/>
    <s v="SGP"/>
    <m/>
    <m/>
    <m/>
    <m/>
    <m/>
    <s v="TFAS"/>
    <s v="CASTFA"/>
  </r>
  <r>
    <x v="2576"/>
    <s v="Mukai"/>
    <s v="Kosuke"/>
    <s v="JPN117"/>
    <s v="OPEN"/>
    <x v="270"/>
    <s v="JPN"/>
    <m/>
    <m/>
    <m/>
    <m/>
    <m/>
    <s v="JTFA"/>
    <s v="CASTFA"/>
  </r>
  <r>
    <x v="2577"/>
    <s v="Mulasmajic"/>
    <s v="Edin"/>
    <s v="GER0107"/>
    <s v="VET"/>
    <x v="221"/>
    <s v="GER"/>
    <m/>
    <m/>
    <m/>
    <m/>
    <m/>
    <s v="DSTFB"/>
    <s v="CESTFA"/>
  </r>
  <r>
    <x v="2578"/>
    <s v="Mulasmajic"/>
    <s v="Ekrem"/>
    <s v="GER0116"/>
    <s v="U20"/>
    <x v="221"/>
    <s v="GER"/>
    <m/>
    <m/>
    <m/>
    <m/>
    <m/>
    <s v="DSTFB"/>
    <s v="CESTFA"/>
  </r>
  <r>
    <x v="2579"/>
    <s v="Mullen"/>
    <s v="Conan"/>
    <s v="USA0351"/>
    <s v="VET"/>
    <x v="208"/>
    <s v="USA"/>
    <m/>
    <m/>
    <m/>
    <m/>
    <m/>
    <s v="ASA"/>
    <s v="CONASTF"/>
  </r>
  <r>
    <x v="2580"/>
    <s v="Müller"/>
    <s v="André"/>
    <s v="GER0118"/>
    <s v="OPEN"/>
    <x v="5"/>
    <s v="GER"/>
    <m/>
    <m/>
    <m/>
    <m/>
    <m/>
    <s v="DSTFB"/>
    <s v="CESTFA"/>
  </r>
  <r>
    <x v="2581"/>
    <s v="Müller"/>
    <s v="Nico"/>
    <s v="GER0127"/>
    <s v="OPEN"/>
    <x v="169"/>
    <s v="GER"/>
    <m/>
    <m/>
    <m/>
    <m/>
    <m/>
    <s v="DSTFB"/>
    <s v="CESTFA"/>
  </r>
  <r>
    <x v="2582"/>
    <s v="Munafo'"/>
    <s v="Stefano"/>
    <s v="ITA3066"/>
    <s v="VET"/>
    <x v="71"/>
    <s v="ITA"/>
    <m/>
    <m/>
    <m/>
    <m/>
    <m/>
    <s v="FISCT"/>
    <s v="CESTFA"/>
  </r>
  <r>
    <x v="2583"/>
    <s v="Muñoz"/>
    <s v="Manuel"/>
    <s v="ESP0496"/>
    <s v="U20"/>
    <x v="123"/>
    <s v="ESP"/>
    <m/>
    <m/>
    <m/>
    <m/>
    <m/>
    <s v="AEFM"/>
    <s v="CESTFA"/>
  </r>
  <r>
    <x v="2584"/>
    <s v="Mura"/>
    <s v="Massimo"/>
    <s v="ITA1408"/>
    <s v="VET"/>
    <x v="161"/>
    <s v="ITA"/>
    <m/>
    <m/>
    <m/>
    <m/>
    <m/>
    <s v="FISCT"/>
    <s v="CESTFA"/>
  </r>
  <r>
    <x v="2585"/>
    <s v="Murabito"/>
    <s v="Pierpaolo"/>
    <s v="ITA1137"/>
    <s v="OPEN"/>
    <x v="188"/>
    <s v="ITA"/>
    <m/>
    <m/>
    <m/>
    <m/>
    <m/>
    <s v="FISCT"/>
    <s v="CESTFA"/>
  </r>
  <r>
    <x v="2586"/>
    <s v="Murabito"/>
    <s v="Samuele"/>
    <s v="ITA3279"/>
    <s v="U12"/>
    <x v="188"/>
    <s v="ITA"/>
    <m/>
    <m/>
    <m/>
    <m/>
    <m/>
    <s v="FISCT"/>
    <s v="CESTFA"/>
  </r>
  <r>
    <x v="2587"/>
    <s v="Muraille"/>
    <s v="Maxime"/>
    <s v="BEL0088"/>
    <s v="OPEN"/>
    <x v="45"/>
    <s v="BEL"/>
    <m/>
    <m/>
    <m/>
    <m/>
    <m/>
    <m/>
    <m/>
  </r>
  <r>
    <x v="2588"/>
    <s v="Murcilli"/>
    <s v="Claudio"/>
    <s v="ARG0026"/>
    <s v="VET"/>
    <x v="157"/>
    <s v="ARG"/>
    <m/>
    <m/>
    <m/>
    <m/>
    <m/>
    <s v="LAFM (Suspended)"/>
    <s v="CSAFM"/>
  </r>
  <r>
    <x v="2589"/>
    <s v="Murcilli"/>
    <s v="Renato"/>
    <s v="ARG0027"/>
    <s v="OPEN"/>
    <x v="157"/>
    <s v="ARG"/>
    <m/>
    <m/>
    <m/>
    <m/>
    <m/>
    <s v="LAFM (Suspended)"/>
    <s v="CSAFM"/>
  </r>
  <r>
    <x v="2590"/>
    <s v="Murphy"/>
    <s v="Jeff"/>
    <s v="IRL0023"/>
    <s v="VET"/>
    <x v="14"/>
    <s v="IRL"/>
    <m/>
    <m/>
    <m/>
    <m/>
    <m/>
    <s v="TFAI"/>
    <s v="CESTFA"/>
  </r>
  <r>
    <x v="2591"/>
    <s v="Musa"/>
    <s v="Mohd Bolkiah"/>
    <s v="SGP0100"/>
    <s v="OPEN"/>
    <x v="23"/>
    <s v="SGP"/>
    <m/>
    <m/>
    <m/>
    <m/>
    <m/>
    <s v="TFAS"/>
    <s v="CASTFA"/>
  </r>
  <r>
    <x v="2592"/>
    <s v="Mussato"/>
    <s v="Gian Luca"/>
    <s v="ITA2941"/>
    <s v="OPEN"/>
    <x v="119"/>
    <s v="ITA"/>
    <m/>
    <m/>
    <m/>
    <m/>
    <m/>
    <s v="FISCT"/>
    <s v="CESTFA"/>
  </r>
  <r>
    <x v="2593"/>
    <s v="Mussino"/>
    <s v="Filippo"/>
    <s v="ITA2492"/>
    <s v="OPEN"/>
    <x v="87"/>
    <s v="ITA"/>
    <m/>
    <m/>
    <m/>
    <m/>
    <m/>
    <s v="FISCT"/>
    <s v="CESTFA"/>
  </r>
  <r>
    <x v="2594"/>
    <s v="Musso"/>
    <s v="Marcel"/>
    <s v="ITA2240"/>
    <s v="U16"/>
    <x v="173"/>
    <s v="ITA"/>
    <m/>
    <m/>
    <m/>
    <m/>
    <m/>
    <s v="FISCT"/>
    <s v="CESTFA"/>
  </r>
  <r>
    <x v="2595"/>
    <s v="Mustacato"/>
    <s v="Armando"/>
    <s v="SUI027"/>
    <s v="VET"/>
    <x v="341"/>
    <s v="SUI"/>
    <m/>
    <m/>
    <m/>
    <m/>
    <m/>
    <m/>
    <m/>
  </r>
  <r>
    <x v="2596"/>
    <s v="Myge"/>
    <s v="Lars Tore"/>
    <s v="NOR0004"/>
    <s v="VET"/>
    <x v="5"/>
    <s v="NOR"/>
    <m/>
    <m/>
    <m/>
    <m/>
    <m/>
    <s v="NBFF (Suspended)"/>
    <m/>
  </r>
  <r>
    <x v="2597"/>
    <s v="Nakahara"/>
    <s v="Yuko"/>
    <s v="JPN022"/>
    <s v="VET"/>
    <x v="39"/>
    <s v="JPN"/>
    <m/>
    <m/>
    <m/>
    <m/>
    <m/>
    <s v="JTFA"/>
    <s v="CASTFA"/>
  </r>
  <r>
    <x v="2598"/>
    <s v="Nakai"/>
    <s v="Hidenori"/>
    <s v="JPN169"/>
    <s v="OPEN"/>
    <x v="39"/>
    <s v="JPN"/>
    <m/>
    <m/>
    <m/>
    <m/>
    <m/>
    <s v="JTFA"/>
    <s v="CASTFA"/>
  </r>
  <r>
    <x v="2599"/>
    <s v="Nanis"/>
    <s v="Alexandros"/>
    <s v="GRE0379"/>
    <s v="OPEN"/>
    <x v="14"/>
    <s v="GRE"/>
    <m/>
    <m/>
    <m/>
    <m/>
    <m/>
    <s v="UHTF"/>
    <s v="CESTFA"/>
  </r>
  <r>
    <x v="2600"/>
    <s v="Nanni"/>
    <s v="Mattia"/>
    <s v="ITA3062"/>
    <s v="OPEN"/>
    <x v="92"/>
    <s v="ITA"/>
    <m/>
    <m/>
    <m/>
    <m/>
    <m/>
    <s v="FISCT"/>
    <s v="CESTFA"/>
  </r>
  <r>
    <x v="2601"/>
    <s v="Nannini"/>
    <s v="Luiz"/>
    <s v="BRA0043"/>
    <s v="VET"/>
    <x v="14"/>
    <s v="BRA"/>
    <m/>
    <m/>
    <m/>
    <m/>
    <m/>
    <s v="CBFM (Suspended)"/>
    <m/>
  </r>
  <r>
    <x v="2602"/>
    <s v="Nanwani"/>
    <s v="Sunil"/>
    <s v="SGP0104"/>
    <s v="VET"/>
    <x v="4"/>
    <s v="SGP"/>
    <m/>
    <m/>
    <m/>
    <m/>
    <m/>
    <s v="TFAS"/>
    <s v="CASTFA"/>
  </r>
  <r>
    <x v="2603"/>
    <s v="Napolitano"/>
    <s v="Carmine"/>
    <s v="ITA0595"/>
    <s v="OPEN"/>
    <x v="156"/>
    <s v="ITA"/>
    <m/>
    <m/>
    <m/>
    <m/>
    <m/>
    <s v="FISCT"/>
    <s v="CESTFA"/>
  </r>
  <r>
    <x v="2604"/>
    <s v="Nappa"/>
    <s v="Vincenzo"/>
    <s v="ITA0600"/>
    <s v="VET"/>
    <x v="199"/>
    <s v="ITA"/>
    <m/>
    <m/>
    <m/>
    <m/>
    <m/>
    <s v="FISCT"/>
    <s v="CESTFA"/>
  </r>
  <r>
    <x v="2605"/>
    <s v="Nappini"/>
    <s v="Simone"/>
    <s v="ITA0601"/>
    <s v="OPEN"/>
    <x v="155"/>
    <s v="ITA"/>
    <m/>
    <m/>
    <m/>
    <m/>
    <m/>
    <s v="FISCT"/>
    <s v="CESTFA"/>
  </r>
  <r>
    <x v="2606"/>
    <s v="Naraindas"/>
    <s v="Raju"/>
    <s v="SGP0062"/>
    <s v="VET"/>
    <x v="4"/>
    <s v="SGP"/>
    <m/>
    <m/>
    <m/>
    <m/>
    <m/>
    <s v="TFAS"/>
    <s v="CASTFA"/>
  </r>
  <r>
    <x v="2607"/>
    <s v="Nardi"/>
    <s v="Alessio"/>
    <s v="ITA2158"/>
    <s v="OPEN"/>
    <x v="71"/>
    <s v="ITA"/>
    <m/>
    <m/>
    <m/>
    <m/>
    <m/>
    <s v="FISCT"/>
    <s v="CESTFA"/>
  </r>
  <r>
    <x v="2608"/>
    <s v="Narduche"/>
    <s v="Rodrigo"/>
    <s v="BRA0086"/>
    <s v="OPEN"/>
    <x v="236"/>
    <s v="BRA"/>
    <m/>
    <m/>
    <m/>
    <m/>
    <m/>
    <s v="CBFM (Suspended)"/>
    <m/>
  </r>
  <r>
    <x v="2609"/>
    <s v="Nardulli"/>
    <s v="Fabio"/>
    <s v="ITA2367"/>
    <s v="OPEN"/>
    <x v="110"/>
    <s v="ITA"/>
    <m/>
    <m/>
    <m/>
    <m/>
    <m/>
    <s v="FISCT"/>
    <s v="CESTFA"/>
  </r>
  <r>
    <x v="2610"/>
    <s v="Nascimento"/>
    <s v="Luis Carlos"/>
    <s v="BRA0116"/>
    <s v="VET"/>
    <x v="207"/>
    <s v="BRA"/>
    <m/>
    <m/>
    <m/>
    <m/>
    <m/>
    <s v="CBFM (Suspended)"/>
    <m/>
  </r>
  <r>
    <x v="2611"/>
    <s v="Naskos"/>
    <s v="Nikolaos"/>
    <s v="GRE0109"/>
    <s v="VET"/>
    <x v="30"/>
    <s v="GRE"/>
    <m/>
    <m/>
    <m/>
    <m/>
    <m/>
    <s v="UHTF"/>
    <s v="CESTFA"/>
  </r>
  <r>
    <x v="2612"/>
    <s v="Naso"/>
    <s v="Pasquale"/>
    <s v="ITA3369"/>
    <s v="OPEN"/>
    <x v="84"/>
    <s v="ITA"/>
    <m/>
    <m/>
    <m/>
    <m/>
    <m/>
    <s v="FISCT"/>
    <s v="CESTFA"/>
  </r>
  <r>
    <x v="2613"/>
    <s v="Nasri"/>
    <s v="Ali"/>
    <s v="ITA2337"/>
    <s v="VET"/>
    <x v="163"/>
    <s v="ITA"/>
    <m/>
    <m/>
    <m/>
    <m/>
    <m/>
    <s v="FISCT"/>
    <s v="CESTFA"/>
  </r>
  <r>
    <x v="2614"/>
    <s v="Nasri"/>
    <s v="Enea"/>
    <s v="ITA2339"/>
    <s v="U16"/>
    <x v="163"/>
    <s v="ITA"/>
    <m/>
    <m/>
    <m/>
    <m/>
    <m/>
    <s v="FISCT"/>
    <s v="CESTFA"/>
  </r>
  <r>
    <x v="2615"/>
    <s v="Nastasi"/>
    <s v="Massimiliano"/>
    <s v="ITA0603"/>
    <s v="VET"/>
    <x v="104"/>
    <s v="ITA"/>
    <m/>
    <m/>
    <m/>
    <m/>
    <m/>
    <s v="FISCT"/>
    <s v="CESTFA"/>
  </r>
  <r>
    <x v="2616"/>
    <s v="Naszalyi"/>
    <s v="Eric"/>
    <s v="FRA0014"/>
    <s v="VET"/>
    <x v="42"/>
    <s v="FRA"/>
    <m/>
    <m/>
    <m/>
    <m/>
    <m/>
    <s v="3FTS"/>
    <s v="CESTFA"/>
  </r>
  <r>
    <x v="2617"/>
    <s v="Naszalyi"/>
    <s v="Paul"/>
    <s v="FRA0026"/>
    <s v="OPEN"/>
    <x v="42"/>
    <s v="FRA"/>
    <m/>
    <m/>
    <m/>
    <m/>
    <m/>
    <s v="3FTS"/>
    <s v="CESTFA"/>
  </r>
  <r>
    <x v="2618"/>
    <s v="Natale"/>
    <s v="Carmelo"/>
    <s v="ITA2173"/>
    <s v="OPEN"/>
    <x v="195"/>
    <s v="ITA"/>
    <m/>
    <m/>
    <m/>
    <m/>
    <m/>
    <s v="FISCT"/>
    <s v="CESTFA"/>
  </r>
  <r>
    <x v="2619"/>
    <s v="Natale"/>
    <s v="Paolo"/>
    <s v="ITA1003"/>
    <s v="VET"/>
    <x v="147"/>
    <s v="ITA"/>
    <m/>
    <m/>
    <m/>
    <m/>
    <m/>
    <s v="FISCT"/>
    <s v="CESTFA"/>
  </r>
  <r>
    <x v="2620"/>
    <s v="Nativo"/>
    <s v="Massimo"/>
    <s v="ITA2385"/>
    <s v="OPEN"/>
    <x v="44"/>
    <s v="ITA"/>
    <m/>
    <m/>
    <m/>
    <m/>
    <m/>
    <s v="FISCT"/>
    <s v="CESTFA"/>
  </r>
  <r>
    <x v="2621"/>
    <s v="Natoli"/>
    <s v="Alessandro"/>
    <s v="ITA0604"/>
    <s v="OPEN"/>
    <x v="40"/>
    <s v="ITA"/>
    <m/>
    <m/>
    <m/>
    <m/>
    <m/>
    <s v="FISCT"/>
    <s v="CESTFA"/>
  </r>
  <r>
    <x v="2622"/>
    <s v="Natoli"/>
    <s v="Cesare"/>
    <s v="ITA0605"/>
    <s v="VET"/>
    <x v="40"/>
    <s v="ITA"/>
    <m/>
    <m/>
    <m/>
    <m/>
    <m/>
    <s v="FISCT"/>
    <s v="CESTFA"/>
  </r>
  <r>
    <x v="2623"/>
    <s v="Natoli"/>
    <s v="Riccardo"/>
    <s v="ITA1218"/>
    <s v="U20"/>
    <x v="40"/>
    <s v="ITA"/>
    <m/>
    <m/>
    <m/>
    <m/>
    <m/>
    <s v="FISCT"/>
    <s v="CESTFA"/>
  </r>
  <r>
    <x v="2624"/>
    <s v="Navarra"/>
    <s v="Giovanni"/>
    <s v="ITA1784"/>
    <s v="VET"/>
    <x v="173"/>
    <s v="ITA"/>
    <m/>
    <m/>
    <m/>
    <m/>
    <m/>
    <s v="FISCT"/>
    <s v="CESTFA"/>
  </r>
  <r>
    <x v="2625"/>
    <s v="Navarra"/>
    <s v="Orlando"/>
    <s v="ITA1783"/>
    <s v="VET"/>
    <x v="173"/>
    <s v="ITA"/>
    <m/>
    <m/>
    <m/>
    <m/>
    <m/>
    <s v="FISCT"/>
    <s v="CESTFA"/>
  </r>
  <r>
    <x v="2626"/>
    <s v="Navridis"/>
    <s v="Dimitrios"/>
    <s v="GRE0467"/>
    <s v="OPEN"/>
    <x v="14"/>
    <s v="GRE"/>
    <m/>
    <m/>
    <m/>
    <m/>
    <m/>
    <s v="UHTF"/>
    <s v="CESTFA"/>
  </r>
  <r>
    <x v="2627"/>
    <s v="Nefi"/>
    <s v="Alessandro"/>
    <s v="ITA2469"/>
    <s v="VET"/>
    <x v="233"/>
    <s v="ITA"/>
    <m/>
    <m/>
    <m/>
    <m/>
    <m/>
    <s v="FISCT"/>
    <s v="CESTFA"/>
  </r>
  <r>
    <x v="2628"/>
    <s v="Neri"/>
    <s v="Alessandro"/>
    <s v="ITA0607"/>
    <s v="OPEN"/>
    <x v="33"/>
    <s v="ITA"/>
    <m/>
    <m/>
    <m/>
    <m/>
    <m/>
    <s v="FISCT"/>
    <s v="CESTFA"/>
  </r>
  <r>
    <x v="2629"/>
    <s v="Neri"/>
    <s v="Fabrizio"/>
    <s v="ITA0609"/>
    <s v="VET"/>
    <x v="155"/>
    <s v="ITA"/>
    <m/>
    <m/>
    <m/>
    <m/>
    <m/>
    <s v="FISCT"/>
    <s v="CESTFA"/>
  </r>
  <r>
    <x v="2630"/>
    <s v="Neto"/>
    <s v="Demetrio"/>
    <s v="BRA0080"/>
    <s v="OPEN"/>
    <x v="94"/>
    <s v="BRA"/>
    <m/>
    <m/>
    <m/>
    <m/>
    <m/>
    <s v="CBFM (Suspended)"/>
    <m/>
  </r>
  <r>
    <x v="2631"/>
    <s v="Netto"/>
    <s v="José"/>
    <s v="BRA0039"/>
    <s v="OPEN"/>
    <x v="14"/>
    <s v="BRA"/>
    <m/>
    <m/>
    <m/>
    <m/>
    <m/>
    <s v="CBFM (Suspended)"/>
    <m/>
  </r>
  <r>
    <x v="2632"/>
    <s v="Neves"/>
    <s v="Luís"/>
    <s v="POR0170"/>
    <s v="VET"/>
    <x v="8"/>
    <s v="POR"/>
    <m/>
    <m/>
    <m/>
    <m/>
    <m/>
    <s v="APS"/>
    <s v="CESTFA"/>
  </r>
  <r>
    <x v="2633"/>
    <s v="Newton"/>
    <s v="Raoul"/>
    <s v="WAL0049"/>
    <s v="VET"/>
    <x v="165"/>
    <s v="WAL"/>
    <m/>
    <m/>
    <m/>
    <m/>
    <m/>
    <s v="WSTFA"/>
    <s v="CESTFA"/>
  </r>
  <r>
    <x v="2634"/>
    <s v="Nezis"/>
    <s v="Pavlos"/>
    <s v="GRE0386"/>
    <s v="OPEN"/>
    <x v="14"/>
    <s v="GRE"/>
    <m/>
    <m/>
    <m/>
    <m/>
    <m/>
    <s v="UHTF"/>
    <s v="CESTFA"/>
  </r>
  <r>
    <x v="2635"/>
    <s v="Ng"/>
    <s v="Benny"/>
    <s v="SGP0097"/>
    <s v="VET"/>
    <x v="70"/>
    <s v="SGP"/>
    <m/>
    <m/>
    <m/>
    <m/>
    <m/>
    <s v="TFAS"/>
    <s v="CASTFA"/>
  </r>
  <r>
    <x v="2636"/>
    <s v="Ng"/>
    <s v="Tiong Hian"/>
    <s v="SGP0026"/>
    <s v="OPEN"/>
    <x v="23"/>
    <s v="SGP"/>
    <m/>
    <m/>
    <m/>
    <m/>
    <m/>
    <s v="TFAS"/>
    <s v="CASTFA"/>
  </r>
  <r>
    <x v="2637"/>
    <s v="Ng"/>
    <s v="Yong An, Gary"/>
    <s v="SGP0145"/>
    <s v="OPEN"/>
    <x v="24"/>
    <s v="SGP"/>
    <m/>
    <m/>
    <m/>
    <m/>
    <m/>
    <s v="TFAS"/>
    <s v="CASTFA"/>
  </r>
  <r>
    <x v="2638"/>
    <s v="Niavi"/>
    <s v="Marianna"/>
    <s v="GRE0363"/>
    <s v="OPEN"/>
    <x v="14"/>
    <s v="GRE"/>
    <m/>
    <m/>
    <m/>
    <m/>
    <m/>
    <s v="UHTF"/>
    <s v="CESTFA"/>
  </r>
  <r>
    <x v="2639"/>
    <s v="Niavis"/>
    <s v="Alexandros"/>
    <s v="GRE0353"/>
    <s v="OPEN"/>
    <x v="14"/>
    <s v="GRE"/>
    <m/>
    <m/>
    <m/>
    <m/>
    <m/>
    <s v="UHTF"/>
    <s v="CESTFA"/>
  </r>
  <r>
    <x v="2640"/>
    <s v="Niavis"/>
    <s v="Giorgos"/>
    <s v="GRE0150"/>
    <s v="OPEN"/>
    <x v="78"/>
    <s v="GRE"/>
    <m/>
    <m/>
    <m/>
    <m/>
    <m/>
    <s v="UHTF"/>
    <s v="CESTFA"/>
  </r>
  <r>
    <x v="2641"/>
    <s v="Nicastro"/>
    <s v="Marco"/>
    <s v="ITA2353"/>
    <s v="VET"/>
    <x v="240"/>
    <s v="ITA"/>
    <m/>
    <m/>
    <m/>
    <m/>
    <m/>
    <s v="FISCT"/>
    <s v="CESTFA"/>
  </r>
  <r>
    <x v="2642"/>
    <s v="Nicchi"/>
    <s v="Vittorio"/>
    <s v="ITA0614"/>
    <s v="VET"/>
    <x v="213"/>
    <s v="ITA"/>
    <m/>
    <m/>
    <m/>
    <m/>
    <m/>
    <s v="FISCT"/>
    <s v="CESTFA"/>
  </r>
  <r>
    <x v="2643"/>
    <s v="Nicholls"/>
    <s v="Dan"/>
    <s v="ENG0521"/>
    <s v="OPEN"/>
    <x v="197"/>
    <s v="ENG"/>
    <m/>
    <m/>
    <m/>
    <m/>
    <m/>
    <s v="ESA"/>
    <s v="CESTFA"/>
  </r>
  <r>
    <x v="2644"/>
    <s v="Nicol"/>
    <s v="Colin"/>
    <s v="SCO0066"/>
    <s v="VET"/>
    <x v="137"/>
    <s v="SCO"/>
    <m/>
    <m/>
    <m/>
    <m/>
    <m/>
    <s v="SSA"/>
    <s v="CESTFA"/>
  </r>
  <r>
    <x v="2645"/>
    <s v="Nicolau"/>
    <s v="Christos"/>
    <s v="CYP0011"/>
    <s v="OPEN"/>
    <x v="59"/>
    <s v="CYP"/>
    <m/>
    <m/>
    <m/>
    <m/>
    <m/>
    <s v="CYSTFA (Provisional)"/>
    <m/>
  </r>
  <r>
    <x v="2646"/>
    <s v="Nicoletti"/>
    <s v="Riccardo"/>
    <s v="ITA2468"/>
    <s v="VET"/>
    <x v="173"/>
    <s v="ITA"/>
    <m/>
    <m/>
    <m/>
    <m/>
    <m/>
    <s v="FISCT"/>
    <s v="CESTFA"/>
  </r>
  <r>
    <x v="2647"/>
    <s v="Nicosia"/>
    <s v="Ferdinando"/>
    <s v="ITA3409"/>
    <s v="OPEN"/>
    <x v="209"/>
    <s v="ITA"/>
    <m/>
    <m/>
    <m/>
    <m/>
    <m/>
    <s v="FISCT"/>
    <s v="CESTFA"/>
  </r>
  <r>
    <x v="2648"/>
    <s v="Nidriotis"/>
    <s v="Dimitrios"/>
    <s v="GRE0548"/>
    <s v="OPEN"/>
    <x v="14"/>
    <s v="GRE"/>
    <m/>
    <m/>
    <m/>
    <m/>
    <m/>
    <s v="UHTF"/>
    <s v="CESTFA"/>
  </r>
  <r>
    <x v="2649"/>
    <s v="Nidriotis"/>
    <s v="Georgios"/>
    <s v="GRE0547"/>
    <s v="OPEN"/>
    <x v="14"/>
    <s v="GRE"/>
    <m/>
    <m/>
    <m/>
    <m/>
    <m/>
    <s v="UHTF"/>
    <s v="CESTFA"/>
  </r>
  <r>
    <x v="2650"/>
    <s v="Niedzielska"/>
    <s v="Aleksandra"/>
    <s v="FIS0003"/>
    <s v="OPEN"/>
    <x v="342"/>
    <s v="POL"/>
    <m/>
    <m/>
    <m/>
    <m/>
    <m/>
    <s v="FISTF"/>
    <s v="FISTF"/>
  </r>
  <r>
    <x v="2651"/>
    <s v="Nikhil"/>
    <s v="Gill Thesan"/>
    <s v="MAS0008"/>
    <s v="OPEN"/>
    <x v="85"/>
    <s v="MAS"/>
    <m/>
    <m/>
    <m/>
    <m/>
    <m/>
    <m/>
    <m/>
  </r>
  <r>
    <x v="2652"/>
    <s v="Nikolaidis"/>
    <s v="Giannis"/>
    <s v="GRE0704"/>
    <s v="VET"/>
    <x v="220"/>
    <s v="GRE"/>
    <m/>
    <m/>
    <m/>
    <m/>
    <m/>
    <s v="UHTF"/>
    <s v="CESTFA"/>
  </r>
  <r>
    <x v="2653"/>
    <s v="Nikolau"/>
    <s v="Marios"/>
    <s v="CYP0045"/>
    <s v="OPEN"/>
    <x v="59"/>
    <s v="CYP"/>
    <m/>
    <m/>
    <m/>
    <m/>
    <m/>
    <s v="CYSTFA (Provisional)"/>
    <m/>
  </r>
  <r>
    <x v="2654"/>
    <s v="Nikolopoulos"/>
    <s v="Giannis"/>
    <s v="GRE0074"/>
    <s v="OPEN"/>
    <x v="14"/>
    <s v="GRE"/>
    <m/>
    <m/>
    <m/>
    <m/>
    <m/>
    <s v="UHTF"/>
    <s v="CESTFA"/>
  </r>
  <r>
    <x v="2655"/>
    <s v="Nikou"/>
    <s v="Athanasios"/>
    <s v="GRE0362"/>
    <s v="OPEN"/>
    <x v="14"/>
    <s v="GRE"/>
    <m/>
    <m/>
    <m/>
    <m/>
    <m/>
    <s v="UHTF"/>
    <s v="CESTFA"/>
  </r>
  <r>
    <x v="2656"/>
    <s v="Nishi"/>
    <s v="Manabu"/>
    <s v="JPN162"/>
    <s v="VET"/>
    <x v="340"/>
    <s v="JPN"/>
    <m/>
    <m/>
    <m/>
    <m/>
    <m/>
    <s v="JTFA"/>
    <s v="CASTFA"/>
  </r>
  <r>
    <x v="2657"/>
    <s v="Nishi"/>
    <s v="Miaki"/>
    <s v="JPN163"/>
    <s v="VET"/>
    <x v="340"/>
    <s v="JPN"/>
    <m/>
    <m/>
    <m/>
    <m/>
    <m/>
    <s v="JTFA"/>
    <s v="CASTFA"/>
  </r>
  <r>
    <x v="2658"/>
    <s v="Nitis"/>
    <s v="Stelios"/>
    <s v="GRE0409"/>
    <s v="VET"/>
    <x v="14"/>
    <s v="GRE"/>
    <m/>
    <m/>
    <m/>
    <m/>
    <m/>
    <s v="UHTF"/>
    <s v="CESTFA"/>
  </r>
  <r>
    <x v="2659"/>
    <s v="Nitis"/>
    <s v="Vasilios"/>
    <s v="GRE0410"/>
    <s v="OPEN"/>
    <x v="14"/>
    <s v="GRE"/>
    <m/>
    <m/>
    <m/>
    <m/>
    <m/>
    <s v="UHTF"/>
    <s v="CESTFA"/>
  </r>
  <r>
    <x v="2660"/>
    <s v="Nixdorf"/>
    <s v="Michael"/>
    <s v="GER0156"/>
    <s v="VET"/>
    <x v="169"/>
    <s v="GER"/>
    <m/>
    <m/>
    <m/>
    <m/>
    <m/>
    <s v="DSTFB"/>
    <s v="CESTFA"/>
  </r>
  <r>
    <x v="2661"/>
    <s v="Nocchi"/>
    <s v="Silvio"/>
    <s v="ITA2514"/>
    <s v="OPEN"/>
    <x v="38"/>
    <s v="ITA"/>
    <m/>
    <m/>
    <m/>
    <m/>
    <m/>
    <s v="FISCT"/>
    <s v="CESTFA"/>
  </r>
  <r>
    <x v="2662"/>
    <s v="Noel"/>
    <s v="Jean-Maurice"/>
    <s v="FRA0280"/>
    <s v="OPEN"/>
    <x v="325"/>
    <s v="FRA"/>
    <m/>
    <m/>
    <m/>
    <m/>
    <m/>
    <s v="3FTS"/>
    <s v="CESTFA"/>
  </r>
  <r>
    <x v="2663"/>
    <s v="Noguera"/>
    <s v="Juan"/>
    <s v="ESP0040"/>
    <s v="OPEN"/>
    <x v="156"/>
    <s v="ESP"/>
    <m/>
    <m/>
    <m/>
    <m/>
    <m/>
    <s v="AEFM"/>
    <s v="CESTFA"/>
  </r>
  <r>
    <x v="2664"/>
    <s v="Nolizam"/>
    <s v="Majee"/>
    <s v="FIS0006"/>
    <s v="VET"/>
    <x v="343"/>
    <s v="INA"/>
    <m/>
    <m/>
    <m/>
    <m/>
    <m/>
    <s v="FISTF"/>
    <s v="FISTF"/>
  </r>
  <r>
    <x v="2665"/>
    <s v="Nomikos"/>
    <s v="Aris"/>
    <s v="GRE0257"/>
    <s v="OPEN"/>
    <x v="14"/>
    <s v="GRE"/>
    <m/>
    <m/>
    <m/>
    <m/>
    <m/>
    <s v="UHTF"/>
    <s v="CESTFA"/>
  </r>
  <r>
    <x v="2666"/>
    <s v="Nomikos"/>
    <s v="Vasileios"/>
    <s v="GRE0794"/>
    <s v="OPEN"/>
    <x v="14"/>
    <s v="GRE"/>
    <m/>
    <m/>
    <m/>
    <m/>
    <m/>
    <s v="UHTF"/>
    <s v="CESTFA"/>
  </r>
  <r>
    <x v="2667"/>
    <s v="Nompari"/>
    <s v="Filippo"/>
    <s v="ITA2526"/>
    <s v="OPEN"/>
    <x v="139"/>
    <s v="ITA"/>
    <m/>
    <m/>
    <m/>
    <m/>
    <m/>
    <s v="FISCT"/>
    <s v="CESTFA"/>
  </r>
  <r>
    <x v="2668"/>
    <s v="Norazam"/>
    <s v="Mohd Haikel"/>
    <s v="SGP0058"/>
    <s v="OPEN"/>
    <x v="259"/>
    <s v="SGP"/>
    <m/>
    <m/>
    <m/>
    <m/>
    <m/>
    <s v="TFAS"/>
    <s v="CASTFA"/>
  </r>
  <r>
    <x v="2669"/>
    <s v="Nordjore"/>
    <s v="Sondre"/>
    <s v="NOR0007"/>
    <s v="OPEN"/>
    <x v="151"/>
    <s v="NOR"/>
    <m/>
    <m/>
    <m/>
    <m/>
    <m/>
    <s v="NBFF (Suspended)"/>
    <m/>
  </r>
  <r>
    <x v="2670"/>
    <s v="Noronha"/>
    <s v="Nuno"/>
    <s v="POR0015"/>
    <s v="VET"/>
    <x v="15"/>
    <s v="POR"/>
    <m/>
    <m/>
    <m/>
    <m/>
    <m/>
    <s v="APS"/>
    <s v="CESTFA"/>
  </r>
  <r>
    <x v="2671"/>
    <s v="Nørregaard"/>
    <s v="Stephan"/>
    <s v="DEN0051"/>
    <s v="OPEN"/>
    <x v="10"/>
    <s v="DEN"/>
    <m/>
    <m/>
    <m/>
    <m/>
    <m/>
    <s v="DSBU (Provisional)"/>
    <m/>
  </r>
  <r>
    <x v="2672"/>
    <s v="Nousios"/>
    <s v="Vasilis"/>
    <s v="GRE0148"/>
    <s v="OPEN"/>
    <x v="78"/>
    <s v="GRE"/>
    <m/>
    <m/>
    <m/>
    <m/>
    <m/>
    <s v="UHTF"/>
    <s v="CESTFA"/>
  </r>
  <r>
    <x v="2673"/>
    <s v="Novi"/>
    <s v="Massimo"/>
    <s v="ITA1316"/>
    <s v="VET"/>
    <x v="170"/>
    <s v="ITA"/>
    <m/>
    <m/>
    <m/>
    <m/>
    <m/>
    <s v="FISCT"/>
    <s v="CESTFA"/>
  </r>
  <r>
    <x v="2674"/>
    <s v="Novotny"/>
    <s v="Martin"/>
    <s v="CZE0012"/>
    <s v="VET"/>
    <x v="251"/>
    <s v="CZE"/>
    <m/>
    <m/>
    <m/>
    <m/>
    <m/>
    <s v="CTSU (Suspended)"/>
    <m/>
  </r>
  <r>
    <x v="2675"/>
    <s v="Ntais"/>
    <s v="Ilias"/>
    <s v="GRE0773"/>
    <s v="U16"/>
    <x v="14"/>
    <s v="GRE"/>
    <m/>
    <m/>
    <m/>
    <m/>
    <m/>
    <s v="UHTF"/>
    <s v="CESTFA"/>
  </r>
  <r>
    <x v="2676"/>
    <s v="Ntais"/>
    <s v="Nikolaos"/>
    <s v="GRE0772"/>
    <s v="U12"/>
    <x v="14"/>
    <s v="GRE"/>
    <m/>
    <m/>
    <m/>
    <m/>
    <m/>
    <s v="UHTF"/>
    <s v="CESTFA"/>
  </r>
  <r>
    <x v="2677"/>
    <s v="Ntakas"/>
    <s v="Ioannis"/>
    <s v="GRE0012"/>
    <s v="OPEN"/>
    <x v="14"/>
    <s v="GRE"/>
    <m/>
    <m/>
    <m/>
    <m/>
    <m/>
    <s v="UHTF"/>
    <s v="CESTFA"/>
  </r>
  <r>
    <x v="2678"/>
    <s v="Nteros"/>
    <s v="Andreas"/>
    <s v="GRE0075"/>
    <s v="OPEN"/>
    <x v="14"/>
    <s v="GRE"/>
    <m/>
    <m/>
    <m/>
    <m/>
    <m/>
    <s v="UHTF"/>
    <s v="CESTFA"/>
  </r>
  <r>
    <x v="2679"/>
    <s v="Nucci"/>
    <s v="Giulio"/>
    <s v="ITA2441"/>
    <s v="OPEN"/>
    <x v="155"/>
    <s v="ITA"/>
    <m/>
    <m/>
    <m/>
    <m/>
    <m/>
    <s v="FISCT"/>
    <s v="CESTFA"/>
  </r>
  <r>
    <x v="2680"/>
    <s v="Nuger"/>
    <s v="Benny"/>
    <s v="USA0088"/>
    <s v="OPEN"/>
    <x v="51"/>
    <s v="USA"/>
    <m/>
    <m/>
    <m/>
    <m/>
    <m/>
    <s v="ASA"/>
    <s v="CONASTF"/>
  </r>
  <r>
    <x v="2681"/>
    <s v="Nullens"/>
    <s v="Arnaud"/>
    <s v="BEL0174"/>
    <s v="OPEN"/>
    <x v="241"/>
    <s v="BEL"/>
    <m/>
    <m/>
    <m/>
    <m/>
    <m/>
    <m/>
    <m/>
  </r>
  <r>
    <x v="2682"/>
    <s v="Nunes"/>
    <s v="João"/>
    <s v="POR0061"/>
    <s v="OPEN"/>
    <x v="335"/>
    <s v="POR"/>
    <m/>
    <m/>
    <m/>
    <m/>
    <m/>
    <s v="APS"/>
    <s v="CESTFA"/>
  </r>
  <r>
    <x v="2683"/>
    <s v="Nunzet"/>
    <s v="Pasquale"/>
    <s v="ITA3188"/>
    <s v="VET"/>
    <x v="100"/>
    <s v="ITA"/>
    <m/>
    <m/>
    <m/>
    <m/>
    <m/>
    <s v="FISCT"/>
    <s v="CESTFA"/>
  </r>
  <r>
    <x v="2684"/>
    <s v="O’Brien"/>
    <s v="Mick"/>
    <s v="IRL0006"/>
    <s v="OPEN"/>
    <x v="126"/>
    <s v="IRL"/>
    <m/>
    <m/>
    <m/>
    <m/>
    <m/>
    <s v="TFAI"/>
    <s v="CESTFA"/>
  </r>
  <r>
    <x v="2685"/>
    <s v="Ocenasek"/>
    <s v="Katharina"/>
    <s v="AUT0115"/>
    <s v="OPEN"/>
    <x v="107"/>
    <s v="AUT"/>
    <m/>
    <m/>
    <m/>
    <m/>
    <m/>
    <s v="EÖTV"/>
    <s v="CESTFA"/>
  </r>
  <r>
    <x v="2686"/>
    <s v="Odelga"/>
    <s v="Matthias"/>
    <s v="GER0024"/>
    <s v="OPEN"/>
    <x v="5"/>
    <s v="GER"/>
    <m/>
    <m/>
    <m/>
    <m/>
    <m/>
    <s v="DSTFB"/>
    <s v="CESTFA"/>
  </r>
  <r>
    <x v="2687"/>
    <s v="Offmann"/>
    <s v="Paul"/>
    <s v="FRA0135"/>
    <s v="OPEN"/>
    <x v="232"/>
    <s v="FRA"/>
    <m/>
    <m/>
    <m/>
    <m/>
    <m/>
    <s v="3FTS"/>
    <s v="CESTFA"/>
  </r>
  <r>
    <x v="2688"/>
    <s v="Ogno"/>
    <s v="Giuseppe"/>
    <s v="ITA0978"/>
    <s v="VET"/>
    <x v="146"/>
    <s v="ITA"/>
    <m/>
    <m/>
    <m/>
    <m/>
    <m/>
    <s v="FISCT"/>
    <s v="CESTFA"/>
  </r>
  <r>
    <x v="2689"/>
    <s v="Oh"/>
    <s v="Yu Zhu, Apple"/>
    <s v="SGP0045"/>
    <s v="OPEN"/>
    <x v="23"/>
    <s v="SGP"/>
    <m/>
    <m/>
    <m/>
    <m/>
    <m/>
    <s v="TFAS"/>
    <s v="CASTFA"/>
  </r>
  <r>
    <x v="2690"/>
    <s v="O'Hare"/>
    <s v="Rob"/>
    <s v="CYP0012"/>
    <s v="OPEN"/>
    <x v="13"/>
    <s v="CYP"/>
    <m/>
    <m/>
    <m/>
    <m/>
    <m/>
    <s v="CYSTFA (Provisional)"/>
    <m/>
  </r>
  <r>
    <x v="2691"/>
    <s v="Ohrstrom"/>
    <s v="Robert"/>
    <s v="GRE0249"/>
    <s v="OPEN"/>
    <x v="14"/>
    <s v="GRE"/>
    <m/>
    <m/>
    <m/>
    <m/>
    <m/>
    <s v="UHTF"/>
    <s v="CESTFA"/>
  </r>
  <r>
    <x v="2692"/>
    <s v="Oiconomidis"/>
    <s v="Paris"/>
    <s v="GRE0332"/>
    <s v="VET"/>
    <x v="14"/>
    <s v="GRE"/>
    <m/>
    <m/>
    <m/>
    <m/>
    <m/>
    <s v="UHTF"/>
    <s v="CESTFA"/>
  </r>
  <r>
    <x v="2693"/>
    <s v="Oikonomou"/>
    <s v="Anastasios"/>
    <s v="GRE0456"/>
    <s v="OPEN"/>
    <x v="14"/>
    <s v="GRE"/>
    <m/>
    <m/>
    <m/>
    <m/>
    <m/>
    <s v="UHTF"/>
    <s v="CESTFA"/>
  </r>
  <r>
    <x v="2694"/>
    <s v="Okada"/>
    <s v="Hiroyuki"/>
    <s v="JPN168"/>
    <s v="OPEN"/>
    <x v="39"/>
    <s v="JPN"/>
    <m/>
    <m/>
    <m/>
    <m/>
    <m/>
    <s v="JTFA"/>
    <s v="CASTFA"/>
  </r>
  <r>
    <x v="2695"/>
    <s v="Okano"/>
    <s v="Kazuki"/>
    <s v="JPN077"/>
    <s v="U20"/>
    <x v="39"/>
    <s v="JPN"/>
    <m/>
    <m/>
    <m/>
    <m/>
    <m/>
    <s v="JTFA"/>
    <s v="CASTFA"/>
  </r>
  <r>
    <x v="2696"/>
    <s v="Okano"/>
    <s v="Yoshiyuki"/>
    <s v="JPN076"/>
    <s v="VET"/>
    <x v="39"/>
    <s v="JPN"/>
    <m/>
    <m/>
    <m/>
    <m/>
    <m/>
    <s v="JTFA"/>
    <s v="CASTFA"/>
  </r>
  <r>
    <x v="2697"/>
    <s v="Oleastro"/>
    <s v="Carlos"/>
    <s v="POR0168"/>
    <s v="VET"/>
    <x v="8"/>
    <s v="POR"/>
    <m/>
    <m/>
    <m/>
    <m/>
    <m/>
    <s v="APS"/>
    <s v="CESTFA"/>
  </r>
  <r>
    <x v="2698"/>
    <s v="Oliveira"/>
    <s v="Beatriz"/>
    <s v="POR0216"/>
    <s v="U16"/>
    <x v="11"/>
    <s v="POR"/>
    <m/>
    <m/>
    <m/>
    <m/>
    <m/>
    <s v="APS"/>
    <s v="CESTFA"/>
  </r>
  <r>
    <x v="2699"/>
    <s v="Oliveira"/>
    <s v="Leonardo"/>
    <s v="BRA0093"/>
    <s v="OPEN"/>
    <x v="264"/>
    <s v="BRA"/>
    <m/>
    <m/>
    <m/>
    <m/>
    <m/>
    <s v="CBFM (Suspended)"/>
    <m/>
  </r>
  <r>
    <x v="2700"/>
    <s v="Oncini"/>
    <s v="Andrea"/>
    <s v="ITA2515"/>
    <s v="VET"/>
    <x v="38"/>
    <s v="ITA"/>
    <m/>
    <m/>
    <m/>
    <m/>
    <m/>
    <s v="FISCT"/>
    <s v="CESTFA"/>
  </r>
  <r>
    <x v="2701"/>
    <s v="Ong"/>
    <s v="Gary"/>
    <s v="SGP0078"/>
    <s v="OPEN"/>
    <x v="4"/>
    <s v="SGP"/>
    <m/>
    <m/>
    <m/>
    <m/>
    <m/>
    <s v="TFAS"/>
    <s v="CASTFA"/>
  </r>
  <r>
    <x v="2702"/>
    <s v="Ong"/>
    <s v="Kheng Kwang"/>
    <s v="SGP0128"/>
    <s v="OPEN"/>
    <x v="24"/>
    <s v="SGP"/>
    <m/>
    <m/>
    <m/>
    <m/>
    <m/>
    <s v="TFAS"/>
    <s v="CASTFA"/>
  </r>
  <r>
    <x v="2703"/>
    <s v="Ong"/>
    <s v="Lewis, Cheng Yi"/>
    <s v="SGP0129"/>
    <s v="U20"/>
    <x v="24"/>
    <s v="SGP"/>
    <m/>
    <m/>
    <m/>
    <m/>
    <m/>
    <s v="TFAS"/>
    <s v="CASTFA"/>
  </r>
  <r>
    <x v="2704"/>
    <s v="Ong"/>
    <s v="Oliver"/>
    <s v="SGP0033"/>
    <s v="VET"/>
    <x v="259"/>
    <s v="SGP"/>
    <m/>
    <m/>
    <m/>
    <m/>
    <m/>
    <s v="TFAS"/>
    <s v="CASTFA"/>
  </r>
  <r>
    <x v="2705"/>
    <s v="Onitsuka"/>
    <s v="Masao"/>
    <s v="JPN189"/>
    <s v="VET"/>
    <x v="39"/>
    <s v="JPN"/>
    <m/>
    <m/>
    <m/>
    <m/>
    <m/>
    <s v="JTFA"/>
    <s v="CASTFA"/>
  </r>
  <r>
    <x v="2706"/>
    <s v="Ono"/>
    <s v="Tomoki"/>
    <s v="JPN190"/>
    <s v="OPEN"/>
    <x v="307"/>
    <s v="JPN"/>
    <m/>
    <m/>
    <m/>
    <m/>
    <m/>
    <s v="JTFA"/>
    <s v="CASTFA"/>
  </r>
  <r>
    <x v="2707"/>
    <s v="Ontani"/>
    <s v="Massimiliano"/>
    <s v="ITA3379"/>
    <s v="VET"/>
    <x v="196"/>
    <s v="ITA"/>
    <m/>
    <m/>
    <m/>
    <m/>
    <m/>
    <s v="FISCT"/>
    <s v="CESTFA"/>
  </r>
  <r>
    <x v="2708"/>
    <s v="Ooi"/>
    <s v="Peter"/>
    <s v="SGP0029"/>
    <s v="VET"/>
    <x v="23"/>
    <s v="SGP"/>
    <m/>
    <m/>
    <m/>
    <m/>
    <m/>
    <s v="TFAS"/>
    <s v="CASTFA"/>
  </r>
  <r>
    <x v="2709"/>
    <s v="Opl"/>
    <s v="Stanislav"/>
    <s v="CZE0010"/>
    <s v="VET"/>
    <x v="251"/>
    <s v="CZE"/>
    <m/>
    <m/>
    <m/>
    <m/>
    <m/>
    <s v="CTSU (Suspended)"/>
    <m/>
  </r>
  <r>
    <x v="2710"/>
    <s v="Oranje"/>
    <s v="Richard"/>
    <s v="NED0047"/>
    <s v="VET"/>
    <x v="65"/>
    <s v="NED"/>
    <m/>
    <m/>
    <m/>
    <m/>
    <m/>
    <s v="NSVB"/>
    <s v="CESTFA"/>
  </r>
  <r>
    <x v="2711"/>
    <s v="Orfanoudakis"/>
    <s v="Iosif"/>
    <s v="GRE0666"/>
    <s v="VET"/>
    <x v="14"/>
    <s v="GRE"/>
    <m/>
    <m/>
    <m/>
    <m/>
    <m/>
    <s v="UHTF"/>
    <s v="CESTFA"/>
  </r>
  <r>
    <x v="2712"/>
    <s v="Orfanoudakis"/>
    <s v="Leonidas"/>
    <s v="GRE0669"/>
    <s v="U16"/>
    <x v="14"/>
    <s v="GRE"/>
    <m/>
    <m/>
    <m/>
    <m/>
    <m/>
    <s v="UHTF"/>
    <s v="CESTFA"/>
  </r>
  <r>
    <x v="2713"/>
    <s v="Orlando"/>
    <s v="Cosimo"/>
    <s v="ITA2804"/>
    <s v="VET"/>
    <x v="68"/>
    <s v="ITA"/>
    <m/>
    <m/>
    <m/>
    <m/>
    <m/>
    <s v="FISCT"/>
    <s v="CESTFA"/>
  </r>
  <r>
    <x v="2714"/>
    <s v="Ortega"/>
    <s v="Agustin"/>
    <s v="ARG0061"/>
    <s v="OPEN"/>
    <x v="157"/>
    <s v="ARG"/>
    <m/>
    <m/>
    <m/>
    <m/>
    <m/>
    <s v="LAFM (Suspended)"/>
    <s v="CSAFM"/>
  </r>
  <r>
    <x v="2715"/>
    <s v="Osa"/>
    <s v="Kazue"/>
    <s v="JPN176"/>
    <s v="VET"/>
    <x v="307"/>
    <s v="JPN"/>
    <m/>
    <m/>
    <m/>
    <m/>
    <m/>
    <s v="JTFA"/>
    <s v="CASTFA"/>
  </r>
  <r>
    <x v="2716"/>
    <s v="Osborne"/>
    <s v="Richard"/>
    <s v="GIB0008"/>
    <m/>
    <x v="344"/>
    <s v="GIB"/>
    <m/>
    <m/>
    <m/>
    <m/>
    <m/>
    <s v="GTSA"/>
    <s v="CESTFA"/>
  </r>
  <r>
    <x v="2717"/>
    <s v="Osman"/>
    <s v="Sulaiman Marican"/>
    <s v="SGP0025"/>
    <s v="OPEN"/>
    <x v="23"/>
    <s v="SGP"/>
    <m/>
    <m/>
    <m/>
    <m/>
    <m/>
    <s v="TFAS"/>
    <s v="CASTFA"/>
  </r>
  <r>
    <x v="2718"/>
    <s v="Othman"/>
    <s v="Muhd Farhan"/>
    <s v="SGP0005"/>
    <s v="OPEN"/>
    <x v="23"/>
    <s v="SGP"/>
    <m/>
    <m/>
    <m/>
    <m/>
    <m/>
    <s v="TFAS"/>
    <s v="CASTFA"/>
  </r>
  <r>
    <x v="2719"/>
    <s v="Ottone"/>
    <s v="Alessandro"/>
    <s v="ITA0633"/>
    <s v="VET"/>
    <x v="345"/>
    <s v="ITA"/>
    <m/>
    <m/>
    <m/>
    <m/>
    <m/>
    <s v="FISCT"/>
    <s v="CESTFA"/>
  </r>
  <r>
    <x v="2720"/>
    <s v="Ottone"/>
    <s v="Francesco"/>
    <s v="ITA1996"/>
    <s v="VET"/>
    <x v="173"/>
    <s v="ITA"/>
    <m/>
    <m/>
    <m/>
    <m/>
    <m/>
    <s v="FISCT"/>
    <s v="CESTFA"/>
  </r>
  <r>
    <x v="2721"/>
    <s v="Ottone"/>
    <s v="Giovanna"/>
    <s v="ITA2949"/>
    <s v="U12"/>
    <x v="173"/>
    <s v="ITA"/>
    <m/>
    <m/>
    <m/>
    <m/>
    <m/>
    <s v="FISCT"/>
    <s v="CESTFA"/>
  </r>
  <r>
    <x v="2722"/>
    <s v="Ottone"/>
    <s v="Maria Grazia"/>
    <s v="ITA1997"/>
    <s v="U16"/>
    <x v="173"/>
    <s v="ITA"/>
    <m/>
    <m/>
    <m/>
    <m/>
    <m/>
    <s v="FISCT"/>
    <s v="CESTFA"/>
  </r>
  <r>
    <x v="2723"/>
    <s v="Ousaklidis"/>
    <s v="Theodoros"/>
    <s v="GRE0592"/>
    <s v="OPEN"/>
    <x v="14"/>
    <s v="GRE"/>
    <m/>
    <m/>
    <m/>
    <m/>
    <m/>
    <s v="UHTF"/>
    <s v="CESTFA"/>
  </r>
  <r>
    <x v="2724"/>
    <s v="Outers"/>
    <s v="Xavier"/>
    <s v="BEL0455"/>
    <s v="OPEN"/>
    <x v="178"/>
    <s v="BEL"/>
    <m/>
    <m/>
    <m/>
    <m/>
    <m/>
    <m/>
    <m/>
  </r>
  <r>
    <x v="2725"/>
    <s v="Owen"/>
    <s v="Nick"/>
    <s v="ENG0511"/>
    <s v="VET"/>
    <x v="14"/>
    <s v="ENG"/>
    <m/>
    <m/>
    <m/>
    <m/>
    <m/>
    <s v="ESA"/>
    <s v="CESTFA"/>
  </r>
  <r>
    <x v="2726"/>
    <s v="Pace"/>
    <s v="Patrick"/>
    <s v="MLT0026"/>
    <s v="VET"/>
    <x v="174"/>
    <s v="MLT"/>
    <m/>
    <m/>
    <m/>
    <m/>
    <m/>
    <s v="MTFSA"/>
    <s v="CESTFA"/>
  </r>
  <r>
    <x v="2727"/>
    <s v="Pacello"/>
    <s v="Germán"/>
    <s v="ARG0045"/>
    <s v="OPEN"/>
    <x v="145"/>
    <s v="ARG"/>
    <m/>
    <m/>
    <m/>
    <m/>
    <m/>
    <s v="LAFM (Suspended)"/>
    <s v="CSAFM"/>
  </r>
  <r>
    <x v="2728"/>
    <s v="Pachatouridis"/>
    <s v="Thrasyvoulos"/>
    <s v="GRE0603"/>
    <s v="VET"/>
    <x v="14"/>
    <s v="GRE"/>
    <m/>
    <m/>
    <m/>
    <m/>
    <m/>
    <s v="UHTF"/>
    <s v="CESTFA"/>
  </r>
  <r>
    <x v="2729"/>
    <s v="Paciaroni"/>
    <s v="Alvaro"/>
    <s v="ARG0064"/>
    <s v="OPEN"/>
    <x v="157"/>
    <s v="ARG"/>
    <m/>
    <m/>
    <m/>
    <m/>
    <m/>
    <s v="LAFM (Suspended)"/>
    <s v="CSAFM"/>
  </r>
  <r>
    <x v="2730"/>
    <s v="Pacileo"/>
    <s v="Roberto"/>
    <s v="ITA3312"/>
    <s v="OPEN"/>
    <x v="248"/>
    <s v="ITA"/>
    <m/>
    <m/>
    <m/>
    <m/>
    <m/>
    <s v="FISCT"/>
    <s v="CESTFA"/>
  </r>
  <r>
    <x v="2731"/>
    <s v="Pacitti"/>
    <s v="Stefano"/>
    <s v="ITA1828"/>
    <s v="VET"/>
    <x v="122"/>
    <s v="ITA"/>
    <m/>
    <m/>
    <m/>
    <m/>
    <m/>
    <s v="FISCT"/>
    <s v="CESTFA"/>
  </r>
  <r>
    <x v="2732"/>
    <s v="Paffrath Bertolino"/>
    <s v="Cristiano"/>
    <s v="BRA0176"/>
    <s v="VET"/>
    <x v="14"/>
    <s v="BRA"/>
    <m/>
    <m/>
    <m/>
    <m/>
    <m/>
    <s v="CBFM (Suspended)"/>
    <m/>
  </r>
  <r>
    <x v="2733"/>
    <s v="Pagani"/>
    <s v="Gianni"/>
    <s v="ITA3411"/>
    <s v="VET"/>
    <x v="332"/>
    <s v="ITA"/>
    <m/>
    <m/>
    <m/>
    <m/>
    <m/>
    <s v="FISCT"/>
    <s v="CESTFA"/>
  </r>
  <r>
    <x v="2734"/>
    <s v="Pagkratis"/>
    <s v="Spyridon"/>
    <s v="GRE0483"/>
    <s v="U16"/>
    <x v="14"/>
    <s v="GRE"/>
    <m/>
    <m/>
    <m/>
    <m/>
    <m/>
    <s v="UHTF"/>
    <s v="CESTFA"/>
  </r>
  <r>
    <x v="2735"/>
    <s v="Painelli"/>
    <s v="Massimiliano"/>
    <s v="ITA2356"/>
    <s v="VET"/>
    <x v="240"/>
    <s v="ITA"/>
    <m/>
    <m/>
    <m/>
    <m/>
    <m/>
    <s v="FISCT"/>
    <s v="CESTFA"/>
  </r>
  <r>
    <x v="2736"/>
    <s v="Palaiologos"/>
    <s v="Nikolaos"/>
    <s v="GRE0181"/>
    <s v="VET"/>
    <x v="14"/>
    <s v="GRE"/>
    <m/>
    <m/>
    <m/>
    <m/>
    <m/>
    <s v="UHTF"/>
    <s v="CESTFA"/>
  </r>
  <r>
    <x v="2737"/>
    <s v="Palaitsakis"/>
    <s v="Georgios"/>
    <s v="GRE0516"/>
    <s v="OPEN"/>
    <x v="14"/>
    <s v="GRE"/>
    <m/>
    <m/>
    <m/>
    <m/>
    <m/>
    <s v="UHTF"/>
    <s v="CESTFA"/>
  </r>
  <r>
    <x v="2738"/>
    <s v="Palamà"/>
    <s v="Marco"/>
    <s v="ITA2680"/>
    <s v="OPEN"/>
    <x v="119"/>
    <s v="ITA"/>
    <m/>
    <m/>
    <m/>
    <m/>
    <m/>
    <s v="FISCT"/>
    <s v="CESTFA"/>
  </r>
  <r>
    <x v="2739"/>
    <s v="Palamara"/>
    <s v="Francesco"/>
    <s v="ITA3368"/>
    <s v="VET"/>
    <x v="84"/>
    <s v="ITA"/>
    <m/>
    <m/>
    <m/>
    <m/>
    <m/>
    <s v="FISCT"/>
    <s v="CESTFA"/>
  </r>
  <r>
    <x v="2740"/>
    <s v="Palazzoli"/>
    <s v="Luca"/>
    <s v="ITA2774"/>
    <s v="VET"/>
    <x v="77"/>
    <s v="ITA"/>
    <m/>
    <m/>
    <m/>
    <m/>
    <m/>
    <s v="FISCT"/>
    <s v="CESTFA"/>
  </r>
  <r>
    <x v="2741"/>
    <s v="Palazzolo"/>
    <s v="Andrea"/>
    <s v="ITA1566"/>
    <s v="OPEN"/>
    <x v="161"/>
    <s v="ITA"/>
    <m/>
    <m/>
    <m/>
    <m/>
    <m/>
    <s v="FISCT"/>
    <s v="CESTFA"/>
  </r>
  <r>
    <x v="2742"/>
    <s v="Paleta"/>
    <s v="Rúben"/>
    <s v="POR0138"/>
    <s v="U20"/>
    <x v="14"/>
    <s v="POR"/>
    <m/>
    <m/>
    <m/>
    <m/>
    <m/>
    <s v="APS"/>
    <s v="CESTFA"/>
  </r>
  <r>
    <x v="2743"/>
    <s v="Paliouras"/>
    <s v="Ioannis"/>
    <s v="GRE0621"/>
    <s v="OPEN"/>
    <x v="78"/>
    <s v="GRE"/>
    <m/>
    <m/>
    <m/>
    <m/>
    <m/>
    <s v="UHTF"/>
    <s v="CESTFA"/>
  </r>
  <r>
    <x v="2744"/>
    <s v="Paliouras"/>
    <s v="Vasilios"/>
    <s v="GRE0783"/>
    <s v="U16"/>
    <x v="14"/>
    <s v="GRE"/>
    <m/>
    <m/>
    <m/>
    <m/>
    <m/>
    <s v="UHTF"/>
    <s v="CESTFA"/>
  </r>
  <r>
    <x v="2745"/>
    <s v="Palitot Filho"/>
    <s v="Zenon"/>
    <s v="BRA0112"/>
    <s v="VET"/>
    <x v="237"/>
    <s v="BRA"/>
    <m/>
    <m/>
    <m/>
    <m/>
    <m/>
    <s v="CBFM (Suspended)"/>
    <m/>
  </r>
  <r>
    <x v="2746"/>
    <s v="Palmer"/>
    <s v="Benjamin"/>
    <s v="ENG0517"/>
    <s v="U12"/>
    <x v="14"/>
    <s v="ENG"/>
    <m/>
    <m/>
    <m/>
    <m/>
    <m/>
    <s v="ESA"/>
    <s v="CESTFA"/>
  </r>
  <r>
    <x v="2747"/>
    <s v="Palmer"/>
    <s v="Guy"/>
    <s v="GIB0004"/>
    <s v="VET"/>
    <x v="346"/>
    <s v="GIB"/>
    <m/>
    <m/>
    <m/>
    <m/>
    <m/>
    <s v="GTSA"/>
    <s v="CESTFA"/>
  </r>
  <r>
    <x v="2748"/>
    <s v="Palmieri"/>
    <s v="Alfredo"/>
    <s v="ITA1558"/>
    <s v="VET"/>
    <x v="170"/>
    <s v="ITA"/>
    <m/>
    <m/>
    <m/>
    <m/>
    <m/>
    <s v="FISCT"/>
    <s v="CESTFA"/>
  </r>
  <r>
    <x v="2749"/>
    <s v="Palmieri"/>
    <s v="Lionello"/>
    <s v="ITA0636"/>
    <s v="VET"/>
    <x v="189"/>
    <s v="ITA"/>
    <m/>
    <m/>
    <m/>
    <m/>
    <m/>
    <s v="FISCT"/>
    <s v="CESTFA"/>
  </r>
  <r>
    <x v="2750"/>
    <s v="Palumbo"/>
    <s v="Antonio"/>
    <s v="ITA2170"/>
    <s v="VET"/>
    <x v="248"/>
    <s v="ITA"/>
    <m/>
    <m/>
    <m/>
    <m/>
    <m/>
    <s v="FISCT"/>
    <s v="CESTFA"/>
  </r>
  <r>
    <x v="2751"/>
    <s v="Pambianchi"/>
    <s v="Gianluca"/>
    <s v="ITA2600"/>
    <s v="VET"/>
    <x v="56"/>
    <s v="ITA"/>
    <m/>
    <m/>
    <m/>
    <m/>
    <m/>
    <s v="FISCT"/>
    <s v="CESTFA"/>
  </r>
  <r>
    <x v="2752"/>
    <s v="Panagiotakopoulos"/>
    <s v="Stavros"/>
    <s v="GRE0371"/>
    <s v="OPEN"/>
    <x v="14"/>
    <s v="GRE"/>
    <m/>
    <m/>
    <m/>
    <m/>
    <m/>
    <s v="UHTF"/>
    <s v="CESTFA"/>
  </r>
  <r>
    <x v="2753"/>
    <s v="Panagiotides"/>
    <s v="Vasileios"/>
    <s v="GRE0432"/>
    <s v="OPEN"/>
    <x v="14"/>
    <s v="GRE"/>
    <m/>
    <m/>
    <m/>
    <m/>
    <m/>
    <s v="UHTF"/>
    <s v="CESTFA"/>
  </r>
  <r>
    <x v="2754"/>
    <s v="Panagiotidis"/>
    <s v="Christos"/>
    <s v="GRE0420"/>
    <s v="VET"/>
    <x v="278"/>
    <s v="GRE"/>
    <m/>
    <m/>
    <m/>
    <m/>
    <m/>
    <s v="UHTF"/>
    <s v="CESTFA"/>
  </r>
  <r>
    <x v="2755"/>
    <s v="Panagiotidis"/>
    <s v="Panagiotis"/>
    <s v="GRE0415"/>
    <s v="VET"/>
    <x v="278"/>
    <s v="GRE"/>
    <m/>
    <m/>
    <m/>
    <m/>
    <m/>
    <s v="UHTF"/>
    <s v="CESTFA"/>
  </r>
  <r>
    <x v="2756"/>
    <s v="Panagiotopoulos"/>
    <s v="Giorgos"/>
    <s v="GRE0655"/>
    <s v="U16"/>
    <x v="14"/>
    <s v="GRE"/>
    <m/>
    <m/>
    <m/>
    <m/>
    <m/>
    <s v="UHTF"/>
    <s v="CESTFA"/>
  </r>
  <r>
    <x v="2757"/>
    <s v="Panagiotopoulou"/>
    <s v="Ioanna Virginia"/>
    <s v="GRE0656"/>
    <s v="U16"/>
    <x v="14"/>
    <s v="GRE"/>
    <m/>
    <m/>
    <m/>
    <m/>
    <m/>
    <s v="UHTF"/>
    <s v="CESTFA"/>
  </r>
  <r>
    <x v="2758"/>
    <s v="Panagopoulos"/>
    <s v="Filippos"/>
    <s v="GRE0320"/>
    <s v="OPEN"/>
    <x v="14"/>
    <s v="GRE"/>
    <m/>
    <m/>
    <m/>
    <m/>
    <m/>
    <s v="UHTF"/>
    <s v="CESTFA"/>
  </r>
  <r>
    <x v="2759"/>
    <s v="Panagoulas"/>
    <s v="Rafail"/>
    <s v="GRE0289"/>
    <s v="OPEN"/>
    <x v="14"/>
    <s v="GRE"/>
    <m/>
    <m/>
    <m/>
    <m/>
    <m/>
    <s v="UHTF"/>
    <s v="CESTFA"/>
  </r>
  <r>
    <x v="2760"/>
    <s v="Pandolfi"/>
    <s v="Cédric"/>
    <s v="FRA0187"/>
    <s v="OPEN"/>
    <x v="152"/>
    <s v="FRA"/>
    <m/>
    <m/>
    <m/>
    <m/>
    <m/>
    <s v="3FTS"/>
    <s v="CESTFA"/>
  </r>
  <r>
    <x v="2761"/>
    <s v="Panebianco"/>
    <s v="Claudio"/>
    <s v="ITA0641"/>
    <s v="OPEN"/>
    <x v="290"/>
    <s v="ITA"/>
    <m/>
    <m/>
    <m/>
    <m/>
    <m/>
    <s v="FISCT"/>
    <s v="CESTFA"/>
  </r>
  <r>
    <x v="2762"/>
    <s v="Panella"/>
    <s v="Paolo"/>
    <s v="ITA3383"/>
    <s v="VET"/>
    <x v="112"/>
    <s v="ITA"/>
    <m/>
    <m/>
    <m/>
    <m/>
    <m/>
    <s v="FISCT"/>
    <s v="CESTFA"/>
  </r>
  <r>
    <x v="2763"/>
    <s v="Panella"/>
    <s v="Pierluigi"/>
    <s v="ITA3359"/>
    <s v="VET"/>
    <x v="112"/>
    <s v="ITA"/>
    <m/>
    <m/>
    <m/>
    <m/>
    <m/>
    <s v="FISCT"/>
    <s v="CESTFA"/>
  </r>
  <r>
    <x v="2764"/>
    <s v="Panella"/>
    <s v="Riccardo"/>
    <s v="ITA1480"/>
    <s v="OPEN"/>
    <x v="161"/>
    <s v="ITA"/>
    <m/>
    <m/>
    <m/>
    <m/>
    <m/>
    <s v="FISCT"/>
    <s v="CESTFA"/>
  </r>
  <r>
    <x v="2765"/>
    <s v="Panizzari"/>
    <s v="Antonio"/>
    <s v="ITA1166"/>
    <s v="VET"/>
    <x v="87"/>
    <s v="ITA"/>
    <m/>
    <m/>
    <m/>
    <m/>
    <m/>
    <s v="FISCT"/>
    <s v="CESTFA"/>
  </r>
  <r>
    <x v="2766"/>
    <s v="Pantazopoulos"/>
    <s v="Emmanouil"/>
    <s v="GRE0388"/>
    <s v="OPEN"/>
    <x v="14"/>
    <s v="GRE"/>
    <m/>
    <m/>
    <m/>
    <m/>
    <m/>
    <s v="UHTF"/>
    <s v="CESTFA"/>
  </r>
  <r>
    <x v="2767"/>
    <s v="Pantazopoulos"/>
    <s v="Georgios"/>
    <s v="GRE0389"/>
    <s v="OPEN"/>
    <x v="14"/>
    <s v="GRE"/>
    <m/>
    <m/>
    <m/>
    <m/>
    <m/>
    <s v="UHTF"/>
    <s v="CESTFA"/>
  </r>
  <r>
    <x v="2768"/>
    <s v="Pantelaras"/>
    <s v="Kostas"/>
    <s v="GRE0598"/>
    <s v="U20"/>
    <x v="52"/>
    <s v="GRE"/>
    <m/>
    <m/>
    <m/>
    <m/>
    <m/>
    <s v="UHTF"/>
    <s v="CESTFA"/>
  </r>
  <r>
    <x v="2769"/>
    <s v="Panza - Intra"/>
    <s v="Laura"/>
    <s v="ITA0644"/>
    <s v="OPEN"/>
    <x v="166"/>
    <s v="ITA"/>
    <m/>
    <m/>
    <m/>
    <m/>
    <m/>
    <s v="FISCT"/>
    <s v="CESTFA"/>
  </r>
  <r>
    <x v="2770"/>
    <s v="Panzarini"/>
    <s v="Agnaldo"/>
    <s v="BRA0073"/>
    <s v="OPEN"/>
    <x v="14"/>
    <s v="BRA"/>
    <m/>
    <m/>
    <m/>
    <m/>
    <m/>
    <s v="CBFM (Suspended)"/>
    <m/>
  </r>
  <r>
    <x v="2771"/>
    <s v="Panzarini"/>
    <s v="Guilherme"/>
    <s v="BRA0074"/>
    <s v="OPEN"/>
    <x v="14"/>
    <s v="BRA"/>
    <m/>
    <m/>
    <m/>
    <m/>
    <m/>
    <s v="CBFM (Suspended)"/>
    <m/>
  </r>
  <r>
    <x v="2772"/>
    <s v="Paoletti"/>
    <s v="Massimo"/>
    <s v="ITA3401"/>
    <s v="VET"/>
    <x v="55"/>
    <s v="ITA"/>
    <m/>
    <m/>
    <m/>
    <m/>
    <m/>
    <s v="FISCT"/>
    <s v="CESTFA"/>
  </r>
  <r>
    <x v="2773"/>
    <s v="Paolini"/>
    <s v="Francesco"/>
    <s v="ITA1610"/>
    <s v="VET"/>
    <x v="120"/>
    <s v="ITA"/>
    <m/>
    <m/>
    <m/>
    <m/>
    <m/>
    <s v="FISCT"/>
    <s v="CESTFA"/>
  </r>
  <r>
    <x v="2774"/>
    <s v="Paolino"/>
    <s v="Nikolaos"/>
    <s v="GRE0375"/>
    <s v="OPEN"/>
    <x v="14"/>
    <s v="GRE"/>
    <m/>
    <m/>
    <m/>
    <m/>
    <m/>
    <s v="UHTF"/>
    <s v="CESTFA"/>
  </r>
  <r>
    <x v="2775"/>
    <s v="Papadaki"/>
    <s v="Adrianna"/>
    <s v="GRE0639"/>
    <s v="U16"/>
    <x v="128"/>
    <s v="GRE"/>
    <m/>
    <m/>
    <m/>
    <m/>
    <m/>
    <s v="UHTF"/>
    <s v="CESTFA"/>
  </r>
  <r>
    <x v="2776"/>
    <s v="Papadakis"/>
    <s v="George Pol"/>
    <s v="GRE0348"/>
    <s v="VET"/>
    <x v="14"/>
    <s v="GRE"/>
    <m/>
    <m/>
    <m/>
    <m/>
    <m/>
    <s v="UHTF"/>
    <s v="CESTFA"/>
  </r>
  <r>
    <x v="2777"/>
    <s v="Papadakis"/>
    <s v="Konstantinos"/>
    <s v="GRE0076"/>
    <s v="OPEN"/>
    <x v="128"/>
    <s v="GRE"/>
    <m/>
    <m/>
    <m/>
    <m/>
    <m/>
    <s v="UHTF"/>
    <s v="CESTFA"/>
  </r>
  <r>
    <x v="2778"/>
    <s v="Papadakis"/>
    <s v="Manolis"/>
    <s v="GRE0477"/>
    <s v="VET"/>
    <x v="220"/>
    <s v="GRE"/>
    <m/>
    <m/>
    <m/>
    <m/>
    <m/>
    <s v="UHTF"/>
    <s v="CESTFA"/>
  </r>
  <r>
    <x v="2779"/>
    <s v="Papadakis"/>
    <s v="Michalis"/>
    <s v="GRE0118"/>
    <s v="OPEN"/>
    <x v="14"/>
    <s v="GRE"/>
    <m/>
    <m/>
    <m/>
    <m/>
    <m/>
    <s v="UHTF"/>
    <s v="CESTFA"/>
  </r>
  <r>
    <x v="2780"/>
    <s v="Papadakis"/>
    <s v="Nikolaos"/>
    <s v="GRE0610"/>
    <s v="U16"/>
    <x v="14"/>
    <s v="GRE"/>
    <m/>
    <m/>
    <m/>
    <m/>
    <m/>
    <s v="UHTF"/>
    <s v="CESTFA"/>
  </r>
  <r>
    <x v="2781"/>
    <s v="Papadea"/>
    <s v="Maria"/>
    <s v="GRE0356"/>
    <s v="OPEN"/>
    <x v="14"/>
    <s v="GRE"/>
    <m/>
    <m/>
    <m/>
    <m/>
    <m/>
    <s v="UHTF"/>
    <s v="CESTFA"/>
  </r>
  <r>
    <x v="2782"/>
    <s v="Papadimas"/>
    <s v="Sotirios"/>
    <s v="GRE0781"/>
    <s v="OPEN"/>
    <x v="14"/>
    <s v="GRE"/>
    <m/>
    <m/>
    <m/>
    <m/>
    <m/>
    <s v="UHTF"/>
    <s v="CESTFA"/>
  </r>
  <r>
    <x v="2783"/>
    <s v="Papadogonas"/>
    <s v="Nikolaos"/>
    <s v="GRE0224"/>
    <s v="OPEN"/>
    <x v="14"/>
    <s v="GRE"/>
    <m/>
    <m/>
    <m/>
    <m/>
    <m/>
    <s v="UHTF"/>
    <s v="CESTFA"/>
  </r>
  <r>
    <x v="2784"/>
    <s v="Papadopoulos"/>
    <s v="Dimitrios"/>
    <s v="GRE0123"/>
    <s v="VET"/>
    <x v="14"/>
    <s v="GRE"/>
    <m/>
    <m/>
    <m/>
    <m/>
    <m/>
    <s v="UHTF"/>
    <s v="CESTFA"/>
  </r>
  <r>
    <x v="2785"/>
    <s v="Papadopoulos"/>
    <s v="Evangelos"/>
    <s v="GRE0554"/>
    <s v="OPEN"/>
    <x v="14"/>
    <s v="GRE"/>
    <m/>
    <m/>
    <m/>
    <m/>
    <m/>
    <s v="UHTF"/>
    <s v="CESTFA"/>
  </r>
  <r>
    <x v="2786"/>
    <s v="Papadopoulos"/>
    <s v="Georgios"/>
    <s v="GRE0132"/>
    <s v="VET"/>
    <x v="220"/>
    <s v="GRE"/>
    <m/>
    <m/>
    <m/>
    <m/>
    <m/>
    <s v="UHTF"/>
    <s v="CESTFA"/>
  </r>
  <r>
    <x v="2787"/>
    <s v="Papadopoulos"/>
    <s v="Odysseas"/>
    <s v="GRE0240"/>
    <s v="U20"/>
    <x v="14"/>
    <s v="GRE"/>
    <m/>
    <m/>
    <m/>
    <m/>
    <m/>
    <s v="UHTF"/>
    <s v="CESTFA"/>
  </r>
  <r>
    <x v="2788"/>
    <s v="Papadopoulos"/>
    <s v="Paris"/>
    <s v="GRE0122"/>
    <s v="VET"/>
    <x v="14"/>
    <s v="GRE"/>
    <m/>
    <m/>
    <m/>
    <m/>
    <m/>
    <s v="UHTF"/>
    <s v="CESTFA"/>
  </r>
  <r>
    <x v="2789"/>
    <s v="Papadoukakis"/>
    <s v="Dimitris"/>
    <s v="GRE0077"/>
    <s v="OPEN"/>
    <x v="14"/>
    <s v="GRE"/>
    <m/>
    <m/>
    <m/>
    <m/>
    <m/>
    <s v="UHTF"/>
    <s v="CESTFA"/>
  </r>
  <r>
    <x v="2790"/>
    <s v="Papageorgiou"/>
    <s v="Dimitris"/>
    <s v="GRE0352"/>
    <s v="OPEN"/>
    <x v="14"/>
    <s v="GRE"/>
    <m/>
    <m/>
    <m/>
    <m/>
    <m/>
    <s v="UHTF"/>
    <s v="CESTFA"/>
  </r>
  <r>
    <x v="2791"/>
    <s v="Papageorgiou"/>
    <s v="Marios-Georgios"/>
    <s v="GRE0795"/>
    <s v="OPEN"/>
    <x v="14"/>
    <s v="GRE"/>
    <m/>
    <m/>
    <m/>
    <m/>
    <m/>
    <s v="UHTF"/>
    <s v="CESTFA"/>
  </r>
  <r>
    <x v="2792"/>
    <s v="Papahronopoulos"/>
    <s v="Panagiotis"/>
    <s v="GRE0300"/>
    <s v="VET"/>
    <x v="14"/>
    <s v="GRE"/>
    <m/>
    <m/>
    <m/>
    <m/>
    <m/>
    <s v="UHTF"/>
    <s v="CESTFA"/>
  </r>
  <r>
    <x v="2793"/>
    <s v="Papaioannou"/>
    <s v="Elias"/>
    <s v="GRE0458"/>
    <s v="OPEN"/>
    <x v="14"/>
    <s v="GRE"/>
    <m/>
    <m/>
    <m/>
    <m/>
    <m/>
    <s v="UHTF"/>
    <s v="CESTFA"/>
  </r>
  <r>
    <x v="2794"/>
    <s v="Papaioannou"/>
    <s v="Michail"/>
    <s v="GRE0542"/>
    <s v="OPEN"/>
    <x v="14"/>
    <s v="GRE"/>
    <m/>
    <m/>
    <m/>
    <m/>
    <m/>
    <s v="UHTF"/>
    <s v="CESTFA"/>
  </r>
  <r>
    <x v="2795"/>
    <s v="Papaioannou-Boznas"/>
    <s v="Αlexandros- Efthymios"/>
    <s v="GRE0800"/>
    <s v="OPEN"/>
    <x v="14"/>
    <s v="GRE"/>
    <m/>
    <m/>
    <m/>
    <m/>
    <m/>
    <s v="UHTF"/>
    <s v="CESTFA"/>
  </r>
  <r>
    <x v="2796"/>
    <s v="Papaioannoy"/>
    <s v="Aggelos"/>
    <s v="GRE0209"/>
    <s v="OPEN"/>
    <x v="14"/>
    <s v="GRE"/>
    <m/>
    <m/>
    <m/>
    <m/>
    <m/>
    <s v="UHTF"/>
    <s v="CESTFA"/>
  </r>
  <r>
    <x v="2797"/>
    <s v="Papakonstantinou"/>
    <s v="Dimitrios-Marios"/>
    <s v="GRE0246"/>
    <s v="U20"/>
    <x v="14"/>
    <s v="GRE"/>
    <m/>
    <m/>
    <m/>
    <m/>
    <m/>
    <s v="UHTF"/>
    <s v="CESTFA"/>
  </r>
  <r>
    <x v="2798"/>
    <s v="Papakyriakou"/>
    <s v="Andreas"/>
    <s v="GRE0423"/>
    <s v="OPEN"/>
    <x v="14"/>
    <s v="GRE"/>
    <m/>
    <m/>
    <m/>
    <m/>
    <m/>
    <s v="UHTF"/>
    <s v="CESTFA"/>
  </r>
  <r>
    <x v="2799"/>
    <s v="Papamichail"/>
    <s v="Leonidas"/>
    <s v="GRE0615"/>
    <s v="VET"/>
    <x v="128"/>
    <s v="GRE"/>
    <m/>
    <m/>
    <m/>
    <m/>
    <m/>
    <s v="UHTF"/>
    <s v="CESTFA"/>
  </r>
  <r>
    <x v="2800"/>
    <s v="Papanikolaou"/>
    <s v="Eleftheria"/>
    <s v="GRE0101"/>
    <s v="VET"/>
    <x v="18"/>
    <s v="GRE"/>
    <m/>
    <m/>
    <m/>
    <m/>
    <m/>
    <s v="UHTF"/>
    <s v="CESTFA"/>
  </r>
  <r>
    <x v="2801"/>
    <s v="Papanikolaou"/>
    <s v="Georgios"/>
    <s v="GRE0094"/>
    <s v="VET"/>
    <x v="14"/>
    <s v="GRE"/>
    <m/>
    <m/>
    <m/>
    <m/>
    <m/>
    <s v="UHTF"/>
    <s v="CESTFA"/>
  </r>
  <r>
    <x v="2802"/>
    <s v="Papanikolaou"/>
    <s v="Nikolaos"/>
    <s v="GRE0248"/>
    <s v="OPEN"/>
    <x v="14"/>
    <s v="GRE"/>
    <m/>
    <m/>
    <m/>
    <m/>
    <m/>
    <s v="UHTF"/>
    <s v="CESTFA"/>
  </r>
  <r>
    <x v="2803"/>
    <s v="Papathanasiou"/>
    <s v="Apollon"/>
    <s v="GRE0601"/>
    <s v="U20"/>
    <x v="14"/>
    <s v="GRE"/>
    <m/>
    <m/>
    <m/>
    <m/>
    <m/>
    <s v="UHTF"/>
    <s v="CESTFA"/>
  </r>
  <r>
    <x v="2804"/>
    <s v="Papathanasiou"/>
    <s v="Vasileios"/>
    <s v="GRE0033"/>
    <s v="OPEN"/>
    <x v="14"/>
    <s v="GRE"/>
    <m/>
    <m/>
    <m/>
    <m/>
    <m/>
    <s v="UHTF"/>
    <s v="CESTFA"/>
  </r>
  <r>
    <x v="2805"/>
    <s v="Papathomas"/>
    <s v="Petros"/>
    <s v="GRE0777"/>
    <s v="OPEN"/>
    <x v="14"/>
    <s v="GRE"/>
    <m/>
    <m/>
    <m/>
    <m/>
    <m/>
    <s v="UHTF"/>
    <s v="CESTFA"/>
  </r>
  <r>
    <x v="2806"/>
    <s v="Papatzimas"/>
    <s v="Michail"/>
    <s v="GRE0504"/>
    <s v="OPEN"/>
    <x v="14"/>
    <s v="GRE"/>
    <m/>
    <m/>
    <m/>
    <m/>
    <m/>
    <s v="UHTF"/>
    <s v="CESTFA"/>
  </r>
  <r>
    <x v="2807"/>
    <s v="Papavasileiou"/>
    <s v="Andreas"/>
    <s v="GRE0377"/>
    <s v="OPEN"/>
    <x v="14"/>
    <s v="GRE"/>
    <m/>
    <m/>
    <m/>
    <m/>
    <m/>
    <s v="UHTF"/>
    <s v="CESTFA"/>
  </r>
  <r>
    <x v="2808"/>
    <s v="Papavasileiou"/>
    <s v="Georgios"/>
    <s v="GRE0370"/>
    <s v="OPEN"/>
    <x v="14"/>
    <s v="GRE"/>
    <m/>
    <m/>
    <m/>
    <m/>
    <m/>
    <s v="UHTF"/>
    <s v="CESTFA"/>
  </r>
  <r>
    <x v="2809"/>
    <s v="Papavasiliou"/>
    <s v="Theodoros"/>
    <s v="GRE0179"/>
    <s v="VET"/>
    <x v="14"/>
    <s v="GRE"/>
    <m/>
    <m/>
    <m/>
    <m/>
    <m/>
    <s v="UHTF"/>
    <s v="CESTFA"/>
  </r>
  <r>
    <x v="2810"/>
    <s v="Papazoglou"/>
    <s v="Athanasios"/>
    <s v="GRE0672"/>
    <s v="VET"/>
    <x v="14"/>
    <s v="GRE"/>
    <m/>
    <m/>
    <m/>
    <m/>
    <m/>
    <s v="UHTF"/>
    <s v="CESTFA"/>
  </r>
  <r>
    <x v="2811"/>
    <s v="Papazoglou"/>
    <s v="Daniil"/>
    <s v="GRE0430"/>
    <s v="OPEN"/>
    <x v="14"/>
    <s v="GRE"/>
    <m/>
    <m/>
    <m/>
    <m/>
    <m/>
    <s v="UHTF"/>
    <s v="CESTFA"/>
  </r>
  <r>
    <x v="2812"/>
    <s v="Papazoglou"/>
    <s v="Georgios"/>
    <s v="GRE0697"/>
    <s v="VET"/>
    <x v="14"/>
    <s v="GRE"/>
    <m/>
    <m/>
    <m/>
    <m/>
    <m/>
    <s v="UHTF"/>
    <s v="CESTFA"/>
  </r>
  <r>
    <x v="2813"/>
    <s v="Papidakis"/>
    <s v="Philippos"/>
    <s v="GRE0543"/>
    <s v="U20"/>
    <x v="179"/>
    <s v="GRE"/>
    <m/>
    <m/>
    <m/>
    <m/>
    <m/>
    <s v="UHTF"/>
    <s v="CESTFA"/>
  </r>
  <r>
    <x v="2814"/>
    <s v="Papidakis"/>
    <s v="Sarantis"/>
    <s v="GRE0457"/>
    <s v="VET"/>
    <x v="179"/>
    <s v="GRE"/>
    <m/>
    <m/>
    <m/>
    <m/>
    <m/>
    <s v="UHTF"/>
    <s v="CESTFA"/>
  </r>
  <r>
    <x v="2815"/>
    <s v="Papoulias"/>
    <s v="Nikolaos"/>
    <s v="GRE0103"/>
    <s v="VET"/>
    <x v="179"/>
    <s v="GRE"/>
    <m/>
    <m/>
    <m/>
    <m/>
    <m/>
    <s v="UHTF"/>
    <s v="CESTFA"/>
  </r>
  <r>
    <x v="2816"/>
    <s v="Pappa"/>
    <s v="Chrysoula"/>
    <s v="GRE0739"/>
    <s v="OPEN"/>
    <x v="220"/>
    <s v="GRE"/>
    <m/>
    <m/>
    <m/>
    <m/>
    <m/>
    <s v="UHTF"/>
    <s v="CESTFA"/>
  </r>
  <r>
    <x v="2817"/>
    <s v="Pappas"/>
    <s v="Angelos"/>
    <s v="CYP0046"/>
    <s v="OPEN"/>
    <x v="59"/>
    <s v="CYP"/>
    <m/>
    <m/>
    <m/>
    <m/>
    <m/>
    <s v="CYSTFA (Provisional)"/>
    <m/>
  </r>
  <r>
    <x v="2818"/>
    <s v="Pappas"/>
    <s v="Nikolaos"/>
    <s v="GRE0078"/>
    <s v="OPEN"/>
    <x v="53"/>
    <s v="GRE"/>
    <m/>
    <m/>
    <m/>
    <m/>
    <m/>
    <s v="UHTF"/>
    <s v="CESTFA"/>
  </r>
  <r>
    <x v="2819"/>
    <s v="Paraschis"/>
    <s v="Emmanouil"/>
    <s v="GRE0714"/>
    <s v="OPEN"/>
    <x v="14"/>
    <s v="GRE"/>
    <m/>
    <m/>
    <m/>
    <m/>
    <m/>
    <s v="UHTF"/>
    <s v="CESTFA"/>
  </r>
  <r>
    <x v="2820"/>
    <s v="Paraschis"/>
    <s v="Spyridon"/>
    <s v="GRE0715"/>
    <s v="OPEN"/>
    <x v="14"/>
    <s v="GRE"/>
    <m/>
    <m/>
    <m/>
    <m/>
    <m/>
    <s v="UHTF"/>
    <s v="CESTFA"/>
  </r>
  <r>
    <x v="2821"/>
    <s v="Paraskevas"/>
    <s v="Konstandinos"/>
    <s v="CYP0048"/>
    <s v="OPEN"/>
    <x v="59"/>
    <s v="CYP"/>
    <m/>
    <m/>
    <m/>
    <m/>
    <m/>
    <s v="CYSTFA (Provisional)"/>
    <m/>
  </r>
  <r>
    <x v="2822"/>
    <s v="Paraskevas"/>
    <s v="Nikolaos"/>
    <s v="GRE0434"/>
    <s v="VET"/>
    <x v="14"/>
    <s v="GRE"/>
    <m/>
    <m/>
    <m/>
    <m/>
    <m/>
    <s v="UHTF"/>
    <s v="CESTFA"/>
  </r>
  <r>
    <x v="2823"/>
    <s v="Paris"/>
    <s v="Miguel Ángel"/>
    <s v="ESP0379"/>
    <s v="OPEN"/>
    <x v="211"/>
    <s v="ESP"/>
    <m/>
    <m/>
    <m/>
    <m/>
    <m/>
    <s v="AEFM"/>
    <s v="CESTFA"/>
  </r>
  <r>
    <x v="2824"/>
    <s v="París"/>
    <s v="Javier"/>
    <s v="ESP0029"/>
    <s v="OPEN"/>
    <x v="150"/>
    <s v="ESP"/>
    <m/>
    <m/>
    <m/>
    <m/>
    <m/>
    <s v="AEFM"/>
    <s v="CESTFA"/>
  </r>
  <r>
    <x v="2825"/>
    <s v="Parnaby"/>
    <s v="Mike"/>
    <s v="ENG0001"/>
    <s v="VET"/>
    <x v="180"/>
    <s v="ENG"/>
    <m/>
    <m/>
    <m/>
    <m/>
    <m/>
    <s v="ESA"/>
    <s v="CESTFA"/>
  </r>
  <r>
    <x v="2826"/>
    <s v="Parodi"/>
    <s v="Luca"/>
    <s v="ITA2389"/>
    <s v="VET"/>
    <x v="44"/>
    <s v="ITA"/>
    <m/>
    <m/>
    <m/>
    <m/>
    <m/>
    <s v="FISCT"/>
    <s v="CESTFA"/>
  </r>
  <r>
    <x v="2827"/>
    <s v="Paroski"/>
    <s v="Júlio"/>
    <s v="BRA0013"/>
    <s v="OPEN"/>
    <x v="14"/>
    <s v="BRA"/>
    <m/>
    <m/>
    <m/>
    <m/>
    <m/>
    <s v="CBFM (Suspended)"/>
    <m/>
  </r>
  <r>
    <x v="2828"/>
    <s v="Parperis"/>
    <s v="Dimitris"/>
    <s v="CYP0013"/>
    <s v="OPEN"/>
    <x v="50"/>
    <s v="CYP"/>
    <m/>
    <m/>
    <m/>
    <m/>
    <m/>
    <s v="CYSTFA (Provisional)"/>
    <m/>
  </r>
  <r>
    <x v="2829"/>
    <s v="Parras Benitez"/>
    <s v="João Gilberto"/>
    <s v="BRA0159"/>
    <s v="VET"/>
    <x v="207"/>
    <s v="BRA"/>
    <m/>
    <m/>
    <m/>
    <m/>
    <m/>
    <s v="CBFM (Suspended)"/>
    <m/>
  </r>
  <r>
    <x v="2830"/>
    <s v="Parrilla"/>
    <s v="Daniel"/>
    <s v="ESP0457"/>
    <s v="OPEN"/>
    <x v="123"/>
    <s v="ESP"/>
    <m/>
    <m/>
    <m/>
    <m/>
    <m/>
    <s v="AEFM"/>
    <s v="CESTFA"/>
  </r>
  <r>
    <x v="2831"/>
    <s v="Parrino"/>
    <s v="Edoardo"/>
    <s v="ITA3417"/>
    <s v="U12"/>
    <x v="76"/>
    <s v="ITA"/>
    <m/>
    <m/>
    <m/>
    <m/>
    <m/>
    <s v="FISCT"/>
    <s v="CESTFA"/>
  </r>
  <r>
    <x v="2832"/>
    <s v="Parsons"/>
    <s v="David"/>
    <s v="ENG0540"/>
    <s v="VET"/>
    <x v="347"/>
    <s v="ENG"/>
    <m/>
    <m/>
    <m/>
    <m/>
    <m/>
    <s v="ESA"/>
    <s v="CESTFA"/>
  </r>
  <r>
    <x v="2833"/>
    <s v="Parsons"/>
    <s v="Harry"/>
    <s v="ENG0536"/>
    <s v="U16"/>
    <x v="75"/>
    <s v="ENG"/>
    <m/>
    <m/>
    <m/>
    <m/>
    <m/>
    <s v="ESA"/>
    <s v="CESTFA"/>
  </r>
  <r>
    <x v="2834"/>
    <s v="Parsons"/>
    <s v="Matt"/>
    <s v="WAL0021"/>
    <s v="OPEN"/>
    <x v="121"/>
    <s v="WAL"/>
    <m/>
    <m/>
    <m/>
    <m/>
    <m/>
    <s v="WSTFA"/>
    <s v="CESTFA"/>
  </r>
  <r>
    <x v="2835"/>
    <s v="Parsons"/>
    <s v="Ollie"/>
    <s v="ENG0537"/>
    <s v="U16"/>
    <x v="75"/>
    <s v="ENG"/>
    <m/>
    <m/>
    <m/>
    <m/>
    <m/>
    <s v="ESA"/>
    <s v="CESTFA"/>
  </r>
  <r>
    <x v="2836"/>
    <s v="Parussini"/>
    <s v="Renato"/>
    <s v="ITA2553"/>
    <s v="VET"/>
    <x v="35"/>
    <s v="ITA"/>
    <m/>
    <m/>
    <m/>
    <m/>
    <m/>
    <s v="FISCT"/>
    <s v="CESTFA"/>
  </r>
  <r>
    <x v="2837"/>
    <s v="Paschalides"/>
    <s v="Giannis"/>
    <s v="GRE0419"/>
    <s v="VET"/>
    <x v="14"/>
    <s v="GRE"/>
    <m/>
    <m/>
    <m/>
    <m/>
    <m/>
    <s v="UHTF"/>
    <s v="CESTFA"/>
  </r>
  <r>
    <x v="2838"/>
    <s v="Pascoal"/>
    <s v="João"/>
    <s v="POR0171"/>
    <s v="VET"/>
    <x v="348"/>
    <s v="POR"/>
    <m/>
    <m/>
    <m/>
    <m/>
    <m/>
    <s v="APS"/>
    <s v="CESTFA"/>
  </r>
  <r>
    <x v="2839"/>
    <s v="Pashos"/>
    <s v="Panagiotis"/>
    <s v="GRE0550"/>
    <s v="OPEN"/>
    <x v="14"/>
    <s v="GRE"/>
    <m/>
    <m/>
    <m/>
    <m/>
    <m/>
    <s v="UHTF"/>
    <s v="CESTFA"/>
  </r>
  <r>
    <x v="2840"/>
    <s v="Pasquali"/>
    <s v="Simone"/>
    <s v="ITA3435"/>
    <s v="VET"/>
    <x v="86"/>
    <s v="ITA"/>
    <m/>
    <m/>
    <m/>
    <m/>
    <m/>
    <s v="FISCT"/>
    <s v="CESTFA"/>
  </r>
  <r>
    <x v="2841"/>
    <s v="Pasquier"/>
    <s v="Laurent"/>
    <s v="FRA0239"/>
    <s v="OPEN"/>
    <x v="14"/>
    <s v="FRA"/>
    <m/>
    <m/>
    <m/>
    <m/>
    <m/>
    <s v="3FTS"/>
    <s v="CESTFA"/>
  </r>
  <r>
    <x v="2842"/>
    <s v="Pasquini"/>
    <s v="Fabio"/>
    <s v="ITA2329"/>
    <s v="VET"/>
    <x v="163"/>
    <s v="ITA"/>
    <m/>
    <m/>
    <m/>
    <m/>
    <m/>
    <s v="FISCT"/>
    <s v="CESTFA"/>
  </r>
  <r>
    <x v="2843"/>
    <s v="Passeroni"/>
    <s v="Duccio"/>
    <s v="ITA2818"/>
    <s v="OPEN"/>
    <x v="25"/>
    <s v="ITA"/>
    <m/>
    <m/>
    <m/>
    <m/>
    <m/>
    <s v="FISCT"/>
    <s v="CESTFA"/>
  </r>
  <r>
    <x v="2844"/>
    <s v="Pate"/>
    <s v="Nathan"/>
    <s v="USA0377"/>
    <s v="OPEN"/>
    <x v="273"/>
    <s v="USA"/>
    <m/>
    <m/>
    <m/>
    <m/>
    <m/>
    <s v="ASA"/>
    <s v="CONASTF"/>
  </r>
  <r>
    <x v="2845"/>
    <s v="Pate"/>
    <s v="Paul"/>
    <s v="USA0376"/>
    <s v="VET"/>
    <x v="273"/>
    <s v="USA"/>
    <m/>
    <m/>
    <m/>
    <m/>
    <m/>
    <s v="ASA"/>
    <s v="CONASTF"/>
  </r>
  <r>
    <x v="2846"/>
    <s v="Patedakis"/>
    <s v="Antonios"/>
    <s v="GRE0473"/>
    <s v="OPEN"/>
    <x v="14"/>
    <s v="GRE"/>
    <m/>
    <m/>
    <m/>
    <m/>
    <m/>
    <s v="UHTF"/>
    <s v="CESTFA"/>
  </r>
  <r>
    <x v="2847"/>
    <s v="Patedakis"/>
    <s v="Ioannis"/>
    <s v="GRE0559"/>
    <s v="OPEN"/>
    <x v="14"/>
    <s v="GRE"/>
    <m/>
    <m/>
    <m/>
    <m/>
    <m/>
    <s v="UHTF"/>
    <s v="CESTFA"/>
  </r>
  <r>
    <x v="2848"/>
    <s v="Patel"/>
    <s v="Shiv"/>
    <s v="USA0416"/>
    <s v="U20"/>
    <x v="143"/>
    <s v="USA"/>
    <m/>
    <m/>
    <m/>
    <m/>
    <m/>
    <s v="ASA"/>
    <s v="CONASTF"/>
  </r>
  <r>
    <x v="2849"/>
    <s v="Paterson"/>
    <s v="Rob"/>
    <s v="ENG0098"/>
    <s v="VET"/>
    <x v="19"/>
    <s v="ENG"/>
    <m/>
    <m/>
    <m/>
    <m/>
    <m/>
    <s v="ESA"/>
    <s v="CESTFA"/>
  </r>
  <r>
    <x v="2850"/>
    <s v="Patistas"/>
    <s v="Achilleas"/>
    <s v="GRE0564"/>
    <s v="U20"/>
    <x v="62"/>
    <s v="GRE"/>
    <m/>
    <m/>
    <m/>
    <m/>
    <m/>
    <s v="UHTF"/>
    <s v="CESTFA"/>
  </r>
  <r>
    <x v="2851"/>
    <s v="Patistas"/>
    <s v="Panagiotis"/>
    <s v="GRE0563"/>
    <s v="VET"/>
    <x v="62"/>
    <s v="GRE"/>
    <m/>
    <m/>
    <m/>
    <m/>
    <m/>
    <s v="UHTF"/>
    <s v="CESTFA"/>
  </r>
  <r>
    <x v="2852"/>
    <s v="Patrikiou"/>
    <s v="Eirini"/>
    <s v="GRE0243"/>
    <s v="OPEN"/>
    <x v="167"/>
    <s v="GRE"/>
    <m/>
    <m/>
    <m/>
    <m/>
    <m/>
    <s v="UHTF"/>
    <s v="CESTFA"/>
  </r>
  <r>
    <x v="2853"/>
    <s v="Patrinos"/>
    <s v="Dimitrios"/>
    <s v="GRE0139"/>
    <s v="OPEN"/>
    <x v="53"/>
    <s v="GRE"/>
    <m/>
    <m/>
    <m/>
    <m/>
    <m/>
    <s v="UHTF"/>
    <s v="CESTFA"/>
  </r>
  <r>
    <x v="2854"/>
    <s v="Patrinos"/>
    <s v="Nikolaos"/>
    <s v="GRE0678"/>
    <s v="U16"/>
    <x v="14"/>
    <s v="GRE"/>
    <m/>
    <m/>
    <m/>
    <m/>
    <m/>
    <s v="UHTF"/>
    <s v="CESTFA"/>
  </r>
  <r>
    <x v="2855"/>
    <s v="Patrinos"/>
    <s v="Spyridon"/>
    <s v="GRE0135"/>
    <s v="OPEN"/>
    <x v="53"/>
    <s v="GRE"/>
    <m/>
    <m/>
    <m/>
    <m/>
    <m/>
    <s v="UHTF"/>
    <s v="CESTFA"/>
  </r>
  <r>
    <x v="2856"/>
    <s v="Patruno"/>
    <s v="Gerardo"/>
    <s v="ITA0648"/>
    <s v="VET"/>
    <x v="46"/>
    <s v="ITA"/>
    <m/>
    <m/>
    <m/>
    <m/>
    <m/>
    <s v="FISCT"/>
    <s v="CESTFA"/>
  </r>
  <r>
    <x v="2857"/>
    <s v="Paul"/>
    <s v="Alec"/>
    <s v="USA0423"/>
    <s v="OPEN"/>
    <x v="60"/>
    <s v="USA"/>
    <m/>
    <m/>
    <m/>
    <m/>
    <m/>
    <s v="ASA"/>
    <s v="CONASTF"/>
  </r>
  <r>
    <x v="2858"/>
    <s v="Pavão"/>
    <s v="Ricardo"/>
    <s v="POR0020"/>
    <s v="OPEN"/>
    <x v="15"/>
    <s v="POR"/>
    <m/>
    <m/>
    <m/>
    <m/>
    <m/>
    <s v="APS"/>
    <s v="CESTFA"/>
  </r>
  <r>
    <x v="2859"/>
    <s v="Pavel"/>
    <s v="Forest"/>
    <s v="USA0360"/>
    <s v="OPEN"/>
    <x v="326"/>
    <s v="USA"/>
    <m/>
    <m/>
    <m/>
    <m/>
    <m/>
    <s v="ASA"/>
    <s v="CONASTF"/>
  </r>
  <r>
    <x v="2860"/>
    <s v="Pawlica"/>
    <s v="Manfred"/>
    <s v="AUT0057"/>
    <s v="VET"/>
    <x v="124"/>
    <s v="AUT"/>
    <m/>
    <m/>
    <m/>
    <m/>
    <m/>
    <s v="EÖTV"/>
    <s v="CESTFA"/>
  </r>
  <r>
    <x v="2861"/>
    <s v="Pearce"/>
    <s v="Michael"/>
    <s v="JPN170"/>
    <s v="VET"/>
    <x v="327"/>
    <s v="JPN"/>
    <m/>
    <m/>
    <m/>
    <m/>
    <m/>
    <s v="JTFA"/>
    <s v="CASTFA"/>
  </r>
  <r>
    <x v="2862"/>
    <s v="Pearson"/>
    <s v="Nick"/>
    <s v="ENG0347"/>
    <s v="VET"/>
    <x v="180"/>
    <s v="ENG"/>
    <m/>
    <m/>
    <m/>
    <m/>
    <m/>
    <s v="ESA"/>
    <s v="CESTFA"/>
  </r>
  <r>
    <x v="2863"/>
    <s v="Pecchioli"/>
    <s v="Alessandro"/>
    <s v="ITA0651"/>
    <s v="VET"/>
    <x v="187"/>
    <s v="ITA"/>
    <m/>
    <m/>
    <m/>
    <m/>
    <m/>
    <s v="FISCT"/>
    <s v="CESTFA"/>
  </r>
  <r>
    <x v="2864"/>
    <s v="Pedersen"/>
    <s v="Miki"/>
    <s v="DEN0047"/>
    <s v="OPEN"/>
    <x v="10"/>
    <s v="DEN"/>
    <m/>
    <m/>
    <m/>
    <m/>
    <m/>
    <s v="DSBU (Provisional)"/>
    <m/>
  </r>
  <r>
    <x v="2865"/>
    <s v="Pedersen"/>
    <s v="Trond"/>
    <s v="NOR0005"/>
    <s v="VET"/>
    <x v="151"/>
    <s v="NOR"/>
    <m/>
    <m/>
    <m/>
    <m/>
    <m/>
    <s v="NBFF (Suspended)"/>
    <m/>
  </r>
  <r>
    <x v="2866"/>
    <s v="Pedetti"/>
    <s v="Aldo"/>
    <s v="FRA0294"/>
    <s v="VET"/>
    <x v="194"/>
    <s v="FRA"/>
    <m/>
    <m/>
    <m/>
    <m/>
    <m/>
    <s v="3FTS"/>
    <s v="CESTFA"/>
  </r>
  <r>
    <x v="2867"/>
    <s v="Pedicini"/>
    <s v="Gianmarco"/>
    <s v="ITA1593"/>
    <s v="OPEN"/>
    <x v="87"/>
    <s v="ITA"/>
    <m/>
    <m/>
    <m/>
    <m/>
    <m/>
    <s v="FISCT"/>
    <s v="CESTFA"/>
  </r>
  <r>
    <x v="2868"/>
    <s v="Pefanis"/>
    <s v="Konstantinos"/>
    <s v="GRE0814"/>
    <s v="VET"/>
    <x v="66"/>
    <s v="GRE"/>
    <m/>
    <m/>
    <m/>
    <m/>
    <m/>
    <s v="UHTF"/>
    <s v="CESTFA"/>
  </r>
  <r>
    <x v="2869"/>
    <s v="Peghin"/>
    <s v="Davide"/>
    <s v="ITA3070"/>
    <s v="OPEN"/>
    <x v="35"/>
    <s v="ITA"/>
    <m/>
    <m/>
    <m/>
    <m/>
    <m/>
    <s v="FISCT"/>
    <s v="CESTFA"/>
  </r>
  <r>
    <x v="2870"/>
    <s v="Peh"/>
    <s v="Yu Xiang, Henry"/>
    <s v="SGP0044"/>
    <s v="OPEN"/>
    <x v="23"/>
    <s v="SGP"/>
    <m/>
    <m/>
    <m/>
    <m/>
    <m/>
    <s v="TFAS"/>
    <s v="CASTFA"/>
  </r>
  <r>
    <x v="2871"/>
    <s v="Peitersen"/>
    <s v="Uffe"/>
    <s v="DEN0099"/>
    <s v="OPEN"/>
    <x v="10"/>
    <s v="DEN"/>
    <m/>
    <m/>
    <m/>
    <m/>
    <m/>
    <s v="DSBU (Provisional)"/>
    <m/>
  </r>
  <r>
    <x v="2872"/>
    <s v="Pelle"/>
    <s v="Sergio Gustavo"/>
    <s v="ARG0054"/>
    <s v="OPEN"/>
    <x v="274"/>
    <s v="ARG"/>
    <m/>
    <m/>
    <m/>
    <m/>
    <m/>
    <s v="LAFM (Suspended)"/>
    <s v="CSAFM"/>
  </r>
  <r>
    <x v="2873"/>
    <s v="Pellegrino"/>
    <s v="Andrea"/>
    <s v="ITA0653"/>
    <s v="OPEN"/>
    <x v="0"/>
    <s v="ITA"/>
    <m/>
    <m/>
    <m/>
    <m/>
    <m/>
    <s v="FISCT"/>
    <s v="CESTFA"/>
  </r>
  <r>
    <x v="2874"/>
    <s v="Pellicoro"/>
    <s v="Diego"/>
    <s v="ITA3257"/>
    <s v="OPEN"/>
    <x v="68"/>
    <s v="ITA"/>
    <m/>
    <m/>
    <m/>
    <m/>
    <m/>
    <s v="FISCT"/>
    <s v="CESTFA"/>
  </r>
  <r>
    <x v="2875"/>
    <s v="Pellicoro"/>
    <s v="Gabriele"/>
    <s v="ITA3338"/>
    <s v="OPEN"/>
    <x v="54"/>
    <s v="ITA"/>
    <m/>
    <m/>
    <m/>
    <m/>
    <m/>
    <s v="FISCT"/>
    <s v="CESTFA"/>
  </r>
  <r>
    <x v="2876"/>
    <s v="Peltier"/>
    <s v="Patrick"/>
    <s v="BEL0069"/>
    <s v="VET"/>
    <x v="51"/>
    <s v="BEL"/>
    <m/>
    <m/>
    <m/>
    <m/>
    <m/>
    <m/>
    <m/>
  </r>
  <r>
    <x v="2877"/>
    <s v="Peluso"/>
    <s v="Antonio"/>
    <s v="ITA0655"/>
    <s v="OPEN"/>
    <x v="134"/>
    <s v="ITA"/>
    <m/>
    <m/>
    <m/>
    <m/>
    <m/>
    <s v="FISCT"/>
    <s v="CESTFA"/>
  </r>
  <r>
    <x v="2878"/>
    <s v="Peng"/>
    <s v="Simon E Seck"/>
    <s v="SGP0110"/>
    <s v="U20"/>
    <x v="23"/>
    <s v="SGP"/>
    <m/>
    <m/>
    <m/>
    <m/>
    <m/>
    <s v="TFAS"/>
    <s v="CASTFA"/>
  </r>
  <r>
    <x v="2879"/>
    <s v="Pennati"/>
    <s v="Simone"/>
    <s v="ITA3419"/>
    <s v="U12"/>
    <x v="29"/>
    <s v="ITA"/>
    <m/>
    <m/>
    <m/>
    <m/>
    <m/>
    <s v="FISCT"/>
    <s v="CESTFA"/>
  </r>
  <r>
    <x v="2880"/>
    <s v="Pensas"/>
    <s v="Spiros"/>
    <s v="GRE0039"/>
    <s v="VET"/>
    <x v="14"/>
    <s v="GRE"/>
    <m/>
    <m/>
    <m/>
    <m/>
    <m/>
    <s v="UHTF"/>
    <s v="CESTFA"/>
  </r>
  <r>
    <x v="2881"/>
    <s v="Perazzo"/>
    <s v="Marco"/>
    <s v="ITA0657"/>
    <s v="VET"/>
    <x v="55"/>
    <s v="ITA"/>
    <m/>
    <m/>
    <m/>
    <m/>
    <m/>
    <s v="FISCT"/>
    <s v="CESTFA"/>
  </r>
  <r>
    <x v="2882"/>
    <s v="Perdaens"/>
    <s v="Frédéric"/>
    <s v="CAN0052"/>
    <s v="VET"/>
    <x v="241"/>
    <s v="CAN"/>
    <m/>
    <m/>
    <m/>
    <m/>
    <m/>
    <s v="SCA"/>
    <m/>
  </r>
  <r>
    <x v="2883"/>
    <s v="Perdicaris"/>
    <s v="Stamatis"/>
    <s v="GRE0317"/>
    <s v="VET"/>
    <x v="14"/>
    <s v="GRE"/>
    <m/>
    <m/>
    <m/>
    <m/>
    <m/>
    <s v="UHTF"/>
    <s v="CESTFA"/>
  </r>
  <r>
    <x v="2884"/>
    <s v="Perdichizzi"/>
    <s v="Monica"/>
    <s v="ITA2360"/>
    <s v="OPEN"/>
    <x v="195"/>
    <s v="ITA"/>
    <m/>
    <m/>
    <m/>
    <m/>
    <m/>
    <s v="FISCT"/>
    <s v="CESTFA"/>
  </r>
  <r>
    <x v="2885"/>
    <s v="Pere"/>
    <s v="Lucas"/>
    <s v="BEL0197"/>
    <s v="U20"/>
    <x v="51"/>
    <s v="BEL"/>
    <m/>
    <m/>
    <m/>
    <m/>
    <m/>
    <m/>
    <m/>
  </r>
  <r>
    <x v="2886"/>
    <s v="Pere"/>
    <s v="Olivier"/>
    <s v="BEL0070"/>
    <s v="VET"/>
    <x v="51"/>
    <s v="BEL"/>
    <m/>
    <m/>
    <m/>
    <m/>
    <m/>
    <m/>
    <m/>
  </r>
  <r>
    <x v="2887"/>
    <s v="Pereira"/>
    <s v="Afonso"/>
    <s v="POR0001"/>
    <s v="OPEN"/>
    <x v="16"/>
    <s v="POR"/>
    <m/>
    <m/>
    <m/>
    <m/>
    <m/>
    <s v="APS"/>
    <s v="CESTFA"/>
  </r>
  <r>
    <x v="2888"/>
    <s v="Pereira"/>
    <s v="Christofer"/>
    <s v="BRA0102"/>
    <s v="OPEN"/>
    <x v="349"/>
    <s v="BRA"/>
    <m/>
    <m/>
    <m/>
    <m/>
    <m/>
    <s v="CBFM (Suspended)"/>
    <m/>
  </r>
  <r>
    <x v="2889"/>
    <s v="Pereira"/>
    <s v="Diogo"/>
    <s v="POR0131"/>
    <s v="U20"/>
    <x v="8"/>
    <s v="POR"/>
    <m/>
    <m/>
    <m/>
    <m/>
    <m/>
    <s v="APS"/>
    <s v="CESTFA"/>
  </r>
  <r>
    <x v="2890"/>
    <s v="Pereira"/>
    <s v="Max"/>
    <s v="ENG0503"/>
    <s v="U12"/>
    <x v="75"/>
    <s v="ENG"/>
    <m/>
    <m/>
    <m/>
    <m/>
    <m/>
    <s v="ESA"/>
    <s v="CESTFA"/>
  </r>
  <r>
    <x v="2891"/>
    <s v="Pereira"/>
    <s v="Miguel"/>
    <s v="ENG0028"/>
    <s v="OPEN"/>
    <x v="75"/>
    <s v="ENG"/>
    <m/>
    <m/>
    <m/>
    <m/>
    <m/>
    <s v="ESA"/>
    <s v="CESTFA"/>
  </r>
  <r>
    <x v="2892"/>
    <s v="Pereira"/>
    <s v="Paulo Cesar"/>
    <s v="BRA0127"/>
    <s v="OPEN"/>
    <x v="14"/>
    <s v="BRA"/>
    <m/>
    <m/>
    <m/>
    <m/>
    <m/>
    <s v="CBFM (Suspended)"/>
    <m/>
  </r>
  <r>
    <x v="2893"/>
    <s v="Pereira"/>
    <s v="Santiago"/>
    <s v="POR0184"/>
    <s v="U20"/>
    <x v="11"/>
    <s v="POR"/>
    <m/>
    <m/>
    <m/>
    <m/>
    <m/>
    <s v="APS"/>
    <s v="CESTFA"/>
  </r>
  <r>
    <x v="2894"/>
    <s v="Pereira da Silva"/>
    <s v="Ricardo"/>
    <s v="BRA0129"/>
    <s v="OPEN"/>
    <x v="237"/>
    <s v="BRA"/>
    <m/>
    <m/>
    <m/>
    <m/>
    <m/>
    <s v="CBFM (Suspended)"/>
    <m/>
  </r>
  <r>
    <x v="2895"/>
    <s v="Peremans"/>
    <s v="Yves"/>
    <s v="BEL0311"/>
    <s v="VET"/>
    <x v="215"/>
    <s v="BEL"/>
    <m/>
    <m/>
    <m/>
    <m/>
    <m/>
    <m/>
    <m/>
  </r>
  <r>
    <x v="2896"/>
    <s v="Peretti"/>
    <s v="Teo"/>
    <s v="ITA3368"/>
    <s v="U12"/>
    <x v="29"/>
    <s v="ITA"/>
    <m/>
    <m/>
    <m/>
    <m/>
    <m/>
    <s v="FISCT"/>
    <s v="CESTFA"/>
  </r>
  <r>
    <x v="2897"/>
    <s v="Pérez"/>
    <s v="Álvaro"/>
    <s v="ESP0456"/>
    <s v="U20"/>
    <x v="31"/>
    <s v="ESP"/>
    <m/>
    <m/>
    <m/>
    <m/>
    <m/>
    <s v="AEFM"/>
    <s v="CESTFA"/>
  </r>
  <r>
    <x v="2898"/>
    <s v="Pérez"/>
    <s v="Héctor"/>
    <s v="ESP0480"/>
    <s v="VET"/>
    <x v="123"/>
    <s v="ESP"/>
    <m/>
    <m/>
    <m/>
    <m/>
    <m/>
    <s v="AEFM"/>
    <s v="CESTFA"/>
  </r>
  <r>
    <x v="2899"/>
    <s v="Pérez Montero"/>
    <s v="José"/>
    <s v="ESP0581"/>
    <s v="OPEN"/>
    <x v="148"/>
    <s v="ESP"/>
    <m/>
    <m/>
    <m/>
    <m/>
    <m/>
    <s v="AEFM"/>
    <s v="CESTFA"/>
  </r>
  <r>
    <x v="2900"/>
    <s v="Periccioli"/>
    <s v="Andrea"/>
    <s v="ITA2964"/>
    <s v="VET"/>
    <x v="27"/>
    <s v="ITA"/>
    <m/>
    <m/>
    <m/>
    <m/>
    <m/>
    <s v="FISCT"/>
    <s v="CESTFA"/>
  </r>
  <r>
    <x v="2901"/>
    <s v="Periccioli"/>
    <s v="Luca"/>
    <s v="ITA2843"/>
    <s v="U16"/>
    <x v="27"/>
    <s v="ITA"/>
    <m/>
    <m/>
    <m/>
    <m/>
    <m/>
    <s v="FISCT"/>
    <s v="CESTFA"/>
  </r>
  <r>
    <x v="2902"/>
    <s v="Perotti"/>
    <s v="Marco"/>
    <s v="ITA2576"/>
    <s v="OPEN"/>
    <x v="174"/>
    <s v="ITA"/>
    <m/>
    <m/>
    <m/>
    <m/>
    <m/>
    <s v="FISCT"/>
    <s v="CESTFA"/>
  </r>
  <r>
    <x v="2903"/>
    <s v="Perri"/>
    <s v="Francesco"/>
    <s v="ITA2856"/>
    <s v="VET"/>
    <x v="0"/>
    <s v="ITA"/>
    <m/>
    <m/>
    <m/>
    <m/>
    <m/>
    <s v="FISCT"/>
    <s v="CESTFA"/>
  </r>
  <r>
    <x v="2904"/>
    <s v="Perrino"/>
    <s v="Daniele"/>
    <s v="ITA2014"/>
    <s v="U16"/>
    <x v="27"/>
    <s v="ITA"/>
    <m/>
    <m/>
    <m/>
    <m/>
    <m/>
    <s v="FISCT"/>
    <s v="CESTFA"/>
  </r>
  <r>
    <x v="2905"/>
    <s v="Perrino"/>
    <s v="Enrico Vito"/>
    <s v="ITA2312"/>
    <s v="VET"/>
    <x v="27"/>
    <s v="ITA"/>
    <m/>
    <m/>
    <m/>
    <m/>
    <m/>
    <s v="FISCT"/>
    <s v="CESTFA"/>
  </r>
  <r>
    <x v="2906"/>
    <s v="Perrotti"/>
    <s v="Paulo"/>
    <s v="BRA0009"/>
    <s v="OPEN"/>
    <x v="236"/>
    <s v="BRA"/>
    <m/>
    <m/>
    <m/>
    <m/>
    <m/>
    <s v="CBFM (Suspended)"/>
    <m/>
  </r>
  <r>
    <x v="2907"/>
    <s v="Perry"/>
    <s v="Colin"/>
    <s v="NIR0034"/>
    <m/>
    <x v="72"/>
    <s v="NIR"/>
    <m/>
    <m/>
    <m/>
    <m/>
    <m/>
    <s v="NITFA"/>
    <s v="CESTFA"/>
  </r>
  <r>
    <x v="2908"/>
    <s v="Perry"/>
    <s v="Dennis"/>
    <s v="ENG0548"/>
    <s v="OPEN"/>
    <x v="260"/>
    <s v="ENG"/>
    <m/>
    <m/>
    <m/>
    <m/>
    <m/>
    <s v="ESA"/>
    <s v="CESTFA"/>
  </r>
  <r>
    <x v="2909"/>
    <s v="Pesci"/>
    <s v="Sebastián"/>
    <s v="ARG0060"/>
    <s v="OPEN"/>
    <x v="157"/>
    <s v="ARG"/>
    <m/>
    <m/>
    <m/>
    <m/>
    <m/>
    <s v="LAFM (Suspended)"/>
    <s v="CSAFM"/>
  </r>
  <r>
    <x v="2910"/>
    <s v="Pessini"/>
    <s v="Luca"/>
    <s v="ITA0664"/>
    <s v="VET"/>
    <x v="166"/>
    <s v="ITA"/>
    <m/>
    <m/>
    <m/>
    <m/>
    <m/>
    <s v="FISCT"/>
    <s v="CESTFA"/>
  </r>
  <r>
    <x v="2911"/>
    <s v="Pestelle"/>
    <s v="Nigel"/>
    <s v="ENG0543"/>
    <s v="VET"/>
    <x v="231"/>
    <s v="ENG"/>
    <m/>
    <m/>
    <m/>
    <m/>
    <m/>
    <s v="ESA"/>
    <s v="CESTFA"/>
  </r>
  <r>
    <x v="2912"/>
    <s v="Petea"/>
    <s v="Aldo Francesco"/>
    <s v="ITA3430"/>
    <s v="U12"/>
    <x v="166"/>
    <s v="ITA"/>
    <m/>
    <m/>
    <m/>
    <m/>
    <m/>
    <s v="FISCT"/>
    <s v="CESTFA"/>
  </r>
  <r>
    <x v="2913"/>
    <s v="Peters"/>
    <s v="Joey"/>
    <s v="USA0396"/>
    <s v="OPEN"/>
    <x v="60"/>
    <s v="USA"/>
    <m/>
    <m/>
    <m/>
    <m/>
    <m/>
    <s v="ASA"/>
    <s v="CONASTF"/>
  </r>
  <r>
    <x v="2914"/>
    <s v="Peterschinigg"/>
    <s v="Rudi"/>
    <s v="ENG0176"/>
    <s v="VET"/>
    <x v="197"/>
    <s v="ENG"/>
    <m/>
    <m/>
    <m/>
    <m/>
    <m/>
    <s v="ESA"/>
    <s v="CESTFA"/>
  </r>
  <r>
    <x v="2915"/>
    <s v="Petersen"/>
    <s v="Alexander"/>
    <s v="DEN0045"/>
    <s v="OPEN"/>
    <x v="10"/>
    <s v="DEN"/>
    <m/>
    <m/>
    <m/>
    <m/>
    <m/>
    <s v="DSBU (Provisional)"/>
    <m/>
  </r>
  <r>
    <x v="2916"/>
    <s v="Petersen"/>
    <s v="Andreas"/>
    <s v="DEN0040"/>
    <s v="OPEN"/>
    <x v="10"/>
    <s v="DEN"/>
    <m/>
    <m/>
    <m/>
    <m/>
    <m/>
    <s v="DSBU (Provisional)"/>
    <m/>
  </r>
  <r>
    <x v="2917"/>
    <s v="Petersen"/>
    <s v="Thomas"/>
    <s v="DEN0001"/>
    <s v="OPEN"/>
    <x v="10"/>
    <s v="DEN"/>
    <m/>
    <m/>
    <m/>
    <m/>
    <m/>
    <s v="DSBU (Provisional)"/>
    <m/>
  </r>
  <r>
    <x v="2918"/>
    <s v="Petersen"/>
    <s v="Victor"/>
    <s v="DEN0044"/>
    <s v="OPEN"/>
    <x v="10"/>
    <s v="DEN"/>
    <m/>
    <m/>
    <m/>
    <m/>
    <m/>
    <s v="DSBU (Provisional)"/>
    <m/>
  </r>
  <r>
    <x v="2919"/>
    <s v="Petrakis"/>
    <s v="Sotiris"/>
    <s v="GRE0618"/>
    <s v="OPEN"/>
    <x v="14"/>
    <s v="GRE"/>
    <m/>
    <m/>
    <m/>
    <m/>
    <m/>
    <s v="UHTF"/>
    <s v="CESTFA"/>
  </r>
  <r>
    <x v="2920"/>
    <s v="Petrini"/>
    <s v="Mauro"/>
    <s v="ITA0666"/>
    <s v="VET"/>
    <x v="71"/>
    <s v="ITA"/>
    <m/>
    <m/>
    <m/>
    <m/>
    <m/>
    <s v="FISCT"/>
    <s v="CESTFA"/>
  </r>
  <r>
    <x v="2921"/>
    <s v="Petronikolos"/>
    <s v="Georgios"/>
    <s v="GRE0017"/>
    <s v="VET"/>
    <x v="14"/>
    <s v="GRE"/>
    <m/>
    <m/>
    <m/>
    <m/>
    <m/>
    <s v="UHTF"/>
    <s v="CESTFA"/>
  </r>
  <r>
    <x v="2922"/>
    <s v="Petropoulos"/>
    <s v="Alexandros"/>
    <s v="GRE0509"/>
    <s v="OPEN"/>
    <x v="14"/>
    <s v="GRE"/>
    <m/>
    <m/>
    <m/>
    <m/>
    <m/>
    <s v="UHTF"/>
    <s v="CESTFA"/>
  </r>
  <r>
    <x v="2923"/>
    <s v="Petropoulos"/>
    <s v="Christos"/>
    <s v="GRE0093"/>
    <s v="OPEN"/>
    <x v="14"/>
    <s v="GRE"/>
    <m/>
    <m/>
    <m/>
    <m/>
    <m/>
    <s v="UHTF"/>
    <s v="CESTFA"/>
  </r>
  <r>
    <x v="2924"/>
    <s v="Petrungaro"/>
    <s v="Eugenio Gerardo"/>
    <s v="ITA3441"/>
    <s v="U12"/>
    <x v="177"/>
    <s v="ITA"/>
    <m/>
    <m/>
    <m/>
    <m/>
    <m/>
    <s v="FISCT"/>
    <s v="CESTFA"/>
  </r>
  <r>
    <x v="2925"/>
    <s v="Pezzuolo"/>
    <s v="Luca"/>
    <s v="ITA1261"/>
    <s v="VET"/>
    <x v="35"/>
    <s v="ITA"/>
    <m/>
    <m/>
    <m/>
    <m/>
    <m/>
    <s v="FISCT"/>
    <s v="CESTFA"/>
  </r>
  <r>
    <x v="2926"/>
    <s v="Phokos"/>
    <s v="Gabriel"/>
    <s v="AUS0210"/>
    <s v="U16"/>
    <x v="238"/>
    <s v="AUS"/>
    <m/>
    <m/>
    <m/>
    <m/>
    <m/>
    <s v="ATFA"/>
    <s v="CASTFA"/>
  </r>
  <r>
    <x v="2927"/>
    <s v="Phokos"/>
    <s v="Timothy"/>
    <s v="AUS0209"/>
    <s v="U20"/>
    <x v="238"/>
    <s v="AUS"/>
    <m/>
    <m/>
    <m/>
    <m/>
    <m/>
    <s v="ATFA"/>
    <s v="CASTFA"/>
  </r>
  <r>
    <x v="2928"/>
    <s v="Phua"/>
    <s v="Sammy"/>
    <s v="SGP0077"/>
    <s v="OPEN"/>
    <x v="23"/>
    <s v="SGP"/>
    <m/>
    <m/>
    <m/>
    <m/>
    <m/>
    <s v="TFAS"/>
    <s v="CASTFA"/>
  </r>
  <r>
    <x v="2929"/>
    <s v="Piacentini"/>
    <s v="Daniele"/>
    <s v="ITA2798"/>
    <s v="VET"/>
    <x v="332"/>
    <s v="ITA"/>
    <m/>
    <m/>
    <m/>
    <m/>
    <m/>
    <s v="FISCT"/>
    <s v="CESTFA"/>
  </r>
  <r>
    <x v="2930"/>
    <s v="Pianigiani"/>
    <s v="Stefano"/>
    <s v="ITA2571"/>
    <s v="OPEN"/>
    <x v="27"/>
    <s v="ITA"/>
    <m/>
    <m/>
    <m/>
    <m/>
    <m/>
    <s v="FISCT"/>
    <s v="CESTFA"/>
  </r>
  <r>
    <x v="2931"/>
    <s v="Piatti"/>
    <s v="Tommaso"/>
    <s v="ITA2036"/>
    <s v="OPEN"/>
    <x v="268"/>
    <s v="ITA"/>
    <m/>
    <m/>
    <m/>
    <m/>
    <m/>
    <s v="FISCT"/>
    <s v="CESTFA"/>
  </r>
  <r>
    <x v="2932"/>
    <s v="Pibiri"/>
    <s v="Giulia"/>
    <s v="ITA3321"/>
    <s v="OPEN"/>
    <x v="105"/>
    <s v="ITA"/>
    <m/>
    <m/>
    <m/>
    <m/>
    <m/>
    <s v="FISCT"/>
    <s v="CESTFA"/>
  </r>
  <r>
    <x v="2933"/>
    <s v="Piccoli"/>
    <s v="Roberto"/>
    <s v="ITA2530"/>
    <s v="VET"/>
    <x v="86"/>
    <s v="ITA"/>
    <m/>
    <m/>
    <m/>
    <m/>
    <m/>
    <s v="FISCT"/>
    <s v="CESTFA"/>
  </r>
  <r>
    <x v="2934"/>
    <s v="Pickance"/>
    <s v="Tony"/>
    <s v="ENG0154"/>
    <s v="VET"/>
    <x v="350"/>
    <s v="ENG"/>
    <m/>
    <m/>
    <m/>
    <m/>
    <m/>
    <s v="ESA"/>
    <s v="CESTFA"/>
  </r>
  <r>
    <x v="2935"/>
    <s v="Pieraccioni"/>
    <s v="Simone"/>
    <s v="ITA3316"/>
    <s v="VET"/>
    <x v="187"/>
    <s v="ITA"/>
    <m/>
    <m/>
    <m/>
    <m/>
    <m/>
    <s v="FISCT"/>
    <s v="CESTFA"/>
  </r>
  <r>
    <x v="2936"/>
    <s v="Pieroni"/>
    <s v="Roberto"/>
    <s v="ITA2542"/>
    <s v="VET"/>
    <x v="76"/>
    <s v="ITA"/>
    <m/>
    <m/>
    <m/>
    <m/>
    <m/>
    <s v="FISCT"/>
    <s v="CESTFA"/>
  </r>
  <r>
    <x v="2937"/>
    <s v="Pietrafusa"/>
    <s v="Riccardo"/>
    <s v="ITA3404"/>
    <s v="VET"/>
    <x v="54"/>
    <s v="ITA"/>
    <m/>
    <m/>
    <m/>
    <m/>
    <m/>
    <s v="FISCT"/>
    <s v="CESTFA"/>
  </r>
  <r>
    <x v="2938"/>
    <s v="Piggott"/>
    <s v="Robert"/>
    <s v="ENG0577"/>
    <s v="VET"/>
    <x v="14"/>
    <s v="ENG"/>
    <m/>
    <m/>
    <m/>
    <m/>
    <m/>
    <s v="ESA"/>
    <s v="CESTFA"/>
  </r>
  <r>
    <x v="2939"/>
    <s v="Pigott"/>
    <s v="Adrian"/>
    <s v="IRL0020"/>
    <s v="VET"/>
    <x v="126"/>
    <s v="IRL"/>
    <m/>
    <m/>
    <m/>
    <m/>
    <m/>
    <s v="TFAI"/>
    <s v="CESTFA"/>
  </r>
  <r>
    <x v="2940"/>
    <s v="Pilatos"/>
    <s v="Theodoros"/>
    <s v="GRE0749"/>
    <s v="OPEN"/>
    <x v="66"/>
    <s v="GRE"/>
    <m/>
    <m/>
    <m/>
    <m/>
    <m/>
    <s v="UHTF"/>
    <s v="CESTFA"/>
  </r>
  <r>
    <x v="2941"/>
    <s v="Pimpinella"/>
    <s v="Fabio"/>
    <s v="ITA3026"/>
    <s v="VET"/>
    <x v="27"/>
    <s v="ITA"/>
    <m/>
    <m/>
    <m/>
    <m/>
    <m/>
    <s v="FISCT"/>
    <s v="CESTFA"/>
  </r>
  <r>
    <x v="2942"/>
    <s v="Pinausi"/>
    <s v="Marco"/>
    <s v="ITA0675"/>
    <s v="VET"/>
    <x v="193"/>
    <s v="ITA"/>
    <m/>
    <m/>
    <m/>
    <m/>
    <m/>
    <s v="FISCT"/>
    <s v="CESTFA"/>
  </r>
  <r>
    <x v="2943"/>
    <s v="Pinheiro"/>
    <s v="Felipe Maciel"/>
    <s v="BRA0147"/>
    <s v="OPEN"/>
    <x v="237"/>
    <s v="BRA"/>
    <m/>
    <m/>
    <m/>
    <m/>
    <m/>
    <s v="CBFM (Suspended)"/>
    <m/>
  </r>
  <r>
    <x v="2944"/>
    <s v="Pinheiro Barthez"/>
    <s v="Renato"/>
    <s v="BRA0026"/>
    <s v="OPEN"/>
    <x v="214"/>
    <s v="BRA"/>
    <m/>
    <m/>
    <m/>
    <m/>
    <m/>
    <s v="CBFM (Suspended)"/>
    <m/>
  </r>
  <r>
    <x v="2945"/>
    <s v="Pinho"/>
    <s v="Inês"/>
    <s v="POR0231"/>
    <s v="U16"/>
    <x v="11"/>
    <s v="POR"/>
    <m/>
    <m/>
    <m/>
    <m/>
    <m/>
    <s v="APS"/>
    <s v="CESTFA"/>
  </r>
  <r>
    <x v="2946"/>
    <s v="Pini"/>
    <s v="Luca"/>
    <s v="ITA0676"/>
    <s v="VET"/>
    <x v="33"/>
    <s v="ITA"/>
    <m/>
    <m/>
    <m/>
    <m/>
    <m/>
    <s v="FISCT"/>
    <s v="CESTFA"/>
  </r>
  <r>
    <x v="2947"/>
    <s v="Pinter"/>
    <s v="Fabian"/>
    <s v="AUT0120"/>
    <s v="U20"/>
    <x v="258"/>
    <s v="AUT"/>
    <m/>
    <m/>
    <m/>
    <m/>
    <m/>
    <s v="EÖTV"/>
    <s v="CESTFA"/>
  </r>
  <r>
    <x v="2948"/>
    <s v="Pinto"/>
    <s v="Giampiero"/>
    <s v="ITA2301"/>
    <s v="VET"/>
    <x v="54"/>
    <s v="ITA"/>
    <m/>
    <m/>
    <m/>
    <m/>
    <m/>
    <s v="FISCT"/>
    <s v="CESTFA"/>
  </r>
  <r>
    <x v="2949"/>
    <s v="Pinto"/>
    <s v="Juan Carlos"/>
    <s v="ESP0417"/>
    <s v="VET"/>
    <x v="171"/>
    <s v="ESP"/>
    <m/>
    <m/>
    <m/>
    <m/>
    <m/>
    <s v="AEFM"/>
    <s v="CESTFA"/>
  </r>
  <r>
    <x v="2950"/>
    <s v="Pinto"/>
    <s v="Pedro M"/>
    <s v="POR0214"/>
    <s v="VET"/>
    <x v="8"/>
    <s v="POR"/>
    <m/>
    <m/>
    <m/>
    <m/>
    <m/>
    <s v="APS"/>
    <s v="CESTFA"/>
  </r>
  <r>
    <x v="2951"/>
    <s v="Pinto Gurdiel"/>
    <s v="Carlos"/>
    <s v="ESP0416"/>
    <s v="U20"/>
    <x v="31"/>
    <s v="ESP"/>
    <m/>
    <m/>
    <m/>
    <m/>
    <m/>
    <s v="AEFM"/>
    <s v="CESTFA"/>
  </r>
  <r>
    <x v="2952"/>
    <s v="Pintore"/>
    <s v="Fabrizio"/>
    <s v="ITA0678"/>
    <s v="OPEN"/>
    <x v="230"/>
    <s v="ITA"/>
    <m/>
    <m/>
    <m/>
    <m/>
    <m/>
    <s v="FISCT"/>
    <s v="CESTFA"/>
  </r>
  <r>
    <x v="2953"/>
    <s v="Pireddu"/>
    <s v="Sebastiano"/>
    <s v="ITA2347"/>
    <s v="OPEN"/>
    <x v="71"/>
    <s v="ITA"/>
    <m/>
    <m/>
    <m/>
    <m/>
    <m/>
    <s v="FISCT"/>
    <s v="CESTFA"/>
  </r>
  <r>
    <x v="2954"/>
    <s v="Pires"/>
    <s v="António"/>
    <s v="POR0164"/>
    <s v="VET"/>
    <x v="351"/>
    <s v="POR"/>
    <m/>
    <m/>
    <m/>
    <m/>
    <m/>
    <s v="APS"/>
    <s v="CESTFA"/>
  </r>
  <r>
    <x v="2955"/>
    <s v="Pirova"/>
    <s v="Stefka"/>
    <s v="ESP0461"/>
    <s v="OPEN"/>
    <x v="150"/>
    <s v="ESP"/>
    <m/>
    <m/>
    <m/>
    <m/>
    <m/>
    <s v="AEFM"/>
    <s v="CESTFA"/>
  </r>
  <r>
    <x v="2956"/>
    <s v="Pisani"/>
    <s v="Jason"/>
    <s v="MLT0028"/>
    <s v="VET"/>
    <x v="63"/>
    <s v="MLT"/>
    <m/>
    <m/>
    <m/>
    <m/>
    <m/>
    <s v="MTFSA"/>
    <s v="CESTFA"/>
  </r>
  <r>
    <x v="2957"/>
    <s v="Piscopo"/>
    <s v="Carlo"/>
    <s v="ITA2959"/>
    <s v="VET"/>
    <x v="76"/>
    <s v="ITA"/>
    <m/>
    <m/>
    <m/>
    <m/>
    <m/>
    <s v="FISCT"/>
    <s v="CESTFA"/>
  </r>
  <r>
    <x v="2958"/>
    <s v="Pistolesi"/>
    <s v="Stefano"/>
    <s v="ITA2586"/>
    <s v="OPEN"/>
    <x v="352"/>
    <s v="ITA"/>
    <m/>
    <m/>
    <m/>
    <m/>
    <m/>
    <s v="FISCT"/>
    <s v="CESTFA"/>
  </r>
  <r>
    <x v="2959"/>
    <s v="Pistoni"/>
    <s v="Marco"/>
    <s v="ITA1899"/>
    <s v="VET"/>
    <x v="205"/>
    <s v="ITA"/>
    <m/>
    <m/>
    <m/>
    <m/>
    <m/>
    <s v="FISCT"/>
    <s v="CESTFA"/>
  </r>
  <r>
    <x v="2960"/>
    <s v="Pistorino"/>
    <s v="Marco"/>
    <s v="ITA3304"/>
    <s v="OPEN"/>
    <x v="209"/>
    <s v="ITA"/>
    <m/>
    <m/>
    <m/>
    <m/>
    <m/>
    <s v="FISCT"/>
    <s v="CESTFA"/>
  </r>
  <r>
    <x v="2961"/>
    <s v="Pisu"/>
    <s v="Luigi"/>
    <s v="ITA2985"/>
    <s v="OPEN"/>
    <x v="44"/>
    <s v="ITA"/>
    <m/>
    <m/>
    <m/>
    <m/>
    <m/>
    <s v="FISCT"/>
    <s v="CESTFA"/>
  </r>
  <r>
    <x v="2962"/>
    <s v="Pitihoutis"/>
    <s v="Georgios"/>
    <s v="GRE0461"/>
    <s v="VET"/>
    <x v="62"/>
    <s v="GRE"/>
    <m/>
    <m/>
    <m/>
    <m/>
    <m/>
    <s v="UHTF"/>
    <s v="CESTFA"/>
  </r>
  <r>
    <x v="2963"/>
    <s v="Pitsari"/>
    <s v="Alexandra"/>
    <s v="GRE0823"/>
    <s v="U12"/>
    <x v="78"/>
    <s v="GRE"/>
    <m/>
    <m/>
    <m/>
    <m/>
    <m/>
    <s v="UHTF"/>
    <s v="CESTFA"/>
  </r>
  <r>
    <x v="2964"/>
    <s v="Pitsaris"/>
    <s v="Christos"/>
    <s v="GRE0015"/>
    <s v="OPEN"/>
    <x v="78"/>
    <s v="GRE"/>
    <m/>
    <m/>
    <m/>
    <m/>
    <m/>
    <s v="UHTF"/>
    <s v="CESTFA"/>
  </r>
  <r>
    <x v="2965"/>
    <s v="Pitsaris"/>
    <s v="Georgios"/>
    <s v="GRE0824"/>
    <s v="U12"/>
    <x v="78"/>
    <s v="GRE"/>
    <m/>
    <m/>
    <m/>
    <m/>
    <m/>
    <s v="UHTF"/>
    <s v="CESTFA"/>
  </r>
  <r>
    <x v="2966"/>
    <s v="Plesa"/>
    <s v="Nada"/>
    <s v="GRE0102"/>
    <s v="OPEN"/>
    <x v="14"/>
    <s v="GRE"/>
    <m/>
    <m/>
    <m/>
    <m/>
    <m/>
    <s v="UHTF"/>
    <s v="CESTFA"/>
  </r>
  <r>
    <x v="2967"/>
    <s v="Plianthidis"/>
    <s v="Kyriakos"/>
    <s v="GRE0546"/>
    <s v="OPEN"/>
    <x v="14"/>
    <s v="GRE"/>
    <m/>
    <m/>
    <m/>
    <m/>
    <m/>
    <s v="UHTF"/>
    <s v="CESTFA"/>
  </r>
  <r>
    <x v="2968"/>
    <s v="Plianthidis"/>
    <s v="Vaggelis"/>
    <s v="GRE0545"/>
    <s v="OPEN"/>
    <x v="14"/>
    <s v="GRE"/>
    <m/>
    <m/>
    <m/>
    <m/>
    <m/>
    <s v="UHTF"/>
    <s v="CESTFA"/>
  </r>
  <r>
    <x v="2969"/>
    <s v="Plytas"/>
    <s v="Evgenios"/>
    <s v="GRE0011"/>
    <s v="VET"/>
    <x v="353"/>
    <s v="GRE"/>
    <m/>
    <m/>
    <m/>
    <m/>
    <m/>
    <s v="UHTF"/>
    <s v="CESTFA"/>
  </r>
  <r>
    <x v="2970"/>
    <s v="Pochesci"/>
    <s v="Daniele"/>
    <s v="ITA0687"/>
    <s v="OPEN"/>
    <x v="155"/>
    <s v="ITA"/>
    <m/>
    <m/>
    <m/>
    <m/>
    <m/>
    <s v="FISCT"/>
    <s v="CESTFA"/>
  </r>
  <r>
    <x v="2971"/>
    <s v="Pochetti"/>
    <s v="Francesco"/>
    <s v="ITA3288"/>
    <s v="OPEN"/>
    <x v="27"/>
    <s v="ITA"/>
    <m/>
    <m/>
    <m/>
    <m/>
    <m/>
    <s v="FISCT"/>
    <s v="CESTFA"/>
  </r>
  <r>
    <x v="2972"/>
    <s v="Podini"/>
    <s v="Marco"/>
    <s v="ITA3406"/>
    <s v="VET"/>
    <x v="209"/>
    <s v="ITA"/>
    <m/>
    <m/>
    <m/>
    <m/>
    <m/>
    <s v="FISCT"/>
    <s v="CESTFA"/>
  </r>
  <r>
    <x v="2973"/>
    <s v="Poggiali"/>
    <s v="Nicola"/>
    <s v="ITA1313"/>
    <s v="VET"/>
    <x v="187"/>
    <s v="ITA"/>
    <m/>
    <m/>
    <m/>
    <m/>
    <m/>
    <s v="FISCT"/>
    <s v="CESTFA"/>
  </r>
  <r>
    <x v="2974"/>
    <s v="Polichronidis Polichroniadis"/>
    <s v="Damianos"/>
    <s v="GRE0052"/>
    <s v="OPEN"/>
    <x v="14"/>
    <s v="GRE"/>
    <m/>
    <m/>
    <m/>
    <m/>
    <m/>
    <s v="UHTF"/>
    <s v="CESTFA"/>
  </r>
  <r>
    <x v="2975"/>
    <s v="Politz"/>
    <s v="Manuel"/>
    <s v="GER0129"/>
    <s v="OPEN"/>
    <x v="108"/>
    <s v="GER"/>
    <m/>
    <m/>
    <m/>
    <m/>
    <m/>
    <s v="DSTFB"/>
    <s v="CESTFA"/>
  </r>
  <r>
    <x v="2976"/>
    <s v="Polizos"/>
    <s v="Spyros"/>
    <s v="GRE0211"/>
    <s v="OPEN"/>
    <x v="78"/>
    <s v="GRE"/>
    <m/>
    <m/>
    <m/>
    <m/>
    <m/>
    <s v="UHTF"/>
    <s v="CESTFA"/>
  </r>
  <r>
    <x v="2977"/>
    <s v="Polsinelli"/>
    <s v="Denis"/>
    <s v="FRA0185"/>
    <s v="VET"/>
    <x v="152"/>
    <s v="FRA"/>
    <m/>
    <m/>
    <m/>
    <m/>
    <m/>
    <s v="3FTS"/>
    <s v="CESTFA"/>
  </r>
  <r>
    <x v="2978"/>
    <s v="Polychronakis"/>
    <s v="Charalampos"/>
    <s v="GRE0344"/>
    <s v="OPEN"/>
    <x v="14"/>
    <s v="GRE"/>
    <m/>
    <m/>
    <m/>
    <m/>
    <m/>
    <s v="UHTF"/>
    <s v="CESTFA"/>
  </r>
  <r>
    <x v="2979"/>
    <s v="Polychroniadis"/>
    <s v="Charalambos"/>
    <s v="GRE0418"/>
    <s v="OPEN"/>
    <x v="14"/>
    <s v="GRE"/>
    <m/>
    <m/>
    <m/>
    <m/>
    <m/>
    <s v="UHTF"/>
    <s v="CESTFA"/>
  </r>
  <r>
    <x v="2980"/>
    <s v="Polykratis"/>
    <s v="Konstantinos"/>
    <s v="GRE0345"/>
    <s v="VET"/>
    <x v="14"/>
    <s v="GRE"/>
    <m/>
    <m/>
    <m/>
    <m/>
    <m/>
    <s v="UHTF"/>
    <s v="CESTFA"/>
  </r>
  <r>
    <x v="2981"/>
    <s v="Pommier"/>
    <s v="Raphaël"/>
    <s v="FRA0062"/>
    <s v="OPEN"/>
    <x v="57"/>
    <s v="FRA"/>
    <m/>
    <m/>
    <m/>
    <m/>
    <m/>
    <s v="3FTS"/>
    <s v="CESTFA"/>
  </r>
  <r>
    <x v="2982"/>
    <s v="Pommier"/>
    <s v="Stéphane"/>
    <s v="FRA0056"/>
    <s v="VET"/>
    <x v="57"/>
    <s v="FRA"/>
    <m/>
    <m/>
    <m/>
    <m/>
    <m/>
    <s v="3FTS"/>
    <s v="CESTFA"/>
  </r>
  <r>
    <x v="2983"/>
    <s v="Pon"/>
    <s v="Francesco"/>
    <s v="ITA3040"/>
    <s v="VET"/>
    <x v="46"/>
    <s v="ITA"/>
    <m/>
    <m/>
    <m/>
    <m/>
    <m/>
    <s v="FISCT"/>
    <s v="CESTFA"/>
  </r>
  <r>
    <x v="2984"/>
    <s v="Poncetta"/>
    <s v="Ernesto"/>
    <s v="ITA2048"/>
    <s v="VET"/>
    <x v="174"/>
    <s v="ITA"/>
    <m/>
    <m/>
    <m/>
    <m/>
    <m/>
    <s v="FISCT"/>
    <s v="CESTFA"/>
  </r>
  <r>
    <x v="2985"/>
    <s v="PONTÉ"/>
    <s v="Thomas"/>
    <s v="UKR0001"/>
    <s v="OPEN"/>
    <x v="232"/>
    <s v="UKR"/>
    <m/>
    <m/>
    <m/>
    <m/>
    <m/>
    <s v="UKT (Provisional)"/>
    <m/>
  </r>
  <r>
    <x v="2986"/>
    <s v="Ponthieux"/>
    <s v="Ludovic"/>
    <s v="BEL0147"/>
    <s v="OPEN"/>
    <x v="28"/>
    <s v="BEL"/>
    <m/>
    <m/>
    <m/>
    <m/>
    <m/>
    <m/>
    <m/>
  </r>
  <r>
    <x v="2987"/>
    <s v="Pontikopoulos"/>
    <s v="Georgios"/>
    <s v="GRE0484"/>
    <s v="VET"/>
    <x v="218"/>
    <s v="GRE"/>
    <m/>
    <m/>
    <m/>
    <m/>
    <m/>
    <s v="UHTF"/>
    <s v="CESTFA"/>
  </r>
  <r>
    <x v="2988"/>
    <s v="POPOV"/>
    <s v="Ivan"/>
    <s v="UKR0003"/>
    <s v="U20"/>
    <x v="159"/>
    <s v="UKR"/>
    <m/>
    <m/>
    <m/>
    <m/>
    <m/>
    <s v="UKT (Provisional)"/>
    <m/>
  </r>
  <r>
    <x v="2989"/>
    <s v="Popp"/>
    <s v="Benedikt"/>
    <s v="GER0068"/>
    <s v="OPEN"/>
    <x v="135"/>
    <s v="GER"/>
    <m/>
    <m/>
    <m/>
    <m/>
    <m/>
    <s v="DSTFB"/>
    <s v="CESTFA"/>
  </r>
  <r>
    <x v="2990"/>
    <s v="Popp"/>
    <s v="Harald"/>
    <s v="GER0076"/>
    <s v="VET"/>
    <x v="354"/>
    <s v="GER"/>
    <m/>
    <m/>
    <m/>
    <m/>
    <m/>
    <s v="DSTFB"/>
    <s v="CESTFA"/>
  </r>
  <r>
    <x v="2991"/>
    <s v="Popp"/>
    <s v="Roland"/>
    <s v="GER0067"/>
    <s v="VET"/>
    <x v="142"/>
    <s v="GER"/>
    <m/>
    <m/>
    <m/>
    <m/>
    <m/>
    <s v="DSTFB"/>
    <s v="CESTFA"/>
  </r>
  <r>
    <x v="2992"/>
    <s v="Popp"/>
    <s v="Tobias"/>
    <s v="GER0088"/>
    <s v="U20"/>
    <x v="135"/>
    <s v="GER"/>
    <m/>
    <m/>
    <m/>
    <m/>
    <m/>
    <s v="DSTFB"/>
    <s v="CESTFA"/>
  </r>
  <r>
    <x v="2993"/>
    <s v="Porcelli"/>
    <s v="Giuseppe"/>
    <s v="ITA0691"/>
    <s v="OPEN"/>
    <x v="116"/>
    <s v="ITA"/>
    <m/>
    <m/>
    <m/>
    <m/>
    <m/>
    <s v="FISCT"/>
    <s v="CESTFA"/>
  </r>
  <r>
    <x v="2994"/>
    <s v="Poreski"/>
    <s v="Joshua"/>
    <s v="GER0111"/>
    <s v="U20"/>
    <x v="7"/>
    <s v="GER"/>
    <m/>
    <m/>
    <m/>
    <m/>
    <m/>
    <s v="DSTFB"/>
    <s v="CESTFA"/>
  </r>
  <r>
    <x v="2995"/>
    <s v="Porro"/>
    <s v="Michelangelo"/>
    <s v="ITA0693"/>
    <s v="OPEN"/>
    <x v="111"/>
    <s v="ITA"/>
    <m/>
    <m/>
    <m/>
    <m/>
    <m/>
    <s v="FISCT"/>
    <s v="CESTFA"/>
  </r>
  <r>
    <x v="2996"/>
    <s v="Porro"/>
    <s v="Riccardo"/>
    <s v="ITA0692"/>
    <s v="VET"/>
    <x v="111"/>
    <s v="ITA"/>
    <m/>
    <m/>
    <m/>
    <m/>
    <m/>
    <s v="FISCT"/>
    <s v="CESTFA"/>
  </r>
  <r>
    <x v="2997"/>
    <s v="Porto"/>
    <s v="Fabio"/>
    <s v="BRA0065"/>
    <s v="OPEN"/>
    <x v="14"/>
    <s v="BRA"/>
    <m/>
    <m/>
    <m/>
    <m/>
    <m/>
    <s v="CBFM (Suspended)"/>
    <m/>
  </r>
  <r>
    <x v="2998"/>
    <s v="Portoghese"/>
    <s v="Ignazio"/>
    <s v="ITA2754"/>
    <s v="OPEN"/>
    <x v="105"/>
    <s v="ITA"/>
    <m/>
    <m/>
    <m/>
    <m/>
    <m/>
    <s v="FISCT"/>
    <s v="CESTFA"/>
  </r>
  <r>
    <x v="2999"/>
    <s v="Portoghese"/>
    <s v="Igor"/>
    <s v="ITA2753"/>
    <s v="OPEN"/>
    <x v="105"/>
    <s v="ITA"/>
    <m/>
    <m/>
    <m/>
    <m/>
    <m/>
    <s v="FISCT"/>
    <s v="CESTFA"/>
  </r>
  <r>
    <x v="3000"/>
    <s v="Português"/>
    <s v="Paulo"/>
    <s v="POR0017"/>
    <s v="VET"/>
    <x v="14"/>
    <s v="POR"/>
    <m/>
    <m/>
    <m/>
    <m/>
    <m/>
    <s v="APS"/>
    <s v="CESTFA"/>
  </r>
  <r>
    <x v="3001"/>
    <s v="Português"/>
    <s v="Ruben"/>
    <s v="POR0021"/>
    <s v="OPEN"/>
    <x v="31"/>
    <s v="POR"/>
    <m/>
    <m/>
    <m/>
    <m/>
    <m/>
    <s v="APS"/>
    <s v="CESTFA"/>
  </r>
  <r>
    <x v="3002"/>
    <s v="Post"/>
    <s v="Louise Have"/>
    <s v="DEN0068"/>
    <s v="OPEN"/>
    <x v="10"/>
    <s v="DEN"/>
    <m/>
    <m/>
    <m/>
    <m/>
    <m/>
    <s v="DSBU (Provisional)"/>
    <m/>
  </r>
  <r>
    <x v="3003"/>
    <s v="Pothitos"/>
    <s v="Dimitrios"/>
    <s v="GRE0539"/>
    <s v="VET"/>
    <x v="179"/>
    <s v="GRE"/>
    <m/>
    <m/>
    <m/>
    <m/>
    <m/>
    <s v="UHTF"/>
    <s v="CESTFA"/>
  </r>
  <r>
    <x v="3004"/>
    <s v="Pothitos"/>
    <s v="Ioannis"/>
    <s v="GRE0591"/>
    <s v="OPEN"/>
    <x v="179"/>
    <s v="GRE"/>
    <m/>
    <m/>
    <m/>
    <m/>
    <m/>
    <s v="UHTF"/>
    <s v="CESTFA"/>
  </r>
  <r>
    <x v="3005"/>
    <s v="Pouffet"/>
    <s v="Aymeric"/>
    <s v="FRA0222"/>
    <s v="OPEN"/>
    <x v="73"/>
    <s v="FRA"/>
    <m/>
    <m/>
    <m/>
    <m/>
    <m/>
    <s v="3FTS"/>
    <s v="CESTFA"/>
  </r>
  <r>
    <x v="3006"/>
    <s v="Pouffet"/>
    <s v="Kévin"/>
    <s v="FRA0218"/>
    <s v="OPEN"/>
    <x v="97"/>
    <s v="FRA"/>
    <m/>
    <m/>
    <m/>
    <m/>
    <m/>
    <s v="3FTS"/>
    <s v="CESTFA"/>
  </r>
  <r>
    <x v="3007"/>
    <s v="Poulidis"/>
    <s v="Anargyros"/>
    <s v="GRE0016"/>
    <s v="VET"/>
    <x v="14"/>
    <s v="GRE"/>
    <m/>
    <m/>
    <m/>
    <m/>
    <m/>
    <s v="UHTF"/>
    <s v="CESTFA"/>
  </r>
  <r>
    <x v="3008"/>
    <s v="poupart"/>
    <s v="Léa"/>
    <s v="FRA0246"/>
    <s v="U20"/>
    <x v="232"/>
    <s v="FRA"/>
    <m/>
    <m/>
    <m/>
    <m/>
    <m/>
    <s v="3FTS"/>
    <s v="CESTFA"/>
  </r>
  <r>
    <x v="3009"/>
    <s v="Pouris"/>
    <s v="Christos"/>
    <s v="GRE0044"/>
    <s v="VET"/>
    <x v="14"/>
    <s v="GRE"/>
    <m/>
    <m/>
    <m/>
    <m/>
    <m/>
    <s v="UHTF"/>
    <s v="CESTFA"/>
  </r>
  <r>
    <x v="3010"/>
    <s v="Powels"/>
    <s v="Florian"/>
    <s v="GER0025"/>
    <s v="OPEN"/>
    <x v="5"/>
    <s v="GER"/>
    <m/>
    <m/>
    <m/>
    <m/>
    <m/>
    <s v="DSTFB"/>
    <s v="CESTFA"/>
  </r>
  <r>
    <x v="3011"/>
    <s v="Pozzi"/>
    <s v="Giacomo"/>
    <s v="ITA2395"/>
    <s v="VET"/>
    <x v="196"/>
    <s v="ITA"/>
    <m/>
    <m/>
    <m/>
    <m/>
    <m/>
    <s v="FISCT"/>
    <s v="CESTFA"/>
  </r>
  <r>
    <x v="3012"/>
    <s v="Praino"/>
    <s v="Salvatore"/>
    <s v="ITA0694"/>
    <s v="VET"/>
    <x v="193"/>
    <s v="ITA"/>
    <m/>
    <m/>
    <m/>
    <m/>
    <m/>
    <s v="FISCT"/>
    <s v="CESTFA"/>
  </r>
  <r>
    <x v="3013"/>
    <s v="Prando Ferreira"/>
    <s v="Lucas"/>
    <s v="BRA0170"/>
    <s v="OPEN"/>
    <x v="14"/>
    <s v="BRA"/>
    <m/>
    <m/>
    <m/>
    <m/>
    <m/>
    <s v="CBFM (Suspended)"/>
    <m/>
  </r>
  <r>
    <x v="3014"/>
    <s v="Prando Ferreira"/>
    <s v="Pedro"/>
    <s v="BRA0144"/>
    <s v="OPEN"/>
    <x v="264"/>
    <s v="BRA"/>
    <m/>
    <m/>
    <m/>
    <m/>
    <m/>
    <s v="CBFM (Suspended)"/>
    <m/>
  </r>
  <r>
    <x v="3015"/>
    <s v="Prantsoudis"/>
    <s v="Evripidis"/>
    <s v="GRE0010"/>
    <s v="OPEN"/>
    <x v="17"/>
    <s v="GRE"/>
    <m/>
    <m/>
    <m/>
    <m/>
    <m/>
    <s v="UHTF"/>
    <s v="CESTFA"/>
  </r>
  <r>
    <x v="3016"/>
    <s v="Prats"/>
    <s v="Vicenç"/>
    <s v="ESP0006"/>
    <s v="VET"/>
    <x v="31"/>
    <s v="ESP"/>
    <m/>
    <m/>
    <m/>
    <m/>
    <m/>
    <s v="AEFM"/>
    <s v="CESTFA"/>
  </r>
  <r>
    <x v="3017"/>
    <s v="Prazynski"/>
    <s v="Daria"/>
    <s v="GER0119"/>
    <s v="OPEN"/>
    <x v="5"/>
    <s v="GER"/>
    <m/>
    <m/>
    <m/>
    <m/>
    <m/>
    <s v="DSTFB"/>
    <s v="CESTFA"/>
  </r>
  <r>
    <x v="3018"/>
    <s v="Presti"/>
    <s v="Danilo"/>
    <s v="ITA2577"/>
    <s v="OPEN"/>
    <x v="132"/>
    <s v="ITA"/>
    <m/>
    <m/>
    <m/>
    <m/>
    <m/>
    <s v="FISCT"/>
    <s v="CESTFA"/>
  </r>
  <r>
    <x v="3019"/>
    <s v="Prestia"/>
    <s v="Vincenzo"/>
    <s v="ITA0950"/>
    <s v="OPEN"/>
    <x v="84"/>
    <s v="ITA"/>
    <m/>
    <m/>
    <m/>
    <m/>
    <m/>
    <s v="FISCT"/>
    <s v="CESTFA"/>
  </r>
  <r>
    <x v="3020"/>
    <s v="Presutti"/>
    <s v="Maurizio"/>
    <s v="ITA2354"/>
    <s v="VET"/>
    <x v="101"/>
    <s v="ITA"/>
    <m/>
    <m/>
    <m/>
    <m/>
    <m/>
    <s v="FISCT"/>
    <s v="CESTFA"/>
  </r>
  <r>
    <x v="3021"/>
    <s v="Prettico"/>
    <s v="Angelo"/>
    <s v="ITA3336"/>
    <s v="OPEN"/>
    <x v="27"/>
    <s v="ITA"/>
    <m/>
    <m/>
    <m/>
    <m/>
    <m/>
    <s v="FISCT"/>
    <s v="CESTFA"/>
  </r>
  <r>
    <x v="3022"/>
    <s v="Pretzel"/>
    <s v="Nico"/>
    <s v="GER0126"/>
    <s v="OPEN"/>
    <x v="5"/>
    <s v="GER"/>
    <m/>
    <m/>
    <m/>
    <m/>
    <m/>
    <s v="DSTFB"/>
    <s v="CESTFA"/>
  </r>
  <r>
    <x v="3023"/>
    <s v="Pretzel"/>
    <s v="Wilfried"/>
    <s v="GER0125"/>
    <s v="VET"/>
    <x v="5"/>
    <s v="GER"/>
    <m/>
    <m/>
    <m/>
    <m/>
    <m/>
    <s v="DSTFB"/>
    <s v="CESTFA"/>
  </r>
  <r>
    <x v="3024"/>
    <s v="Preu"/>
    <s v="Achim"/>
    <s v="GER0056"/>
    <s v="VET"/>
    <x v="281"/>
    <s v="GER"/>
    <m/>
    <m/>
    <m/>
    <m/>
    <m/>
    <s v="DSTFB"/>
    <s v="CESTFA"/>
  </r>
  <r>
    <x v="3025"/>
    <s v="Previti"/>
    <s v="Pietro"/>
    <s v="ITA1341"/>
    <s v="VET"/>
    <x v="206"/>
    <s v="ITA"/>
    <m/>
    <m/>
    <m/>
    <m/>
    <m/>
    <s v="FISCT"/>
    <s v="CESTFA"/>
  </r>
  <r>
    <x v="3026"/>
    <s v="Preziuso"/>
    <s v="Gennaro"/>
    <s v="ITA0701"/>
    <s v="OPEN"/>
    <x v="111"/>
    <s v="ITA"/>
    <m/>
    <m/>
    <m/>
    <m/>
    <m/>
    <s v="FISCT"/>
    <s v="CESTFA"/>
  </r>
  <r>
    <x v="3027"/>
    <s v="Preziuso"/>
    <s v="Manfredo"/>
    <s v="ITA0702"/>
    <s v="VET"/>
    <x v="176"/>
    <s v="ITA"/>
    <m/>
    <m/>
    <m/>
    <m/>
    <m/>
    <s v="FISCT"/>
    <s v="CESTFA"/>
  </r>
  <r>
    <x v="3028"/>
    <s v="Preziuso"/>
    <s v="Marco"/>
    <s v="ITA0703"/>
    <s v="OPEN"/>
    <x v="199"/>
    <s v="ITA"/>
    <m/>
    <m/>
    <m/>
    <m/>
    <m/>
    <s v="FISCT"/>
    <s v="CESTFA"/>
  </r>
  <r>
    <x v="3029"/>
    <s v="Priamo"/>
    <s v="Alfredo"/>
    <s v="ITA1737"/>
    <s v="VET"/>
    <x v="233"/>
    <s v="ITA"/>
    <m/>
    <m/>
    <m/>
    <m/>
    <m/>
    <s v="FISCT"/>
    <s v="CESTFA"/>
  </r>
  <r>
    <x v="3030"/>
    <s v="Price"/>
    <s v="Brett"/>
    <s v="ENG0101"/>
    <s v="VET"/>
    <x v="75"/>
    <s v="ENG"/>
    <m/>
    <m/>
    <m/>
    <m/>
    <m/>
    <s v="ESA"/>
    <s v="CESTFA"/>
  </r>
  <r>
    <x v="3031"/>
    <s v="Prifti"/>
    <s v="Sofia"/>
    <s v="GRE0256"/>
    <s v="OPEN"/>
    <x v="14"/>
    <s v="GRE"/>
    <m/>
    <m/>
    <m/>
    <m/>
    <m/>
    <s v="UHTF"/>
    <s v="CESTFA"/>
  </r>
  <r>
    <x v="3032"/>
    <s v="Priftis"/>
    <s v="Anastasios"/>
    <s v="GRE0091"/>
    <s v="VET"/>
    <x v="179"/>
    <s v="GRE"/>
    <m/>
    <m/>
    <m/>
    <m/>
    <m/>
    <s v="UHTF"/>
    <s v="CESTFA"/>
  </r>
  <r>
    <x v="3033"/>
    <s v="Prinias"/>
    <s v="Alexandros"/>
    <s v="GRE0116"/>
    <s v="OPEN"/>
    <x v="14"/>
    <s v="GRE"/>
    <m/>
    <m/>
    <m/>
    <m/>
    <m/>
    <s v="UHTF"/>
    <s v="CESTFA"/>
  </r>
  <r>
    <x v="3034"/>
    <s v="Prionidis"/>
    <s v="Iason"/>
    <s v="GRE0733"/>
    <s v="OPEN"/>
    <x v="14"/>
    <s v="GRE"/>
    <m/>
    <m/>
    <m/>
    <m/>
    <m/>
    <s v="UHTF"/>
    <s v="CESTFA"/>
  </r>
  <r>
    <x v="3035"/>
    <s v="Pritsis"/>
    <s v="Evangelos"/>
    <s v="GRE0088"/>
    <s v="OPEN"/>
    <x v="14"/>
    <s v="GRE"/>
    <m/>
    <m/>
    <m/>
    <m/>
    <m/>
    <s v="UHTF"/>
    <s v="CESTFA"/>
  </r>
  <r>
    <x v="3036"/>
    <s v="Pröhle"/>
    <s v="Thomas"/>
    <s v="GER0026"/>
    <s v="VET"/>
    <x v="5"/>
    <s v="GER"/>
    <m/>
    <m/>
    <m/>
    <m/>
    <m/>
    <s v="DSTFB"/>
    <s v="CESTFA"/>
  </r>
  <r>
    <x v="3037"/>
    <s v="PROKHORENKO"/>
    <s v="Iryna"/>
    <s v="UKR0006"/>
    <s v="OPEN"/>
    <x v="159"/>
    <s v="UKR"/>
    <m/>
    <m/>
    <m/>
    <m/>
    <m/>
    <s v="UKT (Provisional)"/>
    <m/>
  </r>
  <r>
    <x v="3038"/>
    <s v="Prombonas"/>
    <s v="Ioulianos"/>
    <s v="GRE0718"/>
    <s v="VET"/>
    <x v="14"/>
    <s v="GRE"/>
    <m/>
    <m/>
    <m/>
    <m/>
    <m/>
    <s v="UHTF"/>
    <s v="CESTFA"/>
  </r>
  <r>
    <x v="3039"/>
    <s v="Promponas"/>
    <s v="Nikolaos"/>
    <s v="GRE0540"/>
    <s v="VET"/>
    <x v="128"/>
    <s v="GRE"/>
    <m/>
    <m/>
    <m/>
    <m/>
    <m/>
    <s v="UHTF"/>
    <s v="CESTFA"/>
  </r>
  <r>
    <x v="3040"/>
    <s v="Psaila"/>
    <s v="Clarence"/>
    <s v="MLT144"/>
    <s v="OPEN"/>
    <x v="99"/>
    <s v="MLT"/>
    <m/>
    <m/>
    <m/>
    <m/>
    <m/>
    <s v="MTFSA"/>
    <s v="CESTFA"/>
  </r>
  <r>
    <x v="3041"/>
    <s v="Psaradelis"/>
    <s v="Christos"/>
    <s v="GRE0305"/>
    <s v="OPEN"/>
    <x v="142"/>
    <s v="GRE"/>
    <m/>
    <m/>
    <m/>
    <m/>
    <m/>
    <s v="UHTF"/>
    <s v="CESTFA"/>
  </r>
  <r>
    <x v="3042"/>
    <s v="Psarras"/>
    <s v="Giannis"/>
    <s v="GRE0189"/>
    <s v="VET"/>
    <x v="14"/>
    <s v="GRE"/>
    <m/>
    <m/>
    <m/>
    <m/>
    <m/>
    <s v="UHTF"/>
    <s v="CESTFA"/>
  </r>
  <r>
    <x v="3043"/>
    <s v="Psihas"/>
    <s v="Nektarios"/>
    <s v="GRE0018"/>
    <s v="OPEN"/>
    <x v="14"/>
    <s v="GRE"/>
    <m/>
    <m/>
    <m/>
    <m/>
    <m/>
    <s v="UHTF"/>
    <s v="CESTFA"/>
  </r>
  <r>
    <x v="3044"/>
    <s v="Psomiadis"/>
    <s v="Nikolas (07)"/>
    <s v="GRE0524"/>
    <s v="U20"/>
    <x v="62"/>
    <s v="GRE"/>
    <m/>
    <m/>
    <m/>
    <m/>
    <m/>
    <s v="UHTF"/>
    <s v="CESTFA"/>
  </r>
  <r>
    <x v="3045"/>
    <s v="Psomiadis"/>
    <s v="Nikos"/>
    <s v="GRE0523"/>
    <s v="VET"/>
    <x v="62"/>
    <s v="GRE"/>
    <m/>
    <m/>
    <m/>
    <m/>
    <m/>
    <s v="UHTF"/>
    <s v="CESTFA"/>
  </r>
  <r>
    <x v="3046"/>
    <s v="Psychogyios"/>
    <s v="Iraklis"/>
    <s v="GRE0740"/>
    <s v="OPEN"/>
    <x v="14"/>
    <s v="GRE"/>
    <m/>
    <m/>
    <m/>
    <m/>
    <m/>
    <s v="UHTF"/>
    <s v="CESTFA"/>
  </r>
  <r>
    <x v="3047"/>
    <s v="Psychopoulos"/>
    <s v="Giorgos"/>
    <s v="GRE0668"/>
    <s v="U16"/>
    <x v="14"/>
    <s v="GRE"/>
    <m/>
    <m/>
    <m/>
    <m/>
    <m/>
    <s v="UHTF"/>
    <s v="CESTFA"/>
  </r>
  <r>
    <x v="3048"/>
    <s v="Psychopoulos"/>
    <s v="Ioannis"/>
    <s v="GRE0566"/>
    <s v="VET"/>
    <x v="66"/>
    <s v="GRE"/>
    <m/>
    <m/>
    <m/>
    <m/>
    <m/>
    <s v="UHTF"/>
    <s v="CESTFA"/>
  </r>
  <r>
    <x v="3049"/>
    <s v="Puertas"/>
    <s v="Carles"/>
    <s v="ESP0558"/>
    <s v="VET"/>
    <x v="64"/>
    <s v="ESP"/>
    <m/>
    <m/>
    <m/>
    <m/>
    <m/>
    <s v="AEFM"/>
    <s v="CESTFA"/>
  </r>
  <r>
    <x v="3050"/>
    <s v="Puerto"/>
    <s v="Andrés"/>
    <s v="ESP0596"/>
    <s v="U12"/>
    <x v="61"/>
    <s v="ESP"/>
    <m/>
    <m/>
    <m/>
    <m/>
    <m/>
    <s v="AEFM"/>
    <s v="CESTFA"/>
  </r>
  <r>
    <x v="3051"/>
    <s v="Pugi"/>
    <s v="Maurizio"/>
    <s v="ITA2066"/>
    <s v="VET"/>
    <x v="106"/>
    <s v="ITA"/>
    <m/>
    <m/>
    <m/>
    <m/>
    <m/>
    <s v="FISCT"/>
    <s v="CESTFA"/>
  </r>
  <r>
    <x v="3052"/>
    <s v="Pugliano"/>
    <s v="Pierluigi"/>
    <s v="ITA3387"/>
    <s v="VET"/>
    <x v="161"/>
    <s v="ITA"/>
    <m/>
    <m/>
    <m/>
    <m/>
    <m/>
    <s v="FISCT"/>
    <s v="CESTFA"/>
  </r>
  <r>
    <x v="3053"/>
    <s v="Pulito"/>
    <s v="Davide"/>
    <s v="ITA3191"/>
    <s v="VET"/>
    <x v="32"/>
    <s v="ITA"/>
    <m/>
    <m/>
    <m/>
    <m/>
    <m/>
    <s v="FISCT"/>
    <s v="CESTFA"/>
  </r>
  <r>
    <x v="3054"/>
    <s v="Purnell"/>
    <s v="Craig"/>
    <s v="ENG0528"/>
    <s v="OPEN"/>
    <x v="90"/>
    <s v="ENG"/>
    <m/>
    <m/>
    <m/>
    <m/>
    <m/>
    <s v="ESA"/>
    <s v="CESTFA"/>
  </r>
  <r>
    <x v="3055"/>
    <s v="Putro"/>
    <s v="Arudyo"/>
    <s v="FIS0005"/>
    <s v="OPEN"/>
    <x v="343"/>
    <s v="INA"/>
    <m/>
    <m/>
    <m/>
    <m/>
    <m/>
    <s v="FISTF"/>
    <s v="FISTF"/>
  </r>
  <r>
    <x v="3056"/>
    <s v="Puzella"/>
    <s v="Luca"/>
    <s v="ITA2483"/>
    <s v="OPEN"/>
    <x v="1"/>
    <s v="ITA"/>
    <m/>
    <m/>
    <m/>
    <m/>
    <m/>
    <s v="FISCT"/>
    <s v="CESTFA"/>
  </r>
  <r>
    <x v="3057"/>
    <s v="Pylarinos"/>
    <s v="Dimitrios"/>
    <s v="GRE0745"/>
    <s v="OPEN"/>
    <x v="66"/>
    <s v="GRE"/>
    <m/>
    <m/>
    <m/>
    <m/>
    <m/>
    <s v="UHTF"/>
    <s v="CESTFA"/>
  </r>
  <r>
    <x v="3058"/>
    <s v="Qiao"/>
    <s v="Peng"/>
    <s v="GER0157"/>
    <s v="OPEN"/>
    <x v="221"/>
    <s v="GER"/>
    <m/>
    <m/>
    <m/>
    <m/>
    <m/>
    <s v="DSTFB"/>
    <s v="CESTFA"/>
  </r>
  <r>
    <x v="3059"/>
    <s v="Quaranta"/>
    <s v="Luigi"/>
    <s v="ITA1724"/>
    <s v="VET"/>
    <x v="54"/>
    <s v="ITA"/>
    <m/>
    <m/>
    <m/>
    <m/>
    <m/>
    <s v="FISCT"/>
    <s v="CESTFA"/>
  </r>
  <r>
    <x v="3060"/>
    <s v="Quattrini"/>
    <s v="Francesco"/>
    <s v="ITA0708"/>
    <s v="VET"/>
    <x v="46"/>
    <s v="ITA"/>
    <m/>
    <m/>
    <m/>
    <m/>
    <m/>
    <s v="FISCT"/>
    <s v="CESTFA"/>
  </r>
  <r>
    <x v="3061"/>
    <s v="Quattrocchi"/>
    <s v="Ivan"/>
    <s v="ITA2113"/>
    <s v="OPEN"/>
    <x v="68"/>
    <s v="ITA"/>
    <m/>
    <m/>
    <m/>
    <m/>
    <m/>
    <s v="FISCT"/>
    <s v="CESTFA"/>
  </r>
  <r>
    <x v="3062"/>
    <s v="Quer"/>
    <s v="Oriol"/>
    <s v="ESP0563"/>
    <s v="OPEN"/>
    <x v="64"/>
    <s v="ESP"/>
    <m/>
    <m/>
    <m/>
    <m/>
    <m/>
    <s v="AEFM"/>
    <s v="CESTFA"/>
  </r>
  <r>
    <x v="3063"/>
    <s v="Quintaes"/>
    <s v="Igor"/>
    <s v="BRA0005"/>
    <s v="OPEN"/>
    <x v="214"/>
    <s v="BRA"/>
    <m/>
    <m/>
    <m/>
    <m/>
    <m/>
    <s v="CBFM (Suspended)"/>
    <m/>
  </r>
  <r>
    <x v="3064"/>
    <s v="Raarup"/>
    <s v="Daniel"/>
    <s v="DEN0094"/>
    <s v="U20"/>
    <x v="10"/>
    <s v="DEN"/>
    <m/>
    <m/>
    <m/>
    <m/>
    <m/>
    <s v="DSBU (Provisional)"/>
    <m/>
  </r>
  <r>
    <x v="3065"/>
    <s v="Rabacchin"/>
    <s v="Riccardo"/>
    <s v="ITA2269"/>
    <s v="VET"/>
    <x v="173"/>
    <s v="ITA"/>
    <m/>
    <m/>
    <m/>
    <m/>
    <m/>
    <s v="FISCT"/>
    <s v="CESTFA"/>
  </r>
  <r>
    <x v="3066"/>
    <s v="Race"/>
    <s v="Steve"/>
    <s v="ENG0563"/>
    <s v="VET"/>
    <x v="14"/>
    <s v="ENG"/>
    <m/>
    <m/>
    <m/>
    <m/>
    <m/>
    <s v="ESA"/>
    <s v="CESTFA"/>
  </r>
  <r>
    <x v="3067"/>
    <s v="Radicchi"/>
    <s v="Emanuele"/>
    <s v="ITA2616"/>
    <s v="VET"/>
    <x v="146"/>
    <s v="ITA"/>
    <m/>
    <m/>
    <m/>
    <m/>
    <m/>
    <s v="FISCT"/>
    <s v="CESTFA"/>
  </r>
  <r>
    <x v="3068"/>
    <s v="Radziminski"/>
    <s v="Luke"/>
    <s v="AUS0011"/>
    <s v="OPEN"/>
    <x v="133"/>
    <s v="AUS"/>
    <m/>
    <m/>
    <m/>
    <m/>
    <m/>
    <s v="ATFA"/>
    <s v="CASTFA"/>
  </r>
  <r>
    <x v="3069"/>
    <s v="Ragazzini Fuligni"/>
    <s v="Alessandro"/>
    <s v="ITA3053"/>
    <s v="OPEN"/>
    <x v="77"/>
    <s v="ITA"/>
    <m/>
    <m/>
    <m/>
    <m/>
    <m/>
    <s v="FISCT"/>
    <s v="CESTFA"/>
  </r>
  <r>
    <x v="3070"/>
    <s v="Ragusa"/>
    <s v="Giuseppe"/>
    <s v="ITA1990"/>
    <s v="OPEN"/>
    <x v="161"/>
    <s v="ITA"/>
    <m/>
    <m/>
    <m/>
    <m/>
    <m/>
    <s v="FISCT"/>
    <s v="CESTFA"/>
  </r>
  <r>
    <x v="3071"/>
    <s v="Rahamat"/>
    <s v="Anas"/>
    <s v="SGP0055"/>
    <s v="OPEN"/>
    <x v="23"/>
    <s v="SGP"/>
    <m/>
    <m/>
    <m/>
    <m/>
    <m/>
    <s v="TFAS"/>
    <s v="CASTFA"/>
  </r>
  <r>
    <x v="3072"/>
    <s v="Rahmanis"/>
    <s v="Vasilis"/>
    <s v="GRE0197"/>
    <s v="OPEN"/>
    <x v="14"/>
    <s v="GRE"/>
    <m/>
    <m/>
    <m/>
    <m/>
    <m/>
    <s v="UHTF"/>
    <s v="CESTFA"/>
  </r>
  <r>
    <x v="3073"/>
    <s v="Raimundo"/>
    <s v="João"/>
    <s v="POR0228"/>
    <s v="VET"/>
    <x v="8"/>
    <s v="POR"/>
    <m/>
    <m/>
    <m/>
    <m/>
    <m/>
    <s v="APS"/>
    <s v="CESTFA"/>
  </r>
  <r>
    <x v="3074"/>
    <s v="Rairoux"/>
    <s v="Christophe"/>
    <s v="BEL0038"/>
    <s v="OPEN"/>
    <x v="178"/>
    <s v="BEL"/>
    <m/>
    <m/>
    <m/>
    <m/>
    <m/>
    <m/>
    <m/>
  </r>
  <r>
    <x v="3075"/>
    <s v="Rairoux"/>
    <s v="Maxime"/>
    <s v="BEL0039"/>
    <s v="OPEN"/>
    <x v="178"/>
    <s v="BEL"/>
    <m/>
    <m/>
    <m/>
    <m/>
    <m/>
    <m/>
    <m/>
  </r>
  <r>
    <x v="3076"/>
    <s v="Raison"/>
    <s v="Dimitri"/>
    <s v="BEL0423"/>
    <s v="OPEN"/>
    <x v="178"/>
    <s v="BEL"/>
    <m/>
    <m/>
    <m/>
    <m/>
    <m/>
    <m/>
    <m/>
  </r>
  <r>
    <x v="3077"/>
    <s v="Raison"/>
    <s v="Lucas"/>
    <s v="BEL0335"/>
    <s v="U20"/>
    <x v="178"/>
    <s v="BEL"/>
    <m/>
    <m/>
    <m/>
    <m/>
    <m/>
    <m/>
    <m/>
  </r>
  <r>
    <x v="3078"/>
    <s v="Rakowski"/>
    <s v="Hervé"/>
    <s v="FRA0095"/>
    <s v="VET"/>
    <x v="194"/>
    <s v="FRA"/>
    <m/>
    <m/>
    <m/>
    <m/>
    <m/>
    <s v="3FTS"/>
    <s v="CESTFA"/>
  </r>
  <r>
    <x v="3079"/>
    <s v="Ramalhete"/>
    <s v="José Antônio"/>
    <s v="BRA0006"/>
    <s v="VET"/>
    <x v="214"/>
    <s v="BRA"/>
    <m/>
    <m/>
    <m/>
    <m/>
    <m/>
    <s v="CBFM (Suspended)"/>
    <m/>
  </r>
  <r>
    <x v="3080"/>
    <s v="Ramalhete"/>
    <s v="Marcelo Lages"/>
    <s v="BRA0007"/>
    <s v="VET"/>
    <x v="214"/>
    <s v="BRA"/>
    <m/>
    <m/>
    <m/>
    <m/>
    <m/>
    <s v="CBFM (Suspended)"/>
    <m/>
  </r>
  <r>
    <x v="3081"/>
    <s v="Ramazzotto"/>
    <s v="Davide"/>
    <s v="ITA3443"/>
    <s v="U12"/>
    <x v="29"/>
    <s v="ITA"/>
    <m/>
    <m/>
    <m/>
    <m/>
    <m/>
    <s v="FISCT"/>
    <s v="CESTFA"/>
  </r>
  <r>
    <x v="3082"/>
    <s v="Ramirez-Pena"/>
    <s v="Raul"/>
    <s v="GRE0798"/>
    <s v="VET"/>
    <x v="14"/>
    <s v="GRE"/>
    <m/>
    <m/>
    <m/>
    <m/>
    <m/>
    <s v="UHTF"/>
    <s v="CESTFA"/>
  </r>
  <r>
    <x v="3083"/>
    <s v="Ramos"/>
    <s v="Moisés"/>
    <s v="ESP0506"/>
    <s v="OPEN"/>
    <x v="47"/>
    <s v="ESP"/>
    <m/>
    <m/>
    <m/>
    <m/>
    <m/>
    <s v="AEFM"/>
    <s v="CESTFA"/>
  </r>
  <r>
    <x v="3084"/>
    <s v="Ramos"/>
    <s v="Sérgio"/>
    <s v="POR0022"/>
    <s v="OPEN"/>
    <x v="46"/>
    <s v="POR"/>
    <m/>
    <m/>
    <m/>
    <m/>
    <m/>
    <s v="APS"/>
    <s v="CESTFA"/>
  </r>
  <r>
    <x v="3085"/>
    <s v="Ramos Barreto"/>
    <s v="Wesley William"/>
    <s v="BRA0175"/>
    <s v="VET"/>
    <x v="162"/>
    <s v="BRA"/>
    <m/>
    <m/>
    <m/>
    <m/>
    <m/>
    <s v="CBFM (Suspended)"/>
    <m/>
  </r>
  <r>
    <x v="3086"/>
    <s v="Rampi"/>
    <s v="Fabio"/>
    <s v="ITA2810"/>
    <s v="VET"/>
    <x v="106"/>
    <s v="ITA"/>
    <m/>
    <m/>
    <m/>
    <m/>
    <m/>
    <s v="FISCT"/>
    <s v="CESTFA"/>
  </r>
  <r>
    <x v="3087"/>
    <s v="Ramsay"/>
    <s v="Robert"/>
    <s v="ENG0335"/>
    <s v="OPEN"/>
    <x v="90"/>
    <s v="ENG"/>
    <m/>
    <m/>
    <m/>
    <m/>
    <m/>
    <s v="ESA"/>
    <s v="CESTFA"/>
  </r>
  <r>
    <x v="3088"/>
    <s v="Ramsay"/>
    <s v="Zachary"/>
    <s v="ENG0567"/>
    <s v="U12"/>
    <x v="355"/>
    <s v="ENG"/>
    <m/>
    <m/>
    <m/>
    <m/>
    <m/>
    <s v="ESA"/>
    <s v="CESTFA"/>
  </r>
  <r>
    <x v="3089"/>
    <s v="Randelli"/>
    <s v="Lorenzo"/>
    <s v="ITA3059"/>
    <s v="OPEN"/>
    <x v="316"/>
    <s v="ITA"/>
    <m/>
    <m/>
    <m/>
    <m/>
    <m/>
    <s v="FISCT"/>
    <s v="CESTFA"/>
  </r>
  <r>
    <x v="3090"/>
    <s v="Randhawa"/>
    <s v="Parjesh"/>
    <s v="CAN0011"/>
    <s v="OPEN"/>
    <x v="95"/>
    <s v="CAN"/>
    <m/>
    <m/>
    <m/>
    <m/>
    <m/>
    <s v="SCA"/>
    <m/>
  </r>
  <r>
    <x v="3091"/>
    <s v="Randles"/>
    <s v="Taylor"/>
    <s v="ENG0556"/>
    <s v="OPEN"/>
    <x v="260"/>
    <s v="ENG"/>
    <m/>
    <m/>
    <m/>
    <m/>
    <m/>
    <s v="ESA"/>
    <s v="CESTFA"/>
  </r>
  <r>
    <x v="3092"/>
    <s v="Rangel"/>
    <s v="Marcio"/>
    <s v="BRA0063"/>
    <s v="VET"/>
    <x v="14"/>
    <s v="BRA"/>
    <m/>
    <m/>
    <m/>
    <m/>
    <m/>
    <s v="CBFM (Suspended)"/>
    <m/>
  </r>
  <r>
    <x v="3093"/>
    <s v="Ranklit"/>
    <s v="Nick"/>
    <s v="DEN0054"/>
    <s v="OPEN"/>
    <x v="10"/>
    <s v="DEN"/>
    <m/>
    <m/>
    <m/>
    <m/>
    <m/>
    <s v="DSBU (Provisional)"/>
    <m/>
  </r>
  <r>
    <x v="3094"/>
    <s v="Raponi"/>
    <s v="Stefano"/>
    <s v="ITA3358"/>
    <s v="U16"/>
    <x v="112"/>
    <s v="ITA"/>
    <m/>
    <m/>
    <m/>
    <m/>
    <m/>
    <s v="FISCT"/>
    <s v="CESTFA"/>
  </r>
  <r>
    <x v="3095"/>
    <s v="Ravnborg"/>
    <s v="Martin"/>
    <s v="DEN0089"/>
    <s v="U20"/>
    <x v="10"/>
    <s v="DEN"/>
    <m/>
    <m/>
    <m/>
    <m/>
    <m/>
    <s v="DSBU (Provisional)"/>
    <m/>
  </r>
  <r>
    <x v="3096"/>
    <s v="Rawicki"/>
    <s v="Fredrik"/>
    <s v="NOR0008"/>
    <s v="OPEN"/>
    <x v="151"/>
    <s v="NOR"/>
    <m/>
    <m/>
    <m/>
    <m/>
    <m/>
    <s v="NBFF (Suspended)"/>
    <m/>
  </r>
  <r>
    <x v="3097"/>
    <s v="Razaki"/>
    <s v="Muhd Raihan"/>
    <s v="SGP0053"/>
    <s v="OPEN"/>
    <x v="259"/>
    <s v="SGP"/>
    <m/>
    <m/>
    <m/>
    <m/>
    <m/>
    <s v="TFAS"/>
    <s v="CASTFA"/>
  </r>
  <r>
    <x v="3098"/>
    <s v="Razali"/>
    <s v="Ahmad Zulfadhlee"/>
    <s v="SGP0052"/>
    <s v="OPEN"/>
    <x v="259"/>
    <s v="SGP"/>
    <m/>
    <m/>
    <m/>
    <m/>
    <m/>
    <s v="TFAS"/>
    <s v="CASTFA"/>
  </r>
  <r>
    <x v="3099"/>
    <s v="Razali"/>
    <s v="Hasyafiq"/>
    <s v="SGP0024"/>
    <s v="OPEN"/>
    <x v="23"/>
    <s v="SGP"/>
    <m/>
    <m/>
    <m/>
    <m/>
    <m/>
    <s v="TFAS"/>
    <s v="CASTFA"/>
  </r>
  <r>
    <x v="3100"/>
    <s v="Razzi"/>
    <s v="Nicola"/>
    <s v="ITA2929"/>
    <s v="VET"/>
    <x v="212"/>
    <s v="ITA"/>
    <m/>
    <m/>
    <m/>
    <m/>
    <m/>
    <s v="FISCT"/>
    <s v="CESTFA"/>
  </r>
  <r>
    <x v="3101"/>
    <s v="Rebis"/>
    <s v="Dimitrios"/>
    <s v="GRE0638"/>
    <s v="VET"/>
    <x v="14"/>
    <s v="GRE"/>
    <m/>
    <m/>
    <m/>
    <m/>
    <m/>
    <s v="UHTF"/>
    <s v="CESTFA"/>
  </r>
  <r>
    <x v="3102"/>
    <s v="Recano"/>
    <s v="Alberto"/>
    <s v="ITA0717"/>
    <s v="OPEN"/>
    <x v="134"/>
    <s v="ITA"/>
    <m/>
    <m/>
    <m/>
    <m/>
    <m/>
    <s v="FISCT"/>
    <s v="CESTFA"/>
  </r>
  <r>
    <x v="3103"/>
    <s v="Reckzeh"/>
    <s v="Bodo"/>
    <s v="GER0137"/>
    <s v="VET"/>
    <x v="5"/>
    <s v="GER"/>
    <m/>
    <m/>
    <m/>
    <m/>
    <m/>
    <s v="DSTFB"/>
    <s v="CESTFA"/>
  </r>
  <r>
    <x v="3104"/>
    <s v="Regnier"/>
    <s v="Marc"/>
    <s v="FRA0271"/>
    <s v="VET"/>
    <x v="97"/>
    <s v="FRA"/>
    <m/>
    <m/>
    <m/>
    <m/>
    <m/>
    <s v="3FTS"/>
    <s v="CESTFA"/>
  </r>
  <r>
    <x v="3105"/>
    <s v="Reguera Delgado"/>
    <s v="Manuel"/>
    <s v="ESP0526"/>
    <s v="OPEN"/>
    <x v="36"/>
    <s v="ESP"/>
    <m/>
    <m/>
    <m/>
    <m/>
    <m/>
    <s v="AEFM"/>
    <s v="CESTFA"/>
  </r>
  <r>
    <x v="3106"/>
    <s v="Reguera Muñoz"/>
    <s v="Gonzalo"/>
    <s v="ESP0595"/>
    <s v="U12"/>
    <x v="61"/>
    <s v="ESP"/>
    <m/>
    <m/>
    <m/>
    <m/>
    <m/>
    <s v="AEFM"/>
    <s v="CESTFA"/>
  </r>
  <r>
    <x v="3107"/>
    <s v="Reguera Muñoz"/>
    <s v="Manuel"/>
    <s v="ESP0547"/>
    <s v="U12"/>
    <x v="61"/>
    <s v="ESP"/>
    <m/>
    <m/>
    <m/>
    <m/>
    <m/>
    <s v="AEFM"/>
    <s v="CESTFA"/>
  </r>
  <r>
    <x v="3108"/>
    <s v="Reis"/>
    <s v="Nuno"/>
    <s v="POR0125"/>
    <s v="VET"/>
    <x v="14"/>
    <s v="POR"/>
    <m/>
    <m/>
    <m/>
    <m/>
    <m/>
    <s v="APS"/>
    <s v="CESTFA"/>
  </r>
  <r>
    <x v="3109"/>
    <s v="Reitz"/>
    <s v="Marc"/>
    <s v="GER0096"/>
    <s v="OPEN"/>
    <x v="142"/>
    <s v="GER"/>
    <m/>
    <m/>
    <m/>
    <m/>
    <m/>
    <s v="DSTFB"/>
    <s v="CESTFA"/>
  </r>
  <r>
    <x v="3110"/>
    <s v="Remund"/>
    <s v="Paul"/>
    <s v="SUI012"/>
    <s v="VET"/>
    <x v="202"/>
    <s v="SUI"/>
    <m/>
    <m/>
    <m/>
    <m/>
    <m/>
    <m/>
    <m/>
  </r>
  <r>
    <x v="3111"/>
    <s v="Renaldini"/>
    <s v="Roberto"/>
    <s v="ITA1285"/>
    <s v="VET"/>
    <x v="147"/>
    <s v="ITA"/>
    <m/>
    <m/>
    <m/>
    <m/>
    <m/>
    <s v="FISCT"/>
    <s v="CESTFA"/>
  </r>
  <r>
    <x v="3112"/>
    <s v="Renzi"/>
    <s v="Alessandro"/>
    <s v="ITA2167"/>
    <s v="VET"/>
    <x v="120"/>
    <s v="ITA"/>
    <m/>
    <m/>
    <m/>
    <m/>
    <m/>
    <s v="FISCT"/>
    <s v="CESTFA"/>
  </r>
  <r>
    <x v="3113"/>
    <s v="Resca"/>
    <s v="Matteo"/>
    <s v="ITA0720"/>
    <s v="VET"/>
    <x v="120"/>
    <s v="ITA"/>
    <m/>
    <m/>
    <m/>
    <m/>
    <m/>
    <s v="FISCT"/>
    <s v="CESTFA"/>
  </r>
  <r>
    <x v="3114"/>
    <s v="Ribé"/>
    <s v="Sergi"/>
    <s v="ESP0521"/>
    <s v="OPEN"/>
    <x v="12"/>
    <s v="ESP"/>
    <m/>
    <m/>
    <m/>
    <m/>
    <m/>
    <s v="AEFM"/>
    <s v="CESTFA"/>
  </r>
  <r>
    <x v="3115"/>
    <s v="Ribeiro"/>
    <s v="Martim"/>
    <s v="POR0234"/>
    <s v="U16"/>
    <x v="11"/>
    <s v="POR"/>
    <m/>
    <m/>
    <m/>
    <m/>
    <m/>
    <s v="APS"/>
    <s v="CESTFA"/>
  </r>
  <r>
    <x v="3116"/>
    <s v="Ribeiro"/>
    <s v="Tomás"/>
    <s v="POR0240"/>
    <s v="U16"/>
    <x v="11"/>
    <s v="POR"/>
    <m/>
    <m/>
    <m/>
    <m/>
    <m/>
    <s v="APS"/>
    <s v="CESTFA"/>
  </r>
  <r>
    <x v="3117"/>
    <s v="Ricardo"/>
    <s v="Carlos"/>
    <s v="POR0248"/>
    <s v="VET"/>
    <x v="252"/>
    <s v="POR"/>
    <m/>
    <m/>
    <m/>
    <m/>
    <m/>
    <s v="APS"/>
    <s v="CESTFA"/>
  </r>
  <r>
    <x v="3118"/>
    <s v="Riccardi"/>
    <s v="Giovanni Maria"/>
    <s v="ITA0721"/>
    <s v="VET"/>
    <x v="32"/>
    <s v="ITA"/>
    <m/>
    <m/>
    <m/>
    <m/>
    <m/>
    <s v="FISCT"/>
    <s v="CESTFA"/>
  </r>
  <r>
    <x v="3119"/>
    <s v="Ricci"/>
    <s v="Mirco"/>
    <s v="ITA3100"/>
    <s v="VET"/>
    <x v="29"/>
    <s v="ITA"/>
    <m/>
    <m/>
    <m/>
    <m/>
    <m/>
    <s v="FISCT"/>
    <s v="CESTFA"/>
  </r>
  <r>
    <x v="3120"/>
    <s v="Riccio"/>
    <s v="Luca"/>
    <s v="ITA0726"/>
    <s v="OPEN"/>
    <x v="223"/>
    <s v="ITA"/>
    <m/>
    <m/>
    <m/>
    <m/>
    <m/>
    <s v="FISCT"/>
    <s v="CESTFA"/>
  </r>
  <r>
    <x v="3121"/>
    <s v="Riccio"/>
    <s v="Vincenzo"/>
    <s v="ITA1257"/>
    <s v="VET"/>
    <x v="223"/>
    <s v="ITA"/>
    <m/>
    <m/>
    <m/>
    <m/>
    <m/>
    <s v="FISCT"/>
    <s v="CESTFA"/>
  </r>
  <r>
    <x v="3122"/>
    <s v="Ricco"/>
    <s v="Bernardo"/>
    <s v="ITA1145"/>
    <s v="VET"/>
    <x v="173"/>
    <s v="ITA"/>
    <m/>
    <m/>
    <m/>
    <m/>
    <m/>
    <s v="FISCT"/>
    <s v="CESTFA"/>
  </r>
  <r>
    <x v="3123"/>
    <s v="Riccò"/>
    <s v="Alberto"/>
    <s v="ITA0728"/>
    <s v="VET"/>
    <x v="118"/>
    <s v="ITA"/>
    <m/>
    <m/>
    <m/>
    <m/>
    <m/>
    <s v="FISCT"/>
    <s v="CESTFA"/>
  </r>
  <r>
    <x v="3124"/>
    <s v="Riccò"/>
    <s v="Alessandro"/>
    <s v="ITA0727"/>
    <s v="OPEN"/>
    <x v="118"/>
    <s v="ITA"/>
    <m/>
    <m/>
    <m/>
    <m/>
    <m/>
    <s v="FISCT"/>
    <s v="CESTFA"/>
  </r>
  <r>
    <x v="3125"/>
    <s v="Riccobene"/>
    <s v="Francesco"/>
    <s v="ITA2123"/>
    <s v="VET"/>
    <x v="0"/>
    <s v="ITA"/>
    <m/>
    <m/>
    <m/>
    <m/>
    <m/>
    <s v="FISCT"/>
    <s v="CESTFA"/>
  </r>
  <r>
    <x v="3126"/>
    <s v="Rice"/>
    <s v="Sam"/>
    <s v="USA0382"/>
    <s v="OPEN"/>
    <x v="60"/>
    <s v="USA"/>
    <m/>
    <m/>
    <m/>
    <m/>
    <m/>
    <s v="ASA"/>
    <s v="CONASTF"/>
  </r>
  <r>
    <x v="3127"/>
    <s v="Richichi"/>
    <s v="Emilio"/>
    <s v="ITA2767"/>
    <s v="VET"/>
    <x v="200"/>
    <s v="ITA"/>
    <m/>
    <m/>
    <m/>
    <m/>
    <m/>
    <s v="FISCT"/>
    <s v="CESTFA"/>
  </r>
  <r>
    <x v="3128"/>
    <s v="Ridger"/>
    <s v="Michael"/>
    <s v="AUS0205"/>
    <s v="OPEN"/>
    <x v="238"/>
    <s v="AUS"/>
    <m/>
    <m/>
    <m/>
    <m/>
    <m/>
    <s v="ATFA"/>
    <s v="CASTFA"/>
  </r>
  <r>
    <x v="3129"/>
    <s v="Ridger"/>
    <s v="Samuel"/>
    <s v="AUS0206"/>
    <s v="U12"/>
    <x v="238"/>
    <s v="AUS"/>
    <m/>
    <m/>
    <m/>
    <m/>
    <m/>
    <s v="ATFA"/>
    <s v="CASTFA"/>
  </r>
  <r>
    <x v="3130"/>
    <s v="Riehl"/>
    <s v="Florian"/>
    <s v="GER0069"/>
    <s v="OPEN"/>
    <x v="135"/>
    <s v="GER"/>
    <m/>
    <m/>
    <m/>
    <m/>
    <m/>
    <s v="DSTFB"/>
    <s v="CESTFA"/>
  </r>
  <r>
    <x v="3131"/>
    <s v="Riggio"/>
    <s v="Salvatore"/>
    <s v="ITA1705"/>
    <s v="OPEN"/>
    <x v="40"/>
    <s v="ITA"/>
    <m/>
    <m/>
    <m/>
    <m/>
    <m/>
    <s v="FISCT"/>
    <s v="CESTFA"/>
  </r>
  <r>
    <x v="3132"/>
    <s v="Righetto"/>
    <s v="Simone"/>
    <s v="ITA1024"/>
    <s v="OPEN"/>
    <x v="147"/>
    <s v="ITA"/>
    <m/>
    <m/>
    <m/>
    <m/>
    <m/>
    <s v="FISCT"/>
    <s v="CESTFA"/>
  </r>
  <r>
    <x v="3133"/>
    <s v="Rigon"/>
    <s v="Davide"/>
    <s v="ITA2831"/>
    <s v="OPEN"/>
    <x v="205"/>
    <s v="ITA"/>
    <m/>
    <m/>
    <m/>
    <m/>
    <m/>
    <s v="FISCT"/>
    <s v="CESTFA"/>
  </r>
  <r>
    <x v="3134"/>
    <s v="Rikos"/>
    <s v="Christos"/>
    <s v="GRE0082"/>
    <s v="OPEN"/>
    <x v="14"/>
    <s v="GRE"/>
    <m/>
    <m/>
    <m/>
    <m/>
    <m/>
    <s v="UHTF"/>
    <s v="CESTFA"/>
  </r>
  <r>
    <x v="3135"/>
    <s v="Riscardi"/>
    <s v="Sergio"/>
    <s v="ITA3408"/>
    <s v="VET"/>
    <x v="209"/>
    <s v="ITA"/>
    <m/>
    <m/>
    <m/>
    <m/>
    <m/>
    <s v="FISCT"/>
    <s v="CESTFA"/>
  </r>
  <r>
    <x v="3136"/>
    <s v="Riva"/>
    <s v="Giancarlo"/>
    <s v="ITA2890"/>
    <s v="VET"/>
    <x v="44"/>
    <s v="ITA"/>
    <m/>
    <m/>
    <m/>
    <m/>
    <m/>
    <s v="FISCT"/>
    <s v="CESTFA"/>
  </r>
  <r>
    <x v="3137"/>
    <s v="Rivas"/>
    <s v="Ric"/>
    <s v="SGP_P01"/>
    <s v="VET"/>
    <x v="4"/>
    <s v="SGP"/>
    <m/>
    <m/>
    <m/>
    <m/>
    <m/>
    <s v="TFAS"/>
    <s v="CASTFA"/>
  </r>
  <r>
    <x v="3138"/>
    <s v="Rizzo"/>
    <s v="Roberto"/>
    <s v="ITA3436"/>
    <s v="VET"/>
    <x v="356"/>
    <s v="ITA"/>
    <m/>
    <m/>
    <m/>
    <m/>
    <m/>
    <s v="FISCT"/>
    <s v="CESTFA"/>
  </r>
  <r>
    <x v="3139"/>
    <s v="Roberti"/>
    <s v="Ricardo"/>
    <s v="ARG0030"/>
    <s v="OPEN"/>
    <x v="157"/>
    <s v="ARG"/>
    <m/>
    <m/>
    <m/>
    <m/>
    <m/>
    <s v="LAFM (Suspended)"/>
    <s v="CSAFM"/>
  </r>
  <r>
    <x v="3140"/>
    <s v="Roberts-Kleban"/>
    <s v="Jeremy"/>
    <s v="USA0420"/>
    <s v="U20"/>
    <x v="143"/>
    <s v="USA"/>
    <m/>
    <m/>
    <m/>
    <m/>
    <m/>
    <s v="ASA"/>
    <s v="CONASTF"/>
  </r>
  <r>
    <x v="3141"/>
    <s v="Robillard"/>
    <s v="Arnaud"/>
    <s v="BEL0090"/>
    <s v="OPEN"/>
    <x v="45"/>
    <s v="BEL"/>
    <m/>
    <m/>
    <m/>
    <m/>
    <m/>
    <m/>
    <m/>
  </r>
  <r>
    <x v="3142"/>
    <s v="Robles"/>
    <s v="Leandro"/>
    <s v="BRA0054"/>
    <s v="OPEN"/>
    <x v="14"/>
    <s v="BRA"/>
    <m/>
    <m/>
    <m/>
    <m/>
    <m/>
    <s v="CBFM (Suspended)"/>
    <m/>
  </r>
  <r>
    <x v="3143"/>
    <s v="Robotis"/>
    <s v="Efstathios"/>
    <s v="GRE0421"/>
    <s v="OPEN"/>
    <x v="14"/>
    <s v="GRE"/>
    <m/>
    <m/>
    <m/>
    <m/>
    <m/>
    <s v="UHTF"/>
    <s v="CESTFA"/>
  </r>
  <r>
    <x v="3144"/>
    <s v="Rocca"/>
    <s v="Lorenzo"/>
    <s v="ITA2535"/>
    <s v="VET"/>
    <x v="86"/>
    <s v="ITA"/>
    <m/>
    <m/>
    <m/>
    <m/>
    <m/>
    <s v="FISCT"/>
    <s v="CESTFA"/>
  </r>
  <r>
    <x v="3145"/>
    <s v="Rocchi"/>
    <s v="Roberto"/>
    <s v="ITA2824"/>
    <s v="VET"/>
    <x v="166"/>
    <s v="ITA"/>
    <m/>
    <m/>
    <m/>
    <m/>
    <m/>
    <s v="FISCT"/>
    <s v="CESTFA"/>
  </r>
  <r>
    <x v="3146"/>
    <s v="Rochez"/>
    <s v="Sébastien"/>
    <s v="BEL0481"/>
    <s v="VET"/>
    <x v="357"/>
    <s v="BEL"/>
    <m/>
    <m/>
    <m/>
    <m/>
    <m/>
    <m/>
    <m/>
  </r>
  <r>
    <x v="3147"/>
    <s v="Rodenby"/>
    <s v="Malcolm"/>
    <s v="ENG0464"/>
    <s v="VET"/>
    <x v="14"/>
    <s v="ENG"/>
    <m/>
    <m/>
    <m/>
    <m/>
    <m/>
    <s v="ESA"/>
    <s v="CESTFA"/>
  </r>
  <r>
    <x v="3148"/>
    <s v="Rodgers"/>
    <s v="Brendan"/>
    <s v="IRL0007"/>
    <s v="VET"/>
    <x v="181"/>
    <s v="IRL"/>
    <m/>
    <m/>
    <m/>
    <m/>
    <m/>
    <s v="TFAI"/>
    <s v="CESTFA"/>
  </r>
  <r>
    <x v="3149"/>
    <s v="Rodgers"/>
    <s v="Isaac"/>
    <s v="USA0403"/>
    <s v="U20"/>
    <x v="42"/>
    <s v="USA"/>
    <m/>
    <m/>
    <m/>
    <m/>
    <m/>
    <s v="ASA"/>
    <s v="CONASTF"/>
  </r>
  <r>
    <x v="3150"/>
    <s v="Rodgers"/>
    <s v="Stephen"/>
    <s v="NIR0007"/>
    <s v="VET"/>
    <x v="72"/>
    <s v="NIR"/>
    <m/>
    <m/>
    <m/>
    <m/>
    <m/>
    <s v="NITFA"/>
    <s v="CESTFA"/>
  </r>
  <r>
    <x v="3151"/>
    <s v="Rodgers"/>
    <s v="Zachria"/>
    <s v="USA0402"/>
    <s v="OPEN"/>
    <x v="42"/>
    <s v="USA"/>
    <m/>
    <m/>
    <m/>
    <m/>
    <m/>
    <s v="ASA"/>
    <s v="CONASTF"/>
  </r>
  <r>
    <x v="3152"/>
    <s v="Rodrigues"/>
    <s v="João"/>
    <s v="POR0010"/>
    <s v="VET"/>
    <x v="351"/>
    <s v="POR"/>
    <m/>
    <m/>
    <m/>
    <m/>
    <m/>
    <s v="APS"/>
    <s v="CESTFA"/>
  </r>
  <r>
    <x v="3153"/>
    <s v="Rodríguez"/>
    <s v="David"/>
    <s v="ESP0600"/>
    <s v="U16"/>
    <x v="61"/>
    <s v="ESP"/>
    <m/>
    <m/>
    <m/>
    <m/>
    <m/>
    <s v="AEFM"/>
    <s v="CESTFA"/>
  </r>
  <r>
    <x v="3154"/>
    <s v="Rodriquez"/>
    <s v="Antonello"/>
    <s v="ITA0738"/>
    <s v="VET"/>
    <x v="240"/>
    <s v="ITA"/>
    <m/>
    <m/>
    <m/>
    <m/>
    <m/>
    <s v="FISCT"/>
    <s v="CESTFA"/>
  </r>
  <r>
    <x v="3155"/>
    <s v="Rogas"/>
    <s v="Georgios"/>
    <s v="GRE0507"/>
    <s v="OPEN"/>
    <x v="14"/>
    <s v="GRE"/>
    <m/>
    <m/>
    <m/>
    <m/>
    <m/>
    <s v="UHTF"/>
    <s v="CESTFA"/>
  </r>
  <r>
    <x v="3156"/>
    <s v="Rojo"/>
    <s v="Francisco"/>
    <s v="BRA0050"/>
    <s v="OPEN"/>
    <x v="14"/>
    <s v="BRA"/>
    <m/>
    <m/>
    <m/>
    <m/>
    <m/>
    <s v="CBFM (Suspended)"/>
    <m/>
  </r>
  <r>
    <x v="3157"/>
    <s v="Rokoski"/>
    <s v="Kyle"/>
    <s v="CAN0022"/>
    <s v="OPEN"/>
    <x v="191"/>
    <s v="CAN"/>
    <m/>
    <m/>
    <m/>
    <m/>
    <m/>
    <s v="SCA"/>
    <m/>
  </r>
  <r>
    <x v="3158"/>
    <s v="Rolle"/>
    <s v="Alessandro"/>
    <s v="ITA2156"/>
    <s v="VET"/>
    <x v="87"/>
    <s v="ITA"/>
    <m/>
    <m/>
    <m/>
    <m/>
    <m/>
    <s v="FISCT"/>
    <s v="CESTFA"/>
  </r>
  <r>
    <x v="3159"/>
    <s v="Romanazzi"/>
    <s v="Francesco"/>
    <s v="ITA2626"/>
    <s v="OPEN"/>
    <x v="146"/>
    <s v="ITA"/>
    <m/>
    <m/>
    <m/>
    <m/>
    <m/>
    <s v="FISCT"/>
    <s v="CESTFA"/>
  </r>
  <r>
    <x v="3160"/>
    <s v="Romanazzi"/>
    <s v="Mario Michele"/>
    <s v="ITA3234"/>
    <s v="VET"/>
    <x v="27"/>
    <s v="ITA"/>
    <m/>
    <m/>
    <m/>
    <m/>
    <m/>
    <s v="FISCT"/>
    <s v="CESTFA"/>
  </r>
  <r>
    <x v="3161"/>
    <s v="Romano"/>
    <s v="Luigi"/>
    <s v="ITA1567"/>
    <s v="OPEN"/>
    <x v="161"/>
    <s v="ITA"/>
    <m/>
    <m/>
    <m/>
    <m/>
    <m/>
    <s v="FISCT"/>
    <s v="CESTFA"/>
  </r>
  <r>
    <x v="3162"/>
    <s v="Rome"/>
    <s v="Raúl"/>
    <s v="ESP0594"/>
    <s v="OPEN"/>
    <x v="148"/>
    <s v="ESP"/>
    <m/>
    <m/>
    <m/>
    <m/>
    <m/>
    <s v="AEFM"/>
    <s v="CESTFA"/>
  </r>
  <r>
    <x v="3163"/>
    <s v="Romero"/>
    <s v="Manuel"/>
    <s v="ESP0372"/>
    <s v="OPEN"/>
    <x v="96"/>
    <s v="ESP"/>
    <m/>
    <m/>
    <m/>
    <m/>
    <m/>
    <s v="AEFM"/>
    <s v="CESTFA"/>
  </r>
  <r>
    <x v="3164"/>
    <s v="Roncagliolo"/>
    <s v="Christian"/>
    <s v="ITA2563"/>
    <s v="OPEN"/>
    <x v="29"/>
    <s v="ITA"/>
    <m/>
    <m/>
    <m/>
    <m/>
    <m/>
    <s v="FISCT"/>
    <s v="CESTFA"/>
  </r>
  <r>
    <x v="3165"/>
    <s v="Ronchetti"/>
    <s v="Enrico"/>
    <s v="ITA2355"/>
    <s v="VET"/>
    <x v="101"/>
    <s v="ITA"/>
    <m/>
    <m/>
    <m/>
    <m/>
    <m/>
    <s v="FISCT"/>
    <s v="CESTFA"/>
  </r>
  <r>
    <x v="3166"/>
    <s v="Ronzani"/>
    <s v="Federico"/>
    <s v="ITA0742"/>
    <s v="OPEN"/>
    <x v="153"/>
    <s v="ITA"/>
    <m/>
    <m/>
    <m/>
    <m/>
    <m/>
    <s v="FISCT"/>
    <s v="CESTFA"/>
  </r>
  <r>
    <x v="3167"/>
    <s v="Roper"/>
    <s v="Richard"/>
    <s v="ENG0406"/>
    <s v="VET"/>
    <x v="90"/>
    <s v="ENG"/>
    <m/>
    <m/>
    <m/>
    <m/>
    <m/>
    <s v="ESA"/>
    <s v="CESTFA"/>
  </r>
  <r>
    <x v="3168"/>
    <s v="Ros"/>
    <s v="José"/>
    <s v="ESP0042"/>
    <s v="OPEN"/>
    <x v="358"/>
    <s v="ESP"/>
    <m/>
    <m/>
    <m/>
    <m/>
    <m/>
    <s v="AEFM"/>
    <s v="CESTFA"/>
  </r>
  <r>
    <x v="3169"/>
    <s v="Rosa"/>
    <s v="Abel"/>
    <s v="POR0124"/>
    <s v="VET"/>
    <x v="14"/>
    <s v="POR"/>
    <m/>
    <m/>
    <m/>
    <m/>
    <m/>
    <s v="APS"/>
    <s v="CESTFA"/>
  </r>
  <r>
    <x v="3170"/>
    <s v="Rosa"/>
    <s v="Julià"/>
    <s v="ESP0559"/>
    <s v="U12"/>
    <x v="64"/>
    <s v="ESP"/>
    <m/>
    <m/>
    <m/>
    <m/>
    <m/>
    <s v="AEFM"/>
    <s v="CESTFA"/>
  </r>
  <r>
    <x v="3171"/>
    <s v="Rosa"/>
    <s v="Martí"/>
    <s v="ESP0552"/>
    <s v="U16"/>
    <x v="64"/>
    <s v="ESP"/>
    <m/>
    <m/>
    <m/>
    <m/>
    <m/>
    <s v="AEFM"/>
    <s v="CESTFA"/>
  </r>
  <r>
    <x v="3172"/>
    <s v="Rosa"/>
    <s v="Toni"/>
    <s v="ESP0551"/>
    <s v="OPEN"/>
    <x v="64"/>
    <s v="ESP"/>
    <m/>
    <m/>
    <m/>
    <m/>
    <m/>
    <s v="AEFM"/>
    <s v="CESTFA"/>
  </r>
  <r>
    <x v="3173"/>
    <s v="Roslan"/>
    <s v="Rudy Hesty"/>
    <s v="SGP0001"/>
    <s v="OPEN"/>
    <x v="23"/>
    <s v="SGP"/>
    <m/>
    <m/>
    <m/>
    <m/>
    <m/>
    <s v="TFAS"/>
    <s v="CASTFA"/>
  </r>
  <r>
    <x v="3174"/>
    <s v="Rosselli"/>
    <s v="Fabio"/>
    <s v="ITA3028"/>
    <s v="OPEN"/>
    <x v="0"/>
    <s v="ITA"/>
    <m/>
    <m/>
    <m/>
    <m/>
    <m/>
    <s v="FISCT"/>
    <s v="CESTFA"/>
  </r>
  <r>
    <x v="3175"/>
    <s v="Rossi"/>
    <s v="Augusto"/>
    <s v="ARG0081"/>
    <s v="U16"/>
    <x v="250"/>
    <s v="ARG"/>
    <m/>
    <m/>
    <m/>
    <m/>
    <m/>
    <s v="LAFM (Suspended)"/>
    <s v="CSAFM"/>
  </r>
  <r>
    <x v="3176"/>
    <s v="Rossi"/>
    <s v="Claudio"/>
    <s v="ITA3364"/>
    <s v="VET"/>
    <x v="187"/>
    <s v="iTA"/>
    <m/>
    <m/>
    <m/>
    <m/>
    <m/>
    <s v="FISCT"/>
    <s v="CESTFA"/>
  </r>
  <r>
    <x v="3176"/>
    <s v="Rossi"/>
    <s v="Claudio"/>
    <s v="ITA3364"/>
    <s v="VET"/>
    <x v="187"/>
    <s v="ITA"/>
    <m/>
    <m/>
    <m/>
    <m/>
    <m/>
    <s v="FISCT"/>
    <s v="CESTFA"/>
  </r>
  <r>
    <x v="3177"/>
    <s v="Rossi"/>
    <s v="Facundo"/>
    <s v="ARG0087"/>
    <s v="OPEN"/>
    <x v="250"/>
    <s v="ARG"/>
    <m/>
    <m/>
    <m/>
    <m/>
    <m/>
    <s v="LAFM (Suspended)"/>
    <s v="CSAFM"/>
  </r>
  <r>
    <x v="3178"/>
    <s v="Rossi"/>
    <s v="Filippo"/>
    <s v="ITA0743"/>
    <s v="OPEN"/>
    <x v="98"/>
    <s v="ITA"/>
    <m/>
    <m/>
    <m/>
    <m/>
    <m/>
    <s v="FISCT"/>
    <s v="CESTFA"/>
  </r>
  <r>
    <x v="3179"/>
    <s v="Rossi"/>
    <s v="Francesco"/>
    <s v="ITA3431"/>
    <s v="U12"/>
    <x v="166"/>
    <s v="ITA"/>
    <m/>
    <m/>
    <m/>
    <m/>
    <m/>
    <s v="FISCT"/>
    <s v="CESTFA"/>
  </r>
  <r>
    <x v="3180"/>
    <s v="Rossi"/>
    <s v="Frida"/>
    <s v="ARG0084"/>
    <s v="U16"/>
    <x v="250"/>
    <s v="ARG"/>
    <m/>
    <m/>
    <m/>
    <m/>
    <m/>
    <s v="LAFM (Suspended)"/>
    <s v="CSAFM"/>
  </r>
  <r>
    <x v="3181"/>
    <s v="Rossi"/>
    <s v="Marcelo"/>
    <s v="ARG0079"/>
    <s v="VET"/>
    <x v="250"/>
    <s v="ARG"/>
    <m/>
    <m/>
    <m/>
    <m/>
    <m/>
    <s v="LAFM (Suspended)"/>
    <s v="CSAFM"/>
  </r>
  <r>
    <x v="3182"/>
    <s v="Rossitto"/>
    <s v="Aleksandar"/>
    <s v="ITA3345"/>
    <s v="U12"/>
    <x v="195"/>
    <s v="ITA"/>
    <m/>
    <m/>
    <m/>
    <m/>
    <m/>
    <s v="FISCT"/>
    <s v="CESTFA"/>
  </r>
  <r>
    <x v="3183"/>
    <s v="Rossitto"/>
    <s v="Marco"/>
    <s v="ITA2826"/>
    <s v="OPEN"/>
    <x v="195"/>
    <s v="ITA"/>
    <m/>
    <m/>
    <m/>
    <m/>
    <m/>
    <s v="FISCT"/>
    <s v="CESTFA"/>
  </r>
  <r>
    <x v="3184"/>
    <s v="Röttjer"/>
    <s v="Jens"/>
    <s v="GER0027"/>
    <s v="VET"/>
    <x v="5"/>
    <s v="GER"/>
    <m/>
    <m/>
    <m/>
    <m/>
    <m/>
    <s v="DSTFB"/>
    <s v="CESTFA"/>
  </r>
  <r>
    <x v="3185"/>
    <s v="Roufosse"/>
    <s v="Philippe"/>
    <s v="BEL0176"/>
    <s v="VET"/>
    <x v="241"/>
    <s v="BEL"/>
    <m/>
    <m/>
    <m/>
    <m/>
    <m/>
    <m/>
    <m/>
  </r>
  <r>
    <x v="3186"/>
    <s v="Rouis"/>
    <s v="Abdelmaneum"/>
    <s v="FRA0296"/>
    <s v="OPEN"/>
    <x v="57"/>
    <s v="FRA"/>
    <m/>
    <m/>
    <m/>
    <m/>
    <m/>
    <s v="3FTS"/>
    <s v="CESTFA"/>
  </r>
  <r>
    <x v="3187"/>
    <s v="Rouis"/>
    <s v="Fayçal"/>
    <s v="FRA0022"/>
    <s v="OPEN"/>
    <x v="57"/>
    <s v="FRA"/>
    <m/>
    <m/>
    <m/>
    <m/>
    <m/>
    <s v="3FTS"/>
    <s v="CESTFA"/>
  </r>
  <r>
    <x v="3188"/>
    <s v="Rouis"/>
    <s v="Mongi"/>
    <s v="TUN0002"/>
    <s v="OPEN"/>
    <x v="178"/>
    <s v="TUN"/>
    <m/>
    <m/>
    <m/>
    <m/>
    <m/>
    <s v="TTF (TUNISIA TABLE FOOTBALL) (Suspended)"/>
    <s v="CNASTF"/>
  </r>
  <r>
    <x v="3189"/>
    <s v="Rouis"/>
    <s v="Yasser"/>
    <s v="TUN0015"/>
    <s v="U20"/>
    <x v="57"/>
    <s v="TUN"/>
    <m/>
    <m/>
    <m/>
    <m/>
    <m/>
    <s v="TTF (TUNISIA TABLE FOOTBALL) (Suspended)"/>
    <s v="CNASTF"/>
  </r>
  <r>
    <x v="3190"/>
    <s v="Roumantzas"/>
    <s v="Dionysios"/>
    <s v="GRE0562"/>
    <s v="OPEN"/>
    <x v="14"/>
    <s v="GRE"/>
    <m/>
    <m/>
    <m/>
    <m/>
    <m/>
    <s v="UHTF"/>
    <s v="CESTFA"/>
  </r>
  <r>
    <x v="3191"/>
    <s v="Roussis"/>
    <s v="Fratzeskos"/>
    <s v="GRE0705"/>
    <s v="OPEN"/>
    <x v="14"/>
    <s v="GRE"/>
    <m/>
    <m/>
    <m/>
    <m/>
    <m/>
    <s v="UHTF"/>
    <s v="CESTFA"/>
  </r>
  <r>
    <x v="3192"/>
    <s v="Routsis"/>
    <s v="Stratos"/>
    <s v="GRE0124"/>
    <s v="VET"/>
    <x v="14"/>
    <s v="GRE"/>
    <m/>
    <m/>
    <m/>
    <m/>
    <m/>
    <s v="UHTF"/>
    <s v="CESTFA"/>
  </r>
  <r>
    <x v="3193"/>
    <s v="Rouvalis"/>
    <s v="Panagiotis"/>
    <s v="GRE0670"/>
    <s v="U16"/>
    <x v="14"/>
    <s v="GRE"/>
    <m/>
    <m/>
    <m/>
    <m/>
    <m/>
    <s v="UHTF"/>
    <s v="CESTFA"/>
  </r>
  <r>
    <x v="3194"/>
    <s v="Rovalis"/>
    <s v="Fotios"/>
    <s v="GRE0661"/>
    <s v="VET"/>
    <x v="14"/>
    <s v="GRE"/>
    <m/>
    <m/>
    <m/>
    <m/>
    <m/>
    <s v="UHTF"/>
    <s v="CESTFA"/>
  </r>
  <r>
    <x v="3195"/>
    <s v="Rowley"/>
    <s v="Matthew"/>
    <s v="WAL0005"/>
    <s v="VET"/>
    <x v="121"/>
    <s v="WAL"/>
    <m/>
    <m/>
    <m/>
    <m/>
    <m/>
    <s v="WSTFA"/>
    <s v="CESTFA"/>
  </r>
  <r>
    <x v="3196"/>
    <s v="Rubbi"/>
    <s v="Valentino"/>
    <s v="FRA0265"/>
    <s v="U12"/>
    <x v="175"/>
    <s v="FRA"/>
    <m/>
    <m/>
    <m/>
    <m/>
    <m/>
    <s v="3FTS"/>
    <s v="CESTFA"/>
  </r>
  <r>
    <x v="3197"/>
    <s v="Rubi"/>
    <s v="Jean-François"/>
    <s v="FRA0036"/>
    <s v="VET"/>
    <x v="82"/>
    <s v="FRA"/>
    <m/>
    <m/>
    <m/>
    <m/>
    <m/>
    <s v="3FTS"/>
    <s v="CESTFA"/>
  </r>
  <r>
    <x v="3198"/>
    <s v="Rubino"/>
    <s v="Maurizio"/>
    <s v="ITA3287"/>
    <s v="VET"/>
    <x v="46"/>
    <s v="ITA"/>
    <m/>
    <m/>
    <m/>
    <m/>
    <m/>
    <s v="FISCT"/>
    <s v="CESTFA"/>
  </r>
  <r>
    <x v="3199"/>
    <s v="Rudy Hesty"/>
    <s v="Edin Reyza"/>
    <s v="SGP0151"/>
    <s v="U12"/>
    <x v="23"/>
    <s v="SGP"/>
    <m/>
    <m/>
    <m/>
    <m/>
    <m/>
    <s v="TFAS"/>
    <s v="CASTFA"/>
  </r>
  <r>
    <x v="3200"/>
    <s v="Ruelle"/>
    <s v="Marius"/>
    <s v="BEL0474"/>
    <s v="U12"/>
    <x v="178"/>
    <s v="BEL"/>
    <m/>
    <m/>
    <m/>
    <m/>
    <m/>
    <m/>
    <m/>
  </r>
  <r>
    <x v="3201"/>
    <s v="Ruf"/>
    <s v="Alexander"/>
    <s v="GER0070"/>
    <s v="OPEN"/>
    <x v="135"/>
    <s v="GER"/>
    <m/>
    <m/>
    <m/>
    <m/>
    <m/>
    <s v="DSTFB"/>
    <s v="CESTFA"/>
  </r>
  <r>
    <x v="3202"/>
    <s v="Ruf"/>
    <s v="Hans"/>
    <s v="GER0071"/>
    <s v="VET"/>
    <x v="135"/>
    <s v="GER"/>
    <m/>
    <m/>
    <m/>
    <m/>
    <m/>
    <s v="DSTFB"/>
    <s v="CESTFA"/>
  </r>
  <r>
    <x v="3203"/>
    <s v="Ruffolo"/>
    <s v="Richard"/>
    <s v="CAN0047"/>
    <s v="OPEN"/>
    <x v="222"/>
    <s v="CAN"/>
    <m/>
    <m/>
    <m/>
    <m/>
    <m/>
    <s v="SCA"/>
    <m/>
  </r>
  <r>
    <x v="3204"/>
    <s v="Ruiz"/>
    <s v="Ernesto"/>
    <s v="ESP0488"/>
    <s v="OPEN"/>
    <x v="36"/>
    <s v="ESP"/>
    <m/>
    <m/>
    <m/>
    <m/>
    <m/>
    <s v="AEFM"/>
    <s v="CESTFA"/>
  </r>
  <r>
    <x v="3205"/>
    <s v="Ruíz"/>
    <s v="Bonifacio"/>
    <s v="ESP0217"/>
    <s v="OPEN"/>
    <x v="210"/>
    <s v="ESP"/>
    <m/>
    <m/>
    <m/>
    <m/>
    <m/>
    <s v="AEFM"/>
    <s v="CESTFA"/>
  </r>
  <r>
    <x v="3206"/>
    <s v="Russell"/>
    <s v="David"/>
    <s v="ENG0073"/>
    <s v="OPEN"/>
    <x v="180"/>
    <s v="ENG"/>
    <m/>
    <m/>
    <m/>
    <m/>
    <m/>
    <s v="ESA"/>
    <s v="CESTFA"/>
  </r>
  <r>
    <x v="3207"/>
    <s v="Russell"/>
    <s v="Stuart"/>
    <s v="USA0008"/>
    <s v="OPEN"/>
    <x v="60"/>
    <s v="USA"/>
    <m/>
    <m/>
    <m/>
    <m/>
    <m/>
    <s v="ASA"/>
    <s v="CONASTF"/>
  </r>
  <r>
    <x v="3208"/>
    <s v="Russo"/>
    <s v="Giancarlo"/>
    <s v="ITA2891"/>
    <s v="VET"/>
    <x v="87"/>
    <s v="ITA"/>
    <m/>
    <m/>
    <m/>
    <m/>
    <m/>
    <s v="FISCT"/>
    <s v="CESTFA"/>
  </r>
  <r>
    <x v="3209"/>
    <s v="Russo"/>
    <s v="Ivano"/>
    <s v="ITA0748"/>
    <s v="OPEN"/>
    <x v="188"/>
    <s v="ITA"/>
    <m/>
    <m/>
    <m/>
    <m/>
    <m/>
    <s v="FISCT"/>
    <s v="CESTFA"/>
  </r>
  <r>
    <x v="3210"/>
    <s v="Russolillo"/>
    <s v="Diego"/>
    <s v="FRA0248"/>
    <s v="U12"/>
    <x v="175"/>
    <s v="FRA"/>
    <m/>
    <m/>
    <m/>
    <m/>
    <m/>
    <s v="3FTS"/>
    <s v="CESTFA"/>
  </r>
  <r>
    <x v="3211"/>
    <s v="Russolillo"/>
    <s v="Giorgio"/>
    <s v="FRA0255"/>
    <s v="VET"/>
    <x v="175"/>
    <s v="FRA"/>
    <m/>
    <m/>
    <m/>
    <m/>
    <m/>
    <s v="3FTS"/>
    <s v="CESTFA"/>
  </r>
  <r>
    <x v="3212"/>
    <s v="Rust"/>
    <s v="Werner"/>
    <s v="GER0134"/>
    <s v="VET"/>
    <x v="359"/>
    <s v="GER"/>
    <m/>
    <m/>
    <m/>
    <m/>
    <m/>
    <s v="DSTFB"/>
    <s v="CESTFA"/>
  </r>
  <r>
    <x v="3213"/>
    <s v="Sabetta"/>
    <s v="Christopher"/>
    <s v="BEL0318"/>
    <s v="OPEN"/>
    <x v="178"/>
    <s v="BEL"/>
    <m/>
    <m/>
    <m/>
    <m/>
    <m/>
    <m/>
    <m/>
  </r>
  <r>
    <x v="3214"/>
    <s v="Saffer"/>
    <s v="Olivier"/>
    <s v="BEL0091"/>
    <s v="OPEN"/>
    <x v="45"/>
    <s v="BEL"/>
    <m/>
    <m/>
    <m/>
    <m/>
    <m/>
    <m/>
    <m/>
  </r>
  <r>
    <x v="3215"/>
    <s v="Sagit"/>
    <s v="Olivier"/>
    <s v="FRA0060"/>
    <s v="OPEN"/>
    <x v="57"/>
    <s v="FRA"/>
    <m/>
    <m/>
    <m/>
    <m/>
    <m/>
    <s v="3FTS"/>
    <s v="CESTFA"/>
  </r>
  <r>
    <x v="3216"/>
    <s v="Saitta"/>
    <s v="Roberto"/>
    <s v="ITA1821"/>
    <s v="U20"/>
    <x v="190"/>
    <s v="ITA"/>
    <m/>
    <m/>
    <m/>
    <m/>
    <m/>
    <s v="FISCT"/>
    <s v="CESTFA"/>
  </r>
  <r>
    <x v="3217"/>
    <s v="Salamouris"/>
    <s v="Ioannis"/>
    <s v="GRE0329"/>
    <s v="OPEN"/>
    <x v="218"/>
    <s v="GRE"/>
    <m/>
    <m/>
    <m/>
    <m/>
    <m/>
    <s v="UHTF"/>
    <s v="CESTFA"/>
  </r>
  <r>
    <x v="3218"/>
    <s v="Salatino"/>
    <s v="Cosimo"/>
    <s v="ITA3438"/>
    <s v="OPEN"/>
    <x v="54"/>
    <s v="ITA"/>
    <m/>
    <m/>
    <m/>
    <m/>
    <m/>
    <s v="FISCT"/>
    <s v="CESTFA"/>
  </r>
  <r>
    <x v="3219"/>
    <s v="Salatino"/>
    <s v="Daniele"/>
    <s v="ITA3382"/>
    <s v="U12"/>
    <x v="54"/>
    <s v="ITA"/>
    <m/>
    <m/>
    <m/>
    <m/>
    <m/>
    <s v="FISCT"/>
    <s v="CESTFA"/>
  </r>
  <r>
    <x v="3220"/>
    <s v="Salazar"/>
    <s v="José Antonio"/>
    <s v="ESP0510"/>
    <s v="OPEN"/>
    <x v="47"/>
    <s v="ESP"/>
    <m/>
    <m/>
    <m/>
    <m/>
    <m/>
    <s v="AEFM"/>
    <s v="CESTFA"/>
  </r>
  <r>
    <x v="3221"/>
    <s v="Salle"/>
    <s v="Laurent"/>
    <s v="FRA0079"/>
    <s v="VET"/>
    <x v="57"/>
    <s v="FRA"/>
    <m/>
    <m/>
    <m/>
    <m/>
    <m/>
    <s v="3FTS"/>
    <s v="CESTFA"/>
  </r>
  <r>
    <x v="3222"/>
    <s v="Sallese"/>
    <s v="Francesco"/>
    <s v="ITA3137"/>
    <s v="VET"/>
    <x v="112"/>
    <s v="ITA"/>
    <m/>
    <m/>
    <m/>
    <m/>
    <m/>
    <s v="FISCT"/>
    <s v="CESTFA"/>
  </r>
  <r>
    <x v="3223"/>
    <s v="Sallese"/>
    <s v="Giorgio"/>
    <s v="ITA3138"/>
    <s v="U16"/>
    <x v="112"/>
    <s v="ITA"/>
    <m/>
    <m/>
    <m/>
    <m/>
    <m/>
    <s v="FISCT"/>
    <s v="CESTFA"/>
  </r>
  <r>
    <x v="3224"/>
    <s v="Salvadori"/>
    <s v="Elio"/>
    <s v="ITA3385"/>
    <s v="VET"/>
    <x v="161"/>
    <s v="ITA"/>
    <m/>
    <m/>
    <m/>
    <m/>
    <m/>
    <s v="FISCT"/>
    <s v="CESTFA"/>
  </r>
  <r>
    <x v="3225"/>
    <s v="Salvadori"/>
    <s v="Luca"/>
    <s v="ITA0755"/>
    <s v="VET"/>
    <x v="356"/>
    <s v="ITA"/>
    <m/>
    <m/>
    <m/>
    <m/>
    <m/>
    <s v="FISCT"/>
    <s v="CESTFA"/>
  </r>
  <r>
    <x v="3226"/>
    <s v="Salvati"/>
    <s v="Mauro"/>
    <s v="ITA0756"/>
    <s v="OPEN"/>
    <x v="155"/>
    <s v="ITA"/>
    <m/>
    <m/>
    <m/>
    <m/>
    <m/>
    <s v="FISCT"/>
    <s v="CESTFA"/>
  </r>
  <r>
    <x v="3227"/>
    <s v="Samaritakis"/>
    <s v="Vardis"/>
    <s v="GRE0346"/>
    <s v="OPEN"/>
    <x v="14"/>
    <s v="GRE"/>
    <m/>
    <m/>
    <m/>
    <m/>
    <m/>
    <s v="UHTF"/>
    <s v="CESTFA"/>
  </r>
  <r>
    <x v="3228"/>
    <s v="Sammartino"/>
    <s v="Antonio Carlos"/>
    <s v="BRA0158"/>
    <s v="VET"/>
    <x v="236"/>
    <s v="BRA"/>
    <m/>
    <m/>
    <m/>
    <m/>
    <m/>
    <s v="CBFM (Suspended)"/>
    <m/>
  </r>
  <r>
    <x v="3229"/>
    <s v="Sampaio"/>
    <s v="António"/>
    <s v="POR0218"/>
    <s v="U16"/>
    <x v="11"/>
    <s v="POR"/>
    <m/>
    <m/>
    <m/>
    <m/>
    <m/>
    <s v="APS"/>
    <s v="CESTFA"/>
  </r>
  <r>
    <x v="3230"/>
    <s v="Sampaio"/>
    <s v="Pedro"/>
    <s v="POR0167"/>
    <s v="VET"/>
    <x v="14"/>
    <s v="POR"/>
    <m/>
    <m/>
    <m/>
    <m/>
    <m/>
    <s v="APS"/>
    <s v="CESTFA"/>
  </r>
  <r>
    <x v="3231"/>
    <s v="Samuel"/>
    <s v="David"/>
    <s v="WAL0006"/>
    <s v="VET"/>
    <x v="120"/>
    <s v="WAL"/>
    <m/>
    <m/>
    <m/>
    <m/>
    <m/>
    <s v="WSTFA"/>
    <s v="CESTFA"/>
  </r>
  <r>
    <x v="3232"/>
    <s v="Samuel"/>
    <s v="Eryl"/>
    <s v="WAL0053"/>
    <s v="VET"/>
    <x v="121"/>
    <s v="WAL"/>
    <m/>
    <m/>
    <m/>
    <m/>
    <m/>
    <s v="WSTFA"/>
    <s v="CESTFA"/>
  </r>
  <r>
    <x v="3233"/>
    <s v="Sanchez"/>
    <s v="Jose Luis"/>
    <s v="GIB0058"/>
    <s v="VET"/>
    <x v="37"/>
    <s v="GIB"/>
    <m/>
    <m/>
    <m/>
    <m/>
    <m/>
    <s v="GTSA"/>
    <s v="CESTFA"/>
  </r>
  <r>
    <x v="3234"/>
    <s v="Sánchez"/>
    <s v="José Manuel"/>
    <s v="ESP0188"/>
    <s v="VET"/>
    <x v="210"/>
    <s v="ESP"/>
    <m/>
    <m/>
    <m/>
    <m/>
    <m/>
    <s v="AEFM"/>
    <s v="CESTFA"/>
  </r>
  <r>
    <x v="3235"/>
    <s v="Sanders"/>
    <s v="Matt"/>
    <s v="USA0346"/>
    <s v="OPEN"/>
    <x v="360"/>
    <s v="USA"/>
    <m/>
    <m/>
    <m/>
    <m/>
    <m/>
    <s v="ASA"/>
    <s v="CONASTF"/>
  </r>
  <r>
    <x v="3236"/>
    <s v="Sandner"/>
    <s v="Stefan"/>
    <s v="AUT0033"/>
    <s v="VET"/>
    <x v="107"/>
    <s v="AUT"/>
    <m/>
    <m/>
    <m/>
    <m/>
    <m/>
    <s v="EÖTV"/>
    <s v="CESTFA"/>
  </r>
  <r>
    <x v="3237"/>
    <s v="Sandrino"/>
    <s v="Pulis"/>
    <s v="MLT146"/>
    <s v="OPEN"/>
    <x v="99"/>
    <s v="MLT"/>
    <m/>
    <m/>
    <m/>
    <m/>
    <m/>
    <s v="MTFSA"/>
    <s v="CESTFA"/>
  </r>
  <r>
    <x v="3238"/>
    <s v="Sanfilippo"/>
    <s v="Alessio"/>
    <s v="ITA3427"/>
    <s v="U12"/>
    <x v="188"/>
    <s v="ITA"/>
    <m/>
    <m/>
    <m/>
    <m/>
    <m/>
    <s v="FISCT"/>
    <s v="CESTFA"/>
  </r>
  <r>
    <x v="3239"/>
    <s v="Sangiorgio"/>
    <s v="Davide Giuseppe"/>
    <s v="ITA3348"/>
    <s v="VET"/>
    <x v="77"/>
    <s v="ITA"/>
    <m/>
    <m/>
    <m/>
    <m/>
    <m/>
    <s v="FISCT"/>
    <s v="CESTFA"/>
  </r>
  <r>
    <x v="3240"/>
    <s v="Sani"/>
    <s v="Lorenzo"/>
    <s v="ITA3284"/>
    <s v="U16"/>
    <x v="76"/>
    <s v="ITA"/>
    <m/>
    <m/>
    <m/>
    <m/>
    <m/>
    <s v="FISCT"/>
    <s v="CESTFA"/>
  </r>
  <r>
    <x v="3241"/>
    <s v="Sani"/>
    <s v="Sandro"/>
    <s v="ITA2102"/>
    <s v="VET"/>
    <x v="76"/>
    <s v="ITA"/>
    <m/>
    <m/>
    <m/>
    <m/>
    <m/>
    <s v="FISCT"/>
    <s v="CESTFA"/>
  </r>
  <r>
    <x v="3242"/>
    <s v="Sani"/>
    <s v="Tommaso"/>
    <s v="ITA3089"/>
    <s v="U16"/>
    <x v="29"/>
    <s v="ITA"/>
    <m/>
    <m/>
    <m/>
    <m/>
    <m/>
    <s v="FISCT"/>
    <s v="CESTFA"/>
  </r>
  <r>
    <x v="3243"/>
    <s v="Santana Tovar"/>
    <s v="Dominic"/>
    <s v="ITA3446"/>
    <s v="U16"/>
    <x v="76"/>
    <s v="ITA"/>
    <m/>
    <m/>
    <m/>
    <m/>
    <m/>
    <s v="FISCT"/>
    <s v="CESTFA"/>
  </r>
  <r>
    <x v="3244"/>
    <s v="Santana Vargas"/>
    <s v="Juan Josè"/>
    <s v="ITA3447"/>
    <s v="U16"/>
    <x v="76"/>
    <s v="ITA"/>
    <m/>
    <m/>
    <m/>
    <m/>
    <m/>
    <s v="FISCT"/>
    <s v="CESTFA"/>
  </r>
  <r>
    <x v="3245"/>
    <s v="Santanicchia"/>
    <s v="Cesare"/>
    <s v="ITA0758"/>
    <s v="VET"/>
    <x v="118"/>
    <s v="ITA"/>
    <m/>
    <m/>
    <m/>
    <m/>
    <m/>
    <s v="FISCT"/>
    <s v="CESTFA"/>
  </r>
  <r>
    <x v="3246"/>
    <s v="Santaniello"/>
    <s v="Vincenzo"/>
    <s v="ITA2330"/>
    <s v="OPEN"/>
    <x v="163"/>
    <s v="ITA"/>
    <m/>
    <m/>
    <m/>
    <m/>
    <m/>
    <s v="FISCT"/>
    <s v="CESTFA"/>
  </r>
  <r>
    <x v="3247"/>
    <s v="Santarcangelo"/>
    <s v="Vincenzo"/>
    <s v="ITA3241"/>
    <s v="VET"/>
    <x v="27"/>
    <s v="ITA"/>
    <m/>
    <m/>
    <m/>
    <m/>
    <m/>
    <s v="FISCT"/>
    <s v="CESTFA"/>
  </r>
  <r>
    <x v="3248"/>
    <s v="Santini"/>
    <s v="Massimo"/>
    <s v="ITA2481"/>
    <s v="VET"/>
    <x v="332"/>
    <s v="ITA"/>
    <m/>
    <m/>
    <m/>
    <m/>
    <m/>
    <s v="FISCT"/>
    <s v="CESTFA"/>
  </r>
  <r>
    <x v="3249"/>
    <s v="Santini Vedovati"/>
    <s v="Fernando"/>
    <s v="BRA0166"/>
    <s v="OPEN"/>
    <x v="264"/>
    <s v="BRA"/>
    <m/>
    <m/>
    <m/>
    <m/>
    <m/>
    <s v="CBFM (Suspended)"/>
    <m/>
  </r>
  <r>
    <x v="3250"/>
    <s v="Santise"/>
    <s v="Luigi"/>
    <s v="ITA2342"/>
    <s v="VET"/>
    <x v="87"/>
    <s v="ITA"/>
    <m/>
    <m/>
    <m/>
    <m/>
    <m/>
    <s v="FISCT"/>
    <s v="CESTFA"/>
  </r>
  <r>
    <x v="3251"/>
    <s v="Santonetti"/>
    <s v="Luca"/>
    <s v="ITA0958"/>
    <s v="OPEN"/>
    <x v="112"/>
    <s v="ITA"/>
    <m/>
    <m/>
    <m/>
    <m/>
    <m/>
    <s v="FISCT"/>
    <s v="CESTFA"/>
  </r>
  <r>
    <x v="3252"/>
    <s v="Santoni"/>
    <s v="Letizia"/>
    <s v="ITA1314"/>
    <s v="VET"/>
    <x v="33"/>
    <s v="ITA"/>
    <m/>
    <m/>
    <m/>
    <m/>
    <m/>
    <s v="FISCT"/>
    <s v="CESTFA"/>
  </r>
  <r>
    <x v="3253"/>
    <s v="Santoriello"/>
    <s v="Claudio"/>
    <s v="ITA2422"/>
    <s v="VET"/>
    <x v="1"/>
    <s v="ITA"/>
    <m/>
    <m/>
    <m/>
    <m/>
    <m/>
    <s v="FISCT"/>
    <s v="CESTFA"/>
  </r>
  <r>
    <x v="3254"/>
    <s v="Santoro"/>
    <s v="Orazio"/>
    <s v="ITA3370"/>
    <s v="OPEN"/>
    <x v="84"/>
    <s v="ITA"/>
    <m/>
    <m/>
    <m/>
    <m/>
    <m/>
    <s v="FISCT"/>
    <s v="CESTFA"/>
  </r>
  <r>
    <x v="3255"/>
    <s v="Santos"/>
    <s v="Claudio"/>
    <s v="USA0401"/>
    <s v="OPEN"/>
    <x v="60"/>
    <s v="USA"/>
    <m/>
    <m/>
    <m/>
    <m/>
    <m/>
    <s v="ASA"/>
    <s v="CONASTF"/>
  </r>
  <r>
    <x v="3256"/>
    <s v="Santos"/>
    <s v="Guilherme"/>
    <s v="POR0224"/>
    <s v="U16"/>
    <x v="9"/>
    <s v="POR"/>
    <m/>
    <m/>
    <m/>
    <m/>
    <m/>
    <s v="APS"/>
    <s v="CESTFA"/>
  </r>
  <r>
    <x v="3257"/>
    <s v="Santos"/>
    <s v="José"/>
    <s v="POR0011"/>
    <s v="VET"/>
    <x v="9"/>
    <s v="POR"/>
    <m/>
    <m/>
    <m/>
    <m/>
    <m/>
    <s v="APS"/>
    <s v="CESTFA"/>
  </r>
  <r>
    <x v="3258"/>
    <s v="Santos"/>
    <s v="Manuel"/>
    <s v="POR0051"/>
    <s v="OPEN"/>
    <x v="235"/>
    <s v="POR"/>
    <m/>
    <m/>
    <m/>
    <m/>
    <m/>
    <s v="APS"/>
    <s v="CESTFA"/>
  </r>
  <r>
    <x v="3259"/>
    <s v="Santos"/>
    <s v="Mateus"/>
    <s v="POR0180"/>
    <s v="U12"/>
    <x v="11"/>
    <s v="POR"/>
    <m/>
    <m/>
    <m/>
    <m/>
    <m/>
    <s v="APS"/>
    <s v="CESTFA"/>
  </r>
  <r>
    <x v="3260"/>
    <s v="Santos"/>
    <s v="Tom"/>
    <s v="GIB0007"/>
    <s v="VET"/>
    <x v="14"/>
    <s v="GIB"/>
    <m/>
    <m/>
    <m/>
    <m/>
    <m/>
    <s v="GTSA"/>
    <s v="CESTFA"/>
  </r>
  <r>
    <x v="3261"/>
    <s v="Santos"/>
    <s v="Tomás"/>
    <s v="POR0186"/>
    <s v="U20"/>
    <x v="11"/>
    <s v="POR"/>
    <m/>
    <m/>
    <m/>
    <m/>
    <m/>
    <s v="APS"/>
    <s v="CESTFA"/>
  </r>
  <r>
    <x v="3262"/>
    <s v="Sardi de Letto"/>
    <s v="David"/>
    <s v="FRA0277"/>
    <s v="VET"/>
    <x v="361"/>
    <s v="FRA"/>
    <m/>
    <m/>
    <m/>
    <m/>
    <m/>
    <s v="3FTS"/>
    <s v="CESTFA"/>
  </r>
  <r>
    <x v="3263"/>
    <s v="Sarikakis"/>
    <s v="Klearchos"/>
    <s v="GRE0654"/>
    <s v="OPEN"/>
    <x v="62"/>
    <s v="GRE"/>
    <m/>
    <m/>
    <m/>
    <m/>
    <m/>
    <s v="UHTF"/>
    <s v="CESTFA"/>
  </r>
  <r>
    <x v="3264"/>
    <s v="Sarris"/>
    <s v="Alexandros"/>
    <s v="CYP0014"/>
    <s v="OPEN"/>
    <x v="59"/>
    <s v="CYP"/>
    <m/>
    <m/>
    <m/>
    <m/>
    <m/>
    <s v="CYSTFA (Provisional)"/>
    <m/>
  </r>
  <r>
    <x v="3265"/>
    <s v="Sarris"/>
    <s v="Daniel"/>
    <s v="CYP0015"/>
    <s v="OPEN"/>
    <x v="59"/>
    <s v="CYP"/>
    <m/>
    <m/>
    <m/>
    <m/>
    <m/>
    <s v="CYSTFA (Provisional)"/>
    <m/>
  </r>
  <r>
    <x v="3266"/>
    <s v="Sarris"/>
    <s v="Mikel"/>
    <s v="CYP0016"/>
    <s v="OPEN"/>
    <x v="59"/>
    <s v="CYP"/>
    <m/>
    <m/>
    <m/>
    <m/>
    <m/>
    <s v="CYSTFA (Provisional)"/>
    <m/>
  </r>
  <r>
    <x v="3267"/>
    <s v="Sarris"/>
    <s v="Nikolas"/>
    <s v="CYP0017"/>
    <s v="OPEN"/>
    <x v="59"/>
    <s v="CYP"/>
    <m/>
    <m/>
    <m/>
    <m/>
    <m/>
    <s v="CYSTFA (Provisional)"/>
    <m/>
  </r>
  <r>
    <x v="3268"/>
    <s v="Sartor"/>
    <s v="Wolfgang"/>
    <s v="GER0052"/>
    <s v="VET"/>
    <x v="362"/>
    <s v="GER"/>
    <m/>
    <m/>
    <m/>
    <m/>
    <m/>
    <s v="DSTFB"/>
    <s v="CESTFA"/>
  </r>
  <r>
    <x v="3269"/>
    <s v="Sasaki"/>
    <s v="Shoi"/>
    <s v="JPN182"/>
    <s v="OPEN"/>
    <x v="39"/>
    <s v="JPN"/>
    <m/>
    <m/>
    <m/>
    <m/>
    <m/>
    <s v="JTFA"/>
    <s v="CASTFA"/>
  </r>
  <r>
    <x v="3270"/>
    <s v="Sassetti"/>
    <s v="Cristiano"/>
    <s v="ITA2674"/>
    <s v="VET"/>
    <x v="76"/>
    <s v="ITA"/>
    <m/>
    <m/>
    <m/>
    <m/>
    <m/>
    <s v="FISCT"/>
    <s v="CESTFA"/>
  </r>
  <r>
    <x v="3271"/>
    <s v="Sassetti"/>
    <s v="Giulio Ladetto"/>
    <s v="ITA3391"/>
    <s v="U12"/>
    <x v="76"/>
    <s v="ITA"/>
    <m/>
    <m/>
    <m/>
    <m/>
    <m/>
    <s v="FISCT"/>
    <s v="CESTFA"/>
  </r>
  <r>
    <x v="3272"/>
    <s v="Sasso"/>
    <s v="Gaetano"/>
    <s v="ITA0762"/>
    <s v="VET"/>
    <x v="223"/>
    <s v="ITA"/>
    <m/>
    <m/>
    <m/>
    <m/>
    <m/>
    <s v="FISCT"/>
    <s v="CESTFA"/>
  </r>
  <r>
    <x v="3273"/>
    <s v="Sauerwein"/>
    <s v="Dieter"/>
    <s v="GER0014"/>
    <s v="VET"/>
    <x v="108"/>
    <s v="GER"/>
    <m/>
    <m/>
    <m/>
    <m/>
    <m/>
    <s v="DSTFB"/>
    <s v="CESTFA"/>
  </r>
  <r>
    <x v="3274"/>
    <s v="Savel"/>
    <s v="Damien"/>
    <s v="FRA0281"/>
    <s v="OPEN"/>
    <x v="325"/>
    <s v="FRA"/>
    <m/>
    <m/>
    <m/>
    <m/>
    <m/>
    <s v="3FTS"/>
    <s v="CESTFA"/>
  </r>
  <r>
    <x v="3275"/>
    <s v="Saviani"/>
    <s v="Ruy"/>
    <s v="BRA0017"/>
    <s v="VET"/>
    <x v="14"/>
    <s v="BRA"/>
    <m/>
    <m/>
    <m/>
    <m/>
    <m/>
    <s v="CBFM (Suspended)"/>
    <m/>
  </r>
  <r>
    <x v="3276"/>
    <s v="Savva"/>
    <s v="Christos"/>
    <s v="CYP0031"/>
    <m/>
    <x v="14"/>
    <s v="CYP"/>
    <m/>
    <m/>
    <m/>
    <m/>
    <m/>
    <s v="CYSTFA (Provisional)"/>
    <m/>
  </r>
  <r>
    <x v="3277"/>
    <s v="Scannavini"/>
    <s v="Marco"/>
    <s v="ITA3337"/>
    <s v="VET"/>
    <x v="27"/>
    <s v="ITA"/>
    <m/>
    <m/>
    <m/>
    <m/>
    <m/>
    <s v="FISCT"/>
    <s v="CESTFA"/>
  </r>
  <r>
    <x v="3278"/>
    <s v="Scano"/>
    <s v="Fabrizio"/>
    <s v="ITA2755"/>
    <s v="OPEN"/>
    <x v="105"/>
    <s v="ITA"/>
    <m/>
    <m/>
    <m/>
    <m/>
    <m/>
    <s v="FISCT"/>
    <s v="CESTFA"/>
  </r>
  <r>
    <x v="3279"/>
    <s v="Scano"/>
    <s v="Giancarlo"/>
    <s v="ITA2749"/>
    <s v="OPEN"/>
    <x v="105"/>
    <s v="ITA"/>
    <m/>
    <m/>
    <m/>
    <m/>
    <m/>
    <s v="FISCT"/>
    <s v="CESTFA"/>
  </r>
  <r>
    <x v="3280"/>
    <s v="Scaramuzzi"/>
    <s v="Gianfranco"/>
    <s v="ITA2845"/>
    <s v="OPEN"/>
    <x v="54"/>
    <s v="ITA"/>
    <m/>
    <m/>
    <m/>
    <m/>
    <m/>
    <s v="FISCT"/>
    <s v="CESTFA"/>
  </r>
  <r>
    <x v="3281"/>
    <s v="Scarbath"/>
    <s v="Jake"/>
    <s v="USA0435"/>
    <s v="OPEN"/>
    <x v="60"/>
    <s v="USA"/>
    <m/>
    <m/>
    <m/>
    <m/>
    <m/>
    <s v="ASA"/>
    <s v="CONASTF"/>
  </r>
  <r>
    <x v="3282"/>
    <s v="Scarduelli"/>
    <s v="Marcello"/>
    <s v="ITA0773"/>
    <s v="VET"/>
    <x v="189"/>
    <s v="ITA"/>
    <m/>
    <m/>
    <m/>
    <m/>
    <m/>
    <s v="FISCT"/>
    <s v="CESTFA"/>
  </r>
  <r>
    <x v="3283"/>
    <s v="Scarselli"/>
    <s v="Stefano"/>
    <s v="ITA2479"/>
    <s v="VET"/>
    <x v="76"/>
    <s v="ITA"/>
    <m/>
    <m/>
    <m/>
    <m/>
    <m/>
    <s v="FISCT"/>
    <s v="CESTFA"/>
  </r>
  <r>
    <x v="3284"/>
    <s v="Scatamacchia"/>
    <s v="Amerigo"/>
    <s v="ITA0776"/>
    <s v="VET"/>
    <x v="0"/>
    <s v="ITA"/>
    <m/>
    <m/>
    <m/>
    <m/>
    <m/>
    <s v="FISCT"/>
    <s v="CESTFA"/>
  </r>
  <r>
    <x v="3285"/>
    <s v="Scavinsky de Alencar"/>
    <s v="Humberto"/>
    <s v="BRA0115"/>
    <s v="VET"/>
    <x v="207"/>
    <s v="BRA"/>
    <m/>
    <m/>
    <m/>
    <m/>
    <m/>
    <s v="CBFM (Suspended)"/>
    <m/>
  </r>
  <r>
    <x v="3286"/>
    <s v="Sceraert"/>
    <s v="Marc"/>
    <s v="BEL0480"/>
    <s v="VET"/>
    <x v="178"/>
    <s v="BEL"/>
    <m/>
    <m/>
    <m/>
    <m/>
    <m/>
    <m/>
    <m/>
  </r>
  <r>
    <x v="3287"/>
    <s v="Schäfer"/>
    <s v="Pascal"/>
    <s v="GER0087"/>
    <s v="OPEN"/>
    <x v="7"/>
    <s v="GER"/>
    <m/>
    <m/>
    <m/>
    <m/>
    <m/>
    <s v="DSTFB"/>
    <s v="CESTFA"/>
  </r>
  <r>
    <x v="3288"/>
    <s v="Schaup"/>
    <s v="Michael"/>
    <s v="GER0057"/>
    <s v="VET"/>
    <x v="281"/>
    <s v="GER"/>
    <m/>
    <m/>
    <m/>
    <m/>
    <m/>
    <s v="DSTFB"/>
    <s v="CESTFA"/>
  </r>
  <r>
    <x v="3289"/>
    <s v="Scheen"/>
    <s v="Daniel"/>
    <s v="BEL0148"/>
    <s v="VET"/>
    <x v="199"/>
    <s v="BEL"/>
    <m/>
    <m/>
    <m/>
    <m/>
    <m/>
    <m/>
    <m/>
  </r>
  <r>
    <x v="3290"/>
    <s v="Scheen"/>
    <s v="Malo"/>
    <s v="BEL0149"/>
    <s v="OPEN"/>
    <x v="6"/>
    <s v="BEL"/>
    <m/>
    <m/>
    <m/>
    <m/>
    <m/>
    <m/>
    <m/>
  </r>
  <r>
    <x v="3291"/>
    <s v="Scheen"/>
    <s v="Mélina"/>
    <s v="BEL0366"/>
    <s v="U20"/>
    <x v="6"/>
    <s v="BEL"/>
    <m/>
    <m/>
    <m/>
    <m/>
    <m/>
    <m/>
    <m/>
  </r>
  <r>
    <x v="3292"/>
    <s v="Scheen"/>
    <s v="Noé"/>
    <s v="BEL0150"/>
    <s v="OPEN"/>
    <x v="6"/>
    <s v="BEL"/>
    <m/>
    <m/>
    <m/>
    <m/>
    <m/>
    <m/>
    <m/>
  </r>
  <r>
    <x v="3293"/>
    <s v="Scheen"/>
    <s v="Olivia"/>
    <s v="BEL0477"/>
    <s v="U16"/>
    <x v="6"/>
    <s v="BEL"/>
    <m/>
    <m/>
    <m/>
    <m/>
    <m/>
    <m/>
    <m/>
  </r>
  <r>
    <x v="3294"/>
    <s v="Scheen"/>
    <s v="Pascal"/>
    <s v="BEL0151"/>
    <s v="VET"/>
    <x v="104"/>
    <s v="BEL"/>
    <m/>
    <m/>
    <m/>
    <m/>
    <m/>
    <m/>
    <m/>
  </r>
  <r>
    <x v="3295"/>
    <s v="Scheen"/>
    <s v="Romain"/>
    <s v="BEL0457"/>
    <s v="U12"/>
    <x v="6"/>
    <s v="BEL"/>
    <m/>
    <m/>
    <m/>
    <m/>
    <m/>
    <m/>
    <m/>
  </r>
  <r>
    <x v="3296"/>
    <s v="Scheen"/>
    <s v="Sébastien"/>
    <s v="BEL0152"/>
    <s v="OPEN"/>
    <x v="199"/>
    <s v="BEL"/>
    <m/>
    <m/>
    <m/>
    <m/>
    <m/>
    <m/>
    <m/>
  </r>
  <r>
    <x v="3297"/>
    <s v="Scheffer"/>
    <s v="Martin"/>
    <s v="NED0083"/>
    <s v="VET"/>
    <x v="121"/>
    <s v="NED"/>
    <m/>
    <m/>
    <m/>
    <m/>
    <m/>
    <s v="NSVB"/>
    <s v="CESTFA"/>
  </r>
  <r>
    <x v="3298"/>
    <s v="Scheffer"/>
    <s v="Ronald"/>
    <s v="NED0082"/>
    <s v="OPEN"/>
    <x v="244"/>
    <s v="NED"/>
    <m/>
    <m/>
    <m/>
    <m/>
    <m/>
    <s v="NSVB"/>
    <s v="CESTFA"/>
  </r>
  <r>
    <x v="3299"/>
    <s v="Scherbantin"/>
    <s v="David"/>
    <s v="AUT0107"/>
    <s v="OPEN"/>
    <x v="107"/>
    <s v="AUT"/>
    <m/>
    <m/>
    <m/>
    <m/>
    <m/>
    <s v="EÖTV"/>
    <s v="CESTFA"/>
  </r>
  <r>
    <x v="3300"/>
    <s v="Scherer"/>
    <s v="Frank"/>
    <s v="GER0080"/>
    <s v="VET"/>
    <x v="142"/>
    <s v="GER"/>
    <m/>
    <m/>
    <m/>
    <m/>
    <m/>
    <s v="DSTFB"/>
    <s v="CESTFA"/>
  </r>
  <r>
    <x v="3301"/>
    <s v="Scheurer"/>
    <s v="Rainer"/>
    <s v="GER0083"/>
    <s v="VET"/>
    <x v="142"/>
    <s v="GER"/>
    <m/>
    <m/>
    <m/>
    <m/>
    <m/>
    <s v="DSTFB"/>
    <s v="CESTFA"/>
  </r>
  <r>
    <x v="3302"/>
    <s v="Schiatti"/>
    <s v="Fabrizio"/>
    <s v="ITA2489"/>
    <s v="VET"/>
    <x v="111"/>
    <s v="ITA"/>
    <m/>
    <m/>
    <m/>
    <m/>
    <m/>
    <s v="FISCT"/>
    <s v="CESTFA"/>
  </r>
  <r>
    <x v="3303"/>
    <s v="Schiavi"/>
    <s v="Luca"/>
    <s v="ITA1092"/>
    <s v="OPEN"/>
    <x v="35"/>
    <s v="ITA"/>
    <m/>
    <m/>
    <m/>
    <m/>
    <m/>
    <s v="FISCT"/>
    <s v="CESTFA"/>
  </r>
  <r>
    <x v="3304"/>
    <s v="Schiavone"/>
    <s v="Massimiliano"/>
    <s v="ITA0779"/>
    <s v="VET"/>
    <x v="132"/>
    <s v="ITA"/>
    <m/>
    <m/>
    <m/>
    <m/>
    <m/>
    <s v="FISCT"/>
    <s v="CESTFA"/>
  </r>
  <r>
    <x v="3305"/>
    <s v="Schilirò"/>
    <s v="Giorgio"/>
    <s v="ITA1830"/>
    <s v="OPEN"/>
    <x v="363"/>
    <s v="ITA"/>
    <m/>
    <m/>
    <m/>
    <m/>
    <m/>
    <s v="FISCT"/>
    <s v="CESTFA"/>
  </r>
  <r>
    <x v="3306"/>
    <s v="Schito"/>
    <s v="Riccardo"/>
    <s v="ITA0780"/>
    <s v="VET"/>
    <x v="155"/>
    <s v="ITA"/>
    <m/>
    <m/>
    <m/>
    <m/>
    <m/>
    <s v="FISCT"/>
    <s v="CESTFA"/>
  </r>
  <r>
    <x v="3307"/>
    <s v="Schmidt"/>
    <s v="Joe"/>
    <s v="USA0192"/>
    <s v="OPEN"/>
    <x v="364"/>
    <s v="USA"/>
    <m/>
    <m/>
    <m/>
    <m/>
    <m/>
    <s v="ASA"/>
    <s v="CONASTF"/>
  </r>
  <r>
    <x v="3308"/>
    <s v="Schmidt"/>
    <s v="Nick"/>
    <s v="USA0367"/>
    <m/>
    <x v="364"/>
    <s v="USA"/>
    <m/>
    <m/>
    <m/>
    <m/>
    <m/>
    <s v="ASA"/>
    <s v="CONASTF"/>
  </r>
  <r>
    <x v="3309"/>
    <s v="Schneider"/>
    <s v="Axel"/>
    <s v="GER0047"/>
    <s v="VET"/>
    <x v="284"/>
    <s v="GER"/>
    <m/>
    <m/>
    <m/>
    <m/>
    <m/>
    <s v="DSTFB"/>
    <s v="CESTFA"/>
  </r>
  <r>
    <x v="3310"/>
    <s v="Schneider"/>
    <s v="Daniel"/>
    <s v="GER0048"/>
    <s v="OPEN"/>
    <x v="284"/>
    <s v="GER"/>
    <m/>
    <m/>
    <m/>
    <m/>
    <m/>
    <s v="DSTFB"/>
    <s v="CESTFA"/>
  </r>
  <r>
    <x v="3311"/>
    <s v="Schneider"/>
    <s v="Leon"/>
    <s v="GER0151"/>
    <s v="U20"/>
    <x v="169"/>
    <s v="GER"/>
    <m/>
    <m/>
    <m/>
    <m/>
    <m/>
    <s v="DSTFB"/>
    <s v="CESTFA"/>
  </r>
  <r>
    <x v="3312"/>
    <s v="Schneider"/>
    <s v="Patrick"/>
    <s v="GER0101"/>
    <s v="OPEN"/>
    <x v="284"/>
    <s v="GER"/>
    <m/>
    <m/>
    <m/>
    <m/>
    <m/>
    <s v="DSTFB"/>
    <s v="CESTFA"/>
  </r>
  <r>
    <x v="3313"/>
    <s v="Schneider"/>
    <s v="Wolfgang"/>
    <s v="GER0049"/>
    <s v="VET"/>
    <x v="284"/>
    <s v="GER"/>
    <m/>
    <m/>
    <m/>
    <m/>
    <m/>
    <s v="DSTFB"/>
    <s v="CESTFA"/>
  </r>
  <r>
    <x v="3314"/>
    <s v="Schnieder"/>
    <s v="Patrick"/>
    <s v="GER0115"/>
    <s v="OPEN"/>
    <x v="91"/>
    <s v="GER"/>
    <m/>
    <m/>
    <m/>
    <m/>
    <m/>
    <s v="DSTFB"/>
    <s v="CESTFA"/>
  </r>
  <r>
    <x v="3315"/>
    <s v="Schöberl"/>
    <s v="Reinhard"/>
    <s v="AUT0035"/>
    <s v="OPEN"/>
    <x v="107"/>
    <s v="AUT"/>
    <m/>
    <m/>
    <m/>
    <m/>
    <m/>
    <s v="EÖTV"/>
    <s v="CESTFA"/>
  </r>
  <r>
    <x v="3316"/>
    <s v="Schoinas"/>
    <s v="Marios"/>
    <s v="GRE0464"/>
    <s v="OPEN"/>
    <x v="14"/>
    <s v="GRE"/>
    <m/>
    <m/>
    <m/>
    <m/>
    <m/>
    <s v="UHTF"/>
    <s v="CESTFA"/>
  </r>
  <r>
    <x v="3317"/>
    <s v="Schreckenbach"/>
    <s v="Manuel"/>
    <s v="GER0028"/>
    <s v="OPEN"/>
    <x v="5"/>
    <s v="GER"/>
    <m/>
    <m/>
    <m/>
    <m/>
    <m/>
    <s v="DSTFB"/>
    <s v="CESTFA"/>
  </r>
  <r>
    <x v="3318"/>
    <s v="Schrott"/>
    <s v="Martin"/>
    <s v="GER0012"/>
    <s v="VET"/>
    <x v="91"/>
    <s v="GER"/>
    <m/>
    <m/>
    <m/>
    <m/>
    <m/>
    <s v="DSTFB"/>
    <s v="CESTFA"/>
  </r>
  <r>
    <x v="3319"/>
    <s v="Schubiditze"/>
    <s v="André"/>
    <s v="POR0206"/>
    <s v="U20"/>
    <x v="11"/>
    <s v="POR"/>
    <m/>
    <m/>
    <m/>
    <m/>
    <m/>
    <s v="APS"/>
    <s v="CESTFA"/>
  </r>
  <r>
    <x v="3320"/>
    <s v="Schuhmann"/>
    <s v="Manfred"/>
    <s v="AUT0036"/>
    <s v="VET"/>
    <x v="107"/>
    <s v="AUT"/>
    <m/>
    <m/>
    <m/>
    <m/>
    <m/>
    <s v="EÖTV"/>
    <s v="CESTFA"/>
  </r>
  <r>
    <x v="3321"/>
    <s v="Schulz"/>
    <s v="Dominik"/>
    <s v="GER0038"/>
    <s v="OPEN"/>
    <x v="108"/>
    <s v="GER"/>
    <m/>
    <m/>
    <m/>
    <m/>
    <m/>
    <s v="DSTFB"/>
    <s v="CESTFA"/>
  </r>
  <r>
    <x v="3322"/>
    <s v="Schulz"/>
    <s v="Marcel"/>
    <s v="GER0011"/>
    <s v="OPEN"/>
    <x v="142"/>
    <s v="GER"/>
    <m/>
    <m/>
    <m/>
    <m/>
    <m/>
    <s v="DSTFB"/>
    <s v="CESTFA"/>
  </r>
  <r>
    <x v="3323"/>
    <s v="Schulz"/>
    <s v="Rene"/>
    <s v="GER0010"/>
    <s v="OPEN"/>
    <x v="5"/>
    <s v="GER"/>
    <m/>
    <m/>
    <m/>
    <m/>
    <m/>
    <s v="DSTFB"/>
    <s v="CESTFA"/>
  </r>
  <r>
    <x v="3324"/>
    <s v="Schulze"/>
    <s v="Christian"/>
    <s v="NOR0009"/>
    <s v="OPEN"/>
    <x v="255"/>
    <s v="NOR"/>
    <m/>
    <m/>
    <m/>
    <m/>
    <m/>
    <s v="NBFF (Suspended)"/>
    <m/>
  </r>
  <r>
    <x v="3325"/>
    <s v="Sciacca"/>
    <s v="Carmelo"/>
    <s v="ITA0781"/>
    <s v="OPEN"/>
    <x v="195"/>
    <s v="ITA"/>
    <m/>
    <m/>
    <m/>
    <m/>
    <m/>
    <s v="FISCT"/>
    <s v="CESTFA"/>
  </r>
  <r>
    <x v="3326"/>
    <s v="Scialanga"/>
    <s v="Edoardo"/>
    <s v="ITA3118"/>
    <s v="OPEN"/>
    <x v="32"/>
    <s v="ITA"/>
    <m/>
    <m/>
    <m/>
    <m/>
    <m/>
    <s v="FISCT"/>
    <s v="CESTFA"/>
  </r>
  <r>
    <x v="3327"/>
    <s v="Scialanga"/>
    <s v="Marco"/>
    <s v="ITA3115"/>
    <s v="VET"/>
    <x v="32"/>
    <s v="ITA"/>
    <m/>
    <m/>
    <m/>
    <m/>
    <m/>
    <s v="FISCT"/>
    <s v="CESTFA"/>
  </r>
  <r>
    <x v="3328"/>
    <s v="Scola"/>
    <s v="Andrea"/>
    <s v="ITA1025"/>
    <s v="VET"/>
    <x v="35"/>
    <s v="ITA"/>
    <m/>
    <m/>
    <m/>
    <m/>
    <m/>
    <s v="FISCT"/>
    <s v="CESTFA"/>
  </r>
  <r>
    <x v="3329"/>
    <s v="Scorcucchi"/>
    <s v="Filippo"/>
    <s v="ITA3109"/>
    <s v="VET"/>
    <x v="168"/>
    <s v="ITA"/>
    <m/>
    <m/>
    <m/>
    <m/>
    <m/>
    <s v="FISCT"/>
    <s v="CESTFA"/>
  </r>
  <r>
    <x v="3330"/>
    <s v="Scott"/>
    <s v="Alexander"/>
    <s v="ENG0488"/>
    <s v="U16"/>
    <x v="90"/>
    <s v="ENG"/>
    <m/>
    <m/>
    <m/>
    <m/>
    <m/>
    <s v="ESA"/>
    <s v="CESTFA"/>
  </r>
  <r>
    <x v="3331"/>
    <s v="Scott"/>
    <s v="Joey"/>
    <s v="USA0426"/>
    <s v="OPEN"/>
    <x v="149"/>
    <s v="USA"/>
    <m/>
    <m/>
    <m/>
    <m/>
    <m/>
    <s v="ASA"/>
    <s v="CONASTF"/>
  </r>
  <r>
    <x v="3332"/>
    <s v="Scott"/>
    <s v="Justin"/>
    <s v="ENG0356"/>
    <s v="VET"/>
    <x v="90"/>
    <s v="ENG"/>
    <m/>
    <m/>
    <m/>
    <m/>
    <m/>
    <s v="ESA"/>
    <s v="CESTFA"/>
  </r>
  <r>
    <x v="3333"/>
    <s v="Scullion"/>
    <s v="Adam"/>
    <s v="NIR0011"/>
    <s v="OPEN"/>
    <x v="72"/>
    <s v="NIR"/>
    <m/>
    <m/>
    <m/>
    <m/>
    <m/>
    <s v="NITFA"/>
    <s v="CESTFA"/>
  </r>
  <r>
    <x v="3334"/>
    <s v="Seferlis"/>
    <s v="Markos"/>
    <s v="GRE0761"/>
    <s v="VET"/>
    <x v="14"/>
    <s v="GRE"/>
    <m/>
    <m/>
    <m/>
    <m/>
    <m/>
    <s v="UHTF"/>
    <s v="CESTFA"/>
  </r>
  <r>
    <x v="3335"/>
    <s v="Seferos"/>
    <s v="Georgios"/>
    <s v="GRE0188"/>
    <s v="VET"/>
    <x v="14"/>
    <s v="GRE"/>
    <m/>
    <m/>
    <m/>
    <m/>
    <m/>
    <s v="UHTF"/>
    <s v="CESTFA"/>
  </r>
  <r>
    <x v="3336"/>
    <s v="Segers"/>
    <s v="Jann"/>
    <s v="BEL0247"/>
    <s v="U20"/>
    <x v="51"/>
    <s v="BEL"/>
    <m/>
    <m/>
    <m/>
    <m/>
    <m/>
    <m/>
    <m/>
  </r>
  <r>
    <x v="3337"/>
    <s v="Seidel"/>
    <s v="Olaf"/>
    <s v="GER0046"/>
    <s v="VET"/>
    <x v="284"/>
    <s v="GER"/>
    <m/>
    <m/>
    <m/>
    <m/>
    <m/>
    <s v="DSTFB"/>
    <s v="CESTFA"/>
  </r>
  <r>
    <x v="3338"/>
    <s v="Sella"/>
    <s v="Filippo"/>
    <s v="ITA0788"/>
    <s v="VET"/>
    <x v="111"/>
    <s v="ITA"/>
    <m/>
    <m/>
    <m/>
    <m/>
    <m/>
    <s v="FISCT"/>
    <s v="CESTFA"/>
  </r>
  <r>
    <x v="3339"/>
    <s v="Selsen"/>
    <s v="Uli"/>
    <s v="GER0013"/>
    <s v="VET"/>
    <x v="365"/>
    <s v="GER"/>
    <m/>
    <m/>
    <m/>
    <m/>
    <m/>
    <s v="DSTFB"/>
    <s v="CESTFA"/>
  </r>
  <r>
    <x v="3340"/>
    <s v="Sena"/>
    <s v="Martim"/>
    <s v="POR0247"/>
    <s v="U12"/>
    <x v="9"/>
    <s v="POR"/>
    <m/>
    <m/>
    <m/>
    <m/>
    <m/>
    <s v="APS"/>
    <s v="CESTFA"/>
  </r>
  <r>
    <x v="3341"/>
    <s v="Sena"/>
    <s v="Paulo"/>
    <s v="POR0018"/>
    <s v="VET"/>
    <x v="9"/>
    <s v="POR"/>
    <m/>
    <m/>
    <m/>
    <m/>
    <m/>
    <s v="APS"/>
    <s v="CESTFA"/>
  </r>
  <r>
    <x v="3342"/>
    <s v="Senesi"/>
    <s v="Andrea"/>
    <s v="ITA2326"/>
    <s v="OPEN"/>
    <x v="243"/>
    <s v="ITA"/>
    <m/>
    <m/>
    <m/>
    <m/>
    <m/>
    <s v="FISCT"/>
    <s v="CESTFA"/>
  </r>
  <r>
    <x v="3343"/>
    <s v="Senone"/>
    <s v="Hugo"/>
    <s v="ARG0089"/>
    <s v="VET"/>
    <x v="250"/>
    <s v="ARG"/>
    <m/>
    <m/>
    <m/>
    <m/>
    <m/>
    <s v="LAFM (Suspended)"/>
    <s v="CSAFM"/>
  </r>
  <r>
    <x v="3344"/>
    <s v="Seow"/>
    <s v="Lucas"/>
    <s v="SGP0138"/>
    <s v="U16"/>
    <x v="4"/>
    <s v="SGP"/>
    <m/>
    <m/>
    <m/>
    <m/>
    <m/>
    <s v="TFAS"/>
    <s v="CASTFA"/>
  </r>
  <r>
    <x v="3345"/>
    <s v="Sepe"/>
    <s v="Pasquale"/>
    <s v="ITA0790"/>
    <s v="OPEN"/>
    <x v="116"/>
    <s v="ITA"/>
    <m/>
    <m/>
    <m/>
    <m/>
    <m/>
    <s v="FISCT"/>
    <s v="CESTFA"/>
  </r>
  <r>
    <x v="3346"/>
    <s v="Seppia"/>
    <s v="Maurizio"/>
    <s v="ITA1150"/>
    <s v="OPEN"/>
    <x v="88"/>
    <s v="ITA"/>
    <m/>
    <m/>
    <m/>
    <m/>
    <m/>
    <s v="FISCT"/>
    <s v="CESTFA"/>
  </r>
  <r>
    <x v="3347"/>
    <s v="Sercu"/>
    <s v="Aeden"/>
    <s v="BEL0468"/>
    <s v="U16"/>
    <x v="215"/>
    <s v="BEL"/>
    <m/>
    <m/>
    <m/>
    <m/>
    <m/>
    <m/>
    <m/>
  </r>
  <r>
    <x v="3348"/>
    <s v="Sergi"/>
    <s v="Giulio"/>
    <s v="ITA2382"/>
    <s v="VET"/>
    <x v="84"/>
    <s v="ITA"/>
    <m/>
    <m/>
    <m/>
    <m/>
    <m/>
    <s v="FISCT"/>
    <s v="CESTFA"/>
  </r>
  <r>
    <x v="3349"/>
    <s v="Sergio"/>
    <s v="Massimo"/>
    <s v="ITA0793"/>
    <s v="VET"/>
    <x v="87"/>
    <s v="ITA"/>
    <m/>
    <m/>
    <m/>
    <m/>
    <m/>
    <s v="FISCT"/>
    <s v="CESTFA"/>
  </r>
  <r>
    <x v="3350"/>
    <s v="Sermpos"/>
    <s v="Ioannis"/>
    <s v="GRE0630"/>
    <s v="OPEN"/>
    <x v="14"/>
    <s v="GRE"/>
    <m/>
    <m/>
    <m/>
    <m/>
    <m/>
    <s v="UHTF"/>
    <s v="CESTFA"/>
  </r>
  <r>
    <x v="3351"/>
    <s v="Serpico"/>
    <s v="Gianluca"/>
    <s v="ITA0794"/>
    <s v="OPEN"/>
    <x v="116"/>
    <s v="ITA"/>
    <m/>
    <m/>
    <m/>
    <m/>
    <m/>
    <s v="FISCT"/>
    <s v="CESTFA"/>
  </r>
  <r>
    <x v="3352"/>
    <s v="Serwy"/>
    <s v="Pol"/>
    <s v="BEL0166"/>
    <s v="VET"/>
    <x v="244"/>
    <s v="BEL"/>
    <m/>
    <m/>
    <m/>
    <m/>
    <m/>
    <m/>
    <m/>
  </r>
  <r>
    <x v="3353"/>
    <s v="Seses"/>
    <s v="Kostantinos"/>
    <s v="GRE0170"/>
    <s v="OPEN"/>
    <x v="53"/>
    <s v="GRE"/>
    <m/>
    <m/>
    <m/>
    <m/>
    <m/>
    <s v="UHTF"/>
    <s v="CESTFA"/>
  </r>
  <r>
    <x v="3354"/>
    <s v="Setale"/>
    <s v="Giuseppe"/>
    <s v="ITA0797"/>
    <s v="VET"/>
    <x v="176"/>
    <s v="ITA"/>
    <m/>
    <m/>
    <m/>
    <m/>
    <m/>
    <s v="FISCT"/>
    <s v="CESTFA"/>
  </r>
  <r>
    <x v="3355"/>
    <s v="Sexton"/>
    <s v="Brodyn"/>
    <s v="CAN0018"/>
    <s v="OPEN"/>
    <x v="191"/>
    <s v="CAN"/>
    <m/>
    <m/>
    <m/>
    <m/>
    <m/>
    <s v="SCA"/>
    <m/>
  </r>
  <r>
    <x v="3356"/>
    <s v="Sexton"/>
    <s v="John"/>
    <s v="CAN0026"/>
    <s v="VET"/>
    <x v="191"/>
    <s v="CAN"/>
    <m/>
    <m/>
    <m/>
    <m/>
    <m/>
    <s v="SCA"/>
    <m/>
  </r>
  <r>
    <x v="3357"/>
    <s v="Sexton"/>
    <s v="Liam"/>
    <s v="CAN0019"/>
    <s v="OPEN"/>
    <x v="191"/>
    <s v="CAN"/>
    <m/>
    <m/>
    <m/>
    <m/>
    <m/>
    <s v="SCA"/>
    <m/>
  </r>
  <r>
    <x v="3358"/>
    <s v="Sexton"/>
    <s v="Peter"/>
    <s v="CAN0016"/>
    <s v="VET"/>
    <x v="191"/>
    <s v="CAN"/>
    <m/>
    <m/>
    <m/>
    <m/>
    <m/>
    <s v="SCA"/>
    <m/>
  </r>
  <r>
    <x v="3359"/>
    <s v="Sfakianakis"/>
    <s v="Giorgos"/>
    <s v="GRE0626"/>
    <s v="VET"/>
    <x v="14"/>
    <s v="GRE"/>
    <m/>
    <m/>
    <m/>
    <m/>
    <m/>
    <s v="UHTF"/>
    <s v="CESTFA"/>
  </r>
  <r>
    <x v="3360"/>
    <s v="Sforzini"/>
    <s v="Dario"/>
    <s v="ITA2897"/>
    <s v="VET"/>
    <x v="1"/>
    <s v="ITA"/>
    <m/>
    <m/>
    <m/>
    <m/>
    <m/>
    <s v="FISCT"/>
    <s v="CESTFA"/>
  </r>
  <r>
    <x v="3361"/>
    <s v="Sgro"/>
    <s v="Mike"/>
    <s v="CAN0044"/>
    <s v="OPEN"/>
    <x v="222"/>
    <s v="CAN"/>
    <m/>
    <m/>
    <m/>
    <m/>
    <m/>
    <s v="SCA"/>
    <m/>
  </r>
  <r>
    <x v="3362"/>
    <s v="Shafiq"/>
    <s v="Ismail"/>
    <s v="SGP0101"/>
    <s v="OPEN"/>
    <x v="23"/>
    <s v="SGP"/>
    <m/>
    <m/>
    <m/>
    <m/>
    <m/>
    <s v="TFAS"/>
    <s v="CASTFA"/>
  </r>
  <r>
    <x v="3363"/>
    <s v="Sham"/>
    <s v="Bhavin"/>
    <s v="SGP0090"/>
    <s v="U20"/>
    <x v="4"/>
    <s v="SGP"/>
    <m/>
    <m/>
    <m/>
    <m/>
    <m/>
    <s v="TFAS"/>
    <s v="CASTFA"/>
  </r>
  <r>
    <x v="3364"/>
    <s v="Sham"/>
    <s v="Doulatram"/>
    <s v="SGP0089"/>
    <s v="VET"/>
    <x v="4"/>
    <s v="SGP"/>
    <m/>
    <m/>
    <m/>
    <m/>
    <m/>
    <s v="TFAS"/>
    <s v="CASTFA"/>
  </r>
  <r>
    <x v="3365"/>
    <s v="Sham"/>
    <s v="Ruhan"/>
    <s v="SGP0091"/>
    <s v="U16"/>
    <x v="4"/>
    <s v="SGP"/>
    <m/>
    <m/>
    <m/>
    <m/>
    <m/>
    <s v="TFAS"/>
    <s v="CASTFA"/>
  </r>
  <r>
    <x v="3366"/>
    <s v="Sharp"/>
    <s v="Ian"/>
    <s v="ENG0508"/>
    <s v="VET"/>
    <x v="180"/>
    <s v="ENG"/>
    <m/>
    <m/>
    <m/>
    <m/>
    <m/>
    <s v="ESA"/>
    <s v="CESTFA"/>
  </r>
  <r>
    <x v="3367"/>
    <s v="Sheridan"/>
    <s v="Patrick"/>
    <s v="USA0005"/>
    <s v="OPEN"/>
    <x v="366"/>
    <s v="USA"/>
    <m/>
    <m/>
    <m/>
    <m/>
    <m/>
    <s v="ASA"/>
    <s v="CONASTF"/>
  </r>
  <r>
    <x v="3368"/>
    <s v="Shiamishis"/>
    <s v="Nicolas"/>
    <s v="CYP0034"/>
    <s v="OPEN"/>
    <x v="14"/>
    <s v="CYP"/>
    <m/>
    <m/>
    <m/>
    <m/>
    <m/>
    <s v="CYSTFA (Provisional)"/>
    <m/>
  </r>
  <r>
    <x v="3369"/>
    <s v="Shibata"/>
    <s v="Kaoru"/>
    <s v="JPN185"/>
    <s v="VET"/>
    <x v="307"/>
    <s v="JPN"/>
    <m/>
    <m/>
    <m/>
    <m/>
    <m/>
    <s v="JTFA"/>
    <s v="CASTFA"/>
  </r>
  <r>
    <x v="3370"/>
    <s v="Shirley"/>
    <s v="Tom"/>
    <s v="USA0331"/>
    <s v="VET"/>
    <x v="360"/>
    <s v="USA"/>
    <m/>
    <m/>
    <m/>
    <m/>
    <m/>
    <s v="ASA"/>
    <s v="CONASTF"/>
  </r>
  <r>
    <x v="3371"/>
    <s v="Shoenfeld"/>
    <s v="Edgar"/>
    <s v="ARG0032"/>
    <s v="VET"/>
    <x v="157"/>
    <s v="ARG"/>
    <m/>
    <m/>
    <m/>
    <m/>
    <m/>
    <s v="LAFM (Suspended)"/>
    <s v="CSAFM"/>
  </r>
  <r>
    <x v="3372"/>
    <s v="Shoenfeld"/>
    <s v="Santiago"/>
    <s v="ARG0067"/>
    <s v="U20"/>
    <x v="157"/>
    <s v="ARG"/>
    <m/>
    <m/>
    <m/>
    <m/>
    <m/>
    <s v="LAFM (Suspended)"/>
    <s v="CSAFM"/>
  </r>
  <r>
    <x v="3373"/>
    <s v="Shoenfeld"/>
    <s v="Tomás"/>
    <s v="ARG0068"/>
    <s v="OPEN"/>
    <x v="157"/>
    <s v="ARG"/>
    <m/>
    <m/>
    <m/>
    <m/>
    <m/>
    <s v="LAFM (Suspended)"/>
    <s v="CSAFM"/>
  </r>
  <r>
    <x v="3374"/>
    <s v="Short"/>
    <s v="Christian"/>
    <s v="ENG0034"/>
    <s v="OPEN"/>
    <x v="141"/>
    <s v="ENG"/>
    <m/>
    <m/>
    <m/>
    <m/>
    <m/>
    <s v="ESA"/>
    <s v="CESTFA"/>
  </r>
  <r>
    <x v="3375"/>
    <s v="Siciliano"/>
    <s v="Alessandro"/>
    <s v="ITA3349"/>
    <s v="U12"/>
    <x v="0"/>
    <s v="ITA"/>
    <m/>
    <m/>
    <m/>
    <m/>
    <m/>
    <s v="FISCT"/>
    <s v="CESTFA"/>
  </r>
  <r>
    <x v="3376"/>
    <s v="Siciliano"/>
    <s v="Carlo"/>
    <s v="ITA3029"/>
    <s v="VET"/>
    <x v="0"/>
    <s v="ITA"/>
    <m/>
    <m/>
    <m/>
    <m/>
    <m/>
    <s v="FISCT"/>
    <s v="CESTFA"/>
  </r>
  <r>
    <x v="3377"/>
    <s v="Siculella"/>
    <s v="Andrea"/>
    <s v="ITA3365"/>
    <s v="OPEN"/>
    <x v="32"/>
    <s v="ITA"/>
    <m/>
    <m/>
    <m/>
    <m/>
    <m/>
    <s v="FISCT"/>
    <s v="CESTFA"/>
  </r>
  <r>
    <x v="3378"/>
    <s v="Sigalas"/>
    <s v="Nasos"/>
    <s v="GRE0442"/>
    <s v="VET"/>
    <x v="14"/>
    <s v="GRE"/>
    <m/>
    <m/>
    <m/>
    <m/>
    <m/>
    <s v="UHTF"/>
    <s v="CESTFA"/>
  </r>
  <r>
    <x v="3379"/>
    <s v="Signorelli"/>
    <s v="Luca"/>
    <s v="ITA1607"/>
    <s v="VET"/>
    <x v="68"/>
    <s v="ITA"/>
    <m/>
    <m/>
    <m/>
    <m/>
    <m/>
    <s v="FISCT"/>
    <s v="CESTFA"/>
  </r>
  <r>
    <x v="3380"/>
    <s v="Signoretti"/>
    <s v="Pierluigi"/>
    <s v="ITA1636"/>
    <s v="OPEN"/>
    <x v="76"/>
    <s v="ITA"/>
    <m/>
    <m/>
    <m/>
    <m/>
    <m/>
    <s v="FISCT"/>
    <s v="CESTFA"/>
  </r>
  <r>
    <x v="3381"/>
    <s v="Silei"/>
    <s v="Michele"/>
    <s v="ITA0804"/>
    <s v="OPEN"/>
    <x v="187"/>
    <s v="ITA"/>
    <m/>
    <m/>
    <m/>
    <m/>
    <m/>
    <s v="FISCT"/>
    <s v="CESTFA"/>
  </r>
  <r>
    <x v="3382"/>
    <s v="Silva"/>
    <s v="Jaime"/>
    <s v="POR0054"/>
    <s v="OPEN"/>
    <x v="14"/>
    <s v="POR"/>
    <m/>
    <m/>
    <m/>
    <m/>
    <m/>
    <s v="APS"/>
    <s v="CESTFA"/>
  </r>
  <r>
    <x v="3383"/>
    <s v="Silva"/>
    <s v="Jorge"/>
    <s v="POR0123"/>
    <s v="VET"/>
    <x v="9"/>
    <s v="POR"/>
    <m/>
    <m/>
    <m/>
    <m/>
    <m/>
    <s v="APS"/>
    <s v="CESTFA"/>
  </r>
  <r>
    <x v="3384"/>
    <s v="Silva"/>
    <s v="Luís Filipe"/>
    <s v="POR0149"/>
    <s v="VET"/>
    <x v="9"/>
    <s v="POR"/>
    <m/>
    <m/>
    <m/>
    <m/>
    <m/>
    <s v="APS"/>
    <s v="CESTFA"/>
  </r>
  <r>
    <x v="3385"/>
    <s v="Silva"/>
    <s v="Luís Miguel"/>
    <s v="POR0139"/>
    <s v="OPEN"/>
    <x v="14"/>
    <s v="POR"/>
    <m/>
    <m/>
    <m/>
    <m/>
    <m/>
    <s v="APS"/>
    <s v="CESTFA"/>
  </r>
  <r>
    <x v="3386"/>
    <s v="Silva"/>
    <s v="Maria Joao"/>
    <s v="POR0182"/>
    <s v="U20"/>
    <x v="16"/>
    <s v="POR"/>
    <m/>
    <m/>
    <m/>
    <m/>
    <m/>
    <s v="APS"/>
    <s v="CESTFA"/>
  </r>
  <r>
    <x v="3387"/>
    <s v="Silva"/>
    <s v="Nuno"/>
    <s v="POR0169"/>
    <s v="VET"/>
    <x v="16"/>
    <s v="POR"/>
    <m/>
    <m/>
    <m/>
    <m/>
    <m/>
    <s v="APS"/>
    <s v="CESTFA"/>
  </r>
  <r>
    <x v="3388"/>
    <s v="Silva"/>
    <s v="Sérgio"/>
    <s v="POR0023"/>
    <s v="VET"/>
    <x v="351"/>
    <s v="POR"/>
    <m/>
    <m/>
    <m/>
    <m/>
    <m/>
    <s v="APS"/>
    <s v="CESTFA"/>
  </r>
  <r>
    <x v="3389"/>
    <s v="Silveri"/>
    <s v="Gabriele"/>
    <s v="ITA0806"/>
    <s v="OPEN"/>
    <x v="199"/>
    <s v="ITA"/>
    <m/>
    <m/>
    <m/>
    <m/>
    <m/>
    <s v="FISCT"/>
    <s v="CESTFA"/>
  </r>
  <r>
    <x v="3390"/>
    <s v="Silvestri"/>
    <s v="Giancarlo"/>
    <s v="ITA0807"/>
    <s v="VET"/>
    <x v="55"/>
    <s v="ITA"/>
    <m/>
    <m/>
    <m/>
    <m/>
    <m/>
    <s v="FISCT"/>
    <s v="CESTFA"/>
  </r>
  <r>
    <x v="3391"/>
    <s v="Silvestri"/>
    <s v="Maurizio"/>
    <s v="ITA2512"/>
    <s v="VET"/>
    <x v="38"/>
    <s v="ITA"/>
    <m/>
    <m/>
    <m/>
    <m/>
    <m/>
    <s v="FISCT"/>
    <s v="CESTFA"/>
  </r>
  <r>
    <x v="3392"/>
    <s v="Simi"/>
    <s v="Julio"/>
    <s v="BRA0046"/>
    <s v="VET"/>
    <x v="2"/>
    <s v="BRA"/>
    <m/>
    <m/>
    <m/>
    <m/>
    <m/>
    <s v="CBFM (Suspended)"/>
    <m/>
  </r>
  <r>
    <x v="3393"/>
    <s v="Simmill"/>
    <s v="Dave"/>
    <s v="ENG0504"/>
    <s v="VET"/>
    <x v="14"/>
    <s v="ENG"/>
    <m/>
    <m/>
    <m/>
    <m/>
    <m/>
    <s v="ESA"/>
    <s v="CESTFA"/>
  </r>
  <r>
    <x v="3394"/>
    <s v="Simonazzi"/>
    <s v="Mauro"/>
    <s v="ITA2967"/>
    <s v="VET"/>
    <x v="32"/>
    <s v="ITA"/>
    <m/>
    <m/>
    <m/>
    <m/>
    <m/>
    <s v="FISCT"/>
    <s v="CESTFA"/>
  </r>
  <r>
    <x v="3395"/>
    <s v="Simonetti"/>
    <s v="Felice"/>
    <s v="ITA2040"/>
    <s v="OPEN"/>
    <x v="268"/>
    <s v="ITA"/>
    <m/>
    <m/>
    <m/>
    <m/>
    <m/>
    <s v="FISCT"/>
    <s v="CESTFA"/>
  </r>
  <r>
    <x v="3396"/>
    <s v="Singh"/>
    <s v="Louis"/>
    <s v="ENG0312"/>
    <s v="OPEN"/>
    <x v="75"/>
    <s v="ENG"/>
    <m/>
    <m/>
    <m/>
    <m/>
    <m/>
    <s v="ESA"/>
    <s v="CESTFA"/>
  </r>
  <r>
    <x v="3397"/>
    <s v="Singh"/>
    <s v="Melvindepal"/>
    <s v="SGP0147"/>
    <s v="VET"/>
    <x v="4"/>
    <s v="SGP"/>
    <m/>
    <m/>
    <m/>
    <m/>
    <m/>
    <s v="TFAS"/>
    <s v="CASTFA"/>
  </r>
  <r>
    <x v="3398"/>
    <s v="Singh"/>
    <s v="Rei"/>
    <s v="SGP0148"/>
    <s v="U20"/>
    <x v="4"/>
    <s v="SGP"/>
    <m/>
    <m/>
    <m/>
    <m/>
    <m/>
    <s v="TFAS"/>
    <s v="CASTFA"/>
  </r>
  <r>
    <x v="3399"/>
    <s v="Siotos"/>
    <s v="Alexandros"/>
    <s v="GRE0380"/>
    <s v="OPEN"/>
    <x v="14"/>
    <s v="GRE"/>
    <m/>
    <m/>
    <m/>
    <m/>
    <m/>
    <s v="UHTF"/>
    <s v="CESTFA"/>
  </r>
  <r>
    <x v="3400"/>
    <s v="Sioulas"/>
    <s v="Lambros"/>
    <s v="GRE0166"/>
    <s v="OPEN"/>
    <x v="53"/>
    <s v="GRE"/>
    <m/>
    <m/>
    <m/>
    <m/>
    <m/>
    <s v="UHTF"/>
    <s v="CESTFA"/>
  </r>
  <r>
    <x v="3401"/>
    <s v="Sioulas"/>
    <s v="Stavros"/>
    <s v="GRE0171"/>
    <s v="OPEN"/>
    <x v="53"/>
    <s v="GRE"/>
    <m/>
    <m/>
    <m/>
    <m/>
    <m/>
    <s v="UHTF"/>
    <s v="CESTFA"/>
  </r>
  <r>
    <x v="3402"/>
    <s v="Sioutis"/>
    <s v="Angelos"/>
    <s v="GRE0640"/>
    <s v="U16"/>
    <x v="14"/>
    <s v="GRE"/>
    <m/>
    <m/>
    <m/>
    <m/>
    <m/>
    <s v="UHTF"/>
    <s v="CESTFA"/>
  </r>
  <r>
    <x v="3403"/>
    <s v="Sioutis"/>
    <s v="Ioannis"/>
    <s v="GRE0120"/>
    <s v="OPEN"/>
    <x v="218"/>
    <s v="GRE"/>
    <m/>
    <m/>
    <m/>
    <m/>
    <m/>
    <s v="UHTF"/>
    <s v="CESTFA"/>
  </r>
  <r>
    <x v="3404"/>
    <s v="Sirica"/>
    <s v="Michele"/>
    <s v="ITA2407"/>
    <s v="OPEN"/>
    <x v="206"/>
    <s v="ITA"/>
    <m/>
    <m/>
    <m/>
    <m/>
    <m/>
    <s v="FISCT"/>
    <s v="CESTFA"/>
  </r>
  <r>
    <x v="3405"/>
    <s v="Sirica"/>
    <s v="Roberto"/>
    <s v="ITA0811"/>
    <s v="OPEN"/>
    <x v="134"/>
    <s v="ITA"/>
    <m/>
    <m/>
    <m/>
    <m/>
    <m/>
    <s v="FISCT"/>
    <s v="CESTFA"/>
  </r>
  <r>
    <x v="3406"/>
    <s v="Sirmai"/>
    <s v="Geoff"/>
    <s v="AUS0057"/>
    <s v="VET"/>
    <x v="367"/>
    <s v="AUS"/>
    <m/>
    <m/>
    <m/>
    <m/>
    <m/>
    <s v="ATFA"/>
    <s v="CASTFA"/>
  </r>
  <r>
    <x v="3407"/>
    <s v="Sitia"/>
    <s v="Alberto"/>
    <s v="ITA3449"/>
    <s v="VET"/>
    <x v="209"/>
    <s v="ITA"/>
    <m/>
    <m/>
    <m/>
    <m/>
    <m/>
    <s v="FISCT"/>
    <s v="CESTFA"/>
  </r>
  <r>
    <x v="3408"/>
    <s v="Siwczak"/>
    <s v="Eric"/>
    <s v="FRA0223"/>
    <s v="VET"/>
    <x v="14"/>
    <s v="FRA"/>
    <m/>
    <m/>
    <m/>
    <m/>
    <m/>
    <s v="3FTS"/>
    <s v="CESTFA"/>
  </r>
  <r>
    <x v="3409"/>
    <s v="Skafidas"/>
    <s v="Kostas"/>
    <s v="GRE0285"/>
    <s v="OPEN"/>
    <x v="14"/>
    <s v="GRE"/>
    <m/>
    <m/>
    <m/>
    <m/>
    <m/>
    <s v="UHTF"/>
    <s v="CESTFA"/>
  </r>
  <r>
    <x v="3410"/>
    <s v="Skenteris"/>
    <s v="Nikolaos"/>
    <s v="GRE0026"/>
    <s v="VET"/>
    <x v="14"/>
    <s v="GRE"/>
    <m/>
    <m/>
    <m/>
    <m/>
    <m/>
    <s v="UHTF"/>
    <s v="CESTFA"/>
  </r>
  <r>
    <x v="3411"/>
    <s v="Skinner"/>
    <s v="Aaron"/>
    <s v="ENG0260"/>
    <s v="VET"/>
    <x v="197"/>
    <s v="ENG"/>
    <m/>
    <m/>
    <m/>
    <m/>
    <m/>
    <s v="ESA"/>
    <s v="CESTFA"/>
  </r>
  <r>
    <x v="3412"/>
    <s v="Skinner"/>
    <s v="Finley"/>
    <s v="ENG0453"/>
    <s v="U16"/>
    <x v="197"/>
    <s v="ENG"/>
    <m/>
    <m/>
    <m/>
    <m/>
    <m/>
    <s v="ESA"/>
    <s v="CESTFA"/>
  </r>
  <r>
    <x v="3413"/>
    <s v="Sklavounakos"/>
    <s v="Nikolaos"/>
    <s v="GRE0032"/>
    <s v="VET"/>
    <x v="14"/>
    <s v="GRE"/>
    <m/>
    <m/>
    <m/>
    <m/>
    <m/>
    <s v="UHTF"/>
    <s v="CESTFA"/>
  </r>
  <r>
    <x v="3414"/>
    <s v="Sklavounos"/>
    <s v="Georgios"/>
    <s v="GRE0050"/>
    <s v="VET"/>
    <x v="217"/>
    <s v="GRE"/>
    <m/>
    <m/>
    <m/>
    <m/>
    <m/>
    <s v="UHTF"/>
    <s v="CESTFA"/>
  </r>
  <r>
    <x v="3415"/>
    <s v="Sklavounos"/>
    <s v="Nikolaos"/>
    <s v="GRE0024"/>
    <s v="VET"/>
    <x v="14"/>
    <s v="GRE"/>
    <m/>
    <m/>
    <m/>
    <m/>
    <m/>
    <s v="UHTF"/>
    <s v="CESTFA"/>
  </r>
  <r>
    <x v="3416"/>
    <s v="Skordas"/>
    <s v="Nikolaos"/>
    <s v="GRE0515"/>
    <s v="OPEN"/>
    <x v="17"/>
    <s v="GRE"/>
    <m/>
    <m/>
    <m/>
    <m/>
    <m/>
    <s v="UHTF"/>
    <s v="CESTFA"/>
  </r>
  <r>
    <x v="3417"/>
    <s v="Skouros"/>
    <s v="Panagiotis"/>
    <s v="GRE0594"/>
    <s v="U16"/>
    <x v="67"/>
    <s v="GRE"/>
    <m/>
    <m/>
    <m/>
    <m/>
    <m/>
    <s v="UHTF"/>
    <s v="CESTFA"/>
  </r>
  <r>
    <x v="3418"/>
    <s v="Skourou"/>
    <s v="Ourania"/>
    <s v="GRE0801"/>
    <s v="U16"/>
    <x v="67"/>
    <s v="GRE"/>
    <m/>
    <m/>
    <m/>
    <m/>
    <m/>
    <s v="UHTF"/>
    <s v="CESTFA"/>
  </r>
  <r>
    <x v="3419"/>
    <s v="Skourtsos"/>
    <s v="Emmanouil"/>
    <s v="GRE0514"/>
    <s v="VET"/>
    <x v="18"/>
    <s v="GRE"/>
    <m/>
    <m/>
    <m/>
    <m/>
    <m/>
    <s v="UHTF"/>
    <s v="CESTFA"/>
  </r>
  <r>
    <x v="3420"/>
    <s v="Skourtsos"/>
    <s v="Nikolaos"/>
    <s v="GRE0819"/>
    <s v="U16"/>
    <x v="18"/>
    <s v="GRE"/>
    <m/>
    <m/>
    <m/>
    <m/>
    <m/>
    <s v="UHTF"/>
    <s v="CESTFA"/>
  </r>
  <r>
    <x v="3421"/>
    <s v="Skroblin"/>
    <s v="Sascha"/>
    <s v="GER0097"/>
    <s v="OPEN"/>
    <x v="130"/>
    <s v="GER"/>
    <m/>
    <m/>
    <m/>
    <m/>
    <m/>
    <s v="DSTFB"/>
    <s v="CESTFA"/>
  </r>
  <r>
    <x v="3422"/>
    <s v="Slinger"/>
    <s v="Gareth"/>
    <s v="ENG0472"/>
    <s v="OPEN"/>
    <x v="368"/>
    <s v="ENG"/>
    <m/>
    <m/>
    <m/>
    <m/>
    <m/>
    <s v="ESA"/>
    <s v="CESTFA"/>
  </r>
  <r>
    <x v="3423"/>
    <s v="Smaldone"/>
    <s v="Paolo"/>
    <s v="ITA1093"/>
    <s v="VET"/>
    <x v="199"/>
    <s v="ITA"/>
    <m/>
    <m/>
    <m/>
    <m/>
    <m/>
    <s v="FISCT"/>
    <s v="CESTFA"/>
  </r>
  <r>
    <x v="3424"/>
    <s v="Smalley"/>
    <s v="Ian"/>
    <s v="ENG0565"/>
    <s v="VET"/>
    <x v="180"/>
    <s v="ENG"/>
    <m/>
    <m/>
    <m/>
    <m/>
    <m/>
    <s v="ESA"/>
    <s v="CESTFA"/>
  </r>
  <r>
    <x v="3425"/>
    <s v="Smit"/>
    <s v="Erwin"/>
    <s v="NED0041"/>
    <s v="VET"/>
    <x v="65"/>
    <s v="NED"/>
    <m/>
    <m/>
    <m/>
    <m/>
    <m/>
    <s v="NSVB"/>
    <s v="CESTFA"/>
  </r>
  <r>
    <x v="3426"/>
    <s v="Smith"/>
    <s v="Jonathan"/>
    <s v="USA0393"/>
    <s v="VET"/>
    <x v="247"/>
    <s v="USA"/>
    <m/>
    <m/>
    <m/>
    <m/>
    <m/>
    <s v="ASA"/>
    <s v="CONASTF"/>
  </r>
  <r>
    <x v="3427"/>
    <s v="Smith"/>
    <s v="Kevin"/>
    <s v="SCO0074"/>
    <s v="OPEN"/>
    <x v="49"/>
    <s v="SCO"/>
    <m/>
    <m/>
    <m/>
    <m/>
    <m/>
    <s v="SSA"/>
    <s v="CESTFA"/>
  </r>
  <r>
    <x v="3428"/>
    <s v="Smith"/>
    <s v="Liam"/>
    <s v="ENG0559"/>
    <s v="OPEN"/>
    <x v="14"/>
    <s v="ENG"/>
    <m/>
    <m/>
    <m/>
    <m/>
    <m/>
    <s v="ESA"/>
    <s v="CESTFA"/>
  </r>
  <r>
    <x v="3429"/>
    <s v="Smyliotopoulos"/>
    <s v="Haris"/>
    <s v="GRE0312"/>
    <s v="VET"/>
    <x v="14"/>
    <s v="GRE"/>
    <m/>
    <m/>
    <m/>
    <m/>
    <m/>
    <s v="UHTF"/>
    <s v="CESTFA"/>
  </r>
  <r>
    <x v="3430"/>
    <s v="Smyrneos"/>
    <s v="Stefanos"/>
    <s v="GRE0255"/>
    <s v="OPEN"/>
    <x v="14"/>
    <s v="GRE"/>
    <m/>
    <m/>
    <m/>
    <m/>
    <m/>
    <s v="UHTF"/>
    <s v="CESTFA"/>
  </r>
  <r>
    <x v="3431"/>
    <s v="Sobral"/>
    <s v="Paulo"/>
    <s v="POR0203"/>
    <s v="VET"/>
    <x v="16"/>
    <s v="POR"/>
    <m/>
    <m/>
    <m/>
    <m/>
    <m/>
    <s v="APS"/>
    <s v="CESTFA"/>
  </r>
  <r>
    <x v="3432"/>
    <s v="Sochoritis"/>
    <s v="Konstantinos"/>
    <s v="GRE0711"/>
    <s v="VET"/>
    <x v="220"/>
    <s v="GRE"/>
    <m/>
    <m/>
    <m/>
    <m/>
    <m/>
    <s v="UHTF"/>
    <s v="CESTFA"/>
  </r>
  <r>
    <x v="3433"/>
    <s v="Socratous"/>
    <s v="Christos"/>
    <s v="CYP0018"/>
    <s v="OPEN"/>
    <x v="59"/>
    <s v="CYP"/>
    <m/>
    <m/>
    <m/>
    <m/>
    <m/>
    <s v="CYSTFA (Provisional)"/>
    <m/>
  </r>
  <r>
    <x v="3434"/>
    <s v="Soh"/>
    <s v="Christophe"/>
    <s v="SGP0051"/>
    <s v="OPEN"/>
    <x v="4"/>
    <s v="SGP"/>
    <m/>
    <m/>
    <m/>
    <m/>
    <m/>
    <s v="TFAS"/>
    <s v="CASTFA"/>
  </r>
  <r>
    <x v="3435"/>
    <s v="Soh"/>
    <s v="Christopher"/>
    <s v="SGP0050"/>
    <s v="VET"/>
    <x v="4"/>
    <s v="SGP"/>
    <m/>
    <m/>
    <m/>
    <m/>
    <m/>
    <s v="TFAS"/>
    <s v="CASTFA"/>
  </r>
  <r>
    <x v="3436"/>
    <s v="Soh"/>
    <s v="Wee Lik"/>
    <s v="SGP0007"/>
    <s v="OPEN"/>
    <x v="23"/>
    <s v="SGP"/>
    <m/>
    <m/>
    <m/>
    <m/>
    <m/>
    <s v="TFAS"/>
    <s v="CASTFA"/>
  </r>
  <r>
    <x v="3437"/>
    <s v="Soldera"/>
    <s v="Simone"/>
    <s v="ITA3298"/>
    <s v="OPEN"/>
    <x v="35"/>
    <s v="ITA"/>
    <m/>
    <m/>
    <m/>
    <m/>
    <m/>
    <s v="FISCT"/>
    <s v="CESTFA"/>
  </r>
  <r>
    <x v="3438"/>
    <s v="Solito"/>
    <s v="Angelo"/>
    <s v="ITA2115"/>
    <s v="VET"/>
    <x v="68"/>
    <s v="ITA"/>
    <m/>
    <m/>
    <m/>
    <m/>
    <m/>
    <s v="FISCT"/>
    <s v="CESTFA"/>
  </r>
  <r>
    <x v="3439"/>
    <s v="Sollazzo"/>
    <s v="Mauro"/>
    <s v="ITA0815"/>
    <s v="VET"/>
    <x v="132"/>
    <s v="ITA"/>
    <m/>
    <m/>
    <m/>
    <m/>
    <m/>
    <s v="FISCT"/>
    <s v="CESTFA"/>
  </r>
  <r>
    <x v="3440"/>
    <s v="Somers"/>
    <s v="Robin"/>
    <s v="BEL0054"/>
    <s v="OPEN"/>
    <x v="215"/>
    <s v="BEL"/>
    <m/>
    <m/>
    <m/>
    <m/>
    <m/>
    <m/>
    <m/>
  </r>
  <r>
    <x v="3441"/>
    <s v="Someya"/>
    <s v="Honoka"/>
    <s v="JPN159"/>
    <s v="OPEN"/>
    <x v="26"/>
    <s v="JPN"/>
    <m/>
    <m/>
    <m/>
    <m/>
    <m/>
    <s v="JTFA"/>
    <s v="CASTFA"/>
  </r>
  <r>
    <x v="3442"/>
    <s v="Sommella"/>
    <s v="Pietro"/>
    <s v="ITA0816"/>
    <s v="VET"/>
    <x v="177"/>
    <s v="ITA"/>
    <m/>
    <m/>
    <m/>
    <m/>
    <m/>
    <s v="FISCT"/>
    <s v="CESTFA"/>
  </r>
  <r>
    <x v="3443"/>
    <s v="Somoza"/>
    <s v="Joel"/>
    <s v="ESP0539"/>
    <s v="OPEN"/>
    <x v="210"/>
    <s v="ESP"/>
    <m/>
    <m/>
    <m/>
    <m/>
    <m/>
    <s v="AEFM"/>
    <s v="CESTFA"/>
  </r>
  <r>
    <x v="3444"/>
    <s v="Somoza"/>
    <s v="José David"/>
    <s v="ESP0187"/>
    <s v="VET"/>
    <x v="123"/>
    <s v="ESP"/>
    <m/>
    <m/>
    <m/>
    <m/>
    <m/>
    <s v="AEFM"/>
    <s v="CESTFA"/>
  </r>
  <r>
    <x v="3445"/>
    <s v="Soneira"/>
    <s v="Fernando"/>
    <s v="ARG0049"/>
    <s v="OPEN"/>
    <x v="145"/>
    <s v="ARG"/>
    <m/>
    <m/>
    <m/>
    <m/>
    <m/>
    <s v="LAFM (Suspended)"/>
    <s v="CSAFM"/>
  </r>
  <r>
    <x v="3446"/>
    <s v="Sonni"/>
    <s v="Bruno"/>
    <s v="ITA1295"/>
    <s v="VET"/>
    <x v="170"/>
    <s v="ITA"/>
    <m/>
    <m/>
    <m/>
    <m/>
    <m/>
    <s v="FISCT"/>
    <s v="CESTFA"/>
  </r>
  <r>
    <x v="3447"/>
    <s v="Sonni"/>
    <s v="Italo"/>
    <s v="ITA1297"/>
    <s v="OPEN"/>
    <x v="170"/>
    <s v="ITA"/>
    <m/>
    <m/>
    <m/>
    <m/>
    <m/>
    <s v="FISCT"/>
    <s v="CESTFA"/>
  </r>
  <r>
    <x v="3448"/>
    <s v="Sonnino"/>
    <s v="Fabrizio"/>
    <s v="ITA0817"/>
    <s v="VET"/>
    <x v="369"/>
    <s v="ITA"/>
    <m/>
    <m/>
    <m/>
    <m/>
    <m/>
    <s v="FISCT"/>
    <s v="CESTFA"/>
  </r>
  <r>
    <x v="3449"/>
    <s v="Sopa"/>
    <s v="Fisnik"/>
    <s v="GER0154"/>
    <s v="OPEN"/>
    <x v="221"/>
    <s v="GER"/>
    <m/>
    <m/>
    <m/>
    <m/>
    <m/>
    <s v="DSTFB"/>
    <s v="CESTFA"/>
  </r>
  <r>
    <x v="3450"/>
    <s v="Sordo"/>
    <s v="Juan Manuel"/>
    <s v="ARG0058"/>
    <s v="OPEN"/>
    <x v="274"/>
    <s v="ARG"/>
    <m/>
    <m/>
    <m/>
    <m/>
    <m/>
    <s v="LAFM (Suspended)"/>
    <s v="CSAFM"/>
  </r>
  <r>
    <x v="3451"/>
    <s v="Sørensen"/>
    <s v="Dorthe Bremholm"/>
    <s v="DEN0065"/>
    <s v="OPEN"/>
    <x v="10"/>
    <s v="DEN"/>
    <m/>
    <m/>
    <m/>
    <m/>
    <m/>
    <s v="DSBU (Provisional)"/>
    <m/>
  </r>
  <r>
    <x v="3452"/>
    <s v="Soret"/>
    <s v="Louis"/>
    <s v="FRA0169"/>
    <s v="U16"/>
    <x v="51"/>
    <s v="FRA"/>
    <m/>
    <m/>
    <m/>
    <m/>
    <m/>
    <s v="3FTS"/>
    <s v="CESTFA"/>
  </r>
  <r>
    <x v="3453"/>
    <s v="Soret"/>
    <s v="Rémi"/>
    <s v="FRA0093"/>
    <s v="OPEN"/>
    <x v="51"/>
    <s v="FRA"/>
    <m/>
    <m/>
    <m/>
    <m/>
    <m/>
    <s v="3FTS"/>
    <s v="CESTFA"/>
  </r>
  <r>
    <x v="3454"/>
    <s v="Sorge"/>
    <s v="Sébastien"/>
    <s v="FRA0197"/>
    <s v="OPEN"/>
    <x v="69"/>
    <s v="FRA"/>
    <m/>
    <m/>
    <m/>
    <m/>
    <m/>
    <s v="3FTS"/>
    <s v="CESTFA"/>
  </r>
  <r>
    <x v="3455"/>
    <s v="Soria"/>
    <s v="Alfredo"/>
    <s v="ITA0821"/>
    <s v="VET"/>
    <x v="177"/>
    <s v="ITA"/>
    <m/>
    <m/>
    <m/>
    <m/>
    <m/>
    <s v="FISCT"/>
    <s v="CESTFA"/>
  </r>
  <r>
    <x v="3456"/>
    <s v="Sostegno"/>
    <s v="Gianluca"/>
    <s v="ITA2116"/>
    <s v="VET"/>
    <x v="68"/>
    <s v="ITA"/>
    <m/>
    <m/>
    <m/>
    <m/>
    <m/>
    <s v="FISCT"/>
    <s v="CESTFA"/>
  </r>
  <r>
    <x v="3457"/>
    <s v="Sotana Pereira"/>
    <s v="Lucas"/>
    <s v="BRA0167"/>
    <s v="OPEN"/>
    <x v="14"/>
    <s v="BRA"/>
    <m/>
    <m/>
    <m/>
    <m/>
    <m/>
    <s v="CBFM (Suspended)"/>
    <m/>
  </r>
  <r>
    <x v="3458"/>
    <s v="Sotiropoulos"/>
    <s v="Dimitrios"/>
    <s v="GRE0369"/>
    <s v="U20"/>
    <x v="370"/>
    <s v="GRE"/>
    <m/>
    <m/>
    <m/>
    <m/>
    <m/>
    <s v="UHTF"/>
    <s v="CESTFA"/>
  </r>
  <r>
    <x v="3459"/>
    <s v="Sotiropoulos"/>
    <s v="Emmanouil"/>
    <s v="GRE0368"/>
    <s v="OPEN"/>
    <x v="370"/>
    <s v="GRE"/>
    <m/>
    <m/>
    <m/>
    <m/>
    <m/>
    <s v="UHTF"/>
    <s v="CESTFA"/>
  </r>
  <r>
    <x v="3460"/>
    <s v="Sotiropoulos"/>
    <s v="Panagiotis"/>
    <s v="GRE0378"/>
    <s v="OPEN"/>
    <x v="14"/>
    <s v="GRE"/>
    <m/>
    <m/>
    <m/>
    <m/>
    <m/>
    <s v="UHTF"/>
    <s v="CESTFA"/>
  </r>
  <r>
    <x v="3461"/>
    <s v="Sottili"/>
    <s v="Filippo"/>
    <s v="ITA3428"/>
    <s v="U12"/>
    <x v="29"/>
    <s v="ITA"/>
    <m/>
    <m/>
    <m/>
    <m/>
    <m/>
    <s v="FISCT"/>
    <s v="CESTFA"/>
  </r>
  <r>
    <x v="3462"/>
    <s v="Sourlas"/>
    <s v="Konstantinos"/>
    <s v="GRE0354"/>
    <s v="U20"/>
    <x v="17"/>
    <s v="GRE"/>
    <m/>
    <m/>
    <m/>
    <m/>
    <m/>
    <s v="UHTF"/>
    <s v="CESTFA"/>
  </r>
  <r>
    <x v="3463"/>
    <s v="Sourlas"/>
    <s v="Leandros"/>
    <s v="GRE0213"/>
    <s v="OPEN"/>
    <x v="17"/>
    <s v="GRE"/>
    <m/>
    <m/>
    <m/>
    <m/>
    <m/>
    <s v="UHTF"/>
    <s v="CESTFA"/>
  </r>
  <r>
    <x v="3464"/>
    <s v="Sousa"/>
    <s v="Tiago"/>
    <s v="POR0148"/>
    <s v="OPEN"/>
    <x v="16"/>
    <s v="POR"/>
    <m/>
    <m/>
    <m/>
    <m/>
    <m/>
    <s v="APS"/>
    <s v="CESTFA"/>
  </r>
  <r>
    <x v="3465"/>
    <s v="Spagnoli"/>
    <s v="Ilario"/>
    <s v="ITA2348"/>
    <s v="VET"/>
    <x v="71"/>
    <s v="ITA"/>
    <m/>
    <m/>
    <m/>
    <m/>
    <m/>
    <s v="FISCT"/>
    <s v="CESTFA"/>
  </r>
  <r>
    <x v="3466"/>
    <s v="Spagnuolo"/>
    <s v="Oreste"/>
    <s v="ITA03367"/>
    <s v="OPEN"/>
    <x v="332"/>
    <s v="ITA"/>
    <m/>
    <m/>
    <m/>
    <m/>
    <m/>
    <s v="FISCT"/>
    <s v="CESTFA"/>
  </r>
  <r>
    <x v="3467"/>
    <s v="Spanggaard"/>
    <s v="Anders Peter"/>
    <s v="DEN0066"/>
    <s v="OPEN"/>
    <x v="10"/>
    <s v="DEN"/>
    <m/>
    <m/>
    <m/>
    <m/>
    <m/>
    <s v="DSBU (Provisional)"/>
    <m/>
  </r>
  <r>
    <x v="3468"/>
    <s v="Spanos"/>
    <s v="Giorgos"/>
    <s v="GRE0703"/>
    <s v="OPEN"/>
    <x v="30"/>
    <s v="GRE"/>
    <m/>
    <m/>
    <m/>
    <m/>
    <m/>
    <s v="UHTF"/>
    <s v="CESTFA"/>
  </r>
  <r>
    <x v="3469"/>
    <s v="Spasiano"/>
    <s v="Giuseppe"/>
    <s v="BRA0123"/>
    <s v="VET"/>
    <x v="214"/>
    <s v="BRA"/>
    <m/>
    <m/>
    <m/>
    <m/>
    <m/>
    <s v="CBFM (Suspended)"/>
    <m/>
  </r>
  <r>
    <x v="3470"/>
    <s v="Spataro"/>
    <s v="Mattia"/>
    <s v="GER0158"/>
    <s v="OPEN"/>
    <x v="289"/>
    <s v="GER"/>
    <m/>
    <m/>
    <m/>
    <m/>
    <m/>
    <s v="DSTFB"/>
    <s v="CESTFA"/>
  </r>
  <r>
    <x v="3471"/>
    <s v="Spence"/>
    <s v="Barry"/>
    <s v="NIR0002"/>
    <s v="OPEN"/>
    <x v="126"/>
    <s v="NIR"/>
    <m/>
    <m/>
    <m/>
    <m/>
    <m/>
    <s v="NITFA"/>
    <s v="CESTFA"/>
  </r>
  <r>
    <x v="3472"/>
    <s v="Spezzacatene"/>
    <s v="Luigi"/>
    <s v="ITA3403"/>
    <s v="VET"/>
    <x v="54"/>
    <s v="ITA"/>
    <m/>
    <m/>
    <m/>
    <m/>
    <m/>
    <s v="FISCT"/>
    <s v="CESTFA"/>
  </r>
  <r>
    <x v="3473"/>
    <s v="Spiller"/>
    <s v="Alberto"/>
    <s v="ITA2842"/>
    <s v="U20"/>
    <x v="89"/>
    <s v="ITA"/>
    <m/>
    <m/>
    <m/>
    <m/>
    <m/>
    <s v="FISCT"/>
    <s v="CESTFA"/>
  </r>
  <r>
    <x v="3474"/>
    <s v="Spiller"/>
    <s v="Alessandro"/>
    <s v="ITA2860"/>
    <s v="VET"/>
    <x v="89"/>
    <s v="ITA"/>
    <m/>
    <m/>
    <m/>
    <m/>
    <m/>
    <s v="FISCT"/>
    <s v="CESTFA"/>
  </r>
  <r>
    <x v="3475"/>
    <s v="Spinos"/>
    <s v="Giorgos"/>
    <s v="GRE0271"/>
    <s v="U16"/>
    <x v="14"/>
    <s v="GRE"/>
    <m/>
    <m/>
    <m/>
    <m/>
    <m/>
    <s v="UHTF"/>
    <s v="CESTFA"/>
  </r>
  <r>
    <x v="3476"/>
    <s v="Spoors"/>
    <s v="Brian"/>
    <s v="SCO0061"/>
    <s v="VET"/>
    <x v="49"/>
    <s v="SCO"/>
    <m/>
    <m/>
    <m/>
    <m/>
    <m/>
    <s v="SSA"/>
    <s v="CESTFA"/>
  </r>
  <r>
    <x v="3477"/>
    <s v="Spoto"/>
    <s v="Alessandro"/>
    <s v="ITA0826"/>
    <s v="VET"/>
    <x v="174"/>
    <s v="ITA"/>
    <m/>
    <m/>
    <m/>
    <m/>
    <m/>
    <s v="FISCT"/>
    <s v="CESTFA"/>
  </r>
  <r>
    <x v="3478"/>
    <s v="Spyropoulos"/>
    <s v="Giorgos Aggelos"/>
    <s v="GRE0689"/>
    <s v="U12"/>
    <x v="278"/>
    <s v="GRE"/>
    <m/>
    <m/>
    <m/>
    <m/>
    <m/>
    <s v="UHTF"/>
    <s v="CESTFA"/>
  </r>
  <r>
    <x v="3479"/>
    <s v="Spyropoulos"/>
    <s v="Spyros"/>
    <s v="GRE0688"/>
    <s v="VET"/>
    <x v="14"/>
    <s v="GRE"/>
    <m/>
    <m/>
    <m/>
    <m/>
    <m/>
    <s v="UHTF"/>
    <s v="CESTFA"/>
  </r>
  <r>
    <x v="3480"/>
    <s v="Staal Nielsen"/>
    <s v="Anders"/>
    <s v="DEN0007"/>
    <s v="OPEN"/>
    <x v="10"/>
    <s v="DEN"/>
    <m/>
    <m/>
    <m/>
    <m/>
    <m/>
    <s v="DSBU (Provisional)"/>
    <m/>
  </r>
  <r>
    <x v="3481"/>
    <s v="Staal Nielsen"/>
    <s v="Frank"/>
    <s v="DEN0018"/>
    <s v="VET"/>
    <x v="10"/>
    <s v="DEN"/>
    <m/>
    <m/>
    <m/>
    <m/>
    <m/>
    <s v="DSBU (Provisional)"/>
    <m/>
  </r>
  <r>
    <x v="3482"/>
    <s v="Staal Nielsen"/>
    <s v="Jesper"/>
    <s v="DEN0005"/>
    <s v="OPEN"/>
    <x v="10"/>
    <s v="DEN"/>
    <m/>
    <m/>
    <m/>
    <m/>
    <m/>
    <s v="DSBU (Provisional)"/>
    <m/>
  </r>
  <r>
    <x v="3483"/>
    <s v="Staal Nielsen"/>
    <s v="Kristian"/>
    <s v="DEN0006"/>
    <s v="OPEN"/>
    <x v="10"/>
    <s v="DEN"/>
    <m/>
    <m/>
    <m/>
    <m/>
    <m/>
    <s v="DSBU (Provisional)"/>
    <m/>
  </r>
  <r>
    <x v="3484"/>
    <s v="Staal Nielsen"/>
    <s v="Rasmus"/>
    <s v="DEN0008"/>
    <s v="OPEN"/>
    <x v="10"/>
    <s v="DEN"/>
    <m/>
    <m/>
    <m/>
    <m/>
    <m/>
    <s v="DSBU (Provisional)"/>
    <m/>
  </r>
  <r>
    <x v="3485"/>
    <s v="Stagno"/>
    <s v="Stefano"/>
    <s v="ITA3322"/>
    <s v="OPEN"/>
    <x v="371"/>
    <s v="ITA"/>
    <m/>
    <m/>
    <m/>
    <m/>
    <m/>
    <s v="FISCT"/>
    <s v="CESTFA"/>
  </r>
  <r>
    <x v="3486"/>
    <s v="Stagsted"/>
    <s v="Rasmus"/>
    <s v="DEN0056"/>
    <s v="OPEN"/>
    <x v="10"/>
    <s v="DEN"/>
    <m/>
    <m/>
    <m/>
    <m/>
    <m/>
    <s v="DSBU (Provisional)"/>
    <m/>
  </r>
  <r>
    <x v="3487"/>
    <s v="Staine"/>
    <s v="Frédéric"/>
    <s v="FRA0240"/>
    <s v="VET"/>
    <x v="194"/>
    <s v="FRA"/>
    <m/>
    <m/>
    <m/>
    <m/>
    <m/>
    <s v="3FTS"/>
    <s v="CESTFA"/>
  </r>
  <r>
    <x v="3488"/>
    <s v="Stamatakis"/>
    <s v="Georgios"/>
    <s v="GRE0716"/>
    <s v="OPEN"/>
    <x v="14"/>
    <s v="GRE"/>
    <m/>
    <m/>
    <m/>
    <m/>
    <m/>
    <s v="UHTF"/>
    <s v="CESTFA"/>
  </r>
  <r>
    <x v="3489"/>
    <s v="Stamatiadou"/>
    <s v="Eirini"/>
    <s v="GRE0291"/>
    <s v="OPEN"/>
    <x v="14"/>
    <s v="GRE"/>
    <m/>
    <m/>
    <m/>
    <m/>
    <m/>
    <s v="UHTF"/>
    <s v="CESTFA"/>
  </r>
  <r>
    <x v="3490"/>
    <s v="Stamatiou"/>
    <s v="Georgia"/>
    <s v="GRE0541"/>
    <s v="OPEN"/>
    <x v="14"/>
    <s v="GRE"/>
    <m/>
    <m/>
    <m/>
    <m/>
    <m/>
    <s v="UHTF"/>
    <s v="CESTFA"/>
  </r>
  <r>
    <x v="3491"/>
    <s v="Stamatopoulos"/>
    <s v="Dimitrios"/>
    <s v="GRE0013"/>
    <s v="VET"/>
    <x v="52"/>
    <s v="GRE"/>
    <m/>
    <m/>
    <m/>
    <m/>
    <m/>
    <s v="UHTF"/>
    <s v="CESTFA"/>
  </r>
  <r>
    <x v="3492"/>
    <s v="Stamatopoulou"/>
    <s v="Anastasia"/>
    <s v="GRE0096"/>
    <s v="OPEN"/>
    <x v="14"/>
    <s v="GRE"/>
    <m/>
    <m/>
    <m/>
    <m/>
    <m/>
    <s v="UHTF"/>
    <s v="CESTFA"/>
  </r>
  <r>
    <x v="3493"/>
    <s v="Stamokostas"/>
    <s v="Konstantinos"/>
    <s v="GRE0134"/>
    <s v="OPEN"/>
    <x v="17"/>
    <s v="GRE"/>
    <m/>
    <m/>
    <m/>
    <m/>
    <m/>
    <s v="UHTF"/>
    <s v="CESTFA"/>
  </r>
  <r>
    <x v="3494"/>
    <s v="Stamos"/>
    <s v="Dimitris"/>
    <s v="GRE0644"/>
    <s v="OPEN"/>
    <x v="14"/>
    <s v="GRE"/>
    <m/>
    <m/>
    <m/>
    <m/>
    <m/>
    <s v="UHTF"/>
    <s v="CESTFA"/>
  </r>
  <r>
    <x v="3495"/>
    <s v="Stamoulis"/>
    <s v="Anastasios"/>
    <s v="GRE0444"/>
    <s v="OPEN"/>
    <x v="14"/>
    <s v="GRE"/>
    <m/>
    <m/>
    <m/>
    <m/>
    <m/>
    <s v="UHTF"/>
    <s v="CESTFA"/>
  </r>
  <r>
    <x v="3496"/>
    <s v="Stamoulis"/>
    <s v="Vasilios"/>
    <s v="GRE0756"/>
    <s v="VET"/>
    <x v="67"/>
    <s v="GRE"/>
    <m/>
    <m/>
    <m/>
    <m/>
    <m/>
    <s v="UHTF"/>
    <s v="CESTFA"/>
  </r>
  <r>
    <x v="3497"/>
    <s v="Stanislai"/>
    <s v="Andrea"/>
    <s v="ITA2165"/>
    <s v="VET"/>
    <x v="71"/>
    <s v="ITA"/>
    <m/>
    <m/>
    <m/>
    <m/>
    <m/>
    <s v="FISCT"/>
    <s v="CESTFA"/>
  </r>
  <r>
    <x v="3498"/>
    <s v="Stanislai"/>
    <s v="Matteo"/>
    <s v="ITA2572"/>
    <s v="OPEN"/>
    <x v="71"/>
    <s v="ITA"/>
    <m/>
    <m/>
    <m/>
    <m/>
    <m/>
    <s v="FISCT"/>
    <s v="CESTFA"/>
  </r>
  <r>
    <x v="3499"/>
    <s v="Staples"/>
    <s v="Ben"/>
    <s v="ENG0014"/>
    <s v="OPEN"/>
    <x v="180"/>
    <s v="ENG"/>
    <m/>
    <m/>
    <m/>
    <m/>
    <m/>
    <s v="ESA"/>
    <s v="CESTFA"/>
  </r>
  <r>
    <x v="3500"/>
    <s v="Stechern"/>
    <s v="Matthias"/>
    <s v="GER0144"/>
    <s v="VET"/>
    <x v="35"/>
    <s v="GER"/>
    <m/>
    <m/>
    <m/>
    <m/>
    <m/>
    <s v="DSTFB"/>
    <s v="CESTFA"/>
  </r>
  <r>
    <x v="3501"/>
    <s v="Stefanis"/>
    <s v="Konstantinos"/>
    <s v="GRE0663"/>
    <s v="OPEN"/>
    <x v="67"/>
    <s v="GRE"/>
    <m/>
    <m/>
    <m/>
    <m/>
    <m/>
    <s v="UHTF"/>
    <s v="CESTFA"/>
  </r>
  <r>
    <x v="3502"/>
    <s v="Steiner"/>
    <s v="Manon"/>
    <s v="FRA0250"/>
    <s v="OPEN"/>
    <x v="275"/>
    <s v="FRA"/>
    <m/>
    <m/>
    <m/>
    <m/>
    <m/>
    <s v="3FTS"/>
    <s v="CESTFA"/>
  </r>
  <r>
    <x v="3503"/>
    <s v="Stellato"/>
    <s v="Fabio"/>
    <s v="ITA0831"/>
    <s v="VET"/>
    <x v="33"/>
    <s v="ITA"/>
    <m/>
    <m/>
    <m/>
    <m/>
    <m/>
    <s v="FISCT"/>
    <s v="CESTFA"/>
  </r>
  <r>
    <x v="3504"/>
    <s v="Stemitsiotis"/>
    <s v="Dimitris"/>
    <s v="ENG0128"/>
    <s v="OPEN"/>
    <x v="372"/>
    <s v="ENG"/>
    <m/>
    <m/>
    <m/>
    <m/>
    <m/>
    <s v="ESA"/>
    <s v="CESTFA"/>
  </r>
  <r>
    <x v="3505"/>
    <s v="Stemitsiotis"/>
    <s v="Panos"/>
    <s v="ENG0155"/>
    <s v="VET"/>
    <x v="372"/>
    <s v="ENG"/>
    <m/>
    <m/>
    <m/>
    <m/>
    <m/>
    <s v="ESA"/>
    <s v="CESTFA"/>
  </r>
  <r>
    <x v="3506"/>
    <s v="Stergiopoulos"/>
    <s v="Ioannis"/>
    <s v="GRE0780"/>
    <s v="OPEN"/>
    <x v="67"/>
    <s v="GRE"/>
    <m/>
    <m/>
    <m/>
    <m/>
    <m/>
    <s v="UHTF"/>
    <s v="CESTFA"/>
  </r>
  <r>
    <x v="3507"/>
    <s v="Stergiou"/>
    <s v="Dimitris"/>
    <s v="GRE0708"/>
    <s v="U16"/>
    <x v="14"/>
    <s v="GRE"/>
    <m/>
    <m/>
    <m/>
    <m/>
    <m/>
    <s v="UHTF"/>
    <s v="CESTFA"/>
  </r>
  <r>
    <x v="3508"/>
    <s v="Stergiou"/>
    <s v="Vasilis"/>
    <s v="GRE0707"/>
    <s v="U16"/>
    <x v="14"/>
    <s v="GRE"/>
    <m/>
    <m/>
    <m/>
    <m/>
    <m/>
    <s v="UHTF"/>
    <s v="CESTFA"/>
  </r>
  <r>
    <x v="3509"/>
    <s v="Stergioulas"/>
    <s v="Evaggelos"/>
    <s v="GRE0210"/>
    <s v="OPEN"/>
    <x v="14"/>
    <s v="GRE"/>
    <m/>
    <m/>
    <m/>
    <m/>
    <m/>
    <s v="UHTF"/>
    <s v="CESTFA"/>
  </r>
  <r>
    <x v="3510"/>
    <s v="Stevenot"/>
    <s v="Didier"/>
    <s v="BEL0092"/>
    <s v="VET"/>
    <x v="45"/>
    <s v="BEL"/>
    <m/>
    <m/>
    <m/>
    <m/>
    <m/>
    <m/>
    <m/>
  </r>
  <r>
    <x v="3511"/>
    <s v="Stewart"/>
    <s v="Craig"/>
    <s v="NIR0027"/>
    <s v="OPEN"/>
    <x v="181"/>
    <s v="NIR"/>
    <m/>
    <m/>
    <m/>
    <m/>
    <m/>
    <s v="NITFA"/>
    <s v="CESTFA"/>
  </r>
  <r>
    <x v="3512"/>
    <s v="Stewart"/>
    <s v="Gary"/>
    <s v="SCO0065"/>
    <m/>
    <x v="137"/>
    <s v="SCO"/>
    <m/>
    <m/>
    <m/>
    <m/>
    <m/>
    <s v="SSA"/>
    <s v="CESTFA"/>
  </r>
  <r>
    <x v="3513"/>
    <s v="Stewart"/>
    <s v="Simon"/>
    <s v="NIR0026"/>
    <s v="OPEN"/>
    <x v="181"/>
    <s v="NIR"/>
    <m/>
    <m/>
    <m/>
    <m/>
    <m/>
    <s v="NITFA"/>
    <s v="CESTFA"/>
  </r>
  <r>
    <x v="3514"/>
    <s v="Stiller"/>
    <s v="Frank"/>
    <s v="GER0105"/>
    <s v="VET"/>
    <x v="28"/>
    <s v="GER"/>
    <m/>
    <m/>
    <m/>
    <m/>
    <m/>
    <s v="DSTFB"/>
    <s v="CESTFA"/>
  </r>
  <r>
    <x v="3515"/>
    <s v="Stiller"/>
    <s v="Uwe"/>
    <s v="GER0112"/>
    <s v="VET"/>
    <x v="28"/>
    <s v="GER"/>
    <m/>
    <m/>
    <m/>
    <m/>
    <m/>
    <s v="DSTFB"/>
    <s v="CESTFA"/>
  </r>
  <r>
    <x v="3516"/>
    <s v="Stock"/>
    <s v="Richard"/>
    <s v="WAL0014"/>
    <s v="VET"/>
    <x v="165"/>
    <s v="WAL"/>
    <m/>
    <m/>
    <m/>
    <m/>
    <m/>
    <s v="WSTFA"/>
    <s v="CESTFA"/>
  </r>
  <r>
    <x v="3517"/>
    <s v="Stollas"/>
    <s v="Giannis"/>
    <s v="GRE0373"/>
    <s v="OPEN"/>
    <x v="14"/>
    <s v="GRE"/>
    <m/>
    <m/>
    <m/>
    <m/>
    <m/>
    <s v="UHTF"/>
    <s v="CESTFA"/>
  </r>
  <r>
    <x v="3518"/>
    <s v="Stollas"/>
    <s v="Konstantinos"/>
    <s v="GRE0367"/>
    <s v="U20"/>
    <x v="14"/>
    <s v="GRE"/>
    <m/>
    <m/>
    <m/>
    <m/>
    <m/>
    <s v="UHTF"/>
    <s v="CESTFA"/>
  </r>
  <r>
    <x v="3519"/>
    <s v="Stollas"/>
    <s v="Pavlos"/>
    <s v="GRE0376"/>
    <s v="VET"/>
    <x v="14"/>
    <s v="GRE"/>
    <m/>
    <m/>
    <m/>
    <m/>
    <m/>
    <s v="UHTF"/>
    <s v="CESTFA"/>
  </r>
  <r>
    <x v="3520"/>
    <s v="Stolzenberg"/>
    <s v="Michael"/>
    <s v="GER0029"/>
    <s v="OPEN"/>
    <x v="5"/>
    <s v="GER"/>
    <m/>
    <m/>
    <m/>
    <m/>
    <m/>
    <s v="DSTFB"/>
    <s v="CESTFA"/>
  </r>
  <r>
    <x v="3521"/>
    <s v="Stoto"/>
    <s v="Mattia"/>
    <s v="ITA0833"/>
    <s v="VET"/>
    <x v="223"/>
    <s v="ITA"/>
    <m/>
    <m/>
    <m/>
    <m/>
    <m/>
    <s v="FISCT"/>
    <s v="CESTFA"/>
  </r>
  <r>
    <x v="3522"/>
    <s v="Stottlemyer"/>
    <s v="Kaegan"/>
    <s v="USA0400"/>
    <s v="OPEN"/>
    <x v="60"/>
    <s v="USA"/>
    <m/>
    <m/>
    <m/>
    <m/>
    <m/>
    <s v="ASA"/>
    <s v="CONASTF"/>
  </r>
  <r>
    <x v="3523"/>
    <s v="Stratakis"/>
    <s v="Stylianos"/>
    <s v="GRE0557"/>
    <s v="OPEN"/>
    <x v="14"/>
    <s v="GRE"/>
    <m/>
    <m/>
    <m/>
    <m/>
    <m/>
    <s v="UHTF"/>
    <s v="CESTFA"/>
  </r>
  <r>
    <x v="3524"/>
    <s v="Stratoudaki"/>
    <s v="Maria"/>
    <s v="GRE0459"/>
    <s v="U20"/>
    <x v="14"/>
    <s v="GRE"/>
    <m/>
    <m/>
    <m/>
    <m/>
    <m/>
    <s v="UHTF"/>
    <s v="CESTFA"/>
  </r>
  <r>
    <x v="3525"/>
    <s v="Stratoudakis"/>
    <s v="Antonios"/>
    <s v="GRE0441"/>
    <s v="OPEN"/>
    <x v="52"/>
    <s v="GRE"/>
    <m/>
    <m/>
    <m/>
    <m/>
    <m/>
    <s v="UHTF"/>
    <s v="CESTFA"/>
  </r>
  <r>
    <x v="3526"/>
    <s v="Stratoudakis"/>
    <s v="Spyridon"/>
    <s v="GRE0424"/>
    <s v="OPEN"/>
    <x v="52"/>
    <s v="GRE"/>
    <m/>
    <m/>
    <m/>
    <m/>
    <m/>
    <s v="UHTF"/>
    <s v="CESTFA"/>
  </r>
  <r>
    <x v="3527"/>
    <s v="Stravolaimos"/>
    <s v="Dimitrios"/>
    <s v="GRE0818"/>
    <s v="OPEN"/>
    <x v="67"/>
    <s v="GRE"/>
    <m/>
    <m/>
    <m/>
    <m/>
    <m/>
    <s v="UHTF"/>
    <s v="CESTFA"/>
  </r>
  <r>
    <x v="3528"/>
    <s v="Strazza"/>
    <s v="Andrea"/>
    <s v="ITA0834"/>
    <s v="VET"/>
    <x v="27"/>
    <s v="ITA"/>
    <m/>
    <m/>
    <m/>
    <m/>
    <m/>
    <s v="FISCT"/>
    <s v="CESTFA"/>
  </r>
  <r>
    <x v="3529"/>
    <s v="Strommer"/>
    <s v="Alfred"/>
    <s v="AUT0059"/>
    <s v="VET"/>
    <x v="124"/>
    <s v="AUT"/>
    <m/>
    <m/>
    <m/>
    <m/>
    <m/>
    <s v="EÖTV"/>
    <s v="CESTFA"/>
  </r>
  <r>
    <x v="3530"/>
    <s v="Strommer"/>
    <s v="Marios"/>
    <s v="AUT0066"/>
    <s v="OPEN"/>
    <x v="124"/>
    <s v="AUT"/>
    <m/>
    <m/>
    <m/>
    <m/>
    <m/>
    <s v="EÖTV"/>
    <s v="CESTFA"/>
  </r>
  <r>
    <x v="3531"/>
    <s v="Stroop"/>
    <s v="Jeremy"/>
    <s v="USA0187"/>
    <s v="VET"/>
    <x v="127"/>
    <s v="USA"/>
    <m/>
    <m/>
    <m/>
    <m/>
    <m/>
    <s v="ASA"/>
    <s v="CONASTF"/>
  </r>
  <r>
    <x v="3532"/>
    <s v="Stuart"/>
    <s v="Ian Alexander"/>
    <s v="NOR0020"/>
    <s v="VET"/>
    <x v="185"/>
    <s v="NOR"/>
    <m/>
    <m/>
    <m/>
    <m/>
    <m/>
    <s v="NBFF (Suspended)"/>
    <m/>
  </r>
  <r>
    <x v="3533"/>
    <s v="Stylianou"/>
    <s v="Kyriacos"/>
    <s v="CYP0053"/>
    <m/>
    <x v="59"/>
    <s v="CYP"/>
    <m/>
    <m/>
    <m/>
    <m/>
    <m/>
    <s v="CYSTFA (Provisional)"/>
    <m/>
  </r>
  <r>
    <x v="3534"/>
    <s v="Subazzoli"/>
    <s v="Alessandro"/>
    <s v="ITA0837"/>
    <s v="OPEN"/>
    <x v="76"/>
    <s v="ITA"/>
    <m/>
    <m/>
    <m/>
    <m/>
    <m/>
    <s v="FISCT"/>
    <s v="CESTFA"/>
  </r>
  <r>
    <x v="3535"/>
    <s v="Suffritti"/>
    <s v="Matteo"/>
    <s v="ITA0838"/>
    <s v="OPEN"/>
    <x v="166"/>
    <s v="ITA"/>
    <m/>
    <m/>
    <m/>
    <m/>
    <m/>
    <s v="FISCT"/>
    <s v="CESTFA"/>
  </r>
  <r>
    <x v="3536"/>
    <s v="Sukaimi"/>
    <s v="Muhd Firdaus"/>
    <s v="SGP0039"/>
    <s v="OPEN"/>
    <x v="259"/>
    <s v="SGP"/>
    <m/>
    <m/>
    <m/>
    <m/>
    <m/>
    <s v="TFAS"/>
    <s v="CASTFA"/>
  </r>
  <r>
    <x v="3537"/>
    <s v="Sunaryo"/>
    <s v="Suhermanto"/>
    <s v="SGP0013"/>
    <s v="OPEN"/>
    <x v="23"/>
    <s v="SGP"/>
    <m/>
    <m/>
    <m/>
    <m/>
    <m/>
    <s v="TFAS"/>
    <s v="CASTFA"/>
  </r>
  <r>
    <x v="3538"/>
    <s v="Sunaryo"/>
    <s v="Susiayanto"/>
    <s v="SGP0012"/>
    <s v="OPEN"/>
    <x v="23"/>
    <s v="SGP"/>
    <m/>
    <m/>
    <m/>
    <m/>
    <m/>
    <s v="TFAS"/>
    <s v="CASTFA"/>
  </r>
  <r>
    <x v="3539"/>
    <s v="Sundram"/>
    <s v="Sathia"/>
    <s v="MAS0012"/>
    <s v="OPEN"/>
    <x v="85"/>
    <s v="MAS"/>
    <m/>
    <m/>
    <m/>
    <m/>
    <m/>
    <m/>
    <m/>
  </r>
  <r>
    <x v="3540"/>
    <s v="Sundram"/>
    <s v="Vishnu Varthana"/>
    <s v="MAS0002"/>
    <s v="OPEN"/>
    <x v="85"/>
    <s v="MAS"/>
    <m/>
    <m/>
    <m/>
    <m/>
    <m/>
    <m/>
    <m/>
  </r>
  <r>
    <x v="3541"/>
    <s v="Suzuki"/>
    <s v="Noriyuki"/>
    <s v="JPN115"/>
    <s v="OPEN"/>
    <x v="26"/>
    <s v="JPN"/>
    <m/>
    <m/>
    <m/>
    <m/>
    <m/>
    <s v="JTFA"/>
    <s v="CASTFA"/>
  </r>
  <r>
    <x v="3542"/>
    <s v="Suzuki"/>
    <s v="Rony"/>
    <s v="BRA0014"/>
    <s v="VET"/>
    <x v="264"/>
    <s v="BRA"/>
    <m/>
    <m/>
    <m/>
    <m/>
    <m/>
    <s v="CBFM (Suspended)"/>
    <m/>
  </r>
  <r>
    <x v="3543"/>
    <s v="Sveinungsen"/>
    <s v="Frode"/>
    <s v="NOR0017"/>
    <s v="OPEN"/>
    <x v="269"/>
    <s v="NOR"/>
    <m/>
    <m/>
    <m/>
    <m/>
    <m/>
    <s v="NBFF (Suspended)"/>
    <m/>
  </r>
  <r>
    <x v="3544"/>
    <s v="Swope"/>
    <s v="Zachary"/>
    <s v="USA0429"/>
    <s v="OPEN"/>
    <x v="60"/>
    <s v="USA"/>
    <m/>
    <m/>
    <m/>
    <m/>
    <m/>
    <s v="ASA"/>
    <s v="CONASTF"/>
  </r>
  <r>
    <x v="3545"/>
    <s v="Sydiropoulos"/>
    <s v="Maximos"/>
    <s v="CYP0051"/>
    <s v="OPEN"/>
    <x v="59"/>
    <s v="CYP"/>
    <m/>
    <m/>
    <m/>
    <m/>
    <m/>
    <s v="CYSTFA (Provisional)"/>
    <m/>
  </r>
  <r>
    <x v="3546"/>
    <s v="Symeon"/>
    <s v="Georgios"/>
    <s v="GRE0086"/>
    <s v="OPEN"/>
    <x v="14"/>
    <s v="GRE"/>
    <m/>
    <m/>
    <m/>
    <m/>
    <m/>
    <s v="UHTF"/>
    <s v="CESTFA"/>
  </r>
  <r>
    <x v="3547"/>
    <s v="Syrmos"/>
    <s v="Panagiotis"/>
    <s v="GRE0585"/>
    <s v="OPEN"/>
    <x v="14"/>
    <s v="GRE"/>
    <m/>
    <m/>
    <m/>
    <m/>
    <m/>
    <s v="UHTF"/>
    <s v="CESTFA"/>
  </r>
  <r>
    <x v="3548"/>
    <s v="Syrmos"/>
    <s v="Stamatios"/>
    <s v="GRE0586"/>
    <s v="VET"/>
    <x v="78"/>
    <s v="GRE"/>
    <m/>
    <m/>
    <m/>
    <m/>
    <m/>
    <s v="UHTF"/>
    <s v="CESTFA"/>
  </r>
  <r>
    <x v="3549"/>
    <s v="Szathmáry"/>
    <s v="Károly"/>
    <s v="HUN0049"/>
    <s v="OPEN"/>
    <x v="373"/>
    <s v="HUN"/>
    <m/>
    <m/>
    <m/>
    <m/>
    <m/>
    <s v="HTFA (Suspended)"/>
    <m/>
  </r>
  <r>
    <x v="3550"/>
    <s v="Szendröi"/>
    <s v="Robert"/>
    <s v="SUI052"/>
    <s v="VET"/>
    <x v="14"/>
    <s v="SUI"/>
    <m/>
    <m/>
    <m/>
    <m/>
    <m/>
    <m/>
    <m/>
  </r>
  <r>
    <x v="3551"/>
    <s v="Tabone"/>
    <s v="Jean Carl"/>
    <s v="MLT0031"/>
    <s v="OPEN"/>
    <x v="195"/>
    <s v="MLT"/>
    <m/>
    <m/>
    <m/>
    <m/>
    <m/>
    <s v="MTFSA"/>
    <s v="CESTFA"/>
  </r>
  <r>
    <x v="3552"/>
    <s v="Tacchia"/>
    <s v="Alessio"/>
    <s v="ITA2159"/>
    <s v="OPEN"/>
    <x v="147"/>
    <s v="ITA"/>
    <m/>
    <m/>
    <m/>
    <m/>
    <m/>
    <s v="FISCT"/>
    <s v="CESTFA"/>
  </r>
  <r>
    <x v="3553"/>
    <s v="Tacchia"/>
    <s v="Domenico"/>
    <s v="ITA2584"/>
    <s v="VET"/>
    <x v="147"/>
    <s v="ITA"/>
    <m/>
    <m/>
    <m/>
    <m/>
    <m/>
    <s v="FISCT"/>
    <s v="CESTFA"/>
  </r>
  <r>
    <x v="3554"/>
    <s v="Tachikawa"/>
    <s v="Mitsuaki"/>
    <s v="JPN178"/>
    <s v="OPEN"/>
    <x v="307"/>
    <s v="JPN"/>
    <m/>
    <m/>
    <m/>
    <m/>
    <m/>
    <s v="JTFA"/>
    <s v="CASTFA"/>
  </r>
  <r>
    <x v="3555"/>
    <s v="Tagliaferri"/>
    <s v="Diego"/>
    <s v="ITA0841"/>
    <s v="OPEN"/>
    <x v="174"/>
    <s v="ITA"/>
    <m/>
    <m/>
    <m/>
    <m/>
    <m/>
    <s v="FISCT"/>
    <s v="CESTFA"/>
  </r>
  <r>
    <x v="3556"/>
    <s v="Tagliaferri"/>
    <s v="Stefano"/>
    <s v="ITA0839"/>
    <s v="VET"/>
    <x v="174"/>
    <s v="ITA"/>
    <m/>
    <m/>
    <m/>
    <m/>
    <m/>
    <s v="FISCT"/>
    <s v="CESTFA"/>
  </r>
  <r>
    <x v="3557"/>
    <s v="Taib"/>
    <s v="Mohd Rizal"/>
    <s v="SGP0006"/>
    <s v="VET"/>
    <x v="23"/>
    <s v="SGP"/>
    <m/>
    <m/>
    <m/>
    <m/>
    <m/>
    <s v="TFAS"/>
    <s v="CASTFA"/>
  </r>
  <r>
    <x v="3558"/>
    <s v="Takahashi"/>
    <s v="Shusuke"/>
    <s v="JPN188"/>
    <s v="U16"/>
    <x v="307"/>
    <s v="JPN"/>
    <m/>
    <m/>
    <m/>
    <m/>
    <m/>
    <s v="JTFA"/>
    <s v="CASTFA"/>
  </r>
  <r>
    <x v="3559"/>
    <s v="Takayama"/>
    <s v="Masahiko"/>
    <s v="JPN096"/>
    <s v="VET"/>
    <x v="271"/>
    <s v="JPN"/>
    <m/>
    <m/>
    <m/>
    <m/>
    <m/>
    <s v="JTFA"/>
    <s v="CASTFA"/>
  </r>
  <r>
    <x v="3560"/>
    <s v="Talarico"/>
    <s v="Alessio"/>
    <s v="ITA1820"/>
    <s v="OPEN"/>
    <x v="374"/>
    <s v="ITA"/>
    <m/>
    <m/>
    <m/>
    <m/>
    <m/>
    <s v="FISCT"/>
    <s v="CESTFA"/>
  </r>
  <r>
    <x v="3561"/>
    <s v="Talarico"/>
    <s v="Paolo"/>
    <s v="ITA1736"/>
    <s v="VET"/>
    <x v="233"/>
    <s v="ITA"/>
    <m/>
    <m/>
    <m/>
    <m/>
    <m/>
    <s v="FISCT"/>
    <s v="CESTFA"/>
  </r>
  <r>
    <x v="3562"/>
    <s v="Talozzi"/>
    <s v="Massimo"/>
    <s v="ITA3218"/>
    <s v="VET"/>
    <x v="187"/>
    <s v="ITA"/>
    <m/>
    <m/>
    <m/>
    <m/>
    <m/>
    <s v="FISCT"/>
    <s v="CESTFA"/>
  </r>
  <r>
    <x v="3563"/>
    <s v="Tan"/>
    <s v="Ashley"/>
    <s v="SGP0117"/>
    <s v="VET"/>
    <x v="4"/>
    <s v="SGP"/>
    <m/>
    <m/>
    <m/>
    <m/>
    <m/>
    <s v="TFAS"/>
    <s v="CASTFA"/>
  </r>
  <r>
    <x v="3564"/>
    <s v="Tan"/>
    <s v="Kok Wee"/>
    <s v="SGP0048"/>
    <s v="VET"/>
    <x v="4"/>
    <s v="SGP"/>
    <m/>
    <m/>
    <m/>
    <m/>
    <m/>
    <s v="TFAS"/>
    <s v="CASTFA"/>
  </r>
  <r>
    <x v="3565"/>
    <s v="Tan"/>
    <s v="Nic"/>
    <s v="SGP0076"/>
    <s v="OPEN"/>
    <x v="201"/>
    <s v="SGP"/>
    <m/>
    <m/>
    <m/>
    <m/>
    <m/>
    <s v="TFAS"/>
    <s v="CASTFA"/>
  </r>
  <r>
    <x v="3566"/>
    <s v="Tan"/>
    <s v="Paulus"/>
    <s v="SGP0067"/>
    <s v="VET"/>
    <x v="4"/>
    <s v="SGP"/>
    <m/>
    <m/>
    <m/>
    <m/>
    <m/>
    <s v="TFAS"/>
    <s v="CASTFA"/>
  </r>
  <r>
    <x v="3567"/>
    <s v="Tan"/>
    <s v="Siang Ping, Jeslin"/>
    <s v="SGP0014"/>
    <s v="OPEN"/>
    <x v="23"/>
    <s v="SGP"/>
    <m/>
    <m/>
    <m/>
    <m/>
    <m/>
    <s v="TFAS"/>
    <s v="CASTFA"/>
  </r>
  <r>
    <x v="3568"/>
    <s v="Tan"/>
    <s v="Tong Leng"/>
    <s v="SGP0132"/>
    <s v="OPEN"/>
    <x v="24"/>
    <s v="SGP"/>
    <m/>
    <m/>
    <m/>
    <m/>
    <m/>
    <s v="TFAS"/>
    <s v="CASTFA"/>
  </r>
  <r>
    <x v="3569"/>
    <s v="Tan"/>
    <s v="Yew Loy"/>
    <s v="SGP0118"/>
    <s v="VET"/>
    <x v="4"/>
    <s v="SGP"/>
    <m/>
    <m/>
    <m/>
    <m/>
    <m/>
    <s v="TFAS"/>
    <s v="CASTFA"/>
  </r>
  <r>
    <x v="3570"/>
    <s v="Tan"/>
    <s v="Yi De"/>
    <s v="SGP0113"/>
    <s v="U20"/>
    <x v="4"/>
    <s v="SGP"/>
    <m/>
    <m/>
    <m/>
    <m/>
    <m/>
    <s v="TFAS"/>
    <s v="CASTFA"/>
  </r>
  <r>
    <x v="3571"/>
    <s v="Tanaka"/>
    <s v="Hidekazu"/>
    <s v="JPN193"/>
    <s v="VET"/>
    <x v="307"/>
    <s v="JPN"/>
    <m/>
    <m/>
    <m/>
    <m/>
    <m/>
    <s v="JTFA"/>
    <s v="CASTFA"/>
  </r>
  <r>
    <x v="3572"/>
    <s v="Tanaka"/>
    <s v="Masato"/>
    <s v="JPN177"/>
    <s v="VET"/>
    <x v="307"/>
    <s v="JPN"/>
    <m/>
    <m/>
    <m/>
    <m/>
    <m/>
    <s v="JTFA"/>
    <s v="CASTFA"/>
  </r>
  <r>
    <x v="3573"/>
    <s v="Tanaka"/>
    <s v="Naoki"/>
    <s v="JPN167"/>
    <s v="OPEN"/>
    <x v="26"/>
    <s v="JPN"/>
    <m/>
    <m/>
    <m/>
    <m/>
    <m/>
    <s v="JTFA"/>
    <s v="CASTFA"/>
  </r>
  <r>
    <x v="3574"/>
    <s v="Tanaka"/>
    <s v="Naoto"/>
    <s v="JPN112"/>
    <s v="OPEN"/>
    <x v="270"/>
    <s v="JPN"/>
    <m/>
    <m/>
    <m/>
    <m/>
    <m/>
    <s v="JTFA"/>
    <s v="CASTFA"/>
  </r>
  <r>
    <x v="3575"/>
    <s v="Tanaka"/>
    <s v="Shigemi"/>
    <s v="JPN132"/>
    <s v="VET"/>
    <x v="375"/>
    <s v="JPN"/>
    <m/>
    <m/>
    <m/>
    <m/>
    <m/>
    <s v="JTFA"/>
    <s v="CASTFA"/>
  </r>
  <r>
    <x v="3576"/>
    <s v="Tarabella"/>
    <s v="Matteo"/>
    <s v="ITA2080"/>
    <s v="OPEN"/>
    <x v="88"/>
    <s v="ITA"/>
    <m/>
    <m/>
    <m/>
    <m/>
    <m/>
    <s v="FISCT"/>
    <s v="CESTFA"/>
  </r>
  <r>
    <x v="3577"/>
    <s v="Tarantino"/>
    <s v="Salvatore"/>
    <s v="ITA3413"/>
    <s v="VET"/>
    <x v="200"/>
    <s v="ITA"/>
    <m/>
    <m/>
    <m/>
    <m/>
    <m/>
    <s v="FISCT"/>
    <s v="CESTFA"/>
  </r>
  <r>
    <x v="3578"/>
    <s v="Tardiota"/>
    <s v="Giuseppe"/>
    <s v="AUS0016"/>
    <s v="VET"/>
    <x v="297"/>
    <s v="AUS"/>
    <m/>
    <m/>
    <m/>
    <m/>
    <m/>
    <s v="ATFA"/>
    <s v="CASTFA"/>
  </r>
  <r>
    <x v="3579"/>
    <s v="Targui"/>
    <s v="Sami"/>
    <s v="BEL0026"/>
    <s v="OPEN"/>
    <x v="182"/>
    <s v="BEL"/>
    <m/>
    <m/>
    <m/>
    <m/>
    <m/>
    <m/>
    <m/>
  </r>
  <r>
    <x v="3580"/>
    <s v="Tarry"/>
    <s v="Colin"/>
    <s v="ENG0100"/>
    <s v="VET"/>
    <x v="19"/>
    <s v="ENG"/>
    <m/>
    <m/>
    <m/>
    <m/>
    <m/>
    <s v="ESA"/>
    <s v="CESTFA"/>
  </r>
  <r>
    <x v="3581"/>
    <s v="Tassone"/>
    <s v="Domenico"/>
    <s v="ITA2007"/>
    <s v="VET"/>
    <x v="233"/>
    <s v="ITA"/>
    <m/>
    <m/>
    <m/>
    <m/>
    <m/>
    <s v="FISCT"/>
    <s v="CESTFA"/>
  </r>
  <r>
    <x v="3582"/>
    <s v="Tastsoglou"/>
    <s v="Michail"/>
    <s v="GRE0428"/>
    <s v="OPEN"/>
    <x v="278"/>
    <s v="GRE"/>
    <m/>
    <m/>
    <m/>
    <m/>
    <m/>
    <s v="UHTF"/>
    <s v="CESTFA"/>
  </r>
  <r>
    <x v="3583"/>
    <s v="Tava"/>
    <s v="Laura"/>
    <s v="ITA2736"/>
    <s v="VET"/>
    <x v="27"/>
    <s v="ITA"/>
    <m/>
    <m/>
    <m/>
    <m/>
    <m/>
    <s v="FISCT"/>
    <s v="CESTFA"/>
  </r>
  <r>
    <x v="3584"/>
    <s v="Tavani"/>
    <s v="Andrea"/>
    <s v="ITA3305"/>
    <s v="VET"/>
    <x v="209"/>
    <s v="ITA"/>
    <m/>
    <m/>
    <m/>
    <m/>
    <m/>
    <s v="FISCT"/>
    <s v="CESTFA"/>
  </r>
  <r>
    <x v="3585"/>
    <s v="Tavares"/>
    <s v="António"/>
    <s v="POR0147"/>
    <s v="OPEN"/>
    <x v="14"/>
    <s v="POR"/>
    <m/>
    <m/>
    <m/>
    <m/>
    <m/>
    <s v="APS"/>
    <s v="CESTFA"/>
  </r>
  <r>
    <x v="3586"/>
    <s v="Taverna"/>
    <s v="Gian Marco"/>
    <s v="ITA2594"/>
    <s v="OPEN"/>
    <x v="56"/>
    <s v="ITA"/>
    <m/>
    <m/>
    <m/>
    <m/>
    <m/>
    <s v="FISCT"/>
    <s v="CESTFA"/>
  </r>
  <r>
    <x v="3587"/>
    <s v="Taylor"/>
    <s v="Algy"/>
    <s v="WAL0030"/>
    <s v="OPEN"/>
    <x v="136"/>
    <s v="WAL"/>
    <m/>
    <m/>
    <m/>
    <m/>
    <m/>
    <s v="WSTFA"/>
    <s v="CESTFA"/>
  </r>
  <r>
    <x v="3588"/>
    <s v="Taylor"/>
    <s v="Paul"/>
    <s v="ENG1014"/>
    <s v="VET"/>
    <x v="90"/>
    <s v="ENG"/>
    <m/>
    <m/>
    <m/>
    <m/>
    <m/>
    <s v="ESA"/>
    <s v="CESTFA"/>
  </r>
  <r>
    <x v="3589"/>
    <s v="Taylor"/>
    <s v="Tom"/>
    <s v="WAL0003"/>
    <s v="VET"/>
    <x v="121"/>
    <s v="WAL"/>
    <m/>
    <m/>
    <m/>
    <m/>
    <m/>
    <s v="WSTFA"/>
    <s v="CESTFA"/>
  </r>
  <r>
    <x v="3590"/>
    <s v="Taylor-Nye"/>
    <s v="James"/>
    <s v="ENG0564"/>
    <s v="VET"/>
    <x v="14"/>
    <s v="ENG"/>
    <m/>
    <m/>
    <m/>
    <m/>
    <m/>
    <s v="ESA"/>
    <s v="CESTFA"/>
  </r>
  <r>
    <x v="3591"/>
    <s v="Tecchiati"/>
    <s v="Enrico"/>
    <s v="ITA0846"/>
    <s v="VET"/>
    <x v="173"/>
    <s v="ITA"/>
    <m/>
    <m/>
    <m/>
    <m/>
    <m/>
    <s v="FISCT"/>
    <s v="CESTFA"/>
  </r>
  <r>
    <x v="3592"/>
    <s v="Tedeschi"/>
    <s v="Marco"/>
    <s v="ITA2655"/>
    <s v="VET"/>
    <x v="187"/>
    <s v="ITA"/>
    <m/>
    <m/>
    <m/>
    <m/>
    <m/>
    <s v="FISCT"/>
    <s v="CESTFA"/>
  </r>
  <r>
    <x v="3593"/>
    <s v="Teixido-Regnier"/>
    <s v="Maël"/>
    <s v="FRA0272"/>
    <s v="U16"/>
    <x v="97"/>
    <s v="FRA"/>
    <m/>
    <m/>
    <m/>
    <m/>
    <m/>
    <s v="3FTS"/>
    <s v="CESTFA"/>
  </r>
  <r>
    <x v="3594"/>
    <s v="Tejado"/>
    <s v="Francisco"/>
    <s v="ESP0384"/>
    <s v="VET"/>
    <x v="211"/>
    <s v="ESP"/>
    <m/>
    <m/>
    <m/>
    <m/>
    <m/>
    <s v="AEFM"/>
    <s v="CESTFA"/>
  </r>
  <r>
    <x v="3595"/>
    <s v="Tekos"/>
    <s v="Lambros"/>
    <s v="GRE0631"/>
    <s v="VET"/>
    <x v="78"/>
    <s v="GRE"/>
    <m/>
    <m/>
    <m/>
    <m/>
    <m/>
    <s v="UHTF"/>
    <s v="CESTFA"/>
  </r>
  <r>
    <x v="3596"/>
    <s v="Tellez"/>
    <s v="Eddie"/>
    <s v="GIB0005"/>
    <s v="VET"/>
    <x v="37"/>
    <s v="GIB"/>
    <m/>
    <m/>
    <m/>
    <m/>
    <m/>
    <s v="GTSA"/>
    <s v="CESTFA"/>
  </r>
  <r>
    <x v="3597"/>
    <s v="Tellez"/>
    <s v="Kyle"/>
    <s v="GIB0015"/>
    <s v="OPEN"/>
    <x v="37"/>
    <s v="GIB"/>
    <m/>
    <m/>
    <m/>
    <m/>
    <m/>
    <s v="GTSA"/>
    <s v="CESTFA"/>
  </r>
  <r>
    <x v="3598"/>
    <s v="Terenzi"/>
    <s v="Gianni"/>
    <s v="ITA3243"/>
    <s v="VET"/>
    <x v="27"/>
    <s v="ITA"/>
    <m/>
    <m/>
    <m/>
    <m/>
    <m/>
    <s v="FISCT"/>
    <s v="CESTFA"/>
  </r>
  <r>
    <x v="3599"/>
    <s v="Tereska"/>
    <s v="Fellipe"/>
    <s v="BRA0090"/>
    <s v="OPEN"/>
    <x v="264"/>
    <s v="BRA"/>
    <m/>
    <m/>
    <m/>
    <m/>
    <m/>
    <s v="CBFM (Suspended)"/>
    <m/>
  </r>
  <r>
    <x v="3600"/>
    <s v="Terzidis"/>
    <s v="Christos"/>
    <s v="GRE0604"/>
    <s v="VET"/>
    <x v="14"/>
    <s v="GRE"/>
    <m/>
    <m/>
    <m/>
    <m/>
    <m/>
    <s v="UHTF"/>
    <s v="CESTFA"/>
  </r>
  <r>
    <x v="3601"/>
    <s v="Terzidis"/>
    <s v="Ioannis"/>
    <s v="GRE0530"/>
    <s v="VET"/>
    <x v="22"/>
    <s v="GRE"/>
    <m/>
    <m/>
    <m/>
    <m/>
    <m/>
    <s v="UHTF"/>
    <s v="CESTFA"/>
  </r>
  <r>
    <x v="3602"/>
    <s v="Testa"/>
    <s v="Andrea"/>
    <s v="ITA0851"/>
    <s v="OPEN"/>
    <x v="116"/>
    <s v="ITA"/>
    <m/>
    <m/>
    <m/>
    <m/>
    <m/>
    <s v="FISCT"/>
    <s v="CESTFA"/>
  </r>
  <r>
    <x v="3602"/>
    <s v="Testa"/>
    <s v="Andrea"/>
    <s v="ITA3011"/>
    <s v="OPEN"/>
    <x v="25"/>
    <s v="ITA"/>
    <m/>
    <m/>
    <m/>
    <m/>
    <m/>
    <s v="FISCT"/>
    <s v="CESTFA"/>
  </r>
  <r>
    <x v="3603"/>
    <s v="Testa"/>
    <s v="Enrico"/>
    <s v="ITA0850"/>
    <s v="OPEN"/>
    <x v="290"/>
    <s v="ITA"/>
    <m/>
    <m/>
    <m/>
    <m/>
    <m/>
    <s v="FISCT"/>
    <s v="CESTFA"/>
  </r>
  <r>
    <x v="3604"/>
    <s v="Testoni"/>
    <s v="Tomas"/>
    <s v="ARG0063"/>
    <s v="OPEN"/>
    <x v="157"/>
    <s v="ARG"/>
    <m/>
    <m/>
    <m/>
    <m/>
    <m/>
    <s v="LAFM (Suspended)"/>
    <s v="CSAFM"/>
  </r>
  <r>
    <x v="3605"/>
    <s v="Tezapsidis"/>
    <s v="Petros"/>
    <s v="GRE0694"/>
    <s v="OPEN"/>
    <x v="22"/>
    <s v="GRE"/>
    <m/>
    <m/>
    <m/>
    <m/>
    <m/>
    <s v="UHTF"/>
    <s v="CESTFA"/>
  </r>
  <r>
    <x v="3606"/>
    <s v="Themistokleous"/>
    <s v="Marios"/>
    <s v="CYP0052"/>
    <s v="OPEN"/>
    <x v="59"/>
    <s v="CYP"/>
    <m/>
    <m/>
    <m/>
    <m/>
    <m/>
    <s v="CYSTFA (Provisional)"/>
    <m/>
  </r>
  <r>
    <x v="3607"/>
    <s v="Theodosiou"/>
    <s v="Konstantinos"/>
    <s v="GRE0675"/>
    <s v="U16"/>
    <x v="14"/>
    <s v="GRE"/>
    <m/>
    <m/>
    <m/>
    <m/>
    <m/>
    <s v="UHTF"/>
    <s v="CESTFA"/>
  </r>
  <r>
    <x v="3608"/>
    <s v="Theodosiou"/>
    <s v="Thanos"/>
    <s v="GRE0696"/>
    <s v="OPEN"/>
    <x v="14"/>
    <s v="GRE"/>
    <m/>
    <m/>
    <m/>
    <m/>
    <m/>
    <s v="UHTF"/>
    <s v="CESTFA"/>
  </r>
  <r>
    <x v="3609"/>
    <s v="Theodosopoulos"/>
    <s v="Alexandros"/>
    <s v="GRE0174"/>
    <s v="VET"/>
    <x v="14"/>
    <s v="GRE"/>
    <m/>
    <m/>
    <m/>
    <m/>
    <m/>
    <s v="UHTF"/>
    <s v="CESTFA"/>
  </r>
  <r>
    <x v="3610"/>
    <s v="Theofanopoulos"/>
    <s v="Evaggelos"/>
    <s v="GRE0406"/>
    <s v="OPEN"/>
    <x v="14"/>
    <s v="GRE"/>
    <m/>
    <m/>
    <m/>
    <m/>
    <m/>
    <s v="UHTF"/>
    <s v="CESTFA"/>
  </r>
  <r>
    <x v="3611"/>
    <s v="Theologos"/>
    <s v="Antonios"/>
    <s v="GRE0099"/>
    <s v="VET"/>
    <x v="14"/>
    <s v="GRE"/>
    <m/>
    <m/>
    <m/>
    <m/>
    <m/>
    <s v="UHTF"/>
    <s v="CESTFA"/>
  </r>
  <r>
    <x v="3612"/>
    <s v="Theologos"/>
    <s v="Petros"/>
    <s v="GRE0253"/>
    <s v="OPEN"/>
    <x v="14"/>
    <s v="GRE"/>
    <m/>
    <m/>
    <m/>
    <m/>
    <m/>
    <s v="UHTF"/>
    <s v="CESTFA"/>
  </r>
  <r>
    <x v="3613"/>
    <s v="Thiel"/>
    <s v="Frédéric"/>
    <s v="BEL0337"/>
    <s v="OPEN"/>
    <x v="178"/>
    <s v="BEL"/>
    <m/>
    <m/>
    <m/>
    <m/>
    <m/>
    <m/>
    <m/>
  </r>
  <r>
    <x v="3614"/>
    <s v="Thiele"/>
    <s v="Stephan"/>
    <s v="GER0081"/>
    <s v="VET"/>
    <x v="142"/>
    <s v="GER"/>
    <m/>
    <m/>
    <m/>
    <m/>
    <m/>
    <s v="DSTFB"/>
    <s v="CESTFA"/>
  </r>
  <r>
    <x v="3615"/>
    <s v="Tholen"/>
    <s v="Bernd"/>
    <s v="GER0102"/>
    <s v="VET"/>
    <x v="295"/>
    <s v="GER"/>
    <m/>
    <m/>
    <m/>
    <m/>
    <m/>
    <s v="DSTFB"/>
    <s v="CESTFA"/>
  </r>
  <r>
    <x v="3616"/>
    <s v="Thom"/>
    <s v="Craig"/>
    <s v="SCO0055"/>
    <s v="OPEN"/>
    <x v="137"/>
    <s v="SCO"/>
    <m/>
    <m/>
    <m/>
    <m/>
    <m/>
    <s v="SSA"/>
    <s v="CESTFA"/>
  </r>
  <r>
    <x v="3617"/>
    <s v="Thomas"/>
    <s v="Chris"/>
    <s v="ENG0054"/>
    <s v="OPEN"/>
    <x v="141"/>
    <s v="ENG"/>
    <m/>
    <m/>
    <m/>
    <m/>
    <m/>
    <s v="ESA"/>
    <s v="CESTFA"/>
  </r>
  <r>
    <x v="3618"/>
    <s v="Thomas"/>
    <s v="Matthew"/>
    <s v="ENG0099"/>
    <s v="OPEN"/>
    <x v="141"/>
    <s v="ENG"/>
    <m/>
    <m/>
    <m/>
    <m/>
    <m/>
    <s v="ESA"/>
    <s v="CESTFA"/>
  </r>
  <r>
    <x v="3619"/>
    <s v="Thomas"/>
    <s v="Peter"/>
    <s v="AUS0003"/>
    <s v="OPEN"/>
    <x v="133"/>
    <s v="AUS"/>
    <m/>
    <m/>
    <m/>
    <m/>
    <m/>
    <s v="ATFA"/>
    <s v="CASTFA"/>
  </r>
  <r>
    <x v="3620"/>
    <s v="Thomas"/>
    <s v="Therron"/>
    <s v="USA0325"/>
    <s v="VET"/>
    <x v="376"/>
    <s v="USA"/>
    <m/>
    <m/>
    <m/>
    <m/>
    <m/>
    <s v="ASA"/>
    <s v="CONASTF"/>
  </r>
  <r>
    <x v="3621"/>
    <s v="Thompson"/>
    <s v="CJ"/>
    <s v="USA0112"/>
    <s v="OPEN"/>
    <x v="60"/>
    <s v="USA"/>
    <m/>
    <m/>
    <m/>
    <m/>
    <m/>
    <s v="ASA"/>
    <s v="CONASTF"/>
  </r>
  <r>
    <x v="3622"/>
    <s v="Thorbech"/>
    <s v="Jacob"/>
    <s v="DEN0074"/>
    <s v="OPEN"/>
    <x v="10"/>
    <s v="DEN"/>
    <m/>
    <m/>
    <m/>
    <m/>
    <m/>
    <s v="DSBU (Provisional)"/>
    <m/>
  </r>
  <r>
    <x v="3623"/>
    <s v="Thorn"/>
    <s v="Chris"/>
    <s v="AUS0078"/>
    <s v="VET"/>
    <x v="377"/>
    <s v="AUS"/>
    <m/>
    <m/>
    <m/>
    <m/>
    <m/>
    <s v="ATFA"/>
    <s v="CASTFA"/>
  </r>
  <r>
    <x v="3624"/>
    <s v="Thornton"/>
    <s v="Allan"/>
    <s v="CAN0014"/>
    <s v="VET"/>
    <x v="378"/>
    <s v="CAN"/>
    <m/>
    <m/>
    <m/>
    <m/>
    <m/>
    <s v="SCA"/>
    <m/>
  </r>
  <r>
    <x v="3625"/>
    <s v="Thorsen"/>
    <s v="Rune"/>
    <s v="DEN0061"/>
    <s v="OPEN"/>
    <x v="10"/>
    <s v="DEN"/>
    <m/>
    <m/>
    <m/>
    <m/>
    <m/>
    <s v="DSBU (Provisional)"/>
    <m/>
  </r>
  <r>
    <x v="3626"/>
    <s v="Threis"/>
    <s v="Eric"/>
    <s v="BEL0157"/>
    <s v="VET"/>
    <x v="6"/>
    <s v="BEL"/>
    <m/>
    <m/>
    <m/>
    <m/>
    <m/>
    <m/>
    <m/>
  </r>
  <r>
    <x v="3627"/>
    <s v="Threis"/>
    <s v="Romain"/>
    <s v="BEL0158"/>
    <s v="OPEN"/>
    <x v="6"/>
    <s v="BEL"/>
    <m/>
    <m/>
    <m/>
    <m/>
    <m/>
    <m/>
    <m/>
  </r>
  <r>
    <x v="3628"/>
    <s v="Thys"/>
    <s v="Philippe"/>
    <s v="BEL0356"/>
    <s v="VET"/>
    <x v="172"/>
    <s v="BEL"/>
    <m/>
    <m/>
    <m/>
    <m/>
    <m/>
    <m/>
    <m/>
  </r>
  <r>
    <x v="3629"/>
    <s v="Tichon"/>
    <s v="Jakub"/>
    <s v="CZE0002"/>
    <s v="OPEN"/>
    <x v="251"/>
    <s v="CZE"/>
    <m/>
    <m/>
    <m/>
    <m/>
    <m/>
    <s v="CTSU (Suspended)"/>
    <m/>
  </r>
  <r>
    <x v="3630"/>
    <s v="Tilgner"/>
    <s v="Marcus"/>
    <s v="GER0030"/>
    <s v="VET"/>
    <x v="5"/>
    <s v="GER"/>
    <m/>
    <m/>
    <m/>
    <m/>
    <m/>
    <s v="DSTFB"/>
    <s v="CESTFA"/>
  </r>
  <r>
    <x v="3631"/>
    <s v="Tillman"/>
    <s v="Michael"/>
    <s v="USA0004"/>
    <s v="OPEN"/>
    <x v="27"/>
    <s v="USA"/>
    <m/>
    <m/>
    <m/>
    <m/>
    <m/>
    <s v="ASA"/>
    <s v="CONASTF"/>
  </r>
  <r>
    <x v="3632"/>
    <s v="Timpano"/>
    <s v="Antonio"/>
    <s v="BEL0319"/>
    <s v="OPEN"/>
    <x v="172"/>
    <s v="BEL"/>
    <m/>
    <m/>
    <m/>
    <m/>
    <m/>
    <m/>
    <m/>
  </r>
  <r>
    <x v="3633"/>
    <s v="Timpano"/>
    <s v="Bruno"/>
    <s v="BEL0316"/>
    <s v="OPEN"/>
    <x v="178"/>
    <s v="BEL"/>
    <m/>
    <m/>
    <m/>
    <m/>
    <m/>
    <m/>
    <m/>
  </r>
  <r>
    <x v="3634"/>
    <s v="Tinebra"/>
    <s v="Salvatore"/>
    <s v="ITA0855"/>
    <s v="VET"/>
    <x v="87"/>
    <s v="ITA"/>
    <m/>
    <m/>
    <m/>
    <m/>
    <m/>
    <s v="FISCT"/>
    <s v="CESTFA"/>
  </r>
  <r>
    <x v="3635"/>
    <s v="TK"/>
    <s v="Tomoca"/>
    <s v="JPN191"/>
    <s v="OPEN"/>
    <x v="307"/>
    <s v="JPN"/>
    <m/>
    <m/>
    <m/>
    <m/>
    <m/>
    <s v="JTFA"/>
    <s v="CASTFA"/>
  </r>
  <r>
    <x v="3636"/>
    <s v="Toffoletti"/>
    <s v="Corrado"/>
    <s v="ITA2936"/>
    <s v="VET"/>
    <x v="89"/>
    <s v="ITA"/>
    <m/>
    <m/>
    <m/>
    <m/>
    <m/>
    <s v="FISCT"/>
    <s v="CESTFA"/>
  </r>
  <r>
    <x v="3637"/>
    <s v="Tokita"/>
    <s v="Takafumi"/>
    <s v="JPN044"/>
    <s v="OPEN"/>
    <x v="340"/>
    <s v="JPN"/>
    <m/>
    <m/>
    <m/>
    <m/>
    <m/>
    <s v="JTFA"/>
    <s v="CASTFA"/>
  </r>
  <r>
    <x v="3638"/>
    <s v="Tolias"/>
    <s v="Dimitrios"/>
    <s v="GER0152"/>
    <s v="OPEN"/>
    <x v="221"/>
    <s v="GER"/>
    <m/>
    <m/>
    <m/>
    <m/>
    <m/>
    <s v="DSTFB"/>
    <s v="CESTFA"/>
  </r>
  <r>
    <x v="3639"/>
    <s v="Tolve"/>
    <s v="Paolo"/>
    <s v="ITA2368"/>
    <s v="OPEN"/>
    <x v="44"/>
    <s v="ITA"/>
    <m/>
    <m/>
    <m/>
    <m/>
    <m/>
    <s v="FISCT"/>
    <s v="CESTFA"/>
  </r>
  <r>
    <x v="3640"/>
    <s v="Tonet"/>
    <s v="Andrea"/>
    <s v="ITA2823"/>
    <s v="VET"/>
    <x v="110"/>
    <s v="ITA"/>
    <m/>
    <m/>
    <m/>
    <m/>
    <m/>
    <s v="FISCT"/>
    <s v="CESTFA"/>
  </r>
  <r>
    <x v="3641"/>
    <s v="Toni"/>
    <s v="Alessandro"/>
    <s v="ITA0858"/>
    <s v="VET"/>
    <x v="25"/>
    <s v="ITA"/>
    <m/>
    <m/>
    <m/>
    <m/>
    <m/>
    <s v="FISCT"/>
    <s v="CESTFA"/>
  </r>
  <r>
    <x v="3642"/>
    <s v="Tonietti"/>
    <s v="Giovanni"/>
    <s v="ITA1156"/>
    <s v="VET"/>
    <x v="84"/>
    <s v="ITA"/>
    <m/>
    <m/>
    <m/>
    <m/>
    <m/>
    <s v="FISCT"/>
    <s v="CESTFA"/>
  </r>
  <r>
    <x v="3643"/>
    <s v="Torano"/>
    <s v="Francesco"/>
    <s v="ITA0860"/>
    <s v="VET"/>
    <x v="225"/>
    <s v="ITA"/>
    <m/>
    <m/>
    <m/>
    <m/>
    <m/>
    <s v="FISCT"/>
    <s v="CESTFA"/>
  </r>
  <r>
    <x v="3644"/>
    <s v="Torano"/>
    <s v="Pasquale"/>
    <s v="ITA0861"/>
    <s v="VET"/>
    <x v="225"/>
    <s v="ITA"/>
    <m/>
    <m/>
    <m/>
    <m/>
    <m/>
    <s v="FISCT"/>
    <s v="CESTFA"/>
  </r>
  <r>
    <x v="3645"/>
    <s v="Torboli"/>
    <s v="Ruggero"/>
    <s v="ITA0862"/>
    <s v="VET"/>
    <x v="76"/>
    <s v="ITA"/>
    <m/>
    <m/>
    <m/>
    <m/>
    <m/>
    <s v="FISCT"/>
    <s v="CESTFA"/>
  </r>
  <r>
    <x v="3646"/>
    <s v="Torini"/>
    <s v="Roberto"/>
    <s v="ITA2590"/>
    <s v="VET"/>
    <x v="32"/>
    <s v="ITA"/>
    <m/>
    <m/>
    <m/>
    <m/>
    <m/>
    <s v="FISCT"/>
    <s v="CESTFA"/>
  </r>
  <r>
    <x v="3647"/>
    <s v="Torre"/>
    <s v="Giuseppe"/>
    <s v="ITA0932"/>
    <s v="OPEN"/>
    <x v="195"/>
    <s v="ITA"/>
    <m/>
    <m/>
    <m/>
    <m/>
    <m/>
    <s v="FISCT"/>
    <s v="CESTFA"/>
  </r>
  <r>
    <x v="3648"/>
    <s v="Torres"/>
    <s v="Santiago"/>
    <s v="ARG0090"/>
    <s v="U20"/>
    <x v="145"/>
    <s v="ARG"/>
    <m/>
    <m/>
    <m/>
    <m/>
    <m/>
    <s v="LAFM (Suspended)"/>
    <s v="CSAFM"/>
  </r>
  <r>
    <x v="3649"/>
    <s v="Torri"/>
    <s v="Michele"/>
    <s v="ITA3213"/>
    <s v="OPEN"/>
    <x v="56"/>
    <s v="ITA"/>
    <m/>
    <m/>
    <m/>
    <m/>
    <m/>
    <s v="FISCT"/>
    <s v="CESTFA"/>
  </r>
  <r>
    <x v="3650"/>
    <s v="Torri"/>
    <s v="Pietro"/>
    <s v="ITA3177"/>
    <s v="VET"/>
    <x v="118"/>
    <s v="ITA"/>
    <m/>
    <m/>
    <m/>
    <m/>
    <m/>
    <s v="FISCT"/>
    <s v="CESTFA"/>
  </r>
  <r>
    <x v="3651"/>
    <s v="Tortelli"/>
    <s v="Fernando"/>
    <s v="ARG0035"/>
    <s v="OPEN"/>
    <x v="157"/>
    <s v="ARG"/>
    <m/>
    <m/>
    <m/>
    <m/>
    <m/>
    <s v="LAFM (Suspended)"/>
    <s v="CSAFM"/>
  </r>
  <r>
    <x v="3652"/>
    <s v="Tortello"/>
    <s v="Massimo"/>
    <s v="ITA2741"/>
    <s v="VET"/>
    <x v="44"/>
    <s v="ITA"/>
    <m/>
    <m/>
    <m/>
    <m/>
    <m/>
    <s v="FISCT"/>
    <s v="CESTFA"/>
  </r>
  <r>
    <x v="3653"/>
    <s v="Tory"/>
    <s v="Reed"/>
    <s v="USA0411"/>
    <s v="VET"/>
    <x v="299"/>
    <s v="USA"/>
    <m/>
    <m/>
    <m/>
    <m/>
    <m/>
    <s v="ASA"/>
    <s v="CONASTF"/>
  </r>
  <r>
    <x v="3654"/>
    <s v="Toschi"/>
    <s v="Stefano"/>
    <s v="ITA3399"/>
    <s v="VET"/>
    <x v="246"/>
    <s v="ITA"/>
    <m/>
    <m/>
    <m/>
    <m/>
    <m/>
    <s v="FISCT"/>
    <s v="CESTFA"/>
  </r>
  <r>
    <x v="3655"/>
    <s v="Tosi"/>
    <s v="Enrico"/>
    <s v="ITA1583"/>
    <s v="VET"/>
    <x v="76"/>
    <s v="ITA"/>
    <m/>
    <m/>
    <m/>
    <m/>
    <m/>
    <s v="FISCT"/>
    <s v="CESTFA"/>
  </r>
  <r>
    <x v="3656"/>
    <s v="Tosioudis"/>
    <s v="Efthimios"/>
    <s v="GRE0198"/>
    <s v="OPEN"/>
    <x v="14"/>
    <s v="GRE"/>
    <m/>
    <m/>
    <m/>
    <m/>
    <m/>
    <s v="UHTF"/>
    <s v="CESTFA"/>
  </r>
  <r>
    <x v="3657"/>
    <s v="Tosioudis"/>
    <s v="Nikolaos"/>
    <s v="GRE0201"/>
    <s v="OPEN"/>
    <x v="17"/>
    <s v="GRE"/>
    <m/>
    <m/>
    <m/>
    <m/>
    <m/>
    <s v="UHTF"/>
    <s v="CESTFA"/>
  </r>
  <r>
    <x v="3658"/>
    <s v="Tountas"/>
    <s v="Ioannis"/>
    <s v="GRE0500"/>
    <s v="VET"/>
    <x v="14"/>
    <s v="GRE"/>
    <m/>
    <m/>
    <m/>
    <m/>
    <m/>
    <s v="UHTF"/>
    <s v="CESTFA"/>
  </r>
  <r>
    <x v="3659"/>
    <s v="Tountas"/>
    <s v="Leonidas"/>
    <s v="GRE0286"/>
    <s v="OPEN"/>
    <x v="14"/>
    <s v="GRE"/>
    <m/>
    <m/>
    <m/>
    <m/>
    <m/>
    <s v="UHTF"/>
    <s v="CESTFA"/>
  </r>
  <r>
    <x v="3660"/>
    <s v="Tozzi"/>
    <s v="Francesco"/>
    <s v="ITA1651"/>
    <s v="U20"/>
    <x v="71"/>
    <s v="ITA"/>
    <m/>
    <m/>
    <m/>
    <m/>
    <m/>
    <s v="FISCT"/>
    <s v="CESTFA"/>
  </r>
  <r>
    <x v="3661"/>
    <s v="Trainer"/>
    <s v="Nick"/>
    <s v="USA0280"/>
    <s v="OPEN"/>
    <x v="247"/>
    <s v="USA"/>
    <m/>
    <m/>
    <m/>
    <m/>
    <m/>
    <s v="ASA"/>
    <s v="CONASTF"/>
  </r>
  <r>
    <x v="3662"/>
    <s v="Trapezountios"/>
    <s v="Pantelis"/>
    <s v="GRE0648"/>
    <s v="OPEN"/>
    <x v="217"/>
    <s v="GRE"/>
    <m/>
    <m/>
    <m/>
    <m/>
    <m/>
    <s v="UHTF"/>
    <s v="CESTFA"/>
  </r>
  <r>
    <x v="3663"/>
    <s v="Travassos Correia"/>
    <s v="Sergio"/>
    <s v="BRA0152"/>
    <s v="OPEN"/>
    <x v="14"/>
    <s v="BRA"/>
    <m/>
    <m/>
    <m/>
    <m/>
    <m/>
    <s v="CBFM (Suspended)"/>
    <m/>
  </r>
  <r>
    <x v="3664"/>
    <s v="Travieso"/>
    <s v="Junior"/>
    <s v="BEL0431"/>
    <s v="OPEN"/>
    <x v="172"/>
    <s v="BEL"/>
    <m/>
    <m/>
    <m/>
    <m/>
    <m/>
    <m/>
    <m/>
  </r>
  <r>
    <x v="3665"/>
    <s v="Trenta"/>
    <s v="Corrado"/>
    <s v="ITA0868"/>
    <s v="VET"/>
    <x v="155"/>
    <s v="ITA"/>
    <m/>
    <m/>
    <m/>
    <m/>
    <m/>
    <s v="FISCT"/>
    <s v="CESTFA"/>
  </r>
  <r>
    <x v="3666"/>
    <s v="Trevisan"/>
    <s v="Marco"/>
    <s v="ITA1589"/>
    <s v="VET"/>
    <x v="33"/>
    <s v="ITA"/>
    <m/>
    <m/>
    <m/>
    <m/>
    <m/>
    <s v="FISCT"/>
    <s v="CESTFA"/>
  </r>
  <r>
    <x v="3667"/>
    <s v="Trevisani"/>
    <s v="Mattia"/>
    <s v="ITA2622"/>
    <s v="U16"/>
    <x v="98"/>
    <s v="ITA"/>
    <m/>
    <m/>
    <m/>
    <m/>
    <m/>
    <s v="FISCT"/>
    <s v="CESTFA"/>
  </r>
  <r>
    <x v="3668"/>
    <s v="Triantafillou"/>
    <s v="Apostolis"/>
    <s v="GRE0357"/>
    <s v="OPEN"/>
    <x v="14"/>
    <s v="GRE"/>
    <m/>
    <m/>
    <m/>
    <m/>
    <m/>
    <s v="UHTF"/>
    <s v="CESTFA"/>
  </r>
  <r>
    <x v="3669"/>
    <s v="Triantafillou"/>
    <s v="Konstantinos"/>
    <s v="GRE0008"/>
    <s v="VET"/>
    <x v="218"/>
    <s v="GRE"/>
    <m/>
    <m/>
    <m/>
    <m/>
    <m/>
    <s v="UHTF"/>
    <s v="CESTFA"/>
  </r>
  <r>
    <x v="3670"/>
    <s v="Triantafyllou"/>
    <s v="Vasilis"/>
    <s v="GRE0741"/>
    <s v="OPEN"/>
    <x v="66"/>
    <s v="GRE"/>
    <m/>
    <m/>
    <m/>
    <m/>
    <m/>
    <s v="UHTF"/>
    <s v="CESTFA"/>
  </r>
  <r>
    <x v="3671"/>
    <s v="Trichot"/>
    <s v="Jean-Jacques"/>
    <s v="FRA0229"/>
    <s v="VET"/>
    <x v="152"/>
    <s v="FRA"/>
    <m/>
    <m/>
    <m/>
    <m/>
    <m/>
    <s v="3FTS"/>
    <s v="CESTFA"/>
  </r>
  <r>
    <x v="3672"/>
    <s v="Tricoli"/>
    <s v="Tommaso"/>
    <s v="ITA0869"/>
    <s v="VET"/>
    <x v="0"/>
    <s v="ITA"/>
    <m/>
    <m/>
    <m/>
    <m/>
    <m/>
    <s v="FISCT"/>
    <s v="CESTFA"/>
  </r>
  <r>
    <x v="3673"/>
    <s v="Triggiani"/>
    <s v="Giuseppe"/>
    <s v="ITA1723"/>
    <s v="OPEN"/>
    <x v="155"/>
    <s v="ITA"/>
    <m/>
    <m/>
    <m/>
    <m/>
    <m/>
    <s v="FISCT"/>
    <s v="CESTFA"/>
  </r>
  <r>
    <x v="3674"/>
    <s v="Trinchese"/>
    <s v="Geremia"/>
    <s v="ITA1054"/>
    <s v="OPEN"/>
    <x v="46"/>
    <s v="ITA"/>
    <m/>
    <m/>
    <m/>
    <m/>
    <m/>
    <s v="FISCT"/>
    <s v="CESTFA"/>
  </r>
  <r>
    <x v="3675"/>
    <s v="Trindade"/>
    <s v="José"/>
    <s v="POR0173"/>
    <s v="OPEN"/>
    <x v="8"/>
    <s v="POR"/>
    <m/>
    <m/>
    <m/>
    <m/>
    <m/>
    <s v="APS"/>
    <s v="CESTFA"/>
  </r>
  <r>
    <x v="3676"/>
    <s v="Trindade"/>
    <s v="Pedro"/>
    <s v="POR0196"/>
    <s v="OPEN"/>
    <x v="8"/>
    <s v="POR"/>
    <m/>
    <m/>
    <m/>
    <m/>
    <m/>
    <s v="APS"/>
    <s v="CESTFA"/>
  </r>
  <r>
    <x v="3677"/>
    <s v="Trindade"/>
    <s v="Tomàs"/>
    <s v="POR0197"/>
    <s v="U20"/>
    <x v="8"/>
    <s v="POR"/>
    <m/>
    <m/>
    <m/>
    <m/>
    <m/>
    <s v="APS"/>
    <s v="CESTFA"/>
  </r>
  <r>
    <x v="3678"/>
    <s v="Trivelli"/>
    <s v="Simone"/>
    <s v="ITA1921"/>
    <s v="VET"/>
    <x v="174"/>
    <s v="ITA"/>
    <m/>
    <m/>
    <m/>
    <m/>
    <m/>
    <s v="FISCT"/>
    <s v="CESTFA"/>
  </r>
  <r>
    <x v="3679"/>
    <s v="Troestler"/>
    <s v="Charlotte"/>
    <s v="FRA0273"/>
    <s v="U12"/>
    <x v="194"/>
    <s v="FRA"/>
    <m/>
    <m/>
    <m/>
    <m/>
    <m/>
    <s v="3FTS"/>
    <s v="CESTFA"/>
  </r>
  <r>
    <x v="3680"/>
    <s v="Troestler"/>
    <s v="Pierre"/>
    <s v="FRA0241"/>
    <s v="VET"/>
    <x v="194"/>
    <s v="FRA"/>
    <m/>
    <m/>
    <m/>
    <m/>
    <m/>
    <s v="3FTS"/>
    <s v="CESTFA"/>
  </r>
  <r>
    <x v="3681"/>
    <s v="Troiani"/>
    <s v="Pietro"/>
    <s v="ITA1183"/>
    <s v="OPEN"/>
    <x v="55"/>
    <s v="ITA"/>
    <m/>
    <m/>
    <m/>
    <m/>
    <m/>
    <s v="FISCT"/>
    <s v="CESTFA"/>
  </r>
  <r>
    <x v="3682"/>
    <s v="Trouillard"/>
    <s v="Roger"/>
    <s v="FRA0011"/>
    <s v="VET"/>
    <x v="97"/>
    <s v="FRA"/>
    <m/>
    <m/>
    <m/>
    <m/>
    <m/>
    <s v="3FTS"/>
    <s v="CESTFA"/>
  </r>
  <r>
    <x v="3683"/>
    <s v="Tsaggaris"/>
    <s v="Nikolaos"/>
    <s v="GRE0439"/>
    <s v="OPEN"/>
    <x v="14"/>
    <s v="GRE"/>
    <m/>
    <m/>
    <m/>
    <m/>
    <m/>
    <s v="UHTF"/>
    <s v="CESTFA"/>
  </r>
  <r>
    <x v="3684"/>
    <s v="Tsagiannis"/>
    <s v="Giorgos"/>
    <s v="GRE0234"/>
    <s v="U20"/>
    <x v="14"/>
    <s v="GRE"/>
    <m/>
    <m/>
    <m/>
    <m/>
    <m/>
    <s v="UHTF"/>
    <s v="CESTFA"/>
  </r>
  <r>
    <x v="3685"/>
    <s v="Tsagiannis"/>
    <s v="Theodoros"/>
    <s v="GRE0130"/>
    <s v="VET"/>
    <x v="14"/>
    <s v="GRE"/>
    <m/>
    <m/>
    <m/>
    <m/>
    <m/>
    <s v="UHTF"/>
    <s v="CESTFA"/>
  </r>
  <r>
    <x v="3686"/>
    <s v="Tsagkaridis"/>
    <s v="Panagiotis"/>
    <s v="GRE0665"/>
    <s v="VET"/>
    <x v="66"/>
    <s v="GRE"/>
    <m/>
    <m/>
    <m/>
    <m/>
    <m/>
    <s v="UHTF"/>
    <s v="CESTFA"/>
  </r>
  <r>
    <x v="3687"/>
    <s v="Tsakalakis"/>
    <s v="Christian"/>
    <s v="GRE0612"/>
    <s v="U20"/>
    <x v="14"/>
    <s v="GRE"/>
    <m/>
    <m/>
    <m/>
    <m/>
    <m/>
    <s v="UHTF"/>
    <s v="CESTFA"/>
  </r>
  <r>
    <x v="3688"/>
    <s v="Tsakalakis"/>
    <s v="Vasilios"/>
    <s v="GRE0611"/>
    <s v="VET"/>
    <x v="14"/>
    <s v="GRE"/>
    <m/>
    <m/>
    <m/>
    <m/>
    <m/>
    <s v="UHTF"/>
    <s v="CESTFA"/>
  </r>
  <r>
    <x v="3689"/>
    <s v="Tsakiris"/>
    <s v="Aggelos"/>
    <s v="GRE0125"/>
    <s v="VET"/>
    <x v="14"/>
    <s v="GRE"/>
    <m/>
    <m/>
    <m/>
    <m/>
    <m/>
    <s v="UHTF"/>
    <s v="CESTFA"/>
  </r>
  <r>
    <x v="3690"/>
    <s v="Tsakoniatis"/>
    <s v="Dimitrios"/>
    <s v="GRE0674"/>
    <s v="VET"/>
    <x v="14"/>
    <s v="GRE"/>
    <m/>
    <m/>
    <m/>
    <m/>
    <m/>
    <s v="UHTF"/>
    <s v="CESTFA"/>
  </r>
  <r>
    <x v="3691"/>
    <s v="Tsakopoulos"/>
    <s v="Evangelos"/>
    <s v="GRE0258"/>
    <s v="OPEN"/>
    <x v="14"/>
    <s v="GRE"/>
    <m/>
    <m/>
    <m/>
    <m/>
    <m/>
    <s v="UHTF"/>
    <s v="CESTFA"/>
  </r>
  <r>
    <x v="3692"/>
    <s v="Tsangouris"/>
    <s v="Elea"/>
    <s v="BEL0479"/>
    <s v="U12"/>
    <x v="178"/>
    <s v="BEL"/>
    <m/>
    <m/>
    <m/>
    <m/>
    <m/>
    <m/>
    <m/>
  </r>
  <r>
    <x v="3693"/>
    <s v="Tsangouris"/>
    <s v="Kostandinos"/>
    <s v="BEL0454"/>
    <s v="U16"/>
    <x v="178"/>
    <s v="BEL"/>
    <m/>
    <m/>
    <m/>
    <m/>
    <m/>
    <m/>
    <m/>
  </r>
  <r>
    <x v="3694"/>
    <s v="Tsangouris"/>
    <s v="Stylianos"/>
    <s v="GRE0820"/>
    <s v="OPEN"/>
    <x v="220"/>
    <s v="GRE"/>
    <m/>
    <m/>
    <m/>
    <m/>
    <m/>
    <s v="UHTF"/>
    <s v="CESTFA"/>
  </r>
  <r>
    <x v="3695"/>
    <s v="Tsaras"/>
    <s v="Vaggelis"/>
    <s v="GRE0414"/>
    <s v="OPEN"/>
    <x v="14"/>
    <s v="GRE"/>
    <m/>
    <m/>
    <m/>
    <m/>
    <m/>
    <s v="UHTF"/>
    <s v="CESTFA"/>
  </r>
  <r>
    <x v="3696"/>
    <s v="Tsekouras"/>
    <s v="Harris"/>
    <s v="GRE0323"/>
    <s v="OPEN"/>
    <x v="14"/>
    <s v="GRE"/>
    <m/>
    <m/>
    <m/>
    <m/>
    <m/>
    <s v="UHTF"/>
    <s v="CESTFA"/>
  </r>
  <r>
    <x v="3697"/>
    <s v="Tselepidis"/>
    <s v="Ioannis"/>
    <s v="GRE0796"/>
    <s v="OPEN"/>
    <x v="14"/>
    <s v="GRE"/>
    <m/>
    <m/>
    <m/>
    <m/>
    <m/>
    <s v="UHTF"/>
    <s v="CESTFA"/>
  </r>
  <r>
    <x v="3698"/>
    <s v="Tselepidis"/>
    <s v="Nikolaos"/>
    <s v="GRE0218"/>
    <s v="VET"/>
    <x v="179"/>
    <s v="GRE"/>
    <m/>
    <m/>
    <m/>
    <m/>
    <m/>
    <s v="UHTF"/>
    <s v="CESTFA"/>
  </r>
  <r>
    <x v="3699"/>
    <s v="Tsiakalos"/>
    <s v="Michalis"/>
    <s v="GRE0676"/>
    <s v="U16"/>
    <x v="14"/>
    <s v="GRE"/>
    <m/>
    <m/>
    <m/>
    <m/>
    <m/>
    <s v="UHTF"/>
    <s v="CESTFA"/>
  </r>
  <r>
    <x v="3700"/>
    <s v="Tsiakalos"/>
    <s v="Panagiotis"/>
    <s v="GRE0583"/>
    <s v="OPEN"/>
    <x v="18"/>
    <s v="GRE"/>
    <m/>
    <m/>
    <m/>
    <m/>
    <m/>
    <s v="UHTF"/>
    <s v="CESTFA"/>
  </r>
  <r>
    <x v="3701"/>
    <s v="Tsiamalou"/>
    <s v="Marion"/>
    <s v="GRE0361"/>
    <s v="OPEN"/>
    <x v="14"/>
    <s v="GRE"/>
    <m/>
    <m/>
    <m/>
    <m/>
    <m/>
    <s v="UHTF"/>
    <s v="CESTFA"/>
  </r>
  <r>
    <x v="3702"/>
    <s v="Tsiamos"/>
    <s v="Panagiotis"/>
    <s v="GRE0287"/>
    <s v="OPEN"/>
    <x v="14"/>
    <s v="GRE"/>
    <m/>
    <m/>
    <m/>
    <m/>
    <m/>
    <s v="UHTF"/>
    <s v="CESTFA"/>
  </r>
  <r>
    <x v="3703"/>
    <s v="Tsiamos"/>
    <s v="Thanasis"/>
    <s v="GRE0292"/>
    <s v="OPEN"/>
    <x v="14"/>
    <s v="GRE"/>
    <m/>
    <m/>
    <m/>
    <m/>
    <m/>
    <s v="UHTF"/>
    <s v="CESTFA"/>
  </r>
  <r>
    <x v="3704"/>
    <s v="Tsimoudis"/>
    <s v="Asterios"/>
    <s v="GRE0685"/>
    <s v="OPEN"/>
    <x v="14"/>
    <s v="GRE"/>
    <m/>
    <m/>
    <m/>
    <m/>
    <m/>
    <s v="UHTF"/>
    <s v="CESTFA"/>
  </r>
  <r>
    <x v="3705"/>
    <s v="Tsimpoukas"/>
    <s v="Pavlos"/>
    <s v="GRE0053"/>
    <s v="OPEN"/>
    <x v="14"/>
    <s v="GRE"/>
    <m/>
    <m/>
    <m/>
    <m/>
    <m/>
    <s v="UHTF"/>
    <s v="CESTFA"/>
  </r>
  <r>
    <x v="3706"/>
    <s v="Tsioumanis"/>
    <s v="Myrsini"/>
    <s v="GRE0502"/>
    <s v="U20"/>
    <x v="14"/>
    <s v="GRE"/>
    <m/>
    <m/>
    <m/>
    <m/>
    <m/>
    <s v="UHTF"/>
    <s v="CESTFA"/>
  </r>
  <r>
    <x v="3707"/>
    <s v="Tsioumanis"/>
    <s v="Vassiliki"/>
    <s v="GRE0501"/>
    <s v="U20"/>
    <x v="14"/>
    <s v="GRE"/>
    <m/>
    <m/>
    <m/>
    <m/>
    <m/>
    <s v="UHTF"/>
    <s v="CESTFA"/>
  </r>
  <r>
    <x v="3708"/>
    <s v="Tsitouras"/>
    <s v="Anargyros"/>
    <s v="GRE0308"/>
    <s v="VET"/>
    <x v="14"/>
    <s v="GRE"/>
    <m/>
    <m/>
    <m/>
    <m/>
    <m/>
    <s v="UHTF"/>
    <s v="CESTFA"/>
  </r>
  <r>
    <x v="3709"/>
    <s v="Tsitouras"/>
    <s v="Makis"/>
    <s v="GRE0225"/>
    <s v="OPEN"/>
    <x v="14"/>
    <s v="GRE"/>
    <m/>
    <m/>
    <m/>
    <m/>
    <m/>
    <s v="UHTF"/>
    <s v="CESTFA"/>
  </r>
  <r>
    <x v="3710"/>
    <s v="Tsitsarolis"/>
    <s v="Vasilis"/>
    <s v="GRE0597"/>
    <s v="U20"/>
    <x v="14"/>
    <s v="GRE"/>
    <m/>
    <m/>
    <m/>
    <m/>
    <m/>
    <s v="UHTF"/>
    <s v="CESTFA"/>
  </r>
  <r>
    <x v="3711"/>
    <s v="Tsokatksides"/>
    <s v="Alkiviades"/>
    <s v="CYP0044"/>
    <s v="OPEN"/>
    <x v="59"/>
    <s v="CYP"/>
    <m/>
    <m/>
    <m/>
    <m/>
    <m/>
    <s v="CYSTFA (Provisional)"/>
    <m/>
  </r>
  <r>
    <x v="3712"/>
    <s v="Tsompanidis"/>
    <s v="Dimos"/>
    <s v="GRE0081"/>
    <s v="OPEN"/>
    <x v="14"/>
    <s v="GRE"/>
    <m/>
    <m/>
    <m/>
    <m/>
    <m/>
    <s v="UHTF"/>
    <s v="CESTFA"/>
  </r>
  <r>
    <x v="3713"/>
    <s v="Tsompanidis"/>
    <s v="Georgios"/>
    <s v="GRE0080"/>
    <s v="OPEN"/>
    <x v="14"/>
    <s v="GRE"/>
    <m/>
    <m/>
    <m/>
    <m/>
    <m/>
    <s v="UHTF"/>
    <s v="CESTFA"/>
  </r>
  <r>
    <x v="3714"/>
    <s v="Tsoukanaras"/>
    <s v="Nikolaos"/>
    <s v="GRE0041"/>
    <s v="OPEN"/>
    <x v="14"/>
    <s v="GRE"/>
    <m/>
    <m/>
    <m/>
    <m/>
    <m/>
    <s v="UHTF"/>
    <s v="CESTFA"/>
  </r>
  <r>
    <x v="3715"/>
    <s v="Tsoutsas"/>
    <s v="Theodoros"/>
    <s v="GRE0154"/>
    <s v="OPEN"/>
    <x v="78"/>
    <s v="GRE"/>
    <m/>
    <m/>
    <m/>
    <m/>
    <m/>
    <s v="UHTF"/>
    <s v="CESTFA"/>
  </r>
  <r>
    <x v="3716"/>
    <s v="TSYBENKO"/>
    <s v="Miroslava"/>
    <s v="UKR0004"/>
    <s v="U20"/>
    <x v="159"/>
    <s v="UKR"/>
    <m/>
    <m/>
    <m/>
    <m/>
    <m/>
    <s v="UKT (Provisional)"/>
    <m/>
  </r>
  <r>
    <x v="3717"/>
    <s v="Tucker"/>
    <s v="Cameron"/>
    <s v="USA0104"/>
    <s v="OPEN"/>
    <x v="219"/>
    <s v="USA"/>
    <m/>
    <m/>
    <m/>
    <m/>
    <m/>
    <s v="ASA"/>
    <s v="CONASTF"/>
  </r>
  <r>
    <x v="3718"/>
    <s v="Tucker"/>
    <s v="Rob"/>
    <s v="USA0298"/>
    <s v="VET"/>
    <x v="208"/>
    <s v="USA"/>
    <m/>
    <m/>
    <m/>
    <m/>
    <m/>
    <s v="ASA"/>
    <s v="CONASTF"/>
  </r>
  <r>
    <x v="3719"/>
    <s v="Tudini"/>
    <s v="Flavio"/>
    <s v="ITA2979"/>
    <s v="VET"/>
    <x v="77"/>
    <s v="ITA"/>
    <m/>
    <m/>
    <m/>
    <m/>
    <m/>
    <s v="FISCT"/>
    <s v="CESTFA"/>
  </r>
  <r>
    <x v="3720"/>
    <s v="Tumminaro"/>
    <s v="Tim"/>
    <s v="USA0359"/>
    <s v="VET"/>
    <x v="294"/>
    <s v="USA"/>
    <m/>
    <m/>
    <m/>
    <m/>
    <m/>
    <s v="ASA"/>
    <s v="CONASTF"/>
  </r>
  <r>
    <x v="3721"/>
    <s v="Tünger"/>
    <s v="Murat"/>
    <s v="AUT0040"/>
    <s v="OPEN"/>
    <x v="107"/>
    <s v="AUT"/>
    <m/>
    <m/>
    <m/>
    <m/>
    <m/>
    <s v="EÖTV"/>
    <s v="CESTFA"/>
  </r>
  <r>
    <x v="3722"/>
    <s v="Turpin"/>
    <s v="John"/>
    <s v="ENG0114"/>
    <s v="VET"/>
    <x v="19"/>
    <s v="ENG"/>
    <m/>
    <m/>
    <m/>
    <m/>
    <m/>
    <s v="ESA"/>
    <s v="CESTFA"/>
  </r>
  <r>
    <x v="3723"/>
    <s v="ty"/>
    <s v="Giorgos"/>
    <s v="CYP0035"/>
    <s v="OPEN"/>
    <x v="59"/>
    <s v="CYP"/>
    <m/>
    <m/>
    <m/>
    <m/>
    <m/>
    <s v="CYSTFA (Provisional)"/>
    <m/>
  </r>
  <r>
    <x v="3724"/>
    <s v="Tzanakis"/>
    <s v="Dimitrios"/>
    <s v="GRE0574"/>
    <s v="U16"/>
    <x v="14"/>
    <s v="GRE"/>
    <m/>
    <m/>
    <m/>
    <m/>
    <m/>
    <s v="UHTF"/>
    <s v="CESTFA"/>
  </r>
  <r>
    <x v="3725"/>
    <s v="Tzelatis"/>
    <s v="Alexandros"/>
    <s v="GRE0087"/>
    <s v="OPEN"/>
    <x v="14"/>
    <s v="GRE"/>
    <m/>
    <m/>
    <m/>
    <m/>
    <m/>
    <s v="UHTF"/>
    <s v="CESTFA"/>
  </r>
  <r>
    <x v="3726"/>
    <s v="Tzimas"/>
    <s v="Georgios"/>
    <s v="GRE0167"/>
    <s v="OPEN"/>
    <x v="14"/>
    <s v="GRE"/>
    <m/>
    <m/>
    <m/>
    <m/>
    <m/>
    <s v="UHTF"/>
    <s v="CESTFA"/>
  </r>
  <r>
    <x v="3727"/>
    <s v="Tziortziotis"/>
    <s v="Dimitrios"/>
    <s v="GRE0127"/>
    <s v="OPEN"/>
    <x v="14"/>
    <s v="GRE"/>
    <m/>
    <m/>
    <m/>
    <m/>
    <m/>
    <s v="UHTF"/>
    <s v="CESTFA"/>
  </r>
  <r>
    <x v="3728"/>
    <s v="Tzitziris"/>
    <s v="Kyriakos"/>
    <s v="GRE0138"/>
    <s v="OPEN"/>
    <x v="14"/>
    <s v="GRE"/>
    <m/>
    <m/>
    <m/>
    <m/>
    <m/>
    <s v="UHTF"/>
    <s v="CESTFA"/>
  </r>
  <r>
    <x v="3729"/>
    <s v="Ubbiali"/>
    <s v="Massimo"/>
    <s v="ITA2248"/>
    <s v="OPEN"/>
    <x v="177"/>
    <s v="ITA"/>
    <m/>
    <m/>
    <m/>
    <m/>
    <m/>
    <s v="FISCT"/>
    <s v="CESTFA"/>
  </r>
  <r>
    <x v="3730"/>
    <s v="Ucha"/>
    <s v="Francisco"/>
    <s v="ESP0548"/>
    <s v="OPEN"/>
    <x v="64"/>
    <s v="ESP"/>
    <m/>
    <m/>
    <m/>
    <m/>
    <m/>
    <s v="AEFM"/>
    <s v="CESTFA"/>
  </r>
  <r>
    <x v="3731"/>
    <s v="Uchytil"/>
    <s v="Jiri"/>
    <s v="CZE0009"/>
    <s v="OPEN"/>
    <x v="125"/>
    <s v="CZE"/>
    <m/>
    <m/>
    <m/>
    <m/>
    <m/>
    <s v="CTSU (Suspended)"/>
    <m/>
  </r>
  <r>
    <x v="3732"/>
    <s v="Ugolini"/>
    <s v="Pietro"/>
    <s v="ITA2266"/>
    <s v="VET"/>
    <x v="38"/>
    <s v="ITA"/>
    <m/>
    <m/>
    <m/>
    <m/>
    <m/>
    <s v="FISCT"/>
    <s v="CESTFA"/>
  </r>
  <r>
    <x v="3733"/>
    <s v="Ura"/>
    <s v="Tomoki"/>
    <s v="JPN155"/>
    <s v="OPEN"/>
    <x v="26"/>
    <s v="JPN"/>
    <m/>
    <m/>
    <m/>
    <m/>
    <m/>
    <s v="JTFA"/>
    <s v="CASTFA"/>
  </r>
  <r>
    <x v="3734"/>
    <s v="Urbaniak"/>
    <s v="Nathan"/>
    <s v="AUS0170"/>
    <s v="OPEN"/>
    <x v="133"/>
    <s v="AUS"/>
    <m/>
    <m/>
    <m/>
    <m/>
    <m/>
    <s v="ATFA"/>
    <s v="CASTFA"/>
  </r>
  <r>
    <x v="3735"/>
    <s v="Utzeri"/>
    <s v="Roberto"/>
    <s v="ITA0875"/>
    <s v="VET"/>
    <x v="27"/>
    <s v="ITA"/>
    <m/>
    <m/>
    <m/>
    <m/>
    <m/>
    <s v="FISCT"/>
    <s v="CESTFA"/>
  </r>
  <r>
    <x v="3736"/>
    <s v="Uva"/>
    <s v="Davide"/>
    <s v="ITA3418"/>
    <s v="U12"/>
    <x v="29"/>
    <s v="ITA"/>
    <m/>
    <m/>
    <m/>
    <m/>
    <m/>
    <s v="FISCT"/>
    <s v="CESTFA"/>
  </r>
  <r>
    <x v="3737"/>
    <s v="Vacke"/>
    <s v="David"/>
    <s v="CZE0003"/>
    <s v="OPEN"/>
    <x v="251"/>
    <s v="CZE"/>
    <m/>
    <m/>
    <m/>
    <m/>
    <m/>
    <s v="CTSU (Suspended)"/>
    <m/>
  </r>
  <r>
    <x v="3738"/>
    <s v="Vacke"/>
    <s v="Ondrej"/>
    <s v="CZE0008"/>
    <s v="OPEN"/>
    <x v="251"/>
    <s v="CZE"/>
    <m/>
    <m/>
    <m/>
    <m/>
    <m/>
    <s v="CTSU (Suspended)"/>
    <m/>
  </r>
  <r>
    <x v="3739"/>
    <s v="Vaggelatos"/>
    <s v="Timotheos"/>
    <s v="GRE0398"/>
    <s v="U20"/>
    <x v="14"/>
    <s v="GRE"/>
    <m/>
    <m/>
    <m/>
    <m/>
    <m/>
    <s v="UHTF"/>
    <s v="CESTFA"/>
  </r>
  <r>
    <x v="3740"/>
    <s v="Vagios"/>
    <s v="Stavros"/>
    <s v="GRE0629"/>
    <s v="VET"/>
    <x v="14"/>
    <s v="GRE"/>
    <m/>
    <m/>
    <m/>
    <m/>
    <m/>
    <s v="UHTF"/>
    <s v="CESTFA"/>
  </r>
  <r>
    <x v="3741"/>
    <s v="Vagnoni"/>
    <s v="Augusto"/>
    <s v="ITA0876"/>
    <s v="OPEN"/>
    <x v="55"/>
    <s v="ITA"/>
    <m/>
    <m/>
    <m/>
    <m/>
    <m/>
    <s v="FISCT"/>
    <s v="CESTFA"/>
  </r>
  <r>
    <x v="3742"/>
    <s v="Vahle"/>
    <s v="Peter"/>
    <s v="USA0352"/>
    <s v="VET"/>
    <x v="364"/>
    <s v="USA"/>
    <m/>
    <m/>
    <m/>
    <m/>
    <m/>
    <s v="ASA"/>
    <s v="CONASTF"/>
  </r>
  <r>
    <x v="3743"/>
    <s v="Valantasis"/>
    <s v="Konstantinos"/>
    <s v="GRE0235"/>
    <s v="OPEN"/>
    <x v="14"/>
    <s v="GRE"/>
    <m/>
    <m/>
    <m/>
    <m/>
    <m/>
    <s v="UHTF"/>
    <s v="CESTFA"/>
  </r>
  <r>
    <x v="3744"/>
    <s v="Valantasis"/>
    <s v="Nikolaos"/>
    <s v="GRE0236"/>
    <s v="OPEN"/>
    <x v="14"/>
    <s v="GRE"/>
    <m/>
    <m/>
    <m/>
    <m/>
    <m/>
    <s v="UHTF"/>
    <s v="CESTFA"/>
  </r>
  <r>
    <x v="3745"/>
    <s v="Valantasis"/>
    <s v="Panagiotis"/>
    <s v="GRE0028"/>
    <s v="VET"/>
    <x v="14"/>
    <s v="GRE"/>
    <m/>
    <m/>
    <m/>
    <m/>
    <m/>
    <s v="UHTF"/>
    <s v="CESTFA"/>
  </r>
  <r>
    <x v="3746"/>
    <s v="Valente"/>
    <s v="Bruno"/>
    <s v="POR0033"/>
    <s v="OPEN"/>
    <x v="14"/>
    <s v="POR"/>
    <m/>
    <m/>
    <m/>
    <m/>
    <m/>
    <s v="APS"/>
    <s v="CESTFA"/>
  </r>
  <r>
    <x v="3747"/>
    <s v="Valentin"/>
    <s v="Mihai"/>
    <s v="DEN0108"/>
    <s v="U20"/>
    <x v="10"/>
    <s v="DEN"/>
    <m/>
    <m/>
    <m/>
    <m/>
    <m/>
    <s v="DSBU (Provisional)"/>
    <m/>
  </r>
  <r>
    <x v="3748"/>
    <s v="Valentini"/>
    <s v="Nicolò"/>
    <s v="ITA3397"/>
    <s v="U12"/>
    <x v="92"/>
    <s v="ITA"/>
    <m/>
    <m/>
    <m/>
    <m/>
    <m/>
    <s v="FISCT"/>
    <s v="CESTFA"/>
  </r>
  <r>
    <x v="3749"/>
    <s v="Valério"/>
    <s v="Duarte"/>
    <s v="POR0190"/>
    <s v="U20"/>
    <x v="11"/>
    <s v="POR"/>
    <m/>
    <m/>
    <m/>
    <m/>
    <m/>
    <s v="APS"/>
    <s v="CESTFA"/>
  </r>
  <r>
    <x v="3750"/>
    <s v="Valisnieri"/>
    <s v="Claudio"/>
    <s v="ITA2984"/>
    <s v="OPEN"/>
    <x v="44"/>
    <s v="ITA"/>
    <m/>
    <m/>
    <m/>
    <m/>
    <m/>
    <s v="FISCT"/>
    <s v="CESTFA"/>
  </r>
  <r>
    <x v="3751"/>
    <s v="Vallebona"/>
    <s v="Tobia"/>
    <s v="ITA3166"/>
    <s v="U16"/>
    <x v="29"/>
    <s v="ITA"/>
    <m/>
    <m/>
    <m/>
    <m/>
    <m/>
    <s v="FISCT"/>
    <s v="CESTFA"/>
  </r>
  <r>
    <x v="3752"/>
    <s v="Valluzzi"/>
    <s v="Alessandro"/>
    <s v="ITA3310"/>
    <s v="OPEN"/>
    <x v="161"/>
    <s v="ITA"/>
    <m/>
    <m/>
    <m/>
    <m/>
    <m/>
    <s v="FISCT"/>
    <s v="CESTFA"/>
  </r>
  <r>
    <x v="3753"/>
    <s v="Valsamakis"/>
    <s v="Aristogiton"/>
    <s v="GRE0692"/>
    <s v="U16"/>
    <x v="14"/>
    <s v="GRE"/>
    <m/>
    <m/>
    <m/>
    <m/>
    <m/>
    <s v="UHTF"/>
    <s v="CESTFA"/>
  </r>
  <r>
    <x v="3754"/>
    <s v="Valsamakis"/>
    <s v="Haralambos"/>
    <s v="GRE0693"/>
    <s v="U16"/>
    <x v="14"/>
    <s v="GRE"/>
    <m/>
    <m/>
    <m/>
    <m/>
    <m/>
    <s v="UHTF"/>
    <s v="CESTFA"/>
  </r>
  <r>
    <x v="3755"/>
    <s v="Valverde"/>
    <s v="Ángel"/>
    <s v="ESP0033"/>
    <s v="OPEN"/>
    <x v="96"/>
    <s v="ESP"/>
    <m/>
    <m/>
    <m/>
    <m/>
    <m/>
    <s v="AEFM"/>
    <s v="CESTFA"/>
  </r>
  <r>
    <x v="3756"/>
    <s v="Valverde Peralta"/>
    <s v="David"/>
    <s v="ESP0169"/>
    <s v="OPEN"/>
    <x v="14"/>
    <s v="ESP"/>
    <m/>
    <m/>
    <m/>
    <m/>
    <m/>
    <s v="AEFM"/>
    <s v="CESTFA"/>
  </r>
  <r>
    <x v="3757"/>
    <s v="Van de Vliet"/>
    <s v="Bart"/>
    <s v="BEL0055"/>
    <s v="VET"/>
    <x v="215"/>
    <s v="BEL"/>
    <m/>
    <m/>
    <m/>
    <m/>
    <m/>
    <m/>
    <m/>
  </r>
  <r>
    <x v="3758"/>
    <s v="Van Den Houte"/>
    <s v="David"/>
    <s v="BEL0120"/>
    <s v="VET"/>
    <x v="241"/>
    <s v="BEL"/>
    <m/>
    <m/>
    <m/>
    <m/>
    <m/>
    <m/>
    <m/>
  </r>
  <r>
    <x v="3759"/>
    <s v="Van Den Houte"/>
    <s v="William"/>
    <s v="BEL0122"/>
    <s v="OPEN"/>
    <x v="241"/>
    <s v="BEL"/>
    <m/>
    <m/>
    <m/>
    <m/>
    <m/>
    <m/>
    <m/>
  </r>
  <r>
    <x v="3760"/>
    <s v="Van Den Houten"/>
    <s v="Peter"/>
    <s v="NED0054"/>
    <s v="VET"/>
    <x v="379"/>
    <s v="NED"/>
    <m/>
    <m/>
    <m/>
    <m/>
    <m/>
    <s v="NSVB"/>
    <s v="CESTFA"/>
  </r>
  <r>
    <x v="3761"/>
    <s v="Van Dijk"/>
    <s v="Rinaldo"/>
    <s v="NED0026"/>
    <s v="OPEN"/>
    <x v="380"/>
    <s v="NED"/>
    <m/>
    <m/>
    <m/>
    <m/>
    <m/>
    <s v="NSVB"/>
    <s v="CESTFA"/>
  </r>
  <r>
    <x v="3762"/>
    <s v="Van Glabeke"/>
    <s v="Olivier"/>
    <s v="BEL0194"/>
    <s v="VET"/>
    <x v="178"/>
    <s v="BEL"/>
    <m/>
    <m/>
    <m/>
    <m/>
    <m/>
    <m/>
    <m/>
  </r>
  <r>
    <x v="3763"/>
    <s v="Van Glabeke"/>
    <s v="Quentin"/>
    <s v="BEL0195"/>
    <s v="OPEN"/>
    <x v="178"/>
    <s v="BEL"/>
    <m/>
    <m/>
    <m/>
    <m/>
    <m/>
    <m/>
    <m/>
  </r>
  <r>
    <x v="3764"/>
    <s v="Van Impe"/>
    <s v="Maxime"/>
    <s v="BEL0353"/>
    <s v="VET"/>
    <x v="182"/>
    <s v="BEL"/>
    <m/>
    <m/>
    <m/>
    <m/>
    <m/>
    <m/>
    <m/>
  </r>
  <r>
    <x v="3765"/>
    <s v="Van Keimpema"/>
    <s v="Jerrel"/>
    <s v="NED0014"/>
    <s v="OPEN"/>
    <x v="276"/>
    <s v="NED"/>
    <m/>
    <m/>
    <m/>
    <m/>
    <m/>
    <s v="NSVB"/>
    <s v="CESTFA"/>
  </r>
  <r>
    <x v="3766"/>
    <s v="Van Kooten"/>
    <s v="Peter"/>
    <s v="NED0019"/>
    <s v="VET"/>
    <x v="276"/>
    <s v="NED"/>
    <m/>
    <m/>
    <m/>
    <m/>
    <m/>
    <s v="NSVB"/>
    <s v="CESTFA"/>
  </r>
  <r>
    <x v="3767"/>
    <s v="Van Os"/>
    <s v="Casey"/>
    <s v="NED0015"/>
    <s v="OPEN"/>
    <x v="276"/>
    <s v="NED"/>
    <m/>
    <m/>
    <m/>
    <m/>
    <m/>
    <s v="NSVB"/>
    <s v="CESTFA"/>
  </r>
  <r>
    <x v="3768"/>
    <s v="Vanek"/>
    <s v="Dominik"/>
    <s v="CZE0004"/>
    <s v="OPEN"/>
    <x v="251"/>
    <s v="CZE"/>
    <m/>
    <m/>
    <m/>
    <m/>
    <m/>
    <s v="CTSU (Suspended)"/>
    <m/>
  </r>
  <r>
    <x v="3769"/>
    <s v="Vantassel"/>
    <s v="David"/>
    <s v="BEL0073"/>
    <s v="OPEN"/>
    <x v="51"/>
    <s v="BEL"/>
    <m/>
    <m/>
    <m/>
    <m/>
    <m/>
    <m/>
    <m/>
  </r>
  <r>
    <x v="3770"/>
    <s v="Vanwissen"/>
    <s v="Benoît"/>
    <s v="BEL0178"/>
    <s v="VET"/>
    <x v="241"/>
    <s v="BEL"/>
    <m/>
    <m/>
    <m/>
    <m/>
    <m/>
    <m/>
    <m/>
  </r>
  <r>
    <x v="3771"/>
    <s v="Vardakis"/>
    <s v="Giannis"/>
    <s v="GRE0673"/>
    <s v="VET"/>
    <x v="14"/>
    <s v="GRE"/>
    <m/>
    <m/>
    <m/>
    <m/>
    <m/>
    <s v="UHTF"/>
    <s v="CESTFA"/>
  </r>
  <r>
    <x v="3772"/>
    <s v="Varela"/>
    <s v="Rui"/>
    <s v="POR0178"/>
    <s v="VET"/>
    <x v="15"/>
    <s v="POR"/>
    <m/>
    <m/>
    <m/>
    <m/>
    <m/>
    <s v="APS"/>
    <s v="CESTFA"/>
  </r>
  <r>
    <x v="3773"/>
    <s v="Varney"/>
    <s v="Bob"/>
    <s v="ENG0131"/>
    <s v="VET"/>
    <x v="96"/>
    <s v="ENG"/>
    <m/>
    <m/>
    <m/>
    <m/>
    <m/>
    <s v="ESA"/>
    <s v="CESTFA"/>
  </r>
  <r>
    <x v="3774"/>
    <s v="Varriale"/>
    <s v="Vincenzo"/>
    <s v="ITA0884"/>
    <s v="VET"/>
    <x v="146"/>
    <s v="ITA"/>
    <m/>
    <m/>
    <m/>
    <m/>
    <m/>
    <s v="FISCT"/>
    <s v="CESTFA"/>
  </r>
  <r>
    <x v="3775"/>
    <s v="Varricchio"/>
    <s v="Luca"/>
    <s v="ITA1641"/>
    <s v="VET"/>
    <x v="176"/>
    <s v="ITA"/>
    <m/>
    <m/>
    <m/>
    <m/>
    <m/>
    <s v="FISCT"/>
    <s v="CESTFA"/>
  </r>
  <r>
    <x v="3776"/>
    <s v="Vasapollo"/>
    <s v="Sandro"/>
    <s v="ITA1734"/>
    <s v="VET"/>
    <x v="233"/>
    <s v="ITA"/>
    <m/>
    <m/>
    <m/>
    <m/>
    <m/>
    <s v="FISCT"/>
    <s v="CESTFA"/>
  </r>
  <r>
    <x v="3777"/>
    <s v="Vasiladiotis"/>
    <s v="Nikos"/>
    <s v="GRE0729"/>
    <s v="U16"/>
    <x v="14"/>
    <s v="GRE"/>
    <m/>
    <m/>
    <m/>
    <m/>
    <m/>
    <s v="UHTF"/>
    <s v="CESTFA"/>
  </r>
  <r>
    <x v="3778"/>
    <s v="Vasileiadou"/>
    <s v="Evangelia"/>
    <s v="GRE0719"/>
    <s v="OPEN"/>
    <x v="14"/>
    <s v="GRE"/>
    <m/>
    <m/>
    <m/>
    <m/>
    <m/>
    <s v="UHTF"/>
    <s v="CESTFA"/>
  </r>
  <r>
    <x v="3779"/>
    <s v="Vasiliou"/>
    <s v="Alexis"/>
    <s v="GRE0020"/>
    <s v="OPEN"/>
    <x v="14"/>
    <s v="GRE"/>
    <m/>
    <m/>
    <m/>
    <m/>
    <m/>
    <s v="UHTF"/>
    <s v="CESTFA"/>
  </r>
  <r>
    <x v="3780"/>
    <s v="Vasilopoulos"/>
    <s v="Nikolaos"/>
    <s v="GRE0366"/>
    <s v="OPEN"/>
    <x v="370"/>
    <s v="GRE"/>
    <m/>
    <m/>
    <m/>
    <m/>
    <m/>
    <s v="UHTF"/>
    <s v="CESTFA"/>
  </r>
  <r>
    <x v="3781"/>
    <s v="Vasilopoulos"/>
    <s v="Nikos"/>
    <s v="GRE0748"/>
    <s v="OPEN"/>
    <x v="14"/>
    <s v="GRE"/>
    <m/>
    <m/>
    <m/>
    <m/>
    <m/>
    <s v="UHTF"/>
    <s v="CESTFA"/>
  </r>
  <r>
    <x v="3782"/>
    <s v="Vasilopoulos"/>
    <s v="Panagiotis"/>
    <s v="GRE0141"/>
    <s v="VET"/>
    <x v="30"/>
    <s v="GRE"/>
    <m/>
    <m/>
    <m/>
    <m/>
    <m/>
    <s v="UHTF"/>
    <s v="CESTFA"/>
  </r>
  <r>
    <x v="3783"/>
    <s v="Vasilopoulos"/>
    <s v="Panagiotis (67)"/>
    <s v="GRE0364"/>
    <s v="VET"/>
    <x v="14"/>
    <s v="GRE"/>
    <m/>
    <m/>
    <m/>
    <m/>
    <m/>
    <s v="UHTF"/>
    <s v="CESTFA"/>
  </r>
  <r>
    <x v="3784"/>
    <s v="Vasilopoulos"/>
    <s v="Vasileios"/>
    <s v="GRE0365"/>
    <s v="OPEN"/>
    <x v="14"/>
    <s v="GRE"/>
    <m/>
    <m/>
    <m/>
    <m/>
    <m/>
    <s v="UHTF"/>
    <s v="CESTFA"/>
  </r>
  <r>
    <x v="3785"/>
    <s v="Vasilos"/>
    <s v="Vasileios"/>
    <s v="GRE0602"/>
    <s v="VET"/>
    <x v="22"/>
    <s v="GRE"/>
    <m/>
    <m/>
    <m/>
    <m/>
    <m/>
    <s v="UHTF"/>
    <s v="CESTFA"/>
  </r>
  <r>
    <x v="3786"/>
    <s v="Vassiliades"/>
    <s v="George"/>
    <s v="CYP0019"/>
    <s v="VET"/>
    <x v="50"/>
    <s v="CYP"/>
    <m/>
    <m/>
    <m/>
    <m/>
    <m/>
    <s v="CYSTFA (Provisional)"/>
    <m/>
  </r>
  <r>
    <x v="3787"/>
    <s v="Vatteroni"/>
    <s v="Alberto"/>
    <s v="ITA2081"/>
    <s v="VET"/>
    <x v="213"/>
    <s v="ITA"/>
    <m/>
    <m/>
    <m/>
    <m/>
    <m/>
    <s v="FISCT"/>
    <s v="CESTFA"/>
  </r>
  <r>
    <x v="3788"/>
    <s v="Vavoulakis"/>
    <s v="Evaggelos"/>
    <s v="GRE0453"/>
    <s v="OPEN"/>
    <x v="14"/>
    <s v="GRE"/>
    <m/>
    <m/>
    <m/>
    <m/>
    <m/>
    <s v="UHTF"/>
    <s v="CESTFA"/>
  </r>
  <r>
    <x v="3789"/>
    <s v="Vavoulakis"/>
    <s v="Philippos"/>
    <s v="GRE0426"/>
    <s v="OPEN"/>
    <x v="14"/>
    <s v="GRE"/>
    <m/>
    <m/>
    <m/>
    <m/>
    <m/>
    <s v="UHTF"/>
    <s v="CESTFA"/>
  </r>
  <r>
    <x v="3790"/>
    <s v="Vavourakis"/>
    <s v="Vasileios"/>
    <s v="CYP0037"/>
    <s v="OPEN"/>
    <x v="267"/>
    <s v="CYP"/>
    <m/>
    <m/>
    <m/>
    <m/>
    <m/>
    <s v="CYSTFA (Provisional)"/>
    <m/>
  </r>
  <r>
    <x v="3791"/>
    <s v="Vavourakis"/>
    <s v="Vasilis"/>
    <s v="GRE0117"/>
    <s v="OPEN"/>
    <x v="14"/>
    <s v="GRE"/>
    <m/>
    <m/>
    <m/>
    <m/>
    <m/>
    <s v="UHTF"/>
    <s v="CESTFA"/>
  </r>
  <r>
    <x v="3792"/>
    <s v="Vazoukis"/>
    <s v="Apostolos"/>
    <s v="GRE0416"/>
    <s v="VET"/>
    <x v="14"/>
    <s v="GRE"/>
    <m/>
    <m/>
    <m/>
    <m/>
    <m/>
    <s v="UHTF"/>
    <s v="CESTFA"/>
  </r>
  <r>
    <x v="3793"/>
    <s v="Vecchiarelli"/>
    <s v="John"/>
    <s v="ITA2391"/>
    <s v="VET"/>
    <x v="196"/>
    <s v="ITA"/>
    <m/>
    <m/>
    <m/>
    <m/>
    <m/>
    <s v="FISCT"/>
    <s v="CESTFA"/>
  </r>
  <r>
    <x v="3794"/>
    <s v="Vegni"/>
    <s v="Alessandro"/>
    <s v="ITA1386"/>
    <s v="OPEN"/>
    <x v="76"/>
    <s v="ITA"/>
    <m/>
    <m/>
    <m/>
    <m/>
    <m/>
    <s v="FISCT"/>
    <s v="CESTFA"/>
  </r>
  <r>
    <x v="3795"/>
    <s v="Vegni"/>
    <s v="Francesco"/>
    <s v="ITA3248"/>
    <s v="OPEN"/>
    <x v="76"/>
    <s v="ITA"/>
    <m/>
    <m/>
    <m/>
    <m/>
    <m/>
    <s v="FISCT"/>
    <s v="CESTFA"/>
  </r>
  <r>
    <x v="3796"/>
    <s v="Velli"/>
    <s v="Giorgio"/>
    <s v="ITA0885"/>
    <s v="VET"/>
    <x v="246"/>
    <s v="ITA"/>
    <m/>
    <m/>
    <m/>
    <m/>
    <m/>
    <s v="FISCT"/>
    <s v="CESTFA"/>
  </r>
  <r>
    <x v="3797"/>
    <s v="Venanzi"/>
    <s v="Fabio"/>
    <s v="ITA3393"/>
    <s v="OPEN"/>
    <x v="92"/>
    <s v="ITA"/>
    <m/>
    <m/>
    <m/>
    <m/>
    <m/>
    <s v="FISCT"/>
    <s v="CESTFA"/>
  </r>
  <r>
    <x v="3798"/>
    <s v="Venazzi"/>
    <s v="Luis"/>
    <s v="BRA0062"/>
    <s v="VET"/>
    <x v="14"/>
    <s v="BRA"/>
    <m/>
    <m/>
    <m/>
    <m/>
    <m/>
    <s v="CBFM (Suspended)"/>
    <m/>
  </r>
  <r>
    <x v="3799"/>
    <s v="Vendebæk"/>
    <s v="Frits"/>
    <s v="DEN0041"/>
    <s v="VET"/>
    <x v="10"/>
    <s v="DEN"/>
    <m/>
    <m/>
    <m/>
    <m/>
    <m/>
    <s v="DSBU (Provisional)"/>
    <m/>
  </r>
  <r>
    <x v="3800"/>
    <s v="Veneri"/>
    <s v="Francesco"/>
    <s v="ITA1699"/>
    <s v="VET"/>
    <x v="161"/>
    <s v="ITA"/>
    <m/>
    <m/>
    <m/>
    <m/>
    <m/>
    <s v="FISCT"/>
    <s v="CESTFA"/>
  </r>
  <r>
    <x v="3801"/>
    <s v="Venturello"/>
    <s v="Francesco"/>
    <s v="ITA0886"/>
    <s v="VET"/>
    <x v="55"/>
    <s v="ITA"/>
    <m/>
    <m/>
    <m/>
    <m/>
    <m/>
    <s v="FISCT"/>
    <s v="CESTFA"/>
  </r>
  <r>
    <x v="3802"/>
    <s v="Venturini"/>
    <s v="Daniele"/>
    <s v="ITA2186"/>
    <s v="OPEN"/>
    <x v="71"/>
    <s v="ITA"/>
    <m/>
    <m/>
    <m/>
    <m/>
    <m/>
    <s v="FISCT"/>
    <s v="CESTFA"/>
  </r>
  <r>
    <x v="3803"/>
    <s v="Venturini"/>
    <s v="Gianluca"/>
    <s v="ITA2663"/>
    <s v="VET"/>
    <x v="89"/>
    <s v="ITA"/>
    <m/>
    <m/>
    <m/>
    <m/>
    <m/>
    <s v="FISCT"/>
    <s v="CESTFA"/>
  </r>
  <r>
    <x v="3804"/>
    <s v="Vera"/>
    <s v="Leonardo"/>
    <s v="ARG0037"/>
    <s v="OPEN"/>
    <x v="157"/>
    <s v="ARG"/>
    <m/>
    <m/>
    <m/>
    <m/>
    <m/>
    <s v="LAFM (Suspended)"/>
    <s v="CSAFM"/>
  </r>
  <r>
    <x v="3805"/>
    <s v="Verganelakis"/>
    <s v="Georgios"/>
    <s v="GRE0471"/>
    <s v="OPEN"/>
    <x v="370"/>
    <s v="GRE"/>
    <m/>
    <m/>
    <m/>
    <m/>
    <m/>
    <s v="UHTF"/>
    <s v="CESTFA"/>
  </r>
  <r>
    <x v="3806"/>
    <s v="Vergara"/>
    <s v="Maximiliano Gabriel"/>
    <s v="ARG0074"/>
    <s v="OPEN"/>
    <x v="285"/>
    <s v="ARG"/>
    <m/>
    <m/>
    <m/>
    <m/>
    <m/>
    <s v="LAFM (Suspended)"/>
    <s v="CSAFM"/>
  </r>
  <r>
    <x v="3807"/>
    <s v="Vergoni"/>
    <s v="Roberto"/>
    <s v="ITA0888"/>
    <s v="OPEN"/>
    <x v="213"/>
    <s v="ITA"/>
    <m/>
    <m/>
    <m/>
    <m/>
    <m/>
    <s v="FISCT"/>
    <s v="CESTFA"/>
  </r>
  <r>
    <x v="3808"/>
    <s v="Verhaeghe"/>
    <s v="Pol"/>
    <s v="BEL0167"/>
    <s v="VET"/>
    <x v="241"/>
    <s v="BEL"/>
    <m/>
    <m/>
    <m/>
    <m/>
    <m/>
    <m/>
    <m/>
  </r>
  <r>
    <x v="3809"/>
    <s v="Verhoeven"/>
    <s v="Lulani"/>
    <s v="BEL0435"/>
    <s v="U20"/>
    <x v="172"/>
    <s v="BEL"/>
    <m/>
    <m/>
    <m/>
    <m/>
    <m/>
    <m/>
    <m/>
  </r>
  <r>
    <x v="3810"/>
    <s v="Vernadakis"/>
    <s v="Manos"/>
    <s v="GRE0038"/>
    <s v="OPEN"/>
    <x v="14"/>
    <s v="GRE"/>
    <m/>
    <m/>
    <m/>
    <m/>
    <m/>
    <s v="UHTF"/>
    <s v="CESTFA"/>
  </r>
  <r>
    <x v="3811"/>
    <s v="Vernados"/>
    <s v="Michalis"/>
    <s v="GRE0019"/>
    <s v="OPEN"/>
    <x v="14"/>
    <s v="GRE"/>
    <m/>
    <m/>
    <m/>
    <m/>
    <m/>
    <s v="UHTF"/>
    <s v="CESTFA"/>
  </r>
  <r>
    <x v="3812"/>
    <s v="Veronelli"/>
    <s v="Massimo"/>
    <s v="ITA3423"/>
    <s v="OPEN"/>
    <x v="209"/>
    <s v="ITA"/>
    <m/>
    <m/>
    <m/>
    <m/>
    <m/>
    <s v="FISCT"/>
    <s v="CESTFA"/>
  </r>
  <r>
    <x v="3813"/>
    <s v="Verplaetse"/>
    <s v="Robin"/>
    <s v="BEL0466"/>
    <s v="U16"/>
    <x v="304"/>
    <s v="BEL"/>
    <m/>
    <m/>
    <m/>
    <m/>
    <m/>
    <m/>
    <m/>
  </r>
  <r>
    <x v="3814"/>
    <s v="Versmissen"/>
    <s v="Florent"/>
    <s v="BEL0074"/>
    <s v="OPEN"/>
    <x v="178"/>
    <s v="BEL"/>
    <m/>
    <m/>
    <m/>
    <m/>
    <m/>
    <m/>
    <m/>
  </r>
  <r>
    <x v="3815"/>
    <s v="Vezirtzoglou"/>
    <s v="Sofoklis"/>
    <s v="GRE0646"/>
    <s v="OPEN"/>
    <x v="217"/>
    <s v="GRE"/>
    <m/>
    <m/>
    <m/>
    <m/>
    <m/>
    <s v="UHTF"/>
    <s v="CESTFA"/>
  </r>
  <r>
    <x v="3816"/>
    <s v="Vezzo"/>
    <s v="Maurizio"/>
    <s v="ITA0889"/>
    <s v="OPEN"/>
    <x v="170"/>
    <s v="ITA"/>
    <m/>
    <m/>
    <m/>
    <m/>
    <m/>
    <s v="FISCT"/>
    <s v="CESTFA"/>
  </r>
  <r>
    <x v="3817"/>
    <s v="Vezzuto"/>
    <s v="Francesco"/>
    <s v="ITA1300"/>
    <s v="OPEN"/>
    <x v="170"/>
    <s v="ITA"/>
    <m/>
    <m/>
    <m/>
    <m/>
    <m/>
    <s v="FISCT"/>
    <s v="CESTFA"/>
  </r>
  <r>
    <x v="3818"/>
    <s v="Vezzuto"/>
    <s v="Pasquale"/>
    <s v="ITA1306"/>
    <s v="VET"/>
    <x v="170"/>
    <s v="ITA"/>
    <m/>
    <m/>
    <m/>
    <m/>
    <m/>
    <s v="FISCT"/>
    <s v="CESTFA"/>
  </r>
  <r>
    <x v="3819"/>
    <s v="Vianello"/>
    <s v="Mauro"/>
    <s v="ITA3209"/>
    <s v="VET"/>
    <x v="35"/>
    <s v="ITA"/>
    <m/>
    <m/>
    <m/>
    <m/>
    <m/>
    <s v="FISCT"/>
    <s v="CESTFA"/>
  </r>
  <r>
    <x v="3820"/>
    <s v="Vico"/>
    <s v="Aldo"/>
    <s v="ITA3018"/>
    <s v="VET"/>
    <x v="101"/>
    <s v="ITA"/>
    <m/>
    <m/>
    <m/>
    <m/>
    <m/>
    <s v="FISCT"/>
    <s v="CESTFA"/>
  </r>
  <r>
    <x v="3821"/>
    <s v="Vidal"/>
    <s v="Eliahou"/>
    <s v="BRA0033"/>
    <s v="VET"/>
    <x v="2"/>
    <s v="BRA"/>
    <m/>
    <m/>
    <m/>
    <m/>
    <m/>
    <s v="CBFM (Suspended)"/>
    <m/>
  </r>
  <r>
    <x v="3822"/>
    <s v="Vidal"/>
    <s v="Toni"/>
    <s v="ESP0195"/>
    <s v="VET"/>
    <x v="210"/>
    <s v="ESP"/>
    <m/>
    <m/>
    <m/>
    <m/>
    <m/>
    <s v="AEFM"/>
    <s v="CESTFA"/>
  </r>
  <r>
    <x v="3823"/>
    <s v="Vidal"/>
    <s v="Vincent"/>
    <s v="USA0353"/>
    <s v="OPEN"/>
    <x v="364"/>
    <s v="USA"/>
    <m/>
    <m/>
    <m/>
    <m/>
    <m/>
    <s v="ASA"/>
    <s v="CONASTF"/>
  </r>
  <r>
    <x v="3824"/>
    <s v="Vidal Torner"/>
    <s v="Cesc"/>
    <s v="ESP0591"/>
    <s v="U16"/>
    <x v="64"/>
    <s v="ESP"/>
    <m/>
    <m/>
    <m/>
    <m/>
    <m/>
    <s v="AEFM"/>
    <s v="CESTFA"/>
  </r>
  <r>
    <x v="3825"/>
    <s v="Vieira"/>
    <s v="Gonçalo"/>
    <s v="POR0156"/>
    <s v="OPEN"/>
    <x v="14"/>
    <s v="POR"/>
    <m/>
    <m/>
    <m/>
    <m/>
    <m/>
    <s v="APS"/>
    <s v="CESTFA"/>
  </r>
  <r>
    <x v="3826"/>
    <s v="Vieira"/>
    <s v="Vinicius"/>
    <s v="BRA0071"/>
    <s v="OPEN"/>
    <x v="14"/>
    <s v="BRA"/>
    <m/>
    <m/>
    <m/>
    <m/>
    <m/>
    <s v="CBFM (Suspended)"/>
    <m/>
  </r>
  <r>
    <x v="3827"/>
    <s v="Vienna"/>
    <s v="Francesco"/>
    <s v="ITA1026"/>
    <s v="OPEN"/>
    <x v="20"/>
    <s v="ITA"/>
    <m/>
    <m/>
    <m/>
    <m/>
    <m/>
    <s v="FISCT"/>
    <s v="CESTFA"/>
  </r>
  <r>
    <x v="3828"/>
    <s v="Vigo"/>
    <s v="Gian Giuseppe"/>
    <s v="ITA3407"/>
    <s v="VET"/>
    <x v="209"/>
    <s v="ITA"/>
    <m/>
    <m/>
    <m/>
    <m/>
    <m/>
    <s v="FISCT"/>
    <s v="CESTFA"/>
  </r>
  <r>
    <x v="3829"/>
    <s v="Vikatos"/>
    <s v="Antonis"/>
    <s v="GRE0194"/>
    <s v="VET"/>
    <x v="14"/>
    <s v="GRE"/>
    <m/>
    <m/>
    <m/>
    <m/>
    <m/>
    <s v="UHTF"/>
    <s v="CESTFA"/>
  </r>
  <r>
    <x v="3830"/>
    <s v="Villa"/>
    <s v="Mauro"/>
    <s v="ITA3307"/>
    <s v="VET"/>
    <x v="209"/>
    <s v="ITA"/>
    <m/>
    <m/>
    <m/>
    <m/>
    <m/>
    <s v="FISCT"/>
    <s v="CESTFA"/>
  </r>
  <r>
    <x v="3831"/>
    <s v="Villa"/>
    <s v="Tullio"/>
    <s v="ITA2942"/>
    <s v="VET"/>
    <x v="119"/>
    <s v="ITA"/>
    <m/>
    <m/>
    <m/>
    <m/>
    <m/>
    <s v="FISCT"/>
    <s v="CESTFA"/>
  </r>
  <r>
    <x v="3832"/>
    <s v="Villao"/>
    <s v="Enrique"/>
    <s v="ESP0542"/>
    <s v="U16"/>
    <x v="171"/>
    <s v="ESP"/>
    <m/>
    <m/>
    <m/>
    <m/>
    <m/>
    <s v="AEFM"/>
    <s v="CESTFA"/>
  </r>
  <r>
    <x v="3833"/>
    <s v="Villard"/>
    <s v="Eric"/>
    <s v="FRA0279"/>
    <s v="OPEN"/>
    <x v="325"/>
    <s v="FRA"/>
    <m/>
    <m/>
    <m/>
    <m/>
    <m/>
    <s v="3FTS"/>
    <s v="CESTFA"/>
  </r>
  <r>
    <x v="3834"/>
    <s v="Villarigues"/>
    <s v="Carolina"/>
    <s v="POR0005"/>
    <s v="OPEN"/>
    <x v="123"/>
    <s v="POR"/>
    <m/>
    <m/>
    <m/>
    <m/>
    <m/>
    <s v="APS"/>
    <s v="CESTFA"/>
  </r>
  <r>
    <x v="3835"/>
    <s v="Villette"/>
    <s v="François"/>
    <s v="ITA2703"/>
    <s v="OPEN"/>
    <x v="206"/>
    <s v="ITA"/>
    <m/>
    <m/>
    <m/>
    <m/>
    <m/>
    <s v="FISCT"/>
    <s v="CESTFA"/>
  </r>
  <r>
    <x v="3836"/>
    <s v="Vinaccia"/>
    <s v="Domenico"/>
    <s v="ITA0944"/>
    <s v="VET"/>
    <x v="100"/>
    <s v="ITA"/>
    <m/>
    <m/>
    <m/>
    <m/>
    <m/>
    <s v="FISCT"/>
    <s v="CESTFA"/>
  </r>
  <r>
    <x v="3837"/>
    <s v="Vincentini"/>
    <s v="Andrea"/>
    <s v="ITA2299"/>
    <s v="VET"/>
    <x v="25"/>
    <s v="ITA"/>
    <m/>
    <m/>
    <m/>
    <m/>
    <m/>
    <s v="FISCT"/>
    <s v="CESTFA"/>
  </r>
  <r>
    <x v="3838"/>
    <s v="Virgone"/>
    <s v="Antonio"/>
    <s v="BEL0461"/>
    <s v="U12"/>
    <x v="178"/>
    <s v="BEL"/>
    <m/>
    <m/>
    <m/>
    <m/>
    <m/>
    <m/>
    <m/>
  </r>
  <r>
    <x v="3839"/>
    <s v="Virgone"/>
    <s v="Diego"/>
    <s v="BEL0462"/>
    <s v="U12"/>
    <x v="178"/>
    <s v="BEL"/>
    <m/>
    <m/>
    <m/>
    <m/>
    <m/>
    <m/>
    <m/>
  </r>
  <r>
    <x v="3840"/>
    <s v="Virtu'"/>
    <s v="Pasquale"/>
    <s v="ITA3297"/>
    <s v="VET"/>
    <x v="68"/>
    <s v="ITA"/>
    <m/>
    <m/>
    <m/>
    <m/>
    <m/>
    <s v="FISCT"/>
    <s v="CESTFA"/>
  </r>
  <r>
    <x v="3841"/>
    <s v="Visani"/>
    <s v="Davide"/>
    <s v="ITA1273"/>
    <s v="OPEN"/>
    <x v="33"/>
    <s v="ITA"/>
    <m/>
    <m/>
    <m/>
    <m/>
    <m/>
    <s v="FISCT"/>
    <s v="CESTFA"/>
  </r>
  <r>
    <x v="3842"/>
    <s v="Visconti"/>
    <s v="Salvatore"/>
    <s v="BEL0179"/>
    <s v="OPEN"/>
    <x v="31"/>
    <s v="BEL"/>
    <m/>
    <m/>
    <m/>
    <m/>
    <m/>
    <m/>
    <m/>
  </r>
  <r>
    <x v="3843"/>
    <s v="Visentin"/>
    <s v="Davide"/>
    <s v="ITA0897"/>
    <s v="VET"/>
    <x v="225"/>
    <s v="ITA"/>
    <m/>
    <m/>
    <m/>
    <m/>
    <m/>
    <s v="FISCT"/>
    <s v="CESTFA"/>
  </r>
  <r>
    <x v="3844"/>
    <s v="Visvikis"/>
    <s v="Marios"/>
    <s v="GRE0730"/>
    <s v="OPEN"/>
    <x v="14"/>
    <s v="GRE"/>
    <m/>
    <m/>
    <m/>
    <m/>
    <m/>
    <s v="UHTF"/>
    <s v="CESTFA"/>
  </r>
  <r>
    <x v="3845"/>
    <s v="Vitulano"/>
    <s v="Gianpaolo"/>
    <s v="ITA1590"/>
    <s v="OPEN"/>
    <x v="100"/>
    <s v="ITA"/>
    <m/>
    <m/>
    <m/>
    <m/>
    <m/>
    <s v="FISCT"/>
    <s v="CESTFA"/>
  </r>
  <r>
    <x v="3846"/>
    <s v="Vivron"/>
    <s v="Thierry"/>
    <s v="FRA0016"/>
    <s v="VET"/>
    <x v="42"/>
    <s v="FRA"/>
    <m/>
    <m/>
    <m/>
    <m/>
    <m/>
    <s v="3FTS"/>
    <s v="CESTFA"/>
  </r>
  <r>
    <x v="3847"/>
    <s v="Vlachopoulos"/>
    <s v="Antonis"/>
    <s v="GRE0196"/>
    <s v="OPEN"/>
    <x v="218"/>
    <s v="GRE"/>
    <m/>
    <m/>
    <m/>
    <m/>
    <m/>
    <s v="UHTF"/>
    <s v="CESTFA"/>
  </r>
  <r>
    <x v="3848"/>
    <s v="Vlachopoulos"/>
    <s v="Konstantinos"/>
    <s v="GRE0355"/>
    <s v="OPEN"/>
    <x v="14"/>
    <s v="GRE"/>
    <m/>
    <m/>
    <m/>
    <m/>
    <m/>
    <s v="UHTF"/>
    <s v="CESTFA"/>
  </r>
  <r>
    <x v="3849"/>
    <s v="Vlachoulis"/>
    <s v="Aggelos"/>
    <s v="GRE0633"/>
    <s v="VET"/>
    <x v="14"/>
    <s v="GRE"/>
    <m/>
    <m/>
    <m/>
    <m/>
    <m/>
    <s v="UHTF"/>
    <s v="CESTFA"/>
  </r>
  <r>
    <x v="3850"/>
    <s v="Vlasov"/>
    <s v="Andrey"/>
    <s v="RUS0005"/>
    <s v="VET"/>
    <x v="291"/>
    <s v="RUS"/>
    <m/>
    <m/>
    <m/>
    <m/>
    <m/>
    <s v="RSTFF (Suspended)"/>
    <m/>
  </r>
  <r>
    <x v="3851"/>
    <s v="Vlasov"/>
    <s v="Evgenii"/>
    <s v="RUS0006"/>
    <s v="U20"/>
    <x v="291"/>
    <s v="RUS"/>
    <m/>
    <m/>
    <m/>
    <m/>
    <m/>
    <s v="RSTFF (Suspended)"/>
    <m/>
  </r>
  <r>
    <x v="3852"/>
    <s v="Vlassopoulos"/>
    <s v="Athanasios"/>
    <s v="GRE0119"/>
    <s v="OPEN"/>
    <x v="167"/>
    <s v="GRE"/>
    <m/>
    <m/>
    <m/>
    <m/>
    <m/>
    <s v="UHTF"/>
    <s v="CESTFA"/>
  </r>
  <r>
    <x v="3853"/>
    <s v="Vlassopoulos"/>
    <s v="Georgios"/>
    <s v="GRE0397"/>
    <s v="U20"/>
    <x v="167"/>
    <s v="GRE"/>
    <m/>
    <m/>
    <m/>
    <m/>
    <m/>
    <s v="UHTF"/>
    <s v="CESTFA"/>
  </r>
  <r>
    <x v="3854"/>
    <s v="Vlassopoulos"/>
    <s v="Ioannis"/>
    <s v="GRE0244"/>
    <s v="OPEN"/>
    <x v="167"/>
    <s v="GRE"/>
    <m/>
    <m/>
    <m/>
    <m/>
    <m/>
    <s v="UHTF"/>
    <s v="CESTFA"/>
  </r>
  <r>
    <x v="3855"/>
    <s v="Vlastarakos"/>
    <s v="Evangelos"/>
    <s v="GRE0799"/>
    <s v="U12"/>
    <x v="67"/>
    <s v="GRE"/>
    <m/>
    <m/>
    <m/>
    <m/>
    <m/>
    <s v="UHTF"/>
    <s v="CESTFA"/>
  </r>
  <r>
    <x v="3856"/>
    <s v="Vlastos"/>
    <s v="Antonios"/>
    <s v="GRE0191"/>
    <s v="VET"/>
    <x v="14"/>
    <s v="GRE"/>
    <m/>
    <m/>
    <m/>
    <m/>
    <m/>
    <s v="UHTF"/>
    <s v="CESTFA"/>
  </r>
  <r>
    <x v="3857"/>
    <s v="Vogiatzis"/>
    <s v="Christos"/>
    <s v="GRE0645"/>
    <s v="OPEN"/>
    <x v="14"/>
    <s v="GRE"/>
    <m/>
    <m/>
    <m/>
    <m/>
    <m/>
    <s v="UHTF"/>
    <s v="CESTFA"/>
  </r>
  <r>
    <x v="3858"/>
    <s v="Vogiatzis"/>
    <s v="Dimitris"/>
    <s v="GRE0450"/>
    <s v="U20"/>
    <x v="14"/>
    <s v="GRE"/>
    <m/>
    <m/>
    <m/>
    <m/>
    <m/>
    <s v="UHTF"/>
    <s v="CESTFA"/>
  </r>
  <r>
    <x v="3859"/>
    <s v="Vogiatzis"/>
    <s v="Konstantinos"/>
    <s v="GRE0449"/>
    <s v="OPEN"/>
    <x v="14"/>
    <s v="GRE"/>
    <m/>
    <m/>
    <m/>
    <m/>
    <m/>
    <s v="UHTF"/>
    <s v="CESTFA"/>
  </r>
  <r>
    <x v="3860"/>
    <s v="Vogiatzis"/>
    <s v="Panagiotis"/>
    <s v="GRE0448"/>
    <s v="VET"/>
    <x v="14"/>
    <s v="GRE"/>
    <m/>
    <m/>
    <m/>
    <m/>
    <m/>
    <s v="UHTF"/>
    <s v="CESTFA"/>
  </r>
  <r>
    <x v="3861"/>
    <s v="Vogt"/>
    <s v="Rainer"/>
    <s v="GER0031"/>
    <s v="VET"/>
    <x v="5"/>
    <s v="GER"/>
    <m/>
    <m/>
    <m/>
    <m/>
    <m/>
    <s v="DSTFB"/>
    <s v="CESTFA"/>
  </r>
  <r>
    <x v="3862"/>
    <s v="Voikos"/>
    <s v="Konstantinos"/>
    <s v="GRE0222"/>
    <s v="OPEN"/>
    <x v="14"/>
    <s v="GRE"/>
    <m/>
    <m/>
    <m/>
    <m/>
    <m/>
    <s v="UHTF"/>
    <s v="CESTFA"/>
  </r>
  <r>
    <x v="3863"/>
    <s v="Volkov"/>
    <s v="Aton Aleksandrovich"/>
    <s v="RUS0004"/>
    <s v="OPEN"/>
    <x v="291"/>
    <s v="RUS"/>
    <m/>
    <m/>
    <m/>
    <m/>
    <m/>
    <s v="RSTFF (Suspended)"/>
    <m/>
  </r>
  <r>
    <x v="3864"/>
    <s v="Volpi"/>
    <s v="Giovanni"/>
    <s v="ITA0902"/>
    <s v="VET"/>
    <x v="98"/>
    <s v="ITA"/>
    <m/>
    <m/>
    <m/>
    <m/>
    <m/>
    <s v="FISCT"/>
    <s v="CESTFA"/>
  </r>
  <r>
    <x v="3865"/>
    <s v="von Schultzendorff"/>
    <s v="Linus"/>
    <s v="GER0153"/>
    <s v="OPEN"/>
    <x v="221"/>
    <s v="GER"/>
    <m/>
    <m/>
    <m/>
    <m/>
    <m/>
    <s v="DSTFB"/>
    <s v="CESTFA"/>
  </r>
  <r>
    <x v="3866"/>
    <s v="Voukouris"/>
    <s v="Fotios"/>
    <s v="GRE0460"/>
    <s v="OPEN"/>
    <x v="14"/>
    <s v="GRE"/>
    <m/>
    <m/>
    <m/>
    <m/>
    <m/>
    <s v="UHTF"/>
    <s v="CESTFA"/>
  </r>
  <r>
    <x v="3867"/>
    <s v="Voulgaris"/>
    <s v="Ioannis"/>
    <s v="GRE0113"/>
    <s v="VET"/>
    <x v="220"/>
    <s v="GRE"/>
    <m/>
    <m/>
    <m/>
    <m/>
    <m/>
    <s v="UHTF"/>
    <s v="CESTFA"/>
  </r>
  <r>
    <x v="3868"/>
    <s v="Vourakis"/>
    <s v="Andreas"/>
    <s v="GRE0735"/>
    <s v="VET"/>
    <x v="30"/>
    <s v="GRE"/>
    <m/>
    <m/>
    <m/>
    <m/>
    <m/>
    <s v="UHTF"/>
    <s v="CESTFA"/>
  </r>
  <r>
    <x v="3869"/>
    <s v="Voutsinas"/>
    <s v="Eleftherios"/>
    <s v="GRE0180"/>
    <s v="VET"/>
    <x v="14"/>
    <s v="GRE"/>
    <m/>
    <m/>
    <m/>
    <m/>
    <m/>
    <s v="UHTF"/>
    <s v="CESTFA"/>
  </r>
  <r>
    <x v="3870"/>
    <s v="Vranovitz"/>
    <s v="Daniel"/>
    <s v="AUT0073"/>
    <s v="OPEN"/>
    <x v="107"/>
    <s v="AUT"/>
    <m/>
    <m/>
    <m/>
    <m/>
    <m/>
    <s v="EÖTV"/>
    <s v="CESTFA"/>
  </r>
  <r>
    <x v="3871"/>
    <s v="Vranovitz"/>
    <s v="Karl"/>
    <s v="AUT0084"/>
    <s v="VET"/>
    <x v="107"/>
    <s v="AUT"/>
    <m/>
    <m/>
    <m/>
    <m/>
    <m/>
    <s v="EÖTV"/>
    <s v="CESTFA"/>
  </r>
  <r>
    <x v="3872"/>
    <s v="Vrettakos"/>
    <s v="Dimitrios"/>
    <s v="GRE0040"/>
    <s v="VET"/>
    <x v="14"/>
    <s v="GRE"/>
    <m/>
    <m/>
    <m/>
    <m/>
    <m/>
    <s v="UHTF"/>
    <s v="CESTFA"/>
  </r>
  <r>
    <x v="3873"/>
    <s v="Vrettakos"/>
    <s v="Panagiotis"/>
    <s v="GRE0239"/>
    <s v="OPEN"/>
    <x v="14"/>
    <s v="GRE"/>
    <m/>
    <m/>
    <m/>
    <m/>
    <m/>
    <s v="UHTF"/>
    <s v="CESTFA"/>
  </r>
  <r>
    <x v="3874"/>
    <s v="Vrettakos"/>
    <s v="Pavlos"/>
    <s v="GRE0238"/>
    <s v="OPEN"/>
    <x v="14"/>
    <s v="GRE"/>
    <m/>
    <m/>
    <m/>
    <m/>
    <m/>
    <s v="UHTF"/>
    <s v="CESTFA"/>
  </r>
  <r>
    <x v="3875"/>
    <s v="Vulpes"/>
    <s v="Cornelia"/>
    <s v="GER0073"/>
    <s v="OPEN"/>
    <x v="135"/>
    <s v="GER"/>
    <m/>
    <m/>
    <m/>
    <m/>
    <m/>
    <s v="DSTFB"/>
    <s v="CESTFA"/>
  </r>
  <r>
    <x v="3876"/>
    <s v="Vulpes"/>
    <s v="Fred"/>
    <s v="GER0015"/>
    <s v="VET"/>
    <x v="277"/>
    <s v="GER"/>
    <m/>
    <m/>
    <m/>
    <m/>
    <m/>
    <s v="DSTFB"/>
    <s v="CESTFA"/>
  </r>
  <r>
    <x v="3877"/>
    <s v="Vulpes"/>
    <s v="Thomas"/>
    <s v="GER0072"/>
    <s v="VET"/>
    <x v="135"/>
    <s v="GER"/>
    <m/>
    <m/>
    <m/>
    <m/>
    <m/>
    <s v="DSTFB"/>
    <s v="CESTFA"/>
  </r>
  <r>
    <x v="3878"/>
    <s v="Vyas Veera"/>
    <s v="Sharvind"/>
    <s v="MAS0003"/>
    <s v="OPEN"/>
    <x v="85"/>
    <s v="MAS"/>
    <m/>
    <m/>
    <m/>
    <m/>
    <m/>
    <m/>
    <m/>
  </r>
  <r>
    <x v="3879"/>
    <s v="Wada"/>
    <s v="Hideaki"/>
    <s v="JPN003"/>
    <s v="VET"/>
    <x v="271"/>
    <s v="JPN"/>
    <m/>
    <m/>
    <m/>
    <m/>
    <m/>
    <s v="JTFA"/>
    <s v="CASTFA"/>
  </r>
  <r>
    <x v="3880"/>
    <s v="Wada"/>
    <s v="Kimi"/>
    <s v="JPN098"/>
    <s v="OPEN"/>
    <x v="271"/>
    <s v="JPN"/>
    <m/>
    <m/>
    <m/>
    <m/>
    <m/>
    <s v="JTFA"/>
    <s v="CASTFA"/>
  </r>
  <r>
    <x v="3881"/>
    <s v="Wagner"/>
    <s v="Robert"/>
    <s v="GER0104"/>
    <s v="VET"/>
    <x v="310"/>
    <s v="GER"/>
    <m/>
    <m/>
    <m/>
    <m/>
    <m/>
    <s v="DSTFB"/>
    <s v="CESTFA"/>
  </r>
  <r>
    <x v="3882"/>
    <s v="Waldorf-Busch"/>
    <s v="Katharina"/>
    <s v="AUT0121"/>
    <s v="OPEN"/>
    <x v="63"/>
    <s v="AUT"/>
    <m/>
    <m/>
    <m/>
    <m/>
    <m/>
    <s v="EÖTV"/>
    <s v="CESTFA"/>
  </r>
  <r>
    <x v="3883"/>
    <s v="Walker"/>
    <s v="Zach"/>
    <s v="USA0013"/>
    <s v="OPEN"/>
    <x v="27"/>
    <s v="USA"/>
    <m/>
    <m/>
    <m/>
    <m/>
    <m/>
    <s v="ASA"/>
    <s v="CONASTF"/>
  </r>
  <r>
    <x v="3884"/>
    <s v="Walper"/>
    <s v="Gerhard"/>
    <s v="GER0058"/>
    <s v="VET"/>
    <x v="281"/>
    <s v="GER"/>
    <m/>
    <m/>
    <m/>
    <m/>
    <m/>
    <s v="DSTFB"/>
    <s v="CESTFA"/>
  </r>
  <r>
    <x v="3885"/>
    <s v="Walsh"/>
    <s v="Stuart"/>
    <s v="ENG0165"/>
    <s v="OPEN"/>
    <x v="180"/>
    <s v="ENG"/>
    <m/>
    <m/>
    <m/>
    <m/>
    <m/>
    <s v="ESA"/>
    <s v="CESTFA"/>
  </r>
  <r>
    <x v="3886"/>
    <s v="Walton"/>
    <s v="Eric"/>
    <s v="USA0138"/>
    <s v="OPEN"/>
    <x v="273"/>
    <s v="USA"/>
    <m/>
    <m/>
    <m/>
    <m/>
    <m/>
    <s v="ASA"/>
    <s v="CONASTF"/>
  </r>
  <r>
    <x v="3887"/>
    <s v="Walzer"/>
    <s v="Elias"/>
    <s v="AUT0094"/>
    <s v="U20"/>
    <x v="258"/>
    <s v="AUT"/>
    <m/>
    <m/>
    <m/>
    <m/>
    <m/>
    <s v="EÖTV"/>
    <s v="CESTFA"/>
  </r>
  <r>
    <x v="3888"/>
    <s v="Wander"/>
    <s v="Christopher"/>
    <s v="ARG0044"/>
    <s v="OPEN"/>
    <x v="145"/>
    <s v="ARG"/>
    <m/>
    <m/>
    <m/>
    <m/>
    <m/>
    <s v="LAFM (Suspended)"/>
    <s v="CSAFM"/>
  </r>
  <r>
    <x v="3889"/>
    <s v="Warren"/>
    <s v="Jamie"/>
    <s v="ENG0507"/>
    <s v="U16"/>
    <x v="197"/>
    <s v="ENG"/>
    <m/>
    <m/>
    <m/>
    <m/>
    <m/>
    <s v="ESA"/>
    <s v="CESTFA"/>
  </r>
  <r>
    <x v="3890"/>
    <s v="Wasyluszco"/>
    <s v="Roman"/>
    <s v="USA0418"/>
    <s v="U20"/>
    <x v="143"/>
    <s v="USA"/>
    <m/>
    <m/>
    <m/>
    <m/>
    <m/>
    <s v="ASA"/>
    <s v="CONASTF"/>
  </r>
  <r>
    <x v="3891"/>
    <s v="Watson"/>
    <s v="Lawrence"/>
    <s v="NIR0020"/>
    <s v="OPEN"/>
    <x v="181"/>
    <s v="NIR"/>
    <m/>
    <m/>
    <m/>
    <m/>
    <m/>
    <s v="NITFA"/>
    <s v="CESTFA"/>
  </r>
  <r>
    <x v="3892"/>
    <s v="Watts"/>
    <s v="Jeff"/>
    <s v="CAN0015"/>
    <s v="VET"/>
    <x v="378"/>
    <s v="CAN"/>
    <m/>
    <m/>
    <m/>
    <m/>
    <m/>
    <s v="SCA"/>
    <m/>
  </r>
  <r>
    <x v="3893"/>
    <s v="Wauthy"/>
    <s v="Corentin"/>
    <s v="BEL0275"/>
    <s v="OPEN"/>
    <x v="57"/>
    <s v="BEL"/>
    <m/>
    <m/>
    <m/>
    <m/>
    <m/>
    <m/>
    <m/>
  </r>
  <r>
    <x v="3894"/>
    <s v="Weaver"/>
    <s v="Mark"/>
    <s v="ENG0501"/>
    <s v="VET"/>
    <x v="90"/>
    <s v="ENG"/>
    <m/>
    <m/>
    <m/>
    <m/>
    <m/>
    <s v="ESA"/>
    <s v="CESTFA"/>
  </r>
  <r>
    <x v="3895"/>
    <s v="Weihermann"/>
    <s v="Cathrin"/>
    <s v="GER0110"/>
    <s v="OPEN"/>
    <x v="381"/>
    <s v="GER"/>
    <m/>
    <m/>
    <m/>
    <m/>
    <m/>
    <s v="DSTFB"/>
    <s v="CESTFA"/>
  </r>
  <r>
    <x v="3896"/>
    <s v="Weinstich"/>
    <s v="Gilles"/>
    <s v="FRA0295"/>
    <s v="OPEN"/>
    <x v="194"/>
    <s v="FRA"/>
    <m/>
    <m/>
    <m/>
    <m/>
    <m/>
    <s v="3FTS"/>
    <s v="CESTFA"/>
  </r>
  <r>
    <x v="3897"/>
    <s v="Welby"/>
    <s v="Ian"/>
    <s v="ENG0485"/>
    <s v="VET"/>
    <x v="382"/>
    <s v="ENG"/>
    <m/>
    <m/>
    <m/>
    <m/>
    <m/>
    <s v="ESA"/>
    <s v="CESTFA"/>
  </r>
  <r>
    <x v="3898"/>
    <s v="Wenlock"/>
    <s v="Sean"/>
    <s v="ENG0568"/>
    <s v="VET"/>
    <x v="79"/>
    <s v="ENG"/>
    <m/>
    <m/>
    <m/>
    <m/>
    <m/>
    <s v="ESA"/>
    <s v="CESTFA"/>
  </r>
  <r>
    <x v="3899"/>
    <s v="Werner"/>
    <s v="Greg"/>
    <s v="AUS0158"/>
    <s v="VET"/>
    <x v="367"/>
    <s v="AUS"/>
    <m/>
    <m/>
    <m/>
    <m/>
    <m/>
    <s v="ATFA"/>
    <s v="CASTFA"/>
  </r>
  <r>
    <x v="3900"/>
    <s v="West"/>
    <s v="Mark"/>
    <s v="ENG0514"/>
    <s v="VET"/>
    <x v="81"/>
    <s v="ENG"/>
    <m/>
    <m/>
    <m/>
    <m/>
    <m/>
    <s v="ESA"/>
    <s v="CESTFA"/>
  </r>
  <r>
    <x v="3901"/>
    <s v="Whalley"/>
    <s v="Gareth"/>
    <s v="AUS0067"/>
    <s v="OPEN"/>
    <x v="297"/>
    <s v="AUS"/>
    <m/>
    <m/>
    <m/>
    <m/>
    <m/>
    <s v="ATFA"/>
    <s v="CASTFA"/>
  </r>
  <r>
    <x v="3902"/>
    <s v="Whelband"/>
    <s v="Jerry"/>
    <s v="ENG0552"/>
    <s v="VET"/>
    <x v="81"/>
    <s v="ENG"/>
    <m/>
    <m/>
    <m/>
    <m/>
    <m/>
    <s v="ESA"/>
    <s v="CESTFA"/>
  </r>
  <r>
    <x v="3903"/>
    <s v="Whittle"/>
    <s v="Lucasz"/>
    <s v="ENG0358"/>
    <s v="U16"/>
    <x v="165"/>
    <s v="ENG"/>
    <m/>
    <m/>
    <m/>
    <m/>
    <m/>
    <s v="ESA"/>
    <s v="CESTFA"/>
  </r>
  <r>
    <x v="3904"/>
    <s v="Wiesmann"/>
    <s v="Martin"/>
    <s v="SUI014"/>
    <s v="VET"/>
    <x v="202"/>
    <s v="SUI"/>
    <m/>
    <m/>
    <m/>
    <m/>
    <m/>
    <m/>
    <m/>
  </r>
  <r>
    <x v="3905"/>
    <s v="Wiggs"/>
    <s v="Corey"/>
    <s v="USA0395"/>
    <s v="OPEN"/>
    <x v="60"/>
    <s v="USA"/>
    <m/>
    <m/>
    <m/>
    <m/>
    <m/>
    <s v="ASA"/>
    <s v="CONASTF"/>
  </r>
  <r>
    <x v="3906"/>
    <s v="Wilcox"/>
    <s v="Rick"/>
    <s v="USA0012"/>
    <s v="VET"/>
    <x v="192"/>
    <s v="USA"/>
    <m/>
    <m/>
    <m/>
    <m/>
    <m/>
    <s v="ASA"/>
    <s v="CONASTF"/>
  </r>
  <r>
    <x v="3907"/>
    <s v="Wiley"/>
    <s v="Gary"/>
    <s v="ENG0553"/>
    <s v="VET"/>
    <x v="14"/>
    <s v="ENG"/>
    <m/>
    <m/>
    <m/>
    <m/>
    <m/>
    <s v="ESA"/>
    <s v="CESTFA"/>
  </r>
  <r>
    <x v="3908"/>
    <s v="Willeijns"/>
    <s v="Jovi"/>
    <s v="NED0021"/>
    <s v="OPEN"/>
    <x v="276"/>
    <s v="NED"/>
    <m/>
    <m/>
    <m/>
    <m/>
    <m/>
    <s v="NSVB"/>
    <s v="CESTFA"/>
  </r>
  <r>
    <x v="3909"/>
    <s v="William"/>
    <s v="John Edwards"/>
    <s v="SGP0073"/>
    <s v="VET"/>
    <x v="4"/>
    <s v="SGP"/>
    <m/>
    <m/>
    <m/>
    <m/>
    <m/>
    <s v="TFAS"/>
    <s v="CASTFA"/>
  </r>
  <r>
    <x v="3910"/>
    <s v="Williams"/>
    <s v="Mike"/>
    <s v="ENG0444"/>
    <s v="OPEN"/>
    <x v="301"/>
    <s v="ENG"/>
    <m/>
    <m/>
    <m/>
    <m/>
    <m/>
    <s v="ESA"/>
    <s v="CESTFA"/>
  </r>
  <r>
    <x v="3911"/>
    <s v="Willot"/>
    <s v="Valéry"/>
    <s v="BEL0447"/>
    <s v="OPEN"/>
    <x v="6"/>
    <s v="BEL"/>
    <m/>
    <m/>
    <m/>
    <m/>
    <m/>
    <m/>
    <m/>
  </r>
  <r>
    <x v="3912"/>
    <s v="Wilse"/>
    <s v="Nico"/>
    <s v="DEN0015"/>
    <s v="OPEN"/>
    <x v="10"/>
    <s v="DEN"/>
    <m/>
    <m/>
    <m/>
    <m/>
    <m/>
    <s v="DSBU (Provisional)"/>
    <m/>
  </r>
  <r>
    <x v="3913"/>
    <s v="Wilson"/>
    <s v="Richard"/>
    <s v="AUS0141"/>
    <s v="OPEN"/>
    <x v="186"/>
    <s v="AUS"/>
    <m/>
    <m/>
    <m/>
    <m/>
    <m/>
    <s v="ATFA"/>
    <s v="CASTFA"/>
  </r>
  <r>
    <x v="3914"/>
    <s v="Winkler"/>
    <s v="Thomas"/>
    <s v="GER0082"/>
    <s v="VET"/>
    <x v="142"/>
    <s v="GER"/>
    <m/>
    <m/>
    <m/>
    <m/>
    <m/>
    <s v="DSTFB"/>
    <s v="CESTFA"/>
  </r>
  <r>
    <x v="3915"/>
    <s v="Wittmann"/>
    <s v="Thomas"/>
    <s v="AUT0041"/>
    <s v="OPEN"/>
    <x v="107"/>
    <s v="AUT"/>
    <m/>
    <m/>
    <m/>
    <m/>
    <m/>
    <s v="EÖTV"/>
    <s v="CESTFA"/>
  </r>
  <r>
    <x v="3916"/>
    <s v="Wong"/>
    <s v="Edwin"/>
    <s v="MAS0013"/>
    <s v="VET"/>
    <x v="85"/>
    <s v="MAS"/>
    <m/>
    <m/>
    <m/>
    <m/>
    <m/>
    <m/>
    <m/>
  </r>
  <r>
    <x v="3917"/>
    <s v="Wonnacott"/>
    <s v="Stephen"/>
    <s v="ENG0456"/>
    <s v="VET"/>
    <x v="90"/>
    <s v="ENG"/>
    <m/>
    <m/>
    <m/>
    <m/>
    <m/>
    <s v="ESA"/>
    <s v="CESTFA"/>
  </r>
  <r>
    <x v="3918"/>
    <s v="Wouters"/>
    <s v="David"/>
    <s v="BEL0345"/>
    <s v="VET"/>
    <x v="215"/>
    <s v="BEL"/>
    <m/>
    <m/>
    <m/>
    <m/>
    <m/>
    <m/>
    <m/>
  </r>
  <r>
    <x v="3919"/>
    <s v="Wright"/>
    <s v="Bill"/>
    <s v="JPN122"/>
    <s v="VET"/>
    <x v="375"/>
    <s v="JPN"/>
    <m/>
    <m/>
    <m/>
    <m/>
    <m/>
    <s v="JTFA"/>
    <s v="CASTFA"/>
  </r>
  <r>
    <x v="3920"/>
    <s v="Wright"/>
    <s v="Chad"/>
    <s v="SCO0073"/>
    <s v="OPEN"/>
    <x v="49"/>
    <s v="SCO"/>
    <m/>
    <m/>
    <m/>
    <m/>
    <m/>
    <s v="SSA"/>
    <s v="CESTFA"/>
  </r>
  <r>
    <x v="3921"/>
    <s v="Wright"/>
    <s v="David"/>
    <s v="AUS0204"/>
    <s v="VET"/>
    <x v="238"/>
    <s v="AUS"/>
    <m/>
    <m/>
    <m/>
    <m/>
    <m/>
    <s v="ATFA"/>
    <s v="CASTFA"/>
  </r>
  <r>
    <x v="3922"/>
    <s v="Wulff"/>
    <s v="Noah"/>
    <s v="GER0155"/>
    <s v="U16"/>
    <x v="221"/>
    <s v="GER"/>
    <m/>
    <m/>
    <m/>
    <m/>
    <m/>
    <s v="DSTFB"/>
    <s v="CESTFA"/>
  </r>
  <r>
    <x v="3923"/>
    <s v="Wurthman"/>
    <s v="Behn"/>
    <s v="CAN0027"/>
    <s v="OPEN"/>
    <x v="191"/>
    <s v="CAN"/>
    <m/>
    <m/>
    <m/>
    <m/>
    <m/>
    <s v="SCA"/>
    <m/>
  </r>
  <r>
    <x v="3924"/>
    <s v="Xerri"/>
    <s v="Luke Joseph"/>
    <s v="MLT142"/>
    <s v="U16"/>
    <x v="80"/>
    <s v="MLT"/>
    <m/>
    <m/>
    <m/>
    <m/>
    <m/>
    <s v="MTFSA"/>
    <s v="CESTFA"/>
  </r>
  <r>
    <x v="3925"/>
    <s v="Xiarhogiannopoulos"/>
    <s v="Thodoris"/>
    <s v="GRE0250"/>
    <s v="OPEN"/>
    <x v="14"/>
    <s v="GRE"/>
    <m/>
    <m/>
    <m/>
    <m/>
    <m/>
    <s v="UHTF"/>
    <s v="CESTFA"/>
  </r>
  <r>
    <x v="3926"/>
    <s v="Xifaras"/>
    <s v="Dimitris"/>
    <s v="GRE0307"/>
    <s v="OPEN"/>
    <x v="14"/>
    <s v="GRE"/>
    <m/>
    <m/>
    <m/>
    <m/>
    <m/>
    <s v="UHTF"/>
    <s v="CESTFA"/>
  </r>
  <r>
    <x v="3927"/>
    <s v="Ximitidis"/>
    <s v="Eleftherios"/>
    <s v="GRE0763"/>
    <s v="U12"/>
    <x v="14"/>
    <s v="GRE"/>
    <m/>
    <m/>
    <m/>
    <m/>
    <m/>
    <s v="UHTF"/>
    <s v="CESTFA"/>
  </r>
  <r>
    <x v="3928"/>
    <s v="Ximitidis"/>
    <s v="Kosmas"/>
    <s v="GRE0762"/>
    <s v="OPEN"/>
    <x v="14"/>
    <s v="GRE"/>
    <m/>
    <m/>
    <m/>
    <m/>
    <m/>
    <s v="UHTF"/>
    <s v="CESTFA"/>
  </r>
  <r>
    <x v="3929"/>
    <s v="Xyki"/>
    <s v="Violetta"/>
    <s v="GRE0098"/>
    <s v="OPEN"/>
    <x v="14"/>
    <s v="GRE"/>
    <m/>
    <m/>
    <m/>
    <m/>
    <m/>
    <s v="UHTF"/>
    <s v="CESTFA"/>
  </r>
  <r>
    <x v="3930"/>
    <s v="Yamao"/>
    <s v="Kuniko"/>
    <s v="JPN160"/>
    <s v="OPEN"/>
    <x v="26"/>
    <s v="JPN"/>
    <m/>
    <m/>
    <m/>
    <m/>
    <m/>
    <s v="JTFA"/>
    <s v="CASTFA"/>
  </r>
  <r>
    <x v="3931"/>
    <s v="Yap"/>
    <s v="Chong Leng, Eddie"/>
    <s v="SGP0017"/>
    <s v="OPEN"/>
    <x v="23"/>
    <s v="SGP"/>
    <m/>
    <m/>
    <m/>
    <m/>
    <m/>
    <s v="TFAS"/>
    <s v="CASTFA"/>
  </r>
  <r>
    <x v="3932"/>
    <s v="Yap"/>
    <s v="Hui Lan, Cindy"/>
    <s v="SGP0021"/>
    <s v="OPEN"/>
    <x v="23"/>
    <s v="SGP"/>
    <m/>
    <m/>
    <m/>
    <m/>
    <m/>
    <s v="TFAS"/>
    <s v="CASTFA"/>
  </r>
  <r>
    <x v="3933"/>
    <s v="Yazre"/>
    <s v="Muhammad"/>
    <s v="MAS0011"/>
    <s v="OPEN"/>
    <x v="85"/>
    <s v="MAS"/>
    <m/>
    <m/>
    <m/>
    <m/>
    <m/>
    <m/>
    <m/>
  </r>
  <r>
    <x v="3934"/>
    <s v="Yeo"/>
    <s v="Arthur"/>
    <s v="SGP0075"/>
    <s v="VET"/>
    <x v="23"/>
    <s v="SGP"/>
    <m/>
    <m/>
    <m/>
    <m/>
    <m/>
    <s v="TFAS"/>
    <s v="CASTFA"/>
  </r>
  <r>
    <x v="3935"/>
    <s v="Yilmaz"/>
    <s v="Yeliskan"/>
    <s v="GER0109"/>
    <s v="OPEN"/>
    <x v="310"/>
    <s v="GER"/>
    <m/>
    <m/>
    <m/>
    <m/>
    <m/>
    <s v="DSTFB"/>
    <s v="CESTFA"/>
  </r>
  <r>
    <x v="3936"/>
    <s v="Yoshida"/>
    <s v="Hideki"/>
    <s v="JPN187"/>
    <s v="VET"/>
    <x v="26"/>
    <s v="JPN"/>
    <m/>
    <m/>
    <m/>
    <m/>
    <m/>
    <s v="JTFA"/>
    <s v="CASTFA"/>
  </r>
  <r>
    <x v="3937"/>
    <s v="Yoshifumi"/>
    <s v="Sato"/>
    <s v="JPN175"/>
    <s v="VET"/>
    <x v="307"/>
    <s v="JPN"/>
    <m/>
    <m/>
    <m/>
    <m/>
    <m/>
    <s v="JTFA"/>
    <s v="CASTFA"/>
  </r>
  <r>
    <x v="3938"/>
    <s v="Yoshimura"/>
    <s v="Tomoyuki"/>
    <s v="JPN097"/>
    <s v="OPEN"/>
    <x v="383"/>
    <s v="JPN"/>
    <m/>
    <m/>
    <m/>
    <m/>
    <m/>
    <s v="JTFA"/>
    <s v="CASTFA"/>
  </r>
  <r>
    <x v="3939"/>
    <s v="Young"/>
    <s v="David"/>
    <s v="CZE0007"/>
    <s v="VET"/>
    <x v="251"/>
    <s v="CZE"/>
    <m/>
    <m/>
    <m/>
    <m/>
    <m/>
    <s v="CTSU (Suspended)"/>
    <m/>
  </r>
  <r>
    <x v="3940"/>
    <s v="Ysaguirre"/>
    <s v="Roderick"/>
    <s v="USA0389"/>
    <s v="OPEN"/>
    <x v="294"/>
    <s v="USA"/>
    <m/>
    <m/>
    <m/>
    <m/>
    <m/>
    <s v="ASA"/>
    <s v="CONASTF"/>
  </r>
  <r>
    <x v="3941"/>
    <s v="Yusni"/>
    <s v="Den Mulia"/>
    <s v="SGP0030"/>
    <s v="VET"/>
    <x v="4"/>
    <s v="SGP"/>
    <m/>
    <m/>
    <m/>
    <m/>
    <m/>
    <s v="TFAS"/>
    <s v="CASTFA"/>
  </r>
  <r>
    <x v="3942"/>
    <s v="Yusri"/>
    <s v="Muhammad Azhar"/>
    <s v="SGP0011"/>
    <s v="OPEN"/>
    <x v="23"/>
    <s v="SGP"/>
    <m/>
    <m/>
    <m/>
    <m/>
    <m/>
    <s v="TFAS"/>
    <s v="CASTFA"/>
  </r>
  <r>
    <x v="3943"/>
    <s v="Zaccardo"/>
    <s v="Giuseppe"/>
    <s v="ITA2332"/>
    <s v="VET"/>
    <x v="163"/>
    <s v="ITA"/>
    <m/>
    <m/>
    <m/>
    <m/>
    <m/>
    <s v="FISCT"/>
    <s v="CESTFA"/>
  </r>
  <r>
    <x v="3944"/>
    <s v="Zacharopoulos"/>
    <s v="Nikolaos"/>
    <s v="GRE0393"/>
    <s v="VET"/>
    <x v="14"/>
    <s v="GRE"/>
    <m/>
    <m/>
    <m/>
    <m/>
    <m/>
    <s v="UHTF"/>
    <s v="CESTFA"/>
  </r>
  <r>
    <x v="3945"/>
    <s v="Zafirakis"/>
    <s v="Nikolaos"/>
    <s v="GRE0206"/>
    <s v="OPEN"/>
    <x v="14"/>
    <s v="GRE"/>
    <m/>
    <m/>
    <m/>
    <m/>
    <m/>
    <s v="UHTF"/>
    <s v="CESTFA"/>
  </r>
  <r>
    <x v="3946"/>
    <s v="Zaharitsas"/>
    <s v="Emilios"/>
    <s v="GRE0635"/>
    <s v="OPEN"/>
    <x v="14"/>
    <s v="GRE"/>
    <m/>
    <m/>
    <m/>
    <m/>
    <m/>
    <s v="UHTF"/>
    <s v="CESTFA"/>
  </r>
  <r>
    <x v="3947"/>
    <s v="Zahri"/>
    <s v="Ahmad"/>
    <s v="SGP0082"/>
    <s v="VET"/>
    <x v="4"/>
    <s v="SGP"/>
    <m/>
    <m/>
    <m/>
    <m/>
    <m/>
    <s v="TFAS"/>
    <s v="CASTFA"/>
  </r>
  <r>
    <x v="3948"/>
    <s v="Zainal"/>
    <s v="Mohd Khairul Nizad"/>
    <s v="SGP0059"/>
    <s v="OPEN"/>
    <x v="259"/>
    <s v="SGP"/>
    <m/>
    <m/>
    <m/>
    <m/>
    <m/>
    <s v="TFAS"/>
    <s v="CASTFA"/>
  </r>
  <r>
    <x v="3949"/>
    <s v="Zaki"/>
    <s v="David"/>
    <s v="FRA0021"/>
    <s v="OPEN"/>
    <x v="42"/>
    <s v="FRA"/>
    <m/>
    <m/>
    <m/>
    <m/>
    <m/>
    <s v="3FTS"/>
    <s v="CESTFA"/>
  </r>
  <r>
    <x v="3950"/>
    <s v="Zamara"/>
    <s v="Valentino"/>
    <s v="MLT0130"/>
    <s v="VET"/>
    <x v="80"/>
    <s v="MLT"/>
    <m/>
    <m/>
    <m/>
    <m/>
    <m/>
    <s v="MTFSA"/>
    <s v="CESTFA"/>
  </r>
  <r>
    <x v="3951"/>
    <s v="Zambello"/>
    <s v="Luca"/>
    <s v="ITA0908"/>
    <s v="OPEN"/>
    <x v="118"/>
    <s v="ITA"/>
    <m/>
    <m/>
    <m/>
    <m/>
    <m/>
    <s v="FISCT"/>
    <s v="CESTFA"/>
  </r>
  <r>
    <x v="3952"/>
    <s v="Zambello"/>
    <s v="Paolo"/>
    <s v="ITA0909"/>
    <s v="OPEN"/>
    <x v="41"/>
    <s v="ITA"/>
    <m/>
    <m/>
    <m/>
    <m/>
    <m/>
    <s v="FISCT"/>
    <s v="CESTFA"/>
  </r>
  <r>
    <x v="3953"/>
    <s v="Zambello"/>
    <s v="Pier Celeste"/>
    <s v="ITA0910"/>
    <s v="VET"/>
    <x v="166"/>
    <s v="ITA"/>
    <m/>
    <m/>
    <m/>
    <m/>
    <m/>
    <s v="FISCT"/>
    <s v="CESTFA"/>
  </r>
  <r>
    <x v="3954"/>
    <s v="Zammit"/>
    <s v="John"/>
    <s v="MLT0058"/>
    <s v="VET"/>
    <x v="63"/>
    <s v="MLT"/>
    <m/>
    <m/>
    <m/>
    <m/>
    <m/>
    <s v="MTFSA"/>
    <s v="CESTFA"/>
  </r>
  <r>
    <x v="3955"/>
    <s v="Zammit Pavia"/>
    <s v="Joseph"/>
    <s v="MLT0034"/>
    <s v="VET"/>
    <x v="83"/>
    <s v="MLT"/>
    <m/>
    <m/>
    <m/>
    <m/>
    <m/>
    <s v="MTFSA"/>
    <s v="CESTFA"/>
  </r>
  <r>
    <x v="3956"/>
    <s v="Zampieri"/>
    <s v="Alessandro"/>
    <s v="ITA2415"/>
    <s v="VET"/>
    <x v="33"/>
    <s v="ITA"/>
    <m/>
    <m/>
    <m/>
    <m/>
    <m/>
    <s v="FISCT"/>
    <s v="CESTFA"/>
  </r>
  <r>
    <x v="3957"/>
    <s v="Zanella"/>
    <s v="Nelson"/>
    <s v="BRA0047"/>
    <s v="VET"/>
    <x v="2"/>
    <s v="BRA"/>
    <m/>
    <m/>
    <m/>
    <m/>
    <m/>
    <s v="CBFM (Suspended)"/>
    <m/>
  </r>
  <r>
    <x v="3958"/>
    <s v="Zanella"/>
    <s v="Rogério"/>
    <s v="BRA0048"/>
    <s v="OPEN"/>
    <x v="2"/>
    <s v="BRA"/>
    <m/>
    <m/>
    <m/>
    <m/>
    <m/>
    <s v="CBFM (Suspended)"/>
    <m/>
  </r>
  <r>
    <x v="3959"/>
    <s v="Zanetti"/>
    <s v="Andrea"/>
    <s v="ITA1419"/>
    <s v="OPEN"/>
    <x v="118"/>
    <s v="ITA"/>
    <m/>
    <m/>
    <m/>
    <m/>
    <m/>
    <s v="FISCT"/>
    <s v="CESTFA"/>
  </r>
  <r>
    <x v="3960"/>
    <s v="Zangylos"/>
    <s v="Giorgos"/>
    <s v="CYP0020"/>
    <s v="VET"/>
    <x v="59"/>
    <s v="CYP"/>
    <m/>
    <m/>
    <m/>
    <m/>
    <m/>
    <s v="CYSTFA (Provisional)"/>
    <m/>
  </r>
  <r>
    <x v="3961"/>
    <s v="Zappacosta"/>
    <s v="Stefano"/>
    <s v="ITA1843"/>
    <s v="VET"/>
    <x v="189"/>
    <s v="ITA"/>
    <m/>
    <m/>
    <m/>
    <m/>
    <m/>
    <s v="FISCT"/>
    <s v="CESTFA"/>
  </r>
  <r>
    <x v="3962"/>
    <s v="Zarduk"/>
    <s v="Ofir"/>
    <s v="ISR0014"/>
    <s v="OPEN"/>
    <x v="14"/>
    <s v="ISR"/>
    <m/>
    <m/>
    <m/>
    <m/>
    <m/>
    <m/>
    <m/>
  </r>
  <r>
    <x v="3963"/>
    <s v="Zarogiannis"/>
    <s v="Dimitrios"/>
    <s v="GRE0412"/>
    <s v="OPEN"/>
    <x v="53"/>
    <s v="GRE"/>
    <m/>
    <m/>
    <m/>
    <m/>
    <m/>
    <s v="UHTF"/>
    <s v="CESTFA"/>
  </r>
  <r>
    <x v="3964"/>
    <s v="Zarogiannis"/>
    <s v="Konstantinos"/>
    <s v="GRE0304"/>
    <s v="OPEN"/>
    <x v="53"/>
    <s v="GRE"/>
    <m/>
    <m/>
    <m/>
    <m/>
    <m/>
    <s v="UHTF"/>
    <s v="CESTFA"/>
  </r>
  <r>
    <x v="3965"/>
    <s v="Zavos"/>
    <s v="Giorgos"/>
    <s v="GRE0219"/>
    <s v="VET"/>
    <x v="179"/>
    <s v="GRE"/>
    <m/>
    <m/>
    <m/>
    <m/>
    <m/>
    <s v="UHTF"/>
    <s v="CESTFA"/>
  </r>
  <r>
    <x v="3966"/>
    <s v="Zavrakas"/>
    <s v="Argyris"/>
    <s v="GRE0147"/>
    <s v="OPEN"/>
    <x v="14"/>
    <s v="GRE"/>
    <m/>
    <m/>
    <m/>
    <m/>
    <m/>
    <s v="UHTF"/>
    <s v="CESTFA"/>
  </r>
  <r>
    <x v="3967"/>
    <s v="Zavrakas"/>
    <s v="Athanasios"/>
    <s v="GRE0186"/>
    <s v="OPEN"/>
    <x v="14"/>
    <s v="GRE"/>
    <m/>
    <m/>
    <m/>
    <m/>
    <m/>
    <s v="UHTF"/>
    <s v="CESTFA"/>
  </r>
  <r>
    <x v="3968"/>
    <s v="Zecchini"/>
    <s v="Riccardo"/>
    <s v="ITA2777"/>
    <s v="VET"/>
    <x v="77"/>
    <s v="ITA"/>
    <m/>
    <m/>
    <m/>
    <m/>
    <m/>
    <s v="FISCT"/>
    <s v="CESTFA"/>
  </r>
  <r>
    <x v="3969"/>
    <s v="Zega"/>
    <s v="Martín"/>
    <s v="ARG0066"/>
    <s v="OPEN"/>
    <x v="157"/>
    <s v="ARG"/>
    <m/>
    <m/>
    <m/>
    <m/>
    <m/>
    <s v="LAFM (Suspended)"/>
    <s v="CSAFM"/>
  </r>
  <r>
    <x v="3970"/>
    <s v="Zeilinger"/>
    <s v="Peter"/>
    <s v="AUT0043"/>
    <s v="OPEN"/>
    <x v="107"/>
    <s v="AUT"/>
    <m/>
    <m/>
    <m/>
    <m/>
    <m/>
    <s v="EÖTV"/>
    <s v="CESTFA"/>
  </r>
  <r>
    <x v="3971"/>
    <s v="Zerdilas"/>
    <s v="Charalambos"/>
    <s v="GRE0767"/>
    <s v="U12"/>
    <x v="67"/>
    <s v="GRE"/>
    <m/>
    <m/>
    <m/>
    <m/>
    <m/>
    <s v="UHTF"/>
    <s v="CESTFA"/>
  </r>
  <r>
    <x v="3972"/>
    <s v="Zerdilas"/>
    <s v="Konstantinos"/>
    <s v="GRE0766"/>
    <s v="OPEN"/>
    <x v="14"/>
    <s v="GRE"/>
    <m/>
    <m/>
    <m/>
    <m/>
    <m/>
    <s v="UHTF"/>
    <s v="CESTFA"/>
  </r>
  <r>
    <x v="3973"/>
    <s v="Zervas"/>
    <s v="Alexandros"/>
    <s v="GRE0276"/>
    <s v="OPEN"/>
    <x v="14"/>
    <s v="GRE"/>
    <m/>
    <m/>
    <m/>
    <m/>
    <m/>
    <s v="UHTF"/>
    <s v="CESTFA"/>
  </r>
  <r>
    <x v="3974"/>
    <s v="Zimeras"/>
    <s v="Georgios"/>
    <s v="GRE0496"/>
    <s v="U20"/>
    <x v="14"/>
    <s v="GRE"/>
    <m/>
    <m/>
    <m/>
    <m/>
    <m/>
    <s v="UHTF"/>
    <s v="CESTFA"/>
  </r>
  <r>
    <x v="3975"/>
    <s v="Zimeras"/>
    <s v="Vasileios"/>
    <s v="GRE0164"/>
    <s v="VET"/>
    <x v="167"/>
    <s v="GRE"/>
    <m/>
    <m/>
    <m/>
    <m/>
    <m/>
    <s v="UHTF"/>
    <s v="CESTFA"/>
  </r>
  <r>
    <x v="3976"/>
    <s v="Zinonos"/>
    <s v="Giannis"/>
    <s v="CYP0021"/>
    <s v="OPEN"/>
    <x v="59"/>
    <s v="CYP"/>
    <m/>
    <m/>
    <m/>
    <m/>
    <m/>
    <s v="CYSTFA (Provisional)"/>
    <m/>
  </r>
  <r>
    <x v="3977"/>
    <s v="Zioulis"/>
    <s v="Michalis"/>
    <s v="GRE0207"/>
    <s v="OPEN"/>
    <x v="14"/>
    <s v="GRE"/>
    <m/>
    <m/>
    <m/>
    <m/>
    <m/>
    <s v="UHTF"/>
    <s v="CESTFA"/>
  </r>
  <r>
    <x v="3978"/>
    <s v="Zolfanelli"/>
    <s v="Francesco"/>
    <s v="ITA2610"/>
    <s v="VET"/>
    <x v="27"/>
    <s v="ITA"/>
    <m/>
    <m/>
    <m/>
    <m/>
    <m/>
    <s v="FISCT"/>
    <s v="CESTFA"/>
  </r>
  <r>
    <x v="3979"/>
    <s v="Zorbis"/>
    <s v="Pambos"/>
    <s v="CYP0022"/>
    <s v="OPEN"/>
    <x v="59"/>
    <s v="CYP"/>
    <m/>
    <m/>
    <m/>
    <m/>
    <m/>
    <s v="CYSTFA (Provisional)"/>
    <m/>
  </r>
  <r>
    <x v="3980"/>
    <s v="Zorbis"/>
    <s v="Vangelis"/>
    <s v="CYP0023"/>
    <s v="OPEN"/>
    <x v="59"/>
    <s v="CYP"/>
    <m/>
    <m/>
    <m/>
    <m/>
    <m/>
    <s v="CYSTFA (Provisional)"/>
    <m/>
  </r>
  <r>
    <x v="3981"/>
    <s v="Zorzi"/>
    <s v="Pietro"/>
    <s v="ITA3223"/>
    <s v="U16"/>
    <x v="89"/>
    <s v="ITA"/>
    <m/>
    <m/>
    <m/>
    <m/>
    <m/>
    <s v="FISCT"/>
    <s v="CESTFA"/>
  </r>
  <r>
    <x v="3982"/>
    <s v="Zucatto"/>
    <s v="Marcus"/>
    <s v="BRA0088"/>
    <s v="OPEN"/>
    <x v="14"/>
    <s v="BRA"/>
    <m/>
    <m/>
    <m/>
    <m/>
    <m/>
    <s v="CBFM (Suspended)"/>
    <m/>
  </r>
  <r>
    <x v="3983"/>
    <s v="Zuccarini"/>
    <s v="Mario"/>
    <s v="ITA3203"/>
    <s v="OPEN"/>
    <x v="101"/>
    <s v="ITA"/>
    <m/>
    <m/>
    <m/>
    <m/>
    <m/>
    <s v="FISCT"/>
    <s v="CESTFA"/>
  </r>
  <r>
    <x v="3984"/>
    <s v="Zucchelli"/>
    <s v="Gianluca"/>
    <s v="ENG0431"/>
    <s v="VET"/>
    <x v="21"/>
    <s v="ENG"/>
    <m/>
    <m/>
    <m/>
    <m/>
    <m/>
    <s v="ESA"/>
    <s v="CESTFA"/>
  </r>
  <r>
    <x v="3985"/>
    <s v="Zucchi"/>
    <s v="Marco"/>
    <s v="CZE0005"/>
    <s v="VET"/>
    <x v="125"/>
    <s v="CZE"/>
    <m/>
    <m/>
    <m/>
    <m/>
    <m/>
    <s v="CTSU (Suspended)"/>
    <m/>
  </r>
  <r>
    <x v="3986"/>
    <s v="Zunino"/>
    <s v="Andrew"/>
    <s v="USA0015"/>
    <s v="VET"/>
    <x v="192"/>
    <s v="USA"/>
    <m/>
    <m/>
    <m/>
    <m/>
    <m/>
    <s v="ASA"/>
    <s v="CONASTF"/>
  </r>
  <r>
    <x v="3987"/>
    <s v="Zymvragoudakis"/>
    <s v="Dimitrios"/>
    <s v="GRE0347"/>
    <s v="VET"/>
    <x v="14"/>
    <s v="GRE"/>
    <m/>
    <m/>
    <m/>
    <m/>
    <m/>
    <s v="UHTF"/>
    <s v="CESTFA"/>
  </r>
  <r>
    <x v="3988"/>
    <m/>
    <m/>
    <s v="USA0437"/>
    <m/>
    <x v="293"/>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F815CF-3ADF-4668-B5DE-EF8041D4EC63}" name="PlayersByCLub" cacheId="0" applyNumberFormats="0" applyBorderFormats="0" applyFontFormats="0" applyPatternFormats="0" applyAlignmentFormats="0" applyWidthHeightFormats="1" dataCaption="Valeurs" updatedVersion="6" minRefreshableVersion="3" showDrill="0" useAutoFormatting="1" rowGrandTotals="0" colGrandTotals="0" itemPrintTitles="1" createdVersion="8" indent="0" compact="0" compactData="0" multipleFieldFilters="0">
  <location ref="A6:B3997" firstHeaderRow="1" firstDataRow="1" firstDataCol="2"/>
  <pivotFields count="14">
    <pivotField axis="axisRow" compact="0" outline="0" showAll="0" defaultSubtotal="0">
      <items count="4312">
        <item x="52"/>
        <item x="3411"/>
        <item x="3186"/>
        <item x="1607"/>
        <item x="618"/>
        <item x="3169"/>
        <item x="2322"/>
        <item x="258"/>
        <item x="398"/>
        <item x="2850"/>
        <item x="1979"/>
        <item x="3024"/>
        <item x="661"/>
        <item x="715"/>
        <item m="1" x="4292"/>
        <item x="1024"/>
        <item x="1737"/>
        <item x="2184"/>
        <item x="3333"/>
        <item x="886"/>
        <item x="730"/>
        <item x="14"/>
        <item x="423"/>
        <item x="738"/>
        <item x="1082"/>
        <item x="1546"/>
        <item x="2775"/>
        <item x="777"/>
        <item x="1724"/>
        <item x="930"/>
        <item x="3347"/>
        <item m="1" x="4295"/>
        <item x="1514"/>
        <item x="2887"/>
        <item x="960"/>
        <item x="1894"/>
        <item x="1257"/>
        <item x="1797"/>
        <item x="1896"/>
        <item x="2796"/>
        <item x="3689"/>
        <item x="3849"/>
        <item x="1772"/>
        <item x="1903"/>
        <item x="1831"/>
        <item x="2770"/>
        <item x="481"/>
        <item x="2714"/>
        <item x="829"/>
        <item x="3947"/>
        <item x="3098"/>
        <item m="1" x="4085"/>
        <item m="1" x="4214"/>
        <item x="367"/>
        <item x="1180"/>
        <item x="135"/>
        <item x="1604"/>
        <item x="350"/>
        <item x="786"/>
        <item m="1" x="3998"/>
        <item x="2072"/>
        <item x="402"/>
        <item x="563"/>
        <item x="107"/>
        <item x="180"/>
        <item x="440"/>
        <item x="548"/>
        <item x="961"/>
        <item x="1308"/>
        <item x="1484"/>
        <item x="2002"/>
        <item x="2275"/>
        <item x="2353"/>
        <item m="1" x="4087"/>
        <item x="3102"/>
        <item x="3123"/>
        <item x="3473"/>
        <item x="3787"/>
        <item x="667"/>
        <item x="1381"/>
        <item x="3820"/>
        <item x="2857"/>
        <item x="2549"/>
        <item x="2650"/>
        <item x="68"/>
        <item x="119"/>
        <item x="137"/>
        <item x="361"/>
        <item x="456"/>
        <item x="514"/>
        <item m="1" x="4137"/>
        <item x="582"/>
        <item x="784"/>
        <item x="860"/>
        <item x="917"/>
        <item x="1091"/>
        <item x="1212"/>
        <item x="1222"/>
        <item x="1251"/>
        <item x="1304"/>
        <item x="1335"/>
        <item x="1447"/>
        <item x="1562"/>
        <item x="1718"/>
        <item x="2046"/>
        <item x="2185"/>
        <item x="2274"/>
        <item x="2291"/>
        <item x="2348"/>
        <item m="1" x="4167"/>
        <item x="2463"/>
        <item x="2515"/>
        <item x="2621"/>
        <item x="2627"/>
        <item x="2628"/>
        <item x="2719"/>
        <item x="2863"/>
        <item x="3069"/>
        <item x="3112"/>
        <item x="3124"/>
        <item x="3158"/>
        <item x="3474"/>
        <item x="3477"/>
        <item x="3534"/>
        <item x="3641"/>
        <item x="3794"/>
        <item x="3956"/>
        <item m="1" x="4057"/>
        <item x="727"/>
        <item x="767"/>
        <item x="1553"/>
        <item x="2607"/>
        <item m="1" x="4112"/>
        <item x="3552"/>
        <item x="117"/>
        <item x="197"/>
        <item x="269"/>
        <item x="399"/>
        <item x="825"/>
        <item x="1165"/>
        <item x="1316"/>
        <item x="1371"/>
        <item x="1511"/>
        <item x="1706"/>
        <item x="1711"/>
        <item x="1727"/>
        <item m="1" x="4189"/>
        <item x="500"/>
        <item x="648"/>
        <item x="1581"/>
        <item x="2915"/>
        <item x="3201"/>
        <item x="3330"/>
        <item x="1240"/>
        <item x="1557"/>
        <item x="1994"/>
        <item x="104"/>
        <item x="128"/>
        <item x="207"/>
        <item x="689"/>
        <item x="1920"/>
        <item x="2599"/>
        <item x="2639"/>
        <item x="2922"/>
        <item x="3033"/>
        <item x="3264"/>
        <item x="3399"/>
        <item x="3609"/>
        <item x="3725"/>
        <item x="3973"/>
        <item x="1144"/>
        <item x="3779"/>
        <item x="1353"/>
        <item m="1" x="4107"/>
        <item x="2516"/>
        <item x="424"/>
        <item m="1" x="4193"/>
        <item x="3529"/>
        <item x="381"/>
        <item x="2172"/>
        <item x="2748"/>
        <item x="3029"/>
        <item m="1" x="4058"/>
        <item x="3455"/>
        <item x="3587"/>
        <item x="2613"/>
        <item m="1" x="4229"/>
        <item x="2559"/>
        <item x="657"/>
        <item x="3711"/>
        <item x="2359"/>
        <item x="3624"/>
        <item x="310"/>
        <item x="1498"/>
        <item x="2729"/>
        <item x="2897"/>
        <item x="1974"/>
        <item x="3284"/>
        <item x="2492"/>
        <item x="3007"/>
        <item x="3708"/>
        <item x="3071"/>
        <item x="1806"/>
        <item x="3492"/>
        <item x="2025"/>
        <item x="2302"/>
        <item x="2421"/>
        <item x="2693"/>
        <item x="3032"/>
        <item x="3495"/>
        <item x="1800"/>
        <item x="322"/>
        <item x="486"/>
        <item x="1538"/>
        <item x="3467"/>
        <item x="3480"/>
        <item x="2192"/>
        <item x="1648"/>
        <item x="53"/>
        <item x="762"/>
        <item x="1060"/>
        <item x="1170"/>
        <item x="1445"/>
        <item x="1758"/>
        <item x="2533"/>
        <item x="2580"/>
        <item x="3319"/>
        <item x="47"/>
        <item x="74"/>
        <item x="81"/>
        <item x="213"/>
        <item x="225"/>
        <item m="1" x="4157"/>
        <item x="345"/>
        <item x="403"/>
        <item x="546"/>
        <item x="558"/>
        <item x="589"/>
        <item x="698"/>
        <item x="702"/>
        <item x="809"/>
        <item x="868"/>
        <item x="893"/>
        <item x="967"/>
        <item x="976"/>
        <item x="979"/>
        <item x="1016"/>
        <item x="1146"/>
        <item x="1179"/>
        <item x="1183"/>
        <item m="1" x="4139"/>
        <item x="1440"/>
        <item x="2026"/>
        <item x="2217"/>
        <item x="2252"/>
        <item x="2700"/>
        <item x="2741"/>
        <item x="2873"/>
        <item x="2900"/>
        <item x="3328"/>
        <item x="3342"/>
        <item x="3497"/>
        <item x="3528"/>
        <item x="3602"/>
        <item x="3640"/>
        <item x="3837"/>
        <item x="3959"/>
        <item x="742"/>
        <item m="1" x="4016"/>
        <item x="1559"/>
        <item x="1765"/>
        <item x="2377"/>
        <item x="2678"/>
        <item x="2798"/>
        <item x="2807"/>
        <item x="2916"/>
        <item x="3868"/>
        <item m="1" x="4309"/>
        <item x="453"/>
        <item x="1247"/>
        <item x="1436"/>
        <item m="1" x="4158"/>
        <item x="2083"/>
        <item x="2261"/>
        <item x="2328"/>
        <item x="2407"/>
        <item x="2451"/>
        <item x="2560"/>
        <item x="3986"/>
        <item x="3850"/>
        <item x="82"/>
        <item x="341"/>
        <item x="1220"/>
        <item x="3755"/>
        <item m="1" x="4168"/>
        <item x="382"/>
        <item x="433"/>
        <item x="948"/>
        <item x="2145"/>
        <item m="1" x="3996"/>
        <item x="3438"/>
        <item x="1960"/>
        <item x="2817"/>
        <item x="3402"/>
        <item m="1" x="4176"/>
        <item x="1633"/>
        <item m="1" x="4148"/>
        <item x="1635"/>
        <item x="1299"/>
        <item x="3154"/>
        <item x="531"/>
        <item x="1239"/>
        <item x="101"/>
        <item x="319"/>
        <item x="554"/>
        <item x="1020"/>
        <item x="1061"/>
        <item x="3228"/>
        <item x="674"/>
        <item x="764"/>
        <item x="790"/>
        <item x="802"/>
        <item x="865"/>
        <item x="883"/>
        <item m="1" x="4025"/>
        <item x="1171"/>
        <item x="1287"/>
        <item x="1350"/>
        <item x="1378"/>
        <item m="1" x="4149"/>
        <item x="590"/>
        <item x="2004"/>
        <item x="2214"/>
        <item x="1642"/>
        <item x="2342"/>
        <item x="2442"/>
        <item x="2517"/>
        <item x="2538"/>
        <item x="2750"/>
        <item x="2765"/>
        <item x="2877"/>
        <item x="2954"/>
        <item x="3229"/>
        <item x="3585"/>
        <item x="3632"/>
        <item x="3838"/>
        <item x="1844"/>
        <item x="1931"/>
        <item x="2846"/>
        <item x="3525"/>
        <item x="3611"/>
        <item x="3856"/>
        <item x="112"/>
        <item x="1876"/>
        <item x="1989"/>
        <item x="2570"/>
        <item x="3829"/>
        <item x="3847"/>
        <item x="989"/>
        <item x="2803"/>
        <item x="2294"/>
        <item x="2443"/>
        <item x="3668"/>
        <item x="684"/>
        <item x="1893"/>
        <item x="1895"/>
        <item x="3792"/>
        <item x="2575"/>
        <item x="247"/>
        <item x="2180"/>
        <item x="2449"/>
        <item x="3966"/>
        <item x="2665"/>
        <item x="1653"/>
        <item x="3753"/>
        <item m="1" x="4211"/>
        <item x="211"/>
        <item x="877"/>
        <item x="1455"/>
        <item x="2595"/>
        <item x="2062"/>
        <item x="2681"/>
        <item x="3141"/>
        <item x="2219"/>
        <item x="1853"/>
        <item x="2110"/>
        <item x="3934"/>
        <item x="794"/>
        <item x="181"/>
        <item x="2323"/>
        <item x="3055"/>
        <item x="1294"/>
        <item x="3563"/>
        <item x="3704"/>
        <item x="261"/>
        <item x="626"/>
        <item x="914"/>
        <item x="1115"/>
        <item x="1254"/>
        <item x="1416"/>
        <item x="1461"/>
        <item x="1784"/>
        <item x="1791"/>
        <item x="1824"/>
        <item x="1923"/>
        <item x="1938"/>
        <item x="1944"/>
        <item x="2655"/>
        <item x="2810"/>
        <item x="3852"/>
        <item x="3967"/>
        <item x="199"/>
        <item x="1636"/>
        <item x="1466"/>
        <item x="3175"/>
        <item x="3741"/>
        <item x="1190"/>
        <item m="1" x="4260"/>
        <item x="1539"/>
        <item x="16"/>
        <item x="1014"/>
        <item x="2487"/>
        <item x="3309"/>
        <item x="3005"/>
        <item x="152"/>
        <item x="368"/>
        <item x="377"/>
        <item x="760"/>
        <item x="3471"/>
        <item x="3757"/>
        <item x="830"/>
        <item x="240"/>
        <item x="2698"/>
        <item x="3923"/>
        <item x="1643"/>
        <item x="3499"/>
        <item m="1" x="3994"/>
        <item x="2989"/>
        <item x="1271"/>
        <item x="2270"/>
        <item m="1" x="4273"/>
        <item x="2746"/>
        <item x="273"/>
        <item x="2635"/>
        <item x="2680"/>
        <item x="2013"/>
        <item x="2339"/>
        <item x="3770"/>
        <item x="2111"/>
        <item m="1" x="4231"/>
        <item x="560"/>
        <item x="1708"/>
        <item x="3122"/>
        <item x="277"/>
        <item x="3615"/>
        <item x="1702"/>
        <item x="2504"/>
        <item x="2459"/>
        <item x="1478"/>
        <item x="1113"/>
        <item x="2085"/>
        <item m="1" x="4220"/>
        <item x="3363"/>
        <item x="67"/>
        <item x="3919"/>
        <item x="1971"/>
        <item m="1" x="4032"/>
        <item x="1855"/>
        <item x="3773"/>
        <item m="1" x="4123"/>
        <item x="3103"/>
        <item x="3205"/>
        <item m="1" x="4147"/>
        <item x="2048"/>
        <item x="2349"/>
        <item x="2476"/>
        <item x="154"/>
        <item x="3148"/>
        <item x="782"/>
        <item x="506"/>
        <item x="840"/>
        <item x="1493"/>
        <item x="1595"/>
        <item x="1605"/>
        <item x="1871"/>
        <item x="1874"/>
        <item x="2016"/>
        <item x="3476"/>
        <item x="3355"/>
        <item m="1" x="4202"/>
        <item x="8"/>
        <item x="779"/>
        <item x="966"/>
        <item x="1101"/>
        <item x="1402"/>
        <item x="1506"/>
        <item x="2121"/>
        <item x="2383"/>
        <item x="2566"/>
        <item x="3446"/>
        <item x="3633"/>
        <item x="3746"/>
        <item x="140"/>
        <item x="1869"/>
        <item x="2296"/>
        <item x="1355"/>
        <item x="1677"/>
        <item x="3717"/>
        <item x="285"/>
        <item m="1" x="4054"/>
        <item x="3049"/>
        <item x="40"/>
        <item x="320"/>
        <item x="710"/>
        <item x="1332"/>
        <item x="1368"/>
        <item x="1448"/>
        <item m="1" x="4116"/>
        <item x="3376"/>
        <item x="2324"/>
        <item x="1100"/>
        <item x="1233"/>
        <item x="2697"/>
        <item m="1" x="4110"/>
        <item x="2951"/>
        <item x="3117"/>
        <item x="521"/>
        <item x="2618"/>
        <item x="3325"/>
        <item x="880"/>
        <item x="2603"/>
        <item x="771"/>
        <item x="3834"/>
        <item x="393"/>
        <item x="3767"/>
        <item m="1" x="4294"/>
        <item x="1354"/>
        <item m="1" x="4104"/>
        <item x="3895"/>
        <item x="2365"/>
        <item x="1356"/>
        <item x="2445"/>
        <item x="2760"/>
        <item x="1891"/>
        <item x="1289"/>
        <item m="1" x="4045"/>
        <item x="2622"/>
        <item x="3245"/>
        <item x="1691"/>
        <item x="3920"/>
        <item x="691"/>
        <item x="871"/>
        <item x="1325"/>
        <item x="643"/>
        <item x="1070"/>
        <item x="2979"/>
        <item x="3971"/>
        <item x="625"/>
        <item x="1851"/>
        <item x="2978"/>
        <item x="649"/>
        <item x="653"/>
        <item x="114"/>
        <item x="1507"/>
        <item x="445"/>
        <item m="1" x="4191"/>
        <item x="663"/>
        <item x="1288"/>
        <item m="1" x="4012"/>
        <item x="931"/>
        <item x="3931"/>
        <item m="1" x="4206"/>
        <item x="257"/>
        <item x="289"/>
        <item x="295"/>
        <item x="493"/>
        <item m="1" x="4264"/>
        <item x="1130"/>
        <item x="2526"/>
        <item x="2536"/>
        <item m="1" x="4223"/>
        <item x="3617"/>
        <item x="3623"/>
        <item x="1720"/>
        <item x="390"/>
        <item x="537"/>
        <item m="1" x="4197"/>
        <item x="1085"/>
        <item x="1201"/>
        <item x="1278"/>
        <item x="1473"/>
        <item x="1504"/>
        <item x="1582"/>
        <item x="1622"/>
        <item x="2335"/>
        <item x="2472"/>
        <item x="3164"/>
        <item x="3324"/>
        <item x="3374"/>
        <item x="3687"/>
        <item x="1924"/>
        <item x="2888"/>
        <item x="1588"/>
        <item x="37"/>
        <item x="1389"/>
        <item x="1398"/>
        <item x="457"/>
        <item x="941"/>
        <item x="999"/>
        <item x="1301"/>
        <item x="1678"/>
        <item x="2522"/>
        <item x="3434"/>
        <item x="1387"/>
        <item x="3213"/>
        <item x="3435"/>
        <item x="3888"/>
        <item x="28"/>
        <item x="85"/>
        <item x="97"/>
        <item x="120"/>
        <item x="155"/>
        <item x="693"/>
        <item x="996"/>
        <item x="1031"/>
        <item x="1134"/>
        <item x="1205"/>
        <item m="1" x="4291"/>
        <item x="1779"/>
        <item x="1810"/>
        <item x="1821"/>
        <item x="1839"/>
        <item x="1862"/>
        <item x="1939"/>
        <item x="1958"/>
        <item x="1961"/>
        <item x="2645"/>
        <item x="2754"/>
        <item x="2923"/>
        <item x="2964"/>
        <item x="3009"/>
        <item x="3041"/>
        <item x="3134"/>
        <item x="3433"/>
        <item x="3600"/>
        <item x="3857"/>
        <item x="2816"/>
        <item x="2527"/>
        <item x="274"/>
        <item x="2135"/>
        <item x="3621"/>
        <item x="2112"/>
        <item m="1" x="4122"/>
        <item x="810"/>
        <item x="340"/>
        <item x="355"/>
        <item x="735"/>
        <item x="1006"/>
        <item x="2005"/>
        <item x="2201"/>
        <item x="1340"/>
        <item x="2588"/>
        <item x="2761"/>
        <item m="1" x="4160"/>
        <item x="3253"/>
        <item x="3255"/>
        <item m="1" x="4062"/>
        <item x="3750"/>
        <item x="416"/>
        <item x="334"/>
        <item x="1231"/>
        <item m="1" x="4159"/>
        <item x="2098"/>
        <item x="2481"/>
        <item x="2644"/>
        <item x="3580"/>
        <item m="1" x="4111"/>
        <item x="1322"/>
        <item x="2579"/>
        <item x="2006"/>
        <item x="1530"/>
        <item x="1431"/>
        <item x="1510"/>
        <item x="406"/>
        <item x="446"/>
        <item x="3893"/>
        <item x="3905"/>
        <item x="3875"/>
        <item x="1143"/>
        <item x="3636"/>
        <item x="3665"/>
        <item m="1" x="4296"/>
        <item x="346"/>
        <item x="609"/>
        <item x="1646"/>
        <item x="3511"/>
        <item x="3616"/>
        <item x="102"/>
        <item m="1" x="4164"/>
        <item x="1444"/>
        <item x="2410"/>
        <item x="756"/>
        <item x="789"/>
        <item x="1328"/>
        <item m="1" x="4043"/>
        <item x="2732"/>
        <item x="3270"/>
        <item x="598"/>
        <item x="422"/>
        <item x="407"/>
        <item x="2071"/>
        <item x="2545"/>
        <item x="1419"/>
        <item x="2288"/>
        <item x="2974"/>
        <item x="925"/>
        <item x="2643"/>
        <item x="1916"/>
        <item x="192"/>
        <item m="1" x="4004"/>
        <item x="780"/>
        <item x="787"/>
        <item x="884"/>
        <item x="1577"/>
        <item x="1788"/>
        <item x="1981"/>
        <item x="2167"/>
        <item x="2830"/>
        <item x="3064"/>
        <item x="3265"/>
        <item x="3289"/>
        <item x="3310"/>
        <item m="1" x="4239"/>
        <item x="3870"/>
        <item x="1548"/>
        <item m="1" x="4056"/>
        <item x="335"/>
        <item x="704"/>
        <item x="768"/>
        <item x="915"/>
        <item x="944"/>
        <item x="1330"/>
        <item m="1" x="4236"/>
        <item x="2164"/>
        <item x="2244"/>
        <item x="2489"/>
        <item x="2970"/>
        <item x="3802"/>
        <item x="516"/>
        <item m="1" x="4303"/>
        <item x="2811"/>
        <item x="103"/>
        <item x="410"/>
        <item x="2550"/>
        <item m="1" x="4244"/>
        <item x="380"/>
        <item x="1531"/>
        <item m="1" x="4055"/>
        <item x="3017"/>
        <item x="362"/>
        <item x="695"/>
        <item x="964"/>
        <item x="2268"/>
        <item x="3360"/>
        <item x="245"/>
        <item x="716"/>
        <item x="1470"/>
        <item m="1" x="4272"/>
        <item x="279"/>
        <item x="505"/>
        <item x="732"/>
        <item x="1463"/>
        <item x="2477"/>
        <item x="3393"/>
        <item x="280"/>
        <item x="448"/>
        <item x="497"/>
        <item x="523"/>
        <item x="719"/>
        <item x="882"/>
        <item x="907"/>
        <item x="1048"/>
        <item x="1084"/>
        <item x="1126"/>
        <item x="1259"/>
        <item x="1272"/>
        <item x="1323"/>
        <item x="1494"/>
        <item x="1675"/>
        <item x="1683"/>
        <item x="1736"/>
        <item x="2041"/>
        <item x="2059"/>
        <item x="2092"/>
        <item x="2357"/>
        <item x="2388"/>
        <item x="2436"/>
        <item m="1" x="4232"/>
        <item m="1" x="4290"/>
        <item m="1" x="4097"/>
        <item x="3206"/>
        <item x="3231"/>
        <item x="3299"/>
        <item x="3737"/>
        <item x="3756"/>
        <item x="3758"/>
        <item x="3769"/>
        <item x="3918"/>
        <item x="3939"/>
        <item x="3949"/>
        <item x="185"/>
        <item x="215"/>
        <item x="354"/>
        <item x="455"/>
        <item x="668"/>
        <item x="968"/>
        <item x="1004"/>
        <item x="1295"/>
        <item x="1298"/>
        <item x="1411"/>
        <item x="2186"/>
        <item x="2190"/>
        <item x="2289"/>
        <item x="2341"/>
        <item m="1" x="4175"/>
        <item x="2869"/>
        <item x="3053"/>
        <item x="3133"/>
        <item x="3841"/>
        <item x="3843"/>
        <item x="717"/>
        <item x="1750"/>
        <item x="182"/>
        <item x="988"/>
        <item x="2630"/>
        <item x="3941"/>
        <item x="447"/>
        <item x="2977"/>
        <item x="1067"/>
        <item x="2030"/>
        <item x="1973"/>
        <item x="472"/>
        <item x="743"/>
        <item x="2038"/>
        <item x="2020"/>
        <item x="1471"/>
        <item m="1" x="4018"/>
        <item x="2061"/>
        <item x="3510"/>
        <item x="95"/>
        <item m="1" x="4069"/>
        <item m="1" x="4269"/>
        <item x="724"/>
        <item m="1" x="4301"/>
        <item x="2060"/>
        <item x="3210"/>
        <item x="3555"/>
        <item x="3839"/>
        <item x="3273"/>
        <item x="2523"/>
        <item x="1252"/>
        <item x="1968"/>
        <item x="3076"/>
        <item x="77"/>
        <item x="291"/>
        <item x="983"/>
        <item x="992"/>
        <item x="1028"/>
        <item x="1235"/>
        <item x="1396"/>
        <item x="2509"/>
        <item x="1812"/>
        <item x="1825"/>
        <item x="1841"/>
        <item x="1905"/>
        <item x="1907"/>
        <item x="1918"/>
        <item x="1933"/>
        <item x="1947"/>
        <item x="1962"/>
        <item x="2130"/>
        <item x="2235"/>
        <item x="2269"/>
        <item x="2378"/>
        <item x="2626"/>
        <item x="2648"/>
        <item x="2784"/>
        <item x="2853"/>
        <item x="3003"/>
        <item x="3057"/>
        <item x="3101"/>
        <item x="2510"/>
        <item x="3458"/>
        <item x="3491"/>
        <item x="3638"/>
        <item x="3690"/>
        <item x="3724"/>
        <item x="3727"/>
        <item x="3872"/>
        <item x="3963"/>
        <item x="3987"/>
        <item x="2797"/>
        <item x="23"/>
        <item x="43"/>
        <item x="231"/>
        <item x="400"/>
        <item x="690"/>
        <item x="1352"/>
        <item x="1384"/>
        <item x="1426"/>
        <item x="1443"/>
        <item x="1505"/>
        <item x="1830"/>
        <item x="1919"/>
        <item x="1954"/>
        <item x="2011"/>
        <item x="2789"/>
        <item x="2790"/>
        <item x="2828"/>
        <item x="3494"/>
        <item x="3507"/>
        <item x="3858"/>
        <item x="3926"/>
        <item x="3712"/>
        <item x="658"/>
        <item x="1786"/>
        <item x="1959"/>
        <item x="2564"/>
        <item x="2113"/>
        <item x="1360"/>
        <item x="2889"/>
        <item x="71"/>
        <item x="1945"/>
        <item x="1963"/>
        <item x="3190"/>
        <item x="2012"/>
        <item x="264"/>
        <item x="1533"/>
        <item x="808"/>
        <item x="2351"/>
        <item x="3553"/>
        <item x="3581"/>
        <item x="3836"/>
        <item x="3321"/>
        <item x="3768"/>
        <item m="1" x="4011"/>
        <item m="1" x="4095"/>
        <item x="1092"/>
        <item x="3451"/>
        <item x="2191"/>
        <item x="3364"/>
        <item x="2303"/>
        <item x="3749"/>
        <item x="2843"/>
        <item x="856"/>
        <item x="3596"/>
        <item x="2403"/>
        <item x="349"/>
        <item x="3371"/>
        <item x="2577"/>
        <item x="1306"/>
        <item x="305"/>
        <item x="2028"/>
        <item x="2352"/>
        <item x="3326"/>
        <item m="1" x="4129"/>
        <item x="542"/>
        <item x="772"/>
        <item x="1093"/>
        <item x="2317"/>
        <item x="3916"/>
        <item x="1339"/>
        <item x="1714"/>
        <item x="3143"/>
        <item x="2557"/>
        <item x="1900"/>
        <item x="1969"/>
        <item x="3656"/>
        <item x="1077"/>
        <item x="1966"/>
        <item x="918"/>
        <item x="2466"/>
        <item x="2852"/>
        <item x="3489"/>
        <item x="2578"/>
        <item x="262"/>
        <item x="2800"/>
        <item x="629"/>
        <item x="651"/>
        <item x="1705"/>
        <item x="1725"/>
        <item x="1805"/>
        <item x="1811"/>
        <item x="2434"/>
        <item x="3869"/>
        <item x="3927"/>
        <item m="1" x="4029"/>
        <item m="1" x="4099"/>
        <item x="1946"/>
        <item x="507"/>
        <item m="1" x="4310"/>
        <item x="3821"/>
        <item x="2793"/>
        <item x="3887"/>
        <item x="1856"/>
        <item x="2075"/>
        <item m="1" x="4298"/>
        <item x="299"/>
        <item x="337"/>
        <item x="775"/>
        <item x="1256"/>
        <item x="526"/>
        <item x="143"/>
        <item m="1" x="4190"/>
        <item x="600"/>
        <item x="709"/>
        <item x="947"/>
        <item x="1296"/>
        <item x="1710"/>
        <item x="2104"/>
        <item x="2139"/>
        <item x="3067"/>
        <item x="913"/>
        <item x="2411"/>
        <item x="1196"/>
        <item x="932"/>
        <item m="1" x="4289"/>
        <item x="3127"/>
        <item x="1429"/>
        <item x="3946"/>
        <item x="364"/>
        <item x="654"/>
        <item x="676"/>
        <item x="2766"/>
        <item x="2819"/>
        <item x="3419"/>
        <item x="3459"/>
        <item m="1" x="4226"/>
        <item x="1501"/>
        <item x="2009"/>
        <item x="2614"/>
        <item x="188"/>
        <item x="321"/>
        <item x="591"/>
        <item x="765"/>
        <item x="1281"/>
        <item x="1412"/>
        <item x="1423"/>
        <item x="1563"/>
        <item x="2187"/>
        <item x="2237"/>
        <item x="2507"/>
        <item m="1" x="4186"/>
        <item x="3165"/>
        <item x="3591"/>
        <item x="3655"/>
        <item x="3832"/>
        <item x="1246"/>
        <item x="15"/>
        <item x="1995"/>
        <item x="611"/>
        <item x="538"/>
        <item x="1249"/>
        <item x="1359"/>
        <item x="2105"/>
        <item x="2616"/>
        <item x="3408"/>
        <item x="3626"/>
        <item x="3886"/>
        <item x="1551"/>
        <item x="1651"/>
        <item x="2537"/>
        <item x="1591"/>
        <item x="1095"/>
        <item x="2279"/>
        <item x="1162"/>
        <item x="356"/>
        <item x="1379"/>
        <item x="2984"/>
        <item x="3204"/>
        <item x="3425"/>
        <item x="134"/>
        <item m="1" x="4108"/>
        <item x="616"/>
        <item x="813"/>
        <item m="1" x="4194"/>
        <item x="2080"/>
        <item m="1" x="4015"/>
        <item x="2265"/>
        <item x="1467"/>
        <item x="2569"/>
        <item x="1127"/>
        <item x="2131"/>
        <item x="2473"/>
        <item x="3509"/>
        <item x="3610"/>
        <item x="3788"/>
        <item x="3778"/>
        <item x="1940"/>
        <item x="2455"/>
        <item x="2785"/>
        <item x="3035"/>
        <item x="3691"/>
        <item x="3855"/>
        <item x="3851"/>
        <item x="2969"/>
        <item x="3015"/>
        <item x="2242"/>
        <item x="2438"/>
        <item x="2947"/>
        <item x="298"/>
        <item x="304"/>
        <item x="352"/>
        <item x="435"/>
        <item x="585"/>
        <item x="970"/>
        <item x="1011"/>
        <item x="1275"/>
        <item x="1449"/>
        <item x="2239"/>
        <item x="2255"/>
        <item x="2347"/>
        <item x="2609"/>
        <item x="2842"/>
        <item x="2941"/>
        <item x="2997"/>
        <item x="3086"/>
        <item x="3174"/>
        <item x="3503"/>
        <item x="1574"/>
        <item x="338"/>
        <item x="605"/>
        <item x="723"/>
        <item x="1159"/>
        <item x="1334"/>
        <item x="1450"/>
        <item x="1556"/>
        <item x="2054"/>
        <item x="2212"/>
        <item x="2629"/>
        <item x="2952"/>
        <item x="3278"/>
        <item x="3302"/>
        <item x="3177"/>
        <item x="753"/>
        <item x="366"/>
        <item x="1078"/>
        <item x="370"/>
        <item x="1158"/>
        <item m="1" x="4169"/>
        <item x="3187"/>
        <item x="488"/>
        <item x="124"/>
        <item x="236"/>
        <item x="824"/>
        <item x="908"/>
        <item x="2368"/>
        <item x="2467"/>
        <item m="1" x="4259"/>
        <item x="2428"/>
        <item x="3395"/>
        <item x="80"/>
        <item x="1480"/>
        <item x="2943"/>
        <item x="1062"/>
        <item x="1644"/>
        <item x="3599"/>
        <item x="1274"/>
        <item x="1361"/>
        <item m="1" x="4073"/>
        <item x="1181"/>
        <item x="1485"/>
        <item x="3249"/>
        <item x="3445"/>
        <item x="3651"/>
        <item x="432"/>
        <item x="731"/>
        <item x="2211"/>
        <item x="284"/>
        <item x="562"/>
        <item x="613"/>
        <item x="678"/>
        <item x="807"/>
        <item x="1202"/>
        <item x="2593"/>
        <item x="2667"/>
        <item x="3178"/>
        <item x="3329"/>
        <item x="3338"/>
        <item x="1780"/>
        <item x="1807"/>
        <item x="2758"/>
        <item x="3412"/>
        <item x="2045"/>
        <item x="2528"/>
        <item x="3449"/>
        <item x="303"/>
        <item x="614"/>
        <item x="1641"/>
        <item x="2153"/>
        <item x="3719"/>
        <item x="1382"/>
        <item x="1434"/>
        <item x="3010"/>
        <item x="3130"/>
        <item x="246"/>
        <item x="2859"/>
        <item x="3194"/>
        <item x="3866"/>
        <item x="679"/>
        <item x="2021"/>
        <item x="318"/>
        <item x="409"/>
        <item x="437"/>
        <item x="471"/>
        <item x="511"/>
        <item x="576"/>
        <item x="615"/>
        <item x="733"/>
        <item x="845"/>
        <item x="928"/>
        <item x="957"/>
        <item x="1003"/>
        <item x="1414"/>
        <item x="1418"/>
        <item x="1446"/>
        <item x="2007"/>
        <item x="2146"/>
        <item x="2151"/>
        <item x="2250"/>
        <item x="2447"/>
        <item x="2369"/>
        <item x="2419"/>
        <item x="2500"/>
        <item x="2720"/>
        <item x="2773"/>
        <item x="2903"/>
        <item x="2983"/>
        <item m="1" x="4305"/>
        <item x="3060"/>
        <item x="3159"/>
        <item x="3222"/>
        <item x="3643"/>
        <item x="3660"/>
        <item x="3795"/>
        <item x="3817"/>
        <item x="3978"/>
        <item x="165"/>
        <item x="785"/>
        <item x="2043"/>
        <item x="805"/>
        <item x="610"/>
        <item m="1" x="4074"/>
        <item x="2329"/>
        <item x="2415"/>
        <item m="1" x="4221"/>
        <item x="3156"/>
        <item x="3594"/>
        <item x="3730"/>
        <item x="1041"/>
        <item x="1746"/>
        <item x="48"/>
        <item x="392"/>
        <item x="1242"/>
        <item x="1537"/>
        <item x="3835"/>
        <item x="1578"/>
        <item x="79"/>
        <item x="665"/>
        <item x="1532"/>
        <item x="1592"/>
        <item x="1799"/>
        <item x="2033"/>
        <item x="2513"/>
        <item x="3300"/>
        <item m="1" x="4207"/>
        <item x="3481"/>
        <item x="3514"/>
        <item m="1" x="4002"/>
        <item x="739"/>
        <item x="2398"/>
        <item x="3191"/>
        <item x="1072"/>
        <item x="3876"/>
        <item x="417"/>
        <item x="2882"/>
        <item x="3487"/>
        <item x="3613"/>
        <item x="1232"/>
        <item x="3096"/>
        <item x="3180"/>
        <item x="2501"/>
        <item x="3799"/>
        <item x="3543"/>
        <item x="254"/>
        <item x="58"/>
        <item x="316"/>
        <item x="669"/>
        <item x="1051"/>
        <item x="1136"/>
        <item m="1" x="4042"/>
        <item x="50"/>
        <item x="584"/>
        <item x="1102"/>
        <item x="2107"/>
        <item m="1" x="4068"/>
        <item x="3389"/>
        <item x="711"/>
        <item x="945"/>
        <item x="1451"/>
        <item x="1695"/>
        <item x="3272"/>
        <item x="190"/>
        <item x="683"/>
        <item m="1" x="4258"/>
        <item x="3422"/>
        <item m="1" x="4100"/>
        <item x="3901"/>
        <item x="1464"/>
        <item m="1" x="4196"/>
        <item x="2355"/>
        <item x="2399"/>
        <item x="2529"/>
        <item x="2701"/>
        <item x="3512"/>
        <item x="1859"/>
        <item x="2100"/>
        <item x="2245"/>
        <item x="3026"/>
        <item x="72"/>
        <item x="3406"/>
        <item x="479"/>
        <item m="1" x="4084"/>
        <item x="2271"/>
        <item x="647"/>
        <item x="1052"/>
        <item x="1135"/>
        <item x="2776"/>
        <item x="3786"/>
        <item x="3490"/>
        <item x="83"/>
        <item x="86"/>
        <item x="148"/>
        <item x="158"/>
        <item x="271"/>
        <item x="385"/>
        <item x="477"/>
        <item x="929"/>
        <item x="936"/>
        <item x="990"/>
        <item x="998"/>
        <item x="1110"/>
        <item x="1374"/>
        <item x="1395"/>
        <item x="1427"/>
        <item x="1477"/>
        <item x="1512"/>
        <item x="1792"/>
        <item x="1827"/>
        <item x="1840"/>
        <item x="1890"/>
        <item x="1897"/>
        <item x="1899"/>
        <item x="1901"/>
        <item x="1950"/>
        <item x="1964"/>
        <item x="2023"/>
        <item x="172"/>
        <item x="2362"/>
        <item x="173"/>
        <item x="2649"/>
        <item x="2737"/>
        <item x="2767"/>
        <item x="2786"/>
        <item x="2801"/>
        <item x="2808"/>
        <item x="2812"/>
        <item x="2921"/>
        <item x="2962"/>
        <item x="2987"/>
        <item x="3155"/>
        <item x="3335"/>
        <item x="3414"/>
        <item x="3488"/>
        <item x="3546"/>
        <item x="3713"/>
        <item x="3726"/>
        <item m="1" x="4081"/>
        <item x="3805"/>
        <item x="3853"/>
        <item x="3974"/>
        <item m="1" x="4128"/>
        <item x="2014"/>
        <item x="2530"/>
        <item x="2534"/>
        <item x="2856"/>
        <item x="106"/>
        <item x="1721"/>
        <item x="1586"/>
        <item x="3674"/>
        <item x="1056"/>
        <item x="2248"/>
        <item x="3884"/>
        <item x="2727"/>
        <item m="1" x="3999"/>
        <item x="1613"/>
        <item x="2174"/>
        <item x="3011"/>
        <item x="282"/>
        <item x="2471"/>
        <item x="2948"/>
        <item x="2592"/>
        <item x="227"/>
        <item x="3586"/>
        <item x="1410"/>
        <item m="1" x="4013"/>
        <item x="3136"/>
        <item x="3208"/>
        <item x="3279"/>
        <item x="3390"/>
        <item x="159"/>
        <item x="520"/>
        <item x="1324"/>
        <item m="1" x="4103"/>
        <item m="1" x="4031"/>
        <item x="2343"/>
        <item x="490"/>
        <item m="1" x="4070"/>
        <item x="1198"/>
        <item x="1319"/>
        <item x="1438"/>
        <item x="1713"/>
        <item x="2200"/>
        <item x="2751"/>
        <item x="3351"/>
        <item x="3456"/>
        <item x="3803"/>
        <item x="3984"/>
        <item x="525"/>
        <item x="189"/>
        <item x="909"/>
        <item x="2084"/>
        <item x="302"/>
        <item x="699"/>
        <item x="3598"/>
        <item x="20"/>
        <item x="1516"/>
        <item x="1778"/>
        <item x="1957"/>
        <item x="2572"/>
        <item x="2652"/>
        <item x="2654"/>
        <item x="2837"/>
        <item x="3042"/>
        <item x="3517"/>
        <item x="3771"/>
        <item x="3976"/>
        <item x="894"/>
        <item x="3845"/>
        <item x="736"/>
        <item x="17"/>
        <item x="63"/>
        <item x="2651"/>
        <item x="1637"/>
        <item x="2205"/>
        <item x="863"/>
        <item x="524"/>
        <item x="950"/>
        <item x="308"/>
        <item x="61"/>
        <item m="1" x="4249"/>
        <item x="1282"/>
        <item x="1452"/>
        <item x="2249"/>
        <item x="2426"/>
        <item x="3211"/>
        <item x="3223"/>
        <item x="3305"/>
        <item x="3478"/>
        <item x="113"/>
        <item x="1034"/>
        <item x="1206"/>
        <item x="1459"/>
        <item x="1726"/>
        <item x="1783"/>
        <item x="1823"/>
        <item x="1832"/>
        <item x="1842"/>
        <item x="1867"/>
        <item x="1906"/>
        <item x="2240"/>
        <item x="2360"/>
        <item x="2640"/>
        <item x="2756"/>
        <item x="3047"/>
        <item x="3359"/>
        <item x="3468"/>
        <item x="3475"/>
        <item m="1" x="4117"/>
        <item x="3684"/>
        <item x="3960"/>
        <item x="3965"/>
        <item m="1" x="4280"/>
        <item x="1103"/>
        <item x="1267"/>
        <item x="2140"/>
        <item x="2721"/>
        <item m="1" x="3990"/>
        <item m="1" x="4257"/>
        <item x="670"/>
        <item x="680"/>
        <item m="1" x="4120"/>
        <item m="1" x="4241"/>
        <item x="796"/>
        <item x="1208"/>
        <item m="1" x="4265"/>
        <item x="1269"/>
        <item x="2283"/>
        <item x="2555"/>
        <item x="3118"/>
        <item m="1" x="3993"/>
        <item m="1" x="4048"/>
        <item x="2429"/>
        <item x="2446"/>
        <item x="2624"/>
        <item x="3642"/>
        <item x="3864"/>
        <item x="2141"/>
        <item m="1" x="4225"/>
        <item x="1209"/>
        <item x="1369"/>
        <item x="420"/>
        <item x="617"/>
        <item x="814"/>
        <item x="1424"/>
        <item x="2679"/>
        <item x="3348"/>
        <item m="1" x="4306"/>
        <item x="266"/>
        <item x="272"/>
        <item x="587"/>
        <item x="776"/>
        <item x="1186"/>
        <item x="1199"/>
        <item x="1268"/>
        <item x="1580"/>
        <item x="2089"/>
        <item x="2142"/>
        <item x="2688"/>
        <item m="1" x="4017"/>
        <item x="2993"/>
        <item x="3070"/>
        <item x="3354"/>
        <item m="1" x="4071"/>
        <item x="3469"/>
        <item x="3578"/>
        <item x="3647"/>
        <item x="3673"/>
        <item x="3943"/>
        <item m="1" x="4109"/>
        <item x="532"/>
        <item x="3825"/>
        <item m="1" x="4091"/>
        <item x="1486"/>
        <item x="1615"/>
        <item x="2108"/>
        <item x="2284"/>
        <item x="3899"/>
        <item x="905"/>
        <item x="573"/>
        <item x="624"/>
        <item x="1385"/>
        <item x="1773"/>
        <item x="2474"/>
        <item m="1" x="4145"/>
        <item m="1" x="4281"/>
        <item x="547"/>
        <item x="619"/>
        <item x="1331"/>
        <item x="985"/>
        <item x="1481"/>
        <item x="2420"/>
        <item x="2771"/>
        <item x="3256"/>
        <item x="1468"/>
        <item x="56"/>
        <item x="206"/>
        <item x="1517"/>
        <item x="1117"/>
        <item x="220"/>
        <item x="1860"/>
        <item m="1" x="4143"/>
        <item x="951"/>
        <item x="2747"/>
        <item x="1406"/>
        <item m="1" x="4080"/>
        <item x="2183"/>
        <item x="569"/>
        <item x="2309"/>
        <item x="3202"/>
        <item x="2234"/>
        <item x="3754"/>
        <item x="1619"/>
        <item x="2990"/>
        <item x="3429"/>
        <item x="3696"/>
        <item x="1599"/>
        <item x="3099"/>
        <item x="365"/>
        <item x="2898"/>
        <item x="1057"/>
        <item x="421"/>
        <item x="2031"/>
        <item x="1540"/>
        <item x="397"/>
        <item m="1" x="4009"/>
        <item x="1571"/>
        <item x="997"/>
        <item m="1" x="4263"/>
        <item m="1" x="4140"/>
        <item x="1214"/>
        <item x="3078"/>
        <item x="3879"/>
        <item x="1600"/>
        <item x="2598"/>
        <item x="35"/>
        <item x="2694"/>
        <item x="178"/>
        <item x="1685"/>
        <item x="3441"/>
        <item x="342"/>
        <item x="577"/>
        <item m="1" x="3992"/>
        <item x="3343"/>
        <item x="3932"/>
        <item x="3285"/>
        <item x="204"/>
        <item x="2241"/>
        <item x="718"/>
        <item m="1" x="4114"/>
        <item m="1" x="4020"/>
        <item x="3366"/>
        <item x="3897"/>
        <item x="3034"/>
        <item x="993"/>
        <item x="3"/>
        <item x="2998"/>
        <item x="2999"/>
        <item x="3063"/>
        <item m="1" x="4142"/>
        <item x="561"/>
        <item x="1026"/>
        <item x="3465"/>
        <item x="828"/>
        <item x="1313"/>
        <item x="1437"/>
        <item x="1935"/>
        <item x="1943"/>
        <item x="2439"/>
        <item x="2675"/>
        <item x="1083"/>
        <item x="2945"/>
        <item x="2757"/>
        <item x="84"/>
        <item x="292"/>
        <item x="635"/>
        <item x="650"/>
        <item x="656"/>
        <item x="2374"/>
        <item x="919"/>
        <item x="1025"/>
        <item x="1312"/>
        <item x="1704"/>
        <item x="2375"/>
        <item x="1620"/>
        <item x="1781"/>
        <item x="1787"/>
        <item x="1837"/>
        <item x="1909"/>
        <item x="1922"/>
        <item x="1925"/>
        <item x="1934"/>
        <item x="1985"/>
        <item x="2194"/>
        <item x="2236"/>
        <item x="2441"/>
        <item x="2571"/>
        <item x="2677"/>
        <item x="2743"/>
        <item x="2847"/>
        <item x="3004"/>
        <item x="3048"/>
        <item x="3217"/>
        <item x="3350"/>
        <item x="3403"/>
        <item x="3506"/>
        <item x="3601"/>
        <item x="3658"/>
        <item x="3697"/>
        <item x="3854"/>
        <item x="3867"/>
        <item x="921"/>
        <item x="1801"/>
        <item x="2711"/>
        <item x="3038"/>
        <item x="3046"/>
        <item x="2129"/>
        <item x="1730"/>
        <item x="3037"/>
        <item x="45"/>
        <item x="474"/>
        <item x="1345"/>
        <item x="2114"/>
        <item x="3149"/>
        <item x="527"/>
        <item x="270"/>
        <item x="1163"/>
        <item x="602"/>
        <item x="46"/>
        <item x="3362"/>
        <item x="2546"/>
        <item x="3447"/>
        <item m="1" x="4003"/>
        <item x="12"/>
        <item m="1" x="4096"/>
        <item m="1" x="4201"/>
        <item x="2988"/>
        <item x="3061"/>
        <item x="3209"/>
        <item x="378"/>
        <item m="1" x="4188"/>
        <item x="359"/>
        <item x="3622"/>
        <item x="1420"/>
        <item x="1579"/>
        <item x="443"/>
        <item x="3382"/>
        <item x="3629"/>
        <item x="937"/>
        <item m="1" x="4098"/>
        <item m="1" x="4173"/>
        <item x="425"/>
        <item x="1910"/>
        <item x="3889"/>
        <item x="3336"/>
        <item x="2490"/>
        <item x="1407"/>
        <item x="2297"/>
        <item x="540"/>
        <item x="687"/>
        <item x="2956"/>
        <item m="1" x="3995"/>
        <item x="1764"/>
        <item x="1770"/>
        <item x="1771"/>
        <item x="1872"/>
        <item x="2824"/>
        <item x="426"/>
        <item m="1" x="4019"/>
        <item x="3551"/>
        <item x="920"/>
        <item x="1541"/>
        <item x="811"/>
        <item x="836"/>
        <item x="208"/>
        <item x="3197"/>
        <item x="3671"/>
        <item m="1" x="4006"/>
        <item x="69"/>
        <item x="1255"/>
        <item x="1372"/>
        <item x="705"/>
        <item x="857"/>
        <item x="1033"/>
        <item x="3892"/>
        <item x="1376"/>
        <item x="1479"/>
        <item x="1086"/>
        <item x="2195"/>
        <item x="3184"/>
        <item x="2465"/>
        <item x="73"/>
        <item x="431"/>
        <item x="460"/>
        <item x="1692"/>
        <item x="3140"/>
        <item m="1" x="4250"/>
        <item x="3531"/>
        <item x="822"/>
        <item x="903"/>
        <item x="1647"/>
        <item x="2505"/>
        <item x="3765"/>
        <item x="427"/>
        <item x="3482"/>
        <item m="1" x="4022"/>
        <item x="2222"/>
        <item x="2223"/>
        <item x="2157"/>
        <item x="3731"/>
        <item x="503"/>
        <item m="1" x="3989"/>
        <item x="59"/>
        <item x="1161"/>
        <item x="1341"/>
        <item x="2829"/>
        <item m="1" x="4089"/>
        <item x="1634"/>
        <item x="2358"/>
        <item x="986"/>
        <item x="2499"/>
        <item x="2682"/>
        <item x="2838"/>
        <item x="579"/>
        <item x="827"/>
        <item x="3073"/>
        <item x="3152"/>
        <item x="234"/>
        <item x="2325"/>
        <item x="1472"/>
        <item x="1628"/>
        <item x="2076"/>
        <item m="1" x="4072"/>
        <item x="3307"/>
        <item x="3443"/>
        <item x="2913"/>
        <item x="3331"/>
        <item x="2044"/>
        <item x="3909"/>
        <item x="1194"/>
        <item x="1598"/>
        <item m="1" x="4276"/>
        <item x="1681"/>
        <item x="1707"/>
        <item x="1843"/>
        <item x="2042"/>
        <item x="2308"/>
        <item x="2356"/>
        <item x="2396"/>
        <item x="2435"/>
        <item x="2531"/>
        <item m="1" x="4255"/>
        <item x="3356"/>
        <item x="3722"/>
        <item x="3793"/>
        <item x="3954"/>
        <item x="2069"/>
        <item x="323"/>
        <item x="317"/>
        <item x="401"/>
        <item x="1265"/>
        <item x="662"/>
        <item x="1022"/>
        <item x="1491"/>
        <item x="1612"/>
        <item x="3426"/>
        <item m="1" x="4027"/>
        <item x="216"/>
        <item x="468"/>
        <item x="1401"/>
        <item x="1652"/>
        <item x="2162"/>
        <item x="3383"/>
        <item x="623"/>
        <item x="76"/>
        <item x="3079"/>
        <item x="3220"/>
        <item x="2304"/>
        <item x="583"/>
        <item x="3444"/>
        <item x="1141"/>
        <item x="1276"/>
        <item x="1351"/>
        <item m="1" x="4050"/>
        <item x="145"/>
        <item x="2087"/>
        <item x="412"/>
        <item x="2306"/>
        <item x="3233"/>
        <item x="594"/>
        <item x="3234"/>
        <item x="1191"/>
        <item x="2313"/>
        <item x="2631"/>
        <item x="1496"/>
        <item x="2899"/>
        <item x="3168"/>
        <item x="3257"/>
        <item x="3675"/>
        <item x="55"/>
        <item x="528"/>
        <item x="1614"/>
        <item x="434"/>
        <item x="519"/>
        <item x="2460"/>
        <item x="3955"/>
        <item x="466"/>
        <item m="1" x="4293"/>
        <item x="2097"/>
        <item x="2994"/>
        <item x="3908"/>
        <item m="1" x="4094"/>
        <item x="1349"/>
        <item x="1346"/>
        <item x="1317"/>
        <item x="1518"/>
        <item x="2949"/>
        <item x="1610"/>
        <item x="3450"/>
        <item x="2663"/>
        <item x="1497"/>
        <item x="1347"/>
        <item x="1603"/>
        <item m="1" x="4005"/>
        <item x="2416"/>
        <item x="3170"/>
        <item x="388"/>
        <item m="1" x="4218"/>
        <item x="536"/>
        <item x="2827"/>
        <item x="3392"/>
        <item x="1884"/>
        <item x="328"/>
        <item x="3664"/>
        <item x="217"/>
        <item x="1280"/>
        <item x="1474"/>
        <item x="2136"/>
        <item m="1" x="4308"/>
        <item x="1211"/>
        <item x="2093"/>
        <item x="3332"/>
        <item x="278"/>
        <item x="3522"/>
        <item x="2115"/>
        <item x="1593"/>
        <item x="1982"/>
        <item x="3871"/>
        <item x="3549"/>
        <item x="313"/>
        <item x="2156"/>
        <item x="1729"/>
        <item x="1547"/>
        <item x="2685"/>
        <item x="3882"/>
        <item x="1886"/>
        <item x="1759"/>
        <item x="2695"/>
        <item x="1914"/>
        <item x="566"/>
        <item m="1" x="4262"/>
        <item x="2400"/>
        <item x="290"/>
        <item x="1403"/>
        <item x="896"/>
        <item x="1111"/>
        <item x="1892"/>
        <item x="7"/>
        <item m="1" x="4227"/>
        <item x="100"/>
        <item x="224"/>
        <item x="287"/>
        <item m="1" x="4124"/>
        <item x="755"/>
        <item x="1050"/>
        <item x="1521"/>
        <item x="1596"/>
        <item x="2082"/>
        <item x="3006"/>
        <item x="3427"/>
        <item m="1" x="4127"/>
        <item x="369"/>
        <item x="1138"/>
        <item x="2702"/>
        <item x="459"/>
        <item x="1983"/>
        <item x="1248"/>
        <item x="1283"/>
        <item x="1508"/>
        <item x="3263"/>
        <item x="3564"/>
        <item x="2821"/>
        <item x="44"/>
        <item x="108"/>
        <item x="127"/>
        <item x="627"/>
        <item x="636"/>
        <item x="642"/>
        <item x="1200"/>
        <item x="1621"/>
        <item x="1700"/>
        <item x="1813"/>
        <item x="1826"/>
        <item x="1911"/>
        <item x="1927"/>
        <item x="1928"/>
        <item x="1972"/>
        <item x="2198"/>
        <item x="2372"/>
        <item x="2409"/>
        <item x="2558"/>
        <item x="2777"/>
        <item x="2980"/>
        <item x="3432"/>
        <item x="3462"/>
        <item x="3493"/>
        <item x="3501"/>
        <item x="3518"/>
        <item x="3607"/>
        <item x="3669"/>
        <item x="3743"/>
        <item x="3848"/>
        <item x="3859"/>
        <item x="3862"/>
        <item x="3964"/>
        <item x="3972"/>
        <item x="3928"/>
        <item x="3693"/>
        <item x="842"/>
        <item x="1314"/>
        <item x="3353"/>
        <item x="115"/>
        <item x="232"/>
        <item x="685"/>
        <item x="1035"/>
        <item x="1219"/>
        <item x="1286"/>
        <item x="1794"/>
        <item x="1868"/>
        <item x="1949"/>
        <item x="2483"/>
        <item x="2768"/>
        <item x="3409"/>
        <item x="2576"/>
        <item x="3483"/>
        <item x="1129"/>
        <item x="3930"/>
        <item x="141"/>
        <item x="3157"/>
        <item x="3597"/>
        <item x="1990"/>
        <item x="2238"/>
        <item x="151"/>
        <item x="2967"/>
        <item x="3728"/>
        <item x="1618"/>
        <item x="1941"/>
        <item x="3400"/>
        <item x="3595"/>
        <item m="1" x="4235"/>
        <item m="1" x="4247"/>
        <item x="2596"/>
        <item x="1053"/>
        <item x="1664"/>
        <item x="806"/>
        <item x="2310"/>
        <item x="2769"/>
        <item x="3583"/>
        <item x="122"/>
        <item x="162"/>
        <item x="1500"/>
        <item x="1738"/>
        <item x="2444"/>
        <item x="2841"/>
        <item x="3221"/>
        <item x="783"/>
        <item x="57"/>
        <item x="3891"/>
        <item m="1" x="4224"/>
        <item x="933"/>
        <item x="3008"/>
        <item x="819"/>
        <item x="1564"/>
        <item x="3142"/>
        <item x="3463"/>
        <item x="1166"/>
        <item x="221"/>
        <item x="1250"/>
        <item x="166"/>
        <item x="3311"/>
        <item x="136"/>
        <item x="565"/>
        <item x="846"/>
        <item x="1318"/>
        <item x="1453"/>
        <item x="2134"/>
        <item x="2276"/>
        <item m="1" x="4132"/>
        <item x="1763"/>
        <item x="2541"/>
        <item x="2699"/>
        <item x="3804"/>
        <item x="1967"/>
        <item x="2712"/>
        <item x="2799"/>
        <item x="3659"/>
        <item x="3252"/>
        <item x="974"/>
        <item m="1" x="4133"/>
        <item x="2703"/>
        <item m="1" x="4178"/>
        <item x="2188"/>
        <item x="3357"/>
        <item x="875"/>
        <item m="1" x="4286"/>
        <item x="3865"/>
        <item x="2749"/>
        <item x="620"/>
        <item x="32"/>
        <item x="797"/>
        <item x="1157"/>
        <item x="1279"/>
        <item x="1310"/>
        <item x="2057"/>
        <item x="2147"/>
        <item x="2229"/>
        <item x="2427"/>
        <item m="1" x="4261"/>
        <item x="3089"/>
        <item m="1" x="4237"/>
        <item x="3144"/>
        <item x="3240"/>
        <item x="938"/>
        <item x="1584"/>
        <item x="3452"/>
        <item x="3002"/>
        <item x="1435"/>
        <item x="96"/>
        <item x="1542"/>
        <item x="1809"/>
        <item x="133"/>
        <item x="226"/>
        <item x="275"/>
        <item x="357"/>
        <item x="383"/>
        <item m="1" x="4044"/>
        <item x="545"/>
        <item x="599"/>
        <item x="694"/>
        <item x="713"/>
        <item x="726"/>
        <item x="746"/>
        <item x="958"/>
        <item m="1" x="4215"/>
        <item m="1" x="4078"/>
        <item x="1380"/>
        <item x="1503"/>
        <item x="2034"/>
        <item x="2150"/>
        <item x="2213"/>
        <item m="1" x="4115"/>
        <item x="2740"/>
        <item x="2826"/>
        <item x="2901"/>
        <item x="2910"/>
        <item x="2925"/>
        <item x="2946"/>
        <item x="3056"/>
        <item x="3120"/>
        <item m="1" x="4151"/>
        <item x="3251"/>
        <item x="3303"/>
        <item x="3379"/>
        <item x="3775"/>
        <item x="3951"/>
        <item x="54"/>
        <item x="2885"/>
        <item x="3013"/>
        <item x="3077"/>
        <item x="3344"/>
        <item x="3457"/>
        <item x="3903"/>
        <item x="235"/>
        <item m="1" x="4230"/>
        <item x="1168"/>
        <item x="2063"/>
        <item x="539"/>
        <item x="283"/>
        <item x="1399"/>
        <item x="2457"/>
        <item x="2986"/>
        <item m="1" x="4245"/>
        <item x="123"/>
        <item x="249"/>
        <item x="252"/>
        <item x="327"/>
        <item x="980"/>
        <item x="1536"/>
        <item m="1" x="4131"/>
        <item x="2961"/>
        <item x="3059"/>
        <item x="3161"/>
        <item x="3250"/>
        <item x="9"/>
        <item x="541"/>
        <item x="2610"/>
        <item x="1769"/>
        <item x="2418"/>
        <item x="1673"/>
        <item x="3384"/>
        <item x="1342"/>
        <item x="2149"/>
        <item x="2160"/>
        <item x="2354"/>
        <item x="3385"/>
        <item x="2632"/>
        <item x="3798"/>
        <item x="578"/>
        <item x="2243"/>
        <item x="2601"/>
        <item x="1087"/>
        <item x="2116"/>
        <item x="3068"/>
        <item x="3809"/>
        <item x="1172"/>
        <item x="482"/>
        <item x="922"/>
        <item m="1" x="4010"/>
        <item x="2202"/>
        <item x="1665"/>
        <item x="2535"/>
        <item x="1513"/>
        <item x="1975"/>
        <item x="870"/>
        <item x="2196"/>
        <item x="1754"/>
        <item x="2664"/>
        <item x="3709"/>
        <item x="2485"/>
        <item x="1745"/>
        <item x="2073"/>
        <item x="3147"/>
        <item x="3290"/>
        <item x="2656"/>
        <item x="1570"/>
        <item x="2860"/>
        <item x="3320"/>
        <item x="3027"/>
        <item x="2486"/>
        <item x="2295"/>
        <item x="2778"/>
        <item x="3502"/>
        <item x="1818"/>
        <item x="2193"/>
        <item x="3810"/>
        <item x="2228"/>
        <item x="193"/>
        <item x="720"/>
        <item x="2321"/>
        <item x="2344"/>
        <item x="2583"/>
        <item x="2975"/>
        <item x="3105"/>
        <item x="3107"/>
        <item x="3163"/>
        <item x="3258"/>
        <item x="3317"/>
        <item x="1996"/>
        <item x="900"/>
        <item m="1" x="4282"/>
        <item x="2254"/>
        <item x="3109"/>
        <item x="1997"/>
        <item x="2594"/>
        <item x="3322"/>
        <item x="396"/>
        <item x="1552"/>
        <item x="3282"/>
        <item x="781"/>
        <item x="3080"/>
        <item x="2361"/>
        <item x="3181"/>
        <item x="1063"/>
        <item x="3092"/>
        <item x="1321"/>
        <item x="187"/>
        <item x="203"/>
        <item m="1" x="4106"/>
        <item x="256"/>
        <item x="347"/>
        <item x="391"/>
        <item x="413"/>
        <item x="418"/>
        <item x="439"/>
        <item x="480"/>
        <item x="606"/>
        <item x="729"/>
        <item m="1" x="4086"/>
        <item x="862"/>
        <item x="895"/>
        <item x="911"/>
        <item x="981"/>
        <item x="1147"/>
        <item x="1188"/>
        <item x="1237"/>
        <item x="1413"/>
        <item x="1421"/>
        <item x="1523"/>
        <item x="1709"/>
        <item x="2018"/>
        <item x="2047"/>
        <item x="2199"/>
        <item x="2206"/>
        <item x="2456"/>
        <item x="2502"/>
        <item x="2641"/>
        <item x="2738"/>
        <item x="2881"/>
        <item x="2902"/>
        <item x="2942"/>
        <item x="2959"/>
        <item x="3028"/>
        <item x="3183"/>
        <item x="3327"/>
        <item m="1" x="4153"/>
        <item x="3592"/>
        <item x="3666"/>
        <item x="3985"/>
        <item x="1012"/>
        <item x="1795"/>
        <item x="1819"/>
        <item x="823"/>
        <item x="741"/>
        <item x="3630"/>
        <item x="3982"/>
        <item x="1000"/>
        <item x="241"/>
        <item x="1774"/>
        <item x="1076"/>
        <item x="2432"/>
        <item x="2722"/>
        <item x="3386"/>
        <item m="1" x="4187"/>
        <item x="2781"/>
        <item x="3524"/>
        <item x="1226"/>
        <item x="451"/>
        <item x="2232"/>
        <item x="2638"/>
        <item x="959"/>
        <item x="607"/>
        <item x="2482"/>
        <item x="222"/>
        <item x="529"/>
        <item x="596"/>
        <item x="761"/>
        <item x="1230"/>
        <item x="1329"/>
        <item x="2143"/>
        <item x="2281"/>
        <item x="2282"/>
        <item x="3160"/>
        <item x="2503"/>
        <item x="3983"/>
        <item x="3701"/>
        <item x="450"/>
        <item x="659"/>
        <item x="1253"/>
        <item x="1998"/>
        <item x="2653"/>
        <item x="3316"/>
        <item x="3530"/>
        <item x="3606"/>
        <item x="3844"/>
        <item x="2791"/>
        <item x="42"/>
        <item x="1148"/>
        <item x="1263"/>
        <item x="1362"/>
        <item m="1" x="4287"/>
        <item x="1601"/>
        <item x="1668"/>
        <item x="2392"/>
        <item x="2395"/>
        <item x="3894"/>
        <item x="3900"/>
        <item x="1128"/>
        <item x="3334"/>
        <item m="1" x="4165"/>
        <item x="2127"/>
        <item x="2371"/>
        <item x="3171"/>
        <item x="872"/>
        <item x="3115"/>
        <item x="3340"/>
        <item x="92"/>
        <item m="1" x="4271"/>
        <item x="387"/>
        <item x="533"/>
        <item x="1064"/>
        <item x="1327"/>
        <item x="1658"/>
        <item m="1" x="4268"/>
        <item x="2218"/>
        <item x="2674"/>
        <item x="3095"/>
        <item x="3297"/>
        <item x="3318"/>
        <item x="3904"/>
        <item x="3969"/>
        <item x="462"/>
        <item x="233"/>
        <item x="441"/>
        <item x="799"/>
        <item x="955"/>
        <item x="1145"/>
        <item m="1" x="4156"/>
        <item x="1476"/>
        <item x="1699"/>
        <item x="2090"/>
        <item x="2615"/>
        <item x="2735"/>
        <item x="3304"/>
        <item m="1" x="4014"/>
        <item x="212"/>
        <item m="1" x="4248"/>
        <item x="250"/>
        <item x="404"/>
        <item m="1" x="4163"/>
        <item x="697"/>
        <item x="745"/>
        <item x="778"/>
        <item x="792"/>
        <item m="1" x="4008"/>
        <item x="855"/>
        <item x="889"/>
        <item x="1104"/>
        <item x="1261"/>
        <item x="1338"/>
        <item m="1" x="4141"/>
        <item m="1" x="4113"/>
        <item x="2251"/>
        <item x="2364"/>
        <item x="2552"/>
        <item x="2584"/>
        <item x="2620"/>
        <item x="2673"/>
        <item x="3349"/>
        <item m="1" x="4174"/>
        <item x="3562"/>
        <item x="3652"/>
        <item x="3729"/>
        <item x="1527"/>
        <item x="2122"/>
        <item x="1845"/>
        <item x="788"/>
        <item x="2299"/>
        <item x="1469"/>
        <item x="1753"/>
        <item x="2132"/>
        <item x="1630"/>
        <item m="1" x="4304"/>
        <item x="2022"/>
        <item x="2834"/>
        <item x="3235"/>
        <item x="91"/>
        <item x="209"/>
        <item x="664"/>
        <item x="703"/>
        <item x="769"/>
        <item x="1105"/>
        <item x="1293"/>
        <item x="3113"/>
        <item x="3498"/>
        <item x="3535"/>
        <item x="3576"/>
        <item x="138"/>
        <item x="3195"/>
        <item x="167"/>
        <item x="2686"/>
        <item x="3500"/>
        <item m="1" x="4242"/>
        <item x="1174"/>
        <item x="2600"/>
        <item x="3521"/>
        <item x="3667"/>
        <item x="1021"/>
        <item x="436"/>
        <item x="476"/>
        <item m="1" x="4075"/>
        <item m="1" x="4254"/>
        <item x="728"/>
        <item x="820"/>
        <item x="1755"/>
        <item x="2091"/>
        <item m="1" x="4035"/>
        <item x="3020"/>
        <item x="3198"/>
        <item m="1" x="4130"/>
        <item x="3346"/>
        <item x="3391"/>
        <item m="1" x="4060"/>
        <item x="3816"/>
        <item x="339"/>
        <item x="530"/>
        <item x="595"/>
        <item x="707"/>
        <item x="793"/>
        <item x="849"/>
        <item x="1137"/>
        <item m="1" x="4228"/>
        <item x="2253"/>
        <item x="2453"/>
        <item x="2920"/>
        <item x="3226"/>
        <item x="3394"/>
        <item x="3439"/>
        <item x="3819"/>
        <item x="70"/>
        <item x="2890"/>
        <item x="1543"/>
        <item x="2587"/>
        <item x="3075"/>
        <item x="3764"/>
        <item x="3806"/>
        <item x="962"/>
        <item x="3545"/>
        <item x="1364"/>
        <item m="1" x="4183"/>
        <item x="1988"/>
        <item x="2209"/>
        <item x="3291"/>
        <item x="1589"/>
        <item x="2128"/>
        <item x="263"/>
        <item x="3397"/>
        <item x="1609"/>
        <item x="1116"/>
        <item x="1833"/>
        <item x="2657"/>
        <item x="608"/>
        <item x="293"/>
        <item x="483"/>
        <item x="586"/>
        <item x="681"/>
        <item x="926"/>
        <item x="1047"/>
        <item x="1594"/>
        <item x="1597"/>
        <item x="1617"/>
        <item x="1626"/>
        <item x="1817"/>
        <item x="927"/>
        <item x="3288"/>
        <item x="3520"/>
        <item x="3631"/>
        <item m="1" x="4155"/>
        <item x="2433"/>
        <item x="109"/>
        <item x="682"/>
        <item x="1029"/>
        <item x="1032"/>
        <item x="1207"/>
        <item x="637"/>
        <item x="638"/>
        <item x="1789"/>
        <item x="2055"/>
        <item x="2272"/>
        <item x="2290"/>
        <item x="2373"/>
        <item x="2794"/>
        <item x="2806"/>
        <item x="3582"/>
        <item x="677"/>
        <item x="1828"/>
        <item x="2779"/>
        <item x="3699"/>
        <item x="3811"/>
        <item x="3977"/>
        <item x="552"/>
        <item x="1693"/>
        <item x="2384"/>
        <item x="2519"/>
        <item x="2995"/>
        <item x="504"/>
        <item x="621"/>
        <item x="766"/>
        <item x="1140"/>
        <item x="1167"/>
        <item x="1189"/>
        <item x="1454"/>
        <item x="1555"/>
        <item x="2333"/>
        <item x="2547"/>
        <item x="3404"/>
        <item x="3649"/>
        <item x="1602"/>
        <item x="2684"/>
        <item x="386"/>
        <item x="64"/>
        <item x="1638"/>
        <item x="2161"/>
        <item x="2350"/>
        <item x="2823"/>
        <item m="1" x="4030"/>
        <item x="597"/>
        <item x="1142"/>
        <item x="2077"/>
        <item x="3747"/>
        <item x="510"/>
        <item x="673"/>
        <item x="940"/>
        <item x="1751"/>
        <item x="3361"/>
        <item x="3910"/>
        <item x="3266"/>
        <item x="1404"/>
        <item x="2864"/>
        <item x="2259"/>
        <item x="174"/>
        <item x="1458"/>
        <item x="1951"/>
        <item m="1" x="4077"/>
        <item x="1782"/>
        <item x="2101"/>
        <item x="831"/>
        <item x="2287"/>
        <item x="2334"/>
        <item m="1" x="4283"/>
        <item x="3119"/>
        <item x="873"/>
        <item x="550"/>
        <item x="2337"/>
        <item x="3716"/>
        <item x="2479"/>
        <item x="372"/>
        <item x="832"/>
        <item x="1139"/>
        <item x="1694"/>
        <item x="376"/>
        <item x="1684"/>
        <item x="2591"/>
        <item x="30"/>
        <item x="4"/>
        <item x="1734"/>
        <item x="1735"/>
        <item x="2494"/>
        <item x="1409"/>
        <item x="2668"/>
        <item x="3948"/>
        <item x="31"/>
        <item x="2493"/>
        <item x="3557"/>
        <item x="3083"/>
        <item x="3188"/>
        <item x="2884"/>
        <item m="1" x="4136"/>
        <item x="800"/>
        <item x="1679"/>
        <item x="1766"/>
        <item x="3942"/>
        <item x="1195"/>
        <item x="1218"/>
        <item x="1752"/>
        <item x="375"/>
        <item x="3933"/>
        <item x="429"/>
        <item x="853"/>
        <item x="177"/>
        <item x="1121"/>
        <item x="854"/>
        <item x="1122"/>
        <item x="2718"/>
        <item x="1217"/>
        <item x="198"/>
        <item x="3536"/>
        <item x="2497"/>
        <item x="3097"/>
        <item x="3721"/>
        <item x="2381"/>
        <item x="3706"/>
        <item x="2966"/>
        <item x="2470"/>
        <item x="1669"/>
        <item x="3573"/>
        <item x="3574"/>
        <item x="1670"/>
        <item x="1038"/>
        <item x="1793"/>
        <item x="1798"/>
        <item x="3378"/>
        <item x="603"/>
        <item x="1850"/>
        <item x="1005"/>
        <item x="1623"/>
        <item x="2844"/>
        <item x="3734"/>
        <item m="1" x="4052"/>
        <item x="1008"/>
        <item x="3043"/>
        <item x="18"/>
        <item x="2078"/>
        <item x="3957"/>
        <item x="1719"/>
        <item x="901"/>
        <item x="3565"/>
        <item x="555"/>
        <item x="475"/>
        <item x="2725"/>
        <item x="2862"/>
        <item x="3093"/>
        <item x="3661"/>
        <item x="2532"/>
        <item x="2029"/>
        <item x="2173"/>
        <item x="2298"/>
        <item x="2581"/>
        <item x="3022"/>
        <item x="3912"/>
        <item x="837"/>
        <item x="1027"/>
        <item x="2521"/>
        <item x="2973"/>
        <item x="3100"/>
        <item x="344"/>
        <item x="641"/>
        <item x="2074"/>
        <item x="2133"/>
        <item x="2551"/>
        <item x="3368"/>
        <item x="6"/>
        <item x="622"/>
        <item x="734"/>
        <item x="21"/>
        <item x="1942"/>
        <item x="1241"/>
        <item x="2543"/>
        <item x="1432"/>
        <item x="1829"/>
        <item x="105"/>
        <item x="1392"/>
        <item x="2165"/>
        <item x="94"/>
        <item x="116"/>
        <item x="132"/>
        <item x="149"/>
        <item x="175"/>
        <item x="294"/>
        <item x="645"/>
        <item x="1386"/>
        <item x="1390"/>
        <item x="1391"/>
        <item x="1393"/>
        <item x="1397"/>
        <item x="1425"/>
        <item x="1460"/>
        <item x="1611"/>
        <item x="1814"/>
        <item x="1834"/>
        <item x="1877"/>
        <item x="1883"/>
        <item x="1898"/>
        <item x="1908"/>
        <item x="1936"/>
        <item x="1978"/>
        <item x="2056"/>
        <item x="2102"/>
        <item x="2168"/>
        <item x="2264"/>
        <item x="2266"/>
        <item x="2480"/>
        <item x="2565"/>
        <item x="2611"/>
        <item x="2676"/>
        <item x="2736"/>
        <item x="2774"/>
        <item x="2780"/>
        <item x="2783"/>
        <item x="2802"/>
        <item x="2815"/>
        <item x="2818"/>
        <item x="2822"/>
        <item x="2854"/>
        <item x="3039"/>
        <item x="3410"/>
        <item x="3413"/>
        <item x="3415"/>
        <item x="3416"/>
        <item x="3657"/>
        <item x="3683"/>
        <item x="3698"/>
        <item x="3714"/>
        <item x="3744"/>
        <item x="3780"/>
        <item x="3944"/>
        <item x="3945"/>
        <item x="3044"/>
        <item x="1722"/>
        <item x="1955"/>
        <item x="3267"/>
        <item x="146"/>
        <item x="3045"/>
        <item x="3777"/>
        <item x="3781"/>
        <item x="952"/>
        <item x="923"/>
        <item x="1001"/>
        <item x="1747"/>
        <item x="3922"/>
        <item x="408"/>
        <item x="3292"/>
        <item m="1" x="4212"/>
        <item x="2496"/>
        <item x="373"/>
        <item x="374"/>
        <item x="1408"/>
        <item x="1013"/>
        <item x="2326"/>
        <item x="2464"/>
        <item x="2327"/>
        <item x="3541"/>
        <item x="2495"/>
        <item x="19"/>
        <item x="60"/>
        <item x="1631"/>
        <item x="2670"/>
        <item x="3108"/>
        <item x="3387"/>
        <item x="892"/>
        <item x="1697"/>
        <item x="1616"/>
        <item x="179"/>
        <item x="2787"/>
        <item x="3962"/>
        <item x="2197"/>
        <item x="1509"/>
        <item x="3337"/>
        <item x="1099"/>
        <item x="721"/>
        <item m="1" x="4213"/>
        <item x="2704"/>
        <item x="1680"/>
        <item x="268"/>
        <item x="1039"/>
        <item x="2886"/>
        <item x="3214"/>
        <item x="3215"/>
        <item x="3762"/>
        <item x="3738"/>
        <item x="688"/>
        <item x="1815"/>
        <item x="2452"/>
        <item x="3062"/>
        <item x="2314"/>
        <item x="2625"/>
        <item x="1587"/>
        <item x="3418"/>
        <item x="2307"/>
        <item x="3979"/>
        <item x="1953"/>
        <item x="1987"/>
        <item x="3783"/>
        <item x="49"/>
        <item x="126"/>
        <item x="176"/>
        <item x="644"/>
        <item x="646"/>
        <item x="1311"/>
        <item x="1717"/>
        <item x="1816"/>
        <item x="1849"/>
        <item x="1912"/>
        <item x="1915"/>
        <item x="1986"/>
        <item x="1999"/>
        <item x="2024"/>
        <item x="2051"/>
        <item x="2263"/>
        <item x="2450"/>
        <item x="2755"/>
        <item x="2792"/>
        <item x="2839"/>
        <item x="2851"/>
        <item x="3193"/>
        <item x="3417"/>
        <item x="3460"/>
        <item x="3547"/>
        <item x="3686"/>
        <item x="3700"/>
        <item x="3702"/>
        <item x="3745"/>
        <item x="3782"/>
        <item x="3860"/>
        <item x="3873"/>
        <item x="1394"/>
        <item x="1010"/>
        <item x="3662"/>
        <item x="1243"/>
        <item x="195"/>
        <item x="260"/>
        <item x="575"/>
        <item x="700"/>
        <item x="722"/>
        <item x="773"/>
        <item x="791"/>
        <item x="887"/>
        <item x="916"/>
        <item x="963"/>
        <item x="975"/>
        <item x="1178"/>
        <item x="1210"/>
        <item x="1561"/>
        <item x="2293"/>
        <item x="2320"/>
        <item x="2619"/>
        <item x="3423"/>
        <item x="3561"/>
        <item x="3639"/>
        <item x="3952"/>
        <item x="22"/>
        <item x="1723"/>
        <item x="2692"/>
        <item x="2788"/>
        <item x="3090"/>
        <item x="5"/>
        <item m="1" x="4061"/>
        <item x="1036"/>
        <item x="3287"/>
        <item x="3294"/>
        <item x="1558"/>
        <item x="2683"/>
        <item m="1" x="4195"/>
        <item x="3345"/>
        <item x="3644"/>
        <item x="3818"/>
        <item x="3840"/>
        <item m="1" x="4216"/>
        <item x="1520"/>
        <item x="1055"/>
        <item x="874"/>
        <item x="902"/>
        <item x="1284"/>
        <item x="1550"/>
        <item x="2181"/>
        <item x="2397"/>
        <item x="2726"/>
        <item x="2876"/>
        <item x="3312"/>
        <item x="3314"/>
        <item x="3367"/>
        <item x="2058"/>
        <item m="1" x="4063"/>
        <item x="78"/>
        <item x="454"/>
        <item x="495"/>
        <item x="1119"/>
        <item x="2053"/>
        <item x="2203"/>
        <item x="2366"/>
        <item x="2393"/>
        <item x="2431"/>
        <item x="2617"/>
        <item x="2687"/>
        <item x="2845"/>
        <item x="3110"/>
        <item m="1" x="4302"/>
        <item x="3588"/>
        <item x="2221"/>
        <item x="27"/>
        <item x="2892"/>
        <item x="774"/>
        <item x="1073"/>
        <item x="1515"/>
        <item x="2036"/>
        <item x="2454"/>
        <item x="2906"/>
        <item x="3000"/>
        <item x="3341"/>
        <item x="3431"/>
        <item x="3566"/>
        <item x="588"/>
        <item x="2231"/>
        <item x="2634"/>
        <item x="3519"/>
        <item x="3705"/>
        <item x="3874"/>
        <item m="1" x="4222"/>
        <item x="65"/>
        <item x="118"/>
        <item x="306"/>
        <item x="1377"/>
        <item x="1629"/>
        <item x="2950"/>
        <item x="3014"/>
        <item x="3230"/>
        <item x="3676"/>
        <item x="2103"/>
        <item m="1" x="4021"/>
        <item x="384"/>
        <item x="994"/>
        <item x="1917"/>
        <item x="39"/>
        <item m="1" x="4288"/>
        <item m="1" x="4203"/>
        <item x="850"/>
        <item x="1090"/>
        <item x="1300"/>
        <item x="1661"/>
        <item x="2561"/>
        <item x="2708"/>
        <item x="3358"/>
        <item x="3619"/>
        <item x="3742"/>
        <item x="3760"/>
        <item x="3766"/>
        <item x="3970"/>
        <item x="1785"/>
        <item x="1881"/>
        <item x="1932"/>
        <item x="2805"/>
        <item x="3605"/>
        <item x="3612"/>
        <item x="834"/>
        <item m="1" x="4171"/>
        <item m="1" x="4076"/>
        <item x="3185"/>
        <item x="3628"/>
        <item x="2813"/>
        <item x="3789"/>
        <item x="1926"/>
        <item x="1227"/>
        <item x="3953"/>
        <item x="601"/>
        <item x="348"/>
        <item x="351"/>
        <item x="353"/>
        <item x="3380"/>
        <item x="551"/>
        <item x="485"/>
        <item x="1018"/>
        <item x="876"/>
        <item x="2039"/>
        <item x="3680"/>
        <item x="33"/>
        <item x="419"/>
        <item x="815"/>
        <item x="971"/>
        <item m="1" x="4023"/>
        <item x="1696"/>
        <item x="2124"/>
        <item x="2210"/>
        <item x="3025"/>
        <item x="3442"/>
        <item x="3650"/>
        <item x="3681"/>
        <item x="3732"/>
        <item x="3981"/>
        <item x="953"/>
        <item x="556"/>
        <item x="111"/>
        <item x="3352"/>
        <item x="3808"/>
        <item x="1417"/>
        <item x="36"/>
        <item x="2117"/>
        <item x="163"/>
        <item x="3763"/>
        <item x="1405"/>
        <item x="1303"/>
        <item x="1487"/>
        <item m="1" x="4082"/>
        <item x="2458"/>
        <item x="995"/>
        <item x="1790"/>
        <item x="2759"/>
        <item x="267"/>
        <item x="747"/>
        <item x="965"/>
        <item x="982"/>
        <item x="1216"/>
        <item m="1" x="4279"/>
        <item m="1" x="4209"/>
        <item x="2469"/>
        <item x="3301"/>
        <item x="3861"/>
        <item x="2498"/>
        <item x="2606"/>
        <item x="1526"/>
        <item x="2633"/>
        <item x="2215"/>
        <item x="2981"/>
        <item x="2311"/>
        <item x="2182"/>
        <item x="3484"/>
        <item x="3486"/>
        <item x="311"/>
        <item x="3082"/>
        <item x="3653"/>
        <item x="2"/>
        <item x="3398"/>
        <item x="3315"/>
        <item x="3453"/>
        <item x="1663"/>
        <item x="1686"/>
        <item x="2170"/>
        <item x="570"/>
        <item x="2589"/>
        <item x="2836"/>
        <item x="2944"/>
        <item x="405"/>
        <item x="1277"/>
        <item x="3323"/>
        <item m="1" x="4240"/>
        <item x="1749"/>
        <item x="3137"/>
        <item x="564"/>
        <item x="442"/>
        <item x="487"/>
        <item x="534"/>
        <item x="1762"/>
        <item x="2064"/>
        <item x="2424"/>
        <item x="2858"/>
        <item x="2894"/>
        <item x="3139"/>
        <item m="1" x="4138"/>
        <item x="144"/>
        <item x="325"/>
        <item x="701"/>
        <item x="844"/>
        <item x="1131"/>
        <item x="1184"/>
        <item x="1320"/>
        <item x="2003"/>
        <item x="2292"/>
        <item x="2475"/>
        <item x="2623"/>
        <item x="2646"/>
        <item x="2996"/>
        <item x="3065"/>
        <item x="3306"/>
        <item x="191"/>
        <item x="326"/>
        <item x="449"/>
        <item x="1058"/>
        <item x="1654"/>
        <item m="1" x="4238"/>
        <item x="2413"/>
        <item x="2710"/>
        <item x="2716"/>
        <item m="1" x="3997"/>
        <item x="3167"/>
        <item x="3203"/>
        <item x="3516"/>
        <item x="3913"/>
        <item x="848"/>
        <item x="3906"/>
        <item m="1" x="4150"/>
        <item x="3761"/>
        <item x="2491"/>
        <item m="1" x="4001"/>
        <item x="2690"/>
        <item x="2849"/>
        <item x="3718"/>
        <item x="1149"/>
        <item x="1524"/>
        <item x="2086"/>
        <item x="2178"/>
        <item x="2691"/>
        <item m="1" x="4199"/>
        <item x="3550"/>
        <item x="3881"/>
        <item m="1" x="4182"/>
        <item x="557"/>
        <item x="574"/>
        <item x="612"/>
        <item x="672"/>
        <item x="708"/>
        <item x="1192"/>
        <item x="1457"/>
        <item x="1534"/>
        <item x="2049"/>
        <item x="2216"/>
        <item x="2267"/>
        <item x="2385"/>
        <item x="2933"/>
        <item x="2936"/>
        <item x="3111"/>
        <item x="3216"/>
        <item x="3405"/>
        <item x="3646"/>
        <item x="3735"/>
        <item x="3807"/>
        <item x="1544"/>
        <item x="3440"/>
        <item x="3813"/>
        <item x="2285"/>
        <item x="1688"/>
        <item x="2544"/>
        <item x="3940"/>
        <item x="1065"/>
        <item x="2556"/>
        <item x="2608"/>
        <item x="1043"/>
        <item x="1173"/>
        <item x="3682"/>
        <item x="3958"/>
        <item x="2991"/>
        <item x="1305"/>
        <item x="1760"/>
        <item x="2010"/>
        <item x="3295"/>
        <item x="3627"/>
        <item x="333"/>
        <item x="3890"/>
        <item x="218"/>
        <item m="1" x="4033"/>
        <item x="3298"/>
        <item x="2305"/>
        <item x="2401"/>
        <item x="3542"/>
        <item x="2562"/>
        <item m="1" x="4067"/>
        <item x="1701"/>
        <item m="1" x="4000"/>
        <item x="242"/>
        <item x="312"/>
        <item x="2524"/>
        <item x="2742"/>
        <item x="3001"/>
        <item x="2367"/>
        <item x="897"/>
        <item x="1888"/>
        <item x="2914"/>
        <item x="3173"/>
        <item x="3645"/>
        <item x="3365"/>
        <item x="1238"/>
        <item x="2417"/>
        <item x="3772"/>
        <item x="3625"/>
        <item x="2574"/>
        <item x="3275"/>
        <item x="296"/>
        <item m="1" x="4208"/>
        <item x="2406"/>
        <item x="1732"/>
        <item x="62"/>
        <item x="512"/>
        <item x="833"/>
        <item x="1489"/>
        <item x="2568"/>
        <item m="1" x="4152"/>
        <item m="1" x="4200"/>
        <item x="816"/>
        <item x="1019"/>
        <item x="1415"/>
        <item x="2246"/>
        <item x="3012"/>
        <item x="3131"/>
        <item m="1" x="4166"/>
        <item x="3634"/>
        <item x="3842"/>
        <item x="725"/>
        <item x="3126"/>
        <item x="2096"/>
        <item x="3579"/>
        <item x="2928"/>
        <item x="259"/>
        <item x="817"/>
        <item x="358"/>
        <item x="414"/>
        <item m="1" x="4180"/>
        <item x="3241"/>
        <item x="3776"/>
        <item x="1094"/>
        <item m="1" x="4251"/>
        <item x="2893"/>
        <item x="3372"/>
        <item x="3648"/>
        <item x="1068"/>
        <item x="2814"/>
        <item x="1861"/>
        <item x="3421"/>
        <item x="3539"/>
        <item x="243"/>
        <item x="1175"/>
        <item m="1" x="4038"/>
        <item x="1739"/>
        <item m="1" x="4184"/>
        <item x="841"/>
        <item x="1228"/>
        <item x="1682"/>
        <item x="2402"/>
        <item m="1" x="4205"/>
        <item m="1" x="4092"/>
        <item x="1080"/>
        <item m="1" x="4210"/>
        <item x="2260"/>
        <item x="949"/>
        <item x="2126"/>
        <item x="2909"/>
        <item m="1" x="4246"/>
        <item x="851"/>
        <item x="924"/>
        <item x="1009"/>
        <item x="3296"/>
        <item x="3454"/>
        <item x="1921"/>
        <item x="1948"/>
        <item x="1852"/>
        <item x="2094"/>
        <item x="3114"/>
        <item x="1266"/>
        <item m="1" x="4307"/>
        <item x="2872"/>
        <item x="2169"/>
        <item x="2382"/>
        <item m="1" x="4300"/>
        <item x="3084"/>
        <item m="1" x="4278"/>
        <item x="3388"/>
        <item x="3663"/>
        <item x="1337"/>
        <item x="205"/>
        <item x="1666"/>
        <item x="3878"/>
        <item x="496"/>
        <item x="1046"/>
        <item x="1864"/>
        <item x="2171"/>
        <item x="3575"/>
        <item x="1655"/>
        <item x="3567"/>
        <item x="899"/>
        <item x="758"/>
        <item x="770"/>
        <item x="2661"/>
        <item m="1" x="4285"/>
        <item x="2878"/>
        <item x="1088"/>
        <item x="1499"/>
        <item x="2404"/>
        <item x="3513"/>
        <item x="336"/>
        <item x="509"/>
        <item x="969"/>
        <item x="1106"/>
        <item m="1" x="4024"/>
        <item m="1" x="4118"/>
        <item x="1297"/>
        <item x="2144"/>
        <item x="2605"/>
        <item m="1" x="4093"/>
        <item x="3132"/>
        <item x="3678"/>
        <item x="2001"/>
        <item x="1151"/>
        <item x="3031"/>
        <item x="3815"/>
        <item x="2669"/>
        <item x="1545"/>
        <item m="1" x="4243"/>
        <item x="2567"/>
        <item x="628"/>
        <item x="1965"/>
        <item x="2782"/>
        <item x="1929"/>
        <item x="2919"/>
        <item x="744"/>
        <item x="98"/>
        <item x="2880"/>
        <item x="150"/>
        <item x="639"/>
        <item x="1848"/>
        <item x="2256"/>
        <item x="2376"/>
        <item x="2734"/>
        <item x="2820"/>
        <item x="2855"/>
        <item x="3526"/>
        <item x="2227"/>
        <item x="2976"/>
        <item x="3479"/>
        <item x="1808"/>
        <item x="3548"/>
        <item x="2883"/>
        <item x="2709"/>
        <item x="1150"/>
        <item x="129"/>
        <item x="1433"/>
        <item x="1674"/>
        <item x="2412"/>
        <item x="2440"/>
        <item x="2752"/>
        <item x="3401"/>
        <item x="3740"/>
        <item x="3236"/>
        <item x="186"/>
        <item x="230"/>
        <item x="237"/>
        <item x="238"/>
        <item x="253"/>
        <item x="492"/>
        <item x="508"/>
        <item x="513"/>
        <item x="522"/>
        <item x="549"/>
        <item x="559"/>
        <item x="712"/>
        <item x="754"/>
        <item x="759"/>
        <item x="866"/>
        <item x="1109"/>
        <item x="1169"/>
        <item x="1223"/>
        <item x="1224"/>
        <item x="1333"/>
        <item x="2175"/>
        <item x="2277"/>
        <item x="2520"/>
        <item x="2582"/>
        <item m="1" x="4047"/>
        <item x="2731"/>
        <item x="2930"/>
        <item x="3283"/>
        <item x="3556"/>
        <item x="1775"/>
        <item x="1956"/>
        <item x="1980"/>
        <item m="1" x="4192"/>
        <item x="3430"/>
        <item x="934"/>
        <item x="2955"/>
        <item m="1" x="4144"/>
        <item x="202"/>
        <item x="2658"/>
        <item x="394"/>
        <item x="2405"/>
        <item x="2671"/>
        <item x="3614"/>
        <item x="1045"/>
        <item x="1383"/>
        <item x="1400"/>
        <item x="2017"/>
        <item x="2982"/>
        <item x="1358"/>
        <item x="888"/>
        <item x="2540"/>
        <item x="3150"/>
        <item x="3917"/>
        <item x="164"/>
        <item x="314"/>
        <item x="939"/>
        <item m="1" x="4253"/>
        <item x="1388"/>
        <item x="1977"/>
        <item m="1" x="4256"/>
        <item x="470"/>
        <item x="1112"/>
        <item x="1522"/>
        <item x="2000"/>
        <item x="2363"/>
        <item x="3192"/>
        <item x="473"/>
        <item x="1873"/>
        <item x="2394"/>
        <item x="3207"/>
        <item x="1937"/>
        <item x="3523"/>
        <item x="1290"/>
        <item x="3537"/>
        <item x="2717"/>
        <item x="2602"/>
        <item x="3538"/>
        <item x="467"/>
        <item x="1976"/>
        <item x="379"/>
        <item x="1315"/>
        <item x="1370"/>
        <item x="297"/>
        <item x="1846"/>
        <item x="1863"/>
        <item x="3637"/>
        <item x="1007"/>
        <item x="632"/>
        <item x="200"/>
        <item x="2548"/>
        <item m="1" x="4059"/>
        <item x="1075"/>
        <item x="142"/>
        <item m="1" x="4297"/>
        <item m="1" x="4181"/>
        <item x="3703"/>
        <item x="1777"/>
        <item x="3608"/>
        <item x="1285"/>
        <item x="2488"/>
        <item x="630"/>
        <item x="1796"/>
        <item x="1952"/>
        <item x="29"/>
        <item x="652"/>
        <item x="2484"/>
        <item x="2723"/>
        <item x="2809"/>
        <item x="2940"/>
        <item x="3685"/>
        <item x="3715"/>
        <item x="1904"/>
        <item x="1590"/>
        <item x="1822"/>
        <item x="3620"/>
        <item x="593"/>
        <item x="1363"/>
        <item x="2095"/>
        <item x="139"/>
        <item x="1741"/>
        <item x="2204"/>
        <item x="3846"/>
        <item x="99"/>
        <item x="3925"/>
        <item x="147"/>
        <item x="324"/>
        <item x="498"/>
        <item x="1054"/>
        <item x="1118"/>
        <item x="1273"/>
        <item x="1560"/>
        <item x="1645"/>
        <item x="1984"/>
        <item x="1748"/>
        <item x="1838"/>
        <item x="2917"/>
        <item x="2985"/>
        <item x="3914"/>
        <item x="3915"/>
        <item x="1930"/>
        <item x="501"/>
        <item x="1307"/>
        <item x="2728"/>
        <item x="1089"/>
        <item x="1197"/>
        <item x="2208"/>
        <item x="3464"/>
        <item x="288"/>
        <item x="452"/>
        <item x="1650"/>
        <item m="1" x="4126"/>
        <item x="3720"/>
        <item x="3739"/>
        <item x="2636"/>
        <item x="1193"/>
        <item x="2040"/>
        <item m="1" x="4252"/>
        <item x="3751"/>
        <item x="2312"/>
        <item x="1887"/>
        <item x="2992"/>
        <item x="1882"/>
        <item x="458"/>
        <item x="494"/>
        <item x="1671"/>
        <item x="2331"/>
        <item x="3260"/>
        <item x="3370"/>
        <item x="3589"/>
        <item x="38"/>
        <item x="66"/>
        <item x="3116"/>
        <item x="3261"/>
        <item x="3373"/>
        <item x="3604"/>
        <item x="3677"/>
        <item x="2032"/>
        <item x="281"/>
        <item x="2931"/>
        <item x="3242"/>
        <item x="3672"/>
        <item x="1475"/>
        <item x="3733"/>
        <item x="1703"/>
        <item x="3938"/>
        <item x="3568"/>
        <item x="3172"/>
        <item x="3822"/>
        <item x="223"/>
        <item x="463"/>
        <item x="1107"/>
        <item x="1854"/>
        <item x="2387"/>
        <item x="2934"/>
        <item m="1" x="4172"/>
        <item x="2019"/>
        <item x="1667"/>
        <item x="812"/>
        <item x="1164"/>
        <item x="2506"/>
        <item x="2865"/>
        <item x="3831"/>
        <item x="885"/>
        <item x="2179"/>
        <item x="2511"/>
        <item x="2871"/>
        <item x="818"/>
        <item x="1108"/>
        <item x="3339"/>
        <item x="75"/>
        <item x="276"/>
        <item x="3515"/>
        <item x="201"/>
        <item x="1430"/>
        <item x="2226"/>
        <item x="2968"/>
        <item x="3695"/>
        <item x="1902"/>
        <item x="130"/>
        <item x="991"/>
        <item x="1348"/>
        <item x="2154"/>
        <item m="1" x="4036"/>
        <item x="3950"/>
        <item x="1244"/>
        <item x="696"/>
        <item x="363"/>
        <item x="2155"/>
        <item x="2508"/>
        <item x="906"/>
        <item x="3911"/>
        <item x="1071"/>
        <item x="1768"/>
        <item x="3980"/>
        <item x="1993"/>
        <item x="3227"/>
        <item x="1567"/>
        <item x="1632"/>
        <item x="87"/>
        <item x="110"/>
        <item x="171"/>
        <item x="1030"/>
        <item x="1776"/>
        <item x="1970"/>
        <item x="2262"/>
        <item x="2379"/>
        <item x="2666"/>
        <item x="2753"/>
        <item x="2804"/>
        <item x="3784"/>
        <item x="3785"/>
        <item x="3790"/>
        <item x="3975"/>
        <item x="1716"/>
        <item x="131"/>
        <item x="2659"/>
        <item x="2744"/>
        <item x="3496"/>
        <item x="3688"/>
        <item x="34"/>
        <item x="1879"/>
        <item x="2672"/>
        <item x="3072"/>
        <item x="3508"/>
        <item x="3670"/>
        <item x="3710"/>
        <item x="3791"/>
        <item x="3707"/>
        <item x="1258"/>
        <item x="121"/>
        <item x="1422"/>
        <item x="3016"/>
        <item x="1639"/>
        <item x="1757"/>
        <item x="2918"/>
        <item x="1096"/>
        <item x="502"/>
        <item m="1" x="4275"/>
        <item x="633"/>
        <item x="1992"/>
        <item m="1" x="4028"/>
        <item x="1575"/>
        <item x="2461"/>
        <item x="3823"/>
        <item x="515"/>
        <item m="1" x="4204"/>
        <item x="1728"/>
        <item x="2257"/>
        <item x="1375"/>
        <item x="2448"/>
        <item x="2604"/>
        <item x="3019"/>
        <item x="3121"/>
        <item x="3247"/>
        <item x="3774"/>
        <item x="2123"/>
        <item x="3826"/>
        <item x="3929"/>
        <item x="692"/>
        <item x="3540"/>
        <item x="1132"/>
        <item x="973"/>
        <item x="1015"/>
        <item x="2330"/>
        <item x="1182"/>
        <item x="795"/>
        <item x="890"/>
        <item x="1456"/>
        <item x="2642"/>
        <item x="343"/>
        <item x="265"/>
        <item x="286"/>
        <item x="2081"/>
        <item x="160"/>
        <item m="1" x="4007"/>
        <item x="1482"/>
        <item x="1483"/>
        <item x="3436"/>
        <item x="2118"/>
        <item x="826"/>
        <item x="3212"/>
        <item x="3085"/>
        <item x="1066"/>
        <item x="3023"/>
        <item m="1" x="4053"/>
        <item x="10"/>
        <item x="1023"/>
        <item x="1229"/>
        <item m="1" x="4274"/>
        <item x="1659"/>
        <item x="3759"/>
        <item x="1465"/>
        <item x="1585"/>
        <item x="2079"/>
        <item x="2220"/>
        <item x="3268"/>
        <item x="3313"/>
        <item x="1743"/>
        <item x="2338"/>
        <item x="125"/>
        <item x="1040"/>
        <item x="1640"/>
        <item x="2724"/>
        <item m="1" x="4040"/>
        <item x="634"/>
        <item m="1" x="4090"/>
        <item m="1" x="4170"/>
        <item x="2437"/>
        <item x="1152"/>
        <item x="2148"/>
        <item x="2370"/>
        <item x="3189"/>
        <item x="3935"/>
        <item x="3569"/>
        <item x="2119"/>
        <item x="3570"/>
        <item x="1836"/>
        <item x="2015"/>
        <item x="2462"/>
        <item x="1488"/>
        <item x="2637"/>
        <item x="2696"/>
        <item x="2120"/>
        <item x="2870"/>
        <item x="2689"/>
        <item x="2597"/>
        <item x="2895"/>
        <item x="3883"/>
        <item x="93"/>
        <item x="3151"/>
        <item x="2745"/>
        <item x="1656"/>
        <item x="255"/>
        <item x="2795"/>
        <item m="1" x="4154"/>
        <item m="1" x="4066"/>
        <item x="1583"/>
        <item x="395"/>
        <item x="2106"/>
        <item x="389"/>
        <item x="2278"/>
        <item x="1302"/>
        <item x="1495"/>
        <item x="1344"/>
        <item x="2425"/>
        <item x="2660"/>
        <item x="2247"/>
        <item x="2230"/>
        <item x="580"/>
        <item x="2050"/>
        <item x="655"/>
        <item x="89"/>
        <item x="228"/>
        <item x="244"/>
        <item m="1" x="4135"/>
        <item m="1" x="4125"/>
        <item m="1" x="4267"/>
        <item m="1" x="4079"/>
        <item x="464"/>
        <item x="465"/>
        <item x="478"/>
        <item x="489"/>
        <item x="491"/>
        <item x="517"/>
        <item m="1" x="4102"/>
        <item x="544"/>
        <item x="581"/>
        <item x="751"/>
        <item x="752"/>
        <item x="757"/>
        <item x="839"/>
        <item m="1" x="4311"/>
        <item x="878"/>
        <item x="879"/>
        <item x="881"/>
        <item m="1" x="4046"/>
        <item x="978"/>
        <item x="1120"/>
        <item x="1160"/>
        <item x="1185"/>
        <item x="1203"/>
        <item x="1204"/>
        <item x="1225"/>
        <item m="1" x="4041"/>
        <item m="1" x="4146"/>
        <item m="1" x="4051"/>
        <item x="1326"/>
        <item x="1441"/>
        <item x="1442"/>
        <item m="1" x="4026"/>
        <item m="1" x="4119"/>
        <item x="1698"/>
        <item x="2027"/>
        <item x="2158"/>
        <item x="2166"/>
        <item m="1" x="4065"/>
        <item m="1" x="4219"/>
        <item x="2280"/>
        <item x="2300"/>
        <item m="1" x="4088"/>
        <item x="2346"/>
        <item m="1" x="4039"/>
        <item m="1" x="4162"/>
        <item x="2468"/>
        <item m="1" x="4037"/>
        <item x="2514"/>
        <item x="2585"/>
        <item x="2586"/>
        <item m="1" x="4234"/>
        <item x="2713"/>
        <item x="2730"/>
        <item m="1" x="4101"/>
        <item x="2874"/>
        <item x="2875"/>
        <item x="2904"/>
        <item x="2905"/>
        <item x="2932"/>
        <item x="2935"/>
        <item x="2960"/>
        <item x="3021"/>
        <item m="1" x="4266"/>
        <item x="3138"/>
        <item x="3182"/>
        <item m="1" x="4105"/>
        <item x="3239"/>
        <item x="3246"/>
        <item x="3277"/>
        <item m="1" x="4217"/>
        <item x="3375"/>
        <item x="3437"/>
        <item m="1" x="4198"/>
        <item x="3485"/>
        <item m="1" x="3991"/>
        <item x="3584"/>
        <item x="3752"/>
        <item m="1" x="4083"/>
        <item x="3830"/>
        <item x="3961"/>
        <item x="3968"/>
        <item x="671"/>
        <item x="2066"/>
        <item x="604"/>
        <item x="2764"/>
        <item x="1502"/>
        <item m="1" x="4284"/>
        <item x="3125"/>
        <item x="3018"/>
        <item x="535"/>
        <item m="1" x="4134"/>
        <item x="2929"/>
        <item x="3280"/>
        <item x="3937"/>
        <item m="1" x="4179"/>
        <item m="1" x="4177"/>
        <item m="1" x="4049"/>
        <item m="1" x="4233"/>
        <item m="1" x="4034"/>
        <item m="1" x="4299"/>
        <item m="1" x="4121"/>
        <item x="461"/>
        <item x="2563"/>
        <item x="748"/>
        <item x="2907"/>
        <item x="1525"/>
        <item x="859"/>
        <item x="1857"/>
        <item x="183"/>
        <item x="184"/>
        <item m="1" x="4185"/>
        <item x="301"/>
        <item x="2137"/>
        <item x="1573"/>
        <item x="3814"/>
        <item x="2825"/>
        <item x="300"/>
        <item x="2891"/>
        <item x="1756"/>
        <item x="2008"/>
        <item x="1744"/>
        <item x="640"/>
        <item x="1657"/>
        <item x="1660"/>
        <item x="1114"/>
        <item x="2386"/>
        <item x="737"/>
        <item m="1" x="4161"/>
        <item x="2391"/>
        <item x="2390"/>
        <item x="1649"/>
        <item x="1733"/>
        <item x="194"/>
        <item x="13"/>
        <item x="987"/>
        <item x="3824"/>
        <item x="251"/>
        <item x="2518"/>
        <item x="3162"/>
        <item x="3106"/>
        <item x="438"/>
        <item x="3104"/>
        <item x="3593"/>
        <item x="3036"/>
        <item x="3877"/>
        <item x="1549"/>
        <item x="3058"/>
        <item x="3470"/>
        <item x="1037"/>
        <item x="1069"/>
        <item x="2868"/>
        <item x="1097"/>
        <item x="156"/>
        <item x="1098"/>
        <item x="3527"/>
        <item x="90"/>
        <item x="229"/>
        <item x="714"/>
        <item x="891"/>
        <item x="954"/>
        <item x="1215"/>
        <item x="1336"/>
        <item x="2159"/>
        <item x="2286"/>
        <item x="2953"/>
        <item x="2957"/>
        <item x="3145"/>
        <item x="3377"/>
        <item x="3466"/>
        <item x="1519"/>
        <item x="1687"/>
        <item x="3381"/>
        <item x="3796"/>
        <item x="3801"/>
        <item x="25"/>
        <item x="3827"/>
        <item x="864"/>
        <item x="1187"/>
        <item x="3800"/>
        <item x="484"/>
        <item x="196"/>
        <item m="1" x="4270"/>
        <item x="214"/>
        <item x="1292"/>
        <item x="1847"/>
        <item x="3559"/>
        <item x="3880"/>
        <item x="2861"/>
        <item x="2715"/>
        <item x="3572"/>
        <item x="3554"/>
        <item x="1802"/>
        <item x="1804"/>
        <item x="1803"/>
        <item x="3269"/>
        <item x="2553"/>
        <item x="1690"/>
        <item x="3369"/>
        <item x="1731"/>
        <item x="3936"/>
        <item x="3558"/>
        <item x="3924"/>
        <item x="2258"/>
        <item x="3040"/>
        <item x="3988"/>
        <item x="1569"/>
        <item x="1991"/>
        <item x="2052"/>
        <item x="3863"/>
        <item x="3199"/>
        <item x="2138"/>
        <item x="1572"/>
        <item x="1885"/>
        <item m="1" x="4064"/>
        <item m="1" x="4277"/>
        <item x="1490"/>
        <item x="3308"/>
        <item x="1627"/>
        <item x="0"/>
        <item x="24"/>
        <item x="41"/>
        <item x="51"/>
        <item x="88"/>
        <item x="153"/>
        <item x="161"/>
        <item x="168"/>
        <item x="169"/>
        <item x="170"/>
        <item x="210"/>
        <item x="239"/>
        <item x="248"/>
        <item x="329"/>
        <item x="330"/>
        <item x="331"/>
        <item x="332"/>
        <item x="360"/>
        <item x="371"/>
        <item x="411"/>
        <item x="469"/>
        <item x="499"/>
        <item x="518"/>
        <item x="543"/>
        <item x="553"/>
        <item x="567"/>
        <item x="568"/>
        <item x="631"/>
        <item x="675"/>
        <item x="686"/>
        <item x="740"/>
        <item x="749"/>
        <item x="798"/>
        <item x="801"/>
        <item x="803"/>
        <item x="804"/>
        <item x="835"/>
        <item x="843"/>
        <item x="867"/>
        <item x="869"/>
        <item x="898"/>
        <item x="910"/>
        <item x="912"/>
        <item x="943"/>
        <item x="956"/>
        <item x="972"/>
        <item x="977"/>
        <item x="1042"/>
        <item x="1044"/>
        <item x="1049"/>
        <item x="1059"/>
        <item x="1074"/>
        <item x="1123"/>
        <item x="1133"/>
        <item x="1153"/>
        <item x="1154"/>
        <item x="1155"/>
        <item x="1156"/>
        <item x="1213"/>
        <item x="1234"/>
        <item x="1236"/>
        <item x="1260"/>
        <item x="1270"/>
        <item x="1343"/>
        <item x="1357"/>
        <item x="1365"/>
        <item x="1366"/>
        <item x="1367"/>
        <item x="1439"/>
        <item x="1528"/>
        <item x="1529"/>
        <item x="1535"/>
        <item x="1554"/>
        <item x="1566"/>
        <item x="1576"/>
        <item x="1625"/>
        <item x="1662"/>
        <item x="1715"/>
        <item x="1820"/>
        <item x="1835"/>
        <item x="1858"/>
        <item x="1875"/>
        <item x="1878"/>
        <item x="1880"/>
        <item x="1889"/>
        <item x="2037"/>
        <item x="2067"/>
        <item x="2068"/>
        <item x="2070"/>
        <item x="2099"/>
        <item x="2176"/>
        <item x="2177"/>
        <item x="2189"/>
        <item x="2207"/>
        <item x="2225"/>
        <item x="2233"/>
        <item x="2273"/>
        <item x="2301"/>
        <item x="2318"/>
        <item x="2336"/>
        <item x="2340"/>
        <item x="2345"/>
        <item x="2389"/>
        <item x="2408"/>
        <item x="2414"/>
        <item x="2422"/>
        <item x="2430"/>
        <item x="2478"/>
        <item x="2554"/>
        <item x="2612"/>
        <item x="2647"/>
        <item x="2662"/>
        <item x="2705"/>
        <item x="2706"/>
        <item x="2707"/>
        <item x="2733"/>
        <item x="2739"/>
        <item x="2762"/>
        <item x="2763"/>
        <item x="2772"/>
        <item x="2831"/>
        <item x="2832"/>
        <item x="2833"/>
        <item x="2835"/>
        <item x="2848"/>
        <item x="2866"/>
        <item x="2867"/>
        <item x="2879"/>
        <item x="2896"/>
        <item x="2908"/>
        <item x="2911"/>
        <item x="2937"/>
        <item x="2939"/>
        <item x="2971"/>
        <item x="2972"/>
        <item x="3052"/>
        <item x="3054"/>
        <item x="3091"/>
        <item x="3094"/>
        <item x="3135"/>
        <item x="3166"/>
        <item x="3176"/>
        <item x="3196"/>
        <item x="3200"/>
        <item x="3219"/>
        <item x="3224"/>
        <item x="3225"/>
        <item x="3238"/>
        <item x="3248"/>
        <item x="3254"/>
        <item x="3262"/>
        <item x="3271"/>
        <item x="3274"/>
        <item x="3276"/>
        <item x="3396"/>
        <item x="3420"/>
        <item x="3428"/>
        <item x="3461"/>
        <item x="3472"/>
        <item x="3504"/>
        <item x="3505"/>
        <item x="3533"/>
        <item x="3571"/>
        <item x="3577"/>
        <item x="3603"/>
        <item x="3618"/>
        <item x="3635"/>
        <item x="3654"/>
        <item x="3679"/>
        <item x="3694"/>
        <item x="3723"/>
        <item x="3736"/>
        <item x="3748"/>
        <item x="3797"/>
        <item x="3812"/>
        <item x="3828"/>
        <item x="3833"/>
        <item x="3896"/>
        <item x="3902"/>
        <item x="3907"/>
        <item x="219"/>
        <item x="307"/>
        <item x="309"/>
        <item x="315"/>
        <item x="415"/>
        <item x="444"/>
        <item x="763"/>
        <item x="1079"/>
        <item x="1221"/>
        <item x="1245"/>
        <item x="1309"/>
        <item x="1492"/>
        <item x="1606"/>
        <item x="1608"/>
        <item x="1689"/>
        <item x="1740"/>
        <item x="1865"/>
        <item x="1870"/>
        <item x="2088"/>
        <item x="2109"/>
        <item x="2423"/>
        <item x="2539"/>
        <item x="2542"/>
        <item x="2590"/>
        <item x="2912"/>
        <item x="3050"/>
        <item x="3051"/>
        <item x="3179"/>
        <item x="3281"/>
        <item x="3544"/>
        <item x="1"/>
        <item x="11"/>
        <item x="26"/>
        <item x="430"/>
        <item x="660"/>
        <item x="750"/>
        <item x="1081"/>
        <item x="1676"/>
        <item x="1866"/>
        <item x="2332"/>
        <item x="2573"/>
        <item x="2840"/>
        <item x="3030"/>
        <item x="3066"/>
        <item x="3087"/>
        <item x="3088"/>
        <item x="3128"/>
        <item x="3129"/>
        <item x="3424"/>
        <item x="3590"/>
        <item x="3885"/>
        <item x="3898"/>
        <item x="3921"/>
        <item x="157"/>
        <item x="428"/>
        <item x="592"/>
        <item x="706"/>
        <item x="821"/>
        <item x="838"/>
        <item x="847"/>
        <item x="852"/>
        <item x="858"/>
        <item x="861"/>
        <item x="904"/>
        <item x="942"/>
        <item x="1002"/>
        <item x="1124"/>
        <item x="1125"/>
        <item x="1262"/>
        <item x="1264"/>
        <item x="1291"/>
        <item x="1624"/>
        <item x="1742"/>
        <item x="1761"/>
        <item x="1767"/>
        <item x="2065"/>
        <item x="2125"/>
        <item x="2152"/>
        <item x="2163"/>
        <item x="2224"/>
        <item x="2315"/>
        <item x="2316"/>
        <item x="2319"/>
        <item x="2380"/>
        <item x="2525"/>
        <item x="2924"/>
        <item x="2958"/>
        <item x="2963"/>
        <item x="2965"/>
        <item x="3081"/>
        <item x="3146"/>
        <item x="3153"/>
        <item x="3218"/>
        <item x="3232"/>
        <item x="3237"/>
        <item x="3286"/>
        <item x="3293"/>
        <item x="3692"/>
        <item x="571"/>
        <item x="572"/>
        <item x="666"/>
        <item x="935"/>
        <item x="946"/>
        <item x="984"/>
        <item x="1017"/>
        <item x="1176"/>
        <item x="1177"/>
        <item x="1373"/>
        <item x="1428"/>
        <item x="1462"/>
        <item x="1565"/>
        <item x="1568"/>
        <item x="1672"/>
        <item x="1712"/>
        <item x="1913"/>
        <item x="2035"/>
        <item x="2512"/>
        <item x="2926"/>
        <item x="2927"/>
        <item x="2938"/>
        <item x="3074"/>
        <item x="3243"/>
        <item x="3244"/>
        <item x="3259"/>
        <item x="3407"/>
        <item x="3448"/>
        <item x="3532"/>
        <item x="356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33">
        <item x="354"/>
        <item x="359"/>
        <item x="162"/>
        <item x="26"/>
        <item x="61"/>
        <item x="370"/>
        <item x="146"/>
        <item x="176"/>
        <item x="383"/>
        <item m="1" x="431"/>
        <item x="285"/>
        <item x="150"/>
        <item x="3"/>
        <item m="1" x="428"/>
        <item x="159"/>
        <item m="1" x="401"/>
        <item m="1" x="422"/>
        <item x="0"/>
        <item x="64"/>
        <item x="157"/>
        <item x="223"/>
        <item x="32"/>
        <item x="173"/>
        <item x="199"/>
        <item x="268"/>
        <item x="30"/>
        <item x="220"/>
        <item x="25"/>
        <item x="326"/>
        <item x="51"/>
        <item x="206"/>
        <item x="237"/>
        <item x="195"/>
        <item x="12"/>
        <item x="343"/>
        <item x="72"/>
        <item x="27"/>
        <item m="1" x="416"/>
        <item x="247"/>
        <item x="46"/>
        <item x="63"/>
        <item x="91"/>
        <item x="204"/>
        <item m="1" x="423"/>
        <item x="260"/>
        <item m="1" x="384"/>
        <item x="314"/>
        <item x="142"/>
        <item x="125"/>
        <item x="145"/>
        <item x="205"/>
        <item m="1" x="427"/>
        <item x="363"/>
        <item x="184"/>
        <item x="208"/>
        <item x="186"/>
        <item x="96"/>
        <item x="121"/>
        <item x="233"/>
        <item x="219"/>
        <item x="235"/>
        <item x="170"/>
        <item x="240"/>
        <item m="1" x="399"/>
        <item x="8"/>
        <item x="232"/>
        <item x="286"/>
        <item x="9"/>
        <item x="348"/>
        <item x="250"/>
        <item x="97"/>
        <item x="81"/>
        <item x="360"/>
        <item x="294"/>
        <item x="2"/>
        <item x="58"/>
        <item x="299"/>
        <item x="214"/>
        <item x="33"/>
        <item x="38"/>
        <item x="11"/>
        <item x="177"/>
        <item x="87"/>
        <item x="251"/>
        <item x="181"/>
        <item x="373"/>
        <item x="267"/>
        <item x="137"/>
        <item x="65"/>
        <item x="259"/>
        <item m="1" x="424"/>
        <item x="295"/>
        <item x="306"/>
        <item x="37"/>
        <item x="217"/>
        <item x="118"/>
        <item x="59"/>
        <item x="319"/>
        <item x="278"/>
        <item x="339"/>
        <item x="36"/>
        <item x="132"/>
        <item x="73"/>
        <item x="14"/>
        <item x="349"/>
        <item m="1" x="415"/>
        <item x="57"/>
        <item x="42"/>
        <item m="1" x="417"/>
        <item x="193"/>
        <item x="265"/>
        <item x="344"/>
        <item x="49"/>
        <item x="331"/>
        <item x="313"/>
        <item x="18"/>
        <item m="1" x="394"/>
        <item x="198"/>
        <item x="273"/>
        <item x="15"/>
        <item x="164"/>
        <item x="191"/>
        <item x="85"/>
        <item x="80"/>
        <item x="380"/>
        <item x="301"/>
        <item m="1" x="398"/>
        <item m="1" x="421"/>
        <item m="1" x="391"/>
        <item x="136"/>
        <item x="317"/>
        <item x="376"/>
        <item x="338"/>
        <item x="126"/>
        <item x="140"/>
        <item x="45"/>
        <item x="23"/>
        <item x="43"/>
        <item x="24"/>
        <item x="75"/>
        <item x="281"/>
        <item x="330"/>
        <item x="255"/>
        <item x="291"/>
        <item x="17"/>
        <item x="336"/>
        <item x="10"/>
        <item x="305"/>
        <item x="225"/>
        <item x="154"/>
        <item x="165"/>
        <item x="296"/>
        <item x="21"/>
        <item x="264"/>
        <item x="127"/>
        <item x="254"/>
        <item x="210"/>
        <item x="196"/>
        <item x="274"/>
        <item x="60"/>
        <item x="28"/>
        <item x="133"/>
        <item x="40"/>
        <item x="310"/>
        <item x="171"/>
        <item x="143"/>
        <item x="276"/>
        <item x="50"/>
        <item x="128"/>
        <item x="311"/>
        <item x="227"/>
        <item x="364"/>
        <item x="103"/>
        <item x="74"/>
        <item x="256"/>
        <item m="1" x="389"/>
        <item x="329"/>
        <item x="243"/>
        <item x="53"/>
        <item x="351"/>
        <item x="302"/>
        <item x="271"/>
        <item x="149"/>
        <item x="234"/>
        <item m="1" x="390"/>
        <item x="22"/>
        <item x="213"/>
        <item m="1" x="432"/>
        <item x="35"/>
        <item x="52"/>
        <item x="269"/>
        <item x="167"/>
        <item m="1" x="410"/>
        <item x="368"/>
        <item x="287"/>
        <item x="275"/>
        <item x="335"/>
        <item x="29"/>
        <item x="115"/>
        <item x="321"/>
        <item x="67"/>
        <item x="327"/>
        <item x="263"/>
        <item x="94"/>
        <item x="282"/>
        <item m="1" x="388"/>
        <item x="308"/>
        <item x="112"/>
        <item x="148"/>
        <item x="55"/>
        <item x="190"/>
        <item x="47"/>
        <item x="54"/>
        <item x="252"/>
        <item x="169"/>
        <item x="153"/>
        <item x="105"/>
        <item x="163"/>
        <item x="290"/>
        <item x="182"/>
        <item x="229"/>
        <item x="207"/>
        <item x="144"/>
        <item x="201"/>
        <item x="156"/>
        <item x="215"/>
        <item x="365"/>
        <item x="106"/>
        <item x="71"/>
        <item x="44"/>
        <item x="178"/>
        <item m="1" x="426"/>
        <item x="292"/>
        <item x="375"/>
        <item x="200"/>
        <item m="1" x="420"/>
        <item x="16"/>
        <item x="224"/>
        <item x="340"/>
        <item x="120"/>
        <item x="168"/>
        <item m="1" x="413"/>
        <item x="119"/>
        <item x="76"/>
        <item x="241"/>
        <item x="211"/>
        <item x="139"/>
        <item x="179"/>
        <item x="362"/>
        <item x="236"/>
        <item m="1" x="429"/>
        <item x="109"/>
        <item x="147"/>
        <item x="221"/>
        <item x="4"/>
        <item x="151"/>
        <item x="216"/>
        <item x="333"/>
        <item x="350"/>
        <item x="323"/>
        <item x="5"/>
        <item x="337"/>
        <item m="1" x="409"/>
        <item x="342"/>
        <item m="1" x="400"/>
        <item x="122"/>
        <item x="174"/>
        <item x="253"/>
        <item x="230"/>
        <item x="6"/>
        <item x="100"/>
        <item x="382"/>
        <item x="114"/>
        <item x="288"/>
        <item x="7"/>
        <item x="98"/>
        <item x="111"/>
        <item x="341"/>
        <item x="41"/>
        <item x="245"/>
        <item x="289"/>
        <item x="189"/>
        <item x="123"/>
        <item x="77"/>
        <item x="248"/>
        <item x="92"/>
        <item x="138"/>
        <item x="377"/>
        <item x="68"/>
        <item x="86"/>
        <item x="116"/>
        <item x="202"/>
        <item x="117"/>
        <item x="62"/>
        <item x="262"/>
        <item x="284"/>
        <item x="113"/>
        <item x="131"/>
        <item x="1"/>
        <item m="1" x="402"/>
        <item x="69"/>
        <item x="357"/>
        <item x="258"/>
        <item x="277"/>
        <item m="1" x="397"/>
        <item x="203"/>
        <item x="66"/>
        <item m="1" x="418"/>
        <item x="31"/>
        <item x="270"/>
        <item x="379"/>
        <item x="222"/>
        <item x="378"/>
        <item x="324"/>
        <item x="161"/>
        <item x="89"/>
        <item x="134"/>
        <item x="218"/>
        <item m="1" x="406"/>
        <item x="124"/>
        <item x="107"/>
        <item x="166"/>
        <item x="381"/>
        <item x="130"/>
        <item x="19"/>
        <item x="346"/>
        <item x="108"/>
        <item m="1" x="407"/>
        <item x="244"/>
        <item x="110"/>
        <item m="1" x="387"/>
        <item x="83"/>
        <item x="104"/>
        <item x="56"/>
        <item x="88"/>
        <item x="345"/>
        <item x="316"/>
        <item x="155"/>
        <item x="101"/>
        <item x="212"/>
        <item x="172"/>
        <item x="192"/>
        <item x="95"/>
        <item x="70"/>
        <item x="238"/>
        <item x="320"/>
        <item m="1" x="396"/>
        <item x="90"/>
        <item x="315"/>
        <item m="1" x="419"/>
        <item x="39"/>
        <item x="13"/>
        <item x="293"/>
        <item x="304"/>
        <item x="197"/>
        <item x="300"/>
        <item x="226"/>
        <item m="1" x="404"/>
        <item x="209"/>
        <item x="356"/>
        <item x="280"/>
        <item x="371"/>
        <item m="1" x="430"/>
        <item x="332"/>
        <item x="307"/>
        <item x="183"/>
        <item m="1" x="405"/>
        <item m="1" x="411"/>
        <item m="1" x="393"/>
        <item x="266"/>
        <item x="257"/>
        <item x="141"/>
        <item x="358"/>
        <item x="309"/>
        <item x="194"/>
        <item x="152"/>
        <item x="78"/>
        <item m="1" x="403"/>
        <item x="187"/>
        <item m="1" x="385"/>
        <item x="84"/>
        <item x="246"/>
        <item x="93"/>
        <item x="20"/>
        <item x="353"/>
        <item x="129"/>
        <item x="239"/>
        <item x="99"/>
        <item x="160"/>
        <item m="1" x="392"/>
        <item x="279"/>
        <item m="1" x="414"/>
        <item m="1" x="425"/>
        <item x="347"/>
        <item x="34"/>
        <item x="79"/>
        <item x="135"/>
        <item x="188"/>
        <item m="1" x="395"/>
        <item m="1" x="412"/>
        <item x="261"/>
        <item x="298"/>
        <item x="312"/>
        <item m="1" x="408"/>
        <item x="318"/>
        <item x="322"/>
        <item x="325"/>
        <item x="328"/>
        <item x="334"/>
        <item x="231"/>
        <item x="361"/>
        <item x="366"/>
        <item x="372"/>
        <item x="48"/>
        <item x="102"/>
        <item m="1" x="386"/>
        <item x="272"/>
        <item x="82"/>
        <item x="175"/>
        <item x="180"/>
        <item x="242"/>
        <item x="249"/>
        <item x="228"/>
        <item x="283"/>
        <item x="355"/>
        <item x="158"/>
        <item x="297"/>
        <item x="352"/>
        <item x="367"/>
        <item x="185"/>
        <item x="303"/>
        <item x="369"/>
        <item x="3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0"/>
  </rowFields>
  <rowItems count="3991">
    <i>
      <x/>
      <x v="1603"/>
    </i>
    <i>
      <x v="1"/>
      <x v="3708"/>
    </i>
    <i>
      <x v="2"/>
      <x v="957"/>
    </i>
    <i r="1">
      <x v="3709"/>
    </i>
    <i>
      <x v="3"/>
      <x v="567"/>
    </i>
    <i r="1">
      <x v="1606"/>
    </i>
    <i r="1">
      <x v="1623"/>
    </i>
    <i r="1">
      <x v="1625"/>
    </i>
    <i r="1">
      <x v="1629"/>
    </i>
    <i r="1">
      <x v="2036"/>
    </i>
    <i r="1">
      <x v="2674"/>
    </i>
    <i r="1">
      <x v="2810"/>
    </i>
    <i r="1">
      <x v="3236"/>
    </i>
    <i r="1">
      <x v="3472"/>
    </i>
    <i r="1">
      <x v="3570"/>
    </i>
    <i r="1">
      <x v="3981"/>
    </i>
    <i r="1">
      <x v="3985"/>
    </i>
    <i>
      <x v="4"/>
      <x v="312"/>
    </i>
    <i r="1">
      <x v="2253"/>
    </i>
    <i r="1">
      <x v="3767"/>
    </i>
    <i r="1">
      <x v="3768"/>
    </i>
    <i r="1">
      <x v="3769"/>
    </i>
    <i r="1">
      <x v="3770"/>
    </i>
    <i r="1">
      <x v="3771"/>
    </i>
    <i r="1">
      <x v="3923"/>
    </i>
    <i r="1">
      <x v="3925"/>
    </i>
    <i r="1">
      <x v="4067"/>
    </i>
    <i r="1">
      <x v="4196"/>
    </i>
    <i r="1">
      <x v="4209"/>
    </i>
    <i r="1">
      <x v="4265"/>
    </i>
    <i r="1">
      <x v="4275"/>
    </i>
    <i>
      <x v="5"/>
      <x v="892"/>
    </i>
    <i r="1">
      <x v="1036"/>
    </i>
    <i r="1">
      <x v="1388"/>
    </i>
    <i r="1">
      <x v="2783"/>
    </i>
    <i>
      <x v="6"/>
      <x v="254"/>
    </i>
    <i r="1">
      <x v="322"/>
    </i>
    <i r="1">
      <x v="389"/>
    </i>
    <i r="1">
      <x v="656"/>
    </i>
    <i r="1">
      <x v="1021"/>
    </i>
    <i r="1">
      <x v="1111"/>
    </i>
    <i r="1">
      <x v="1240"/>
    </i>
    <i r="1">
      <x v="1548"/>
    </i>
    <i r="1">
      <x v="2501"/>
    </i>
    <i r="1">
      <x v="3402"/>
    </i>
    <i r="1">
      <x v="3682"/>
    </i>
    <i>
      <x v="7"/>
      <x v="649"/>
    </i>
    <i r="1">
      <x v="1438"/>
    </i>
    <i r="1">
      <x v="1552"/>
    </i>
    <i r="1">
      <x v="1566"/>
    </i>
    <i r="1">
      <x v="2163"/>
    </i>
    <i r="1">
      <x v="2237"/>
    </i>
    <i r="1">
      <x v="2283"/>
    </i>
    <i r="1">
      <x v="2421"/>
    </i>
    <i r="1">
      <x v="2577"/>
    </i>
    <i r="1">
      <x v="3337"/>
    </i>
    <i>
      <x v="8"/>
      <x v="3572"/>
    </i>
    <i>
      <x v="10"/>
      <x v="519"/>
    </i>
    <i r="1">
      <x v="1587"/>
    </i>
    <i r="1">
      <x v="1818"/>
    </i>
    <i r="1">
      <x v="2514"/>
    </i>
    <i r="1">
      <x v="2807"/>
    </i>
    <i r="1">
      <x v="2809"/>
    </i>
    <i>
      <x v="11"/>
      <x v="6"/>
    </i>
    <i r="1">
      <x v="143"/>
    </i>
    <i r="1">
      <x v="192"/>
    </i>
    <i r="1">
      <x v="520"/>
    </i>
    <i r="1">
      <x v="544"/>
    </i>
    <i r="1">
      <x v="1171"/>
    </i>
    <i r="1">
      <x v="1756"/>
    </i>
    <i r="1">
      <x v="1868"/>
    </i>
    <i r="1">
      <x v="1875"/>
    </i>
    <i r="1">
      <x v="2247"/>
    </i>
    <i r="1">
      <x v="3059"/>
    </i>
    <i r="1">
      <x v="3085"/>
    </i>
    <i r="1">
      <x v="3216"/>
    </i>
    <i r="1">
      <x v="3265"/>
    </i>
    <i r="1">
      <x v="3423"/>
    </i>
    <i>
      <x v="12"/>
      <x v="21"/>
    </i>
    <i r="1">
      <x v="1645"/>
    </i>
    <i>
      <x v="14"/>
      <x v="840"/>
    </i>
    <i r="1">
      <x v="1708"/>
    </i>
    <i r="1">
      <x v="1726"/>
    </i>
    <i r="1">
      <x v="2623"/>
    </i>
    <i r="1">
      <x v="2714"/>
    </i>
    <i>
      <x v="17"/>
      <x v="197"/>
    </i>
    <i r="1">
      <x v="257"/>
    </i>
    <i r="1">
      <x v="313"/>
    </i>
    <i r="1">
      <x v="328"/>
    </i>
    <i r="1">
      <x v="518"/>
    </i>
    <i r="1">
      <x v="748"/>
    </i>
    <i r="1">
      <x v="1077"/>
    </i>
    <i r="1">
      <x v="1127"/>
    </i>
    <i r="1">
      <x v="1167"/>
    </i>
    <i r="1">
      <x v="1214"/>
    </i>
    <i r="1">
      <x v="1236"/>
    </i>
    <i r="1">
      <x v="2187"/>
    </i>
    <i r="1">
      <x v="2280"/>
    </i>
    <i r="1">
      <x v="2482"/>
    </i>
    <i r="1">
      <x v="2890"/>
    </i>
    <i r="1">
      <x v="3568"/>
    </i>
    <i r="1">
      <x v="3658"/>
    </i>
    <i r="1">
      <x v="3693"/>
    </i>
    <i r="1">
      <x v="3856"/>
    </i>
    <i r="1">
      <x v="3873"/>
    </i>
    <i r="1">
      <x v="4004"/>
    </i>
    <i r="1">
      <x v="4047"/>
    </i>
    <i r="1">
      <x v="4077"/>
    </i>
    <i r="1">
      <x v="4100"/>
    </i>
    <i>
      <x v="18"/>
      <x v="134"/>
    </i>
    <i r="1">
      <x v="368"/>
    </i>
    <i r="1">
      <x v="510"/>
    </i>
    <i r="1">
      <x v="1258"/>
    </i>
    <i r="1">
      <x v="1915"/>
    </i>
    <i r="1">
      <x v="2381"/>
    </i>
    <i r="1">
      <x v="2842"/>
    </i>
    <i r="1">
      <x v="2847"/>
    </i>
    <i r="1">
      <x v="3574"/>
    </i>
    <i r="1">
      <x v="3726"/>
    </i>
    <i r="1">
      <x v="3766"/>
    </i>
    <i r="1">
      <x v="3921"/>
    </i>
    <i r="1">
      <x v="4205"/>
    </i>
    <i>
      <x v="19"/>
      <x v="46"/>
    </i>
    <i r="1">
      <x v="47"/>
    </i>
    <i r="1">
      <x v="194"/>
    </i>
    <i r="1">
      <x v="492"/>
    </i>
    <i r="1">
      <x v="661"/>
    </i>
    <i r="1">
      <x v="813"/>
    </i>
    <i r="1">
      <x v="958"/>
    </i>
    <i r="1">
      <x v="1130"/>
    </i>
    <i r="1">
      <x v="1174"/>
    </i>
    <i r="1">
      <x v="1299"/>
    </i>
    <i r="1">
      <x v="1467"/>
    </i>
    <i r="1">
      <x v="1563"/>
    </i>
    <i r="1">
      <x v="1592"/>
    </i>
    <i r="1">
      <x v="2088"/>
    </i>
    <i r="1">
      <x v="2091"/>
    </i>
    <i r="1">
      <x v="2390"/>
    </i>
    <i r="1">
      <x v="2399"/>
    </i>
    <i r="1">
      <x v="2449"/>
    </i>
    <i r="1">
      <x v="2493"/>
    </i>
    <i r="1">
      <x v="2499"/>
    </i>
    <i r="1">
      <x v="2717"/>
    </i>
    <i r="1">
      <x v="2794"/>
    </i>
    <i r="1">
      <x v="2899"/>
    </i>
    <i r="1">
      <x v="3096"/>
    </i>
    <i r="1">
      <x v="3107"/>
    </i>
    <i r="1">
      <x v="3114"/>
    </i>
    <i r="1">
      <x v="3268"/>
    </i>
    <i r="1">
      <x v="3291"/>
    </i>
    <i r="1">
      <x v="3561"/>
    </i>
    <i r="1">
      <x v="3562"/>
    </i>
    <i r="1">
      <x v="3583"/>
    </i>
    <i>
      <x v="20"/>
      <x v="1311"/>
    </i>
    <i r="1">
      <x v="2158"/>
    </i>
    <i r="1">
      <x v="2347"/>
    </i>
    <i r="1">
      <x v="2419"/>
    </i>
    <i r="1">
      <x v="2426"/>
    </i>
    <i r="1">
      <x v="2474"/>
    </i>
    <i r="1">
      <x v="3276"/>
    </i>
    <i r="1">
      <x v="3680"/>
    </i>
    <i>
      <x v="21"/>
      <x v="227"/>
    </i>
    <i r="1">
      <x v="826"/>
    </i>
    <i r="1">
      <x v="964"/>
    </i>
    <i r="1">
      <x v="1221"/>
    </i>
    <i r="1">
      <x v="1439"/>
    </i>
    <i r="1">
      <x v="1519"/>
    </i>
    <i r="1">
      <x v="2142"/>
    </i>
    <i r="1">
      <x v="2313"/>
    </i>
    <i r="1">
      <x v="2496"/>
    </i>
    <i r="1">
      <x v="2505"/>
    </i>
    <i r="1">
      <x v="3180"/>
    </i>
    <i r="1">
      <x v="3408"/>
    </i>
    <i r="1">
      <x v="3953"/>
    </i>
    <i>
      <x v="22"/>
      <x v="452"/>
    </i>
    <i r="1">
      <x v="594"/>
    </i>
    <i r="1">
      <x v="947"/>
    </i>
    <i r="1">
      <x v="1054"/>
    </i>
    <i r="1">
      <x v="1138"/>
    </i>
    <i r="1">
      <x v="1183"/>
    </i>
    <i r="1">
      <x v="1234"/>
    </i>
    <i r="1">
      <x v="1506"/>
    </i>
    <i r="1">
      <x v="1524"/>
    </i>
    <i r="1">
      <x v="1611"/>
    </i>
    <i r="1">
      <x v="2263"/>
    </i>
    <i r="1">
      <x v="2330"/>
    </i>
    <i r="1">
      <x v="2844"/>
    </i>
    <i r="1">
      <x v="2891"/>
    </i>
    <i r="1">
      <x v="3118"/>
    </i>
    <i r="1">
      <x v="3127"/>
    </i>
    <i r="1">
      <x v="3129"/>
    </i>
    <i r="1">
      <x v="3808"/>
    </i>
    <i r="1">
      <x v="3809"/>
    </i>
    <i>
      <x v="23"/>
      <x v="237"/>
    </i>
    <i r="1">
      <x v="529"/>
    </i>
    <i r="1">
      <x v="730"/>
    </i>
    <i r="1">
      <x v="1168"/>
    </i>
    <i r="1">
      <x v="1224"/>
    </i>
    <i r="1">
      <x v="1306"/>
    </i>
    <i r="1">
      <x v="1352"/>
    </i>
    <i r="1">
      <x v="1516"/>
    </i>
    <i r="1">
      <x v="2176"/>
    </i>
    <i r="1">
      <x v="2311"/>
    </i>
    <i r="1">
      <x v="2484"/>
    </i>
    <i r="1">
      <x v="2905"/>
    </i>
    <i r="1">
      <x v="3296"/>
    </i>
    <i r="1">
      <x v="3678"/>
    </i>
    <i>
      <x v="24"/>
      <x v="1159"/>
    </i>
    <i r="1">
      <x v="1160"/>
    </i>
    <i r="1">
      <x v="1263"/>
    </i>
    <i r="1">
      <x v="1522"/>
    </i>
    <i r="1">
      <x v="3566"/>
    </i>
    <i r="1">
      <x v="3674"/>
    </i>
    <i r="1">
      <x v="4110"/>
    </i>
    <i>
      <x v="25"/>
      <x v="276"/>
    </i>
    <i r="1">
      <x v="631"/>
    </i>
    <i r="1">
      <x v="877"/>
    </i>
    <i r="1">
      <x v="1356"/>
    </i>
    <i r="1">
      <x v="1359"/>
    </i>
    <i r="1">
      <x v="1496"/>
    </i>
    <i r="1">
      <x v="1675"/>
    </i>
    <i r="1">
      <x v="1982"/>
    </i>
    <i r="1">
      <x v="1992"/>
    </i>
    <i r="1">
      <x v="2762"/>
    </i>
    <i r="1">
      <x v="2852"/>
    </i>
    <i r="1">
      <x v="2881"/>
    </i>
    <i r="1">
      <x v="3419"/>
    </i>
    <i r="1">
      <x v="3452"/>
    </i>
    <i r="1">
      <x v="3934"/>
    </i>
    <i>
      <x v="26"/>
      <x v="646"/>
    </i>
    <i r="1">
      <x v="988"/>
    </i>
    <i r="1">
      <x v="1373"/>
    </i>
    <i r="1">
      <x v="1450"/>
    </i>
    <i r="1">
      <x v="1700"/>
    </i>
    <i r="1">
      <x v="2003"/>
    </i>
    <i r="1">
      <x v="2240"/>
    </i>
    <i r="1">
      <x v="2610"/>
    </i>
    <i r="1">
      <x v="3222"/>
    </i>
    <i r="1">
      <x v="4173"/>
    </i>
    <i>
      <x v="27"/>
      <x v="99"/>
    </i>
    <i r="1">
      <x v="124"/>
    </i>
    <i r="1">
      <x v="263"/>
    </i>
    <i r="1">
      <x v="265"/>
    </i>
    <i r="1">
      <x v="953"/>
    </i>
    <i r="1">
      <x v="1134"/>
    </i>
    <i r="1">
      <x v="2072"/>
    </i>
    <i r="1">
      <x v="2108"/>
    </i>
    <i r="1">
      <x v="2148"/>
    </i>
    <i r="1">
      <x v="2290"/>
    </i>
    <i r="1">
      <x v="2302"/>
    </i>
    <i r="1">
      <x v="2402"/>
    </i>
    <i r="1">
      <x v="2405"/>
    </i>
    <i r="1">
      <x v="2414"/>
    </i>
    <i r="1">
      <x v="2616"/>
    </i>
    <i r="1">
      <x v="3033"/>
    </i>
    <i r="1">
      <x v="3069"/>
    </i>
    <i r="1">
      <x v="3168"/>
    </i>
    <i r="1">
      <x v="3169"/>
    </i>
    <i r="1">
      <x v="3238"/>
    </i>
    <i r="1">
      <x v="3392"/>
    </i>
    <i r="1">
      <x v="3396"/>
    </i>
    <i r="1">
      <x v="3613"/>
    </i>
    <i r="1">
      <x v="3948"/>
    </i>
    <i r="1">
      <x v="4111"/>
    </i>
    <i>
      <x v="28"/>
      <x v="1206"/>
    </i>
    <i r="1">
      <x v="2608"/>
    </i>
    <i r="1">
      <x v="3288"/>
    </i>
    <i>
      <x v="29"/>
      <x v="439"/>
    </i>
    <i r="1">
      <x v="444"/>
    </i>
    <i r="1">
      <x v="445"/>
    </i>
    <i r="1">
      <x v="552"/>
    </i>
    <i r="1">
      <x v="569"/>
    </i>
    <i r="1">
      <x v="618"/>
    </i>
    <i r="1">
      <x v="806"/>
    </i>
    <i r="1">
      <x v="833"/>
    </i>
    <i r="1">
      <x v="1008"/>
    </i>
    <i r="1">
      <x v="1025"/>
    </i>
    <i r="1">
      <x v="1333"/>
    </i>
    <i r="1">
      <x v="1744"/>
    </i>
    <i r="1">
      <x v="1788"/>
    </i>
    <i r="1">
      <x v="2060"/>
    </i>
    <i r="1">
      <x v="2069"/>
    </i>
    <i r="1">
      <x v="2124"/>
    </i>
    <i r="1">
      <x v="2166"/>
    </i>
    <i r="1">
      <x v="2179"/>
    </i>
    <i r="1">
      <x v="2468"/>
    </i>
    <i r="1">
      <x v="2834"/>
    </i>
    <i r="1">
      <x v="2936"/>
    </i>
    <i r="1">
      <x v="3061"/>
    </i>
    <i r="1">
      <x v="3091"/>
    </i>
    <i r="1">
      <x v="3220"/>
    </i>
    <i r="1">
      <x v="3422"/>
    </i>
    <i r="1">
      <x v="4238"/>
    </i>
    <i r="1">
      <x v="4263"/>
    </i>
    <i>
      <x v="30"/>
      <x v="1216"/>
    </i>
    <i r="1">
      <x v="1265"/>
    </i>
    <i r="1">
      <x v="1304"/>
    </i>
    <i r="1">
      <x v="2137"/>
    </i>
    <i r="1">
      <x v="2584"/>
    </i>
    <i r="1">
      <x v="3041"/>
    </i>
    <i r="1">
      <x v="4099"/>
    </i>
    <i>
      <x v="31"/>
      <x v="491"/>
    </i>
    <i r="1">
      <x v="720"/>
    </i>
    <i r="1">
      <x v="1163"/>
    </i>
    <i r="1">
      <x v="2196"/>
    </i>
    <i r="1">
      <x v="2268"/>
    </i>
    <i r="1">
      <x v="3113"/>
    </i>
    <i r="1">
      <x v="3703"/>
    </i>
    <i r="1">
      <x v="3704"/>
    </i>
    <i r="1">
      <x v="3758"/>
    </i>
    <i>
      <x v="32"/>
      <x v="308"/>
    </i>
    <i r="1">
      <x v="331"/>
    </i>
    <i r="1">
      <x v="526"/>
    </i>
    <i r="1">
      <x v="527"/>
    </i>
    <i r="1">
      <x v="528"/>
    </i>
    <i r="1">
      <x v="658"/>
    </i>
    <i r="1">
      <x v="679"/>
    </i>
    <i r="1">
      <x v="1051"/>
    </i>
    <i r="1">
      <x v="1182"/>
    </i>
    <i r="1">
      <x v="1226"/>
    </i>
    <i r="1">
      <x v="1505"/>
    </i>
    <i r="1">
      <x v="1556"/>
    </i>
    <i r="1">
      <x v="1759"/>
    </i>
    <i r="1">
      <x v="2312"/>
    </i>
    <i r="1">
      <x v="2576"/>
    </i>
    <i r="1">
      <x v="2645"/>
    </i>
    <i r="1">
      <x v="3247"/>
    </i>
    <i r="1">
      <x v="3688"/>
    </i>
    <i r="1">
      <x v="3795"/>
    </i>
    <i r="1">
      <x v="3796"/>
    </i>
    <i r="1">
      <x v="3850"/>
    </i>
    <i>
      <x v="33"/>
      <x v="62"/>
    </i>
    <i r="1">
      <x v="333"/>
    </i>
    <i r="1">
      <x v="1175"/>
    </i>
    <i r="1">
      <x v="1585"/>
    </i>
    <i r="1">
      <x v="1723"/>
    </i>
    <i r="1">
      <x v="1859"/>
    </i>
    <i r="1">
      <x v="1877"/>
    </i>
    <i r="1">
      <x v="3105"/>
    </i>
    <i r="1">
      <x v="3302"/>
    </i>
    <i r="1">
      <x v="3918"/>
    </i>
    <i r="1">
      <x v="3919"/>
    </i>
    <i r="1">
      <x v="3920"/>
    </i>
    <i>
      <x v="34"/>
      <x v="390"/>
    </i>
    <i r="1">
      <x v="2226"/>
    </i>
    <i>
      <x v="35"/>
      <x v="18"/>
    </i>
    <i r="1">
      <x v="187"/>
    </i>
    <i r="1">
      <x v="287"/>
    </i>
    <i r="1">
      <x v="1832"/>
    </i>
    <i r="1">
      <x v="2373"/>
    </i>
    <i r="1">
      <x v="2466"/>
    </i>
    <i r="1">
      <x v="2994"/>
    </i>
    <i r="1">
      <x v="2998"/>
    </i>
    <i r="1">
      <x v="3439"/>
    </i>
    <i r="1">
      <x v="3889"/>
    </i>
    <i r="1">
      <x v="3890"/>
    </i>
    <i>
      <x v="36"/>
      <x v="102"/>
    </i>
    <i r="1">
      <x v="104"/>
    </i>
    <i r="1">
      <x v="178"/>
    </i>
    <i r="1">
      <x v="235"/>
    </i>
    <i r="1">
      <x v="243"/>
    </i>
    <i r="1">
      <x v="258"/>
    </i>
    <i r="1">
      <x v="262"/>
    </i>
    <i r="1">
      <x v="721"/>
    </i>
    <i r="1">
      <x v="760"/>
    </i>
    <i r="1">
      <x v="779"/>
    </i>
    <i r="1">
      <x v="1110"/>
    </i>
    <i r="1">
      <x v="1124"/>
    </i>
    <i r="1">
      <x v="1212"/>
    </i>
    <i r="1">
      <x v="1219"/>
    </i>
    <i r="1">
      <x v="1246"/>
    </i>
    <i r="1">
      <x v="1408"/>
    </i>
    <i r="1">
      <x v="1431"/>
    </i>
    <i r="1">
      <x v="1444"/>
    </i>
    <i r="1">
      <x v="1546"/>
    </i>
    <i r="1">
      <x v="1578"/>
    </i>
    <i r="1">
      <x v="2057"/>
    </i>
    <i r="1">
      <x v="2153"/>
    </i>
    <i r="1">
      <x v="2286"/>
    </i>
    <i r="1">
      <x v="2351"/>
    </i>
    <i r="1">
      <x v="2545"/>
    </i>
    <i r="1">
      <x v="2945"/>
    </i>
    <i r="1">
      <x v="2991"/>
    </i>
    <i r="1">
      <x v="3125"/>
    </i>
    <i r="1">
      <x v="3164"/>
    </i>
    <i r="1">
      <x v="3166"/>
    </i>
    <i r="1">
      <x v="3181"/>
    </i>
    <i r="1">
      <x v="3336"/>
    </i>
    <i r="1">
      <x v="3405"/>
    </i>
    <i r="1">
      <x v="3414"/>
    </i>
    <i r="1">
      <x v="3565"/>
    </i>
    <i r="1">
      <x v="3681"/>
    </i>
    <i r="1">
      <x v="3755"/>
    </i>
    <i r="1">
      <x v="3804"/>
    </i>
    <i r="1">
      <x v="3810"/>
    </i>
    <i r="1">
      <x v="3825"/>
    </i>
    <i r="1">
      <x v="3842"/>
    </i>
    <i r="1">
      <x v="3843"/>
    </i>
    <i r="1">
      <x v="3847"/>
    </i>
    <i r="1">
      <x v="3854"/>
    </i>
    <i r="1">
      <x v="4063"/>
    </i>
    <i r="1">
      <x v="4137"/>
    </i>
    <i>
      <x v="38"/>
      <x v="377"/>
    </i>
    <i r="1">
      <x v="956"/>
    </i>
    <i r="1">
      <x v="1062"/>
    </i>
    <i r="1">
      <x v="1063"/>
    </i>
    <i r="1">
      <x v="1855"/>
    </i>
    <i r="1">
      <x v="2077"/>
    </i>
    <i r="1">
      <x v="2701"/>
    </i>
    <i r="1">
      <x v="4199"/>
    </i>
    <i>
      <x v="39"/>
      <x v="63"/>
    </i>
    <i r="1">
      <x v="67"/>
    </i>
    <i r="1">
      <x v="92"/>
    </i>
    <i r="1">
      <x v="96"/>
    </i>
    <i r="1">
      <x v="228"/>
    </i>
    <i r="1">
      <x v="245"/>
    </i>
    <i r="1">
      <x v="693"/>
    </i>
    <i r="1">
      <x v="1133"/>
    </i>
    <i r="1">
      <x v="1231"/>
    </i>
    <i r="1">
      <x v="1237"/>
    </i>
    <i r="1">
      <x v="1239"/>
    </i>
    <i r="1">
      <x v="1395"/>
    </i>
    <i r="1">
      <x v="1399"/>
    </i>
    <i r="1">
      <x v="1412"/>
    </i>
    <i r="1">
      <x v="1570"/>
    </i>
    <i r="1">
      <x v="1650"/>
    </i>
    <i r="1">
      <x v="2300"/>
    </i>
    <i r="1">
      <x v="2409"/>
    </i>
    <i r="1">
      <x v="2481"/>
    </i>
    <i r="1">
      <x v="2487"/>
    </i>
    <i r="1">
      <x v="2572"/>
    </i>
    <i r="1">
      <x v="2889"/>
    </i>
    <i r="1">
      <x v="3124"/>
    </i>
    <i r="1">
      <x v="3309"/>
    </i>
    <i r="1">
      <x v="3389"/>
    </i>
    <i r="1">
      <x v="3403"/>
    </i>
    <i r="1">
      <x v="3946"/>
    </i>
    <i>
      <x v="40"/>
      <x v="458"/>
    </i>
    <i r="1">
      <x v="562"/>
    </i>
    <i r="1">
      <x v="776"/>
    </i>
    <i r="1">
      <x v="1298"/>
    </i>
    <i r="1">
      <x v="1335"/>
    </i>
    <i r="1">
      <x v="1716"/>
    </i>
    <i r="1">
      <x v="1750"/>
    </i>
    <i r="1">
      <x v="1845"/>
    </i>
    <i r="1">
      <x v="1890"/>
    </i>
    <i r="1">
      <x v="1944"/>
    </i>
    <i r="1">
      <x v="2052"/>
    </i>
    <i r="1">
      <x v="2494"/>
    </i>
    <i r="1">
      <x v="2520"/>
    </i>
    <i r="1">
      <x v="3515"/>
    </i>
    <i r="1">
      <x v="3669"/>
    </i>
    <i r="1">
      <x v="3988"/>
    </i>
    <i>
      <x v="41"/>
      <x v="718"/>
    </i>
    <i r="1">
      <x v="838"/>
    </i>
    <i r="1">
      <x v="1925"/>
    </i>
    <i r="1">
      <x v="2397"/>
    </i>
    <i r="1">
      <x v="2938"/>
    </i>
    <i r="1">
      <x v="3100"/>
    </i>
    <i r="1">
      <x v="3448"/>
    </i>
    <i>
      <x v="42"/>
      <x v="1597"/>
    </i>
    <i r="1">
      <x v="2321"/>
    </i>
    <i r="1">
      <x v="3186"/>
    </i>
    <i>
      <x v="44"/>
      <x v="4056"/>
    </i>
    <i r="1">
      <x v="4133"/>
    </i>
    <i r="1">
      <x v="4141"/>
    </i>
    <i>
      <x v="46"/>
      <x v="2040"/>
    </i>
    <i>
      <x v="47"/>
      <x v="641"/>
    </i>
    <i r="1">
      <x v="734"/>
    </i>
    <i r="1">
      <x v="1274"/>
    </i>
    <i r="1">
      <x v="1746"/>
    </i>
    <i r="1">
      <x v="2261"/>
    </i>
    <i r="1">
      <x v="2264"/>
    </i>
    <i r="1">
      <x v="2531"/>
    </i>
    <i r="1">
      <x v="2541"/>
    </i>
    <i r="1">
      <x v="3073"/>
    </i>
    <i r="1">
      <x v="3197"/>
    </i>
    <i r="1">
      <x v="3430"/>
    </i>
    <i r="1">
      <x v="3525"/>
    </i>
    <i r="1">
      <x v="3595"/>
    </i>
    <i>
      <x v="48"/>
      <x v="217"/>
    </i>
    <i r="1">
      <x v="1799"/>
    </i>
    <i r="1">
      <x v="2054"/>
    </i>
    <i r="1">
      <x v="2317"/>
    </i>
    <i r="1">
      <x v="3760"/>
    </i>
    <i>
      <x v="49"/>
      <x v="616"/>
    </i>
    <i r="1">
      <x v="653"/>
    </i>
    <i r="1">
      <x v="1173"/>
    </i>
    <i r="1">
      <x v="1196"/>
    </i>
    <i r="1">
      <x v="1403"/>
    </i>
    <i r="1">
      <x v="1569"/>
    </i>
    <i r="1">
      <x v="2928"/>
    </i>
    <i r="1">
      <x v="3269"/>
    </i>
    <i>
      <x v="50"/>
      <x v="70"/>
    </i>
    <i r="1">
      <x v="334"/>
    </i>
    <i r="1">
      <x v="792"/>
    </i>
    <i r="1">
      <x v="827"/>
    </i>
    <i r="1">
      <x v="852"/>
    </i>
    <i r="1">
      <x v="2310"/>
    </i>
    <i r="1">
      <x v="2495"/>
    </i>
    <i r="1">
      <x v="4109"/>
    </i>
    <i r="1">
      <x v="4282"/>
    </i>
    <i r="1">
      <x v="4283"/>
    </i>
    <i>
      <x v="52"/>
      <x v="1477"/>
    </i>
    <i>
      <x v="53"/>
      <x v="434"/>
    </i>
    <i r="1">
      <x v="1896"/>
    </i>
    <i r="1">
      <x v="2684"/>
    </i>
    <i r="1">
      <x v="3315"/>
    </i>
    <i r="1">
      <x v="3584"/>
    </i>
    <i>
      <x v="54"/>
      <x v="475"/>
    </i>
    <i r="1">
      <x v="678"/>
    </i>
    <i r="1">
      <x v="1813"/>
    </i>
    <i r="1">
      <x v="3153"/>
    </i>
    <i>
      <x v="55"/>
      <x v="2697"/>
    </i>
    <i r="1">
      <x v="3144"/>
    </i>
    <i>
      <x v="56"/>
      <x v="293"/>
    </i>
    <i r="1">
      <x v="468"/>
    </i>
    <i r="1">
      <x v="765"/>
    </i>
    <i r="1">
      <x v="1251"/>
    </i>
    <i r="1">
      <x v="1586"/>
    </i>
    <i r="1">
      <x v="1905"/>
    </i>
    <i r="1">
      <x v="1939"/>
    </i>
    <i r="1">
      <x v="2254"/>
    </i>
    <i r="1">
      <x v="2590"/>
    </i>
    <i r="1">
      <x v="3027"/>
    </i>
    <i>
      <x v="57"/>
      <x v="672"/>
    </i>
    <i r="1">
      <x v="791"/>
    </i>
    <i r="1">
      <x v="1205"/>
    </i>
    <i r="1">
      <x v="1955"/>
    </i>
    <i r="1">
      <x v="2396"/>
    </i>
    <i r="1">
      <x v="2453"/>
    </i>
    <i r="1">
      <x v="2467"/>
    </i>
    <i r="1">
      <x v="2715"/>
    </i>
    <i r="1">
      <x v="3012"/>
    </i>
    <i r="1">
      <x v="3556"/>
    </i>
    <i r="1">
      <x v="3717"/>
    </i>
    <i r="1">
      <x v="4277"/>
    </i>
    <i>
      <x v="58"/>
      <x v="68"/>
    </i>
    <i r="1">
      <x v="113"/>
    </i>
    <i r="1">
      <x v="181"/>
    </i>
    <i r="1">
      <x v="701"/>
    </i>
    <i r="1">
      <x v="941"/>
    </i>
    <i r="1">
      <x v="1422"/>
    </i>
    <i r="1">
      <x v="2906"/>
    </i>
    <i r="1">
      <x v="3264"/>
    </i>
    <i r="1">
      <x v="3594"/>
    </i>
    <i r="1">
      <x v="3675"/>
    </i>
    <i r="1">
      <x v="3695"/>
    </i>
    <i>
      <x v="59"/>
      <x v="148"/>
    </i>
    <i r="1">
      <x v="507"/>
    </i>
    <i r="1">
      <x v="1780"/>
    </i>
    <i r="1">
      <x v="3278"/>
    </i>
    <i r="1">
      <x v="3622"/>
    </i>
    <i>
      <x v="60"/>
      <x v="129"/>
    </i>
    <i r="1">
      <x v="2255"/>
    </i>
    <i r="1">
      <x v="2459"/>
    </i>
    <i r="1">
      <x v="2808"/>
    </i>
    <i>
      <x v="61"/>
      <x v="180"/>
    </i>
    <i r="1">
      <x v="234"/>
    </i>
    <i r="1">
      <x v="326"/>
    </i>
    <i r="1">
      <x v="335"/>
    </i>
    <i r="1">
      <x v="499"/>
    </i>
    <i r="1">
      <x v="607"/>
    </i>
    <i r="1">
      <x v="1215"/>
    </i>
    <i r="1">
      <x v="1229"/>
    </i>
    <i r="1">
      <x v="1245"/>
    </i>
    <i r="1">
      <x v="1721"/>
    </i>
    <i r="1">
      <x v="1930"/>
    </i>
    <i r="1">
      <x v="2186"/>
    </i>
    <i r="1">
      <x v="2291"/>
    </i>
    <i r="1">
      <x v="2417"/>
    </i>
    <i r="1">
      <x v="2431"/>
    </i>
    <i r="1">
      <x v="2436"/>
    </i>
    <i r="1">
      <x v="2492"/>
    </i>
    <i r="1">
      <x v="2818"/>
    </i>
    <i r="1">
      <x v="2924"/>
    </i>
    <i r="1">
      <x v="3036"/>
    </i>
    <i r="1">
      <x v="3068"/>
    </i>
    <i r="1">
      <x v="4198"/>
    </i>
    <i>
      <x v="62"/>
      <x v="309"/>
    </i>
    <i r="1">
      <x v="1074"/>
    </i>
    <i r="1">
      <x v="2305"/>
    </i>
    <i r="1">
      <x v="2411"/>
    </i>
    <i r="1">
      <x v="2578"/>
    </i>
    <i r="1">
      <x v="2647"/>
    </i>
    <i r="1">
      <x v="3174"/>
    </i>
    <i r="1">
      <x v="4049"/>
    </i>
    <i r="1">
      <x v="4072"/>
    </i>
    <i>
      <x v="64"/>
      <x v="490"/>
    </i>
    <i r="1">
      <x v="522"/>
    </i>
    <i r="1">
      <x v="930"/>
    </i>
    <i r="1">
      <x v="1808"/>
    </i>
    <i r="1">
      <x v="1815"/>
    </i>
    <i r="1">
      <x v="1882"/>
    </i>
    <i r="1">
      <x v="1888"/>
    </i>
    <i r="1">
      <x v="2201"/>
    </i>
    <i r="1">
      <x v="2205"/>
    </i>
    <i r="1">
      <x v="2813"/>
    </i>
    <i r="1">
      <x v="2963"/>
    </i>
    <i r="1">
      <x v="2981"/>
    </i>
    <i r="1">
      <x v="2982"/>
    </i>
    <i r="1">
      <x v="2985"/>
    </i>
    <i r="1">
      <x v="3108"/>
    </i>
    <i r="1">
      <x v="3563"/>
    </i>
    <i>
      <x v="65"/>
      <x v="1144"/>
    </i>
    <i r="1">
      <x v="2070"/>
    </i>
    <i r="1">
      <x v="2952"/>
    </i>
    <i r="1">
      <x v="3347"/>
    </i>
    <i r="1">
      <x v="3524"/>
    </i>
    <i r="1">
      <x v="3736"/>
    </i>
    <i r="1">
      <x v="3737"/>
    </i>
    <i>
      <x v="66"/>
      <x v="1965"/>
    </i>
    <i>
      <x v="67"/>
      <x v="221"/>
    </i>
    <i r="1">
      <x v="1583"/>
    </i>
    <i r="1">
      <x v="1862"/>
    </i>
    <i r="1">
      <x v="1887"/>
    </i>
    <i r="1">
      <x v="2193"/>
    </i>
    <i r="1">
      <x v="2199"/>
    </i>
    <i r="1">
      <x v="2384"/>
    </i>
    <i r="1">
      <x v="2814"/>
    </i>
    <i r="1">
      <x v="2967"/>
    </i>
    <i r="1">
      <x v="2977"/>
    </i>
    <i r="1">
      <x v="2978"/>
    </i>
    <i r="1">
      <x v="3240"/>
    </i>
    <i r="1">
      <x v="3625"/>
    </i>
    <i r="1">
      <x v="4187"/>
    </i>
    <i>
      <x v="68"/>
      <x v="1812"/>
    </i>
    <i>
      <x v="69"/>
      <x v="414"/>
    </i>
    <i r="1">
      <x v="481"/>
    </i>
    <i r="1">
      <x v="1143"/>
    </i>
    <i r="1">
      <x v="1290"/>
    </i>
    <i r="1">
      <x v="1633"/>
    </i>
    <i r="1">
      <x v="1910"/>
    </i>
    <i r="1">
      <x v="1911"/>
    </i>
    <i r="1">
      <x v="2271"/>
    </i>
    <i r="1">
      <x v="2339"/>
    </i>
    <i r="1">
      <x v="3608"/>
    </i>
    <i r="1">
      <x v="3612"/>
    </i>
    <i>
      <x v="70"/>
      <x v="793"/>
    </i>
    <i r="1">
      <x v="1764"/>
    </i>
    <i r="1">
      <x v="1968"/>
    </i>
    <i r="1">
      <x v="2832"/>
    </i>
    <i r="1">
      <x v="3195"/>
    </i>
    <i r="1">
      <x v="3301"/>
    </i>
    <i r="1">
      <x v="3927"/>
    </i>
    <i r="1">
      <x v="3928"/>
    </i>
    <i>
      <x v="71"/>
      <x v="16"/>
    </i>
    <i r="1">
      <x v="795"/>
    </i>
    <i r="1">
      <x v="1318"/>
    </i>
    <i r="1">
      <x v="2367"/>
    </i>
    <i r="1">
      <x v="2375"/>
    </i>
    <i r="1">
      <x v="3255"/>
    </i>
    <i r="1">
      <x v="3438"/>
    </i>
    <i r="1">
      <x v="4010"/>
    </i>
    <i r="1">
      <x v="4084"/>
    </i>
    <i r="1">
      <x v="4182"/>
    </i>
    <i>
      <x v="72"/>
      <x v="2454"/>
    </i>
    <i r="1">
      <x v="3555"/>
    </i>
    <i>
      <x v="73"/>
      <x v="1072"/>
    </i>
    <i r="1">
      <x v="3189"/>
    </i>
    <i r="1">
      <x v="3539"/>
    </i>
    <i r="1">
      <x v="3579"/>
    </i>
    <i>
      <x v="74"/>
      <x v="138"/>
    </i>
    <i r="1">
      <x v="1001"/>
    </i>
    <i r="1">
      <x v="1197"/>
    </i>
    <i r="1">
      <x v="1464"/>
    </i>
    <i r="1">
      <x v="1771"/>
    </i>
    <i r="1">
      <x v="1870"/>
    </i>
    <i r="1">
      <x v="1920"/>
    </i>
    <i r="1">
      <x v="2692"/>
    </i>
    <i r="1">
      <x v="3088"/>
    </i>
    <i r="1">
      <x v="3196"/>
    </i>
    <i>
      <x v="75"/>
      <x v="849"/>
    </i>
    <i r="1">
      <x v="1807"/>
    </i>
    <i r="1">
      <x v="1814"/>
    </i>
    <i r="1">
      <x v="1817"/>
    </i>
    <i>
      <x v="76"/>
      <x v="3087"/>
    </i>
    <i r="1">
      <x v="4003"/>
    </i>
    <i>
      <x v="77"/>
      <x v="4"/>
    </i>
    <i r="1">
      <x v="224"/>
    </i>
    <i r="1">
      <x v="478"/>
    </i>
    <i r="1">
      <x v="722"/>
    </i>
    <i r="1">
      <x v="967"/>
    </i>
    <i r="1">
      <x v="1162"/>
    </i>
    <i r="1">
      <x v="1170"/>
    </i>
    <i r="1">
      <x v="1554"/>
    </i>
    <i r="1">
      <x v="1648"/>
    </i>
    <i r="1">
      <x v="1865"/>
    </i>
    <i r="1">
      <x v="2065"/>
    </i>
    <i r="1">
      <x v="2269"/>
    </i>
    <i r="1">
      <x v="2322"/>
    </i>
    <i r="1">
      <x v="2960"/>
    </i>
    <i r="1">
      <x v="3098"/>
    </i>
    <i r="1">
      <x v="3103"/>
    </i>
    <i r="1">
      <x v="4268"/>
    </i>
    <i>
      <x v="78"/>
      <x v="114"/>
    </i>
    <i r="1">
      <x v="126"/>
    </i>
    <i r="1">
      <x v="608"/>
    </i>
    <i r="1">
      <x v="828"/>
    </i>
    <i r="1">
      <x v="1014"/>
    </i>
    <i r="1">
      <x v="1128"/>
    </i>
    <i r="1">
      <x v="1301"/>
    </i>
    <i r="1">
      <x v="1302"/>
    </i>
    <i r="1">
      <x v="2096"/>
    </i>
    <i r="1">
      <x v="2156"/>
    </i>
    <i r="1">
      <x v="2281"/>
    </i>
    <i r="1">
      <x v="2316"/>
    </i>
    <i r="1">
      <x v="2325"/>
    </i>
    <i r="1">
      <x v="2457"/>
    </i>
    <i r="1">
      <x v="2622"/>
    </i>
    <i r="1">
      <x v="3121"/>
    </i>
    <i r="1">
      <x v="3261"/>
    </i>
    <i r="1">
      <x v="3391"/>
    </i>
    <i r="1">
      <x v="3535"/>
    </i>
    <i r="1">
      <x v="3871"/>
    </i>
    <i>
      <x v="79"/>
      <x v="179"/>
    </i>
    <i r="1">
      <x v="255"/>
    </i>
    <i r="1">
      <x v="777"/>
    </i>
    <i r="1">
      <x v="812"/>
    </i>
    <i r="1">
      <x v="1135"/>
    </i>
    <i r="1">
      <x v="1469"/>
    </i>
    <i r="1">
      <x v="2490"/>
    </i>
    <i r="1">
      <x v="2583"/>
    </i>
    <i r="1">
      <x v="3045"/>
    </i>
    <i r="1">
      <x v="3327"/>
    </i>
    <i>
      <x v="80"/>
      <x v="32"/>
    </i>
    <i r="1">
      <x v="155"/>
    </i>
    <i r="1">
      <x v="223"/>
    </i>
    <i r="1">
      <x v="226"/>
    </i>
    <i r="1">
      <x v="342"/>
    </i>
    <i r="1">
      <x v="432"/>
    </i>
    <i r="1">
      <x v="450"/>
    </i>
    <i r="1">
      <x v="496"/>
    </i>
    <i r="1">
      <x v="531"/>
    </i>
    <i r="1">
      <x v="951"/>
    </i>
    <i r="1">
      <x v="952"/>
    </i>
    <i r="1">
      <x v="1250"/>
    </i>
    <i r="1">
      <x v="1253"/>
    </i>
    <i r="1">
      <x v="1295"/>
    </i>
    <i r="1">
      <x v="1296"/>
    </i>
    <i r="1">
      <x v="1579"/>
    </i>
    <i r="1">
      <x v="1661"/>
    </i>
    <i r="1">
      <x v="1802"/>
    </i>
    <i r="1">
      <x v="1914"/>
    </i>
    <i r="1">
      <x v="2165"/>
    </i>
    <i r="1">
      <x v="2200"/>
    </i>
    <i r="1">
      <x v="2383"/>
    </i>
    <i r="1">
      <x v="2597"/>
    </i>
    <i r="1">
      <x v="3241"/>
    </i>
    <i r="1">
      <x v="3267"/>
    </i>
    <i r="1">
      <x v="3532"/>
    </i>
    <i r="1">
      <x v="3533"/>
    </i>
    <i r="1">
      <x v="3557"/>
    </i>
    <i r="1">
      <x v="3558"/>
    </i>
    <i r="1">
      <x v="3559"/>
    </i>
    <i r="1">
      <x v="3560"/>
    </i>
    <i r="1">
      <x v="4215"/>
    </i>
    <i r="1">
      <x v="4287"/>
    </i>
    <i r="1">
      <x v="4300"/>
    </i>
    <i r="1">
      <x v="4307"/>
    </i>
    <i>
      <x v="81"/>
      <x v="65"/>
    </i>
    <i r="1">
      <x v="183"/>
    </i>
    <i r="1">
      <x v="820"/>
    </i>
    <i r="1">
      <x v="1228"/>
    </i>
    <i r="1">
      <x v="2071"/>
    </i>
    <i r="1">
      <x v="2441"/>
    </i>
    <i r="1">
      <x v="3042"/>
    </i>
    <i r="1">
      <x v="4096"/>
    </i>
    <i r="1">
      <x v="4239"/>
    </i>
    <i r="1">
      <x v="4241"/>
    </i>
    <i r="1">
      <x v="4247"/>
    </i>
    <i r="1">
      <x v="4269"/>
    </i>
    <i>
      <x v="82"/>
      <x v="120"/>
    </i>
    <i r="1">
      <x v="339"/>
    </i>
    <i r="1">
      <x v="388"/>
    </i>
    <i r="1">
      <x v="761"/>
    </i>
    <i r="1">
      <x v="1184"/>
    </i>
    <i r="1">
      <x v="1264"/>
    </i>
    <i r="1">
      <x v="1417"/>
    </i>
    <i r="1">
      <x v="2141"/>
    </i>
    <i r="1">
      <x v="2192"/>
    </i>
    <i r="1">
      <x v="2276"/>
    </i>
    <i r="1">
      <x v="2303"/>
    </i>
    <i r="1">
      <x v="2437"/>
    </i>
    <i r="1">
      <x v="2477"/>
    </i>
    <i r="1">
      <x v="3172"/>
    </i>
    <i r="1">
      <x v="3251"/>
    </i>
    <i r="1">
      <x v="3409"/>
    </i>
    <i r="1">
      <x v="3791"/>
    </i>
    <i r="1">
      <x v="4130"/>
    </i>
    <i>
      <x v="83"/>
      <x v="741"/>
    </i>
    <i r="1">
      <x v="803"/>
    </i>
    <i r="1">
      <x v="808"/>
    </i>
    <i r="1">
      <x v="944"/>
    </i>
    <i r="1">
      <x v="1737"/>
    </i>
    <i r="1">
      <x v="2394"/>
    </i>
    <i r="1">
      <x v="2838"/>
    </i>
    <i r="1">
      <x v="2898"/>
    </i>
    <i r="1">
      <x v="3377"/>
    </i>
    <i>
      <x v="84"/>
      <x v="477"/>
    </i>
    <i r="1">
      <x v="695"/>
    </i>
    <i r="1">
      <x v="831"/>
    </i>
    <i r="1">
      <x v="1279"/>
    </i>
    <i r="1">
      <x v="2067"/>
    </i>
    <i r="1">
      <x v="2372"/>
    </i>
    <i r="1">
      <x v="2400"/>
    </i>
    <i r="1">
      <x v="2824"/>
    </i>
    <i r="1">
      <x v="2934"/>
    </i>
    <i r="1">
      <x v="2943"/>
    </i>
    <i r="1">
      <x v="3211"/>
    </i>
    <i r="1">
      <x v="3333"/>
    </i>
    <i r="1">
      <x v="3888"/>
    </i>
    <i r="1">
      <x v="3891"/>
    </i>
    <i r="1">
      <x v="4034"/>
    </i>
    <i>
      <x v="85"/>
      <x v="1938"/>
    </i>
    <i>
      <x v="86"/>
      <x v="3281"/>
    </i>
    <i r="1">
      <x v="3639"/>
    </i>
    <i>
      <x v="87"/>
      <x v="291"/>
    </i>
    <i r="1">
      <x v="674"/>
    </i>
    <i r="1">
      <x v="696"/>
    </i>
    <i r="1">
      <x v="772"/>
    </i>
    <i r="1">
      <x v="774"/>
    </i>
    <i r="1">
      <x v="1324"/>
    </i>
    <i r="1">
      <x v="3442"/>
    </i>
    <i>
      <x v="88"/>
      <x v="504"/>
    </i>
    <i r="1">
      <x v="1080"/>
    </i>
    <i r="1">
      <x v="1152"/>
    </i>
    <i r="1">
      <x v="1747"/>
    </i>
    <i r="1">
      <x v="2103"/>
    </i>
    <i r="1">
      <x v="2620"/>
    </i>
    <i r="1">
      <x v="2705"/>
    </i>
    <i r="1">
      <x v="3138"/>
    </i>
    <i r="1">
      <x v="3727"/>
    </i>
    <i>
      <x v="89"/>
      <x v="3"/>
    </i>
    <i r="1">
      <x v="50"/>
    </i>
    <i r="1">
      <x v="1798"/>
    </i>
    <i r="1">
      <x v="2630"/>
    </i>
    <i r="1">
      <x v="2636"/>
    </i>
    <i r="1">
      <x v="2638"/>
    </i>
    <i r="1">
      <x v="2639"/>
    </i>
    <i r="1">
      <x v="2661"/>
    </i>
    <i r="1">
      <x v="2663"/>
    </i>
    <i r="1">
      <x v="2665"/>
    </i>
    <i r="1">
      <x v="2667"/>
    </i>
    <i r="1">
      <x v="2669"/>
    </i>
    <i r="1">
      <x v="2811"/>
    </i>
    <i r="1">
      <x v="2830"/>
    </i>
    <i r="1">
      <x v="3231"/>
    </i>
    <i>
      <x v="91"/>
      <x v="454"/>
    </i>
    <i r="1">
      <x v="2537"/>
    </i>
    <i>
      <x v="92"/>
      <x v="1628"/>
    </i>
    <i>
      <x v="93"/>
      <x v="955"/>
    </i>
    <i r="1">
      <x v="1247"/>
    </i>
    <i r="1">
      <x v="1392"/>
    </i>
    <i r="1">
      <x v="1748"/>
    </i>
    <i r="1">
      <x v="1852"/>
    </i>
    <i r="1">
      <x v="1878"/>
    </i>
    <i r="1">
      <x v="2039"/>
    </i>
    <i r="1">
      <x v="2066"/>
    </i>
    <i r="1">
      <x v="2078"/>
    </i>
    <i r="1">
      <x v="2248"/>
    </i>
    <i r="1">
      <x v="2694"/>
    </i>
    <i r="1">
      <x v="2930"/>
    </i>
    <i r="1">
      <x v="3132"/>
    </i>
    <i>
      <x v="94"/>
      <x v="36"/>
    </i>
    <i r="1">
      <x v="170"/>
    </i>
    <i r="1">
      <x v="1354"/>
    </i>
    <i r="1">
      <x v="1382"/>
    </i>
    <i r="1">
      <x v="1986"/>
    </i>
    <i r="1">
      <x v="2025"/>
    </i>
    <i r="1">
      <x v="2553"/>
    </i>
    <i r="1">
      <x v="2554"/>
    </i>
    <i r="1">
      <x v="2886"/>
    </i>
    <i r="1">
      <x v="3349"/>
    </i>
    <i r="1">
      <x v="3469"/>
    </i>
    <i>
      <x v="95"/>
      <x v="75"/>
    </i>
    <i r="1">
      <x v="111"/>
    </i>
    <i r="1">
      <x v="119"/>
    </i>
    <i r="1">
      <x v="266"/>
    </i>
    <i r="1">
      <x v="521"/>
    </i>
    <i r="1">
      <x v="547"/>
    </i>
    <i r="1">
      <x v="1019"/>
    </i>
    <i r="1">
      <x v="2164"/>
    </i>
    <i r="1">
      <x v="2299"/>
    </i>
    <i r="1">
      <x v="3043"/>
    </i>
    <i r="1">
      <x v="3093"/>
    </i>
    <i r="1">
      <x v="3275"/>
    </i>
    <i r="1">
      <x v="3714"/>
    </i>
    <i r="1">
      <x v="3797"/>
    </i>
    <i r="1">
      <x v="4185"/>
    </i>
    <i>
      <x v="96"/>
      <x v="165"/>
    </i>
    <i r="1">
      <x v="189"/>
    </i>
    <i r="1">
      <x v="216"/>
    </i>
    <i r="1">
      <x v="267"/>
    </i>
    <i r="1">
      <x v="302"/>
    </i>
    <i r="1">
      <x v="602"/>
    </i>
    <i r="1">
      <x v="636"/>
    </i>
    <i r="1">
      <x v="643"/>
    </i>
    <i r="1">
      <x v="729"/>
    </i>
    <i r="1">
      <x v="1448"/>
    </i>
    <i r="1">
      <x v="1456"/>
    </i>
    <i r="1">
      <x v="1500"/>
    </i>
    <i r="1">
      <x v="1981"/>
    </i>
    <i r="1">
      <x v="2027"/>
    </i>
    <i r="1">
      <x v="2127"/>
    </i>
    <i r="1">
      <x v="2319"/>
    </i>
    <i r="1">
      <x v="2341"/>
    </i>
    <i r="1">
      <x v="2359"/>
    </i>
    <i r="1">
      <x v="2362"/>
    </i>
    <i r="1">
      <x v="2516"/>
    </i>
    <i r="1">
      <x v="2522"/>
    </i>
    <i r="1">
      <x v="2605"/>
    </i>
    <i r="1">
      <x v="2693"/>
    </i>
    <i r="1">
      <x v="2730"/>
    </i>
    <i r="1">
      <x v="2787"/>
    </i>
    <i r="1">
      <x v="2789"/>
    </i>
    <i r="1">
      <x v="2848"/>
    </i>
    <i r="1">
      <x v="3353"/>
    </i>
    <i r="1">
      <x v="3500"/>
    </i>
    <i r="1">
      <x v="3621"/>
    </i>
    <i r="1">
      <x v="4082"/>
    </i>
    <i r="1">
      <x v="4165"/>
    </i>
    <i r="1">
      <x v="4174"/>
    </i>
    <i>
      <x v="97"/>
      <x v="1005"/>
    </i>
    <i>
      <x v="98"/>
      <x v="354"/>
    </i>
    <i r="1">
      <x v="637"/>
    </i>
    <i r="1">
      <x v="1028"/>
    </i>
    <i r="1">
      <x v="1478"/>
    </i>
    <i r="1">
      <x v="2562"/>
    </i>
    <i r="1">
      <x v="2869"/>
    </i>
    <i>
      <x v="99"/>
      <x v="647"/>
    </i>
    <i r="1">
      <x v="1322"/>
    </i>
    <i>
      <x v="100"/>
      <x v="786"/>
    </i>
    <i r="1">
      <x v="1079"/>
    </i>
    <i r="1">
      <x v="1884"/>
    </i>
    <i r="1">
      <x v="1889"/>
    </i>
    <i r="1">
      <x v="1907"/>
    </i>
    <i r="1">
      <x v="2252"/>
    </i>
    <i r="1">
      <x v="2592"/>
    </i>
    <i>
      <x v="101"/>
      <x v="1533"/>
    </i>
    <i r="1">
      <x v="1539"/>
    </i>
    <i r="1">
      <x v="2320"/>
    </i>
    <i r="1">
      <x v="2412"/>
    </i>
    <i r="1">
      <x v="2506"/>
    </i>
    <i r="1">
      <x v="3047"/>
    </i>
    <i r="1">
      <x v="3874"/>
    </i>
    <i>
      <x v="102"/>
      <x v="61"/>
    </i>
    <i r="1">
      <x v="423"/>
    </i>
    <i r="1">
      <x v="847"/>
    </i>
    <i r="1">
      <x v="2718"/>
    </i>
    <i r="1">
      <x v="3295"/>
    </i>
    <i r="1">
      <x v="3505"/>
    </i>
    <i r="1">
      <x v="3506"/>
    </i>
    <i>
      <x v="103"/>
      <x v="5"/>
    </i>
    <i r="1">
      <x v="13"/>
    </i>
    <i r="1">
      <x v="35"/>
    </i>
    <i r="1">
      <x v="37"/>
    </i>
    <i r="1">
      <x v="38"/>
    </i>
    <i r="1">
      <x v="39"/>
    </i>
    <i r="1">
      <x v="40"/>
    </i>
    <i r="1">
      <x v="41"/>
    </i>
    <i r="1">
      <x v="43"/>
    </i>
    <i r="1">
      <x v="44"/>
    </i>
    <i r="1">
      <x v="45"/>
    </i>
    <i r="1">
      <x v="58"/>
    </i>
    <i r="1">
      <x v="82"/>
    </i>
    <i r="1">
      <x v="137"/>
    </i>
    <i r="1">
      <x v="157"/>
    </i>
    <i r="1">
      <x v="158"/>
    </i>
    <i r="1">
      <x v="159"/>
    </i>
    <i r="1">
      <x v="160"/>
    </i>
    <i r="1">
      <x v="161"/>
    </i>
    <i r="1">
      <x v="162"/>
    </i>
    <i r="1">
      <x v="163"/>
    </i>
    <i r="1">
      <x v="164"/>
    </i>
    <i r="1">
      <x v="166"/>
    </i>
    <i r="1">
      <x v="167"/>
    </i>
    <i r="1">
      <x v="168"/>
    </i>
    <i r="1">
      <x v="169"/>
    </i>
    <i r="1">
      <x v="171"/>
    </i>
    <i r="1">
      <x v="188"/>
    </i>
    <i r="1">
      <x v="190"/>
    </i>
    <i r="1">
      <x v="199"/>
    </i>
    <i r="1">
      <x v="200"/>
    </i>
    <i r="1">
      <x v="202"/>
    </i>
    <i r="1">
      <x v="203"/>
    </i>
    <i r="1">
      <x v="204"/>
    </i>
    <i r="1">
      <x v="205"/>
    </i>
    <i r="1">
      <x v="206"/>
    </i>
    <i r="1">
      <x v="207"/>
    </i>
    <i r="1">
      <x v="209"/>
    </i>
    <i r="1">
      <x v="210"/>
    </i>
    <i r="1">
      <x v="218"/>
    </i>
    <i r="1">
      <x v="219"/>
    </i>
    <i r="1">
      <x v="272"/>
    </i>
    <i r="1">
      <x v="273"/>
    </i>
    <i r="1">
      <x v="274"/>
    </i>
    <i r="1">
      <x v="283"/>
    </i>
    <i r="1">
      <x v="285"/>
    </i>
    <i r="1">
      <x v="301"/>
    </i>
    <i r="1">
      <x v="303"/>
    </i>
    <i r="1">
      <x v="343"/>
    </i>
    <i r="1">
      <x v="347"/>
    </i>
    <i r="1">
      <x v="348"/>
    </i>
    <i r="1">
      <x v="350"/>
    </i>
    <i r="1">
      <x v="351"/>
    </i>
    <i r="1">
      <x v="352"/>
    </i>
    <i r="1">
      <x v="353"/>
    </i>
    <i r="1">
      <x v="355"/>
    </i>
    <i r="1">
      <x v="356"/>
    </i>
    <i r="1">
      <x v="359"/>
    </i>
    <i r="1">
      <x v="360"/>
    </i>
    <i r="1">
      <x v="361"/>
    </i>
    <i r="1">
      <x v="362"/>
    </i>
    <i r="1">
      <x v="363"/>
    </i>
    <i r="1">
      <x v="364"/>
    </i>
    <i r="1">
      <x v="365"/>
    </i>
    <i r="1">
      <x v="366"/>
    </i>
    <i r="1">
      <x v="370"/>
    </i>
    <i r="1">
      <x v="371"/>
    </i>
    <i r="1">
      <x v="372"/>
    </i>
    <i r="1">
      <x v="373"/>
    </i>
    <i r="1">
      <x v="374"/>
    </i>
    <i r="1">
      <x v="380"/>
    </i>
    <i r="1">
      <x v="384"/>
    </i>
    <i r="1">
      <x v="393"/>
    </i>
    <i r="1">
      <x v="396"/>
    </i>
    <i r="1">
      <x v="398"/>
    </i>
    <i r="1">
      <x v="399"/>
    </i>
    <i r="1">
      <x v="401"/>
    </i>
    <i r="1">
      <x v="402"/>
    </i>
    <i r="1">
      <x v="406"/>
    </i>
    <i r="1">
      <x v="407"/>
    </i>
    <i r="1">
      <x v="408"/>
    </i>
    <i r="1">
      <x v="410"/>
    </i>
    <i r="1">
      <x v="411"/>
    </i>
    <i r="1">
      <x v="419"/>
    </i>
    <i r="1">
      <x v="441"/>
    </i>
    <i r="1">
      <x v="473"/>
    </i>
    <i r="1">
      <x v="501"/>
    </i>
    <i r="1">
      <x v="553"/>
    </i>
    <i r="1">
      <x v="554"/>
    </i>
    <i r="1">
      <x v="555"/>
    </i>
    <i r="1">
      <x v="557"/>
    </i>
    <i r="1">
      <x v="559"/>
    </i>
    <i r="1">
      <x v="560"/>
    </i>
    <i r="1">
      <x v="599"/>
    </i>
    <i r="1">
      <x v="600"/>
    </i>
    <i r="1">
      <x v="603"/>
    </i>
    <i r="1">
      <x v="609"/>
    </i>
    <i r="1">
      <x v="619"/>
    </i>
    <i r="1">
      <x v="620"/>
    </i>
    <i r="1">
      <x v="621"/>
    </i>
    <i r="1">
      <x v="623"/>
    </i>
    <i r="1">
      <x v="625"/>
    </i>
    <i r="1">
      <x v="626"/>
    </i>
    <i r="1">
      <x v="630"/>
    </i>
    <i r="1">
      <x v="632"/>
    </i>
    <i r="1">
      <x v="635"/>
    </i>
    <i r="1">
      <x v="638"/>
    </i>
    <i r="1">
      <x v="640"/>
    </i>
    <i r="1">
      <x v="642"/>
    </i>
    <i r="1">
      <x v="644"/>
    </i>
    <i r="1">
      <x v="645"/>
    </i>
    <i r="1">
      <x v="673"/>
    </i>
    <i r="1">
      <x v="677"/>
    </i>
    <i r="1">
      <x v="682"/>
    </i>
    <i r="1">
      <x v="705"/>
    </i>
    <i r="1">
      <x v="714"/>
    </i>
    <i r="1">
      <x v="750"/>
    </i>
    <i r="1">
      <x v="751"/>
    </i>
    <i r="1">
      <x v="773"/>
    </i>
    <i r="1">
      <x v="804"/>
    </i>
    <i r="1">
      <x v="844"/>
    </i>
    <i r="1">
      <x v="860"/>
    </i>
    <i r="1">
      <x v="861"/>
    </i>
    <i r="1">
      <x v="863"/>
    </i>
    <i r="1">
      <x v="864"/>
    </i>
    <i r="1">
      <x v="865"/>
    </i>
    <i r="1">
      <x v="867"/>
    </i>
    <i r="1">
      <x v="868"/>
    </i>
    <i r="1">
      <x v="869"/>
    </i>
    <i r="1">
      <x v="870"/>
    </i>
    <i r="1">
      <x v="871"/>
    </i>
    <i r="1">
      <x v="872"/>
    </i>
    <i r="1">
      <x v="873"/>
    </i>
    <i r="1">
      <x v="875"/>
    </i>
    <i r="1">
      <x v="876"/>
    </i>
    <i r="1">
      <x v="879"/>
    </i>
    <i r="1">
      <x v="880"/>
    </i>
    <i r="1">
      <x v="881"/>
    </i>
    <i r="1">
      <x v="882"/>
    </i>
    <i r="1">
      <x v="883"/>
    </i>
    <i r="1">
      <x v="884"/>
    </i>
    <i r="1">
      <x v="885"/>
    </i>
    <i r="1">
      <x v="886"/>
    </i>
    <i r="1">
      <x v="890"/>
    </i>
    <i r="1">
      <x v="891"/>
    </i>
    <i r="1">
      <x v="895"/>
    </i>
    <i r="1">
      <x v="896"/>
    </i>
    <i r="1">
      <x v="897"/>
    </i>
    <i r="1">
      <x v="898"/>
    </i>
    <i r="1">
      <x v="900"/>
    </i>
    <i r="1">
      <x v="901"/>
    </i>
    <i r="1">
      <x v="903"/>
    </i>
    <i r="1">
      <x v="906"/>
    </i>
    <i r="1">
      <x v="907"/>
    </i>
    <i r="1">
      <x v="908"/>
    </i>
    <i r="1">
      <x v="909"/>
    </i>
    <i r="1">
      <x v="910"/>
    </i>
    <i r="1">
      <x v="911"/>
    </i>
    <i r="1">
      <x v="912"/>
    </i>
    <i r="1">
      <x v="913"/>
    </i>
    <i r="1">
      <x v="915"/>
    </i>
    <i r="1">
      <x v="916"/>
    </i>
    <i r="1">
      <x v="917"/>
    </i>
    <i r="1">
      <x v="919"/>
    </i>
    <i r="1">
      <x v="920"/>
    </i>
    <i r="1">
      <x v="921"/>
    </i>
    <i r="1">
      <x v="922"/>
    </i>
    <i r="1">
      <x v="923"/>
    </i>
    <i r="1">
      <x v="924"/>
    </i>
    <i r="1">
      <x v="925"/>
    </i>
    <i r="1">
      <x v="926"/>
    </i>
    <i r="1">
      <x v="927"/>
    </i>
    <i r="1">
      <x v="931"/>
    </i>
    <i r="1">
      <x v="934"/>
    </i>
    <i r="1">
      <x v="935"/>
    </i>
    <i r="1">
      <x v="966"/>
    </i>
    <i r="1">
      <x v="973"/>
    </i>
    <i r="1">
      <x v="974"/>
    </i>
    <i r="1">
      <x v="977"/>
    </i>
    <i r="1">
      <x v="978"/>
    </i>
    <i r="1">
      <x v="979"/>
    </i>
    <i r="1">
      <x v="980"/>
    </i>
    <i r="1">
      <x v="983"/>
    </i>
    <i r="1">
      <x v="987"/>
    </i>
    <i r="1">
      <x v="989"/>
    </i>
    <i r="1">
      <x v="990"/>
    </i>
    <i r="1">
      <x v="994"/>
    </i>
    <i r="1">
      <x v="995"/>
    </i>
    <i r="1">
      <x v="998"/>
    </i>
    <i r="1">
      <x v="1002"/>
    </i>
    <i r="1">
      <x v="1009"/>
    </i>
    <i r="1">
      <x v="1010"/>
    </i>
    <i r="1">
      <x v="1029"/>
    </i>
    <i r="1">
      <x v="1030"/>
    </i>
    <i r="1">
      <x v="1032"/>
    </i>
    <i r="1">
      <x v="1033"/>
    </i>
    <i r="1">
      <x v="1034"/>
    </i>
    <i r="1">
      <x v="1066"/>
    </i>
    <i r="1">
      <x v="1073"/>
    </i>
    <i r="1">
      <x v="1090"/>
    </i>
    <i r="1">
      <x v="1091"/>
    </i>
    <i r="1">
      <x v="1093"/>
    </i>
    <i r="1">
      <x v="1094"/>
    </i>
    <i r="1">
      <x v="1095"/>
    </i>
    <i r="1">
      <x v="1096"/>
    </i>
    <i r="1">
      <x v="1097"/>
    </i>
    <i r="1">
      <x v="1099"/>
    </i>
    <i r="1">
      <x v="1100"/>
    </i>
    <i r="1">
      <x v="1101"/>
    </i>
    <i r="1">
      <x v="1102"/>
    </i>
    <i r="1">
      <x v="1113"/>
    </i>
    <i r="1">
      <x v="1116"/>
    </i>
    <i r="1">
      <x v="1125"/>
    </i>
    <i r="1">
      <x v="1146"/>
    </i>
    <i r="1">
      <x v="1161"/>
    </i>
    <i r="1">
      <x v="1189"/>
    </i>
    <i r="1">
      <x v="1190"/>
    </i>
    <i r="1">
      <x v="1191"/>
    </i>
    <i r="1">
      <x v="1198"/>
    </i>
    <i r="1">
      <x v="1207"/>
    </i>
    <i r="1">
      <x v="1208"/>
    </i>
    <i r="1">
      <x v="1210"/>
    </i>
    <i r="1">
      <x v="1254"/>
    </i>
    <i r="1">
      <x v="1256"/>
    </i>
    <i r="1">
      <x v="1260"/>
    </i>
    <i r="1">
      <x v="1261"/>
    </i>
    <i r="1">
      <x v="1281"/>
    </i>
    <i r="1">
      <x v="1288"/>
    </i>
    <i r="1">
      <x v="1331"/>
    </i>
    <i r="1">
      <x v="1334"/>
    </i>
    <i r="1">
      <x v="1336"/>
    </i>
    <i r="1">
      <x v="1337"/>
    </i>
    <i r="1">
      <x v="1339"/>
    </i>
    <i r="1">
      <x v="1340"/>
    </i>
    <i r="1">
      <x v="1342"/>
    </i>
    <i r="1">
      <x v="1343"/>
    </i>
    <i r="1">
      <x v="1344"/>
    </i>
    <i r="1">
      <x v="1347"/>
    </i>
    <i r="1">
      <x v="1348"/>
    </i>
    <i r="1">
      <x v="1353"/>
    </i>
    <i r="1">
      <x v="1357"/>
    </i>
    <i r="1">
      <x v="1360"/>
    </i>
    <i r="1">
      <x v="1361"/>
    </i>
    <i r="1">
      <x v="1362"/>
    </i>
    <i r="1">
      <x v="1364"/>
    </i>
    <i r="1">
      <x v="1366"/>
    </i>
    <i r="1">
      <x v="1367"/>
    </i>
    <i r="1">
      <x v="1368"/>
    </i>
    <i r="1">
      <x v="1369"/>
    </i>
    <i r="1">
      <x v="1370"/>
    </i>
    <i r="1">
      <x v="1371"/>
    </i>
    <i r="1">
      <x v="1372"/>
    </i>
    <i r="1">
      <x v="1374"/>
    </i>
    <i r="1">
      <x v="1375"/>
    </i>
    <i r="1">
      <x v="1376"/>
    </i>
    <i r="1">
      <x v="1377"/>
    </i>
    <i r="1">
      <x v="1380"/>
    </i>
    <i r="1">
      <x v="1381"/>
    </i>
    <i r="1">
      <x v="1383"/>
    </i>
    <i r="1">
      <x v="1384"/>
    </i>
    <i r="1">
      <x v="1385"/>
    </i>
    <i r="1">
      <x v="1386"/>
    </i>
    <i r="1">
      <x v="1390"/>
    </i>
    <i r="1">
      <x v="1396"/>
    </i>
    <i r="1">
      <x v="1397"/>
    </i>
    <i r="1">
      <x v="1445"/>
    </i>
    <i r="1">
      <x v="1446"/>
    </i>
    <i r="1">
      <x v="1447"/>
    </i>
    <i r="1">
      <x v="1449"/>
    </i>
    <i r="1">
      <x v="1451"/>
    </i>
    <i r="1">
      <x v="1452"/>
    </i>
    <i r="1">
      <x v="1453"/>
    </i>
    <i r="1">
      <x v="1454"/>
    </i>
    <i r="1">
      <x v="1455"/>
    </i>
    <i r="1">
      <x v="1461"/>
    </i>
    <i r="1">
      <x v="1465"/>
    </i>
    <i r="1">
      <x v="1479"/>
    </i>
    <i r="1">
      <x v="1484"/>
    </i>
    <i r="1">
      <x v="1487"/>
    </i>
    <i r="1">
      <x v="1488"/>
    </i>
    <i r="1">
      <x v="1489"/>
    </i>
    <i r="1">
      <x v="1490"/>
    </i>
    <i r="1">
      <x v="1491"/>
    </i>
    <i r="1">
      <x v="1493"/>
    </i>
    <i r="1">
      <x v="1494"/>
    </i>
    <i r="1">
      <x v="1495"/>
    </i>
    <i r="1">
      <x v="1497"/>
    </i>
    <i r="1">
      <x v="1499"/>
    </i>
    <i r="1">
      <x v="1504"/>
    </i>
    <i r="1">
      <x v="1561"/>
    </i>
    <i r="1">
      <x v="1573"/>
    </i>
    <i r="1">
      <x v="1582"/>
    </i>
    <i r="1">
      <x v="1601"/>
    </i>
    <i r="1">
      <x v="1602"/>
    </i>
    <i r="1">
      <x v="1604"/>
    </i>
    <i r="1">
      <x v="1605"/>
    </i>
    <i r="1">
      <x v="1636"/>
    </i>
    <i r="1">
      <x v="1643"/>
    </i>
    <i r="1">
      <x v="1644"/>
    </i>
    <i r="1">
      <x v="1656"/>
    </i>
    <i r="1">
      <x v="1657"/>
    </i>
    <i r="1">
      <x v="1658"/>
    </i>
    <i r="1">
      <x v="1659"/>
    </i>
    <i r="1">
      <x v="1662"/>
    </i>
    <i r="1">
      <x v="1663"/>
    </i>
    <i r="1">
      <x v="1664"/>
    </i>
    <i r="1">
      <x v="1665"/>
    </i>
    <i r="1">
      <x v="1666"/>
    </i>
    <i r="1">
      <x v="1667"/>
    </i>
    <i r="1">
      <x v="1668"/>
    </i>
    <i r="1">
      <x v="1670"/>
    </i>
    <i r="1">
      <x v="1671"/>
    </i>
    <i r="1">
      <x v="1673"/>
    </i>
    <i r="1">
      <x v="1674"/>
    </i>
    <i r="1">
      <x v="1676"/>
    </i>
    <i r="1">
      <x v="1679"/>
    </i>
    <i r="1">
      <x v="1681"/>
    </i>
    <i r="1">
      <x v="1682"/>
    </i>
    <i r="1">
      <x v="1684"/>
    </i>
    <i r="1">
      <x v="1685"/>
    </i>
    <i r="1">
      <x v="1687"/>
    </i>
    <i r="1">
      <x v="1689"/>
    </i>
    <i r="1">
      <x v="1693"/>
    </i>
    <i r="1">
      <x v="1697"/>
    </i>
    <i r="1">
      <x v="1698"/>
    </i>
    <i r="1">
      <x v="1701"/>
    </i>
    <i r="1">
      <x v="1702"/>
    </i>
    <i r="1">
      <x v="1703"/>
    </i>
    <i r="1">
      <x v="1704"/>
    </i>
    <i r="1">
      <x v="1705"/>
    </i>
    <i r="1">
      <x v="1736"/>
    </i>
    <i r="1">
      <x v="1803"/>
    </i>
    <i r="1">
      <x v="1804"/>
    </i>
    <i r="1">
      <x v="1809"/>
    </i>
    <i r="1">
      <x v="1810"/>
    </i>
    <i r="1">
      <x v="1839"/>
    </i>
    <i r="1">
      <x v="1861"/>
    </i>
    <i r="1">
      <x v="1867"/>
    </i>
    <i r="1">
      <x v="1874"/>
    </i>
    <i r="1">
      <x v="1883"/>
    </i>
    <i r="1">
      <x v="1919"/>
    </i>
    <i r="1">
      <x v="1983"/>
    </i>
    <i r="1">
      <x v="1985"/>
    </i>
    <i r="1">
      <x v="1987"/>
    </i>
    <i r="1">
      <x v="1988"/>
    </i>
    <i r="1">
      <x v="1989"/>
    </i>
    <i r="1">
      <x v="1990"/>
    </i>
    <i r="1">
      <x v="1995"/>
    </i>
    <i r="1">
      <x v="1996"/>
    </i>
    <i r="1">
      <x v="1997"/>
    </i>
    <i r="1">
      <x v="1998"/>
    </i>
    <i r="1">
      <x v="2000"/>
    </i>
    <i r="1">
      <x v="2002"/>
    </i>
    <i r="1">
      <x v="2007"/>
    </i>
    <i r="1">
      <x v="2008"/>
    </i>
    <i r="1">
      <x v="2010"/>
    </i>
    <i r="1">
      <x v="2011"/>
    </i>
    <i r="1">
      <x v="2012"/>
    </i>
    <i r="1">
      <x v="2013"/>
    </i>
    <i r="1">
      <x v="2015"/>
    </i>
    <i r="1">
      <x v="2016"/>
    </i>
    <i r="1">
      <x v="2018"/>
    </i>
    <i r="1">
      <x v="2021"/>
    </i>
    <i r="1">
      <x v="2023"/>
    </i>
    <i r="1">
      <x v="2024"/>
    </i>
    <i r="1">
      <x v="2026"/>
    </i>
    <i r="1">
      <x v="2028"/>
    </i>
    <i r="1">
      <x v="2029"/>
    </i>
    <i r="1">
      <x v="2030"/>
    </i>
    <i r="1">
      <x v="2032"/>
    </i>
    <i r="1">
      <x v="2041"/>
    </i>
    <i r="1">
      <x v="2042"/>
    </i>
    <i r="1">
      <x v="2043"/>
    </i>
    <i r="1">
      <x v="2044"/>
    </i>
    <i r="1">
      <x v="2045"/>
    </i>
    <i r="1">
      <x v="2046"/>
    </i>
    <i r="1">
      <x v="2058"/>
    </i>
    <i r="1">
      <x v="2063"/>
    </i>
    <i r="1">
      <x v="2073"/>
    </i>
    <i r="1">
      <x v="2080"/>
    </i>
    <i r="1">
      <x v="2093"/>
    </i>
    <i r="1">
      <x v="2095"/>
    </i>
    <i r="1">
      <x v="2167"/>
    </i>
    <i r="1">
      <x v="2170"/>
    </i>
    <i r="1">
      <x v="2198"/>
    </i>
    <i r="1">
      <x v="2204"/>
    </i>
    <i r="1">
      <x v="2206"/>
    </i>
    <i r="1">
      <x v="2208"/>
    </i>
    <i r="1">
      <x v="2209"/>
    </i>
    <i r="1">
      <x v="2227"/>
    </i>
    <i r="1">
      <x v="2231"/>
    </i>
    <i r="1">
      <x v="2239"/>
    </i>
    <i r="1">
      <x v="2242"/>
    </i>
    <i r="1">
      <x v="2243"/>
    </i>
    <i r="1">
      <x v="2244"/>
    </i>
    <i r="1">
      <x v="2245"/>
    </i>
    <i r="1">
      <x v="2270"/>
    </i>
    <i r="1">
      <x v="2272"/>
    </i>
    <i r="1">
      <x v="2273"/>
    </i>
    <i r="1">
      <x v="2274"/>
    </i>
    <i r="1">
      <x v="2318"/>
    </i>
    <i r="1">
      <x v="2324"/>
    </i>
    <i r="1">
      <x v="2328"/>
    </i>
    <i r="1">
      <x v="2333"/>
    </i>
    <i r="1">
      <x v="2334"/>
    </i>
    <i r="1">
      <x v="2338"/>
    </i>
    <i r="1">
      <x v="2354"/>
    </i>
    <i r="1">
      <x v="2355"/>
    </i>
    <i r="1">
      <x v="2356"/>
    </i>
    <i r="1">
      <x v="2357"/>
    </i>
    <i r="1">
      <x v="2360"/>
    </i>
    <i r="1">
      <x v="2363"/>
    </i>
    <i r="1">
      <x v="2364"/>
    </i>
    <i r="1">
      <x v="2365"/>
    </i>
    <i r="1">
      <x v="2376"/>
    </i>
    <i r="1">
      <x v="2377"/>
    </i>
    <i r="1">
      <x v="2387"/>
    </i>
    <i r="1">
      <x v="2443"/>
    </i>
    <i r="1">
      <x v="2450"/>
    </i>
    <i r="1">
      <x v="2476"/>
    </i>
    <i r="1">
      <x v="2547"/>
    </i>
    <i r="1">
      <x v="2548"/>
    </i>
    <i r="1">
      <x v="2549"/>
    </i>
    <i r="1">
      <x v="2550"/>
    </i>
    <i r="1">
      <x v="2552"/>
    </i>
    <i r="1">
      <x v="2556"/>
    </i>
    <i r="1">
      <x v="2557"/>
    </i>
    <i r="1">
      <x v="2558"/>
    </i>
    <i r="1">
      <x v="2559"/>
    </i>
    <i r="1">
      <x v="2560"/>
    </i>
    <i r="1">
      <x v="2561"/>
    </i>
    <i r="1">
      <x v="2564"/>
    </i>
    <i r="1">
      <x v="2565"/>
    </i>
    <i r="1">
      <x v="2566"/>
    </i>
    <i r="1">
      <x v="2567"/>
    </i>
    <i r="1">
      <x v="2568"/>
    </i>
    <i r="1">
      <x v="2569"/>
    </i>
    <i r="1">
      <x v="2602"/>
    </i>
    <i r="1">
      <x v="2609"/>
    </i>
    <i r="1">
      <x v="2611"/>
    </i>
    <i r="1">
      <x v="2670"/>
    </i>
    <i r="1">
      <x v="2671"/>
    </i>
    <i r="1">
      <x v="2677"/>
    </i>
    <i r="1">
      <x v="2678"/>
    </i>
    <i r="1">
      <x v="2679"/>
    </i>
    <i r="1">
      <x v="2680"/>
    </i>
    <i r="1">
      <x v="2682"/>
    </i>
    <i r="1">
      <x v="2689"/>
    </i>
    <i r="1">
      <x v="2690"/>
    </i>
    <i r="1">
      <x v="2691"/>
    </i>
    <i r="1">
      <x v="2698"/>
    </i>
    <i r="1">
      <x v="2719"/>
    </i>
    <i r="1">
      <x v="2724"/>
    </i>
    <i r="1">
      <x v="2728"/>
    </i>
    <i r="1">
      <x v="2732"/>
    </i>
    <i r="1">
      <x v="2733"/>
    </i>
    <i r="1">
      <x v="2735"/>
    </i>
    <i r="1">
      <x v="2736"/>
    </i>
    <i r="1">
      <x v="2737"/>
    </i>
    <i r="1">
      <x v="2740"/>
    </i>
    <i r="1">
      <x v="2741"/>
    </i>
    <i r="1">
      <x v="2742"/>
    </i>
    <i r="1">
      <x v="2743"/>
    </i>
    <i r="1">
      <x v="2744"/>
    </i>
    <i r="1">
      <x v="2746"/>
    </i>
    <i r="1">
      <x v="2747"/>
    </i>
    <i r="1">
      <x v="2749"/>
    </i>
    <i r="1">
      <x v="2750"/>
    </i>
    <i r="1">
      <x v="2751"/>
    </i>
    <i r="1">
      <x v="2752"/>
    </i>
    <i r="1">
      <x v="2753"/>
    </i>
    <i r="1">
      <x v="2754"/>
    </i>
    <i r="1">
      <x v="2755"/>
    </i>
    <i r="1">
      <x v="2757"/>
    </i>
    <i r="1">
      <x v="2758"/>
    </i>
    <i r="1">
      <x v="2759"/>
    </i>
    <i r="1">
      <x v="2760"/>
    </i>
    <i r="1">
      <x v="2761"/>
    </i>
    <i r="1">
      <x v="2763"/>
    </i>
    <i r="1">
      <x v="2764"/>
    </i>
    <i r="1">
      <x v="2765"/>
    </i>
    <i r="1">
      <x v="2766"/>
    </i>
    <i r="1">
      <x v="2767"/>
    </i>
    <i r="1">
      <x v="2768"/>
    </i>
    <i r="1">
      <x v="2771"/>
    </i>
    <i r="1">
      <x v="2772"/>
    </i>
    <i r="1">
      <x v="2774"/>
    </i>
    <i r="1">
      <x v="2775"/>
    </i>
    <i r="1">
      <x v="2776"/>
    </i>
    <i r="1">
      <x v="2779"/>
    </i>
    <i r="1">
      <x v="2781"/>
    </i>
    <i r="1">
      <x v="2782"/>
    </i>
    <i r="1">
      <x v="2784"/>
    </i>
    <i r="1">
      <x v="2785"/>
    </i>
    <i r="1">
      <x v="2788"/>
    </i>
    <i r="1">
      <x v="2792"/>
    </i>
    <i r="1">
      <x v="2793"/>
    </i>
    <i r="1">
      <x v="2806"/>
    </i>
    <i r="1">
      <x v="2816"/>
    </i>
    <i r="1">
      <x v="2822"/>
    </i>
    <i r="1">
      <x v="2823"/>
    </i>
    <i r="1">
      <x v="2840"/>
    </i>
    <i r="1">
      <x v="2849"/>
    </i>
    <i r="1">
      <x v="2850"/>
    </i>
    <i r="1">
      <x v="2851"/>
    </i>
    <i r="1">
      <x v="2853"/>
    </i>
    <i r="1">
      <x v="2854"/>
    </i>
    <i r="1">
      <x v="2855"/>
    </i>
    <i r="1">
      <x v="2857"/>
    </i>
    <i r="1">
      <x v="2858"/>
    </i>
    <i r="1">
      <x v="2859"/>
    </i>
    <i r="1">
      <x v="2860"/>
    </i>
    <i r="1">
      <x v="2864"/>
    </i>
    <i r="1">
      <x v="2865"/>
    </i>
    <i r="1">
      <x v="2867"/>
    </i>
    <i r="1">
      <x v="2868"/>
    </i>
    <i r="1">
      <x v="2870"/>
    </i>
    <i r="1">
      <x v="2871"/>
    </i>
    <i r="1">
      <x v="2873"/>
    </i>
    <i r="1">
      <x v="2875"/>
    </i>
    <i r="1">
      <x v="2876"/>
    </i>
    <i r="1">
      <x v="2879"/>
    </i>
    <i r="1">
      <x v="2880"/>
    </i>
    <i r="1">
      <x v="2882"/>
    </i>
    <i r="1">
      <x v="2883"/>
    </i>
    <i r="1">
      <x v="2884"/>
    </i>
    <i r="1">
      <x v="2885"/>
    </i>
    <i r="1">
      <x v="2909"/>
    </i>
    <i r="1">
      <x v="2910"/>
    </i>
    <i r="1">
      <x v="2911"/>
    </i>
    <i r="1">
      <x v="2912"/>
    </i>
    <i r="1">
      <x v="2958"/>
    </i>
    <i r="1">
      <x v="2959"/>
    </i>
    <i r="1">
      <x v="2961"/>
    </i>
    <i r="1">
      <x v="2962"/>
    </i>
    <i r="1">
      <x v="2966"/>
    </i>
    <i r="1">
      <x v="2970"/>
    </i>
    <i r="1">
      <x v="2972"/>
    </i>
    <i r="1">
      <x v="2973"/>
    </i>
    <i r="1">
      <x v="2974"/>
    </i>
    <i r="1">
      <x v="2975"/>
    </i>
    <i r="1">
      <x v="2984"/>
    </i>
    <i r="1">
      <x v="2986"/>
    </i>
    <i r="1">
      <x v="2988"/>
    </i>
    <i r="1">
      <x v="2990"/>
    </i>
    <i r="1">
      <x v="3006"/>
    </i>
    <i r="1">
      <x v="3007"/>
    </i>
    <i r="1">
      <x v="3008"/>
    </i>
    <i r="1">
      <x v="3009"/>
    </i>
    <i r="1">
      <x v="3011"/>
    </i>
    <i r="1">
      <x v="3018"/>
    </i>
    <i r="1">
      <x v="3048"/>
    </i>
    <i r="1">
      <x v="3049"/>
    </i>
    <i r="1">
      <x v="3052"/>
    </i>
    <i r="1">
      <x v="3053"/>
    </i>
    <i r="1">
      <x v="3062"/>
    </i>
    <i r="1">
      <x v="3064"/>
    </i>
    <i r="1">
      <x v="3086"/>
    </i>
    <i r="1">
      <x v="3099"/>
    </i>
    <i r="1">
      <x v="3111"/>
    </i>
    <i r="1">
      <x v="3145"/>
    </i>
    <i r="1">
      <x v="3158"/>
    </i>
    <i r="1">
      <x v="3160"/>
    </i>
    <i r="1">
      <x v="3190"/>
    </i>
    <i r="1">
      <x v="3198"/>
    </i>
    <i r="1">
      <x v="3218"/>
    </i>
    <i r="1">
      <x v="3227"/>
    </i>
    <i r="1">
      <x v="3228"/>
    </i>
    <i r="1">
      <x v="3232"/>
    </i>
    <i r="1">
      <x v="3286"/>
    </i>
    <i r="1">
      <x v="3300"/>
    </i>
    <i r="1">
      <x v="3303"/>
    </i>
    <i r="1">
      <x v="3312"/>
    </i>
    <i r="1">
      <x v="3348"/>
    </i>
    <i r="1">
      <x v="3355"/>
    </i>
    <i r="1">
      <x v="3356"/>
    </i>
    <i r="1">
      <x v="3358"/>
    </i>
    <i r="1">
      <x v="3360"/>
    </i>
    <i r="1">
      <x v="3361"/>
    </i>
    <i r="1">
      <x v="3362"/>
    </i>
    <i r="1">
      <x v="3366"/>
    </i>
    <i r="1">
      <x v="3367"/>
    </i>
    <i r="1">
      <x v="3368"/>
    </i>
    <i r="1">
      <x v="3371"/>
    </i>
    <i r="1">
      <x v="3373"/>
    </i>
    <i r="1">
      <x v="3374"/>
    </i>
    <i r="1">
      <x v="3376"/>
    </i>
    <i r="1">
      <x v="3379"/>
    </i>
    <i r="1">
      <x v="3381"/>
    </i>
    <i r="1">
      <x v="3384"/>
    </i>
    <i r="1">
      <x v="3386"/>
    </i>
    <i r="1">
      <x v="3421"/>
    </i>
    <i r="1">
      <x v="3425"/>
    </i>
    <i r="1">
      <x v="3426"/>
    </i>
    <i r="1">
      <x v="3431"/>
    </i>
    <i r="1">
      <x v="3446"/>
    </i>
    <i r="1">
      <x v="3451"/>
    </i>
    <i r="1">
      <x v="3453"/>
    </i>
    <i r="1">
      <x v="3459"/>
    </i>
    <i r="1">
      <x v="3476"/>
    </i>
    <i r="1">
      <x v="3483"/>
    </i>
    <i r="1">
      <x v="3484"/>
    </i>
    <i r="1">
      <x v="3485"/>
    </i>
    <i r="1">
      <x v="3488"/>
    </i>
    <i r="1">
      <x v="3489"/>
    </i>
    <i r="1">
      <x v="3490"/>
    </i>
    <i r="1">
      <x v="3491"/>
    </i>
    <i r="1">
      <x v="3493"/>
    </i>
    <i r="1">
      <x v="3494"/>
    </i>
    <i r="1">
      <x v="3495"/>
    </i>
    <i r="1">
      <x v="3497"/>
    </i>
    <i r="1">
      <x v="3499"/>
    </i>
    <i r="1">
      <x v="3503"/>
    </i>
    <i r="1">
      <x v="3510"/>
    </i>
    <i r="1">
      <x v="3511"/>
    </i>
    <i r="1">
      <x v="3530"/>
    </i>
    <i r="1">
      <x v="3540"/>
    </i>
    <i r="1">
      <x v="3554"/>
    </i>
    <i r="1">
      <x v="3592"/>
    </i>
    <i r="1">
      <x v="3600"/>
    </i>
    <i r="1">
      <x v="3602"/>
    </i>
    <i r="1">
      <x v="3603"/>
    </i>
    <i r="1">
      <x v="3604"/>
    </i>
    <i r="1">
      <x v="3605"/>
    </i>
    <i r="1">
      <x v="3607"/>
    </i>
    <i r="1">
      <x v="3619"/>
    </i>
    <i r="1">
      <x v="3620"/>
    </i>
    <i r="1">
      <x v="3623"/>
    </i>
    <i r="1">
      <x v="3627"/>
    </i>
    <i r="1">
      <x v="3628"/>
    </i>
    <i r="1">
      <x v="3629"/>
    </i>
    <i r="1">
      <x v="3633"/>
    </i>
    <i r="1">
      <x v="3634"/>
    </i>
    <i r="1">
      <x v="3635"/>
    </i>
    <i r="1">
      <x v="3636"/>
    </i>
    <i r="1">
      <x v="3637"/>
    </i>
    <i r="1">
      <x v="3641"/>
    </i>
    <i r="1">
      <x v="3643"/>
    </i>
    <i r="1">
      <x v="3644"/>
    </i>
    <i r="1">
      <x v="3646"/>
    </i>
    <i r="1">
      <x v="3647"/>
    </i>
    <i r="1">
      <x v="3648"/>
    </i>
    <i r="1">
      <x v="3650"/>
    </i>
    <i r="1">
      <x v="3651"/>
    </i>
    <i r="1">
      <x v="3653"/>
    </i>
    <i r="1">
      <x v="3654"/>
    </i>
    <i r="1">
      <x v="3655"/>
    </i>
    <i r="1">
      <x v="3663"/>
    </i>
    <i r="1">
      <x v="3684"/>
    </i>
    <i r="1">
      <x v="3685"/>
    </i>
    <i r="1">
      <x v="3697"/>
    </i>
    <i r="1">
      <x v="3707"/>
    </i>
    <i r="1">
      <x v="3725"/>
    </i>
    <i r="1">
      <x v="3729"/>
    </i>
    <i r="1">
      <x v="3756"/>
    </i>
    <i r="1">
      <x v="3761"/>
    </i>
    <i r="1">
      <x v="3764"/>
    </i>
    <i r="1">
      <x v="3776"/>
    </i>
    <i r="1">
      <x v="4022"/>
    </i>
    <i r="1">
      <x v="4033"/>
    </i>
    <i r="1">
      <x v="4052"/>
    </i>
    <i r="1">
      <x v="4055"/>
    </i>
    <i r="1">
      <x v="4058"/>
    </i>
    <i r="1">
      <x v="4059"/>
    </i>
    <i r="1">
      <x v="4060"/>
    </i>
    <i r="1">
      <x v="4061"/>
    </i>
    <i r="1">
      <x v="4068"/>
    </i>
    <i r="1">
      <x v="4073"/>
    </i>
    <i r="1">
      <x v="4074"/>
    </i>
    <i r="1">
      <x v="4097"/>
    </i>
    <i r="1">
      <x v="4157"/>
    </i>
    <i r="1">
      <x v="4160"/>
    </i>
    <i r="1">
      <x v="4183"/>
    </i>
    <i r="1">
      <x v="4192"/>
    </i>
    <i r="1">
      <x v="4202"/>
    </i>
    <i r="1">
      <x v="4207"/>
    </i>
    <i r="1">
      <x v="4217"/>
    </i>
    <i r="1">
      <x v="4221"/>
    </i>
    <i r="1">
      <x v="4227"/>
    </i>
    <i r="1">
      <x v="4233"/>
    </i>
    <i r="1">
      <x v="4237"/>
    </i>
    <i r="1">
      <x v="4242"/>
    </i>
    <i r="1">
      <x v="4245"/>
    </i>
    <i r="1">
      <x v="4250"/>
    </i>
    <i r="1">
      <x v="4251"/>
    </i>
    <i r="1">
      <x v="4253"/>
    </i>
    <i r="1">
      <x v="4254"/>
    </i>
    <i r="1">
      <x v="4256"/>
    </i>
    <i r="1">
      <x v="4258"/>
    </i>
    <i r="1">
      <x v="4260"/>
    </i>
    <i r="1">
      <x v="4262"/>
    </i>
    <i r="1">
      <x v="4264"/>
    </i>
    <i r="1">
      <x v="4299"/>
    </i>
    <i r="1">
      <x v="4303"/>
    </i>
    <i>
      <x v="104"/>
      <x v="601"/>
    </i>
    <i>
      <x v="106"/>
      <x v="2"/>
    </i>
    <i r="1">
      <x v="685"/>
    </i>
    <i r="1">
      <x v="1039"/>
    </i>
    <i r="1">
      <x v="1150"/>
    </i>
    <i r="1">
      <x v="1202"/>
    </i>
    <i r="1">
      <x v="1769"/>
    </i>
    <i r="1">
      <x v="2064"/>
    </i>
    <i r="1">
      <x v="2385"/>
    </i>
    <i r="1">
      <x v="2716"/>
    </i>
    <i r="1">
      <x v="2836"/>
    </i>
    <i r="1">
      <x v="3080"/>
    </i>
    <i r="1">
      <x v="3094"/>
    </i>
    <i r="1">
      <x v="3200"/>
    </i>
    <i r="1">
      <x v="3298"/>
    </i>
    <i r="1">
      <x v="3435"/>
    </i>
    <i r="1">
      <x v="3728"/>
    </i>
    <i r="1">
      <x v="3739"/>
    </i>
    <i>
      <x v="107"/>
      <x v="420"/>
    </i>
    <i r="1">
      <x v="421"/>
    </i>
    <i r="1">
      <x v="611"/>
    </i>
    <i r="1">
      <x v="809"/>
    </i>
    <i r="1">
      <x v="1060"/>
    </i>
    <i r="1">
      <x v="1065"/>
    </i>
    <i r="1">
      <x v="1706"/>
    </i>
    <i r="1">
      <x v="1713"/>
    </i>
    <i r="1">
      <x v="1768"/>
    </i>
    <i r="1">
      <x v="2951"/>
    </i>
    <i r="1">
      <x v="3487"/>
    </i>
    <i r="1">
      <x v="3509"/>
    </i>
    <i r="1">
      <x v="3757"/>
    </i>
    <i>
      <x v="109"/>
      <x v="89"/>
    </i>
    <i r="1">
      <x v="103"/>
    </i>
    <i r="1">
      <x v="240"/>
    </i>
    <i r="1">
      <x v="713"/>
    </i>
    <i r="1">
      <x v="814"/>
    </i>
    <i r="1">
      <x v="822"/>
    </i>
    <i r="1">
      <x v="1131"/>
    </i>
    <i r="1">
      <x v="1327"/>
    </i>
    <i r="1">
      <x v="1577"/>
    </i>
    <i r="1">
      <x v="1953"/>
    </i>
    <i r="1">
      <x v="2301"/>
    </i>
    <i r="1">
      <x v="2309"/>
    </i>
    <i r="1">
      <x v="2461"/>
    </i>
    <i r="1">
      <x v="2575"/>
    </i>
    <i r="1">
      <x v="2721"/>
    </i>
    <i r="1">
      <x v="3248"/>
    </i>
    <i r="1">
      <x v="3868"/>
    </i>
    <i r="1">
      <x v="3998"/>
    </i>
    <i r="1">
      <x v="4246"/>
    </i>
    <i>
      <x v="110"/>
      <x v="3692"/>
    </i>
    <i>
      <x v="111"/>
      <x v="3139"/>
    </i>
    <i>
      <x v="112"/>
      <x v="229"/>
    </i>
    <i r="1">
      <x v="427"/>
    </i>
    <i r="1">
      <x v="431"/>
    </i>
    <i r="1">
      <x v="487"/>
    </i>
    <i r="1">
      <x v="549"/>
    </i>
    <i r="1">
      <x v="669"/>
    </i>
    <i r="1">
      <x v="756"/>
    </i>
    <i r="1">
      <x v="769"/>
    </i>
    <i r="1">
      <x v="771"/>
    </i>
    <i r="1">
      <x v="788"/>
    </i>
    <i r="1">
      <x v="790"/>
    </i>
    <i r="1">
      <x v="1280"/>
    </i>
    <i r="1">
      <x v="1321"/>
    </i>
    <i r="1">
      <x v="1830"/>
    </i>
    <i r="1">
      <x v="1837"/>
    </i>
    <i r="1">
      <x v="1969"/>
    </i>
    <i r="1">
      <x v="2230"/>
    </i>
    <i r="1">
      <x v="3209"/>
    </i>
    <i r="1">
      <x v="3235"/>
    </i>
    <i r="1">
      <x v="3551"/>
    </i>
    <i r="1">
      <x v="3715"/>
    </i>
    <i r="1">
      <x v="3892"/>
    </i>
    <i>
      <x v="113"/>
      <x v="3283"/>
    </i>
    <i>
      <x v="114"/>
      <x v="10"/>
    </i>
    <i>
      <x v="115"/>
      <x v="634"/>
    </i>
    <i r="1">
      <x v="874"/>
    </i>
    <i r="1">
      <x v="902"/>
    </i>
    <i r="1">
      <x v="986"/>
    </i>
    <i r="1">
      <x v="993"/>
    </i>
    <i r="1">
      <x v="1035"/>
    </i>
    <i r="1">
      <x v="1092"/>
    </i>
    <i r="1">
      <x v="1355"/>
    </i>
    <i r="1">
      <x v="2555"/>
    </i>
    <i r="1">
      <x v="2878"/>
    </i>
    <i r="1">
      <x v="3354"/>
    </i>
    <i r="1">
      <x v="3632"/>
    </i>
    <i r="1">
      <x v="3642"/>
    </i>
    <i r="1">
      <x v="3657"/>
    </i>
    <i r="1">
      <x v="4159"/>
    </i>
    <i>
      <x v="117"/>
      <x v="949"/>
    </i>
    <i r="1">
      <x v="1836"/>
    </i>
    <i r="1">
      <x v="2388"/>
    </i>
    <i r="1">
      <x v="2949"/>
    </i>
    <i r="1">
      <x v="3280"/>
    </i>
    <i r="1">
      <x v="3893"/>
    </i>
    <i>
      <x v="118"/>
      <x v="140"/>
    </i>
    <i r="1">
      <x v="486"/>
    </i>
    <i r="1">
      <x v="548"/>
    </i>
    <i r="1">
      <x v="1068"/>
    </i>
    <i r="1">
      <x v="1821"/>
    </i>
    <i r="1">
      <x v="2685"/>
    </i>
    <i r="1">
      <x v="2953"/>
    </i>
    <i>
      <x v="119"/>
      <x v="659"/>
    </i>
    <i r="1">
      <x v="1460"/>
    </i>
    <i r="1">
      <x v="1871"/>
    </i>
    <i r="1">
      <x v="2589"/>
    </i>
    <i r="1">
      <x v="2595"/>
    </i>
    <i r="1">
      <x v="2815"/>
    </i>
    <i r="1">
      <x v="3106"/>
    </i>
    <i r="1">
      <x v="3112"/>
    </i>
    <i r="1">
      <x v="3217"/>
    </i>
    <i r="1">
      <x v="3229"/>
    </i>
    <i>
      <x v="120"/>
      <x v="369"/>
    </i>
    <i r="1">
      <x v="1731"/>
    </i>
    <i>
      <x v="121"/>
      <x v="282"/>
    </i>
    <i r="1">
      <x v="433"/>
    </i>
    <i r="1">
      <x v="488"/>
    </i>
    <i r="1">
      <x v="577"/>
    </i>
    <i r="1">
      <x v="578"/>
    </i>
    <i r="1">
      <x v="1393"/>
    </i>
    <i r="1">
      <x v="1638"/>
    </i>
    <i r="1">
      <x v="1838"/>
    </i>
    <i r="1">
      <x v="1842"/>
    </i>
    <i r="1">
      <x v="2038"/>
    </i>
    <i r="1">
      <x v="2102"/>
    </i>
    <i r="1">
      <x v="2944"/>
    </i>
    <i r="1">
      <x v="3000"/>
    </i>
    <i r="1">
      <x v="3317"/>
    </i>
    <i r="1">
      <x v="3320"/>
    </i>
    <i r="1">
      <x v="3428"/>
    </i>
    <i>
      <x v="122"/>
      <x v="970"/>
    </i>
    <i r="1">
      <x v="1462"/>
    </i>
    <i r="1">
      <x v="1627"/>
    </i>
    <i r="1">
      <x v="1742"/>
    </i>
    <i r="1">
      <x v="2542"/>
    </i>
    <i r="1">
      <x v="2651"/>
    </i>
    <i r="1">
      <x v="2652"/>
    </i>
    <i r="1">
      <x v="2653"/>
    </i>
    <i r="1">
      <x v="2655"/>
    </i>
    <i r="1">
      <x v="3075"/>
    </i>
    <i r="1">
      <x v="3274"/>
    </i>
    <i r="1">
      <x v="3316"/>
    </i>
    <i r="1">
      <x v="3687"/>
    </i>
    <i>
      <x v="123"/>
      <x v="2346"/>
    </i>
    <i r="1">
      <x v="3154"/>
    </i>
    <i r="1">
      <x v="3378"/>
    </i>
    <i r="1">
      <x v="3611"/>
    </i>
    <i r="1">
      <x v="3670"/>
    </i>
    <i r="1">
      <x v="3701"/>
    </i>
    <i r="1">
      <x v="3987"/>
    </i>
    <i>
      <x v="124"/>
      <x v="3148"/>
    </i>
    <i>
      <x v="125"/>
      <x v="2604"/>
    </i>
    <i r="1">
      <x v="2948"/>
    </i>
    <i r="1">
      <x v="2997"/>
    </i>
    <i>
      <x v="129"/>
      <x v="184"/>
    </i>
    <i r="1">
      <x v="768"/>
    </i>
    <i>
      <x v="130"/>
      <x v="3110"/>
    </i>
    <i>
      <x v="131"/>
      <x v="3502"/>
    </i>
    <i>
      <x v="132"/>
      <x v="1273"/>
    </i>
    <i>
      <x v="133"/>
      <x v="292"/>
    </i>
    <i r="1">
      <x v="428"/>
    </i>
    <i r="1">
      <x v="724"/>
    </i>
    <i r="1">
      <x v="782"/>
    </i>
    <i r="1">
      <x v="1076"/>
    </i>
    <i r="1">
      <x v="1194"/>
    </i>
    <i r="1">
      <x v="1405"/>
    </i>
    <i r="1">
      <x v="1840"/>
    </i>
    <i r="1">
      <x v="1891"/>
    </i>
    <i r="1">
      <x v="1951"/>
    </i>
    <i r="1">
      <x v="1952"/>
    </i>
    <i r="1">
      <x v="2278"/>
    </i>
    <i r="1">
      <x v="2587"/>
    </i>
    <i r="1">
      <x v="2702"/>
    </i>
    <i r="1">
      <x v="4085"/>
    </i>
    <i r="1">
      <x v="4136"/>
    </i>
    <i>
      <x v="134"/>
      <x v="1860"/>
    </i>
    <i r="1">
      <x v="3699"/>
    </i>
    <i>
      <x v="135"/>
      <x v="382"/>
    </i>
    <i r="1">
      <x v="848"/>
    </i>
    <i r="1">
      <x v="1781"/>
    </i>
    <i r="1">
      <x v="1961"/>
    </i>
    <i r="1">
      <x v="2446"/>
    </i>
    <i r="1">
      <x v="2511"/>
    </i>
    <i r="1">
      <x v="2535"/>
    </i>
    <i r="1">
      <x v="2683"/>
    </i>
    <i r="1">
      <x v="2835"/>
    </i>
    <i r="1">
      <x v="3092"/>
    </i>
    <i r="1">
      <x v="3617"/>
    </i>
    <i>
      <x v="136"/>
      <x v="198"/>
    </i>
    <i r="1">
      <x v="201"/>
    </i>
    <i r="1">
      <x v="386"/>
    </i>
    <i r="1">
      <x v="424"/>
    </i>
    <i r="1">
      <x v="543"/>
    </i>
    <i r="1">
      <x v="570"/>
    </i>
    <i r="1">
      <x v="928"/>
    </i>
    <i r="1">
      <x v="1148"/>
    </i>
    <i r="1">
      <x v="1607"/>
    </i>
    <i r="1">
      <x v="1634"/>
    </i>
    <i r="1">
      <x v="1653"/>
    </i>
    <i r="1">
      <x v="1707"/>
    </i>
    <i r="1">
      <x v="1719"/>
    </i>
    <i r="1">
      <x v="1851"/>
    </i>
    <i r="1">
      <x v="1934"/>
    </i>
    <i r="1">
      <x v="1941"/>
    </i>
    <i r="1">
      <x v="1971"/>
    </i>
    <i r="1">
      <x v="2149"/>
    </i>
    <i r="1">
      <x v="2614"/>
    </i>
    <i r="1">
      <x v="2625"/>
    </i>
    <i r="1">
      <x v="2631"/>
    </i>
    <i r="1">
      <x v="2632"/>
    </i>
    <i r="1">
      <x v="2634"/>
    </i>
    <i r="1">
      <x v="2635"/>
    </i>
    <i r="1">
      <x v="2637"/>
    </i>
    <i r="1">
      <x v="2642"/>
    </i>
    <i r="1">
      <x v="2650"/>
    </i>
    <i r="1">
      <x v="2654"/>
    </i>
    <i r="1">
      <x v="2656"/>
    </i>
    <i r="1">
      <x v="2657"/>
    </i>
    <i r="1">
      <x v="2658"/>
    </i>
    <i r="1">
      <x v="2659"/>
    </i>
    <i r="1">
      <x v="2660"/>
    </i>
    <i r="1">
      <x v="2662"/>
    </i>
    <i r="1">
      <x v="2664"/>
    </i>
    <i r="1">
      <x v="2666"/>
    </i>
    <i r="1">
      <x v="2802"/>
    </i>
    <i r="1">
      <x v="2803"/>
    </i>
    <i r="1">
      <x v="2804"/>
    </i>
    <i r="1">
      <x v="2821"/>
    </i>
    <i r="1">
      <x v="2999"/>
    </i>
    <i r="1">
      <x v="3054"/>
    </i>
    <i r="1">
      <x v="3224"/>
    </i>
    <i r="1">
      <x v="3257"/>
    </i>
    <i r="1">
      <x v="3323"/>
    </i>
    <i r="1">
      <x v="3329"/>
    </i>
    <i r="1">
      <x v="3461"/>
    </i>
    <i r="1">
      <x v="3462"/>
    </i>
    <i r="1">
      <x v="3464"/>
    </i>
    <i r="1">
      <x v="3467"/>
    </i>
    <i r="1">
      <x v="3541"/>
    </i>
    <i r="1">
      <x v="3666"/>
    </i>
    <i r="1">
      <x v="3705"/>
    </i>
    <i r="1">
      <x v="3706"/>
    </i>
    <i r="1">
      <x v="3732"/>
    </i>
    <i r="1">
      <x v="3742"/>
    </i>
    <i r="1">
      <x v="3751"/>
    </i>
    <i r="1">
      <x v="3752"/>
    </i>
    <i r="1">
      <x v="3759"/>
    </i>
    <i r="1">
      <x v="3995"/>
    </i>
    <i>
      <x v="137"/>
      <x v="2508"/>
    </i>
    <i r="1">
      <x v="4188"/>
    </i>
    <i>
      <x v="138"/>
      <x v="12"/>
    </i>
    <i r="1">
      <x v="53"/>
    </i>
    <i r="1">
      <x v="367"/>
    </i>
    <i r="1">
      <x v="425"/>
    </i>
    <i r="1">
      <x v="566"/>
    </i>
    <i r="1">
      <x v="1145"/>
    </i>
    <i r="1">
      <x v="1608"/>
    </i>
    <i r="1">
      <x v="1718"/>
    </i>
    <i r="1">
      <x v="1932"/>
    </i>
    <i r="1">
      <x v="1973"/>
    </i>
    <i r="1">
      <x v="2099"/>
    </i>
    <i r="1">
      <x v="2640"/>
    </i>
    <i r="1">
      <x v="2641"/>
    </i>
    <i r="1">
      <x v="2725"/>
    </i>
    <i r="1">
      <x v="3149"/>
    </i>
    <i r="1">
      <x v="3573"/>
    </i>
    <i r="1">
      <x v="3667"/>
    </i>
    <i r="1">
      <x v="3745"/>
    </i>
    <i r="1">
      <x v="3748"/>
    </i>
    <i>
      <x v="139"/>
      <x v="15"/>
    </i>
    <i r="1">
      <x v="575"/>
    </i>
    <i r="1">
      <x v="680"/>
    </i>
    <i r="1">
      <x v="770"/>
    </i>
    <i r="1">
      <x v="1749"/>
    </i>
    <i r="1">
      <x v="2037"/>
    </i>
    <i r="1">
      <x v="2229"/>
    </i>
    <i r="1">
      <x v="2509"/>
    </i>
    <i r="1">
      <x v="3434"/>
    </i>
    <i r="1">
      <x v="3445"/>
    </i>
    <i r="1">
      <x v="3479"/>
    </i>
    <i r="1">
      <x v="3480"/>
    </i>
    <i r="1">
      <x v="3536"/>
    </i>
    <i r="1">
      <x v="3903"/>
    </i>
    <i r="1">
      <x v="3905"/>
    </i>
    <i r="1">
      <x v="3906"/>
    </i>
    <i r="1">
      <x v="3907"/>
    </i>
    <i r="1">
      <x v="3912"/>
    </i>
    <i r="1">
      <x v="3914"/>
    </i>
    <i r="1">
      <x v="3915"/>
    </i>
    <i r="1">
      <x v="3917"/>
    </i>
    <i r="1">
      <x v="4029"/>
    </i>
    <i r="1">
      <x v="4126"/>
    </i>
    <i r="1">
      <x v="4127"/>
    </i>
    <i r="1">
      <x v="4158"/>
    </i>
    <i r="1">
      <x v="4226"/>
    </i>
    <i>
      <x v="140"/>
      <x v="11"/>
    </i>
    <i r="1">
      <x v="1402"/>
    </i>
    <i r="1">
      <x v="2543"/>
    </i>
    <i r="1">
      <x v="3719"/>
    </i>
    <i>
      <x v="141"/>
      <x v="1320"/>
    </i>
    <i>
      <x v="142"/>
      <x v="597"/>
    </i>
    <i r="1">
      <x v="2389"/>
    </i>
    <i>
      <x v="143"/>
      <x v="289"/>
    </i>
    <i r="1">
      <x v="1104"/>
    </i>
    <i r="1">
      <x v="3991"/>
    </i>
    <i r="1">
      <x v="3992"/>
    </i>
    <i r="1">
      <x v="3993"/>
    </i>
    <i r="1">
      <x v="3994"/>
    </i>
    <i>
      <x v="144"/>
      <x v="142"/>
    </i>
    <i r="1">
      <x v="622"/>
    </i>
    <i r="1">
      <x v="1106"/>
    </i>
    <i r="1">
      <x v="1654"/>
    </i>
    <i r="1">
      <x v="2004"/>
    </i>
    <i r="1">
      <x v="2005"/>
    </i>
    <i r="1">
      <x v="2019"/>
    </i>
    <i r="1">
      <x v="2074"/>
    </i>
    <i r="1">
      <x v="2528"/>
    </i>
    <i r="1">
      <x v="2723"/>
    </i>
    <i r="1">
      <x v="2777"/>
    </i>
    <i r="1">
      <x v="2778"/>
    </i>
    <i r="1">
      <x v="3382"/>
    </i>
    <i r="1">
      <x v="3468"/>
    </i>
    <i>
      <x v="145"/>
      <x v="286"/>
    </i>
    <i>
      <x v="146"/>
      <x v="48"/>
    </i>
    <i r="1">
      <x v="150"/>
    </i>
    <i r="1">
      <x v="212"/>
    </i>
    <i r="1">
      <x v="214"/>
    </i>
    <i r="1">
      <x v="215"/>
    </i>
    <i r="1">
      <x v="220"/>
    </i>
    <i r="1">
      <x v="275"/>
    </i>
    <i r="1">
      <x v="430"/>
    </i>
    <i r="1">
      <x v="438"/>
    </i>
    <i r="1">
      <x v="456"/>
    </i>
    <i r="1">
      <x v="483"/>
    </i>
    <i r="1">
      <x v="508"/>
    </i>
    <i r="1">
      <x v="591"/>
    </i>
    <i r="1">
      <x v="725"/>
    </i>
    <i r="1">
      <x v="728"/>
    </i>
    <i r="1">
      <x v="785"/>
    </i>
    <i r="1">
      <x v="948"/>
    </i>
    <i r="1">
      <x v="981"/>
    </i>
    <i r="1">
      <x v="1267"/>
    </i>
    <i r="1">
      <x v="1276"/>
    </i>
    <i r="1">
      <x v="1292"/>
    </i>
    <i r="1">
      <x v="1598"/>
    </i>
    <i r="1">
      <x v="1732"/>
    </i>
    <i r="1">
      <x v="1777"/>
    </i>
    <i r="1">
      <x v="1794"/>
    </i>
    <i r="1">
      <x v="1848"/>
    </i>
    <i r="1">
      <x v="1849"/>
    </i>
    <i r="1">
      <x v="1850"/>
    </i>
    <i r="1">
      <x v="1854"/>
    </i>
    <i r="1">
      <x v="1921"/>
    </i>
    <i r="1">
      <x v="1936"/>
    </i>
    <i r="1">
      <x v="1940"/>
    </i>
    <i r="1">
      <x v="1946"/>
    </i>
    <i r="1">
      <x v="1972"/>
    </i>
    <i r="1">
      <x v="1975"/>
    </i>
    <i r="1">
      <x v="2034"/>
    </i>
    <i r="1">
      <x v="2035"/>
    </i>
    <i r="1">
      <x v="2053"/>
    </i>
    <i r="1">
      <x v="2055"/>
    </i>
    <i r="1">
      <x v="2125"/>
    </i>
    <i r="1">
      <x v="2210"/>
    </i>
    <i r="1">
      <x v="2215"/>
    </i>
    <i r="1">
      <x v="2218"/>
    </i>
    <i r="1">
      <x v="2219"/>
    </i>
    <i r="1">
      <x v="2220"/>
    </i>
    <i r="1">
      <x v="2225"/>
    </i>
    <i r="1">
      <x v="2395"/>
    </i>
    <i r="1">
      <x v="2540"/>
    </i>
    <i r="1">
      <x v="2598"/>
    </i>
    <i r="1">
      <x v="2607"/>
    </i>
    <i r="1">
      <x v="2615"/>
    </i>
    <i r="1">
      <x v="2626"/>
    </i>
    <i r="1">
      <x v="2627"/>
    </i>
    <i r="1">
      <x v="2628"/>
    </i>
    <i r="1">
      <x v="2672"/>
    </i>
    <i r="1">
      <x v="2700"/>
    </i>
    <i r="1">
      <x v="2708"/>
    </i>
    <i r="1">
      <x v="2827"/>
    </i>
    <i r="1">
      <x v="2828"/>
    </i>
    <i r="1">
      <x v="2931"/>
    </i>
    <i r="1">
      <x v="2933"/>
    </i>
    <i r="1">
      <x v="2996"/>
    </i>
    <i r="1">
      <x v="3081"/>
    </i>
    <i r="1">
      <x v="3083"/>
    </i>
    <i r="1">
      <x v="3084"/>
    </i>
    <i r="1">
      <x v="3230"/>
    </i>
    <i r="1">
      <x v="3239"/>
    </i>
    <i r="1">
      <x v="3290"/>
    </i>
    <i r="1">
      <x v="3330"/>
    </i>
    <i r="1">
      <x v="3429"/>
    </i>
    <i r="1">
      <x v="3520"/>
    </i>
    <i r="1">
      <x v="3523"/>
    </i>
    <i r="1">
      <x v="3531"/>
    </i>
    <i r="1">
      <x v="3546"/>
    </i>
    <i r="1">
      <x v="3547"/>
    </i>
    <i r="1">
      <x v="3564"/>
    </i>
    <i r="1">
      <x v="3569"/>
    </i>
    <i r="1">
      <x v="3593"/>
    </i>
    <i r="1">
      <x v="3597"/>
    </i>
    <i r="1">
      <x v="3662"/>
    </i>
    <i r="1">
      <x v="3713"/>
    </i>
    <i>
      <x v="147"/>
      <x v="3282"/>
    </i>
    <i>
      <x v="148"/>
      <x v="818"/>
    </i>
    <i r="1">
      <x v="829"/>
    </i>
    <i r="1">
      <x v="854"/>
    </i>
    <i r="1">
      <x v="1242"/>
    </i>
    <i r="1">
      <x v="1530"/>
    </i>
    <i r="1">
      <x v="2923"/>
    </i>
    <i r="1">
      <x v="3167"/>
    </i>
    <i>
      <x v="149"/>
      <x v="3203"/>
    </i>
    <i>
      <x v="150"/>
      <x v="755"/>
    </i>
    <i r="1">
      <x v="796"/>
    </i>
    <i r="1">
      <x v="2171"/>
    </i>
    <i r="1">
      <x v="2371"/>
    </i>
    <i r="1">
      <x v="2523"/>
    </i>
    <i r="1">
      <x v="3078"/>
    </i>
    <i r="1">
      <x v="3143"/>
    </i>
    <i r="1">
      <x v="3735"/>
    </i>
    <i>
      <x v="151"/>
      <x v="482"/>
    </i>
    <i>
      <x v="152"/>
      <x v="1437"/>
    </i>
    <i r="1">
      <x v="3576"/>
    </i>
    <i r="1">
      <x v="4016"/>
    </i>
    <i r="1">
      <x v="4191"/>
    </i>
    <i r="1">
      <x v="4200"/>
    </i>
    <i r="1">
      <x v="4216"/>
    </i>
    <i r="1">
      <x v="4222"/>
    </i>
    <i>
      <x v="153"/>
      <x v="54"/>
    </i>
    <i r="1">
      <x v="1166"/>
    </i>
    <i r="1">
      <x v="1172"/>
    </i>
    <i r="1">
      <x v="2090"/>
    </i>
    <i r="1">
      <x v="2221"/>
    </i>
    <i r="1">
      <x v="2983"/>
    </i>
    <i r="1">
      <x v="3194"/>
    </i>
    <i r="1">
      <x v="3210"/>
    </i>
    <i r="1">
      <x v="3691"/>
    </i>
    <i>
      <x v="154"/>
      <x v="572"/>
    </i>
    <i r="1">
      <x v="1787"/>
    </i>
    <i>
      <x v="155"/>
      <x v="2536"/>
    </i>
    <i>
      <x v="156"/>
      <x v="193"/>
    </i>
    <i r="1">
      <x v="327"/>
    </i>
    <i r="1">
      <x v="471"/>
    </i>
    <i r="1">
      <x v="494"/>
    </i>
    <i r="1">
      <x v="1121"/>
    </i>
    <i r="1">
      <x v="1824"/>
    </i>
    <i r="1">
      <x v="1879"/>
    </i>
    <i r="1">
      <x v="1880"/>
    </i>
    <i r="1">
      <x v="1902"/>
    </i>
    <i r="1">
      <x v="2203"/>
    </i>
    <i r="1">
      <x v="2591"/>
    </i>
    <i r="1">
      <x v="3575"/>
    </i>
    <i>
      <x v="157"/>
      <x v="1407"/>
    </i>
    <i r="1">
      <x v="1466"/>
    </i>
    <i r="1">
      <x v="1844"/>
    </i>
    <i r="1">
      <x v="2081"/>
    </i>
    <i r="1">
      <x v="2266"/>
    </i>
    <i r="1">
      <x v="2297"/>
    </i>
    <i r="1">
      <x v="2582"/>
    </i>
    <i r="1">
      <x v="3307"/>
    </i>
    <i r="1">
      <x v="4118"/>
    </i>
    <i>
      <x v="158"/>
      <x v="1904"/>
    </i>
    <i r="1">
      <x v="1908"/>
    </i>
    <i r="1">
      <x v="2083"/>
    </i>
    <i r="1">
      <x v="3305"/>
    </i>
    <i>
      <x v="159"/>
      <x v="20"/>
    </i>
    <i r="1">
      <x v="81"/>
    </i>
    <i r="1">
      <x v="503"/>
    </i>
    <i r="1">
      <x v="650"/>
    </i>
    <i r="1">
      <x v="665"/>
    </i>
    <i r="1">
      <x v="686"/>
    </i>
    <i r="1">
      <x v="1565"/>
    </i>
    <i r="1">
      <x v="1825"/>
    </i>
    <i r="1">
      <x v="1933"/>
    </i>
    <i r="1">
      <x v="1959"/>
    </i>
    <i r="1">
      <x v="2532"/>
    </i>
    <i r="1">
      <x v="3233"/>
    </i>
    <i r="1">
      <x v="3253"/>
    </i>
    <i r="1">
      <x v="3254"/>
    </i>
    <i r="1">
      <x v="3457"/>
    </i>
    <i r="1">
      <x v="3553"/>
    </i>
    <i r="1">
      <x v="3578"/>
    </i>
    <i r="1">
      <x v="4201"/>
    </i>
    <i r="1">
      <x v="4203"/>
    </i>
    <i r="1">
      <x v="4204"/>
    </i>
    <i r="1">
      <x v="4212"/>
    </i>
    <i r="1">
      <x v="4213"/>
    </i>
    <i>
      <x v="160"/>
      <x v="85"/>
    </i>
    <i r="1">
      <x v="511"/>
    </i>
    <i r="1">
      <x v="657"/>
    </i>
    <i r="1">
      <x v="1232"/>
    </i>
    <i r="1">
      <x v="1277"/>
    </i>
    <i r="1">
      <x v="1421"/>
    </i>
    <i r="1">
      <x v="1425"/>
    </i>
    <i r="1">
      <x v="1790"/>
    </i>
    <i r="1">
      <x v="2180"/>
    </i>
    <i r="1">
      <x v="2249"/>
    </i>
    <i r="1">
      <x v="2403"/>
    </i>
    <i r="1">
      <x v="2445"/>
    </i>
    <i r="1">
      <x v="3034"/>
    </i>
    <i r="1">
      <x v="3388"/>
    </i>
    <i r="1">
      <x v="3599"/>
    </i>
    <i>
      <x v="161"/>
      <x v="442"/>
    </i>
    <i r="1">
      <x v="2212"/>
    </i>
    <i r="1">
      <x v="2686"/>
    </i>
    <i r="1">
      <x v="3001"/>
    </i>
    <i>
      <x v="162"/>
      <x v="112"/>
    </i>
    <i r="1">
      <x v="251"/>
    </i>
    <i r="1">
      <x v="310"/>
    </i>
    <i r="1">
      <x v="378"/>
    </i>
    <i r="1">
      <x v="463"/>
    </i>
    <i r="1">
      <x v="546"/>
    </i>
    <i r="1">
      <x v="762"/>
    </i>
    <i r="1">
      <x v="823"/>
    </i>
    <i r="1">
      <x v="939"/>
    </i>
    <i r="1">
      <x v="963"/>
    </i>
    <i r="1">
      <x v="1310"/>
    </i>
    <i r="1">
      <x v="1430"/>
    </i>
    <i r="1">
      <x v="1538"/>
    </i>
    <i r="1">
      <x v="1560"/>
    </i>
    <i r="1">
      <x v="3126"/>
    </i>
    <i r="1">
      <x v="3213"/>
    </i>
    <i r="1">
      <x v="3244"/>
    </i>
    <i r="1">
      <x v="3249"/>
    </i>
    <i>
      <x v="163"/>
      <x v="1271"/>
    </i>
    <i r="1">
      <x v="3161"/>
    </i>
    <i r="1">
      <x v="3740"/>
    </i>
    <i>
      <x v="164"/>
      <x v="485"/>
    </i>
    <i r="1">
      <x v="683"/>
    </i>
    <i r="1">
      <x v="1056"/>
    </i>
    <i r="1">
      <x v="1071"/>
    </i>
    <i r="1">
      <x v="1711"/>
    </i>
    <i r="1">
      <x v="1881"/>
    </i>
    <i r="1">
      <x v="1906"/>
    </i>
    <i r="1">
      <x v="1918"/>
    </i>
    <i>
      <x v="165"/>
      <x v="574"/>
    </i>
    <i r="1">
      <x v="1735"/>
    </i>
    <i r="1">
      <x v="1785"/>
    </i>
    <i r="1">
      <x v="3204"/>
    </i>
    <i r="1">
      <x v="3591"/>
    </i>
    <i r="1">
      <x v="4128"/>
    </i>
    <i>
      <x v="166"/>
      <x v="534"/>
    </i>
    <i r="1">
      <x v="1792"/>
    </i>
    <i r="1">
      <x v="1900"/>
    </i>
    <i r="1">
      <x v="2606"/>
    </i>
    <i r="1">
      <x v="3004"/>
    </i>
    <i r="1">
      <x v="3057"/>
    </i>
    <i>
      <x v="167"/>
      <x v="290"/>
    </i>
    <i r="1">
      <x v="583"/>
    </i>
    <i r="1">
      <x v="918"/>
    </i>
    <i r="1">
      <x v="1338"/>
    </i>
    <i r="1">
      <x v="2358"/>
    </i>
    <i r="1">
      <x v="3418"/>
    </i>
    <i r="1">
      <x v="3744"/>
    </i>
    <i r="1">
      <x v="4015"/>
    </i>
    <i r="1">
      <x v="4083"/>
    </i>
    <i>
      <x v="168"/>
      <x v="26"/>
    </i>
    <i r="1">
      <x v="34"/>
    </i>
    <i r="1">
      <x v="42"/>
    </i>
    <i r="1">
      <x v="394"/>
    </i>
    <i r="1">
      <x v="395"/>
    </i>
    <i r="1">
      <x v="717"/>
    </i>
    <i r="1">
      <x v="985"/>
    </i>
    <i r="1">
      <x v="991"/>
    </i>
    <i r="1">
      <x v="1363"/>
    </i>
    <i r="1">
      <x v="1572"/>
    </i>
    <i r="1">
      <x v="1680"/>
    </i>
    <i r="1">
      <x v="2001"/>
    </i>
    <i r="1">
      <x v="2094"/>
    </i>
    <i r="1">
      <x v="2327"/>
    </i>
    <i r="1">
      <x v="2515"/>
    </i>
    <i r="1">
      <x v="2773"/>
    </i>
    <i r="1">
      <x v="2862"/>
    </i>
    <i r="1">
      <x v="2866"/>
    </i>
    <i r="1">
      <x v="3357"/>
    </i>
    <i r="1">
      <x v="3417"/>
    </i>
    <i r="1">
      <x v="3630"/>
    </i>
    <i r="1">
      <x v="3631"/>
    </i>
    <i r="1">
      <x v="3777"/>
    </i>
    <i>
      <x v="169"/>
      <x v="484"/>
    </i>
    <i r="1">
      <x v="1755"/>
    </i>
    <i>
      <x v="170"/>
      <x v="778"/>
    </i>
    <i>
      <x v="171"/>
      <x v="1823"/>
    </i>
    <i r="1">
      <x v="3002"/>
    </i>
    <i r="1">
      <x v="3671"/>
    </i>
    <i r="1">
      <x v="4002"/>
    </i>
    <i>
      <x v="172"/>
      <x v="25"/>
    </i>
    <i r="1">
      <x v="937"/>
    </i>
    <i r="1">
      <x v="1004"/>
    </i>
    <i r="1">
      <x v="1738"/>
    </i>
    <i r="1">
      <x v="1857"/>
    </i>
    <i r="1">
      <x v="1858"/>
    </i>
    <i r="1">
      <x v="1942"/>
    </i>
    <i r="1">
      <x v="2122"/>
    </i>
    <i r="1">
      <x v="3155"/>
    </i>
    <i r="1">
      <x v="3443"/>
    </i>
    <i r="1">
      <x v="4267"/>
    </i>
    <i>
      <x v="173"/>
      <x v="502"/>
    </i>
    <i>
      <x v="174"/>
      <x v="459"/>
    </i>
    <i r="1">
      <x v="2950"/>
    </i>
    <i r="1">
      <x v="4255"/>
    </i>
    <i>
      <x v="176"/>
      <x v="474"/>
    </i>
    <i>
      <x v="177"/>
      <x v="260"/>
    </i>
    <i r="1">
      <x v="1406"/>
    </i>
    <i r="1">
      <x v="2082"/>
    </i>
    <i r="1">
      <x v="2350"/>
    </i>
    <i r="1">
      <x v="2901"/>
    </i>
    <i r="1">
      <x v="3187"/>
    </i>
    <i r="1">
      <x v="3407"/>
    </i>
    <i r="1">
      <x v="4050"/>
    </i>
    <i>
      <x v="178"/>
      <x v="346"/>
    </i>
    <i r="1">
      <x v="400"/>
    </i>
    <i r="1">
      <x v="887"/>
    </i>
    <i r="1">
      <x v="899"/>
    </i>
    <i r="1">
      <x v="1346"/>
    </i>
    <i r="1">
      <x v="1669"/>
    </i>
    <i r="1">
      <x v="1994"/>
    </i>
    <i r="1">
      <x v="2014"/>
    </i>
    <i r="1">
      <x v="2020"/>
    </i>
    <i r="1">
      <x v="2047"/>
    </i>
    <i r="1">
      <x v="2756"/>
    </i>
    <i r="1">
      <x v="2770"/>
    </i>
    <i r="1">
      <x v="3365"/>
    </i>
    <i r="1">
      <x v="3369"/>
    </i>
    <i r="1">
      <x v="3385"/>
    </i>
    <i r="1">
      <x v="3601"/>
    </i>
    <i r="1">
      <x v="3626"/>
    </i>
    <i r="1">
      <x v="4293"/>
    </i>
    <i>
      <x v="179"/>
      <x v="341"/>
    </i>
    <i r="1">
      <x v="1816"/>
    </i>
    <i r="1">
      <x v="3311"/>
    </i>
    <i>
      <x v="180"/>
      <x v="2673"/>
    </i>
    <i r="1">
      <x v="2676"/>
    </i>
    <i>
      <x v="181"/>
      <x v="1622"/>
    </i>
    <i r="1">
      <x v="3571"/>
    </i>
    <i r="1">
      <x v="3969"/>
    </i>
    <i r="1">
      <x v="3970"/>
    </i>
    <i r="1">
      <x v="3971"/>
    </i>
    <i r="1">
      <x v="3972"/>
    </i>
    <i>
      <x v="182"/>
      <x v="1826"/>
    </i>
    <i r="1">
      <x v="1853"/>
    </i>
    <i r="1">
      <x v="4001"/>
    </i>
    <i r="1">
      <x v="4106"/>
    </i>
    <i r="1">
      <x v="4186"/>
    </i>
    <i r="1">
      <x v="4195"/>
    </i>
    <i>
      <x v="183"/>
      <x v="1018"/>
    </i>
    <i r="1">
      <x v="1044"/>
    </i>
    <i r="1">
      <x v="1120"/>
    </i>
    <i r="1">
      <x v="3346"/>
    </i>
    <i r="1">
      <x v="3690"/>
    </i>
    <i>
      <x v="185"/>
      <x v="617"/>
    </i>
    <i r="1">
      <x v="624"/>
    </i>
    <i r="1">
      <x v="681"/>
    </i>
    <i r="1">
      <x v="1696"/>
    </i>
    <i r="1">
      <x v="2551"/>
    </i>
    <i r="1">
      <x v="2727"/>
    </i>
    <i r="1">
      <x v="3010"/>
    </i>
    <i r="1">
      <x v="3380"/>
    </i>
    <i r="1">
      <x v="3638"/>
    </i>
    <i>
      <x v="186"/>
      <x v="77"/>
    </i>
    <i r="1">
      <x v="79"/>
    </i>
    <i r="1">
      <x v="1083"/>
    </i>
    <i r="1">
      <x v="3182"/>
    </i>
    <i r="1">
      <x v="3696"/>
    </i>
    <i>
      <x v="188"/>
      <x/>
    </i>
    <i r="1">
      <x v="259"/>
    </i>
    <i r="1">
      <x v="739"/>
    </i>
    <i r="1">
      <x v="780"/>
    </i>
    <i r="1">
      <x v="825"/>
    </i>
    <i r="1">
      <x v="1015"/>
    </i>
    <i r="1">
      <x v="1154"/>
    </i>
    <i r="1">
      <x v="1155"/>
    </i>
    <i r="1">
      <x v="2155"/>
    </i>
    <i r="1">
      <x v="2161"/>
    </i>
    <i r="1">
      <x v="2470"/>
    </i>
    <i r="1">
      <x v="2507"/>
    </i>
    <i r="1">
      <x v="3024"/>
    </i>
    <i r="1">
      <x v="3097"/>
    </i>
    <i r="1">
      <x v="3400"/>
    </i>
    <i r="1">
      <x v="3437"/>
    </i>
    <i r="1">
      <x v="3857"/>
    </i>
    <i>
      <x v="189"/>
      <x v="349"/>
    </i>
    <i r="1">
      <x v="893"/>
    </i>
    <i r="1">
      <x v="975"/>
    </i>
    <i r="1">
      <x v="1341"/>
    </i>
    <i r="1">
      <x v="1678"/>
    </i>
    <i r="1">
      <x v="2031"/>
    </i>
    <i r="1">
      <x v="2092"/>
    </i>
    <i r="1">
      <x v="3364"/>
    </i>
    <i r="1">
      <x v="3370"/>
    </i>
    <i r="1">
      <x v="3774"/>
    </i>
    <i r="1">
      <x v="3935"/>
    </i>
    <i>
      <x v="190"/>
      <x v="1293"/>
    </i>
    <i r="1">
      <x v="1596"/>
    </i>
    <i r="1">
      <x v="1745"/>
    </i>
    <i r="1">
      <x v="2444"/>
    </i>
    <i r="1">
      <x v="3157"/>
    </i>
    <i r="1">
      <x v="3517"/>
    </i>
    <i>
      <x v="191"/>
      <x v="29"/>
    </i>
    <i r="1">
      <x v="409"/>
    </i>
    <i r="1">
      <x v="866"/>
    </i>
    <i r="1">
      <x v="878"/>
    </i>
    <i r="1">
      <x v="932"/>
    </i>
    <i r="1">
      <x v="982"/>
    </i>
    <i r="1">
      <x v="1345"/>
    </i>
    <i r="1">
      <x v="1358"/>
    </i>
    <i r="1">
      <x v="1389"/>
    </i>
    <i r="1">
      <x v="1699"/>
    </i>
    <i r="1">
      <x v="1991"/>
    </i>
    <i r="1">
      <x v="2989"/>
    </i>
    <i r="1">
      <x v="3299"/>
    </i>
    <i r="1">
      <x v="3640"/>
    </i>
    <i>
      <x v="193"/>
      <x v="1315"/>
    </i>
    <i>
      <x v="194"/>
      <x v="3450"/>
    </i>
    <i>
      <x v="195"/>
      <x v="1201"/>
    </i>
    <i r="1">
      <x v="1249"/>
    </i>
    <i r="1">
      <x v="1784"/>
    </i>
    <i r="1">
      <x v="2241"/>
    </i>
    <i r="1">
      <x v="2570"/>
    </i>
    <i r="1">
      <x v="3432"/>
    </i>
    <i>
      <x v="196"/>
      <x v="1581"/>
    </i>
    <i r="1">
      <x v="1811"/>
    </i>
    <i>
      <x v="197"/>
      <x v="66"/>
    </i>
    <i r="1">
      <x v="94"/>
    </i>
    <i r="1">
      <x v="100"/>
    </i>
    <i r="1">
      <x v="249"/>
    </i>
    <i r="1">
      <x v="596"/>
    </i>
    <i r="1">
      <x v="745"/>
    </i>
    <i r="1">
      <x v="811"/>
    </i>
    <i r="1">
      <x v="819"/>
    </i>
    <i r="1">
      <x v="1046"/>
    </i>
    <i r="1">
      <x v="1179"/>
    </i>
    <i r="1">
      <x v="1180"/>
    </i>
    <i r="1">
      <x v="2110"/>
    </i>
    <i r="1">
      <x v="2133"/>
    </i>
    <i r="1">
      <x v="2619"/>
    </i>
    <i r="1">
      <x v="3171"/>
    </i>
    <i r="1">
      <x v="3260"/>
    </i>
    <i r="1">
      <x v="3545"/>
    </i>
    <i r="1">
      <x v="3567"/>
    </i>
    <i r="1">
      <x v="3947"/>
    </i>
    <i r="1">
      <x v="4006"/>
    </i>
    <i r="1">
      <x v="4131"/>
    </i>
    <i r="1">
      <x v="4132"/>
    </i>
    <i r="1">
      <x v="4161"/>
    </i>
    <i r="1">
      <x v="4175"/>
    </i>
    <i r="1">
      <x v="4273"/>
    </i>
    <i>
      <x v="198"/>
      <x v="2172"/>
    </i>
    <i>
      <x v="199"/>
      <x v="3082"/>
    </i>
    <i>
      <x v="200"/>
      <x v="8"/>
    </i>
    <i r="1">
      <x v="358"/>
    </i>
    <i r="1">
      <x v="403"/>
    </i>
    <i r="1">
      <x v="404"/>
    </i>
    <i r="1">
      <x v="405"/>
    </i>
    <i r="1">
      <x v="556"/>
    </i>
    <i r="1">
      <x v="633"/>
    </i>
    <i r="1">
      <x v="905"/>
    </i>
    <i r="1">
      <x v="1031"/>
    </i>
    <i r="1">
      <x v="1098"/>
    </i>
    <i r="1">
      <x v="1103"/>
    </i>
    <i r="1">
      <x v="1349"/>
    </i>
    <i r="1">
      <x v="1350"/>
    </i>
    <i r="1">
      <x v="1485"/>
    </i>
    <i r="1">
      <x v="1571"/>
    </i>
    <i r="1">
      <x v="1672"/>
    </i>
    <i r="1">
      <x v="1677"/>
    </i>
    <i r="1">
      <x v="1695"/>
    </i>
    <i r="1">
      <x v="1993"/>
    </i>
    <i r="1">
      <x v="2006"/>
    </i>
    <i r="1">
      <x v="2337"/>
    </i>
    <i r="1">
      <x v="2563"/>
    </i>
    <i r="1">
      <x v="2734"/>
    </i>
    <i r="1">
      <x v="2790"/>
    </i>
    <i r="1">
      <x v="2846"/>
    </i>
    <i r="1">
      <x v="2861"/>
    </i>
    <i r="1">
      <x v="2874"/>
    </i>
    <i r="1">
      <x v="2971"/>
    </i>
    <i r="1">
      <x v="3019"/>
    </i>
    <i r="1">
      <x v="3063"/>
    </i>
    <i r="1">
      <x v="3383"/>
    </i>
    <i r="1">
      <x v="3501"/>
    </i>
    <i r="1">
      <x v="3586"/>
    </i>
    <i r="1">
      <x v="3645"/>
    </i>
    <i r="1">
      <x v="3775"/>
    </i>
    <i r="1">
      <x v="3778"/>
    </i>
    <i r="1">
      <x v="3940"/>
    </i>
    <i>
      <x v="201"/>
      <x v="284"/>
    </i>
    <i r="1">
      <x v="3973"/>
    </i>
    <i>
      <x v="202"/>
      <x v="859"/>
    </i>
    <i r="1">
      <x v="2214"/>
    </i>
    <i>
      <x v="203"/>
      <x v="135"/>
    </i>
    <i r="1">
      <x v="316"/>
    </i>
    <i r="1">
      <x v="387"/>
    </i>
    <i r="1">
      <x v="753"/>
    </i>
    <i r="1">
      <x v="834"/>
    </i>
    <i r="1">
      <x v="960"/>
    </i>
    <i r="1">
      <x v="3058"/>
    </i>
    <i r="1">
      <x v="3660"/>
    </i>
    <i>
      <x v="204"/>
      <x v="154"/>
    </i>
    <i r="1">
      <x v="1580"/>
    </i>
    <i r="1">
      <x v="3208"/>
    </i>
    <i>
      <x v="206"/>
      <x v="455"/>
    </i>
    <i>
      <x v="207"/>
      <x v="712"/>
    </i>
    <i r="1">
      <x v="815"/>
    </i>
    <i r="1">
      <x v="1016"/>
    </i>
    <i r="1">
      <x v="1230"/>
    </i>
    <i r="1">
      <x v="1241"/>
    </i>
    <i r="1">
      <x v="1476"/>
    </i>
    <i r="1">
      <x v="1733"/>
    </i>
    <i r="1">
      <x v="2160"/>
    </i>
    <i r="1">
      <x v="2296"/>
    </i>
    <i r="1">
      <x v="2408"/>
    </i>
    <i r="1">
      <x v="2897"/>
    </i>
    <i r="1">
      <x v="3780"/>
    </i>
    <i r="1">
      <x v="3800"/>
    </i>
    <i r="1">
      <x v="3806"/>
    </i>
    <i r="1">
      <x v="3819"/>
    </i>
    <i r="1">
      <x v="3942"/>
    </i>
    <i r="1">
      <x v="4042"/>
    </i>
    <i r="1">
      <x v="4104"/>
    </i>
    <i r="1">
      <x v="4121"/>
    </i>
    <i r="1">
      <x v="4122"/>
    </i>
    <i r="1">
      <x v="4142"/>
    </i>
    <i>
      <x v="208"/>
      <x v="337"/>
    </i>
    <i r="1">
      <x v="1872"/>
    </i>
    <i r="1">
      <x v="1885"/>
    </i>
    <i r="1">
      <x v="2194"/>
    </i>
    <i r="1">
      <x v="2979"/>
    </i>
    <i r="1">
      <x v="3924"/>
    </i>
    <i>
      <x v="209"/>
      <x v="57"/>
    </i>
    <i r="1">
      <x v="110"/>
    </i>
    <i r="1">
      <x v="415"/>
    </i>
    <i r="1">
      <x v="1419"/>
    </i>
    <i r="1">
      <x v="2138"/>
    </i>
    <i r="1">
      <x v="2307"/>
    </i>
    <i r="1">
      <x v="2571"/>
    </i>
    <i r="1">
      <x v="2900"/>
    </i>
    <i r="1">
      <x v="3044"/>
    </i>
    <i r="1">
      <x v="3406"/>
    </i>
    <i r="1">
      <x v="3941"/>
    </i>
    <i r="1">
      <x v="3959"/>
    </i>
    <i r="1">
      <x v="4123"/>
    </i>
    <i r="1">
      <x v="4286"/>
    </i>
    <i>
      <x v="210"/>
      <x v="311"/>
    </i>
    <i r="1">
      <x v="319"/>
    </i>
    <i r="1">
      <x v="999"/>
    </i>
    <i r="1">
      <x v="1227"/>
    </i>
    <i r="1">
      <x v="1426"/>
    </i>
    <i r="1">
      <x v="1527"/>
    </i>
    <i r="1">
      <x v="1547"/>
    </i>
    <i r="1">
      <x v="1651"/>
    </i>
    <i r="1">
      <x v="3178"/>
    </i>
    <i r="1">
      <x v="3393"/>
    </i>
    <i r="1">
      <x v="3789"/>
    </i>
    <i r="1">
      <x v="3790"/>
    </i>
    <i>
      <x v="211"/>
      <x v="969"/>
    </i>
    <i r="1">
      <x v="1864"/>
    </i>
    <i r="1">
      <x v="1866"/>
    </i>
    <i r="1">
      <x v="1922"/>
    </i>
    <i r="1">
      <x v="2643"/>
    </i>
    <i r="1">
      <x v="2892"/>
    </i>
    <i r="1">
      <x v="3590"/>
    </i>
    <i>
      <x v="212"/>
      <x v="241"/>
    </i>
    <i r="1">
      <x v="938"/>
    </i>
    <i r="1">
      <x v="1218"/>
    </i>
    <i r="1">
      <x v="1410"/>
    </i>
    <i r="1">
      <x v="1514"/>
    </i>
    <i r="1">
      <x v="1529"/>
    </i>
    <i r="1">
      <x v="2182"/>
    </i>
    <i r="1">
      <x v="2190"/>
    </i>
    <i r="1">
      <x v="2298"/>
    </i>
    <i r="1">
      <x v="2722"/>
    </i>
    <i r="1">
      <x v="3065"/>
    </i>
    <i r="1">
      <x v="3779"/>
    </i>
    <i r="1">
      <x v="3798"/>
    </i>
    <i r="1">
      <x v="3807"/>
    </i>
    <i r="1">
      <x v="3841"/>
    </i>
    <i r="1">
      <x v="3878"/>
    </i>
    <i r="1">
      <x v="4008"/>
    </i>
    <i r="1">
      <x v="4025"/>
    </i>
    <i r="1">
      <x v="4043"/>
    </i>
    <i r="1">
      <x v="4102"/>
    </i>
    <i r="1">
      <x v="4135"/>
    </i>
    <i r="1">
      <x v="4148"/>
    </i>
    <i r="1">
      <x v="4162"/>
    </i>
    <i r="1">
      <x v="4243"/>
    </i>
    <i r="1">
      <x v="4266"/>
    </i>
    <i r="1">
      <x v="4276"/>
    </i>
    <i>
      <x v="213"/>
      <x v="153"/>
    </i>
    <i r="1">
      <x v="525"/>
    </i>
    <i r="1">
      <x v="1617"/>
    </i>
    <i>
      <x v="214"/>
      <x v="533"/>
    </i>
    <i r="1">
      <x v="2079"/>
    </i>
    <i r="1">
      <x v="2706"/>
    </i>
    <i r="1">
      <x v="3773"/>
    </i>
    <i r="1">
      <x v="4298"/>
    </i>
    <i>
      <x v="215"/>
      <x v="2483"/>
    </i>
    <i r="1">
      <x v="2896"/>
    </i>
    <i r="1">
      <x v="2903"/>
    </i>
    <i r="1">
      <x v="3869"/>
    </i>
    <i r="1">
      <x v="4020"/>
    </i>
    <i r="1">
      <x v="4144"/>
    </i>
    <i>
      <x v="216"/>
      <x v="236"/>
    </i>
    <i r="1">
      <x v="688"/>
    </i>
    <i r="1">
      <x v="821"/>
    </i>
    <i r="1">
      <x v="971"/>
    </i>
    <i r="1">
      <x v="1141"/>
    </i>
    <i r="1">
      <x v="1418"/>
    </i>
    <i r="1">
      <x v="1428"/>
    </i>
    <i r="1">
      <x v="1646"/>
    </i>
    <i r="1">
      <x v="1647"/>
    </i>
    <i r="1">
      <x v="3039"/>
    </i>
    <i r="1">
      <x v="3119"/>
    </i>
    <i r="1">
      <x v="3205"/>
    </i>
    <i r="1">
      <x v="3844"/>
    </i>
    <i>
      <x v="217"/>
      <x v="185"/>
    </i>
    <i r="1">
      <x v="493"/>
    </i>
    <i r="1">
      <x v="655"/>
    </i>
    <i r="1">
      <x v="1040"/>
    </i>
    <i r="1">
      <x v="1123"/>
    </i>
    <i r="1">
      <x v="1303"/>
    </i>
    <i r="1">
      <x v="1558"/>
    </i>
    <i r="1">
      <x v="2710"/>
    </i>
    <i r="1">
      <x v="3853"/>
    </i>
    <i>
      <x v="218"/>
      <x v="662"/>
    </i>
    <i r="1">
      <x v="1069"/>
    </i>
    <i r="1">
      <x v="1270"/>
    </i>
    <i r="1">
      <x v="1545"/>
    </i>
    <i r="1">
      <x v="1935"/>
    </i>
    <i r="1">
      <x v="3821"/>
    </i>
    <i r="1">
      <x v="3826"/>
    </i>
    <i r="1">
      <x v="4168"/>
    </i>
    <i>
      <x v="219"/>
      <x v="56"/>
    </i>
    <i r="1">
      <x v="606"/>
    </i>
    <i r="1">
      <x v="784"/>
    </i>
    <i r="1">
      <x v="1114"/>
    </i>
    <i r="1">
      <x v="2223"/>
    </i>
    <i r="1">
      <x v="2513"/>
    </i>
    <i r="1">
      <x v="2533"/>
    </i>
    <i r="1">
      <x v="3030"/>
    </i>
    <i r="1">
      <x v="3256"/>
    </i>
    <i r="1">
      <x v="3689"/>
    </i>
    <i>
      <x v="220"/>
      <x v="954"/>
    </i>
    <i r="1">
      <x v="1772"/>
    </i>
    <i r="1">
      <x v="2420"/>
    </i>
    <i>
      <x v="221"/>
      <x v="315"/>
    </i>
    <i r="1">
      <x v="1635"/>
    </i>
    <i r="1">
      <x v="1805"/>
    </i>
    <i r="1">
      <x v="2195"/>
    </i>
    <i r="1">
      <x v="2207"/>
    </i>
    <i r="1">
      <x v="3191"/>
    </i>
    <i r="1">
      <x v="3326"/>
    </i>
    <i r="1">
      <x v="3683"/>
    </i>
    <i>
      <x v="222"/>
      <x v="3095"/>
    </i>
    <i r="1">
      <x v="3470"/>
    </i>
    <i>
      <x v="223"/>
      <x v="314"/>
    </i>
    <i r="1">
      <x v="651"/>
    </i>
    <i r="1">
      <x v="1510"/>
    </i>
    <i r="1">
      <x v="2534"/>
    </i>
    <i r="1">
      <x v="2695"/>
    </i>
    <i r="1">
      <x v="2696"/>
    </i>
    <i>
      <x v="224"/>
      <x v="72"/>
    </i>
    <i r="1">
      <x v="530"/>
    </i>
    <i r="1">
      <x v="1115"/>
    </i>
    <i r="1">
      <x v="1503"/>
    </i>
    <i r="1">
      <x v="1600"/>
    </i>
    <i r="1">
      <x v="1909"/>
    </i>
    <i r="1">
      <x v="2140"/>
    </i>
    <i r="1">
      <x v="2472"/>
    </i>
    <i r="1">
      <x v="3025"/>
    </i>
    <i r="1">
      <x v="3334"/>
    </i>
    <i>
      <x v="225"/>
      <x v="30"/>
    </i>
    <i r="1">
      <x v="429"/>
    </i>
    <i r="1">
      <x v="541"/>
    </i>
    <i r="1">
      <x v="807"/>
    </i>
    <i r="1">
      <x v="1326"/>
    </i>
    <i r="1">
      <x v="1863"/>
    </i>
    <i r="1">
      <x v="3184"/>
    </i>
    <i r="1">
      <x v="3754"/>
    </i>
    <i>
      <x v="226"/>
      <x v="3596"/>
    </i>
    <i>
      <x v="227"/>
      <x v="1126"/>
    </i>
    <i r="1">
      <x v="2085"/>
    </i>
    <i r="1">
      <x v="2139"/>
    </i>
    <i r="1">
      <x v="3035"/>
    </i>
    <i r="1">
      <x v="4184"/>
    </i>
    <i r="1">
      <x v="4190"/>
    </i>
    <i r="1">
      <x v="4193"/>
    </i>
    <i r="1">
      <x v="4210"/>
    </i>
    <i>
      <x v="228"/>
      <x v="86"/>
    </i>
    <i r="1">
      <x v="93"/>
    </i>
    <i r="1">
      <x v="106"/>
    </i>
    <i r="1">
      <x v="131"/>
    </i>
    <i r="1">
      <x v="261"/>
    </i>
    <i r="1">
      <x v="699"/>
    </i>
    <i r="1">
      <x v="747"/>
    </i>
    <i r="1">
      <x v="1024"/>
    </i>
    <i r="1">
      <x v="1199"/>
    </i>
    <i r="1">
      <x v="1243"/>
    </i>
    <i r="1">
      <x v="1309"/>
    </i>
    <i r="1">
      <x v="1468"/>
    </i>
    <i r="1">
      <x v="1472"/>
    </i>
    <i r="1">
      <x v="1517"/>
    </i>
    <i r="1">
      <x v="1532"/>
    </i>
    <i r="1">
      <x v="1652"/>
    </i>
    <i r="1">
      <x v="2084"/>
    </i>
    <i r="1">
      <x v="2115"/>
    </i>
    <i r="1">
      <x v="2432"/>
    </i>
    <i r="1">
      <x v="2463"/>
    </i>
    <i r="1">
      <x v="2497"/>
    </i>
    <i r="1">
      <x v="2503"/>
    </i>
    <i r="1">
      <x v="2580"/>
    </i>
    <i r="1">
      <x v="2841"/>
    </i>
    <i r="1">
      <x v="3395"/>
    </i>
    <i r="1">
      <x v="3404"/>
    </i>
    <i r="1">
      <x v="3411"/>
    </i>
    <i r="1">
      <x v="3950"/>
    </i>
    <i r="1">
      <x v="3956"/>
    </i>
    <i>
      <x v="229"/>
      <x v="88"/>
    </i>
    <i r="1">
      <x v="252"/>
    </i>
    <i r="1">
      <x v="585"/>
    </i>
    <i r="1">
      <x v="667"/>
    </i>
    <i r="1">
      <x v="692"/>
    </i>
    <i r="1">
      <x v="702"/>
    </i>
    <i r="1">
      <x v="1017"/>
    </i>
    <i r="1">
      <x v="1045"/>
    </i>
    <i r="1">
      <x v="1061"/>
    </i>
    <i r="1">
      <x v="1329"/>
    </i>
    <i r="1">
      <x v="1416"/>
    </i>
    <i r="1">
      <x v="1471"/>
    </i>
    <i r="1">
      <x v="2152"/>
    </i>
    <i r="1">
      <x v="2185"/>
    </i>
    <i r="1">
      <x v="2189"/>
    </i>
    <i r="1">
      <x v="2435"/>
    </i>
    <i r="1">
      <x v="2440"/>
    </i>
    <i r="1">
      <x v="2907"/>
    </i>
    <i r="1">
      <x v="3335"/>
    </i>
    <i r="1">
      <x v="3694"/>
    </i>
    <i>
      <x v="230"/>
      <x v="141"/>
    </i>
    <i r="1">
      <x v="345"/>
    </i>
    <i r="1">
      <x v="500"/>
    </i>
    <i r="1">
      <x v="506"/>
    </i>
    <i r="1">
      <x v="564"/>
    </i>
    <i r="1">
      <x v="610"/>
    </i>
    <i r="1">
      <x v="614"/>
    </i>
    <i r="1">
      <x v="684"/>
    </i>
    <i r="1">
      <x v="715"/>
    </i>
    <i r="1">
      <x v="836"/>
    </i>
    <i r="1">
      <x v="857"/>
    </i>
    <i r="1">
      <x v="862"/>
    </i>
    <i r="1">
      <x v="1022"/>
    </i>
    <i r="1">
      <x v="1089"/>
    </i>
    <i r="1">
      <x v="1287"/>
    </i>
    <i r="1">
      <x v="1584"/>
    </i>
    <i r="1">
      <x v="1760"/>
    </i>
    <i r="1">
      <x v="1820"/>
    </i>
    <i r="1">
      <x v="1827"/>
    </i>
    <i r="1">
      <x v="1954"/>
    </i>
    <i r="1">
      <x v="1967"/>
    </i>
    <i r="1">
      <x v="2017"/>
    </i>
    <i r="1">
      <x v="2168"/>
    </i>
    <i r="1">
      <x v="2216"/>
    </i>
    <i r="1">
      <x v="2447"/>
    </i>
    <i r="1">
      <x v="2512"/>
    </i>
    <i r="1">
      <x v="2644"/>
    </i>
    <i r="1">
      <x v="2648"/>
    </i>
    <i r="1">
      <x v="2795"/>
    </i>
    <i r="1">
      <x v="2837"/>
    </i>
    <i r="1">
      <x v="3056"/>
    </i>
    <i r="1">
      <x v="3294"/>
    </i>
    <i r="1">
      <x v="3730"/>
    </i>
    <i r="1">
      <x v="3900"/>
    </i>
    <i r="1">
      <x v="4147"/>
    </i>
    <i r="1">
      <x v="4244"/>
    </i>
    <i r="1">
      <x v="4279"/>
    </i>
    <i r="1">
      <x v="4281"/>
    </i>
    <i r="1">
      <x v="4304"/>
    </i>
    <i>
      <x v="232"/>
      <x v="1398"/>
    </i>
    <i r="1">
      <x v="1778"/>
    </i>
    <i r="1">
      <x v="2234"/>
    </i>
    <i r="1">
      <x v="2845"/>
    </i>
    <i>
      <x v="233"/>
      <x v="464"/>
    </i>
    <i r="1">
      <x v="3321"/>
    </i>
    <i>
      <x v="234"/>
      <x v="1027"/>
    </i>
    <i r="1">
      <x v="1181"/>
    </i>
    <i r="1">
      <x v="1459"/>
    </i>
    <i r="1">
      <x v="1541"/>
    </i>
    <i r="1">
      <x v="1576"/>
    </i>
    <i r="1">
      <x v="2329"/>
    </i>
    <i r="1">
      <x v="2404"/>
    </i>
    <i r="1">
      <x v="2581"/>
    </i>
    <i r="1">
      <x v="3123"/>
    </i>
    <i r="1">
      <x v="3609"/>
    </i>
    <i r="1">
      <x v="3616"/>
    </i>
    <i r="1">
      <x v="4076"/>
    </i>
    <i r="1">
      <x v="4167"/>
    </i>
    <i>
      <x v="236"/>
      <x v="33"/>
    </i>
    <i r="1">
      <x v="660"/>
    </i>
    <i r="1">
      <x v="1177"/>
    </i>
    <i r="1">
      <x v="1631"/>
    </i>
    <i r="1">
      <x v="2331"/>
    </i>
    <i r="1">
      <x v="2596"/>
    </i>
    <i r="1">
      <x v="2812"/>
    </i>
    <i r="1">
      <x v="2817"/>
    </i>
    <i r="1">
      <x v="2968"/>
    </i>
    <i r="1">
      <x v="3534"/>
    </i>
    <i>
      <x v="237"/>
      <x v="19"/>
    </i>
    <i r="1">
      <x v="97"/>
    </i>
    <i r="1">
      <x v="247"/>
    </i>
    <i r="1">
      <x v="737"/>
    </i>
    <i r="1">
      <x v="2292"/>
    </i>
    <i r="1">
      <x v="2433"/>
    </i>
    <i r="1">
      <x v="2895"/>
    </i>
    <i r="1">
      <x v="3410"/>
    </i>
    <i>
      <x v="238"/>
      <x v="711"/>
    </i>
    <i r="1">
      <x v="1720"/>
    </i>
    <i r="1">
      <x v="2233"/>
    </i>
    <i r="1">
      <x v="2529"/>
    </i>
    <i r="1">
      <x v="3473"/>
    </i>
    <i r="1">
      <x v="3477"/>
    </i>
    <i>
      <x v="239"/>
      <x v="28"/>
    </i>
    <i r="1">
      <x v="118"/>
    </i>
    <i r="1">
      <x v="318"/>
    </i>
    <i r="1">
      <x v="764"/>
    </i>
    <i r="1">
      <x v="801"/>
    </i>
    <i r="1">
      <x v="1235"/>
    </i>
    <i r="1">
      <x v="1835"/>
    </i>
    <i r="1">
      <x v="2462"/>
    </i>
    <i r="1">
      <x v="4032"/>
    </i>
    <i>
      <x v="240"/>
      <x v="514"/>
    </i>
    <i r="1">
      <x v="1187"/>
    </i>
    <i r="1">
      <x v="1262"/>
    </i>
    <i>
      <x v="242"/>
      <x v="71"/>
    </i>
    <i r="1">
      <x v="95"/>
    </i>
    <i r="1">
      <x v="238"/>
    </i>
    <i r="1">
      <x v="654"/>
    </i>
    <i r="1">
      <x v="703"/>
    </i>
    <i r="1">
      <x v="1411"/>
    </i>
    <i r="1">
      <x v="1443"/>
    </i>
    <i r="1">
      <x v="2086"/>
    </i>
    <i r="1">
      <x v="2097"/>
    </i>
    <i r="1">
      <x v="2306"/>
    </i>
    <i r="1">
      <x v="3589"/>
    </i>
    <i r="1">
      <x v="3781"/>
    </i>
    <i r="1">
      <x v="3801"/>
    </i>
    <i r="1">
      <x v="4023"/>
    </i>
    <i r="1">
      <x v="4284"/>
    </i>
    <i>
      <x v="243"/>
      <x v="91"/>
    </i>
    <i r="1">
      <x v="123"/>
    </i>
    <i r="1">
      <x v="125"/>
    </i>
    <i r="1">
      <x v="130"/>
    </i>
    <i r="1">
      <x v="391"/>
    </i>
    <i r="1">
      <x v="706"/>
    </i>
    <i r="1">
      <x v="738"/>
    </i>
    <i r="1">
      <x v="783"/>
    </i>
    <i r="1">
      <x v="817"/>
    </i>
    <i r="1">
      <x v="1012"/>
    </i>
    <i r="1">
      <x v="1047"/>
    </i>
    <i r="1">
      <x v="1048"/>
    </i>
    <i r="1">
      <x v="1055"/>
    </i>
    <i r="1">
      <x v="1211"/>
    </i>
    <i r="1">
      <x v="1222"/>
    </i>
    <i r="1">
      <x v="1244"/>
    </i>
    <i r="1">
      <x v="1409"/>
    </i>
    <i r="1">
      <x v="2107"/>
    </i>
    <i r="1">
      <x v="2121"/>
    </i>
    <i r="1">
      <x v="2621"/>
    </i>
    <i r="1">
      <x v="2704"/>
    </i>
    <i r="1">
      <x v="2711"/>
    </i>
    <i r="1">
      <x v="3026"/>
    </i>
    <i r="1">
      <x v="3029"/>
    </i>
    <i r="1">
      <x v="3120"/>
    </i>
    <i r="1">
      <x v="3176"/>
    </i>
    <i r="1">
      <x v="3225"/>
    </i>
    <i r="1">
      <x v="3263"/>
    </i>
    <i r="1">
      <x v="3313"/>
    </i>
    <i r="1">
      <x v="3340"/>
    </i>
    <i r="1">
      <x v="3415"/>
    </i>
    <i r="1">
      <x v="3542"/>
    </i>
    <i r="1">
      <x v="3951"/>
    </i>
    <i r="1">
      <x v="4045"/>
    </i>
    <i r="1">
      <x v="4089"/>
    </i>
    <i r="1">
      <x v="4124"/>
    </i>
    <i r="1">
      <x v="4155"/>
    </i>
    <i r="1">
      <x v="4305"/>
    </i>
    <i r="1">
      <x v="4306"/>
    </i>
    <i>
      <x v="244"/>
      <x v="381"/>
    </i>
    <i r="1">
      <x v="446"/>
    </i>
    <i r="1">
      <x v="447"/>
    </i>
    <i r="1">
      <x v="498"/>
    </i>
    <i r="1">
      <x v="805"/>
    </i>
    <i r="1">
      <x v="1272"/>
    </i>
    <i r="1">
      <x v="1285"/>
    </i>
    <i r="1">
      <x v="1763"/>
    </i>
    <i r="1">
      <x v="1770"/>
    </i>
    <i r="1">
      <x v="1912"/>
    </i>
    <i r="1">
      <x v="2538"/>
    </i>
    <i r="1">
      <x v="2833"/>
    </i>
    <i r="1">
      <x v="3015"/>
    </i>
    <i r="1">
      <x v="3051"/>
    </i>
    <i r="1">
      <x v="3221"/>
    </i>
    <i r="1">
      <x v="3508"/>
    </i>
    <i r="1">
      <x v="3718"/>
    </i>
    <i r="1">
      <x v="4248"/>
    </i>
    <i>
      <x v="245"/>
      <x v="1257"/>
    </i>
    <i r="1">
      <x v="1752"/>
    </i>
    <i r="1">
      <x v="2344"/>
    </i>
    <i r="1">
      <x v="2593"/>
    </i>
    <i>
      <x v="246"/>
      <x v="78"/>
    </i>
    <i r="1">
      <x v="1178"/>
    </i>
    <i r="1">
      <x v="1185"/>
    </i>
    <i r="1">
      <x v="2282"/>
    </i>
    <i r="1">
      <x v="3170"/>
    </i>
    <i>
      <x v="247"/>
      <x v="208"/>
    </i>
    <i r="1">
      <x v="888"/>
    </i>
    <i r="1">
      <x v="1209"/>
    </i>
    <i r="1">
      <x v="1480"/>
    </i>
    <i r="1">
      <x v="1501"/>
    </i>
    <i r="1">
      <x v="1690"/>
    </i>
    <i r="1">
      <x v="1834"/>
    </i>
    <i r="1">
      <x v="2336"/>
    </i>
    <i r="1">
      <x v="2738"/>
    </i>
    <i r="1">
      <x v="2739"/>
    </i>
    <i r="1">
      <x v="2769"/>
    </i>
    <i r="1">
      <x v="2780"/>
    </i>
    <i r="1">
      <x v="2856"/>
    </i>
    <i r="1">
      <x v="3017"/>
    </i>
    <i r="1">
      <x v="3271"/>
    </i>
    <i r="1">
      <x v="3458"/>
    </i>
    <i>
      <x v="248"/>
      <x v="3723"/>
    </i>
    <i>
      <x v="249"/>
      <x v="317"/>
    </i>
    <i r="1">
      <x v="1023"/>
    </i>
    <i r="1">
      <x v="1075"/>
    </i>
    <i r="1">
      <x v="1117"/>
    </i>
    <i r="1">
      <x v="1637"/>
    </i>
    <i r="1">
      <x v="1775"/>
    </i>
    <i r="1">
      <x v="2502"/>
    </i>
    <i r="1">
      <x v="2893"/>
    </i>
    <i r="1">
      <x v="2964"/>
    </i>
    <i r="1">
      <x v="2965"/>
    </i>
    <i r="1">
      <x v="2980"/>
    </i>
    <i r="1">
      <x v="3192"/>
    </i>
    <i r="1">
      <x v="3324"/>
    </i>
    <i>
      <x v="251"/>
      <x v="1960"/>
    </i>
    <i r="1">
      <x v="3549"/>
    </i>
    <i>
      <x v="252"/>
      <x v="108"/>
    </i>
    <i r="1">
      <x v="133"/>
    </i>
    <i r="1">
      <x v="940"/>
    </i>
    <i r="1">
      <x v="961"/>
    </i>
    <i r="1">
      <x v="1042"/>
    </i>
    <i r="1">
      <x v="2904"/>
    </i>
    <i r="1">
      <x v="3177"/>
    </i>
    <i r="1">
      <x v="3344"/>
    </i>
    <i r="1">
      <x v="4019"/>
    </i>
    <i>
      <x v="253"/>
      <x v="561"/>
    </i>
    <i r="1">
      <x v="894"/>
    </i>
    <i r="1">
      <x v="959"/>
    </i>
    <i r="1">
      <x v="984"/>
    </i>
    <i r="1">
      <x v="1195"/>
    </i>
    <i r="1">
      <x v="1282"/>
    </i>
    <i r="1">
      <x v="2105"/>
    </i>
    <i r="1">
      <x v="2129"/>
    </i>
    <i r="1">
      <x v="2798"/>
    </i>
    <i r="1">
      <x v="3932"/>
    </i>
    <i>
      <x v="254"/>
      <x v="49"/>
    </i>
    <i r="1">
      <x v="385"/>
    </i>
    <i r="1">
      <x v="392"/>
    </i>
    <i r="1">
      <x v="426"/>
    </i>
    <i r="1">
      <x v="448"/>
    </i>
    <i r="1">
      <x v="462"/>
    </i>
    <i r="1">
      <x v="550"/>
    </i>
    <i r="1">
      <x v="612"/>
    </i>
    <i r="1">
      <x v="613"/>
    </i>
    <i r="1">
      <x v="615"/>
    </i>
    <i r="1">
      <x v="766"/>
    </i>
    <i r="1">
      <x v="835"/>
    </i>
    <i r="1">
      <x v="841"/>
    </i>
    <i r="1">
      <x v="845"/>
    </i>
    <i r="1">
      <x v="950"/>
    </i>
    <i r="1">
      <x v="1057"/>
    </i>
    <i r="1">
      <x v="1086"/>
    </i>
    <i r="1">
      <x v="1147"/>
    </i>
    <i r="1">
      <x v="1151"/>
    </i>
    <i r="1">
      <x v="1323"/>
    </i>
    <i r="1">
      <x v="1712"/>
    </i>
    <i r="1">
      <x v="1729"/>
    </i>
    <i r="1">
      <x v="1819"/>
    </i>
    <i r="1">
      <x v="1828"/>
    </i>
    <i r="1">
      <x v="1898"/>
    </i>
    <i r="1">
      <x v="1980"/>
    </i>
    <i r="1">
      <x v="2169"/>
    </i>
    <i r="1">
      <x v="2211"/>
    </i>
    <i r="1">
      <x v="2525"/>
    </i>
    <i r="1">
      <x v="2629"/>
    </i>
    <i r="1">
      <x v="2633"/>
    </i>
    <i r="1">
      <x v="2820"/>
    </i>
    <i r="1">
      <x v="2969"/>
    </i>
    <i r="1">
      <x v="3076"/>
    </i>
    <i r="1">
      <x v="3089"/>
    </i>
    <i r="1">
      <x v="3104"/>
    </i>
    <i r="1">
      <x v="3226"/>
    </i>
    <i r="1">
      <x v="3322"/>
    </i>
    <i r="1">
      <x v="3463"/>
    </i>
    <i r="1">
      <x v="3474"/>
    </i>
    <i r="1">
      <x v="3475"/>
    </i>
    <i r="1">
      <x v="3686"/>
    </i>
    <i r="1">
      <x v="3700"/>
    </i>
    <i r="1">
      <x v="3741"/>
    </i>
    <i r="1">
      <x v="3743"/>
    </i>
    <i r="1">
      <x v="3894"/>
    </i>
    <i r="1">
      <x v="3895"/>
    </i>
    <i>
      <x v="255"/>
      <x v="211"/>
    </i>
    <i r="1">
      <x v="1289"/>
    </i>
    <i r="1">
      <x v="1976"/>
    </i>
    <i r="1">
      <x v="3350"/>
    </i>
    <i r="1">
      <x v="3588"/>
    </i>
    <i>
      <x v="256"/>
      <x v="789"/>
    </i>
    <i r="1">
      <x v="2726"/>
    </i>
    <i r="1">
      <x v="3193"/>
    </i>
    <i r="1">
      <x v="3537"/>
    </i>
    <i r="1">
      <x v="4031"/>
    </i>
    <i r="1">
      <x v="4051"/>
    </i>
    <i>
      <x v="257"/>
      <x v="3137"/>
    </i>
    <i>
      <x v="258"/>
      <x v="3581"/>
    </i>
    <i>
      <x v="259"/>
      <x v="1432"/>
    </i>
    <i r="1">
      <x v="2349"/>
    </i>
    <i>
      <x v="260"/>
      <x v="147"/>
    </i>
    <i r="1">
      <x v="196"/>
    </i>
    <i r="1">
      <x v="225"/>
    </i>
    <i r="1">
      <x v="269"/>
    </i>
    <i r="1">
      <x v="305"/>
    </i>
    <i r="1">
      <x v="470"/>
    </i>
    <i r="1">
      <x v="604"/>
    </i>
    <i r="1">
      <x v="758"/>
    </i>
    <i r="1">
      <x v="1112"/>
    </i>
    <i r="1">
      <x v="1164"/>
    </i>
    <i r="1">
      <x v="1193"/>
    </i>
    <i r="1">
      <x v="1203"/>
    </i>
    <i r="1">
      <x v="1614"/>
    </i>
    <i r="1">
      <x v="1779"/>
    </i>
    <i r="1">
      <x v="1800"/>
    </i>
    <i r="1">
      <x v="1977"/>
    </i>
    <i r="1">
      <x v="2051"/>
    </i>
    <i r="1">
      <x v="2222"/>
    </i>
    <i r="1">
      <x v="2256"/>
    </i>
    <i r="1">
      <x v="2257"/>
    </i>
    <i r="1">
      <x v="2262"/>
    </i>
    <i r="1">
      <x v="2323"/>
    </i>
    <i r="1">
      <x v="2335"/>
    </i>
    <i r="1">
      <x v="2469"/>
    </i>
    <i r="1">
      <x v="2544"/>
    </i>
    <i r="1">
      <x v="2707"/>
    </i>
    <i r="1">
      <x v="2709"/>
    </i>
    <i r="1">
      <x v="2914"/>
    </i>
    <i r="1">
      <x v="3020"/>
    </i>
    <i r="1">
      <x v="3074"/>
    </i>
    <i r="1">
      <x v="3101"/>
    </i>
    <i r="1">
      <x v="3466"/>
    </i>
    <i r="1">
      <x v="3518"/>
    </i>
    <i r="1">
      <x v="3552"/>
    </i>
    <i r="1">
      <x v="3711"/>
    </i>
    <i r="1">
      <x v="3772"/>
    </i>
    <i r="1">
      <x v="3929"/>
    </i>
    <i>
      <x v="261"/>
      <x v="457"/>
    </i>
    <i>
      <x v="263"/>
      <x v="83"/>
    </i>
    <i>
      <x v="265"/>
      <x v="1020"/>
    </i>
    <i r="1">
      <x v="1542"/>
    </i>
    <i r="1">
      <x v="2183"/>
    </i>
    <i r="1">
      <x v="2425"/>
    </i>
    <i r="1">
      <x v="3413"/>
    </i>
    <i>
      <x v="266"/>
      <x v="122"/>
    </i>
    <i r="1">
      <x v="856"/>
    </i>
    <i r="1">
      <x v="1078"/>
    </i>
    <i r="1">
      <x v="1440"/>
    </i>
    <i r="1">
      <x v="1540"/>
    </i>
    <i r="1">
      <x v="1741"/>
    </i>
    <i r="1">
      <x v="2113"/>
    </i>
    <i r="1">
      <x v="2238"/>
    </i>
    <i r="1">
      <x v="2285"/>
    </i>
    <i r="1">
      <x v="2308"/>
    </i>
    <i r="1">
      <x v="2348"/>
    </i>
    <i r="1">
      <x v="2530"/>
    </i>
    <i r="1">
      <x v="2935"/>
    </i>
    <i r="1">
      <x v="2940"/>
    </i>
    <i r="1">
      <x v="3122"/>
    </i>
    <i r="1">
      <x v="3341"/>
    </i>
    <i r="1">
      <x v="3345"/>
    </i>
    <i r="1">
      <x v="3416"/>
    </i>
    <i r="1">
      <x v="3615"/>
    </i>
    <i>
      <x v="267"/>
      <x v="1773"/>
    </i>
    <i>
      <x v="268"/>
      <x v="700"/>
    </i>
    <i r="1">
      <x v="1137"/>
    </i>
    <i r="1">
      <x v="1140"/>
    </i>
    <i r="1">
      <x v="1518"/>
    </i>
    <i r="1">
      <x v="2112"/>
    </i>
    <i r="1">
      <x v="3066"/>
    </i>
    <i r="1">
      <x v="3245"/>
    </i>
    <i r="1">
      <x v="4288"/>
    </i>
    <i>
      <x v="269"/>
      <x v="416"/>
    </i>
    <i r="1">
      <x v="495"/>
    </i>
    <i r="1">
      <x v="563"/>
    </i>
    <i r="1">
      <x v="1067"/>
    </i>
    <i r="1">
      <x v="2232"/>
    </i>
    <i r="1">
      <x v="2442"/>
    </i>
    <i r="1">
      <x v="2521"/>
    </i>
    <i r="1">
      <x v="2720"/>
    </i>
    <i r="1">
      <x v="2800"/>
    </i>
    <i r="1">
      <x v="3201"/>
    </i>
    <i r="1">
      <x v="3202"/>
    </i>
    <i r="1">
      <x v="3550"/>
    </i>
    <i r="1">
      <x v="3577"/>
    </i>
    <i r="1">
      <x v="3618"/>
    </i>
    <i r="1">
      <x v="4280"/>
    </i>
    <i>
      <x v="270"/>
      <x v="27"/>
    </i>
    <i r="1">
      <x v="376"/>
    </i>
    <i r="1">
      <x v="536"/>
    </i>
    <i r="1">
      <x v="942"/>
    </i>
    <i r="1">
      <x v="968"/>
    </i>
    <i r="1">
      <x v="1217"/>
    </i>
    <i r="1">
      <x v="1458"/>
    </i>
    <i r="1">
      <x v="2342"/>
    </i>
    <i r="1">
      <x v="2498"/>
    </i>
    <i r="1">
      <x v="2920"/>
    </i>
    <i>
      <x v="271"/>
      <x v="1642"/>
    </i>
    <i>
      <x v="272"/>
      <x v="513"/>
    </i>
    <i r="1">
      <x v="1893"/>
    </i>
    <i r="1">
      <x v="2401"/>
    </i>
    <i r="1">
      <x v="2478"/>
    </i>
    <i r="1">
      <x v="3188"/>
    </i>
    <i r="1">
      <x v="4070"/>
    </i>
    <i r="1">
      <x v="4071"/>
    </i>
    <i r="1">
      <x v="4081"/>
    </i>
    <i r="1">
      <x v="4291"/>
    </i>
    <i>
      <x v="273"/>
      <x v="1269"/>
    </i>
    <i r="1">
      <x v="2260"/>
    </i>
    <i>
      <x v="274"/>
      <x v="1108"/>
    </i>
    <i r="1">
      <x v="1899"/>
    </i>
    <i r="1">
      <x v="1957"/>
    </i>
    <i r="1">
      <x v="2731"/>
    </i>
    <i r="1">
      <x v="2917"/>
    </i>
    <i r="1">
      <x v="3449"/>
    </i>
    <i>
      <x v="275"/>
      <x v="87"/>
    </i>
    <i r="1">
      <x v="172"/>
    </i>
    <i r="1">
      <x v="253"/>
    </i>
    <i r="1">
      <x v="297"/>
    </i>
    <i r="1">
      <x v="929"/>
    </i>
    <i r="1">
      <x v="962"/>
    </i>
    <i r="1">
      <x v="1050"/>
    </i>
    <i r="1">
      <x v="1186"/>
    </i>
    <i r="1">
      <x v="1223"/>
    </i>
    <i r="1">
      <x v="1526"/>
    </i>
    <i r="1">
      <x v="2393"/>
    </i>
    <i r="1">
      <x v="2456"/>
    </i>
    <i r="1">
      <x v="2475"/>
    </i>
    <i r="1">
      <x v="2703"/>
    </i>
    <i r="1">
      <x v="3289"/>
    </i>
    <i r="1">
      <x v="3833"/>
    </i>
    <i r="1">
      <x v="4289"/>
    </i>
    <i r="1">
      <x v="4290"/>
    </i>
    <i r="1">
      <x v="4295"/>
    </i>
    <i>
      <x v="276"/>
      <x v="740"/>
    </i>
    <i r="1">
      <x v="1142"/>
    </i>
    <i r="1">
      <x v="1188"/>
    </i>
    <i r="1">
      <x v="1307"/>
    </i>
    <i r="1">
      <x v="1328"/>
    </i>
    <i r="1">
      <x v="2131"/>
    </i>
    <i r="1">
      <x v="2573"/>
    </i>
    <i r="1">
      <x v="2919"/>
    </i>
    <i r="1">
      <x v="3022"/>
    </i>
    <i r="1">
      <x v="3128"/>
    </i>
    <i r="1">
      <x v="3399"/>
    </i>
    <i r="1">
      <x v="3820"/>
    </i>
    <i r="1">
      <x v="4103"/>
    </i>
    <i>
      <x v="277"/>
      <x v="379"/>
    </i>
    <i>
      <x v="278"/>
      <x v="84"/>
    </i>
    <i r="1">
      <x v="98"/>
    </i>
    <i r="1">
      <x v="144"/>
    </i>
    <i r="1">
      <x v="246"/>
    </i>
    <i r="1">
      <x v="589"/>
    </i>
    <i r="1">
      <x v="1213"/>
    </i>
    <i r="1">
      <x v="2111"/>
    </i>
    <i r="1">
      <x v="2136"/>
    </i>
    <i r="1">
      <x v="2265"/>
    </i>
    <i r="1">
      <x v="2908"/>
    </i>
    <i>
      <x v="279"/>
      <x v="2288"/>
    </i>
    <i>
      <x v="280"/>
      <x v="2519"/>
    </i>
    <i r="1">
      <x v="2863"/>
    </i>
    <i r="1">
      <x v="3931"/>
    </i>
    <i r="1">
      <x v="3933"/>
    </i>
    <i r="1">
      <x v="3949"/>
    </i>
    <i r="1">
      <x v="4297"/>
    </i>
    <i>
      <x v="281"/>
      <x v="1523"/>
    </i>
    <i r="1">
      <x v="2106"/>
    </i>
    <i r="1">
      <x v="2267"/>
    </i>
    <i r="1">
      <x v="3028"/>
    </i>
    <i r="1">
      <x v="3865"/>
    </i>
    <i r="1">
      <x v="3875"/>
    </i>
    <i>
      <x v="282"/>
      <x v="69"/>
    </i>
    <i r="1">
      <x v="532"/>
    </i>
    <i r="1">
      <x v="727"/>
    </i>
    <i r="1">
      <x v="1609"/>
    </i>
    <i r="1">
      <x v="1869"/>
    </i>
    <i r="1">
      <x v="1903"/>
    </i>
    <i r="1">
      <x v="2250"/>
    </i>
    <i r="1">
      <x v="2416"/>
    </i>
    <i r="1">
      <x v="3109"/>
    </i>
    <i r="1">
      <x v="3922"/>
    </i>
    <i>
      <x v="283"/>
      <x v="117"/>
    </i>
    <i r="1">
      <x v="1200"/>
    </i>
    <i r="1">
      <x v="1225"/>
    </i>
    <i r="1">
      <x v="1442"/>
    </i>
    <i r="1">
      <x v="1457"/>
    </i>
    <i r="1">
      <x v="1534"/>
    </i>
    <i r="1">
      <x v="2089"/>
    </i>
    <i r="1">
      <x v="2151"/>
    </i>
    <i r="1">
      <x v="2289"/>
    </i>
    <i r="1">
      <x v="2294"/>
    </i>
    <i r="1">
      <x v="3040"/>
    </i>
    <i r="1">
      <x v="3072"/>
    </i>
    <i r="1">
      <x v="3116"/>
    </i>
    <i r="1">
      <x v="3852"/>
    </i>
    <i r="1">
      <x v="3866"/>
    </i>
    <i>
      <x v="284"/>
      <x v="338"/>
    </i>
    <i r="1">
      <x v="3838"/>
    </i>
    <i r="1">
      <x v="3944"/>
    </i>
    <i>
      <x v="285"/>
      <x v="242"/>
    </i>
    <i r="1">
      <x v="2473"/>
    </i>
    <i r="1">
      <x v="2888"/>
    </i>
    <i r="1">
      <x v="4027"/>
    </i>
    <i r="1">
      <x v="4094"/>
    </i>
    <i r="1">
      <x v="4095"/>
    </i>
    <i r="1">
      <x v="4176"/>
    </i>
    <i r="1">
      <x v="4177"/>
    </i>
    <i r="1">
      <x v="4240"/>
    </i>
    <i>
      <x v="286"/>
      <x v="668"/>
    </i>
    <i r="1">
      <x v="794"/>
    </i>
    <i r="1">
      <x v="1049"/>
    </i>
    <i r="1">
      <x v="1284"/>
    </i>
    <i r="1">
      <x v="2101"/>
    </i>
    <i r="1">
      <x v="2177"/>
    </i>
    <i r="1">
      <x v="2178"/>
    </i>
    <i r="1">
      <x v="3433"/>
    </i>
    <i r="1">
      <x v="4021"/>
    </i>
    <i r="1">
      <x v="4046"/>
    </i>
    <i r="1">
      <x v="4053"/>
    </i>
    <i r="1">
      <x v="4218"/>
    </i>
    <i>
      <x v="287"/>
      <x v="582"/>
    </i>
    <i>
      <x v="288"/>
      <x v="300"/>
    </i>
    <i r="1">
      <x v="1435"/>
    </i>
    <i r="1">
      <x v="1727"/>
    </i>
    <i r="1">
      <x v="2130"/>
    </i>
    <i r="1">
      <x v="2162"/>
    </i>
    <i r="1">
      <x v="2925"/>
    </i>
    <i r="1">
      <x v="3173"/>
    </i>
    <i r="1">
      <x v="3672"/>
    </i>
    <i r="1">
      <x v="3837"/>
    </i>
    <i r="1">
      <x v="3840"/>
    </i>
    <i>
      <x v="289"/>
      <x v="64"/>
    </i>
    <i r="1">
      <x v="101"/>
    </i>
    <i r="1">
      <x v="1157"/>
    </i>
    <i r="1">
      <x v="2120"/>
    </i>
    <i r="1">
      <x v="2146"/>
    </i>
    <i r="1">
      <x v="2427"/>
    </i>
    <i r="1">
      <x v="3175"/>
    </i>
    <i r="1">
      <x v="4225"/>
    </i>
    <i>
      <x v="290"/>
      <x v="263"/>
    </i>
    <i r="1">
      <x v="451"/>
    </i>
    <i r="1">
      <x v="1084"/>
    </i>
    <i r="1">
      <x v="1107"/>
    </i>
    <i r="1">
      <x v="1153"/>
    </i>
    <i r="1">
      <x v="1434"/>
    </i>
    <i r="1">
      <x v="1550"/>
    </i>
    <i r="1">
      <x v="2922"/>
    </i>
    <i r="1">
      <x v="3390"/>
    </i>
    <i>
      <x v="291"/>
      <x v="1833"/>
    </i>
    <i r="1">
      <x v="2398"/>
    </i>
    <i r="1">
      <x v="2517"/>
    </i>
    <i r="1">
      <x v="2954"/>
    </i>
    <i r="1">
      <x v="2995"/>
    </i>
    <i r="1">
      <x v="3398"/>
    </i>
    <i>
      <x v="292"/>
      <x v="2326"/>
    </i>
    <i r="1">
      <x v="3215"/>
    </i>
    <i>
      <x v="293"/>
      <x v="9"/>
    </i>
    <i r="1">
      <x v="156"/>
    </i>
    <i r="1">
      <x v="558"/>
    </i>
    <i r="1">
      <x v="914"/>
    </i>
    <i r="1">
      <x v="1351"/>
    </i>
    <i r="1">
      <x v="1378"/>
    </i>
    <i r="1">
      <x v="1686"/>
    </i>
    <i r="1">
      <x v="1979"/>
    </i>
    <i r="1">
      <x v="1999"/>
    </i>
    <i r="1">
      <x v="2613"/>
    </i>
    <i r="1">
      <x v="2729"/>
    </i>
    <i r="1">
      <x v="2786"/>
    </i>
    <i r="1">
      <x v="2791"/>
    </i>
    <i r="1">
      <x v="2872"/>
    </i>
    <i>
      <x v="294"/>
      <x v="139"/>
    </i>
    <i r="1">
      <x v="2075"/>
    </i>
    <i r="1">
      <x v="2370"/>
    </i>
    <i>
      <x v="295"/>
      <x v="422"/>
    </i>
    <i r="1">
      <x v="731"/>
    </i>
    <i r="1">
      <x v="1291"/>
    </i>
    <i r="1">
      <x v="1978"/>
    </i>
    <i r="1">
      <x v="2352"/>
    </i>
    <i r="1">
      <x v="2379"/>
    </i>
    <i r="1">
      <x v="2825"/>
    </i>
    <i r="1">
      <x v="2826"/>
    </i>
    <i r="1">
      <x v="2937"/>
    </i>
    <i r="1">
      <x v="3724"/>
    </i>
    <i>
      <x v="296"/>
      <x v="320"/>
    </i>
    <i r="1">
      <x v="465"/>
    </i>
    <i r="1">
      <x v="904"/>
    </i>
    <i r="1">
      <x v="1132"/>
    </i>
    <i r="1">
      <x v="2022"/>
    </i>
    <i r="1">
      <x v="2894"/>
    </i>
    <i r="1">
      <x v="4261"/>
    </i>
    <i>
      <x v="297"/>
      <x v="136"/>
    </i>
    <i r="1">
      <x v="726"/>
    </i>
    <i r="1">
      <x v="1715"/>
    </i>
    <i>
      <x v="298"/>
      <x v="323"/>
    </i>
    <i r="1">
      <x v="648"/>
    </i>
    <i r="1">
      <x v="664"/>
    </i>
    <i r="1">
      <x v="763"/>
    </i>
    <i r="1">
      <x v="1308"/>
    </i>
    <i r="1">
      <x v="1420"/>
    </i>
    <i r="1">
      <x v="2157"/>
    </i>
    <i r="1">
      <x v="2424"/>
    </i>
    <i r="1">
      <x v="2819"/>
    </i>
    <i r="1">
      <x v="3067"/>
    </i>
    <i r="1">
      <x v="3163"/>
    </i>
    <i r="1">
      <x v="3676"/>
    </i>
    <i r="1">
      <x v="3677"/>
    </i>
    <i r="1">
      <x v="4028"/>
    </i>
    <i r="1">
      <x v="4214"/>
    </i>
    <i>
      <x v="300"/>
      <x v="1081"/>
    </i>
    <i r="1">
      <x v="3297"/>
    </i>
    <i>
      <x v="301"/>
      <x v="4274"/>
    </i>
    <i>
      <x v="302"/>
      <x v="460"/>
    </i>
    <i r="1">
      <x v="467"/>
    </i>
    <i r="1">
      <x v="1003"/>
    </i>
    <i r="1">
      <x v="1109"/>
    </i>
    <i r="1">
      <x v="1401"/>
    </i>
    <i r="1">
      <x v="1588"/>
    </i>
    <i r="1">
      <x v="1776"/>
    </i>
    <i r="1">
      <x v="2380"/>
    </i>
    <i r="1">
      <x v="3516"/>
    </i>
    <i r="1">
      <x v="3527"/>
    </i>
    <i>
      <x v="303"/>
      <x v="1283"/>
    </i>
    <i r="1">
      <x v="1594"/>
    </i>
    <i r="1">
      <x v="1945"/>
    </i>
    <i r="1">
      <x v="2805"/>
    </i>
    <i>
      <x v="305"/>
      <x v="1949"/>
    </i>
    <i r="1">
      <x v="2147"/>
    </i>
    <i>
      <x v="306"/>
      <x v="271"/>
    </i>
    <i r="1">
      <x v="628"/>
    </i>
    <i r="1">
      <x v="629"/>
    </i>
    <i r="1">
      <x v="889"/>
    </i>
    <i r="1">
      <x v="992"/>
    </i>
    <i r="1">
      <x v="1482"/>
    </i>
    <i r="1">
      <x v="1483"/>
    </i>
    <i r="1">
      <x v="1691"/>
    </i>
    <i r="1">
      <x v="1984"/>
    </i>
    <i r="1">
      <x v="2745"/>
    </i>
    <i r="1">
      <x v="2877"/>
    </i>
    <i r="1">
      <x v="3492"/>
    </i>
    <i r="1">
      <x v="3496"/>
    </i>
    <i r="1">
      <x v="3606"/>
    </i>
    <i r="1">
      <x v="3652"/>
    </i>
    <i r="1">
      <x v="3936"/>
    </i>
    <i r="1">
      <x v="3937"/>
    </i>
    <i r="1">
      <x v="3938"/>
    </i>
    <i r="1">
      <x v="3939"/>
    </i>
    <i r="1">
      <x v="4206"/>
    </i>
    <i r="1">
      <x v="4220"/>
    </i>
    <i>
      <x v="308"/>
      <x v="174"/>
    </i>
    <i r="1">
      <x v="195"/>
    </i>
    <i r="1">
      <x v="325"/>
    </i>
    <i r="1">
      <x v="330"/>
    </i>
    <i r="1">
      <x v="336"/>
    </i>
    <i r="1">
      <x v="524"/>
    </i>
    <i r="1">
      <x v="697"/>
    </i>
    <i r="1">
      <x v="787"/>
    </i>
    <i r="1">
      <x v="1176"/>
    </i>
    <i r="1">
      <x v="1709"/>
    </i>
    <i r="1">
      <x v="1762"/>
    </i>
    <i r="1">
      <x v="1796"/>
    </i>
    <i r="1">
      <x v="1797"/>
    </i>
    <i r="1">
      <x v="1829"/>
    </i>
    <i r="1">
      <x v="1876"/>
    </i>
    <i r="1">
      <x v="2126"/>
    </i>
    <i r="1">
      <x v="2197"/>
    </i>
    <i r="1">
      <x v="2202"/>
    </i>
    <i r="1">
      <x v="2246"/>
    </i>
    <i r="1">
      <x v="2957"/>
    </i>
    <i r="1">
      <x v="3219"/>
    </i>
    <i r="1">
      <x v="3252"/>
    </i>
    <i r="1">
      <x v="3436"/>
    </i>
    <i r="1">
      <x v="3659"/>
    </i>
    <i>
      <x v="309"/>
      <x v="505"/>
    </i>
    <i r="1">
      <x v="540"/>
    </i>
    <i r="1">
      <x v="1948"/>
    </i>
    <i r="1">
      <x v="2033"/>
    </i>
    <i r="1">
      <x v="2675"/>
    </i>
    <i r="1">
      <x v="3460"/>
    </i>
    <i r="1">
      <x v="4223"/>
    </i>
    <i>
      <x v="310"/>
      <x v="3003"/>
    </i>
    <i>
      <x v="311"/>
      <x v="579"/>
    </i>
    <i r="1">
      <x v="2600"/>
    </i>
    <i r="1">
      <x v="2601"/>
    </i>
    <i r="1">
      <x v="2603"/>
    </i>
    <i r="1">
      <x v="3142"/>
    </i>
    <i>
      <x v="312"/>
      <x v="191"/>
    </i>
    <i r="1">
      <x v="1774"/>
    </i>
    <i>
      <x v="313"/>
      <x v="4097"/>
    </i>
    <i>
      <x v="314"/>
      <x v="256"/>
    </i>
    <i r="1">
      <x v="1043"/>
    </i>
    <i r="1">
      <x v="1473"/>
    </i>
    <i r="1">
      <x v="1474"/>
    </i>
    <i r="1">
      <x v="1551"/>
    </i>
    <i r="1">
      <x v="1717"/>
    </i>
    <i r="1">
      <x v="2116"/>
    </i>
    <i r="1">
      <x v="2191"/>
    </i>
    <i r="1">
      <x v="2434"/>
    </i>
    <i r="1">
      <x v="2681"/>
    </i>
    <i r="1">
      <x v="3023"/>
    </i>
    <i r="1">
      <x v="3862"/>
    </i>
    <i r="1">
      <x v="3870"/>
    </i>
    <i r="1">
      <x v="3964"/>
    </i>
    <i r="1">
      <x v="4037"/>
    </i>
    <i r="1">
      <x v="4040"/>
    </i>
    <i r="1">
      <x v="4139"/>
    </i>
    <i r="1">
      <x v="4149"/>
    </i>
    <i>
      <x v="315"/>
      <x v="76"/>
    </i>
    <i r="1">
      <x v="121"/>
    </i>
    <i r="1">
      <x v="595"/>
    </i>
    <i r="1">
      <x v="689"/>
    </i>
    <i r="1">
      <x v="759"/>
    </i>
    <i r="1">
      <x v="1041"/>
    </i>
    <i r="1">
      <x v="1436"/>
    </i>
    <i r="1">
      <x v="3046"/>
    </i>
    <i r="1">
      <x v="3614"/>
    </i>
    <i>
      <x v="316"/>
      <x v="74"/>
    </i>
    <i r="1">
      <x v="239"/>
    </i>
    <i r="1">
      <x v="340"/>
    </i>
    <i r="1">
      <x v="588"/>
    </i>
    <i r="1">
      <x v="972"/>
    </i>
    <i r="1">
      <x v="1088"/>
    </i>
    <i r="1">
      <x v="2132"/>
    </i>
    <i r="1">
      <x v="2145"/>
    </i>
    <i r="1">
      <x v="2174"/>
    </i>
    <i r="1">
      <x v="2293"/>
    </i>
    <i r="1">
      <x v="2458"/>
    </i>
    <i r="1">
      <x v="2460"/>
    </i>
    <i r="1">
      <x v="2579"/>
    </i>
    <i r="1">
      <x v="3179"/>
    </i>
    <i r="1">
      <x v="3598"/>
    </i>
    <i r="1">
      <x v="3786"/>
    </i>
    <i r="1">
      <x v="3787"/>
    </i>
    <i>
      <x v="317"/>
      <x v="357"/>
    </i>
    <i r="1">
      <x v="933"/>
    </i>
    <i r="1">
      <x v="1365"/>
    </i>
    <i r="1">
      <x v="1379"/>
    </i>
    <i r="1">
      <x v="1486"/>
    </i>
    <i r="1">
      <x v="1692"/>
    </i>
    <i r="1">
      <x v="1694"/>
    </i>
    <i r="1">
      <x v="2009"/>
    </i>
    <i r="1">
      <x v="3306"/>
    </i>
    <i r="1">
      <x v="3363"/>
    </i>
    <i r="1">
      <x v="3656"/>
    </i>
    <i>
      <x v="319"/>
      <x v="177"/>
    </i>
    <i r="1">
      <x v="584"/>
    </i>
    <i r="1">
      <x v="1070"/>
    </i>
    <i r="1">
      <x v="1294"/>
    </i>
    <i r="1">
      <x v="1927"/>
    </i>
    <i r="1">
      <x v="2235"/>
    </i>
    <i r="1">
      <x v="2361"/>
    </i>
    <i r="1">
      <x v="3513"/>
    </i>
    <i r="1">
      <x v="3514"/>
    </i>
    <i r="1">
      <x v="3522"/>
    </i>
    <i r="1">
      <x v="3898"/>
    </i>
    <i>
      <x v="320"/>
      <x v="149"/>
    </i>
    <i r="1">
      <x v="587"/>
    </i>
    <i r="1">
      <x v="593"/>
    </i>
    <i r="1">
      <x v="605"/>
    </i>
    <i r="1">
      <x v="733"/>
    </i>
    <i r="1">
      <x v="802"/>
    </i>
    <i r="1">
      <x v="1400"/>
    </i>
    <i r="1">
      <x v="1589"/>
    </i>
    <i r="1">
      <x v="1610"/>
    </i>
    <i r="1">
      <x v="1616"/>
    </i>
    <i r="1">
      <x v="1937"/>
    </i>
    <i r="1">
      <x v="1943"/>
    </i>
    <i r="1">
      <x v="2123"/>
    </i>
    <i r="1">
      <x v="2236"/>
    </i>
    <i r="1">
      <x v="2539"/>
    </i>
    <i r="1">
      <x v="2668"/>
    </i>
    <i r="1">
      <x v="3005"/>
    </i>
    <i r="1">
      <x v="3090"/>
    </i>
    <i r="1">
      <x v="3156"/>
    </i>
    <i r="1">
      <x v="3387"/>
    </i>
    <i r="1">
      <x v="3526"/>
    </i>
    <i r="1">
      <x v="3721"/>
    </i>
    <i>
      <x v="321"/>
      <x v="145"/>
    </i>
    <i r="1">
      <x v="295"/>
    </i>
    <i r="1">
      <x v="321"/>
    </i>
    <i r="1">
      <x v="497"/>
    </i>
    <i r="1">
      <x v="1429"/>
    </i>
    <i r="1">
      <x v="2056"/>
    </i>
    <i r="1">
      <x v="2134"/>
    </i>
    <i r="1">
      <x v="2154"/>
    </i>
    <i r="1">
      <x v="2345"/>
    </i>
    <i r="1">
      <x v="2464"/>
    </i>
    <i r="1">
      <x v="2887"/>
    </i>
    <i r="1">
      <x v="3021"/>
    </i>
    <i r="1">
      <x v="3394"/>
    </i>
    <i r="1">
      <x v="3952"/>
    </i>
    <i r="1">
      <x v="4189"/>
    </i>
    <i r="1">
      <x v="4208"/>
    </i>
    <i r="1">
      <x v="4211"/>
    </i>
    <i>
      <x v="322"/>
      <x v="538"/>
    </i>
    <i>
      <x v="323"/>
      <x v="936"/>
    </i>
    <i r="1">
      <x v="2224"/>
    </i>
    <i r="1">
      <x v="3273"/>
    </i>
    <i r="1">
      <x v="3427"/>
    </i>
    <i r="1">
      <x v="3698"/>
    </i>
    <i r="1">
      <x v="3710"/>
    </i>
    <i>
      <x v="324"/>
      <x v="213"/>
    </i>
    <i r="1">
      <x v="670"/>
    </i>
    <i r="1">
      <x v="675"/>
    </i>
    <i r="1">
      <x v="1782"/>
    </i>
    <i r="1">
      <x v="1783"/>
    </i>
    <i r="1">
      <x v="1843"/>
    </i>
    <i r="1">
      <x v="1964"/>
    </i>
    <i r="1">
      <x v="3152"/>
    </i>
    <i r="1">
      <x v="4005"/>
    </i>
    <i r="1">
      <x v="4035"/>
    </i>
    <i r="1">
      <x v="4080"/>
    </i>
    <i>
      <x v="325"/>
      <x v="1593"/>
    </i>
    <i>
      <x v="326"/>
      <x v="858"/>
    </i>
    <i r="1">
      <x v="943"/>
    </i>
    <i r="1">
      <x v="1165"/>
    </i>
    <i r="1">
      <x v="1974"/>
    </i>
    <i r="1">
      <x v="2076"/>
    </i>
    <i r="1">
      <x v="2251"/>
    </i>
    <i r="1">
      <x v="3528"/>
    </i>
    <i r="1">
      <x v="3664"/>
    </i>
    <i r="1">
      <x v="3738"/>
    </i>
    <i>
      <x v="328"/>
      <x v="839"/>
    </i>
    <i r="1">
      <x v="1064"/>
    </i>
    <i r="1">
      <x v="1129"/>
    </i>
    <i r="1">
      <x v="3050"/>
    </i>
    <i r="1">
      <x v="3077"/>
    </i>
    <i r="1">
      <x v="3207"/>
    </i>
    <i r="1">
      <x v="3293"/>
    </i>
    <i r="1">
      <x v="3899"/>
    </i>
    <i>
      <x v="329"/>
      <x v="231"/>
    </i>
    <i r="1">
      <x v="244"/>
    </i>
    <i r="1">
      <x v="264"/>
    </i>
    <i r="1">
      <x v="512"/>
    </i>
    <i r="1">
      <x v="1122"/>
    </i>
    <i r="1">
      <x v="1220"/>
    </i>
    <i r="1">
      <x v="1414"/>
    </i>
    <i r="1">
      <x v="2340"/>
    </i>
    <i r="1">
      <x v="2428"/>
    </i>
    <i r="1">
      <x v="3117"/>
    </i>
    <i>
      <x v="331"/>
      <x v="22"/>
    </i>
    <i r="1">
      <x v="175"/>
    </i>
    <i r="1">
      <x v="551"/>
    </i>
    <i r="1">
      <x v="832"/>
    </i>
    <i r="1">
      <x v="1268"/>
    </i>
    <i r="1">
      <x v="1612"/>
    </i>
    <i r="1">
      <x v="1757"/>
    </i>
    <i r="1">
      <x v="1793"/>
    </i>
    <i r="1">
      <x v="1895"/>
    </i>
    <i r="1">
      <x v="2382"/>
    </i>
    <i r="1">
      <x v="2929"/>
    </i>
    <i r="1">
      <x v="3359"/>
    </i>
    <i r="1">
      <x v="3441"/>
    </i>
    <i r="1">
      <x v="3624"/>
    </i>
    <i>
      <x v="332"/>
      <x v="296"/>
    </i>
    <i r="1">
      <x v="842"/>
    </i>
    <i r="1">
      <x v="1892"/>
    </i>
    <i r="1">
      <x v="1894"/>
    </i>
    <i r="1">
      <x v="1924"/>
    </i>
    <i r="1">
      <x v="2368"/>
    </i>
    <i r="1">
      <x v="2410"/>
    </i>
    <i r="1">
      <x v="2918"/>
    </i>
    <i r="1">
      <x v="3258"/>
    </i>
    <i>
      <x v="333"/>
      <x v="7"/>
    </i>
    <i r="1">
      <x v="248"/>
    </i>
    <i r="1">
      <x v="810"/>
    </i>
    <i r="1">
      <x v="1233"/>
    </i>
    <i r="1">
      <x v="1413"/>
    </i>
    <i r="1">
      <x v="1433"/>
    </i>
    <i r="1">
      <x v="2455"/>
    </i>
    <i r="1">
      <x v="2585"/>
    </i>
    <i r="1">
      <x v="3325"/>
    </i>
    <i r="1">
      <x v="3401"/>
    </i>
    <i>
      <x v="334"/>
      <x v="2275"/>
    </i>
    <i r="1">
      <x v="2407"/>
    </i>
    <i r="1">
      <x v="2465"/>
    </i>
    <i r="1">
      <x v="2489"/>
    </i>
    <i r="1">
      <x v="3246"/>
    </i>
    <i r="1">
      <x v="4101"/>
    </i>
    <i>
      <x v="335"/>
      <x v="115"/>
    </i>
    <i>
      <x v="336"/>
      <x v="2118"/>
    </i>
    <i r="1">
      <x v="3543"/>
    </i>
    <i>
      <x v="337"/>
      <x v="107"/>
    </i>
    <i r="1">
      <x v="128"/>
    </i>
    <i r="1">
      <x v="222"/>
    </i>
    <i r="1">
      <x v="690"/>
    </i>
    <i r="1">
      <x v="736"/>
    </i>
    <i r="1">
      <x v="743"/>
    </i>
    <i r="1">
      <x v="746"/>
    </i>
    <i r="1">
      <x v="752"/>
    </i>
    <i r="1">
      <x v="1119"/>
    </i>
    <i r="1">
      <x v="1139"/>
    </i>
    <i r="1">
      <x v="1156"/>
    </i>
    <i r="1">
      <x v="1535"/>
    </i>
    <i r="1">
      <x v="1557"/>
    </i>
    <i r="1">
      <x v="2284"/>
    </i>
    <i r="1">
      <x v="2504"/>
    </i>
    <i r="1">
      <x v="2574"/>
    </i>
    <i r="1">
      <x v="3130"/>
    </i>
    <i r="1">
      <x v="3342"/>
    </i>
    <i r="1">
      <x v="3397"/>
    </i>
    <i>
      <x v="338"/>
      <x v="80"/>
    </i>
    <i r="1">
      <x v="230"/>
    </i>
    <i r="1">
      <x v="233"/>
    </i>
    <i r="1">
      <x v="744"/>
    </i>
    <i r="1">
      <x v="1053"/>
    </i>
    <i r="1">
      <x v="2353"/>
    </i>
    <i r="1">
      <x v="2486"/>
    </i>
    <i>
      <x v="339"/>
      <x v="332"/>
    </i>
    <i r="1">
      <x v="515"/>
    </i>
    <i r="1">
      <x v="2713"/>
    </i>
    <i r="1">
      <x v="3165"/>
    </i>
    <i r="1">
      <x v="4294"/>
    </i>
    <i>
      <x v="340"/>
      <x v="344"/>
    </i>
    <i r="1">
      <x v="413"/>
    </i>
    <i r="1">
      <x v="418"/>
    </i>
    <i r="1">
      <x v="775"/>
    </i>
    <i r="1">
      <x v="1531"/>
    </i>
    <i r="1">
      <x v="1613"/>
    </i>
    <i r="1">
      <x v="1761"/>
    </i>
    <i r="1">
      <x v="1923"/>
    </i>
    <i r="1">
      <x v="2128"/>
    </i>
    <i r="1">
      <x v="2213"/>
    </i>
    <i r="1">
      <x v="2258"/>
    </i>
    <i r="1">
      <x v="2510"/>
    </i>
    <i r="1">
      <x v="2796"/>
    </i>
    <i r="1">
      <x v="2797"/>
    </i>
    <i r="1">
      <x v="2916"/>
    </i>
    <i r="1">
      <x v="3016"/>
    </i>
    <i r="1">
      <x v="3079"/>
    </i>
    <i r="1">
      <x v="3133"/>
    </i>
    <i r="1">
      <x v="3183"/>
    </i>
    <i r="1">
      <x v="3351"/>
    </i>
    <i r="1">
      <x v="3521"/>
    </i>
    <i r="1">
      <x v="3746"/>
    </i>
    <i r="1">
      <x v="4249"/>
    </i>
    <i>
      <x v="341"/>
      <x v="280"/>
    </i>
    <i r="1">
      <x v="288"/>
    </i>
    <i r="1">
      <x v="843"/>
    </i>
    <i r="1">
      <x v="1568"/>
    </i>
    <i r="1">
      <x v="2599"/>
    </i>
    <i r="1">
      <x v="3146"/>
    </i>
    <i>
      <x v="342"/>
      <x v="1325"/>
    </i>
    <i r="1">
      <x v="1590"/>
    </i>
    <i r="1">
      <x v="2913"/>
    </i>
    <i r="1">
      <x v="3135"/>
    </i>
    <i r="1">
      <x v="3272"/>
    </i>
    <i r="1">
      <x v="3314"/>
    </i>
    <i>
      <x v="343"/>
      <x v="55"/>
    </i>
    <i r="1">
      <x v="443"/>
    </i>
    <i>
      <x v="344"/>
      <x v="24"/>
    </i>
    <i r="1">
      <x v="1248"/>
    </i>
    <i r="1">
      <x v="1660"/>
    </i>
    <i r="1">
      <x v="2947"/>
    </i>
    <i r="1">
      <x v="4230"/>
    </i>
    <i r="1">
      <x v="4231"/>
    </i>
    <i r="1">
      <x v="4236"/>
    </i>
    <i r="1">
      <x v="4301"/>
    </i>
    <i r="1">
      <x v="4302"/>
    </i>
    <i>
      <x v="345"/>
      <x v="4093"/>
    </i>
    <i>
      <x v="347"/>
      <x v="152"/>
    </i>
    <i r="1">
      <x v="1312"/>
    </i>
    <i r="1">
      <x v="1564"/>
    </i>
    <i r="1">
      <x v="1931"/>
    </i>
    <i r="1">
      <x v="2374"/>
    </i>
    <i r="1">
      <x v="2586"/>
    </i>
    <i r="1">
      <x v="2956"/>
    </i>
    <i r="1">
      <x v="3131"/>
    </i>
    <i r="1">
      <x v="3141"/>
    </i>
    <i r="1">
      <x v="3332"/>
    </i>
    <i r="1">
      <x v="3440"/>
    </i>
    <i r="1">
      <x v="3454"/>
    </i>
    <i r="1">
      <x v="3765"/>
    </i>
    <i r="1">
      <x v="3904"/>
    </i>
    <i r="1">
      <x v="4140"/>
    </i>
    <i r="1">
      <x v="4228"/>
    </i>
    <i>
      <x v="348"/>
      <x v="1059"/>
    </i>
    <i r="1">
      <x v="3750"/>
    </i>
    <i>
      <x v="350"/>
      <x v="1624"/>
    </i>
    <i r="1">
      <x v="1626"/>
    </i>
    <i r="1">
      <x v="1947"/>
    </i>
    <i r="1">
      <x v="1956"/>
    </i>
    <i r="1">
      <x v="2228"/>
    </i>
    <i r="1">
      <x v="2624"/>
    </i>
    <i r="1">
      <x v="3237"/>
    </i>
    <i r="1">
      <x v="3471"/>
    </i>
    <i r="1">
      <x v="3747"/>
    </i>
    <i r="1">
      <x v="3749"/>
    </i>
    <i r="1">
      <x v="3753"/>
    </i>
    <i r="1">
      <x v="3980"/>
    </i>
    <i r="1">
      <x v="4116"/>
    </i>
    <i>
      <x v="351"/>
      <x v="476"/>
    </i>
    <i r="1">
      <x v="1058"/>
    </i>
    <i r="1">
      <x v="1847"/>
    </i>
    <i r="1">
      <x v="2366"/>
    </i>
    <i r="1">
      <x v="3151"/>
    </i>
    <i r="1">
      <x v="3319"/>
    </i>
    <i r="1">
      <x v="3456"/>
    </i>
    <i r="1">
      <x v="3585"/>
    </i>
    <i>
      <x v="352"/>
      <x v="2526"/>
    </i>
    <i r="1">
      <x v="3455"/>
    </i>
    <i r="1">
      <x v="3990"/>
    </i>
    <i r="1">
      <x v="3996"/>
    </i>
    <i r="1">
      <x v="3997"/>
    </i>
    <i>
      <x v="353"/>
      <x v="2448"/>
    </i>
    <i r="1">
      <x v="2831"/>
    </i>
    <i r="1">
      <x v="3185"/>
    </i>
    <i r="1">
      <x v="3199"/>
    </i>
    <i r="1">
      <x v="4257"/>
    </i>
    <i r="1">
      <x v="4259"/>
    </i>
    <i>
      <x v="354"/>
      <x v="1"/>
    </i>
    <i r="1">
      <x v="60"/>
    </i>
    <i r="1">
      <x v="716"/>
    </i>
    <i r="1">
      <x v="1011"/>
    </i>
    <i r="1">
      <x v="1192"/>
    </i>
    <i r="1">
      <x v="1714"/>
    </i>
    <i r="1">
      <x v="1743"/>
    </i>
    <i r="1">
      <x v="1963"/>
    </i>
    <i r="1">
      <x v="2295"/>
    </i>
    <i r="1">
      <x v="2688"/>
    </i>
    <i r="1">
      <x v="3223"/>
    </i>
    <i r="1">
      <x v="3331"/>
    </i>
    <i r="1">
      <x v="3661"/>
    </i>
    <i>
      <x v="355"/>
      <x v="3519"/>
    </i>
    <i>
      <x v="356"/>
      <x v="830"/>
    </i>
    <i>
      <x v="358"/>
      <x v="3794"/>
    </i>
    <i r="1">
      <x v="3805"/>
    </i>
    <i r="1">
      <x v="3814"/>
    </i>
    <i r="1">
      <x v="3822"/>
    </i>
    <i r="1">
      <x v="3828"/>
    </i>
    <i r="1">
      <x v="3831"/>
    </i>
    <i r="1">
      <x v="3846"/>
    </i>
    <i r="1">
      <x v="3861"/>
    </i>
    <i r="1">
      <x v="3864"/>
    </i>
    <i r="1">
      <x v="4066"/>
    </i>
    <i r="1">
      <x v="4105"/>
    </i>
    <i r="1">
      <x v="4114"/>
    </i>
    <i r="1">
      <x v="4138"/>
    </i>
    <i r="1">
      <x v="4143"/>
    </i>
    <i r="1">
      <x v="4178"/>
    </i>
    <i r="1">
      <x v="4179"/>
    </i>
    <i r="1">
      <x v="4308"/>
    </i>
    <i>
      <x v="359"/>
      <x v="3849"/>
    </i>
    <i r="1">
      <x v="4150"/>
    </i>
    <i>
      <x v="360"/>
      <x v="3815"/>
    </i>
    <i r="1">
      <x v="3816"/>
    </i>
    <i>
      <x v="361"/>
      <x v="3859"/>
    </i>
    <i>
      <x v="363"/>
      <x v="3877"/>
    </i>
    <i r="1">
      <x v="3954"/>
    </i>
    <i r="1">
      <x v="4107"/>
    </i>
    <i r="1">
      <x v="4119"/>
    </i>
    <i r="1">
      <x v="4152"/>
    </i>
    <i>
      <x v="364"/>
      <x v="3879"/>
    </i>
    <i r="1">
      <x v="3974"/>
    </i>
    <i r="1">
      <x v="3975"/>
    </i>
    <i r="1">
      <x v="3976"/>
    </i>
    <i r="1">
      <x v="3977"/>
    </i>
    <i r="1">
      <x v="3978"/>
    </i>
    <i r="1">
      <x v="3979"/>
    </i>
    <i r="1">
      <x v="3982"/>
    </i>
    <i r="1">
      <x v="3983"/>
    </i>
    <i r="1">
      <x v="3984"/>
    </i>
    <i r="1">
      <x v="3986"/>
    </i>
    <i r="1">
      <x v="4086"/>
    </i>
    <i r="1">
      <x v="4112"/>
    </i>
    <i r="1">
      <x v="4117"/>
    </i>
    <i r="1">
      <x v="4166"/>
    </i>
    <i r="1">
      <x v="4170"/>
    </i>
    <i>
      <x v="365"/>
      <x v="3887"/>
    </i>
    <i>
      <x v="369"/>
      <x v="1929"/>
    </i>
    <i>
      <x v="370"/>
      <x v="3909"/>
    </i>
    <i r="1">
      <x v="3910"/>
    </i>
    <i r="1">
      <x v="3911"/>
    </i>
    <i r="1">
      <x v="3916"/>
    </i>
    <i>
      <x v="371"/>
      <x v="479"/>
    </i>
    <i r="1">
      <x v="573"/>
    </i>
    <i r="1">
      <x v="581"/>
    </i>
    <i r="1">
      <x v="592"/>
    </i>
    <i r="1">
      <x v="598"/>
    </i>
    <i r="1">
      <x v="1007"/>
    </i>
    <i r="1">
      <x v="2452"/>
    </i>
    <i r="1">
      <x v="3720"/>
    </i>
    <i r="1">
      <x v="3897"/>
    </i>
    <i r="1">
      <x v="3902"/>
    </i>
    <i r="1">
      <x v="4169"/>
    </i>
    <i>
      <x v="372"/>
      <x v="1886"/>
    </i>
    <i>
      <x v="373"/>
      <x v="1753"/>
    </i>
    <i r="1">
      <x v="1754"/>
    </i>
    <i>
      <x v="374"/>
      <x v="1286"/>
    </i>
    <i r="1">
      <x v="1620"/>
    </i>
    <i r="1">
      <x v="1621"/>
    </i>
    <i r="1">
      <x v="1789"/>
    </i>
    <i r="1">
      <x v="2114"/>
    </i>
    <i r="1">
      <x v="3032"/>
    </i>
    <i r="1">
      <x v="4026"/>
    </i>
    <i r="1">
      <x v="4062"/>
    </i>
    <i r="1">
      <x v="4064"/>
    </i>
    <i r="1">
      <x v="4088"/>
    </i>
    <i r="1">
      <x v="4129"/>
    </i>
    <i r="1">
      <x v="4172"/>
    </i>
    <i r="1">
      <x v="4181"/>
    </i>
    <i>
      <x v="375"/>
      <x v="542"/>
    </i>
    <i r="1">
      <x v="708"/>
    </i>
    <i r="1">
      <x v="709"/>
    </i>
    <i r="1">
      <x v="723"/>
    </i>
    <i r="1">
      <x v="781"/>
    </i>
    <i r="1">
      <x v="837"/>
    </i>
    <i r="1">
      <x v="1734"/>
    </i>
    <i r="1">
      <x v="1766"/>
    </i>
    <i r="1">
      <x v="1791"/>
    </i>
    <i r="1">
      <x v="1916"/>
    </i>
    <i r="1">
      <x v="2062"/>
    </i>
    <i r="1">
      <x v="2588"/>
    </i>
    <i r="1">
      <x v="2799"/>
    </i>
    <i r="1">
      <x v="2843"/>
    </i>
    <i r="1">
      <x v="2927"/>
    </i>
    <i r="1">
      <x v="3031"/>
    </i>
    <i r="1">
      <x v="3486"/>
    </i>
    <i r="1">
      <x v="3504"/>
    </i>
    <i r="1">
      <x v="3587"/>
    </i>
    <i r="1">
      <x v="4017"/>
    </i>
    <i r="1">
      <x v="4018"/>
    </i>
    <i r="1">
      <x v="4030"/>
    </i>
    <i r="1">
      <x v="4065"/>
    </i>
    <i r="1">
      <x v="4078"/>
    </i>
    <i>
      <x v="376"/>
      <x v="397"/>
    </i>
    <i r="1">
      <x v="639"/>
    </i>
    <i r="1">
      <x v="976"/>
    </i>
    <i r="1">
      <x v="1481"/>
    </i>
    <i r="1">
      <x v="1492"/>
    </i>
    <i r="1">
      <x v="1683"/>
    </i>
    <i r="1">
      <x v="1688"/>
    </i>
    <i r="1">
      <x v="2048"/>
    </i>
    <i r="1">
      <x v="2343"/>
    </i>
    <i r="1">
      <x v="2527"/>
    </i>
    <i r="1">
      <x v="2748"/>
    </i>
    <i r="1">
      <x v="2839"/>
    </i>
    <i r="1">
      <x v="3372"/>
    </i>
    <i r="1">
      <x v="3375"/>
    </i>
    <i r="1">
      <x v="3498"/>
    </i>
    <i r="1">
      <x v="3512"/>
    </i>
    <i r="1">
      <x v="3529"/>
    </i>
    <i r="1">
      <x v="3649"/>
    </i>
    <i r="1">
      <x v="4271"/>
    </i>
    <i r="1">
      <x v="4272"/>
    </i>
    <i>
      <x v="378"/>
      <x v="116"/>
    </i>
    <i r="1">
      <x v="707"/>
    </i>
    <i r="1">
      <x v="1394"/>
    </i>
    <i r="1">
      <x v="2304"/>
    </i>
    <i r="1">
      <x v="2315"/>
    </i>
    <i r="1">
      <x v="2439"/>
    </i>
    <i r="1">
      <x v="2712"/>
    </i>
    <i r="1">
      <x v="3788"/>
    </i>
    <i r="1">
      <x v="3793"/>
    </i>
    <i r="1">
      <x v="3802"/>
    </i>
    <i r="1">
      <x v="3845"/>
    </i>
    <i r="1">
      <x v="3955"/>
    </i>
    <i r="1">
      <x v="3957"/>
    </i>
    <i r="1">
      <x v="4048"/>
    </i>
    <i r="1">
      <x v="4145"/>
    </i>
    <i r="1">
      <x v="4252"/>
    </i>
    <i>
      <x v="380"/>
      <x v="1441"/>
    </i>
    <i r="1">
      <x v="1525"/>
    </i>
    <i r="1">
      <x v="1536"/>
    </i>
    <i r="1">
      <x v="1543"/>
    </i>
    <i r="1">
      <x v="2184"/>
    </i>
    <i r="1">
      <x v="3038"/>
    </i>
    <i r="1">
      <x v="3679"/>
    </i>
    <i r="1">
      <x v="3943"/>
    </i>
    <i r="1">
      <x v="4011"/>
    </i>
    <i r="1">
      <x v="4012"/>
    </i>
    <i r="1">
      <x v="4013"/>
    </i>
    <i r="1">
      <x v="4036"/>
    </i>
    <i r="1">
      <x v="4038"/>
    </i>
    <i r="1">
      <x v="4039"/>
    </i>
    <i r="1">
      <x v="4075"/>
    </i>
    <i r="1">
      <x v="4113"/>
    </i>
    <i r="1">
      <x v="4120"/>
    </i>
    <i r="1">
      <x v="4153"/>
    </i>
    <i>
      <x v="381"/>
      <x v="2902"/>
    </i>
    <i r="1">
      <x v="3945"/>
    </i>
    <i r="1">
      <x v="3958"/>
    </i>
    <i r="1">
      <x v="3962"/>
    </i>
    <i r="1">
      <x v="3963"/>
    </i>
    <i r="1">
      <x v="4171"/>
    </i>
    <i>
      <x v="382"/>
      <x v="3966"/>
    </i>
    <i>
      <x v="383"/>
      <x v="3960"/>
    </i>
    <i r="1">
      <x v="3961"/>
    </i>
    <i r="1">
      <x v="4024"/>
    </i>
    <i>
      <x v="384"/>
      <x v="1105"/>
    </i>
    <i>
      <x v="385"/>
      <x v="2524"/>
    </i>
    <i>
      <x v="386"/>
      <x v="2422"/>
    </i>
    <i>
      <x v="387"/>
      <x v="3989"/>
    </i>
    <i r="1">
      <x v="4014"/>
    </i>
    <i r="1">
      <x v="4278"/>
    </i>
    <i>
      <x v="388"/>
      <x v="1313"/>
    </i>
    <i r="1">
      <x v="2279"/>
    </i>
    <i>
      <x v="390"/>
      <x v="1655"/>
    </i>
    <i>
      <x v="393"/>
      <x v="4125"/>
    </i>
    <i>
      <x v="394"/>
      <x v="279"/>
    </i>
    <i r="1">
      <x v="4007"/>
    </i>
    <i>
      <x v="395"/>
      <x v="4009"/>
    </i>
    <i r="1">
      <x v="4054"/>
    </i>
    <i r="1">
      <x v="4235"/>
    </i>
    <i>
      <x v="396"/>
      <x v="151"/>
    </i>
    <i r="1">
      <x v="270"/>
    </i>
    <i r="1">
      <x v="383"/>
    </i>
    <i r="1">
      <x v="437"/>
    </i>
    <i r="1">
      <x v="453"/>
    </i>
    <i r="1">
      <x v="590"/>
    </i>
    <i r="1">
      <x v="687"/>
    </i>
    <i r="1">
      <x v="1204"/>
    </i>
    <i r="1">
      <x v="1599"/>
    </i>
    <i r="1">
      <x v="1926"/>
    </i>
    <i r="1">
      <x v="2649"/>
    </i>
    <i r="1">
      <x v="2932"/>
    </i>
    <i r="1">
      <x v="3270"/>
    </i>
    <i r="1">
      <x v="3548"/>
    </i>
    <i r="1">
      <x v="3722"/>
    </i>
    <i r="1">
      <x v="3930"/>
    </i>
    <i>
      <x v="397"/>
      <x v="298"/>
    </i>
    <i r="1">
      <x v="516"/>
    </i>
    <i r="1">
      <x v="816"/>
    </i>
    <i r="1">
      <x v="1118"/>
    </i>
    <i r="1">
      <x v="1136"/>
    </i>
    <i r="1">
      <x v="1513"/>
    </i>
    <i r="1">
      <x v="1544"/>
    </i>
    <i r="1">
      <x v="1728"/>
    </i>
    <i r="1">
      <x v="2109"/>
    </i>
    <i r="1">
      <x v="3834"/>
    </i>
    <i r="1">
      <x v="3835"/>
    </i>
    <i r="1">
      <x v="3867"/>
    </i>
    <i r="1">
      <x v="3965"/>
    </i>
    <i r="1">
      <x v="4151"/>
    </i>
    <i>
      <x v="400"/>
      <x v="4057"/>
    </i>
    <i>
      <x v="401"/>
      <x v="4079"/>
    </i>
    <i>
      <x v="402"/>
      <x v="4087"/>
    </i>
    <i>
      <x v="404"/>
      <x v="4090"/>
    </i>
    <i r="1">
      <x v="4091"/>
    </i>
    <i>
      <x v="405"/>
      <x v="17"/>
    </i>
    <i>
      <x v="406"/>
      <x v="4098"/>
    </i>
    <i r="1">
      <x v="4115"/>
    </i>
    <i r="1">
      <x v="4156"/>
    </i>
    <i r="1">
      <x v="4180"/>
    </i>
    <i>
      <x v="407"/>
      <x v="2617"/>
    </i>
    <i>
      <x v="408"/>
      <x v="4108"/>
    </i>
    <i>
      <x v="409"/>
      <x v="4134"/>
    </i>
    <i r="1">
      <x v="4219"/>
    </i>
    <i>
      <x v="410"/>
      <x v="4154"/>
    </i>
    <i>
      <x v="411"/>
      <x v="2939"/>
    </i>
    <i>
      <x v="412"/>
      <x v="4163"/>
    </i>
    <i r="1">
      <x v="4164"/>
    </i>
    <i>
      <x v="413"/>
      <x v="2942"/>
    </i>
    <i>
      <x v="414"/>
      <x v="105"/>
    </i>
    <i r="1">
      <x v="3968"/>
    </i>
    <i>
      <x v="416"/>
      <x v="4194"/>
    </i>
    <i>
      <x v="417"/>
      <x v="307"/>
    </i>
    <i r="1">
      <x v="412"/>
    </i>
    <i r="1">
      <x v="1259"/>
    </i>
    <i r="1">
      <x v="1266"/>
    </i>
    <i r="1">
      <x v="1463"/>
    </i>
    <i r="1">
      <x v="1765"/>
    </i>
    <i r="1">
      <x v="1846"/>
    </i>
    <i r="1">
      <x v="2059"/>
    </i>
    <i r="1">
      <x v="2061"/>
    </i>
    <i r="1">
      <x v="2175"/>
    </i>
    <i r="1">
      <x v="3055"/>
    </i>
    <i r="1">
      <x v="3507"/>
    </i>
    <i>
      <x v="418"/>
      <x v="710"/>
    </i>
    <i r="1">
      <x v="855"/>
    </i>
    <i r="1">
      <x v="1297"/>
    </i>
    <i r="1">
      <x v="1475"/>
    </i>
    <i r="1">
      <x v="1509"/>
    </i>
    <i r="1">
      <x v="1710"/>
    </i>
    <i r="1">
      <x v="3926"/>
    </i>
    <i r="1">
      <x v="4069"/>
    </i>
    <i r="1">
      <x v="4092"/>
    </i>
    <i r="1">
      <x v="4146"/>
    </i>
    <i>
      <x v="419"/>
      <x v="278"/>
    </i>
    <i r="1">
      <x v="435"/>
    </i>
    <i r="1">
      <x v="480"/>
    </i>
    <i r="1">
      <x v="539"/>
    </i>
    <i r="1">
      <x v="694"/>
    </i>
    <i r="1">
      <x v="800"/>
    </i>
    <i r="1">
      <x v="1641"/>
    </i>
    <i r="1">
      <x v="2391"/>
    </i>
    <i r="1">
      <x v="2699"/>
    </i>
    <i r="1">
      <x v="2946"/>
    </i>
    <i r="1">
      <x v="3259"/>
    </i>
    <i r="1">
      <x v="3318"/>
    </i>
    <i r="1">
      <x v="3580"/>
    </i>
    <i r="1">
      <x v="3901"/>
    </i>
    <i r="1">
      <x v="3908"/>
    </i>
    <i r="1">
      <x v="4197"/>
    </i>
    <i r="1">
      <x v="4232"/>
    </i>
    <i r="1">
      <x v="4234"/>
    </i>
    <i>
      <x v="420"/>
      <x v="4041"/>
    </i>
    <i>
      <x v="421"/>
      <x v="4044"/>
    </i>
    <i>
      <x v="422"/>
      <x v="23"/>
    </i>
    <i r="1">
      <x v="3134"/>
    </i>
    <i r="1">
      <x v="4224"/>
    </i>
    <i>
      <x v="423"/>
      <x v="1038"/>
    </i>
    <i>
      <x v="424"/>
      <x v="4229"/>
    </i>
    <i>
      <x v="425"/>
      <x v="1630"/>
    </i>
    <i>
      <x v="426"/>
      <x v="1317"/>
    </i>
    <i r="1">
      <x v="1555"/>
    </i>
    <i r="1">
      <x v="1966"/>
    </i>
    <i>
      <x v="427"/>
      <x v="4270"/>
    </i>
    <i>
      <x v="428"/>
      <x v="1330"/>
    </i>
    <i r="1">
      <x v="1567"/>
    </i>
    <i>
      <x v="429"/>
      <x v="3465"/>
    </i>
    <i r="1">
      <x v="4285"/>
    </i>
    <i r="1">
      <x v="4292"/>
    </i>
    <i r="1">
      <x v="4310"/>
    </i>
    <i>
      <x v="430"/>
      <x v="4296"/>
    </i>
    <i>
      <x v="431"/>
      <x v="4309"/>
    </i>
    <i>
      <x v="432"/>
      <x v="4311"/>
    </i>
  </rowItems>
  <colItems count="1">
    <i/>
  </colItems>
  <formats count="1">
    <format dxfId="167">
      <pivotArea dataOnly="0" labelOnly="1" fieldPosition="0">
        <references count="1">
          <reference field="5" count="1">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3" xr16:uid="{00000000-0016-0000-0B00-000000000000}" autoFormatId="16" applyNumberFormats="0" applyBorderFormats="0" applyFontFormats="0" applyPatternFormats="0" applyAlignmentFormats="0" applyWidthHeightFormats="0">
  <queryTableRefresh nextId="30">
    <queryTableFields count="14">
      <queryTableField id="9" name="Player Name" tableColumnId="9"/>
      <queryTableField id="1" name="Family Name" tableColumnId="1"/>
      <queryTableField id="2" name="Given Name" tableColumnId="2"/>
      <queryTableField id="18" name="FISTF Code" tableColumnId="3"/>
      <queryTableField id="4" name="Category" tableColumnId="4"/>
      <queryTableField id="12" name="Club Name" tableColumnId="5"/>
      <queryTableField id="13" name="Nation" tableColumnId="6"/>
      <queryTableField id="19" name="Column1" tableColumnId="10"/>
      <queryTableField id="20" name="2" tableColumnId="11"/>
      <queryTableField id="21" name="3" tableColumnId="12"/>
      <queryTableField id="26" name="4" tableColumnId="13"/>
      <queryTableField id="27" name="5" tableColumnId="14"/>
      <queryTableField id="7" name="MNA" tableColumnId="7"/>
      <queryTableField id="14" name="Confed." tableColumnId="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1" xr16:uid="{00000000-0016-0000-0C00-000001000000}" autoFormatId="16" applyNumberFormats="0" applyBorderFormats="0" applyFontFormats="0" applyPatternFormats="0" applyAlignmentFormats="0" applyWidthHeightFormats="0">
  <queryTableRefresh nextId="22">
    <queryTableFields count="6">
      <queryTableField id="1" name="Club name" tableColumnId="1"/>
      <queryTableField id="2" name="Abbreviation" tableColumnId="2"/>
      <queryTableField id="3" name="Nationality" tableColumnId="3"/>
      <queryTableField id="4" name="FISTF Code" tableColumnId="4"/>
      <queryTableField id="5" name="MNA" tableColumnId="5"/>
      <queryTableField id="6" name="Confederation"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2" xr16:uid="{00000000-0016-0000-0D00-000002000000}" autoFormatId="16" applyNumberFormats="0" applyBorderFormats="0" applyFontFormats="0" applyPatternFormats="0" applyAlignmentFormats="0" applyWidthHeightFormats="0">
  <queryTableRefresh nextId="3">
    <queryTableFields count="2">
      <queryTableField id="1" name="Country" tableColumnId="1"/>
      <queryTableField id="2" name="Abbr."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penList" displayName="OpenList" ref="A11:L152" totalsRowShown="0" headerRowDxfId="348" dataDxfId="347">
  <autoFilter ref="A11:L152" xr:uid="{00000000-0009-0000-0100-000001000000}"/>
  <tableColumns count="12">
    <tableColumn id="1" xr3:uid="{00000000-0010-0000-0000-000001000000}" name="N°" dataDxfId="346">
      <calculatedColumnFormula>IF(AND(OpenList[[#This Row],[First &amp; Last Name]]="",OpenList[[#This Row],[FISTF Code]]=""),"",ROW()-ROW($A$11))</calculatedColumnFormula>
    </tableColumn>
    <tableColumn id="2" xr3:uid="{00000000-0010-0000-0000-000002000000}" name="First &amp; Last Name" dataDxfId="345" dataCellStyle="Normal 2"/>
    <tableColumn id="9" xr3:uid="{8DC78FA9-93C9-45DC-911B-7E26263F363B}" name="FISTF Code" dataDxfId="344" dataCellStyle="Normal 2 2"/>
    <tableColumn id="10" xr3:uid="{2A10B300-417C-4B74-BBB0-0D1E604A2DE0}" name="Valid Name ?" dataDxfId="343" dataCellStyle="Normal 2 2">
      <calculatedColumnFormula>IF(OpenList[[#This Row],[First &amp; Last Name]]="","",IFERROR(ISNUMBER(MATCH(OpenList[[#This Row],[First &amp; Last Name]],Players[Player Name],0)),FALSE))</calculatedColumnFormula>
    </tableColumn>
    <tableColumn id="12" xr3:uid="{76386BC6-FE7E-4FA0-B048-2D421186F257}" name="Valide Code ?" dataDxfId="342" dataCellStyle="Normal 2 2">
      <calculatedColumnFormula>IF(OpenList[[#This Row],[FISTF Code]]="",FALSE,IFERROR(ISNUMBER(MATCH(OpenList[[#This Row],[FISTF Code]],Players[FISTF Code],0)),FALSE))</calculatedColumnFormula>
    </tableColumn>
    <tableColumn id="11" xr3:uid="{B0A6DECC-0254-4666-9AD9-0D9FA51440F8}" name="Retained Player Name" dataDxfId="341" dataCellStyle="Normal 2 2">
      <calculatedColumnFormula>IF(AND(OpenList[[#This Row],[First &amp; Last Name]]="",OpenList[[#This Row],[FISTF Code]]=""),"",IF(OpenList[[#This Row],[Valide Code ?]],INDEX(Players[Player Name],MATCH(OpenList[[#This Row],[FISTF Code]],Players[FISTF Code],0)),OpenList[[#This Row],[First &amp; Last Name]]))</calculatedColumnFormula>
    </tableColumn>
    <tableColumn id="3" xr3:uid="{00000000-0010-0000-0000-000003000000}" name="Nation" dataDxfId="340" dataCellStyle="Normal 2">
      <calculatedColumnFormula>IF(OpenList[[#This Row],[Retained Player Name]]="","",VLOOKUP(OpenList[[#This Row],[Retained Player Name]],Players[],7,FALSE))</calculatedColumnFormula>
    </tableColumn>
    <tableColumn id="4" xr3:uid="{00000000-0010-0000-0000-000004000000}" name="Club" dataDxfId="339">
      <calculatedColumnFormula>IF(OpenList[[#This Row],[Retained Player Name]]="","",VLOOKUP(OpenList[[#This Row],[Retained Player Name]],Players[],6,FALSE))</calculatedColumnFormula>
    </tableColumn>
    <tableColumn id="5" xr3:uid="{00000000-0010-0000-0000-000005000000}" name="Checked FISTF Code" dataDxfId="338">
      <calculatedColumnFormula>IF(OpenList[[#This Row],[Retained Player Name]]="","",VLOOKUP(OpenList[[#This Row],[Retained Player Name]],Players[],4,FALSE))</calculatedColumnFormula>
    </tableColumn>
    <tableColumn id="8" xr3:uid="{00000000-0010-0000-0000-000008000000}" name="Result" dataDxfId="337" dataCellStyle="Normal 2">
      <calculatedColumnFormula>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calculatedColumnFormula>
    </tableColumn>
    <tableColumn id="6" xr3:uid="{00000000-0010-0000-0000-000006000000}" name="Withdraw" dataDxfId="336"/>
    <tableColumn id="7" xr3:uid="{00000000-0010-0000-0000-000007000000}" name="Comment" dataDxfId="335">
      <calculatedColumnFormula>AND(NOT(ISBLANK(C12)),NOT(E12))</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Players" displayName="Players" ref="A1:N3995" tableType="queryTable" totalsRowShown="0">
  <autoFilter ref="A1:N3995" xr:uid="{00000000-0009-0000-0100-000003000000}">
    <filterColumn colId="5">
      <filters>
        <filter val="Subbuteo Dragons Azuqueca"/>
      </filters>
    </filterColumn>
  </autoFilter>
  <tableColumns count="14">
    <tableColumn id="9" xr3:uid="{00000000-0010-0000-0900-000009000000}" uniqueName="9" name="Player Name" queryTableFieldId="9"/>
    <tableColumn id="1" xr3:uid="{00000000-0010-0000-0900-000001000000}" uniqueName="1" name="Family Name" queryTableFieldId="1" dataDxfId="187"/>
    <tableColumn id="2" xr3:uid="{00000000-0010-0000-0900-000002000000}" uniqueName="2" name="Given Name" queryTableFieldId="2" dataDxfId="186"/>
    <tableColumn id="3" xr3:uid="{27F2651F-DBE9-4C66-83BC-513C1A90DDED}" uniqueName="3" name="FISTF Code" queryTableFieldId="18" dataDxfId="185"/>
    <tableColumn id="4" xr3:uid="{00000000-0010-0000-0900-000004000000}" uniqueName="4" name="Category" queryTableFieldId="4" dataDxfId="184"/>
    <tableColumn id="5" xr3:uid="{00000000-0010-0000-0900-000005000000}" uniqueName="5" name="Club name" queryTableFieldId="12" dataDxfId="183"/>
    <tableColumn id="6" xr3:uid="{00000000-0010-0000-0900-000006000000}" uniqueName="6" name="Nation" queryTableFieldId="13" dataDxfId="182"/>
    <tableColumn id="10" xr3:uid="{C25A81C0-97BF-4E31-A481-3E6A57D1738D}" uniqueName="10" name="Column1" queryTableFieldId="19" dataDxfId="181"/>
    <tableColumn id="11" xr3:uid="{C9AC8F7D-1460-41ED-AD1D-C061217C26D2}" uniqueName="11" name="2" queryTableFieldId="20" dataDxfId="180"/>
    <tableColumn id="12" xr3:uid="{3AB09957-98C0-4AAD-9908-C24E35D9CC73}" uniqueName="12" name="3" queryTableFieldId="21" dataDxfId="179"/>
    <tableColumn id="13" xr3:uid="{6F188A11-934B-4101-9817-76AA1A923FF4}" uniqueName="13" name="4" queryTableFieldId="26" dataDxfId="178"/>
    <tableColumn id="14" xr3:uid="{0A92814B-8144-469F-B479-B15253227F18}" uniqueName="14" name="5" queryTableFieldId="27" dataDxfId="177"/>
    <tableColumn id="7" xr3:uid="{00000000-0010-0000-0900-000007000000}" uniqueName="7" name="MNA" queryTableFieldId="7" dataDxfId="176"/>
    <tableColumn id="8" xr3:uid="{00000000-0010-0000-0900-000008000000}" uniqueName="8" name="Confed." queryTableFieldId="14" dataDxfId="175"/>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Clubs" displayName="Clubs" ref="A1:F357" tableType="queryTable" totalsRowShown="0" tableBorderDxfId="174">
  <autoFilter ref="A1:F357" xr:uid="{00000000-0009-0000-0100-000002000000}"/>
  <tableColumns count="6">
    <tableColumn id="1" xr3:uid="{00000000-0010-0000-0A00-000001000000}" uniqueName="1" name="Club name" queryTableFieldId="1" dataDxfId="173"/>
    <tableColumn id="2" xr3:uid="{00000000-0010-0000-0A00-000002000000}" uniqueName="2" name="Abbreviation" queryTableFieldId="2" dataDxfId="172"/>
    <tableColumn id="3" xr3:uid="{00000000-0010-0000-0A00-000003000000}" uniqueName="3" name="Nationality" queryTableFieldId="3" dataDxfId="171"/>
    <tableColumn id="4" xr3:uid="{00000000-0010-0000-0A00-000004000000}" uniqueName="4" name="FISTF Code" queryTableFieldId="4" dataDxfId="170"/>
    <tableColumn id="5" xr3:uid="{00000000-0010-0000-0A00-000005000000}" uniqueName="5" name="MNA" queryTableFieldId="5" dataDxfId="169"/>
    <tableColumn id="6" xr3:uid="{00000000-0010-0000-0A00-000006000000}" uniqueName="6" name="Confederation" queryTableFieldId="6" dataDxfId="168"/>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Nations" displayName="Nations" ref="A1:B253" tableType="queryTable" totalsRowShown="0">
  <autoFilter ref="A1:B253" xr:uid="{00000000-0009-0000-0100-000004000000}"/>
  <tableColumns count="2">
    <tableColumn id="1" xr3:uid="{00000000-0010-0000-0B00-000001000000}" uniqueName="1" name="Country" queryTableFieldId="1" dataDxfId="166"/>
    <tableColumn id="2" xr3:uid="{00000000-0010-0000-0B00-000002000000}" uniqueName="2" name="Abbr." queryTableFieldId="2" dataDxfId="165"/>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Categories" displayName="Categories" ref="B2:B8" totalsRowShown="0" headerRowDxfId="164" dataDxfId="163">
  <autoFilter ref="B2:B8" xr:uid="{00000000-0009-0000-0100-000005000000}"/>
  <tableColumns count="1">
    <tableColumn id="1" xr3:uid="{00000000-0010-0000-0C00-000001000000}" name="Categories" dataDxfId="162"/>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EventTypeList" displayName="EventTypeList" ref="D2:E13" totalsRowShown="0" headerRowDxfId="161" headerRowCellStyle="Normal 2" dataCellStyle="Normal 2">
  <autoFilter ref="D2:E13" xr:uid="{00000000-0009-0000-0100-000006000000}"/>
  <tableColumns count="2">
    <tableColumn id="1" xr3:uid="{00000000-0010-0000-0D00-000001000000}" name="Event Code" dataDxfId="160" dataCellStyle="Normal 2"/>
    <tableColumn id="2" xr3:uid="{00000000-0010-0000-0D00-000002000000}" name="Event Name" dataCellStyle="Normal 2"/>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E000000}" name="EventFees" displayName="EventFees" ref="G2:N13" totalsRowShown="0" headerRowCellStyle="Normal 2" dataCellStyle="Normal 2">
  <autoFilter ref="G2:N13" xr:uid="{00000000-0009-0000-0100-000007000000}"/>
  <tableColumns count="8">
    <tableColumn id="1" xr3:uid="{00000000-0010-0000-0E00-000001000000}" name="Category" dataDxfId="159" dataCellStyle="Normal 2">
      <calculatedColumnFormula>EventTypeList[[#This Row],[Event Code]]</calculatedColumnFormula>
    </tableColumn>
    <tableColumn id="2" xr3:uid="{00000000-0010-0000-0E00-000002000000}" name="OPEN" dataDxfId="158" dataCellStyle="Normal 2"/>
    <tableColumn id="3" xr3:uid="{00000000-0010-0000-0E00-000003000000}" name="VETERANS" dataDxfId="157" dataCellStyle="Normal 2"/>
    <tableColumn id="4" xr3:uid="{00000000-0010-0000-0E00-000004000000}" name="LADIES" dataDxfId="156" dataCellStyle="Normal 2"/>
    <tableColumn id="5" xr3:uid="{00000000-0010-0000-0E00-000005000000}" name="U20" dataDxfId="155" dataCellStyle="Normal 2"/>
    <tableColumn id="6" xr3:uid="{00000000-0010-0000-0E00-000006000000}" name="U16" dataDxfId="154" dataCellStyle="Normal 2"/>
    <tableColumn id="7" xr3:uid="{00000000-0010-0000-0E00-000007000000}" name="U12" dataDxfId="153" dataCellStyle="Normal 2"/>
    <tableColumn id="8" xr3:uid="{00000000-0010-0000-0E00-000008000000}" name="TEAMS" dataDxfId="152" dataCellStyle="Normal 2"/>
  </tableColumns>
  <tableStyleInfo name="TableStyleMedium10"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F000000}" name="Pitches" displayName="Pitches" ref="E17:E26" totalsRowShown="0" headerRowCellStyle="Normal 2" dataCellStyle="Normal 2">
  <autoFilter ref="E17:E26" xr:uid="{00000000-0009-0000-0100-000008000000}"/>
  <tableColumns count="1">
    <tableColumn id="1" xr3:uid="{00000000-0010-0000-0F00-000001000000}" name="Pitches" dataCellStyle="Normal 2"/>
  </tableColumns>
  <tableStyleInfo name="TableStyleLight1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Stages" displayName="Stages" ref="B13:B21" totalsRowShown="0" headerRowDxfId="151" dataDxfId="150" headerRowCellStyle="Normal 2" dataCellStyle="Normal 2">
  <autoFilter ref="B13:B21" xr:uid="{00000000-0009-0000-0100-000009000000}"/>
  <tableColumns count="1">
    <tableColumn id="1" xr3:uid="{00000000-0010-0000-1000-000001000000}" name="Stage" dataDxfId="149" dataCellStyle="Normal 2"/>
  </tableColumns>
  <tableStyleInfo name="TableStyleMedium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0C70D18-3AB7-437C-8F47-647C07739119}" name="Categories_Teams" displayName="Categories_Teams" ref="B10:B11" totalsRowShown="0" dataDxfId="148" headerRowCellStyle="Normal 2" dataCellStyle="Normal 2">
  <autoFilter ref="B10:B11" xr:uid="{50C70D18-3AB7-437C-8F47-647C07739119}"/>
  <tableColumns count="1">
    <tableColumn id="1" xr3:uid="{1DB7AB84-09F4-4CE1-9DE5-8B38528C40A5}" name="Categories_Teams" dataDxfId="147"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BE0C537-B488-439F-9E54-9BE96C220CF9}" name="Event_Values" displayName="Event_Values" ref="B26:B39" totalsRowShown="0" headerRowDxfId="146" headerRowCellStyle="Normal 2" dataCellStyle="Normal 2">
  <autoFilter ref="B26:B39" xr:uid="{EBE0C537-B488-439F-9E54-9BE96C220CF9}"/>
  <tableColumns count="1">
    <tableColumn id="1" xr3:uid="{992EE54E-C5AE-48CD-AC28-B130877E4607}" name="Event values"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4F44F4C-2A49-401F-AFD1-771273D818C4}" name="VeteransList" displayName="VeteransList" ref="A11:L152" totalsRowShown="0" headerRowDxfId="334" dataDxfId="333">
  <autoFilter ref="A11:L152" xr:uid="{00000000-0009-0000-0100-000001000000}"/>
  <tableColumns count="12">
    <tableColumn id="1" xr3:uid="{AC5F259C-6977-42F8-A3F5-B35A0E7BCC65}" name="N°" dataDxfId="332">
      <calculatedColumnFormula>IF(AND(VeteransList[[#This Row],[First &amp; Last Name]]="",VeteransList[[#This Row],[FISTF Code]]=""),"",ROW()-ROW($A$11))</calculatedColumnFormula>
    </tableColumn>
    <tableColumn id="2" xr3:uid="{B1225BC9-8310-445C-9176-34C187BAD66E}" name="First &amp; Last Name" dataDxfId="331" dataCellStyle="Normal 2"/>
    <tableColumn id="9" xr3:uid="{B4826583-3CE8-4393-910E-23818233FB24}" name="FISTF Code" dataDxfId="330" dataCellStyle="Normal 2 2"/>
    <tableColumn id="10" xr3:uid="{3D241ED1-5A4F-404F-9303-46C50E4B658B}" name="Valid Name ?" dataDxfId="329" dataCellStyle="Normal 2 2">
      <calculatedColumnFormula>IF(VeteransList[[#This Row],[First &amp; Last Name]]="","",IFERROR(ISNUMBER(MATCH(VeteransList[[#This Row],[First &amp; Last Name]],Players[Player Name],0)),FALSE))</calculatedColumnFormula>
    </tableColumn>
    <tableColumn id="12" xr3:uid="{7468DBEF-03AF-41D7-902C-C7581DE2A48F}" name="Valide Code ?" dataDxfId="328" dataCellStyle="Normal 2 2">
      <calculatedColumnFormula>IF(VeteransList[[#This Row],[FISTF Code]]="",FALSE,IFERROR(ISNUMBER(MATCH(VeteransList[[#This Row],[FISTF Code]],#REF!,0)),FALSE))</calculatedColumnFormula>
    </tableColumn>
    <tableColumn id="11" xr3:uid="{BF636E3F-822D-4712-B588-5FF400853DA2}" name="Retained Player Name" dataDxfId="327" dataCellStyle="Normal 2 2">
      <calculatedColumnFormula>IF(AND(VeteransList[[#This Row],[First &amp; Last Name]]="",VeteransList[[#This Row],[FISTF Code]]=""),"",IF(VeteransList[[#This Row],[Valide Code ?]],INDEX(Players[Player Name],MATCH(VeteransList[[#This Row],[FISTF Code]],#REF!,0)),VeteransList[[#This Row],[First &amp; Last Name]]))</calculatedColumnFormula>
    </tableColumn>
    <tableColumn id="3" xr3:uid="{7089E57E-A965-455A-BCA4-3F4632423024}" name="Nation" dataDxfId="326" dataCellStyle="Normal 2">
      <calculatedColumnFormula>IF(VeteransList[[#This Row],[Retained Player Name]]="","",VLOOKUP(VeteransList[[#This Row],[Retained Player Name]],Players[],7,FALSE))</calculatedColumnFormula>
    </tableColumn>
    <tableColumn id="4" xr3:uid="{1896BC95-1AC2-4EC7-BBB8-45E27508C11A}" name="Club" dataDxfId="325">
      <calculatedColumnFormula>IF(VeteransList[[#This Row],[Retained Player Name]]="","",VLOOKUP(VeteransList[[#This Row],[Retained Player Name]],Players[],6,FALSE))</calculatedColumnFormula>
    </tableColumn>
    <tableColumn id="5" xr3:uid="{29B05EB1-9D40-4F4B-A993-4AC435F3EC63}" name="Checked FISTF Code" dataDxfId="324">
      <calculatedColumnFormula>IF(VeteransList[[#This Row],[Retained Player Name]]="","",VLOOKUP(VeteransList[[#This Row],[Retained Player Name]],Players[],4,FALSE))</calculatedColumnFormula>
    </tableColumn>
    <tableColumn id="8" xr3:uid="{38EBBAB5-D622-48B6-A625-C33C65D6D56A}" name="Result" dataDxfId="323" dataCellStyle="Normal 2">
      <calculatedColumnFormula>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calculatedColumnFormula>
    </tableColumn>
    <tableColumn id="6" xr3:uid="{39EC83A0-727C-4171-87CC-8EA3A6993474}" name="Withdraw" dataDxfId="322"/>
    <tableColumn id="7" xr3:uid="{4BADBD3E-DA5B-4B04-9E8E-D45D69D8BC1C}" name="Comment" dataDxfId="321">
      <calculatedColumnFormula>AND(NOT(ISBLANK(C12)),NOT(E12))</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ED0BF47-CC2D-495C-8CA4-974ED7A5BCFF}" name="Team_Event_Values" displayName="Team_Event_Values" ref="B41:B43" totalsRowShown="0" headerRowDxfId="145" headerRowCellStyle="Normal 2" dataCellStyle="Normal 2">
  <autoFilter ref="B41:B43" xr:uid="{4ED0BF47-CC2D-495C-8CA4-974ED7A5BCFF}"/>
  <tableColumns count="1">
    <tableColumn id="1" xr3:uid="{056B233D-666F-40AA-90E7-86617FBAAEAC}" name="Team Event Values"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8D9FF94-0B5D-41AD-A5CD-1C7526B9F211}" name="Tableau21" displayName="Tableau21" ref="A1:C32" totalsRowShown="0" headerRowDxfId="144" dataDxfId="143">
  <autoFilter ref="A1:C32" xr:uid="{58D9FF94-0B5D-41AD-A5CD-1C7526B9F211}">
    <filterColumn colId="0" hiddenButton="1"/>
    <filterColumn colId="1" hiddenButton="1"/>
    <filterColumn colId="2" hiddenButton="1"/>
  </autoFilter>
  <tableColumns count="3">
    <tableColumn id="1" xr3:uid="{62949F3C-92F8-4A33-8A71-655FC7C32AD4}" name="N° Version" dataDxfId="142"/>
    <tableColumn id="4" xr3:uid="{05992C77-CFF5-4911-8CB2-2C8A053A2DF9}" name="Correction / Evolution / Both" dataDxfId="141"/>
    <tableColumn id="2" xr3:uid="{7B4AA6AA-EE81-40D2-AE22-25F286CA44A4}" name="Description" dataDxfId="140"/>
  </tableColumns>
  <tableStyleInfo name="TableStyleMedium2"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6FB731D-16AA-481A-8A00-CCD53C9FF15D}" name="LadiesList" displayName="LadiesList" ref="A11:L125" totalsRowShown="0" headerRowDxfId="320" dataDxfId="319">
  <autoFilter ref="A11:L125" xr:uid="{00000000-0009-0000-0100-000001000000}"/>
  <tableColumns count="12">
    <tableColumn id="1" xr3:uid="{FFE78B71-B761-462C-80AE-BA4C7050289E}" name="N°" dataDxfId="318">
      <calculatedColumnFormula>IF(AND(LadiesList[[#This Row],[First &amp; Last Name]]="",LadiesList[[#This Row],[FISTF Code]]=""),"",ROW()-ROW($A$11))</calculatedColumnFormula>
    </tableColumn>
    <tableColumn id="2" xr3:uid="{41B88520-07ED-46F1-B05E-49B3368CAFAF}" name="First &amp; Last Name" dataDxfId="317" dataCellStyle="Normal 2"/>
    <tableColumn id="9" xr3:uid="{02840015-4AE4-442E-B3B9-5EAF8B485DF4}" name="FISTF Code" dataDxfId="316" dataCellStyle="Normal 2 2"/>
    <tableColumn id="10" xr3:uid="{007F328D-6C6E-4E57-8B0A-53BEAF5F8EF2}" name="Valid Name ?" dataDxfId="315" dataCellStyle="Normal 2 2">
      <calculatedColumnFormula>IF(LadiesList[[#This Row],[First &amp; Last Name]]="","",IFERROR(ISNUMBER(MATCH(LadiesList[[#This Row],[First &amp; Last Name]],Players[Player Name],0)),FALSE))</calculatedColumnFormula>
    </tableColumn>
    <tableColumn id="12" xr3:uid="{1A32BEB7-0340-41EC-A1CC-105F3E13D085}" name="Valide Code ?" dataDxfId="314" dataCellStyle="Normal 2 2">
      <calculatedColumnFormula>IF(LadiesList[[#This Row],[FISTF Code]]="",FALSE,IFERROR(ISNUMBER(MATCH(LadiesList[[#This Row],[FISTF Code]],#REF!,0)),FALSE))</calculatedColumnFormula>
    </tableColumn>
    <tableColumn id="11" xr3:uid="{BD04C7C3-EE1A-4519-9134-D1BE4E1243E5}" name="Retained Player Name" dataDxfId="313" dataCellStyle="Normal 2 2">
      <calculatedColumnFormula>IF(AND(LadiesList[[#This Row],[First &amp; Last Name]]="",LadiesList[[#This Row],[FISTF Code]]=""),"",IF(LadiesList[[#This Row],[Valide Code ?]],INDEX(Players[Player Name],MATCH(LadiesList[[#This Row],[FISTF Code]],#REF!,0)),LadiesList[[#This Row],[First &amp; Last Name]]))</calculatedColumnFormula>
    </tableColumn>
    <tableColumn id="3" xr3:uid="{8D04F1E0-E3B4-4B3E-84BF-32FDD1F0A821}" name="Nation" dataDxfId="312" dataCellStyle="Normal 2">
      <calculatedColumnFormula>IF(LadiesList[[#This Row],[Retained Player Name]]="","",VLOOKUP(LadiesList[[#This Row],[Retained Player Name]],Players[],7,FALSE))</calculatedColumnFormula>
    </tableColumn>
    <tableColumn id="4" xr3:uid="{2E0680C7-D7F0-4426-B2EF-0F878A0F6283}" name="Club" dataDxfId="311">
      <calculatedColumnFormula>IF(LadiesList[[#This Row],[Retained Player Name]]="","",VLOOKUP(LadiesList[[#This Row],[Retained Player Name]],Players[],6,FALSE))</calculatedColumnFormula>
    </tableColumn>
    <tableColumn id="5" xr3:uid="{C7A0A1F3-F2B6-4F94-B236-4A0E828015D2}" name="Checked FISTF Code" dataDxfId="310">
      <calculatedColumnFormula>IF(LadiesList[[#This Row],[Retained Player Name]]="","",VLOOKUP(LadiesList[[#This Row],[Retained Player Name]],Players[],4,FALSE))</calculatedColumnFormula>
    </tableColumn>
    <tableColumn id="8" xr3:uid="{447E92D2-798E-4319-BE4D-E75503897E56}" name="Result" dataDxfId="309" dataCellStyle="Normal 2">
      <calculatedColumnFormula>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calculatedColumnFormula>
    </tableColumn>
    <tableColumn id="6" xr3:uid="{835EAD9C-A1E5-4F2B-9AC2-B94F7E283E35}" name="Withdraw" dataDxfId="308"/>
    <tableColumn id="7" xr3:uid="{A28AB5CD-394D-4143-8958-D5BF7DF271B5}" name="Comment" dataDxfId="307">
      <calculatedColumnFormula>AND(NOT(ISBLANK(C12)),NOT(E12))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510C436-4C46-4504-AA75-F45A069FE393}" name="U20List" displayName="U20List" ref="A11:L125" totalsRowShown="0" headerRowDxfId="306" dataDxfId="305">
  <autoFilter ref="A11:L125" xr:uid="{00000000-0009-0000-0100-000001000000}"/>
  <tableColumns count="12">
    <tableColumn id="1" xr3:uid="{89625925-E118-42EA-A287-B1345566FAF3}" name="N°" dataDxfId="304">
      <calculatedColumnFormula>IF(AND(U20List[[#This Row],[First &amp; Last Name]]="",U20List[[#This Row],[FISTF Code]]=""),"",ROW()-ROW($A$11))</calculatedColumnFormula>
    </tableColumn>
    <tableColumn id="2" xr3:uid="{66F878A9-2817-4041-9D66-CE69B79C4EEA}" name="First &amp; Last Name" dataDxfId="303" dataCellStyle="Normal 2"/>
    <tableColumn id="9" xr3:uid="{7BE0834D-5C5C-4D92-A164-90AC3EC85BF4}" name="FISTF Code" dataDxfId="302" dataCellStyle="Normal 2 2"/>
    <tableColumn id="10" xr3:uid="{E5FDD3F7-F7EC-4880-B55E-BDD85ECFD76A}" name="Valid Name ?" dataDxfId="301" dataCellStyle="Normal 2 2">
      <calculatedColumnFormula>IF(U20List[[#This Row],[First &amp; Last Name]]="","",IFERROR(ISNUMBER(MATCH(U20List[[#This Row],[First &amp; Last Name]],Players[Player Name],0)),FALSE))</calculatedColumnFormula>
    </tableColumn>
    <tableColumn id="12" xr3:uid="{BB149BBD-6B97-4636-A4D8-77EC722C1124}" name="Valide Code ?" dataDxfId="300" dataCellStyle="Normal 2 2">
      <calculatedColumnFormula>IF(U20List[[#This Row],[FISTF Code]]="",FALSE,IFERROR(ISNUMBER(MATCH(U20List[[#This Row],[FISTF Code]],#REF!,0)),FALSE))</calculatedColumnFormula>
    </tableColumn>
    <tableColumn id="11" xr3:uid="{B7E96D16-D8C7-4333-AEA7-E469970A9A26}" name="Retained Player Name" dataDxfId="299" dataCellStyle="Normal 2 2">
      <calculatedColumnFormula>IF(AND(U20List[[#This Row],[First &amp; Last Name]]="",U20List[[#This Row],[FISTF Code]]=""),"",IF(U20List[[#This Row],[Valide Code ?]],INDEX(Players[Player Name],MATCH(U20List[[#This Row],[FISTF Code]],#REF!,0)),U20List[[#This Row],[First &amp; Last Name]]))</calculatedColumnFormula>
    </tableColumn>
    <tableColumn id="3" xr3:uid="{AD618308-CCC3-445D-8EA1-7F8C46D7C9C9}" name="Nation" dataDxfId="298" dataCellStyle="Normal 2">
      <calculatedColumnFormula>IF(U20List[[#This Row],[Retained Player Name]]="","",VLOOKUP(U20List[[#This Row],[Retained Player Name]],Players[],7,FALSE))</calculatedColumnFormula>
    </tableColumn>
    <tableColumn id="4" xr3:uid="{1288B30A-C71F-430C-B5EC-C1AB18784AA1}" name="Club" dataDxfId="297">
      <calculatedColumnFormula>IF(U20List[[#This Row],[Retained Player Name]]="","",VLOOKUP(U20List[[#This Row],[Retained Player Name]],Players[],6,FALSE))</calculatedColumnFormula>
    </tableColumn>
    <tableColumn id="5" xr3:uid="{2D066A8C-6AD3-4C01-B228-0369059AB032}" name="Checked FISTF Code" dataDxfId="296">
      <calculatedColumnFormula>IF(U20List[[#This Row],[Retained Player Name]]="","",VLOOKUP(U20List[[#This Row],[Retained Player Name]],Players[],4,FALSE))</calculatedColumnFormula>
    </tableColumn>
    <tableColumn id="8" xr3:uid="{53BF8F82-5D8F-40F8-89DC-61B532BD96B8}" name="Result" dataDxfId="295" dataCellStyle="Normal 2">
      <calculatedColumnFormula>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calculatedColumnFormula>
    </tableColumn>
    <tableColumn id="6" xr3:uid="{41414C93-836C-46B0-9525-93C7FEA55F58}" name="Withdraw" dataDxfId="294"/>
    <tableColumn id="7" xr3:uid="{92DACE54-C243-4935-B14E-D548E1331A8C}" name="Comment" dataDxfId="293">
      <calculatedColumnFormula>AND(NOT(ISBLANK(C12)),NOT(E12))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9A1FDFF-1552-42CB-9531-274253EEA427}" name="U16List" displayName="U16List" ref="A11:L125" totalsRowShown="0" headerRowDxfId="292" dataDxfId="291">
  <autoFilter ref="A11:L125" xr:uid="{00000000-0009-0000-0100-000001000000}"/>
  <tableColumns count="12">
    <tableColumn id="1" xr3:uid="{9DDC760B-261A-47D2-9FAA-34D76D1C544C}" name="N°" dataDxfId="290">
      <calculatedColumnFormula>IF(AND(U16List[[#This Row],[First &amp; Last Name]]="",U16List[[#This Row],[FISTF Code]]=""),"",ROW()-ROW($A$11))</calculatedColumnFormula>
    </tableColumn>
    <tableColumn id="2" xr3:uid="{3E39A5F5-20FB-445A-9B1A-71E5433A7B27}" name="First &amp; Last Name" dataDxfId="289" dataCellStyle="Normal 2"/>
    <tableColumn id="9" xr3:uid="{63194CB1-D25A-4E6F-906C-1959FEA329FD}" name="FISTF Code" dataDxfId="288" dataCellStyle="Normal 2 2"/>
    <tableColumn id="10" xr3:uid="{3528C434-1272-4121-A50D-1987FF44B3B1}" name="Valid Name ?" dataDxfId="287" dataCellStyle="Normal 2 2">
      <calculatedColumnFormula>IF(U16List[[#This Row],[First &amp; Last Name]]="","",IFERROR(ISNUMBER(MATCH(U16List[[#This Row],[First &amp; Last Name]],Players[Player Name],0)),FALSE))</calculatedColumnFormula>
    </tableColumn>
    <tableColumn id="12" xr3:uid="{2925FC59-822A-4F70-95CD-D2274153C09A}" name="Valide Code ?" dataDxfId="286" dataCellStyle="Normal 2 2">
      <calculatedColumnFormula>IF(U16List[[#This Row],[FISTF Code]]="",FALSE,IFERROR(ISNUMBER(MATCH(U16List[[#This Row],[FISTF Code]],#REF!,0)),FALSE))</calculatedColumnFormula>
    </tableColumn>
    <tableColumn id="11" xr3:uid="{CB32B26C-EC31-4E58-9158-B7A5EE9D7A87}" name="Retained Player Name" dataDxfId="285" dataCellStyle="Normal 2 2">
      <calculatedColumnFormula>IF(AND(U16List[[#This Row],[First &amp; Last Name]]="",U16List[[#This Row],[FISTF Code]]=""),"",IF(U16List[[#This Row],[Valide Code ?]],INDEX(Players[Player Name],MATCH(U16List[[#This Row],[FISTF Code]],#REF!,0)),U16List[[#This Row],[First &amp; Last Name]]))</calculatedColumnFormula>
    </tableColumn>
    <tableColumn id="3" xr3:uid="{53B52A71-7001-4E18-BE5E-0F9A07AF7CAC}" name="Nation" dataDxfId="284" dataCellStyle="Normal 2">
      <calculatedColumnFormula>IF(U16List[[#This Row],[Retained Player Name]]="","",VLOOKUP(U16List[[#This Row],[Retained Player Name]],Players[],7,FALSE))</calculatedColumnFormula>
    </tableColumn>
    <tableColumn id="4" xr3:uid="{B524787E-6781-42CE-990C-19A8DF973352}" name="Club" dataDxfId="283">
      <calculatedColumnFormula>IF(U16List[[#This Row],[Retained Player Name]]="","",VLOOKUP(U16List[[#This Row],[Retained Player Name]],Players[],6,FALSE))</calculatedColumnFormula>
    </tableColumn>
    <tableColumn id="5" xr3:uid="{73C671B1-4383-4551-9614-91251E7EAF28}" name="Checked FISTF Code" dataDxfId="282">
      <calculatedColumnFormula>IF(U16List[[#This Row],[Retained Player Name]]="","",VLOOKUP(U16List[[#This Row],[Retained Player Name]],Players[],4,FALSE))</calculatedColumnFormula>
    </tableColumn>
    <tableColumn id="8" xr3:uid="{8C8EEF36-982D-4B6A-AC0D-4932C6002601}" name="Result" dataDxfId="281" dataCellStyle="Normal 2">
      <calculatedColumnFormula>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calculatedColumnFormula>
    </tableColumn>
    <tableColumn id="6" xr3:uid="{70B640CC-4BE9-4E89-9F54-45C60F93BD7D}" name="Withdraw" dataDxfId="280"/>
    <tableColumn id="7" xr3:uid="{1A794B56-D3CE-4E59-BB79-1AB2803F3D17}" name="Comment" dataDxfId="279">
      <calculatedColumnFormula>AND(NOT(ISBLANK(C12)),NOT(E12))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3C74558-A8C2-4E1E-9535-6E7AA8EBADE1}" name="U12List" displayName="U12List" ref="A11:L125" totalsRowShown="0" headerRowDxfId="278" dataDxfId="277">
  <autoFilter ref="A11:L125" xr:uid="{00000000-0009-0000-0100-000001000000}"/>
  <tableColumns count="12">
    <tableColumn id="1" xr3:uid="{C754A568-13CA-4EC4-B357-5E36AA8D7105}" name="N°" dataDxfId="276">
      <calculatedColumnFormula>IF(AND(U12List[[#This Row],[First &amp; Last Name]]="",U12List[[#This Row],[FISTF Code]]=""),"",ROW()-ROW($A$11))</calculatedColumnFormula>
    </tableColumn>
    <tableColumn id="2" xr3:uid="{6EBC9B06-9BEB-4AAB-850C-EB54EAF0497C}" name="First &amp; Last Name" dataDxfId="275" dataCellStyle="Normal 2"/>
    <tableColumn id="9" xr3:uid="{8F333ED3-250B-43F5-9EFE-6D59DCAF3D79}" name="FISTF Code" dataDxfId="274" dataCellStyle="Normal 2 2"/>
    <tableColumn id="10" xr3:uid="{794ACF92-83E9-4389-9B3C-284ACC7839EC}" name="Valid Name ?" dataDxfId="273" dataCellStyle="Normal 2 2">
      <calculatedColumnFormula>IF(U12List[[#This Row],[First &amp; Last Name]]="","",IFERROR(ISNUMBER(MATCH(U12List[[#This Row],[First &amp; Last Name]],Players[Player Name],0)),FALSE))</calculatedColumnFormula>
    </tableColumn>
    <tableColumn id="12" xr3:uid="{F5185E40-E841-49B9-8D79-DE22F3689AAC}" name="Valide Code ?" dataDxfId="272" dataCellStyle="Normal 2 2">
      <calculatedColumnFormula>IF(U12List[[#This Row],[FISTF Code]]="",FALSE,IFERROR(ISNUMBER(MATCH(U12List[[#This Row],[FISTF Code]],#REF!,0)),FALSE))</calculatedColumnFormula>
    </tableColumn>
    <tableColumn id="11" xr3:uid="{B7794804-9E7F-4E87-B0EA-2DC14528F974}" name="Retained Player Name" dataDxfId="271" dataCellStyle="Normal 2 2">
      <calculatedColumnFormula>IF(AND(U12List[[#This Row],[First &amp; Last Name]]="",U12List[[#This Row],[FISTF Code]]=""),"",IF(U12List[[#This Row],[Valide Code ?]],INDEX(Players[Player Name],MATCH(U12List[[#This Row],[FISTF Code]],#REF!,0)),U12List[[#This Row],[First &amp; Last Name]]))</calculatedColumnFormula>
    </tableColumn>
    <tableColumn id="3" xr3:uid="{781DEB1E-0D8B-483C-B38C-0ECF0DFB1445}" name="Nation" dataDxfId="270" dataCellStyle="Normal 2">
      <calculatedColumnFormula>IF(U12List[[#This Row],[Retained Player Name]]="","",VLOOKUP(U12List[[#This Row],[Retained Player Name]],Players[],7,FALSE))</calculatedColumnFormula>
    </tableColumn>
    <tableColumn id="4" xr3:uid="{58AFDAA1-50D8-4FBE-95D6-A209F8BB951E}" name="Club" dataDxfId="269">
      <calculatedColumnFormula>IF(U12List[[#This Row],[Retained Player Name]]="","",VLOOKUP(U12List[[#This Row],[Retained Player Name]],Players[],6,FALSE))</calculatedColumnFormula>
    </tableColumn>
    <tableColumn id="5" xr3:uid="{85591292-0360-4A9C-B849-3A9F556FB335}" name="Checked FISTF Code" dataDxfId="268">
      <calculatedColumnFormula>IF(U12List[[#This Row],[Retained Player Name]]="","",VLOOKUP(U12List[[#This Row],[Retained Player Name]],Players[],4,FALSE))</calculatedColumnFormula>
    </tableColumn>
    <tableColumn id="8" xr3:uid="{0DEB4C50-FE3C-43FB-A12D-D09CBF0F4B5E}" name="Result" dataDxfId="267" dataCellStyle="Normal 2">
      <calculatedColumnFormula>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calculatedColumnFormula>
    </tableColumn>
    <tableColumn id="6" xr3:uid="{35FD57D6-7782-46B9-8B34-09F68D0424B8}" name="Withdraw" dataDxfId="266"/>
    <tableColumn id="7" xr3:uid="{B4A3273E-8001-48F0-A97F-2D8F905A1153}" name="Comment" dataDxfId="265">
      <calculatedColumnFormula>AND(NOT(ISBLANK(C12)),NOT(E12))</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eamsList" displayName="TeamsList" ref="A9:J73" totalsRowShown="0" headerRowDxfId="264" dataDxfId="263" headerRowCellStyle="Normal 2" dataCellStyle="Normal 2">
  <autoFilter ref="A9:J73" xr:uid="{00000000-0009-0000-0100-00000A000000}"/>
  <tableColumns count="10">
    <tableColumn id="1" xr3:uid="{00000000-0010-0000-0600-000001000000}" name="N°" dataDxfId="262" dataCellStyle="Normal 2">
      <calculatedColumnFormula>IF(Team!$B10="","",ROW()-ROW(Team!$A$9))</calculatedColumnFormula>
    </tableColumn>
    <tableColumn id="2" xr3:uid="{00000000-0010-0000-0600-000002000000}" name="Club Name" dataDxfId="261" dataCellStyle="Normal 2"/>
    <tableColumn id="3" xr3:uid="{00000000-0010-0000-0600-000003000000}" name="# Team" dataDxfId="260" dataCellStyle="Normal 2"/>
    <tableColumn id="5" xr3:uid="{00000000-0010-0000-0600-000005000000}" name="Team Name" dataDxfId="259" dataCellStyle="Normal 2">
      <calculatedColumnFormula>IF($B10="","",$B10 &amp; IF($C10="A",""," "&amp; CODE($C10) - CODE("A")+1))</calculatedColumnFormula>
    </tableColumn>
    <tableColumn id="4" xr3:uid="{00000000-0010-0000-0600-000004000000}" name="Nation" dataDxfId="258" dataCellStyle="Normal 2">
      <calculatedColumnFormula>IF($B10="","",VLOOKUP($B10,Clubs[],3,FALSE))</calculatedColumnFormula>
    </tableColumn>
    <tableColumn id="6" xr3:uid="{00000000-0010-0000-0600-000006000000}" name="Club FISTF Code" dataDxfId="257" dataCellStyle="Normal 2">
      <calculatedColumnFormula>IF($B10="","",VLOOKUP($B10,Clubs[],4,FALSE))</calculatedColumnFormula>
    </tableColumn>
    <tableColumn id="7" xr3:uid="{00000000-0010-0000-0600-000007000000}" name="Club Abb." dataDxfId="256" dataCellStyle="Normal 2">
      <calculatedColumnFormula>IF($B10="","",VLOOKUP($B10,Clubs[],2,FALSE))</calculatedColumnFormula>
    </tableColumn>
    <tableColumn id="8" xr3:uid="{00000000-0010-0000-0600-000008000000}" name="Result" dataDxfId="255" dataCellStyle="Normal 2">
      <calculatedColumnFormula>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calculatedColumnFormula>
    </tableColumn>
    <tableColumn id="9" xr3:uid="{00000000-0010-0000-0600-000009000000}" name="Withdraw" dataDxfId="254" dataCellStyle="Normal 2"/>
    <tableColumn id="10" xr3:uid="{00000000-0010-0000-0600-00000A000000}" name="Comment" dataDxfId="253"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ResultsInd" displayName="ResultsInd" ref="A21:Z1137" totalsRowShown="0" headerRowDxfId="252" dataDxfId="250" headerRowBorderDxfId="251" tableBorderDxfId="249" headerRowCellStyle="Normal 2" dataCellStyle="Normal 2">
  <tableColumns count="26">
    <tableColumn id="1" xr3:uid="{00000000-0010-0000-0700-000001000000}" name="Category" dataDxfId="248" dataCellStyle="Normal 2"/>
    <tableColumn id="2" xr3:uid="{00000000-0010-0000-0700-000002000000}" name="Stage" dataDxfId="247" dataCellStyle="Normal 2"/>
    <tableColumn id="3" xr3:uid="{00000000-0010-0000-0700-000003000000}" name="Group" dataDxfId="246" dataCellStyle="Normal 2"/>
    <tableColumn id="4" xr3:uid="{00000000-0010-0000-0700-000004000000}" name="Game#" dataDxfId="245" dataCellStyle="Normal 2"/>
    <tableColumn id="5" xr3:uid="{00000000-0010-0000-0700-000005000000}" name="Player A" dataDxfId="244" dataCellStyle="Normal 2"/>
    <tableColumn id="6" xr3:uid="{00000000-0010-0000-0700-000006000000}" name="Player B" dataDxfId="243" dataCellStyle="Normal 2"/>
    <tableColumn id="7" xr3:uid="{00000000-0010-0000-0700-000007000000}" name="Score-A" dataDxfId="242" dataCellStyle="Normal 2"/>
    <tableColumn id="8" xr3:uid="{00000000-0010-0000-0700-000008000000}" name="Score-B" dataDxfId="241" dataCellStyle="Normal 2"/>
    <tableColumn id="9" xr3:uid="{00000000-0010-0000-0700-000009000000}" name="SD" dataDxfId="240" dataCellStyle="Normal 2"/>
    <tableColumn id="10" xr3:uid="{00000000-0010-0000-0700-00000A000000}" name="Shoot-A" dataDxfId="239" dataCellStyle="Normal 2"/>
    <tableColumn id="11" xr3:uid="{00000000-0010-0000-0700-00000B000000}" name="Shoot-B" dataDxfId="238" dataCellStyle="Normal 2"/>
    <tableColumn id="12" xr3:uid="{00000000-0010-0000-0700-00000C000000}" name="Referee name" dataDxfId="237" dataCellStyle="Normal 2"/>
    <tableColumn id="26" xr3:uid="{769F43F4-96D0-454A-8546-B36E9BE2964E}" name="Score_OK" dataDxfId="236" dataCellStyle="Normal 2">
      <calculatedColumnFormula>NOT(ISERROR(ResultsInd[[#This Row],[Goal-A]]+ResultsInd[[#This Row],[Goal-B]]))</calculatedColumnFormula>
    </tableColumn>
    <tableColumn id="24" xr3:uid="{6EBC3920-4701-42D4-B763-BBF042FA3DE1}" name="Goal-A" dataDxfId="235" dataCellStyle="Normal 2">
      <calculatedColumnFormula>VALUE(ResultsInd[[#This Row],[Score-A]])</calculatedColumnFormula>
    </tableColumn>
    <tableColumn id="25" xr3:uid="{D588E0A0-EDDC-4444-B8CF-9B3C91E40888}" name="Goal-B" dataDxfId="234" dataCellStyle="Normal 2">
      <calculatedColumnFormula>VALUE(ResultsInd[[#This Row],[Score-B]])</calculatedColumnFormula>
    </tableColumn>
    <tableColumn id="23" xr3:uid="{00000000-0010-0000-0700-000017000000}" name="Registered A" dataDxfId="233" dataCellStyle="Normal 2">
      <calculatedColumnFormula>IF(AND(ResultsInd[[#This Row],[Category]]&lt;&gt;"",ResultsInd[[#This Row],[Player A]]&lt;&gt;""),COUNTIF(INDIRECT(ResultsInd[[#This Row],[Category]]&amp;"List[First &amp; Last Name]"),ResultsInd[[#This Row],[Player A]]),"")</calculatedColumnFormula>
    </tableColumn>
    <tableColumn id="22" xr3:uid="{00000000-0010-0000-0700-000016000000}" name="Registered B" dataDxfId="232" dataCellStyle="Normal 2">
      <calculatedColumnFormula>IF(AND(ResultsInd[[#This Row],[Category]]&lt;&gt;"",ResultsInd[[#This Row],[Player B]]&lt;&gt;""),COUNTIF(INDIRECT(ResultsInd[[#This Row],[Category]]&amp;"List[First &amp; Last Name]"),ResultsInd[[#This Row],[Player B]]),"")</calculatedColumnFormula>
    </tableColumn>
    <tableColumn id="17" xr3:uid="{00000000-0010-0000-0700-000011000000}" name="Win" dataDxfId="231" dataCellStyle="Normal 2">
      <calculatedColumnFormula>IF(ResultsInd[[#This Row],[Score_OK]],IF(ResultsInd[[#This Row],[Stage]]="Groups",ResultsInd[[#This Row],[Category]]&amp;"-"&amp;IF(ResultsInd[[#This Row],[Player B]]="","",IF(ResultsInd[[#This Row],[Score-A]]&gt;ResultsInd[[#This Row],[Score-B]],ResultsInd[[#This Row],[Player A]],IF(ResultsInd[[#This Row],[Score-A]]=ResultsInd[[#This Row],[Score-B]],"",ResultsInd[[#This Row],[Player B]]))),""),"")</calculatedColumnFormula>
    </tableColumn>
    <tableColumn id="16" xr3:uid="{00000000-0010-0000-0700-000010000000}" name="Draw1" dataDxfId="230" dataCellStyle="Normal 2">
      <calculatedColumnFormula>IF(ResultsInd[[#This Row],[Score_OK]],IF(ResultsInd[[#This Row],[Stage]]="Groups",ResultsInd[[#This Row],[Category]]&amp;"-"&amp;IF(ResultsInd[[#This Row],[Player B]]="","",IF(ResultsInd[[#This Row],[Score-A]]=ResultsInd[[#This Row],[Score-B]],ResultsInd[[#This Row],[Player A]],"")),""),"")</calculatedColumnFormula>
    </tableColumn>
    <tableColumn id="15" xr3:uid="{00000000-0010-0000-0700-00000F000000}" name="Draw2" dataDxfId="229" dataCellStyle="Normal 2">
      <calculatedColumnFormula>IF(ResultsInd[[#This Row],[Score_OK]],IF(ResultsInd[[#This Row],[Stage]]="Groups",ResultsInd[[#This Row],[Category]]&amp;"-"&amp;IF(ResultsInd[[#This Row],[Player B]]="","",IF(ResultsInd[[#This Row],[Score-A]]=ResultsInd[[#This Row],[Score-B]],ResultsInd[[#This Row],[Player B]],"")),""),"")</calculatedColumnFormula>
    </tableColumn>
    <tableColumn id="14" xr3:uid="{00000000-0010-0000-0700-00000E000000}" name="Lose" dataDxfId="228" dataCellStyle="Normal 2">
      <calculatedColumnFormula>IF(ResultsInd[[#This Row],[Score_OK]],IF(ResultsInd[[#This Row],[Stage]]="Groups",ResultsInd[[#This Row],[Category]]&amp;"-"&amp;IF(ResultsInd[[#This Row],[Player B]]="","",IF(ResultsInd[[#This Row],[Score-A]]&lt;ResultsInd[[#This Row],[Score-B]],ResultsInd[[#This Row],[Player A]],IF(ResultsInd[[#This Row],[Score-A]]=ResultsInd[[#This Row],[Score-B]],"",ResultsInd[[#This Row],[Player B]]))),""),"")</calculatedColumnFormula>
    </tableColumn>
    <tableColumn id="18" xr3:uid="{00000000-0010-0000-0700-000012000000}" name="LoseInKO" dataDxfId="227" dataCellStyle="Normal 2">
      <calculatedColumnFormula>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calculatedColumnFormula>
    </tableColumn>
    <tableColumn id="19" xr3:uid="{00000000-0010-0000-0700-000013000000}" name="LoseOrDrawInGroups" dataDxfId="226"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calculatedColumnFormula>
    </tableColumn>
    <tableColumn id="13" xr3:uid="{00000000-0010-0000-0700-00000D000000}" name="DrawInGroups" dataDxfId="225"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calculatedColumnFormula>
    </tableColumn>
    <tableColumn id="20" xr3:uid="{00000000-0010-0000-0700-000014000000}" name="Level" dataDxfId="224" dataCellStyle="Normal 2">
      <calculatedColumnFormula>IF(ResultsInd[[#This Row],[Category]]="","",VLOOKUP(ResultsInd[[#This Row],[Stage]],$P$1:$V$9,MATCH(ResultsInd[[#This Row],[Category]],$Q$1:$V$1,0)+1,FALSE))</calculatedColumnFormula>
    </tableColumn>
    <tableColumn id="21" xr3:uid="{00000000-0010-0000-0700-000015000000}" name="Winners" dataDxfId="223" dataCellStyle="Normal 2">
      <calculatedColumnFormula>IF(ResultsInd[[#This Row],[Score_OK]],IF(ResultsInd[[#This Row],[Level]]="R",ResultsInd[[#This Row],[Category]]&amp;"-"&amp;IF(ResultsInd[[#This Row],[LoseInKO]]=ResultsInd[[#This Row],[Category]]&amp;"-"&amp;ResultsInd[[#This Row],[Player A]],ResultsInd[[#This Row],[Player B]],ResultsInd[[#This Row],[Player A]]),""),"")</calculatedColumnFormula>
    </tableColumn>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ResultsTeams" displayName="ResultsTeams" ref="A25:AF921" totalsRowShown="0" headerRowDxfId="222" dataDxfId="221" tableBorderDxfId="220" headerRowCellStyle="Normal 2" dataCellStyle="Normal 2">
  <tableColumns count="32">
    <tableColumn id="1" xr3:uid="{00000000-0010-0000-0800-000001000000}" name="Category" dataDxfId="219" dataCellStyle="Normal 2"/>
    <tableColumn id="2" xr3:uid="{00000000-0010-0000-0800-000002000000}" name="Stage" dataDxfId="218" dataCellStyle="Normal 2"/>
    <tableColumn id="3" xr3:uid="{00000000-0010-0000-0800-000003000000}" name="Group" dataDxfId="217" dataCellStyle="Normal 2"/>
    <tableColumn id="4" xr3:uid="{00000000-0010-0000-0800-000004000000}" name="Game#" dataDxfId="216" dataCellStyle="Normal 2"/>
    <tableColumn id="5" xr3:uid="{00000000-0010-0000-0800-000005000000}" name="Type" dataDxfId="215" dataCellStyle="Normal 2"/>
    <tableColumn id="6" xr3:uid="{00000000-0010-0000-0800-000006000000}" name="Team A" dataDxfId="214" dataCellStyle="Normal 2"/>
    <tableColumn id="7" xr3:uid="{00000000-0010-0000-0800-000007000000}" name="Team B" dataDxfId="213" dataCellStyle="Normal 2"/>
    <tableColumn id="8" xr3:uid="{00000000-0010-0000-0800-000008000000}" name="Score-A" dataDxfId="212" dataCellStyle="Normal 2"/>
    <tableColumn id="9" xr3:uid="{00000000-0010-0000-0800-000009000000}" name="Score-B" dataDxfId="211" dataCellStyle="Normal 2"/>
    <tableColumn id="19" xr3:uid="{00000000-0010-0000-0800-000013000000}" name="SD" dataDxfId="210" dataCellStyle="Normal 2"/>
    <tableColumn id="20" xr3:uid="{00000000-0010-0000-0800-000014000000}" name="Shoot-A" dataDxfId="209" dataCellStyle="Normal 2"/>
    <tableColumn id="10" xr3:uid="{00000000-0010-0000-0800-00000A000000}" name="Shoot-B" dataDxfId="208" dataCellStyle="Normal 2"/>
    <tableColumn id="11" xr3:uid="{00000000-0010-0000-0800-00000B000000}" name="Referee's name" dataDxfId="207" dataCellStyle="Normal 2"/>
    <tableColumn id="26" xr3:uid="{E0DB6BA6-37F6-4A61-A54A-78B3283C8300}" name="Score_OK" dataDxfId="206" dataCellStyle="Normal 2">
      <calculatedColumnFormula>NOT(ISERROR(ResultsTeams[[#This Row],[Goal-A]]+ResultsTeams[[#This Row],[Goal-B]]))</calculatedColumnFormula>
    </tableColumn>
    <tableColumn id="29" xr3:uid="{7DCBE69A-D1AF-408B-B05A-D557F6D48EDD}" name="Match-A" dataDxfId="205" dataCellStyle="Normal 2">
      <calculatedColumnFormula>IF(ResultsTeams[[#This Row],[Type]]="G",SUM(O27:O30),IF(LEFT(ResultsTeams[[#This Row],[Type]],1)="P",IF(ResultsTeams[[#This Row],[Goal-A]]&gt;ResultsTeams[[#This Row],[Goal-B]],1,0),""))</calculatedColumnFormula>
    </tableColumn>
    <tableColumn id="30" xr3:uid="{B83E64F0-BED6-41FE-A538-0C938C2D6A73}" name="Match-B" dataDxfId="204" dataCellStyle="Normal 2">
      <calculatedColumnFormula>IF(ResultsTeams[[#This Row],[Type]]="G",SUM(P27:P30),IF(LEFT(ResultsTeams[[#This Row],[Type]],1)="P",IF(ResultsTeams[[#This Row],[Goal-A]]&lt;ResultsTeams[[#This Row],[Goal-B]],1,0),""))</calculatedColumnFormula>
    </tableColumn>
    <tableColumn id="25" xr3:uid="{22E6D787-E5CD-45FF-92D9-A386093F5AF6}" name="Goal-A" dataDxfId="203" dataCellStyle="Normal 2">
      <calculatedColumnFormula>IF(ResultsTeams[[#This Row],[Type]]="G",SUM(Q27:Q30),IF(LEFT(ResultsTeams[[#This Row],[Type]],1)="P",VALUE(ResultsTeams[[#This Row],[Score-A]]),""))</calculatedColumnFormula>
    </tableColumn>
    <tableColumn id="24" xr3:uid="{2902221D-552A-4480-9551-5472EAD7CE2A}" name="Goal-B" dataDxfId="202" dataCellStyle="Normal 2">
      <calculatedColumnFormula>IF(ResultsTeams[[#This Row],[Type]]="G",SUM(R27:R30),IF(LEFT(ResultsTeams[[#This Row],[Type]],1)="P",VALUE(ResultsTeams[[#This Row],[Score-B]]),""))</calculatedColumnFormula>
    </tableColumn>
    <tableColumn id="12" xr3:uid="{00000000-0010-0000-0800-00000C000000}" name="Registered A2" dataDxfId="201" dataCellStyle="Normal 2">
      <calculatedColumnFormula>IF(AND(ResultsTeams[[#This Row],[Category]]&lt;&gt;"",ResultsTeams[[#This Row],[Team A]]&lt;&gt;""),COUNTIF(INDIRECT("TeamsList[Club Name]"),ResultsTeams[[#This Row],[Team A]]),"")</calculatedColumnFormula>
    </tableColumn>
    <tableColumn id="13" xr3:uid="{00000000-0010-0000-0800-00000D000000}" name="Registered B" dataDxfId="200" dataCellStyle="Normal 2">
      <calculatedColumnFormula>IF(AND(ResultsTeams[[#This Row],[Category]]&lt;&gt;"",ResultsTeams[[#This Row],[Team B]]&lt;&gt;""),COUNTIF(INDIRECT("TeamsList[Club Name]"),ResultsTeams[[#This Row],[Team B]]),"")</calculatedColumnFormula>
    </tableColumn>
    <tableColumn id="23" xr3:uid="{7555A56C-FF9E-43AD-8648-D0253A9E67E8}" name="Win" dataDxfId="199" dataCellStyle="Normal 2">
      <calculatedColumnFormula>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calculatedColumnFormula>
    </tableColumn>
    <tableColumn id="27" xr3:uid="{14E5E8AD-B23D-4990-BF2E-B0750C93ECBC}" name="Draw1" dataDxfId="198" dataCellStyle="Normal 2">
      <calculatedColumnFormula>IF(ResultsTeams[[#This Row],[Score_OK]],IF(ResultsTeams[[#This Row],[StageCpy]]="Groups",ResultsTeams[[#This Row],[Category]]&amp;"-"&amp;IF(ResultsTeams[[#This Row],[Team B]]="","",IF(ResultsTeams[[#This Row],[Match-A]]=ResultsTeams[[#This Row],[Match-B]],ResultsTeams[[#This Row],[Team A]],"")),""),"")</calculatedColumnFormula>
    </tableColumn>
    <tableColumn id="28" xr3:uid="{1D50F6B2-5408-4FEB-BC6D-340F22ECF372}" name="Draw2" dataDxfId="197" dataCellStyle="Normal 2">
      <calculatedColumnFormula>IF(ResultsTeams[[#This Row],[Score_OK]],IF(ResultsTeams[[#This Row],[StageCpy]]="Groups",ResultsTeams[[#This Row],[Category]]&amp;"-"&amp;IF(ResultsTeams[[#This Row],[Team B]]="","",IF(ResultsTeams[[#This Row],[Match-A]]=ResultsTeams[[#This Row],[Match-B]],ResultsTeams[[#This Row],[Team B]],"")),""),"")</calculatedColumnFormula>
    </tableColumn>
    <tableColumn id="21" xr3:uid="{98C2D746-8F3D-4E78-9349-ED8B4166549B}" name="Lose" dataDxfId="196" dataCellStyle="Normal 2">
      <calculatedColumnFormula>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calculatedColumnFormula>
    </tableColumn>
    <tableColumn id="14" xr3:uid="{00000000-0010-0000-0800-00000E000000}" name="LoseInKO" dataDxfId="195"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calculatedColumnFormula>
    </tableColumn>
    <tableColumn id="15" xr3:uid="{00000000-0010-0000-0800-00000F000000}" name="LoseOrDrawInGroups" dataDxfId="194"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calculatedColumnFormula>
    </tableColumn>
    <tableColumn id="16" xr3:uid="{00000000-0010-0000-0800-000010000000}" name="DrawInGroups" dataDxfId="193"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calculatedColumnFormula>
    </tableColumn>
    <tableColumn id="17" xr3:uid="{00000000-0010-0000-0800-000011000000}" name="Level" dataDxfId="192" dataCellStyle="Normal 2">
      <calculatedColumnFormula>IF(ResultsTeams[[#This Row],[Category]]="","",VLOOKUP(ResultsTeams[[#This Row],[Stage]],$R$1:$T$8,MATCH(ResultsTeams[[#This Row],[Category]],$S$1:$T$1,0)+1,FALSE))</calculatedColumnFormula>
    </tableColumn>
    <tableColumn id="18" xr3:uid="{00000000-0010-0000-0800-000012000000}" name="Winner" dataDxfId="191" dataCellStyle="Normal 2">
      <calculatedColumnFormula>IF(AND(ResultsTeams[[#This Row],[Type]]="G",ResultsTeams[[#This Row],[Score_OK]]),IF(ResultsTeams[[#This Row],[Level]]="R",ResultsTeams[[#This Row],[Category]]&amp;"-"&amp;IF(ResultsTeams[[#This Row],[LoseInKO]]=ResultsTeams[[#This Row],[Category]]&amp;"-"&amp;ResultsTeams[[#This Row],[Team A]],ResultsTeams[[#This Row],[Team B]],ResultsTeams[[#This Row],[Team A]]),""),"")</calculatedColumnFormula>
    </tableColumn>
    <tableColumn id="22" xr3:uid="{00000000-0010-0000-0800-000016000000}" name="StageCpy" dataDxfId="190" dataCellStyle="Normal 2">
      <calculatedColumnFormula>IF(ResultsTeams[[#This Row],[Type]]="G",ResultsTeams[[#This Row],[Stage]],AD25)</calculatedColumnFormula>
    </tableColumn>
    <tableColumn id="31" xr3:uid="{C513C58C-CB1D-4AD3-A476-35FE12739718}" name="ClubA" dataDxfId="189" dataCellStyle="Normal 2">
      <calculatedColumnFormula>IF(ResultsTeams[[#This Row],[Type]]="G",INDEX(TeamsList[Club Name],MATCH(ResultsTeams[[#This Row],[Team A]],TeamsList[Team Name],0)),AE25)</calculatedColumnFormula>
    </tableColumn>
    <tableColumn id="32" xr3:uid="{98983E7D-4F30-4B99-A9BE-1614366F47AD}" name="ClubB" dataDxfId="188" dataCellStyle="Normal 2">
      <calculatedColumnFormula>IF(ResultsTeams[[#This Row],[Type]]="G",INDEX(TeamsList[Club Name],MATCH(ResultsTeams[[#This Row],[Team B]],TeamsList[Team Name],0)),AF25)</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istf.com/contact/contact-fistf-for-operations-sport-calendar-rankings/"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openxmlformats.org/officeDocument/2006/relationships/table" Target="../tables/table16.xml"/><Relationship Id="rId5" Type="http://schemas.openxmlformats.org/officeDocument/2006/relationships/table" Target="../tables/table15.xml"/><Relationship Id="rId10" Type="http://schemas.openxmlformats.org/officeDocument/2006/relationships/table" Target="../tables/table20.xml"/><Relationship Id="rId4" Type="http://schemas.openxmlformats.org/officeDocument/2006/relationships/table" Target="../tables/table14.xml"/><Relationship Id="rId9"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5">
    <tabColor rgb="FF99FF99"/>
  </sheetPr>
  <dimension ref="A1:C40"/>
  <sheetViews>
    <sheetView showGridLines="0" zoomScale="90" zoomScaleNormal="90" zoomScaleSheetLayoutView="100" workbookViewId="0">
      <selection activeCell="B34" sqref="B34"/>
    </sheetView>
  </sheetViews>
  <sheetFormatPr defaultColWidth="0" defaultRowHeight="14.25" zeroHeight="1" x14ac:dyDescent="0.2"/>
  <cols>
    <col min="1" max="1" width="5.28515625" style="483" customWidth="1"/>
    <col min="2" max="2" width="128.28515625" style="483" customWidth="1"/>
    <col min="3" max="3" width="4.7109375" style="483" customWidth="1"/>
    <col min="4" max="16384" width="11.42578125" style="483" hidden="1"/>
  </cols>
  <sheetData>
    <row r="1" spans="2:3" x14ac:dyDescent="0.2"/>
    <row r="2" spans="2:3" ht="15" thickBot="1" x14ac:dyDescent="0.25"/>
    <row r="3" spans="2:3" ht="15" x14ac:dyDescent="0.25">
      <c r="B3" s="484" t="s">
        <v>12314</v>
      </c>
      <c r="C3" s="485"/>
    </row>
    <row r="4" spans="2:3" x14ac:dyDescent="0.2">
      <c r="B4" s="486"/>
      <c r="C4" s="487"/>
    </row>
    <row r="5" spans="2:3" s="489" customFormat="1" ht="15" x14ac:dyDescent="0.25">
      <c r="B5" s="488" t="s">
        <v>12258</v>
      </c>
      <c r="C5" s="487"/>
    </row>
    <row r="6" spans="2:3" x14ac:dyDescent="0.2">
      <c r="B6" s="490"/>
      <c r="C6" s="491"/>
    </row>
    <row r="7" spans="2:3" s="489" customFormat="1" x14ac:dyDescent="0.2">
      <c r="B7" s="492" t="s">
        <v>12335</v>
      </c>
      <c r="C7" s="487"/>
    </row>
    <row r="8" spans="2:3" ht="57" x14ac:dyDescent="0.2">
      <c r="B8" s="493" t="s">
        <v>12777</v>
      </c>
      <c r="C8" s="491"/>
    </row>
    <row r="9" spans="2:3" ht="28.5" x14ac:dyDescent="0.2">
      <c r="B9" s="493" t="s">
        <v>12339</v>
      </c>
      <c r="C9" s="491"/>
    </row>
    <row r="10" spans="2:3" x14ac:dyDescent="0.2">
      <c r="B10" s="493" t="s">
        <v>12340</v>
      </c>
      <c r="C10" s="491"/>
    </row>
    <row r="11" spans="2:3" x14ac:dyDescent="0.2">
      <c r="B11" s="493" t="s">
        <v>12341</v>
      </c>
      <c r="C11" s="491"/>
    </row>
    <row r="12" spans="2:3" x14ac:dyDescent="0.2">
      <c r="B12" s="490"/>
      <c r="C12" s="491"/>
    </row>
    <row r="13" spans="2:3" s="489" customFormat="1" x14ac:dyDescent="0.2">
      <c r="B13" s="492" t="s">
        <v>12336</v>
      </c>
      <c r="C13" s="487"/>
    </row>
    <row r="14" spans="2:3" x14ac:dyDescent="0.2">
      <c r="B14" s="490" t="s">
        <v>12307</v>
      </c>
      <c r="C14" s="494"/>
    </row>
    <row r="15" spans="2:3" x14ac:dyDescent="0.2">
      <c r="B15" s="493" t="s">
        <v>12308</v>
      </c>
      <c r="C15" s="491"/>
    </row>
    <row r="16" spans="2:3" x14ac:dyDescent="0.2">
      <c r="B16" s="493" t="s">
        <v>12309</v>
      </c>
      <c r="C16" s="491"/>
    </row>
    <row r="17" spans="2:3" ht="28.5" x14ac:dyDescent="0.2">
      <c r="B17" s="495" t="s">
        <v>13180</v>
      </c>
      <c r="C17" s="491"/>
    </row>
    <row r="18" spans="2:3" ht="28.5" x14ac:dyDescent="0.2">
      <c r="B18" s="495" t="s">
        <v>13179</v>
      </c>
      <c r="C18" s="491"/>
    </row>
    <row r="19" spans="2:3" x14ac:dyDescent="0.2">
      <c r="B19" s="493" t="s">
        <v>12259</v>
      </c>
      <c r="C19" s="491"/>
    </row>
    <row r="20" spans="2:3" x14ac:dyDescent="0.2">
      <c r="B20" s="493" t="s">
        <v>12808</v>
      </c>
      <c r="C20" s="491"/>
    </row>
    <row r="21" spans="2:3" x14ac:dyDescent="0.2">
      <c r="B21" s="493" t="s">
        <v>12310</v>
      </c>
      <c r="C21" s="491"/>
    </row>
    <row r="22" spans="2:3" x14ac:dyDescent="0.2">
      <c r="B22" s="493" t="s">
        <v>12260</v>
      </c>
      <c r="C22" s="491"/>
    </row>
    <row r="23" spans="2:3" x14ac:dyDescent="0.2">
      <c r="B23" s="493" t="s">
        <v>12809</v>
      </c>
      <c r="C23" s="491"/>
    </row>
    <row r="24" spans="2:3" x14ac:dyDescent="0.2">
      <c r="B24" s="493" t="s">
        <v>12807</v>
      </c>
      <c r="C24" s="491"/>
    </row>
    <row r="25" spans="2:3" x14ac:dyDescent="0.2">
      <c r="B25" s="490"/>
      <c r="C25" s="491"/>
    </row>
    <row r="26" spans="2:3" s="489" customFormat="1" x14ac:dyDescent="0.2">
      <c r="B26" s="492" t="s">
        <v>12337</v>
      </c>
      <c r="C26" s="487"/>
    </row>
    <row r="27" spans="2:3" ht="15" x14ac:dyDescent="0.25">
      <c r="B27" s="490" t="s">
        <v>14049</v>
      </c>
      <c r="C27" s="494"/>
    </row>
    <row r="28" spans="2:3" x14ac:dyDescent="0.2">
      <c r="B28" s="490" t="s">
        <v>12313</v>
      </c>
      <c r="C28" s="494"/>
    </row>
    <row r="29" spans="2:3" ht="29.25" x14ac:dyDescent="0.2">
      <c r="B29" s="490" t="s">
        <v>14050</v>
      </c>
      <c r="C29" s="494"/>
    </row>
    <row r="30" spans="2:3" ht="15" x14ac:dyDescent="0.25">
      <c r="B30" s="496" t="s">
        <v>12311</v>
      </c>
      <c r="C30" s="491"/>
    </row>
    <row r="31" spans="2:3" x14ac:dyDescent="0.2">
      <c r="B31" s="490" t="s">
        <v>12312</v>
      </c>
      <c r="C31" s="491"/>
    </row>
    <row r="32" spans="2:3" x14ac:dyDescent="0.2">
      <c r="B32" s="490"/>
      <c r="C32" s="491"/>
    </row>
    <row r="33" spans="2:3" s="489" customFormat="1" x14ac:dyDescent="0.2">
      <c r="B33" s="492" t="s">
        <v>12338</v>
      </c>
      <c r="C33" s="487"/>
    </row>
    <row r="34" spans="2:3" ht="42.75" x14ac:dyDescent="0.2">
      <c r="B34" s="490" t="s">
        <v>12306</v>
      </c>
      <c r="C34" s="494"/>
    </row>
    <row r="35" spans="2:3" x14ac:dyDescent="0.2">
      <c r="B35" s="490"/>
      <c r="C35" s="491"/>
    </row>
    <row r="36" spans="2:3" s="489" customFormat="1" x14ac:dyDescent="0.2">
      <c r="B36" s="492" t="s">
        <v>12762</v>
      </c>
      <c r="C36" s="487"/>
    </row>
    <row r="37" spans="2:3" ht="86.25" thickBot="1" x14ac:dyDescent="0.25">
      <c r="B37" s="497" t="s">
        <v>12763</v>
      </c>
      <c r="C37" s="494"/>
    </row>
    <row r="38" spans="2:3" x14ac:dyDescent="0.2"/>
    <row r="39" spans="2:3" x14ac:dyDescent="0.2">
      <c r="B39" s="498" t="s">
        <v>14581</v>
      </c>
    </row>
    <row r="40" spans="2:3" x14ac:dyDescent="0.2"/>
  </sheetData>
  <sheetProtection algorithmName="SHA-512" hashValue="rWpq7q3lLNUdaQMIFQYaTf/vyM3YGhtcuvALz59YJkOC3ufSTTbbB2EWgceTRKQSnVhKJ1Gtny1MszO0lklCaA==" saltValue="84NsQrwbKBBzkTje0M7U5g==" spinCount="100000" sheet="1" objects="1" scenarios="1"/>
  <hyperlinks>
    <hyperlink ref="B30" r:id="rId1" xr:uid="{00000000-0004-0000-0000-000000000000}"/>
  </hyperlinks>
  <pageMargins left="0.78740157499999996" right="0.78740157499999996" top="0.984251969" bottom="0.984251969" header="0.4921259845" footer="0.492125984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FF00"/>
    <pageSetUpPr fitToPage="1"/>
  </sheetPr>
  <dimension ref="A1:BG1141"/>
  <sheetViews>
    <sheetView showGridLines="0" tabSelected="1" zoomScale="110" zoomScaleNormal="110" workbookViewId="0">
      <selection activeCell="E7" sqref="E7"/>
    </sheetView>
  </sheetViews>
  <sheetFormatPr defaultColWidth="0" defaultRowHeight="11.25" zeroHeight="1" x14ac:dyDescent="0.2"/>
  <cols>
    <col min="1" max="1" width="9.28515625" style="90" customWidth="1"/>
    <col min="2" max="2" width="8" style="90" bestFit="1" customWidth="1"/>
    <col min="3" max="3" width="5.85546875" style="90" hidden="1" customWidth="1"/>
    <col min="4" max="4" width="6.42578125" style="90" hidden="1" customWidth="1"/>
    <col min="5" max="5" width="24.140625" style="8" bestFit="1" customWidth="1"/>
    <col min="6" max="6" width="23.140625" style="8" bestFit="1" customWidth="1"/>
    <col min="7" max="7" width="7.28515625" style="90" bestFit="1" customWidth="1"/>
    <col min="8" max="8" width="7.140625" style="90" bestFit="1" customWidth="1"/>
    <col min="9" max="9" width="12" style="108" customWidth="1"/>
    <col min="10" max="10" width="7.28515625" style="108" customWidth="1"/>
    <col min="11" max="11" width="7.140625" style="108" customWidth="1"/>
    <col min="12" max="12" width="22.85546875" style="8" customWidth="1"/>
    <col min="13" max="13" width="8.140625" style="265" hidden="1" customWidth="1"/>
    <col min="14" max="14" width="6.140625" style="265" hidden="1" customWidth="1"/>
    <col min="15" max="15" width="6" style="265" hidden="1" customWidth="1"/>
    <col min="16" max="16" width="11.28515625" style="265" hidden="1" customWidth="1"/>
    <col min="17" max="17" width="11.140625" style="265" hidden="1" customWidth="1"/>
    <col min="18" max="18" width="6.5703125" style="265" hidden="1" customWidth="1"/>
    <col min="19" max="20" width="5.7109375" style="265" hidden="1" customWidth="1"/>
    <col min="21" max="21" width="7.140625" style="265" hidden="1" customWidth="1"/>
    <col min="22" max="22" width="25" style="265" hidden="1" customWidth="1"/>
    <col min="23" max="23" width="18.28515625" style="265" hidden="1" customWidth="1"/>
    <col min="24" max="24" width="12.28515625" style="265" hidden="1" customWidth="1"/>
    <col min="25" max="25" width="5.28515625" style="265" hidden="1" customWidth="1"/>
    <col min="26" max="26" width="6.7109375" style="265" hidden="1" customWidth="1"/>
    <col min="27" max="27" width="3.28515625" style="8" customWidth="1"/>
    <col min="28" max="28" width="6.85546875" style="90" customWidth="1"/>
    <col min="29" max="29" width="9.140625" style="90" bestFit="1" customWidth="1"/>
    <col min="30" max="30" width="21.42578125" style="8" bestFit="1" customWidth="1"/>
    <col min="31" max="31" width="8.140625" style="8" bestFit="1" customWidth="1"/>
    <col min="32" max="32" width="8.7109375" style="8" bestFit="1" customWidth="1"/>
    <col min="33" max="33" width="16.5703125" style="8" hidden="1" customWidth="1"/>
    <col min="34" max="34" width="4.5703125" style="8" hidden="1" customWidth="1"/>
    <col min="35" max="35" width="17.7109375" style="8" hidden="1" customWidth="1"/>
    <col min="36" max="36" width="7.85546875" style="8" hidden="1" customWidth="1"/>
    <col min="37" max="37" width="4" style="8" hidden="1" customWidth="1"/>
    <col min="38" max="38" width="17.7109375" style="8" hidden="1" customWidth="1"/>
    <col min="39" max="39" width="7.85546875" style="8" hidden="1" customWidth="1"/>
    <col min="40" max="40" width="16.5703125" style="8" hidden="1" customWidth="1"/>
    <col min="41" max="41" width="3.42578125" style="8" hidden="1" customWidth="1"/>
    <col min="42" max="42" width="2.42578125" style="90" hidden="1" customWidth="1"/>
    <col min="43" max="44" width="2" style="90" hidden="1" customWidth="1"/>
    <col min="45" max="46" width="2.7109375" style="90" hidden="1" customWidth="1"/>
    <col min="47" max="47" width="3.28515625" style="90" hidden="1" customWidth="1"/>
    <col min="48" max="48" width="5" style="90" hidden="1" customWidth="1"/>
    <col min="49" max="49" width="3" style="90" bestFit="1" customWidth="1"/>
    <col min="50" max="50" width="21.42578125" style="90" bestFit="1" customWidth="1"/>
    <col min="51" max="57" width="4.28515625" style="8" customWidth="1"/>
    <col min="58" max="58" width="4.85546875" style="8" bestFit="1" customWidth="1"/>
    <col min="59" max="59" width="5.28515625" style="8" customWidth="1"/>
    <col min="60" max="16384" width="11.42578125" style="8" hidden="1"/>
  </cols>
  <sheetData>
    <row r="1" spans="1:58" ht="15.75" x14ac:dyDescent="0.25">
      <c r="A1" s="176" t="s">
        <v>12188</v>
      </c>
      <c r="B1" s="177"/>
      <c r="C1" s="177"/>
      <c r="D1" s="177"/>
      <c r="E1" s="177"/>
      <c r="F1" s="177"/>
      <c r="G1" s="177"/>
      <c r="H1" s="177"/>
      <c r="I1" s="177"/>
      <c r="J1" s="177"/>
      <c r="K1" s="177"/>
      <c r="L1" s="178"/>
      <c r="M1" s="279"/>
      <c r="N1" s="279"/>
      <c r="O1" s="472" t="s">
        <v>13538</v>
      </c>
      <c r="P1" s="279" t="s">
        <v>12192</v>
      </c>
      <c r="Q1" s="278" t="s">
        <v>890</v>
      </c>
      <c r="R1" s="278" t="s">
        <v>12261</v>
      </c>
      <c r="S1" s="278" t="s">
        <v>930</v>
      </c>
      <c r="T1" s="278" t="s">
        <v>1023</v>
      </c>
      <c r="U1" s="278" t="s">
        <v>1177</v>
      </c>
      <c r="V1" s="278" t="s">
        <v>12262</v>
      </c>
      <c r="AB1" s="8"/>
      <c r="AC1" s="8"/>
      <c r="AH1" s="90"/>
      <c r="AI1" s="90"/>
      <c r="AJ1" s="90"/>
      <c r="AP1" s="8"/>
      <c r="AQ1" s="8"/>
      <c r="AR1" s="8"/>
      <c r="AY1" s="90"/>
      <c r="AZ1" s="90"/>
      <c r="BA1" s="90"/>
    </row>
    <row r="2" spans="1:58" s="188" customFormat="1" ht="33.75" x14ac:dyDescent="0.2">
      <c r="A2" s="185" t="s">
        <v>12300</v>
      </c>
      <c r="B2" s="186"/>
      <c r="C2" s="186"/>
      <c r="D2" s="186"/>
      <c r="E2" s="186"/>
      <c r="F2" s="186"/>
      <c r="G2" s="186"/>
      <c r="H2" s="186"/>
      <c r="I2" s="186"/>
      <c r="J2" s="186"/>
      <c r="K2" s="186"/>
      <c r="L2" s="187"/>
      <c r="M2" s="278"/>
      <c r="N2" s="278"/>
      <c r="O2" s="278" t="s">
        <v>13539</v>
      </c>
      <c r="P2" s="278" t="s">
        <v>12207</v>
      </c>
      <c r="Q2" s="278" t="str">
        <f>IF(COUNTIFS(ResultsInd[Category],Q$1,ResultsInd[Stage],$P2)&gt;=1,IF(Q3="PR1",$O$2,"PR1"),"")</f>
        <v>PR1</v>
      </c>
      <c r="R2" s="278" t="str">
        <f>IF(COUNTIFS(ResultsInd[Category],R$1,ResultsInd[Stage],$P2)&gt;=1,IF(R3="PR1",$O$2,"PR1"),"")</f>
        <v>PR1</v>
      </c>
      <c r="S2" s="278" t="str">
        <f>IF(COUNTIFS(ResultsInd[Category],S$1,ResultsInd[Stage],$P2)&gt;=1,IF(S3="PR1",$O$2,"PR1"),"")</f>
        <v>PR1</v>
      </c>
      <c r="T2" s="278" t="str">
        <f>IF(COUNTIFS(ResultsInd[Category],T$1,ResultsInd[Stage],$P2)&gt;=1,IF(T3="PR1",$O$2,"PR1"),"")</f>
        <v>PR1</v>
      </c>
      <c r="U2" s="278" t="str">
        <f>IF(COUNTIFS(ResultsInd[Category],U$1,ResultsInd[Stage],$P2)&gt;=1,IF(U3="PR1",$O$2,"PR1"),"")</f>
        <v>PR1</v>
      </c>
      <c r="V2" s="278" t="str">
        <f>IF(COUNTIFS(ResultsInd[Category],V$1,ResultsInd[Stage],$P2)&gt;=1,IF(V3="PR1",$O$2,"PR1"),"")</f>
        <v>PR1</v>
      </c>
      <c r="W2" s="265"/>
      <c r="X2" s="265"/>
      <c r="Y2" s="265"/>
      <c r="Z2" s="265"/>
      <c r="AB2" s="8" t="s">
        <v>12347</v>
      </c>
      <c r="AG2" s="376"/>
      <c r="AH2" s="376"/>
      <c r="AR2" s="376"/>
      <c r="AS2" s="376"/>
      <c r="AT2" s="376"/>
      <c r="AU2" s="376"/>
      <c r="AV2" s="376"/>
      <c r="AW2" s="376"/>
      <c r="AX2" s="377" t="s">
        <v>12292</v>
      </c>
      <c r="AY2" s="378"/>
      <c r="AZ2" s="378"/>
      <c r="BA2" s="378"/>
      <c r="BB2" s="378"/>
      <c r="BC2" s="378"/>
      <c r="BD2" s="378"/>
      <c r="BE2" s="378"/>
    </row>
    <row r="3" spans="1:58" x14ac:dyDescent="0.2">
      <c r="A3" s="189" t="s">
        <v>12302</v>
      </c>
      <c r="B3" s="180"/>
      <c r="C3" s="180"/>
      <c r="D3" s="180"/>
      <c r="E3" s="180"/>
      <c r="F3" s="180"/>
      <c r="G3" s="180"/>
      <c r="H3" s="180"/>
      <c r="I3" s="180"/>
      <c r="J3" s="180"/>
      <c r="K3" s="180"/>
      <c r="L3" s="181"/>
      <c r="M3" s="278"/>
      <c r="N3" s="278"/>
      <c r="O3" s="278"/>
      <c r="P3" s="278" t="s">
        <v>12215</v>
      </c>
      <c r="Q3" s="278" t="str">
        <f>IF(COUNTIFS(ResultsInd[Category],Q$1,ResultsInd[Stage],$P3)&gt;=1,IF(Q4="",IF(Q5="",IF(Q6="",IF(Q7="",IF(Q8="",$W8,$W7),$W6),$W5),$W4),"PR1"),"")</f>
        <v>L64</v>
      </c>
      <c r="R3" s="278" t="str">
        <f>IF(COUNTIFS(ResultsInd[Category],R$1,ResultsInd[Stage],$P3)&gt;=1,IF(R4="",IF(R5="",IF(R6="",IF(R7="",IF(R8="",$W8,$W7),$W6),$W5),$W4),"PR1"),"")</f>
        <v/>
      </c>
      <c r="S3" s="278" t="str">
        <f>IF(COUNTIFS(ResultsInd[Category],S$1,ResultsInd[Stage],$P3)&gt;=1,IF(S4="",IF(S5="",IF(S6="",IF(S7="",IF(S8="",$W8,$W7),$W6),$W5),$W4),"PR1"),"")</f>
        <v/>
      </c>
      <c r="T3" s="278" t="str">
        <f>IF(COUNTIFS(ResultsInd[Category],T$1,ResultsInd[Stage],$P3)&gt;=1,IF(T4="",IF(T5="",IF(T6="",IF(T7="",IF(T8="",$W8,$W7),$W6),$W5),$W4),"PR1"),"")</f>
        <v/>
      </c>
      <c r="U3" s="278" t="str">
        <f>IF(COUNTIFS(ResultsInd[Category],U$1,ResultsInd[Stage],$P3)&gt;=1,IF(U4="",IF(U5="",IF(U6="",IF(U7="",IF(U8="",$W8,$W7),$W6),$W5),$W4),"PR1"),"")</f>
        <v>L16</v>
      </c>
      <c r="V3" s="278" t="str">
        <f>IF(COUNTIFS(ResultsInd[Category],V$1,ResultsInd[Stage],$P3)&gt;=1,IF(V4="",IF(V5="",IF(V6="",IF(V7="",IF(V8="",$W8,$W7),$W6),$W5),$W4),"PR1"),"")</f>
        <v/>
      </c>
      <c r="Z3" s="266"/>
      <c r="AB3" s="8"/>
      <c r="AC3" s="8"/>
      <c r="AG3" s="90"/>
      <c r="AH3" s="90"/>
      <c r="AP3" s="8"/>
      <c r="AQ3" s="8"/>
      <c r="AY3" s="90"/>
      <c r="AZ3" s="90"/>
    </row>
    <row r="4" spans="1:58" x14ac:dyDescent="0.2">
      <c r="A4" s="179" t="s">
        <v>12301</v>
      </c>
      <c r="B4" s="180"/>
      <c r="C4" s="180"/>
      <c r="D4" s="180"/>
      <c r="E4" s="190"/>
      <c r="F4" s="190"/>
      <c r="G4" s="180"/>
      <c r="H4" s="180"/>
      <c r="I4" s="180"/>
      <c r="J4" s="180"/>
      <c r="K4" s="180"/>
      <c r="L4" s="181"/>
      <c r="M4" s="278"/>
      <c r="N4" s="278"/>
      <c r="O4" s="278"/>
      <c r="P4" s="278" t="s">
        <v>13536</v>
      </c>
      <c r="Q4" s="278" t="str">
        <f>IF(COUNTIFS(ResultsInd[Category],Q$1,ResultsInd[Stage],$P4)&gt;=1,$W4,"")</f>
        <v/>
      </c>
      <c r="R4" s="278" t="str">
        <f>IF(COUNTIFS(ResultsInd[Category],R$1,ResultsInd[Stage],$P4)&gt;=1,$W4,"")</f>
        <v/>
      </c>
      <c r="S4" s="278" t="str">
        <f>IF(COUNTIFS(ResultsInd[Category],S$1,ResultsInd[Stage],$P4)&gt;=1,$W4,"")</f>
        <v/>
      </c>
      <c r="T4" s="278" t="str">
        <f>IF(COUNTIFS(ResultsInd[Category],T$1,ResultsInd[Stage],$P4)&gt;=1,$W4,"")</f>
        <v/>
      </c>
      <c r="U4" s="278" t="str">
        <f>IF(COUNTIFS(ResultsInd[Category],U$1,ResultsInd[Stage],$P4)&gt;=1,$W4,"")</f>
        <v/>
      </c>
      <c r="V4" s="278" t="str">
        <f>IF(COUNTIFS(ResultsInd[Category],V$1,ResultsInd[Stage],$P4)&gt;=1,$W4,"")</f>
        <v/>
      </c>
      <c r="W4" s="265" t="s">
        <v>13537</v>
      </c>
      <c r="AB4" s="379"/>
      <c r="AC4" s="8"/>
      <c r="AD4" s="380" t="s">
        <v>12294</v>
      </c>
      <c r="AE4" s="381"/>
      <c r="AG4" s="90"/>
      <c r="AH4" s="90"/>
      <c r="AP4" s="8"/>
      <c r="AQ4" s="8"/>
      <c r="AW4" s="382"/>
      <c r="AX4" s="382"/>
      <c r="AY4" s="382"/>
      <c r="AZ4" s="382"/>
      <c r="BA4" s="382"/>
      <c r="BB4" s="382"/>
      <c r="BC4" s="382"/>
    </row>
    <row r="5" spans="1:58" ht="12" thickBot="1" x14ac:dyDescent="0.25">
      <c r="A5" s="182" t="s">
        <v>12303</v>
      </c>
      <c r="B5" s="183"/>
      <c r="C5" s="183"/>
      <c r="D5" s="183"/>
      <c r="E5" s="183"/>
      <c r="F5" s="183"/>
      <c r="G5" s="183"/>
      <c r="H5" s="183"/>
      <c r="I5" s="183"/>
      <c r="J5" s="183"/>
      <c r="K5" s="183"/>
      <c r="L5" s="184"/>
      <c r="M5" s="278"/>
      <c r="N5" s="278"/>
      <c r="O5" s="278"/>
      <c r="P5" s="278" t="s">
        <v>12216</v>
      </c>
      <c r="Q5" s="278" t="str">
        <f>IF(COUNTIFS(ResultsInd[Category],Q$1,ResultsInd[Stage],$P5)&gt;=1,$W5,"")</f>
        <v>L32</v>
      </c>
      <c r="R5" s="278" t="str">
        <f>IF(COUNTIFS(ResultsInd[Category],R$1,ResultsInd[Stage],$P5)&gt;=1,$W5,"")</f>
        <v>L32</v>
      </c>
      <c r="S5" s="278" t="str">
        <f>IF(COUNTIFS(ResultsInd[Category],S$1,ResultsInd[Stage],$P5)&gt;=1,$W5,"")</f>
        <v/>
      </c>
      <c r="T5" s="278" t="str">
        <f>IF(COUNTIFS(ResultsInd[Category],T$1,ResultsInd[Stage],$P5)&gt;=1,$W5,"")</f>
        <v/>
      </c>
      <c r="U5" s="278" t="str">
        <f>IF(COUNTIFS(ResultsInd[Category],U$1,ResultsInd[Stage],$P5)&gt;=1,$W5,"")</f>
        <v/>
      </c>
      <c r="V5" s="278" t="str">
        <f>IF(COUNTIFS(ResultsInd[Category],V$1,ResultsInd[Stage],$P5)&gt;=1,$W5,"")</f>
        <v/>
      </c>
      <c r="W5" s="265" t="s">
        <v>12288</v>
      </c>
      <c r="AB5" s="101" t="s">
        <v>12293</v>
      </c>
      <c r="AF5" s="383" t="s">
        <v>12295</v>
      </c>
      <c r="AG5" s="90"/>
      <c r="AH5" s="90"/>
      <c r="AN5" s="382"/>
      <c r="AO5" s="382"/>
      <c r="AP5" s="382"/>
      <c r="AQ5" s="382"/>
      <c r="AR5" s="382"/>
      <c r="AS5" s="382"/>
      <c r="AT5" s="382"/>
      <c r="AU5" s="382"/>
      <c r="AV5" s="382"/>
      <c r="AW5" s="382"/>
      <c r="AX5" s="382"/>
      <c r="AY5" s="382"/>
      <c r="AZ5" s="382"/>
      <c r="BA5" s="382"/>
      <c r="BB5" s="382"/>
      <c r="BC5" s="382"/>
      <c r="BD5" s="382"/>
      <c r="BE5" s="382"/>
      <c r="BF5" s="382"/>
    </row>
    <row r="6" spans="1:58" ht="16.5" thickBot="1" x14ac:dyDescent="0.3">
      <c r="A6" s="540" t="s">
        <v>12191</v>
      </c>
      <c r="B6" s="541"/>
      <c r="C6" s="541"/>
      <c r="D6" s="541"/>
      <c r="E6" s="541"/>
      <c r="F6" s="541"/>
      <c r="G6" s="541"/>
      <c r="H6" s="541"/>
      <c r="I6" s="541"/>
      <c r="J6" s="542"/>
      <c r="K6" s="542"/>
      <c r="L6" s="543"/>
      <c r="M6" s="278"/>
      <c r="N6" s="278"/>
      <c r="O6" s="278"/>
      <c r="P6" s="278" t="s">
        <v>12219</v>
      </c>
      <c r="Q6" s="278" t="str">
        <f>IF(COUNTIFS(ResultsInd[Category],Q$1,ResultsInd[Stage],$P6)&gt;=1,$W6,"")</f>
        <v>L16</v>
      </c>
      <c r="R6" s="278" t="str">
        <f>IF(COUNTIFS(ResultsInd[Category],R$1,ResultsInd[Stage],$P6)&gt;=1,$W6,"")</f>
        <v>L16</v>
      </c>
      <c r="S6" s="278" t="str">
        <f>IF(COUNTIFS(ResultsInd[Category],S$1,ResultsInd[Stage],$P6)&gt;=1,$W6,"")</f>
        <v/>
      </c>
      <c r="T6" s="278" t="str">
        <f>IF(COUNTIFS(ResultsInd[Category],T$1,ResultsInd[Stage],$P6)&gt;=1,$W6,"")</f>
        <v/>
      </c>
      <c r="U6" s="278" t="str">
        <f>IF(COUNTIFS(ResultsInd[Category],U$1,ResultsInd[Stage],$P6)&gt;=1,$W6,"")</f>
        <v/>
      </c>
      <c r="V6" s="278" t="str">
        <f>IF(COUNTIFS(ResultsInd[Category],V$1,ResultsInd[Stage],$P6)&gt;=1,$W6,"")</f>
        <v/>
      </c>
      <c r="W6" s="265" t="s">
        <v>12286</v>
      </c>
      <c r="AB6" s="8"/>
      <c r="AC6" s="8"/>
      <c r="AG6" s="382" t="s">
        <v>12296</v>
      </c>
      <c r="AH6" s="382"/>
      <c r="AI6" s="382"/>
      <c r="AJ6" s="382"/>
      <c r="AK6" s="382"/>
      <c r="AL6" s="382"/>
      <c r="AM6" s="382"/>
      <c r="AN6" s="382" t="s">
        <v>12296</v>
      </c>
      <c r="AO6" s="382"/>
      <c r="AP6" s="382"/>
      <c r="AQ6" s="382"/>
      <c r="AR6" s="382"/>
      <c r="AS6" s="382"/>
      <c r="AT6" s="382"/>
      <c r="AU6" s="382"/>
      <c r="AV6" s="382"/>
      <c r="AY6" s="90"/>
      <c r="AZ6" s="90"/>
      <c r="BA6" s="90"/>
    </row>
    <row r="7" spans="1:58" ht="12" thickBot="1" x14ac:dyDescent="0.25">
      <c r="A7" s="92" t="s">
        <v>887</v>
      </c>
      <c r="B7" s="93" t="s">
        <v>12192</v>
      </c>
      <c r="C7" s="93" t="s">
        <v>12193</v>
      </c>
      <c r="D7" s="93" t="s">
        <v>12194</v>
      </c>
      <c r="E7" s="94" t="s">
        <v>12195</v>
      </c>
      <c r="F7" s="94" t="s">
        <v>12196</v>
      </c>
      <c r="G7" s="107" t="s">
        <v>12676</v>
      </c>
      <c r="H7" s="107" t="s">
        <v>12677</v>
      </c>
      <c r="I7" s="93" t="s">
        <v>12197</v>
      </c>
      <c r="J7" s="325" t="s">
        <v>12267</v>
      </c>
      <c r="K7" s="325" t="s">
        <v>12268</v>
      </c>
      <c r="L7" s="95" t="s">
        <v>12198</v>
      </c>
      <c r="M7" s="278"/>
      <c r="N7" s="278"/>
      <c r="O7" s="278"/>
      <c r="P7" s="278" t="s">
        <v>12212</v>
      </c>
      <c r="Q7" s="278" t="str">
        <f>IF(COUNTIFS(ResultsInd[Category],Q$1,ResultsInd[Stage],$P7)&gt;=1,$W7,"")</f>
        <v>Q</v>
      </c>
      <c r="R7" s="278" t="str">
        <f>IF(COUNTIFS(ResultsInd[Category],R$1,ResultsInd[Stage],$P7)&gt;=1,$W7,"")</f>
        <v>Q</v>
      </c>
      <c r="S7" s="278" t="str">
        <f>IF(COUNTIFS(ResultsInd[Category],S$1,ResultsInd[Stage],$P7)&gt;=1,$W7,"")</f>
        <v/>
      </c>
      <c r="T7" s="278" t="str">
        <f>IF(COUNTIFS(ResultsInd[Category],T$1,ResultsInd[Stage],$P7)&gt;=1,$W7,"")</f>
        <v>Q</v>
      </c>
      <c r="U7" s="278" t="str">
        <f>IF(COUNTIFS(ResultsInd[Category],U$1,ResultsInd[Stage],$P7)&gt;=1,$W7,"")</f>
        <v>Q</v>
      </c>
      <c r="V7" s="278" t="str">
        <f>IF(COUNTIFS(ResultsInd[Category],V$1,ResultsInd[Stage],$P7)&gt;=1,$W7,"")</f>
        <v>Q</v>
      </c>
      <c r="W7" s="265" t="s">
        <v>12287</v>
      </c>
      <c r="AB7" s="384">
        <f>IF(AC7="","",COUNTIF(AC7:AC$22,AC7))</f>
        <v>2</v>
      </c>
      <c r="AC7" s="385" t="s">
        <v>890</v>
      </c>
      <c r="AD7" s="289" t="s">
        <v>14439</v>
      </c>
      <c r="AE7" s="290" t="s">
        <v>12279</v>
      </c>
      <c r="AF7" s="300" t="s">
        <v>12275</v>
      </c>
      <c r="AG7" s="296" t="s">
        <v>12276</v>
      </c>
      <c r="AH7" s="291" t="s">
        <v>12271</v>
      </c>
      <c r="AI7" s="291" t="s">
        <v>12272</v>
      </c>
      <c r="AJ7" s="414" t="s">
        <v>13154</v>
      </c>
      <c r="AK7" s="291" t="s">
        <v>12273</v>
      </c>
      <c r="AL7" s="297" t="s">
        <v>12274</v>
      </c>
      <c r="AM7" s="414" t="s">
        <v>13154</v>
      </c>
      <c r="AN7" s="303" t="s">
        <v>12199</v>
      </c>
      <c r="AO7" s="304" t="s">
        <v>12200</v>
      </c>
      <c r="AP7" s="304" t="s">
        <v>12201</v>
      </c>
      <c r="AQ7" s="304" t="s">
        <v>12202</v>
      </c>
      <c r="AR7" s="304" t="s">
        <v>12203</v>
      </c>
      <c r="AS7" s="304" t="s">
        <v>12204</v>
      </c>
      <c r="AT7" s="304" t="s">
        <v>12205</v>
      </c>
      <c r="AU7" s="305" t="s">
        <v>12206</v>
      </c>
      <c r="AV7" s="468"/>
      <c r="AW7" s="282" t="s">
        <v>12276</v>
      </c>
      <c r="AX7" s="282" t="s">
        <v>12280</v>
      </c>
      <c r="AY7" s="283" t="s">
        <v>12199</v>
      </c>
      <c r="AZ7" s="283" t="s">
        <v>12200</v>
      </c>
      <c r="BA7" s="283" t="s">
        <v>12201</v>
      </c>
      <c r="BB7" s="283" t="s">
        <v>12202</v>
      </c>
      <c r="BC7" s="283" t="s">
        <v>12203</v>
      </c>
      <c r="BD7" s="283" t="s">
        <v>12204</v>
      </c>
      <c r="BE7" s="283" t="s">
        <v>12205</v>
      </c>
      <c r="BF7" s="300" t="s">
        <v>12206</v>
      </c>
    </row>
    <row r="8" spans="1:58" ht="12" thickBot="1" x14ac:dyDescent="0.25">
      <c r="A8" s="248" t="s">
        <v>890</v>
      </c>
      <c r="B8" s="96" t="s">
        <v>12207</v>
      </c>
      <c r="C8" s="96">
        <v>1</v>
      </c>
      <c r="D8" s="96">
        <v>1</v>
      </c>
      <c r="E8" s="340" t="s">
        <v>10869</v>
      </c>
      <c r="F8" s="340" t="s">
        <v>12208</v>
      </c>
      <c r="G8" s="347" t="s">
        <v>12694</v>
      </c>
      <c r="H8" s="97">
        <v>0</v>
      </c>
      <c r="I8" s="98"/>
      <c r="J8" s="99"/>
      <c r="K8" s="99"/>
      <c r="L8" s="100" t="s">
        <v>8041</v>
      </c>
      <c r="M8" s="278"/>
      <c r="N8" s="278"/>
      <c r="O8" s="278"/>
      <c r="P8" s="278" t="s">
        <v>12220</v>
      </c>
      <c r="Q8" s="278" t="str">
        <f>IF(COUNTIFS(ResultsInd[Category],Q$1,ResultsInd[Stage],$P8)&gt;=1,$W8,"")</f>
        <v>S</v>
      </c>
      <c r="R8" s="278" t="str">
        <f>IF(COUNTIFS(ResultsInd[Category],R$1,ResultsInd[Stage],$P8)&gt;=1,$W8,"")</f>
        <v>S</v>
      </c>
      <c r="S8" s="278" t="str">
        <f>IF(COUNTIFS(ResultsInd[Category],S$1,ResultsInd[Stage],$P8)&gt;=1,$W8,"")</f>
        <v>S</v>
      </c>
      <c r="T8" s="278" t="str">
        <f>IF(COUNTIFS(ResultsInd[Category],T$1,ResultsInd[Stage],$P8)&gt;=1,$W8,"")</f>
        <v>S</v>
      </c>
      <c r="U8" s="278" t="str">
        <f>IF(COUNTIFS(ResultsInd[Category],U$1,ResultsInd[Stage],$P8)&gt;=1,$W8,"")</f>
        <v>S</v>
      </c>
      <c r="V8" s="278" t="str">
        <f>IF(COUNTIFS(ResultsInd[Category],V$1,ResultsInd[Stage],$P8)&gt;=1,$W8,"")</f>
        <v>S</v>
      </c>
      <c r="W8" s="265" t="s">
        <v>12289</v>
      </c>
      <c r="AB8" s="8"/>
      <c r="AC8" s="8"/>
      <c r="AD8" s="386" t="s">
        <v>10869</v>
      </c>
      <c r="AE8" s="387"/>
      <c r="AF8" s="388"/>
      <c r="AG8" s="292">
        <f>IF(AP8="","",SMALL(AH8:AH14,ROWS(AG8:AG8)))</f>
        <v>1001</v>
      </c>
      <c r="AH8" s="293">
        <f>IF(AP8="","",RANK(AL8,AL8:AL14)*1000+ROWS(AH8:AH8))</f>
        <v>1001</v>
      </c>
      <c r="AI8" s="316">
        <f t="shared" ref="AI8:AI14" si="0">IF(AP8="","",CritClassInd1_Points*AN8+CritClassInd1_Matches*AP8+CritClassInd1_Attaque*AS8+CritClassInd1_DiffButs*AU8)</f>
        <v>0</v>
      </c>
      <c r="AJ8" s="415" t="b">
        <f>AND(AO8&lt;&gt;"",AO8&gt;0,COUNTIF(AI8:AI14,AI8)&gt;1)</f>
        <v>0</v>
      </c>
      <c r="AK8" s="316">
        <f t="shared" ref="AK8:AK14" si="1">IF(AP8="","",CritClassInd_ScorePart*AE8)</f>
        <v>0</v>
      </c>
      <c r="AL8" s="317">
        <f t="shared" ref="AL8:AL14" si="2">IF(AP8="","",AI8+AK8+CritClassInd2_Points*AN8+CritClassInd2_Matches*AP8+CritClassInd2_Attaque*AS8+CritClassInd2_DiffButs*AU8+AF8)</f>
        <v>0</v>
      </c>
      <c r="AM8" s="415" t="b">
        <f>AND(AO8&lt;&gt;"",AO8&gt;0,COUNTIF(AL8:AL14,AL8)&gt;1)</f>
        <v>0</v>
      </c>
      <c r="AN8" s="306">
        <f t="shared" ref="AN8" si="3">IF(AP8="","",(AP8*Points_Victoire)+AQ8*Points_Null)</f>
        <v>0</v>
      </c>
      <c r="AO8" s="307">
        <f t="shared" ref="AO8" si="4">IF(AP8="","",SUM(AP8:AR8))</f>
        <v>0</v>
      </c>
      <c r="AP8" s="307">
        <f>IF(OR(AC7="",AD8=""),"",COUNTIF(ResultsInd[Win],AC7&amp;"-"&amp;AD8))</f>
        <v>0</v>
      </c>
      <c r="AQ8" s="307">
        <f>IF(OR(AC7="",AD8=""),"",COUNTIF(ResultsInd[Draw1],AC7&amp;"-"&amp;AD8)+COUNTIF(ResultsInd[Draw2],AC7&amp;"-"&amp;AD8))</f>
        <v>0</v>
      </c>
      <c r="AR8" s="307">
        <f>IF(OR(AC7="",AD8=""),"",COUNTIF(ResultsInd[Lose],AC7&amp;"-"&amp;AD8))</f>
        <v>0</v>
      </c>
      <c r="AS8" s="307">
        <f>IF(OR(AC7="",AD8=""),"",SUMIFS(ResultsInd[Goal-A],ResultsInd[Category],AC7,ResultsInd[Stage],"Groups",ResultsInd[Player A],AD8)+SUMIFS(ResultsInd[Goal-B],ResultsInd[Category],AC7,ResultsInd[Stage],"Groups",ResultsInd[Player B],AD8))</f>
        <v>0</v>
      </c>
      <c r="AT8" s="307">
        <f>IF(OR(AC7="",AD8=""),"",SUMIFS(ResultsInd[Goal-B],ResultsInd[Category],AC7,ResultsInd[Stage],"Groups",ResultsInd[Player A],AD8)+SUMIFS(ResultsInd[Goal-A],ResultsInd[Category],AC7,ResultsInd[Stage],"Groups",ResultsInd[Player B],AD8))</f>
        <v>0</v>
      </c>
      <c r="AU8" s="308">
        <f>IF(AP8="","",AS8-AT8)</f>
        <v>0</v>
      </c>
      <c r="AV8" s="469"/>
      <c r="AW8" s="298">
        <f t="shared" ref="AW8:AW14" si="5">IF(AG8="","",INT(AG8/1000))</f>
        <v>1</v>
      </c>
      <c r="AX8" s="285" t="str">
        <f>IF(AG8="","",INDEX(AD8:AD14,MATCH(AG8,AH8:AH14,0)))</f>
        <v>Zach Walker</v>
      </c>
      <c r="AY8" s="286">
        <f>IF(AG8="","",VLOOKUP(AG8,AH8:AU14,COLUMN()-COLUMN(AR7),FALSE))</f>
        <v>0</v>
      </c>
      <c r="AZ8" s="286">
        <f>IF(AG8="","",VLOOKUP(AG8,AH8:AU14,COLUMN()-COLUMN(AR7),FALSE))</f>
        <v>0</v>
      </c>
      <c r="BA8" s="286">
        <f>IF(AG8="","",VLOOKUP(AG8,AH8:AU14,COLUMN()-COLUMN(AR7),FALSE))</f>
        <v>0</v>
      </c>
      <c r="BB8" s="286">
        <f>IF(AG8="","",VLOOKUP(AG8,AH8:AU14,COLUMN()-COLUMN(AR7),FALSE))</f>
        <v>0</v>
      </c>
      <c r="BC8" s="286">
        <f>IF(AG8="","",VLOOKUP(AG8,AH8:AU14,COLUMN()-COLUMN(AR7),FALSE))</f>
        <v>0</v>
      </c>
      <c r="BD8" s="286">
        <f>IF(AG8="","",VLOOKUP(AG8,AH8:AU14,COLUMN()-COLUMN(AR7),FALSE))</f>
        <v>0</v>
      </c>
      <c r="BE8" s="286">
        <f>IF(AG8="","",VLOOKUP(AG8,AH8:AU14,COLUMN()-COLUMN(AR7),FALSE))</f>
        <v>0</v>
      </c>
      <c r="BF8" s="301">
        <f>IF(AG8="","",VLOOKUP(AG8,AH8:AU14,COLUMN()-COLUMN(AR7),FALSE))</f>
        <v>0</v>
      </c>
    </row>
    <row r="9" spans="1:58" ht="12" thickBot="1" x14ac:dyDescent="0.25">
      <c r="A9" s="248" t="s">
        <v>890</v>
      </c>
      <c r="B9" s="96" t="s">
        <v>12207</v>
      </c>
      <c r="C9" s="96">
        <v>1</v>
      </c>
      <c r="D9" s="96">
        <v>2</v>
      </c>
      <c r="E9" s="348" t="s">
        <v>10427</v>
      </c>
      <c r="F9" s="340" t="s">
        <v>12208</v>
      </c>
      <c r="G9" s="97">
        <v>1</v>
      </c>
      <c r="H9" s="97">
        <v>0</v>
      </c>
      <c r="I9" s="98"/>
      <c r="J9" s="99"/>
      <c r="K9" s="99"/>
      <c r="L9" s="100" t="s">
        <v>8695</v>
      </c>
      <c r="P9" s="278" t="s">
        <v>12221</v>
      </c>
      <c r="Q9" s="278" t="str">
        <f>IF(COUNTIFS(ResultsInd[Category],Q$1,ResultsInd[Stage],$P9)&gt;=1,$W9,"")</f>
        <v>R</v>
      </c>
      <c r="R9" s="278" t="str">
        <f>IF(COUNTIFS(ResultsInd[Category],R$1,ResultsInd[Stage],$P9)&gt;=1,$W9,"")</f>
        <v>R</v>
      </c>
      <c r="S9" s="278" t="str">
        <f>IF(COUNTIFS(ResultsInd[Category],S$1,ResultsInd[Stage],$P9)&gt;=1,$W9,"")</f>
        <v>R</v>
      </c>
      <c r="T9" s="278" t="str">
        <f>IF(COUNTIFS(ResultsInd[Category],T$1,ResultsInd[Stage],$P9)&gt;=1,$W9,"")</f>
        <v>R</v>
      </c>
      <c r="U9" s="278" t="str">
        <f>IF(COUNTIFS(ResultsInd[Category],U$1,ResultsInd[Stage],$P9)&gt;=1,$W9,"")</f>
        <v>R</v>
      </c>
      <c r="V9" s="278" t="str">
        <f>IF(COUNTIFS(ResultsInd[Category],V$1,ResultsInd[Stage],$P9)&gt;=1,$W9,"")</f>
        <v>R</v>
      </c>
      <c r="W9" s="265" t="s">
        <v>12290</v>
      </c>
      <c r="AB9" s="8"/>
      <c r="AC9" s="8"/>
      <c r="AD9" s="386" t="s">
        <v>12208</v>
      </c>
      <c r="AE9" s="387"/>
      <c r="AF9" s="388"/>
      <c r="AG9" s="292">
        <f>IF(AP9="","",SMALL(AH8:AH14,ROWS(AG8:AG9)))</f>
        <v>1002</v>
      </c>
      <c r="AH9" s="293">
        <f>IF(AP9="","",RANK(AL9,AL8:AL14)*1000+ROWS(AH8:AH9))</f>
        <v>1002</v>
      </c>
      <c r="AI9" s="316">
        <f t="shared" si="0"/>
        <v>0</v>
      </c>
      <c r="AJ9" s="415" t="b">
        <f>AND(AO9&lt;&gt;"",AO9&gt;0,COUNTIF(AI8:AI14,AI9)&gt;1)</f>
        <v>0</v>
      </c>
      <c r="AK9" s="316">
        <f t="shared" si="1"/>
        <v>0</v>
      </c>
      <c r="AL9" s="317">
        <f t="shared" si="2"/>
        <v>0</v>
      </c>
      <c r="AM9" s="415" t="b">
        <f>AND(AO9&lt;&gt;"",AO9&gt;0,COUNTIF(AL8:AL14,AL9)&gt;1)</f>
        <v>0</v>
      </c>
      <c r="AN9" s="306">
        <f t="shared" ref="AN9:AN14" si="6">IF(AP9="","",(AP9*Points_Victoire)+AQ9*Points_Null)</f>
        <v>0</v>
      </c>
      <c r="AO9" s="307">
        <f t="shared" ref="AO9:AO14" si="7">IF(AP9="","",SUM(AP9:AR9))</f>
        <v>0</v>
      </c>
      <c r="AP9" s="307">
        <f>IF(OR(AC7="",AD9=""),"",COUNTIF(ResultsInd[Win],AC7&amp;"-"&amp;AD9))</f>
        <v>0</v>
      </c>
      <c r="AQ9" s="307">
        <f>IF(OR(AC7="",AD9=""),"",COUNTIF(ResultsInd[Draw1],AC7&amp;"-"&amp;AD9)+COUNTIF(ResultsInd[Draw2],AC7&amp;"-"&amp;AD9))</f>
        <v>0</v>
      </c>
      <c r="AR9" s="307">
        <f>IF(OR(AC7="",AD9=""),"",COUNTIF(ResultsInd[Lose],AC7&amp;"-"&amp;AD9))</f>
        <v>0</v>
      </c>
      <c r="AS9" s="307">
        <f>IF(OR(AC7="",AD9=""),"",SUMIFS(ResultsInd[Goal-A],ResultsInd[Category],AC7,ResultsInd[Stage],"Groups",ResultsInd[Player A],AD9)+SUMIFS(ResultsInd[Goal-B],ResultsInd[Category],AC7,ResultsInd[Stage],"Groups",ResultsInd[Player B],AD9))</f>
        <v>0</v>
      </c>
      <c r="AT9" s="307">
        <f>IF(OR(AC7="",AD9=""),"",SUMIFS(ResultsInd[Goal-B],ResultsInd[Category],AC7,ResultsInd[Stage],"Groups",ResultsInd[Player A],AD9)+SUMIFS(ResultsInd[Goal-A],ResultsInd[Category],AC7,ResultsInd[Stage],"Groups",ResultsInd[Player B],AD9))</f>
        <v>0</v>
      </c>
      <c r="AU9" s="308">
        <f t="shared" ref="AU9:AU14" si="8">IF(AP9="","",AS9-AT9)</f>
        <v>0</v>
      </c>
      <c r="AV9" s="469"/>
      <c r="AW9" s="298">
        <f t="shared" si="5"/>
        <v>1</v>
      </c>
      <c r="AX9" s="285" t="str">
        <f>IF(AG9="","",INDEX(AD8:AD14,MATCH(AG9,AH8:AH14,0)))</f>
        <v>Luis Horta</v>
      </c>
      <c r="AY9" s="286">
        <f>IF(AG9="","",VLOOKUP(AG9,AH8:AU14,COLUMN()-COLUMN(AR7),FALSE))</f>
        <v>0</v>
      </c>
      <c r="AZ9" s="286">
        <f>IF(AG9="","",VLOOKUP(AG9,AH8:AU14,COLUMN()-COLUMN(AR7),FALSE))</f>
        <v>0</v>
      </c>
      <c r="BA9" s="286">
        <f>IF(AG9="","",VLOOKUP(AG9,AH8:AU14,COLUMN()-COLUMN(AR7),FALSE))</f>
        <v>0</v>
      </c>
      <c r="BB9" s="286">
        <f>IF(AG9="","",VLOOKUP(AG9,AH8:AU14,COLUMN()-COLUMN(AR7),FALSE))</f>
        <v>0</v>
      </c>
      <c r="BC9" s="286">
        <f>IF(AG9="","",VLOOKUP(AG9,AH8:AU14,COLUMN()-COLUMN(AR7),FALSE))</f>
        <v>0</v>
      </c>
      <c r="BD9" s="286">
        <f>IF(AG9="","",VLOOKUP(AG9,AH8:AU14,COLUMN()-COLUMN(AR7),FALSE))</f>
        <v>0</v>
      </c>
      <c r="BE9" s="286">
        <f>IF(AG9="","",VLOOKUP(AG9,AH8:AU14,COLUMN()-COLUMN(AR7),FALSE))</f>
        <v>0</v>
      </c>
      <c r="BF9" s="301">
        <f>IF(AG9="","",VLOOKUP(AG9,AH8:AU14,COLUMN()-COLUMN(AR7),FALSE))</f>
        <v>0</v>
      </c>
    </row>
    <row r="10" spans="1:58" ht="12" thickBot="1" x14ac:dyDescent="0.25">
      <c r="A10" s="248" t="s">
        <v>890</v>
      </c>
      <c r="B10" s="96" t="s">
        <v>12207</v>
      </c>
      <c r="C10" s="96">
        <v>1</v>
      </c>
      <c r="D10" s="96">
        <v>3</v>
      </c>
      <c r="E10" s="348" t="s">
        <v>10869</v>
      </c>
      <c r="F10" s="340" t="s">
        <v>10427</v>
      </c>
      <c r="G10" s="97">
        <v>2</v>
      </c>
      <c r="H10" s="97">
        <v>1</v>
      </c>
      <c r="I10" s="98"/>
      <c r="J10" s="99"/>
      <c r="K10" s="99"/>
      <c r="L10" s="100" t="s">
        <v>10811</v>
      </c>
      <c r="AB10" s="8"/>
      <c r="AC10" s="8"/>
      <c r="AD10" s="386" t="s">
        <v>10427</v>
      </c>
      <c r="AE10" s="387"/>
      <c r="AF10" s="388"/>
      <c r="AG10" s="292">
        <f>IF(AP10="","",SMALL(AH8:AH14,ROWS(AG8:AG10)))</f>
        <v>1003</v>
      </c>
      <c r="AH10" s="293">
        <f>IF(AP10="","",RANK(AL10,AL8:AL14)*1000+ROWS(AH8:AH10))</f>
        <v>1003</v>
      </c>
      <c r="AI10" s="316">
        <f t="shared" si="0"/>
        <v>0</v>
      </c>
      <c r="AJ10" s="415" t="b">
        <f>AND(AO10&lt;&gt;"",AO10&gt;0,COUNTIF(AI8:AI14,AI10)&gt;1)</f>
        <v>0</v>
      </c>
      <c r="AK10" s="316">
        <f t="shared" si="1"/>
        <v>0</v>
      </c>
      <c r="AL10" s="317">
        <f t="shared" si="2"/>
        <v>0</v>
      </c>
      <c r="AM10" s="415" t="b">
        <f>AND(AO10&lt;&gt;"",AO10&gt;0,COUNTIF(AL8:AL14,AL10)&gt;1)</f>
        <v>0</v>
      </c>
      <c r="AN10" s="306">
        <f t="shared" si="6"/>
        <v>0</v>
      </c>
      <c r="AO10" s="307">
        <f t="shared" si="7"/>
        <v>0</v>
      </c>
      <c r="AP10" s="307">
        <f>IF(OR(AC7="",AD10=""),"",COUNTIF(ResultsInd[Win],AC7&amp;"-"&amp;AD10))</f>
        <v>0</v>
      </c>
      <c r="AQ10" s="307">
        <f>IF(OR(AC7="",AD10=""),"",COUNTIF(ResultsInd[Draw1],AC7&amp;"-"&amp;AD10)+COUNTIF(ResultsInd[Draw2],AC7&amp;"-"&amp;AD10))</f>
        <v>0</v>
      </c>
      <c r="AR10" s="307">
        <f>IF(OR(AC7="",AD10=""),"",COUNTIF(ResultsInd[Lose],AC7&amp;"-"&amp;AD10))</f>
        <v>0</v>
      </c>
      <c r="AS10" s="307">
        <f>IF(OR(AC7="",AD10=""),"",SUMIFS(ResultsInd[Goal-A],ResultsInd[Category],AC7,ResultsInd[Stage],"Groups",ResultsInd[Player A],AD10)+SUMIFS(ResultsInd[Goal-B],ResultsInd[Category],AC7,ResultsInd[Stage],"Groups",ResultsInd[Player B],AD10))</f>
        <v>0</v>
      </c>
      <c r="AT10" s="307">
        <f>IF(OR(AC7="",AD10=""),"",SUMIFS(ResultsInd[Goal-B],ResultsInd[Category],AC7,ResultsInd[Stage],"Groups",ResultsInd[Player A],AD10)+SUMIFS(ResultsInd[Goal-A],ResultsInd[Category],AC7,ResultsInd[Stage],"Groups",ResultsInd[Player B],AD10))</f>
        <v>0</v>
      </c>
      <c r="AU10" s="308">
        <f t="shared" si="8"/>
        <v>0</v>
      </c>
      <c r="AV10" s="469"/>
      <c r="AW10" s="298">
        <f t="shared" si="5"/>
        <v>1</v>
      </c>
      <c r="AX10" s="285" t="str">
        <f>IF(AG10="","",INDEX(AD8:AD14,MATCH(AG10,AH8:AH14,0)))</f>
        <v>Hansel Mallia</v>
      </c>
      <c r="AY10" s="286">
        <f>IF(AG10="","",VLOOKUP(AG10,AH8:AU14,COLUMN()-COLUMN(AR7),FALSE))</f>
        <v>0</v>
      </c>
      <c r="AZ10" s="286">
        <f>IF(AG10="","",VLOOKUP(AG10,AH8:AU14,COLUMN()-COLUMN(AR7),FALSE))</f>
        <v>0</v>
      </c>
      <c r="BA10" s="286">
        <f>IF(AG10="","",VLOOKUP(AG10,AH8:AU14,COLUMN()-COLUMN(AR7),FALSE))</f>
        <v>0</v>
      </c>
      <c r="BB10" s="286">
        <f>IF(AG10="","",VLOOKUP(AG10,AH8:AU14,COLUMN()-COLUMN(AR7),FALSE))</f>
        <v>0</v>
      </c>
      <c r="BC10" s="286">
        <f>IF(AG10="","",VLOOKUP(AG10,AH8:AU14,COLUMN()-COLUMN(AR7),FALSE))</f>
        <v>0</v>
      </c>
      <c r="BD10" s="286">
        <f>IF(AG10="","",VLOOKUP(AG10,AH8:AU14,COLUMN()-COLUMN(AR7),FALSE))</f>
        <v>0</v>
      </c>
      <c r="BE10" s="286">
        <f>IF(AG10="","",VLOOKUP(AG10,AH8:AU14,COLUMN()-COLUMN(AR7),FALSE))</f>
        <v>0</v>
      </c>
      <c r="BF10" s="301">
        <f>IF(AG10="","",VLOOKUP(AG10,AH8:AU14,COLUMN()-COLUMN(AR7),FALSE))</f>
        <v>0</v>
      </c>
    </row>
    <row r="11" spans="1:58" ht="12" thickBot="1" x14ac:dyDescent="0.25">
      <c r="A11" s="368" t="s">
        <v>12263</v>
      </c>
      <c r="B11" s="96" t="s">
        <v>12207</v>
      </c>
      <c r="C11" s="96">
        <v>2</v>
      </c>
      <c r="D11" s="96">
        <v>4</v>
      </c>
      <c r="E11" s="340" t="s">
        <v>10665</v>
      </c>
      <c r="F11" s="340" t="s">
        <v>8090</v>
      </c>
      <c r="G11" s="97">
        <v>1</v>
      </c>
      <c r="H11" s="97">
        <v>1</v>
      </c>
      <c r="I11" s="98"/>
      <c r="J11" s="99"/>
      <c r="K11" s="99"/>
      <c r="L11" s="100" t="s">
        <v>12209</v>
      </c>
      <c r="M11" s="266"/>
      <c r="N11" s="266"/>
      <c r="O11" s="266"/>
      <c r="P11" s="266"/>
      <c r="Q11" s="266"/>
      <c r="R11" s="266"/>
      <c r="S11" s="266"/>
      <c r="T11" s="266"/>
      <c r="U11" s="266"/>
      <c r="V11" s="266"/>
      <c r="W11" s="266"/>
      <c r="X11" s="266"/>
      <c r="Y11" s="266"/>
      <c r="Z11" s="266"/>
      <c r="AA11" s="91"/>
      <c r="AB11" s="91"/>
      <c r="AC11" s="8"/>
      <c r="AD11" s="389" t="s">
        <v>12775</v>
      </c>
      <c r="AE11" s="390"/>
      <c r="AF11" s="388"/>
      <c r="AG11" s="292">
        <f>IF(AP11="","",SMALL(AH8:AH14,ROWS(AG8:AG11)))</f>
        <v>1004</v>
      </c>
      <c r="AH11" s="293">
        <f>IF(AP11="","",RANK(AL11,AL8:AL14)*1000+ROWS(AH8:AH11))</f>
        <v>1004</v>
      </c>
      <c r="AI11" s="316">
        <f t="shared" si="0"/>
        <v>0</v>
      </c>
      <c r="AJ11" s="415" t="b">
        <f>AND(AO11&lt;&gt;"",AO11&gt;0,COUNTIF(AI8:AI14,AI11)&gt;1)</f>
        <v>0</v>
      </c>
      <c r="AK11" s="316">
        <f t="shared" si="1"/>
        <v>0</v>
      </c>
      <c r="AL11" s="317">
        <f t="shared" si="2"/>
        <v>0</v>
      </c>
      <c r="AM11" s="415" t="b">
        <f>AND(AO11&lt;&gt;"",AO11&gt;0,COUNTIF(AL8:AL14,AL11)&gt;1)</f>
        <v>0</v>
      </c>
      <c r="AN11" s="306">
        <f t="shared" si="6"/>
        <v>0</v>
      </c>
      <c r="AO11" s="307">
        <f t="shared" si="7"/>
        <v>0</v>
      </c>
      <c r="AP11" s="307">
        <f>IF(OR(AC7="",AD11=""),"",COUNTIF(ResultsInd[Win],AC7&amp;"-"&amp;AD11))</f>
        <v>0</v>
      </c>
      <c r="AQ11" s="307">
        <f>IF(OR(AC7="",AD11=""),"",COUNTIF(ResultsInd[Draw1],AC7&amp;"-"&amp;AD11)+COUNTIF(ResultsInd[Draw2],AC7&amp;"-"&amp;AD11))</f>
        <v>0</v>
      </c>
      <c r="AR11" s="307">
        <f>IF(OR(AC7="",AD11=""),"",COUNTIF(ResultsInd[Lose],AC7&amp;"-"&amp;AD11))</f>
        <v>0</v>
      </c>
      <c r="AS11" s="307">
        <f>IF(OR(AC7="",AD11=""),"",SUMIFS(ResultsInd[Goal-A],ResultsInd[Category],AC7,ResultsInd[Stage],"Groups",ResultsInd[Player A],AD11)+SUMIFS(ResultsInd[Goal-B],ResultsInd[Category],AC7,ResultsInd[Stage],"Groups",ResultsInd[Player B],AD11))</f>
        <v>0</v>
      </c>
      <c r="AT11" s="307">
        <f>IF(OR(AC7="",AD11=""),"",SUMIFS(ResultsInd[Goal-B],ResultsInd[Category],AC7,ResultsInd[Stage],"Groups",ResultsInd[Player A],AD11)+SUMIFS(ResultsInd[Goal-A],ResultsInd[Category],AC7,ResultsInd[Stage],"Groups",ResultsInd[Player B],AD11))</f>
        <v>0</v>
      </c>
      <c r="AU11" s="308">
        <f t="shared" si="8"/>
        <v>0</v>
      </c>
      <c r="AV11" s="469"/>
      <c r="AW11" s="298">
        <f t="shared" si="5"/>
        <v>1</v>
      </c>
      <c r="AX11" s="285" t="str">
        <f>IF(AG11="","",INDEX(AD8:AD14,MATCH(AG11,AH8:AH14,0)))</f>
        <v>Wrong name</v>
      </c>
      <c r="AY11" s="286">
        <f>IF(AG11="","",VLOOKUP(AG11,AH8:AU14,COLUMN()-COLUMN(AR7),FALSE))</f>
        <v>0</v>
      </c>
      <c r="AZ11" s="286">
        <f>IF(AG11="","",VLOOKUP(AG11,AH8:AU14,COLUMN()-COLUMN(AR7),FALSE))</f>
        <v>0</v>
      </c>
      <c r="BA11" s="286">
        <f>IF(AG11="","",VLOOKUP(AG11,AH8:AU14,COLUMN()-COLUMN(AR7),FALSE))</f>
        <v>0</v>
      </c>
      <c r="BB11" s="286">
        <f>IF(AG11="","",VLOOKUP(AG11,AH8:AU14,COLUMN()-COLUMN(AR7),FALSE))</f>
        <v>0</v>
      </c>
      <c r="BC11" s="286">
        <f>IF(AG11="","",VLOOKUP(AG11,AH8:AU14,COLUMN()-COLUMN(AR7),FALSE))</f>
        <v>0</v>
      </c>
      <c r="BD11" s="286">
        <f>IF(AG11="","",VLOOKUP(AG11,AH8:AU14,COLUMN()-COLUMN(AR7),FALSE))</f>
        <v>0</v>
      </c>
      <c r="BE11" s="286">
        <f>IF(AG11="","",VLOOKUP(AG11,AH8:AU14,COLUMN()-COLUMN(AR7),FALSE))</f>
        <v>0</v>
      </c>
      <c r="BF11" s="301">
        <f>IF(AG11="","",VLOOKUP(AG11,AH8:AU14,COLUMN()-COLUMN(AR7),FALSE))</f>
        <v>0</v>
      </c>
    </row>
    <row r="12" spans="1:58" ht="12" thickBot="1" x14ac:dyDescent="0.25">
      <c r="A12" s="248" t="s">
        <v>12211</v>
      </c>
      <c r="B12" s="96"/>
      <c r="C12" s="96"/>
      <c r="D12" s="96"/>
      <c r="E12" s="340"/>
      <c r="F12" s="340"/>
      <c r="G12" s="97"/>
      <c r="H12" s="97"/>
      <c r="I12" s="98"/>
      <c r="J12" s="99"/>
      <c r="K12" s="99"/>
      <c r="L12" s="100"/>
      <c r="M12" s="266"/>
      <c r="N12" s="266"/>
      <c r="O12" s="266"/>
      <c r="P12" s="266"/>
      <c r="Q12" s="266"/>
      <c r="R12" s="266"/>
      <c r="S12" s="266"/>
      <c r="T12" s="266"/>
      <c r="U12" s="266"/>
      <c r="V12" s="266"/>
      <c r="W12" s="266"/>
      <c r="X12" s="266"/>
      <c r="Y12" s="266"/>
      <c r="Z12" s="266"/>
      <c r="AA12" s="91"/>
      <c r="AB12" s="91"/>
      <c r="AC12" s="8"/>
      <c r="AD12" s="386"/>
      <c r="AE12" s="390"/>
      <c r="AF12" s="388"/>
      <c r="AG12" s="292" t="str">
        <f>IF(AP12="","",SMALL(AH8:AH14,ROWS(AG8:AG12)))</f>
        <v/>
      </c>
      <c r="AH12" s="293" t="str">
        <f>IF(AP12="","",RANK(AL12,AL8:AL14)*1000+ROWS(AH8:AH12))</f>
        <v/>
      </c>
      <c r="AI12" s="316" t="str">
        <f t="shared" si="0"/>
        <v/>
      </c>
      <c r="AJ12" s="415" t="b">
        <f>AND(AO12&lt;&gt;"",AO12&gt;0,COUNTIF(AI8:AI14,AI12)&gt;1)</f>
        <v>0</v>
      </c>
      <c r="AK12" s="316" t="str">
        <f t="shared" si="1"/>
        <v/>
      </c>
      <c r="AL12" s="317" t="str">
        <f t="shared" si="2"/>
        <v/>
      </c>
      <c r="AM12" s="415" t="b">
        <f>AND(AO12&lt;&gt;"",AO12&gt;0,COUNTIF(AL8:AL14,AL12)&gt;1)</f>
        <v>0</v>
      </c>
      <c r="AN12" s="306" t="str">
        <f t="shared" si="6"/>
        <v/>
      </c>
      <c r="AO12" s="307" t="str">
        <f t="shared" si="7"/>
        <v/>
      </c>
      <c r="AP12" s="307" t="str">
        <f>IF(OR(AC7="",AD12=""),"",COUNTIF(ResultsInd[Win],AC7&amp;"-"&amp;AD12))</f>
        <v/>
      </c>
      <c r="AQ12" s="307" t="str">
        <f>IF(OR(AC7="",AD12=""),"",COUNTIF(ResultsInd[Draw1],AC7&amp;"-"&amp;AD12)+COUNTIF(ResultsInd[Draw2],AC7&amp;"-"&amp;AD12))</f>
        <v/>
      </c>
      <c r="AR12" s="307" t="str">
        <f>IF(OR(AC7="",AD12=""),"",COUNTIF(ResultsInd[Lose],AC7&amp;"-"&amp;AD12))</f>
        <v/>
      </c>
      <c r="AS12" s="307" t="str">
        <f>IF(OR(AC7="",AD12=""),"",SUMIFS(ResultsInd[Goal-A],ResultsInd[Category],AC7,ResultsInd[Stage],"Groups",ResultsInd[Player A],AD12)+SUMIFS(ResultsInd[Goal-B],ResultsInd[Category],AC7,ResultsInd[Stage],"Groups",ResultsInd[Player B],AD12))</f>
        <v/>
      </c>
      <c r="AT12" s="307" t="str">
        <f>IF(OR(AC7="",AD12=""),"",SUMIFS(ResultsInd[Goal-B],ResultsInd[Category],AC7,ResultsInd[Stage],"Groups",ResultsInd[Player A],AD12)+SUMIFS(ResultsInd[Goal-A],ResultsInd[Category],AC7,ResultsInd[Stage],"Groups",ResultsInd[Player B],AD12))</f>
        <v/>
      </c>
      <c r="AU12" s="308" t="str">
        <f t="shared" si="8"/>
        <v/>
      </c>
      <c r="AV12" s="469"/>
      <c r="AW12" s="298" t="str">
        <f t="shared" si="5"/>
        <v/>
      </c>
      <c r="AX12" s="285" t="str">
        <f>IF(AG12="","",INDEX(AD8:AD14,MATCH(AG12,AH8:AH14,0)))</f>
        <v/>
      </c>
      <c r="AY12" s="286" t="str">
        <f>IF(AG12="","",VLOOKUP(AG12,AH8:AU14,COLUMN()-COLUMN(AR7),FALSE))</f>
        <v/>
      </c>
      <c r="AZ12" s="286" t="str">
        <f>IF(AG12="","",VLOOKUP(AG12,AH8:AU14,COLUMN()-COLUMN(AR7),FALSE))</f>
        <v/>
      </c>
      <c r="BA12" s="286" t="str">
        <f>IF(AG12="","",VLOOKUP(AG12,AH8:AU14,COLUMN()-COLUMN(AR7),FALSE))</f>
        <v/>
      </c>
      <c r="BB12" s="286" t="str">
        <f>IF(AG12="","",VLOOKUP(AG12,AH8:AU14,COLUMN()-COLUMN(AR7),FALSE))</f>
        <v/>
      </c>
      <c r="BC12" s="286" t="str">
        <f>IF(AG12="","",VLOOKUP(AG12,AH8:AU14,COLUMN()-COLUMN(AR7),FALSE))</f>
        <v/>
      </c>
      <c r="BD12" s="286" t="str">
        <f>IF(AG12="","",VLOOKUP(AG12,AH8:AU14,COLUMN()-COLUMN(AR7),FALSE))</f>
        <v/>
      </c>
      <c r="BE12" s="286" t="str">
        <f>IF(AG12="","",VLOOKUP(AG12,AH8:AU14,COLUMN()-COLUMN(AR7),FALSE))</f>
        <v/>
      </c>
      <c r="BF12" s="301" t="str">
        <f>IF(AG12="","",VLOOKUP(AG12,AH8:AU14,COLUMN()-COLUMN(AR7),FALSE))</f>
        <v/>
      </c>
    </row>
    <row r="13" spans="1:58" ht="12" thickBot="1" x14ac:dyDescent="0.25">
      <c r="A13" s="248" t="s">
        <v>890</v>
      </c>
      <c r="B13" s="96" t="s">
        <v>12212</v>
      </c>
      <c r="C13" s="96"/>
      <c r="D13" s="96">
        <v>1</v>
      </c>
      <c r="E13" s="340" t="s">
        <v>8041</v>
      </c>
      <c r="F13" s="348" t="s">
        <v>10427</v>
      </c>
      <c r="G13" s="97">
        <v>1</v>
      </c>
      <c r="H13" s="97">
        <v>2</v>
      </c>
      <c r="I13" s="98"/>
      <c r="J13" s="99"/>
      <c r="K13" s="99"/>
      <c r="L13" s="100" t="s">
        <v>12213</v>
      </c>
      <c r="AB13" s="8"/>
      <c r="AC13" s="8"/>
      <c r="AD13" s="386"/>
      <c r="AE13" s="390"/>
      <c r="AF13" s="388"/>
      <c r="AG13" s="292" t="str">
        <f>IF(AP13="","",SMALL(AH8:AH14,ROWS(AG8:AG13)))</f>
        <v/>
      </c>
      <c r="AH13" s="293" t="str">
        <f>IF(AP13="","",RANK(AL13,AL8:AL14)*1000+ROWS(AH8:AH13))</f>
        <v/>
      </c>
      <c r="AI13" s="316" t="str">
        <f t="shared" si="0"/>
        <v/>
      </c>
      <c r="AJ13" s="415" t="b">
        <f>AND(AO13&lt;&gt;"",AO13&gt;0,COUNTIF(AI8:AI14,AI13)&gt;1)</f>
        <v>0</v>
      </c>
      <c r="AK13" s="316" t="str">
        <f t="shared" si="1"/>
        <v/>
      </c>
      <c r="AL13" s="317" t="str">
        <f t="shared" si="2"/>
        <v/>
      </c>
      <c r="AM13" s="415" t="b">
        <f>AND(AO13&lt;&gt;"",AO13&gt;0,COUNTIF(AL8:AL14,AL13)&gt;1)</f>
        <v>0</v>
      </c>
      <c r="AN13" s="306" t="str">
        <f t="shared" si="6"/>
        <v/>
      </c>
      <c r="AO13" s="307" t="str">
        <f t="shared" si="7"/>
        <v/>
      </c>
      <c r="AP13" s="307" t="str">
        <f>IF(OR(AC7="",AD13=""),"",COUNTIF(ResultsInd[Win],AC7&amp;"-"&amp;AD13))</f>
        <v/>
      </c>
      <c r="AQ13" s="307" t="str">
        <f>IF(OR(AC7="",AD13=""),"",COUNTIF(ResultsInd[Draw1],AC7&amp;"-"&amp;AD13)+COUNTIF(ResultsInd[Draw2],AC7&amp;"-"&amp;AD13))</f>
        <v/>
      </c>
      <c r="AR13" s="307" t="str">
        <f>IF(OR(AC7="",AD13=""),"",COUNTIF(ResultsInd[Lose],AC7&amp;"-"&amp;AD13))</f>
        <v/>
      </c>
      <c r="AS13" s="307" t="str">
        <f>IF(OR(AC7="",AD13=""),"",SUMIFS(ResultsInd[Goal-A],ResultsInd[Category],AC7,ResultsInd[Stage],"Groups",ResultsInd[Player A],AD13)+SUMIFS(ResultsInd[Goal-B],ResultsInd[Category],AC7,ResultsInd[Stage],"Groups",ResultsInd[Player B],AD13))</f>
        <v/>
      </c>
      <c r="AT13" s="307" t="str">
        <f>IF(OR(AC7="",AD13=""),"",SUMIFS(ResultsInd[Goal-B],ResultsInd[Category],AC7,ResultsInd[Stage],"Groups",ResultsInd[Player A],AD13)+SUMIFS(ResultsInd[Goal-A],ResultsInd[Category],AC7,ResultsInd[Stage],"Groups",ResultsInd[Player B],AD13))</f>
        <v/>
      </c>
      <c r="AU13" s="308" t="str">
        <f t="shared" si="8"/>
        <v/>
      </c>
      <c r="AV13" s="469"/>
      <c r="AW13" s="298" t="str">
        <f t="shared" si="5"/>
        <v/>
      </c>
      <c r="AX13" s="285" t="str">
        <f>IF(AG13="","",INDEX(AD8:AD14,MATCH(AG13,AH8:AH14,0)))</f>
        <v/>
      </c>
      <c r="AY13" s="286" t="str">
        <f>IF(AG13="","",VLOOKUP(AG13,AH8:AU14,COLUMN()-COLUMN(AR7),FALSE))</f>
        <v/>
      </c>
      <c r="AZ13" s="286" t="str">
        <f>IF(AG13="","",VLOOKUP(AG13,AH8:AU14,COLUMN()-COLUMN(AR7),FALSE))</f>
        <v/>
      </c>
      <c r="BA13" s="286" t="str">
        <f>IF(AG13="","",VLOOKUP(AG13,AH8:AU14,COLUMN()-COLUMN(AR7),FALSE))</f>
        <v/>
      </c>
      <c r="BB13" s="286" t="str">
        <f>IF(AG13="","",VLOOKUP(AG13,AH8:AU14,COLUMN()-COLUMN(AR7),FALSE))</f>
        <v/>
      </c>
      <c r="BC13" s="286" t="str">
        <f>IF(AG13="","",VLOOKUP(AG13,AH8:AU14,COLUMN()-COLUMN(AR7),FALSE))</f>
        <v/>
      </c>
      <c r="BD13" s="286" t="str">
        <f>IF(AG13="","",VLOOKUP(AG13,AH8:AU14,COLUMN()-COLUMN(AR7),FALSE))</f>
        <v/>
      </c>
      <c r="BE13" s="286" t="str">
        <f>IF(AG13="","",VLOOKUP(AG13,AH8:AU14,COLUMN()-COLUMN(AR7),FALSE))</f>
        <v/>
      </c>
      <c r="BF13" s="301" t="str">
        <f>IF(AG13="","",VLOOKUP(AG13,AH8:AU14,COLUMN()-COLUMN(AR7),FALSE))</f>
        <v/>
      </c>
    </row>
    <row r="14" spans="1:58" ht="12" thickBot="1" x14ac:dyDescent="0.25">
      <c r="A14" s="248" t="s">
        <v>890</v>
      </c>
      <c r="B14" s="96" t="s">
        <v>12212</v>
      </c>
      <c r="C14" s="96"/>
      <c r="D14" s="96">
        <v>2</v>
      </c>
      <c r="E14" s="348" t="s">
        <v>8090</v>
      </c>
      <c r="F14" s="340" t="s">
        <v>8695</v>
      </c>
      <c r="G14" s="97">
        <v>1</v>
      </c>
      <c r="H14" s="97">
        <v>1</v>
      </c>
      <c r="I14" s="98"/>
      <c r="J14" s="99">
        <v>3</v>
      </c>
      <c r="K14" s="99">
        <v>2</v>
      </c>
      <c r="L14" s="100" t="s">
        <v>12214</v>
      </c>
      <c r="AB14" s="8"/>
      <c r="AC14" s="8"/>
      <c r="AD14" s="391"/>
      <c r="AE14" s="392"/>
      <c r="AF14" s="393"/>
      <c r="AG14" s="294" t="str">
        <f>IF(AP14="","",SMALL(AH8:AH14,ROWS(AG8:AG14)))</f>
        <v/>
      </c>
      <c r="AH14" s="295" t="str">
        <f>IF(AP14="","",RANK(AL14,AL8:AL14)*1000+ROWS(AH8:AH14))</f>
        <v/>
      </c>
      <c r="AI14" s="318" t="str">
        <f t="shared" si="0"/>
        <v/>
      </c>
      <c r="AJ14" s="416" t="b">
        <f>AND(AO14&lt;&gt;"",AO14&gt;0,COUNTIF(AI8:AI14,AI14)&gt;1)</f>
        <v>0</v>
      </c>
      <c r="AK14" s="318" t="str">
        <f t="shared" si="1"/>
        <v/>
      </c>
      <c r="AL14" s="319" t="str">
        <f t="shared" si="2"/>
        <v/>
      </c>
      <c r="AM14" s="416" t="b">
        <f>AND(AO14&lt;&gt;"",AO14&gt;0,COUNTIF(AL8:AL14,AL14)&gt;1)</f>
        <v>0</v>
      </c>
      <c r="AN14" s="306" t="str">
        <f t="shared" si="6"/>
        <v/>
      </c>
      <c r="AO14" s="307" t="str">
        <f t="shared" si="7"/>
        <v/>
      </c>
      <c r="AP14" s="307" t="str">
        <f>IF(OR(AC7="",AD14=""),"",COUNTIF(ResultsInd[Win],AC7&amp;"-"&amp;AD14))</f>
        <v/>
      </c>
      <c r="AQ14" s="307" t="str">
        <f>IF(OR(AC7="",AD14=""),"",COUNTIF(ResultsInd[Draw1],AC7&amp;"-"&amp;AD14)+COUNTIF(ResultsInd[Draw2],AC7&amp;"-"&amp;AD14))</f>
        <v/>
      </c>
      <c r="AR14" s="307" t="str">
        <f>IF(OR(AC7="",AD14=""),"",COUNTIF(ResultsInd[Lose],AC7&amp;"-"&amp;AD14))</f>
        <v/>
      </c>
      <c r="AS14" s="307" t="str">
        <f>IF(OR(AC7="",AD14=""),"",SUMIFS(ResultsInd[Goal-A],ResultsInd[Category],AC7,ResultsInd[Stage],"Groups",ResultsInd[Player A],AD14)+SUMIFS(ResultsInd[Goal-B],ResultsInd[Category],AC7,ResultsInd[Stage],"Groups",ResultsInd[Player B],AD14))</f>
        <v/>
      </c>
      <c r="AT14" s="307" t="str">
        <f>IF(OR(AC7="",AD14=""),"",SUMIFS(ResultsInd[Goal-B],ResultsInd[Category],AC7,ResultsInd[Stage],"Groups",ResultsInd[Player A],AD14)+SUMIFS(ResultsInd[Goal-A],ResultsInd[Category],AC7,ResultsInd[Stage],"Groups",ResultsInd[Player B],AD14))</f>
        <v/>
      </c>
      <c r="AU14" s="308" t="str">
        <f t="shared" si="8"/>
        <v/>
      </c>
      <c r="AV14" s="469"/>
      <c r="AW14" s="299" t="str">
        <f t="shared" si="5"/>
        <v/>
      </c>
      <c r="AX14" s="287" t="str">
        <f>IF(AG14="","",INDEX(AD8:AD14,MATCH(AG14,AH8:AH14,0)))</f>
        <v/>
      </c>
      <c r="AY14" s="288" t="str">
        <f>IF(AG14="","",VLOOKUP(AG14,AH8:AU14,COLUMN()-COLUMN(AR7),FALSE))</f>
        <v/>
      </c>
      <c r="AZ14" s="288" t="str">
        <f>IF(AG14="","",VLOOKUP(AG14,AH8:AU14,COLUMN()-COLUMN(AR7),FALSE))</f>
        <v/>
      </c>
      <c r="BA14" s="288" t="str">
        <f>IF(AG14="","",VLOOKUP(AG14,AH8:AU14,COLUMN()-COLUMN(AR7),FALSE))</f>
        <v/>
      </c>
      <c r="BB14" s="288" t="str">
        <f>IF(AG14="","",VLOOKUP(AG14,AH8:AU14,COLUMN()-COLUMN(AR7),FALSE))</f>
        <v/>
      </c>
      <c r="BC14" s="288" t="str">
        <f>IF(AG14="","",VLOOKUP(AG14,AH8:AU14,COLUMN()-COLUMN(AR7),FALSE))</f>
        <v/>
      </c>
      <c r="BD14" s="288" t="str">
        <f>IF(AG14="","",VLOOKUP(AG14,AH8:AU14,COLUMN()-COLUMN(AR7),FALSE))</f>
        <v/>
      </c>
      <c r="BE14" s="288" t="str">
        <f>IF(AG14="","",VLOOKUP(AG14,AH8:AU14,COLUMN()-COLUMN(AR7),FALSE))</f>
        <v/>
      </c>
      <c r="BF14" s="302" t="str">
        <f>IF(AG14="","",VLOOKUP(AG14,AH8:AU14,COLUMN()-COLUMN(AR7),FALSE))</f>
        <v/>
      </c>
    </row>
    <row r="15" spans="1:58" x14ac:dyDescent="0.2">
      <c r="A15" s="248" t="s">
        <v>890</v>
      </c>
      <c r="B15" s="96" t="s">
        <v>12212</v>
      </c>
      <c r="C15" s="96"/>
      <c r="D15" s="96">
        <v>3</v>
      </c>
      <c r="E15" s="341" t="s">
        <v>12299</v>
      </c>
      <c r="F15" s="340" t="s">
        <v>12208</v>
      </c>
      <c r="G15" s="97">
        <v>2</v>
      </c>
      <c r="H15" s="97">
        <v>0</v>
      </c>
      <c r="I15" s="98"/>
      <c r="J15" s="99"/>
      <c r="K15" s="99"/>
      <c r="L15" s="100" t="s">
        <v>10811</v>
      </c>
      <c r="AB15" s="8"/>
      <c r="AC15" s="8"/>
      <c r="AF15" s="170"/>
      <c r="AG15" s="101"/>
      <c r="AH15" s="101"/>
      <c r="AN15" s="170"/>
      <c r="AO15" s="170"/>
      <c r="AP15" s="170"/>
      <c r="AQ15" s="173"/>
      <c r="AR15" s="173"/>
      <c r="AS15" s="173"/>
      <c r="AT15" s="173"/>
      <c r="AU15" s="101"/>
      <c r="AV15" s="101"/>
      <c r="AW15" s="101"/>
      <c r="AX15" s="101"/>
      <c r="AY15" s="101"/>
      <c r="AZ15" s="101"/>
    </row>
    <row r="16" spans="1:58" x14ac:dyDescent="0.2">
      <c r="A16" s="248" t="s">
        <v>890</v>
      </c>
      <c r="B16" s="96" t="s">
        <v>12212</v>
      </c>
      <c r="C16" s="96"/>
      <c r="D16" s="96">
        <v>4</v>
      </c>
      <c r="E16" s="348" t="s">
        <v>10869</v>
      </c>
      <c r="F16" s="340" t="s">
        <v>12209</v>
      </c>
      <c r="G16" s="97">
        <v>2</v>
      </c>
      <c r="H16" s="97">
        <v>1</v>
      </c>
      <c r="I16" s="98" t="s">
        <v>12217</v>
      </c>
      <c r="J16" s="99"/>
      <c r="K16" s="99"/>
      <c r="L16" s="100" t="s">
        <v>12218</v>
      </c>
      <c r="AB16" s="8"/>
      <c r="AC16" s="8"/>
      <c r="AF16" s="170"/>
      <c r="AG16" s="101"/>
      <c r="AH16" s="101"/>
      <c r="AN16" s="170"/>
      <c r="AO16" s="170"/>
      <c r="AP16" s="170"/>
      <c r="AQ16" s="173"/>
      <c r="AR16" s="173"/>
      <c r="AS16" s="173"/>
      <c r="AT16" s="173"/>
      <c r="AU16" s="101"/>
      <c r="AV16" s="101"/>
      <c r="AW16" s="101"/>
      <c r="AX16" s="101"/>
      <c r="AY16" s="101"/>
      <c r="AZ16" s="101"/>
    </row>
    <row r="17" spans="1:58" x14ac:dyDescent="0.2">
      <c r="A17" s="248" t="s">
        <v>890</v>
      </c>
      <c r="B17" s="96" t="s">
        <v>12220</v>
      </c>
      <c r="C17" s="96"/>
      <c r="D17" s="96">
        <v>1</v>
      </c>
      <c r="E17" s="348" t="s">
        <v>10427</v>
      </c>
      <c r="F17" s="340" t="s">
        <v>8695</v>
      </c>
      <c r="G17" s="97">
        <v>1</v>
      </c>
      <c r="H17" s="97">
        <v>0</v>
      </c>
      <c r="I17" s="98"/>
      <c r="J17" s="99"/>
      <c r="K17" s="99"/>
      <c r="L17" s="100" t="s">
        <v>8090</v>
      </c>
      <c r="AB17" s="8"/>
      <c r="AC17" s="8"/>
      <c r="AF17" s="170"/>
      <c r="AG17" s="101"/>
      <c r="AH17" s="101"/>
      <c r="AN17" s="170"/>
      <c r="AO17" s="170"/>
      <c r="AP17" s="170"/>
      <c r="AQ17" s="173"/>
      <c r="AR17" s="173"/>
      <c r="AS17" s="173"/>
      <c r="AT17" s="173"/>
      <c r="AU17" s="101"/>
      <c r="AV17" s="101"/>
      <c r="AW17" s="101"/>
      <c r="AX17" s="101"/>
      <c r="AY17" s="101"/>
      <c r="AZ17" s="101"/>
    </row>
    <row r="18" spans="1:58" x14ac:dyDescent="0.2">
      <c r="A18" s="248" t="s">
        <v>890</v>
      </c>
      <c r="B18" s="96" t="s">
        <v>12220</v>
      </c>
      <c r="C18" s="96"/>
      <c r="D18" s="96">
        <v>2</v>
      </c>
      <c r="E18" s="348" t="s">
        <v>10665</v>
      </c>
      <c r="F18" s="348" t="s">
        <v>10869</v>
      </c>
      <c r="G18" s="97">
        <v>2</v>
      </c>
      <c r="H18" s="97">
        <v>2</v>
      </c>
      <c r="I18" s="98"/>
      <c r="J18" s="99">
        <v>1</v>
      </c>
      <c r="K18" s="99">
        <v>1</v>
      </c>
      <c r="L18" s="100" t="s">
        <v>8041</v>
      </c>
      <c r="AB18" s="8"/>
      <c r="AC18" s="8"/>
      <c r="AD18" s="475"/>
      <c r="AF18" s="170"/>
      <c r="AG18" s="101"/>
      <c r="AH18" s="101"/>
      <c r="AN18" s="170"/>
      <c r="AO18" s="170"/>
      <c r="AP18" s="170"/>
      <c r="AQ18" s="173"/>
      <c r="AR18" s="173"/>
      <c r="AS18" s="173"/>
      <c r="AT18" s="173"/>
      <c r="AU18" s="101"/>
      <c r="AV18" s="101"/>
      <c r="AW18" s="101"/>
      <c r="AX18" s="101"/>
      <c r="AY18" s="101"/>
      <c r="AZ18" s="101"/>
    </row>
    <row r="19" spans="1:58" ht="12" thickBot="1" x14ac:dyDescent="0.25">
      <c r="A19" s="248" t="s">
        <v>890</v>
      </c>
      <c r="B19" s="102" t="s">
        <v>12221</v>
      </c>
      <c r="C19" s="102"/>
      <c r="D19" s="102">
        <v>1</v>
      </c>
      <c r="E19" s="348" t="s">
        <v>10427</v>
      </c>
      <c r="F19" s="342" t="s">
        <v>10869</v>
      </c>
      <c r="G19" s="103">
        <v>2</v>
      </c>
      <c r="H19" s="103">
        <v>1</v>
      </c>
      <c r="I19" s="104"/>
      <c r="J19" s="105"/>
      <c r="K19" s="105"/>
      <c r="L19" s="106" t="s">
        <v>8695</v>
      </c>
      <c r="AB19" s="101"/>
      <c r="AC19" s="101"/>
      <c r="AD19" s="474"/>
      <c r="AE19" s="170"/>
      <c r="AF19" s="170"/>
      <c r="AN19" s="170"/>
      <c r="AO19" s="173"/>
      <c r="AP19" s="173"/>
      <c r="AQ19" s="173"/>
      <c r="AR19" s="173"/>
      <c r="AS19" s="101"/>
      <c r="AT19" s="101"/>
      <c r="AU19" s="101"/>
      <c r="AV19" s="101"/>
      <c r="AW19" s="101"/>
      <c r="AX19" s="101"/>
    </row>
    <row r="20" spans="1:58" ht="15.75" x14ac:dyDescent="0.25">
      <c r="A20" s="540" t="s">
        <v>12222</v>
      </c>
      <c r="B20" s="541"/>
      <c r="C20" s="541"/>
      <c r="D20" s="541"/>
      <c r="E20" s="541"/>
      <c r="F20" s="541"/>
      <c r="G20" s="541"/>
      <c r="H20" s="541"/>
      <c r="I20" s="541"/>
      <c r="J20" s="542"/>
      <c r="K20" s="542"/>
      <c r="L20" s="543"/>
      <c r="M20" s="267"/>
      <c r="AB20" s="59"/>
      <c r="AC20" s="59"/>
      <c r="AD20" s="170"/>
      <c r="AE20" s="170"/>
      <c r="AF20" s="170"/>
      <c r="AN20" s="170"/>
      <c r="AO20" s="174"/>
      <c r="AP20" s="175"/>
      <c r="AQ20" s="175"/>
      <c r="AR20" s="175"/>
      <c r="AS20" s="59"/>
      <c r="AT20" s="59"/>
      <c r="AU20" s="59"/>
      <c r="AV20" s="59"/>
      <c r="AW20" s="59"/>
      <c r="AX20" s="59"/>
    </row>
    <row r="21" spans="1:58" ht="12" thickBot="1" x14ac:dyDescent="0.25">
      <c r="A21" s="109" t="s">
        <v>887</v>
      </c>
      <c r="B21" s="110" t="s">
        <v>12192</v>
      </c>
      <c r="C21" s="110" t="s">
        <v>12193</v>
      </c>
      <c r="D21" s="110" t="s">
        <v>12194</v>
      </c>
      <c r="E21" s="110" t="s">
        <v>12195</v>
      </c>
      <c r="F21" s="110" t="s">
        <v>12196</v>
      </c>
      <c r="G21" s="107" t="s">
        <v>12676</v>
      </c>
      <c r="H21" s="107" t="s">
        <v>12677</v>
      </c>
      <c r="I21" s="110" t="s">
        <v>12197</v>
      </c>
      <c r="J21" s="111" t="s">
        <v>12267</v>
      </c>
      <c r="K21" s="111" t="s">
        <v>12268</v>
      </c>
      <c r="L21" s="171" t="s">
        <v>12265</v>
      </c>
      <c r="M21" s="269" t="s">
        <v>12695</v>
      </c>
      <c r="N21" s="269" t="s">
        <v>12696</v>
      </c>
      <c r="O21" s="269" t="s">
        <v>12266</v>
      </c>
      <c r="P21" s="269" t="s">
        <v>12297</v>
      </c>
      <c r="Q21" s="269" t="s">
        <v>12298</v>
      </c>
      <c r="R21" s="265" t="s">
        <v>12281</v>
      </c>
      <c r="S21" s="265" t="s">
        <v>12283</v>
      </c>
      <c r="T21" s="265" t="s">
        <v>12284</v>
      </c>
      <c r="U21" s="265" t="s">
        <v>12282</v>
      </c>
      <c r="V21" s="269" t="s">
        <v>12342</v>
      </c>
      <c r="W21" s="269" t="s">
        <v>12343</v>
      </c>
      <c r="X21" s="269" t="s">
        <v>12344</v>
      </c>
      <c r="Y21" s="269" t="s">
        <v>12345</v>
      </c>
      <c r="Z21" s="269" t="s">
        <v>12346</v>
      </c>
      <c r="AB21" s="8"/>
      <c r="AC21" s="8"/>
      <c r="AE21" s="59"/>
      <c r="AF21" s="59"/>
      <c r="AN21" s="170"/>
      <c r="AO21" s="170"/>
      <c r="AP21" s="170"/>
      <c r="AQ21" s="170"/>
      <c r="AR21" s="170"/>
      <c r="AS21" s="170"/>
      <c r="AT21" s="170"/>
      <c r="AU21" s="170"/>
      <c r="AV21" s="170"/>
      <c r="AW21" s="8"/>
      <c r="AX21" s="11"/>
      <c r="AY21" s="59"/>
      <c r="AZ21" s="59"/>
      <c r="BA21" s="59"/>
      <c r="BB21" s="59"/>
      <c r="BC21" s="59"/>
      <c r="BD21" s="59"/>
      <c r="BE21" s="59"/>
      <c r="BF21" s="59"/>
    </row>
    <row r="22" spans="1:58" ht="12" thickBot="1" x14ac:dyDescent="0.25">
      <c r="A22" s="248" t="s">
        <v>890</v>
      </c>
      <c r="B22" s="249" t="s">
        <v>12207</v>
      </c>
      <c r="C22" s="249">
        <v>1</v>
      </c>
      <c r="D22" s="249"/>
      <c r="E22" s="343" t="s">
        <v>8610</v>
      </c>
      <c r="F22" s="344" t="s">
        <v>10089</v>
      </c>
      <c r="G22" s="338">
        <v>4</v>
      </c>
      <c r="H22" s="338">
        <v>5</v>
      </c>
      <c r="I22" s="339"/>
      <c r="J22" s="112"/>
      <c r="K22" s="112"/>
      <c r="L22" s="250"/>
      <c r="M22" s="265" t="b">
        <f>NOT(ISERROR(ResultsInd[[#This Row],[Goal-A]]+ResultsInd[[#This Row],[Goal-B]]))</f>
        <v>1</v>
      </c>
      <c r="N22" s="265">
        <f>VALUE(ResultsInd[[#This Row],[Score-A]])</f>
        <v>4</v>
      </c>
      <c r="O22" s="265">
        <f>VALUE(ResultsInd[[#This Row],[Score-B]])</f>
        <v>5</v>
      </c>
      <c r="P22" s="265">
        <f ca="1">IF(AND(ResultsInd[[#This Row],[Category]]&lt;&gt;"",ResultsInd[[#This Row],[Player A]]&lt;&gt;""),COUNTIF(INDIRECT(ResultsInd[[#This Row],[Category]]&amp;"List[Retained Player Name]"),ResultsInd[[#This Row],[Player A]]),"")</f>
        <v>1</v>
      </c>
      <c r="Q22" s="265">
        <f ca="1">IF(AND(ResultsInd[[#This Row],[Category]]&lt;&gt;"",ResultsInd[[#This Row],[Player B]]&lt;&gt;""),COUNTIF(INDIRECT(ResultsInd[[#This Row],[Category]]&amp;"List[Retained Player Name]"),ResultsInd[[#This Row],[Player B]]),"")</f>
        <v>1</v>
      </c>
      <c r="R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OPEN-Marco Di Vito</v>
      </c>
      <c r="S22" s="265" t="str">
        <f>IF(ResultsInd[[#This Row],[Score_OK]],IF(ResultsInd[[#This Row],[Stage]]="Groups",ResultsInd[[#This Row],[Category]]&amp;"-"&amp;IF(ResultsInd[[#This Row],[Player B]]="","",IF(ResultsInd[[#This Row],[Score-A]]=ResultsInd[[#This Row],[Score-B]],ResultsInd[[#This Row],[Player A]],"")),""),"")</f>
        <v>OPEN-</v>
      </c>
      <c r="T22" s="265" t="str">
        <f>IF(ResultsInd[[#This Row],[Score_OK]],IF(ResultsInd[[#This Row],[Stage]]="Groups",ResultsInd[[#This Row],[Category]]&amp;"-"&amp;IF(ResultsInd[[#This Row],[Player B]]="","",IF(ResultsInd[[#This Row],[Score-A]]=ResultsInd[[#This Row],[Score-B]],ResultsInd[[#This Row],[Player B]],"")),""),"")</f>
        <v>OPEN-</v>
      </c>
      <c r="U22" s="265"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OPEN-Carlos Flores</v>
      </c>
      <c r="V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OPEN-Carlos Flores</v>
      </c>
      <c r="X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OPEN-Carlos Flores</v>
      </c>
      <c r="Y22" s="264" t="str">
        <f>IF(ResultsInd[[#This Row],[Category]]="","",VLOOKUP(ResultsInd[[#This Row],[Stage]],$P$1:$V$9,MATCH(ResultsInd[[#This Row],[Category]],$Q$1:$V$1,0)+1,FALSE))</f>
        <v>PR1</v>
      </c>
      <c r="Z22" s="264" t="str">
        <f>IF(ResultsInd[[#This Row],[Score_OK]],IF(ResultsInd[[#This Row],[Level]]="R",ResultsInd[[#This Row],[Category]]&amp;"-"&amp;IF(ResultsInd[[#This Row],[LoseInKO]]=ResultsInd[[#This Row],[Category]]&amp;"-"&amp;ResultsInd[[#This Row],[Player A]],ResultsInd[[#This Row],[Player B]],ResultsInd[[#This Row],[Player A]]),""),"")</f>
        <v/>
      </c>
      <c r="AB22" s="281">
        <f>IF(AC22="","",COUNTIFS(AC$22:AC22,AC22,AD$22:AD22,"Players draw"))</f>
        <v>1</v>
      </c>
      <c r="AC22" s="315" t="s">
        <v>890</v>
      </c>
      <c r="AD22" s="289" t="s">
        <v>14439</v>
      </c>
      <c r="AE22" s="290" t="s">
        <v>12279</v>
      </c>
      <c r="AF22" s="284" t="s">
        <v>12275</v>
      </c>
      <c r="AG22" s="296" t="s">
        <v>12276</v>
      </c>
      <c r="AH22" s="291" t="s">
        <v>12271</v>
      </c>
      <c r="AI22" s="291" t="s">
        <v>12272</v>
      </c>
      <c r="AJ22" s="414" t="s">
        <v>13154</v>
      </c>
      <c r="AK22" s="291" t="s">
        <v>12273</v>
      </c>
      <c r="AL22" s="297" t="s">
        <v>12274</v>
      </c>
      <c r="AM22" s="414" t="s">
        <v>13154</v>
      </c>
      <c r="AN22" s="303" t="s">
        <v>12199</v>
      </c>
      <c r="AO22" s="304" t="s">
        <v>12200</v>
      </c>
      <c r="AP22" s="304" t="s">
        <v>12201</v>
      </c>
      <c r="AQ22" s="304" t="s">
        <v>12202</v>
      </c>
      <c r="AR22" s="304" t="s">
        <v>12203</v>
      </c>
      <c r="AS22" s="304" t="s">
        <v>12204</v>
      </c>
      <c r="AT22" s="304" t="s">
        <v>12205</v>
      </c>
      <c r="AU22" s="305" t="s">
        <v>12206</v>
      </c>
      <c r="AV22" s="468"/>
      <c r="AW22" s="282" t="s">
        <v>12276</v>
      </c>
      <c r="AX22" s="282" t="s">
        <v>12280</v>
      </c>
      <c r="AY22" s="283" t="s">
        <v>12199</v>
      </c>
      <c r="AZ22" s="283" t="s">
        <v>12200</v>
      </c>
      <c r="BA22" s="283" t="s">
        <v>12201</v>
      </c>
      <c r="BB22" s="283" t="s">
        <v>12202</v>
      </c>
      <c r="BC22" s="283" t="s">
        <v>12203</v>
      </c>
      <c r="BD22" s="283" t="s">
        <v>12204</v>
      </c>
      <c r="BE22" s="283" t="s">
        <v>12205</v>
      </c>
      <c r="BF22" s="300" t="s">
        <v>12206</v>
      </c>
    </row>
    <row r="23" spans="1:58" ht="12" thickBot="1" x14ac:dyDescent="0.25">
      <c r="A23" s="249" t="s">
        <v>890</v>
      </c>
      <c r="B23" s="249" t="s">
        <v>12207</v>
      </c>
      <c r="C23" s="249">
        <v>1</v>
      </c>
      <c r="D23" s="249"/>
      <c r="E23" s="343" t="s">
        <v>12756</v>
      </c>
      <c r="F23" s="343" t="s">
        <v>8610</v>
      </c>
      <c r="G23" s="338">
        <v>0</v>
      </c>
      <c r="H23" s="338">
        <v>9</v>
      </c>
      <c r="I23" s="339"/>
      <c r="J23" s="114"/>
      <c r="K23" s="114"/>
      <c r="L23" s="250"/>
      <c r="M23" s="265" t="b">
        <f>NOT(ISERROR(ResultsInd[[#This Row],[Goal-A]]+ResultsInd[[#This Row],[Goal-B]]))</f>
        <v>1</v>
      </c>
      <c r="N23" s="265">
        <f>VALUE(ResultsInd[[#This Row],[Score-A]])</f>
        <v>0</v>
      </c>
      <c r="O23" s="265">
        <f>VALUE(ResultsInd[[#This Row],[Score-B]])</f>
        <v>9</v>
      </c>
      <c r="P23" s="265">
        <f ca="1">IF(AND(ResultsInd[[#This Row],[Category]]&lt;&gt;"",ResultsInd[[#This Row],[Player A]]&lt;&gt;""),COUNTIF(INDIRECT(ResultsInd[[#This Row],[Category]]&amp;"List[Retained Player Name]"),ResultsInd[[#This Row],[Player A]]),"")</f>
        <v>1</v>
      </c>
      <c r="Q23" s="265">
        <f ca="1">IF(AND(ResultsInd[[#This Row],[Category]]&lt;&gt;"",ResultsInd[[#This Row],[Player B]]&lt;&gt;""),COUNTIF(INDIRECT(ResultsInd[[#This Row],[Category]]&amp;"List[Retained Player Name]"),ResultsInd[[#This Row],[Player B]]),"")</f>
        <v>1</v>
      </c>
      <c r="R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OPEN-Carlos Flores</v>
      </c>
      <c r="S23" s="265" t="str">
        <f>IF(ResultsInd[[#This Row],[Score_OK]],IF(ResultsInd[[#This Row],[Stage]]="Groups",ResultsInd[[#This Row],[Category]]&amp;"-"&amp;IF(ResultsInd[[#This Row],[Player B]]="","",IF(ResultsInd[[#This Row],[Score-A]]=ResultsInd[[#This Row],[Score-B]],ResultsInd[[#This Row],[Player A]],"")),""),"")</f>
        <v>OPEN-</v>
      </c>
      <c r="T23" s="265" t="str">
        <f>IF(ResultsInd[[#This Row],[Score_OK]],IF(ResultsInd[[#This Row],[Stage]]="Groups",ResultsInd[[#This Row],[Category]]&amp;"-"&amp;IF(ResultsInd[[#This Row],[Player B]]="","",IF(ResultsInd[[#This Row],[Score-A]]=ResultsInd[[#This Row],[Score-B]],ResultsInd[[#This Row],[Player B]],"")),""),"")</f>
        <v>OPEN-</v>
      </c>
      <c r="U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OPEN-Ronald Scheffer</v>
      </c>
      <c r="V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OPEN-Ronald Scheffer</v>
      </c>
      <c r="X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OPEN-Ronald Scheffer</v>
      </c>
      <c r="Y23" s="264" t="str">
        <f>IF(ResultsInd[[#This Row],[Category]]="","",VLOOKUP(ResultsInd[[#This Row],[Stage]],$P$1:$V$9,MATCH(ResultsInd[[#This Row],[Category]],$Q$1:$V$1,0)+1,FALSE))</f>
        <v>PR1</v>
      </c>
      <c r="Z23" s="264" t="str">
        <f>IF(ResultsInd[[#This Row],[Score_OK]],IF(ResultsInd[[#This Row],[Level]]="R",ResultsInd[[#This Row],[Category]]&amp;"-"&amp;IF(ResultsInd[[#This Row],[LoseInKO]]=ResultsInd[[#This Row],[Category]]&amp;"-"&amp;ResultsInd[[#This Row],[Player A]],ResultsInd[[#This Row],[Player B]],ResultsInd[[#This Row],[Player A]]),""),"")</f>
        <v/>
      </c>
      <c r="AB23" s="8"/>
      <c r="AC23" s="12" t="str">
        <f>IF(AC22="","",AC22)</f>
        <v>OPEN</v>
      </c>
      <c r="AD23" s="309" t="s">
        <v>8610</v>
      </c>
      <c r="AE23" s="320"/>
      <c r="AF23" s="311"/>
      <c r="AG23" s="292">
        <f>IF(AP23="","",SMALL(AH23:AH29,ROWS(AG23:AG23)))</f>
        <v>1003</v>
      </c>
      <c r="AH23" s="293">
        <f>IF(AP23="","",RANK(AL23,AL23:AL29)*1000+ROWS(AH23:AH23))</f>
        <v>2001</v>
      </c>
      <c r="AI23" s="316">
        <f t="shared" ref="AI23:AI29" si="9">IF(AP23="","",CritClassInd1_Points*AN23+CritClassInd1_Matches*AP23+CritClassInd1_Attaque*AS23+CritClassInd1_DiffButs*AU23)</f>
        <v>6000000000000</v>
      </c>
      <c r="AJ23" s="415" t="b">
        <f>AND(AO23&lt;&gt;"",AO23&gt;0,COUNTIF(AI23:AI29,AI23)&gt;1)</f>
        <v>0</v>
      </c>
      <c r="AK23" s="316">
        <f t="shared" ref="AK23:AK29" si="10">IF(AP23="","",CritClassInd_ScorePart*AE23)</f>
        <v>0</v>
      </c>
      <c r="AL23" s="317">
        <f t="shared" ref="AL23:AL29" si="11">IF(AP23="","",AI23+AK23+CritClassInd2_Points*AN23+CritClassInd2_Matches*AP23+CritClassInd2_Attaque*AS23+CritClassInd2_DiffButs*AU23+AF23)</f>
        <v>6000000172300</v>
      </c>
      <c r="AM23" s="415" t="b">
        <f>AND(AO23&lt;&gt;"",AO23&gt;0,COUNTIF(AL23:AL29,AL23)&gt;1)</f>
        <v>0</v>
      </c>
      <c r="AN23" s="306">
        <f t="shared" ref="AN23:AN29" si="12">IF(AP23="","",(AP23*Points_Victoire)+AQ23*Points_Null)</f>
        <v>6</v>
      </c>
      <c r="AO23" s="307">
        <f t="shared" ref="AO23:AO29" si="13">IF(AP23="","",SUM(AP23:AR23))</f>
        <v>3</v>
      </c>
      <c r="AP23" s="307">
        <f>IF(OR(AC22="",AD23=""),"",COUNTIF(ResultsInd[Win],AC22&amp;"-"&amp;AD23))</f>
        <v>2</v>
      </c>
      <c r="AQ23" s="307">
        <f>IF(OR(AC22="",AD23=""),"",COUNTIF(ResultsInd[Draw1],AC22&amp;"-"&amp;AD23)+COUNTIF(ResultsInd[Draw2],AC22&amp;"-"&amp;AD23))</f>
        <v>0</v>
      </c>
      <c r="AR23" s="307">
        <f>IF(OR(AC22="",AD23=""),"",COUNTIF(ResultsInd[Lose],AC22&amp;"-"&amp;AD23))</f>
        <v>1</v>
      </c>
      <c r="AS23" s="307">
        <f>IF(OR(AC22="",AD23=""),"",SUMIFS(ResultsInd[Goal-A],ResultsInd[Category],AC22,ResultsInd[Stage],"Groups",ResultsInd[Player A],AD23)+SUMIFS(ResultsInd[Goal-B],ResultsInd[Category],AC22,ResultsInd[Stage],"Groups",ResultsInd[Player B],AD23))</f>
        <v>23</v>
      </c>
      <c r="AT23" s="307">
        <f>IF(OR(AC22="",AD23=""),"",SUMIFS(ResultsInd[Goal-B],ResultsInd[Category],AC22,ResultsInd[Stage],"Groups",ResultsInd[Player A],AD23)+SUMIFS(ResultsInd[Goal-A],ResultsInd[Category],AC22,ResultsInd[Stage],"Groups",ResultsInd[Player B],AD23))</f>
        <v>6</v>
      </c>
      <c r="AU23" s="308">
        <f>IF(AP23="","",AS23-AT23)</f>
        <v>17</v>
      </c>
      <c r="AV23" s="469" t="b">
        <f>IF(AG23="","",OR(VLOOKUP(AG23,AH23:AU29,3,FALSE),VLOOKUP(AG23,AH23:AU29,6,FALSE)))</f>
        <v>0</v>
      </c>
      <c r="AW23" s="298">
        <f t="shared" ref="AW23:AW29" si="14">IF(AG23="","",INT(AG23/1000))</f>
        <v>1</v>
      </c>
      <c r="AX23" s="285" t="str">
        <f>IF(AG23="","",INDEX(AD23:AD29,MATCH(AG23,AH23:AH29,0)))</f>
        <v>Marco Di Vito</v>
      </c>
      <c r="AY23" s="286">
        <f>IF(AG23="","",VLOOKUP(AG23,AH23:AU29,COLUMN()-COLUMN(AR22),FALSE))</f>
        <v>9</v>
      </c>
      <c r="AZ23" s="286">
        <f>IF(AG23="","",VLOOKUP(AG23,AH23:AU29,COLUMN()-COLUMN(AR22),FALSE))</f>
        <v>3</v>
      </c>
      <c r="BA23" s="286">
        <f>IF(AG23="","",VLOOKUP(AG23,AH23:AU29,COLUMN()-COLUMN(AR22),FALSE))</f>
        <v>3</v>
      </c>
      <c r="BB23" s="286">
        <f>IF(AG23="","",VLOOKUP(AG23,AH23:AU29,COLUMN()-COLUMN(AR22),FALSE))</f>
        <v>0</v>
      </c>
      <c r="BC23" s="286">
        <f>IF(AG23="","",VLOOKUP(AG23,AH23:AU29,COLUMN()-COLUMN(AR22),FALSE))</f>
        <v>0</v>
      </c>
      <c r="BD23" s="286">
        <f>IF(AG23="","",VLOOKUP(AG23,AH23:AU29,COLUMN()-COLUMN(AR22),FALSE))</f>
        <v>15</v>
      </c>
      <c r="BE23" s="286">
        <f>IF(AG23="","",VLOOKUP(AG23,AH23:AU29,COLUMN()-COLUMN(AR22),FALSE))</f>
        <v>5</v>
      </c>
      <c r="BF23" s="301">
        <f>IF(AG23="","",VLOOKUP(AG23,AH23:AU29,COLUMN()-COLUMN(AR22),FALSE))</f>
        <v>10</v>
      </c>
    </row>
    <row r="24" spans="1:58" ht="12" thickBot="1" x14ac:dyDescent="0.25">
      <c r="A24" s="249" t="s">
        <v>890</v>
      </c>
      <c r="B24" s="249" t="s">
        <v>12207</v>
      </c>
      <c r="C24" s="249">
        <v>1</v>
      </c>
      <c r="D24" s="249"/>
      <c r="E24" s="343" t="s">
        <v>10089</v>
      </c>
      <c r="F24" s="343" t="s">
        <v>12756</v>
      </c>
      <c r="G24" s="338">
        <v>4</v>
      </c>
      <c r="H24" s="338">
        <v>0</v>
      </c>
      <c r="I24" s="339"/>
      <c r="J24" s="114"/>
      <c r="K24" s="114"/>
      <c r="L24" s="250"/>
      <c r="M24" s="265" t="b">
        <f>NOT(ISERROR(ResultsInd[[#This Row],[Goal-A]]+ResultsInd[[#This Row],[Goal-B]]))</f>
        <v>1</v>
      </c>
      <c r="N24" s="265">
        <f>VALUE(ResultsInd[[#This Row],[Score-A]])</f>
        <v>4</v>
      </c>
      <c r="O24" s="265">
        <f>VALUE(ResultsInd[[#This Row],[Score-B]])</f>
        <v>0</v>
      </c>
      <c r="P24" s="265">
        <f ca="1">IF(AND(ResultsInd[[#This Row],[Category]]&lt;&gt;"",ResultsInd[[#This Row],[Player A]]&lt;&gt;""),COUNTIF(INDIRECT(ResultsInd[[#This Row],[Category]]&amp;"List[Retained Player Name]"),ResultsInd[[#This Row],[Player A]]),"")</f>
        <v>1</v>
      </c>
      <c r="Q24" s="265">
        <f ca="1">IF(AND(ResultsInd[[#This Row],[Category]]&lt;&gt;"",ResultsInd[[#This Row],[Player B]]&lt;&gt;""),COUNTIF(INDIRECT(ResultsInd[[#This Row],[Category]]&amp;"List[Retained Player Name]"),ResultsInd[[#This Row],[Player B]]),"")</f>
        <v>1</v>
      </c>
      <c r="R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OPEN-Marco Di Vito</v>
      </c>
      <c r="S24" s="265" t="str">
        <f>IF(ResultsInd[[#This Row],[Score_OK]],IF(ResultsInd[[#This Row],[Stage]]="Groups",ResultsInd[[#This Row],[Category]]&amp;"-"&amp;IF(ResultsInd[[#This Row],[Player B]]="","",IF(ResultsInd[[#This Row],[Score-A]]=ResultsInd[[#This Row],[Score-B]],ResultsInd[[#This Row],[Player A]],"")),""),"")</f>
        <v>OPEN-</v>
      </c>
      <c r="T24" s="265" t="str">
        <f>IF(ResultsInd[[#This Row],[Score_OK]],IF(ResultsInd[[#This Row],[Stage]]="Groups",ResultsInd[[#This Row],[Category]]&amp;"-"&amp;IF(ResultsInd[[#This Row],[Player B]]="","",IF(ResultsInd[[#This Row],[Score-A]]=ResultsInd[[#This Row],[Score-B]],ResultsInd[[#This Row],[Player B]],"")),""),"")</f>
        <v>OPEN-</v>
      </c>
      <c r="U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OPEN-Ronald Scheffer</v>
      </c>
      <c r="V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OPEN-Ronald Scheffer</v>
      </c>
      <c r="X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OPEN-Ronald Scheffer</v>
      </c>
      <c r="Y24" s="264" t="str">
        <f>IF(ResultsInd[[#This Row],[Category]]="","",VLOOKUP(ResultsInd[[#This Row],[Stage]],$P$1:$V$9,MATCH(ResultsInd[[#This Row],[Category]],$Q$1:$V$1,0)+1,FALSE))</f>
        <v>PR1</v>
      </c>
      <c r="Z24" s="264" t="str">
        <f>IF(ResultsInd[[#This Row],[Score_OK]],IF(ResultsInd[[#This Row],[Level]]="R",ResultsInd[[#This Row],[Category]]&amp;"-"&amp;IF(ResultsInd[[#This Row],[LoseInKO]]=ResultsInd[[#This Row],[Category]]&amp;"-"&amp;ResultsInd[[#This Row],[Player A]],ResultsInd[[#This Row],[Player B]],ResultsInd[[#This Row],[Player A]]),""),"")</f>
        <v/>
      </c>
      <c r="AB24" s="8"/>
      <c r="AC24" s="12" t="str">
        <f t="shared" ref="AC24:AC29" si="15">IF(AC23="","",AC23)</f>
        <v>OPEN</v>
      </c>
      <c r="AD24" s="309" t="s">
        <v>12756</v>
      </c>
      <c r="AE24" s="320"/>
      <c r="AF24" s="311"/>
      <c r="AG24" s="292">
        <f>IF(AP24="","",SMALL(AH23:AH29,ROWS(AG23:AG24)))</f>
        <v>2001</v>
      </c>
      <c r="AH24" s="293">
        <f>IF(AP24="","",RANK(AL24,AL23:AL29)*1000+ROWS(AH23:AH24))</f>
        <v>3002</v>
      </c>
      <c r="AI24" s="316">
        <f t="shared" si="9"/>
        <v>3000000000000</v>
      </c>
      <c r="AJ24" s="415" t="b">
        <f>AND(AO24&lt;&gt;"",AO24&gt;0,COUNTIF(AI23:AI29,AI24)&gt;1)</f>
        <v>0</v>
      </c>
      <c r="AK24" s="316">
        <f t="shared" si="10"/>
        <v>0</v>
      </c>
      <c r="AL24" s="317">
        <f t="shared" si="11"/>
        <v>2999999880100</v>
      </c>
      <c r="AM24" s="415" t="b">
        <f>AND(AO24&lt;&gt;"",AO24&gt;0,COUNTIF(AL23:AL29,AL24)&gt;1)</f>
        <v>0</v>
      </c>
      <c r="AN24" s="306">
        <f t="shared" si="12"/>
        <v>3</v>
      </c>
      <c r="AO24" s="307">
        <f t="shared" si="13"/>
        <v>3</v>
      </c>
      <c r="AP24" s="307">
        <f>IF(OR(AC22="",AD24=""),"",COUNTIF(ResultsInd[Win],AC22&amp;"-"&amp;AD24))</f>
        <v>1</v>
      </c>
      <c r="AQ24" s="307">
        <f>IF(OR(AC22="",AD24=""),"",COUNTIF(ResultsInd[Draw1],AC22&amp;"-"&amp;AD24)+COUNTIF(ResultsInd[Draw2],AC22&amp;"-"&amp;AD24))</f>
        <v>0</v>
      </c>
      <c r="AR24" s="307">
        <f>IF(OR(AC22="",AD24=""),"",COUNTIF(ResultsInd[Lose],AC22&amp;"-"&amp;AD24))</f>
        <v>2</v>
      </c>
      <c r="AS24" s="307">
        <f>IF(OR(AC22="",AD24=""),"",SUMIFS(ResultsInd[Goal-A],ResultsInd[Category],AC22,ResultsInd[Stage],"Groups",ResultsInd[Player A],AD24)+SUMIFS(ResultsInd[Goal-B],ResultsInd[Category],AC22,ResultsInd[Stage],"Groups",ResultsInd[Player B],AD24))</f>
        <v>1</v>
      </c>
      <c r="AT24" s="307">
        <f>IF(OR(AC22="",AD24=""),"",SUMIFS(ResultsInd[Goal-B],ResultsInd[Category],AC22,ResultsInd[Stage],"Groups",ResultsInd[Player A],AD24)+SUMIFS(ResultsInd[Goal-A],ResultsInd[Category],AC22,ResultsInd[Stage],"Groups",ResultsInd[Player B],AD24))</f>
        <v>13</v>
      </c>
      <c r="AU24" s="308">
        <f t="shared" ref="AU24:AU29" si="16">IF(AP24="","",AS24-AT24)</f>
        <v>-12</v>
      </c>
      <c r="AV24" s="469" t="b">
        <f>IF(AG24="","",OR(VLOOKUP(AG24,AH23:AU29,3,FALSE),VLOOKUP(AG24,AH23:AU29,6,FALSE)))</f>
        <v>0</v>
      </c>
      <c r="AW24" s="298">
        <f t="shared" si="14"/>
        <v>2</v>
      </c>
      <c r="AX24" s="285" t="str">
        <f>IF(AG24="","",INDEX(AD23:AD29,MATCH(AG24,AH23:AH29,0)))</f>
        <v>Carlos Flores</v>
      </c>
      <c r="AY24" s="286">
        <f>IF(AG24="","",VLOOKUP(AG24,AH23:AU29,COLUMN()-COLUMN(AR22),FALSE))</f>
        <v>6</v>
      </c>
      <c r="AZ24" s="286">
        <f>IF(AG24="","",VLOOKUP(AG24,AH23:AU29,COLUMN()-COLUMN(AR22),FALSE))</f>
        <v>3</v>
      </c>
      <c r="BA24" s="286">
        <f>IF(AG24="","",VLOOKUP(AG24,AH23:AU29,COLUMN()-COLUMN(AR22),FALSE))</f>
        <v>2</v>
      </c>
      <c r="BB24" s="286">
        <f>IF(AG24="","",VLOOKUP(AG24,AH23:AU29,COLUMN()-COLUMN(AR22),FALSE))</f>
        <v>0</v>
      </c>
      <c r="BC24" s="286">
        <f>IF(AG24="","",VLOOKUP(AG24,AH23:AU29,COLUMN()-COLUMN(AR22),FALSE))</f>
        <v>1</v>
      </c>
      <c r="BD24" s="286">
        <f>IF(AG24="","",VLOOKUP(AG24,AH23:AU29,COLUMN()-COLUMN(AR22),FALSE))</f>
        <v>23</v>
      </c>
      <c r="BE24" s="286">
        <f>IF(AG24="","",VLOOKUP(AG24,AH23:AU29,COLUMN()-COLUMN(AR22),FALSE))</f>
        <v>6</v>
      </c>
      <c r="BF24" s="301">
        <f>IF(AG24="","",VLOOKUP(AG24,AH23:AU29,COLUMN()-COLUMN(AR22),FALSE))</f>
        <v>17</v>
      </c>
    </row>
    <row r="25" spans="1:58" ht="12" thickBot="1" x14ac:dyDescent="0.25">
      <c r="A25" s="249" t="s">
        <v>890</v>
      </c>
      <c r="B25" s="249" t="s">
        <v>12207</v>
      </c>
      <c r="C25" s="249">
        <v>1</v>
      </c>
      <c r="D25" s="249"/>
      <c r="E25" s="343" t="s">
        <v>11590</v>
      </c>
      <c r="F25" s="343" t="s">
        <v>10089</v>
      </c>
      <c r="G25" s="338">
        <v>1</v>
      </c>
      <c r="H25" s="338">
        <v>6</v>
      </c>
      <c r="I25" s="339"/>
      <c r="J25" s="114"/>
      <c r="K25" s="114"/>
      <c r="L25" s="250"/>
      <c r="M25" s="265" t="b">
        <f>NOT(ISERROR(ResultsInd[[#This Row],[Goal-A]]+ResultsInd[[#This Row],[Goal-B]]))</f>
        <v>1</v>
      </c>
      <c r="N25" s="265">
        <f>VALUE(ResultsInd[[#This Row],[Score-A]])</f>
        <v>1</v>
      </c>
      <c r="O25" s="265">
        <f>VALUE(ResultsInd[[#This Row],[Score-B]])</f>
        <v>6</v>
      </c>
      <c r="P25" s="265">
        <f ca="1">IF(AND(ResultsInd[[#This Row],[Category]]&lt;&gt;"",ResultsInd[[#This Row],[Player A]]&lt;&gt;""),COUNTIF(INDIRECT(ResultsInd[[#This Row],[Category]]&amp;"List[Retained Player Name]"),ResultsInd[[#This Row],[Player A]]),"")</f>
        <v>1</v>
      </c>
      <c r="Q25" s="265">
        <f ca="1">IF(AND(ResultsInd[[#This Row],[Category]]&lt;&gt;"",ResultsInd[[#This Row],[Player B]]&lt;&gt;""),COUNTIF(INDIRECT(ResultsInd[[#This Row],[Category]]&amp;"List[Retained Player Name]"),ResultsInd[[#This Row],[Player B]]),"")</f>
        <v>1</v>
      </c>
      <c r="R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OPEN-Marco Di Vito</v>
      </c>
      <c r="S25" s="265" t="str">
        <f>IF(ResultsInd[[#This Row],[Score_OK]],IF(ResultsInd[[#This Row],[Stage]]="Groups",ResultsInd[[#This Row],[Category]]&amp;"-"&amp;IF(ResultsInd[[#This Row],[Player B]]="","",IF(ResultsInd[[#This Row],[Score-A]]=ResultsInd[[#This Row],[Score-B]],ResultsInd[[#This Row],[Player A]],"")),""),"")</f>
        <v>OPEN-</v>
      </c>
      <c r="T25" s="265" t="str">
        <f>IF(ResultsInd[[#This Row],[Score_OK]],IF(ResultsInd[[#This Row],[Stage]]="Groups",ResultsInd[[#This Row],[Category]]&amp;"-"&amp;IF(ResultsInd[[#This Row],[Player B]]="","",IF(ResultsInd[[#This Row],[Score-A]]=ResultsInd[[#This Row],[Score-B]],ResultsInd[[#This Row],[Player B]],"")),""),"")</f>
        <v>OPEN-</v>
      </c>
      <c r="U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OPEN-Emeric Delcroix</v>
      </c>
      <c r="V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OPEN-Emeric Delcroix</v>
      </c>
      <c r="X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OPEN-Emeric Delcroix</v>
      </c>
      <c r="Y25" s="264" t="str">
        <f>IF(ResultsInd[[#This Row],[Category]]="","",VLOOKUP(ResultsInd[[#This Row],[Stage]],$P$1:$V$9,MATCH(ResultsInd[[#This Row],[Category]],$Q$1:$V$1,0)+1,FALSE))</f>
        <v>PR1</v>
      </c>
      <c r="Z25" s="264" t="str">
        <f>IF(ResultsInd[[#This Row],[Score_OK]],IF(ResultsInd[[#This Row],[Level]]="R",ResultsInd[[#This Row],[Category]]&amp;"-"&amp;IF(ResultsInd[[#This Row],[LoseInKO]]=ResultsInd[[#This Row],[Category]]&amp;"-"&amp;ResultsInd[[#This Row],[Player A]],ResultsInd[[#This Row],[Player B]],ResultsInd[[#This Row],[Player A]]),""),"")</f>
        <v/>
      </c>
      <c r="AB25" s="8"/>
      <c r="AC25" s="12" t="str">
        <f t="shared" si="15"/>
        <v>OPEN</v>
      </c>
      <c r="AD25" s="309" t="s">
        <v>10089</v>
      </c>
      <c r="AE25" s="320"/>
      <c r="AF25" s="311"/>
      <c r="AG25" s="292">
        <f>IF(AP25="","",SMALL(AH23:AH29,ROWS(AG23:AG25)))</f>
        <v>3002</v>
      </c>
      <c r="AH25" s="293">
        <f>IF(AP25="","",RANK(AL25,AL23:AL29)*1000+ROWS(AH23:AH25))</f>
        <v>1003</v>
      </c>
      <c r="AI25" s="316">
        <f t="shared" si="9"/>
        <v>9000000000000</v>
      </c>
      <c r="AJ25" s="415" t="b">
        <f>AND(AO25&lt;&gt;"",AO25&gt;0,COUNTIF(AI23:AI29,AI25)&gt;1)</f>
        <v>0</v>
      </c>
      <c r="AK25" s="316">
        <f t="shared" si="10"/>
        <v>0</v>
      </c>
      <c r="AL25" s="317">
        <f t="shared" si="11"/>
        <v>9000000101500</v>
      </c>
      <c r="AM25" s="415" t="b">
        <f>AND(AO25&lt;&gt;"",AO25&gt;0,COUNTIF(AL23:AL29,AL25)&gt;1)</f>
        <v>0</v>
      </c>
      <c r="AN25" s="306">
        <f t="shared" si="12"/>
        <v>9</v>
      </c>
      <c r="AO25" s="307">
        <f t="shared" si="13"/>
        <v>3</v>
      </c>
      <c r="AP25" s="307">
        <f>IF(OR(AC22="",AD25=""),"",COUNTIF(ResultsInd[Win],AC22&amp;"-"&amp;AD25))</f>
        <v>3</v>
      </c>
      <c r="AQ25" s="307">
        <f>IF(OR(AC22="",AD25=""),"",COUNTIF(ResultsInd[Draw1],AC22&amp;"-"&amp;AD25)+COUNTIF(ResultsInd[Draw2],AC22&amp;"-"&amp;AD25))</f>
        <v>0</v>
      </c>
      <c r="AR25" s="307">
        <f>IF(OR(AC22="",AD25=""),"",COUNTIF(ResultsInd[Lose],AC22&amp;"-"&amp;AD25))</f>
        <v>0</v>
      </c>
      <c r="AS25" s="307">
        <f>IF(OR(AC22="",AD25=""),"",SUMIFS(ResultsInd[Goal-A],ResultsInd[Category],AC22,ResultsInd[Stage],"Groups",ResultsInd[Player A],AD25)+SUMIFS(ResultsInd[Goal-B],ResultsInd[Category],AC22,ResultsInd[Stage],"Groups",ResultsInd[Player B],AD25))</f>
        <v>15</v>
      </c>
      <c r="AT25" s="307">
        <f>IF(OR(AC22="",AD25=""),"",SUMIFS(ResultsInd[Goal-B],ResultsInd[Category],AC22,ResultsInd[Stage],"Groups",ResultsInd[Player A],AD25)+SUMIFS(ResultsInd[Goal-A],ResultsInd[Category],AC22,ResultsInd[Stage],"Groups",ResultsInd[Player B],AD25))</f>
        <v>5</v>
      </c>
      <c r="AU25" s="308">
        <f t="shared" si="16"/>
        <v>10</v>
      </c>
      <c r="AV25" s="469" t="b">
        <f>IF(AG25="","",OR(VLOOKUP(AG25,AH23:AU29,3,FALSE),VLOOKUP(AG25,AH23:AU29,6,FALSE)))</f>
        <v>0</v>
      </c>
      <c r="AW25" s="298">
        <f t="shared" si="14"/>
        <v>3</v>
      </c>
      <c r="AX25" s="285" t="str">
        <f>IF(AG25="","",INDEX(AD23:AD29,MATCH(AG25,AH23:AH29,0)))</f>
        <v>Ronald Scheffer</v>
      </c>
      <c r="AY25" s="286">
        <f>IF(AG25="","",VLOOKUP(AG25,AH23:AU29,COLUMN()-COLUMN(AR22),FALSE))</f>
        <v>3</v>
      </c>
      <c r="AZ25" s="286">
        <f>IF(AG25="","",VLOOKUP(AG25,AH23:AU29,COLUMN()-COLUMN(AR22),FALSE))</f>
        <v>3</v>
      </c>
      <c r="BA25" s="286">
        <f>IF(AG25="","",VLOOKUP(AG25,AH23:AU29,COLUMN()-COLUMN(AR22),FALSE))</f>
        <v>1</v>
      </c>
      <c r="BB25" s="286">
        <f>IF(AG25="","",VLOOKUP(AG25,AH23:AU29,COLUMN()-COLUMN(AR22),FALSE))</f>
        <v>0</v>
      </c>
      <c r="BC25" s="286">
        <f>IF(AG25="","",VLOOKUP(AG25,AH23:AU29,COLUMN()-COLUMN(AR22),FALSE))</f>
        <v>2</v>
      </c>
      <c r="BD25" s="286">
        <f>IF(AG25="","",VLOOKUP(AG25,AH23:AU29,COLUMN()-COLUMN(AR22),FALSE))</f>
        <v>1</v>
      </c>
      <c r="BE25" s="286">
        <f>IF(AG25="","",VLOOKUP(AG25,AH23:AU29,COLUMN()-COLUMN(AR22),FALSE))</f>
        <v>13</v>
      </c>
      <c r="BF25" s="301">
        <f>IF(AG25="","",VLOOKUP(AG25,AH23:AU29,COLUMN()-COLUMN(AR22),FALSE))</f>
        <v>-12</v>
      </c>
    </row>
    <row r="26" spans="1:58" ht="12" thickBot="1" x14ac:dyDescent="0.25">
      <c r="A26" s="249" t="s">
        <v>890</v>
      </c>
      <c r="B26" s="249" t="s">
        <v>12207</v>
      </c>
      <c r="C26" s="249">
        <v>1</v>
      </c>
      <c r="D26" s="249"/>
      <c r="E26" s="343" t="s">
        <v>8610</v>
      </c>
      <c r="F26" s="343" t="s">
        <v>11590</v>
      </c>
      <c r="G26" s="338">
        <v>10</v>
      </c>
      <c r="H26" s="338">
        <v>1</v>
      </c>
      <c r="I26" s="339"/>
      <c r="J26" s="114"/>
      <c r="K26" s="114"/>
      <c r="L26" s="250"/>
      <c r="M26" s="265" t="b">
        <f>NOT(ISERROR(ResultsInd[[#This Row],[Goal-A]]+ResultsInd[[#This Row],[Goal-B]]))</f>
        <v>1</v>
      </c>
      <c r="N26" s="265">
        <f>VALUE(ResultsInd[[#This Row],[Score-A]])</f>
        <v>10</v>
      </c>
      <c r="O26" s="265">
        <f>VALUE(ResultsInd[[#This Row],[Score-B]])</f>
        <v>1</v>
      </c>
      <c r="P26" s="265">
        <f ca="1">IF(AND(ResultsInd[[#This Row],[Category]]&lt;&gt;"",ResultsInd[[#This Row],[Player A]]&lt;&gt;""),COUNTIF(INDIRECT(ResultsInd[[#This Row],[Category]]&amp;"List[Retained Player Name]"),ResultsInd[[#This Row],[Player A]]),"")</f>
        <v>1</v>
      </c>
      <c r="Q26" s="265">
        <f ca="1">IF(AND(ResultsInd[[#This Row],[Category]]&lt;&gt;"",ResultsInd[[#This Row],[Player B]]&lt;&gt;""),COUNTIF(INDIRECT(ResultsInd[[#This Row],[Category]]&amp;"List[Retained Player Name]"),ResultsInd[[#This Row],[Player B]]),"")</f>
        <v>1</v>
      </c>
      <c r="R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OPEN-Carlos Flores</v>
      </c>
      <c r="S26" s="265" t="str">
        <f>IF(ResultsInd[[#This Row],[Score_OK]],IF(ResultsInd[[#This Row],[Stage]]="Groups",ResultsInd[[#This Row],[Category]]&amp;"-"&amp;IF(ResultsInd[[#This Row],[Player B]]="","",IF(ResultsInd[[#This Row],[Score-A]]=ResultsInd[[#This Row],[Score-B]],ResultsInd[[#This Row],[Player A]],"")),""),"")</f>
        <v>OPEN-</v>
      </c>
      <c r="T26" s="265" t="str">
        <f>IF(ResultsInd[[#This Row],[Score_OK]],IF(ResultsInd[[#This Row],[Stage]]="Groups",ResultsInd[[#This Row],[Category]]&amp;"-"&amp;IF(ResultsInd[[#This Row],[Player B]]="","",IF(ResultsInd[[#This Row],[Score-A]]=ResultsInd[[#This Row],[Score-B]],ResultsInd[[#This Row],[Player B]],"")),""),"")</f>
        <v>OPEN-</v>
      </c>
      <c r="U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OPEN-Emeric Delcroix</v>
      </c>
      <c r="V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OPEN-Emeric Delcroix</v>
      </c>
      <c r="X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OPEN-Emeric Delcroix</v>
      </c>
      <c r="Y26" s="264" t="str">
        <f>IF(ResultsInd[[#This Row],[Category]]="","",VLOOKUP(ResultsInd[[#This Row],[Stage]],$P$1:$V$9,MATCH(ResultsInd[[#This Row],[Category]],$Q$1:$V$1,0)+1,FALSE))</f>
        <v>PR1</v>
      </c>
      <c r="Z26" s="264" t="str">
        <f>IF(ResultsInd[[#This Row],[Score_OK]],IF(ResultsInd[[#This Row],[Level]]="R",ResultsInd[[#This Row],[Category]]&amp;"-"&amp;IF(ResultsInd[[#This Row],[LoseInKO]]=ResultsInd[[#This Row],[Category]]&amp;"-"&amp;ResultsInd[[#This Row],[Player A]],ResultsInd[[#This Row],[Player B]],ResultsInd[[#This Row],[Player A]]),""),"")</f>
        <v/>
      </c>
      <c r="AB26" s="91"/>
      <c r="AC26" s="12" t="str">
        <f t="shared" si="15"/>
        <v>OPEN</v>
      </c>
      <c r="AD26" s="309" t="s">
        <v>11590</v>
      </c>
      <c r="AE26" s="310"/>
      <c r="AF26" s="311"/>
      <c r="AG26" s="292">
        <f>IF(AP26="","",SMALL(AH23:AH29,ROWS(AG23:AG26)))</f>
        <v>4004</v>
      </c>
      <c r="AH26" s="293">
        <f>IF(AP26="","",RANK(AL26,AL23:AL29)*1000+ROWS(AH23:AH26))</f>
        <v>4004</v>
      </c>
      <c r="AI26" s="316">
        <f t="shared" si="9"/>
        <v>0</v>
      </c>
      <c r="AJ26" s="415" t="b">
        <f>AND(AO26&lt;&gt;"",AO26&gt;0,COUNTIF(AI23:AI29,AI26)&gt;1)</f>
        <v>0</v>
      </c>
      <c r="AK26" s="316">
        <f t="shared" si="10"/>
        <v>0</v>
      </c>
      <c r="AL26" s="317">
        <f t="shared" si="11"/>
        <v>-149800</v>
      </c>
      <c r="AM26" s="415" t="b">
        <f>AND(AO26&lt;&gt;"",AO26&gt;0,COUNTIF(AL23:AL29,AL26)&gt;1)</f>
        <v>0</v>
      </c>
      <c r="AN26" s="306">
        <f t="shared" si="12"/>
        <v>0</v>
      </c>
      <c r="AO26" s="307">
        <f t="shared" si="13"/>
        <v>3</v>
      </c>
      <c r="AP26" s="307">
        <f>IF(OR(AC22="",AD26=""),"",COUNTIF(ResultsInd[Win],AC22&amp;"-"&amp;AD26))</f>
        <v>0</v>
      </c>
      <c r="AQ26" s="307">
        <f>IF(OR(AC22="",AD26=""),"",COUNTIF(ResultsInd[Draw1],AC22&amp;"-"&amp;AD26)+COUNTIF(ResultsInd[Draw2],AC22&amp;"-"&amp;AD26))</f>
        <v>0</v>
      </c>
      <c r="AR26" s="307">
        <f>IF(OR(AC22="",AD26=""),"",COUNTIF(ResultsInd[Lose],AC22&amp;"-"&amp;AD26))</f>
        <v>3</v>
      </c>
      <c r="AS26" s="307">
        <f>IF(OR(AC22="",AD26=""),"",SUMIFS(ResultsInd[Goal-A],ResultsInd[Category],AC22,ResultsInd[Stage],"Groups",ResultsInd[Player A],AD26)+SUMIFS(ResultsInd[Goal-B],ResultsInd[Category],AC22,ResultsInd[Stage],"Groups",ResultsInd[Player B],AD26))</f>
        <v>2</v>
      </c>
      <c r="AT26" s="307">
        <f>IF(OR(AC22="",AD26=""),"",SUMIFS(ResultsInd[Goal-B],ResultsInd[Category],AC22,ResultsInd[Stage],"Groups",ResultsInd[Player A],AD26)+SUMIFS(ResultsInd[Goal-A],ResultsInd[Category],AC22,ResultsInd[Stage],"Groups",ResultsInd[Player B],AD26))</f>
        <v>17</v>
      </c>
      <c r="AU26" s="308">
        <f t="shared" si="16"/>
        <v>-15</v>
      </c>
      <c r="AV26" s="469" t="b">
        <f>IF(AG26="","",OR(VLOOKUP(AG26,AH23:AU29,3,FALSE),VLOOKUP(AG26,AH23:AU29,6,FALSE)))</f>
        <v>0</v>
      </c>
      <c r="AW26" s="298">
        <f t="shared" si="14"/>
        <v>4</v>
      </c>
      <c r="AX26" s="285" t="str">
        <f>IF(AG26="","",INDEX(AD23:AD29,MATCH(AG26,AH23:AH29,0)))</f>
        <v>Emeric Delcroix</v>
      </c>
      <c r="AY26" s="286">
        <f>IF(AG26="","",VLOOKUP(AG26,AH23:AU29,COLUMN()-COLUMN(AR22),FALSE))</f>
        <v>0</v>
      </c>
      <c r="AZ26" s="286">
        <f>IF(AG26="","",VLOOKUP(AG26,AH23:AU29,COLUMN()-COLUMN(AR22),FALSE))</f>
        <v>3</v>
      </c>
      <c r="BA26" s="286">
        <f>IF(AG26="","",VLOOKUP(AG26,AH23:AU29,COLUMN()-COLUMN(AR22),FALSE))</f>
        <v>0</v>
      </c>
      <c r="BB26" s="286">
        <f>IF(AG26="","",VLOOKUP(AG26,AH23:AU29,COLUMN()-COLUMN(AR22),FALSE))</f>
        <v>0</v>
      </c>
      <c r="BC26" s="286">
        <f>IF(AG26="","",VLOOKUP(AG26,AH23:AU29,COLUMN()-COLUMN(AR22),FALSE))</f>
        <v>3</v>
      </c>
      <c r="BD26" s="286">
        <f>IF(AG26="","",VLOOKUP(AG26,AH23:AU29,COLUMN()-COLUMN(AR22),FALSE))</f>
        <v>2</v>
      </c>
      <c r="BE26" s="286">
        <f>IF(AG26="","",VLOOKUP(AG26,AH23:AU29,COLUMN()-COLUMN(AR22),FALSE))</f>
        <v>17</v>
      </c>
      <c r="BF26" s="301">
        <f>IF(AG26="","",VLOOKUP(AG26,AH23:AU29,COLUMN()-COLUMN(AR22),FALSE))</f>
        <v>-15</v>
      </c>
    </row>
    <row r="27" spans="1:58" ht="12" thickBot="1" x14ac:dyDescent="0.25">
      <c r="A27" s="249" t="s">
        <v>890</v>
      </c>
      <c r="B27" s="249" t="s">
        <v>12207</v>
      </c>
      <c r="C27" s="249">
        <v>1</v>
      </c>
      <c r="D27" s="249"/>
      <c r="E27" s="343" t="s">
        <v>12756</v>
      </c>
      <c r="F27" s="343" t="s">
        <v>11590</v>
      </c>
      <c r="G27" s="338">
        <v>1</v>
      </c>
      <c r="H27" s="338">
        <v>0</v>
      </c>
      <c r="I27" s="339"/>
      <c r="J27" s="114"/>
      <c r="K27" s="114"/>
      <c r="L27" s="250"/>
      <c r="M27" s="265" t="b">
        <f>NOT(ISERROR(ResultsInd[[#This Row],[Goal-A]]+ResultsInd[[#This Row],[Goal-B]]))</f>
        <v>1</v>
      </c>
      <c r="N27" s="265">
        <f>VALUE(ResultsInd[[#This Row],[Score-A]])</f>
        <v>1</v>
      </c>
      <c r="O27" s="265">
        <f>VALUE(ResultsInd[[#This Row],[Score-B]])</f>
        <v>0</v>
      </c>
      <c r="P27" s="265">
        <f ca="1">IF(AND(ResultsInd[[#This Row],[Category]]&lt;&gt;"",ResultsInd[[#This Row],[Player A]]&lt;&gt;""),COUNTIF(INDIRECT(ResultsInd[[#This Row],[Category]]&amp;"List[Retained Player Name]"),ResultsInd[[#This Row],[Player A]]),"")</f>
        <v>1</v>
      </c>
      <c r="Q27" s="265">
        <f ca="1">IF(AND(ResultsInd[[#This Row],[Category]]&lt;&gt;"",ResultsInd[[#This Row],[Player B]]&lt;&gt;""),COUNTIF(INDIRECT(ResultsInd[[#This Row],[Category]]&amp;"List[Retained Player Name]"),ResultsInd[[#This Row],[Player B]]),"")</f>
        <v>1</v>
      </c>
      <c r="R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OPEN-Ronald Scheffer</v>
      </c>
      <c r="S27" s="265" t="str">
        <f>IF(ResultsInd[[#This Row],[Score_OK]],IF(ResultsInd[[#This Row],[Stage]]="Groups",ResultsInd[[#This Row],[Category]]&amp;"-"&amp;IF(ResultsInd[[#This Row],[Player B]]="","",IF(ResultsInd[[#This Row],[Score-A]]=ResultsInd[[#This Row],[Score-B]],ResultsInd[[#This Row],[Player A]],"")),""),"")</f>
        <v>OPEN-</v>
      </c>
      <c r="T27" s="265" t="str">
        <f>IF(ResultsInd[[#This Row],[Score_OK]],IF(ResultsInd[[#This Row],[Stage]]="Groups",ResultsInd[[#This Row],[Category]]&amp;"-"&amp;IF(ResultsInd[[#This Row],[Player B]]="","",IF(ResultsInd[[#This Row],[Score-A]]=ResultsInd[[#This Row],[Score-B]],ResultsInd[[#This Row],[Player B]],"")),""),"")</f>
        <v>OPEN-</v>
      </c>
      <c r="U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OPEN-Emeric Delcroix</v>
      </c>
      <c r="V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OPEN-Emeric Delcroix</v>
      </c>
      <c r="X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OPEN-Emeric Delcroix</v>
      </c>
      <c r="Y27" s="264" t="str">
        <f>IF(ResultsInd[[#This Row],[Category]]="","",VLOOKUP(ResultsInd[[#This Row],[Stage]],$P$1:$V$9,MATCH(ResultsInd[[#This Row],[Category]],$Q$1:$V$1,0)+1,FALSE))</f>
        <v>PR1</v>
      </c>
      <c r="Z27" s="264" t="str">
        <f>IF(ResultsInd[[#This Row],[Score_OK]],IF(ResultsInd[[#This Row],[Level]]="R",ResultsInd[[#This Row],[Category]]&amp;"-"&amp;IF(ResultsInd[[#This Row],[LoseInKO]]=ResultsInd[[#This Row],[Category]]&amp;"-"&amp;ResultsInd[[#This Row],[Player A]],ResultsInd[[#This Row],[Player B]],ResultsInd[[#This Row],[Player A]]),""),"")</f>
        <v/>
      </c>
      <c r="AB27" s="91"/>
      <c r="AC27" s="12" t="str">
        <f t="shared" si="15"/>
        <v>OPEN</v>
      </c>
      <c r="AD27" s="309"/>
      <c r="AE27" s="310"/>
      <c r="AF27" s="311"/>
      <c r="AG27" s="292" t="str">
        <f>IF(AP27="","",SMALL(AH23:AH29,ROWS(AG23:AG27)))</f>
        <v/>
      </c>
      <c r="AH27" s="293" t="str">
        <f>IF(AP27="","",RANK(AL27,AL23:AL29)*1000+ROWS(AH23:AH27))</f>
        <v/>
      </c>
      <c r="AI27" s="316" t="str">
        <f t="shared" si="9"/>
        <v/>
      </c>
      <c r="AJ27" s="415" t="b">
        <f>AND(AO27&lt;&gt;"",AO27&gt;0,COUNTIF(AI23:AI29,AI27)&gt;1)</f>
        <v>0</v>
      </c>
      <c r="AK27" s="316" t="str">
        <f t="shared" si="10"/>
        <v/>
      </c>
      <c r="AL27" s="317" t="str">
        <f t="shared" si="11"/>
        <v/>
      </c>
      <c r="AM27" s="415" t="b">
        <f>AND(AO27&lt;&gt;"",AO27&gt;0,COUNTIF(AL23:AL29,AL27)&gt;1)</f>
        <v>0</v>
      </c>
      <c r="AN27" s="306" t="str">
        <f t="shared" si="12"/>
        <v/>
      </c>
      <c r="AO27" s="307" t="str">
        <f t="shared" si="13"/>
        <v/>
      </c>
      <c r="AP27" s="307" t="str">
        <f>IF(OR(AC22="",AD27=""),"",COUNTIF(ResultsInd[Win],AC22&amp;"-"&amp;AD27))</f>
        <v/>
      </c>
      <c r="AQ27" s="307" t="str">
        <f>IF(OR(AC22="",AD27=""),"",COUNTIF(ResultsInd[Draw1],AC22&amp;"-"&amp;AD27)+COUNTIF(ResultsInd[Draw2],AC22&amp;"-"&amp;AD27))</f>
        <v/>
      </c>
      <c r="AR27" s="307" t="str">
        <f>IF(OR(AC22="",AD27=""),"",COUNTIF(ResultsInd[Lose],AC22&amp;"-"&amp;AD27))</f>
        <v/>
      </c>
      <c r="AS27" s="307" t="str">
        <f>IF(OR(AC22="",AD27=""),"",SUMIFS(ResultsInd[Goal-A],ResultsInd[Category],AC22,ResultsInd[Stage],"Groups",ResultsInd[Player A],AD27)+SUMIFS(ResultsInd[Goal-B],ResultsInd[Category],AC22,ResultsInd[Stage],"Groups",ResultsInd[Player B],AD27))</f>
        <v/>
      </c>
      <c r="AT27" s="307" t="str">
        <f>IF(OR(AC22="",AD27=""),"",SUMIFS(ResultsInd[Goal-B],ResultsInd[Category],AC22,ResultsInd[Stage],"Groups",ResultsInd[Player A],AD27)+SUMIFS(ResultsInd[Goal-A],ResultsInd[Category],AC22,ResultsInd[Stage],"Groups",ResultsInd[Player B],AD27))</f>
        <v/>
      </c>
      <c r="AU27" s="308" t="str">
        <f t="shared" si="16"/>
        <v/>
      </c>
      <c r="AV27" s="469" t="str">
        <f>IF(AG27="","",OR(VLOOKUP(AG27,AH23:AU29,3,FALSE),VLOOKUP(AG27,AH23:AU29,6,FALSE)))</f>
        <v/>
      </c>
      <c r="AW27" s="298" t="str">
        <f t="shared" si="14"/>
        <v/>
      </c>
      <c r="AX27" s="285" t="str">
        <f>IF(AG27="","",INDEX(AD23:AD29,MATCH(AG27,AH23:AH29,0)))</f>
        <v/>
      </c>
      <c r="AY27" s="286" t="str">
        <f>IF(AG27="","",VLOOKUP(AG27,AH23:AU29,COLUMN()-COLUMN(AR22),FALSE))</f>
        <v/>
      </c>
      <c r="AZ27" s="286" t="str">
        <f>IF(AG27="","",VLOOKUP(AG27,AH23:AU29,COLUMN()-COLUMN(AR22),FALSE))</f>
        <v/>
      </c>
      <c r="BA27" s="286" t="str">
        <f>IF(AG27="","",VLOOKUP(AG27,AH23:AU29,COLUMN()-COLUMN(AR22),FALSE))</f>
        <v/>
      </c>
      <c r="BB27" s="286" t="str">
        <f>IF(AG27="","",VLOOKUP(AG27,AH23:AU29,COLUMN()-COLUMN(AR22),FALSE))</f>
        <v/>
      </c>
      <c r="BC27" s="286" t="str">
        <f>IF(AG27="","",VLOOKUP(AG27,AH23:AU29,COLUMN()-COLUMN(AR22),FALSE))</f>
        <v/>
      </c>
      <c r="BD27" s="286" t="str">
        <f>IF(AG27="","",VLOOKUP(AG27,AH23:AU29,COLUMN()-COLUMN(AR22),FALSE))</f>
        <v/>
      </c>
      <c r="BE27" s="286" t="str">
        <f>IF(AG27="","",VLOOKUP(AG27,AH23:AU29,COLUMN()-COLUMN(AR22),FALSE))</f>
        <v/>
      </c>
      <c r="BF27" s="301" t="str">
        <f>IF(AG27="","",VLOOKUP(AG27,AH23:AU29,COLUMN()-COLUMN(AR22),FALSE))</f>
        <v/>
      </c>
    </row>
    <row r="28" spans="1:58" ht="12" thickBot="1" x14ac:dyDescent="0.25">
      <c r="A28" s="249" t="s">
        <v>890</v>
      </c>
      <c r="B28" s="249" t="s">
        <v>12207</v>
      </c>
      <c r="C28" s="249">
        <v>2</v>
      </c>
      <c r="D28" s="249"/>
      <c r="E28" s="344" t="s">
        <v>8089</v>
      </c>
      <c r="F28" s="343" t="s">
        <v>8696</v>
      </c>
      <c r="G28" s="338">
        <v>3</v>
      </c>
      <c r="H28" s="338">
        <v>0</v>
      </c>
      <c r="I28" s="339"/>
      <c r="J28" s="114"/>
      <c r="K28" s="114"/>
      <c r="L28" s="250"/>
      <c r="M28" s="265" t="b">
        <f>NOT(ISERROR(ResultsInd[[#This Row],[Goal-A]]+ResultsInd[[#This Row],[Goal-B]]))</f>
        <v>1</v>
      </c>
      <c r="N28" s="265">
        <f>VALUE(ResultsInd[[#This Row],[Score-A]])</f>
        <v>3</v>
      </c>
      <c r="O28" s="265">
        <f>VALUE(ResultsInd[[#This Row],[Score-B]])</f>
        <v>0</v>
      </c>
      <c r="P28" s="265">
        <f ca="1">IF(AND(ResultsInd[[#This Row],[Category]]&lt;&gt;"",ResultsInd[[#This Row],[Player A]]&lt;&gt;""),COUNTIF(INDIRECT(ResultsInd[[#This Row],[Category]]&amp;"List[Retained Player Name]"),ResultsInd[[#This Row],[Player A]]),"")</f>
        <v>1</v>
      </c>
      <c r="Q28" s="265">
        <f ca="1">IF(AND(ResultsInd[[#This Row],[Category]]&lt;&gt;"",ResultsInd[[#This Row],[Player B]]&lt;&gt;""),COUNTIF(INDIRECT(ResultsInd[[#This Row],[Category]]&amp;"List[Retained Player Name]"),ResultsInd[[#This Row],[Player B]]),"")</f>
        <v>1</v>
      </c>
      <c r="R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Dheur</v>
      </c>
      <c r="S28" s="265" t="str">
        <f>IF(ResultsInd[[#This Row],[Score_OK]],IF(ResultsInd[[#This Row],[Stage]]="Groups",ResultsInd[[#This Row],[Category]]&amp;"-"&amp;IF(ResultsInd[[#This Row],[Player B]]="","",IF(ResultsInd[[#This Row],[Score-A]]=ResultsInd[[#This Row],[Score-B]],ResultsInd[[#This Row],[Player A]],"")),""),"")</f>
        <v>OPEN-</v>
      </c>
      <c r="T28" s="265" t="str">
        <f>IF(ResultsInd[[#This Row],[Score_OK]],IF(ResultsInd[[#This Row],[Stage]]="Groups",ResultsInd[[#This Row],[Category]]&amp;"-"&amp;IF(ResultsInd[[#This Row],[Player B]]="","",IF(ResultsInd[[#This Row],[Score-A]]=ResultsInd[[#This Row],[Score-B]],ResultsInd[[#This Row],[Player B]],"")),""),"")</f>
        <v>OPEN-</v>
      </c>
      <c r="U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OPEN-Jean-Marie Amberny</v>
      </c>
      <c r="V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OPEN-Jean-Marie Amberny</v>
      </c>
      <c r="X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OPEN-Jean-Marie Amberny</v>
      </c>
      <c r="Y28" s="264" t="str">
        <f>IF(ResultsInd[[#This Row],[Category]]="","",VLOOKUP(ResultsInd[[#This Row],[Stage]],$P$1:$V$9,MATCH(ResultsInd[[#This Row],[Category]],$Q$1:$V$1,0)+1,FALSE))</f>
        <v>PR1</v>
      </c>
      <c r="Z28" s="264" t="str">
        <f>IF(ResultsInd[[#This Row],[Score_OK]],IF(ResultsInd[[#This Row],[Level]]="R",ResultsInd[[#This Row],[Category]]&amp;"-"&amp;IF(ResultsInd[[#This Row],[LoseInKO]]=ResultsInd[[#This Row],[Category]]&amp;"-"&amp;ResultsInd[[#This Row],[Player A]],ResultsInd[[#This Row],[Player B]],ResultsInd[[#This Row],[Player A]]),""),"")</f>
        <v/>
      </c>
      <c r="AB28" s="8"/>
      <c r="AC28" s="12" t="str">
        <f t="shared" si="15"/>
        <v>OPEN</v>
      </c>
      <c r="AD28" s="309"/>
      <c r="AE28" s="310"/>
      <c r="AF28" s="311"/>
      <c r="AG28" s="292" t="str">
        <f>IF(AP28="","",SMALL(AH23:AH29,ROWS(AG23:AG28)))</f>
        <v/>
      </c>
      <c r="AH28" s="293" t="str">
        <f>IF(AP28="","",RANK(AL28,AL23:AL29)*1000+ROWS(AH23:AH28))</f>
        <v/>
      </c>
      <c r="AI28" s="316" t="str">
        <f t="shared" si="9"/>
        <v/>
      </c>
      <c r="AJ28" s="415" t="b">
        <f>AND(AO28&lt;&gt;"",AO28&gt;0,COUNTIF(AI23:AI29,AI28)&gt;1)</f>
        <v>0</v>
      </c>
      <c r="AK28" s="316" t="str">
        <f t="shared" si="10"/>
        <v/>
      </c>
      <c r="AL28" s="317" t="str">
        <f t="shared" si="11"/>
        <v/>
      </c>
      <c r="AM28" s="415" t="b">
        <f>AND(AO28&lt;&gt;"",AO28&gt;0,COUNTIF(AL23:AL29,AL28)&gt;1)</f>
        <v>0</v>
      </c>
      <c r="AN28" s="306" t="str">
        <f t="shared" si="12"/>
        <v/>
      </c>
      <c r="AO28" s="307" t="str">
        <f t="shared" si="13"/>
        <v/>
      </c>
      <c r="AP28" s="307" t="str">
        <f>IF(OR(AC22="",AD28=""),"",COUNTIF(ResultsInd[Win],AC22&amp;"-"&amp;AD28))</f>
        <v/>
      </c>
      <c r="AQ28" s="307" t="str">
        <f>IF(OR(AC22="",AD28=""),"",COUNTIF(ResultsInd[Draw1],AC22&amp;"-"&amp;AD28)+COUNTIF(ResultsInd[Draw2],AC22&amp;"-"&amp;AD28))</f>
        <v/>
      </c>
      <c r="AR28" s="307" t="str">
        <f>IF(OR(AC22="",AD28=""),"",COUNTIF(ResultsInd[Lose],AC22&amp;"-"&amp;AD28))</f>
        <v/>
      </c>
      <c r="AS28" s="307" t="str">
        <f>IF(OR(AC22="",AD28=""),"",SUMIFS(ResultsInd[Goal-A],ResultsInd[Category],AC22,ResultsInd[Stage],"Groups",ResultsInd[Player A],AD28)+SUMIFS(ResultsInd[Goal-B],ResultsInd[Category],AC22,ResultsInd[Stage],"Groups",ResultsInd[Player B],AD28))</f>
        <v/>
      </c>
      <c r="AT28" s="307" t="str">
        <f>IF(OR(AC22="",AD28=""),"",SUMIFS(ResultsInd[Goal-B],ResultsInd[Category],AC22,ResultsInd[Stage],"Groups",ResultsInd[Player A],AD28)+SUMIFS(ResultsInd[Goal-A],ResultsInd[Category],AC22,ResultsInd[Stage],"Groups",ResultsInd[Player B],AD28))</f>
        <v/>
      </c>
      <c r="AU28" s="308" t="str">
        <f t="shared" si="16"/>
        <v/>
      </c>
      <c r="AV28" s="469" t="str">
        <f>IF(AG28="","",OR(VLOOKUP(AG28,AH23:AU29,3,FALSE),VLOOKUP(AG28,AH23:AU29,6,FALSE)))</f>
        <v/>
      </c>
      <c r="AW28" s="298" t="str">
        <f t="shared" si="14"/>
        <v/>
      </c>
      <c r="AX28" s="285" t="str">
        <f>IF(AG28="","",INDEX(AD23:AD29,MATCH(AG28,AH23:AH29,0)))</f>
        <v/>
      </c>
      <c r="AY28" s="286" t="str">
        <f>IF(AG28="","",VLOOKUP(AG28,AH23:AU29,COLUMN()-COLUMN(AR22),FALSE))</f>
        <v/>
      </c>
      <c r="AZ28" s="286" t="str">
        <f>IF(AG28="","",VLOOKUP(AG28,AH23:AU29,COLUMN()-COLUMN(AR22),FALSE))</f>
        <v/>
      </c>
      <c r="BA28" s="286" t="str">
        <f>IF(AG28="","",VLOOKUP(AG28,AH23:AU29,COLUMN()-COLUMN(AR22),FALSE))</f>
        <v/>
      </c>
      <c r="BB28" s="286" t="str">
        <f>IF(AG28="","",VLOOKUP(AG28,AH23:AU29,COLUMN()-COLUMN(AR22),FALSE))</f>
        <v/>
      </c>
      <c r="BC28" s="286" t="str">
        <f>IF(AG28="","",VLOOKUP(AG28,AH23:AU29,COLUMN()-COLUMN(AR22),FALSE))</f>
        <v/>
      </c>
      <c r="BD28" s="286" t="str">
        <f>IF(AG28="","",VLOOKUP(AG28,AH23:AU29,COLUMN()-COLUMN(AR22),FALSE))</f>
        <v/>
      </c>
      <c r="BE28" s="286" t="str">
        <f>IF(AG28="","",VLOOKUP(AG28,AH23:AU29,COLUMN()-COLUMN(AR22),FALSE))</f>
        <v/>
      </c>
      <c r="BF28" s="301" t="str">
        <f>IF(AG28="","",VLOOKUP(AG28,AH23:AU29,COLUMN()-COLUMN(AR22),FALSE))</f>
        <v/>
      </c>
    </row>
    <row r="29" spans="1:58" ht="12" thickBot="1" x14ac:dyDescent="0.25">
      <c r="A29" s="249" t="s">
        <v>890</v>
      </c>
      <c r="B29" s="249" t="s">
        <v>12207</v>
      </c>
      <c r="C29" s="249">
        <v>2</v>
      </c>
      <c r="D29" s="249"/>
      <c r="E29" s="343" t="s">
        <v>11084</v>
      </c>
      <c r="F29" s="343" t="s">
        <v>13642</v>
      </c>
      <c r="G29" s="338">
        <v>7</v>
      </c>
      <c r="H29" s="338">
        <v>0</v>
      </c>
      <c r="I29" s="339"/>
      <c r="J29" s="114"/>
      <c r="K29" s="114"/>
      <c r="L29" s="250"/>
      <c r="M29" s="265" t="b">
        <f>NOT(ISERROR(ResultsInd[[#This Row],[Goal-A]]+ResultsInd[[#This Row],[Goal-B]]))</f>
        <v>1</v>
      </c>
      <c r="N29" s="265">
        <f>VALUE(ResultsInd[[#This Row],[Score-A]])</f>
        <v>7</v>
      </c>
      <c r="O29" s="265">
        <f>VALUE(ResultsInd[[#This Row],[Score-B]])</f>
        <v>0</v>
      </c>
      <c r="P29" s="265">
        <f ca="1">IF(AND(ResultsInd[[#This Row],[Category]]&lt;&gt;"",ResultsInd[[#This Row],[Player A]]&lt;&gt;""),COUNTIF(INDIRECT(ResultsInd[[#This Row],[Category]]&amp;"List[Retained Player Name]"),ResultsInd[[#This Row],[Player A]]),"")</f>
        <v>1</v>
      </c>
      <c r="Q29" s="265">
        <f ca="1">IF(AND(ResultsInd[[#This Row],[Category]]&lt;&gt;"",ResultsInd[[#This Row],[Player B]]&lt;&gt;""),COUNTIF(INDIRECT(ResultsInd[[#This Row],[Category]]&amp;"List[Retained Player Name]"),ResultsInd[[#This Row],[Player B]]),"")</f>
        <v>1</v>
      </c>
      <c r="R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Knuf</v>
      </c>
      <c r="S29" s="265" t="str">
        <f>IF(ResultsInd[[#This Row],[Score_OK]],IF(ResultsInd[[#This Row],[Stage]]="Groups",ResultsInd[[#This Row],[Category]]&amp;"-"&amp;IF(ResultsInd[[#This Row],[Player B]]="","",IF(ResultsInd[[#This Row],[Score-A]]=ResultsInd[[#This Row],[Score-B]],ResultsInd[[#This Row],[Player A]],"")),""),"")</f>
        <v>OPEN-</v>
      </c>
      <c r="T29" s="265" t="str">
        <f>IF(ResultsInd[[#This Row],[Score_OK]],IF(ResultsInd[[#This Row],[Stage]]="Groups",ResultsInd[[#This Row],[Category]]&amp;"-"&amp;IF(ResultsInd[[#This Row],[Player B]]="","",IF(ResultsInd[[#This Row],[Score-A]]=ResultsInd[[#This Row],[Score-B]],ResultsInd[[#This Row],[Player B]],"")),""),"")</f>
        <v>OPEN-</v>
      </c>
      <c r="U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OPEN-Maria Joao Carmo</v>
      </c>
      <c r="V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OPEN-Maria Joao Carmo</v>
      </c>
      <c r="X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OPEN-Maria Joao Carmo</v>
      </c>
      <c r="Y29" s="264" t="str">
        <f>IF(ResultsInd[[#This Row],[Category]]="","",VLOOKUP(ResultsInd[[#This Row],[Stage]],$P$1:$V$9,MATCH(ResultsInd[[#This Row],[Category]],$Q$1:$V$1,0)+1,FALSE))</f>
        <v>PR1</v>
      </c>
      <c r="Z29" s="264" t="str">
        <f>IF(ResultsInd[[#This Row],[Score_OK]],IF(ResultsInd[[#This Row],[Level]]="R",ResultsInd[[#This Row],[Category]]&amp;"-"&amp;IF(ResultsInd[[#This Row],[LoseInKO]]=ResultsInd[[#This Row],[Category]]&amp;"-"&amp;ResultsInd[[#This Row],[Player A]],ResultsInd[[#This Row],[Player B]],ResultsInd[[#This Row],[Player A]]),""),"")</f>
        <v/>
      </c>
      <c r="AB29" s="8"/>
      <c r="AC29" s="12" t="str">
        <f t="shared" si="15"/>
        <v>OPEN</v>
      </c>
      <c r="AD29" s="312"/>
      <c r="AE29" s="313"/>
      <c r="AF29" s="314"/>
      <c r="AG29" s="294" t="str">
        <f>IF(AP29="","",SMALL(AH23:AH29,ROWS(AG23:AG29)))</f>
        <v/>
      </c>
      <c r="AH29" s="295" t="str">
        <f>IF(AP29="","",RANK(AL29,AL23:AL29)*1000+ROWS(AH23:AH29))</f>
        <v/>
      </c>
      <c r="AI29" s="318" t="str">
        <f t="shared" si="9"/>
        <v/>
      </c>
      <c r="AJ29" s="416" t="b">
        <f>AND(AO29&lt;&gt;"",AO29&gt;0,COUNTIF(AI23:AI29,AI29)&gt;1)</f>
        <v>0</v>
      </c>
      <c r="AK29" s="318" t="str">
        <f t="shared" si="10"/>
        <v/>
      </c>
      <c r="AL29" s="319" t="str">
        <f t="shared" si="11"/>
        <v/>
      </c>
      <c r="AM29" s="416" t="b">
        <f>AND(AO29&lt;&gt;"",AO29&gt;0,COUNTIF(AL23:AL29,AL29)&gt;1)</f>
        <v>0</v>
      </c>
      <c r="AN29" s="306" t="str">
        <f t="shared" si="12"/>
        <v/>
      </c>
      <c r="AO29" s="307" t="str">
        <f t="shared" si="13"/>
        <v/>
      </c>
      <c r="AP29" s="307" t="str">
        <f>IF(OR(AC22="",AD29=""),"",COUNTIF(ResultsInd[Win],AC22&amp;"-"&amp;AD29))</f>
        <v/>
      </c>
      <c r="AQ29" s="307" t="str">
        <f>IF(OR(AC22="",AD29=""),"",COUNTIF(ResultsInd[Draw1],AC22&amp;"-"&amp;AD29)+COUNTIF(ResultsInd[Draw2],AC22&amp;"-"&amp;AD29))</f>
        <v/>
      </c>
      <c r="AR29" s="307" t="str">
        <f>IF(OR(AC22="",AD29=""),"",COUNTIF(ResultsInd[Lose],AC22&amp;"-"&amp;AD29))</f>
        <v/>
      </c>
      <c r="AS29" s="307" t="str">
        <f>IF(OR(AC22="",AD29=""),"",SUMIFS(ResultsInd[Goal-A],ResultsInd[Category],AC22,ResultsInd[Stage],"Groups",ResultsInd[Player A],AD29)+SUMIFS(ResultsInd[Goal-B],ResultsInd[Category],AC22,ResultsInd[Stage],"Groups",ResultsInd[Player B],AD29))</f>
        <v/>
      </c>
      <c r="AT29" s="307" t="str">
        <f>IF(OR(AC22="",AD29=""),"",SUMIFS(ResultsInd[Goal-B],ResultsInd[Category],AC22,ResultsInd[Stage],"Groups",ResultsInd[Player A],AD29)+SUMIFS(ResultsInd[Goal-A],ResultsInd[Category],AC22,ResultsInd[Stage],"Groups",ResultsInd[Player B],AD29))</f>
        <v/>
      </c>
      <c r="AU29" s="308" t="str">
        <f t="shared" si="16"/>
        <v/>
      </c>
      <c r="AV29" s="469" t="str">
        <f>IF(AG29="","",OR(VLOOKUP(AG29,AH23:AU29,3,FALSE),VLOOKUP(AG29,AH23:AU29,6,FALSE)))</f>
        <v/>
      </c>
      <c r="AW29" s="299" t="str">
        <f t="shared" si="14"/>
        <v/>
      </c>
      <c r="AX29" s="287" t="str">
        <f>IF(AG29="","",INDEX(AD23:AD29,MATCH(AG29,AH23:AH29,0)))</f>
        <v/>
      </c>
      <c r="AY29" s="288" t="str">
        <f>IF(AG29="","",VLOOKUP(AG29,AH23:AU29,COLUMN()-COLUMN(AR22),FALSE))</f>
        <v/>
      </c>
      <c r="AZ29" s="288" t="str">
        <f>IF(AG29="","",VLOOKUP(AG29,AH23:AU29,COLUMN()-COLUMN(AR22),FALSE))</f>
        <v/>
      </c>
      <c r="BA29" s="288" t="str">
        <f>IF(AG29="","",VLOOKUP(AG29,AH23:AU29,COLUMN()-COLUMN(AR22),FALSE))</f>
        <v/>
      </c>
      <c r="BB29" s="288" t="str">
        <f>IF(AG29="","",VLOOKUP(AG29,AH23:AU29,COLUMN()-COLUMN(AR22),FALSE))</f>
        <v/>
      </c>
      <c r="BC29" s="288" t="str">
        <f>IF(AG29="","",VLOOKUP(AG29,AH23:AU29,COLUMN()-COLUMN(AR22),FALSE))</f>
        <v/>
      </c>
      <c r="BD29" s="288" t="str">
        <f>IF(AG29="","",VLOOKUP(AG29,AH23:AU29,COLUMN()-COLUMN(AR22),FALSE))</f>
        <v/>
      </c>
      <c r="BE29" s="288" t="str">
        <f>IF(AG29="","",VLOOKUP(AG29,AH23:AU29,COLUMN()-COLUMN(AR22),FALSE))</f>
        <v/>
      </c>
      <c r="BF29" s="302" t="str">
        <f>IF(AG29="","",VLOOKUP(AG29,AH23:AU29,COLUMN()-COLUMN(AR22),FALSE))</f>
        <v/>
      </c>
    </row>
    <row r="30" spans="1:58" ht="13.5" thickBot="1" x14ac:dyDescent="0.25">
      <c r="A30" s="249" t="s">
        <v>890</v>
      </c>
      <c r="B30" s="249" t="s">
        <v>12207</v>
      </c>
      <c r="C30" s="249">
        <v>2</v>
      </c>
      <c r="D30" s="249"/>
      <c r="E30" s="343" t="s">
        <v>8089</v>
      </c>
      <c r="F30" s="343" t="s">
        <v>11084</v>
      </c>
      <c r="G30" s="338">
        <v>4</v>
      </c>
      <c r="H30" s="338">
        <v>0</v>
      </c>
      <c r="I30" s="339"/>
      <c r="J30" s="114"/>
      <c r="K30" s="114"/>
      <c r="L30" s="250"/>
      <c r="M30" s="265" t="b">
        <f>NOT(ISERROR(ResultsInd[[#This Row],[Goal-A]]+ResultsInd[[#This Row],[Goal-B]]))</f>
        <v>1</v>
      </c>
      <c r="N30" s="265">
        <f>VALUE(ResultsInd[[#This Row],[Score-A]])</f>
        <v>4</v>
      </c>
      <c r="O30" s="265">
        <f>VALUE(ResultsInd[[#This Row],[Score-B]])</f>
        <v>0</v>
      </c>
      <c r="P30" s="265">
        <f ca="1">IF(AND(ResultsInd[[#This Row],[Category]]&lt;&gt;"",ResultsInd[[#This Row],[Player A]]&lt;&gt;""),COUNTIF(INDIRECT(ResultsInd[[#This Row],[Category]]&amp;"List[Retained Player Name]"),ResultsInd[[#This Row],[Player A]]),"")</f>
        <v>1</v>
      </c>
      <c r="Q30" s="265">
        <f ca="1">IF(AND(ResultsInd[[#This Row],[Category]]&lt;&gt;"",ResultsInd[[#This Row],[Player B]]&lt;&gt;""),COUNTIF(INDIRECT(ResultsInd[[#This Row],[Category]]&amp;"List[Retained Player Name]"),ResultsInd[[#This Row],[Player B]]),"")</f>
        <v>1</v>
      </c>
      <c r="R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Dheur</v>
      </c>
      <c r="S30" s="265" t="str">
        <f>IF(ResultsInd[[#This Row],[Score_OK]],IF(ResultsInd[[#This Row],[Stage]]="Groups",ResultsInd[[#This Row],[Category]]&amp;"-"&amp;IF(ResultsInd[[#This Row],[Player B]]="","",IF(ResultsInd[[#This Row],[Score-A]]=ResultsInd[[#This Row],[Score-B]],ResultsInd[[#This Row],[Player A]],"")),""),"")</f>
        <v>OPEN-</v>
      </c>
      <c r="T30" s="265" t="str">
        <f>IF(ResultsInd[[#This Row],[Score_OK]],IF(ResultsInd[[#This Row],[Stage]]="Groups",ResultsInd[[#This Row],[Category]]&amp;"-"&amp;IF(ResultsInd[[#This Row],[Player B]]="","",IF(ResultsInd[[#This Row],[Score-A]]=ResultsInd[[#This Row],[Score-B]],ResultsInd[[#This Row],[Player B]],"")),""),"")</f>
        <v>OPEN-</v>
      </c>
      <c r="U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OPEN-Rudi Knuf</v>
      </c>
      <c r="V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OPEN-Rudi Knuf</v>
      </c>
      <c r="X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OPEN-Rudi Knuf</v>
      </c>
      <c r="Y30" s="264" t="str">
        <f>IF(ResultsInd[[#This Row],[Category]]="","",VLOOKUP(ResultsInd[[#This Row],[Stage]],$P$1:$V$9,MATCH(ResultsInd[[#This Row],[Category]],$Q$1:$V$1,0)+1,FALSE))</f>
        <v>PR1</v>
      </c>
      <c r="Z30" s="264" t="str">
        <f>IF(ResultsInd[[#This Row],[Score_OK]],IF(ResultsInd[[#This Row],[Level]]="R",ResultsInd[[#This Row],[Category]]&amp;"-"&amp;IF(ResultsInd[[#This Row],[LoseInKO]]=ResultsInd[[#This Row],[Category]]&amp;"-"&amp;ResultsInd[[#This Row],[Player A]],ResultsInd[[#This Row],[Player B]],ResultsInd[[#This Row],[Player A]]),""),"")</f>
        <v/>
      </c>
      <c r="AB30" s="8"/>
      <c r="AC30" s="8"/>
      <c r="AF30" s="170"/>
      <c r="AG30" s="101"/>
      <c r="AH30" s="101"/>
      <c r="AN30" s="170"/>
      <c r="AO30" s="170"/>
      <c r="AP30" s="170"/>
      <c r="AQ30" s="172"/>
      <c r="AR30" s="173"/>
      <c r="AS30" s="173"/>
      <c r="AT30" s="173"/>
      <c r="AU30" s="101"/>
      <c r="AV30" s="101"/>
      <c r="AW30" s="101"/>
      <c r="AX30" s="101"/>
      <c r="AY30" s="101"/>
      <c r="AZ30" s="101"/>
    </row>
    <row r="31" spans="1:58" ht="12" thickBot="1" x14ac:dyDescent="0.25">
      <c r="A31" s="249" t="s">
        <v>890</v>
      </c>
      <c r="B31" s="249" t="s">
        <v>12207</v>
      </c>
      <c r="C31" s="249">
        <v>2</v>
      </c>
      <c r="D31" s="249"/>
      <c r="E31" s="343" t="s">
        <v>8696</v>
      </c>
      <c r="F31" s="343" t="s">
        <v>13642</v>
      </c>
      <c r="G31" s="338">
        <v>7</v>
      </c>
      <c r="H31" s="338">
        <v>0</v>
      </c>
      <c r="I31" s="339"/>
      <c r="J31" s="114"/>
      <c r="K31" s="114"/>
      <c r="L31" s="250"/>
      <c r="M31" s="265" t="b">
        <f>NOT(ISERROR(ResultsInd[[#This Row],[Goal-A]]+ResultsInd[[#This Row],[Goal-B]]))</f>
        <v>1</v>
      </c>
      <c r="N31" s="265">
        <f>VALUE(ResultsInd[[#This Row],[Score-A]])</f>
        <v>7</v>
      </c>
      <c r="O31" s="265">
        <f>VALUE(ResultsInd[[#This Row],[Score-B]])</f>
        <v>0</v>
      </c>
      <c r="P31" s="265">
        <f ca="1">IF(AND(ResultsInd[[#This Row],[Category]]&lt;&gt;"",ResultsInd[[#This Row],[Player A]]&lt;&gt;""),COUNTIF(INDIRECT(ResultsInd[[#This Row],[Category]]&amp;"List[Retained Player Name]"),ResultsInd[[#This Row],[Player A]]),"")</f>
        <v>1</v>
      </c>
      <c r="Q31" s="265">
        <f ca="1">IF(AND(ResultsInd[[#This Row],[Category]]&lt;&gt;"",ResultsInd[[#This Row],[Player B]]&lt;&gt;""),COUNTIF(INDIRECT(ResultsInd[[#This Row],[Category]]&amp;"List[Retained Player Name]"),ResultsInd[[#This Row],[Player B]]),"")</f>
        <v>1</v>
      </c>
      <c r="R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OPEN-Jean-Marie Amberny</v>
      </c>
      <c r="S31" s="265" t="str">
        <f>IF(ResultsInd[[#This Row],[Score_OK]],IF(ResultsInd[[#This Row],[Stage]]="Groups",ResultsInd[[#This Row],[Category]]&amp;"-"&amp;IF(ResultsInd[[#This Row],[Player B]]="","",IF(ResultsInd[[#This Row],[Score-A]]=ResultsInd[[#This Row],[Score-B]],ResultsInd[[#This Row],[Player A]],"")),""),"")</f>
        <v>OPEN-</v>
      </c>
      <c r="T31" s="265" t="str">
        <f>IF(ResultsInd[[#This Row],[Score_OK]],IF(ResultsInd[[#This Row],[Stage]]="Groups",ResultsInd[[#This Row],[Category]]&amp;"-"&amp;IF(ResultsInd[[#This Row],[Player B]]="","",IF(ResultsInd[[#This Row],[Score-A]]=ResultsInd[[#This Row],[Score-B]],ResultsInd[[#This Row],[Player B]],"")),""),"")</f>
        <v>OPEN-</v>
      </c>
      <c r="U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OPEN-Maria Joao Carmo</v>
      </c>
      <c r="V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OPEN-Maria Joao Carmo</v>
      </c>
      <c r="X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OPEN-Maria Joao Carmo</v>
      </c>
      <c r="Y31" s="264" t="str">
        <f>IF(ResultsInd[[#This Row],[Category]]="","",VLOOKUP(ResultsInd[[#This Row],[Stage]],$P$1:$V$9,MATCH(ResultsInd[[#This Row],[Category]],$Q$1:$V$1,0)+1,FALSE))</f>
        <v>PR1</v>
      </c>
      <c r="Z31" s="264" t="str">
        <f>IF(ResultsInd[[#This Row],[Score_OK]],IF(ResultsInd[[#This Row],[Level]]="R",ResultsInd[[#This Row],[Category]]&amp;"-"&amp;IF(ResultsInd[[#This Row],[LoseInKO]]=ResultsInd[[#This Row],[Category]]&amp;"-"&amp;ResultsInd[[#This Row],[Player A]],ResultsInd[[#This Row],[Player B]],ResultsInd[[#This Row],[Player A]]),""),"")</f>
        <v/>
      </c>
      <c r="AB31" s="281">
        <f>IF(AC31="","",COUNTIFS(AC$22:AC31,AC31,AD$22:AD31,"Players draw"))</f>
        <v>2</v>
      </c>
      <c r="AC31" s="315" t="s">
        <v>890</v>
      </c>
      <c r="AD31" s="289" t="s">
        <v>14439</v>
      </c>
      <c r="AE31" s="290" t="s">
        <v>12279</v>
      </c>
      <c r="AF31" s="284" t="s">
        <v>12275</v>
      </c>
      <c r="AG31" s="296" t="s">
        <v>12276</v>
      </c>
      <c r="AH31" s="291" t="s">
        <v>12271</v>
      </c>
      <c r="AI31" s="291" t="s">
        <v>12272</v>
      </c>
      <c r="AJ31" s="414" t="s">
        <v>13154</v>
      </c>
      <c r="AK31" s="291" t="s">
        <v>12273</v>
      </c>
      <c r="AL31" s="297" t="s">
        <v>12274</v>
      </c>
      <c r="AM31" s="414" t="s">
        <v>13154</v>
      </c>
      <c r="AN31" s="303" t="s">
        <v>12199</v>
      </c>
      <c r="AO31" s="304" t="s">
        <v>12200</v>
      </c>
      <c r="AP31" s="304" t="s">
        <v>12201</v>
      </c>
      <c r="AQ31" s="304" t="s">
        <v>12202</v>
      </c>
      <c r="AR31" s="304" t="s">
        <v>12203</v>
      </c>
      <c r="AS31" s="304" t="s">
        <v>12204</v>
      </c>
      <c r="AT31" s="304" t="s">
        <v>12205</v>
      </c>
      <c r="AU31" s="305" t="s">
        <v>12206</v>
      </c>
      <c r="AV31" s="468"/>
      <c r="AW31" s="282" t="s">
        <v>12276</v>
      </c>
      <c r="AX31" s="282" t="s">
        <v>12280</v>
      </c>
      <c r="AY31" s="283" t="s">
        <v>12199</v>
      </c>
      <c r="AZ31" s="283" t="s">
        <v>12200</v>
      </c>
      <c r="BA31" s="283" t="s">
        <v>12201</v>
      </c>
      <c r="BB31" s="283" t="s">
        <v>12202</v>
      </c>
      <c r="BC31" s="283" t="s">
        <v>12203</v>
      </c>
      <c r="BD31" s="283" t="s">
        <v>12204</v>
      </c>
      <c r="BE31" s="283" t="s">
        <v>12205</v>
      </c>
      <c r="BF31" s="300" t="s">
        <v>12206</v>
      </c>
    </row>
    <row r="32" spans="1:58" ht="12" thickBot="1" x14ac:dyDescent="0.25">
      <c r="A32" s="249" t="s">
        <v>890</v>
      </c>
      <c r="B32" s="249" t="s">
        <v>12207</v>
      </c>
      <c r="C32" s="249">
        <v>2</v>
      </c>
      <c r="D32" s="249"/>
      <c r="E32" s="343" t="s">
        <v>13642</v>
      </c>
      <c r="F32" s="343" t="s">
        <v>8089</v>
      </c>
      <c r="G32" s="338">
        <v>2</v>
      </c>
      <c r="H32" s="338">
        <v>2</v>
      </c>
      <c r="I32" s="339"/>
      <c r="J32" s="114"/>
      <c r="K32" s="114"/>
      <c r="L32" s="250"/>
      <c r="M32" s="265" t="b">
        <f>NOT(ISERROR(ResultsInd[[#This Row],[Goal-A]]+ResultsInd[[#This Row],[Goal-B]]))</f>
        <v>1</v>
      </c>
      <c r="N32" s="265">
        <f>VALUE(ResultsInd[[#This Row],[Score-A]])</f>
        <v>2</v>
      </c>
      <c r="O32" s="265">
        <f>VALUE(ResultsInd[[#This Row],[Score-B]])</f>
        <v>2</v>
      </c>
      <c r="P32" s="265">
        <f ca="1">IF(AND(ResultsInd[[#This Row],[Category]]&lt;&gt;"",ResultsInd[[#This Row],[Player A]]&lt;&gt;""),COUNTIF(INDIRECT(ResultsInd[[#This Row],[Category]]&amp;"List[Retained Player Name]"),ResultsInd[[#This Row],[Player A]]),"")</f>
        <v>1</v>
      </c>
      <c r="Q32" s="265">
        <f ca="1">IF(AND(ResultsInd[[#This Row],[Category]]&lt;&gt;"",ResultsInd[[#This Row],[Player B]]&lt;&gt;""),COUNTIF(INDIRECT(ResultsInd[[#This Row],[Category]]&amp;"List[Retained Player Name]"),ResultsInd[[#This Row],[Player B]]),"")</f>
        <v>1</v>
      </c>
      <c r="R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32" s="265" t="str">
        <f>IF(ResultsInd[[#This Row],[Score_OK]],IF(ResultsInd[[#This Row],[Stage]]="Groups",ResultsInd[[#This Row],[Category]]&amp;"-"&amp;IF(ResultsInd[[#This Row],[Player B]]="","",IF(ResultsInd[[#This Row],[Score-A]]=ResultsInd[[#This Row],[Score-B]],ResultsInd[[#This Row],[Player A]],"")),""),"")</f>
        <v>OPEN-Maria Joao Carmo</v>
      </c>
      <c r="T32" s="265" t="str">
        <f>IF(ResultsInd[[#This Row],[Score_OK]],IF(ResultsInd[[#This Row],[Stage]]="Groups",ResultsInd[[#This Row],[Category]]&amp;"-"&amp;IF(ResultsInd[[#This Row],[Player B]]="","",IF(ResultsInd[[#This Row],[Score-A]]=ResultsInd[[#This Row],[Score-B]],ResultsInd[[#This Row],[Player B]],"")),""),"")</f>
        <v>OPEN-Christophe Dheur</v>
      </c>
      <c r="U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OPEN-Maria Joao Carmo</v>
      </c>
      <c r="X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 Dheur</v>
      </c>
      <c r="Y32" s="264" t="str">
        <f>IF(ResultsInd[[#This Row],[Category]]="","",VLOOKUP(ResultsInd[[#This Row],[Stage]],$P$1:$V$9,MATCH(ResultsInd[[#This Row],[Category]],$Q$1:$V$1,0)+1,FALSE))</f>
        <v>PR1</v>
      </c>
      <c r="Z32" s="264" t="str">
        <f>IF(ResultsInd[[#This Row],[Score_OK]],IF(ResultsInd[[#This Row],[Level]]="R",ResultsInd[[#This Row],[Category]]&amp;"-"&amp;IF(ResultsInd[[#This Row],[LoseInKO]]=ResultsInd[[#This Row],[Category]]&amp;"-"&amp;ResultsInd[[#This Row],[Player A]],ResultsInd[[#This Row],[Player B]],ResultsInd[[#This Row],[Player A]]),""),"")</f>
        <v/>
      </c>
      <c r="AB32" s="8"/>
      <c r="AC32" s="12" t="str">
        <f>IF(AC31="","",AC31)</f>
        <v>OPEN</v>
      </c>
      <c r="AD32" s="309" t="s">
        <v>8089</v>
      </c>
      <c r="AE32" s="320"/>
      <c r="AF32" s="311"/>
      <c r="AG32" s="292">
        <f>IF(AP32="","",SMALL(AH32:AH38,ROWS(AG32:AG32)))</f>
        <v>1001</v>
      </c>
      <c r="AH32" s="293">
        <f>IF(AP32="","",RANK(AL32,AL32:AL38)*1000+ROWS(AH32:AH32))</f>
        <v>1001</v>
      </c>
      <c r="AI32" s="316">
        <f t="shared" ref="AI32:AI38" si="17">IF(AP32="","",CritClassInd1_Points*AN32+CritClassInd1_Matches*AP32+CritClassInd1_Attaque*AS32+CritClassInd1_DiffButs*AU32)</f>
        <v>7000000000000</v>
      </c>
      <c r="AJ32" s="415" t="b">
        <f>AND(AO32&lt;&gt;"",AO32&gt;0,COUNTIF(AI32:AI38,AI32)&gt;1)</f>
        <v>0</v>
      </c>
      <c r="AK32" s="316">
        <f t="shared" ref="AK32:AK38" si="18">IF(AP32="","",CritClassInd_ScorePart*AE32)</f>
        <v>0</v>
      </c>
      <c r="AL32" s="317">
        <f t="shared" ref="AL32:AL38" si="19">IF(AP32="","",AI32+AK32+CritClassInd2_Points*AN32+CritClassInd2_Matches*AP32+CritClassInd2_Attaque*AS32+CritClassInd2_DiffButs*AU32+AF32)</f>
        <v>7000000070900</v>
      </c>
      <c r="AM32" s="415" t="b">
        <f>AND(AO32&lt;&gt;"",AO32&gt;0,COUNTIF(AL32:AL38,AL32)&gt;1)</f>
        <v>0</v>
      </c>
      <c r="AN32" s="306">
        <f t="shared" ref="AN32:AN38" si="20">IF(AP32="","",(AP32*Points_Victoire)+AQ32*Points_Null)</f>
        <v>7</v>
      </c>
      <c r="AO32" s="307">
        <f t="shared" ref="AO32:AO38" si="21">IF(AP32="","",SUM(AP32:AR32))</f>
        <v>3</v>
      </c>
      <c r="AP32" s="307">
        <f>IF(OR(AC31="",AD32=""),"",COUNTIF(ResultsInd[Win],AC31&amp;"-"&amp;AD32))</f>
        <v>2</v>
      </c>
      <c r="AQ32" s="307">
        <f>IF(OR(AC31="",AD32=""),"",COUNTIF(ResultsInd[Draw1],AC31&amp;"-"&amp;AD32)+COUNTIF(ResultsInd[Draw2],AC31&amp;"-"&amp;AD32))</f>
        <v>1</v>
      </c>
      <c r="AR32" s="307">
        <f>IF(OR(AC31="",AD32=""),"",COUNTIF(ResultsInd[Lose],AC31&amp;"-"&amp;AD32))</f>
        <v>0</v>
      </c>
      <c r="AS32" s="307">
        <f>IF(OR(AC31="",AD32=""),"",SUMIFS(ResultsInd[Goal-A],ResultsInd[Category],AC31,ResultsInd[Stage],"Groups",ResultsInd[Player A],AD32)+SUMIFS(ResultsInd[Goal-B],ResultsInd[Category],AC31,ResultsInd[Stage],"Groups",ResultsInd[Player B],AD32))</f>
        <v>9</v>
      </c>
      <c r="AT32" s="307">
        <f>IF(OR(AC31="",AD32=""),"",SUMIFS(ResultsInd[Goal-B],ResultsInd[Category],AC31,ResultsInd[Stage],"Groups",ResultsInd[Player A],AD32)+SUMIFS(ResultsInd[Goal-A],ResultsInd[Category],AC31,ResultsInd[Stage],"Groups",ResultsInd[Player B],AD32))</f>
        <v>2</v>
      </c>
      <c r="AU32" s="308">
        <f>IF(AP32="","",AS32-AT32)</f>
        <v>7</v>
      </c>
      <c r="AV32" s="469" t="b">
        <f>IF(AG32="","",OR(VLOOKUP(AG32,AH32:AU38,3,FALSE),VLOOKUP(AG32,AH32:AU38,6,FALSE)))</f>
        <v>0</v>
      </c>
      <c r="AW32" s="298">
        <f t="shared" ref="AW32:AW38" si="22">IF(AG32="","",INT(AG32/1000))</f>
        <v>1</v>
      </c>
      <c r="AX32" s="285" t="str">
        <f>IF(AG32="","",INDEX(AD32:AD38,MATCH(AG32,AH32:AH38,0)))</f>
        <v>Christophe Dheur</v>
      </c>
      <c r="AY32" s="286">
        <f>IF(AG32="","",VLOOKUP(AG32,AH32:AU38,COLUMN()-COLUMN(AR31),FALSE))</f>
        <v>7</v>
      </c>
      <c r="AZ32" s="286">
        <f>IF(AG32="","",VLOOKUP(AG32,AH32:AU38,COLUMN()-COLUMN(AR31),FALSE))</f>
        <v>3</v>
      </c>
      <c r="BA32" s="286">
        <f>IF(AG32="","",VLOOKUP(AG32,AH32:AU38,COLUMN()-COLUMN(AR31),FALSE))</f>
        <v>2</v>
      </c>
      <c r="BB32" s="286">
        <f>IF(AG32="","",VLOOKUP(AG32,AH32:AU38,COLUMN()-COLUMN(AR31),FALSE))</f>
        <v>1</v>
      </c>
      <c r="BC32" s="286">
        <f>IF(AG32="","",VLOOKUP(AG32,AH32:AU38,COLUMN()-COLUMN(AR31),FALSE))</f>
        <v>0</v>
      </c>
      <c r="BD32" s="286">
        <f>IF(AG32="","",VLOOKUP(AG32,AH32:AU38,COLUMN()-COLUMN(AR31),FALSE))</f>
        <v>9</v>
      </c>
      <c r="BE32" s="286">
        <f>IF(AG32="","",VLOOKUP(AG32,AH32:AU38,COLUMN()-COLUMN(AR31),FALSE))</f>
        <v>2</v>
      </c>
      <c r="BF32" s="301">
        <f>IF(AG32="","",VLOOKUP(AG32,AH32:AU38,COLUMN()-COLUMN(AR31),FALSE))</f>
        <v>7</v>
      </c>
    </row>
    <row r="33" spans="1:58" ht="12" thickBot="1" x14ac:dyDescent="0.25">
      <c r="A33" s="249" t="s">
        <v>890</v>
      </c>
      <c r="B33" s="249" t="s">
        <v>12207</v>
      </c>
      <c r="C33" s="249">
        <v>2</v>
      </c>
      <c r="D33" s="249"/>
      <c r="E33" s="343" t="s">
        <v>8696</v>
      </c>
      <c r="F33" s="343" t="s">
        <v>11084</v>
      </c>
      <c r="G33" s="338">
        <v>0</v>
      </c>
      <c r="H33" s="338">
        <v>1</v>
      </c>
      <c r="I33" s="339"/>
      <c r="J33" s="114"/>
      <c r="K33" s="114"/>
      <c r="L33" s="250"/>
      <c r="M33" s="265" t="b">
        <f>NOT(ISERROR(ResultsInd[[#This Row],[Goal-A]]+ResultsInd[[#This Row],[Goal-B]]))</f>
        <v>1</v>
      </c>
      <c r="N33" s="265">
        <f>VALUE(ResultsInd[[#This Row],[Score-A]])</f>
        <v>0</v>
      </c>
      <c r="O33" s="265">
        <f>VALUE(ResultsInd[[#This Row],[Score-B]])</f>
        <v>1</v>
      </c>
      <c r="P33" s="265">
        <f ca="1">IF(AND(ResultsInd[[#This Row],[Category]]&lt;&gt;"",ResultsInd[[#This Row],[Player A]]&lt;&gt;""),COUNTIF(INDIRECT(ResultsInd[[#This Row],[Category]]&amp;"List[Retained Player Name]"),ResultsInd[[#This Row],[Player A]]),"")</f>
        <v>1</v>
      </c>
      <c r="Q33" s="265">
        <f ca="1">IF(AND(ResultsInd[[#This Row],[Category]]&lt;&gt;"",ResultsInd[[#This Row],[Player B]]&lt;&gt;""),COUNTIF(INDIRECT(ResultsInd[[#This Row],[Category]]&amp;"List[Retained Player Name]"),ResultsInd[[#This Row],[Player B]]),"")</f>
        <v>1</v>
      </c>
      <c r="R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Knuf</v>
      </c>
      <c r="S33" s="265" t="str">
        <f>IF(ResultsInd[[#This Row],[Score_OK]],IF(ResultsInd[[#This Row],[Stage]]="Groups",ResultsInd[[#This Row],[Category]]&amp;"-"&amp;IF(ResultsInd[[#This Row],[Player B]]="","",IF(ResultsInd[[#This Row],[Score-A]]=ResultsInd[[#This Row],[Score-B]],ResultsInd[[#This Row],[Player A]],"")),""),"")</f>
        <v>OPEN-</v>
      </c>
      <c r="T33" s="265" t="str">
        <f>IF(ResultsInd[[#This Row],[Score_OK]],IF(ResultsInd[[#This Row],[Stage]]="Groups",ResultsInd[[#This Row],[Category]]&amp;"-"&amp;IF(ResultsInd[[#This Row],[Player B]]="","",IF(ResultsInd[[#This Row],[Score-A]]=ResultsInd[[#This Row],[Score-B]],ResultsInd[[#This Row],[Player B]],"")),""),"")</f>
        <v>OPEN-</v>
      </c>
      <c r="U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OPEN-Jean-Marie Amberny</v>
      </c>
      <c r="V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OPEN-Jean-Marie Amberny</v>
      </c>
      <c r="X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OPEN-Jean-Marie Amberny</v>
      </c>
      <c r="Y33" s="264" t="str">
        <f>IF(ResultsInd[[#This Row],[Category]]="","",VLOOKUP(ResultsInd[[#This Row],[Stage]],$P$1:$V$9,MATCH(ResultsInd[[#This Row],[Category]],$Q$1:$V$1,0)+1,FALSE))</f>
        <v>PR1</v>
      </c>
      <c r="Z33" s="264" t="str">
        <f>IF(ResultsInd[[#This Row],[Score_OK]],IF(ResultsInd[[#This Row],[Level]]="R",ResultsInd[[#This Row],[Category]]&amp;"-"&amp;IF(ResultsInd[[#This Row],[LoseInKO]]=ResultsInd[[#This Row],[Category]]&amp;"-"&amp;ResultsInd[[#This Row],[Player A]],ResultsInd[[#This Row],[Player B]],ResultsInd[[#This Row],[Player A]]),""),"")</f>
        <v/>
      </c>
      <c r="AB33" s="8"/>
      <c r="AC33" s="12" t="str">
        <f t="shared" ref="AC33:AC38" si="23">IF(AC32="","",AC32)</f>
        <v>OPEN</v>
      </c>
      <c r="AD33" s="309" t="s">
        <v>8696</v>
      </c>
      <c r="AE33" s="320"/>
      <c r="AF33" s="311"/>
      <c r="AG33" s="292">
        <f>IF(AP33="","",SMALL(AH32:AH38,ROWS(AG32:AG33)))</f>
        <v>2003</v>
      </c>
      <c r="AH33" s="293">
        <f>IF(AP33="","",RANK(AL33,AL32:AL38)*1000+ROWS(AH32:AH33))</f>
        <v>3002</v>
      </c>
      <c r="AI33" s="316">
        <f t="shared" si="17"/>
        <v>3000000000000</v>
      </c>
      <c r="AJ33" s="415" t="b">
        <f>AND(AO33&lt;&gt;"",AO33&gt;0,COUNTIF(AI32:AI38,AI33)&gt;1)</f>
        <v>0</v>
      </c>
      <c r="AK33" s="316">
        <f t="shared" si="18"/>
        <v>0</v>
      </c>
      <c r="AL33" s="317">
        <f t="shared" si="19"/>
        <v>3000000030700</v>
      </c>
      <c r="AM33" s="415" t="b">
        <f>AND(AO33&lt;&gt;"",AO33&gt;0,COUNTIF(AL32:AL38,AL33)&gt;1)</f>
        <v>0</v>
      </c>
      <c r="AN33" s="306">
        <f t="shared" si="20"/>
        <v>3</v>
      </c>
      <c r="AO33" s="307">
        <f t="shared" si="21"/>
        <v>3</v>
      </c>
      <c r="AP33" s="307">
        <f>IF(OR(AC31="",AD33=""),"",COUNTIF(ResultsInd[Win],AC31&amp;"-"&amp;AD33))</f>
        <v>1</v>
      </c>
      <c r="AQ33" s="307">
        <f>IF(OR(AC31="",AD33=""),"",COUNTIF(ResultsInd[Draw1],AC31&amp;"-"&amp;AD33)+COUNTIF(ResultsInd[Draw2],AC31&amp;"-"&amp;AD33))</f>
        <v>0</v>
      </c>
      <c r="AR33" s="307">
        <f>IF(OR(AC31="",AD33=""),"",COUNTIF(ResultsInd[Lose],AC31&amp;"-"&amp;AD33))</f>
        <v>2</v>
      </c>
      <c r="AS33" s="307">
        <f>IF(OR(AC31="",AD33=""),"",SUMIFS(ResultsInd[Goal-A],ResultsInd[Category],AC31,ResultsInd[Stage],"Groups",ResultsInd[Player A],AD33)+SUMIFS(ResultsInd[Goal-B],ResultsInd[Category],AC31,ResultsInd[Stage],"Groups",ResultsInd[Player B],AD33))</f>
        <v>7</v>
      </c>
      <c r="AT33" s="307">
        <f>IF(OR(AC31="",AD33=""),"",SUMIFS(ResultsInd[Goal-B],ResultsInd[Category],AC31,ResultsInd[Stage],"Groups",ResultsInd[Player A],AD33)+SUMIFS(ResultsInd[Goal-A],ResultsInd[Category],AC31,ResultsInd[Stage],"Groups",ResultsInd[Player B],AD33))</f>
        <v>4</v>
      </c>
      <c r="AU33" s="308">
        <f t="shared" ref="AU33:AU38" si="24">IF(AP33="","",AS33-AT33)</f>
        <v>3</v>
      </c>
      <c r="AV33" s="469" t="b">
        <f>IF(AG33="","",OR(VLOOKUP(AG33,AH32:AU38,3,FALSE),VLOOKUP(AG33,AH32:AU38,6,FALSE)))</f>
        <v>0</v>
      </c>
      <c r="AW33" s="298">
        <f t="shared" si="22"/>
        <v>2</v>
      </c>
      <c r="AX33" s="285" t="str">
        <f>IF(AG33="","",INDEX(AD32:AD38,MATCH(AG33,AH32:AH38,0)))</f>
        <v>Rudi Knuf</v>
      </c>
      <c r="AY33" s="286">
        <f>IF(AG33="","",VLOOKUP(AG33,AH32:AU38,COLUMN()-COLUMN(AR31),FALSE))</f>
        <v>6</v>
      </c>
      <c r="AZ33" s="286">
        <f>IF(AG33="","",VLOOKUP(AG33,AH32:AU38,COLUMN()-COLUMN(AR31),FALSE))</f>
        <v>3</v>
      </c>
      <c r="BA33" s="286">
        <f>IF(AG33="","",VLOOKUP(AG33,AH32:AU38,COLUMN()-COLUMN(AR31),FALSE))</f>
        <v>2</v>
      </c>
      <c r="BB33" s="286">
        <f>IF(AG33="","",VLOOKUP(AG33,AH32:AU38,COLUMN()-COLUMN(AR31),FALSE))</f>
        <v>0</v>
      </c>
      <c r="BC33" s="286">
        <f>IF(AG33="","",VLOOKUP(AG33,AH32:AU38,COLUMN()-COLUMN(AR31),FALSE))</f>
        <v>1</v>
      </c>
      <c r="BD33" s="286">
        <f>IF(AG33="","",VLOOKUP(AG33,AH32:AU38,COLUMN()-COLUMN(AR31),FALSE))</f>
        <v>8</v>
      </c>
      <c r="BE33" s="286">
        <f>IF(AG33="","",VLOOKUP(AG33,AH32:AU38,COLUMN()-COLUMN(AR31),FALSE))</f>
        <v>4</v>
      </c>
      <c r="BF33" s="301">
        <f>IF(AG33="","",VLOOKUP(AG33,AH32:AU38,COLUMN()-COLUMN(AR31),FALSE))</f>
        <v>4</v>
      </c>
    </row>
    <row r="34" spans="1:58" ht="12" thickBot="1" x14ac:dyDescent="0.25">
      <c r="A34" s="249" t="s">
        <v>890</v>
      </c>
      <c r="B34" s="249" t="s">
        <v>12207</v>
      </c>
      <c r="C34" s="249">
        <v>3</v>
      </c>
      <c r="D34" s="249"/>
      <c r="E34" s="344" t="s">
        <v>13</v>
      </c>
      <c r="F34" s="344" t="s">
        <v>8513</v>
      </c>
      <c r="G34" s="254">
        <v>11</v>
      </c>
      <c r="H34" s="254">
        <v>1</v>
      </c>
      <c r="I34" s="339"/>
      <c r="J34" s="114"/>
      <c r="K34" s="114"/>
      <c r="L34" s="247"/>
      <c r="M34" s="265" t="b">
        <f>NOT(ISERROR(ResultsInd[[#This Row],[Goal-A]]+ResultsInd[[#This Row],[Goal-B]]))</f>
        <v>1</v>
      </c>
      <c r="N34" s="265">
        <f>VALUE(ResultsInd[[#This Row],[Score-A]])</f>
        <v>11</v>
      </c>
      <c r="O34" s="265">
        <f>VALUE(ResultsInd[[#This Row],[Score-B]])</f>
        <v>1</v>
      </c>
      <c r="P34" s="265">
        <f ca="1">IF(AND(ResultsInd[[#This Row],[Category]]&lt;&gt;"",ResultsInd[[#This Row],[Player A]]&lt;&gt;""),COUNTIF(INDIRECT(ResultsInd[[#This Row],[Category]]&amp;"List[Retained Player Name]"),ResultsInd[[#This Row],[Player A]]),"")</f>
        <v>1</v>
      </c>
      <c r="Q34" s="265">
        <f ca="1">IF(AND(ResultsInd[[#This Row],[Category]]&lt;&gt;"",ResultsInd[[#This Row],[Player B]]&lt;&gt;""),COUNTIF(INDIRECT(ResultsInd[[#This Row],[Category]]&amp;"List[Retained Player Name]"),ResultsInd[[#This Row],[Player B]]),"")</f>
        <v>1</v>
      </c>
      <c r="R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OPEN-Saverio Bari</v>
      </c>
      <c r="S34" s="265" t="str">
        <f>IF(ResultsInd[[#This Row],[Score_OK]],IF(ResultsInd[[#This Row],[Stage]]="Groups",ResultsInd[[#This Row],[Category]]&amp;"-"&amp;IF(ResultsInd[[#This Row],[Player B]]="","",IF(ResultsInd[[#This Row],[Score-A]]=ResultsInd[[#This Row],[Score-B]],ResultsInd[[#This Row],[Player A]],"")),""),"")</f>
        <v>OPEN-</v>
      </c>
      <c r="T34" s="265" t="str">
        <f>IF(ResultsInd[[#This Row],[Score_OK]],IF(ResultsInd[[#This Row],[Stage]]="Groups",ResultsInd[[#This Row],[Category]]&amp;"-"&amp;IF(ResultsInd[[#This Row],[Player B]]="","",IF(ResultsInd[[#This Row],[Score-A]]=ResultsInd[[#This Row],[Score-B]],ResultsInd[[#This Row],[Player B]],"")),""),"")</f>
        <v>OPEN-</v>
      </c>
      <c r="U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OPEN-Kye Arnold</v>
      </c>
      <c r="V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OPEN-Kye Arnold</v>
      </c>
      <c r="X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OPEN-Kye Arnold</v>
      </c>
      <c r="Y34" s="264" t="str">
        <f>IF(ResultsInd[[#This Row],[Category]]="","",VLOOKUP(ResultsInd[[#This Row],[Stage]],$P$1:$V$9,MATCH(ResultsInd[[#This Row],[Category]],$Q$1:$V$1,0)+1,FALSE))</f>
        <v>PR1</v>
      </c>
      <c r="Z34" s="264" t="str">
        <f>IF(ResultsInd[[#This Row],[Score_OK]],IF(ResultsInd[[#This Row],[Level]]="R",ResultsInd[[#This Row],[Category]]&amp;"-"&amp;IF(ResultsInd[[#This Row],[LoseInKO]]=ResultsInd[[#This Row],[Category]]&amp;"-"&amp;ResultsInd[[#This Row],[Player A]],ResultsInd[[#This Row],[Player B]],ResultsInd[[#This Row],[Player A]]),""),"")</f>
        <v/>
      </c>
      <c r="AB34" s="8"/>
      <c r="AC34" s="12" t="str">
        <f t="shared" si="23"/>
        <v>OPEN</v>
      </c>
      <c r="AD34" s="309" t="s">
        <v>11084</v>
      </c>
      <c r="AE34" s="320"/>
      <c r="AF34" s="311"/>
      <c r="AG34" s="292">
        <f>IF(AP34="","",SMALL(AH32:AH38,ROWS(AG32:AG34)))</f>
        <v>3002</v>
      </c>
      <c r="AH34" s="293">
        <f>IF(AP34="","",RANK(AL34,AL32:AL38)*1000+ROWS(AH32:AH34))</f>
        <v>2003</v>
      </c>
      <c r="AI34" s="316">
        <f t="shared" si="17"/>
        <v>6000000000000</v>
      </c>
      <c r="AJ34" s="415" t="b">
        <f>AND(AO34&lt;&gt;"",AO34&gt;0,COUNTIF(AI32:AI38,AI34)&gt;1)</f>
        <v>0</v>
      </c>
      <c r="AK34" s="316">
        <f t="shared" si="18"/>
        <v>0</v>
      </c>
      <c r="AL34" s="317">
        <f t="shared" si="19"/>
        <v>6000000040800</v>
      </c>
      <c r="AM34" s="415" t="b">
        <f>AND(AO34&lt;&gt;"",AO34&gt;0,COUNTIF(AL32:AL38,AL34)&gt;1)</f>
        <v>0</v>
      </c>
      <c r="AN34" s="306">
        <f t="shared" si="20"/>
        <v>6</v>
      </c>
      <c r="AO34" s="307">
        <f t="shared" si="21"/>
        <v>3</v>
      </c>
      <c r="AP34" s="307">
        <f>IF(OR(AC31="",AD34=""),"",COUNTIF(ResultsInd[Win],AC31&amp;"-"&amp;AD34))</f>
        <v>2</v>
      </c>
      <c r="AQ34" s="307">
        <f>IF(OR(AC31="",AD34=""),"",COUNTIF(ResultsInd[Draw1],AC31&amp;"-"&amp;AD34)+COUNTIF(ResultsInd[Draw2],AC31&amp;"-"&amp;AD34))</f>
        <v>0</v>
      </c>
      <c r="AR34" s="307">
        <f>IF(OR(AC31="",AD34=""),"",COUNTIF(ResultsInd[Lose],AC31&amp;"-"&amp;AD34))</f>
        <v>1</v>
      </c>
      <c r="AS34" s="307">
        <f>IF(OR(AC31="",AD34=""),"",SUMIFS(ResultsInd[Goal-A],ResultsInd[Category],AC31,ResultsInd[Stage],"Groups",ResultsInd[Player A],AD34)+SUMIFS(ResultsInd[Goal-B],ResultsInd[Category],AC31,ResultsInd[Stage],"Groups",ResultsInd[Player B],AD34))</f>
        <v>8</v>
      </c>
      <c r="AT34" s="307">
        <f>IF(OR(AC31="",AD34=""),"",SUMIFS(ResultsInd[Goal-B],ResultsInd[Category],AC31,ResultsInd[Stage],"Groups",ResultsInd[Player A],AD34)+SUMIFS(ResultsInd[Goal-A],ResultsInd[Category],AC31,ResultsInd[Stage],"Groups",ResultsInd[Player B],AD34))</f>
        <v>4</v>
      </c>
      <c r="AU34" s="308">
        <f t="shared" si="24"/>
        <v>4</v>
      </c>
      <c r="AV34" s="469" t="b">
        <f>IF(AG34="","",OR(VLOOKUP(AG34,AH32:AU38,3,FALSE),VLOOKUP(AG34,AH32:AU38,6,FALSE)))</f>
        <v>0</v>
      </c>
      <c r="AW34" s="298">
        <f t="shared" si="22"/>
        <v>3</v>
      </c>
      <c r="AX34" s="285" t="str">
        <f>IF(AG34="","",INDEX(AD32:AD38,MATCH(AG34,AH32:AH38,0)))</f>
        <v>Jean-Marie Amberny</v>
      </c>
      <c r="AY34" s="286">
        <f>IF(AG34="","",VLOOKUP(AG34,AH32:AU38,COLUMN()-COLUMN(AR31),FALSE))</f>
        <v>3</v>
      </c>
      <c r="AZ34" s="286">
        <f>IF(AG34="","",VLOOKUP(AG34,AH32:AU38,COLUMN()-COLUMN(AR31),FALSE))</f>
        <v>3</v>
      </c>
      <c r="BA34" s="286">
        <f>IF(AG34="","",VLOOKUP(AG34,AH32:AU38,COLUMN()-COLUMN(AR31),FALSE))</f>
        <v>1</v>
      </c>
      <c r="BB34" s="286">
        <f>IF(AG34="","",VLOOKUP(AG34,AH32:AU38,COLUMN()-COLUMN(AR31),FALSE))</f>
        <v>0</v>
      </c>
      <c r="BC34" s="286">
        <f>IF(AG34="","",VLOOKUP(AG34,AH32:AU38,COLUMN()-COLUMN(AR31),FALSE))</f>
        <v>2</v>
      </c>
      <c r="BD34" s="286">
        <f>IF(AG34="","",VLOOKUP(AG34,AH32:AU38,COLUMN()-COLUMN(AR31),FALSE))</f>
        <v>7</v>
      </c>
      <c r="BE34" s="286">
        <f>IF(AG34="","",VLOOKUP(AG34,AH32:AU38,COLUMN()-COLUMN(AR31),FALSE))</f>
        <v>4</v>
      </c>
      <c r="BF34" s="301">
        <f>IF(AG34="","",VLOOKUP(AG34,AH32:AU38,COLUMN()-COLUMN(AR31),FALSE))</f>
        <v>3</v>
      </c>
    </row>
    <row r="35" spans="1:58" ht="12" thickBot="1" x14ac:dyDescent="0.25">
      <c r="A35" s="249" t="s">
        <v>890</v>
      </c>
      <c r="B35" s="249" t="s">
        <v>12207</v>
      </c>
      <c r="C35" s="249">
        <v>3</v>
      </c>
      <c r="D35" s="249"/>
      <c r="E35" s="344" t="s">
        <v>8164</v>
      </c>
      <c r="F35" s="344" t="s">
        <v>8699</v>
      </c>
      <c r="G35" s="254">
        <v>4</v>
      </c>
      <c r="H35" s="254">
        <v>2</v>
      </c>
      <c r="I35" s="339"/>
      <c r="J35" s="114"/>
      <c r="K35" s="114"/>
      <c r="L35" s="247"/>
      <c r="M35" s="265" t="b">
        <f>NOT(ISERROR(ResultsInd[[#This Row],[Goal-A]]+ResultsInd[[#This Row],[Goal-B]]))</f>
        <v>1</v>
      </c>
      <c r="N35" s="265">
        <f>VALUE(ResultsInd[[#This Row],[Score-A]])</f>
        <v>4</v>
      </c>
      <c r="O35" s="265">
        <f>VALUE(ResultsInd[[#This Row],[Score-B]])</f>
        <v>2</v>
      </c>
      <c r="P35" s="265">
        <f ca="1">IF(AND(ResultsInd[[#This Row],[Category]]&lt;&gt;"",ResultsInd[[#This Row],[Player A]]&lt;&gt;""),COUNTIF(INDIRECT(ResultsInd[[#This Row],[Category]]&amp;"List[Retained Player Name]"),ResultsInd[[#This Row],[Player A]]),"")</f>
        <v>1</v>
      </c>
      <c r="Q35" s="265">
        <f ca="1">IF(AND(ResultsInd[[#This Row],[Category]]&lt;&gt;"",ResultsInd[[#This Row],[Player B]]&lt;&gt;""),COUNTIF(INDIRECT(ResultsInd[[#This Row],[Category]]&amp;"List[Retained Player Name]"),ResultsInd[[#This Row],[Player B]]),"")</f>
        <v>1</v>
      </c>
      <c r="R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OPEN-Bruno Timpano</v>
      </c>
      <c r="S35" s="265" t="str">
        <f>IF(ResultsInd[[#This Row],[Score_OK]],IF(ResultsInd[[#This Row],[Stage]]="Groups",ResultsInd[[#This Row],[Category]]&amp;"-"&amp;IF(ResultsInd[[#This Row],[Player B]]="","",IF(ResultsInd[[#This Row],[Score-A]]=ResultsInd[[#This Row],[Score-B]],ResultsInd[[#This Row],[Player A]],"")),""),"")</f>
        <v>OPEN-</v>
      </c>
      <c r="T35" s="265" t="str">
        <f>IF(ResultsInd[[#This Row],[Score_OK]],IF(ResultsInd[[#This Row],[Stage]]="Groups",ResultsInd[[#This Row],[Category]]&amp;"-"&amp;IF(ResultsInd[[#This Row],[Player B]]="","",IF(ResultsInd[[#This Row],[Score-A]]=ResultsInd[[#This Row],[Score-B]],ResultsInd[[#This Row],[Player B]],"")),""),"")</f>
        <v>OPEN-</v>
      </c>
      <c r="U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Zaki</v>
      </c>
      <c r="V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OPEN-David Zaki</v>
      </c>
      <c r="X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OPEN-David Zaki</v>
      </c>
      <c r="Y35" s="264" t="str">
        <f>IF(ResultsInd[[#This Row],[Category]]="","",VLOOKUP(ResultsInd[[#This Row],[Stage]],$P$1:$V$9,MATCH(ResultsInd[[#This Row],[Category]],$Q$1:$V$1,0)+1,FALSE))</f>
        <v>PR1</v>
      </c>
      <c r="Z35" s="264" t="str">
        <f>IF(ResultsInd[[#This Row],[Score_OK]],IF(ResultsInd[[#This Row],[Level]]="R",ResultsInd[[#This Row],[Category]]&amp;"-"&amp;IF(ResultsInd[[#This Row],[LoseInKO]]=ResultsInd[[#This Row],[Category]]&amp;"-"&amp;ResultsInd[[#This Row],[Player A]],ResultsInd[[#This Row],[Player B]],ResultsInd[[#This Row],[Player A]]),""),"")</f>
        <v/>
      </c>
      <c r="AB35" s="91"/>
      <c r="AC35" s="12" t="str">
        <f t="shared" si="23"/>
        <v>OPEN</v>
      </c>
      <c r="AD35" s="309" t="s">
        <v>13642</v>
      </c>
      <c r="AE35" s="310"/>
      <c r="AF35" s="311"/>
      <c r="AG35" s="292">
        <f>IF(AP35="","",SMALL(AH32:AH38,ROWS(AG32:AG35)))</f>
        <v>4004</v>
      </c>
      <c r="AH35" s="293">
        <f>IF(AP35="","",RANK(AL35,AL32:AL38)*1000+ROWS(AH32:AH35))</f>
        <v>4004</v>
      </c>
      <c r="AI35" s="316">
        <f t="shared" si="17"/>
        <v>1000000000000</v>
      </c>
      <c r="AJ35" s="415" t="b">
        <f>AND(AO35&lt;&gt;"",AO35&gt;0,COUNTIF(AI32:AI38,AI35)&gt;1)</f>
        <v>0</v>
      </c>
      <c r="AK35" s="316">
        <f t="shared" si="18"/>
        <v>0</v>
      </c>
      <c r="AL35" s="317">
        <f t="shared" si="19"/>
        <v>999999860200</v>
      </c>
      <c r="AM35" s="415" t="b">
        <f>AND(AO35&lt;&gt;"",AO35&gt;0,COUNTIF(AL32:AL38,AL35)&gt;1)</f>
        <v>0</v>
      </c>
      <c r="AN35" s="306">
        <f t="shared" si="20"/>
        <v>1</v>
      </c>
      <c r="AO35" s="307">
        <f t="shared" si="21"/>
        <v>3</v>
      </c>
      <c r="AP35" s="307">
        <f>IF(OR(AC31="",AD35=""),"",COUNTIF(ResultsInd[Win],AC31&amp;"-"&amp;AD35))</f>
        <v>0</v>
      </c>
      <c r="AQ35" s="307">
        <f>IF(OR(AC31="",AD35=""),"",COUNTIF(ResultsInd[Draw1],AC31&amp;"-"&amp;AD35)+COUNTIF(ResultsInd[Draw2],AC31&amp;"-"&amp;AD35))</f>
        <v>1</v>
      </c>
      <c r="AR35" s="307">
        <f>IF(OR(AC31="",AD35=""),"",COUNTIF(ResultsInd[Lose],AC31&amp;"-"&amp;AD35))</f>
        <v>2</v>
      </c>
      <c r="AS35" s="307">
        <f>IF(OR(AC31="",AD35=""),"",SUMIFS(ResultsInd[Goal-A],ResultsInd[Category],AC31,ResultsInd[Stage],"Groups",ResultsInd[Player A],AD35)+SUMIFS(ResultsInd[Goal-B],ResultsInd[Category],AC31,ResultsInd[Stage],"Groups",ResultsInd[Player B],AD35))</f>
        <v>2</v>
      </c>
      <c r="AT35" s="307">
        <f>IF(OR(AC31="",AD35=""),"",SUMIFS(ResultsInd[Goal-B],ResultsInd[Category],AC31,ResultsInd[Stage],"Groups",ResultsInd[Player A],AD35)+SUMIFS(ResultsInd[Goal-A],ResultsInd[Category],AC31,ResultsInd[Stage],"Groups",ResultsInd[Player B],AD35))</f>
        <v>16</v>
      </c>
      <c r="AU35" s="308">
        <f t="shared" si="24"/>
        <v>-14</v>
      </c>
      <c r="AV35" s="469" t="b">
        <f>IF(AG35="","",OR(VLOOKUP(AG35,AH32:AU38,3,FALSE),VLOOKUP(AG35,AH32:AU38,6,FALSE)))</f>
        <v>0</v>
      </c>
      <c r="AW35" s="298">
        <f t="shared" si="22"/>
        <v>4</v>
      </c>
      <c r="AX35" s="285" t="str">
        <f>IF(AG35="","",INDEX(AD32:AD38,MATCH(AG35,AH32:AH38,0)))</f>
        <v>Maria Joao Carmo</v>
      </c>
      <c r="AY35" s="286">
        <f>IF(AG35="","",VLOOKUP(AG35,AH32:AU38,COLUMN()-COLUMN(AR31),FALSE))</f>
        <v>1</v>
      </c>
      <c r="AZ35" s="286">
        <f>IF(AG35="","",VLOOKUP(AG35,AH32:AU38,COLUMN()-COLUMN(AR31),FALSE))</f>
        <v>3</v>
      </c>
      <c r="BA35" s="286">
        <f>IF(AG35="","",VLOOKUP(AG35,AH32:AU38,COLUMN()-COLUMN(AR31),FALSE))</f>
        <v>0</v>
      </c>
      <c r="BB35" s="286">
        <f>IF(AG35="","",VLOOKUP(AG35,AH32:AU38,COLUMN()-COLUMN(AR31),FALSE))</f>
        <v>1</v>
      </c>
      <c r="BC35" s="286">
        <f>IF(AG35="","",VLOOKUP(AG35,AH32:AU38,COLUMN()-COLUMN(AR31),FALSE))</f>
        <v>2</v>
      </c>
      <c r="BD35" s="286">
        <f>IF(AG35="","",VLOOKUP(AG35,AH32:AU38,COLUMN()-COLUMN(AR31),FALSE))</f>
        <v>2</v>
      </c>
      <c r="BE35" s="286">
        <f>IF(AG35="","",VLOOKUP(AG35,AH32:AU38,COLUMN()-COLUMN(AR31),FALSE))</f>
        <v>16</v>
      </c>
      <c r="BF35" s="301">
        <f>IF(AG35="","",VLOOKUP(AG35,AH32:AU38,COLUMN()-COLUMN(AR31),FALSE))</f>
        <v>-14</v>
      </c>
    </row>
    <row r="36" spans="1:58" ht="12" thickBot="1" x14ac:dyDescent="0.25">
      <c r="A36" s="249" t="s">
        <v>890</v>
      </c>
      <c r="B36" s="249" t="s">
        <v>12207</v>
      </c>
      <c r="C36" s="249">
        <v>3</v>
      </c>
      <c r="D36" s="249"/>
      <c r="E36" s="344" t="s">
        <v>13</v>
      </c>
      <c r="F36" s="344" t="s">
        <v>8164</v>
      </c>
      <c r="G36" s="254">
        <v>6</v>
      </c>
      <c r="H36" s="254">
        <v>2</v>
      </c>
      <c r="I36" s="339"/>
      <c r="J36" s="114"/>
      <c r="K36" s="114"/>
      <c r="L36" s="250"/>
      <c r="M36" s="265" t="b">
        <f>NOT(ISERROR(ResultsInd[[#This Row],[Goal-A]]+ResultsInd[[#This Row],[Goal-B]]))</f>
        <v>1</v>
      </c>
      <c r="N36" s="265">
        <f>VALUE(ResultsInd[[#This Row],[Score-A]])</f>
        <v>6</v>
      </c>
      <c r="O36" s="265">
        <f>VALUE(ResultsInd[[#This Row],[Score-B]])</f>
        <v>2</v>
      </c>
      <c r="P36" s="265">
        <f ca="1">IF(AND(ResultsInd[[#This Row],[Category]]&lt;&gt;"",ResultsInd[[#This Row],[Player A]]&lt;&gt;""),COUNTIF(INDIRECT(ResultsInd[[#This Row],[Category]]&amp;"List[Retained Player Name]"),ResultsInd[[#This Row],[Player A]]),"")</f>
        <v>1</v>
      </c>
      <c r="Q36" s="265">
        <f ca="1">IF(AND(ResultsInd[[#This Row],[Category]]&lt;&gt;"",ResultsInd[[#This Row],[Player B]]&lt;&gt;""),COUNTIF(INDIRECT(ResultsInd[[#This Row],[Category]]&amp;"List[Retained Player Name]"),ResultsInd[[#This Row],[Player B]]),"")</f>
        <v>1</v>
      </c>
      <c r="R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OPEN-Saverio Bari</v>
      </c>
      <c r="S36" s="265" t="str">
        <f>IF(ResultsInd[[#This Row],[Score_OK]],IF(ResultsInd[[#This Row],[Stage]]="Groups",ResultsInd[[#This Row],[Category]]&amp;"-"&amp;IF(ResultsInd[[#This Row],[Player B]]="","",IF(ResultsInd[[#This Row],[Score-A]]=ResultsInd[[#This Row],[Score-B]],ResultsInd[[#This Row],[Player A]],"")),""),"")</f>
        <v>OPEN-</v>
      </c>
      <c r="T36" s="265" t="str">
        <f>IF(ResultsInd[[#This Row],[Score_OK]],IF(ResultsInd[[#This Row],[Stage]]="Groups",ResultsInd[[#This Row],[Category]]&amp;"-"&amp;IF(ResultsInd[[#This Row],[Player B]]="","",IF(ResultsInd[[#This Row],[Score-A]]=ResultsInd[[#This Row],[Score-B]],ResultsInd[[#This Row],[Player B]],"")),""),"")</f>
        <v>OPEN-</v>
      </c>
      <c r="U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OPEN-Bruno Timpano</v>
      </c>
      <c r="V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OPEN-Bruno Timpano</v>
      </c>
      <c r="X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OPEN-Bruno Timpano</v>
      </c>
      <c r="Y36" s="264" t="str">
        <f>IF(ResultsInd[[#This Row],[Category]]="","",VLOOKUP(ResultsInd[[#This Row],[Stage]],$P$1:$V$9,MATCH(ResultsInd[[#This Row],[Category]],$Q$1:$V$1,0)+1,FALSE))</f>
        <v>PR1</v>
      </c>
      <c r="Z36" s="264" t="str">
        <f>IF(ResultsInd[[#This Row],[Score_OK]],IF(ResultsInd[[#This Row],[Level]]="R",ResultsInd[[#This Row],[Category]]&amp;"-"&amp;IF(ResultsInd[[#This Row],[LoseInKO]]=ResultsInd[[#This Row],[Category]]&amp;"-"&amp;ResultsInd[[#This Row],[Player A]],ResultsInd[[#This Row],[Player B]],ResultsInd[[#This Row],[Player A]]),""),"")</f>
        <v/>
      </c>
      <c r="AB36" s="91"/>
      <c r="AC36" s="12" t="str">
        <f t="shared" si="23"/>
        <v>OPEN</v>
      </c>
      <c r="AD36" s="309"/>
      <c r="AE36" s="310"/>
      <c r="AF36" s="311"/>
      <c r="AG36" s="292" t="str">
        <f>IF(AP36="","",SMALL(AH32:AH38,ROWS(AG32:AG36)))</f>
        <v/>
      </c>
      <c r="AH36" s="293" t="str">
        <f>IF(AP36="","",RANK(AL36,AL32:AL38)*1000+ROWS(AH32:AH36))</f>
        <v/>
      </c>
      <c r="AI36" s="316" t="str">
        <f t="shared" si="17"/>
        <v/>
      </c>
      <c r="AJ36" s="415" t="b">
        <f>AND(AO36&lt;&gt;"",AO36&gt;0,COUNTIF(AI32:AI38,AI36)&gt;1)</f>
        <v>0</v>
      </c>
      <c r="AK36" s="316" t="str">
        <f t="shared" si="18"/>
        <v/>
      </c>
      <c r="AL36" s="317" t="str">
        <f t="shared" si="19"/>
        <v/>
      </c>
      <c r="AM36" s="415" t="b">
        <f>AND(AO36&lt;&gt;"",AO36&gt;0,COUNTIF(AL32:AL38,AL36)&gt;1)</f>
        <v>0</v>
      </c>
      <c r="AN36" s="306" t="str">
        <f t="shared" si="20"/>
        <v/>
      </c>
      <c r="AO36" s="307" t="str">
        <f t="shared" si="21"/>
        <v/>
      </c>
      <c r="AP36" s="307" t="str">
        <f>IF(OR(AC31="",AD36=""),"",COUNTIF(ResultsInd[Win],AC31&amp;"-"&amp;AD36))</f>
        <v/>
      </c>
      <c r="AQ36" s="307" t="str">
        <f>IF(OR(AC31="",AD36=""),"",COUNTIF(ResultsInd[Draw1],AC31&amp;"-"&amp;AD36)+COUNTIF(ResultsInd[Draw2],AC31&amp;"-"&amp;AD36))</f>
        <v/>
      </c>
      <c r="AR36" s="307" t="str">
        <f>IF(OR(AC31="",AD36=""),"",COUNTIF(ResultsInd[Lose],AC31&amp;"-"&amp;AD36))</f>
        <v/>
      </c>
      <c r="AS36" s="307" t="str">
        <f>IF(OR(AC31="",AD36=""),"",SUMIFS(ResultsInd[Goal-A],ResultsInd[Category],AC31,ResultsInd[Stage],"Groups",ResultsInd[Player A],AD36)+SUMIFS(ResultsInd[Goal-B],ResultsInd[Category],AC31,ResultsInd[Stage],"Groups",ResultsInd[Player B],AD36))</f>
        <v/>
      </c>
      <c r="AT36" s="307" t="str">
        <f>IF(OR(AC31="",AD36=""),"",SUMIFS(ResultsInd[Goal-B],ResultsInd[Category],AC31,ResultsInd[Stage],"Groups",ResultsInd[Player A],AD36)+SUMIFS(ResultsInd[Goal-A],ResultsInd[Category],AC31,ResultsInd[Stage],"Groups",ResultsInd[Player B],AD36))</f>
        <v/>
      </c>
      <c r="AU36" s="308" t="str">
        <f t="shared" si="24"/>
        <v/>
      </c>
      <c r="AV36" s="469" t="str">
        <f>IF(AG36="","",OR(VLOOKUP(AG36,AH32:AU38,3,FALSE),VLOOKUP(AG36,AH32:AU38,6,FALSE)))</f>
        <v/>
      </c>
      <c r="AW36" s="298" t="str">
        <f t="shared" si="22"/>
        <v/>
      </c>
      <c r="AX36" s="285" t="str">
        <f>IF(AG36="","",INDEX(AD32:AD38,MATCH(AG36,AH32:AH38,0)))</f>
        <v/>
      </c>
      <c r="AY36" s="286" t="str">
        <f>IF(AG36="","",VLOOKUP(AG36,AH32:AU38,COLUMN()-COLUMN(AR31),FALSE))</f>
        <v/>
      </c>
      <c r="AZ36" s="286" t="str">
        <f>IF(AG36="","",VLOOKUP(AG36,AH32:AU38,COLUMN()-COLUMN(AR31),FALSE))</f>
        <v/>
      </c>
      <c r="BA36" s="286" t="str">
        <f>IF(AG36="","",VLOOKUP(AG36,AH32:AU38,COLUMN()-COLUMN(AR31),FALSE))</f>
        <v/>
      </c>
      <c r="BB36" s="286" t="str">
        <f>IF(AG36="","",VLOOKUP(AG36,AH32:AU38,COLUMN()-COLUMN(AR31),FALSE))</f>
        <v/>
      </c>
      <c r="BC36" s="286" t="str">
        <f>IF(AG36="","",VLOOKUP(AG36,AH32:AU38,COLUMN()-COLUMN(AR31),FALSE))</f>
        <v/>
      </c>
      <c r="BD36" s="286" t="str">
        <f>IF(AG36="","",VLOOKUP(AG36,AH32:AU38,COLUMN()-COLUMN(AR31),FALSE))</f>
        <v/>
      </c>
      <c r="BE36" s="286" t="str">
        <f>IF(AG36="","",VLOOKUP(AG36,AH32:AU38,COLUMN()-COLUMN(AR31),FALSE))</f>
        <v/>
      </c>
      <c r="BF36" s="301" t="str">
        <f>IF(AG36="","",VLOOKUP(AG36,AH32:AU38,COLUMN()-COLUMN(AR31),FALSE))</f>
        <v/>
      </c>
    </row>
    <row r="37" spans="1:58" ht="12" thickBot="1" x14ac:dyDescent="0.25">
      <c r="A37" s="249" t="s">
        <v>890</v>
      </c>
      <c r="B37" s="249" t="s">
        <v>12207</v>
      </c>
      <c r="C37" s="249">
        <v>3</v>
      </c>
      <c r="D37" s="249"/>
      <c r="E37" s="344" t="s">
        <v>8513</v>
      </c>
      <c r="F37" s="344" t="s">
        <v>8699</v>
      </c>
      <c r="G37" s="254">
        <v>1</v>
      </c>
      <c r="H37" s="254">
        <v>2</v>
      </c>
      <c r="I37" s="339"/>
      <c r="J37" s="114"/>
      <c r="K37" s="114"/>
      <c r="L37" s="247"/>
      <c r="M37" s="265" t="b">
        <f>NOT(ISERROR(ResultsInd[[#This Row],[Goal-A]]+ResultsInd[[#This Row],[Goal-B]]))</f>
        <v>1</v>
      </c>
      <c r="N37" s="265">
        <f>VALUE(ResultsInd[[#This Row],[Score-A]])</f>
        <v>1</v>
      </c>
      <c r="O37" s="265">
        <f>VALUE(ResultsInd[[#This Row],[Score-B]])</f>
        <v>2</v>
      </c>
      <c r="P37" s="265">
        <f ca="1">IF(AND(ResultsInd[[#This Row],[Category]]&lt;&gt;"",ResultsInd[[#This Row],[Player A]]&lt;&gt;""),COUNTIF(INDIRECT(ResultsInd[[#This Row],[Category]]&amp;"List[Retained Player Name]"),ResultsInd[[#This Row],[Player A]]),"")</f>
        <v>1</v>
      </c>
      <c r="Q37" s="265">
        <f ca="1">IF(AND(ResultsInd[[#This Row],[Category]]&lt;&gt;"",ResultsInd[[#This Row],[Player B]]&lt;&gt;""),COUNTIF(INDIRECT(ResultsInd[[#This Row],[Category]]&amp;"List[Retained Player Name]"),ResultsInd[[#This Row],[Player B]]),"")</f>
        <v>1</v>
      </c>
      <c r="R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Zaki</v>
      </c>
      <c r="S37" s="265" t="str">
        <f>IF(ResultsInd[[#This Row],[Score_OK]],IF(ResultsInd[[#This Row],[Stage]]="Groups",ResultsInd[[#This Row],[Category]]&amp;"-"&amp;IF(ResultsInd[[#This Row],[Player B]]="","",IF(ResultsInd[[#This Row],[Score-A]]=ResultsInd[[#This Row],[Score-B]],ResultsInd[[#This Row],[Player A]],"")),""),"")</f>
        <v>OPEN-</v>
      </c>
      <c r="T37" s="265" t="str">
        <f>IF(ResultsInd[[#This Row],[Score_OK]],IF(ResultsInd[[#This Row],[Stage]]="Groups",ResultsInd[[#This Row],[Category]]&amp;"-"&amp;IF(ResultsInd[[#This Row],[Player B]]="","",IF(ResultsInd[[#This Row],[Score-A]]=ResultsInd[[#This Row],[Score-B]],ResultsInd[[#This Row],[Player B]],"")),""),"")</f>
        <v>OPEN-</v>
      </c>
      <c r="U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OPEN-Kye Arnold</v>
      </c>
      <c r="V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OPEN-Kye Arnold</v>
      </c>
      <c r="X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OPEN-Kye Arnold</v>
      </c>
      <c r="Y37" s="264" t="str">
        <f>IF(ResultsInd[[#This Row],[Category]]="","",VLOOKUP(ResultsInd[[#This Row],[Stage]],$P$1:$V$9,MATCH(ResultsInd[[#This Row],[Category]],$Q$1:$V$1,0)+1,FALSE))</f>
        <v>PR1</v>
      </c>
      <c r="Z37" s="264" t="str">
        <f>IF(ResultsInd[[#This Row],[Score_OK]],IF(ResultsInd[[#This Row],[Level]]="R",ResultsInd[[#This Row],[Category]]&amp;"-"&amp;IF(ResultsInd[[#This Row],[LoseInKO]]=ResultsInd[[#This Row],[Category]]&amp;"-"&amp;ResultsInd[[#This Row],[Player A]],ResultsInd[[#This Row],[Player B]],ResultsInd[[#This Row],[Player A]]),""),"")</f>
        <v/>
      </c>
      <c r="AB37" s="8"/>
      <c r="AC37" s="12" t="str">
        <f t="shared" si="23"/>
        <v>OPEN</v>
      </c>
      <c r="AD37" s="309"/>
      <c r="AE37" s="310"/>
      <c r="AF37" s="311"/>
      <c r="AG37" s="292" t="str">
        <f>IF(AP37="","",SMALL(AH32:AH38,ROWS(AG32:AG37)))</f>
        <v/>
      </c>
      <c r="AH37" s="293" t="str">
        <f>IF(AP37="","",RANK(AL37,AL32:AL38)*1000+ROWS(AH32:AH37))</f>
        <v/>
      </c>
      <c r="AI37" s="316" t="str">
        <f t="shared" si="17"/>
        <v/>
      </c>
      <c r="AJ37" s="415" t="b">
        <f>AND(AO37&lt;&gt;"",AO37&gt;0,COUNTIF(AI32:AI38,AI37)&gt;1)</f>
        <v>0</v>
      </c>
      <c r="AK37" s="316" t="str">
        <f t="shared" si="18"/>
        <v/>
      </c>
      <c r="AL37" s="317" t="str">
        <f t="shared" si="19"/>
        <v/>
      </c>
      <c r="AM37" s="415" t="b">
        <f>AND(AO37&lt;&gt;"",AO37&gt;0,COUNTIF(AL32:AL38,AL37)&gt;1)</f>
        <v>0</v>
      </c>
      <c r="AN37" s="306" t="str">
        <f t="shared" si="20"/>
        <v/>
      </c>
      <c r="AO37" s="307" t="str">
        <f t="shared" si="21"/>
        <v/>
      </c>
      <c r="AP37" s="307" t="str">
        <f>IF(OR(AC31="",AD37=""),"",COUNTIF(ResultsInd[Win],AC31&amp;"-"&amp;AD37))</f>
        <v/>
      </c>
      <c r="AQ37" s="307" t="str">
        <f>IF(OR(AC31="",AD37=""),"",COUNTIF(ResultsInd[Draw1],AC31&amp;"-"&amp;AD37)+COUNTIF(ResultsInd[Draw2],AC31&amp;"-"&amp;AD37))</f>
        <v/>
      </c>
      <c r="AR37" s="307" t="str">
        <f>IF(OR(AC31="",AD37=""),"",COUNTIF(ResultsInd[Lose],AC31&amp;"-"&amp;AD37))</f>
        <v/>
      </c>
      <c r="AS37" s="307" t="str">
        <f>IF(OR(AC31="",AD37=""),"",SUMIFS(ResultsInd[Goal-A],ResultsInd[Category],AC31,ResultsInd[Stage],"Groups",ResultsInd[Player A],AD37)+SUMIFS(ResultsInd[Goal-B],ResultsInd[Category],AC31,ResultsInd[Stage],"Groups",ResultsInd[Player B],AD37))</f>
        <v/>
      </c>
      <c r="AT37" s="307" t="str">
        <f>IF(OR(AC31="",AD37=""),"",SUMIFS(ResultsInd[Goal-B],ResultsInd[Category],AC31,ResultsInd[Stage],"Groups",ResultsInd[Player A],AD37)+SUMIFS(ResultsInd[Goal-A],ResultsInd[Category],AC31,ResultsInd[Stage],"Groups",ResultsInd[Player B],AD37))</f>
        <v/>
      </c>
      <c r="AU37" s="308" t="str">
        <f t="shared" si="24"/>
        <v/>
      </c>
      <c r="AV37" s="469" t="str">
        <f>IF(AG37="","",OR(VLOOKUP(AG37,AH32:AU38,3,FALSE),VLOOKUP(AG37,AH32:AU38,6,FALSE)))</f>
        <v/>
      </c>
      <c r="AW37" s="298" t="str">
        <f t="shared" si="22"/>
        <v/>
      </c>
      <c r="AX37" s="285" t="str">
        <f>IF(AG37="","",INDEX(AD32:AD38,MATCH(AG37,AH32:AH38,0)))</f>
        <v/>
      </c>
      <c r="AY37" s="286" t="str">
        <f>IF(AG37="","",VLOOKUP(AG37,AH32:AU38,COLUMN()-COLUMN(AR31),FALSE))</f>
        <v/>
      </c>
      <c r="AZ37" s="286" t="str">
        <f>IF(AG37="","",VLOOKUP(AG37,AH32:AU38,COLUMN()-COLUMN(AR31),FALSE))</f>
        <v/>
      </c>
      <c r="BA37" s="286" t="str">
        <f>IF(AG37="","",VLOOKUP(AG37,AH32:AU38,COLUMN()-COLUMN(AR31),FALSE))</f>
        <v/>
      </c>
      <c r="BB37" s="286" t="str">
        <f>IF(AG37="","",VLOOKUP(AG37,AH32:AU38,COLUMN()-COLUMN(AR31),FALSE))</f>
        <v/>
      </c>
      <c r="BC37" s="286" t="str">
        <f>IF(AG37="","",VLOOKUP(AG37,AH32:AU38,COLUMN()-COLUMN(AR31),FALSE))</f>
        <v/>
      </c>
      <c r="BD37" s="286" t="str">
        <f>IF(AG37="","",VLOOKUP(AG37,AH32:AU38,COLUMN()-COLUMN(AR31),FALSE))</f>
        <v/>
      </c>
      <c r="BE37" s="286" t="str">
        <f>IF(AG37="","",VLOOKUP(AG37,AH32:AU38,COLUMN()-COLUMN(AR31),FALSE))</f>
        <v/>
      </c>
      <c r="BF37" s="301" t="str">
        <f>IF(AG37="","",VLOOKUP(AG37,AH32:AU38,COLUMN()-COLUMN(AR31),FALSE))</f>
        <v/>
      </c>
    </row>
    <row r="38" spans="1:58" ht="12" thickBot="1" x14ac:dyDescent="0.25">
      <c r="A38" s="249" t="s">
        <v>890</v>
      </c>
      <c r="B38" s="249" t="s">
        <v>12207</v>
      </c>
      <c r="C38" s="249">
        <v>3</v>
      </c>
      <c r="D38" s="249"/>
      <c r="E38" s="344" t="s">
        <v>8699</v>
      </c>
      <c r="F38" s="344" t="s">
        <v>13</v>
      </c>
      <c r="G38" s="254">
        <v>1</v>
      </c>
      <c r="H38" s="254">
        <v>8</v>
      </c>
      <c r="I38" s="339"/>
      <c r="J38" s="114"/>
      <c r="K38" s="114"/>
      <c r="L38" s="247"/>
      <c r="M38" s="265" t="b">
        <f>NOT(ISERROR(ResultsInd[[#This Row],[Goal-A]]+ResultsInd[[#This Row],[Goal-B]]))</f>
        <v>1</v>
      </c>
      <c r="N38" s="265">
        <f>VALUE(ResultsInd[[#This Row],[Score-A]])</f>
        <v>1</v>
      </c>
      <c r="O38" s="265">
        <f>VALUE(ResultsInd[[#This Row],[Score-B]])</f>
        <v>8</v>
      </c>
      <c r="P38" s="265">
        <f ca="1">IF(AND(ResultsInd[[#This Row],[Category]]&lt;&gt;"",ResultsInd[[#This Row],[Player A]]&lt;&gt;""),COUNTIF(INDIRECT(ResultsInd[[#This Row],[Category]]&amp;"List[Retained Player Name]"),ResultsInd[[#This Row],[Player A]]),"")</f>
        <v>1</v>
      </c>
      <c r="Q38" s="265">
        <f ca="1">IF(AND(ResultsInd[[#This Row],[Category]]&lt;&gt;"",ResultsInd[[#This Row],[Player B]]&lt;&gt;""),COUNTIF(INDIRECT(ResultsInd[[#This Row],[Category]]&amp;"List[Retained Player Name]"),ResultsInd[[#This Row],[Player B]]),"")</f>
        <v>1</v>
      </c>
      <c r="R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OPEN-Saverio Bari</v>
      </c>
      <c r="S38" s="265" t="str">
        <f>IF(ResultsInd[[#This Row],[Score_OK]],IF(ResultsInd[[#This Row],[Stage]]="Groups",ResultsInd[[#This Row],[Category]]&amp;"-"&amp;IF(ResultsInd[[#This Row],[Player B]]="","",IF(ResultsInd[[#This Row],[Score-A]]=ResultsInd[[#This Row],[Score-B]],ResultsInd[[#This Row],[Player A]],"")),""),"")</f>
        <v>OPEN-</v>
      </c>
      <c r="T38" s="265" t="str">
        <f>IF(ResultsInd[[#This Row],[Score_OK]],IF(ResultsInd[[#This Row],[Stage]]="Groups",ResultsInd[[#This Row],[Category]]&amp;"-"&amp;IF(ResultsInd[[#This Row],[Player B]]="","",IF(ResultsInd[[#This Row],[Score-A]]=ResultsInd[[#This Row],[Score-B]],ResultsInd[[#This Row],[Player B]],"")),""),"")</f>
        <v>OPEN-</v>
      </c>
      <c r="U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Zaki</v>
      </c>
      <c r="V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OPEN-David Zaki</v>
      </c>
      <c r="X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OPEN-David Zaki</v>
      </c>
      <c r="Y38" s="264" t="str">
        <f>IF(ResultsInd[[#This Row],[Category]]="","",VLOOKUP(ResultsInd[[#This Row],[Stage]],$P$1:$V$9,MATCH(ResultsInd[[#This Row],[Category]],$Q$1:$V$1,0)+1,FALSE))</f>
        <v>PR1</v>
      </c>
      <c r="Z38" s="264" t="str">
        <f>IF(ResultsInd[[#This Row],[Score_OK]],IF(ResultsInd[[#This Row],[Level]]="R",ResultsInd[[#This Row],[Category]]&amp;"-"&amp;IF(ResultsInd[[#This Row],[LoseInKO]]=ResultsInd[[#This Row],[Category]]&amp;"-"&amp;ResultsInd[[#This Row],[Player A]],ResultsInd[[#This Row],[Player B]],ResultsInd[[#This Row],[Player A]]),""),"")</f>
        <v/>
      </c>
      <c r="AB38" s="8"/>
      <c r="AC38" s="12" t="str">
        <f t="shared" si="23"/>
        <v>OPEN</v>
      </c>
      <c r="AD38" s="312"/>
      <c r="AE38" s="313"/>
      <c r="AF38" s="314"/>
      <c r="AG38" s="294" t="str">
        <f>IF(AP38="","",SMALL(AH32:AH38,ROWS(AG32:AG38)))</f>
        <v/>
      </c>
      <c r="AH38" s="295" t="str">
        <f>IF(AP38="","",RANK(AL38,AL32:AL38)*1000+ROWS(AH32:AH38))</f>
        <v/>
      </c>
      <c r="AI38" s="318" t="str">
        <f t="shared" si="17"/>
        <v/>
      </c>
      <c r="AJ38" s="416" t="b">
        <f>AND(AO38&lt;&gt;"",AO38&gt;0,COUNTIF(AI32:AI38,AI38)&gt;1)</f>
        <v>0</v>
      </c>
      <c r="AK38" s="318" t="str">
        <f t="shared" si="18"/>
        <v/>
      </c>
      <c r="AL38" s="319" t="str">
        <f t="shared" si="19"/>
        <v/>
      </c>
      <c r="AM38" s="416" t="b">
        <f>AND(AO38&lt;&gt;"",AO38&gt;0,COUNTIF(AL32:AL38,AL38)&gt;1)</f>
        <v>0</v>
      </c>
      <c r="AN38" s="306" t="str">
        <f t="shared" si="20"/>
        <v/>
      </c>
      <c r="AO38" s="307" t="str">
        <f t="shared" si="21"/>
        <v/>
      </c>
      <c r="AP38" s="307" t="str">
        <f>IF(OR(AC31="",AD38=""),"",COUNTIF(ResultsInd[Win],AC31&amp;"-"&amp;AD38))</f>
        <v/>
      </c>
      <c r="AQ38" s="307" t="str">
        <f>IF(OR(AC31="",AD38=""),"",COUNTIF(ResultsInd[Draw1],AC31&amp;"-"&amp;AD38)+COUNTIF(ResultsInd[Draw2],AC31&amp;"-"&amp;AD38))</f>
        <v/>
      </c>
      <c r="AR38" s="307" t="str">
        <f>IF(OR(AC31="",AD38=""),"",COUNTIF(ResultsInd[Lose],AC31&amp;"-"&amp;AD38))</f>
        <v/>
      </c>
      <c r="AS38" s="307" t="str">
        <f>IF(OR(AC31="",AD38=""),"",SUMIFS(ResultsInd[Goal-A],ResultsInd[Category],AC31,ResultsInd[Stage],"Groups",ResultsInd[Player A],AD38)+SUMIFS(ResultsInd[Goal-B],ResultsInd[Category],AC31,ResultsInd[Stage],"Groups",ResultsInd[Player B],AD38))</f>
        <v/>
      </c>
      <c r="AT38" s="307" t="str">
        <f>IF(OR(AC31="",AD38=""),"",SUMIFS(ResultsInd[Goal-B],ResultsInd[Category],AC31,ResultsInd[Stage],"Groups",ResultsInd[Player A],AD38)+SUMIFS(ResultsInd[Goal-A],ResultsInd[Category],AC31,ResultsInd[Stage],"Groups",ResultsInd[Player B],AD38))</f>
        <v/>
      </c>
      <c r="AU38" s="308" t="str">
        <f t="shared" si="24"/>
        <v/>
      </c>
      <c r="AV38" s="469" t="str">
        <f>IF(AG38="","",OR(VLOOKUP(AG38,AH32:AU38,3,FALSE),VLOOKUP(AG38,AH32:AU38,6,FALSE)))</f>
        <v/>
      </c>
      <c r="AW38" s="299" t="str">
        <f t="shared" si="22"/>
        <v/>
      </c>
      <c r="AX38" s="287" t="str">
        <f>IF(AG38="","",INDEX(AD32:AD38,MATCH(AG38,AH32:AH38,0)))</f>
        <v/>
      </c>
      <c r="AY38" s="288" t="str">
        <f>IF(AG38="","",VLOOKUP(AG38,AH32:AU38,COLUMN()-COLUMN(AR31),FALSE))</f>
        <v/>
      </c>
      <c r="AZ38" s="288" t="str">
        <f>IF(AG38="","",VLOOKUP(AG38,AH32:AU38,COLUMN()-COLUMN(AR31),FALSE))</f>
        <v/>
      </c>
      <c r="BA38" s="288" t="str">
        <f>IF(AG38="","",VLOOKUP(AG38,AH32:AU38,COLUMN()-COLUMN(AR31),FALSE))</f>
        <v/>
      </c>
      <c r="BB38" s="288" t="str">
        <f>IF(AG38="","",VLOOKUP(AG38,AH32:AU38,COLUMN()-COLUMN(AR31),FALSE))</f>
        <v/>
      </c>
      <c r="BC38" s="288" t="str">
        <f>IF(AG38="","",VLOOKUP(AG38,AH32:AU38,COLUMN()-COLUMN(AR31),FALSE))</f>
        <v/>
      </c>
      <c r="BD38" s="288" t="str">
        <f>IF(AG38="","",VLOOKUP(AG38,AH32:AU38,COLUMN()-COLUMN(AR31),FALSE))</f>
        <v/>
      </c>
      <c r="BE38" s="288" t="str">
        <f>IF(AG38="","",VLOOKUP(AG38,AH32:AU38,COLUMN()-COLUMN(AR31),FALSE))</f>
        <v/>
      </c>
      <c r="BF38" s="302" t="str">
        <f>IF(AG38="","",VLOOKUP(AG38,AH32:AU38,COLUMN()-COLUMN(AR31),FALSE))</f>
        <v/>
      </c>
    </row>
    <row r="39" spans="1:58" ht="13.5" thickBot="1" x14ac:dyDescent="0.25">
      <c r="A39" s="249" t="s">
        <v>890</v>
      </c>
      <c r="B39" s="249" t="s">
        <v>12207</v>
      </c>
      <c r="C39" s="249">
        <v>3</v>
      </c>
      <c r="D39" s="249"/>
      <c r="E39" s="344" t="s">
        <v>8513</v>
      </c>
      <c r="F39" s="344" t="s">
        <v>8164</v>
      </c>
      <c r="G39" s="254">
        <v>0</v>
      </c>
      <c r="H39" s="254">
        <v>5</v>
      </c>
      <c r="I39" s="339"/>
      <c r="J39" s="114"/>
      <c r="K39" s="114"/>
      <c r="L39" s="247"/>
      <c r="M39" s="265" t="b">
        <f>NOT(ISERROR(ResultsInd[[#This Row],[Goal-A]]+ResultsInd[[#This Row],[Goal-B]]))</f>
        <v>1</v>
      </c>
      <c r="N39" s="265">
        <f>VALUE(ResultsInd[[#This Row],[Score-A]])</f>
        <v>0</v>
      </c>
      <c r="O39" s="265">
        <f>VALUE(ResultsInd[[#This Row],[Score-B]])</f>
        <v>5</v>
      </c>
      <c r="P39" s="265">
        <f ca="1">IF(AND(ResultsInd[[#This Row],[Category]]&lt;&gt;"",ResultsInd[[#This Row],[Player A]]&lt;&gt;""),COUNTIF(INDIRECT(ResultsInd[[#This Row],[Category]]&amp;"List[Retained Player Name]"),ResultsInd[[#This Row],[Player A]]),"")</f>
        <v>1</v>
      </c>
      <c r="Q39" s="265">
        <f ca="1">IF(AND(ResultsInd[[#This Row],[Category]]&lt;&gt;"",ResultsInd[[#This Row],[Player B]]&lt;&gt;""),COUNTIF(INDIRECT(ResultsInd[[#This Row],[Category]]&amp;"List[Retained Player Name]"),ResultsInd[[#This Row],[Player B]]),"")</f>
        <v>1</v>
      </c>
      <c r="R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OPEN-Bruno Timpano</v>
      </c>
      <c r="S39" s="265" t="str">
        <f>IF(ResultsInd[[#This Row],[Score_OK]],IF(ResultsInd[[#This Row],[Stage]]="Groups",ResultsInd[[#This Row],[Category]]&amp;"-"&amp;IF(ResultsInd[[#This Row],[Player B]]="","",IF(ResultsInd[[#This Row],[Score-A]]=ResultsInd[[#This Row],[Score-B]],ResultsInd[[#This Row],[Player A]],"")),""),"")</f>
        <v>OPEN-</v>
      </c>
      <c r="T39" s="265" t="str">
        <f>IF(ResultsInd[[#This Row],[Score_OK]],IF(ResultsInd[[#This Row],[Stage]]="Groups",ResultsInd[[#This Row],[Category]]&amp;"-"&amp;IF(ResultsInd[[#This Row],[Player B]]="","",IF(ResultsInd[[#This Row],[Score-A]]=ResultsInd[[#This Row],[Score-B]],ResultsInd[[#This Row],[Player B]],"")),""),"")</f>
        <v>OPEN-</v>
      </c>
      <c r="U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OPEN-Kye Arnold</v>
      </c>
      <c r="V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OPEN-Kye Arnold</v>
      </c>
      <c r="X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OPEN-Kye Arnold</v>
      </c>
      <c r="Y39" s="264" t="str">
        <f>IF(ResultsInd[[#This Row],[Category]]="","",VLOOKUP(ResultsInd[[#This Row],[Stage]],$P$1:$V$9,MATCH(ResultsInd[[#This Row],[Category]],$Q$1:$V$1,0)+1,FALSE))</f>
        <v>PR1</v>
      </c>
      <c r="Z39" s="264" t="str">
        <f>IF(ResultsInd[[#This Row],[Score_OK]],IF(ResultsInd[[#This Row],[Level]]="R",ResultsInd[[#This Row],[Category]]&amp;"-"&amp;IF(ResultsInd[[#This Row],[LoseInKO]]=ResultsInd[[#This Row],[Category]]&amp;"-"&amp;ResultsInd[[#This Row],[Player A]],ResultsInd[[#This Row],[Player B]],ResultsInd[[#This Row],[Player A]]),""),"")</f>
        <v/>
      </c>
      <c r="AB39" s="8"/>
      <c r="AC39" s="8"/>
      <c r="AF39" s="170"/>
      <c r="AG39" s="101"/>
      <c r="AH39" s="101"/>
      <c r="AN39" s="170"/>
      <c r="AO39" s="170"/>
      <c r="AP39" s="170"/>
      <c r="AQ39" s="172"/>
      <c r="AR39" s="173"/>
      <c r="AS39" s="173"/>
      <c r="AT39" s="173"/>
      <c r="AU39" s="101"/>
      <c r="AV39" s="101"/>
      <c r="AW39" s="101"/>
      <c r="AX39" s="101"/>
      <c r="AY39" s="101"/>
      <c r="AZ39" s="101"/>
    </row>
    <row r="40" spans="1:58" ht="12" thickBot="1" x14ac:dyDescent="0.25">
      <c r="A40" s="249" t="s">
        <v>890</v>
      </c>
      <c r="B40" s="249" t="s">
        <v>12207</v>
      </c>
      <c r="C40" s="249">
        <v>4</v>
      </c>
      <c r="D40" s="249"/>
      <c r="E40" s="344" t="s">
        <v>10426</v>
      </c>
      <c r="F40" s="344" t="s">
        <v>8202</v>
      </c>
      <c r="G40" s="254">
        <v>7</v>
      </c>
      <c r="H40" s="254">
        <v>0</v>
      </c>
      <c r="I40" s="339"/>
      <c r="J40" s="114"/>
      <c r="K40" s="114"/>
      <c r="L40" s="247"/>
      <c r="M40" s="265" t="b">
        <f>NOT(ISERROR(ResultsInd[[#This Row],[Goal-A]]+ResultsInd[[#This Row],[Goal-B]]))</f>
        <v>1</v>
      </c>
      <c r="N40" s="265">
        <f>VALUE(ResultsInd[[#This Row],[Score-A]])</f>
        <v>7</v>
      </c>
      <c r="O40" s="265">
        <f>VALUE(ResultsInd[[#This Row],[Score-B]])</f>
        <v>0</v>
      </c>
      <c r="P40" s="265">
        <f ca="1">IF(AND(ResultsInd[[#This Row],[Category]]&lt;&gt;"",ResultsInd[[#This Row],[Player A]]&lt;&gt;""),COUNTIF(INDIRECT(ResultsInd[[#This Row],[Category]]&amp;"List[Retained Player Name]"),ResultsInd[[#This Row],[Player A]]),"")</f>
        <v>1</v>
      </c>
      <c r="Q40" s="265">
        <f ca="1">IF(AND(ResultsInd[[#This Row],[Category]]&lt;&gt;"",ResultsInd[[#This Row],[Player B]]&lt;&gt;""),COUNTIF(INDIRECT(ResultsInd[[#This Row],[Category]]&amp;"List[Retained Player Name]"),ResultsInd[[#This Row],[Player B]]),"")</f>
        <v>1</v>
      </c>
      <c r="R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Gauci</v>
      </c>
      <c r="S40" s="265" t="str">
        <f>IF(ResultsInd[[#This Row],[Score_OK]],IF(ResultsInd[[#This Row],[Stage]]="Groups",ResultsInd[[#This Row],[Category]]&amp;"-"&amp;IF(ResultsInd[[#This Row],[Player B]]="","",IF(ResultsInd[[#This Row],[Score-A]]=ResultsInd[[#This Row],[Score-B]],ResultsInd[[#This Row],[Player A]],"")),""),"")</f>
        <v>OPEN-</v>
      </c>
      <c r="T40" s="265" t="str">
        <f>IF(ResultsInd[[#This Row],[Score_OK]],IF(ResultsInd[[#This Row],[Stage]]="Groups",ResultsInd[[#This Row],[Category]]&amp;"-"&amp;IF(ResultsInd[[#This Row],[Player B]]="","",IF(ResultsInd[[#This Row],[Score-A]]=ResultsInd[[#This Row],[Score-B]],ResultsInd[[#This Row],[Player B]],"")),""),"")</f>
        <v>OPEN-</v>
      </c>
      <c r="U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Outers</v>
      </c>
      <c r="V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Outers</v>
      </c>
      <c r="X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Outers</v>
      </c>
      <c r="Y40" s="264" t="str">
        <f>IF(ResultsInd[[#This Row],[Category]]="","",VLOOKUP(ResultsInd[[#This Row],[Stage]],$P$1:$V$9,MATCH(ResultsInd[[#This Row],[Category]],$Q$1:$V$1,0)+1,FALSE))</f>
        <v>PR1</v>
      </c>
      <c r="Z40" s="264" t="str">
        <f>IF(ResultsInd[[#This Row],[Score_OK]],IF(ResultsInd[[#This Row],[Level]]="R",ResultsInd[[#This Row],[Category]]&amp;"-"&amp;IF(ResultsInd[[#This Row],[LoseInKO]]=ResultsInd[[#This Row],[Category]]&amp;"-"&amp;ResultsInd[[#This Row],[Player A]],ResultsInd[[#This Row],[Player B]],ResultsInd[[#This Row],[Player A]]),""),"")</f>
        <v/>
      </c>
      <c r="AB40" s="281">
        <v>3</v>
      </c>
      <c r="AC40" s="315" t="s">
        <v>890</v>
      </c>
      <c r="AD40" s="289" t="s">
        <v>14439</v>
      </c>
      <c r="AE40" s="290" t="s">
        <v>12279</v>
      </c>
      <c r="AF40" s="284" t="s">
        <v>12275</v>
      </c>
      <c r="AG40" s="296" t="s">
        <v>12276</v>
      </c>
      <c r="AH40" s="291" t="s">
        <v>12271</v>
      </c>
      <c r="AI40" s="291" t="s">
        <v>12272</v>
      </c>
      <c r="AJ40" s="414" t="s">
        <v>13154</v>
      </c>
      <c r="AK40" s="291" t="s">
        <v>12273</v>
      </c>
      <c r="AL40" s="297" t="s">
        <v>12274</v>
      </c>
      <c r="AM40" s="414" t="s">
        <v>13154</v>
      </c>
      <c r="AN40" s="303" t="s">
        <v>12199</v>
      </c>
      <c r="AO40" s="304" t="s">
        <v>12200</v>
      </c>
      <c r="AP40" s="304" t="s">
        <v>12201</v>
      </c>
      <c r="AQ40" s="304" t="s">
        <v>12202</v>
      </c>
      <c r="AR40" s="304" t="s">
        <v>12203</v>
      </c>
      <c r="AS40" s="304" t="s">
        <v>12204</v>
      </c>
      <c r="AT40" s="304" t="s">
        <v>12205</v>
      </c>
      <c r="AU40" s="305" t="s">
        <v>12206</v>
      </c>
      <c r="AV40" s="468"/>
      <c r="AW40" s="282" t="s">
        <v>12276</v>
      </c>
      <c r="AX40" s="282" t="s">
        <v>12280</v>
      </c>
      <c r="AY40" s="283" t="s">
        <v>12199</v>
      </c>
      <c r="AZ40" s="283" t="s">
        <v>12200</v>
      </c>
      <c r="BA40" s="283" t="s">
        <v>12201</v>
      </c>
      <c r="BB40" s="283" t="s">
        <v>12202</v>
      </c>
      <c r="BC40" s="283" t="s">
        <v>12203</v>
      </c>
      <c r="BD40" s="283" t="s">
        <v>12204</v>
      </c>
      <c r="BE40" s="283" t="s">
        <v>12205</v>
      </c>
      <c r="BF40" s="300" t="s">
        <v>12206</v>
      </c>
    </row>
    <row r="41" spans="1:58" ht="12" thickBot="1" x14ac:dyDescent="0.25">
      <c r="A41" s="249" t="s">
        <v>890</v>
      </c>
      <c r="B41" s="249" t="s">
        <v>12207</v>
      </c>
      <c r="C41" s="249">
        <v>4</v>
      </c>
      <c r="D41" s="249"/>
      <c r="E41" s="344" t="s">
        <v>13241</v>
      </c>
      <c r="F41" s="344" t="s">
        <v>10024</v>
      </c>
      <c r="G41" s="254">
        <v>1</v>
      </c>
      <c r="H41" s="254">
        <v>2</v>
      </c>
      <c r="I41" s="339"/>
      <c r="J41" s="114"/>
      <c r="K41" s="114"/>
      <c r="L41" s="247"/>
      <c r="M41" s="265" t="b">
        <f>NOT(ISERROR(ResultsInd[[#This Row],[Goal-A]]+ResultsInd[[#This Row],[Goal-B]]))</f>
        <v>1</v>
      </c>
      <c r="N41" s="265">
        <f>VALUE(ResultsInd[[#This Row],[Score-A]])</f>
        <v>1</v>
      </c>
      <c r="O41" s="265">
        <f>VALUE(ResultsInd[[#This Row],[Score-B]])</f>
        <v>2</v>
      </c>
      <c r="P41" s="265">
        <f ca="1">IF(AND(ResultsInd[[#This Row],[Category]]&lt;&gt;"",ResultsInd[[#This Row],[Player A]]&lt;&gt;""),COUNTIF(INDIRECT(ResultsInd[[#This Row],[Category]]&amp;"List[Retained Player Name]"),ResultsInd[[#This Row],[Player A]]),"")</f>
        <v>1</v>
      </c>
      <c r="Q41" s="265">
        <f ca="1">IF(AND(ResultsInd[[#This Row],[Category]]&lt;&gt;"",ResultsInd[[#This Row],[Player B]]&lt;&gt;""),COUNTIF(INDIRECT(ResultsInd[[#This Row],[Category]]&amp;"List[Retained Player Name]"),ResultsInd[[#This Row],[Player B]]),"")</f>
        <v>1</v>
      </c>
      <c r="R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OPEN-Christian Fricano</v>
      </c>
      <c r="S41" s="265" t="str">
        <f>IF(ResultsInd[[#This Row],[Score_OK]],IF(ResultsInd[[#This Row],[Stage]]="Groups",ResultsInd[[#This Row],[Category]]&amp;"-"&amp;IF(ResultsInd[[#This Row],[Player B]]="","",IF(ResultsInd[[#This Row],[Score-A]]=ResultsInd[[#This Row],[Score-B]],ResultsInd[[#This Row],[Player A]],"")),""),"")</f>
        <v>OPEN-</v>
      </c>
      <c r="T41" s="265" t="str">
        <f>IF(ResultsInd[[#This Row],[Score_OK]],IF(ResultsInd[[#This Row],[Stage]]="Groups",ResultsInd[[#This Row],[Category]]&amp;"-"&amp;IF(ResultsInd[[#This Row],[Player B]]="","",IF(ResultsInd[[#This Row],[Score-A]]=ResultsInd[[#This Row],[Score-B]],ResultsInd[[#This Row],[Player B]],"")),""),"")</f>
        <v>OPEN-</v>
      </c>
      <c r="U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OPEN-Miguel Pereira</v>
      </c>
      <c r="V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OPEN-Miguel Pereira</v>
      </c>
      <c r="X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OPEN-Miguel Pereira</v>
      </c>
      <c r="Y41" s="264" t="str">
        <f>IF(ResultsInd[[#This Row],[Category]]="","",VLOOKUP(ResultsInd[[#This Row],[Stage]],$P$1:$V$9,MATCH(ResultsInd[[#This Row],[Category]],$Q$1:$V$1,0)+1,FALSE))</f>
        <v>PR1</v>
      </c>
      <c r="Z41" s="264" t="str">
        <f>IF(ResultsInd[[#This Row],[Score_OK]],IF(ResultsInd[[#This Row],[Level]]="R",ResultsInd[[#This Row],[Category]]&amp;"-"&amp;IF(ResultsInd[[#This Row],[LoseInKO]]=ResultsInd[[#This Row],[Category]]&amp;"-"&amp;ResultsInd[[#This Row],[Player A]],ResultsInd[[#This Row],[Player B]],ResultsInd[[#This Row],[Player A]]),""),"")</f>
        <v/>
      </c>
      <c r="AB41" s="8"/>
      <c r="AC41" s="12" t="str">
        <f>IF(AC40="","",AC40)</f>
        <v>OPEN</v>
      </c>
      <c r="AD41" s="309" t="s">
        <v>13</v>
      </c>
      <c r="AE41" s="320"/>
      <c r="AF41" s="311"/>
      <c r="AG41" s="292">
        <f>IF(AP41="","",SMALL(AH41:AH47,ROWS(AG41:AG41)))</f>
        <v>1001</v>
      </c>
      <c r="AH41" s="293">
        <f>IF(AP41="","",RANK(AL41,AL41:AL47)*1000+ROWS(AH41:AH41))</f>
        <v>1001</v>
      </c>
      <c r="AI41" s="316">
        <f t="shared" ref="AI41:AI47" si="25">IF(AP41="","",CritClassInd1_Points*AN41+CritClassInd1_Matches*AP41+CritClassInd1_Attaque*AS41+CritClassInd1_DiffButs*AU41)</f>
        <v>9000000000000</v>
      </c>
      <c r="AJ41" s="415" t="b">
        <f>AND(AO41&lt;&gt;"",AO41&gt;0,COUNTIF(AI41:AI47,AI41)&gt;1)</f>
        <v>0</v>
      </c>
      <c r="AK41" s="316">
        <f t="shared" ref="AK41:AK47" si="26">IF(AP41="","",CritClassInd_ScorePart*AE41)</f>
        <v>0</v>
      </c>
      <c r="AL41" s="317">
        <f t="shared" ref="AL41:AL47" si="27">IF(AP41="","",AI41+AK41+CritClassInd2_Points*AN41+CritClassInd2_Matches*AP41+CritClassInd2_Attaque*AS41+CritClassInd2_DiffButs*AU41+AF41)</f>
        <v>9000000212500</v>
      </c>
      <c r="AM41" s="415" t="b">
        <f>AND(AO41&lt;&gt;"",AO41&gt;0,COUNTIF(AL41:AL47,AL41)&gt;1)</f>
        <v>0</v>
      </c>
      <c r="AN41" s="306">
        <f t="shared" ref="AN41:AN47" si="28">IF(AP41="","",(AP41*Points_Victoire)+AQ41*Points_Null)</f>
        <v>9</v>
      </c>
      <c r="AO41" s="307">
        <f t="shared" ref="AO41:AO47" si="29">IF(AP41="","",SUM(AP41:AR41))</f>
        <v>3</v>
      </c>
      <c r="AP41" s="307">
        <f>IF(OR(AC40="",AD41=""),"",COUNTIF(ResultsInd[Win],AC40&amp;"-"&amp;AD41))</f>
        <v>3</v>
      </c>
      <c r="AQ41" s="307">
        <f>IF(OR(AC40="",AD41=""),"",COUNTIF(ResultsInd[Draw1],AC40&amp;"-"&amp;AD41)+COUNTIF(ResultsInd[Draw2],AC40&amp;"-"&amp;AD41))</f>
        <v>0</v>
      </c>
      <c r="AR41" s="307">
        <f>IF(OR(AC40="",AD41=""),"",COUNTIF(ResultsInd[Lose],AC40&amp;"-"&amp;AD41))</f>
        <v>0</v>
      </c>
      <c r="AS41" s="307">
        <f>IF(OR(AC40="",AD41=""),"",SUMIFS(ResultsInd[Goal-A],ResultsInd[Category],AC40,ResultsInd[Stage],"Groups",ResultsInd[Player A],AD41)+SUMIFS(ResultsInd[Goal-B],ResultsInd[Category],AC40,ResultsInd[Stage],"Groups",ResultsInd[Player B],AD41))</f>
        <v>25</v>
      </c>
      <c r="AT41" s="307">
        <f>IF(OR(AC40="",AD41=""),"",SUMIFS(ResultsInd[Goal-B],ResultsInd[Category],AC40,ResultsInd[Stage],"Groups",ResultsInd[Player A],AD41)+SUMIFS(ResultsInd[Goal-A],ResultsInd[Category],AC40,ResultsInd[Stage],"Groups",ResultsInd[Player B],AD41))</f>
        <v>4</v>
      </c>
      <c r="AU41" s="308">
        <f>IF(AP41="","",AS41-AT41)</f>
        <v>21</v>
      </c>
      <c r="AV41" s="469" t="b">
        <f>IF(AG41="","",OR(VLOOKUP(AG41,AH41:AU47,3,FALSE),VLOOKUP(AG41,AH41:AU47,6,FALSE)))</f>
        <v>0</v>
      </c>
      <c r="AW41" s="298">
        <f t="shared" ref="AW41:AW47" si="30">IF(AG41="","",INT(AG41/1000))</f>
        <v>1</v>
      </c>
      <c r="AX41" s="285" t="str">
        <f>IF(AG41="","",INDEX(AD41:AD47,MATCH(AG41,AH41:AH47,0)))</f>
        <v>Saverio Bari</v>
      </c>
      <c r="AY41" s="286">
        <f>IF(AG41="","",VLOOKUP(AG41,AH41:AU47,COLUMN()-COLUMN(AR40),FALSE))</f>
        <v>9</v>
      </c>
      <c r="AZ41" s="286">
        <f>IF(AG41="","",VLOOKUP(AG41,AH41:AU47,COLUMN()-COLUMN(AR40),FALSE))</f>
        <v>3</v>
      </c>
      <c r="BA41" s="286">
        <f>IF(AG41="","",VLOOKUP(AG41,AH41:AU47,COLUMN()-COLUMN(AR40),FALSE))</f>
        <v>3</v>
      </c>
      <c r="BB41" s="286">
        <f>IF(AG41="","",VLOOKUP(AG41,AH41:AU47,COLUMN()-COLUMN(AR40),FALSE))</f>
        <v>0</v>
      </c>
      <c r="BC41" s="286">
        <f>IF(AG41="","",VLOOKUP(AG41,AH41:AU47,COLUMN()-COLUMN(AR40),FALSE))</f>
        <v>0</v>
      </c>
      <c r="BD41" s="286">
        <f>IF(AG41="","",VLOOKUP(AG41,AH41:AU47,COLUMN()-COLUMN(AR40),FALSE))</f>
        <v>25</v>
      </c>
      <c r="BE41" s="286">
        <f>IF(AG41="","",VLOOKUP(AG41,AH41:AU47,COLUMN()-COLUMN(AR40),FALSE))</f>
        <v>4</v>
      </c>
      <c r="BF41" s="301">
        <f>IF(AG41="","",VLOOKUP(AG41,AH41:AU47,COLUMN()-COLUMN(AR40),FALSE))</f>
        <v>21</v>
      </c>
    </row>
    <row r="42" spans="1:58" ht="12" thickBot="1" x14ac:dyDescent="0.25">
      <c r="A42" s="249" t="s">
        <v>890</v>
      </c>
      <c r="B42" s="249" t="s">
        <v>12207</v>
      </c>
      <c r="C42" s="249">
        <v>4</v>
      </c>
      <c r="D42" s="249"/>
      <c r="E42" s="344" t="s">
        <v>10426</v>
      </c>
      <c r="F42" s="344" t="s">
        <v>13241</v>
      </c>
      <c r="G42" s="254">
        <v>6</v>
      </c>
      <c r="H42" s="254">
        <v>0</v>
      </c>
      <c r="I42" s="339"/>
      <c r="J42" s="114"/>
      <c r="K42" s="114"/>
      <c r="L42" s="247"/>
      <c r="M42" s="265" t="b">
        <f>NOT(ISERROR(ResultsInd[[#This Row],[Goal-A]]+ResultsInd[[#This Row],[Goal-B]]))</f>
        <v>1</v>
      </c>
      <c r="N42" s="265">
        <f>VALUE(ResultsInd[[#This Row],[Score-A]])</f>
        <v>6</v>
      </c>
      <c r="O42" s="265">
        <f>VALUE(ResultsInd[[#This Row],[Score-B]])</f>
        <v>0</v>
      </c>
      <c r="P42" s="265">
        <f ca="1">IF(AND(ResultsInd[[#This Row],[Category]]&lt;&gt;"",ResultsInd[[#This Row],[Player A]]&lt;&gt;""),COUNTIF(INDIRECT(ResultsInd[[#This Row],[Category]]&amp;"List[Retained Player Name]"),ResultsInd[[#This Row],[Player A]]),"")</f>
        <v>1</v>
      </c>
      <c r="Q42" s="265">
        <f ca="1">IF(AND(ResultsInd[[#This Row],[Category]]&lt;&gt;"",ResultsInd[[#This Row],[Player B]]&lt;&gt;""),COUNTIF(INDIRECT(ResultsInd[[#This Row],[Category]]&amp;"List[Retained Player Name]"),ResultsInd[[#This Row],[Player B]]),"")</f>
        <v>1</v>
      </c>
      <c r="R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Gauci</v>
      </c>
      <c r="S42" s="265" t="str">
        <f>IF(ResultsInd[[#This Row],[Score_OK]],IF(ResultsInd[[#This Row],[Stage]]="Groups",ResultsInd[[#This Row],[Category]]&amp;"-"&amp;IF(ResultsInd[[#This Row],[Player B]]="","",IF(ResultsInd[[#This Row],[Score-A]]=ResultsInd[[#This Row],[Score-B]],ResultsInd[[#This Row],[Player A]],"")),""),"")</f>
        <v>OPEN-</v>
      </c>
      <c r="T42" s="265" t="str">
        <f>IF(ResultsInd[[#This Row],[Score_OK]],IF(ResultsInd[[#This Row],[Stage]]="Groups",ResultsInd[[#This Row],[Category]]&amp;"-"&amp;IF(ResultsInd[[#This Row],[Player B]]="","",IF(ResultsInd[[#This Row],[Score-A]]=ResultsInd[[#This Row],[Score-B]],ResultsInd[[#This Row],[Player B]],"")),""),"")</f>
        <v>OPEN-</v>
      </c>
      <c r="U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OPEN-Miguel Pereira</v>
      </c>
      <c r="V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OPEN-Miguel Pereira</v>
      </c>
      <c r="X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OPEN-Miguel Pereira</v>
      </c>
      <c r="Y42" s="264" t="str">
        <f>IF(ResultsInd[[#This Row],[Category]]="","",VLOOKUP(ResultsInd[[#This Row],[Stage]],$P$1:$V$9,MATCH(ResultsInd[[#This Row],[Category]],$Q$1:$V$1,0)+1,FALSE))</f>
        <v>PR1</v>
      </c>
      <c r="Z42" s="264" t="str">
        <f>IF(ResultsInd[[#This Row],[Score_OK]],IF(ResultsInd[[#This Row],[Level]]="R",ResultsInd[[#This Row],[Category]]&amp;"-"&amp;IF(ResultsInd[[#This Row],[LoseInKO]]=ResultsInd[[#This Row],[Category]]&amp;"-"&amp;ResultsInd[[#This Row],[Player A]],ResultsInd[[#This Row],[Player B]],ResultsInd[[#This Row],[Player A]]),""),"")</f>
        <v/>
      </c>
      <c r="AB42" s="8"/>
      <c r="AC42" s="12" t="str">
        <f t="shared" ref="AC42:AC47" si="31">IF(AC41="","",AC41)</f>
        <v>OPEN</v>
      </c>
      <c r="AD42" s="309" t="s">
        <v>8513</v>
      </c>
      <c r="AE42" s="320"/>
      <c r="AF42" s="311"/>
      <c r="AG42" s="292">
        <f>IF(AP42="","",SMALL(AH41:AH47,ROWS(AG41:AG42)))</f>
        <v>2003</v>
      </c>
      <c r="AH42" s="293">
        <f>IF(AP42="","",RANK(AL42,AL41:AL47)*1000+ROWS(AH41:AH42))</f>
        <v>4002</v>
      </c>
      <c r="AI42" s="316">
        <f t="shared" si="25"/>
        <v>0</v>
      </c>
      <c r="AJ42" s="415" t="b">
        <f>AND(AO42&lt;&gt;"",AO42&gt;0,COUNTIF(AI41:AI47,AI42)&gt;1)</f>
        <v>0</v>
      </c>
      <c r="AK42" s="316">
        <f t="shared" si="26"/>
        <v>0</v>
      </c>
      <c r="AL42" s="317">
        <f t="shared" si="27"/>
        <v>-159800</v>
      </c>
      <c r="AM42" s="415" t="b">
        <f>AND(AO42&lt;&gt;"",AO42&gt;0,COUNTIF(AL41:AL47,AL42)&gt;1)</f>
        <v>0</v>
      </c>
      <c r="AN42" s="306">
        <f t="shared" si="28"/>
        <v>0</v>
      </c>
      <c r="AO42" s="307">
        <f t="shared" si="29"/>
        <v>3</v>
      </c>
      <c r="AP42" s="307">
        <f>IF(OR(AC40="",AD42=""),"",COUNTIF(ResultsInd[Win],AC40&amp;"-"&amp;AD42))</f>
        <v>0</v>
      </c>
      <c r="AQ42" s="307">
        <f>IF(OR(AC40="",AD42=""),"",COUNTIF(ResultsInd[Draw1],AC40&amp;"-"&amp;AD42)+COUNTIF(ResultsInd[Draw2],AC40&amp;"-"&amp;AD42))</f>
        <v>0</v>
      </c>
      <c r="AR42" s="307">
        <f>IF(OR(AC40="",AD42=""),"",COUNTIF(ResultsInd[Lose],AC40&amp;"-"&amp;AD42))</f>
        <v>3</v>
      </c>
      <c r="AS42" s="307">
        <f>IF(OR(AC40="",AD42=""),"",SUMIFS(ResultsInd[Goal-A],ResultsInd[Category],AC40,ResultsInd[Stage],"Groups",ResultsInd[Player A],AD42)+SUMIFS(ResultsInd[Goal-B],ResultsInd[Category],AC40,ResultsInd[Stage],"Groups",ResultsInd[Player B],AD42))</f>
        <v>2</v>
      </c>
      <c r="AT42" s="307">
        <f>IF(OR(AC40="",AD42=""),"",SUMIFS(ResultsInd[Goal-B],ResultsInd[Category],AC40,ResultsInd[Stage],"Groups",ResultsInd[Player A],AD42)+SUMIFS(ResultsInd[Goal-A],ResultsInd[Category],AC40,ResultsInd[Stage],"Groups",ResultsInd[Player B],AD42))</f>
        <v>18</v>
      </c>
      <c r="AU42" s="308">
        <f t="shared" ref="AU42:AU47" si="32">IF(AP42="","",AS42-AT42)</f>
        <v>-16</v>
      </c>
      <c r="AV42" s="469" t="b">
        <f>IF(AG42="","",OR(VLOOKUP(AG42,AH41:AU47,3,FALSE),VLOOKUP(AG42,AH41:AU47,6,FALSE)))</f>
        <v>0</v>
      </c>
      <c r="AW42" s="298">
        <f t="shared" si="30"/>
        <v>2</v>
      </c>
      <c r="AX42" s="285" t="str">
        <f>IF(AG42="","",INDEX(AD41:AD47,MATCH(AG42,AH41:AH47,0)))</f>
        <v>Bruno Timpano</v>
      </c>
      <c r="AY42" s="286">
        <f>IF(AG42="","",VLOOKUP(AG42,AH41:AU47,COLUMN()-COLUMN(AR40),FALSE))</f>
        <v>6</v>
      </c>
      <c r="AZ42" s="286">
        <f>IF(AG42="","",VLOOKUP(AG42,AH41:AU47,COLUMN()-COLUMN(AR40),FALSE))</f>
        <v>3</v>
      </c>
      <c r="BA42" s="286">
        <f>IF(AG42="","",VLOOKUP(AG42,AH41:AU47,COLUMN()-COLUMN(AR40),FALSE))</f>
        <v>2</v>
      </c>
      <c r="BB42" s="286">
        <f>IF(AG42="","",VLOOKUP(AG42,AH41:AU47,COLUMN()-COLUMN(AR40),FALSE))</f>
        <v>0</v>
      </c>
      <c r="BC42" s="286">
        <f>IF(AG42="","",VLOOKUP(AG42,AH41:AU47,COLUMN()-COLUMN(AR40),FALSE))</f>
        <v>1</v>
      </c>
      <c r="BD42" s="286">
        <f>IF(AG42="","",VLOOKUP(AG42,AH41:AU47,COLUMN()-COLUMN(AR40),FALSE))</f>
        <v>11</v>
      </c>
      <c r="BE42" s="286">
        <f>IF(AG42="","",VLOOKUP(AG42,AH41:AU47,COLUMN()-COLUMN(AR40),FALSE))</f>
        <v>8</v>
      </c>
      <c r="BF42" s="301">
        <f>IF(AG42="","",VLOOKUP(AG42,AH41:AU47,COLUMN()-COLUMN(AR40),FALSE))</f>
        <v>3</v>
      </c>
    </row>
    <row r="43" spans="1:58" ht="12" thickBot="1" x14ac:dyDescent="0.25">
      <c r="A43" s="249" t="s">
        <v>890</v>
      </c>
      <c r="B43" s="249" t="s">
        <v>12207</v>
      </c>
      <c r="C43" s="249">
        <v>4</v>
      </c>
      <c r="D43" s="249"/>
      <c r="E43" s="344" t="s">
        <v>8202</v>
      </c>
      <c r="F43" s="344" t="s">
        <v>10024</v>
      </c>
      <c r="G43" s="254">
        <v>1</v>
      </c>
      <c r="H43" s="254">
        <v>5</v>
      </c>
      <c r="I43" s="339"/>
      <c r="J43" s="114"/>
      <c r="K43" s="114"/>
      <c r="L43" s="247"/>
      <c r="M43" s="265" t="b">
        <f>NOT(ISERROR(ResultsInd[[#This Row],[Goal-A]]+ResultsInd[[#This Row],[Goal-B]]))</f>
        <v>1</v>
      </c>
      <c r="N43" s="265">
        <f>VALUE(ResultsInd[[#This Row],[Score-A]])</f>
        <v>1</v>
      </c>
      <c r="O43" s="265">
        <f>VALUE(ResultsInd[[#This Row],[Score-B]])</f>
        <v>5</v>
      </c>
      <c r="P43" s="265">
        <f ca="1">IF(AND(ResultsInd[[#This Row],[Category]]&lt;&gt;"",ResultsInd[[#This Row],[Player A]]&lt;&gt;""),COUNTIF(INDIRECT(ResultsInd[[#This Row],[Category]]&amp;"List[Retained Player Name]"),ResultsInd[[#This Row],[Player A]]),"")</f>
        <v>1</v>
      </c>
      <c r="Q43" s="265">
        <f ca="1">IF(AND(ResultsInd[[#This Row],[Category]]&lt;&gt;"",ResultsInd[[#This Row],[Player B]]&lt;&gt;""),COUNTIF(INDIRECT(ResultsInd[[#This Row],[Category]]&amp;"List[Retained Player Name]"),ResultsInd[[#This Row],[Player B]]),"")</f>
        <v>1</v>
      </c>
      <c r="R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OPEN-Christian Fricano</v>
      </c>
      <c r="S43" s="265" t="str">
        <f>IF(ResultsInd[[#This Row],[Score_OK]],IF(ResultsInd[[#This Row],[Stage]]="Groups",ResultsInd[[#This Row],[Category]]&amp;"-"&amp;IF(ResultsInd[[#This Row],[Player B]]="","",IF(ResultsInd[[#This Row],[Score-A]]=ResultsInd[[#This Row],[Score-B]],ResultsInd[[#This Row],[Player A]],"")),""),"")</f>
        <v>OPEN-</v>
      </c>
      <c r="T43" s="265" t="str">
        <f>IF(ResultsInd[[#This Row],[Score_OK]],IF(ResultsInd[[#This Row],[Stage]]="Groups",ResultsInd[[#This Row],[Category]]&amp;"-"&amp;IF(ResultsInd[[#This Row],[Player B]]="","",IF(ResultsInd[[#This Row],[Score-A]]=ResultsInd[[#This Row],[Score-B]],ResultsInd[[#This Row],[Player B]],"")),""),"")</f>
        <v>OPEN-</v>
      </c>
      <c r="U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Outers</v>
      </c>
      <c r="V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Outers</v>
      </c>
      <c r="X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Outers</v>
      </c>
      <c r="Y43" s="264" t="str">
        <f>IF(ResultsInd[[#This Row],[Category]]="","",VLOOKUP(ResultsInd[[#This Row],[Stage]],$P$1:$V$9,MATCH(ResultsInd[[#This Row],[Category]],$Q$1:$V$1,0)+1,FALSE))</f>
        <v>PR1</v>
      </c>
      <c r="Z43" s="264" t="str">
        <f>IF(ResultsInd[[#This Row],[Score_OK]],IF(ResultsInd[[#This Row],[Level]]="R",ResultsInd[[#This Row],[Category]]&amp;"-"&amp;IF(ResultsInd[[#This Row],[LoseInKO]]=ResultsInd[[#This Row],[Category]]&amp;"-"&amp;ResultsInd[[#This Row],[Player A]],ResultsInd[[#This Row],[Player B]],ResultsInd[[#This Row],[Player A]]),""),"")</f>
        <v/>
      </c>
      <c r="AB43" s="8"/>
      <c r="AC43" s="12" t="str">
        <f t="shared" si="31"/>
        <v>OPEN</v>
      </c>
      <c r="AD43" s="309" t="s">
        <v>8164</v>
      </c>
      <c r="AE43" s="320"/>
      <c r="AF43" s="311"/>
      <c r="AG43" s="292">
        <f>IF(AP43="","",SMALL(AH41:AH47,ROWS(AG41:AG43)))</f>
        <v>3004</v>
      </c>
      <c r="AH43" s="293">
        <f>IF(AP43="","",RANK(AL43,AL41:AL47)*1000+ROWS(AH41:AH43))</f>
        <v>2003</v>
      </c>
      <c r="AI43" s="316">
        <f t="shared" si="25"/>
        <v>6000000000000</v>
      </c>
      <c r="AJ43" s="415" t="b">
        <f>AND(AO43&lt;&gt;"",AO43&gt;0,COUNTIF(AI41:AI47,AI43)&gt;1)</f>
        <v>0</v>
      </c>
      <c r="AK43" s="316">
        <f t="shared" si="26"/>
        <v>0</v>
      </c>
      <c r="AL43" s="317">
        <f t="shared" si="27"/>
        <v>6000000031100</v>
      </c>
      <c r="AM43" s="415" t="b">
        <f>AND(AO43&lt;&gt;"",AO43&gt;0,COUNTIF(AL41:AL47,AL43)&gt;1)</f>
        <v>0</v>
      </c>
      <c r="AN43" s="306">
        <f t="shared" si="28"/>
        <v>6</v>
      </c>
      <c r="AO43" s="307">
        <f t="shared" si="29"/>
        <v>3</v>
      </c>
      <c r="AP43" s="307">
        <f>IF(OR(AC40="",AD43=""),"",COUNTIF(ResultsInd[Win],AC40&amp;"-"&amp;AD43))</f>
        <v>2</v>
      </c>
      <c r="AQ43" s="307">
        <f>IF(OR(AC40="",AD43=""),"",COUNTIF(ResultsInd[Draw1],AC40&amp;"-"&amp;AD43)+COUNTIF(ResultsInd[Draw2],AC40&amp;"-"&amp;AD43))</f>
        <v>0</v>
      </c>
      <c r="AR43" s="307">
        <f>IF(OR(AC40="",AD43=""),"",COUNTIF(ResultsInd[Lose],AC40&amp;"-"&amp;AD43))</f>
        <v>1</v>
      </c>
      <c r="AS43" s="307">
        <f>IF(OR(AC40="",AD43=""),"",SUMIFS(ResultsInd[Goal-A],ResultsInd[Category],AC40,ResultsInd[Stage],"Groups",ResultsInd[Player A],AD43)+SUMIFS(ResultsInd[Goal-B],ResultsInd[Category],AC40,ResultsInd[Stage],"Groups",ResultsInd[Player B],AD43))</f>
        <v>11</v>
      </c>
      <c r="AT43" s="307">
        <f>IF(OR(AC40="",AD43=""),"",SUMIFS(ResultsInd[Goal-B],ResultsInd[Category],AC40,ResultsInd[Stage],"Groups",ResultsInd[Player A],AD43)+SUMIFS(ResultsInd[Goal-A],ResultsInd[Category],AC40,ResultsInd[Stage],"Groups",ResultsInd[Player B],AD43))</f>
        <v>8</v>
      </c>
      <c r="AU43" s="308">
        <f t="shared" si="32"/>
        <v>3</v>
      </c>
      <c r="AV43" s="469" t="b">
        <f>IF(AG43="","",OR(VLOOKUP(AG43,AH41:AU47,3,FALSE),VLOOKUP(AG43,AH41:AU47,6,FALSE)))</f>
        <v>0</v>
      </c>
      <c r="AW43" s="298">
        <f t="shared" si="30"/>
        <v>3</v>
      </c>
      <c r="AX43" s="285" t="str">
        <f>IF(AG43="","",INDEX(AD41:AD47,MATCH(AG43,AH41:AH47,0)))</f>
        <v>David Zaki</v>
      </c>
      <c r="AY43" s="286">
        <f>IF(AG43="","",VLOOKUP(AG43,AH41:AU47,COLUMN()-COLUMN(AR40),FALSE))</f>
        <v>3</v>
      </c>
      <c r="AZ43" s="286">
        <f>IF(AG43="","",VLOOKUP(AG43,AH41:AU47,COLUMN()-COLUMN(AR40),FALSE))</f>
        <v>3</v>
      </c>
      <c r="BA43" s="286">
        <f>IF(AG43="","",VLOOKUP(AG43,AH41:AU47,COLUMN()-COLUMN(AR40),FALSE))</f>
        <v>1</v>
      </c>
      <c r="BB43" s="286">
        <f>IF(AG43="","",VLOOKUP(AG43,AH41:AU47,COLUMN()-COLUMN(AR40),FALSE))</f>
        <v>0</v>
      </c>
      <c r="BC43" s="286">
        <f>IF(AG43="","",VLOOKUP(AG43,AH41:AU47,COLUMN()-COLUMN(AR40),FALSE))</f>
        <v>2</v>
      </c>
      <c r="BD43" s="286">
        <f>IF(AG43="","",VLOOKUP(AG43,AH41:AU47,COLUMN()-COLUMN(AR40),FALSE))</f>
        <v>5</v>
      </c>
      <c r="BE43" s="286">
        <f>IF(AG43="","",VLOOKUP(AG43,AH41:AU47,COLUMN()-COLUMN(AR40),FALSE))</f>
        <v>13</v>
      </c>
      <c r="BF43" s="301">
        <f>IF(AG43="","",VLOOKUP(AG43,AH41:AU47,COLUMN()-COLUMN(AR40),FALSE))</f>
        <v>-8</v>
      </c>
    </row>
    <row r="44" spans="1:58" ht="12" thickBot="1" x14ac:dyDescent="0.25">
      <c r="A44" s="249" t="s">
        <v>890</v>
      </c>
      <c r="B44" s="249" t="s">
        <v>12207</v>
      </c>
      <c r="C44" s="249">
        <v>4</v>
      </c>
      <c r="D44" s="249"/>
      <c r="E44" s="344" t="s">
        <v>10024</v>
      </c>
      <c r="F44" s="344" t="s">
        <v>10426</v>
      </c>
      <c r="G44" s="254">
        <v>1</v>
      </c>
      <c r="H44" s="254">
        <v>6</v>
      </c>
      <c r="I44" s="339"/>
      <c r="J44" s="114"/>
      <c r="K44" s="114"/>
      <c r="L44" s="247"/>
      <c r="M44" s="265" t="b">
        <f>NOT(ISERROR(ResultsInd[[#This Row],[Goal-A]]+ResultsInd[[#This Row],[Goal-B]]))</f>
        <v>1</v>
      </c>
      <c r="N44" s="265">
        <f>VALUE(ResultsInd[[#This Row],[Score-A]])</f>
        <v>1</v>
      </c>
      <c r="O44" s="265">
        <f>VALUE(ResultsInd[[#This Row],[Score-B]])</f>
        <v>6</v>
      </c>
      <c r="P44" s="265">
        <f ca="1">IF(AND(ResultsInd[[#This Row],[Category]]&lt;&gt;"",ResultsInd[[#This Row],[Player A]]&lt;&gt;""),COUNTIF(INDIRECT(ResultsInd[[#This Row],[Category]]&amp;"List[Retained Player Name]"),ResultsInd[[#This Row],[Player A]]),"")</f>
        <v>1</v>
      </c>
      <c r="Q44" s="265">
        <f ca="1">IF(AND(ResultsInd[[#This Row],[Category]]&lt;&gt;"",ResultsInd[[#This Row],[Player B]]&lt;&gt;""),COUNTIF(INDIRECT(ResultsInd[[#This Row],[Category]]&amp;"List[Retained Player Name]"),ResultsInd[[#This Row],[Player B]]),"")</f>
        <v>1</v>
      </c>
      <c r="R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Gauci</v>
      </c>
      <c r="S44" s="265" t="str">
        <f>IF(ResultsInd[[#This Row],[Score_OK]],IF(ResultsInd[[#This Row],[Stage]]="Groups",ResultsInd[[#This Row],[Category]]&amp;"-"&amp;IF(ResultsInd[[#This Row],[Player B]]="","",IF(ResultsInd[[#This Row],[Score-A]]=ResultsInd[[#This Row],[Score-B]],ResultsInd[[#This Row],[Player A]],"")),""),"")</f>
        <v>OPEN-</v>
      </c>
      <c r="T44" s="265" t="str">
        <f>IF(ResultsInd[[#This Row],[Score_OK]],IF(ResultsInd[[#This Row],[Stage]]="Groups",ResultsInd[[#This Row],[Category]]&amp;"-"&amp;IF(ResultsInd[[#This Row],[Player B]]="","",IF(ResultsInd[[#This Row],[Score-A]]=ResultsInd[[#This Row],[Score-B]],ResultsInd[[#This Row],[Player B]],"")),""),"")</f>
        <v>OPEN-</v>
      </c>
      <c r="U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OPEN-Christian Fricano</v>
      </c>
      <c r="V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OPEN-Christian Fricano</v>
      </c>
      <c r="X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OPEN-Christian Fricano</v>
      </c>
      <c r="Y44" s="264" t="str">
        <f>IF(ResultsInd[[#This Row],[Category]]="","",VLOOKUP(ResultsInd[[#This Row],[Stage]],$P$1:$V$9,MATCH(ResultsInd[[#This Row],[Category]],$Q$1:$V$1,0)+1,FALSE))</f>
        <v>PR1</v>
      </c>
      <c r="Z44" s="264" t="str">
        <f>IF(ResultsInd[[#This Row],[Score_OK]],IF(ResultsInd[[#This Row],[Level]]="R",ResultsInd[[#This Row],[Category]]&amp;"-"&amp;IF(ResultsInd[[#This Row],[LoseInKO]]=ResultsInd[[#This Row],[Category]]&amp;"-"&amp;ResultsInd[[#This Row],[Player A]],ResultsInd[[#This Row],[Player B]],ResultsInd[[#This Row],[Player A]]),""),"")</f>
        <v/>
      </c>
      <c r="AB44" s="91"/>
      <c r="AC44" s="12" t="str">
        <f t="shared" si="31"/>
        <v>OPEN</v>
      </c>
      <c r="AD44" s="309" t="s">
        <v>8699</v>
      </c>
      <c r="AE44" s="310"/>
      <c r="AF44" s="311"/>
      <c r="AG44" s="292">
        <f>IF(AP44="","",SMALL(AH41:AH47,ROWS(AG41:AG44)))</f>
        <v>4002</v>
      </c>
      <c r="AH44" s="293">
        <f>IF(AP44="","",RANK(AL44,AL41:AL47)*1000+ROWS(AH41:AH44))</f>
        <v>3004</v>
      </c>
      <c r="AI44" s="316">
        <f t="shared" si="25"/>
        <v>3000000000000</v>
      </c>
      <c r="AJ44" s="415" t="b">
        <f>AND(AO44&lt;&gt;"",AO44&gt;0,COUNTIF(AI41:AI47,AI44)&gt;1)</f>
        <v>0</v>
      </c>
      <c r="AK44" s="316">
        <f t="shared" si="26"/>
        <v>0</v>
      </c>
      <c r="AL44" s="317">
        <f t="shared" si="27"/>
        <v>2999999920500</v>
      </c>
      <c r="AM44" s="415" t="b">
        <f>AND(AO44&lt;&gt;"",AO44&gt;0,COUNTIF(AL41:AL47,AL44)&gt;1)</f>
        <v>0</v>
      </c>
      <c r="AN44" s="306">
        <f t="shared" si="28"/>
        <v>3</v>
      </c>
      <c r="AO44" s="307">
        <f t="shared" si="29"/>
        <v>3</v>
      </c>
      <c r="AP44" s="307">
        <f>IF(OR(AC40="",AD44=""),"",COUNTIF(ResultsInd[Win],AC40&amp;"-"&amp;AD44))</f>
        <v>1</v>
      </c>
      <c r="AQ44" s="307">
        <f>IF(OR(AC40="",AD44=""),"",COUNTIF(ResultsInd[Draw1],AC40&amp;"-"&amp;AD44)+COUNTIF(ResultsInd[Draw2],AC40&amp;"-"&amp;AD44))</f>
        <v>0</v>
      </c>
      <c r="AR44" s="307">
        <f>IF(OR(AC40="",AD44=""),"",COUNTIF(ResultsInd[Lose],AC40&amp;"-"&amp;AD44))</f>
        <v>2</v>
      </c>
      <c r="AS44" s="307">
        <f>IF(OR(AC40="",AD44=""),"",SUMIFS(ResultsInd[Goal-A],ResultsInd[Category],AC40,ResultsInd[Stage],"Groups",ResultsInd[Player A],AD44)+SUMIFS(ResultsInd[Goal-B],ResultsInd[Category],AC40,ResultsInd[Stage],"Groups",ResultsInd[Player B],AD44))</f>
        <v>5</v>
      </c>
      <c r="AT44" s="307">
        <f>IF(OR(AC40="",AD44=""),"",SUMIFS(ResultsInd[Goal-B],ResultsInd[Category],AC40,ResultsInd[Stage],"Groups",ResultsInd[Player A],AD44)+SUMIFS(ResultsInd[Goal-A],ResultsInd[Category],AC40,ResultsInd[Stage],"Groups",ResultsInd[Player B],AD44))</f>
        <v>13</v>
      </c>
      <c r="AU44" s="308">
        <f t="shared" si="32"/>
        <v>-8</v>
      </c>
      <c r="AV44" s="469" t="b">
        <f>IF(AG44="","",OR(VLOOKUP(AG44,AH41:AU47,3,FALSE),VLOOKUP(AG44,AH41:AU47,6,FALSE)))</f>
        <v>0</v>
      </c>
      <c r="AW44" s="298">
        <f t="shared" si="30"/>
        <v>4</v>
      </c>
      <c r="AX44" s="285" t="str">
        <f>IF(AG44="","",INDEX(AD41:AD47,MATCH(AG44,AH41:AH47,0)))</f>
        <v>Kye Arnold</v>
      </c>
      <c r="AY44" s="286">
        <f>IF(AG44="","",VLOOKUP(AG44,AH41:AU47,COLUMN()-COLUMN(AR40),FALSE))</f>
        <v>0</v>
      </c>
      <c r="AZ44" s="286">
        <f>IF(AG44="","",VLOOKUP(AG44,AH41:AU47,COLUMN()-COLUMN(AR40),FALSE))</f>
        <v>3</v>
      </c>
      <c r="BA44" s="286">
        <f>IF(AG44="","",VLOOKUP(AG44,AH41:AU47,COLUMN()-COLUMN(AR40),FALSE))</f>
        <v>0</v>
      </c>
      <c r="BB44" s="286">
        <f>IF(AG44="","",VLOOKUP(AG44,AH41:AU47,COLUMN()-COLUMN(AR40),FALSE))</f>
        <v>0</v>
      </c>
      <c r="BC44" s="286">
        <f>IF(AG44="","",VLOOKUP(AG44,AH41:AU47,COLUMN()-COLUMN(AR40),FALSE))</f>
        <v>3</v>
      </c>
      <c r="BD44" s="286">
        <f>IF(AG44="","",VLOOKUP(AG44,AH41:AU47,COLUMN()-COLUMN(AR40),FALSE))</f>
        <v>2</v>
      </c>
      <c r="BE44" s="286">
        <f>IF(AG44="","",VLOOKUP(AG44,AH41:AU47,COLUMN()-COLUMN(AR40),FALSE))</f>
        <v>18</v>
      </c>
      <c r="BF44" s="301">
        <f>IF(AG44="","",VLOOKUP(AG44,AH41:AU47,COLUMN()-COLUMN(AR40),FALSE))</f>
        <v>-16</v>
      </c>
    </row>
    <row r="45" spans="1:58" ht="12" thickBot="1" x14ac:dyDescent="0.25">
      <c r="A45" s="249" t="s">
        <v>890</v>
      </c>
      <c r="B45" s="249" t="s">
        <v>12207</v>
      </c>
      <c r="C45" s="249">
        <v>4</v>
      </c>
      <c r="D45" s="249"/>
      <c r="E45" s="344" t="s">
        <v>8202</v>
      </c>
      <c r="F45" s="344" t="s">
        <v>13241</v>
      </c>
      <c r="G45" s="254">
        <v>0</v>
      </c>
      <c r="H45" s="254">
        <v>6</v>
      </c>
      <c r="I45" s="339"/>
      <c r="J45" s="114"/>
      <c r="K45" s="114"/>
      <c r="L45" s="247"/>
      <c r="M45" s="265" t="b">
        <f>NOT(ISERROR(ResultsInd[[#This Row],[Goal-A]]+ResultsInd[[#This Row],[Goal-B]]))</f>
        <v>1</v>
      </c>
      <c r="N45" s="265">
        <f>VALUE(ResultsInd[[#This Row],[Score-A]])</f>
        <v>0</v>
      </c>
      <c r="O45" s="265">
        <f>VALUE(ResultsInd[[#This Row],[Score-B]])</f>
        <v>6</v>
      </c>
      <c r="P45" s="265">
        <f ca="1">IF(AND(ResultsInd[[#This Row],[Category]]&lt;&gt;"",ResultsInd[[#This Row],[Player A]]&lt;&gt;""),COUNTIF(INDIRECT(ResultsInd[[#This Row],[Category]]&amp;"List[Retained Player Name]"),ResultsInd[[#This Row],[Player A]]),"")</f>
        <v>1</v>
      </c>
      <c r="Q45" s="265">
        <f ca="1">IF(AND(ResultsInd[[#This Row],[Category]]&lt;&gt;"",ResultsInd[[#This Row],[Player B]]&lt;&gt;""),COUNTIF(INDIRECT(ResultsInd[[#This Row],[Category]]&amp;"List[Retained Player Name]"),ResultsInd[[#This Row],[Player B]]),"")</f>
        <v>1</v>
      </c>
      <c r="R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OPEN-Miguel Pereira</v>
      </c>
      <c r="S45" s="265" t="str">
        <f>IF(ResultsInd[[#This Row],[Score_OK]],IF(ResultsInd[[#This Row],[Stage]]="Groups",ResultsInd[[#This Row],[Category]]&amp;"-"&amp;IF(ResultsInd[[#This Row],[Player B]]="","",IF(ResultsInd[[#This Row],[Score-A]]=ResultsInd[[#This Row],[Score-B]],ResultsInd[[#This Row],[Player A]],"")),""),"")</f>
        <v>OPEN-</v>
      </c>
      <c r="T45" s="265" t="str">
        <f>IF(ResultsInd[[#This Row],[Score_OK]],IF(ResultsInd[[#This Row],[Stage]]="Groups",ResultsInd[[#This Row],[Category]]&amp;"-"&amp;IF(ResultsInd[[#This Row],[Player B]]="","",IF(ResultsInd[[#This Row],[Score-A]]=ResultsInd[[#This Row],[Score-B]],ResultsInd[[#This Row],[Player B]],"")),""),"")</f>
        <v>OPEN-</v>
      </c>
      <c r="U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Outers</v>
      </c>
      <c r="V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Outers</v>
      </c>
      <c r="X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Outers</v>
      </c>
      <c r="Y45" s="264" t="str">
        <f>IF(ResultsInd[[#This Row],[Category]]="","",VLOOKUP(ResultsInd[[#This Row],[Stage]],$P$1:$V$9,MATCH(ResultsInd[[#This Row],[Category]],$Q$1:$V$1,0)+1,FALSE))</f>
        <v>PR1</v>
      </c>
      <c r="Z45" s="264" t="str">
        <f>IF(ResultsInd[[#This Row],[Score_OK]],IF(ResultsInd[[#This Row],[Level]]="R",ResultsInd[[#This Row],[Category]]&amp;"-"&amp;IF(ResultsInd[[#This Row],[LoseInKO]]=ResultsInd[[#This Row],[Category]]&amp;"-"&amp;ResultsInd[[#This Row],[Player A]],ResultsInd[[#This Row],[Player B]],ResultsInd[[#This Row],[Player A]]),""),"")</f>
        <v/>
      </c>
      <c r="AB45" s="91"/>
      <c r="AC45" s="12" t="str">
        <f t="shared" si="31"/>
        <v>OPEN</v>
      </c>
      <c r="AD45" s="309"/>
      <c r="AE45" s="310"/>
      <c r="AF45" s="311"/>
      <c r="AG45" s="292" t="str">
        <f>IF(AP45="","",SMALL(AH41:AH47,ROWS(AG41:AG45)))</f>
        <v/>
      </c>
      <c r="AH45" s="293" t="str">
        <f>IF(AP45="","",RANK(AL45,AL41:AL47)*1000+ROWS(AH41:AH45))</f>
        <v/>
      </c>
      <c r="AI45" s="316" t="str">
        <f t="shared" si="25"/>
        <v/>
      </c>
      <c r="AJ45" s="415" t="b">
        <f>AND(AO45&lt;&gt;"",AO45&gt;0,COUNTIF(AI41:AI47,AI45)&gt;1)</f>
        <v>0</v>
      </c>
      <c r="AK45" s="316" t="str">
        <f t="shared" si="26"/>
        <v/>
      </c>
      <c r="AL45" s="317" t="str">
        <f t="shared" si="27"/>
        <v/>
      </c>
      <c r="AM45" s="415" t="b">
        <f>AND(AO45&lt;&gt;"",AO45&gt;0,COUNTIF(AL41:AL47,AL45)&gt;1)</f>
        <v>0</v>
      </c>
      <c r="AN45" s="306" t="str">
        <f t="shared" si="28"/>
        <v/>
      </c>
      <c r="AO45" s="307" t="str">
        <f t="shared" si="29"/>
        <v/>
      </c>
      <c r="AP45" s="307" t="str">
        <f>IF(OR(AC40="",AD45=""),"",COUNTIF(ResultsInd[Win],AC40&amp;"-"&amp;AD45))</f>
        <v/>
      </c>
      <c r="AQ45" s="307" t="str">
        <f>IF(OR(AC40="",AD45=""),"",COUNTIF(ResultsInd[Draw1],AC40&amp;"-"&amp;AD45)+COUNTIF(ResultsInd[Draw2],AC40&amp;"-"&amp;AD45))</f>
        <v/>
      </c>
      <c r="AR45" s="307" t="str">
        <f>IF(OR(AC40="",AD45=""),"",COUNTIF(ResultsInd[Lose],AC40&amp;"-"&amp;AD45))</f>
        <v/>
      </c>
      <c r="AS45" s="307" t="str">
        <f>IF(OR(AC40="",AD45=""),"",SUMIFS(ResultsInd[Goal-A],ResultsInd[Category],AC40,ResultsInd[Stage],"Groups",ResultsInd[Player A],AD45)+SUMIFS(ResultsInd[Goal-B],ResultsInd[Category],AC40,ResultsInd[Stage],"Groups",ResultsInd[Player B],AD45))</f>
        <v/>
      </c>
      <c r="AT45" s="307" t="str">
        <f>IF(OR(AC40="",AD45=""),"",SUMIFS(ResultsInd[Goal-B],ResultsInd[Category],AC40,ResultsInd[Stage],"Groups",ResultsInd[Player A],AD45)+SUMIFS(ResultsInd[Goal-A],ResultsInd[Category],AC40,ResultsInd[Stage],"Groups",ResultsInd[Player B],AD45))</f>
        <v/>
      </c>
      <c r="AU45" s="308" t="str">
        <f t="shared" si="32"/>
        <v/>
      </c>
      <c r="AV45" s="469" t="str">
        <f>IF(AG45="","",OR(VLOOKUP(AG45,AH41:AU47,3,FALSE),VLOOKUP(AG45,AH41:AU47,6,FALSE)))</f>
        <v/>
      </c>
      <c r="AW45" s="298" t="str">
        <f t="shared" si="30"/>
        <v/>
      </c>
      <c r="AX45" s="285" t="str">
        <f>IF(AG45="","",INDEX(AD41:AD47,MATCH(AG45,AH41:AH47,0)))</f>
        <v/>
      </c>
      <c r="AY45" s="286" t="str">
        <f>IF(AG45="","",VLOOKUP(AG45,AH41:AU47,COLUMN()-COLUMN(AR40),FALSE))</f>
        <v/>
      </c>
      <c r="AZ45" s="286" t="str">
        <f>IF(AG45="","",VLOOKUP(AG45,AH41:AU47,COLUMN()-COLUMN(AR40),FALSE))</f>
        <v/>
      </c>
      <c r="BA45" s="286" t="str">
        <f>IF(AG45="","",VLOOKUP(AG45,AH41:AU47,COLUMN()-COLUMN(AR40),FALSE))</f>
        <v/>
      </c>
      <c r="BB45" s="286" t="str">
        <f>IF(AG45="","",VLOOKUP(AG45,AH41:AU47,COLUMN()-COLUMN(AR40),FALSE))</f>
        <v/>
      </c>
      <c r="BC45" s="286" t="str">
        <f>IF(AG45="","",VLOOKUP(AG45,AH41:AU47,COLUMN()-COLUMN(AR40),FALSE))</f>
        <v/>
      </c>
      <c r="BD45" s="286" t="str">
        <f>IF(AG45="","",VLOOKUP(AG45,AH41:AU47,COLUMN()-COLUMN(AR40),FALSE))</f>
        <v/>
      </c>
      <c r="BE45" s="286" t="str">
        <f>IF(AG45="","",VLOOKUP(AG45,AH41:AU47,COLUMN()-COLUMN(AR40),FALSE))</f>
        <v/>
      </c>
      <c r="BF45" s="301" t="str">
        <f>IF(AG45="","",VLOOKUP(AG45,AH41:AU47,COLUMN()-COLUMN(AR40),FALSE))</f>
        <v/>
      </c>
    </row>
    <row r="46" spans="1:58" ht="12" thickBot="1" x14ac:dyDescent="0.25">
      <c r="A46" s="249" t="s">
        <v>890</v>
      </c>
      <c r="B46" s="249" t="s">
        <v>12207</v>
      </c>
      <c r="C46" s="249">
        <v>5</v>
      </c>
      <c r="D46" s="249"/>
      <c r="E46" s="344" t="s">
        <v>10415</v>
      </c>
      <c r="F46" s="344" t="s">
        <v>8549</v>
      </c>
      <c r="G46" s="254">
        <v>4</v>
      </c>
      <c r="H46" s="254">
        <v>1</v>
      </c>
      <c r="I46" s="339"/>
      <c r="J46" s="114"/>
      <c r="K46" s="114"/>
      <c r="L46" s="247"/>
      <c r="M46" s="265" t="b">
        <f>NOT(ISERROR(ResultsInd[[#This Row],[Goal-A]]+ResultsInd[[#This Row],[Goal-B]]))</f>
        <v>1</v>
      </c>
      <c r="N46" s="265">
        <f>VALUE(ResultsInd[[#This Row],[Score-A]])</f>
        <v>4</v>
      </c>
      <c r="O46" s="265">
        <f>VALUE(ResultsInd[[#This Row],[Score-B]])</f>
        <v>1</v>
      </c>
      <c r="P46" s="265">
        <f ca="1">IF(AND(ResultsInd[[#This Row],[Category]]&lt;&gt;"",ResultsInd[[#This Row],[Player A]]&lt;&gt;""),COUNTIF(INDIRECT(ResultsInd[[#This Row],[Category]]&amp;"List[Retained Player Name]"),ResultsInd[[#This Row],[Player A]]),"")</f>
        <v>1</v>
      </c>
      <c r="Q46" s="265">
        <f ca="1">IF(AND(ResultsInd[[#This Row],[Category]]&lt;&gt;"",ResultsInd[[#This Row],[Player B]]&lt;&gt;""),COUNTIF(INDIRECT(ResultsInd[[#This Row],[Category]]&amp;"List[Retained Player Name]"),ResultsInd[[#This Row],[Player B]]),"")</f>
        <v>1</v>
      </c>
      <c r="R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OPEN-Samuel Bartolo</v>
      </c>
      <c r="S46" s="265" t="str">
        <f>IF(ResultsInd[[#This Row],[Score_OK]],IF(ResultsInd[[#This Row],[Stage]]="Groups",ResultsInd[[#This Row],[Category]]&amp;"-"&amp;IF(ResultsInd[[#This Row],[Player B]]="","",IF(ResultsInd[[#This Row],[Score-A]]=ResultsInd[[#This Row],[Score-B]],ResultsInd[[#This Row],[Player A]],"")),""),"")</f>
        <v>OPEN-</v>
      </c>
      <c r="T46" s="265" t="str">
        <f>IF(ResultsInd[[#This Row],[Score_OK]],IF(ResultsInd[[#This Row],[Stage]]="Groups",ResultsInd[[#This Row],[Category]]&amp;"-"&amp;IF(ResultsInd[[#This Row],[Player B]]="","",IF(ResultsInd[[#This Row],[Score-A]]=ResultsInd[[#This Row],[Score-B]],ResultsInd[[#This Row],[Player B]],"")),""),"")</f>
        <v>OPEN-</v>
      </c>
      <c r="U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OPEN-Mick Hammonds</v>
      </c>
      <c r="V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OPEN-Mick Hammonds</v>
      </c>
      <c r="X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OPEN-Mick Hammonds</v>
      </c>
      <c r="Y46" s="264" t="str">
        <f>IF(ResultsInd[[#This Row],[Category]]="","",VLOOKUP(ResultsInd[[#This Row],[Stage]],$P$1:$V$9,MATCH(ResultsInd[[#This Row],[Category]],$Q$1:$V$1,0)+1,FALSE))</f>
        <v>PR1</v>
      </c>
      <c r="Z46" s="264" t="str">
        <f>IF(ResultsInd[[#This Row],[Score_OK]],IF(ResultsInd[[#This Row],[Level]]="R",ResultsInd[[#This Row],[Category]]&amp;"-"&amp;IF(ResultsInd[[#This Row],[LoseInKO]]=ResultsInd[[#This Row],[Category]]&amp;"-"&amp;ResultsInd[[#This Row],[Player A]],ResultsInd[[#This Row],[Player B]],ResultsInd[[#This Row],[Player A]]),""),"")</f>
        <v/>
      </c>
      <c r="AB46" s="8"/>
      <c r="AC46" s="12" t="str">
        <f t="shared" si="31"/>
        <v>OPEN</v>
      </c>
      <c r="AD46" s="309"/>
      <c r="AE46" s="310"/>
      <c r="AF46" s="311"/>
      <c r="AG46" s="292" t="str">
        <f>IF(AP46="","",SMALL(AH41:AH47,ROWS(AG41:AG46)))</f>
        <v/>
      </c>
      <c r="AH46" s="293" t="str">
        <f>IF(AP46="","",RANK(AL46,AL41:AL47)*1000+ROWS(AH41:AH46))</f>
        <v/>
      </c>
      <c r="AI46" s="316" t="str">
        <f t="shared" si="25"/>
        <v/>
      </c>
      <c r="AJ46" s="415" t="b">
        <f>AND(AO46&lt;&gt;"",AO46&gt;0,COUNTIF(AI41:AI47,AI46)&gt;1)</f>
        <v>0</v>
      </c>
      <c r="AK46" s="316" t="str">
        <f t="shared" si="26"/>
        <v/>
      </c>
      <c r="AL46" s="317" t="str">
        <f t="shared" si="27"/>
        <v/>
      </c>
      <c r="AM46" s="415" t="b">
        <f>AND(AO46&lt;&gt;"",AO46&gt;0,COUNTIF(AL41:AL47,AL46)&gt;1)</f>
        <v>0</v>
      </c>
      <c r="AN46" s="306" t="str">
        <f t="shared" si="28"/>
        <v/>
      </c>
      <c r="AO46" s="307" t="str">
        <f t="shared" si="29"/>
        <v/>
      </c>
      <c r="AP46" s="307" t="str">
        <f>IF(OR(AC40="",AD46=""),"",COUNTIF(ResultsInd[Win],AC40&amp;"-"&amp;AD46))</f>
        <v/>
      </c>
      <c r="AQ46" s="307" t="str">
        <f>IF(OR(AC40="",AD46=""),"",COUNTIF(ResultsInd[Draw1],AC40&amp;"-"&amp;AD46)+COUNTIF(ResultsInd[Draw2],AC40&amp;"-"&amp;AD46))</f>
        <v/>
      </c>
      <c r="AR46" s="307" t="str">
        <f>IF(OR(AC40="",AD46=""),"",COUNTIF(ResultsInd[Lose],AC40&amp;"-"&amp;AD46))</f>
        <v/>
      </c>
      <c r="AS46" s="307" t="str">
        <f>IF(OR(AC40="",AD46=""),"",SUMIFS(ResultsInd[Goal-A],ResultsInd[Category],AC40,ResultsInd[Stage],"Groups",ResultsInd[Player A],AD46)+SUMIFS(ResultsInd[Goal-B],ResultsInd[Category],AC40,ResultsInd[Stage],"Groups",ResultsInd[Player B],AD46))</f>
        <v/>
      </c>
      <c r="AT46" s="307" t="str">
        <f>IF(OR(AC40="",AD46=""),"",SUMIFS(ResultsInd[Goal-B],ResultsInd[Category],AC40,ResultsInd[Stage],"Groups",ResultsInd[Player A],AD46)+SUMIFS(ResultsInd[Goal-A],ResultsInd[Category],AC40,ResultsInd[Stage],"Groups",ResultsInd[Player B],AD46))</f>
        <v/>
      </c>
      <c r="AU46" s="308" t="str">
        <f t="shared" si="32"/>
        <v/>
      </c>
      <c r="AV46" s="469" t="str">
        <f>IF(AG46="","",OR(VLOOKUP(AG46,AH41:AU47,3,FALSE),VLOOKUP(AG46,AH41:AU47,6,FALSE)))</f>
        <v/>
      </c>
      <c r="AW46" s="298" t="str">
        <f t="shared" si="30"/>
        <v/>
      </c>
      <c r="AX46" s="285" t="str">
        <f>IF(AG46="","",INDEX(AD41:AD47,MATCH(AG46,AH41:AH47,0)))</f>
        <v/>
      </c>
      <c r="AY46" s="286" t="str">
        <f>IF(AG46="","",VLOOKUP(AG46,AH41:AU47,COLUMN()-COLUMN(AR40),FALSE))</f>
        <v/>
      </c>
      <c r="AZ46" s="286" t="str">
        <f>IF(AG46="","",VLOOKUP(AG46,AH41:AU47,COLUMN()-COLUMN(AR40),FALSE))</f>
        <v/>
      </c>
      <c r="BA46" s="286" t="str">
        <f>IF(AG46="","",VLOOKUP(AG46,AH41:AU47,COLUMN()-COLUMN(AR40),FALSE))</f>
        <v/>
      </c>
      <c r="BB46" s="286" t="str">
        <f>IF(AG46="","",VLOOKUP(AG46,AH41:AU47,COLUMN()-COLUMN(AR40),FALSE))</f>
        <v/>
      </c>
      <c r="BC46" s="286" t="str">
        <f>IF(AG46="","",VLOOKUP(AG46,AH41:AU47,COLUMN()-COLUMN(AR40),FALSE))</f>
        <v/>
      </c>
      <c r="BD46" s="286" t="str">
        <f>IF(AG46="","",VLOOKUP(AG46,AH41:AU47,COLUMN()-COLUMN(AR40),FALSE))</f>
        <v/>
      </c>
      <c r="BE46" s="286" t="str">
        <f>IF(AG46="","",VLOOKUP(AG46,AH41:AU47,COLUMN()-COLUMN(AR40),FALSE))</f>
        <v/>
      </c>
      <c r="BF46" s="301" t="str">
        <f>IF(AG46="","",VLOOKUP(AG46,AH41:AU47,COLUMN()-COLUMN(AR40),FALSE))</f>
        <v/>
      </c>
    </row>
    <row r="47" spans="1:58" ht="12" thickBot="1" x14ac:dyDescent="0.25">
      <c r="A47" s="249" t="s">
        <v>890</v>
      </c>
      <c r="B47" s="249" t="s">
        <v>12207</v>
      </c>
      <c r="C47" s="249">
        <v>5</v>
      </c>
      <c r="D47" s="249"/>
      <c r="E47" s="344" t="s">
        <v>8141</v>
      </c>
      <c r="F47" s="344" t="s">
        <v>8170</v>
      </c>
      <c r="G47" s="254">
        <v>8</v>
      </c>
      <c r="H47" s="254">
        <v>2</v>
      </c>
      <c r="I47" s="339"/>
      <c r="J47" s="114"/>
      <c r="K47" s="114"/>
      <c r="L47" s="247"/>
      <c r="M47" s="265" t="b">
        <f>NOT(ISERROR(ResultsInd[[#This Row],[Goal-A]]+ResultsInd[[#This Row],[Goal-B]]))</f>
        <v>1</v>
      </c>
      <c r="N47" s="265">
        <f>VALUE(ResultsInd[[#This Row],[Score-A]])</f>
        <v>8</v>
      </c>
      <c r="O47" s="265">
        <f>VALUE(ResultsInd[[#This Row],[Score-B]])</f>
        <v>2</v>
      </c>
      <c r="P47" s="265">
        <f ca="1">IF(AND(ResultsInd[[#This Row],[Category]]&lt;&gt;"",ResultsInd[[#This Row],[Player A]]&lt;&gt;""),COUNTIF(INDIRECT(ResultsInd[[#This Row],[Category]]&amp;"List[Retained Player Name]"),ResultsInd[[#This Row],[Player A]]),"")</f>
        <v>1</v>
      </c>
      <c r="Q47" s="265">
        <f ca="1">IF(AND(ResultsInd[[#This Row],[Category]]&lt;&gt;"",ResultsInd[[#This Row],[Player B]]&lt;&gt;""),COUNTIF(INDIRECT(ResultsInd[[#This Row],[Category]]&amp;"List[Retained Player Name]"),ResultsInd[[#This Row],[Player B]]),"")</f>
        <v>1</v>
      </c>
      <c r="R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Vantassel</v>
      </c>
      <c r="S47" s="265" t="str">
        <f>IF(ResultsInd[[#This Row],[Score_OK]],IF(ResultsInd[[#This Row],[Stage]]="Groups",ResultsInd[[#This Row],[Category]]&amp;"-"&amp;IF(ResultsInd[[#This Row],[Player B]]="","",IF(ResultsInd[[#This Row],[Score-A]]=ResultsInd[[#This Row],[Score-B]],ResultsInd[[#This Row],[Player A]],"")),""),"")</f>
        <v>OPEN-</v>
      </c>
      <c r="T47" s="265" t="str">
        <f>IF(ResultsInd[[#This Row],[Score_OK]],IF(ResultsInd[[#This Row],[Stage]]="Groups",ResultsInd[[#This Row],[Category]]&amp;"-"&amp;IF(ResultsInd[[#This Row],[Player B]]="","",IF(ResultsInd[[#This Row],[Score-A]]=ResultsInd[[#This Row],[Score-B]],ResultsInd[[#This Row],[Player B]],"")),""),"")</f>
        <v>OPEN-</v>
      </c>
      <c r="U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Raison</v>
      </c>
      <c r="V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X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Y47" s="264" t="str">
        <f>IF(ResultsInd[[#This Row],[Category]]="","",VLOOKUP(ResultsInd[[#This Row],[Stage]],$P$1:$V$9,MATCH(ResultsInd[[#This Row],[Category]],$Q$1:$V$1,0)+1,FALSE))</f>
        <v>PR1</v>
      </c>
      <c r="Z47" s="264" t="str">
        <f>IF(ResultsInd[[#This Row],[Score_OK]],IF(ResultsInd[[#This Row],[Level]]="R",ResultsInd[[#This Row],[Category]]&amp;"-"&amp;IF(ResultsInd[[#This Row],[LoseInKO]]=ResultsInd[[#This Row],[Category]]&amp;"-"&amp;ResultsInd[[#This Row],[Player A]],ResultsInd[[#This Row],[Player B]],ResultsInd[[#This Row],[Player A]]),""),"")</f>
        <v/>
      </c>
      <c r="AB47" s="8"/>
      <c r="AC47" s="12" t="str">
        <f t="shared" si="31"/>
        <v>OPEN</v>
      </c>
      <c r="AD47" s="312"/>
      <c r="AE47" s="313"/>
      <c r="AF47" s="314"/>
      <c r="AG47" s="294" t="str">
        <f>IF(AP47="","",SMALL(AH41:AH47,ROWS(AG41:AG47)))</f>
        <v/>
      </c>
      <c r="AH47" s="295" t="str">
        <f>IF(AP47="","",RANK(AL47,AL41:AL47)*1000+ROWS(AH41:AH47))</f>
        <v/>
      </c>
      <c r="AI47" s="318" t="str">
        <f t="shared" si="25"/>
        <v/>
      </c>
      <c r="AJ47" s="416" t="b">
        <f>AND(AO47&lt;&gt;"",AO47&gt;0,COUNTIF(AI41:AI47,AI47)&gt;1)</f>
        <v>0</v>
      </c>
      <c r="AK47" s="318" t="str">
        <f t="shared" si="26"/>
        <v/>
      </c>
      <c r="AL47" s="319" t="str">
        <f t="shared" si="27"/>
        <v/>
      </c>
      <c r="AM47" s="416" t="b">
        <f>AND(AO47&lt;&gt;"",AO47&gt;0,COUNTIF(AL41:AL47,AL47)&gt;1)</f>
        <v>0</v>
      </c>
      <c r="AN47" s="306" t="str">
        <f t="shared" si="28"/>
        <v/>
      </c>
      <c r="AO47" s="307" t="str">
        <f t="shared" si="29"/>
        <v/>
      </c>
      <c r="AP47" s="307" t="str">
        <f>IF(OR(AC40="",AD47=""),"",COUNTIF(ResultsInd[Win],AC40&amp;"-"&amp;AD47))</f>
        <v/>
      </c>
      <c r="AQ47" s="307" t="str">
        <f>IF(OR(AC40="",AD47=""),"",COUNTIF(ResultsInd[Draw1],AC40&amp;"-"&amp;AD47)+COUNTIF(ResultsInd[Draw2],AC40&amp;"-"&amp;AD47))</f>
        <v/>
      </c>
      <c r="AR47" s="307" t="str">
        <f>IF(OR(AC40="",AD47=""),"",COUNTIF(ResultsInd[Lose],AC40&amp;"-"&amp;AD47))</f>
        <v/>
      </c>
      <c r="AS47" s="307" t="str">
        <f>IF(OR(AC40="",AD47=""),"",SUMIFS(ResultsInd[Goal-A],ResultsInd[Category],AC40,ResultsInd[Stage],"Groups",ResultsInd[Player A],AD47)+SUMIFS(ResultsInd[Goal-B],ResultsInd[Category],AC40,ResultsInd[Stage],"Groups",ResultsInd[Player B],AD47))</f>
        <v/>
      </c>
      <c r="AT47" s="307" t="str">
        <f>IF(OR(AC40="",AD47=""),"",SUMIFS(ResultsInd[Goal-B],ResultsInd[Category],AC40,ResultsInd[Stage],"Groups",ResultsInd[Player A],AD47)+SUMIFS(ResultsInd[Goal-A],ResultsInd[Category],AC40,ResultsInd[Stage],"Groups",ResultsInd[Player B],AD47))</f>
        <v/>
      </c>
      <c r="AU47" s="308" t="str">
        <f t="shared" si="32"/>
        <v/>
      </c>
      <c r="AV47" s="469" t="str">
        <f>IF(AG47="","",OR(VLOOKUP(AG47,AH41:AU47,3,FALSE),VLOOKUP(AG47,AH41:AU47,6,FALSE)))</f>
        <v/>
      </c>
      <c r="AW47" s="299" t="str">
        <f t="shared" si="30"/>
        <v/>
      </c>
      <c r="AX47" s="287" t="str">
        <f>IF(AG47="","",INDEX(AD41:AD47,MATCH(AG47,AH41:AH47,0)))</f>
        <v/>
      </c>
      <c r="AY47" s="288" t="str">
        <f>IF(AG47="","",VLOOKUP(AG47,AH41:AU47,COLUMN()-COLUMN(AR40),FALSE))</f>
        <v/>
      </c>
      <c r="AZ47" s="288" t="str">
        <f>IF(AG47="","",VLOOKUP(AG47,AH41:AU47,COLUMN()-COLUMN(AR40),FALSE))</f>
        <v/>
      </c>
      <c r="BA47" s="288" t="str">
        <f>IF(AG47="","",VLOOKUP(AG47,AH41:AU47,COLUMN()-COLUMN(AR40),FALSE))</f>
        <v/>
      </c>
      <c r="BB47" s="288" t="str">
        <f>IF(AG47="","",VLOOKUP(AG47,AH41:AU47,COLUMN()-COLUMN(AR40),FALSE))</f>
        <v/>
      </c>
      <c r="BC47" s="288" t="str">
        <f>IF(AG47="","",VLOOKUP(AG47,AH41:AU47,COLUMN()-COLUMN(AR40),FALSE))</f>
        <v/>
      </c>
      <c r="BD47" s="288" t="str">
        <f>IF(AG47="","",VLOOKUP(AG47,AH41:AU47,COLUMN()-COLUMN(AR40),FALSE))</f>
        <v/>
      </c>
      <c r="BE47" s="288" t="str">
        <f>IF(AG47="","",VLOOKUP(AG47,AH41:AU47,COLUMN()-COLUMN(AR40),FALSE))</f>
        <v/>
      </c>
      <c r="BF47" s="302" t="str">
        <f>IF(AG47="","",VLOOKUP(AG47,AH41:AU47,COLUMN()-COLUMN(AR40),FALSE))</f>
        <v/>
      </c>
    </row>
    <row r="48" spans="1:58" ht="13.5" thickBot="1" x14ac:dyDescent="0.25">
      <c r="A48" s="249" t="s">
        <v>890</v>
      </c>
      <c r="B48" s="249" t="s">
        <v>12207</v>
      </c>
      <c r="C48" s="249">
        <v>5</v>
      </c>
      <c r="D48" s="249"/>
      <c r="E48" s="344" t="s">
        <v>10415</v>
      </c>
      <c r="F48" s="344" t="s">
        <v>8141</v>
      </c>
      <c r="G48" s="254">
        <v>4</v>
      </c>
      <c r="H48" s="254">
        <v>1</v>
      </c>
      <c r="I48" s="339"/>
      <c r="J48" s="114"/>
      <c r="K48" s="114"/>
      <c r="L48" s="247"/>
      <c r="M48" s="265" t="b">
        <f>NOT(ISERROR(ResultsInd[[#This Row],[Goal-A]]+ResultsInd[[#This Row],[Goal-B]]))</f>
        <v>1</v>
      </c>
      <c r="N48" s="265">
        <f>VALUE(ResultsInd[[#This Row],[Score-A]])</f>
        <v>4</v>
      </c>
      <c r="O48" s="265">
        <f>VALUE(ResultsInd[[#This Row],[Score-B]])</f>
        <v>1</v>
      </c>
      <c r="P48" s="265">
        <f ca="1">IF(AND(ResultsInd[[#This Row],[Category]]&lt;&gt;"",ResultsInd[[#This Row],[Player A]]&lt;&gt;""),COUNTIF(INDIRECT(ResultsInd[[#This Row],[Category]]&amp;"List[Retained Player Name]"),ResultsInd[[#This Row],[Player A]]),"")</f>
        <v>1</v>
      </c>
      <c r="Q48" s="265">
        <f ca="1">IF(AND(ResultsInd[[#This Row],[Category]]&lt;&gt;"",ResultsInd[[#This Row],[Player B]]&lt;&gt;""),COUNTIF(INDIRECT(ResultsInd[[#This Row],[Category]]&amp;"List[Retained Player Name]"),ResultsInd[[#This Row],[Player B]]),"")</f>
        <v>1</v>
      </c>
      <c r="R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OPEN-Samuel Bartolo</v>
      </c>
      <c r="S48" s="265" t="str">
        <f>IF(ResultsInd[[#This Row],[Score_OK]],IF(ResultsInd[[#This Row],[Stage]]="Groups",ResultsInd[[#This Row],[Category]]&amp;"-"&amp;IF(ResultsInd[[#This Row],[Player B]]="","",IF(ResultsInd[[#This Row],[Score-A]]=ResultsInd[[#This Row],[Score-B]],ResultsInd[[#This Row],[Player A]],"")),""),"")</f>
        <v>OPEN-</v>
      </c>
      <c r="T48" s="265" t="str">
        <f>IF(ResultsInd[[#This Row],[Score_OK]],IF(ResultsInd[[#This Row],[Stage]]="Groups",ResultsInd[[#This Row],[Category]]&amp;"-"&amp;IF(ResultsInd[[#This Row],[Player B]]="","",IF(ResultsInd[[#This Row],[Score-A]]=ResultsInd[[#This Row],[Score-B]],ResultsInd[[#This Row],[Player B]],"")),""),"")</f>
        <v>OPEN-</v>
      </c>
      <c r="U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Vantassel</v>
      </c>
      <c r="V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OPEN-David Vantassel</v>
      </c>
      <c r="X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OPEN-David Vantassel</v>
      </c>
      <c r="Y48" s="264" t="str">
        <f>IF(ResultsInd[[#This Row],[Category]]="","",VLOOKUP(ResultsInd[[#This Row],[Stage]],$P$1:$V$9,MATCH(ResultsInd[[#This Row],[Category]],$Q$1:$V$1,0)+1,FALSE))</f>
        <v>PR1</v>
      </c>
      <c r="Z48" s="264" t="str">
        <f>IF(ResultsInd[[#This Row],[Score_OK]],IF(ResultsInd[[#This Row],[Level]]="R",ResultsInd[[#This Row],[Category]]&amp;"-"&amp;IF(ResultsInd[[#This Row],[LoseInKO]]=ResultsInd[[#This Row],[Category]]&amp;"-"&amp;ResultsInd[[#This Row],[Player A]],ResultsInd[[#This Row],[Player B]],ResultsInd[[#This Row],[Player A]]),""),"")</f>
        <v/>
      </c>
      <c r="AB48" s="8"/>
      <c r="AC48" s="8"/>
      <c r="AF48" s="170"/>
      <c r="AG48" s="101"/>
      <c r="AH48" s="101"/>
      <c r="AN48" s="170"/>
      <c r="AO48" s="170"/>
      <c r="AP48" s="170"/>
      <c r="AQ48" s="172"/>
      <c r="AR48" s="173"/>
      <c r="AS48" s="173"/>
      <c r="AT48" s="173"/>
      <c r="AU48" s="101"/>
      <c r="AV48" s="101"/>
      <c r="AW48" s="101"/>
      <c r="AX48" s="101"/>
      <c r="AY48" s="101"/>
      <c r="AZ48" s="101"/>
    </row>
    <row r="49" spans="1:58" ht="12" thickBot="1" x14ac:dyDescent="0.25">
      <c r="A49" s="249" t="s">
        <v>890</v>
      </c>
      <c r="B49" s="249" t="s">
        <v>12207</v>
      </c>
      <c r="C49" s="249">
        <v>5</v>
      </c>
      <c r="D49" s="249"/>
      <c r="E49" s="344" t="s">
        <v>8549</v>
      </c>
      <c r="F49" s="344" t="s">
        <v>8170</v>
      </c>
      <c r="G49" s="254">
        <v>3</v>
      </c>
      <c r="H49" s="254">
        <v>1</v>
      </c>
      <c r="I49" s="339"/>
      <c r="J49" s="114"/>
      <c r="K49" s="114"/>
      <c r="L49" s="247"/>
      <c r="M49" s="265" t="b">
        <f>NOT(ISERROR(ResultsInd[[#This Row],[Goal-A]]+ResultsInd[[#This Row],[Goal-B]]))</f>
        <v>1</v>
      </c>
      <c r="N49" s="265">
        <f>VALUE(ResultsInd[[#This Row],[Score-A]])</f>
        <v>3</v>
      </c>
      <c r="O49" s="265">
        <f>VALUE(ResultsInd[[#This Row],[Score-B]])</f>
        <v>1</v>
      </c>
      <c r="P49" s="265">
        <f ca="1">IF(AND(ResultsInd[[#This Row],[Category]]&lt;&gt;"",ResultsInd[[#This Row],[Player A]]&lt;&gt;""),COUNTIF(INDIRECT(ResultsInd[[#This Row],[Category]]&amp;"List[Retained Player Name]"),ResultsInd[[#This Row],[Player A]]),"")</f>
        <v>1</v>
      </c>
      <c r="Q49" s="265">
        <f ca="1">IF(AND(ResultsInd[[#This Row],[Category]]&lt;&gt;"",ResultsInd[[#This Row],[Player B]]&lt;&gt;""),COUNTIF(INDIRECT(ResultsInd[[#This Row],[Category]]&amp;"List[Retained Player Name]"),ResultsInd[[#This Row],[Player B]]),"")</f>
        <v>1</v>
      </c>
      <c r="R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49" s="265" t="str">
        <f>IF(ResultsInd[[#This Row],[Score_OK]],IF(ResultsInd[[#This Row],[Stage]]="Groups",ResultsInd[[#This Row],[Category]]&amp;"-"&amp;IF(ResultsInd[[#This Row],[Player B]]="","",IF(ResultsInd[[#This Row],[Score-A]]=ResultsInd[[#This Row],[Score-B]],ResultsInd[[#This Row],[Player A]],"")),""),"")</f>
        <v>OPEN-</v>
      </c>
      <c r="T49" s="265" t="str">
        <f>IF(ResultsInd[[#This Row],[Score_OK]],IF(ResultsInd[[#This Row],[Stage]]="Groups",ResultsInd[[#This Row],[Category]]&amp;"-"&amp;IF(ResultsInd[[#This Row],[Player B]]="","",IF(ResultsInd[[#This Row],[Score-A]]=ResultsInd[[#This Row],[Score-B]],ResultsInd[[#This Row],[Player B]],"")),""),"")</f>
        <v>OPEN-</v>
      </c>
      <c r="U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Raison</v>
      </c>
      <c r="V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X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Y49" s="264" t="str">
        <f>IF(ResultsInd[[#This Row],[Category]]="","",VLOOKUP(ResultsInd[[#This Row],[Stage]],$P$1:$V$9,MATCH(ResultsInd[[#This Row],[Category]],$Q$1:$V$1,0)+1,FALSE))</f>
        <v>PR1</v>
      </c>
      <c r="Z49" s="264" t="str">
        <f>IF(ResultsInd[[#This Row],[Score_OK]],IF(ResultsInd[[#This Row],[Level]]="R",ResultsInd[[#This Row],[Category]]&amp;"-"&amp;IF(ResultsInd[[#This Row],[LoseInKO]]=ResultsInd[[#This Row],[Category]]&amp;"-"&amp;ResultsInd[[#This Row],[Player A]],ResultsInd[[#This Row],[Player B]],ResultsInd[[#This Row],[Player A]]),""),"")</f>
        <v/>
      </c>
      <c r="AB49" s="281">
        <v>4</v>
      </c>
      <c r="AC49" s="315" t="s">
        <v>890</v>
      </c>
      <c r="AD49" s="289" t="s">
        <v>14439</v>
      </c>
      <c r="AE49" s="290" t="s">
        <v>12279</v>
      </c>
      <c r="AF49" s="284" t="s">
        <v>12275</v>
      </c>
      <c r="AG49" s="296" t="s">
        <v>12276</v>
      </c>
      <c r="AH49" s="291" t="s">
        <v>12271</v>
      </c>
      <c r="AI49" s="291" t="s">
        <v>12272</v>
      </c>
      <c r="AJ49" s="414" t="s">
        <v>13154</v>
      </c>
      <c r="AK49" s="291" t="s">
        <v>12273</v>
      </c>
      <c r="AL49" s="297" t="s">
        <v>12274</v>
      </c>
      <c r="AM49" s="414" t="s">
        <v>13154</v>
      </c>
      <c r="AN49" s="303" t="s">
        <v>12199</v>
      </c>
      <c r="AO49" s="304" t="s">
        <v>12200</v>
      </c>
      <c r="AP49" s="304" t="s">
        <v>12201</v>
      </c>
      <c r="AQ49" s="304" t="s">
        <v>12202</v>
      </c>
      <c r="AR49" s="304" t="s">
        <v>12203</v>
      </c>
      <c r="AS49" s="304" t="s">
        <v>12204</v>
      </c>
      <c r="AT49" s="304" t="s">
        <v>12205</v>
      </c>
      <c r="AU49" s="305" t="s">
        <v>12206</v>
      </c>
      <c r="AV49" s="468"/>
      <c r="AW49" s="282" t="s">
        <v>12276</v>
      </c>
      <c r="AX49" s="282" t="s">
        <v>12280</v>
      </c>
      <c r="AY49" s="283" t="s">
        <v>12199</v>
      </c>
      <c r="AZ49" s="283" t="s">
        <v>12200</v>
      </c>
      <c r="BA49" s="283" t="s">
        <v>12201</v>
      </c>
      <c r="BB49" s="283" t="s">
        <v>12202</v>
      </c>
      <c r="BC49" s="283" t="s">
        <v>12203</v>
      </c>
      <c r="BD49" s="283" t="s">
        <v>12204</v>
      </c>
      <c r="BE49" s="283" t="s">
        <v>12205</v>
      </c>
      <c r="BF49" s="300" t="s">
        <v>12206</v>
      </c>
    </row>
    <row r="50" spans="1:58" ht="12" thickBot="1" x14ac:dyDescent="0.25">
      <c r="A50" s="249" t="s">
        <v>890</v>
      </c>
      <c r="B50" s="249" t="s">
        <v>12207</v>
      </c>
      <c r="C50" s="249">
        <v>5</v>
      </c>
      <c r="D50" s="249"/>
      <c r="E50" s="344" t="s">
        <v>8170</v>
      </c>
      <c r="F50" s="344" t="s">
        <v>10415</v>
      </c>
      <c r="G50" s="254">
        <v>3</v>
      </c>
      <c r="H50" s="254">
        <v>7</v>
      </c>
      <c r="I50" s="339"/>
      <c r="J50" s="114"/>
      <c r="K50" s="114"/>
      <c r="L50" s="247"/>
      <c r="M50" s="265" t="b">
        <f>NOT(ISERROR(ResultsInd[[#This Row],[Goal-A]]+ResultsInd[[#This Row],[Goal-B]]))</f>
        <v>1</v>
      </c>
      <c r="N50" s="265">
        <f>VALUE(ResultsInd[[#This Row],[Score-A]])</f>
        <v>3</v>
      </c>
      <c r="O50" s="265">
        <f>VALUE(ResultsInd[[#This Row],[Score-B]])</f>
        <v>7</v>
      </c>
      <c r="P50" s="265">
        <f ca="1">IF(AND(ResultsInd[[#This Row],[Category]]&lt;&gt;"",ResultsInd[[#This Row],[Player A]]&lt;&gt;""),COUNTIF(INDIRECT(ResultsInd[[#This Row],[Category]]&amp;"List[Retained Player Name]"),ResultsInd[[#This Row],[Player A]]),"")</f>
        <v>1</v>
      </c>
      <c r="Q50" s="265">
        <f ca="1">IF(AND(ResultsInd[[#This Row],[Category]]&lt;&gt;"",ResultsInd[[#This Row],[Player B]]&lt;&gt;""),COUNTIF(INDIRECT(ResultsInd[[#This Row],[Category]]&amp;"List[Retained Player Name]"),ResultsInd[[#This Row],[Player B]]),"")</f>
        <v>1</v>
      </c>
      <c r="R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OPEN-Samuel Bartolo</v>
      </c>
      <c r="S50" s="265" t="str">
        <f>IF(ResultsInd[[#This Row],[Score_OK]],IF(ResultsInd[[#This Row],[Stage]]="Groups",ResultsInd[[#This Row],[Category]]&amp;"-"&amp;IF(ResultsInd[[#This Row],[Player B]]="","",IF(ResultsInd[[#This Row],[Score-A]]=ResultsInd[[#This Row],[Score-B]],ResultsInd[[#This Row],[Player A]],"")),""),"")</f>
        <v>OPEN-</v>
      </c>
      <c r="T50" s="265" t="str">
        <f>IF(ResultsInd[[#This Row],[Score_OK]],IF(ResultsInd[[#This Row],[Stage]]="Groups",ResultsInd[[#This Row],[Category]]&amp;"-"&amp;IF(ResultsInd[[#This Row],[Player B]]="","",IF(ResultsInd[[#This Row],[Score-A]]=ResultsInd[[#This Row],[Score-B]],ResultsInd[[#This Row],[Player B]],"")),""),"")</f>
        <v>OPEN-</v>
      </c>
      <c r="U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Raison</v>
      </c>
      <c r="V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X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Y50" s="264" t="str">
        <f>IF(ResultsInd[[#This Row],[Category]]="","",VLOOKUP(ResultsInd[[#This Row],[Stage]],$P$1:$V$9,MATCH(ResultsInd[[#This Row],[Category]],$Q$1:$V$1,0)+1,FALSE))</f>
        <v>PR1</v>
      </c>
      <c r="Z50" s="264" t="str">
        <f>IF(ResultsInd[[#This Row],[Score_OK]],IF(ResultsInd[[#This Row],[Level]]="R",ResultsInd[[#This Row],[Category]]&amp;"-"&amp;IF(ResultsInd[[#This Row],[LoseInKO]]=ResultsInd[[#This Row],[Category]]&amp;"-"&amp;ResultsInd[[#This Row],[Player A]],ResultsInd[[#This Row],[Player B]],ResultsInd[[#This Row],[Player A]]),""),"")</f>
        <v/>
      </c>
      <c r="AB50" s="8"/>
      <c r="AC50" s="12" t="str">
        <f>IF(AC49="","",AC49)</f>
        <v>OPEN</v>
      </c>
      <c r="AD50" s="309" t="s">
        <v>10426</v>
      </c>
      <c r="AE50" s="320"/>
      <c r="AF50" s="311"/>
      <c r="AG50" s="292">
        <f>IF(AP50="","",SMALL(AH50:AH56,ROWS(AG50:AG50)))</f>
        <v>1001</v>
      </c>
      <c r="AH50" s="293">
        <f>IF(AP50="","",RANK(AL50,AL50:AL56)*1000+ROWS(AH50:AH50))</f>
        <v>1001</v>
      </c>
      <c r="AI50" s="316">
        <f t="shared" ref="AI50:AI56" si="33">IF(AP50="","",CritClassInd1_Points*AN50+CritClassInd1_Matches*AP50+CritClassInd1_Attaque*AS50+CritClassInd1_DiffButs*AU50)</f>
        <v>9000000000000</v>
      </c>
      <c r="AJ50" s="415" t="b">
        <f>AND(AO50&lt;&gt;"",AO50&gt;0,COUNTIF(AI50:AI56,AI50)&gt;1)</f>
        <v>0</v>
      </c>
      <c r="AK50" s="316">
        <f t="shared" ref="AK50:AK56" si="34">IF(AP50="","",CritClassInd_ScorePart*AE50)</f>
        <v>0</v>
      </c>
      <c r="AL50" s="317">
        <f t="shared" ref="AL50:AL56" si="35">IF(AP50="","",AI50+AK50+CritClassInd2_Points*AN50+CritClassInd2_Matches*AP50+CritClassInd2_Attaque*AS50+CritClassInd2_DiffButs*AU50+AF50)</f>
        <v>9000000181900</v>
      </c>
      <c r="AM50" s="415" t="b">
        <f>AND(AO50&lt;&gt;"",AO50&gt;0,COUNTIF(AL50:AL56,AL50)&gt;1)</f>
        <v>0</v>
      </c>
      <c r="AN50" s="306">
        <f t="shared" ref="AN50:AN56" si="36">IF(AP50="","",(AP50*Points_Victoire)+AQ50*Points_Null)</f>
        <v>9</v>
      </c>
      <c r="AO50" s="307">
        <f t="shared" ref="AO50:AO56" si="37">IF(AP50="","",SUM(AP50:AR50))</f>
        <v>3</v>
      </c>
      <c r="AP50" s="307">
        <f>IF(OR(AC49="",AD50=""),"",COUNTIF(ResultsInd[Win],AC49&amp;"-"&amp;AD50))</f>
        <v>3</v>
      </c>
      <c r="AQ50" s="307">
        <f>IF(OR(AC49="",AD50=""),"",COUNTIF(ResultsInd[Draw1],AC49&amp;"-"&amp;AD50)+COUNTIF(ResultsInd[Draw2],AC49&amp;"-"&amp;AD50))</f>
        <v>0</v>
      </c>
      <c r="AR50" s="307">
        <f>IF(OR(AC49="",AD50=""),"",COUNTIF(ResultsInd[Lose],AC49&amp;"-"&amp;AD50))</f>
        <v>0</v>
      </c>
      <c r="AS50" s="307">
        <f>IF(OR(AC49="",AD50=""),"",SUMIFS(ResultsInd[Goal-A],ResultsInd[Category],AC49,ResultsInd[Stage],"Groups",ResultsInd[Player A],AD50)+SUMIFS(ResultsInd[Goal-B],ResultsInd[Category],AC49,ResultsInd[Stage],"Groups",ResultsInd[Player B],AD50))</f>
        <v>19</v>
      </c>
      <c r="AT50" s="307">
        <f>IF(OR(AC49="",AD50=""),"",SUMIFS(ResultsInd[Goal-B],ResultsInd[Category],AC49,ResultsInd[Stage],"Groups",ResultsInd[Player A],AD50)+SUMIFS(ResultsInd[Goal-A],ResultsInd[Category],AC49,ResultsInd[Stage],"Groups",ResultsInd[Player B],AD50))</f>
        <v>1</v>
      </c>
      <c r="AU50" s="308">
        <f>IF(AP50="","",AS50-AT50)</f>
        <v>18</v>
      </c>
      <c r="AV50" s="469" t="b">
        <f>IF(AG50="","",OR(VLOOKUP(AG50,AH50:AU56,3,FALSE),VLOOKUP(AG50,AH50:AU56,6,FALSE)))</f>
        <v>0</v>
      </c>
      <c r="AW50" s="298">
        <f t="shared" ref="AW50:AW56" si="38">IF(AG50="","",INT(AG50/1000))</f>
        <v>1</v>
      </c>
      <c r="AX50" s="285" t="str">
        <f>IF(AG50="","",INDEX(AD50:AD56,MATCH(AG50,AH50:AH56,0)))</f>
        <v>Mark Gauci</v>
      </c>
      <c r="AY50" s="286">
        <f>IF(AG50="","",VLOOKUP(AG50,AH50:AU56,COLUMN()-COLUMN(AR49),FALSE))</f>
        <v>9</v>
      </c>
      <c r="AZ50" s="286">
        <f>IF(AG50="","",VLOOKUP(AG50,AH50:AU56,COLUMN()-COLUMN(AR49),FALSE))</f>
        <v>3</v>
      </c>
      <c r="BA50" s="286">
        <f>IF(AG50="","",VLOOKUP(AG50,AH50:AU56,COLUMN()-COLUMN(AR49),FALSE))</f>
        <v>3</v>
      </c>
      <c r="BB50" s="286">
        <f>IF(AG50="","",VLOOKUP(AG50,AH50:AU56,COLUMN()-COLUMN(AR49),FALSE))</f>
        <v>0</v>
      </c>
      <c r="BC50" s="286">
        <f>IF(AG50="","",VLOOKUP(AG50,AH50:AU56,COLUMN()-COLUMN(AR49),FALSE))</f>
        <v>0</v>
      </c>
      <c r="BD50" s="286">
        <f>IF(AG50="","",VLOOKUP(AG50,AH50:AU56,COLUMN()-COLUMN(AR49),FALSE))</f>
        <v>19</v>
      </c>
      <c r="BE50" s="286">
        <f>IF(AG50="","",VLOOKUP(AG50,AH50:AU56,COLUMN()-COLUMN(AR49),FALSE))</f>
        <v>1</v>
      </c>
      <c r="BF50" s="301">
        <f>IF(AG50="","",VLOOKUP(AG50,AH50:AU56,COLUMN()-COLUMN(AR49),FALSE))</f>
        <v>18</v>
      </c>
    </row>
    <row r="51" spans="1:58" ht="12" thickBot="1" x14ac:dyDescent="0.25">
      <c r="A51" s="249" t="s">
        <v>890</v>
      </c>
      <c r="B51" s="249" t="s">
        <v>12207</v>
      </c>
      <c r="C51" s="249">
        <v>5</v>
      </c>
      <c r="D51" s="249"/>
      <c r="E51" s="344" t="s">
        <v>8549</v>
      </c>
      <c r="F51" s="344" t="s">
        <v>8141</v>
      </c>
      <c r="G51" s="254">
        <v>2</v>
      </c>
      <c r="H51" s="254">
        <v>6</v>
      </c>
      <c r="I51" s="339"/>
      <c r="J51" s="114"/>
      <c r="K51" s="114"/>
      <c r="L51" s="247"/>
      <c r="M51" s="265" t="b">
        <f>NOT(ISERROR(ResultsInd[[#This Row],[Goal-A]]+ResultsInd[[#This Row],[Goal-B]]))</f>
        <v>1</v>
      </c>
      <c r="N51" s="265">
        <f>VALUE(ResultsInd[[#This Row],[Score-A]])</f>
        <v>2</v>
      </c>
      <c r="O51" s="265">
        <f>VALUE(ResultsInd[[#This Row],[Score-B]])</f>
        <v>6</v>
      </c>
      <c r="P51" s="265">
        <f ca="1">IF(AND(ResultsInd[[#This Row],[Category]]&lt;&gt;"",ResultsInd[[#This Row],[Player A]]&lt;&gt;""),COUNTIF(INDIRECT(ResultsInd[[#This Row],[Category]]&amp;"List[Retained Player Name]"),ResultsInd[[#This Row],[Player A]]),"")</f>
        <v>1</v>
      </c>
      <c r="Q51" s="265">
        <f ca="1">IF(AND(ResultsInd[[#This Row],[Category]]&lt;&gt;"",ResultsInd[[#This Row],[Player B]]&lt;&gt;""),COUNTIF(INDIRECT(ResultsInd[[#This Row],[Category]]&amp;"List[Retained Player Name]"),ResultsInd[[#This Row],[Player B]]),"")</f>
        <v>1</v>
      </c>
      <c r="R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Vantassel</v>
      </c>
      <c r="S51" s="265" t="str">
        <f>IF(ResultsInd[[#This Row],[Score_OK]],IF(ResultsInd[[#This Row],[Stage]]="Groups",ResultsInd[[#This Row],[Category]]&amp;"-"&amp;IF(ResultsInd[[#This Row],[Player B]]="","",IF(ResultsInd[[#This Row],[Score-A]]=ResultsInd[[#This Row],[Score-B]],ResultsInd[[#This Row],[Player A]],"")),""),"")</f>
        <v>OPEN-</v>
      </c>
      <c r="T51" s="265" t="str">
        <f>IF(ResultsInd[[#This Row],[Score_OK]],IF(ResultsInd[[#This Row],[Stage]]="Groups",ResultsInd[[#This Row],[Category]]&amp;"-"&amp;IF(ResultsInd[[#This Row],[Player B]]="","",IF(ResultsInd[[#This Row],[Score-A]]=ResultsInd[[#This Row],[Score-B]],ResultsInd[[#This Row],[Player B]],"")),""),"")</f>
        <v>OPEN-</v>
      </c>
      <c r="U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OPEN-Mick Hammonds</v>
      </c>
      <c r="V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OPEN-Mick Hammonds</v>
      </c>
      <c r="X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OPEN-Mick Hammonds</v>
      </c>
      <c r="Y51" s="264" t="str">
        <f>IF(ResultsInd[[#This Row],[Category]]="","",VLOOKUP(ResultsInd[[#This Row],[Stage]],$P$1:$V$9,MATCH(ResultsInd[[#This Row],[Category]],$Q$1:$V$1,0)+1,FALSE))</f>
        <v>PR1</v>
      </c>
      <c r="Z51" s="264" t="str">
        <f>IF(ResultsInd[[#This Row],[Score_OK]],IF(ResultsInd[[#This Row],[Level]]="R",ResultsInd[[#This Row],[Category]]&amp;"-"&amp;IF(ResultsInd[[#This Row],[LoseInKO]]=ResultsInd[[#This Row],[Category]]&amp;"-"&amp;ResultsInd[[#This Row],[Player A]],ResultsInd[[#This Row],[Player B]],ResultsInd[[#This Row],[Player A]]),""),"")</f>
        <v/>
      </c>
      <c r="AB51" s="8"/>
      <c r="AC51" s="12" t="str">
        <f t="shared" ref="AC51:AC56" si="39">IF(AC50="","",AC50)</f>
        <v>OPEN</v>
      </c>
      <c r="AD51" s="309" t="s">
        <v>8202</v>
      </c>
      <c r="AE51" s="320"/>
      <c r="AF51" s="311"/>
      <c r="AG51" s="292">
        <f>IF(AP51="","",SMALL(AH50:AH56,ROWS(AG50:AG51)))</f>
        <v>2004</v>
      </c>
      <c r="AH51" s="293">
        <f>IF(AP51="","",RANK(AL51,AL50:AL56)*1000+ROWS(AH50:AH51))</f>
        <v>4002</v>
      </c>
      <c r="AI51" s="316">
        <f t="shared" si="33"/>
        <v>0</v>
      </c>
      <c r="AJ51" s="415" t="b">
        <f>AND(AO51&lt;&gt;"",AO51&gt;0,COUNTIF(AI50:AI56,AI51)&gt;1)</f>
        <v>0</v>
      </c>
      <c r="AK51" s="316">
        <f t="shared" si="34"/>
        <v>0</v>
      </c>
      <c r="AL51" s="317">
        <f t="shared" si="35"/>
        <v>-169900</v>
      </c>
      <c r="AM51" s="415" t="b">
        <f>AND(AO51&lt;&gt;"",AO51&gt;0,COUNTIF(AL50:AL56,AL51)&gt;1)</f>
        <v>0</v>
      </c>
      <c r="AN51" s="306">
        <f t="shared" si="36"/>
        <v>0</v>
      </c>
      <c r="AO51" s="307">
        <f t="shared" si="37"/>
        <v>3</v>
      </c>
      <c r="AP51" s="307">
        <f>IF(OR(AC49="",AD51=""),"",COUNTIF(ResultsInd[Win],AC49&amp;"-"&amp;AD51))</f>
        <v>0</v>
      </c>
      <c r="AQ51" s="307">
        <f>IF(OR(AC49="",AD51=""),"",COUNTIF(ResultsInd[Draw1],AC49&amp;"-"&amp;AD51)+COUNTIF(ResultsInd[Draw2],AC49&amp;"-"&amp;AD51))</f>
        <v>0</v>
      </c>
      <c r="AR51" s="307">
        <f>IF(OR(AC49="",AD51=""),"",COUNTIF(ResultsInd[Lose],AC49&amp;"-"&amp;AD51))</f>
        <v>3</v>
      </c>
      <c r="AS51" s="307">
        <f>IF(OR(AC49="",AD51=""),"",SUMIFS(ResultsInd[Goal-A],ResultsInd[Category],AC49,ResultsInd[Stage],"Groups",ResultsInd[Player A],AD51)+SUMIFS(ResultsInd[Goal-B],ResultsInd[Category],AC49,ResultsInd[Stage],"Groups",ResultsInd[Player B],AD51))</f>
        <v>1</v>
      </c>
      <c r="AT51" s="307">
        <f>IF(OR(AC49="",AD51=""),"",SUMIFS(ResultsInd[Goal-B],ResultsInd[Category],AC49,ResultsInd[Stage],"Groups",ResultsInd[Player A],AD51)+SUMIFS(ResultsInd[Goal-A],ResultsInd[Category],AC49,ResultsInd[Stage],"Groups",ResultsInd[Player B],AD51))</f>
        <v>18</v>
      </c>
      <c r="AU51" s="308">
        <f t="shared" ref="AU51:AU56" si="40">IF(AP51="","",AS51-AT51)</f>
        <v>-17</v>
      </c>
      <c r="AV51" s="469" t="b">
        <f>IF(AG51="","",OR(VLOOKUP(AG51,AH50:AU56,3,FALSE),VLOOKUP(AG51,AH50:AU56,6,FALSE)))</f>
        <v>0</v>
      </c>
      <c r="AW51" s="298">
        <f t="shared" si="38"/>
        <v>2</v>
      </c>
      <c r="AX51" s="285" t="str">
        <f>IF(AG51="","",INDEX(AD50:AD56,MATCH(AG51,AH50:AH56,0)))</f>
        <v>Christian Fricano</v>
      </c>
      <c r="AY51" s="286">
        <f>IF(AG51="","",VLOOKUP(AG51,AH50:AU56,COLUMN()-COLUMN(AR49),FALSE))</f>
        <v>6</v>
      </c>
      <c r="AZ51" s="286">
        <f>IF(AG51="","",VLOOKUP(AG51,AH50:AU56,COLUMN()-COLUMN(AR49),FALSE))</f>
        <v>3</v>
      </c>
      <c r="BA51" s="286">
        <f>IF(AG51="","",VLOOKUP(AG51,AH50:AU56,COLUMN()-COLUMN(AR49),FALSE))</f>
        <v>2</v>
      </c>
      <c r="BB51" s="286">
        <f>IF(AG51="","",VLOOKUP(AG51,AH50:AU56,COLUMN()-COLUMN(AR49),FALSE))</f>
        <v>0</v>
      </c>
      <c r="BC51" s="286">
        <f>IF(AG51="","",VLOOKUP(AG51,AH50:AU56,COLUMN()-COLUMN(AR49),FALSE))</f>
        <v>1</v>
      </c>
      <c r="BD51" s="286">
        <f>IF(AG51="","",VLOOKUP(AG51,AH50:AU56,COLUMN()-COLUMN(AR49),FALSE))</f>
        <v>8</v>
      </c>
      <c r="BE51" s="286">
        <f>IF(AG51="","",VLOOKUP(AG51,AH50:AU56,COLUMN()-COLUMN(AR49),FALSE))</f>
        <v>8</v>
      </c>
      <c r="BF51" s="301">
        <f>IF(AG51="","",VLOOKUP(AG51,AH50:AU56,COLUMN()-COLUMN(AR49),FALSE))</f>
        <v>0</v>
      </c>
    </row>
    <row r="52" spans="1:58" ht="12" thickBot="1" x14ac:dyDescent="0.25">
      <c r="A52" s="249" t="s">
        <v>890</v>
      </c>
      <c r="B52" s="249" t="s">
        <v>12207</v>
      </c>
      <c r="C52" s="249">
        <v>6</v>
      </c>
      <c r="D52" s="249"/>
      <c r="E52" s="344" t="s">
        <v>8097</v>
      </c>
      <c r="F52" s="344" t="s">
        <v>8680</v>
      </c>
      <c r="G52" s="254">
        <v>7</v>
      </c>
      <c r="H52" s="254">
        <v>0</v>
      </c>
      <c r="I52" s="339"/>
      <c r="J52" s="114"/>
      <c r="K52" s="114"/>
      <c r="L52" s="247"/>
      <c r="M52" s="265" t="b">
        <f>NOT(ISERROR(ResultsInd[[#This Row],[Goal-A]]+ResultsInd[[#This Row],[Goal-B]]))</f>
        <v>1</v>
      </c>
      <c r="N52" s="265">
        <f>VALUE(ResultsInd[[#This Row],[Score-A]])</f>
        <v>7</v>
      </c>
      <c r="O52" s="265">
        <f>VALUE(ResultsInd[[#This Row],[Score-B]])</f>
        <v>0</v>
      </c>
      <c r="P52" s="265">
        <f ca="1">IF(AND(ResultsInd[[#This Row],[Category]]&lt;&gt;"",ResultsInd[[#This Row],[Player A]]&lt;&gt;""),COUNTIF(INDIRECT(ResultsInd[[#This Row],[Category]]&amp;"List[Retained Player Name]"),ResultsInd[[#This Row],[Player A]]),"")</f>
        <v>1</v>
      </c>
      <c r="Q52" s="265">
        <f ca="1">IF(AND(ResultsInd[[#This Row],[Category]]&lt;&gt;"",ResultsInd[[#This Row],[Player B]]&lt;&gt;""),COUNTIF(INDIRECT(ResultsInd[[#This Row],[Category]]&amp;"List[Retained Player Name]"),ResultsInd[[#This Row],[Player B]]),"")</f>
        <v>1</v>
      </c>
      <c r="R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OPEN-Bessim Golger</v>
      </c>
      <c r="S52" s="265" t="str">
        <f>IF(ResultsInd[[#This Row],[Score_OK]],IF(ResultsInd[[#This Row],[Stage]]="Groups",ResultsInd[[#This Row],[Category]]&amp;"-"&amp;IF(ResultsInd[[#This Row],[Player B]]="","",IF(ResultsInd[[#This Row],[Score-A]]=ResultsInd[[#This Row],[Score-B]],ResultsInd[[#This Row],[Player A]],"")),""),"")</f>
        <v>OPEN-</v>
      </c>
      <c r="T52" s="265" t="str">
        <f>IF(ResultsInd[[#This Row],[Score_OK]],IF(ResultsInd[[#This Row],[Stage]]="Groups",ResultsInd[[#This Row],[Category]]&amp;"-"&amp;IF(ResultsInd[[#This Row],[Player B]]="","",IF(ResultsInd[[#This Row],[Score-A]]=ResultsInd[[#This Row],[Score-B]],ResultsInd[[#This Row],[Player B]],"")),""),"")</f>
        <v>OPEN-</v>
      </c>
      <c r="U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 Maso</v>
      </c>
      <c r="V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 Maso</v>
      </c>
      <c r="X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 Maso</v>
      </c>
      <c r="Y52" s="264" t="str">
        <f>IF(ResultsInd[[#This Row],[Category]]="","",VLOOKUP(ResultsInd[[#This Row],[Stage]],$P$1:$V$9,MATCH(ResultsInd[[#This Row],[Category]],$Q$1:$V$1,0)+1,FALSE))</f>
        <v>PR1</v>
      </c>
      <c r="Z52" s="264" t="str">
        <f>IF(ResultsInd[[#This Row],[Score_OK]],IF(ResultsInd[[#This Row],[Level]]="R",ResultsInd[[#This Row],[Category]]&amp;"-"&amp;IF(ResultsInd[[#This Row],[LoseInKO]]=ResultsInd[[#This Row],[Category]]&amp;"-"&amp;ResultsInd[[#This Row],[Player A]],ResultsInd[[#This Row],[Player B]],ResultsInd[[#This Row],[Player A]]),""),"")</f>
        <v/>
      </c>
      <c r="AB52" s="8"/>
      <c r="AC52" s="12" t="str">
        <f t="shared" si="39"/>
        <v>OPEN</v>
      </c>
      <c r="AD52" s="309" t="s">
        <v>13241</v>
      </c>
      <c r="AE52" s="320"/>
      <c r="AF52" s="311"/>
      <c r="AG52" s="292">
        <f>IF(AP52="","",SMALL(AH50:AH56,ROWS(AG50:AG52)))</f>
        <v>3003</v>
      </c>
      <c r="AH52" s="293">
        <f>IF(AP52="","",RANK(AL52,AL50:AL56)*1000+ROWS(AH50:AH52))</f>
        <v>3003</v>
      </c>
      <c r="AI52" s="316">
        <f t="shared" si="33"/>
        <v>3000000000000</v>
      </c>
      <c r="AJ52" s="415" t="b">
        <f>AND(AO52&lt;&gt;"",AO52&gt;0,COUNTIF(AI50:AI56,AI52)&gt;1)</f>
        <v>0</v>
      </c>
      <c r="AK52" s="316">
        <f t="shared" si="34"/>
        <v>0</v>
      </c>
      <c r="AL52" s="317">
        <f t="shared" si="35"/>
        <v>2999999990700</v>
      </c>
      <c r="AM52" s="415" t="b">
        <f>AND(AO52&lt;&gt;"",AO52&gt;0,COUNTIF(AL50:AL56,AL52)&gt;1)</f>
        <v>0</v>
      </c>
      <c r="AN52" s="306">
        <f t="shared" si="36"/>
        <v>3</v>
      </c>
      <c r="AO52" s="307">
        <f t="shared" si="37"/>
        <v>3</v>
      </c>
      <c r="AP52" s="307">
        <f>IF(OR(AC49="",AD52=""),"",COUNTIF(ResultsInd[Win],AC49&amp;"-"&amp;AD52))</f>
        <v>1</v>
      </c>
      <c r="AQ52" s="307">
        <f>IF(OR(AC49="",AD52=""),"",COUNTIF(ResultsInd[Draw1],AC49&amp;"-"&amp;AD52)+COUNTIF(ResultsInd[Draw2],AC49&amp;"-"&amp;AD52))</f>
        <v>0</v>
      </c>
      <c r="AR52" s="307">
        <f>IF(OR(AC49="",AD52=""),"",COUNTIF(ResultsInd[Lose],AC49&amp;"-"&amp;AD52))</f>
        <v>2</v>
      </c>
      <c r="AS52" s="307">
        <f>IF(OR(AC49="",AD52=""),"",SUMIFS(ResultsInd[Goal-A],ResultsInd[Category],AC49,ResultsInd[Stage],"Groups",ResultsInd[Player A],AD52)+SUMIFS(ResultsInd[Goal-B],ResultsInd[Category],AC49,ResultsInd[Stage],"Groups",ResultsInd[Player B],AD52))</f>
        <v>7</v>
      </c>
      <c r="AT52" s="307">
        <f>IF(OR(AC49="",AD52=""),"",SUMIFS(ResultsInd[Goal-B],ResultsInd[Category],AC49,ResultsInd[Stage],"Groups",ResultsInd[Player A],AD52)+SUMIFS(ResultsInd[Goal-A],ResultsInd[Category],AC49,ResultsInd[Stage],"Groups",ResultsInd[Player B],AD52))</f>
        <v>8</v>
      </c>
      <c r="AU52" s="308">
        <f t="shared" si="40"/>
        <v>-1</v>
      </c>
      <c r="AV52" s="469" t="b">
        <f>IF(AG52="","",OR(VLOOKUP(AG52,AH50:AU56,3,FALSE),VLOOKUP(AG52,AH50:AU56,6,FALSE)))</f>
        <v>0</v>
      </c>
      <c r="AW52" s="298">
        <f t="shared" si="38"/>
        <v>3</v>
      </c>
      <c r="AX52" s="285" t="str">
        <f>IF(AG52="","",INDEX(AD50:AD56,MATCH(AG52,AH50:AH56,0)))</f>
        <v>Miguel Pereira</v>
      </c>
      <c r="AY52" s="286">
        <f>IF(AG52="","",VLOOKUP(AG52,AH50:AU56,COLUMN()-COLUMN(AR49),FALSE))</f>
        <v>3</v>
      </c>
      <c r="AZ52" s="286">
        <f>IF(AG52="","",VLOOKUP(AG52,AH50:AU56,COLUMN()-COLUMN(AR49),FALSE))</f>
        <v>3</v>
      </c>
      <c r="BA52" s="286">
        <f>IF(AG52="","",VLOOKUP(AG52,AH50:AU56,COLUMN()-COLUMN(AR49),FALSE))</f>
        <v>1</v>
      </c>
      <c r="BB52" s="286">
        <f>IF(AG52="","",VLOOKUP(AG52,AH50:AU56,COLUMN()-COLUMN(AR49),FALSE))</f>
        <v>0</v>
      </c>
      <c r="BC52" s="286">
        <f>IF(AG52="","",VLOOKUP(AG52,AH50:AU56,COLUMN()-COLUMN(AR49),FALSE))</f>
        <v>2</v>
      </c>
      <c r="BD52" s="286">
        <f>IF(AG52="","",VLOOKUP(AG52,AH50:AU56,COLUMN()-COLUMN(AR49),FALSE))</f>
        <v>7</v>
      </c>
      <c r="BE52" s="286">
        <f>IF(AG52="","",VLOOKUP(AG52,AH50:AU56,COLUMN()-COLUMN(AR49),FALSE))</f>
        <v>8</v>
      </c>
      <c r="BF52" s="301">
        <f>IF(AG52="","",VLOOKUP(AG52,AH50:AU56,COLUMN()-COLUMN(AR49),FALSE))</f>
        <v>-1</v>
      </c>
    </row>
    <row r="53" spans="1:58" ht="12" thickBot="1" x14ac:dyDescent="0.25">
      <c r="A53" s="249" t="s">
        <v>890</v>
      </c>
      <c r="B53" s="249" t="s">
        <v>12207</v>
      </c>
      <c r="C53" s="249">
        <v>6</v>
      </c>
      <c r="D53" s="249"/>
      <c r="E53" s="344" t="s">
        <v>12742</v>
      </c>
      <c r="F53" s="344" t="s">
        <v>13243</v>
      </c>
      <c r="G53" s="254">
        <v>7</v>
      </c>
      <c r="H53" s="254">
        <v>0</v>
      </c>
      <c r="I53" s="339"/>
      <c r="J53" s="114"/>
      <c r="K53" s="114"/>
      <c r="L53" s="247"/>
      <c r="M53" s="265" t="b">
        <f>NOT(ISERROR(ResultsInd[[#This Row],[Goal-A]]+ResultsInd[[#This Row],[Goal-B]]))</f>
        <v>1</v>
      </c>
      <c r="N53" s="265">
        <f>VALUE(ResultsInd[[#This Row],[Score-A]])</f>
        <v>7</v>
      </c>
      <c r="O53" s="265">
        <f>VALUE(ResultsInd[[#This Row],[Score-B]])</f>
        <v>0</v>
      </c>
      <c r="P53" s="265">
        <f ca="1">IF(AND(ResultsInd[[#This Row],[Category]]&lt;&gt;"",ResultsInd[[#This Row],[Player A]]&lt;&gt;""),COUNTIF(INDIRECT(ResultsInd[[#This Row],[Category]]&amp;"List[Retained Player Name]"),ResultsInd[[#This Row],[Player A]]),"")</f>
        <v>1</v>
      </c>
      <c r="Q53" s="265">
        <f ca="1">IF(AND(ResultsInd[[#This Row],[Category]]&lt;&gt;"",ResultsInd[[#This Row],[Player B]]&lt;&gt;""),COUNTIF(INDIRECT(ResultsInd[[#This Row],[Category]]&amp;"List[Retained Player Name]"),ResultsInd[[#This Row],[Player B]]),"")</f>
        <v>1</v>
      </c>
      <c r="R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OPEN-Pietro Di Pietrantonio</v>
      </c>
      <c r="S53" s="265" t="str">
        <f>IF(ResultsInd[[#This Row],[Score_OK]],IF(ResultsInd[[#This Row],[Stage]]="Groups",ResultsInd[[#This Row],[Category]]&amp;"-"&amp;IF(ResultsInd[[#This Row],[Player B]]="","",IF(ResultsInd[[#This Row],[Score-A]]=ResultsInd[[#This Row],[Score-B]],ResultsInd[[#This Row],[Player A]],"")),""),"")</f>
        <v>OPEN-</v>
      </c>
      <c r="T53" s="265" t="str">
        <f>IF(ResultsInd[[#This Row],[Score_OK]],IF(ResultsInd[[#This Row],[Stage]]="Groups",ResultsInd[[#This Row],[Category]]&amp;"-"&amp;IF(ResultsInd[[#This Row],[Player B]]="","",IF(ResultsInd[[#This Row],[Score-A]]=ResultsInd[[#This Row],[Score-B]],ResultsInd[[#This Row],[Player B]],"")),""),"")</f>
        <v>OPEN-</v>
      </c>
      <c r="U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Lacey</v>
      </c>
      <c r="V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OPEN-Thomas Lacey</v>
      </c>
      <c r="X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OPEN-Thomas Lacey</v>
      </c>
      <c r="Y53" s="264" t="str">
        <f>IF(ResultsInd[[#This Row],[Category]]="","",VLOOKUP(ResultsInd[[#This Row],[Stage]],$P$1:$V$9,MATCH(ResultsInd[[#This Row],[Category]],$Q$1:$V$1,0)+1,FALSE))</f>
        <v>PR1</v>
      </c>
      <c r="Z53" s="264" t="str">
        <f>IF(ResultsInd[[#This Row],[Score_OK]],IF(ResultsInd[[#This Row],[Level]]="R",ResultsInd[[#This Row],[Category]]&amp;"-"&amp;IF(ResultsInd[[#This Row],[LoseInKO]]=ResultsInd[[#This Row],[Category]]&amp;"-"&amp;ResultsInd[[#This Row],[Player A]],ResultsInd[[#This Row],[Player B]],ResultsInd[[#This Row],[Player A]]),""),"")</f>
        <v/>
      </c>
      <c r="AB53" s="91"/>
      <c r="AC53" s="12" t="str">
        <f t="shared" si="39"/>
        <v>OPEN</v>
      </c>
      <c r="AD53" s="309" t="s">
        <v>10024</v>
      </c>
      <c r="AE53" s="310"/>
      <c r="AF53" s="311"/>
      <c r="AG53" s="292">
        <f>IF(AP53="","",SMALL(AH50:AH56,ROWS(AG50:AG53)))</f>
        <v>4002</v>
      </c>
      <c r="AH53" s="293">
        <f>IF(AP53="","",RANK(AL53,AL50:AL56)*1000+ROWS(AH50:AH53))</f>
        <v>2004</v>
      </c>
      <c r="AI53" s="316">
        <f t="shared" si="33"/>
        <v>6000000000000</v>
      </c>
      <c r="AJ53" s="415" t="b">
        <f>AND(AO53&lt;&gt;"",AO53&gt;0,COUNTIF(AI50:AI56,AI53)&gt;1)</f>
        <v>0</v>
      </c>
      <c r="AK53" s="316">
        <f t="shared" si="34"/>
        <v>0</v>
      </c>
      <c r="AL53" s="317">
        <f t="shared" si="35"/>
        <v>6000000000800</v>
      </c>
      <c r="AM53" s="415" t="b">
        <f>AND(AO53&lt;&gt;"",AO53&gt;0,COUNTIF(AL50:AL56,AL53)&gt;1)</f>
        <v>0</v>
      </c>
      <c r="AN53" s="306">
        <f t="shared" si="36"/>
        <v>6</v>
      </c>
      <c r="AO53" s="307">
        <f t="shared" si="37"/>
        <v>3</v>
      </c>
      <c r="AP53" s="307">
        <f>IF(OR(AC49="",AD53=""),"",COUNTIF(ResultsInd[Win],AC49&amp;"-"&amp;AD53))</f>
        <v>2</v>
      </c>
      <c r="AQ53" s="307">
        <f>IF(OR(AC49="",AD53=""),"",COUNTIF(ResultsInd[Draw1],AC49&amp;"-"&amp;AD53)+COUNTIF(ResultsInd[Draw2],AC49&amp;"-"&amp;AD53))</f>
        <v>0</v>
      </c>
      <c r="AR53" s="307">
        <f>IF(OR(AC49="",AD53=""),"",COUNTIF(ResultsInd[Lose],AC49&amp;"-"&amp;AD53))</f>
        <v>1</v>
      </c>
      <c r="AS53" s="307">
        <f>IF(OR(AC49="",AD53=""),"",SUMIFS(ResultsInd[Goal-A],ResultsInd[Category],AC49,ResultsInd[Stage],"Groups",ResultsInd[Player A],AD53)+SUMIFS(ResultsInd[Goal-B],ResultsInd[Category],AC49,ResultsInd[Stage],"Groups",ResultsInd[Player B],AD53))</f>
        <v>8</v>
      </c>
      <c r="AT53" s="307">
        <f>IF(OR(AC49="",AD53=""),"",SUMIFS(ResultsInd[Goal-B],ResultsInd[Category],AC49,ResultsInd[Stage],"Groups",ResultsInd[Player A],AD53)+SUMIFS(ResultsInd[Goal-A],ResultsInd[Category],AC49,ResultsInd[Stage],"Groups",ResultsInd[Player B],AD53))</f>
        <v>8</v>
      </c>
      <c r="AU53" s="308">
        <f t="shared" si="40"/>
        <v>0</v>
      </c>
      <c r="AV53" s="469" t="b">
        <f>IF(AG53="","",OR(VLOOKUP(AG53,AH50:AU56,3,FALSE),VLOOKUP(AG53,AH50:AU56,6,FALSE)))</f>
        <v>0</v>
      </c>
      <c r="AW53" s="298">
        <f t="shared" si="38"/>
        <v>4</v>
      </c>
      <c r="AX53" s="285" t="str">
        <f>IF(AG53="","",INDEX(AD50:AD56,MATCH(AG53,AH50:AH56,0)))</f>
        <v>Xavier Outers</v>
      </c>
      <c r="AY53" s="286">
        <f>IF(AG53="","",VLOOKUP(AG53,AH50:AU56,COLUMN()-COLUMN(AR49),FALSE))</f>
        <v>0</v>
      </c>
      <c r="AZ53" s="286">
        <f>IF(AG53="","",VLOOKUP(AG53,AH50:AU56,COLUMN()-COLUMN(AR49),FALSE))</f>
        <v>3</v>
      </c>
      <c r="BA53" s="286">
        <f>IF(AG53="","",VLOOKUP(AG53,AH50:AU56,COLUMN()-COLUMN(AR49),FALSE))</f>
        <v>0</v>
      </c>
      <c r="BB53" s="286">
        <f>IF(AG53="","",VLOOKUP(AG53,AH50:AU56,COLUMN()-COLUMN(AR49),FALSE))</f>
        <v>0</v>
      </c>
      <c r="BC53" s="286">
        <f>IF(AG53="","",VLOOKUP(AG53,AH50:AU56,COLUMN()-COLUMN(AR49),FALSE))</f>
        <v>3</v>
      </c>
      <c r="BD53" s="286">
        <f>IF(AG53="","",VLOOKUP(AG53,AH50:AU56,COLUMN()-COLUMN(AR49),FALSE))</f>
        <v>1</v>
      </c>
      <c r="BE53" s="286">
        <f>IF(AG53="","",VLOOKUP(AG53,AH50:AU56,COLUMN()-COLUMN(AR49),FALSE))</f>
        <v>18</v>
      </c>
      <c r="BF53" s="301">
        <f>IF(AG53="","",VLOOKUP(AG53,AH50:AU56,COLUMN()-COLUMN(AR49),FALSE))</f>
        <v>-17</v>
      </c>
    </row>
    <row r="54" spans="1:58" ht="12" thickBot="1" x14ac:dyDescent="0.25">
      <c r="A54" s="249" t="s">
        <v>890</v>
      </c>
      <c r="B54" s="249" t="s">
        <v>12207</v>
      </c>
      <c r="C54" s="249">
        <v>6</v>
      </c>
      <c r="D54" s="249"/>
      <c r="E54" s="344" t="s">
        <v>8097</v>
      </c>
      <c r="F54" s="344" t="s">
        <v>12742</v>
      </c>
      <c r="G54" s="254">
        <v>5</v>
      </c>
      <c r="H54" s="254">
        <v>2</v>
      </c>
      <c r="I54" s="339"/>
      <c r="J54" s="114"/>
      <c r="K54" s="114"/>
      <c r="L54" s="247"/>
      <c r="M54" s="265" t="b">
        <f>NOT(ISERROR(ResultsInd[[#This Row],[Goal-A]]+ResultsInd[[#This Row],[Goal-B]]))</f>
        <v>1</v>
      </c>
      <c r="N54" s="265">
        <f>VALUE(ResultsInd[[#This Row],[Score-A]])</f>
        <v>5</v>
      </c>
      <c r="O54" s="265">
        <f>VALUE(ResultsInd[[#This Row],[Score-B]])</f>
        <v>2</v>
      </c>
      <c r="P54" s="265">
        <f ca="1">IF(AND(ResultsInd[[#This Row],[Category]]&lt;&gt;"",ResultsInd[[#This Row],[Player A]]&lt;&gt;""),COUNTIF(INDIRECT(ResultsInd[[#This Row],[Category]]&amp;"List[Retained Player Name]"),ResultsInd[[#This Row],[Player A]]),"")</f>
        <v>1</v>
      </c>
      <c r="Q54" s="265">
        <f ca="1">IF(AND(ResultsInd[[#This Row],[Category]]&lt;&gt;"",ResultsInd[[#This Row],[Player B]]&lt;&gt;""),COUNTIF(INDIRECT(ResultsInd[[#This Row],[Category]]&amp;"List[Retained Player Name]"),ResultsInd[[#This Row],[Player B]]),"")</f>
        <v>1</v>
      </c>
      <c r="R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OPEN-Bessim Golger</v>
      </c>
      <c r="S54" s="265" t="str">
        <f>IF(ResultsInd[[#This Row],[Score_OK]],IF(ResultsInd[[#This Row],[Stage]]="Groups",ResultsInd[[#This Row],[Category]]&amp;"-"&amp;IF(ResultsInd[[#This Row],[Player B]]="","",IF(ResultsInd[[#This Row],[Score-A]]=ResultsInd[[#This Row],[Score-B]],ResultsInd[[#This Row],[Player A]],"")),""),"")</f>
        <v>OPEN-</v>
      </c>
      <c r="T54" s="265" t="str">
        <f>IF(ResultsInd[[#This Row],[Score_OK]],IF(ResultsInd[[#This Row],[Stage]]="Groups",ResultsInd[[#This Row],[Category]]&amp;"-"&amp;IF(ResultsInd[[#This Row],[Player B]]="","",IF(ResultsInd[[#This Row],[Score-A]]=ResultsInd[[#This Row],[Score-B]],ResultsInd[[#This Row],[Player B]],"")),""),"")</f>
        <v>OPEN-</v>
      </c>
      <c r="U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OPEN-Pietro Di Pietrantonio</v>
      </c>
      <c r="V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OPEN-Pietro Di Pietrantonio</v>
      </c>
      <c r="X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OPEN-Pietro Di Pietrantonio</v>
      </c>
      <c r="Y54" s="264" t="str">
        <f>IF(ResultsInd[[#This Row],[Category]]="","",VLOOKUP(ResultsInd[[#This Row],[Stage]],$P$1:$V$9,MATCH(ResultsInd[[#This Row],[Category]],$Q$1:$V$1,0)+1,FALSE))</f>
        <v>PR1</v>
      </c>
      <c r="Z54" s="264" t="str">
        <f>IF(ResultsInd[[#This Row],[Score_OK]],IF(ResultsInd[[#This Row],[Level]]="R",ResultsInd[[#This Row],[Category]]&amp;"-"&amp;IF(ResultsInd[[#This Row],[LoseInKO]]=ResultsInd[[#This Row],[Category]]&amp;"-"&amp;ResultsInd[[#This Row],[Player A]],ResultsInd[[#This Row],[Player B]],ResultsInd[[#This Row],[Player A]]),""),"")</f>
        <v/>
      </c>
      <c r="AB54" s="91"/>
      <c r="AC54" s="12" t="str">
        <f t="shared" si="39"/>
        <v>OPEN</v>
      </c>
      <c r="AD54" s="309"/>
      <c r="AE54" s="310"/>
      <c r="AF54" s="311"/>
      <c r="AG54" s="292" t="str">
        <f>IF(AP54="","",SMALL(AH50:AH56,ROWS(AG50:AG54)))</f>
        <v/>
      </c>
      <c r="AH54" s="293" t="str">
        <f>IF(AP54="","",RANK(AL54,AL50:AL56)*1000+ROWS(AH50:AH54))</f>
        <v/>
      </c>
      <c r="AI54" s="316" t="str">
        <f t="shared" si="33"/>
        <v/>
      </c>
      <c r="AJ54" s="415" t="b">
        <f>AND(AO54&lt;&gt;"",AO54&gt;0,COUNTIF(AI50:AI56,AI54)&gt;1)</f>
        <v>0</v>
      </c>
      <c r="AK54" s="316" t="str">
        <f t="shared" si="34"/>
        <v/>
      </c>
      <c r="AL54" s="317" t="str">
        <f t="shared" si="35"/>
        <v/>
      </c>
      <c r="AM54" s="415" t="b">
        <f>AND(AO54&lt;&gt;"",AO54&gt;0,COUNTIF(AL50:AL56,AL54)&gt;1)</f>
        <v>0</v>
      </c>
      <c r="AN54" s="306" t="str">
        <f t="shared" si="36"/>
        <v/>
      </c>
      <c r="AO54" s="307" t="str">
        <f t="shared" si="37"/>
        <v/>
      </c>
      <c r="AP54" s="307" t="str">
        <f>IF(OR(AC49="",AD54=""),"",COUNTIF(ResultsInd[Win],AC49&amp;"-"&amp;AD54))</f>
        <v/>
      </c>
      <c r="AQ54" s="307" t="str">
        <f>IF(OR(AC49="",AD54=""),"",COUNTIF(ResultsInd[Draw1],AC49&amp;"-"&amp;AD54)+COUNTIF(ResultsInd[Draw2],AC49&amp;"-"&amp;AD54))</f>
        <v/>
      </c>
      <c r="AR54" s="307" t="str">
        <f>IF(OR(AC49="",AD54=""),"",COUNTIF(ResultsInd[Lose],AC49&amp;"-"&amp;AD54))</f>
        <v/>
      </c>
      <c r="AS54" s="307" t="str">
        <f>IF(OR(AC49="",AD54=""),"",SUMIFS(ResultsInd[Goal-A],ResultsInd[Category],AC49,ResultsInd[Stage],"Groups",ResultsInd[Player A],AD54)+SUMIFS(ResultsInd[Goal-B],ResultsInd[Category],AC49,ResultsInd[Stage],"Groups",ResultsInd[Player B],AD54))</f>
        <v/>
      </c>
      <c r="AT54" s="307" t="str">
        <f>IF(OR(AC49="",AD54=""),"",SUMIFS(ResultsInd[Goal-B],ResultsInd[Category],AC49,ResultsInd[Stage],"Groups",ResultsInd[Player A],AD54)+SUMIFS(ResultsInd[Goal-A],ResultsInd[Category],AC49,ResultsInd[Stage],"Groups",ResultsInd[Player B],AD54))</f>
        <v/>
      </c>
      <c r="AU54" s="308" t="str">
        <f t="shared" si="40"/>
        <v/>
      </c>
      <c r="AV54" s="469" t="str">
        <f>IF(AG54="","",OR(VLOOKUP(AG54,AH50:AU56,3,FALSE),VLOOKUP(AG54,AH50:AU56,6,FALSE)))</f>
        <v/>
      </c>
      <c r="AW54" s="298" t="str">
        <f t="shared" si="38"/>
        <v/>
      </c>
      <c r="AX54" s="285" t="str">
        <f>IF(AG54="","",INDEX(AD50:AD56,MATCH(AG54,AH50:AH56,0)))</f>
        <v/>
      </c>
      <c r="AY54" s="286" t="str">
        <f>IF(AG54="","",VLOOKUP(AG54,AH50:AU56,COLUMN()-COLUMN(AR49),FALSE))</f>
        <v/>
      </c>
      <c r="AZ54" s="286" t="str">
        <f>IF(AG54="","",VLOOKUP(AG54,AH50:AU56,COLUMN()-COLUMN(AR49),FALSE))</f>
        <v/>
      </c>
      <c r="BA54" s="286" t="str">
        <f>IF(AG54="","",VLOOKUP(AG54,AH50:AU56,COLUMN()-COLUMN(AR49),FALSE))</f>
        <v/>
      </c>
      <c r="BB54" s="286" t="str">
        <f>IF(AG54="","",VLOOKUP(AG54,AH50:AU56,COLUMN()-COLUMN(AR49),FALSE))</f>
        <v/>
      </c>
      <c r="BC54" s="286" t="str">
        <f>IF(AG54="","",VLOOKUP(AG54,AH50:AU56,COLUMN()-COLUMN(AR49),FALSE))</f>
        <v/>
      </c>
      <c r="BD54" s="286" t="str">
        <f>IF(AG54="","",VLOOKUP(AG54,AH50:AU56,COLUMN()-COLUMN(AR49),FALSE))</f>
        <v/>
      </c>
      <c r="BE54" s="286" t="str">
        <f>IF(AG54="","",VLOOKUP(AG54,AH50:AU56,COLUMN()-COLUMN(AR49),FALSE))</f>
        <v/>
      </c>
      <c r="BF54" s="301" t="str">
        <f>IF(AG54="","",VLOOKUP(AG54,AH50:AU56,COLUMN()-COLUMN(AR49),FALSE))</f>
        <v/>
      </c>
    </row>
    <row r="55" spans="1:58" ht="12" thickBot="1" x14ac:dyDescent="0.25">
      <c r="A55" s="249" t="s">
        <v>890</v>
      </c>
      <c r="B55" s="249" t="s">
        <v>12207</v>
      </c>
      <c r="C55" s="249">
        <v>6</v>
      </c>
      <c r="D55" s="249"/>
      <c r="E55" s="344" t="s">
        <v>8680</v>
      </c>
      <c r="F55" s="344" t="s">
        <v>13243</v>
      </c>
      <c r="G55" s="254">
        <v>0</v>
      </c>
      <c r="H55" s="254">
        <v>0</v>
      </c>
      <c r="I55" s="339"/>
      <c r="J55" s="114"/>
      <c r="K55" s="114"/>
      <c r="L55" s="247"/>
      <c r="M55" s="265" t="b">
        <f>NOT(ISERROR(ResultsInd[[#This Row],[Goal-A]]+ResultsInd[[#This Row],[Goal-B]]))</f>
        <v>1</v>
      </c>
      <c r="N55" s="265">
        <f>VALUE(ResultsInd[[#This Row],[Score-A]])</f>
        <v>0</v>
      </c>
      <c r="O55" s="265">
        <f>VALUE(ResultsInd[[#This Row],[Score-B]])</f>
        <v>0</v>
      </c>
      <c r="P55" s="265">
        <f ca="1">IF(AND(ResultsInd[[#This Row],[Category]]&lt;&gt;"",ResultsInd[[#This Row],[Player A]]&lt;&gt;""),COUNTIF(INDIRECT(ResultsInd[[#This Row],[Category]]&amp;"List[Retained Player Name]"),ResultsInd[[#This Row],[Player A]]),"")</f>
        <v>1</v>
      </c>
      <c r="Q55" s="265">
        <f ca="1">IF(AND(ResultsInd[[#This Row],[Category]]&lt;&gt;"",ResultsInd[[#This Row],[Player B]]&lt;&gt;""),COUNTIF(INDIRECT(ResultsInd[[#This Row],[Category]]&amp;"List[Retained Player Name]"),ResultsInd[[#This Row],[Player B]]),"")</f>
        <v>1</v>
      </c>
      <c r="R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55" s="265" t="str">
        <f>IF(ResultsInd[[#This Row],[Score_OK]],IF(ResultsInd[[#This Row],[Stage]]="Groups",ResultsInd[[#This Row],[Category]]&amp;"-"&amp;IF(ResultsInd[[#This Row],[Player B]]="","",IF(ResultsInd[[#This Row],[Score-A]]=ResultsInd[[#This Row],[Score-B]],ResultsInd[[#This Row],[Player A]],"")),""),"")</f>
        <v>OPEN-Xavi Maso</v>
      </c>
      <c r="T55" s="265" t="str">
        <f>IF(ResultsInd[[#This Row],[Score_OK]],IF(ResultsInd[[#This Row],[Stage]]="Groups",ResultsInd[[#This Row],[Category]]&amp;"-"&amp;IF(ResultsInd[[#This Row],[Player B]]="","",IF(ResultsInd[[#This Row],[Score-A]]=ResultsInd[[#This Row],[Score-B]],ResultsInd[[#This Row],[Player B]],"")),""),"")</f>
        <v>OPEN-Thomas Lacey</v>
      </c>
      <c r="U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 Maso</v>
      </c>
      <c r="X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OPEN-Thomas Lacey</v>
      </c>
      <c r="Y55" s="264" t="str">
        <f>IF(ResultsInd[[#This Row],[Category]]="","",VLOOKUP(ResultsInd[[#This Row],[Stage]],$P$1:$V$9,MATCH(ResultsInd[[#This Row],[Category]],$Q$1:$V$1,0)+1,FALSE))</f>
        <v>PR1</v>
      </c>
      <c r="Z55" s="264" t="str">
        <f>IF(ResultsInd[[#This Row],[Score_OK]],IF(ResultsInd[[#This Row],[Level]]="R",ResultsInd[[#This Row],[Category]]&amp;"-"&amp;IF(ResultsInd[[#This Row],[LoseInKO]]=ResultsInd[[#This Row],[Category]]&amp;"-"&amp;ResultsInd[[#This Row],[Player A]],ResultsInd[[#This Row],[Player B]],ResultsInd[[#This Row],[Player A]]),""),"")</f>
        <v/>
      </c>
      <c r="AB55" s="8"/>
      <c r="AC55" s="12" t="str">
        <f t="shared" si="39"/>
        <v>OPEN</v>
      </c>
      <c r="AD55" s="309"/>
      <c r="AE55" s="310"/>
      <c r="AF55" s="311"/>
      <c r="AG55" s="292" t="str">
        <f>IF(AP55="","",SMALL(AH50:AH56,ROWS(AG50:AG55)))</f>
        <v/>
      </c>
      <c r="AH55" s="293" t="str">
        <f>IF(AP55="","",RANK(AL55,AL50:AL56)*1000+ROWS(AH50:AH55))</f>
        <v/>
      </c>
      <c r="AI55" s="316" t="str">
        <f t="shared" si="33"/>
        <v/>
      </c>
      <c r="AJ55" s="415" t="b">
        <f>AND(AO55&lt;&gt;"",AO55&gt;0,COUNTIF(AI50:AI56,AI55)&gt;1)</f>
        <v>0</v>
      </c>
      <c r="AK55" s="316" t="str">
        <f t="shared" si="34"/>
        <v/>
      </c>
      <c r="AL55" s="317" t="str">
        <f t="shared" si="35"/>
        <v/>
      </c>
      <c r="AM55" s="415" t="b">
        <f>AND(AO55&lt;&gt;"",AO55&gt;0,COUNTIF(AL50:AL56,AL55)&gt;1)</f>
        <v>0</v>
      </c>
      <c r="AN55" s="306" t="str">
        <f t="shared" si="36"/>
        <v/>
      </c>
      <c r="AO55" s="307" t="str">
        <f t="shared" si="37"/>
        <v/>
      </c>
      <c r="AP55" s="307" t="str">
        <f>IF(OR(AC49="",AD55=""),"",COUNTIF(ResultsInd[Win],AC49&amp;"-"&amp;AD55))</f>
        <v/>
      </c>
      <c r="AQ55" s="307" t="str">
        <f>IF(OR(AC49="",AD55=""),"",COUNTIF(ResultsInd[Draw1],AC49&amp;"-"&amp;AD55)+COUNTIF(ResultsInd[Draw2],AC49&amp;"-"&amp;AD55))</f>
        <v/>
      </c>
      <c r="AR55" s="307" t="str">
        <f>IF(OR(AC49="",AD55=""),"",COUNTIF(ResultsInd[Lose],AC49&amp;"-"&amp;AD55))</f>
        <v/>
      </c>
      <c r="AS55" s="307" t="str">
        <f>IF(OR(AC49="",AD55=""),"",SUMIFS(ResultsInd[Goal-A],ResultsInd[Category],AC49,ResultsInd[Stage],"Groups",ResultsInd[Player A],AD55)+SUMIFS(ResultsInd[Goal-B],ResultsInd[Category],AC49,ResultsInd[Stage],"Groups",ResultsInd[Player B],AD55))</f>
        <v/>
      </c>
      <c r="AT55" s="307" t="str">
        <f>IF(OR(AC49="",AD55=""),"",SUMIFS(ResultsInd[Goal-B],ResultsInd[Category],AC49,ResultsInd[Stage],"Groups",ResultsInd[Player A],AD55)+SUMIFS(ResultsInd[Goal-A],ResultsInd[Category],AC49,ResultsInd[Stage],"Groups",ResultsInd[Player B],AD55))</f>
        <v/>
      </c>
      <c r="AU55" s="308" t="str">
        <f t="shared" si="40"/>
        <v/>
      </c>
      <c r="AV55" s="469" t="str">
        <f>IF(AG55="","",OR(VLOOKUP(AG55,AH50:AU56,3,FALSE),VLOOKUP(AG55,AH50:AU56,6,FALSE)))</f>
        <v/>
      </c>
      <c r="AW55" s="298" t="str">
        <f t="shared" si="38"/>
        <v/>
      </c>
      <c r="AX55" s="285" t="str">
        <f>IF(AG55="","",INDEX(AD50:AD56,MATCH(AG55,AH50:AH56,0)))</f>
        <v/>
      </c>
      <c r="AY55" s="286" t="str">
        <f>IF(AG55="","",VLOOKUP(AG55,AH50:AU56,COLUMN()-COLUMN(AR49),FALSE))</f>
        <v/>
      </c>
      <c r="AZ55" s="286" t="str">
        <f>IF(AG55="","",VLOOKUP(AG55,AH50:AU56,COLUMN()-COLUMN(AR49),FALSE))</f>
        <v/>
      </c>
      <c r="BA55" s="286" t="str">
        <f>IF(AG55="","",VLOOKUP(AG55,AH50:AU56,COLUMN()-COLUMN(AR49),FALSE))</f>
        <v/>
      </c>
      <c r="BB55" s="286" t="str">
        <f>IF(AG55="","",VLOOKUP(AG55,AH50:AU56,COLUMN()-COLUMN(AR49),FALSE))</f>
        <v/>
      </c>
      <c r="BC55" s="286" t="str">
        <f>IF(AG55="","",VLOOKUP(AG55,AH50:AU56,COLUMN()-COLUMN(AR49),FALSE))</f>
        <v/>
      </c>
      <c r="BD55" s="286" t="str">
        <f>IF(AG55="","",VLOOKUP(AG55,AH50:AU56,COLUMN()-COLUMN(AR49),FALSE))</f>
        <v/>
      </c>
      <c r="BE55" s="286" t="str">
        <f>IF(AG55="","",VLOOKUP(AG55,AH50:AU56,COLUMN()-COLUMN(AR49),FALSE))</f>
        <v/>
      </c>
      <c r="BF55" s="301" t="str">
        <f>IF(AG55="","",VLOOKUP(AG55,AH50:AU56,COLUMN()-COLUMN(AR49),FALSE))</f>
        <v/>
      </c>
    </row>
    <row r="56" spans="1:58" ht="12" thickBot="1" x14ac:dyDescent="0.25">
      <c r="A56" s="249" t="s">
        <v>890</v>
      </c>
      <c r="B56" s="249" t="s">
        <v>12207</v>
      </c>
      <c r="C56" s="62">
        <v>6</v>
      </c>
      <c r="D56" s="62"/>
      <c r="E56" s="345" t="s">
        <v>13243</v>
      </c>
      <c r="F56" s="345" t="s">
        <v>8097</v>
      </c>
      <c r="G56" s="113">
        <v>0</v>
      </c>
      <c r="H56" s="113">
        <v>9</v>
      </c>
      <c r="I56" s="114"/>
      <c r="J56" s="114"/>
      <c r="K56" s="114"/>
      <c r="L56" s="81"/>
      <c r="M56" s="265" t="b">
        <f>NOT(ISERROR(ResultsInd[[#This Row],[Goal-A]]+ResultsInd[[#This Row],[Goal-B]]))</f>
        <v>1</v>
      </c>
      <c r="N56" s="265">
        <f>VALUE(ResultsInd[[#This Row],[Score-A]])</f>
        <v>0</v>
      </c>
      <c r="O56" s="265">
        <f>VALUE(ResultsInd[[#This Row],[Score-B]])</f>
        <v>9</v>
      </c>
      <c r="P56" s="265">
        <f ca="1">IF(AND(ResultsInd[[#This Row],[Category]]&lt;&gt;"",ResultsInd[[#This Row],[Player A]]&lt;&gt;""),COUNTIF(INDIRECT(ResultsInd[[#This Row],[Category]]&amp;"List[Retained Player Name]"),ResultsInd[[#This Row],[Player A]]),"")</f>
        <v>1</v>
      </c>
      <c r="Q56" s="265">
        <f ca="1">IF(AND(ResultsInd[[#This Row],[Category]]&lt;&gt;"",ResultsInd[[#This Row],[Player B]]&lt;&gt;""),COUNTIF(INDIRECT(ResultsInd[[#This Row],[Category]]&amp;"List[Retained Player Name]"),ResultsInd[[#This Row],[Player B]]),"")</f>
        <v>1</v>
      </c>
      <c r="R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OPEN-Bessim Golger</v>
      </c>
      <c r="S56" s="265" t="str">
        <f>IF(ResultsInd[[#This Row],[Score_OK]],IF(ResultsInd[[#This Row],[Stage]]="Groups",ResultsInd[[#This Row],[Category]]&amp;"-"&amp;IF(ResultsInd[[#This Row],[Player B]]="","",IF(ResultsInd[[#This Row],[Score-A]]=ResultsInd[[#This Row],[Score-B]],ResultsInd[[#This Row],[Player A]],"")),""),"")</f>
        <v>OPEN-</v>
      </c>
      <c r="T56" s="265" t="str">
        <f>IF(ResultsInd[[#This Row],[Score_OK]],IF(ResultsInd[[#This Row],[Stage]]="Groups",ResultsInd[[#This Row],[Category]]&amp;"-"&amp;IF(ResultsInd[[#This Row],[Player B]]="","",IF(ResultsInd[[#This Row],[Score-A]]=ResultsInd[[#This Row],[Score-B]],ResultsInd[[#This Row],[Player B]],"")),""),"")</f>
        <v>OPEN-</v>
      </c>
      <c r="U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Lacey</v>
      </c>
      <c r="V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OPEN-Thomas Lacey</v>
      </c>
      <c r="X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OPEN-Thomas Lacey</v>
      </c>
      <c r="Y56" s="264" t="str">
        <f>IF(ResultsInd[[#This Row],[Category]]="","",VLOOKUP(ResultsInd[[#This Row],[Stage]],$P$1:$V$9,MATCH(ResultsInd[[#This Row],[Category]],$Q$1:$V$1,0)+1,FALSE))</f>
        <v>PR1</v>
      </c>
      <c r="Z56" s="264" t="str">
        <f>IF(ResultsInd[[#This Row],[Score_OK]],IF(ResultsInd[[#This Row],[Level]]="R",ResultsInd[[#This Row],[Category]]&amp;"-"&amp;IF(ResultsInd[[#This Row],[LoseInKO]]=ResultsInd[[#This Row],[Category]]&amp;"-"&amp;ResultsInd[[#This Row],[Player A]],ResultsInd[[#This Row],[Player B]],ResultsInd[[#This Row],[Player A]]),""),"")</f>
        <v/>
      </c>
      <c r="AB56" s="8"/>
      <c r="AC56" s="12" t="str">
        <f t="shared" si="39"/>
        <v>OPEN</v>
      </c>
      <c r="AD56" s="312"/>
      <c r="AE56" s="313"/>
      <c r="AF56" s="314"/>
      <c r="AG56" s="294" t="str">
        <f>IF(AP56="","",SMALL(AH50:AH56,ROWS(AG50:AG56)))</f>
        <v/>
      </c>
      <c r="AH56" s="295" t="str">
        <f>IF(AP56="","",RANK(AL56,AL50:AL56)*1000+ROWS(AH50:AH56))</f>
        <v/>
      </c>
      <c r="AI56" s="318" t="str">
        <f t="shared" si="33"/>
        <v/>
      </c>
      <c r="AJ56" s="416" t="b">
        <f>AND(AO56&lt;&gt;"",AO56&gt;0,COUNTIF(AI50:AI56,AI56)&gt;1)</f>
        <v>0</v>
      </c>
      <c r="AK56" s="318" t="str">
        <f t="shared" si="34"/>
        <v/>
      </c>
      <c r="AL56" s="319" t="str">
        <f t="shared" si="35"/>
        <v/>
      </c>
      <c r="AM56" s="416" t="b">
        <f>AND(AO56&lt;&gt;"",AO56&gt;0,COUNTIF(AL50:AL56,AL56)&gt;1)</f>
        <v>0</v>
      </c>
      <c r="AN56" s="306" t="str">
        <f t="shared" si="36"/>
        <v/>
      </c>
      <c r="AO56" s="307" t="str">
        <f t="shared" si="37"/>
        <v/>
      </c>
      <c r="AP56" s="307" t="str">
        <f>IF(OR(AC49="",AD56=""),"",COUNTIF(ResultsInd[Win],AC49&amp;"-"&amp;AD56))</f>
        <v/>
      </c>
      <c r="AQ56" s="307" t="str">
        <f>IF(OR(AC49="",AD56=""),"",COUNTIF(ResultsInd[Draw1],AC49&amp;"-"&amp;AD56)+COUNTIF(ResultsInd[Draw2],AC49&amp;"-"&amp;AD56))</f>
        <v/>
      </c>
      <c r="AR56" s="307" t="str">
        <f>IF(OR(AC49="",AD56=""),"",COUNTIF(ResultsInd[Lose],AC49&amp;"-"&amp;AD56))</f>
        <v/>
      </c>
      <c r="AS56" s="307" t="str">
        <f>IF(OR(AC49="",AD56=""),"",SUMIFS(ResultsInd[Goal-A],ResultsInd[Category],AC49,ResultsInd[Stage],"Groups",ResultsInd[Player A],AD56)+SUMIFS(ResultsInd[Goal-B],ResultsInd[Category],AC49,ResultsInd[Stage],"Groups",ResultsInd[Player B],AD56))</f>
        <v/>
      </c>
      <c r="AT56" s="307" t="str">
        <f>IF(OR(AC49="",AD56=""),"",SUMIFS(ResultsInd[Goal-B],ResultsInd[Category],AC49,ResultsInd[Stage],"Groups",ResultsInd[Player A],AD56)+SUMIFS(ResultsInd[Goal-A],ResultsInd[Category],AC49,ResultsInd[Stage],"Groups",ResultsInd[Player B],AD56))</f>
        <v/>
      </c>
      <c r="AU56" s="308" t="str">
        <f t="shared" si="40"/>
        <v/>
      </c>
      <c r="AV56" s="469" t="str">
        <f>IF(AG56="","",OR(VLOOKUP(AG56,AH50:AU56,3,FALSE),VLOOKUP(AG56,AH50:AU56,6,FALSE)))</f>
        <v/>
      </c>
      <c r="AW56" s="299" t="str">
        <f t="shared" si="38"/>
        <v/>
      </c>
      <c r="AX56" s="287" t="str">
        <f>IF(AG56="","",INDEX(AD50:AD56,MATCH(AG56,AH50:AH56,0)))</f>
        <v/>
      </c>
      <c r="AY56" s="288" t="str">
        <f>IF(AG56="","",VLOOKUP(AG56,AH50:AU56,COLUMN()-COLUMN(AR49),FALSE))</f>
        <v/>
      </c>
      <c r="AZ56" s="288" t="str">
        <f>IF(AG56="","",VLOOKUP(AG56,AH50:AU56,COLUMN()-COLUMN(AR49),FALSE))</f>
        <v/>
      </c>
      <c r="BA56" s="288" t="str">
        <f>IF(AG56="","",VLOOKUP(AG56,AH50:AU56,COLUMN()-COLUMN(AR49),FALSE))</f>
        <v/>
      </c>
      <c r="BB56" s="288" t="str">
        <f>IF(AG56="","",VLOOKUP(AG56,AH50:AU56,COLUMN()-COLUMN(AR49),FALSE))</f>
        <v/>
      </c>
      <c r="BC56" s="288" t="str">
        <f>IF(AG56="","",VLOOKUP(AG56,AH50:AU56,COLUMN()-COLUMN(AR49),FALSE))</f>
        <v/>
      </c>
      <c r="BD56" s="288" t="str">
        <f>IF(AG56="","",VLOOKUP(AG56,AH50:AU56,COLUMN()-COLUMN(AR49),FALSE))</f>
        <v/>
      </c>
      <c r="BE56" s="288" t="str">
        <f>IF(AG56="","",VLOOKUP(AG56,AH50:AU56,COLUMN()-COLUMN(AR49),FALSE))</f>
        <v/>
      </c>
      <c r="BF56" s="302" t="str">
        <f>IF(AG56="","",VLOOKUP(AG56,AH50:AU56,COLUMN()-COLUMN(AR49),FALSE))</f>
        <v/>
      </c>
    </row>
    <row r="57" spans="1:58" ht="13.5" thickBot="1" x14ac:dyDescent="0.25">
      <c r="A57" s="249" t="s">
        <v>890</v>
      </c>
      <c r="B57" s="249" t="s">
        <v>12207</v>
      </c>
      <c r="C57" s="62">
        <v>6</v>
      </c>
      <c r="D57" s="62"/>
      <c r="E57" s="345" t="s">
        <v>8680</v>
      </c>
      <c r="F57" s="345" t="s">
        <v>12742</v>
      </c>
      <c r="G57" s="113">
        <v>5</v>
      </c>
      <c r="H57" s="113">
        <v>0</v>
      </c>
      <c r="I57" s="114"/>
      <c r="J57" s="114"/>
      <c r="K57" s="114"/>
      <c r="L57" s="81"/>
      <c r="M57" s="265" t="b">
        <f>NOT(ISERROR(ResultsInd[[#This Row],[Goal-A]]+ResultsInd[[#This Row],[Goal-B]]))</f>
        <v>1</v>
      </c>
      <c r="N57" s="265">
        <f>VALUE(ResultsInd[[#This Row],[Score-A]])</f>
        <v>5</v>
      </c>
      <c r="O57" s="265">
        <f>VALUE(ResultsInd[[#This Row],[Score-B]])</f>
        <v>0</v>
      </c>
      <c r="P57" s="265">
        <f ca="1">IF(AND(ResultsInd[[#This Row],[Category]]&lt;&gt;"",ResultsInd[[#This Row],[Player A]]&lt;&gt;""),COUNTIF(INDIRECT(ResultsInd[[#This Row],[Category]]&amp;"List[Retained Player Name]"),ResultsInd[[#This Row],[Player A]]),"")</f>
        <v>1</v>
      </c>
      <c r="Q57" s="265">
        <f ca="1">IF(AND(ResultsInd[[#This Row],[Category]]&lt;&gt;"",ResultsInd[[#This Row],[Player B]]&lt;&gt;""),COUNTIF(INDIRECT(ResultsInd[[#This Row],[Category]]&amp;"List[Retained Player Name]"),ResultsInd[[#This Row],[Player B]]),"")</f>
        <v>1</v>
      </c>
      <c r="R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OPEN-Xavi Maso</v>
      </c>
      <c r="S57" s="265" t="str">
        <f>IF(ResultsInd[[#This Row],[Score_OK]],IF(ResultsInd[[#This Row],[Stage]]="Groups",ResultsInd[[#This Row],[Category]]&amp;"-"&amp;IF(ResultsInd[[#This Row],[Player B]]="","",IF(ResultsInd[[#This Row],[Score-A]]=ResultsInd[[#This Row],[Score-B]],ResultsInd[[#This Row],[Player A]],"")),""),"")</f>
        <v>OPEN-</v>
      </c>
      <c r="T57" s="265" t="str">
        <f>IF(ResultsInd[[#This Row],[Score_OK]],IF(ResultsInd[[#This Row],[Stage]]="Groups",ResultsInd[[#This Row],[Category]]&amp;"-"&amp;IF(ResultsInd[[#This Row],[Player B]]="","",IF(ResultsInd[[#This Row],[Score-A]]=ResultsInd[[#This Row],[Score-B]],ResultsInd[[#This Row],[Player B]],"")),""),"")</f>
        <v>OPEN-</v>
      </c>
      <c r="U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OPEN-Pietro Di Pietrantonio</v>
      </c>
      <c r="V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OPEN-Pietro Di Pietrantonio</v>
      </c>
      <c r="X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OPEN-Pietro Di Pietrantonio</v>
      </c>
      <c r="Y57" s="264" t="str">
        <f>IF(ResultsInd[[#This Row],[Category]]="","",VLOOKUP(ResultsInd[[#This Row],[Stage]],$P$1:$V$9,MATCH(ResultsInd[[#This Row],[Category]],$Q$1:$V$1,0)+1,FALSE))</f>
        <v>PR1</v>
      </c>
      <c r="Z57" s="264" t="str">
        <f>IF(ResultsInd[[#This Row],[Score_OK]],IF(ResultsInd[[#This Row],[Level]]="R",ResultsInd[[#This Row],[Category]]&amp;"-"&amp;IF(ResultsInd[[#This Row],[LoseInKO]]=ResultsInd[[#This Row],[Category]]&amp;"-"&amp;ResultsInd[[#This Row],[Player A]],ResultsInd[[#This Row],[Player B]],ResultsInd[[#This Row],[Player A]]),""),"")</f>
        <v/>
      </c>
      <c r="AB57" s="8"/>
      <c r="AC57" s="8"/>
      <c r="AF57" s="170"/>
      <c r="AG57" s="101"/>
      <c r="AH57" s="101"/>
      <c r="AN57" s="170"/>
      <c r="AO57" s="170"/>
      <c r="AP57" s="170"/>
      <c r="AQ57" s="172"/>
      <c r="AR57" s="173"/>
      <c r="AS57" s="173"/>
      <c r="AT57" s="173"/>
      <c r="AU57" s="101"/>
      <c r="AV57" s="101"/>
      <c r="AW57" s="101"/>
      <c r="AX57" s="101"/>
      <c r="AY57" s="101"/>
      <c r="AZ57" s="101"/>
    </row>
    <row r="58" spans="1:58" ht="12" thickBot="1" x14ac:dyDescent="0.25">
      <c r="A58" s="249" t="s">
        <v>890</v>
      </c>
      <c r="B58" s="249" t="s">
        <v>12207</v>
      </c>
      <c r="C58" s="62">
        <v>7</v>
      </c>
      <c r="D58" s="62"/>
      <c r="E58" s="345" t="s">
        <v>8874</v>
      </c>
      <c r="F58" s="345" t="s">
        <v>10088</v>
      </c>
      <c r="G58" s="113">
        <v>1</v>
      </c>
      <c r="H58" s="113">
        <v>1</v>
      </c>
      <c r="I58" s="114"/>
      <c r="J58" s="114"/>
      <c r="K58" s="114"/>
      <c r="L58" s="81"/>
      <c r="M58" s="265" t="b">
        <f>NOT(ISERROR(ResultsInd[[#This Row],[Goal-A]]+ResultsInd[[#This Row],[Goal-B]]))</f>
        <v>1</v>
      </c>
      <c r="N58" s="265">
        <f>VALUE(ResultsInd[[#This Row],[Score-A]])</f>
        <v>1</v>
      </c>
      <c r="O58" s="265">
        <f>VALUE(ResultsInd[[#This Row],[Score-B]])</f>
        <v>1</v>
      </c>
      <c r="P58" s="265">
        <f ca="1">IF(AND(ResultsInd[[#This Row],[Category]]&lt;&gt;"",ResultsInd[[#This Row],[Player A]]&lt;&gt;""),COUNTIF(INDIRECT(ResultsInd[[#This Row],[Category]]&amp;"List[Retained Player Name]"),ResultsInd[[#This Row],[Player A]]),"")</f>
        <v>1</v>
      </c>
      <c r="Q58" s="265">
        <f ca="1">IF(AND(ResultsInd[[#This Row],[Category]]&lt;&gt;"",ResultsInd[[#This Row],[Player B]]&lt;&gt;""),COUNTIF(INDIRECT(ResultsInd[[#This Row],[Category]]&amp;"List[Retained Player Name]"),ResultsInd[[#This Row],[Player B]]),"")</f>
        <v>1</v>
      </c>
      <c r="R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58" s="265" t="str">
        <f>IF(ResultsInd[[#This Row],[Score_OK]],IF(ResultsInd[[#This Row],[Stage]]="Groups",ResultsInd[[#This Row],[Category]]&amp;"-"&amp;IF(ResultsInd[[#This Row],[Player B]]="","",IF(ResultsInd[[#This Row],[Score-A]]=ResultsInd[[#This Row],[Score-B]],ResultsInd[[#This Row],[Player A]],"")),""),"")</f>
        <v>OPEN-Alberto Di Maggio</v>
      </c>
      <c r="T58" s="265" t="str">
        <f>IF(ResultsInd[[#This Row],[Score_OK]],IF(ResultsInd[[#This Row],[Stage]]="Groups",ResultsInd[[#This Row],[Category]]&amp;"-"&amp;IF(ResultsInd[[#This Row],[Player B]]="","",IF(ResultsInd[[#This Row],[Score-A]]=ResultsInd[[#This Row],[Score-B]],ResultsInd[[#This Row],[Player B]],"")),""),"")</f>
        <v>OPEN-Luigi Di Vito</v>
      </c>
      <c r="U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OPEN-Alberto Di Maggio</v>
      </c>
      <c r="X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OPEN-Luigi Di Vito</v>
      </c>
      <c r="Y58" s="264" t="str">
        <f>IF(ResultsInd[[#This Row],[Category]]="","",VLOOKUP(ResultsInd[[#This Row],[Stage]],$P$1:$V$9,MATCH(ResultsInd[[#This Row],[Category]],$Q$1:$V$1,0)+1,FALSE))</f>
        <v>PR1</v>
      </c>
      <c r="Z58" s="264" t="str">
        <f>IF(ResultsInd[[#This Row],[Score_OK]],IF(ResultsInd[[#This Row],[Level]]="R",ResultsInd[[#This Row],[Category]]&amp;"-"&amp;IF(ResultsInd[[#This Row],[LoseInKO]]=ResultsInd[[#This Row],[Category]]&amp;"-"&amp;ResultsInd[[#This Row],[Player A]],ResultsInd[[#This Row],[Player B]],ResultsInd[[#This Row],[Player A]]),""),"")</f>
        <v/>
      </c>
      <c r="AB58" s="281">
        <v>5</v>
      </c>
      <c r="AC58" s="315" t="s">
        <v>890</v>
      </c>
      <c r="AD58" s="289" t="s">
        <v>14439</v>
      </c>
      <c r="AE58" s="290" t="s">
        <v>12279</v>
      </c>
      <c r="AF58" s="284" t="s">
        <v>12275</v>
      </c>
      <c r="AG58" s="296" t="s">
        <v>12276</v>
      </c>
      <c r="AH58" s="291" t="s">
        <v>12271</v>
      </c>
      <c r="AI58" s="291" t="s">
        <v>12272</v>
      </c>
      <c r="AJ58" s="414" t="s">
        <v>13154</v>
      </c>
      <c r="AK58" s="291" t="s">
        <v>12273</v>
      </c>
      <c r="AL58" s="297" t="s">
        <v>12274</v>
      </c>
      <c r="AM58" s="414" t="s">
        <v>13154</v>
      </c>
      <c r="AN58" s="303" t="s">
        <v>12199</v>
      </c>
      <c r="AO58" s="304" t="s">
        <v>12200</v>
      </c>
      <c r="AP58" s="304" t="s">
        <v>12201</v>
      </c>
      <c r="AQ58" s="304" t="s">
        <v>12202</v>
      </c>
      <c r="AR58" s="304" t="s">
        <v>12203</v>
      </c>
      <c r="AS58" s="304" t="s">
        <v>12204</v>
      </c>
      <c r="AT58" s="304" t="s">
        <v>12205</v>
      </c>
      <c r="AU58" s="305" t="s">
        <v>12206</v>
      </c>
      <c r="AV58" s="468"/>
      <c r="AW58" s="282" t="s">
        <v>12276</v>
      </c>
      <c r="AX58" s="282" t="s">
        <v>12280</v>
      </c>
      <c r="AY58" s="283" t="s">
        <v>12199</v>
      </c>
      <c r="AZ58" s="283" t="s">
        <v>12200</v>
      </c>
      <c r="BA58" s="283" t="s">
        <v>12201</v>
      </c>
      <c r="BB58" s="283" t="s">
        <v>12202</v>
      </c>
      <c r="BC58" s="283" t="s">
        <v>12203</v>
      </c>
      <c r="BD58" s="283" t="s">
        <v>12204</v>
      </c>
      <c r="BE58" s="283" t="s">
        <v>12205</v>
      </c>
      <c r="BF58" s="300" t="s">
        <v>12206</v>
      </c>
    </row>
    <row r="59" spans="1:58" ht="12" thickBot="1" x14ac:dyDescent="0.25">
      <c r="A59" s="249" t="s">
        <v>890</v>
      </c>
      <c r="B59" s="249" t="s">
        <v>12207</v>
      </c>
      <c r="C59" s="62">
        <v>7</v>
      </c>
      <c r="D59" s="62"/>
      <c r="E59" s="345" t="s">
        <v>10088</v>
      </c>
      <c r="F59" s="345" t="s">
        <v>8167</v>
      </c>
      <c r="G59" s="113">
        <v>4</v>
      </c>
      <c r="H59" s="113">
        <v>1</v>
      </c>
      <c r="I59" s="114"/>
      <c r="J59" s="114"/>
      <c r="K59" s="114"/>
      <c r="L59" s="81"/>
      <c r="M59" s="265" t="b">
        <f>NOT(ISERROR(ResultsInd[[#This Row],[Goal-A]]+ResultsInd[[#This Row],[Goal-B]]))</f>
        <v>1</v>
      </c>
      <c r="N59" s="265">
        <f>VALUE(ResultsInd[[#This Row],[Score-A]])</f>
        <v>4</v>
      </c>
      <c r="O59" s="265">
        <f>VALUE(ResultsInd[[#This Row],[Score-B]])</f>
        <v>1</v>
      </c>
      <c r="P59" s="265">
        <f ca="1">IF(AND(ResultsInd[[#This Row],[Category]]&lt;&gt;"",ResultsInd[[#This Row],[Player A]]&lt;&gt;""),COUNTIF(INDIRECT(ResultsInd[[#This Row],[Category]]&amp;"List[Retained Player Name]"),ResultsInd[[#This Row],[Player A]]),"")</f>
        <v>1</v>
      </c>
      <c r="Q59" s="265">
        <f ca="1">IF(AND(ResultsInd[[#This Row],[Category]]&lt;&gt;"",ResultsInd[[#This Row],[Player B]]&lt;&gt;""),COUNTIF(INDIRECT(ResultsInd[[#This Row],[Category]]&amp;"List[Retained Player Name]"),ResultsInd[[#This Row],[Player B]]),"")</f>
        <v>1</v>
      </c>
      <c r="R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OPEN-Luigi Di Vito</v>
      </c>
      <c r="S59" s="265" t="str">
        <f>IF(ResultsInd[[#This Row],[Score_OK]],IF(ResultsInd[[#This Row],[Stage]]="Groups",ResultsInd[[#This Row],[Category]]&amp;"-"&amp;IF(ResultsInd[[#This Row],[Player B]]="","",IF(ResultsInd[[#This Row],[Score-A]]=ResultsInd[[#This Row],[Score-B]],ResultsInd[[#This Row],[Player A]],"")),""),"")</f>
        <v>OPEN-</v>
      </c>
      <c r="T59" s="265" t="str">
        <f>IF(ResultsInd[[#This Row],[Score_OK]],IF(ResultsInd[[#This Row],[Stage]]="Groups",ResultsInd[[#This Row],[Category]]&amp;"-"&amp;IF(ResultsInd[[#This Row],[Player B]]="","",IF(ResultsInd[[#This Row],[Score-A]]=ResultsInd[[#This Row],[Score-B]],ResultsInd[[#This Row],[Player B]],"")),""),"")</f>
        <v>OPEN-</v>
      </c>
      <c r="U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Denne</v>
      </c>
      <c r="V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X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Y59" s="264" t="str">
        <f>IF(ResultsInd[[#This Row],[Category]]="","",VLOOKUP(ResultsInd[[#This Row],[Stage]],$P$1:$V$9,MATCH(ResultsInd[[#This Row],[Category]],$Q$1:$V$1,0)+1,FALSE))</f>
        <v>PR1</v>
      </c>
      <c r="Z59" s="264" t="str">
        <f>IF(ResultsInd[[#This Row],[Score_OK]],IF(ResultsInd[[#This Row],[Level]]="R",ResultsInd[[#This Row],[Category]]&amp;"-"&amp;IF(ResultsInd[[#This Row],[LoseInKO]]=ResultsInd[[#This Row],[Category]]&amp;"-"&amp;ResultsInd[[#This Row],[Player A]],ResultsInd[[#This Row],[Player B]],ResultsInd[[#This Row],[Player A]]),""),"")</f>
        <v/>
      </c>
      <c r="AB59" s="8"/>
      <c r="AC59" s="12" t="str">
        <f>IF(AC58="","",AC58)</f>
        <v>OPEN</v>
      </c>
      <c r="AD59" s="309" t="s">
        <v>10415</v>
      </c>
      <c r="AE59" s="320"/>
      <c r="AF59" s="311"/>
      <c r="AG59" s="292">
        <f>IF(AP59="","",SMALL(AH59:AH65,ROWS(AG59:AG59)))</f>
        <v>1001</v>
      </c>
      <c r="AH59" s="293">
        <f>IF(AP59="","",RANK(AL59,AL59:AL65)*1000+ROWS(AH59:AH59))</f>
        <v>1001</v>
      </c>
      <c r="AI59" s="316">
        <f t="shared" ref="AI59:AI65" si="41">IF(AP59="","",CritClassInd1_Points*AN59+CritClassInd1_Matches*AP59+CritClassInd1_Attaque*AS59+CritClassInd1_DiffButs*AU59)</f>
        <v>9000000000000</v>
      </c>
      <c r="AJ59" s="415" t="b">
        <f>AND(AO59&lt;&gt;"",AO59&gt;0,COUNTIF(AI59:AI65,AI59)&gt;1)</f>
        <v>0</v>
      </c>
      <c r="AK59" s="316">
        <f t="shared" ref="AK59:AK65" si="42">IF(AP59="","",CritClassInd_ScorePart*AE59)</f>
        <v>0</v>
      </c>
      <c r="AL59" s="317">
        <f t="shared" ref="AL59:AL65" si="43">IF(AP59="","",AI59+AK59+CritClassInd2_Points*AN59+CritClassInd2_Matches*AP59+CritClassInd2_Attaque*AS59+CritClassInd2_DiffButs*AU59+AF59)</f>
        <v>9000000101500</v>
      </c>
      <c r="AM59" s="415" t="b">
        <f>AND(AO59&lt;&gt;"",AO59&gt;0,COUNTIF(AL59:AL65,AL59)&gt;1)</f>
        <v>0</v>
      </c>
      <c r="AN59" s="306">
        <f t="shared" ref="AN59:AN65" si="44">IF(AP59="","",(AP59*Points_Victoire)+AQ59*Points_Null)</f>
        <v>9</v>
      </c>
      <c r="AO59" s="307">
        <f t="shared" ref="AO59:AO65" si="45">IF(AP59="","",SUM(AP59:AR59))</f>
        <v>3</v>
      </c>
      <c r="AP59" s="307">
        <f>IF(OR(AC58="",AD59=""),"",COUNTIF(ResultsInd[Win],AC58&amp;"-"&amp;AD59))</f>
        <v>3</v>
      </c>
      <c r="AQ59" s="307">
        <f>IF(OR(AC58="",AD59=""),"",COUNTIF(ResultsInd[Draw1],AC58&amp;"-"&amp;AD59)+COUNTIF(ResultsInd[Draw2],AC58&amp;"-"&amp;AD59))</f>
        <v>0</v>
      </c>
      <c r="AR59" s="307">
        <f>IF(OR(AC58="",AD59=""),"",COUNTIF(ResultsInd[Lose],AC58&amp;"-"&amp;AD59))</f>
        <v>0</v>
      </c>
      <c r="AS59" s="307">
        <f>IF(OR(AC58="",AD59=""),"",SUMIFS(ResultsInd[Goal-A],ResultsInd[Category],AC58,ResultsInd[Stage],"Groups",ResultsInd[Player A],AD59)+SUMIFS(ResultsInd[Goal-B],ResultsInd[Category],AC58,ResultsInd[Stage],"Groups",ResultsInd[Player B],AD59))</f>
        <v>15</v>
      </c>
      <c r="AT59" s="307">
        <f>IF(OR(AC58="",AD59=""),"",SUMIFS(ResultsInd[Goal-B],ResultsInd[Category],AC58,ResultsInd[Stage],"Groups",ResultsInd[Player A],AD59)+SUMIFS(ResultsInd[Goal-A],ResultsInd[Category],AC58,ResultsInd[Stage],"Groups",ResultsInd[Player B],AD59))</f>
        <v>5</v>
      </c>
      <c r="AU59" s="308">
        <f>IF(AP59="","",AS59-AT59)</f>
        <v>10</v>
      </c>
      <c r="AV59" s="469" t="b">
        <f>IF(AG59="","",OR(VLOOKUP(AG59,AH59:AU65,3,FALSE),VLOOKUP(AG59,AH59:AU65,6,FALSE)))</f>
        <v>0</v>
      </c>
      <c r="AW59" s="298">
        <f t="shared" ref="AW59:AW65" si="46">IF(AG59="","",INT(AG59/1000))</f>
        <v>1</v>
      </c>
      <c r="AX59" s="285" t="str">
        <f>IF(AG59="","",INDEX(AD59:AD65,MATCH(AG59,AH59:AH65,0)))</f>
        <v>Samuel Bartolo</v>
      </c>
      <c r="AY59" s="286">
        <f>IF(AG59="","",VLOOKUP(AG59,AH59:AU65,COLUMN()-COLUMN(AR58),FALSE))</f>
        <v>9</v>
      </c>
      <c r="AZ59" s="286">
        <f>IF(AG59="","",VLOOKUP(AG59,AH59:AU65,COLUMN()-COLUMN(AR58),FALSE))</f>
        <v>3</v>
      </c>
      <c r="BA59" s="286">
        <f>IF(AG59="","",VLOOKUP(AG59,AH59:AU65,COLUMN()-COLUMN(AR58),FALSE))</f>
        <v>3</v>
      </c>
      <c r="BB59" s="286">
        <f>IF(AG59="","",VLOOKUP(AG59,AH59:AU65,COLUMN()-COLUMN(AR58),FALSE))</f>
        <v>0</v>
      </c>
      <c r="BC59" s="286">
        <f>IF(AG59="","",VLOOKUP(AG59,AH59:AU65,COLUMN()-COLUMN(AR58),FALSE))</f>
        <v>0</v>
      </c>
      <c r="BD59" s="286">
        <f>IF(AG59="","",VLOOKUP(AG59,AH59:AU65,COLUMN()-COLUMN(AR58),FALSE))</f>
        <v>15</v>
      </c>
      <c r="BE59" s="286">
        <f>IF(AG59="","",VLOOKUP(AG59,AH59:AU65,COLUMN()-COLUMN(AR58),FALSE))</f>
        <v>5</v>
      </c>
      <c r="BF59" s="301">
        <f>IF(AG59="","",VLOOKUP(AG59,AH59:AU65,COLUMN()-COLUMN(AR58),FALSE))</f>
        <v>10</v>
      </c>
    </row>
    <row r="60" spans="1:58" ht="12" thickBot="1" x14ac:dyDescent="0.25">
      <c r="A60" s="249" t="s">
        <v>890</v>
      </c>
      <c r="B60" s="249" t="s">
        <v>12207</v>
      </c>
      <c r="C60" s="62">
        <v>7</v>
      </c>
      <c r="D60" s="62"/>
      <c r="E60" s="345" t="s">
        <v>8167</v>
      </c>
      <c r="F60" s="345" t="s">
        <v>8874</v>
      </c>
      <c r="G60" s="113">
        <v>0</v>
      </c>
      <c r="H60" s="113">
        <v>6</v>
      </c>
      <c r="I60" s="114"/>
      <c r="J60" s="114"/>
      <c r="K60" s="114"/>
      <c r="L60" s="81"/>
      <c r="M60" s="265" t="b">
        <f>NOT(ISERROR(ResultsInd[[#This Row],[Goal-A]]+ResultsInd[[#This Row],[Goal-B]]))</f>
        <v>1</v>
      </c>
      <c r="N60" s="265">
        <f>VALUE(ResultsInd[[#This Row],[Score-A]])</f>
        <v>0</v>
      </c>
      <c r="O60" s="265">
        <f>VALUE(ResultsInd[[#This Row],[Score-B]])</f>
        <v>6</v>
      </c>
      <c r="P60" s="265">
        <f ca="1">IF(AND(ResultsInd[[#This Row],[Category]]&lt;&gt;"",ResultsInd[[#This Row],[Player A]]&lt;&gt;""),COUNTIF(INDIRECT(ResultsInd[[#This Row],[Category]]&amp;"List[Retained Player Name]"),ResultsInd[[#This Row],[Player A]]),"")</f>
        <v>1</v>
      </c>
      <c r="Q60" s="265">
        <f ca="1">IF(AND(ResultsInd[[#This Row],[Category]]&lt;&gt;"",ResultsInd[[#This Row],[Player B]]&lt;&gt;""),COUNTIF(INDIRECT(ResultsInd[[#This Row],[Category]]&amp;"List[Retained Player Name]"),ResultsInd[[#This Row],[Player B]]),"")</f>
        <v>1</v>
      </c>
      <c r="R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OPEN-Alberto Di Maggio</v>
      </c>
      <c r="S60" s="265" t="str">
        <f>IF(ResultsInd[[#This Row],[Score_OK]],IF(ResultsInd[[#This Row],[Stage]]="Groups",ResultsInd[[#This Row],[Category]]&amp;"-"&amp;IF(ResultsInd[[#This Row],[Player B]]="","",IF(ResultsInd[[#This Row],[Score-A]]=ResultsInd[[#This Row],[Score-B]],ResultsInd[[#This Row],[Player A]],"")),""),"")</f>
        <v>OPEN-</v>
      </c>
      <c r="T60" s="265" t="str">
        <f>IF(ResultsInd[[#This Row],[Score_OK]],IF(ResultsInd[[#This Row],[Stage]]="Groups",ResultsInd[[#This Row],[Category]]&amp;"-"&amp;IF(ResultsInd[[#This Row],[Player B]]="","",IF(ResultsInd[[#This Row],[Score-A]]=ResultsInd[[#This Row],[Score-B]],ResultsInd[[#This Row],[Player B]],"")),""),"")</f>
        <v>OPEN-</v>
      </c>
      <c r="U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Denne</v>
      </c>
      <c r="V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X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Y60" s="264" t="str">
        <f>IF(ResultsInd[[#This Row],[Category]]="","",VLOOKUP(ResultsInd[[#This Row],[Stage]],$P$1:$V$9,MATCH(ResultsInd[[#This Row],[Category]],$Q$1:$V$1,0)+1,FALSE))</f>
        <v>PR1</v>
      </c>
      <c r="Z60" s="264" t="str">
        <f>IF(ResultsInd[[#This Row],[Score_OK]],IF(ResultsInd[[#This Row],[Level]]="R",ResultsInd[[#This Row],[Category]]&amp;"-"&amp;IF(ResultsInd[[#This Row],[LoseInKO]]=ResultsInd[[#This Row],[Category]]&amp;"-"&amp;ResultsInd[[#This Row],[Player A]],ResultsInd[[#This Row],[Player B]],ResultsInd[[#This Row],[Player A]]),""),"")</f>
        <v/>
      </c>
      <c r="AB60" s="8"/>
      <c r="AC60" s="12" t="str">
        <f t="shared" ref="AC60:AC65" si="47">IF(AC59="","",AC59)</f>
        <v>OPEN</v>
      </c>
      <c r="AD60" s="309" t="s">
        <v>8549</v>
      </c>
      <c r="AE60" s="320"/>
      <c r="AF60" s="311"/>
      <c r="AG60" s="292">
        <f>IF(AP60="","",SMALL(AH59:AH65,ROWS(AG59:AG60)))</f>
        <v>2003</v>
      </c>
      <c r="AH60" s="293">
        <f>IF(AP60="","",RANK(AL60,AL59:AL65)*1000+ROWS(AH59:AH60))</f>
        <v>3002</v>
      </c>
      <c r="AI60" s="316">
        <f t="shared" si="41"/>
        <v>3000000000000</v>
      </c>
      <c r="AJ60" s="415" t="b">
        <f>AND(AO60&lt;&gt;"",AO60&gt;0,COUNTIF(AI59:AI65,AI60)&gt;1)</f>
        <v>0</v>
      </c>
      <c r="AK60" s="316">
        <f t="shared" si="42"/>
        <v>0</v>
      </c>
      <c r="AL60" s="317">
        <f t="shared" si="43"/>
        <v>2999999950600</v>
      </c>
      <c r="AM60" s="415" t="b">
        <f>AND(AO60&lt;&gt;"",AO60&gt;0,COUNTIF(AL59:AL65,AL60)&gt;1)</f>
        <v>0</v>
      </c>
      <c r="AN60" s="306">
        <f t="shared" si="44"/>
        <v>3</v>
      </c>
      <c r="AO60" s="307">
        <f t="shared" si="45"/>
        <v>3</v>
      </c>
      <c r="AP60" s="307">
        <f>IF(OR(AC58="",AD60=""),"",COUNTIF(ResultsInd[Win],AC58&amp;"-"&amp;AD60))</f>
        <v>1</v>
      </c>
      <c r="AQ60" s="307">
        <f>IF(OR(AC58="",AD60=""),"",COUNTIF(ResultsInd[Draw1],AC58&amp;"-"&amp;AD60)+COUNTIF(ResultsInd[Draw2],AC58&amp;"-"&amp;AD60))</f>
        <v>0</v>
      </c>
      <c r="AR60" s="307">
        <f>IF(OR(AC58="",AD60=""),"",COUNTIF(ResultsInd[Lose],AC58&amp;"-"&amp;AD60))</f>
        <v>2</v>
      </c>
      <c r="AS60" s="307">
        <f>IF(OR(AC58="",AD60=""),"",SUMIFS(ResultsInd[Goal-A],ResultsInd[Category],AC58,ResultsInd[Stage],"Groups",ResultsInd[Player A],AD60)+SUMIFS(ResultsInd[Goal-B],ResultsInd[Category],AC58,ResultsInd[Stage],"Groups",ResultsInd[Player B],AD60))</f>
        <v>6</v>
      </c>
      <c r="AT60" s="307">
        <f>IF(OR(AC58="",AD60=""),"",SUMIFS(ResultsInd[Goal-B],ResultsInd[Category],AC58,ResultsInd[Stage],"Groups",ResultsInd[Player A],AD60)+SUMIFS(ResultsInd[Goal-A],ResultsInd[Category],AC58,ResultsInd[Stage],"Groups",ResultsInd[Player B],AD60))</f>
        <v>11</v>
      </c>
      <c r="AU60" s="308">
        <f t="shared" ref="AU60:AU65" si="48">IF(AP60="","",AS60-AT60)</f>
        <v>-5</v>
      </c>
      <c r="AV60" s="469" t="b">
        <f>IF(AG60="","",OR(VLOOKUP(AG60,AH59:AU65,3,FALSE),VLOOKUP(AG60,AH59:AU65,6,FALSE)))</f>
        <v>0</v>
      </c>
      <c r="AW60" s="298">
        <f t="shared" si="46"/>
        <v>2</v>
      </c>
      <c r="AX60" s="285" t="str">
        <f>IF(AG60="","",INDEX(AD59:AD65,MATCH(AG60,AH59:AH65,0)))</f>
        <v>David Vantassel</v>
      </c>
      <c r="AY60" s="286">
        <f>IF(AG60="","",VLOOKUP(AG60,AH59:AU65,COLUMN()-COLUMN(AR58),FALSE))</f>
        <v>6</v>
      </c>
      <c r="AZ60" s="286">
        <f>IF(AG60="","",VLOOKUP(AG60,AH59:AU65,COLUMN()-COLUMN(AR58),FALSE))</f>
        <v>3</v>
      </c>
      <c r="BA60" s="286">
        <f>IF(AG60="","",VLOOKUP(AG60,AH59:AU65,COLUMN()-COLUMN(AR58),FALSE))</f>
        <v>2</v>
      </c>
      <c r="BB60" s="286">
        <f>IF(AG60="","",VLOOKUP(AG60,AH59:AU65,COLUMN()-COLUMN(AR58),FALSE))</f>
        <v>0</v>
      </c>
      <c r="BC60" s="286">
        <f>IF(AG60="","",VLOOKUP(AG60,AH59:AU65,COLUMN()-COLUMN(AR58),FALSE))</f>
        <v>1</v>
      </c>
      <c r="BD60" s="286">
        <f>IF(AG60="","",VLOOKUP(AG60,AH59:AU65,COLUMN()-COLUMN(AR58),FALSE))</f>
        <v>15</v>
      </c>
      <c r="BE60" s="286">
        <f>IF(AG60="","",VLOOKUP(AG60,AH59:AU65,COLUMN()-COLUMN(AR58),FALSE))</f>
        <v>8</v>
      </c>
      <c r="BF60" s="301">
        <f>IF(AG60="","",VLOOKUP(AG60,AH59:AU65,COLUMN()-COLUMN(AR58),FALSE))</f>
        <v>7</v>
      </c>
    </row>
    <row r="61" spans="1:58" ht="12" thickBot="1" x14ac:dyDescent="0.25">
      <c r="A61" s="249" t="s">
        <v>890</v>
      </c>
      <c r="B61" s="249" t="s">
        <v>12207</v>
      </c>
      <c r="C61" s="62">
        <v>8</v>
      </c>
      <c r="D61" s="62"/>
      <c r="E61" s="345" t="s">
        <v>10436</v>
      </c>
      <c r="F61" s="345" t="s">
        <v>8178</v>
      </c>
      <c r="G61" s="113">
        <v>7</v>
      </c>
      <c r="H61" s="113">
        <v>0</v>
      </c>
      <c r="I61" s="114"/>
      <c r="J61" s="114"/>
      <c r="K61" s="114"/>
      <c r="L61" s="81"/>
      <c r="M61" s="265" t="b">
        <f>NOT(ISERROR(ResultsInd[[#This Row],[Goal-A]]+ResultsInd[[#This Row],[Goal-B]]))</f>
        <v>1</v>
      </c>
      <c r="N61" s="265">
        <f>VALUE(ResultsInd[[#This Row],[Score-A]])</f>
        <v>7</v>
      </c>
      <c r="O61" s="265">
        <f>VALUE(ResultsInd[[#This Row],[Score-B]])</f>
        <v>0</v>
      </c>
      <c r="P61" s="265">
        <f ca="1">IF(AND(ResultsInd[[#This Row],[Category]]&lt;&gt;"",ResultsInd[[#This Row],[Player A]]&lt;&gt;""),COUNTIF(INDIRECT(ResultsInd[[#This Row],[Category]]&amp;"List[Retained Player Name]"),ResultsInd[[#This Row],[Player A]]),"")</f>
        <v>1</v>
      </c>
      <c r="Q61" s="265">
        <f ca="1">IF(AND(ResultsInd[[#This Row],[Category]]&lt;&gt;"",ResultsInd[[#This Row],[Player B]]&lt;&gt;""),COUNTIF(INDIRECT(ResultsInd[[#This Row],[Category]]&amp;"List[Retained Player Name]"),ResultsInd[[#This Row],[Player B]]),"")</f>
        <v>1</v>
      </c>
      <c r="R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OPEN-Jurgen Balzan</v>
      </c>
      <c r="S61" s="265" t="str">
        <f>IF(ResultsInd[[#This Row],[Score_OK]],IF(ResultsInd[[#This Row],[Stage]]="Groups",ResultsInd[[#This Row],[Category]]&amp;"-"&amp;IF(ResultsInd[[#This Row],[Player B]]="","",IF(ResultsInd[[#This Row],[Score-A]]=ResultsInd[[#This Row],[Score-B]],ResultsInd[[#This Row],[Player A]],"")),""),"")</f>
        <v>OPEN-</v>
      </c>
      <c r="T61" s="265" t="str">
        <f>IF(ResultsInd[[#This Row],[Score_OK]],IF(ResultsInd[[#This Row],[Stage]]="Groups",ResultsInd[[#This Row],[Category]]&amp;"-"&amp;IF(ResultsInd[[#This Row],[Player B]]="","",IF(ResultsInd[[#This Row],[Score-A]]=ResultsInd[[#This Row],[Score-B]],ResultsInd[[#This Row],[Player B]],"")),""),"")</f>
        <v>OPEN-</v>
      </c>
      <c r="U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OPEN-Bruno Mottet</v>
      </c>
      <c r="V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OPEN-Bruno Mottet</v>
      </c>
      <c r="X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OPEN-Bruno Mottet</v>
      </c>
      <c r="Y61" s="264" t="str">
        <f>IF(ResultsInd[[#This Row],[Category]]="","",VLOOKUP(ResultsInd[[#This Row],[Stage]],$P$1:$V$9,MATCH(ResultsInd[[#This Row],[Category]],$Q$1:$V$1,0)+1,FALSE))</f>
        <v>PR1</v>
      </c>
      <c r="Z61" s="264" t="str">
        <f>IF(ResultsInd[[#This Row],[Score_OK]],IF(ResultsInd[[#This Row],[Level]]="R",ResultsInd[[#This Row],[Category]]&amp;"-"&amp;IF(ResultsInd[[#This Row],[LoseInKO]]=ResultsInd[[#This Row],[Category]]&amp;"-"&amp;ResultsInd[[#This Row],[Player A]],ResultsInd[[#This Row],[Player B]],ResultsInd[[#This Row],[Player A]]),""),"")</f>
        <v/>
      </c>
      <c r="AB61" s="8"/>
      <c r="AC61" s="12" t="str">
        <f t="shared" si="47"/>
        <v>OPEN</v>
      </c>
      <c r="AD61" s="309" t="s">
        <v>8141</v>
      </c>
      <c r="AE61" s="320"/>
      <c r="AF61" s="311"/>
      <c r="AG61" s="292">
        <f>IF(AP61="","",SMALL(AH59:AH65,ROWS(AG59:AG61)))</f>
        <v>3002</v>
      </c>
      <c r="AH61" s="293">
        <f>IF(AP61="","",RANK(AL61,AL59:AL65)*1000+ROWS(AH59:AH61))</f>
        <v>2003</v>
      </c>
      <c r="AI61" s="316">
        <f t="shared" si="41"/>
        <v>6000000000000</v>
      </c>
      <c r="AJ61" s="415" t="b">
        <f>AND(AO61&lt;&gt;"",AO61&gt;0,COUNTIF(AI59:AI65,AI61)&gt;1)</f>
        <v>0</v>
      </c>
      <c r="AK61" s="316">
        <f t="shared" si="42"/>
        <v>0</v>
      </c>
      <c r="AL61" s="317">
        <f t="shared" si="43"/>
        <v>6000000071500</v>
      </c>
      <c r="AM61" s="415" t="b">
        <f>AND(AO61&lt;&gt;"",AO61&gt;0,COUNTIF(AL59:AL65,AL61)&gt;1)</f>
        <v>0</v>
      </c>
      <c r="AN61" s="306">
        <f t="shared" si="44"/>
        <v>6</v>
      </c>
      <c r="AO61" s="307">
        <f t="shared" si="45"/>
        <v>3</v>
      </c>
      <c r="AP61" s="307">
        <f>IF(OR(AC58="",AD61=""),"",COUNTIF(ResultsInd[Win],AC58&amp;"-"&amp;AD61))</f>
        <v>2</v>
      </c>
      <c r="AQ61" s="307">
        <f>IF(OR(AC58="",AD61=""),"",COUNTIF(ResultsInd[Draw1],AC58&amp;"-"&amp;AD61)+COUNTIF(ResultsInd[Draw2],AC58&amp;"-"&amp;AD61))</f>
        <v>0</v>
      </c>
      <c r="AR61" s="307">
        <f>IF(OR(AC58="",AD61=""),"",COUNTIF(ResultsInd[Lose],AC58&amp;"-"&amp;AD61))</f>
        <v>1</v>
      </c>
      <c r="AS61" s="307">
        <f>IF(OR(AC58="",AD61=""),"",SUMIFS(ResultsInd[Goal-A],ResultsInd[Category],AC58,ResultsInd[Stage],"Groups",ResultsInd[Player A],AD61)+SUMIFS(ResultsInd[Goal-B],ResultsInd[Category],AC58,ResultsInd[Stage],"Groups",ResultsInd[Player B],AD61))</f>
        <v>15</v>
      </c>
      <c r="AT61" s="307">
        <f>IF(OR(AC58="",AD61=""),"",SUMIFS(ResultsInd[Goal-B],ResultsInd[Category],AC58,ResultsInd[Stage],"Groups",ResultsInd[Player A],AD61)+SUMIFS(ResultsInd[Goal-A],ResultsInd[Category],AC58,ResultsInd[Stage],"Groups",ResultsInd[Player B],AD61))</f>
        <v>8</v>
      </c>
      <c r="AU61" s="308">
        <f t="shared" si="48"/>
        <v>7</v>
      </c>
      <c r="AV61" s="469" t="b">
        <f>IF(AG61="","",OR(VLOOKUP(AG61,AH59:AU65,3,FALSE),VLOOKUP(AG61,AH59:AU65,6,FALSE)))</f>
        <v>0</v>
      </c>
      <c r="AW61" s="298">
        <f t="shared" si="46"/>
        <v>3</v>
      </c>
      <c r="AX61" s="285" t="str">
        <f>IF(AG61="","",INDEX(AD59:AD65,MATCH(AG61,AH59:AH65,0)))</f>
        <v>Mick Hammonds</v>
      </c>
      <c r="AY61" s="286">
        <f>IF(AG61="","",VLOOKUP(AG61,AH59:AU65,COLUMN()-COLUMN(AR58),FALSE))</f>
        <v>3</v>
      </c>
      <c r="AZ61" s="286">
        <f>IF(AG61="","",VLOOKUP(AG61,AH59:AU65,COLUMN()-COLUMN(AR58),FALSE))</f>
        <v>3</v>
      </c>
      <c r="BA61" s="286">
        <f>IF(AG61="","",VLOOKUP(AG61,AH59:AU65,COLUMN()-COLUMN(AR58),FALSE))</f>
        <v>1</v>
      </c>
      <c r="BB61" s="286">
        <f>IF(AG61="","",VLOOKUP(AG61,AH59:AU65,COLUMN()-COLUMN(AR58),FALSE))</f>
        <v>0</v>
      </c>
      <c r="BC61" s="286">
        <f>IF(AG61="","",VLOOKUP(AG61,AH59:AU65,COLUMN()-COLUMN(AR58),FALSE))</f>
        <v>2</v>
      </c>
      <c r="BD61" s="286">
        <f>IF(AG61="","",VLOOKUP(AG61,AH59:AU65,COLUMN()-COLUMN(AR58),FALSE))</f>
        <v>6</v>
      </c>
      <c r="BE61" s="286">
        <f>IF(AG61="","",VLOOKUP(AG61,AH59:AU65,COLUMN()-COLUMN(AR58),FALSE))</f>
        <v>11</v>
      </c>
      <c r="BF61" s="301">
        <f>IF(AG61="","",VLOOKUP(AG61,AH59:AU65,COLUMN()-COLUMN(AR58),FALSE))</f>
        <v>-5</v>
      </c>
    </row>
    <row r="62" spans="1:58" ht="12" thickBot="1" x14ac:dyDescent="0.25">
      <c r="A62" s="249" t="s">
        <v>890</v>
      </c>
      <c r="B62" s="249" t="s">
        <v>12207</v>
      </c>
      <c r="C62" s="62">
        <v>8</v>
      </c>
      <c r="D62" s="62"/>
      <c r="E62" s="345" t="s">
        <v>8037</v>
      </c>
      <c r="F62" s="345" t="s">
        <v>8694</v>
      </c>
      <c r="G62" s="113">
        <v>1</v>
      </c>
      <c r="H62" s="113">
        <v>0</v>
      </c>
      <c r="I62" s="114"/>
      <c r="J62" s="114"/>
      <c r="K62" s="114"/>
      <c r="L62" s="81"/>
      <c r="M62" s="265" t="b">
        <f>NOT(ISERROR(ResultsInd[[#This Row],[Goal-A]]+ResultsInd[[#This Row],[Goal-B]]))</f>
        <v>1</v>
      </c>
      <c r="N62" s="265">
        <f>VALUE(ResultsInd[[#This Row],[Score-A]])</f>
        <v>1</v>
      </c>
      <c r="O62" s="265">
        <f>VALUE(ResultsInd[[#This Row],[Score-B]])</f>
        <v>0</v>
      </c>
      <c r="P62" s="265">
        <f ca="1">IF(AND(ResultsInd[[#This Row],[Category]]&lt;&gt;"",ResultsInd[[#This Row],[Player A]]&lt;&gt;""),COUNTIF(INDIRECT(ResultsInd[[#This Row],[Category]]&amp;"List[Retained Player Name]"),ResultsInd[[#This Row],[Player A]]),"")</f>
        <v>1</v>
      </c>
      <c r="Q62" s="265">
        <f ca="1">IF(AND(ResultsInd[[#This Row],[Category]]&lt;&gt;"",ResultsInd[[#This Row],[Player B]]&lt;&gt;""),COUNTIF(INDIRECT(ResultsInd[[#This Row],[Category]]&amp;"List[Retained Player Name]"),ResultsInd[[#This Row],[Player B]]),"")</f>
        <v>1</v>
      </c>
      <c r="R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OPEN-Robert Lenz</v>
      </c>
      <c r="S62" s="265" t="str">
        <f>IF(ResultsInd[[#This Row],[Score_OK]],IF(ResultsInd[[#This Row],[Stage]]="Groups",ResultsInd[[#This Row],[Category]]&amp;"-"&amp;IF(ResultsInd[[#This Row],[Player B]]="","",IF(ResultsInd[[#This Row],[Score-A]]=ResultsInd[[#This Row],[Score-B]],ResultsInd[[#This Row],[Player A]],"")),""),"")</f>
        <v>OPEN-</v>
      </c>
      <c r="T62" s="265" t="str">
        <f>IF(ResultsInd[[#This Row],[Score_OK]],IF(ResultsInd[[#This Row],[Stage]]="Groups",ResultsInd[[#This Row],[Category]]&amp;"-"&amp;IF(ResultsInd[[#This Row],[Player B]]="","",IF(ResultsInd[[#This Row],[Score-A]]=ResultsInd[[#This Row],[Score-B]],ResultsInd[[#This Row],[Player B]],"")),""),"")</f>
        <v>OPEN-</v>
      </c>
      <c r="U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OPEN-Thierry Vivron</v>
      </c>
      <c r="V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OPEN-Thierry Vivron</v>
      </c>
      <c r="X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OPEN-Thierry Vivron</v>
      </c>
      <c r="Y62" s="264" t="str">
        <f>IF(ResultsInd[[#This Row],[Category]]="","",VLOOKUP(ResultsInd[[#This Row],[Stage]],$P$1:$V$9,MATCH(ResultsInd[[#This Row],[Category]],$Q$1:$V$1,0)+1,FALSE))</f>
        <v>PR1</v>
      </c>
      <c r="Z62" s="264" t="str">
        <f>IF(ResultsInd[[#This Row],[Score_OK]],IF(ResultsInd[[#This Row],[Level]]="R",ResultsInd[[#This Row],[Category]]&amp;"-"&amp;IF(ResultsInd[[#This Row],[LoseInKO]]=ResultsInd[[#This Row],[Category]]&amp;"-"&amp;ResultsInd[[#This Row],[Player A]],ResultsInd[[#This Row],[Player B]],ResultsInd[[#This Row],[Player A]]),""),"")</f>
        <v/>
      </c>
      <c r="AB62" s="91"/>
      <c r="AC62" s="12" t="str">
        <f t="shared" si="47"/>
        <v>OPEN</v>
      </c>
      <c r="AD62" s="309" t="s">
        <v>8170</v>
      </c>
      <c r="AE62" s="310"/>
      <c r="AF62" s="311"/>
      <c r="AG62" s="292">
        <f>IF(AP62="","",SMALL(AH59:AH65,ROWS(AG59:AG62)))</f>
        <v>4004</v>
      </c>
      <c r="AH62" s="293">
        <f>IF(AP62="","",RANK(AL62,AL59:AL65)*1000+ROWS(AH59:AH62))</f>
        <v>4004</v>
      </c>
      <c r="AI62" s="316">
        <f t="shared" si="41"/>
        <v>0</v>
      </c>
      <c r="AJ62" s="415" t="b">
        <f>AND(AO62&lt;&gt;"",AO62&gt;0,COUNTIF(AI59:AI65,AI62)&gt;1)</f>
        <v>0</v>
      </c>
      <c r="AK62" s="316">
        <f t="shared" si="42"/>
        <v>0</v>
      </c>
      <c r="AL62" s="317">
        <f t="shared" si="43"/>
        <v>-119400</v>
      </c>
      <c r="AM62" s="415" t="b">
        <f>AND(AO62&lt;&gt;"",AO62&gt;0,COUNTIF(AL59:AL65,AL62)&gt;1)</f>
        <v>0</v>
      </c>
      <c r="AN62" s="306">
        <f t="shared" si="44"/>
        <v>0</v>
      </c>
      <c r="AO62" s="307">
        <f t="shared" si="45"/>
        <v>3</v>
      </c>
      <c r="AP62" s="307">
        <f>IF(OR(AC58="",AD62=""),"",COUNTIF(ResultsInd[Win],AC58&amp;"-"&amp;AD62))</f>
        <v>0</v>
      </c>
      <c r="AQ62" s="307">
        <f>IF(OR(AC58="",AD62=""),"",COUNTIF(ResultsInd[Draw1],AC58&amp;"-"&amp;AD62)+COUNTIF(ResultsInd[Draw2],AC58&amp;"-"&amp;AD62))</f>
        <v>0</v>
      </c>
      <c r="AR62" s="307">
        <f>IF(OR(AC58="",AD62=""),"",COUNTIF(ResultsInd[Lose],AC58&amp;"-"&amp;AD62))</f>
        <v>3</v>
      </c>
      <c r="AS62" s="307">
        <f>IF(OR(AC58="",AD62=""),"",SUMIFS(ResultsInd[Goal-A],ResultsInd[Category],AC58,ResultsInd[Stage],"Groups",ResultsInd[Player A],AD62)+SUMIFS(ResultsInd[Goal-B],ResultsInd[Category],AC58,ResultsInd[Stage],"Groups",ResultsInd[Player B],AD62))</f>
        <v>6</v>
      </c>
      <c r="AT62" s="307">
        <f>IF(OR(AC58="",AD62=""),"",SUMIFS(ResultsInd[Goal-B],ResultsInd[Category],AC58,ResultsInd[Stage],"Groups",ResultsInd[Player A],AD62)+SUMIFS(ResultsInd[Goal-A],ResultsInd[Category],AC58,ResultsInd[Stage],"Groups",ResultsInd[Player B],AD62))</f>
        <v>18</v>
      </c>
      <c r="AU62" s="308">
        <f t="shared" si="48"/>
        <v>-12</v>
      </c>
      <c r="AV62" s="469" t="b">
        <f>IF(AG62="","",OR(VLOOKUP(AG62,AH59:AU65,3,FALSE),VLOOKUP(AG62,AH59:AU65,6,FALSE)))</f>
        <v>0</v>
      </c>
      <c r="AW62" s="298">
        <f t="shared" si="46"/>
        <v>4</v>
      </c>
      <c r="AX62" s="285" t="str">
        <f>IF(AG62="","",INDEX(AD59:AD65,MATCH(AG62,AH59:AH65,0)))</f>
        <v>Lucas Raison</v>
      </c>
      <c r="AY62" s="286">
        <f>IF(AG62="","",VLOOKUP(AG62,AH59:AU65,COLUMN()-COLUMN(AR58),FALSE))</f>
        <v>0</v>
      </c>
      <c r="AZ62" s="286">
        <f>IF(AG62="","",VLOOKUP(AG62,AH59:AU65,COLUMN()-COLUMN(AR58),FALSE))</f>
        <v>3</v>
      </c>
      <c r="BA62" s="286">
        <f>IF(AG62="","",VLOOKUP(AG62,AH59:AU65,COLUMN()-COLUMN(AR58),FALSE))</f>
        <v>0</v>
      </c>
      <c r="BB62" s="286">
        <f>IF(AG62="","",VLOOKUP(AG62,AH59:AU65,COLUMN()-COLUMN(AR58),FALSE))</f>
        <v>0</v>
      </c>
      <c r="BC62" s="286">
        <f>IF(AG62="","",VLOOKUP(AG62,AH59:AU65,COLUMN()-COLUMN(AR58),FALSE))</f>
        <v>3</v>
      </c>
      <c r="BD62" s="286">
        <f>IF(AG62="","",VLOOKUP(AG62,AH59:AU65,COLUMN()-COLUMN(AR58),FALSE))</f>
        <v>6</v>
      </c>
      <c r="BE62" s="286">
        <f>IF(AG62="","",VLOOKUP(AG62,AH59:AU65,COLUMN()-COLUMN(AR58),FALSE))</f>
        <v>18</v>
      </c>
      <c r="BF62" s="301">
        <f>IF(AG62="","",VLOOKUP(AG62,AH59:AU65,COLUMN()-COLUMN(AR58),FALSE))</f>
        <v>-12</v>
      </c>
    </row>
    <row r="63" spans="1:58" ht="12" thickBot="1" x14ac:dyDescent="0.25">
      <c r="A63" s="249" t="s">
        <v>890</v>
      </c>
      <c r="B63" s="249" t="s">
        <v>12207</v>
      </c>
      <c r="C63" s="62">
        <v>8</v>
      </c>
      <c r="D63" s="62"/>
      <c r="E63" s="344" t="s">
        <v>10436</v>
      </c>
      <c r="F63" s="344" t="s">
        <v>8037</v>
      </c>
      <c r="G63" s="113">
        <v>3</v>
      </c>
      <c r="H63" s="113">
        <v>0</v>
      </c>
      <c r="I63" s="114"/>
      <c r="J63" s="114"/>
      <c r="K63" s="114"/>
      <c r="L63" s="81"/>
      <c r="M63" s="265" t="b">
        <f>NOT(ISERROR(ResultsInd[[#This Row],[Goal-A]]+ResultsInd[[#This Row],[Goal-B]]))</f>
        <v>1</v>
      </c>
      <c r="N63" s="265">
        <f>VALUE(ResultsInd[[#This Row],[Score-A]])</f>
        <v>3</v>
      </c>
      <c r="O63" s="265">
        <f>VALUE(ResultsInd[[#This Row],[Score-B]])</f>
        <v>0</v>
      </c>
      <c r="P63" s="265">
        <f ca="1">IF(AND(ResultsInd[[#This Row],[Category]]&lt;&gt;"",ResultsInd[[#This Row],[Player A]]&lt;&gt;""),COUNTIF(INDIRECT(ResultsInd[[#This Row],[Category]]&amp;"List[Retained Player Name]"),ResultsInd[[#This Row],[Player A]]),"")</f>
        <v>1</v>
      </c>
      <c r="Q63" s="265">
        <f ca="1">IF(AND(ResultsInd[[#This Row],[Category]]&lt;&gt;"",ResultsInd[[#This Row],[Player B]]&lt;&gt;""),COUNTIF(INDIRECT(ResultsInd[[#This Row],[Category]]&amp;"List[Retained Player Name]"),ResultsInd[[#This Row],[Player B]]),"")</f>
        <v>1</v>
      </c>
      <c r="R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OPEN-Jurgen Balzan</v>
      </c>
      <c r="S63" s="265" t="str">
        <f>IF(ResultsInd[[#This Row],[Score_OK]],IF(ResultsInd[[#This Row],[Stage]]="Groups",ResultsInd[[#This Row],[Category]]&amp;"-"&amp;IF(ResultsInd[[#This Row],[Player B]]="","",IF(ResultsInd[[#This Row],[Score-A]]=ResultsInd[[#This Row],[Score-B]],ResultsInd[[#This Row],[Player A]],"")),""),"")</f>
        <v>OPEN-</v>
      </c>
      <c r="T63" s="265" t="str">
        <f>IF(ResultsInd[[#This Row],[Score_OK]],IF(ResultsInd[[#This Row],[Stage]]="Groups",ResultsInd[[#This Row],[Category]]&amp;"-"&amp;IF(ResultsInd[[#This Row],[Player B]]="","",IF(ResultsInd[[#This Row],[Score-A]]=ResultsInd[[#This Row],[Score-B]],ResultsInd[[#This Row],[Player B]],"")),""),"")</f>
        <v>OPEN-</v>
      </c>
      <c r="U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OPEN-Robert Lenz</v>
      </c>
      <c r="V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OPEN-Robert Lenz</v>
      </c>
      <c r="X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OPEN-Robert Lenz</v>
      </c>
      <c r="Y63" s="264" t="str">
        <f>IF(ResultsInd[[#This Row],[Category]]="","",VLOOKUP(ResultsInd[[#This Row],[Stage]],$P$1:$V$9,MATCH(ResultsInd[[#This Row],[Category]],$Q$1:$V$1,0)+1,FALSE))</f>
        <v>PR1</v>
      </c>
      <c r="Z63" s="264" t="str">
        <f>IF(ResultsInd[[#This Row],[Score_OK]],IF(ResultsInd[[#This Row],[Level]]="R",ResultsInd[[#This Row],[Category]]&amp;"-"&amp;IF(ResultsInd[[#This Row],[LoseInKO]]=ResultsInd[[#This Row],[Category]]&amp;"-"&amp;ResultsInd[[#This Row],[Player A]],ResultsInd[[#This Row],[Player B]],ResultsInd[[#This Row],[Player A]]),""),"")</f>
        <v/>
      </c>
      <c r="AB63" s="91"/>
      <c r="AC63" s="12" t="str">
        <f t="shared" si="47"/>
        <v>OPEN</v>
      </c>
      <c r="AD63" s="309"/>
      <c r="AE63" s="310"/>
      <c r="AF63" s="311"/>
      <c r="AG63" s="292" t="str">
        <f>IF(AP63="","",SMALL(AH59:AH65,ROWS(AG59:AG63)))</f>
        <v/>
      </c>
      <c r="AH63" s="293" t="str">
        <f>IF(AP63="","",RANK(AL63,AL59:AL65)*1000+ROWS(AH59:AH63))</f>
        <v/>
      </c>
      <c r="AI63" s="316" t="str">
        <f t="shared" si="41"/>
        <v/>
      </c>
      <c r="AJ63" s="415" t="b">
        <f>AND(AO63&lt;&gt;"",AO63&gt;0,COUNTIF(AI59:AI65,AI63)&gt;1)</f>
        <v>0</v>
      </c>
      <c r="AK63" s="316" t="str">
        <f t="shared" si="42"/>
        <v/>
      </c>
      <c r="AL63" s="317" t="str">
        <f t="shared" si="43"/>
        <v/>
      </c>
      <c r="AM63" s="415" t="b">
        <f>AND(AO63&lt;&gt;"",AO63&gt;0,COUNTIF(AL59:AL65,AL63)&gt;1)</f>
        <v>0</v>
      </c>
      <c r="AN63" s="306" t="str">
        <f t="shared" si="44"/>
        <v/>
      </c>
      <c r="AO63" s="307" t="str">
        <f t="shared" si="45"/>
        <v/>
      </c>
      <c r="AP63" s="307" t="str">
        <f>IF(OR(AC58="",AD63=""),"",COUNTIF(ResultsInd[Win],AC58&amp;"-"&amp;AD63))</f>
        <v/>
      </c>
      <c r="AQ63" s="307" t="str">
        <f>IF(OR(AC58="",AD63=""),"",COUNTIF(ResultsInd[Draw1],AC58&amp;"-"&amp;AD63)+COUNTIF(ResultsInd[Draw2],AC58&amp;"-"&amp;AD63))</f>
        <v/>
      </c>
      <c r="AR63" s="307" t="str">
        <f>IF(OR(AC58="",AD63=""),"",COUNTIF(ResultsInd[Lose],AC58&amp;"-"&amp;AD63))</f>
        <v/>
      </c>
      <c r="AS63" s="307" t="str">
        <f>IF(OR(AC58="",AD63=""),"",SUMIFS(ResultsInd[Goal-A],ResultsInd[Category],AC58,ResultsInd[Stage],"Groups",ResultsInd[Player A],AD63)+SUMIFS(ResultsInd[Goal-B],ResultsInd[Category],AC58,ResultsInd[Stage],"Groups",ResultsInd[Player B],AD63))</f>
        <v/>
      </c>
      <c r="AT63" s="307" t="str">
        <f>IF(OR(AC58="",AD63=""),"",SUMIFS(ResultsInd[Goal-B],ResultsInd[Category],AC58,ResultsInd[Stage],"Groups",ResultsInd[Player A],AD63)+SUMIFS(ResultsInd[Goal-A],ResultsInd[Category],AC58,ResultsInd[Stage],"Groups",ResultsInd[Player B],AD63))</f>
        <v/>
      </c>
      <c r="AU63" s="308" t="str">
        <f t="shared" si="48"/>
        <v/>
      </c>
      <c r="AV63" s="469" t="str">
        <f>IF(AG63="","",OR(VLOOKUP(AG63,AH59:AU65,3,FALSE),VLOOKUP(AG63,AH59:AU65,6,FALSE)))</f>
        <v/>
      </c>
      <c r="AW63" s="298" t="str">
        <f t="shared" si="46"/>
        <v/>
      </c>
      <c r="AX63" s="285" t="str">
        <f>IF(AG63="","",INDEX(AD59:AD65,MATCH(AG63,AH59:AH65,0)))</f>
        <v/>
      </c>
      <c r="AY63" s="286" t="str">
        <f>IF(AG63="","",VLOOKUP(AG63,AH59:AU65,COLUMN()-COLUMN(AR58),FALSE))</f>
        <v/>
      </c>
      <c r="AZ63" s="286" t="str">
        <f>IF(AG63="","",VLOOKUP(AG63,AH59:AU65,COLUMN()-COLUMN(AR58),FALSE))</f>
        <v/>
      </c>
      <c r="BA63" s="286" t="str">
        <f>IF(AG63="","",VLOOKUP(AG63,AH59:AU65,COLUMN()-COLUMN(AR58),FALSE))</f>
        <v/>
      </c>
      <c r="BB63" s="286" t="str">
        <f>IF(AG63="","",VLOOKUP(AG63,AH59:AU65,COLUMN()-COLUMN(AR58),FALSE))</f>
        <v/>
      </c>
      <c r="BC63" s="286" t="str">
        <f>IF(AG63="","",VLOOKUP(AG63,AH59:AU65,COLUMN()-COLUMN(AR58),FALSE))</f>
        <v/>
      </c>
      <c r="BD63" s="286" t="str">
        <f>IF(AG63="","",VLOOKUP(AG63,AH59:AU65,COLUMN()-COLUMN(AR58),FALSE))</f>
        <v/>
      </c>
      <c r="BE63" s="286" t="str">
        <f>IF(AG63="","",VLOOKUP(AG63,AH59:AU65,COLUMN()-COLUMN(AR58),FALSE))</f>
        <v/>
      </c>
      <c r="BF63" s="301" t="str">
        <f>IF(AG63="","",VLOOKUP(AG63,AH59:AU65,COLUMN()-COLUMN(AR58),FALSE))</f>
        <v/>
      </c>
    </row>
    <row r="64" spans="1:58" ht="12" thickBot="1" x14ac:dyDescent="0.25">
      <c r="A64" s="249" t="s">
        <v>890</v>
      </c>
      <c r="B64" s="249" t="s">
        <v>12207</v>
      </c>
      <c r="C64" s="62">
        <v>8</v>
      </c>
      <c r="D64" s="62"/>
      <c r="E64" s="344" t="s">
        <v>8178</v>
      </c>
      <c r="F64" s="344" t="s">
        <v>8694</v>
      </c>
      <c r="G64" s="113">
        <v>1</v>
      </c>
      <c r="H64" s="113">
        <v>3</v>
      </c>
      <c r="I64" s="114"/>
      <c r="J64" s="114"/>
      <c r="K64" s="114"/>
      <c r="L64" s="81"/>
      <c r="M64" s="265" t="b">
        <f>NOT(ISERROR(ResultsInd[[#This Row],[Goal-A]]+ResultsInd[[#This Row],[Goal-B]]))</f>
        <v>1</v>
      </c>
      <c r="N64" s="265">
        <f>VALUE(ResultsInd[[#This Row],[Score-A]])</f>
        <v>1</v>
      </c>
      <c r="O64" s="265">
        <f>VALUE(ResultsInd[[#This Row],[Score-B]])</f>
        <v>3</v>
      </c>
      <c r="P64" s="265">
        <f ca="1">IF(AND(ResultsInd[[#This Row],[Category]]&lt;&gt;"",ResultsInd[[#This Row],[Player A]]&lt;&gt;""),COUNTIF(INDIRECT(ResultsInd[[#This Row],[Category]]&amp;"List[Retained Player Name]"),ResultsInd[[#This Row],[Player A]]),"")</f>
        <v>1</v>
      </c>
      <c r="Q64" s="265">
        <f ca="1">IF(AND(ResultsInd[[#This Row],[Category]]&lt;&gt;"",ResultsInd[[#This Row],[Player B]]&lt;&gt;""),COUNTIF(INDIRECT(ResultsInd[[#This Row],[Category]]&amp;"List[Retained Player Name]"),ResultsInd[[#This Row],[Player B]]),"")</f>
        <v>1</v>
      </c>
      <c r="R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OPEN-Thierry Vivron</v>
      </c>
      <c r="S64" s="265" t="str">
        <f>IF(ResultsInd[[#This Row],[Score_OK]],IF(ResultsInd[[#This Row],[Stage]]="Groups",ResultsInd[[#This Row],[Category]]&amp;"-"&amp;IF(ResultsInd[[#This Row],[Player B]]="","",IF(ResultsInd[[#This Row],[Score-A]]=ResultsInd[[#This Row],[Score-B]],ResultsInd[[#This Row],[Player A]],"")),""),"")</f>
        <v>OPEN-</v>
      </c>
      <c r="T64" s="265" t="str">
        <f>IF(ResultsInd[[#This Row],[Score_OK]],IF(ResultsInd[[#This Row],[Stage]]="Groups",ResultsInd[[#This Row],[Category]]&amp;"-"&amp;IF(ResultsInd[[#This Row],[Player B]]="","",IF(ResultsInd[[#This Row],[Score-A]]=ResultsInd[[#This Row],[Score-B]],ResultsInd[[#This Row],[Player B]],"")),""),"")</f>
        <v>OPEN-</v>
      </c>
      <c r="U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OPEN-Bruno Mottet</v>
      </c>
      <c r="V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OPEN-Bruno Mottet</v>
      </c>
      <c r="X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OPEN-Bruno Mottet</v>
      </c>
      <c r="Y64" s="264" t="str">
        <f>IF(ResultsInd[[#This Row],[Category]]="","",VLOOKUP(ResultsInd[[#This Row],[Stage]],$P$1:$V$9,MATCH(ResultsInd[[#This Row],[Category]],$Q$1:$V$1,0)+1,FALSE))</f>
        <v>PR1</v>
      </c>
      <c r="Z64" s="264" t="str">
        <f>IF(ResultsInd[[#This Row],[Score_OK]],IF(ResultsInd[[#This Row],[Level]]="R",ResultsInd[[#This Row],[Category]]&amp;"-"&amp;IF(ResultsInd[[#This Row],[LoseInKO]]=ResultsInd[[#This Row],[Category]]&amp;"-"&amp;ResultsInd[[#This Row],[Player A]],ResultsInd[[#This Row],[Player B]],ResultsInd[[#This Row],[Player A]]),""),"")</f>
        <v/>
      </c>
      <c r="AB64" s="8"/>
      <c r="AC64" s="12" t="str">
        <f t="shared" si="47"/>
        <v>OPEN</v>
      </c>
      <c r="AD64" s="309"/>
      <c r="AE64" s="310"/>
      <c r="AF64" s="311"/>
      <c r="AG64" s="292" t="str">
        <f>IF(AP64="","",SMALL(AH59:AH65,ROWS(AG59:AG64)))</f>
        <v/>
      </c>
      <c r="AH64" s="293" t="str">
        <f>IF(AP64="","",RANK(AL64,AL59:AL65)*1000+ROWS(AH59:AH64))</f>
        <v/>
      </c>
      <c r="AI64" s="316" t="str">
        <f t="shared" si="41"/>
        <v/>
      </c>
      <c r="AJ64" s="415" t="b">
        <f>AND(AO64&lt;&gt;"",AO64&gt;0,COUNTIF(AI59:AI65,AI64)&gt;1)</f>
        <v>0</v>
      </c>
      <c r="AK64" s="316" t="str">
        <f t="shared" si="42"/>
        <v/>
      </c>
      <c r="AL64" s="317" t="str">
        <f t="shared" si="43"/>
        <v/>
      </c>
      <c r="AM64" s="415" t="b">
        <f>AND(AO64&lt;&gt;"",AO64&gt;0,COUNTIF(AL59:AL65,AL64)&gt;1)</f>
        <v>0</v>
      </c>
      <c r="AN64" s="306" t="str">
        <f t="shared" si="44"/>
        <v/>
      </c>
      <c r="AO64" s="307" t="str">
        <f t="shared" si="45"/>
        <v/>
      </c>
      <c r="AP64" s="307" t="str">
        <f>IF(OR(AC58="",AD64=""),"",COUNTIF(ResultsInd[Win],AC58&amp;"-"&amp;AD64))</f>
        <v/>
      </c>
      <c r="AQ64" s="307" t="str">
        <f>IF(OR(AC58="",AD64=""),"",COUNTIF(ResultsInd[Draw1],AC58&amp;"-"&amp;AD64)+COUNTIF(ResultsInd[Draw2],AC58&amp;"-"&amp;AD64))</f>
        <v/>
      </c>
      <c r="AR64" s="307" t="str">
        <f>IF(OR(AC58="",AD64=""),"",COUNTIF(ResultsInd[Lose],AC58&amp;"-"&amp;AD64))</f>
        <v/>
      </c>
      <c r="AS64" s="307" t="str">
        <f>IF(OR(AC58="",AD64=""),"",SUMIFS(ResultsInd[Goal-A],ResultsInd[Category],AC58,ResultsInd[Stage],"Groups",ResultsInd[Player A],AD64)+SUMIFS(ResultsInd[Goal-B],ResultsInd[Category],AC58,ResultsInd[Stage],"Groups",ResultsInd[Player B],AD64))</f>
        <v/>
      </c>
      <c r="AT64" s="307" t="str">
        <f>IF(OR(AC58="",AD64=""),"",SUMIFS(ResultsInd[Goal-B],ResultsInd[Category],AC58,ResultsInd[Stage],"Groups",ResultsInd[Player A],AD64)+SUMIFS(ResultsInd[Goal-A],ResultsInd[Category],AC58,ResultsInd[Stage],"Groups",ResultsInd[Player B],AD64))</f>
        <v/>
      </c>
      <c r="AU64" s="308" t="str">
        <f t="shared" si="48"/>
        <v/>
      </c>
      <c r="AV64" s="469" t="str">
        <f>IF(AG64="","",OR(VLOOKUP(AG64,AH59:AU65,3,FALSE),VLOOKUP(AG64,AH59:AU65,6,FALSE)))</f>
        <v/>
      </c>
      <c r="AW64" s="298" t="str">
        <f t="shared" si="46"/>
        <v/>
      </c>
      <c r="AX64" s="285" t="str">
        <f>IF(AG64="","",INDEX(AD59:AD65,MATCH(AG64,AH59:AH65,0)))</f>
        <v/>
      </c>
      <c r="AY64" s="286" t="str">
        <f>IF(AG64="","",VLOOKUP(AG64,AH59:AU65,COLUMN()-COLUMN(AR58),FALSE))</f>
        <v/>
      </c>
      <c r="AZ64" s="286" t="str">
        <f>IF(AG64="","",VLOOKUP(AG64,AH59:AU65,COLUMN()-COLUMN(AR58),FALSE))</f>
        <v/>
      </c>
      <c r="BA64" s="286" t="str">
        <f>IF(AG64="","",VLOOKUP(AG64,AH59:AU65,COLUMN()-COLUMN(AR58),FALSE))</f>
        <v/>
      </c>
      <c r="BB64" s="286" t="str">
        <f>IF(AG64="","",VLOOKUP(AG64,AH59:AU65,COLUMN()-COLUMN(AR58),FALSE))</f>
        <v/>
      </c>
      <c r="BC64" s="286" t="str">
        <f>IF(AG64="","",VLOOKUP(AG64,AH59:AU65,COLUMN()-COLUMN(AR58),FALSE))</f>
        <v/>
      </c>
      <c r="BD64" s="286" t="str">
        <f>IF(AG64="","",VLOOKUP(AG64,AH59:AU65,COLUMN()-COLUMN(AR58),FALSE))</f>
        <v/>
      </c>
      <c r="BE64" s="286" t="str">
        <f>IF(AG64="","",VLOOKUP(AG64,AH59:AU65,COLUMN()-COLUMN(AR58),FALSE))</f>
        <v/>
      </c>
      <c r="BF64" s="301" t="str">
        <f>IF(AG64="","",VLOOKUP(AG64,AH59:AU65,COLUMN()-COLUMN(AR58),FALSE))</f>
        <v/>
      </c>
    </row>
    <row r="65" spans="1:58" ht="12" thickBot="1" x14ac:dyDescent="0.25">
      <c r="A65" s="249" t="s">
        <v>890</v>
      </c>
      <c r="B65" s="249" t="s">
        <v>12207</v>
      </c>
      <c r="C65" s="62">
        <v>8</v>
      </c>
      <c r="D65" s="62"/>
      <c r="E65" s="344" t="s">
        <v>8694</v>
      </c>
      <c r="F65" s="344" t="s">
        <v>10436</v>
      </c>
      <c r="G65" s="113">
        <v>0</v>
      </c>
      <c r="H65" s="113">
        <v>4</v>
      </c>
      <c r="I65" s="114"/>
      <c r="J65" s="114"/>
      <c r="K65" s="114"/>
      <c r="L65" s="81"/>
      <c r="M65" s="265" t="b">
        <f>NOT(ISERROR(ResultsInd[[#This Row],[Goal-A]]+ResultsInd[[#This Row],[Goal-B]]))</f>
        <v>1</v>
      </c>
      <c r="N65" s="265">
        <f>VALUE(ResultsInd[[#This Row],[Score-A]])</f>
        <v>0</v>
      </c>
      <c r="O65" s="265">
        <f>VALUE(ResultsInd[[#This Row],[Score-B]])</f>
        <v>4</v>
      </c>
      <c r="P65" s="265">
        <f ca="1">IF(AND(ResultsInd[[#This Row],[Category]]&lt;&gt;"",ResultsInd[[#This Row],[Player A]]&lt;&gt;""),COUNTIF(INDIRECT(ResultsInd[[#This Row],[Category]]&amp;"List[Retained Player Name]"),ResultsInd[[#This Row],[Player A]]),"")</f>
        <v>1</v>
      </c>
      <c r="Q65" s="265">
        <f ca="1">IF(AND(ResultsInd[[#This Row],[Category]]&lt;&gt;"",ResultsInd[[#This Row],[Player B]]&lt;&gt;""),COUNTIF(INDIRECT(ResultsInd[[#This Row],[Category]]&amp;"List[Retained Player Name]"),ResultsInd[[#This Row],[Player B]]),"")</f>
        <v>1</v>
      </c>
      <c r="R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OPEN-Jurgen Balzan</v>
      </c>
      <c r="S65" s="265" t="str">
        <f>IF(ResultsInd[[#This Row],[Score_OK]],IF(ResultsInd[[#This Row],[Stage]]="Groups",ResultsInd[[#This Row],[Category]]&amp;"-"&amp;IF(ResultsInd[[#This Row],[Player B]]="","",IF(ResultsInd[[#This Row],[Score-A]]=ResultsInd[[#This Row],[Score-B]],ResultsInd[[#This Row],[Player A]],"")),""),"")</f>
        <v>OPEN-</v>
      </c>
      <c r="T65" s="265" t="str">
        <f>IF(ResultsInd[[#This Row],[Score_OK]],IF(ResultsInd[[#This Row],[Stage]]="Groups",ResultsInd[[#This Row],[Category]]&amp;"-"&amp;IF(ResultsInd[[#This Row],[Player B]]="","",IF(ResultsInd[[#This Row],[Score-A]]=ResultsInd[[#This Row],[Score-B]],ResultsInd[[#This Row],[Player B]],"")),""),"")</f>
        <v>OPEN-</v>
      </c>
      <c r="U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OPEN-Thierry Vivron</v>
      </c>
      <c r="V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OPEN-Thierry Vivron</v>
      </c>
      <c r="X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OPEN-Thierry Vivron</v>
      </c>
      <c r="Y65" s="264" t="str">
        <f>IF(ResultsInd[[#This Row],[Category]]="","",VLOOKUP(ResultsInd[[#This Row],[Stage]],$P$1:$V$9,MATCH(ResultsInd[[#This Row],[Category]],$Q$1:$V$1,0)+1,FALSE))</f>
        <v>PR1</v>
      </c>
      <c r="Z65" s="264" t="str">
        <f>IF(ResultsInd[[#This Row],[Score_OK]],IF(ResultsInd[[#This Row],[Level]]="R",ResultsInd[[#This Row],[Category]]&amp;"-"&amp;IF(ResultsInd[[#This Row],[LoseInKO]]=ResultsInd[[#This Row],[Category]]&amp;"-"&amp;ResultsInd[[#This Row],[Player A]],ResultsInd[[#This Row],[Player B]],ResultsInd[[#This Row],[Player A]]),""),"")</f>
        <v/>
      </c>
      <c r="AB65" s="8"/>
      <c r="AC65" s="12" t="str">
        <f t="shared" si="47"/>
        <v>OPEN</v>
      </c>
      <c r="AD65" s="312"/>
      <c r="AE65" s="313"/>
      <c r="AF65" s="314"/>
      <c r="AG65" s="294" t="str">
        <f>IF(AP65="","",SMALL(AH59:AH65,ROWS(AG59:AG65)))</f>
        <v/>
      </c>
      <c r="AH65" s="295" t="str">
        <f>IF(AP65="","",RANK(AL65,AL59:AL65)*1000+ROWS(AH59:AH65))</f>
        <v/>
      </c>
      <c r="AI65" s="318" t="str">
        <f t="shared" si="41"/>
        <v/>
      </c>
      <c r="AJ65" s="416" t="b">
        <f>AND(AO65&lt;&gt;"",AO65&gt;0,COUNTIF(AI59:AI65,AI65)&gt;1)</f>
        <v>0</v>
      </c>
      <c r="AK65" s="318" t="str">
        <f t="shared" si="42"/>
        <v/>
      </c>
      <c r="AL65" s="319" t="str">
        <f t="shared" si="43"/>
        <v/>
      </c>
      <c r="AM65" s="416" t="b">
        <f>AND(AO65&lt;&gt;"",AO65&gt;0,COUNTIF(AL59:AL65,AL65)&gt;1)</f>
        <v>0</v>
      </c>
      <c r="AN65" s="306" t="str">
        <f t="shared" si="44"/>
        <v/>
      </c>
      <c r="AO65" s="307" t="str">
        <f t="shared" si="45"/>
        <v/>
      </c>
      <c r="AP65" s="307" t="str">
        <f>IF(OR(AC58="",AD65=""),"",COUNTIF(ResultsInd[Win],AC58&amp;"-"&amp;AD65))</f>
        <v/>
      </c>
      <c r="AQ65" s="307" t="str">
        <f>IF(OR(AC58="",AD65=""),"",COUNTIF(ResultsInd[Draw1],AC58&amp;"-"&amp;AD65)+COUNTIF(ResultsInd[Draw2],AC58&amp;"-"&amp;AD65))</f>
        <v/>
      </c>
      <c r="AR65" s="307" t="str">
        <f>IF(OR(AC58="",AD65=""),"",COUNTIF(ResultsInd[Lose],AC58&amp;"-"&amp;AD65))</f>
        <v/>
      </c>
      <c r="AS65" s="307" t="str">
        <f>IF(OR(AC58="",AD65=""),"",SUMIFS(ResultsInd[Goal-A],ResultsInd[Category],AC58,ResultsInd[Stage],"Groups",ResultsInd[Player A],AD65)+SUMIFS(ResultsInd[Goal-B],ResultsInd[Category],AC58,ResultsInd[Stage],"Groups",ResultsInd[Player B],AD65))</f>
        <v/>
      </c>
      <c r="AT65" s="307" t="str">
        <f>IF(OR(AC58="",AD65=""),"",SUMIFS(ResultsInd[Goal-B],ResultsInd[Category],AC58,ResultsInd[Stage],"Groups",ResultsInd[Player A],AD65)+SUMIFS(ResultsInd[Goal-A],ResultsInd[Category],AC58,ResultsInd[Stage],"Groups",ResultsInd[Player B],AD65))</f>
        <v/>
      </c>
      <c r="AU65" s="308" t="str">
        <f t="shared" si="48"/>
        <v/>
      </c>
      <c r="AV65" s="469" t="str">
        <f>IF(AG65="","",OR(VLOOKUP(AG65,AH59:AU65,3,FALSE),VLOOKUP(AG65,AH59:AU65,6,FALSE)))</f>
        <v/>
      </c>
      <c r="AW65" s="299" t="str">
        <f t="shared" si="46"/>
        <v/>
      </c>
      <c r="AX65" s="287" t="str">
        <f>IF(AG65="","",INDEX(AD59:AD65,MATCH(AG65,AH59:AH65,0)))</f>
        <v/>
      </c>
      <c r="AY65" s="288" t="str">
        <f>IF(AG65="","",VLOOKUP(AG65,AH59:AU65,COLUMN()-COLUMN(AR58),FALSE))</f>
        <v/>
      </c>
      <c r="AZ65" s="288" t="str">
        <f>IF(AG65="","",VLOOKUP(AG65,AH59:AU65,COLUMN()-COLUMN(AR58),FALSE))</f>
        <v/>
      </c>
      <c r="BA65" s="288" t="str">
        <f>IF(AG65="","",VLOOKUP(AG65,AH59:AU65,COLUMN()-COLUMN(AR58),FALSE))</f>
        <v/>
      </c>
      <c r="BB65" s="288" t="str">
        <f>IF(AG65="","",VLOOKUP(AG65,AH59:AU65,COLUMN()-COLUMN(AR58),FALSE))</f>
        <v/>
      </c>
      <c r="BC65" s="288" t="str">
        <f>IF(AG65="","",VLOOKUP(AG65,AH59:AU65,COLUMN()-COLUMN(AR58),FALSE))</f>
        <v/>
      </c>
      <c r="BD65" s="288" t="str">
        <f>IF(AG65="","",VLOOKUP(AG65,AH59:AU65,COLUMN()-COLUMN(AR58),FALSE))</f>
        <v/>
      </c>
      <c r="BE65" s="288" t="str">
        <f>IF(AG65="","",VLOOKUP(AG65,AH59:AU65,COLUMN()-COLUMN(AR58),FALSE))</f>
        <v/>
      </c>
      <c r="BF65" s="302" t="str">
        <f>IF(AG65="","",VLOOKUP(AG65,AH59:AU65,COLUMN()-COLUMN(AR58),FALSE))</f>
        <v/>
      </c>
    </row>
    <row r="66" spans="1:58" ht="13.5" thickBot="1" x14ac:dyDescent="0.25">
      <c r="A66" s="249" t="s">
        <v>890</v>
      </c>
      <c r="B66" s="249" t="s">
        <v>12207</v>
      </c>
      <c r="C66" s="62">
        <v>8</v>
      </c>
      <c r="D66" s="62"/>
      <c r="E66" s="344" t="s">
        <v>8178</v>
      </c>
      <c r="F66" s="344" t="s">
        <v>8037</v>
      </c>
      <c r="G66" s="113">
        <v>0</v>
      </c>
      <c r="H66" s="113">
        <v>3</v>
      </c>
      <c r="I66" s="114"/>
      <c r="J66" s="114"/>
      <c r="K66" s="114"/>
      <c r="L66" s="81"/>
      <c r="M66" s="265" t="b">
        <f>NOT(ISERROR(ResultsInd[[#This Row],[Goal-A]]+ResultsInd[[#This Row],[Goal-B]]))</f>
        <v>1</v>
      </c>
      <c r="N66" s="265">
        <f>VALUE(ResultsInd[[#This Row],[Score-A]])</f>
        <v>0</v>
      </c>
      <c r="O66" s="265">
        <f>VALUE(ResultsInd[[#This Row],[Score-B]])</f>
        <v>3</v>
      </c>
      <c r="P66" s="265">
        <f ca="1">IF(AND(ResultsInd[[#This Row],[Category]]&lt;&gt;"",ResultsInd[[#This Row],[Player A]]&lt;&gt;""),COUNTIF(INDIRECT(ResultsInd[[#This Row],[Category]]&amp;"List[Retained Player Name]"),ResultsInd[[#This Row],[Player A]]),"")</f>
        <v>1</v>
      </c>
      <c r="Q66" s="265">
        <f ca="1">IF(AND(ResultsInd[[#This Row],[Category]]&lt;&gt;"",ResultsInd[[#This Row],[Player B]]&lt;&gt;""),COUNTIF(INDIRECT(ResultsInd[[#This Row],[Category]]&amp;"List[Retained Player Name]"),ResultsInd[[#This Row],[Player B]]),"")</f>
        <v>1</v>
      </c>
      <c r="R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OPEN-Robert Lenz</v>
      </c>
      <c r="S66" s="265" t="str">
        <f>IF(ResultsInd[[#This Row],[Score_OK]],IF(ResultsInd[[#This Row],[Stage]]="Groups",ResultsInd[[#This Row],[Category]]&amp;"-"&amp;IF(ResultsInd[[#This Row],[Player B]]="","",IF(ResultsInd[[#This Row],[Score-A]]=ResultsInd[[#This Row],[Score-B]],ResultsInd[[#This Row],[Player A]],"")),""),"")</f>
        <v>OPEN-</v>
      </c>
      <c r="T66" s="265" t="str">
        <f>IF(ResultsInd[[#This Row],[Score_OK]],IF(ResultsInd[[#This Row],[Stage]]="Groups",ResultsInd[[#This Row],[Category]]&amp;"-"&amp;IF(ResultsInd[[#This Row],[Player B]]="","",IF(ResultsInd[[#This Row],[Score-A]]=ResultsInd[[#This Row],[Score-B]],ResultsInd[[#This Row],[Player B]],"")),""),"")</f>
        <v>OPEN-</v>
      </c>
      <c r="U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OPEN-Bruno Mottet</v>
      </c>
      <c r="V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OPEN-Bruno Mottet</v>
      </c>
      <c r="X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OPEN-Bruno Mottet</v>
      </c>
      <c r="Y66" s="264" t="str">
        <f>IF(ResultsInd[[#This Row],[Category]]="","",VLOOKUP(ResultsInd[[#This Row],[Stage]],$P$1:$V$9,MATCH(ResultsInd[[#This Row],[Category]],$Q$1:$V$1,0)+1,FALSE))</f>
        <v>PR1</v>
      </c>
      <c r="Z66" s="264" t="str">
        <f>IF(ResultsInd[[#This Row],[Score_OK]],IF(ResultsInd[[#This Row],[Level]]="R",ResultsInd[[#This Row],[Category]]&amp;"-"&amp;IF(ResultsInd[[#This Row],[LoseInKO]]=ResultsInd[[#This Row],[Category]]&amp;"-"&amp;ResultsInd[[#This Row],[Player A]],ResultsInd[[#This Row],[Player B]],ResultsInd[[#This Row],[Player A]]),""),"")</f>
        <v/>
      </c>
      <c r="AB66" s="8"/>
      <c r="AC66" s="8"/>
      <c r="AF66" s="170"/>
      <c r="AG66" s="101"/>
      <c r="AH66" s="101"/>
      <c r="AN66" s="170"/>
      <c r="AO66" s="170"/>
      <c r="AP66" s="170"/>
      <c r="AQ66" s="172"/>
      <c r="AR66" s="173"/>
      <c r="AS66" s="173"/>
      <c r="AT66" s="173"/>
      <c r="AU66" s="101"/>
      <c r="AV66" s="101"/>
      <c r="AW66" s="101"/>
      <c r="AX66" s="101"/>
      <c r="AY66" s="101"/>
      <c r="AZ66" s="101"/>
    </row>
    <row r="67" spans="1:58" ht="12" thickBot="1" x14ac:dyDescent="0.25">
      <c r="A67" s="249" t="s">
        <v>890</v>
      </c>
      <c r="B67" s="249" t="s">
        <v>12207</v>
      </c>
      <c r="C67" s="62">
        <v>9</v>
      </c>
      <c r="D67" s="62"/>
      <c r="E67" s="343" t="s">
        <v>8628</v>
      </c>
      <c r="F67" s="343" t="s">
        <v>10440</v>
      </c>
      <c r="G67" s="113">
        <v>6</v>
      </c>
      <c r="H67" s="113">
        <v>1</v>
      </c>
      <c r="I67" s="114"/>
      <c r="J67" s="114"/>
      <c r="K67" s="114"/>
      <c r="L67" s="81"/>
      <c r="M67" s="265" t="b">
        <f>NOT(ISERROR(ResultsInd[[#This Row],[Goal-A]]+ResultsInd[[#This Row],[Goal-B]]))</f>
        <v>1</v>
      </c>
      <c r="N67" s="265">
        <f>VALUE(ResultsInd[[#This Row],[Score-A]])</f>
        <v>6</v>
      </c>
      <c r="O67" s="265">
        <f>VALUE(ResultsInd[[#This Row],[Score-B]])</f>
        <v>1</v>
      </c>
      <c r="P67" s="265">
        <f ca="1">IF(AND(ResultsInd[[#This Row],[Category]]&lt;&gt;"",ResultsInd[[#This Row],[Player A]]&lt;&gt;""),COUNTIF(INDIRECT(ResultsInd[[#This Row],[Category]]&amp;"List[Retained Player Name]"),ResultsInd[[#This Row],[Player A]]),"")</f>
        <v>1</v>
      </c>
      <c r="Q67" s="265">
        <f ca="1">IF(AND(ResultsInd[[#This Row],[Category]]&lt;&gt;"",ResultsInd[[#This Row],[Player B]]&lt;&gt;""),COUNTIF(INDIRECT(ResultsInd[[#This Row],[Category]]&amp;"List[Retained Player Name]"),ResultsInd[[#This Row],[Player B]]),"")</f>
        <v>1</v>
      </c>
      <c r="R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González</v>
      </c>
      <c r="S67" s="265" t="str">
        <f>IF(ResultsInd[[#This Row],[Score_OK]],IF(ResultsInd[[#This Row],[Stage]]="Groups",ResultsInd[[#This Row],[Category]]&amp;"-"&amp;IF(ResultsInd[[#This Row],[Player B]]="","",IF(ResultsInd[[#This Row],[Score-A]]=ResultsInd[[#This Row],[Score-B]],ResultsInd[[#This Row],[Player A]],"")),""),"")</f>
        <v>OPEN-</v>
      </c>
      <c r="T67" s="265" t="str">
        <f>IF(ResultsInd[[#This Row],[Score_OK]],IF(ResultsInd[[#This Row],[Stage]]="Groups",ResultsInd[[#This Row],[Category]]&amp;"-"&amp;IF(ResultsInd[[#This Row],[Player B]]="","",IF(ResultsInd[[#This Row],[Score-A]]=ResultsInd[[#This Row],[Score-B]],ResultsInd[[#This Row],[Player B]],"")),""),"")</f>
        <v>OPEN-</v>
      </c>
      <c r="U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OPEN-Stanley Farrugia Randon</v>
      </c>
      <c r="V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OPEN-Stanley Farrugia Randon</v>
      </c>
      <c r="X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OPEN-Stanley Farrugia Randon</v>
      </c>
      <c r="Y67" s="264" t="str">
        <f>IF(ResultsInd[[#This Row],[Category]]="","",VLOOKUP(ResultsInd[[#This Row],[Stage]],$P$1:$V$9,MATCH(ResultsInd[[#This Row],[Category]],$Q$1:$V$1,0)+1,FALSE))</f>
        <v>PR1</v>
      </c>
      <c r="Z67" s="264" t="str">
        <f>IF(ResultsInd[[#This Row],[Score_OK]],IF(ResultsInd[[#This Row],[Level]]="R",ResultsInd[[#This Row],[Category]]&amp;"-"&amp;IF(ResultsInd[[#This Row],[LoseInKO]]=ResultsInd[[#This Row],[Category]]&amp;"-"&amp;ResultsInd[[#This Row],[Player A]],ResultsInd[[#This Row],[Player B]],ResultsInd[[#This Row],[Player A]]),""),"")</f>
        <v/>
      </c>
      <c r="AB67" s="281">
        <v>6</v>
      </c>
      <c r="AC67" s="315" t="s">
        <v>890</v>
      </c>
      <c r="AD67" s="289" t="s">
        <v>14439</v>
      </c>
      <c r="AE67" s="290" t="s">
        <v>12279</v>
      </c>
      <c r="AF67" s="284" t="s">
        <v>12275</v>
      </c>
      <c r="AG67" s="296" t="s">
        <v>12276</v>
      </c>
      <c r="AH67" s="291" t="s">
        <v>12271</v>
      </c>
      <c r="AI67" s="291" t="s">
        <v>12272</v>
      </c>
      <c r="AJ67" s="414" t="s">
        <v>13154</v>
      </c>
      <c r="AK67" s="291" t="s">
        <v>12273</v>
      </c>
      <c r="AL67" s="297" t="s">
        <v>12274</v>
      </c>
      <c r="AM67" s="414" t="s">
        <v>13154</v>
      </c>
      <c r="AN67" s="303" t="s">
        <v>12199</v>
      </c>
      <c r="AO67" s="304" t="s">
        <v>12200</v>
      </c>
      <c r="AP67" s="304" t="s">
        <v>12201</v>
      </c>
      <c r="AQ67" s="304" t="s">
        <v>12202</v>
      </c>
      <c r="AR67" s="304" t="s">
        <v>12203</v>
      </c>
      <c r="AS67" s="304" t="s">
        <v>12204</v>
      </c>
      <c r="AT67" s="304" t="s">
        <v>12205</v>
      </c>
      <c r="AU67" s="305" t="s">
        <v>12206</v>
      </c>
      <c r="AV67" s="468"/>
      <c r="AW67" s="282" t="s">
        <v>12276</v>
      </c>
      <c r="AX67" s="282" t="s">
        <v>12280</v>
      </c>
      <c r="AY67" s="283" t="s">
        <v>12199</v>
      </c>
      <c r="AZ67" s="283" t="s">
        <v>12200</v>
      </c>
      <c r="BA67" s="283" t="s">
        <v>12201</v>
      </c>
      <c r="BB67" s="283" t="s">
        <v>12202</v>
      </c>
      <c r="BC67" s="283" t="s">
        <v>12203</v>
      </c>
      <c r="BD67" s="283" t="s">
        <v>12204</v>
      </c>
      <c r="BE67" s="283" t="s">
        <v>12205</v>
      </c>
      <c r="BF67" s="300" t="s">
        <v>12206</v>
      </c>
    </row>
    <row r="68" spans="1:58" ht="12" thickBot="1" x14ac:dyDescent="0.25">
      <c r="A68" s="249" t="s">
        <v>890</v>
      </c>
      <c r="B68" s="249" t="s">
        <v>12207</v>
      </c>
      <c r="C68" s="62">
        <v>9</v>
      </c>
      <c r="D68" s="62"/>
      <c r="E68" s="344" t="s">
        <v>8165</v>
      </c>
      <c r="F68" s="344" t="s">
        <v>8078</v>
      </c>
      <c r="G68" s="113">
        <v>3</v>
      </c>
      <c r="H68" s="113">
        <v>1</v>
      </c>
      <c r="I68" s="114"/>
      <c r="J68" s="114"/>
      <c r="K68" s="114"/>
      <c r="L68" s="81"/>
      <c r="M68" s="265" t="b">
        <f>NOT(ISERROR(ResultsInd[[#This Row],[Goal-A]]+ResultsInd[[#This Row],[Goal-B]]))</f>
        <v>1</v>
      </c>
      <c r="N68" s="265">
        <f>VALUE(ResultsInd[[#This Row],[Score-A]])</f>
        <v>3</v>
      </c>
      <c r="O68" s="265">
        <f>VALUE(ResultsInd[[#This Row],[Score-B]])</f>
        <v>1</v>
      </c>
      <c r="P68" s="265">
        <f ca="1">IF(AND(ResultsInd[[#This Row],[Category]]&lt;&gt;"",ResultsInd[[#This Row],[Player A]]&lt;&gt;""),COUNTIF(INDIRECT(ResultsInd[[#This Row],[Category]]&amp;"List[Retained Player Name]"),ResultsInd[[#This Row],[Player A]]),"")</f>
        <v>1</v>
      </c>
      <c r="Q68" s="265">
        <f ca="1">IF(AND(ResultsInd[[#This Row],[Category]]&lt;&gt;"",ResultsInd[[#This Row],[Player B]]&lt;&gt;""),COUNTIF(INDIRECT(ResultsInd[[#This Row],[Category]]&amp;"List[Retained Player Name]"),ResultsInd[[#This Row],[Player B]]),"")</f>
        <v>1</v>
      </c>
      <c r="R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OPEN-Christopher Sabetta</v>
      </c>
      <c r="S68" s="265" t="str">
        <f>IF(ResultsInd[[#This Row],[Score_OK]],IF(ResultsInd[[#This Row],[Stage]]="Groups",ResultsInd[[#This Row],[Category]]&amp;"-"&amp;IF(ResultsInd[[#This Row],[Player B]]="","",IF(ResultsInd[[#This Row],[Score-A]]=ResultsInd[[#This Row],[Score-B]],ResultsInd[[#This Row],[Player A]],"")),""),"")</f>
        <v>OPEN-</v>
      </c>
      <c r="T68" s="265" t="str">
        <f>IF(ResultsInd[[#This Row],[Score_OK]],IF(ResultsInd[[#This Row],[Stage]]="Groups",ResultsInd[[#This Row],[Category]]&amp;"-"&amp;IF(ResultsInd[[#This Row],[Player B]]="","",IF(ResultsInd[[#This Row],[Score-A]]=ResultsInd[[#This Row],[Score-B]],ResultsInd[[#This Row],[Player B]],"")),""),"")</f>
        <v>OPEN-</v>
      </c>
      <c r="U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OPEN-Christophe Brach</v>
      </c>
      <c r="V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X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Y68" s="264" t="str">
        <f>IF(ResultsInd[[#This Row],[Category]]="","",VLOOKUP(ResultsInd[[#This Row],[Stage]],$P$1:$V$9,MATCH(ResultsInd[[#This Row],[Category]],$Q$1:$V$1,0)+1,FALSE))</f>
        <v>PR1</v>
      </c>
      <c r="Z68" s="264" t="str">
        <f>IF(ResultsInd[[#This Row],[Score_OK]],IF(ResultsInd[[#This Row],[Level]]="R",ResultsInd[[#This Row],[Category]]&amp;"-"&amp;IF(ResultsInd[[#This Row],[LoseInKO]]=ResultsInd[[#This Row],[Category]]&amp;"-"&amp;ResultsInd[[#This Row],[Player A]],ResultsInd[[#This Row],[Player B]],ResultsInd[[#This Row],[Player A]]),""),"")</f>
        <v/>
      </c>
      <c r="AB68" s="8"/>
      <c r="AC68" s="12" t="str">
        <f>IF(AC67="","",AC67)</f>
        <v>OPEN</v>
      </c>
      <c r="AD68" s="309" t="s">
        <v>8097</v>
      </c>
      <c r="AE68" s="320"/>
      <c r="AF68" s="311"/>
      <c r="AG68" s="292">
        <f>IF(AP68="","",SMALL(AH68:AH74,ROWS(AG68:AG68)))</f>
        <v>1001</v>
      </c>
      <c r="AH68" s="293">
        <f>IF(AP68="","",RANK(AL68,AL68:AL74)*1000+ROWS(AH68:AH68))</f>
        <v>1001</v>
      </c>
      <c r="AI68" s="316">
        <f t="shared" ref="AI68:AI74" si="49">IF(AP68="","",CritClassInd1_Points*AN68+CritClassInd1_Matches*AP68+CritClassInd1_Attaque*AS68+CritClassInd1_DiffButs*AU68)</f>
        <v>9000000000000</v>
      </c>
      <c r="AJ68" s="415" t="b">
        <f>AND(AO68&lt;&gt;"",AO68&gt;0,COUNTIF(AI68:AI74,AI68)&gt;1)</f>
        <v>0</v>
      </c>
      <c r="AK68" s="316">
        <f t="shared" ref="AK68:AK74" si="50">IF(AP68="","",CritClassInd_ScorePart*AE68)</f>
        <v>0</v>
      </c>
      <c r="AL68" s="317">
        <f t="shared" ref="AL68:AL74" si="51">IF(AP68="","",AI68+AK68+CritClassInd2_Points*AN68+CritClassInd2_Matches*AP68+CritClassInd2_Attaque*AS68+CritClassInd2_DiffButs*AU68+AF68)</f>
        <v>9000000192100</v>
      </c>
      <c r="AM68" s="415" t="b">
        <f>AND(AO68&lt;&gt;"",AO68&gt;0,COUNTIF(AL68:AL74,AL68)&gt;1)</f>
        <v>0</v>
      </c>
      <c r="AN68" s="306">
        <f t="shared" ref="AN68:AN74" si="52">IF(AP68="","",(AP68*Points_Victoire)+AQ68*Points_Null)</f>
        <v>9</v>
      </c>
      <c r="AO68" s="307">
        <f t="shared" ref="AO68:AO74" si="53">IF(AP68="","",SUM(AP68:AR68))</f>
        <v>3</v>
      </c>
      <c r="AP68" s="307">
        <f>IF(OR(AC67="",AD68=""),"",COUNTIF(ResultsInd[Win],AC67&amp;"-"&amp;AD68))</f>
        <v>3</v>
      </c>
      <c r="AQ68" s="307">
        <f>IF(OR(AC67="",AD68=""),"",COUNTIF(ResultsInd[Draw1],AC67&amp;"-"&amp;AD68)+COUNTIF(ResultsInd[Draw2],AC67&amp;"-"&amp;AD68))</f>
        <v>0</v>
      </c>
      <c r="AR68" s="307">
        <f>IF(OR(AC67="",AD68=""),"",COUNTIF(ResultsInd[Lose],AC67&amp;"-"&amp;AD68))</f>
        <v>0</v>
      </c>
      <c r="AS68" s="307">
        <f>IF(OR(AC67="",AD68=""),"",SUMIFS(ResultsInd[Goal-A],ResultsInd[Category],AC67,ResultsInd[Stage],"Groups",ResultsInd[Player A],AD68)+SUMIFS(ResultsInd[Goal-B],ResultsInd[Category],AC67,ResultsInd[Stage],"Groups",ResultsInd[Player B],AD68))</f>
        <v>21</v>
      </c>
      <c r="AT68" s="307">
        <f>IF(OR(AC67="",AD68=""),"",SUMIFS(ResultsInd[Goal-B],ResultsInd[Category],AC67,ResultsInd[Stage],"Groups",ResultsInd[Player A],AD68)+SUMIFS(ResultsInd[Goal-A],ResultsInd[Category],AC67,ResultsInd[Stage],"Groups",ResultsInd[Player B],AD68))</f>
        <v>2</v>
      </c>
      <c r="AU68" s="308">
        <f>IF(AP68="","",AS68-AT68)</f>
        <v>19</v>
      </c>
      <c r="AV68" s="469" t="b">
        <f>IF(AG68="","",OR(VLOOKUP(AG68,AH68:AU74,3,FALSE),VLOOKUP(AG68,AH68:AU74,6,FALSE)))</f>
        <v>0</v>
      </c>
      <c r="AW68" s="298">
        <f t="shared" ref="AW68:AW74" si="54">IF(AG68="","",INT(AG68/1000))</f>
        <v>1</v>
      </c>
      <c r="AX68" s="285" t="str">
        <f>IF(AG68="","",INDEX(AD68:AD74,MATCH(AG68,AH68:AH74,0)))</f>
        <v>Bessim Golger</v>
      </c>
      <c r="AY68" s="286">
        <f>IF(AG68="","",VLOOKUP(AG68,AH68:AU74,COLUMN()-COLUMN(AR67),FALSE))</f>
        <v>9</v>
      </c>
      <c r="AZ68" s="286">
        <f>IF(AG68="","",VLOOKUP(AG68,AH68:AU74,COLUMN()-COLUMN(AR67),FALSE))</f>
        <v>3</v>
      </c>
      <c r="BA68" s="286">
        <f>IF(AG68="","",VLOOKUP(AG68,AH68:AU74,COLUMN()-COLUMN(AR67),FALSE))</f>
        <v>3</v>
      </c>
      <c r="BB68" s="286">
        <f>IF(AG68="","",VLOOKUP(AG68,AH68:AU74,COLUMN()-COLUMN(AR67),FALSE))</f>
        <v>0</v>
      </c>
      <c r="BC68" s="286">
        <f>IF(AG68="","",VLOOKUP(AG68,AH68:AU74,COLUMN()-COLUMN(AR67),FALSE))</f>
        <v>0</v>
      </c>
      <c r="BD68" s="286">
        <f>IF(AG68="","",VLOOKUP(AG68,AH68:AU74,COLUMN()-COLUMN(AR67),FALSE))</f>
        <v>21</v>
      </c>
      <c r="BE68" s="286">
        <f>IF(AG68="","",VLOOKUP(AG68,AH68:AU74,COLUMN()-COLUMN(AR67),FALSE))</f>
        <v>2</v>
      </c>
      <c r="BF68" s="301">
        <f>IF(AG68="","",VLOOKUP(AG68,AH68:AU74,COLUMN()-COLUMN(AR67),FALSE))</f>
        <v>19</v>
      </c>
    </row>
    <row r="69" spans="1:58" ht="12" thickBot="1" x14ac:dyDescent="0.25">
      <c r="A69" s="249" t="s">
        <v>890</v>
      </c>
      <c r="B69" s="249" t="s">
        <v>12207</v>
      </c>
      <c r="C69" s="62">
        <v>9</v>
      </c>
      <c r="D69" s="62"/>
      <c r="E69" s="345" t="s">
        <v>8628</v>
      </c>
      <c r="F69" s="345" t="s">
        <v>8165</v>
      </c>
      <c r="G69" s="113">
        <v>3</v>
      </c>
      <c r="H69" s="113">
        <v>2</v>
      </c>
      <c r="I69" s="114"/>
      <c r="J69" s="114"/>
      <c r="K69" s="114"/>
      <c r="L69" s="81"/>
      <c r="M69" s="265" t="b">
        <f>NOT(ISERROR(ResultsInd[[#This Row],[Goal-A]]+ResultsInd[[#This Row],[Goal-B]]))</f>
        <v>1</v>
      </c>
      <c r="N69" s="265">
        <f>VALUE(ResultsInd[[#This Row],[Score-A]])</f>
        <v>3</v>
      </c>
      <c r="O69" s="265">
        <f>VALUE(ResultsInd[[#This Row],[Score-B]])</f>
        <v>2</v>
      </c>
      <c r="P69" s="265">
        <f ca="1">IF(AND(ResultsInd[[#This Row],[Category]]&lt;&gt;"",ResultsInd[[#This Row],[Player A]]&lt;&gt;""),COUNTIF(INDIRECT(ResultsInd[[#This Row],[Category]]&amp;"List[Retained Player Name]"),ResultsInd[[#This Row],[Player A]]),"")</f>
        <v>1</v>
      </c>
      <c r="Q69" s="265">
        <f ca="1">IF(AND(ResultsInd[[#This Row],[Category]]&lt;&gt;"",ResultsInd[[#This Row],[Player B]]&lt;&gt;""),COUNTIF(INDIRECT(ResultsInd[[#This Row],[Category]]&amp;"List[Retained Player Name]"),ResultsInd[[#This Row],[Player B]]),"")</f>
        <v>1</v>
      </c>
      <c r="R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González</v>
      </c>
      <c r="S69" s="265" t="str">
        <f>IF(ResultsInd[[#This Row],[Score_OK]],IF(ResultsInd[[#This Row],[Stage]]="Groups",ResultsInd[[#This Row],[Category]]&amp;"-"&amp;IF(ResultsInd[[#This Row],[Player B]]="","",IF(ResultsInd[[#This Row],[Score-A]]=ResultsInd[[#This Row],[Score-B]],ResultsInd[[#This Row],[Player A]],"")),""),"")</f>
        <v>OPEN-</v>
      </c>
      <c r="T69" s="265" t="str">
        <f>IF(ResultsInd[[#This Row],[Score_OK]],IF(ResultsInd[[#This Row],[Stage]]="Groups",ResultsInd[[#This Row],[Category]]&amp;"-"&amp;IF(ResultsInd[[#This Row],[Player B]]="","",IF(ResultsInd[[#This Row],[Score-A]]=ResultsInd[[#This Row],[Score-B]],ResultsInd[[#This Row],[Player B]],"")),""),"")</f>
        <v>OPEN-</v>
      </c>
      <c r="U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OPEN-Christopher Sabetta</v>
      </c>
      <c r="V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OPEN-Christopher Sabetta</v>
      </c>
      <c r="X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OPEN-Christopher Sabetta</v>
      </c>
      <c r="Y69" s="264" t="str">
        <f>IF(ResultsInd[[#This Row],[Category]]="","",VLOOKUP(ResultsInd[[#This Row],[Stage]],$P$1:$V$9,MATCH(ResultsInd[[#This Row],[Category]],$Q$1:$V$1,0)+1,FALSE))</f>
        <v>PR1</v>
      </c>
      <c r="Z69" s="264" t="str">
        <f>IF(ResultsInd[[#This Row],[Score_OK]],IF(ResultsInd[[#This Row],[Level]]="R",ResultsInd[[#This Row],[Category]]&amp;"-"&amp;IF(ResultsInd[[#This Row],[LoseInKO]]=ResultsInd[[#This Row],[Category]]&amp;"-"&amp;ResultsInd[[#This Row],[Player A]],ResultsInd[[#This Row],[Player B]],ResultsInd[[#This Row],[Player A]]),""),"")</f>
        <v/>
      </c>
      <c r="AB69" s="8"/>
      <c r="AC69" s="12" t="str">
        <f t="shared" ref="AC69:AC74" si="55">IF(AC68="","",AC68)</f>
        <v>OPEN</v>
      </c>
      <c r="AD69" s="309" t="s">
        <v>8680</v>
      </c>
      <c r="AE69" s="320"/>
      <c r="AF69" s="311"/>
      <c r="AG69" s="292">
        <f>IF(AP69="","",SMALL(AH68:AH74,ROWS(AG68:AG69)))</f>
        <v>2002</v>
      </c>
      <c r="AH69" s="293">
        <f>IF(AP69="","",RANK(AL69,AL68:AL74)*1000+ROWS(AH68:AH69))</f>
        <v>2002</v>
      </c>
      <c r="AI69" s="316">
        <f t="shared" si="49"/>
        <v>4000000000000</v>
      </c>
      <c r="AJ69" s="415" t="b">
        <f>AND(AO69&lt;&gt;"",AO69&gt;0,COUNTIF(AI68:AI74,AI69)&gt;1)</f>
        <v>0</v>
      </c>
      <c r="AK69" s="316">
        <f t="shared" si="50"/>
        <v>0</v>
      </c>
      <c r="AL69" s="317">
        <f t="shared" si="51"/>
        <v>3999999980500</v>
      </c>
      <c r="AM69" s="415" t="b">
        <f>AND(AO69&lt;&gt;"",AO69&gt;0,COUNTIF(AL68:AL74,AL69)&gt;1)</f>
        <v>0</v>
      </c>
      <c r="AN69" s="306">
        <f t="shared" si="52"/>
        <v>4</v>
      </c>
      <c r="AO69" s="307">
        <f t="shared" si="53"/>
        <v>3</v>
      </c>
      <c r="AP69" s="307">
        <f>IF(OR(AC67="",AD69=""),"",COUNTIF(ResultsInd[Win],AC67&amp;"-"&amp;AD69))</f>
        <v>1</v>
      </c>
      <c r="AQ69" s="307">
        <f>IF(OR(AC67="",AD69=""),"",COUNTIF(ResultsInd[Draw1],AC67&amp;"-"&amp;AD69)+COUNTIF(ResultsInd[Draw2],AC67&amp;"-"&amp;AD69))</f>
        <v>1</v>
      </c>
      <c r="AR69" s="307">
        <f>IF(OR(AC67="",AD69=""),"",COUNTIF(ResultsInd[Lose],AC67&amp;"-"&amp;AD69))</f>
        <v>1</v>
      </c>
      <c r="AS69" s="307">
        <f>IF(OR(AC67="",AD69=""),"",SUMIFS(ResultsInd[Goal-A],ResultsInd[Category],AC67,ResultsInd[Stage],"Groups",ResultsInd[Player A],AD69)+SUMIFS(ResultsInd[Goal-B],ResultsInd[Category],AC67,ResultsInd[Stage],"Groups",ResultsInd[Player B],AD69))</f>
        <v>5</v>
      </c>
      <c r="AT69" s="307">
        <f>IF(OR(AC67="",AD69=""),"",SUMIFS(ResultsInd[Goal-B],ResultsInd[Category],AC67,ResultsInd[Stage],"Groups",ResultsInd[Player A],AD69)+SUMIFS(ResultsInd[Goal-A],ResultsInd[Category],AC67,ResultsInd[Stage],"Groups",ResultsInd[Player B],AD69))</f>
        <v>7</v>
      </c>
      <c r="AU69" s="308">
        <f t="shared" ref="AU69:AU74" si="56">IF(AP69="","",AS69-AT69)</f>
        <v>-2</v>
      </c>
      <c r="AV69" s="469" t="b">
        <f>IF(AG69="","",OR(VLOOKUP(AG69,AH68:AU74,3,FALSE),VLOOKUP(AG69,AH68:AU74,6,FALSE)))</f>
        <v>0</v>
      </c>
      <c r="AW69" s="298">
        <f t="shared" si="54"/>
        <v>2</v>
      </c>
      <c r="AX69" s="285" t="str">
        <f>IF(AG69="","",INDEX(AD68:AD74,MATCH(AG69,AH68:AH74,0)))</f>
        <v>Xavi Maso</v>
      </c>
      <c r="AY69" s="286">
        <f>IF(AG69="","",VLOOKUP(AG69,AH68:AU74,COLUMN()-COLUMN(AR67),FALSE))</f>
        <v>4</v>
      </c>
      <c r="AZ69" s="286">
        <f>IF(AG69="","",VLOOKUP(AG69,AH68:AU74,COLUMN()-COLUMN(AR67),FALSE))</f>
        <v>3</v>
      </c>
      <c r="BA69" s="286">
        <f>IF(AG69="","",VLOOKUP(AG69,AH68:AU74,COLUMN()-COLUMN(AR67),FALSE))</f>
        <v>1</v>
      </c>
      <c r="BB69" s="286">
        <f>IF(AG69="","",VLOOKUP(AG69,AH68:AU74,COLUMN()-COLUMN(AR67),FALSE))</f>
        <v>1</v>
      </c>
      <c r="BC69" s="286">
        <f>IF(AG69="","",VLOOKUP(AG69,AH68:AU74,COLUMN()-COLUMN(AR67),FALSE))</f>
        <v>1</v>
      </c>
      <c r="BD69" s="286">
        <f>IF(AG69="","",VLOOKUP(AG69,AH68:AU74,COLUMN()-COLUMN(AR67),FALSE))</f>
        <v>5</v>
      </c>
      <c r="BE69" s="286">
        <f>IF(AG69="","",VLOOKUP(AG69,AH68:AU74,COLUMN()-COLUMN(AR67),FALSE))</f>
        <v>7</v>
      </c>
      <c r="BF69" s="301">
        <f>IF(AG69="","",VLOOKUP(AG69,AH68:AU74,COLUMN()-COLUMN(AR67),FALSE))</f>
        <v>-2</v>
      </c>
    </row>
    <row r="70" spans="1:58" ht="12" thickBot="1" x14ac:dyDescent="0.25">
      <c r="A70" s="249" t="s">
        <v>890</v>
      </c>
      <c r="B70" s="249" t="s">
        <v>12207</v>
      </c>
      <c r="C70" s="62">
        <v>9</v>
      </c>
      <c r="D70" s="62"/>
      <c r="E70" s="345" t="s">
        <v>10440</v>
      </c>
      <c r="F70" s="345" t="s">
        <v>8078</v>
      </c>
      <c r="G70" s="113">
        <v>1</v>
      </c>
      <c r="H70" s="113">
        <v>2</v>
      </c>
      <c r="I70" s="114"/>
      <c r="J70" s="114"/>
      <c r="K70" s="114"/>
      <c r="L70" s="81"/>
      <c r="M70" s="265" t="b">
        <f>NOT(ISERROR(ResultsInd[[#This Row],[Goal-A]]+ResultsInd[[#This Row],[Goal-B]]))</f>
        <v>1</v>
      </c>
      <c r="N70" s="265">
        <f>VALUE(ResultsInd[[#This Row],[Score-A]])</f>
        <v>1</v>
      </c>
      <c r="O70" s="265">
        <f>VALUE(ResultsInd[[#This Row],[Score-B]])</f>
        <v>2</v>
      </c>
      <c r="P70" s="265">
        <f ca="1">IF(AND(ResultsInd[[#This Row],[Category]]&lt;&gt;"",ResultsInd[[#This Row],[Player A]]&lt;&gt;""),COUNTIF(INDIRECT(ResultsInd[[#This Row],[Category]]&amp;"List[Retained Player Name]"),ResultsInd[[#This Row],[Player A]]),"")</f>
        <v>1</v>
      </c>
      <c r="Q70" s="265">
        <f ca="1">IF(AND(ResultsInd[[#This Row],[Category]]&lt;&gt;"",ResultsInd[[#This Row],[Player B]]&lt;&gt;""),COUNTIF(INDIRECT(ResultsInd[[#This Row],[Category]]&amp;"List[Retained Player Name]"),ResultsInd[[#This Row],[Player B]]),"")</f>
        <v>1</v>
      </c>
      <c r="R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Brach</v>
      </c>
      <c r="S70" s="265" t="str">
        <f>IF(ResultsInd[[#This Row],[Score_OK]],IF(ResultsInd[[#This Row],[Stage]]="Groups",ResultsInd[[#This Row],[Category]]&amp;"-"&amp;IF(ResultsInd[[#This Row],[Player B]]="","",IF(ResultsInd[[#This Row],[Score-A]]=ResultsInd[[#This Row],[Score-B]],ResultsInd[[#This Row],[Player A]],"")),""),"")</f>
        <v>OPEN-</v>
      </c>
      <c r="T70" s="265" t="str">
        <f>IF(ResultsInd[[#This Row],[Score_OK]],IF(ResultsInd[[#This Row],[Stage]]="Groups",ResultsInd[[#This Row],[Category]]&amp;"-"&amp;IF(ResultsInd[[#This Row],[Player B]]="","",IF(ResultsInd[[#This Row],[Score-A]]=ResultsInd[[#This Row],[Score-B]],ResultsInd[[#This Row],[Player B]],"")),""),"")</f>
        <v>OPEN-</v>
      </c>
      <c r="U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OPEN-Stanley Farrugia Randon</v>
      </c>
      <c r="V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OPEN-Stanley Farrugia Randon</v>
      </c>
      <c r="X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OPEN-Stanley Farrugia Randon</v>
      </c>
      <c r="Y70" s="264" t="str">
        <f>IF(ResultsInd[[#This Row],[Category]]="","",VLOOKUP(ResultsInd[[#This Row],[Stage]],$P$1:$V$9,MATCH(ResultsInd[[#This Row],[Category]],$Q$1:$V$1,0)+1,FALSE))</f>
        <v>PR1</v>
      </c>
      <c r="Z70" s="264" t="str">
        <f>IF(ResultsInd[[#This Row],[Score_OK]],IF(ResultsInd[[#This Row],[Level]]="R",ResultsInd[[#This Row],[Category]]&amp;"-"&amp;IF(ResultsInd[[#This Row],[LoseInKO]]=ResultsInd[[#This Row],[Category]]&amp;"-"&amp;ResultsInd[[#This Row],[Player A]],ResultsInd[[#This Row],[Player B]],ResultsInd[[#This Row],[Player A]]),""),"")</f>
        <v/>
      </c>
      <c r="AB70" s="8"/>
      <c r="AC70" s="12" t="str">
        <f t="shared" si="55"/>
        <v>OPEN</v>
      </c>
      <c r="AD70" s="309" t="s">
        <v>12742</v>
      </c>
      <c r="AE70" s="320"/>
      <c r="AF70" s="311"/>
      <c r="AG70" s="292">
        <f>IF(AP70="","",SMALL(AH68:AH74,ROWS(AG68:AG70)))</f>
        <v>3003</v>
      </c>
      <c r="AH70" s="293">
        <f>IF(AP70="","",RANK(AL70,AL68:AL74)*1000+ROWS(AH68:AH70))</f>
        <v>3003</v>
      </c>
      <c r="AI70" s="316">
        <f t="shared" si="49"/>
        <v>3000000000000</v>
      </c>
      <c r="AJ70" s="415" t="b">
        <f>AND(AO70&lt;&gt;"",AO70&gt;0,COUNTIF(AI68:AI74,AI70)&gt;1)</f>
        <v>0</v>
      </c>
      <c r="AK70" s="316">
        <f t="shared" si="50"/>
        <v>0</v>
      </c>
      <c r="AL70" s="317">
        <f t="shared" si="51"/>
        <v>2999999990900</v>
      </c>
      <c r="AM70" s="415" t="b">
        <f>AND(AO70&lt;&gt;"",AO70&gt;0,COUNTIF(AL68:AL74,AL70)&gt;1)</f>
        <v>0</v>
      </c>
      <c r="AN70" s="306">
        <f t="shared" si="52"/>
        <v>3</v>
      </c>
      <c r="AO70" s="307">
        <f t="shared" si="53"/>
        <v>3</v>
      </c>
      <c r="AP70" s="307">
        <f>IF(OR(AC67="",AD70=""),"",COUNTIF(ResultsInd[Win],AC67&amp;"-"&amp;AD70))</f>
        <v>1</v>
      </c>
      <c r="AQ70" s="307">
        <f>IF(OR(AC67="",AD70=""),"",COUNTIF(ResultsInd[Draw1],AC67&amp;"-"&amp;AD70)+COUNTIF(ResultsInd[Draw2],AC67&amp;"-"&amp;AD70))</f>
        <v>0</v>
      </c>
      <c r="AR70" s="307">
        <f>IF(OR(AC67="",AD70=""),"",COUNTIF(ResultsInd[Lose],AC67&amp;"-"&amp;AD70))</f>
        <v>2</v>
      </c>
      <c r="AS70" s="307">
        <f>IF(OR(AC67="",AD70=""),"",SUMIFS(ResultsInd[Goal-A],ResultsInd[Category],AC67,ResultsInd[Stage],"Groups",ResultsInd[Player A],AD70)+SUMIFS(ResultsInd[Goal-B],ResultsInd[Category],AC67,ResultsInd[Stage],"Groups",ResultsInd[Player B],AD70))</f>
        <v>9</v>
      </c>
      <c r="AT70" s="307">
        <f>IF(OR(AC67="",AD70=""),"",SUMIFS(ResultsInd[Goal-B],ResultsInd[Category],AC67,ResultsInd[Stage],"Groups",ResultsInd[Player A],AD70)+SUMIFS(ResultsInd[Goal-A],ResultsInd[Category],AC67,ResultsInd[Stage],"Groups",ResultsInd[Player B],AD70))</f>
        <v>10</v>
      </c>
      <c r="AU70" s="308">
        <f t="shared" si="56"/>
        <v>-1</v>
      </c>
      <c r="AV70" s="469" t="b">
        <f>IF(AG70="","",OR(VLOOKUP(AG70,AH68:AU74,3,FALSE),VLOOKUP(AG70,AH68:AU74,6,FALSE)))</f>
        <v>0</v>
      </c>
      <c r="AW70" s="298">
        <f t="shared" si="54"/>
        <v>3</v>
      </c>
      <c r="AX70" s="285" t="str">
        <f>IF(AG70="","",INDEX(AD68:AD74,MATCH(AG70,AH68:AH74,0)))</f>
        <v>Pietro Di Pietrantonio</v>
      </c>
      <c r="AY70" s="286">
        <f>IF(AG70="","",VLOOKUP(AG70,AH68:AU74,COLUMN()-COLUMN(AR67),FALSE))</f>
        <v>3</v>
      </c>
      <c r="AZ70" s="286">
        <f>IF(AG70="","",VLOOKUP(AG70,AH68:AU74,COLUMN()-COLUMN(AR67),FALSE))</f>
        <v>3</v>
      </c>
      <c r="BA70" s="286">
        <f>IF(AG70="","",VLOOKUP(AG70,AH68:AU74,COLUMN()-COLUMN(AR67),FALSE))</f>
        <v>1</v>
      </c>
      <c r="BB70" s="286">
        <f>IF(AG70="","",VLOOKUP(AG70,AH68:AU74,COLUMN()-COLUMN(AR67),FALSE))</f>
        <v>0</v>
      </c>
      <c r="BC70" s="286">
        <f>IF(AG70="","",VLOOKUP(AG70,AH68:AU74,COLUMN()-COLUMN(AR67),FALSE))</f>
        <v>2</v>
      </c>
      <c r="BD70" s="286">
        <f>IF(AG70="","",VLOOKUP(AG70,AH68:AU74,COLUMN()-COLUMN(AR67),FALSE))</f>
        <v>9</v>
      </c>
      <c r="BE70" s="286">
        <f>IF(AG70="","",VLOOKUP(AG70,AH68:AU74,COLUMN()-COLUMN(AR67),FALSE))</f>
        <v>10</v>
      </c>
      <c r="BF70" s="301">
        <f>IF(AG70="","",VLOOKUP(AG70,AH68:AU74,COLUMN()-COLUMN(AR67),FALSE))</f>
        <v>-1</v>
      </c>
    </row>
    <row r="71" spans="1:58" ht="12" thickBot="1" x14ac:dyDescent="0.25">
      <c r="A71" s="249" t="s">
        <v>890</v>
      </c>
      <c r="B71" s="249" t="s">
        <v>12207</v>
      </c>
      <c r="C71" s="249">
        <v>9</v>
      </c>
      <c r="D71" s="249"/>
      <c r="E71" s="343" t="s">
        <v>8078</v>
      </c>
      <c r="F71" s="343" t="s">
        <v>8628</v>
      </c>
      <c r="G71" s="338">
        <v>2</v>
      </c>
      <c r="H71" s="338">
        <v>7</v>
      </c>
      <c r="I71" s="339"/>
      <c r="J71" s="114"/>
      <c r="K71" s="114"/>
      <c r="L71" s="250"/>
      <c r="M71" s="265" t="b">
        <f>NOT(ISERROR(ResultsInd[[#This Row],[Goal-A]]+ResultsInd[[#This Row],[Goal-B]]))</f>
        <v>1</v>
      </c>
      <c r="N71" s="265">
        <f>VALUE(ResultsInd[[#This Row],[Score-A]])</f>
        <v>2</v>
      </c>
      <c r="O71" s="265">
        <f>VALUE(ResultsInd[[#This Row],[Score-B]])</f>
        <v>7</v>
      </c>
      <c r="P71" s="265">
        <f ca="1">IF(AND(ResultsInd[[#This Row],[Category]]&lt;&gt;"",ResultsInd[[#This Row],[Player A]]&lt;&gt;""),COUNTIF(INDIRECT(ResultsInd[[#This Row],[Category]]&amp;"List[Retained Player Name]"),ResultsInd[[#This Row],[Player A]]),"")</f>
        <v>1</v>
      </c>
      <c r="Q71" s="265">
        <f ca="1">IF(AND(ResultsInd[[#This Row],[Category]]&lt;&gt;"",ResultsInd[[#This Row],[Player B]]&lt;&gt;""),COUNTIF(INDIRECT(ResultsInd[[#This Row],[Category]]&amp;"List[Retained Player Name]"),ResultsInd[[#This Row],[Player B]]),"")</f>
        <v>1</v>
      </c>
      <c r="R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González</v>
      </c>
      <c r="S71" s="265" t="str">
        <f>IF(ResultsInd[[#This Row],[Score_OK]],IF(ResultsInd[[#This Row],[Stage]]="Groups",ResultsInd[[#This Row],[Category]]&amp;"-"&amp;IF(ResultsInd[[#This Row],[Player B]]="","",IF(ResultsInd[[#This Row],[Score-A]]=ResultsInd[[#This Row],[Score-B]],ResultsInd[[#This Row],[Player A]],"")),""),"")</f>
        <v>OPEN-</v>
      </c>
      <c r="T71" s="265" t="str">
        <f>IF(ResultsInd[[#This Row],[Score_OK]],IF(ResultsInd[[#This Row],[Stage]]="Groups",ResultsInd[[#This Row],[Category]]&amp;"-"&amp;IF(ResultsInd[[#This Row],[Player B]]="","",IF(ResultsInd[[#This Row],[Score-A]]=ResultsInd[[#This Row],[Score-B]],ResultsInd[[#This Row],[Player B]],"")),""),"")</f>
        <v>OPEN-</v>
      </c>
      <c r="U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OPEN-Christophe Brach</v>
      </c>
      <c r="V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X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Y71" s="264" t="str">
        <f>IF(ResultsInd[[#This Row],[Category]]="","",VLOOKUP(ResultsInd[[#This Row],[Stage]],$P$1:$V$9,MATCH(ResultsInd[[#This Row],[Category]],$Q$1:$V$1,0)+1,FALSE))</f>
        <v>PR1</v>
      </c>
      <c r="Z71" s="264" t="str">
        <f>IF(ResultsInd[[#This Row],[Score_OK]],IF(ResultsInd[[#This Row],[Level]]="R",ResultsInd[[#This Row],[Category]]&amp;"-"&amp;IF(ResultsInd[[#This Row],[LoseInKO]]=ResultsInd[[#This Row],[Category]]&amp;"-"&amp;ResultsInd[[#This Row],[Player A]],ResultsInd[[#This Row],[Player B]],ResultsInd[[#This Row],[Player A]]),""),"")</f>
        <v/>
      </c>
      <c r="AB71" s="91"/>
      <c r="AC71" s="12" t="str">
        <f t="shared" si="55"/>
        <v>OPEN</v>
      </c>
      <c r="AD71" s="309" t="s">
        <v>13243</v>
      </c>
      <c r="AE71" s="310"/>
      <c r="AF71" s="311"/>
      <c r="AG71" s="292">
        <f>IF(AP71="","",SMALL(AH68:AH74,ROWS(AG68:AG71)))</f>
        <v>4004</v>
      </c>
      <c r="AH71" s="293">
        <f>IF(AP71="","",RANK(AL71,AL68:AL74)*1000+ROWS(AH68:AH71))</f>
        <v>4004</v>
      </c>
      <c r="AI71" s="316">
        <f t="shared" si="49"/>
        <v>1000000000000</v>
      </c>
      <c r="AJ71" s="415" t="b">
        <f>AND(AO71&lt;&gt;"",AO71&gt;0,COUNTIF(AI68:AI74,AI71)&gt;1)</f>
        <v>0</v>
      </c>
      <c r="AK71" s="316">
        <f t="shared" si="50"/>
        <v>0</v>
      </c>
      <c r="AL71" s="317">
        <f t="shared" si="51"/>
        <v>999999840000</v>
      </c>
      <c r="AM71" s="415" t="b">
        <f>AND(AO71&lt;&gt;"",AO71&gt;0,COUNTIF(AL68:AL74,AL71)&gt;1)</f>
        <v>0</v>
      </c>
      <c r="AN71" s="306">
        <f t="shared" si="52"/>
        <v>1</v>
      </c>
      <c r="AO71" s="307">
        <f t="shared" si="53"/>
        <v>3</v>
      </c>
      <c r="AP71" s="307">
        <f>IF(OR(AC67="",AD71=""),"",COUNTIF(ResultsInd[Win],AC67&amp;"-"&amp;AD71))</f>
        <v>0</v>
      </c>
      <c r="AQ71" s="307">
        <f>IF(OR(AC67="",AD71=""),"",COUNTIF(ResultsInd[Draw1],AC67&amp;"-"&amp;AD71)+COUNTIF(ResultsInd[Draw2],AC67&amp;"-"&amp;AD71))</f>
        <v>1</v>
      </c>
      <c r="AR71" s="307">
        <f>IF(OR(AC67="",AD71=""),"",COUNTIF(ResultsInd[Lose],AC67&amp;"-"&amp;AD71))</f>
        <v>2</v>
      </c>
      <c r="AS71" s="307">
        <f>IF(OR(AC67="",AD71=""),"",SUMIFS(ResultsInd[Goal-A],ResultsInd[Category],AC67,ResultsInd[Stage],"Groups",ResultsInd[Player A],AD71)+SUMIFS(ResultsInd[Goal-B],ResultsInd[Category],AC67,ResultsInd[Stage],"Groups",ResultsInd[Player B],AD71))</f>
        <v>0</v>
      </c>
      <c r="AT71" s="307">
        <f>IF(OR(AC67="",AD71=""),"",SUMIFS(ResultsInd[Goal-B],ResultsInd[Category],AC67,ResultsInd[Stage],"Groups",ResultsInd[Player A],AD71)+SUMIFS(ResultsInd[Goal-A],ResultsInd[Category],AC67,ResultsInd[Stage],"Groups",ResultsInd[Player B],AD71))</f>
        <v>16</v>
      </c>
      <c r="AU71" s="308">
        <f t="shared" si="56"/>
        <v>-16</v>
      </c>
      <c r="AV71" s="469" t="b">
        <f>IF(AG71="","",OR(VLOOKUP(AG71,AH68:AU74,3,FALSE),VLOOKUP(AG71,AH68:AU74,6,FALSE)))</f>
        <v>0</v>
      </c>
      <c r="AW71" s="298">
        <f t="shared" si="54"/>
        <v>4</v>
      </c>
      <c r="AX71" s="285" t="str">
        <f>IF(AG71="","",INDEX(AD68:AD74,MATCH(AG71,AH68:AH74,0)))</f>
        <v>Thomas Lacey</v>
      </c>
      <c r="AY71" s="286">
        <f>IF(AG71="","",VLOOKUP(AG71,AH68:AU74,COLUMN()-COLUMN(AR67),FALSE))</f>
        <v>1</v>
      </c>
      <c r="AZ71" s="286">
        <f>IF(AG71="","",VLOOKUP(AG71,AH68:AU74,COLUMN()-COLUMN(AR67),FALSE))</f>
        <v>3</v>
      </c>
      <c r="BA71" s="286">
        <f>IF(AG71="","",VLOOKUP(AG71,AH68:AU74,COLUMN()-COLUMN(AR67),FALSE))</f>
        <v>0</v>
      </c>
      <c r="BB71" s="286">
        <f>IF(AG71="","",VLOOKUP(AG71,AH68:AU74,COLUMN()-COLUMN(AR67),FALSE))</f>
        <v>1</v>
      </c>
      <c r="BC71" s="286">
        <f>IF(AG71="","",VLOOKUP(AG71,AH68:AU74,COLUMN()-COLUMN(AR67),FALSE))</f>
        <v>2</v>
      </c>
      <c r="BD71" s="286">
        <f>IF(AG71="","",VLOOKUP(AG71,AH68:AU74,COLUMN()-COLUMN(AR67),FALSE))</f>
        <v>0</v>
      </c>
      <c r="BE71" s="286">
        <f>IF(AG71="","",VLOOKUP(AG71,AH68:AU74,COLUMN()-COLUMN(AR67),FALSE))</f>
        <v>16</v>
      </c>
      <c r="BF71" s="301">
        <f>IF(AG71="","",VLOOKUP(AG71,AH68:AU74,COLUMN()-COLUMN(AR67),FALSE))</f>
        <v>-16</v>
      </c>
    </row>
    <row r="72" spans="1:58" ht="12" thickBot="1" x14ac:dyDescent="0.25">
      <c r="A72" s="249" t="s">
        <v>890</v>
      </c>
      <c r="B72" s="249" t="s">
        <v>12207</v>
      </c>
      <c r="C72" s="249">
        <v>9</v>
      </c>
      <c r="D72" s="249"/>
      <c r="E72" s="344" t="s">
        <v>10440</v>
      </c>
      <c r="F72" s="344" t="s">
        <v>8165</v>
      </c>
      <c r="G72" s="254">
        <v>0</v>
      </c>
      <c r="H72" s="254">
        <v>4</v>
      </c>
      <c r="I72" s="339"/>
      <c r="J72" s="114"/>
      <c r="K72" s="114"/>
      <c r="L72" s="247"/>
      <c r="M72" s="265" t="b">
        <f>NOT(ISERROR(ResultsInd[[#This Row],[Goal-A]]+ResultsInd[[#This Row],[Goal-B]]))</f>
        <v>1</v>
      </c>
      <c r="N72" s="265">
        <f>VALUE(ResultsInd[[#This Row],[Score-A]])</f>
        <v>0</v>
      </c>
      <c r="O72" s="265">
        <f>VALUE(ResultsInd[[#This Row],[Score-B]])</f>
        <v>4</v>
      </c>
      <c r="P72" s="265">
        <f ca="1">IF(AND(ResultsInd[[#This Row],[Category]]&lt;&gt;"",ResultsInd[[#This Row],[Player A]]&lt;&gt;""),COUNTIF(INDIRECT(ResultsInd[[#This Row],[Category]]&amp;"List[Retained Player Name]"),ResultsInd[[#This Row],[Player A]]),"")</f>
        <v>1</v>
      </c>
      <c r="Q72" s="265">
        <f ca="1">IF(AND(ResultsInd[[#This Row],[Category]]&lt;&gt;"",ResultsInd[[#This Row],[Player B]]&lt;&gt;""),COUNTIF(INDIRECT(ResultsInd[[#This Row],[Category]]&amp;"List[Retained Player Name]"),ResultsInd[[#This Row],[Player B]]),"")</f>
        <v>1</v>
      </c>
      <c r="R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OPEN-Christopher Sabetta</v>
      </c>
      <c r="S72" s="265" t="str">
        <f>IF(ResultsInd[[#This Row],[Score_OK]],IF(ResultsInd[[#This Row],[Stage]]="Groups",ResultsInd[[#This Row],[Category]]&amp;"-"&amp;IF(ResultsInd[[#This Row],[Player B]]="","",IF(ResultsInd[[#This Row],[Score-A]]=ResultsInd[[#This Row],[Score-B]],ResultsInd[[#This Row],[Player A]],"")),""),"")</f>
        <v>OPEN-</v>
      </c>
      <c r="T72" s="265" t="str">
        <f>IF(ResultsInd[[#This Row],[Score_OK]],IF(ResultsInd[[#This Row],[Stage]]="Groups",ResultsInd[[#This Row],[Category]]&amp;"-"&amp;IF(ResultsInd[[#This Row],[Player B]]="","",IF(ResultsInd[[#This Row],[Score-A]]=ResultsInd[[#This Row],[Score-B]],ResultsInd[[#This Row],[Player B]],"")),""),"")</f>
        <v>OPEN-</v>
      </c>
      <c r="U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OPEN-Stanley Farrugia Randon</v>
      </c>
      <c r="V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OPEN-Stanley Farrugia Randon</v>
      </c>
      <c r="X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OPEN-Stanley Farrugia Randon</v>
      </c>
      <c r="Y72" s="264" t="str">
        <f>IF(ResultsInd[[#This Row],[Category]]="","",VLOOKUP(ResultsInd[[#This Row],[Stage]],$P$1:$V$9,MATCH(ResultsInd[[#This Row],[Category]],$Q$1:$V$1,0)+1,FALSE))</f>
        <v>PR1</v>
      </c>
      <c r="Z72" s="264" t="str">
        <f>IF(ResultsInd[[#This Row],[Score_OK]],IF(ResultsInd[[#This Row],[Level]]="R",ResultsInd[[#This Row],[Category]]&amp;"-"&amp;IF(ResultsInd[[#This Row],[LoseInKO]]=ResultsInd[[#This Row],[Category]]&amp;"-"&amp;ResultsInd[[#This Row],[Player A]],ResultsInd[[#This Row],[Player B]],ResultsInd[[#This Row],[Player A]]),""),"")</f>
        <v/>
      </c>
      <c r="AB72" s="91"/>
      <c r="AC72" s="12" t="str">
        <f t="shared" si="55"/>
        <v>OPEN</v>
      </c>
      <c r="AD72" s="309"/>
      <c r="AE72" s="310"/>
      <c r="AF72" s="311"/>
      <c r="AG72" s="292" t="str">
        <f>IF(AP72="","",SMALL(AH68:AH74,ROWS(AG68:AG72)))</f>
        <v/>
      </c>
      <c r="AH72" s="293" t="str">
        <f>IF(AP72="","",RANK(AL72,AL68:AL74)*1000+ROWS(AH68:AH72))</f>
        <v/>
      </c>
      <c r="AI72" s="316" t="str">
        <f t="shared" si="49"/>
        <v/>
      </c>
      <c r="AJ72" s="415" t="b">
        <f>AND(AO72&lt;&gt;"",AO72&gt;0,COUNTIF(AI68:AI74,AI72)&gt;1)</f>
        <v>0</v>
      </c>
      <c r="AK72" s="316" t="str">
        <f t="shared" si="50"/>
        <v/>
      </c>
      <c r="AL72" s="317" t="str">
        <f t="shared" si="51"/>
        <v/>
      </c>
      <c r="AM72" s="415" t="b">
        <f>AND(AO72&lt;&gt;"",AO72&gt;0,COUNTIF(AL68:AL74,AL72)&gt;1)</f>
        <v>0</v>
      </c>
      <c r="AN72" s="306" t="str">
        <f t="shared" si="52"/>
        <v/>
      </c>
      <c r="AO72" s="307" t="str">
        <f t="shared" si="53"/>
        <v/>
      </c>
      <c r="AP72" s="307" t="str">
        <f>IF(OR(AC67="",AD72=""),"",COUNTIF(ResultsInd[Win],AC67&amp;"-"&amp;AD72))</f>
        <v/>
      </c>
      <c r="AQ72" s="307" t="str">
        <f>IF(OR(AC67="",AD72=""),"",COUNTIF(ResultsInd[Draw1],AC67&amp;"-"&amp;AD72)+COUNTIF(ResultsInd[Draw2],AC67&amp;"-"&amp;AD72))</f>
        <v/>
      </c>
      <c r="AR72" s="307" t="str">
        <f>IF(OR(AC67="",AD72=""),"",COUNTIF(ResultsInd[Lose],AC67&amp;"-"&amp;AD72))</f>
        <v/>
      </c>
      <c r="AS72" s="307" t="str">
        <f>IF(OR(AC67="",AD72=""),"",SUMIFS(ResultsInd[Goal-A],ResultsInd[Category],AC67,ResultsInd[Stage],"Groups",ResultsInd[Player A],AD72)+SUMIFS(ResultsInd[Goal-B],ResultsInd[Category],AC67,ResultsInd[Stage],"Groups",ResultsInd[Player B],AD72))</f>
        <v/>
      </c>
      <c r="AT72" s="307" t="str">
        <f>IF(OR(AC67="",AD72=""),"",SUMIFS(ResultsInd[Goal-B],ResultsInd[Category],AC67,ResultsInd[Stage],"Groups",ResultsInd[Player A],AD72)+SUMIFS(ResultsInd[Goal-A],ResultsInd[Category],AC67,ResultsInd[Stage],"Groups",ResultsInd[Player B],AD72))</f>
        <v/>
      </c>
      <c r="AU72" s="308" t="str">
        <f t="shared" si="56"/>
        <v/>
      </c>
      <c r="AV72" s="469" t="str">
        <f>IF(AG72="","",OR(VLOOKUP(AG72,AH68:AU74,3,FALSE),VLOOKUP(AG72,AH68:AU74,6,FALSE)))</f>
        <v/>
      </c>
      <c r="AW72" s="298" t="str">
        <f t="shared" si="54"/>
        <v/>
      </c>
      <c r="AX72" s="285" t="str">
        <f>IF(AG72="","",INDEX(AD68:AD74,MATCH(AG72,AH68:AH74,0)))</f>
        <v/>
      </c>
      <c r="AY72" s="286" t="str">
        <f>IF(AG72="","",VLOOKUP(AG72,AH68:AU74,COLUMN()-COLUMN(AR67),FALSE))</f>
        <v/>
      </c>
      <c r="AZ72" s="286" t="str">
        <f>IF(AG72="","",VLOOKUP(AG72,AH68:AU74,COLUMN()-COLUMN(AR67),FALSE))</f>
        <v/>
      </c>
      <c r="BA72" s="286" t="str">
        <f>IF(AG72="","",VLOOKUP(AG72,AH68:AU74,COLUMN()-COLUMN(AR67),FALSE))</f>
        <v/>
      </c>
      <c r="BB72" s="286" t="str">
        <f>IF(AG72="","",VLOOKUP(AG72,AH68:AU74,COLUMN()-COLUMN(AR67),FALSE))</f>
        <v/>
      </c>
      <c r="BC72" s="286" t="str">
        <f>IF(AG72="","",VLOOKUP(AG72,AH68:AU74,COLUMN()-COLUMN(AR67),FALSE))</f>
        <v/>
      </c>
      <c r="BD72" s="286" t="str">
        <f>IF(AG72="","",VLOOKUP(AG72,AH68:AU74,COLUMN()-COLUMN(AR67),FALSE))</f>
        <v/>
      </c>
      <c r="BE72" s="286" t="str">
        <f>IF(AG72="","",VLOOKUP(AG72,AH68:AU74,COLUMN()-COLUMN(AR67),FALSE))</f>
        <v/>
      </c>
      <c r="BF72" s="301" t="str">
        <f>IF(AG72="","",VLOOKUP(AG72,AH68:AU74,COLUMN()-COLUMN(AR67),FALSE))</f>
        <v/>
      </c>
    </row>
    <row r="73" spans="1:58" ht="12" thickBot="1" x14ac:dyDescent="0.25">
      <c r="A73" s="249" t="s">
        <v>890</v>
      </c>
      <c r="B73" s="249" t="s">
        <v>12207</v>
      </c>
      <c r="C73" s="249">
        <v>10</v>
      </c>
      <c r="D73" s="249"/>
      <c r="E73" s="344" t="s">
        <v>8095</v>
      </c>
      <c r="F73" s="344" t="s">
        <v>8110</v>
      </c>
      <c r="G73" s="254">
        <v>6</v>
      </c>
      <c r="H73" s="254">
        <v>1</v>
      </c>
      <c r="I73" s="339"/>
      <c r="J73" s="114"/>
      <c r="K73" s="114"/>
      <c r="L73" s="247"/>
      <c r="M73" s="265" t="b">
        <f>NOT(ISERROR(ResultsInd[[#This Row],[Goal-A]]+ResultsInd[[#This Row],[Goal-B]]))</f>
        <v>1</v>
      </c>
      <c r="N73" s="265">
        <f>VALUE(ResultsInd[[#This Row],[Score-A]])</f>
        <v>6</v>
      </c>
      <c r="O73" s="265">
        <f>VALUE(ResultsInd[[#This Row],[Score-B]])</f>
        <v>1</v>
      </c>
      <c r="P73" s="265">
        <f ca="1">IF(AND(ResultsInd[[#This Row],[Category]]&lt;&gt;"",ResultsInd[[#This Row],[Player A]]&lt;&gt;""),COUNTIF(INDIRECT(ResultsInd[[#This Row],[Category]]&amp;"List[Retained Player Name]"),ResultsInd[[#This Row],[Player A]]),"")</f>
        <v>1</v>
      </c>
      <c r="Q73" s="265">
        <f ca="1">IF(AND(ResultsInd[[#This Row],[Category]]&lt;&gt;"",ResultsInd[[#This Row],[Player B]]&lt;&gt;""),COUNTIF(INDIRECT(ResultsInd[[#This Row],[Category]]&amp;"List[Retained Player Name]"),ResultsInd[[#This Row],[Player B]]),"")</f>
        <v>1</v>
      </c>
      <c r="R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OPEN-Florian Giaux</v>
      </c>
      <c r="S73" s="265" t="str">
        <f>IF(ResultsInd[[#This Row],[Score_OK]],IF(ResultsInd[[#This Row],[Stage]]="Groups",ResultsInd[[#This Row],[Category]]&amp;"-"&amp;IF(ResultsInd[[#This Row],[Player B]]="","",IF(ResultsInd[[#This Row],[Score-A]]=ResultsInd[[#This Row],[Score-B]],ResultsInd[[#This Row],[Player A]],"")),""),"")</f>
        <v>OPEN-</v>
      </c>
      <c r="T73" s="265" t="str">
        <f>IF(ResultsInd[[#This Row],[Score_OK]],IF(ResultsInd[[#This Row],[Stage]]="Groups",ResultsInd[[#This Row],[Category]]&amp;"-"&amp;IF(ResultsInd[[#This Row],[Player B]]="","",IF(ResultsInd[[#This Row],[Score-A]]=ResultsInd[[#This Row],[Score-B]],ResultsInd[[#This Row],[Player B]],"")),""),"")</f>
        <v>OPEN-</v>
      </c>
      <c r="U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OPEN-Kevin Lelubre</v>
      </c>
      <c r="V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OPEN-Kevin Lelubre</v>
      </c>
      <c r="X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OPEN-Kevin Lelubre</v>
      </c>
      <c r="Y73" s="264" t="str">
        <f>IF(ResultsInd[[#This Row],[Category]]="","",VLOOKUP(ResultsInd[[#This Row],[Stage]],$P$1:$V$9,MATCH(ResultsInd[[#This Row],[Category]],$Q$1:$V$1,0)+1,FALSE))</f>
        <v>PR1</v>
      </c>
      <c r="Z73" s="264" t="str">
        <f>IF(ResultsInd[[#This Row],[Score_OK]],IF(ResultsInd[[#This Row],[Level]]="R",ResultsInd[[#This Row],[Category]]&amp;"-"&amp;IF(ResultsInd[[#This Row],[LoseInKO]]=ResultsInd[[#This Row],[Category]]&amp;"-"&amp;ResultsInd[[#This Row],[Player A]],ResultsInd[[#This Row],[Player B]],ResultsInd[[#This Row],[Player A]]),""),"")</f>
        <v/>
      </c>
      <c r="AB73" s="8"/>
      <c r="AC73" s="12" t="str">
        <f t="shared" si="55"/>
        <v>OPEN</v>
      </c>
      <c r="AD73" s="309"/>
      <c r="AE73" s="310"/>
      <c r="AF73" s="311"/>
      <c r="AG73" s="292" t="str">
        <f>IF(AP73="","",SMALL(AH68:AH74,ROWS(AG68:AG73)))</f>
        <v/>
      </c>
      <c r="AH73" s="293" t="str">
        <f>IF(AP73="","",RANK(AL73,AL68:AL74)*1000+ROWS(AH68:AH73))</f>
        <v/>
      </c>
      <c r="AI73" s="316" t="str">
        <f t="shared" si="49"/>
        <v/>
      </c>
      <c r="AJ73" s="415" t="b">
        <f>AND(AO73&lt;&gt;"",AO73&gt;0,COUNTIF(AI68:AI74,AI73)&gt;1)</f>
        <v>0</v>
      </c>
      <c r="AK73" s="316" t="str">
        <f t="shared" si="50"/>
        <v/>
      </c>
      <c r="AL73" s="317" t="str">
        <f t="shared" si="51"/>
        <v/>
      </c>
      <c r="AM73" s="415" t="b">
        <f>AND(AO73&lt;&gt;"",AO73&gt;0,COUNTIF(AL68:AL74,AL73)&gt;1)</f>
        <v>0</v>
      </c>
      <c r="AN73" s="306" t="str">
        <f t="shared" si="52"/>
        <v/>
      </c>
      <c r="AO73" s="307" t="str">
        <f t="shared" si="53"/>
        <v/>
      </c>
      <c r="AP73" s="307" t="str">
        <f>IF(OR(AC67="",AD73=""),"",COUNTIF(ResultsInd[Win],AC67&amp;"-"&amp;AD73))</f>
        <v/>
      </c>
      <c r="AQ73" s="307" t="str">
        <f>IF(OR(AC67="",AD73=""),"",COUNTIF(ResultsInd[Draw1],AC67&amp;"-"&amp;AD73)+COUNTIF(ResultsInd[Draw2],AC67&amp;"-"&amp;AD73))</f>
        <v/>
      </c>
      <c r="AR73" s="307" t="str">
        <f>IF(OR(AC67="",AD73=""),"",COUNTIF(ResultsInd[Lose],AC67&amp;"-"&amp;AD73))</f>
        <v/>
      </c>
      <c r="AS73" s="307" t="str">
        <f>IF(OR(AC67="",AD73=""),"",SUMIFS(ResultsInd[Goal-A],ResultsInd[Category],AC67,ResultsInd[Stage],"Groups",ResultsInd[Player A],AD73)+SUMIFS(ResultsInd[Goal-B],ResultsInd[Category],AC67,ResultsInd[Stage],"Groups",ResultsInd[Player B],AD73))</f>
        <v/>
      </c>
      <c r="AT73" s="307" t="str">
        <f>IF(OR(AC67="",AD73=""),"",SUMIFS(ResultsInd[Goal-B],ResultsInd[Category],AC67,ResultsInd[Stage],"Groups",ResultsInd[Player A],AD73)+SUMIFS(ResultsInd[Goal-A],ResultsInd[Category],AC67,ResultsInd[Stage],"Groups",ResultsInd[Player B],AD73))</f>
        <v/>
      </c>
      <c r="AU73" s="308" t="str">
        <f t="shared" si="56"/>
        <v/>
      </c>
      <c r="AV73" s="469" t="str">
        <f>IF(AG73="","",OR(VLOOKUP(AG73,AH68:AU74,3,FALSE),VLOOKUP(AG73,AH68:AU74,6,FALSE)))</f>
        <v/>
      </c>
      <c r="AW73" s="298" t="str">
        <f t="shared" si="54"/>
        <v/>
      </c>
      <c r="AX73" s="285" t="str">
        <f>IF(AG73="","",INDEX(AD68:AD74,MATCH(AG73,AH68:AH74,0)))</f>
        <v/>
      </c>
      <c r="AY73" s="286" t="str">
        <f>IF(AG73="","",VLOOKUP(AG73,AH68:AU74,COLUMN()-COLUMN(AR67),FALSE))</f>
        <v/>
      </c>
      <c r="AZ73" s="286" t="str">
        <f>IF(AG73="","",VLOOKUP(AG73,AH68:AU74,COLUMN()-COLUMN(AR67),FALSE))</f>
        <v/>
      </c>
      <c r="BA73" s="286" t="str">
        <f>IF(AG73="","",VLOOKUP(AG73,AH68:AU74,COLUMN()-COLUMN(AR67),FALSE))</f>
        <v/>
      </c>
      <c r="BB73" s="286" t="str">
        <f>IF(AG73="","",VLOOKUP(AG73,AH68:AU74,COLUMN()-COLUMN(AR67),FALSE))</f>
        <v/>
      </c>
      <c r="BC73" s="286" t="str">
        <f>IF(AG73="","",VLOOKUP(AG73,AH68:AU74,COLUMN()-COLUMN(AR67),FALSE))</f>
        <v/>
      </c>
      <c r="BD73" s="286" t="str">
        <f>IF(AG73="","",VLOOKUP(AG73,AH68:AU74,COLUMN()-COLUMN(AR67),FALSE))</f>
        <v/>
      </c>
      <c r="BE73" s="286" t="str">
        <f>IF(AG73="","",VLOOKUP(AG73,AH68:AU74,COLUMN()-COLUMN(AR67),FALSE))</f>
        <v/>
      </c>
      <c r="BF73" s="301" t="str">
        <f>IF(AG73="","",VLOOKUP(AG73,AH68:AU74,COLUMN()-COLUMN(AR67),FALSE))</f>
        <v/>
      </c>
    </row>
    <row r="74" spans="1:58" ht="12" thickBot="1" x14ac:dyDescent="0.25">
      <c r="A74" s="249" t="s">
        <v>890</v>
      </c>
      <c r="B74" s="249" t="s">
        <v>12207</v>
      </c>
      <c r="C74" s="249">
        <v>10</v>
      </c>
      <c r="D74" s="249"/>
      <c r="E74" s="343" t="s">
        <v>9705</v>
      </c>
      <c r="F74" s="343" t="s">
        <v>10590</v>
      </c>
      <c r="G74" s="338">
        <v>7</v>
      </c>
      <c r="H74" s="338">
        <v>0</v>
      </c>
      <c r="I74" s="339"/>
      <c r="J74" s="114"/>
      <c r="K74" s="114"/>
      <c r="L74" s="250"/>
      <c r="M74" s="265" t="b">
        <f>NOT(ISERROR(ResultsInd[[#This Row],[Goal-A]]+ResultsInd[[#This Row],[Goal-B]]))</f>
        <v>1</v>
      </c>
      <c r="N74" s="265">
        <f>VALUE(ResultsInd[[#This Row],[Score-A]])</f>
        <v>7</v>
      </c>
      <c r="O74" s="265">
        <f>VALUE(ResultsInd[[#This Row],[Score-B]])</f>
        <v>0</v>
      </c>
      <c r="P74" s="265">
        <f ca="1">IF(AND(ResultsInd[[#This Row],[Category]]&lt;&gt;"",ResultsInd[[#This Row],[Player A]]&lt;&gt;""),COUNTIF(INDIRECT(ResultsInd[[#This Row],[Category]]&amp;"List[Retained Player Name]"),ResultsInd[[#This Row],[Player A]]),"")</f>
        <v>1</v>
      </c>
      <c r="Q74" s="265">
        <f ca="1">IF(AND(ResultsInd[[#This Row],[Category]]&lt;&gt;"",ResultsInd[[#This Row],[Player B]]&lt;&gt;""),COUNTIF(INDIRECT(ResultsInd[[#This Row],[Category]]&amp;"List[Retained Player Name]"),ResultsInd[[#This Row],[Player B]]),"")</f>
        <v>1</v>
      </c>
      <c r="R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OPEN-Marco Preziuso</v>
      </c>
      <c r="S74" s="265" t="str">
        <f>IF(ResultsInd[[#This Row],[Score_OK]],IF(ResultsInd[[#This Row],[Stage]]="Groups",ResultsInd[[#This Row],[Category]]&amp;"-"&amp;IF(ResultsInd[[#This Row],[Player B]]="","",IF(ResultsInd[[#This Row],[Score-A]]=ResultsInd[[#This Row],[Score-B]],ResultsInd[[#This Row],[Player A]],"")),""),"")</f>
        <v>OPEN-</v>
      </c>
      <c r="T74" s="265" t="str">
        <f>IF(ResultsInd[[#This Row],[Score_OK]],IF(ResultsInd[[#This Row],[Stage]]="Groups",ResultsInd[[#This Row],[Category]]&amp;"-"&amp;IF(ResultsInd[[#This Row],[Player B]]="","",IF(ResultsInd[[#This Row],[Score-A]]=ResultsInd[[#This Row],[Score-B]],ResultsInd[[#This Row],[Player B]],"")),""),"")</f>
        <v>OPEN-</v>
      </c>
      <c r="U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X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Y74" s="264" t="str">
        <f>IF(ResultsInd[[#This Row],[Category]]="","",VLOOKUP(ResultsInd[[#This Row],[Stage]],$P$1:$V$9,MATCH(ResultsInd[[#This Row],[Category]],$Q$1:$V$1,0)+1,FALSE))</f>
        <v>PR1</v>
      </c>
      <c r="Z74" s="264" t="str">
        <f>IF(ResultsInd[[#This Row],[Score_OK]],IF(ResultsInd[[#This Row],[Level]]="R",ResultsInd[[#This Row],[Category]]&amp;"-"&amp;IF(ResultsInd[[#This Row],[LoseInKO]]=ResultsInd[[#This Row],[Category]]&amp;"-"&amp;ResultsInd[[#This Row],[Player A]],ResultsInd[[#This Row],[Player B]],ResultsInd[[#This Row],[Player A]]),""),"")</f>
        <v/>
      </c>
      <c r="AB74" s="8"/>
      <c r="AC74" s="12" t="str">
        <f t="shared" si="55"/>
        <v>OPEN</v>
      </c>
      <c r="AD74" s="312"/>
      <c r="AE74" s="313"/>
      <c r="AF74" s="314"/>
      <c r="AG74" s="294" t="str">
        <f>IF(AP74="","",SMALL(AH68:AH74,ROWS(AG68:AG74)))</f>
        <v/>
      </c>
      <c r="AH74" s="295" t="str">
        <f>IF(AP74="","",RANK(AL74,AL68:AL74)*1000+ROWS(AH68:AH74))</f>
        <v/>
      </c>
      <c r="AI74" s="318" t="str">
        <f t="shared" si="49"/>
        <v/>
      </c>
      <c r="AJ74" s="416" t="b">
        <f>AND(AO74&lt;&gt;"",AO74&gt;0,COUNTIF(AI68:AI74,AI74)&gt;1)</f>
        <v>0</v>
      </c>
      <c r="AK74" s="318" t="str">
        <f t="shared" si="50"/>
        <v/>
      </c>
      <c r="AL74" s="319" t="str">
        <f t="shared" si="51"/>
        <v/>
      </c>
      <c r="AM74" s="416" t="b">
        <f>AND(AO74&lt;&gt;"",AO74&gt;0,COUNTIF(AL68:AL74,AL74)&gt;1)</f>
        <v>0</v>
      </c>
      <c r="AN74" s="306" t="str">
        <f t="shared" si="52"/>
        <v/>
      </c>
      <c r="AO74" s="307" t="str">
        <f t="shared" si="53"/>
        <v/>
      </c>
      <c r="AP74" s="307" t="str">
        <f>IF(OR(AC67="",AD74=""),"",COUNTIF(ResultsInd[Win],AC67&amp;"-"&amp;AD74))</f>
        <v/>
      </c>
      <c r="AQ74" s="307" t="str">
        <f>IF(OR(AC67="",AD74=""),"",COUNTIF(ResultsInd[Draw1],AC67&amp;"-"&amp;AD74)+COUNTIF(ResultsInd[Draw2],AC67&amp;"-"&amp;AD74))</f>
        <v/>
      </c>
      <c r="AR74" s="307" t="str">
        <f>IF(OR(AC67="",AD74=""),"",COUNTIF(ResultsInd[Lose],AC67&amp;"-"&amp;AD74))</f>
        <v/>
      </c>
      <c r="AS74" s="307" t="str">
        <f>IF(OR(AC67="",AD74=""),"",SUMIFS(ResultsInd[Goal-A],ResultsInd[Category],AC67,ResultsInd[Stage],"Groups",ResultsInd[Player A],AD74)+SUMIFS(ResultsInd[Goal-B],ResultsInd[Category],AC67,ResultsInd[Stage],"Groups",ResultsInd[Player B],AD74))</f>
        <v/>
      </c>
      <c r="AT74" s="307" t="str">
        <f>IF(OR(AC67="",AD74=""),"",SUMIFS(ResultsInd[Goal-B],ResultsInd[Category],AC67,ResultsInd[Stage],"Groups",ResultsInd[Player A],AD74)+SUMIFS(ResultsInd[Goal-A],ResultsInd[Category],AC67,ResultsInd[Stage],"Groups",ResultsInd[Player B],AD74))</f>
        <v/>
      </c>
      <c r="AU74" s="308" t="str">
        <f t="shared" si="56"/>
        <v/>
      </c>
      <c r="AV74" s="469" t="str">
        <f>IF(AG74="","",OR(VLOOKUP(AG74,AH68:AU74,3,FALSE),VLOOKUP(AG74,AH68:AU74,6,FALSE)))</f>
        <v/>
      </c>
      <c r="AW74" s="299" t="str">
        <f t="shared" si="54"/>
        <v/>
      </c>
      <c r="AX74" s="287" t="str">
        <f>IF(AG74="","",INDEX(AD68:AD74,MATCH(AG74,AH68:AH74,0)))</f>
        <v/>
      </c>
      <c r="AY74" s="288" t="str">
        <f>IF(AG74="","",VLOOKUP(AG74,AH68:AU74,COLUMN()-COLUMN(AR67),FALSE))</f>
        <v/>
      </c>
      <c r="AZ74" s="288" t="str">
        <f>IF(AG74="","",VLOOKUP(AG74,AH68:AU74,COLUMN()-COLUMN(AR67),FALSE))</f>
        <v/>
      </c>
      <c r="BA74" s="288" t="str">
        <f>IF(AG74="","",VLOOKUP(AG74,AH68:AU74,COLUMN()-COLUMN(AR67),FALSE))</f>
        <v/>
      </c>
      <c r="BB74" s="288" t="str">
        <f>IF(AG74="","",VLOOKUP(AG74,AH68:AU74,COLUMN()-COLUMN(AR67),FALSE))</f>
        <v/>
      </c>
      <c r="BC74" s="288" t="str">
        <f>IF(AG74="","",VLOOKUP(AG74,AH68:AU74,COLUMN()-COLUMN(AR67),FALSE))</f>
        <v/>
      </c>
      <c r="BD74" s="288" t="str">
        <f>IF(AG74="","",VLOOKUP(AG74,AH68:AU74,COLUMN()-COLUMN(AR67),FALSE))</f>
        <v/>
      </c>
      <c r="BE74" s="288" t="str">
        <f>IF(AG74="","",VLOOKUP(AG74,AH68:AU74,COLUMN()-COLUMN(AR67),FALSE))</f>
        <v/>
      </c>
      <c r="BF74" s="302" t="str">
        <f>IF(AG74="","",VLOOKUP(AG74,AH68:AU74,COLUMN()-COLUMN(AR67),FALSE))</f>
        <v/>
      </c>
    </row>
    <row r="75" spans="1:58" ht="13.5" thickBot="1" x14ac:dyDescent="0.25">
      <c r="A75" s="249" t="s">
        <v>890</v>
      </c>
      <c r="B75" s="249" t="s">
        <v>12207</v>
      </c>
      <c r="C75" s="249">
        <v>10</v>
      </c>
      <c r="D75" s="249"/>
      <c r="E75" s="343" t="s">
        <v>8095</v>
      </c>
      <c r="F75" s="343" t="s">
        <v>9705</v>
      </c>
      <c r="G75" s="338">
        <v>6</v>
      </c>
      <c r="H75" s="338">
        <v>3</v>
      </c>
      <c r="I75" s="339"/>
      <c r="J75" s="114"/>
      <c r="K75" s="114"/>
      <c r="L75" s="250"/>
      <c r="M75" s="265" t="b">
        <f>NOT(ISERROR(ResultsInd[[#This Row],[Goal-A]]+ResultsInd[[#This Row],[Goal-B]]))</f>
        <v>1</v>
      </c>
      <c r="N75" s="265">
        <f>VALUE(ResultsInd[[#This Row],[Score-A]])</f>
        <v>6</v>
      </c>
      <c r="O75" s="265">
        <f>VALUE(ResultsInd[[#This Row],[Score-B]])</f>
        <v>3</v>
      </c>
      <c r="P75" s="265">
        <f ca="1">IF(AND(ResultsInd[[#This Row],[Category]]&lt;&gt;"",ResultsInd[[#This Row],[Player A]]&lt;&gt;""),COUNTIF(INDIRECT(ResultsInd[[#This Row],[Category]]&amp;"List[Retained Player Name]"),ResultsInd[[#This Row],[Player A]]),"")</f>
        <v>1</v>
      </c>
      <c r="Q75" s="265">
        <f ca="1">IF(AND(ResultsInd[[#This Row],[Category]]&lt;&gt;"",ResultsInd[[#This Row],[Player B]]&lt;&gt;""),COUNTIF(INDIRECT(ResultsInd[[#This Row],[Category]]&amp;"List[Retained Player Name]"),ResultsInd[[#This Row],[Player B]]),"")</f>
        <v>1</v>
      </c>
      <c r="R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OPEN-Florian Giaux</v>
      </c>
      <c r="S75" s="265" t="str">
        <f>IF(ResultsInd[[#This Row],[Score_OK]],IF(ResultsInd[[#This Row],[Stage]]="Groups",ResultsInd[[#This Row],[Category]]&amp;"-"&amp;IF(ResultsInd[[#This Row],[Player B]]="","",IF(ResultsInd[[#This Row],[Score-A]]=ResultsInd[[#This Row],[Score-B]],ResultsInd[[#This Row],[Player A]],"")),""),"")</f>
        <v>OPEN-</v>
      </c>
      <c r="T75" s="265" t="str">
        <f>IF(ResultsInd[[#This Row],[Score_OK]],IF(ResultsInd[[#This Row],[Stage]]="Groups",ResultsInd[[#This Row],[Category]]&amp;"-"&amp;IF(ResultsInd[[#This Row],[Player B]]="","",IF(ResultsInd[[#This Row],[Score-A]]=ResultsInd[[#This Row],[Score-B]],ResultsInd[[#This Row],[Player B]],"")),""),"")</f>
        <v>OPEN-</v>
      </c>
      <c r="U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OPEN-Marco Preziuso</v>
      </c>
      <c r="V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OPEN-Marco Preziuso</v>
      </c>
      <c r="X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OPEN-Marco Preziuso</v>
      </c>
      <c r="Y75" s="264" t="str">
        <f>IF(ResultsInd[[#This Row],[Category]]="","",VLOOKUP(ResultsInd[[#This Row],[Stage]],$P$1:$V$9,MATCH(ResultsInd[[#This Row],[Category]],$Q$1:$V$1,0)+1,FALSE))</f>
        <v>PR1</v>
      </c>
      <c r="Z75" s="264" t="str">
        <f>IF(ResultsInd[[#This Row],[Score_OK]],IF(ResultsInd[[#This Row],[Level]]="R",ResultsInd[[#This Row],[Category]]&amp;"-"&amp;IF(ResultsInd[[#This Row],[LoseInKO]]=ResultsInd[[#This Row],[Category]]&amp;"-"&amp;ResultsInd[[#This Row],[Player A]],ResultsInd[[#This Row],[Player B]],ResultsInd[[#This Row],[Player A]]),""),"")</f>
        <v/>
      </c>
      <c r="AB75" s="8"/>
      <c r="AC75" s="8"/>
      <c r="AF75" s="170"/>
      <c r="AG75" s="101"/>
      <c r="AH75" s="101"/>
      <c r="AN75" s="170"/>
      <c r="AO75" s="170"/>
      <c r="AP75" s="170"/>
      <c r="AQ75" s="172"/>
      <c r="AR75" s="173"/>
      <c r="AS75" s="173"/>
      <c r="AT75" s="173"/>
      <c r="AU75" s="101"/>
      <c r="AV75" s="101"/>
      <c r="AW75" s="101"/>
      <c r="AX75" s="101"/>
      <c r="AY75" s="101"/>
      <c r="AZ75" s="101"/>
    </row>
    <row r="76" spans="1:58" ht="12" thickBot="1" x14ac:dyDescent="0.25">
      <c r="A76" s="249" t="s">
        <v>890</v>
      </c>
      <c r="B76" s="249" t="s">
        <v>12207</v>
      </c>
      <c r="C76" s="249">
        <v>10</v>
      </c>
      <c r="D76" s="249"/>
      <c r="E76" s="344" t="s">
        <v>8110</v>
      </c>
      <c r="F76" s="344" t="s">
        <v>10590</v>
      </c>
      <c r="G76" s="254">
        <v>2</v>
      </c>
      <c r="H76" s="254">
        <v>3</v>
      </c>
      <c r="I76" s="339"/>
      <c r="J76" s="114"/>
      <c r="K76" s="114"/>
      <c r="L76" s="247"/>
      <c r="M76" s="265" t="b">
        <f>NOT(ISERROR(ResultsInd[[#This Row],[Goal-A]]+ResultsInd[[#This Row],[Goal-B]]))</f>
        <v>1</v>
      </c>
      <c r="N76" s="265">
        <f>VALUE(ResultsInd[[#This Row],[Score-A]])</f>
        <v>2</v>
      </c>
      <c r="O76" s="265">
        <f>VALUE(ResultsInd[[#This Row],[Score-B]])</f>
        <v>3</v>
      </c>
      <c r="P76" s="265">
        <f ca="1">IF(AND(ResultsInd[[#This Row],[Category]]&lt;&gt;"",ResultsInd[[#This Row],[Player A]]&lt;&gt;""),COUNTIF(INDIRECT(ResultsInd[[#This Row],[Category]]&amp;"List[Retained Player Name]"),ResultsInd[[#This Row],[Player A]]),"")</f>
        <v>1</v>
      </c>
      <c r="Q76" s="265">
        <f ca="1">IF(AND(ResultsInd[[#This Row],[Category]]&lt;&gt;"",ResultsInd[[#This Row],[Player B]]&lt;&gt;""),COUNTIF(INDIRECT(ResultsInd[[#This Row],[Category]]&amp;"List[Retained Player Name]"),ResultsInd[[#This Row],[Player B]]),"")</f>
        <v>1</v>
      </c>
      <c r="R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OPEN-Andy Fitzpatrick</v>
      </c>
      <c r="S76" s="265" t="str">
        <f>IF(ResultsInd[[#This Row],[Score_OK]],IF(ResultsInd[[#This Row],[Stage]]="Groups",ResultsInd[[#This Row],[Category]]&amp;"-"&amp;IF(ResultsInd[[#This Row],[Player B]]="","",IF(ResultsInd[[#This Row],[Score-A]]=ResultsInd[[#This Row],[Score-B]],ResultsInd[[#This Row],[Player A]],"")),""),"")</f>
        <v>OPEN-</v>
      </c>
      <c r="T76" s="265" t="str">
        <f>IF(ResultsInd[[#This Row],[Score_OK]],IF(ResultsInd[[#This Row],[Stage]]="Groups",ResultsInd[[#This Row],[Category]]&amp;"-"&amp;IF(ResultsInd[[#This Row],[Player B]]="","",IF(ResultsInd[[#This Row],[Score-A]]=ResultsInd[[#This Row],[Score-B]],ResultsInd[[#This Row],[Player B]],"")),""),"")</f>
        <v>OPEN-</v>
      </c>
      <c r="U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OPEN-Kevin Lelubre</v>
      </c>
      <c r="V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OPEN-Kevin Lelubre</v>
      </c>
      <c r="X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OPEN-Kevin Lelubre</v>
      </c>
      <c r="Y76" s="264" t="str">
        <f>IF(ResultsInd[[#This Row],[Category]]="","",VLOOKUP(ResultsInd[[#This Row],[Stage]],$P$1:$V$9,MATCH(ResultsInd[[#This Row],[Category]],$Q$1:$V$1,0)+1,FALSE))</f>
        <v>PR1</v>
      </c>
      <c r="Z76" s="264" t="str">
        <f>IF(ResultsInd[[#This Row],[Score_OK]],IF(ResultsInd[[#This Row],[Level]]="R",ResultsInd[[#This Row],[Category]]&amp;"-"&amp;IF(ResultsInd[[#This Row],[LoseInKO]]=ResultsInd[[#This Row],[Category]]&amp;"-"&amp;ResultsInd[[#This Row],[Player A]],ResultsInd[[#This Row],[Player B]],ResultsInd[[#This Row],[Player A]]),""),"")</f>
        <v/>
      </c>
      <c r="AB76" s="281">
        <v>7</v>
      </c>
      <c r="AC76" s="315" t="s">
        <v>890</v>
      </c>
      <c r="AD76" s="289" t="s">
        <v>14439</v>
      </c>
      <c r="AE76" s="290" t="s">
        <v>12279</v>
      </c>
      <c r="AF76" s="284" t="s">
        <v>12275</v>
      </c>
      <c r="AG76" s="296" t="s">
        <v>12276</v>
      </c>
      <c r="AH76" s="291" t="s">
        <v>12271</v>
      </c>
      <c r="AI76" s="291" t="s">
        <v>12272</v>
      </c>
      <c r="AJ76" s="414" t="s">
        <v>13154</v>
      </c>
      <c r="AK76" s="291" t="s">
        <v>12273</v>
      </c>
      <c r="AL76" s="297" t="s">
        <v>12274</v>
      </c>
      <c r="AM76" s="414" t="s">
        <v>13154</v>
      </c>
      <c r="AN76" s="303" t="s">
        <v>12199</v>
      </c>
      <c r="AO76" s="304" t="s">
        <v>12200</v>
      </c>
      <c r="AP76" s="304" t="s">
        <v>12201</v>
      </c>
      <c r="AQ76" s="304" t="s">
        <v>12202</v>
      </c>
      <c r="AR76" s="304" t="s">
        <v>12203</v>
      </c>
      <c r="AS76" s="304" t="s">
        <v>12204</v>
      </c>
      <c r="AT76" s="304" t="s">
        <v>12205</v>
      </c>
      <c r="AU76" s="305" t="s">
        <v>12206</v>
      </c>
      <c r="AV76" s="468"/>
      <c r="AW76" s="282" t="s">
        <v>12276</v>
      </c>
      <c r="AX76" s="282" t="s">
        <v>12280</v>
      </c>
      <c r="AY76" s="283" t="s">
        <v>12199</v>
      </c>
      <c r="AZ76" s="283" t="s">
        <v>12200</v>
      </c>
      <c r="BA76" s="283" t="s">
        <v>12201</v>
      </c>
      <c r="BB76" s="283" t="s">
        <v>12202</v>
      </c>
      <c r="BC76" s="283" t="s">
        <v>12203</v>
      </c>
      <c r="BD76" s="283" t="s">
        <v>12204</v>
      </c>
      <c r="BE76" s="283" t="s">
        <v>12205</v>
      </c>
      <c r="BF76" s="300" t="s">
        <v>12206</v>
      </c>
    </row>
    <row r="77" spans="1:58" ht="12" thickBot="1" x14ac:dyDescent="0.25">
      <c r="A77" s="249" t="s">
        <v>890</v>
      </c>
      <c r="B77" s="249" t="s">
        <v>12207</v>
      </c>
      <c r="C77" s="249">
        <v>10</v>
      </c>
      <c r="D77" s="249"/>
      <c r="E77" s="344" t="s">
        <v>10590</v>
      </c>
      <c r="F77" s="344" t="s">
        <v>8095</v>
      </c>
      <c r="G77" s="254">
        <v>1</v>
      </c>
      <c r="H77" s="254">
        <v>6</v>
      </c>
      <c r="I77" s="339"/>
      <c r="J77" s="114"/>
      <c r="K77" s="114"/>
      <c r="L77" s="247"/>
      <c r="M77" s="265" t="b">
        <f>NOT(ISERROR(ResultsInd[[#This Row],[Goal-A]]+ResultsInd[[#This Row],[Goal-B]]))</f>
        <v>1</v>
      </c>
      <c r="N77" s="265">
        <f>VALUE(ResultsInd[[#This Row],[Score-A]])</f>
        <v>1</v>
      </c>
      <c r="O77" s="265">
        <f>VALUE(ResultsInd[[#This Row],[Score-B]])</f>
        <v>6</v>
      </c>
      <c r="P77" s="265">
        <f ca="1">IF(AND(ResultsInd[[#This Row],[Category]]&lt;&gt;"",ResultsInd[[#This Row],[Player A]]&lt;&gt;""),COUNTIF(INDIRECT(ResultsInd[[#This Row],[Category]]&amp;"List[Retained Player Name]"),ResultsInd[[#This Row],[Player A]]),"")</f>
        <v>1</v>
      </c>
      <c r="Q77" s="265">
        <f ca="1">IF(AND(ResultsInd[[#This Row],[Category]]&lt;&gt;"",ResultsInd[[#This Row],[Player B]]&lt;&gt;""),COUNTIF(INDIRECT(ResultsInd[[#This Row],[Category]]&amp;"List[Retained Player Name]"),ResultsInd[[#This Row],[Player B]]),"")</f>
        <v>1</v>
      </c>
      <c r="R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OPEN-Florian Giaux</v>
      </c>
      <c r="S77" s="265" t="str">
        <f>IF(ResultsInd[[#This Row],[Score_OK]],IF(ResultsInd[[#This Row],[Stage]]="Groups",ResultsInd[[#This Row],[Category]]&amp;"-"&amp;IF(ResultsInd[[#This Row],[Player B]]="","",IF(ResultsInd[[#This Row],[Score-A]]=ResultsInd[[#This Row],[Score-B]],ResultsInd[[#This Row],[Player A]],"")),""),"")</f>
        <v>OPEN-</v>
      </c>
      <c r="T77" s="265" t="str">
        <f>IF(ResultsInd[[#This Row],[Score_OK]],IF(ResultsInd[[#This Row],[Stage]]="Groups",ResultsInd[[#This Row],[Category]]&amp;"-"&amp;IF(ResultsInd[[#This Row],[Player B]]="","",IF(ResultsInd[[#This Row],[Score-A]]=ResultsInd[[#This Row],[Score-B]],ResultsInd[[#This Row],[Player B]],"")),""),"")</f>
        <v>OPEN-</v>
      </c>
      <c r="U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X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Y77" s="264" t="str">
        <f>IF(ResultsInd[[#This Row],[Category]]="","",VLOOKUP(ResultsInd[[#This Row],[Stage]],$P$1:$V$9,MATCH(ResultsInd[[#This Row],[Category]],$Q$1:$V$1,0)+1,FALSE))</f>
        <v>PR1</v>
      </c>
      <c r="Z77" s="264" t="str">
        <f>IF(ResultsInd[[#This Row],[Score_OK]],IF(ResultsInd[[#This Row],[Level]]="R",ResultsInd[[#This Row],[Category]]&amp;"-"&amp;IF(ResultsInd[[#This Row],[LoseInKO]]=ResultsInd[[#This Row],[Category]]&amp;"-"&amp;ResultsInd[[#This Row],[Player A]],ResultsInd[[#This Row],[Player B]],ResultsInd[[#This Row],[Player A]]),""),"")</f>
        <v/>
      </c>
      <c r="AB77" s="8"/>
      <c r="AC77" s="12" t="str">
        <f>IF(AC76="","",AC76)</f>
        <v>OPEN</v>
      </c>
      <c r="AD77" s="309" t="s">
        <v>8874</v>
      </c>
      <c r="AE77" s="320"/>
      <c r="AF77" s="311"/>
      <c r="AG77" s="292">
        <f>IF(AP77="","",SMALL(AH77:AH83,ROWS(AG77:AG77)))</f>
        <v>1001</v>
      </c>
      <c r="AH77" s="293">
        <f>IF(AP77="","",RANK(AL77,AL77:AL83)*1000+ROWS(AH77:AH77))</f>
        <v>1001</v>
      </c>
      <c r="AI77" s="316">
        <f t="shared" ref="AI77:AI83" si="57">IF(AP77="","",CritClassInd1_Points*AN77+CritClassInd1_Matches*AP77+CritClassInd1_Attaque*AS77+CritClassInd1_DiffButs*AU77)</f>
        <v>4000000000000</v>
      </c>
      <c r="AJ77" s="415" t="b">
        <f>AND(AO77&lt;&gt;"",AO77&gt;0,COUNTIF(AI77:AI83,AI77)&gt;1)</f>
        <v>1</v>
      </c>
      <c r="AK77" s="316">
        <f t="shared" ref="AK77:AK83" si="58">IF(AP77="","",CritClassInd_ScorePart*AE77)</f>
        <v>0</v>
      </c>
      <c r="AL77" s="317">
        <f t="shared" ref="AL77:AL83" si="59">IF(AP77="","",AI77+AK77+CritClassInd2_Points*AN77+CritClassInd2_Matches*AP77+CritClassInd2_Attaque*AS77+CritClassInd2_DiffButs*AU77+AF77)</f>
        <v>4000000060700</v>
      </c>
      <c r="AM77" s="415" t="b">
        <f>AND(AO77&lt;&gt;"",AO77&gt;0,COUNTIF(AL77:AL83,AL77)&gt;1)</f>
        <v>0</v>
      </c>
      <c r="AN77" s="306">
        <f t="shared" ref="AN77:AN83" si="60">IF(AP77="","",(AP77*Points_Victoire)+AQ77*Points_Null)</f>
        <v>4</v>
      </c>
      <c r="AO77" s="307">
        <f t="shared" ref="AO77:AO83" si="61">IF(AP77="","",SUM(AP77:AR77))</f>
        <v>2</v>
      </c>
      <c r="AP77" s="307">
        <f>IF(OR(AC76="",AD77=""),"",COUNTIF(ResultsInd[Win],AC76&amp;"-"&amp;AD77))</f>
        <v>1</v>
      </c>
      <c r="AQ77" s="307">
        <f>IF(OR(AC76="",AD77=""),"",COUNTIF(ResultsInd[Draw1],AC76&amp;"-"&amp;AD77)+COUNTIF(ResultsInd[Draw2],AC76&amp;"-"&amp;AD77))</f>
        <v>1</v>
      </c>
      <c r="AR77" s="307">
        <f>IF(OR(AC76="",AD77=""),"",COUNTIF(ResultsInd[Lose],AC76&amp;"-"&amp;AD77))</f>
        <v>0</v>
      </c>
      <c r="AS77" s="307">
        <f>IF(OR(AC76="",AD77=""),"",SUMIFS(ResultsInd[Goal-A],ResultsInd[Category],AC76,ResultsInd[Stage],"Groups",ResultsInd[Player A],AD77)+SUMIFS(ResultsInd[Goal-B],ResultsInd[Category],AC76,ResultsInd[Stage],"Groups",ResultsInd[Player B],AD77))</f>
        <v>7</v>
      </c>
      <c r="AT77" s="307">
        <f>IF(OR(AC76="",AD77=""),"",SUMIFS(ResultsInd[Goal-B],ResultsInd[Category],AC76,ResultsInd[Stage],"Groups",ResultsInd[Player A],AD77)+SUMIFS(ResultsInd[Goal-A],ResultsInd[Category],AC76,ResultsInd[Stage],"Groups",ResultsInd[Player B],AD77))</f>
        <v>1</v>
      </c>
      <c r="AU77" s="308">
        <f>IF(AP77="","",AS77-AT77)</f>
        <v>6</v>
      </c>
      <c r="AV77" s="469" t="b">
        <f>IF(AG77="","",OR(VLOOKUP(AG77,AH77:AU83,3,FALSE),VLOOKUP(AG77,AH77:AU83,6,FALSE)))</f>
        <v>1</v>
      </c>
      <c r="AW77" s="298">
        <f t="shared" ref="AW77:AW83" si="62">IF(AG77="","",INT(AG77/1000))</f>
        <v>1</v>
      </c>
      <c r="AX77" s="285" t="str">
        <f>IF(AG77="","",INDEX(AD77:AD83,MATCH(AG77,AH77:AH83,0)))</f>
        <v>Alberto Di Maggio</v>
      </c>
      <c r="AY77" s="286">
        <f>IF(AG77="","",VLOOKUP(AG77,AH77:AU83,COLUMN()-COLUMN(AR76),FALSE))</f>
        <v>4</v>
      </c>
      <c r="AZ77" s="286">
        <f>IF(AG77="","",VLOOKUP(AG77,AH77:AU83,COLUMN()-COLUMN(AR76),FALSE))</f>
        <v>2</v>
      </c>
      <c r="BA77" s="286">
        <f>IF(AG77="","",VLOOKUP(AG77,AH77:AU83,COLUMN()-COLUMN(AR76),FALSE))</f>
        <v>1</v>
      </c>
      <c r="BB77" s="286">
        <f>IF(AG77="","",VLOOKUP(AG77,AH77:AU83,COLUMN()-COLUMN(AR76),FALSE))</f>
        <v>1</v>
      </c>
      <c r="BC77" s="286">
        <f>IF(AG77="","",VLOOKUP(AG77,AH77:AU83,COLUMN()-COLUMN(AR76),FALSE))</f>
        <v>0</v>
      </c>
      <c r="BD77" s="286">
        <f>IF(AG77="","",VLOOKUP(AG77,AH77:AU83,COLUMN()-COLUMN(AR76),FALSE))</f>
        <v>7</v>
      </c>
      <c r="BE77" s="286">
        <f>IF(AG77="","",VLOOKUP(AG77,AH77:AU83,COLUMN()-COLUMN(AR76),FALSE))</f>
        <v>1</v>
      </c>
      <c r="BF77" s="301">
        <f>IF(AG77="","",VLOOKUP(AG77,AH77:AU83,COLUMN()-COLUMN(AR76),FALSE))</f>
        <v>6</v>
      </c>
    </row>
    <row r="78" spans="1:58" ht="12" thickBot="1" x14ac:dyDescent="0.25">
      <c r="A78" s="249" t="s">
        <v>890</v>
      </c>
      <c r="B78" s="249" t="s">
        <v>12207</v>
      </c>
      <c r="C78" s="249">
        <v>10</v>
      </c>
      <c r="D78" s="249"/>
      <c r="E78" s="343" t="s">
        <v>8110</v>
      </c>
      <c r="F78" s="343" t="s">
        <v>9705</v>
      </c>
      <c r="G78" s="338">
        <v>4</v>
      </c>
      <c r="H78" s="338">
        <v>6</v>
      </c>
      <c r="I78" s="339"/>
      <c r="J78" s="114"/>
      <c r="K78" s="114"/>
      <c r="L78" s="250"/>
      <c r="M78" s="265" t="b">
        <f>NOT(ISERROR(ResultsInd[[#This Row],[Goal-A]]+ResultsInd[[#This Row],[Goal-B]]))</f>
        <v>1</v>
      </c>
      <c r="N78" s="265">
        <f>VALUE(ResultsInd[[#This Row],[Score-A]])</f>
        <v>4</v>
      </c>
      <c r="O78" s="265">
        <f>VALUE(ResultsInd[[#This Row],[Score-B]])</f>
        <v>6</v>
      </c>
      <c r="P78" s="265">
        <f ca="1">IF(AND(ResultsInd[[#This Row],[Category]]&lt;&gt;"",ResultsInd[[#This Row],[Player A]]&lt;&gt;""),COUNTIF(INDIRECT(ResultsInd[[#This Row],[Category]]&amp;"List[Retained Player Name]"),ResultsInd[[#This Row],[Player A]]),"")</f>
        <v>1</v>
      </c>
      <c r="Q78" s="265">
        <f ca="1">IF(AND(ResultsInd[[#This Row],[Category]]&lt;&gt;"",ResultsInd[[#This Row],[Player B]]&lt;&gt;""),COUNTIF(INDIRECT(ResultsInd[[#This Row],[Category]]&amp;"List[Retained Player Name]"),ResultsInd[[#This Row],[Player B]]),"")</f>
        <v>1</v>
      </c>
      <c r="R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OPEN-Marco Preziuso</v>
      </c>
      <c r="S78" s="265" t="str">
        <f>IF(ResultsInd[[#This Row],[Score_OK]],IF(ResultsInd[[#This Row],[Stage]]="Groups",ResultsInd[[#This Row],[Category]]&amp;"-"&amp;IF(ResultsInd[[#This Row],[Player B]]="","",IF(ResultsInd[[#This Row],[Score-A]]=ResultsInd[[#This Row],[Score-B]],ResultsInd[[#This Row],[Player A]],"")),""),"")</f>
        <v>OPEN-</v>
      </c>
      <c r="T78" s="265" t="str">
        <f>IF(ResultsInd[[#This Row],[Score_OK]],IF(ResultsInd[[#This Row],[Stage]]="Groups",ResultsInd[[#This Row],[Category]]&amp;"-"&amp;IF(ResultsInd[[#This Row],[Player B]]="","",IF(ResultsInd[[#This Row],[Score-A]]=ResultsInd[[#This Row],[Score-B]],ResultsInd[[#This Row],[Player B]],"")),""),"")</f>
        <v>OPEN-</v>
      </c>
      <c r="U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OPEN-Kevin Lelubre</v>
      </c>
      <c r="V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OPEN-Kevin Lelubre</v>
      </c>
      <c r="X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OPEN-Kevin Lelubre</v>
      </c>
      <c r="Y78" s="264" t="str">
        <f>IF(ResultsInd[[#This Row],[Category]]="","",VLOOKUP(ResultsInd[[#This Row],[Stage]],$P$1:$V$9,MATCH(ResultsInd[[#This Row],[Category]],$Q$1:$V$1,0)+1,FALSE))</f>
        <v>PR1</v>
      </c>
      <c r="Z78" s="264" t="str">
        <f>IF(ResultsInd[[#This Row],[Score_OK]],IF(ResultsInd[[#This Row],[Level]]="R",ResultsInd[[#This Row],[Category]]&amp;"-"&amp;IF(ResultsInd[[#This Row],[LoseInKO]]=ResultsInd[[#This Row],[Category]]&amp;"-"&amp;ResultsInd[[#This Row],[Player A]],ResultsInd[[#This Row],[Player B]],ResultsInd[[#This Row],[Player A]]),""),"")</f>
        <v/>
      </c>
      <c r="AB78" s="8"/>
      <c r="AC78" s="12" t="str">
        <f t="shared" ref="AC78:AC83" si="63">IF(AC77="","",AC77)</f>
        <v>OPEN</v>
      </c>
      <c r="AD78" s="309" t="s">
        <v>10088</v>
      </c>
      <c r="AE78" s="320"/>
      <c r="AF78" s="311"/>
      <c r="AG78" s="292">
        <f>IF(AP78="","",SMALL(AH77:AH83,ROWS(AG77:AG78)))</f>
        <v>2002</v>
      </c>
      <c r="AH78" s="293">
        <f>IF(AP78="","",RANK(AL78,AL77:AL83)*1000+ROWS(AH77:AH78))</f>
        <v>2002</v>
      </c>
      <c r="AI78" s="316">
        <f t="shared" si="57"/>
        <v>4000000000000</v>
      </c>
      <c r="AJ78" s="415" t="b">
        <f>AND(AO78&lt;&gt;"",AO78&gt;0,COUNTIF(AI77:AI83,AI78)&gt;1)</f>
        <v>1</v>
      </c>
      <c r="AK78" s="316">
        <f t="shared" si="58"/>
        <v>0</v>
      </c>
      <c r="AL78" s="317">
        <f t="shared" si="59"/>
        <v>4000000030500</v>
      </c>
      <c r="AM78" s="415" t="b">
        <f>AND(AO78&lt;&gt;"",AO78&gt;0,COUNTIF(AL77:AL83,AL78)&gt;1)</f>
        <v>0</v>
      </c>
      <c r="AN78" s="306">
        <f t="shared" si="60"/>
        <v>4</v>
      </c>
      <c r="AO78" s="307">
        <f t="shared" si="61"/>
        <v>2</v>
      </c>
      <c r="AP78" s="307">
        <f>IF(OR(AC76="",AD78=""),"",COUNTIF(ResultsInd[Win],AC76&amp;"-"&amp;AD78))</f>
        <v>1</v>
      </c>
      <c r="AQ78" s="307">
        <f>IF(OR(AC76="",AD78=""),"",COUNTIF(ResultsInd[Draw1],AC76&amp;"-"&amp;AD78)+COUNTIF(ResultsInd[Draw2],AC76&amp;"-"&amp;AD78))</f>
        <v>1</v>
      </c>
      <c r="AR78" s="307">
        <f>IF(OR(AC76="",AD78=""),"",COUNTIF(ResultsInd[Lose],AC76&amp;"-"&amp;AD78))</f>
        <v>0</v>
      </c>
      <c r="AS78" s="307">
        <f>IF(OR(AC76="",AD78=""),"",SUMIFS(ResultsInd[Goal-A],ResultsInd[Category],AC76,ResultsInd[Stage],"Groups",ResultsInd[Player A],AD78)+SUMIFS(ResultsInd[Goal-B],ResultsInd[Category],AC76,ResultsInd[Stage],"Groups",ResultsInd[Player B],AD78))</f>
        <v>5</v>
      </c>
      <c r="AT78" s="307">
        <f>IF(OR(AC76="",AD78=""),"",SUMIFS(ResultsInd[Goal-B],ResultsInd[Category],AC76,ResultsInd[Stage],"Groups",ResultsInd[Player A],AD78)+SUMIFS(ResultsInd[Goal-A],ResultsInd[Category],AC76,ResultsInd[Stage],"Groups",ResultsInd[Player B],AD78))</f>
        <v>2</v>
      </c>
      <c r="AU78" s="308">
        <f t="shared" ref="AU78:AU83" si="64">IF(AP78="","",AS78-AT78)</f>
        <v>3</v>
      </c>
      <c r="AV78" s="469" t="b">
        <f>IF(AG78="","",OR(VLOOKUP(AG78,AH77:AU83,3,FALSE),VLOOKUP(AG78,AH77:AU83,6,FALSE)))</f>
        <v>1</v>
      </c>
      <c r="AW78" s="298">
        <f t="shared" si="62"/>
        <v>2</v>
      </c>
      <c r="AX78" s="285" t="str">
        <f>IF(AG78="","",INDEX(AD77:AD83,MATCH(AG78,AH77:AH83,0)))</f>
        <v>Luigi Di Vito</v>
      </c>
      <c r="AY78" s="286">
        <f>IF(AG78="","",VLOOKUP(AG78,AH77:AU83,COLUMN()-COLUMN(AR76),FALSE))</f>
        <v>4</v>
      </c>
      <c r="AZ78" s="286">
        <f>IF(AG78="","",VLOOKUP(AG78,AH77:AU83,COLUMN()-COLUMN(AR76),FALSE))</f>
        <v>2</v>
      </c>
      <c r="BA78" s="286">
        <f>IF(AG78="","",VLOOKUP(AG78,AH77:AU83,COLUMN()-COLUMN(AR76),FALSE))</f>
        <v>1</v>
      </c>
      <c r="BB78" s="286">
        <f>IF(AG78="","",VLOOKUP(AG78,AH77:AU83,COLUMN()-COLUMN(AR76),FALSE))</f>
        <v>1</v>
      </c>
      <c r="BC78" s="286">
        <f>IF(AG78="","",VLOOKUP(AG78,AH77:AU83,COLUMN()-COLUMN(AR76),FALSE))</f>
        <v>0</v>
      </c>
      <c r="BD78" s="286">
        <f>IF(AG78="","",VLOOKUP(AG78,AH77:AU83,COLUMN()-COLUMN(AR76),FALSE))</f>
        <v>5</v>
      </c>
      <c r="BE78" s="286">
        <f>IF(AG78="","",VLOOKUP(AG78,AH77:AU83,COLUMN()-COLUMN(AR76),FALSE))</f>
        <v>2</v>
      </c>
      <c r="BF78" s="301">
        <f>IF(AG78="","",VLOOKUP(AG78,AH77:AU83,COLUMN()-COLUMN(AR76),FALSE))</f>
        <v>3</v>
      </c>
    </row>
    <row r="79" spans="1:58" ht="12" thickBot="1" x14ac:dyDescent="0.25">
      <c r="A79" s="249" t="s">
        <v>890</v>
      </c>
      <c r="B79" s="249" t="s">
        <v>12207</v>
      </c>
      <c r="C79" s="249">
        <v>11</v>
      </c>
      <c r="D79" s="249"/>
      <c r="E79" s="343" t="s">
        <v>10364</v>
      </c>
      <c r="F79" s="343" t="s">
        <v>10447</v>
      </c>
      <c r="G79" s="338">
        <v>8</v>
      </c>
      <c r="H79" s="338">
        <v>0</v>
      </c>
      <c r="I79" s="339"/>
      <c r="J79" s="114"/>
      <c r="K79" s="114"/>
      <c r="L79" s="250"/>
      <c r="M79" s="265" t="b">
        <f>NOT(ISERROR(ResultsInd[[#This Row],[Goal-A]]+ResultsInd[[#This Row],[Goal-B]]))</f>
        <v>1</v>
      </c>
      <c r="N79" s="265">
        <f>VALUE(ResultsInd[[#This Row],[Score-A]])</f>
        <v>8</v>
      </c>
      <c r="O79" s="265">
        <f>VALUE(ResultsInd[[#This Row],[Score-B]])</f>
        <v>0</v>
      </c>
      <c r="P79" s="265">
        <f ca="1">IF(AND(ResultsInd[[#This Row],[Category]]&lt;&gt;"",ResultsInd[[#This Row],[Player A]]&lt;&gt;""),COUNTIF(INDIRECT(ResultsInd[[#This Row],[Category]]&amp;"List[Retained Player Name]"),ResultsInd[[#This Row],[Player A]]),"")</f>
        <v>1</v>
      </c>
      <c r="Q79" s="265">
        <f ca="1">IF(AND(ResultsInd[[#This Row],[Category]]&lt;&gt;"",ResultsInd[[#This Row],[Player B]]&lt;&gt;""),COUNTIF(INDIRECT(ResultsInd[[#This Row],[Category]]&amp;"List[Retained Player Name]"),ResultsInd[[#This Row],[Player B]]),"")</f>
        <v>1</v>
      </c>
      <c r="R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OPEN-Alessandro Amatelli</v>
      </c>
      <c r="S79" s="265" t="str">
        <f>IF(ResultsInd[[#This Row],[Score_OK]],IF(ResultsInd[[#This Row],[Stage]]="Groups",ResultsInd[[#This Row],[Category]]&amp;"-"&amp;IF(ResultsInd[[#This Row],[Player B]]="","",IF(ResultsInd[[#This Row],[Score-A]]=ResultsInd[[#This Row],[Score-B]],ResultsInd[[#This Row],[Player A]],"")),""),"")</f>
        <v>OPEN-</v>
      </c>
      <c r="T79" s="265" t="str">
        <f>IF(ResultsInd[[#This Row],[Score_OK]],IF(ResultsInd[[#This Row],[Stage]]="Groups",ResultsInd[[#This Row],[Category]]&amp;"-"&amp;IF(ResultsInd[[#This Row],[Player B]]="","",IF(ResultsInd[[#This Row],[Score-A]]=ResultsInd[[#This Row],[Score-B]],ResultsInd[[#This Row],[Player B]],"")),""),"")</f>
        <v>OPEN-</v>
      </c>
      <c r="U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OPEN-Mario Fleri Soler</v>
      </c>
      <c r="V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OPEN-Mario Fleri Soler</v>
      </c>
      <c r="X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OPEN-Mario Fleri Soler</v>
      </c>
      <c r="Y79" s="264" t="str">
        <f>IF(ResultsInd[[#This Row],[Category]]="","",VLOOKUP(ResultsInd[[#This Row],[Stage]],$P$1:$V$9,MATCH(ResultsInd[[#This Row],[Category]],$Q$1:$V$1,0)+1,FALSE))</f>
        <v>PR1</v>
      </c>
      <c r="Z79" s="264" t="str">
        <f>IF(ResultsInd[[#This Row],[Score_OK]],IF(ResultsInd[[#This Row],[Level]]="R",ResultsInd[[#This Row],[Category]]&amp;"-"&amp;IF(ResultsInd[[#This Row],[LoseInKO]]=ResultsInd[[#This Row],[Category]]&amp;"-"&amp;ResultsInd[[#This Row],[Player A]],ResultsInd[[#This Row],[Player B]],ResultsInd[[#This Row],[Player A]]),""),"")</f>
        <v/>
      </c>
      <c r="AB79" s="8"/>
      <c r="AC79" s="12" t="str">
        <f t="shared" si="63"/>
        <v>OPEN</v>
      </c>
      <c r="AD79" s="309" t="s">
        <v>8094</v>
      </c>
      <c r="AE79" s="320"/>
      <c r="AF79" s="311"/>
      <c r="AG79" s="292">
        <f>IF(AP79="","",SMALL(AH77:AH83,ROWS(AG77:AG79)))</f>
        <v>3003</v>
      </c>
      <c r="AH79" s="293">
        <f>IF(AP79="","",RANK(AL79,AL77:AL83)*1000+ROWS(AH77:AH79))</f>
        <v>3003</v>
      </c>
      <c r="AI79" s="316">
        <f t="shared" si="57"/>
        <v>0</v>
      </c>
      <c r="AJ79" s="415" t="b">
        <f>AND(AO79&lt;&gt;"",AO79&gt;0,COUNTIF(AI77:AI83,AI79)&gt;1)</f>
        <v>0</v>
      </c>
      <c r="AK79" s="316">
        <f t="shared" si="58"/>
        <v>0</v>
      </c>
      <c r="AL79" s="317">
        <f t="shared" si="59"/>
        <v>0</v>
      </c>
      <c r="AM79" s="415" t="b">
        <f>AND(AO79&lt;&gt;"",AO79&gt;0,COUNTIF(AL77:AL83,AL79)&gt;1)</f>
        <v>0</v>
      </c>
      <c r="AN79" s="306">
        <f t="shared" si="60"/>
        <v>0</v>
      </c>
      <c r="AO79" s="307">
        <f t="shared" si="61"/>
        <v>0</v>
      </c>
      <c r="AP79" s="307">
        <f>IF(OR(AC76="",AD79=""),"",COUNTIF(ResultsInd[Win],AC76&amp;"-"&amp;AD79))</f>
        <v>0</v>
      </c>
      <c r="AQ79" s="307">
        <f>IF(OR(AC76="",AD79=""),"",COUNTIF(ResultsInd[Draw1],AC76&amp;"-"&amp;AD79)+COUNTIF(ResultsInd[Draw2],AC76&amp;"-"&amp;AD79))</f>
        <v>0</v>
      </c>
      <c r="AR79" s="307">
        <f>IF(OR(AC76="",AD79=""),"",COUNTIF(ResultsInd[Lose],AC76&amp;"-"&amp;AD79))</f>
        <v>0</v>
      </c>
      <c r="AS79" s="307">
        <f>IF(OR(AC76="",AD79=""),"",SUMIFS(ResultsInd[Goal-A],ResultsInd[Category],AC76,ResultsInd[Stage],"Groups",ResultsInd[Player A],AD79)+SUMIFS(ResultsInd[Goal-B],ResultsInd[Category],AC76,ResultsInd[Stage],"Groups",ResultsInd[Player B],AD79))</f>
        <v>0</v>
      </c>
      <c r="AT79" s="307">
        <f>IF(OR(AC76="",AD79=""),"",SUMIFS(ResultsInd[Goal-B],ResultsInd[Category],AC76,ResultsInd[Stage],"Groups",ResultsInd[Player A],AD79)+SUMIFS(ResultsInd[Goal-A],ResultsInd[Category],AC76,ResultsInd[Stage],"Groups",ResultsInd[Player B],AD79))</f>
        <v>0</v>
      </c>
      <c r="AU79" s="308">
        <f t="shared" si="64"/>
        <v>0</v>
      </c>
      <c r="AV79" s="469" t="b">
        <f>IF(AG79="","",OR(VLOOKUP(AG79,AH77:AU83,3,FALSE),VLOOKUP(AG79,AH77:AU83,6,FALSE)))</f>
        <v>0</v>
      </c>
      <c r="AW79" s="298">
        <f t="shared" si="62"/>
        <v>3</v>
      </c>
      <c r="AX79" s="285" t="str">
        <f>IF(AG79="","",INDEX(AD77:AD83,MATCH(AG79,AH77:AH83,0)))</f>
        <v>David Fraikin</v>
      </c>
      <c r="AY79" s="286">
        <f>IF(AG79="","",VLOOKUP(AG79,AH77:AU83,COLUMN()-COLUMN(AR76),FALSE))</f>
        <v>0</v>
      </c>
      <c r="AZ79" s="286">
        <f>IF(AG79="","",VLOOKUP(AG79,AH77:AU83,COLUMN()-COLUMN(AR76),FALSE))</f>
        <v>0</v>
      </c>
      <c r="BA79" s="286">
        <f>IF(AG79="","",VLOOKUP(AG79,AH77:AU83,COLUMN()-COLUMN(AR76),FALSE))</f>
        <v>0</v>
      </c>
      <c r="BB79" s="286">
        <f>IF(AG79="","",VLOOKUP(AG79,AH77:AU83,COLUMN()-COLUMN(AR76),FALSE))</f>
        <v>0</v>
      </c>
      <c r="BC79" s="286">
        <f>IF(AG79="","",VLOOKUP(AG79,AH77:AU83,COLUMN()-COLUMN(AR76),FALSE))</f>
        <v>0</v>
      </c>
      <c r="BD79" s="286">
        <f>IF(AG79="","",VLOOKUP(AG79,AH77:AU83,COLUMN()-COLUMN(AR76),FALSE))</f>
        <v>0</v>
      </c>
      <c r="BE79" s="286">
        <f>IF(AG79="","",VLOOKUP(AG79,AH77:AU83,COLUMN()-COLUMN(AR76),FALSE))</f>
        <v>0</v>
      </c>
      <c r="BF79" s="301">
        <f>IF(AG79="","",VLOOKUP(AG79,AH77:AU83,COLUMN()-COLUMN(AR76),FALSE))</f>
        <v>0</v>
      </c>
    </row>
    <row r="80" spans="1:58" ht="12" thickBot="1" x14ac:dyDescent="0.25">
      <c r="A80" s="249" t="s">
        <v>890</v>
      </c>
      <c r="B80" s="249" t="s">
        <v>12207</v>
      </c>
      <c r="C80" s="249">
        <v>11</v>
      </c>
      <c r="D80" s="249"/>
      <c r="E80" s="344" t="s">
        <v>8149</v>
      </c>
      <c r="F80" s="344" t="s">
        <v>11466</v>
      </c>
      <c r="G80" s="254">
        <v>5</v>
      </c>
      <c r="H80" s="254">
        <v>0</v>
      </c>
      <c r="I80" s="339"/>
      <c r="J80" s="114"/>
      <c r="K80" s="114"/>
      <c r="L80" s="247"/>
      <c r="M80" s="265" t="b">
        <f>NOT(ISERROR(ResultsInd[[#This Row],[Goal-A]]+ResultsInd[[#This Row],[Goal-B]]))</f>
        <v>1</v>
      </c>
      <c r="N80" s="265">
        <f>VALUE(ResultsInd[[#This Row],[Score-A]])</f>
        <v>5</v>
      </c>
      <c r="O80" s="265">
        <f>VALUE(ResultsInd[[#This Row],[Score-B]])</f>
        <v>0</v>
      </c>
      <c r="P80" s="265">
        <f ca="1">IF(AND(ResultsInd[[#This Row],[Category]]&lt;&gt;"",ResultsInd[[#This Row],[Player A]]&lt;&gt;""),COUNTIF(INDIRECT(ResultsInd[[#This Row],[Category]]&amp;"List[Retained Player Name]"),ResultsInd[[#This Row],[Player A]]),"")</f>
        <v>1</v>
      </c>
      <c r="Q80" s="265">
        <f ca="1">IF(AND(ResultsInd[[#This Row],[Category]]&lt;&gt;"",ResultsInd[[#This Row],[Player B]]&lt;&gt;""),COUNTIF(INDIRECT(ResultsInd[[#This Row],[Category]]&amp;"List[Retained Player Name]"),ResultsInd[[#This Row],[Player B]]),"")</f>
        <v>1</v>
      </c>
      <c r="R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OPEN-Jann Segers</v>
      </c>
      <c r="S80" s="265" t="str">
        <f>IF(ResultsInd[[#This Row],[Score_OK]],IF(ResultsInd[[#This Row],[Stage]]="Groups",ResultsInd[[#This Row],[Category]]&amp;"-"&amp;IF(ResultsInd[[#This Row],[Player B]]="","",IF(ResultsInd[[#This Row],[Score-A]]=ResultsInd[[#This Row],[Score-B]],ResultsInd[[#This Row],[Player A]],"")),""),"")</f>
        <v>OPEN-</v>
      </c>
      <c r="T80" s="265" t="str">
        <f>IF(ResultsInd[[#This Row],[Score_OK]],IF(ResultsInd[[#This Row],[Stage]]="Groups",ResultsInd[[#This Row],[Category]]&amp;"-"&amp;IF(ResultsInd[[#This Row],[Player B]]="","",IF(ResultsInd[[#This Row],[Score-A]]=ResultsInd[[#This Row],[Score-B]],ResultsInd[[#This Row],[Player B]],"")),""),"")</f>
        <v>OPEN-</v>
      </c>
      <c r="U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OPEN-Jarno Marks</v>
      </c>
      <c r="V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X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Y80" s="264" t="str">
        <f>IF(ResultsInd[[#This Row],[Category]]="","",VLOOKUP(ResultsInd[[#This Row],[Stage]],$P$1:$V$9,MATCH(ResultsInd[[#This Row],[Category]],$Q$1:$V$1,0)+1,FALSE))</f>
        <v>PR1</v>
      </c>
      <c r="Z80" s="264" t="str">
        <f>IF(ResultsInd[[#This Row],[Score_OK]],IF(ResultsInd[[#This Row],[Level]]="R",ResultsInd[[#This Row],[Category]]&amp;"-"&amp;IF(ResultsInd[[#This Row],[LoseInKO]]=ResultsInd[[#This Row],[Category]]&amp;"-"&amp;ResultsInd[[#This Row],[Player A]],ResultsInd[[#This Row],[Player B]],ResultsInd[[#This Row],[Player A]]),""),"")</f>
        <v/>
      </c>
      <c r="AB80" s="91"/>
      <c r="AC80" s="12" t="str">
        <f t="shared" si="63"/>
        <v>OPEN</v>
      </c>
      <c r="AD80" s="309" t="s">
        <v>8167</v>
      </c>
      <c r="AE80" s="310"/>
      <c r="AF80" s="311"/>
      <c r="AG80" s="292">
        <f>IF(AP80="","",SMALL(AH77:AH83,ROWS(AG77:AG80)))</f>
        <v>4004</v>
      </c>
      <c r="AH80" s="293">
        <f>IF(AP80="","",RANK(AL80,AL77:AL83)*1000+ROWS(AH77:AH80))</f>
        <v>4004</v>
      </c>
      <c r="AI80" s="316">
        <f t="shared" si="57"/>
        <v>0</v>
      </c>
      <c r="AJ80" s="415" t="b">
        <f>AND(AO80&lt;&gt;"",AO80&gt;0,COUNTIF(AI77:AI83,AI80)&gt;1)</f>
        <v>1</v>
      </c>
      <c r="AK80" s="316">
        <f t="shared" si="58"/>
        <v>0</v>
      </c>
      <c r="AL80" s="317">
        <f t="shared" si="59"/>
        <v>-89900</v>
      </c>
      <c r="AM80" s="415" t="b">
        <f>AND(AO80&lt;&gt;"",AO80&gt;0,COUNTIF(AL77:AL83,AL80)&gt;1)</f>
        <v>0</v>
      </c>
      <c r="AN80" s="306">
        <f t="shared" si="60"/>
        <v>0</v>
      </c>
      <c r="AO80" s="307">
        <f t="shared" si="61"/>
        <v>2</v>
      </c>
      <c r="AP80" s="307">
        <f>IF(OR(AC76="",AD80=""),"",COUNTIF(ResultsInd[Win],AC76&amp;"-"&amp;AD80))</f>
        <v>0</v>
      </c>
      <c r="AQ80" s="307">
        <f>IF(OR(AC76="",AD80=""),"",COUNTIF(ResultsInd[Draw1],AC76&amp;"-"&amp;AD80)+COUNTIF(ResultsInd[Draw2],AC76&amp;"-"&amp;AD80))</f>
        <v>0</v>
      </c>
      <c r="AR80" s="307">
        <f>IF(OR(AC76="",AD80=""),"",COUNTIF(ResultsInd[Lose],AC76&amp;"-"&amp;AD80))</f>
        <v>2</v>
      </c>
      <c r="AS80" s="307">
        <f>IF(OR(AC76="",AD80=""),"",SUMIFS(ResultsInd[Goal-A],ResultsInd[Category],AC76,ResultsInd[Stage],"Groups",ResultsInd[Player A],AD80)+SUMIFS(ResultsInd[Goal-B],ResultsInd[Category],AC76,ResultsInd[Stage],"Groups",ResultsInd[Player B],AD80))</f>
        <v>1</v>
      </c>
      <c r="AT80" s="307">
        <f>IF(OR(AC76="",AD80=""),"",SUMIFS(ResultsInd[Goal-B],ResultsInd[Category],AC76,ResultsInd[Stage],"Groups",ResultsInd[Player A],AD80)+SUMIFS(ResultsInd[Goal-A],ResultsInd[Category],AC76,ResultsInd[Stage],"Groups",ResultsInd[Player B],AD80))</f>
        <v>10</v>
      </c>
      <c r="AU80" s="308">
        <f t="shared" si="64"/>
        <v>-9</v>
      </c>
      <c r="AV80" s="469" t="b">
        <f>IF(AG80="","",OR(VLOOKUP(AG80,AH77:AU83,3,FALSE),VLOOKUP(AG80,AH77:AU83,6,FALSE)))</f>
        <v>1</v>
      </c>
      <c r="AW80" s="298">
        <f t="shared" si="62"/>
        <v>4</v>
      </c>
      <c r="AX80" s="285" t="str">
        <f>IF(AG80="","",INDEX(AD77:AD83,MATCH(AG80,AH77:AH83,0)))</f>
        <v>Noah Denne</v>
      </c>
      <c r="AY80" s="286">
        <f>IF(AG80="","",VLOOKUP(AG80,AH77:AU83,COLUMN()-COLUMN(AR76),FALSE))</f>
        <v>0</v>
      </c>
      <c r="AZ80" s="286">
        <f>IF(AG80="","",VLOOKUP(AG80,AH77:AU83,COLUMN()-COLUMN(AR76),FALSE))</f>
        <v>2</v>
      </c>
      <c r="BA80" s="286">
        <f>IF(AG80="","",VLOOKUP(AG80,AH77:AU83,COLUMN()-COLUMN(AR76),FALSE))</f>
        <v>0</v>
      </c>
      <c r="BB80" s="286">
        <f>IF(AG80="","",VLOOKUP(AG80,AH77:AU83,COLUMN()-COLUMN(AR76),FALSE))</f>
        <v>0</v>
      </c>
      <c r="BC80" s="286">
        <f>IF(AG80="","",VLOOKUP(AG80,AH77:AU83,COLUMN()-COLUMN(AR76),FALSE))</f>
        <v>2</v>
      </c>
      <c r="BD80" s="286">
        <f>IF(AG80="","",VLOOKUP(AG80,AH77:AU83,COLUMN()-COLUMN(AR76),FALSE))</f>
        <v>1</v>
      </c>
      <c r="BE80" s="286">
        <f>IF(AG80="","",VLOOKUP(AG80,AH77:AU83,COLUMN()-COLUMN(AR76),FALSE))</f>
        <v>10</v>
      </c>
      <c r="BF80" s="301">
        <f>IF(AG80="","",VLOOKUP(AG80,AH77:AU83,COLUMN()-COLUMN(AR76),FALSE))</f>
        <v>-9</v>
      </c>
    </row>
    <row r="81" spans="1:58" ht="12" thickBot="1" x14ac:dyDescent="0.25">
      <c r="A81" s="249" t="s">
        <v>890</v>
      </c>
      <c r="B81" s="249" t="s">
        <v>12207</v>
      </c>
      <c r="C81" s="249">
        <v>11</v>
      </c>
      <c r="D81" s="249"/>
      <c r="E81" s="344" t="s">
        <v>10364</v>
      </c>
      <c r="F81" s="344" t="s">
        <v>8149</v>
      </c>
      <c r="G81" s="254">
        <v>9</v>
      </c>
      <c r="H81" s="254">
        <v>1</v>
      </c>
      <c r="I81" s="339"/>
      <c r="J81" s="114"/>
      <c r="K81" s="114"/>
      <c r="L81" s="247"/>
      <c r="M81" s="265" t="b">
        <f>NOT(ISERROR(ResultsInd[[#This Row],[Goal-A]]+ResultsInd[[#This Row],[Goal-B]]))</f>
        <v>1</v>
      </c>
      <c r="N81" s="265">
        <f>VALUE(ResultsInd[[#This Row],[Score-A]])</f>
        <v>9</v>
      </c>
      <c r="O81" s="265">
        <f>VALUE(ResultsInd[[#This Row],[Score-B]])</f>
        <v>1</v>
      </c>
      <c r="P81" s="265">
        <f ca="1">IF(AND(ResultsInd[[#This Row],[Category]]&lt;&gt;"",ResultsInd[[#This Row],[Player A]]&lt;&gt;""),COUNTIF(INDIRECT(ResultsInd[[#This Row],[Category]]&amp;"List[Retained Player Name]"),ResultsInd[[#This Row],[Player A]]),"")</f>
        <v>1</v>
      </c>
      <c r="Q81" s="265">
        <f ca="1">IF(AND(ResultsInd[[#This Row],[Category]]&lt;&gt;"",ResultsInd[[#This Row],[Player B]]&lt;&gt;""),COUNTIF(INDIRECT(ResultsInd[[#This Row],[Category]]&amp;"List[Retained Player Name]"),ResultsInd[[#This Row],[Player B]]),"")</f>
        <v>1</v>
      </c>
      <c r="R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OPEN-Alessandro Amatelli</v>
      </c>
      <c r="S81" s="265" t="str">
        <f>IF(ResultsInd[[#This Row],[Score_OK]],IF(ResultsInd[[#This Row],[Stage]]="Groups",ResultsInd[[#This Row],[Category]]&amp;"-"&amp;IF(ResultsInd[[#This Row],[Player B]]="","",IF(ResultsInd[[#This Row],[Score-A]]=ResultsInd[[#This Row],[Score-B]],ResultsInd[[#This Row],[Player A]],"")),""),"")</f>
        <v>OPEN-</v>
      </c>
      <c r="T81" s="265" t="str">
        <f>IF(ResultsInd[[#This Row],[Score_OK]],IF(ResultsInd[[#This Row],[Stage]]="Groups",ResultsInd[[#This Row],[Category]]&amp;"-"&amp;IF(ResultsInd[[#This Row],[Player B]]="","",IF(ResultsInd[[#This Row],[Score-A]]=ResultsInd[[#This Row],[Score-B]],ResultsInd[[#This Row],[Player B]],"")),""),"")</f>
        <v>OPEN-</v>
      </c>
      <c r="U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OPEN-Jann Segers</v>
      </c>
      <c r="V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OPEN-Jann Segers</v>
      </c>
      <c r="X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OPEN-Jann Segers</v>
      </c>
      <c r="Y81" s="264" t="str">
        <f>IF(ResultsInd[[#This Row],[Category]]="","",VLOOKUP(ResultsInd[[#This Row],[Stage]],$P$1:$V$9,MATCH(ResultsInd[[#This Row],[Category]],$Q$1:$V$1,0)+1,FALSE))</f>
        <v>PR1</v>
      </c>
      <c r="Z81" s="264" t="str">
        <f>IF(ResultsInd[[#This Row],[Score_OK]],IF(ResultsInd[[#This Row],[Level]]="R",ResultsInd[[#This Row],[Category]]&amp;"-"&amp;IF(ResultsInd[[#This Row],[LoseInKO]]=ResultsInd[[#This Row],[Category]]&amp;"-"&amp;ResultsInd[[#This Row],[Player A]],ResultsInd[[#This Row],[Player B]],ResultsInd[[#This Row],[Player A]]),""),"")</f>
        <v/>
      </c>
      <c r="AB81" s="91"/>
      <c r="AC81" s="12" t="str">
        <f t="shared" si="63"/>
        <v>OPEN</v>
      </c>
      <c r="AD81" s="309"/>
      <c r="AE81" s="310"/>
      <c r="AF81" s="311"/>
      <c r="AG81" s="292" t="str">
        <f>IF(AP81="","",SMALL(AH77:AH83,ROWS(AG77:AG81)))</f>
        <v/>
      </c>
      <c r="AH81" s="293" t="str">
        <f>IF(AP81="","",RANK(AL81,AL77:AL83)*1000+ROWS(AH77:AH81))</f>
        <v/>
      </c>
      <c r="AI81" s="316" t="str">
        <f t="shared" si="57"/>
        <v/>
      </c>
      <c r="AJ81" s="415" t="b">
        <f>AND(AO81&lt;&gt;"",AO81&gt;0,COUNTIF(AI77:AI83,AI81)&gt;1)</f>
        <v>0</v>
      </c>
      <c r="AK81" s="316" t="str">
        <f t="shared" si="58"/>
        <v/>
      </c>
      <c r="AL81" s="317" t="str">
        <f t="shared" si="59"/>
        <v/>
      </c>
      <c r="AM81" s="415" t="b">
        <f>AND(AO81&lt;&gt;"",AO81&gt;0,COUNTIF(AL77:AL83,AL81)&gt;1)</f>
        <v>0</v>
      </c>
      <c r="AN81" s="306" t="str">
        <f t="shared" si="60"/>
        <v/>
      </c>
      <c r="AO81" s="307" t="str">
        <f t="shared" si="61"/>
        <v/>
      </c>
      <c r="AP81" s="307" t="str">
        <f>IF(OR(AC76="",AD81=""),"",COUNTIF(ResultsInd[Win],AC76&amp;"-"&amp;AD81))</f>
        <v/>
      </c>
      <c r="AQ81" s="307" t="str">
        <f>IF(OR(AC76="",AD81=""),"",COUNTIF(ResultsInd[Draw1],AC76&amp;"-"&amp;AD81)+COUNTIF(ResultsInd[Draw2],AC76&amp;"-"&amp;AD81))</f>
        <v/>
      </c>
      <c r="AR81" s="307" t="str">
        <f>IF(OR(AC76="",AD81=""),"",COUNTIF(ResultsInd[Lose],AC76&amp;"-"&amp;AD81))</f>
        <v/>
      </c>
      <c r="AS81" s="307" t="str">
        <f>IF(OR(AC76="",AD81=""),"",SUMIFS(ResultsInd[Goal-A],ResultsInd[Category],AC76,ResultsInd[Stage],"Groups",ResultsInd[Player A],AD81)+SUMIFS(ResultsInd[Goal-B],ResultsInd[Category],AC76,ResultsInd[Stage],"Groups",ResultsInd[Player B],AD81))</f>
        <v/>
      </c>
      <c r="AT81" s="307" t="str">
        <f>IF(OR(AC76="",AD81=""),"",SUMIFS(ResultsInd[Goal-B],ResultsInd[Category],AC76,ResultsInd[Stage],"Groups",ResultsInd[Player A],AD81)+SUMIFS(ResultsInd[Goal-A],ResultsInd[Category],AC76,ResultsInd[Stage],"Groups",ResultsInd[Player B],AD81))</f>
        <v/>
      </c>
      <c r="AU81" s="308" t="str">
        <f t="shared" si="64"/>
        <v/>
      </c>
      <c r="AV81" s="469" t="str">
        <f>IF(AG81="","",OR(VLOOKUP(AG81,AH77:AU83,3,FALSE),VLOOKUP(AG81,AH77:AU83,6,FALSE)))</f>
        <v/>
      </c>
      <c r="AW81" s="298" t="str">
        <f t="shared" si="62"/>
        <v/>
      </c>
      <c r="AX81" s="285" t="str">
        <f>IF(AG81="","",INDEX(AD77:AD83,MATCH(AG81,AH77:AH83,0)))</f>
        <v/>
      </c>
      <c r="AY81" s="286" t="str">
        <f>IF(AG81="","",VLOOKUP(AG81,AH77:AU83,COLUMN()-COLUMN(AR76),FALSE))</f>
        <v/>
      </c>
      <c r="AZ81" s="286" t="str">
        <f>IF(AG81="","",VLOOKUP(AG81,AH77:AU83,COLUMN()-COLUMN(AR76),FALSE))</f>
        <v/>
      </c>
      <c r="BA81" s="286" t="str">
        <f>IF(AG81="","",VLOOKUP(AG81,AH77:AU83,COLUMN()-COLUMN(AR76),FALSE))</f>
        <v/>
      </c>
      <c r="BB81" s="286" t="str">
        <f>IF(AG81="","",VLOOKUP(AG81,AH77:AU83,COLUMN()-COLUMN(AR76),FALSE))</f>
        <v/>
      </c>
      <c r="BC81" s="286" t="str">
        <f>IF(AG81="","",VLOOKUP(AG81,AH77:AU83,COLUMN()-COLUMN(AR76),FALSE))</f>
        <v/>
      </c>
      <c r="BD81" s="286" t="str">
        <f>IF(AG81="","",VLOOKUP(AG81,AH77:AU83,COLUMN()-COLUMN(AR76),FALSE))</f>
        <v/>
      </c>
      <c r="BE81" s="286" t="str">
        <f>IF(AG81="","",VLOOKUP(AG81,AH77:AU83,COLUMN()-COLUMN(AR76),FALSE))</f>
        <v/>
      </c>
      <c r="BF81" s="301" t="str">
        <f>IF(AG81="","",VLOOKUP(AG81,AH77:AU83,COLUMN()-COLUMN(AR76),FALSE))</f>
        <v/>
      </c>
    </row>
    <row r="82" spans="1:58" ht="12" thickBot="1" x14ac:dyDescent="0.25">
      <c r="A82" s="249" t="s">
        <v>890</v>
      </c>
      <c r="B82" s="249" t="s">
        <v>12207</v>
      </c>
      <c r="C82" s="249">
        <v>11</v>
      </c>
      <c r="D82" s="249"/>
      <c r="E82" s="343" t="s">
        <v>10447</v>
      </c>
      <c r="F82" s="343" t="s">
        <v>11466</v>
      </c>
      <c r="G82" s="338">
        <v>1</v>
      </c>
      <c r="H82" s="338">
        <v>2</v>
      </c>
      <c r="I82" s="339"/>
      <c r="J82" s="114"/>
      <c r="K82" s="114"/>
      <c r="L82" s="250"/>
      <c r="M82" s="265" t="b">
        <f>NOT(ISERROR(ResultsInd[[#This Row],[Goal-A]]+ResultsInd[[#This Row],[Goal-B]]))</f>
        <v>1</v>
      </c>
      <c r="N82" s="265">
        <f>VALUE(ResultsInd[[#This Row],[Score-A]])</f>
        <v>1</v>
      </c>
      <c r="O82" s="265">
        <f>VALUE(ResultsInd[[#This Row],[Score-B]])</f>
        <v>2</v>
      </c>
      <c r="P82" s="265">
        <f ca="1">IF(AND(ResultsInd[[#This Row],[Category]]&lt;&gt;"",ResultsInd[[#This Row],[Player A]]&lt;&gt;""),COUNTIF(INDIRECT(ResultsInd[[#This Row],[Category]]&amp;"List[Retained Player Name]"),ResultsInd[[#This Row],[Player A]]),"")</f>
        <v>1</v>
      </c>
      <c r="Q82" s="265">
        <f ca="1">IF(AND(ResultsInd[[#This Row],[Category]]&lt;&gt;"",ResultsInd[[#This Row],[Player B]]&lt;&gt;""),COUNTIF(INDIRECT(ResultsInd[[#This Row],[Category]]&amp;"List[Retained Player Name]"),ResultsInd[[#This Row],[Player B]]),"")</f>
        <v>1</v>
      </c>
      <c r="R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OPEN-Jarno Marks</v>
      </c>
      <c r="S82" s="265" t="str">
        <f>IF(ResultsInd[[#This Row],[Score_OK]],IF(ResultsInd[[#This Row],[Stage]]="Groups",ResultsInd[[#This Row],[Category]]&amp;"-"&amp;IF(ResultsInd[[#This Row],[Player B]]="","",IF(ResultsInd[[#This Row],[Score-A]]=ResultsInd[[#This Row],[Score-B]],ResultsInd[[#This Row],[Player A]],"")),""),"")</f>
        <v>OPEN-</v>
      </c>
      <c r="T82" s="265" t="str">
        <f>IF(ResultsInd[[#This Row],[Score_OK]],IF(ResultsInd[[#This Row],[Stage]]="Groups",ResultsInd[[#This Row],[Category]]&amp;"-"&amp;IF(ResultsInd[[#This Row],[Player B]]="","",IF(ResultsInd[[#This Row],[Score-A]]=ResultsInd[[#This Row],[Score-B]],ResultsInd[[#This Row],[Player B]],"")),""),"")</f>
        <v>OPEN-</v>
      </c>
      <c r="U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OPEN-Mario Fleri Soler</v>
      </c>
      <c r="V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OPEN-Mario Fleri Soler</v>
      </c>
      <c r="X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OPEN-Mario Fleri Soler</v>
      </c>
      <c r="Y82" s="264" t="str">
        <f>IF(ResultsInd[[#This Row],[Category]]="","",VLOOKUP(ResultsInd[[#This Row],[Stage]],$P$1:$V$9,MATCH(ResultsInd[[#This Row],[Category]],$Q$1:$V$1,0)+1,FALSE))</f>
        <v>PR1</v>
      </c>
      <c r="Z82" s="264" t="str">
        <f>IF(ResultsInd[[#This Row],[Score_OK]],IF(ResultsInd[[#This Row],[Level]]="R",ResultsInd[[#This Row],[Category]]&amp;"-"&amp;IF(ResultsInd[[#This Row],[LoseInKO]]=ResultsInd[[#This Row],[Category]]&amp;"-"&amp;ResultsInd[[#This Row],[Player A]],ResultsInd[[#This Row],[Player B]],ResultsInd[[#This Row],[Player A]]),""),"")</f>
        <v/>
      </c>
      <c r="AB82" s="8"/>
      <c r="AC82" s="12" t="str">
        <f t="shared" si="63"/>
        <v>OPEN</v>
      </c>
      <c r="AD82" s="309"/>
      <c r="AE82" s="310"/>
      <c r="AF82" s="311"/>
      <c r="AG82" s="292" t="str">
        <f>IF(AP82="","",SMALL(AH77:AH83,ROWS(AG77:AG82)))</f>
        <v/>
      </c>
      <c r="AH82" s="293" t="str">
        <f>IF(AP82="","",RANK(AL82,AL77:AL83)*1000+ROWS(AH77:AH82))</f>
        <v/>
      </c>
      <c r="AI82" s="316" t="str">
        <f t="shared" si="57"/>
        <v/>
      </c>
      <c r="AJ82" s="415" t="b">
        <f>AND(AO82&lt;&gt;"",AO82&gt;0,COUNTIF(AI77:AI83,AI82)&gt;1)</f>
        <v>0</v>
      </c>
      <c r="AK82" s="316" t="str">
        <f t="shared" si="58"/>
        <v/>
      </c>
      <c r="AL82" s="317" t="str">
        <f t="shared" si="59"/>
        <v/>
      </c>
      <c r="AM82" s="415" t="b">
        <f>AND(AO82&lt;&gt;"",AO82&gt;0,COUNTIF(AL77:AL83,AL82)&gt;1)</f>
        <v>0</v>
      </c>
      <c r="AN82" s="306" t="str">
        <f t="shared" si="60"/>
        <v/>
      </c>
      <c r="AO82" s="307" t="str">
        <f t="shared" si="61"/>
        <v/>
      </c>
      <c r="AP82" s="307" t="str">
        <f>IF(OR(AC76="",AD82=""),"",COUNTIF(ResultsInd[Win],AC76&amp;"-"&amp;AD82))</f>
        <v/>
      </c>
      <c r="AQ82" s="307" t="str">
        <f>IF(OR(AC76="",AD82=""),"",COUNTIF(ResultsInd[Draw1],AC76&amp;"-"&amp;AD82)+COUNTIF(ResultsInd[Draw2],AC76&amp;"-"&amp;AD82))</f>
        <v/>
      </c>
      <c r="AR82" s="307" t="str">
        <f>IF(OR(AC76="",AD82=""),"",COUNTIF(ResultsInd[Lose],AC76&amp;"-"&amp;AD82))</f>
        <v/>
      </c>
      <c r="AS82" s="307" t="str">
        <f>IF(OR(AC76="",AD82=""),"",SUMIFS(ResultsInd[Goal-A],ResultsInd[Category],AC76,ResultsInd[Stage],"Groups",ResultsInd[Player A],AD82)+SUMIFS(ResultsInd[Goal-B],ResultsInd[Category],AC76,ResultsInd[Stage],"Groups",ResultsInd[Player B],AD82))</f>
        <v/>
      </c>
      <c r="AT82" s="307" t="str">
        <f>IF(OR(AC76="",AD82=""),"",SUMIFS(ResultsInd[Goal-B],ResultsInd[Category],AC76,ResultsInd[Stage],"Groups",ResultsInd[Player A],AD82)+SUMIFS(ResultsInd[Goal-A],ResultsInd[Category],AC76,ResultsInd[Stage],"Groups",ResultsInd[Player B],AD82))</f>
        <v/>
      </c>
      <c r="AU82" s="308" t="str">
        <f t="shared" si="64"/>
        <v/>
      </c>
      <c r="AV82" s="469" t="str">
        <f>IF(AG82="","",OR(VLOOKUP(AG82,AH77:AU83,3,FALSE),VLOOKUP(AG82,AH77:AU83,6,FALSE)))</f>
        <v/>
      </c>
      <c r="AW82" s="298" t="str">
        <f t="shared" si="62"/>
        <v/>
      </c>
      <c r="AX82" s="285" t="str">
        <f>IF(AG82="","",INDEX(AD77:AD83,MATCH(AG82,AH77:AH83,0)))</f>
        <v/>
      </c>
      <c r="AY82" s="286" t="str">
        <f>IF(AG82="","",VLOOKUP(AG82,AH77:AU83,COLUMN()-COLUMN(AR76),FALSE))</f>
        <v/>
      </c>
      <c r="AZ82" s="286" t="str">
        <f>IF(AG82="","",VLOOKUP(AG82,AH77:AU83,COLUMN()-COLUMN(AR76),FALSE))</f>
        <v/>
      </c>
      <c r="BA82" s="286" t="str">
        <f>IF(AG82="","",VLOOKUP(AG82,AH77:AU83,COLUMN()-COLUMN(AR76),FALSE))</f>
        <v/>
      </c>
      <c r="BB82" s="286" t="str">
        <f>IF(AG82="","",VLOOKUP(AG82,AH77:AU83,COLUMN()-COLUMN(AR76),FALSE))</f>
        <v/>
      </c>
      <c r="BC82" s="286" t="str">
        <f>IF(AG82="","",VLOOKUP(AG82,AH77:AU83,COLUMN()-COLUMN(AR76),FALSE))</f>
        <v/>
      </c>
      <c r="BD82" s="286" t="str">
        <f>IF(AG82="","",VLOOKUP(AG82,AH77:AU83,COLUMN()-COLUMN(AR76),FALSE))</f>
        <v/>
      </c>
      <c r="BE82" s="286" t="str">
        <f>IF(AG82="","",VLOOKUP(AG82,AH77:AU83,COLUMN()-COLUMN(AR76),FALSE))</f>
        <v/>
      </c>
      <c r="BF82" s="301" t="str">
        <f>IF(AG82="","",VLOOKUP(AG82,AH77:AU83,COLUMN()-COLUMN(AR76),FALSE))</f>
        <v/>
      </c>
    </row>
    <row r="83" spans="1:58" ht="12" thickBot="1" x14ac:dyDescent="0.25">
      <c r="A83" s="249" t="s">
        <v>890</v>
      </c>
      <c r="B83" s="249" t="s">
        <v>12207</v>
      </c>
      <c r="C83" s="249">
        <v>11</v>
      </c>
      <c r="D83" s="249"/>
      <c r="E83" s="343" t="s">
        <v>11466</v>
      </c>
      <c r="F83" s="343" t="s">
        <v>10364</v>
      </c>
      <c r="G83" s="338">
        <v>1</v>
      </c>
      <c r="H83" s="338">
        <v>8</v>
      </c>
      <c r="I83" s="339"/>
      <c r="J83" s="114"/>
      <c r="K83" s="114"/>
      <c r="L83" s="250"/>
      <c r="M83" s="265" t="b">
        <f>NOT(ISERROR(ResultsInd[[#This Row],[Goal-A]]+ResultsInd[[#This Row],[Goal-B]]))</f>
        <v>1</v>
      </c>
      <c r="N83" s="265">
        <f>VALUE(ResultsInd[[#This Row],[Score-A]])</f>
        <v>1</v>
      </c>
      <c r="O83" s="265">
        <f>VALUE(ResultsInd[[#This Row],[Score-B]])</f>
        <v>8</v>
      </c>
      <c r="P83" s="265">
        <f ca="1">IF(AND(ResultsInd[[#This Row],[Category]]&lt;&gt;"",ResultsInd[[#This Row],[Player A]]&lt;&gt;""),COUNTIF(INDIRECT(ResultsInd[[#This Row],[Category]]&amp;"List[Retained Player Name]"),ResultsInd[[#This Row],[Player A]]),"")</f>
        <v>1</v>
      </c>
      <c r="Q83" s="265">
        <f ca="1">IF(AND(ResultsInd[[#This Row],[Category]]&lt;&gt;"",ResultsInd[[#This Row],[Player B]]&lt;&gt;""),COUNTIF(INDIRECT(ResultsInd[[#This Row],[Category]]&amp;"List[Retained Player Name]"),ResultsInd[[#This Row],[Player B]]),"")</f>
        <v>1</v>
      </c>
      <c r="R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OPEN-Alessandro Amatelli</v>
      </c>
      <c r="S83" s="265" t="str">
        <f>IF(ResultsInd[[#This Row],[Score_OK]],IF(ResultsInd[[#This Row],[Stage]]="Groups",ResultsInd[[#This Row],[Category]]&amp;"-"&amp;IF(ResultsInd[[#This Row],[Player B]]="","",IF(ResultsInd[[#This Row],[Score-A]]=ResultsInd[[#This Row],[Score-B]],ResultsInd[[#This Row],[Player A]],"")),""),"")</f>
        <v>OPEN-</v>
      </c>
      <c r="T83" s="265" t="str">
        <f>IF(ResultsInd[[#This Row],[Score_OK]],IF(ResultsInd[[#This Row],[Stage]]="Groups",ResultsInd[[#This Row],[Category]]&amp;"-"&amp;IF(ResultsInd[[#This Row],[Player B]]="","",IF(ResultsInd[[#This Row],[Score-A]]=ResultsInd[[#This Row],[Score-B]],ResultsInd[[#This Row],[Player B]],"")),""),"")</f>
        <v>OPEN-</v>
      </c>
      <c r="U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OPEN-Jarno Marks</v>
      </c>
      <c r="V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X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Y83" s="264" t="str">
        <f>IF(ResultsInd[[#This Row],[Category]]="","",VLOOKUP(ResultsInd[[#This Row],[Stage]],$P$1:$V$9,MATCH(ResultsInd[[#This Row],[Category]],$Q$1:$V$1,0)+1,FALSE))</f>
        <v>PR1</v>
      </c>
      <c r="Z83" s="264" t="str">
        <f>IF(ResultsInd[[#This Row],[Score_OK]],IF(ResultsInd[[#This Row],[Level]]="R",ResultsInd[[#This Row],[Category]]&amp;"-"&amp;IF(ResultsInd[[#This Row],[LoseInKO]]=ResultsInd[[#This Row],[Category]]&amp;"-"&amp;ResultsInd[[#This Row],[Player A]],ResultsInd[[#This Row],[Player B]],ResultsInd[[#This Row],[Player A]]),""),"")</f>
        <v/>
      </c>
      <c r="AB83" s="8"/>
      <c r="AC83" s="12" t="str">
        <f t="shared" si="63"/>
        <v>OPEN</v>
      </c>
      <c r="AD83" s="312"/>
      <c r="AE83" s="313"/>
      <c r="AF83" s="314"/>
      <c r="AG83" s="294" t="str">
        <f>IF(AP83="","",SMALL(AH77:AH83,ROWS(AG77:AG83)))</f>
        <v/>
      </c>
      <c r="AH83" s="295" t="str">
        <f>IF(AP83="","",RANK(AL83,AL77:AL83)*1000+ROWS(AH77:AH83))</f>
        <v/>
      </c>
      <c r="AI83" s="318" t="str">
        <f t="shared" si="57"/>
        <v/>
      </c>
      <c r="AJ83" s="416" t="b">
        <f>AND(AO83&lt;&gt;"",AO83&gt;0,COUNTIF(AI77:AI83,AI83)&gt;1)</f>
        <v>0</v>
      </c>
      <c r="AK83" s="318" t="str">
        <f t="shared" si="58"/>
        <v/>
      </c>
      <c r="AL83" s="319" t="str">
        <f t="shared" si="59"/>
        <v/>
      </c>
      <c r="AM83" s="416" t="b">
        <f>AND(AO83&lt;&gt;"",AO83&gt;0,COUNTIF(AL77:AL83,AL83)&gt;1)</f>
        <v>0</v>
      </c>
      <c r="AN83" s="306" t="str">
        <f t="shared" si="60"/>
        <v/>
      </c>
      <c r="AO83" s="307" t="str">
        <f t="shared" si="61"/>
        <v/>
      </c>
      <c r="AP83" s="307" t="str">
        <f>IF(OR(AC76="",AD83=""),"",COUNTIF(ResultsInd[Win],AC76&amp;"-"&amp;AD83))</f>
        <v/>
      </c>
      <c r="AQ83" s="307" t="str">
        <f>IF(OR(AC76="",AD83=""),"",COUNTIF(ResultsInd[Draw1],AC76&amp;"-"&amp;AD83)+COUNTIF(ResultsInd[Draw2],AC76&amp;"-"&amp;AD83))</f>
        <v/>
      </c>
      <c r="AR83" s="307" t="str">
        <f>IF(OR(AC76="",AD83=""),"",COUNTIF(ResultsInd[Lose],AC76&amp;"-"&amp;AD83))</f>
        <v/>
      </c>
      <c r="AS83" s="307" t="str">
        <f>IF(OR(AC76="",AD83=""),"",SUMIFS(ResultsInd[Goal-A],ResultsInd[Category],AC76,ResultsInd[Stage],"Groups",ResultsInd[Player A],AD83)+SUMIFS(ResultsInd[Goal-B],ResultsInd[Category],AC76,ResultsInd[Stage],"Groups",ResultsInd[Player B],AD83))</f>
        <v/>
      </c>
      <c r="AT83" s="307" t="str">
        <f>IF(OR(AC76="",AD83=""),"",SUMIFS(ResultsInd[Goal-B],ResultsInd[Category],AC76,ResultsInd[Stage],"Groups",ResultsInd[Player A],AD83)+SUMIFS(ResultsInd[Goal-A],ResultsInd[Category],AC76,ResultsInd[Stage],"Groups",ResultsInd[Player B],AD83))</f>
        <v/>
      </c>
      <c r="AU83" s="308" t="str">
        <f t="shared" si="64"/>
        <v/>
      </c>
      <c r="AV83" s="469" t="str">
        <f>IF(AG83="","",OR(VLOOKUP(AG83,AH77:AU83,3,FALSE),VLOOKUP(AG83,AH77:AU83,6,FALSE)))</f>
        <v/>
      </c>
      <c r="AW83" s="299" t="str">
        <f t="shared" si="62"/>
        <v/>
      </c>
      <c r="AX83" s="287" t="str">
        <f>IF(AG83="","",INDEX(AD77:AD83,MATCH(AG83,AH77:AH83,0)))</f>
        <v/>
      </c>
      <c r="AY83" s="288" t="str">
        <f>IF(AG83="","",VLOOKUP(AG83,AH77:AU83,COLUMN()-COLUMN(AR76),FALSE))</f>
        <v/>
      </c>
      <c r="AZ83" s="288" t="str">
        <f>IF(AG83="","",VLOOKUP(AG83,AH77:AU83,COLUMN()-COLUMN(AR76),FALSE))</f>
        <v/>
      </c>
      <c r="BA83" s="288" t="str">
        <f>IF(AG83="","",VLOOKUP(AG83,AH77:AU83,COLUMN()-COLUMN(AR76),FALSE))</f>
        <v/>
      </c>
      <c r="BB83" s="288" t="str">
        <f>IF(AG83="","",VLOOKUP(AG83,AH77:AU83,COLUMN()-COLUMN(AR76),FALSE))</f>
        <v/>
      </c>
      <c r="BC83" s="288" t="str">
        <f>IF(AG83="","",VLOOKUP(AG83,AH77:AU83,COLUMN()-COLUMN(AR76),FALSE))</f>
        <v/>
      </c>
      <c r="BD83" s="288" t="str">
        <f>IF(AG83="","",VLOOKUP(AG83,AH77:AU83,COLUMN()-COLUMN(AR76),FALSE))</f>
        <v/>
      </c>
      <c r="BE83" s="288" t="str">
        <f>IF(AG83="","",VLOOKUP(AG83,AH77:AU83,COLUMN()-COLUMN(AR76),FALSE))</f>
        <v/>
      </c>
      <c r="BF83" s="302" t="str">
        <f>IF(AG83="","",VLOOKUP(AG83,AH77:AU83,COLUMN()-COLUMN(AR76),FALSE))</f>
        <v/>
      </c>
    </row>
    <row r="84" spans="1:58" ht="13.5" thickBot="1" x14ac:dyDescent="0.25">
      <c r="A84" s="249" t="s">
        <v>890</v>
      </c>
      <c r="B84" s="249" t="s">
        <v>12207</v>
      </c>
      <c r="C84" s="249">
        <v>11</v>
      </c>
      <c r="D84" s="249"/>
      <c r="E84" s="344" t="s">
        <v>10447</v>
      </c>
      <c r="F84" s="344" t="s">
        <v>8149</v>
      </c>
      <c r="G84" s="254">
        <v>1</v>
      </c>
      <c r="H84" s="254">
        <v>11</v>
      </c>
      <c r="I84" s="339"/>
      <c r="J84" s="114"/>
      <c r="K84" s="114"/>
      <c r="L84" s="247"/>
      <c r="M84" s="265" t="b">
        <f>NOT(ISERROR(ResultsInd[[#This Row],[Goal-A]]+ResultsInd[[#This Row],[Goal-B]]))</f>
        <v>1</v>
      </c>
      <c r="N84" s="265">
        <f>VALUE(ResultsInd[[#This Row],[Score-A]])</f>
        <v>1</v>
      </c>
      <c r="O84" s="265">
        <f>VALUE(ResultsInd[[#This Row],[Score-B]])</f>
        <v>11</v>
      </c>
      <c r="P84" s="265">
        <f ca="1">IF(AND(ResultsInd[[#This Row],[Category]]&lt;&gt;"",ResultsInd[[#This Row],[Player A]]&lt;&gt;""),COUNTIF(INDIRECT(ResultsInd[[#This Row],[Category]]&amp;"List[Retained Player Name]"),ResultsInd[[#This Row],[Player A]]),"")</f>
        <v>1</v>
      </c>
      <c r="Q84" s="265">
        <f ca="1">IF(AND(ResultsInd[[#This Row],[Category]]&lt;&gt;"",ResultsInd[[#This Row],[Player B]]&lt;&gt;""),COUNTIF(INDIRECT(ResultsInd[[#This Row],[Category]]&amp;"List[Retained Player Name]"),ResultsInd[[#This Row],[Player B]]),"")</f>
        <v>1</v>
      </c>
      <c r="R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OPEN-Jann Segers</v>
      </c>
      <c r="S84" s="265" t="str">
        <f>IF(ResultsInd[[#This Row],[Score_OK]],IF(ResultsInd[[#This Row],[Stage]]="Groups",ResultsInd[[#This Row],[Category]]&amp;"-"&amp;IF(ResultsInd[[#This Row],[Player B]]="","",IF(ResultsInd[[#This Row],[Score-A]]=ResultsInd[[#This Row],[Score-B]],ResultsInd[[#This Row],[Player A]],"")),""),"")</f>
        <v>OPEN-</v>
      </c>
      <c r="T84" s="265" t="str">
        <f>IF(ResultsInd[[#This Row],[Score_OK]],IF(ResultsInd[[#This Row],[Stage]]="Groups",ResultsInd[[#This Row],[Category]]&amp;"-"&amp;IF(ResultsInd[[#This Row],[Player B]]="","",IF(ResultsInd[[#This Row],[Score-A]]=ResultsInd[[#This Row],[Score-B]],ResultsInd[[#This Row],[Player B]],"")),""),"")</f>
        <v>OPEN-</v>
      </c>
      <c r="U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OPEN-Mario Fleri Soler</v>
      </c>
      <c r="V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OPEN-Mario Fleri Soler</v>
      </c>
      <c r="X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OPEN-Mario Fleri Soler</v>
      </c>
      <c r="Y84" s="264" t="str">
        <f>IF(ResultsInd[[#This Row],[Category]]="","",VLOOKUP(ResultsInd[[#This Row],[Stage]],$P$1:$V$9,MATCH(ResultsInd[[#This Row],[Category]],$Q$1:$V$1,0)+1,FALSE))</f>
        <v>PR1</v>
      </c>
      <c r="Z84" s="264" t="str">
        <f>IF(ResultsInd[[#This Row],[Score_OK]],IF(ResultsInd[[#This Row],[Level]]="R",ResultsInd[[#This Row],[Category]]&amp;"-"&amp;IF(ResultsInd[[#This Row],[LoseInKO]]=ResultsInd[[#This Row],[Category]]&amp;"-"&amp;ResultsInd[[#This Row],[Player A]],ResultsInd[[#This Row],[Player B]],ResultsInd[[#This Row],[Player A]]),""),"")</f>
        <v/>
      </c>
      <c r="AB84" s="8"/>
      <c r="AC84" s="8"/>
      <c r="AF84" s="170"/>
      <c r="AG84" s="101"/>
      <c r="AH84" s="101"/>
      <c r="AN84" s="170"/>
      <c r="AO84" s="170"/>
      <c r="AP84" s="170"/>
      <c r="AQ84" s="172"/>
      <c r="AR84" s="173"/>
      <c r="AS84" s="173"/>
      <c r="AT84" s="173"/>
      <c r="AU84" s="101"/>
      <c r="AV84" s="101"/>
      <c r="AW84" s="101"/>
      <c r="AX84" s="101"/>
      <c r="AY84" s="101"/>
      <c r="AZ84" s="101"/>
    </row>
    <row r="85" spans="1:58" ht="12" thickBot="1" x14ac:dyDescent="0.25">
      <c r="A85" s="249" t="s">
        <v>890</v>
      </c>
      <c r="B85" s="249" t="s">
        <v>12207</v>
      </c>
      <c r="C85" s="249">
        <v>12</v>
      </c>
      <c r="D85" s="249"/>
      <c r="E85" s="344" t="s">
        <v>8088</v>
      </c>
      <c r="F85" s="344" t="s">
        <v>8194</v>
      </c>
      <c r="G85" s="254">
        <v>2</v>
      </c>
      <c r="H85" s="254">
        <v>2</v>
      </c>
      <c r="I85" s="339"/>
      <c r="J85" s="114"/>
      <c r="K85" s="114"/>
      <c r="L85" s="247"/>
      <c r="M85" s="265" t="b">
        <f>NOT(ISERROR(ResultsInd[[#This Row],[Goal-A]]+ResultsInd[[#This Row],[Goal-B]]))</f>
        <v>1</v>
      </c>
      <c r="N85" s="265">
        <f>VALUE(ResultsInd[[#This Row],[Score-A]])</f>
        <v>2</v>
      </c>
      <c r="O85" s="265">
        <f>VALUE(ResultsInd[[#This Row],[Score-B]])</f>
        <v>2</v>
      </c>
      <c r="P85" s="265">
        <f ca="1">IF(AND(ResultsInd[[#This Row],[Category]]&lt;&gt;"",ResultsInd[[#This Row],[Player A]]&lt;&gt;""),COUNTIF(INDIRECT(ResultsInd[[#This Row],[Category]]&amp;"List[Retained Player Name]"),ResultsInd[[#This Row],[Player A]]),"")</f>
        <v>1</v>
      </c>
      <c r="Q85" s="265">
        <f ca="1">IF(AND(ResultsInd[[#This Row],[Category]]&lt;&gt;"",ResultsInd[[#This Row],[Player B]]&lt;&gt;""),COUNTIF(INDIRECT(ResultsInd[[#This Row],[Category]]&amp;"List[Retained Player Name]"),ResultsInd[[#This Row],[Player B]]),"")</f>
        <v>1</v>
      </c>
      <c r="R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85" s="265" t="str">
        <f>IF(ResultsInd[[#This Row],[Score_OK]],IF(ResultsInd[[#This Row],[Stage]]="Groups",ResultsInd[[#This Row],[Category]]&amp;"-"&amp;IF(ResultsInd[[#This Row],[Player B]]="","",IF(ResultsInd[[#This Row],[Score-A]]=ResultsInd[[#This Row],[Score-B]],ResultsInd[[#This Row],[Player A]],"")),""),"")</f>
        <v>OPEN-Steffen Despretz</v>
      </c>
      <c r="T85" s="265" t="str">
        <f>IF(ResultsInd[[#This Row],[Score_OK]],IF(ResultsInd[[#This Row],[Stage]]="Groups",ResultsInd[[#This Row],[Category]]&amp;"-"&amp;IF(ResultsInd[[#This Row],[Player B]]="","",IF(ResultsInd[[#This Row],[Score-A]]=ResultsInd[[#This Row],[Score-B]],ResultsInd[[#This Row],[Player B]],"")),""),"")</f>
        <v>OPEN-Noah Janssens</v>
      </c>
      <c r="U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OPEN-Steffen Despretz</v>
      </c>
      <c r="X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OPEN-Noah Janssens</v>
      </c>
      <c r="Y85" s="264" t="str">
        <f>IF(ResultsInd[[#This Row],[Category]]="","",VLOOKUP(ResultsInd[[#This Row],[Stage]],$P$1:$V$9,MATCH(ResultsInd[[#This Row],[Category]],$Q$1:$V$1,0)+1,FALSE))</f>
        <v>PR1</v>
      </c>
      <c r="Z85" s="264" t="str">
        <f>IF(ResultsInd[[#This Row],[Score_OK]],IF(ResultsInd[[#This Row],[Level]]="R",ResultsInd[[#This Row],[Category]]&amp;"-"&amp;IF(ResultsInd[[#This Row],[LoseInKO]]=ResultsInd[[#This Row],[Category]]&amp;"-"&amp;ResultsInd[[#This Row],[Player A]],ResultsInd[[#This Row],[Player B]],ResultsInd[[#This Row],[Player A]]),""),"")</f>
        <v/>
      </c>
      <c r="AB85" s="281">
        <v>8</v>
      </c>
      <c r="AC85" s="315" t="s">
        <v>890</v>
      </c>
      <c r="AD85" s="289" t="s">
        <v>14439</v>
      </c>
      <c r="AE85" s="290" t="s">
        <v>12279</v>
      </c>
      <c r="AF85" s="284" t="s">
        <v>12275</v>
      </c>
      <c r="AG85" s="296" t="s">
        <v>12276</v>
      </c>
      <c r="AH85" s="291" t="s">
        <v>12271</v>
      </c>
      <c r="AI85" s="291" t="s">
        <v>12272</v>
      </c>
      <c r="AJ85" s="414" t="s">
        <v>13154</v>
      </c>
      <c r="AK85" s="291" t="s">
        <v>12273</v>
      </c>
      <c r="AL85" s="297" t="s">
        <v>12274</v>
      </c>
      <c r="AM85" s="414" t="s">
        <v>13154</v>
      </c>
      <c r="AN85" s="303" t="s">
        <v>12199</v>
      </c>
      <c r="AO85" s="304" t="s">
        <v>12200</v>
      </c>
      <c r="AP85" s="304" t="s">
        <v>12201</v>
      </c>
      <c r="AQ85" s="304" t="s">
        <v>12202</v>
      </c>
      <c r="AR85" s="304" t="s">
        <v>12203</v>
      </c>
      <c r="AS85" s="304" t="s">
        <v>12204</v>
      </c>
      <c r="AT85" s="304" t="s">
        <v>12205</v>
      </c>
      <c r="AU85" s="305" t="s">
        <v>12206</v>
      </c>
      <c r="AV85" s="468"/>
      <c r="AW85" s="282" t="s">
        <v>12276</v>
      </c>
      <c r="AX85" s="282" t="s">
        <v>12280</v>
      </c>
      <c r="AY85" s="283" t="s">
        <v>12199</v>
      </c>
      <c r="AZ85" s="283" t="s">
        <v>12200</v>
      </c>
      <c r="BA85" s="283" t="s">
        <v>12201</v>
      </c>
      <c r="BB85" s="283" t="s">
        <v>12202</v>
      </c>
      <c r="BC85" s="283" t="s">
        <v>12203</v>
      </c>
      <c r="BD85" s="283" t="s">
        <v>12204</v>
      </c>
      <c r="BE85" s="283" t="s">
        <v>12205</v>
      </c>
      <c r="BF85" s="300" t="s">
        <v>12206</v>
      </c>
    </row>
    <row r="86" spans="1:58" ht="12" thickBot="1" x14ac:dyDescent="0.25">
      <c r="A86" s="249" t="s">
        <v>890</v>
      </c>
      <c r="B86" s="249" t="s">
        <v>12207</v>
      </c>
      <c r="C86" s="62">
        <v>12</v>
      </c>
      <c r="D86" s="62"/>
      <c r="E86" s="345" t="s">
        <v>10216</v>
      </c>
      <c r="F86" s="345" t="s">
        <v>10881</v>
      </c>
      <c r="G86" s="113">
        <v>5</v>
      </c>
      <c r="H86" s="113">
        <v>2</v>
      </c>
      <c r="I86" s="114"/>
      <c r="J86" s="114"/>
      <c r="K86" s="114"/>
      <c r="L86" s="81"/>
      <c r="M86" s="265" t="b">
        <f>NOT(ISERROR(ResultsInd[[#This Row],[Goal-A]]+ResultsInd[[#This Row],[Goal-B]]))</f>
        <v>1</v>
      </c>
      <c r="N86" s="265">
        <f>VALUE(ResultsInd[[#This Row],[Score-A]])</f>
        <v>5</v>
      </c>
      <c r="O86" s="265">
        <f>VALUE(ResultsInd[[#This Row],[Score-B]])</f>
        <v>2</v>
      </c>
      <c r="P86" s="265">
        <f ca="1">IF(AND(ResultsInd[[#This Row],[Category]]&lt;&gt;"",ResultsInd[[#This Row],[Player A]]&lt;&gt;""),COUNTIF(INDIRECT(ResultsInd[[#This Row],[Category]]&amp;"List[Retained Player Name]"),ResultsInd[[#This Row],[Player A]]),"")</f>
        <v>1</v>
      </c>
      <c r="Q86" s="265">
        <f ca="1">IF(AND(ResultsInd[[#This Row],[Category]]&lt;&gt;"",ResultsInd[[#This Row],[Player B]]&lt;&gt;""),COUNTIF(INDIRECT(ResultsInd[[#This Row],[Category]]&amp;"List[Retained Player Name]"),ResultsInd[[#This Row],[Player B]]),"")</f>
        <v>1</v>
      </c>
      <c r="R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OPEN-Fabrizio Cavazza</v>
      </c>
      <c r="S86" s="265" t="str">
        <f>IF(ResultsInd[[#This Row],[Score_OK]],IF(ResultsInd[[#This Row],[Stage]]="Groups",ResultsInd[[#This Row],[Category]]&amp;"-"&amp;IF(ResultsInd[[#This Row],[Player B]]="","",IF(ResultsInd[[#This Row],[Score-A]]=ResultsInd[[#This Row],[Score-B]],ResultsInd[[#This Row],[Player A]],"")),""),"")</f>
        <v>OPEN-</v>
      </c>
      <c r="T86" s="265" t="str">
        <f>IF(ResultsInd[[#This Row],[Score_OK]],IF(ResultsInd[[#This Row],[Stage]]="Groups",ResultsInd[[#This Row],[Category]]&amp;"-"&amp;IF(ResultsInd[[#This Row],[Player B]]="","",IF(ResultsInd[[#This Row],[Score-A]]=ResultsInd[[#This Row],[Score-B]],ResultsInd[[#This Row],[Player B]],"")),""),"")</f>
        <v>OPEN-</v>
      </c>
      <c r="U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OPEN-John Lauder</v>
      </c>
      <c r="V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OPEN-John Lauder</v>
      </c>
      <c r="X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OPEN-John Lauder</v>
      </c>
      <c r="Y86" s="264" t="str">
        <f>IF(ResultsInd[[#This Row],[Category]]="","",VLOOKUP(ResultsInd[[#This Row],[Stage]],$P$1:$V$9,MATCH(ResultsInd[[#This Row],[Category]],$Q$1:$V$1,0)+1,FALSE))</f>
        <v>PR1</v>
      </c>
      <c r="Z86" s="264" t="str">
        <f>IF(ResultsInd[[#This Row],[Score_OK]],IF(ResultsInd[[#This Row],[Level]]="R",ResultsInd[[#This Row],[Category]]&amp;"-"&amp;IF(ResultsInd[[#This Row],[LoseInKO]]=ResultsInd[[#This Row],[Category]]&amp;"-"&amp;ResultsInd[[#This Row],[Player A]],ResultsInd[[#This Row],[Player B]],ResultsInd[[#This Row],[Player A]]),""),"")</f>
        <v/>
      </c>
      <c r="AB86" s="8"/>
      <c r="AC86" s="12" t="str">
        <f>IF(AC85="","",AC85)</f>
        <v>OPEN</v>
      </c>
      <c r="AD86" s="309" t="s">
        <v>10436</v>
      </c>
      <c r="AE86" s="320"/>
      <c r="AF86" s="311"/>
      <c r="AG86" s="292">
        <f>IF(AP86="","",SMALL(AH86:AH92,ROWS(AG86:AG86)))</f>
        <v>1001</v>
      </c>
      <c r="AH86" s="293">
        <f>IF(AP86="","",RANK(AL86,AL86:AL92)*1000+ROWS(AH86:AH86))</f>
        <v>1001</v>
      </c>
      <c r="AI86" s="316">
        <f t="shared" ref="AI86:AI92" si="65">IF(AP86="","",CritClassInd1_Points*AN86+CritClassInd1_Matches*AP86+CritClassInd1_Attaque*AS86+CritClassInd1_DiffButs*AU86)</f>
        <v>9000000000000</v>
      </c>
      <c r="AJ86" s="415" t="b">
        <f>AND(AO86&lt;&gt;"",AO86&gt;0,COUNTIF(AI86:AI92,AI86)&gt;1)</f>
        <v>0</v>
      </c>
      <c r="AK86" s="316">
        <f t="shared" ref="AK86:AK92" si="66">IF(AP86="","",CritClassInd_ScorePart*AE86)</f>
        <v>0</v>
      </c>
      <c r="AL86" s="317">
        <f t="shared" ref="AL86:AL92" si="67">IF(AP86="","",AI86+AK86+CritClassInd2_Points*AN86+CritClassInd2_Matches*AP86+CritClassInd2_Attaque*AS86+CritClassInd2_DiffButs*AU86+AF86)</f>
        <v>9000000141400</v>
      </c>
      <c r="AM86" s="415" t="b">
        <f>AND(AO86&lt;&gt;"",AO86&gt;0,COUNTIF(AL86:AL92,AL86)&gt;1)</f>
        <v>0</v>
      </c>
      <c r="AN86" s="306">
        <f t="shared" ref="AN86:AN92" si="68">IF(AP86="","",(AP86*Points_Victoire)+AQ86*Points_Null)</f>
        <v>9</v>
      </c>
      <c r="AO86" s="307">
        <f t="shared" ref="AO86:AO92" si="69">IF(AP86="","",SUM(AP86:AR86))</f>
        <v>3</v>
      </c>
      <c r="AP86" s="307">
        <f>IF(OR(AC85="",AD86=""),"",COUNTIF(ResultsInd[Win],AC85&amp;"-"&amp;AD86))</f>
        <v>3</v>
      </c>
      <c r="AQ86" s="307">
        <f>IF(OR(AC85="",AD86=""),"",COUNTIF(ResultsInd[Draw1],AC85&amp;"-"&amp;AD86)+COUNTIF(ResultsInd[Draw2],AC85&amp;"-"&amp;AD86))</f>
        <v>0</v>
      </c>
      <c r="AR86" s="307">
        <f>IF(OR(AC85="",AD86=""),"",COUNTIF(ResultsInd[Lose],AC85&amp;"-"&amp;AD86))</f>
        <v>0</v>
      </c>
      <c r="AS86" s="307">
        <f>IF(OR(AC85="",AD86=""),"",SUMIFS(ResultsInd[Goal-A],ResultsInd[Category],AC85,ResultsInd[Stage],"Groups",ResultsInd[Player A],AD86)+SUMIFS(ResultsInd[Goal-B],ResultsInd[Category],AC85,ResultsInd[Stage],"Groups",ResultsInd[Player B],AD86))</f>
        <v>14</v>
      </c>
      <c r="AT86" s="307">
        <f>IF(OR(AC85="",AD86=""),"",SUMIFS(ResultsInd[Goal-B],ResultsInd[Category],AC85,ResultsInd[Stage],"Groups",ResultsInd[Player A],AD86)+SUMIFS(ResultsInd[Goal-A],ResultsInd[Category],AC85,ResultsInd[Stage],"Groups",ResultsInd[Player B],AD86))</f>
        <v>0</v>
      </c>
      <c r="AU86" s="308">
        <f>IF(AP86="","",AS86-AT86)</f>
        <v>14</v>
      </c>
      <c r="AV86" s="469" t="b">
        <f>IF(AG86="","",OR(VLOOKUP(AG86,AH86:AU92,3,FALSE),VLOOKUP(AG86,AH86:AU92,6,FALSE)))</f>
        <v>0</v>
      </c>
      <c r="AW86" s="298">
        <f t="shared" ref="AW86:AW92" si="70">IF(AG86="","",INT(AG86/1000))</f>
        <v>1</v>
      </c>
      <c r="AX86" s="285" t="str">
        <f>IF(AG86="","",INDEX(AD86:AD92,MATCH(AG86,AH86:AH92,0)))</f>
        <v>Jurgen Balzan</v>
      </c>
      <c r="AY86" s="286">
        <f>IF(AG86="","",VLOOKUP(AG86,AH86:AU92,COLUMN()-COLUMN(AR85),FALSE))</f>
        <v>9</v>
      </c>
      <c r="AZ86" s="286">
        <f>IF(AG86="","",VLOOKUP(AG86,AH86:AU92,COLUMN()-COLUMN(AR85),FALSE))</f>
        <v>3</v>
      </c>
      <c r="BA86" s="286">
        <f>IF(AG86="","",VLOOKUP(AG86,AH86:AU92,COLUMN()-COLUMN(AR85),FALSE))</f>
        <v>3</v>
      </c>
      <c r="BB86" s="286">
        <f>IF(AG86="","",VLOOKUP(AG86,AH86:AU92,COLUMN()-COLUMN(AR85),FALSE))</f>
        <v>0</v>
      </c>
      <c r="BC86" s="286">
        <f>IF(AG86="","",VLOOKUP(AG86,AH86:AU92,COLUMN()-COLUMN(AR85),FALSE))</f>
        <v>0</v>
      </c>
      <c r="BD86" s="286">
        <f>IF(AG86="","",VLOOKUP(AG86,AH86:AU92,COLUMN()-COLUMN(AR85),FALSE))</f>
        <v>14</v>
      </c>
      <c r="BE86" s="286">
        <f>IF(AG86="","",VLOOKUP(AG86,AH86:AU92,COLUMN()-COLUMN(AR85),FALSE))</f>
        <v>0</v>
      </c>
      <c r="BF86" s="301">
        <f>IF(AG86="","",VLOOKUP(AG86,AH86:AU92,COLUMN()-COLUMN(AR85),FALSE))</f>
        <v>14</v>
      </c>
    </row>
    <row r="87" spans="1:58" ht="12" thickBot="1" x14ac:dyDescent="0.25">
      <c r="A87" s="249" t="s">
        <v>890</v>
      </c>
      <c r="B87" s="249" t="s">
        <v>12207</v>
      </c>
      <c r="C87" s="62">
        <v>12</v>
      </c>
      <c r="D87" s="62"/>
      <c r="E87" s="345" t="s">
        <v>8088</v>
      </c>
      <c r="F87" s="345" t="s">
        <v>10216</v>
      </c>
      <c r="G87" s="113">
        <v>3</v>
      </c>
      <c r="H87" s="113">
        <v>1</v>
      </c>
      <c r="I87" s="114"/>
      <c r="J87" s="114"/>
      <c r="K87" s="114"/>
      <c r="L87" s="81"/>
      <c r="M87" s="265" t="b">
        <f>NOT(ISERROR(ResultsInd[[#This Row],[Goal-A]]+ResultsInd[[#This Row],[Goal-B]]))</f>
        <v>1</v>
      </c>
      <c r="N87" s="265">
        <f>VALUE(ResultsInd[[#This Row],[Score-A]])</f>
        <v>3</v>
      </c>
      <c r="O87" s="265">
        <f>VALUE(ResultsInd[[#This Row],[Score-B]])</f>
        <v>1</v>
      </c>
      <c r="P87" s="265">
        <f ca="1">IF(AND(ResultsInd[[#This Row],[Category]]&lt;&gt;"",ResultsInd[[#This Row],[Player A]]&lt;&gt;""),COUNTIF(INDIRECT(ResultsInd[[#This Row],[Category]]&amp;"List[Retained Player Name]"),ResultsInd[[#This Row],[Player A]]),"")</f>
        <v>1</v>
      </c>
      <c r="Q87" s="265">
        <f ca="1">IF(AND(ResultsInd[[#This Row],[Category]]&lt;&gt;"",ResultsInd[[#This Row],[Player B]]&lt;&gt;""),COUNTIF(INDIRECT(ResultsInd[[#This Row],[Category]]&amp;"List[Retained Player Name]"),ResultsInd[[#This Row],[Player B]]),"")</f>
        <v>1</v>
      </c>
      <c r="R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OPEN-Steffen Despretz</v>
      </c>
      <c r="S87" s="265" t="str">
        <f>IF(ResultsInd[[#This Row],[Score_OK]],IF(ResultsInd[[#This Row],[Stage]]="Groups",ResultsInd[[#This Row],[Category]]&amp;"-"&amp;IF(ResultsInd[[#This Row],[Player B]]="","",IF(ResultsInd[[#This Row],[Score-A]]=ResultsInd[[#This Row],[Score-B]],ResultsInd[[#This Row],[Player A]],"")),""),"")</f>
        <v>OPEN-</v>
      </c>
      <c r="T87" s="265" t="str">
        <f>IF(ResultsInd[[#This Row],[Score_OK]],IF(ResultsInd[[#This Row],[Stage]]="Groups",ResultsInd[[#This Row],[Category]]&amp;"-"&amp;IF(ResultsInd[[#This Row],[Player B]]="","",IF(ResultsInd[[#This Row],[Score-A]]=ResultsInd[[#This Row],[Score-B]],ResultsInd[[#This Row],[Player B]],"")),""),"")</f>
        <v>OPEN-</v>
      </c>
      <c r="U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OPEN-Fabrizio Cavazza</v>
      </c>
      <c r="V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OPEN-Fabrizio Cavazza</v>
      </c>
      <c r="X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OPEN-Fabrizio Cavazza</v>
      </c>
      <c r="Y87" s="264" t="str">
        <f>IF(ResultsInd[[#This Row],[Category]]="","",VLOOKUP(ResultsInd[[#This Row],[Stage]],$P$1:$V$9,MATCH(ResultsInd[[#This Row],[Category]],$Q$1:$V$1,0)+1,FALSE))</f>
        <v>PR1</v>
      </c>
      <c r="Z87" s="264" t="str">
        <f>IF(ResultsInd[[#This Row],[Score_OK]],IF(ResultsInd[[#This Row],[Level]]="R",ResultsInd[[#This Row],[Category]]&amp;"-"&amp;IF(ResultsInd[[#This Row],[LoseInKO]]=ResultsInd[[#This Row],[Category]]&amp;"-"&amp;ResultsInd[[#This Row],[Player A]],ResultsInd[[#This Row],[Player B]],ResultsInd[[#This Row],[Player A]]),""),"")</f>
        <v/>
      </c>
      <c r="AB87" s="8"/>
      <c r="AC87" s="12" t="str">
        <f t="shared" ref="AC87:AC92" si="71">IF(AC86="","",AC86)</f>
        <v>OPEN</v>
      </c>
      <c r="AD87" s="309" t="s">
        <v>8178</v>
      </c>
      <c r="AE87" s="320"/>
      <c r="AF87" s="311"/>
      <c r="AG87" s="292">
        <f>IF(AP87="","",SMALL(AH86:AH92,ROWS(AG86:AG87)))</f>
        <v>2003</v>
      </c>
      <c r="AH87" s="293">
        <f>IF(AP87="","",RANK(AL87,AL86:AL92)*1000+ROWS(AH86:AH87))</f>
        <v>4002</v>
      </c>
      <c r="AI87" s="316">
        <f t="shared" si="65"/>
        <v>0</v>
      </c>
      <c r="AJ87" s="415" t="b">
        <f>AND(AO87&lt;&gt;"",AO87&gt;0,COUNTIF(AI86:AI92,AI87)&gt;1)</f>
        <v>0</v>
      </c>
      <c r="AK87" s="316">
        <f t="shared" si="66"/>
        <v>0</v>
      </c>
      <c r="AL87" s="317">
        <f t="shared" si="67"/>
        <v>-119900</v>
      </c>
      <c r="AM87" s="415" t="b">
        <f>AND(AO87&lt;&gt;"",AO87&gt;0,COUNTIF(AL86:AL92,AL87)&gt;1)</f>
        <v>0</v>
      </c>
      <c r="AN87" s="306">
        <f t="shared" si="68"/>
        <v>0</v>
      </c>
      <c r="AO87" s="307">
        <f t="shared" si="69"/>
        <v>3</v>
      </c>
      <c r="AP87" s="307">
        <f>IF(OR(AC85="",AD87=""),"",COUNTIF(ResultsInd[Win],AC85&amp;"-"&amp;AD87))</f>
        <v>0</v>
      </c>
      <c r="AQ87" s="307">
        <f>IF(OR(AC85="",AD87=""),"",COUNTIF(ResultsInd[Draw1],AC85&amp;"-"&amp;AD87)+COUNTIF(ResultsInd[Draw2],AC85&amp;"-"&amp;AD87))</f>
        <v>0</v>
      </c>
      <c r="AR87" s="307">
        <f>IF(OR(AC85="",AD87=""),"",COUNTIF(ResultsInd[Lose],AC85&amp;"-"&amp;AD87))</f>
        <v>3</v>
      </c>
      <c r="AS87" s="307">
        <f>IF(OR(AC85="",AD87=""),"",SUMIFS(ResultsInd[Goal-A],ResultsInd[Category],AC85,ResultsInd[Stage],"Groups",ResultsInd[Player A],AD87)+SUMIFS(ResultsInd[Goal-B],ResultsInd[Category],AC85,ResultsInd[Stage],"Groups",ResultsInd[Player B],AD87))</f>
        <v>1</v>
      </c>
      <c r="AT87" s="307">
        <f>IF(OR(AC85="",AD87=""),"",SUMIFS(ResultsInd[Goal-B],ResultsInd[Category],AC85,ResultsInd[Stage],"Groups",ResultsInd[Player A],AD87)+SUMIFS(ResultsInd[Goal-A],ResultsInd[Category],AC85,ResultsInd[Stage],"Groups",ResultsInd[Player B],AD87))</f>
        <v>13</v>
      </c>
      <c r="AU87" s="308">
        <f t="shared" ref="AU87:AU92" si="72">IF(AP87="","",AS87-AT87)</f>
        <v>-12</v>
      </c>
      <c r="AV87" s="469" t="b">
        <f>IF(AG87="","",OR(VLOOKUP(AG87,AH86:AU92,3,FALSE),VLOOKUP(AG87,AH86:AU92,6,FALSE)))</f>
        <v>0</v>
      </c>
      <c r="AW87" s="298">
        <f t="shared" si="70"/>
        <v>2</v>
      </c>
      <c r="AX87" s="285" t="str">
        <f>IF(AG87="","",INDEX(AD86:AD92,MATCH(AG87,AH86:AH92,0)))</f>
        <v>Robert Lenz</v>
      </c>
      <c r="AY87" s="286">
        <f>IF(AG87="","",VLOOKUP(AG87,AH86:AU92,COLUMN()-COLUMN(AR85),FALSE))</f>
        <v>6</v>
      </c>
      <c r="AZ87" s="286">
        <f>IF(AG87="","",VLOOKUP(AG87,AH86:AU92,COLUMN()-COLUMN(AR85),FALSE))</f>
        <v>3</v>
      </c>
      <c r="BA87" s="286">
        <f>IF(AG87="","",VLOOKUP(AG87,AH86:AU92,COLUMN()-COLUMN(AR85),FALSE))</f>
        <v>2</v>
      </c>
      <c r="BB87" s="286">
        <f>IF(AG87="","",VLOOKUP(AG87,AH86:AU92,COLUMN()-COLUMN(AR85),FALSE))</f>
        <v>0</v>
      </c>
      <c r="BC87" s="286">
        <f>IF(AG87="","",VLOOKUP(AG87,AH86:AU92,COLUMN()-COLUMN(AR85),FALSE))</f>
        <v>1</v>
      </c>
      <c r="BD87" s="286">
        <f>IF(AG87="","",VLOOKUP(AG87,AH86:AU92,COLUMN()-COLUMN(AR85),FALSE))</f>
        <v>4</v>
      </c>
      <c r="BE87" s="286">
        <f>IF(AG87="","",VLOOKUP(AG87,AH86:AU92,COLUMN()-COLUMN(AR85),FALSE))</f>
        <v>3</v>
      </c>
      <c r="BF87" s="301">
        <f>IF(AG87="","",VLOOKUP(AG87,AH86:AU92,COLUMN()-COLUMN(AR85),FALSE))</f>
        <v>1</v>
      </c>
    </row>
    <row r="88" spans="1:58" ht="12" thickBot="1" x14ac:dyDescent="0.25">
      <c r="A88" s="249" t="s">
        <v>890</v>
      </c>
      <c r="B88" s="249" t="s">
        <v>12207</v>
      </c>
      <c r="C88" s="62">
        <v>12</v>
      </c>
      <c r="D88" s="62"/>
      <c r="E88" s="345" t="s">
        <v>8194</v>
      </c>
      <c r="F88" s="345" t="s">
        <v>10881</v>
      </c>
      <c r="G88" s="113">
        <v>9</v>
      </c>
      <c r="H88" s="113">
        <v>0</v>
      </c>
      <c r="I88" s="114"/>
      <c r="J88" s="114"/>
      <c r="K88" s="114"/>
      <c r="L88" s="81"/>
      <c r="M88" s="265" t="b">
        <f>NOT(ISERROR(ResultsInd[[#This Row],[Goal-A]]+ResultsInd[[#This Row],[Goal-B]]))</f>
        <v>1</v>
      </c>
      <c r="N88" s="265">
        <f>VALUE(ResultsInd[[#This Row],[Score-A]])</f>
        <v>9</v>
      </c>
      <c r="O88" s="265">
        <f>VALUE(ResultsInd[[#This Row],[Score-B]])</f>
        <v>0</v>
      </c>
      <c r="P88" s="265">
        <f ca="1">IF(AND(ResultsInd[[#This Row],[Category]]&lt;&gt;"",ResultsInd[[#This Row],[Player A]]&lt;&gt;""),COUNTIF(INDIRECT(ResultsInd[[#This Row],[Category]]&amp;"List[Retained Player Name]"),ResultsInd[[#This Row],[Player A]]),"")</f>
        <v>1</v>
      </c>
      <c r="Q88" s="265">
        <f ca="1">IF(AND(ResultsInd[[#This Row],[Category]]&lt;&gt;"",ResultsInd[[#This Row],[Player B]]&lt;&gt;""),COUNTIF(INDIRECT(ResultsInd[[#This Row],[Category]]&amp;"List[Retained Player Name]"),ResultsInd[[#This Row],[Player B]]),"")</f>
        <v>1</v>
      </c>
      <c r="R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OPEN-Noah Janssens</v>
      </c>
      <c r="S88" s="265" t="str">
        <f>IF(ResultsInd[[#This Row],[Score_OK]],IF(ResultsInd[[#This Row],[Stage]]="Groups",ResultsInd[[#This Row],[Category]]&amp;"-"&amp;IF(ResultsInd[[#This Row],[Player B]]="","",IF(ResultsInd[[#This Row],[Score-A]]=ResultsInd[[#This Row],[Score-B]],ResultsInd[[#This Row],[Player A]],"")),""),"")</f>
        <v>OPEN-</v>
      </c>
      <c r="T88" s="265" t="str">
        <f>IF(ResultsInd[[#This Row],[Score_OK]],IF(ResultsInd[[#This Row],[Stage]]="Groups",ResultsInd[[#This Row],[Category]]&amp;"-"&amp;IF(ResultsInd[[#This Row],[Player B]]="","",IF(ResultsInd[[#This Row],[Score-A]]=ResultsInd[[#This Row],[Score-B]],ResultsInd[[#This Row],[Player B]],"")),""),"")</f>
        <v>OPEN-</v>
      </c>
      <c r="U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OPEN-John Lauder</v>
      </c>
      <c r="V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OPEN-John Lauder</v>
      </c>
      <c r="X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OPEN-John Lauder</v>
      </c>
      <c r="Y88" s="264" t="str">
        <f>IF(ResultsInd[[#This Row],[Category]]="","",VLOOKUP(ResultsInd[[#This Row],[Stage]],$P$1:$V$9,MATCH(ResultsInd[[#This Row],[Category]],$Q$1:$V$1,0)+1,FALSE))</f>
        <v>PR1</v>
      </c>
      <c r="Z88" s="264" t="str">
        <f>IF(ResultsInd[[#This Row],[Score_OK]],IF(ResultsInd[[#This Row],[Level]]="R",ResultsInd[[#This Row],[Category]]&amp;"-"&amp;IF(ResultsInd[[#This Row],[LoseInKO]]=ResultsInd[[#This Row],[Category]]&amp;"-"&amp;ResultsInd[[#This Row],[Player A]],ResultsInd[[#This Row],[Player B]],ResultsInd[[#This Row],[Player A]]),""),"")</f>
        <v/>
      </c>
      <c r="AB88" s="8"/>
      <c r="AC88" s="12" t="str">
        <f t="shared" si="71"/>
        <v>OPEN</v>
      </c>
      <c r="AD88" s="309" t="s">
        <v>8037</v>
      </c>
      <c r="AE88" s="320"/>
      <c r="AF88" s="311"/>
      <c r="AG88" s="292">
        <f>IF(AP88="","",SMALL(AH86:AH92,ROWS(AG86:AG88)))</f>
        <v>3004</v>
      </c>
      <c r="AH88" s="293">
        <f>IF(AP88="","",RANK(AL88,AL86:AL92)*1000+ROWS(AH86:AH88))</f>
        <v>2003</v>
      </c>
      <c r="AI88" s="316">
        <f t="shared" si="65"/>
        <v>6000000000000</v>
      </c>
      <c r="AJ88" s="415" t="b">
        <f>AND(AO88&lt;&gt;"",AO88&gt;0,COUNTIF(AI86:AI92,AI88)&gt;1)</f>
        <v>0</v>
      </c>
      <c r="AK88" s="316">
        <f t="shared" si="66"/>
        <v>0</v>
      </c>
      <c r="AL88" s="317">
        <f t="shared" si="67"/>
        <v>6000000010400</v>
      </c>
      <c r="AM88" s="415" t="b">
        <f>AND(AO88&lt;&gt;"",AO88&gt;0,COUNTIF(AL86:AL92,AL88)&gt;1)</f>
        <v>0</v>
      </c>
      <c r="AN88" s="306">
        <f t="shared" si="68"/>
        <v>6</v>
      </c>
      <c r="AO88" s="307">
        <f t="shared" si="69"/>
        <v>3</v>
      </c>
      <c r="AP88" s="307">
        <f>IF(OR(AC85="",AD88=""),"",COUNTIF(ResultsInd[Win],AC85&amp;"-"&amp;AD88))</f>
        <v>2</v>
      </c>
      <c r="AQ88" s="307">
        <f>IF(OR(AC85="",AD88=""),"",COUNTIF(ResultsInd[Draw1],AC85&amp;"-"&amp;AD88)+COUNTIF(ResultsInd[Draw2],AC85&amp;"-"&amp;AD88))</f>
        <v>0</v>
      </c>
      <c r="AR88" s="307">
        <f>IF(OR(AC85="",AD88=""),"",COUNTIF(ResultsInd[Lose],AC85&amp;"-"&amp;AD88))</f>
        <v>1</v>
      </c>
      <c r="AS88" s="307">
        <f>IF(OR(AC85="",AD88=""),"",SUMIFS(ResultsInd[Goal-A],ResultsInd[Category],AC85,ResultsInd[Stage],"Groups",ResultsInd[Player A],AD88)+SUMIFS(ResultsInd[Goal-B],ResultsInd[Category],AC85,ResultsInd[Stage],"Groups",ResultsInd[Player B],AD88))</f>
        <v>4</v>
      </c>
      <c r="AT88" s="307">
        <f>IF(OR(AC85="",AD88=""),"",SUMIFS(ResultsInd[Goal-B],ResultsInd[Category],AC85,ResultsInd[Stage],"Groups",ResultsInd[Player A],AD88)+SUMIFS(ResultsInd[Goal-A],ResultsInd[Category],AC85,ResultsInd[Stage],"Groups",ResultsInd[Player B],AD88))</f>
        <v>3</v>
      </c>
      <c r="AU88" s="308">
        <f t="shared" si="72"/>
        <v>1</v>
      </c>
      <c r="AV88" s="469" t="b">
        <f>IF(AG88="","",OR(VLOOKUP(AG88,AH86:AU92,3,FALSE),VLOOKUP(AG88,AH86:AU92,6,FALSE)))</f>
        <v>0</v>
      </c>
      <c r="AW88" s="298">
        <f t="shared" si="70"/>
        <v>3</v>
      </c>
      <c r="AX88" s="285" t="str">
        <f>IF(AG88="","",INDEX(AD86:AD92,MATCH(AG88,AH86:AH92,0)))</f>
        <v>Thierry Vivron</v>
      </c>
      <c r="AY88" s="286">
        <f>IF(AG88="","",VLOOKUP(AG88,AH86:AU92,COLUMN()-COLUMN(AR85),FALSE))</f>
        <v>3</v>
      </c>
      <c r="AZ88" s="286">
        <f>IF(AG88="","",VLOOKUP(AG88,AH86:AU92,COLUMN()-COLUMN(AR85),FALSE))</f>
        <v>3</v>
      </c>
      <c r="BA88" s="286">
        <f>IF(AG88="","",VLOOKUP(AG88,AH86:AU92,COLUMN()-COLUMN(AR85),FALSE))</f>
        <v>1</v>
      </c>
      <c r="BB88" s="286">
        <f>IF(AG88="","",VLOOKUP(AG88,AH86:AU92,COLUMN()-COLUMN(AR85),FALSE))</f>
        <v>0</v>
      </c>
      <c r="BC88" s="286">
        <f>IF(AG88="","",VLOOKUP(AG88,AH86:AU92,COLUMN()-COLUMN(AR85),FALSE))</f>
        <v>2</v>
      </c>
      <c r="BD88" s="286">
        <f>IF(AG88="","",VLOOKUP(AG88,AH86:AU92,COLUMN()-COLUMN(AR85),FALSE))</f>
        <v>3</v>
      </c>
      <c r="BE88" s="286">
        <f>IF(AG88="","",VLOOKUP(AG88,AH86:AU92,COLUMN()-COLUMN(AR85),FALSE))</f>
        <v>6</v>
      </c>
      <c r="BF88" s="301">
        <f>IF(AG88="","",VLOOKUP(AG88,AH86:AU92,COLUMN()-COLUMN(AR85),FALSE))</f>
        <v>-3</v>
      </c>
    </row>
    <row r="89" spans="1:58" ht="12" thickBot="1" x14ac:dyDescent="0.25">
      <c r="A89" s="249" t="s">
        <v>890</v>
      </c>
      <c r="B89" s="249" t="s">
        <v>12207</v>
      </c>
      <c r="C89" s="62">
        <v>12</v>
      </c>
      <c r="D89" s="62"/>
      <c r="E89" s="345" t="s">
        <v>10881</v>
      </c>
      <c r="F89" s="345" t="s">
        <v>8088</v>
      </c>
      <c r="G89" s="113">
        <v>0</v>
      </c>
      <c r="H89" s="113">
        <v>5</v>
      </c>
      <c r="I89" s="114"/>
      <c r="J89" s="114"/>
      <c r="K89" s="114"/>
      <c r="L89" s="81"/>
      <c r="M89" s="265" t="b">
        <f>NOT(ISERROR(ResultsInd[[#This Row],[Goal-A]]+ResultsInd[[#This Row],[Goal-B]]))</f>
        <v>1</v>
      </c>
      <c r="N89" s="265">
        <f>VALUE(ResultsInd[[#This Row],[Score-A]])</f>
        <v>0</v>
      </c>
      <c r="O89" s="265">
        <f>VALUE(ResultsInd[[#This Row],[Score-B]])</f>
        <v>5</v>
      </c>
      <c r="P89" s="265">
        <f ca="1">IF(AND(ResultsInd[[#This Row],[Category]]&lt;&gt;"",ResultsInd[[#This Row],[Player A]]&lt;&gt;""),COUNTIF(INDIRECT(ResultsInd[[#This Row],[Category]]&amp;"List[Retained Player Name]"),ResultsInd[[#This Row],[Player A]]),"")</f>
        <v>1</v>
      </c>
      <c r="Q89" s="265">
        <f ca="1">IF(AND(ResultsInd[[#This Row],[Category]]&lt;&gt;"",ResultsInd[[#This Row],[Player B]]&lt;&gt;""),COUNTIF(INDIRECT(ResultsInd[[#This Row],[Category]]&amp;"List[Retained Player Name]"),ResultsInd[[#This Row],[Player B]]),"")</f>
        <v>1</v>
      </c>
      <c r="R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OPEN-Steffen Despretz</v>
      </c>
      <c r="S89" s="265" t="str">
        <f>IF(ResultsInd[[#This Row],[Score_OK]],IF(ResultsInd[[#This Row],[Stage]]="Groups",ResultsInd[[#This Row],[Category]]&amp;"-"&amp;IF(ResultsInd[[#This Row],[Player B]]="","",IF(ResultsInd[[#This Row],[Score-A]]=ResultsInd[[#This Row],[Score-B]],ResultsInd[[#This Row],[Player A]],"")),""),"")</f>
        <v>OPEN-</v>
      </c>
      <c r="T89" s="265" t="str">
        <f>IF(ResultsInd[[#This Row],[Score_OK]],IF(ResultsInd[[#This Row],[Stage]]="Groups",ResultsInd[[#This Row],[Category]]&amp;"-"&amp;IF(ResultsInd[[#This Row],[Player B]]="","",IF(ResultsInd[[#This Row],[Score-A]]=ResultsInd[[#This Row],[Score-B]],ResultsInd[[#This Row],[Player B]],"")),""),"")</f>
        <v>OPEN-</v>
      </c>
      <c r="U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OPEN-John Lauder</v>
      </c>
      <c r="V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OPEN-John Lauder</v>
      </c>
      <c r="X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OPEN-John Lauder</v>
      </c>
      <c r="Y89" s="264" t="str">
        <f>IF(ResultsInd[[#This Row],[Category]]="","",VLOOKUP(ResultsInd[[#This Row],[Stage]],$P$1:$V$9,MATCH(ResultsInd[[#This Row],[Category]],$Q$1:$V$1,0)+1,FALSE))</f>
        <v>PR1</v>
      </c>
      <c r="Z89" s="264" t="str">
        <f>IF(ResultsInd[[#This Row],[Score_OK]],IF(ResultsInd[[#This Row],[Level]]="R",ResultsInd[[#This Row],[Category]]&amp;"-"&amp;IF(ResultsInd[[#This Row],[LoseInKO]]=ResultsInd[[#This Row],[Category]]&amp;"-"&amp;ResultsInd[[#This Row],[Player A]],ResultsInd[[#This Row],[Player B]],ResultsInd[[#This Row],[Player A]]),""),"")</f>
        <v/>
      </c>
      <c r="AB89" s="91"/>
      <c r="AC89" s="12" t="str">
        <f t="shared" si="71"/>
        <v>OPEN</v>
      </c>
      <c r="AD89" s="309" t="s">
        <v>8694</v>
      </c>
      <c r="AE89" s="310"/>
      <c r="AF89" s="311"/>
      <c r="AG89" s="292">
        <f>IF(AP89="","",SMALL(AH86:AH92,ROWS(AG86:AG89)))</f>
        <v>4002</v>
      </c>
      <c r="AH89" s="293">
        <f>IF(AP89="","",RANK(AL89,AL86:AL92)*1000+ROWS(AH86:AH89))</f>
        <v>3004</v>
      </c>
      <c r="AI89" s="316">
        <f t="shared" si="65"/>
        <v>3000000000000</v>
      </c>
      <c r="AJ89" s="415" t="b">
        <f>AND(AO89&lt;&gt;"",AO89&gt;0,COUNTIF(AI86:AI92,AI89)&gt;1)</f>
        <v>0</v>
      </c>
      <c r="AK89" s="316">
        <f t="shared" si="66"/>
        <v>0</v>
      </c>
      <c r="AL89" s="317">
        <f t="shared" si="67"/>
        <v>2999999970300</v>
      </c>
      <c r="AM89" s="415" t="b">
        <f>AND(AO89&lt;&gt;"",AO89&gt;0,COUNTIF(AL86:AL92,AL89)&gt;1)</f>
        <v>0</v>
      </c>
      <c r="AN89" s="306">
        <f t="shared" si="68"/>
        <v>3</v>
      </c>
      <c r="AO89" s="307">
        <f t="shared" si="69"/>
        <v>3</v>
      </c>
      <c r="AP89" s="307">
        <f>IF(OR(AC85="",AD89=""),"",COUNTIF(ResultsInd[Win],AC85&amp;"-"&amp;AD89))</f>
        <v>1</v>
      </c>
      <c r="AQ89" s="307">
        <f>IF(OR(AC85="",AD89=""),"",COUNTIF(ResultsInd[Draw1],AC85&amp;"-"&amp;AD89)+COUNTIF(ResultsInd[Draw2],AC85&amp;"-"&amp;AD89))</f>
        <v>0</v>
      </c>
      <c r="AR89" s="307">
        <f>IF(OR(AC85="",AD89=""),"",COUNTIF(ResultsInd[Lose],AC85&amp;"-"&amp;AD89))</f>
        <v>2</v>
      </c>
      <c r="AS89" s="307">
        <f>IF(OR(AC85="",AD89=""),"",SUMIFS(ResultsInd[Goal-A],ResultsInd[Category],AC85,ResultsInd[Stage],"Groups",ResultsInd[Player A],AD89)+SUMIFS(ResultsInd[Goal-B],ResultsInd[Category],AC85,ResultsInd[Stage],"Groups",ResultsInd[Player B],AD89))</f>
        <v>3</v>
      </c>
      <c r="AT89" s="307">
        <f>IF(OR(AC85="",AD89=""),"",SUMIFS(ResultsInd[Goal-B],ResultsInd[Category],AC85,ResultsInd[Stage],"Groups",ResultsInd[Player A],AD89)+SUMIFS(ResultsInd[Goal-A],ResultsInd[Category],AC85,ResultsInd[Stage],"Groups",ResultsInd[Player B],AD89))</f>
        <v>6</v>
      </c>
      <c r="AU89" s="308">
        <f t="shared" si="72"/>
        <v>-3</v>
      </c>
      <c r="AV89" s="469" t="b">
        <f>IF(AG89="","",OR(VLOOKUP(AG89,AH86:AU92,3,FALSE),VLOOKUP(AG89,AH86:AU92,6,FALSE)))</f>
        <v>0</v>
      </c>
      <c r="AW89" s="298">
        <f t="shared" si="70"/>
        <v>4</v>
      </c>
      <c r="AX89" s="285" t="str">
        <f>IF(AG89="","",INDEX(AD86:AD92,MATCH(AG89,AH86:AH92,0)))</f>
        <v>Bruno Mottet</v>
      </c>
      <c r="AY89" s="286">
        <f>IF(AG89="","",VLOOKUP(AG89,AH86:AU92,COLUMN()-COLUMN(AR85),FALSE))</f>
        <v>0</v>
      </c>
      <c r="AZ89" s="286">
        <f>IF(AG89="","",VLOOKUP(AG89,AH86:AU92,COLUMN()-COLUMN(AR85),FALSE))</f>
        <v>3</v>
      </c>
      <c r="BA89" s="286">
        <f>IF(AG89="","",VLOOKUP(AG89,AH86:AU92,COLUMN()-COLUMN(AR85),FALSE))</f>
        <v>0</v>
      </c>
      <c r="BB89" s="286">
        <f>IF(AG89="","",VLOOKUP(AG89,AH86:AU92,COLUMN()-COLUMN(AR85),FALSE))</f>
        <v>0</v>
      </c>
      <c r="BC89" s="286">
        <f>IF(AG89="","",VLOOKUP(AG89,AH86:AU92,COLUMN()-COLUMN(AR85),FALSE))</f>
        <v>3</v>
      </c>
      <c r="BD89" s="286">
        <f>IF(AG89="","",VLOOKUP(AG89,AH86:AU92,COLUMN()-COLUMN(AR85),FALSE))</f>
        <v>1</v>
      </c>
      <c r="BE89" s="286">
        <f>IF(AG89="","",VLOOKUP(AG89,AH86:AU92,COLUMN()-COLUMN(AR85),FALSE))</f>
        <v>13</v>
      </c>
      <c r="BF89" s="301">
        <f>IF(AG89="","",VLOOKUP(AG89,AH86:AU92,COLUMN()-COLUMN(AR85),FALSE))</f>
        <v>-12</v>
      </c>
    </row>
    <row r="90" spans="1:58" ht="12" thickBot="1" x14ac:dyDescent="0.25">
      <c r="A90" s="249" t="s">
        <v>890</v>
      </c>
      <c r="B90" s="249" t="s">
        <v>12207</v>
      </c>
      <c r="C90" s="62">
        <v>12</v>
      </c>
      <c r="D90" s="62"/>
      <c r="E90" s="345" t="s">
        <v>8194</v>
      </c>
      <c r="F90" s="345" t="s">
        <v>10216</v>
      </c>
      <c r="G90" s="113">
        <v>3</v>
      </c>
      <c r="H90" s="113">
        <v>2</v>
      </c>
      <c r="I90" s="114"/>
      <c r="J90" s="114"/>
      <c r="K90" s="114"/>
      <c r="L90" s="81"/>
      <c r="M90" s="265" t="b">
        <f>NOT(ISERROR(ResultsInd[[#This Row],[Goal-A]]+ResultsInd[[#This Row],[Goal-B]]))</f>
        <v>1</v>
      </c>
      <c r="N90" s="265">
        <f>VALUE(ResultsInd[[#This Row],[Score-A]])</f>
        <v>3</v>
      </c>
      <c r="O90" s="265">
        <f>VALUE(ResultsInd[[#This Row],[Score-B]])</f>
        <v>2</v>
      </c>
      <c r="P90" s="265">
        <f ca="1">IF(AND(ResultsInd[[#This Row],[Category]]&lt;&gt;"",ResultsInd[[#This Row],[Player A]]&lt;&gt;""),COUNTIF(INDIRECT(ResultsInd[[#This Row],[Category]]&amp;"List[Retained Player Name]"),ResultsInd[[#This Row],[Player A]]),"")</f>
        <v>1</v>
      </c>
      <c r="Q90" s="265">
        <f ca="1">IF(AND(ResultsInd[[#This Row],[Category]]&lt;&gt;"",ResultsInd[[#This Row],[Player B]]&lt;&gt;""),COUNTIF(INDIRECT(ResultsInd[[#This Row],[Category]]&amp;"List[Retained Player Name]"),ResultsInd[[#This Row],[Player B]]),"")</f>
        <v>1</v>
      </c>
      <c r="R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OPEN-Noah Janssens</v>
      </c>
      <c r="S90" s="265" t="str">
        <f>IF(ResultsInd[[#This Row],[Score_OK]],IF(ResultsInd[[#This Row],[Stage]]="Groups",ResultsInd[[#This Row],[Category]]&amp;"-"&amp;IF(ResultsInd[[#This Row],[Player B]]="","",IF(ResultsInd[[#This Row],[Score-A]]=ResultsInd[[#This Row],[Score-B]],ResultsInd[[#This Row],[Player A]],"")),""),"")</f>
        <v>OPEN-</v>
      </c>
      <c r="T90" s="265" t="str">
        <f>IF(ResultsInd[[#This Row],[Score_OK]],IF(ResultsInd[[#This Row],[Stage]]="Groups",ResultsInd[[#This Row],[Category]]&amp;"-"&amp;IF(ResultsInd[[#This Row],[Player B]]="","",IF(ResultsInd[[#This Row],[Score-A]]=ResultsInd[[#This Row],[Score-B]],ResultsInd[[#This Row],[Player B]],"")),""),"")</f>
        <v>OPEN-</v>
      </c>
      <c r="U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OPEN-Fabrizio Cavazza</v>
      </c>
      <c r="V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OPEN-Fabrizio Cavazza</v>
      </c>
      <c r="X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OPEN-Fabrizio Cavazza</v>
      </c>
      <c r="Y90" s="264" t="str">
        <f>IF(ResultsInd[[#This Row],[Category]]="","",VLOOKUP(ResultsInd[[#This Row],[Stage]],$P$1:$V$9,MATCH(ResultsInd[[#This Row],[Category]],$Q$1:$V$1,0)+1,FALSE))</f>
        <v>PR1</v>
      </c>
      <c r="Z90" s="264" t="str">
        <f>IF(ResultsInd[[#This Row],[Score_OK]],IF(ResultsInd[[#This Row],[Level]]="R",ResultsInd[[#This Row],[Category]]&amp;"-"&amp;IF(ResultsInd[[#This Row],[LoseInKO]]=ResultsInd[[#This Row],[Category]]&amp;"-"&amp;ResultsInd[[#This Row],[Player A]],ResultsInd[[#This Row],[Player B]],ResultsInd[[#This Row],[Player A]]),""),"")</f>
        <v/>
      </c>
      <c r="AB90" s="91"/>
      <c r="AC90" s="12" t="str">
        <f t="shared" si="71"/>
        <v>OPEN</v>
      </c>
      <c r="AD90" s="309"/>
      <c r="AE90" s="310"/>
      <c r="AF90" s="311"/>
      <c r="AG90" s="292" t="str">
        <f>IF(AP90="","",SMALL(AH86:AH92,ROWS(AG86:AG90)))</f>
        <v/>
      </c>
      <c r="AH90" s="293" t="str">
        <f>IF(AP90="","",RANK(AL90,AL86:AL92)*1000+ROWS(AH86:AH90))</f>
        <v/>
      </c>
      <c r="AI90" s="316" t="str">
        <f t="shared" si="65"/>
        <v/>
      </c>
      <c r="AJ90" s="415" t="b">
        <f>AND(AO90&lt;&gt;"",AO90&gt;0,COUNTIF(AI86:AI92,AI90)&gt;1)</f>
        <v>0</v>
      </c>
      <c r="AK90" s="316" t="str">
        <f t="shared" si="66"/>
        <v/>
      </c>
      <c r="AL90" s="317" t="str">
        <f t="shared" si="67"/>
        <v/>
      </c>
      <c r="AM90" s="415" t="b">
        <f>AND(AO90&lt;&gt;"",AO90&gt;0,COUNTIF(AL86:AL92,AL90)&gt;1)</f>
        <v>0</v>
      </c>
      <c r="AN90" s="306" t="str">
        <f t="shared" si="68"/>
        <v/>
      </c>
      <c r="AO90" s="307" t="str">
        <f t="shared" si="69"/>
        <v/>
      </c>
      <c r="AP90" s="307" t="str">
        <f>IF(OR(AC85="",AD90=""),"",COUNTIF(ResultsInd[Win],AC85&amp;"-"&amp;AD90))</f>
        <v/>
      </c>
      <c r="AQ90" s="307" t="str">
        <f>IF(OR(AC85="",AD90=""),"",COUNTIF(ResultsInd[Draw1],AC85&amp;"-"&amp;AD90)+COUNTIF(ResultsInd[Draw2],AC85&amp;"-"&amp;AD90))</f>
        <v/>
      </c>
      <c r="AR90" s="307" t="str">
        <f>IF(OR(AC85="",AD90=""),"",COUNTIF(ResultsInd[Lose],AC85&amp;"-"&amp;AD90))</f>
        <v/>
      </c>
      <c r="AS90" s="307" t="str">
        <f>IF(OR(AC85="",AD90=""),"",SUMIFS(ResultsInd[Goal-A],ResultsInd[Category],AC85,ResultsInd[Stage],"Groups",ResultsInd[Player A],AD90)+SUMIFS(ResultsInd[Goal-B],ResultsInd[Category],AC85,ResultsInd[Stage],"Groups",ResultsInd[Player B],AD90))</f>
        <v/>
      </c>
      <c r="AT90" s="307" t="str">
        <f>IF(OR(AC85="",AD90=""),"",SUMIFS(ResultsInd[Goal-B],ResultsInd[Category],AC85,ResultsInd[Stage],"Groups",ResultsInd[Player A],AD90)+SUMIFS(ResultsInd[Goal-A],ResultsInd[Category],AC85,ResultsInd[Stage],"Groups",ResultsInd[Player B],AD90))</f>
        <v/>
      </c>
      <c r="AU90" s="308" t="str">
        <f t="shared" si="72"/>
        <v/>
      </c>
      <c r="AV90" s="469" t="str">
        <f>IF(AG90="","",OR(VLOOKUP(AG90,AH86:AU92,3,FALSE),VLOOKUP(AG90,AH86:AU92,6,FALSE)))</f>
        <v/>
      </c>
      <c r="AW90" s="298" t="str">
        <f t="shared" si="70"/>
        <v/>
      </c>
      <c r="AX90" s="285" t="str">
        <f>IF(AG90="","",INDEX(AD86:AD92,MATCH(AG90,AH86:AH92,0)))</f>
        <v/>
      </c>
      <c r="AY90" s="286" t="str">
        <f>IF(AG90="","",VLOOKUP(AG90,AH86:AU92,COLUMN()-COLUMN(AR85),FALSE))</f>
        <v/>
      </c>
      <c r="AZ90" s="286" t="str">
        <f>IF(AG90="","",VLOOKUP(AG90,AH86:AU92,COLUMN()-COLUMN(AR85),FALSE))</f>
        <v/>
      </c>
      <c r="BA90" s="286" t="str">
        <f>IF(AG90="","",VLOOKUP(AG90,AH86:AU92,COLUMN()-COLUMN(AR85),FALSE))</f>
        <v/>
      </c>
      <c r="BB90" s="286" t="str">
        <f>IF(AG90="","",VLOOKUP(AG90,AH86:AU92,COLUMN()-COLUMN(AR85),FALSE))</f>
        <v/>
      </c>
      <c r="BC90" s="286" t="str">
        <f>IF(AG90="","",VLOOKUP(AG90,AH86:AU92,COLUMN()-COLUMN(AR85),FALSE))</f>
        <v/>
      </c>
      <c r="BD90" s="286" t="str">
        <f>IF(AG90="","",VLOOKUP(AG90,AH86:AU92,COLUMN()-COLUMN(AR85),FALSE))</f>
        <v/>
      </c>
      <c r="BE90" s="286" t="str">
        <f>IF(AG90="","",VLOOKUP(AG90,AH86:AU92,COLUMN()-COLUMN(AR85),FALSE))</f>
        <v/>
      </c>
      <c r="BF90" s="301" t="str">
        <f>IF(AG90="","",VLOOKUP(AG90,AH86:AU92,COLUMN()-COLUMN(AR85),FALSE))</f>
        <v/>
      </c>
    </row>
    <row r="91" spans="1:58" ht="12" thickBot="1" x14ac:dyDescent="0.25">
      <c r="A91" s="249" t="s">
        <v>890</v>
      </c>
      <c r="B91" s="249" t="s">
        <v>12207</v>
      </c>
      <c r="C91" s="62">
        <v>13</v>
      </c>
      <c r="D91" s="62"/>
      <c r="E91" s="345" t="s">
        <v>10080</v>
      </c>
      <c r="F91" s="345" t="s">
        <v>8698</v>
      </c>
      <c r="G91" s="113">
        <v>2</v>
      </c>
      <c r="H91" s="113">
        <v>0</v>
      </c>
      <c r="I91" s="114"/>
      <c r="J91" s="114"/>
      <c r="K91" s="114"/>
      <c r="L91" s="81"/>
      <c r="M91" s="265" t="b">
        <f>NOT(ISERROR(ResultsInd[[#This Row],[Goal-A]]+ResultsInd[[#This Row],[Goal-B]]))</f>
        <v>1</v>
      </c>
      <c r="N91" s="265">
        <f>VALUE(ResultsInd[[#This Row],[Score-A]])</f>
        <v>2</v>
      </c>
      <c r="O91" s="265">
        <f>VALUE(ResultsInd[[#This Row],[Score-B]])</f>
        <v>0</v>
      </c>
      <c r="P91" s="265">
        <f ca="1">IF(AND(ResultsInd[[#This Row],[Category]]&lt;&gt;"",ResultsInd[[#This Row],[Player A]]&lt;&gt;""),COUNTIF(INDIRECT(ResultsInd[[#This Row],[Category]]&amp;"List[Retained Player Name]"),ResultsInd[[#This Row],[Player A]]),"")</f>
        <v>1</v>
      </c>
      <c r="Q91" s="265">
        <f ca="1">IF(AND(ResultsInd[[#This Row],[Category]]&lt;&gt;"",ResultsInd[[#This Row],[Player B]]&lt;&gt;""),COUNTIF(INDIRECT(ResultsInd[[#This Row],[Category]]&amp;"List[Retained Player Name]"),ResultsInd[[#This Row],[Player B]]),"")</f>
        <v>1</v>
      </c>
      <c r="R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Dotto</v>
      </c>
      <c r="S91" s="265" t="str">
        <f>IF(ResultsInd[[#This Row],[Score_OK]],IF(ResultsInd[[#This Row],[Stage]]="Groups",ResultsInd[[#This Row],[Category]]&amp;"-"&amp;IF(ResultsInd[[#This Row],[Player B]]="","",IF(ResultsInd[[#This Row],[Score-A]]=ResultsInd[[#This Row],[Score-B]],ResultsInd[[#This Row],[Player A]],"")),""),"")</f>
        <v>OPEN-</v>
      </c>
      <c r="T91" s="265" t="str">
        <f>IF(ResultsInd[[#This Row],[Score_OK]],IF(ResultsInd[[#This Row],[Stage]]="Groups",ResultsInd[[#This Row],[Category]]&amp;"-"&amp;IF(ResultsInd[[#This Row],[Player B]]="","",IF(ResultsInd[[#This Row],[Score-A]]=ResultsInd[[#This Row],[Score-B]],ResultsInd[[#This Row],[Player B]],"")),""),"")</f>
        <v>OPEN-</v>
      </c>
      <c r="U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OPEN-Axel Modeste</v>
      </c>
      <c r="V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OPEN-Axel Modeste</v>
      </c>
      <c r="X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OPEN-Axel Modeste</v>
      </c>
      <c r="Y91" s="264" t="str">
        <f>IF(ResultsInd[[#This Row],[Category]]="","",VLOOKUP(ResultsInd[[#This Row],[Stage]],$P$1:$V$9,MATCH(ResultsInd[[#This Row],[Category]],$Q$1:$V$1,0)+1,FALSE))</f>
        <v>PR1</v>
      </c>
      <c r="Z91" s="264" t="str">
        <f>IF(ResultsInd[[#This Row],[Score_OK]],IF(ResultsInd[[#This Row],[Level]]="R",ResultsInd[[#This Row],[Category]]&amp;"-"&amp;IF(ResultsInd[[#This Row],[LoseInKO]]=ResultsInd[[#This Row],[Category]]&amp;"-"&amp;ResultsInd[[#This Row],[Player A]],ResultsInd[[#This Row],[Player B]],ResultsInd[[#This Row],[Player A]]),""),"")</f>
        <v/>
      </c>
      <c r="AB91" s="8"/>
      <c r="AC91" s="12" t="str">
        <f t="shared" si="71"/>
        <v>OPEN</v>
      </c>
      <c r="AD91" s="309"/>
      <c r="AE91" s="310"/>
      <c r="AF91" s="311"/>
      <c r="AG91" s="292" t="str">
        <f>IF(AP91="","",SMALL(AH86:AH92,ROWS(AG86:AG91)))</f>
        <v/>
      </c>
      <c r="AH91" s="293" t="str">
        <f>IF(AP91="","",RANK(AL91,AL86:AL92)*1000+ROWS(AH86:AH91))</f>
        <v/>
      </c>
      <c r="AI91" s="316" t="str">
        <f t="shared" si="65"/>
        <v/>
      </c>
      <c r="AJ91" s="415" t="b">
        <f>AND(AO91&lt;&gt;"",AO91&gt;0,COUNTIF(AI86:AI92,AI91)&gt;1)</f>
        <v>0</v>
      </c>
      <c r="AK91" s="316" t="str">
        <f t="shared" si="66"/>
        <v/>
      </c>
      <c r="AL91" s="317" t="str">
        <f t="shared" si="67"/>
        <v/>
      </c>
      <c r="AM91" s="415" t="b">
        <f>AND(AO91&lt;&gt;"",AO91&gt;0,COUNTIF(AL86:AL92,AL91)&gt;1)</f>
        <v>0</v>
      </c>
      <c r="AN91" s="306" t="str">
        <f t="shared" si="68"/>
        <v/>
      </c>
      <c r="AO91" s="307" t="str">
        <f t="shared" si="69"/>
        <v/>
      </c>
      <c r="AP91" s="307" t="str">
        <f>IF(OR(AC85="",AD91=""),"",COUNTIF(ResultsInd[Win],AC85&amp;"-"&amp;AD91))</f>
        <v/>
      </c>
      <c r="AQ91" s="307" t="str">
        <f>IF(OR(AC85="",AD91=""),"",COUNTIF(ResultsInd[Draw1],AC85&amp;"-"&amp;AD91)+COUNTIF(ResultsInd[Draw2],AC85&amp;"-"&amp;AD91))</f>
        <v/>
      </c>
      <c r="AR91" s="307" t="str">
        <f>IF(OR(AC85="",AD91=""),"",COUNTIF(ResultsInd[Lose],AC85&amp;"-"&amp;AD91))</f>
        <v/>
      </c>
      <c r="AS91" s="307" t="str">
        <f>IF(OR(AC85="",AD91=""),"",SUMIFS(ResultsInd[Goal-A],ResultsInd[Category],AC85,ResultsInd[Stage],"Groups",ResultsInd[Player A],AD91)+SUMIFS(ResultsInd[Goal-B],ResultsInd[Category],AC85,ResultsInd[Stage],"Groups",ResultsInd[Player B],AD91))</f>
        <v/>
      </c>
      <c r="AT91" s="307" t="str">
        <f>IF(OR(AC85="",AD91=""),"",SUMIFS(ResultsInd[Goal-B],ResultsInd[Category],AC85,ResultsInd[Stage],"Groups",ResultsInd[Player A],AD91)+SUMIFS(ResultsInd[Goal-A],ResultsInd[Category],AC85,ResultsInd[Stage],"Groups",ResultsInd[Player B],AD91))</f>
        <v/>
      </c>
      <c r="AU91" s="308" t="str">
        <f t="shared" si="72"/>
        <v/>
      </c>
      <c r="AV91" s="469" t="str">
        <f>IF(AG91="","",OR(VLOOKUP(AG91,AH86:AU92,3,FALSE),VLOOKUP(AG91,AH86:AU92,6,FALSE)))</f>
        <v/>
      </c>
      <c r="AW91" s="298" t="str">
        <f t="shared" si="70"/>
        <v/>
      </c>
      <c r="AX91" s="285" t="str">
        <f>IF(AG91="","",INDEX(AD86:AD92,MATCH(AG91,AH86:AH92,0)))</f>
        <v/>
      </c>
      <c r="AY91" s="286" t="str">
        <f>IF(AG91="","",VLOOKUP(AG91,AH86:AU92,COLUMN()-COLUMN(AR85),FALSE))</f>
        <v/>
      </c>
      <c r="AZ91" s="286" t="str">
        <f>IF(AG91="","",VLOOKUP(AG91,AH86:AU92,COLUMN()-COLUMN(AR85),FALSE))</f>
        <v/>
      </c>
      <c r="BA91" s="286" t="str">
        <f>IF(AG91="","",VLOOKUP(AG91,AH86:AU92,COLUMN()-COLUMN(AR85),FALSE))</f>
        <v/>
      </c>
      <c r="BB91" s="286" t="str">
        <f>IF(AG91="","",VLOOKUP(AG91,AH86:AU92,COLUMN()-COLUMN(AR85),FALSE))</f>
        <v/>
      </c>
      <c r="BC91" s="286" t="str">
        <f>IF(AG91="","",VLOOKUP(AG91,AH86:AU92,COLUMN()-COLUMN(AR85),FALSE))</f>
        <v/>
      </c>
      <c r="BD91" s="286" t="str">
        <f>IF(AG91="","",VLOOKUP(AG91,AH86:AU92,COLUMN()-COLUMN(AR85),FALSE))</f>
        <v/>
      </c>
      <c r="BE91" s="286" t="str">
        <f>IF(AG91="","",VLOOKUP(AG91,AH86:AU92,COLUMN()-COLUMN(AR85),FALSE))</f>
        <v/>
      </c>
      <c r="BF91" s="301" t="str">
        <f>IF(AG91="","",VLOOKUP(AG91,AH86:AU92,COLUMN()-COLUMN(AR85),FALSE))</f>
        <v/>
      </c>
    </row>
    <row r="92" spans="1:58" ht="12" thickBot="1" x14ac:dyDescent="0.25">
      <c r="A92" s="249" t="s">
        <v>890</v>
      </c>
      <c r="B92" s="249" t="s">
        <v>12207</v>
      </c>
      <c r="C92" s="62">
        <v>13</v>
      </c>
      <c r="D92" s="62"/>
      <c r="E92" s="345" t="s">
        <v>8109</v>
      </c>
      <c r="F92" s="345" t="s">
        <v>11594</v>
      </c>
      <c r="G92" s="113">
        <v>8</v>
      </c>
      <c r="H92" s="113">
        <v>1</v>
      </c>
      <c r="I92" s="114"/>
      <c r="J92" s="114"/>
      <c r="K92" s="114"/>
      <c r="L92" s="81"/>
      <c r="M92" s="265" t="b">
        <f>NOT(ISERROR(ResultsInd[[#This Row],[Goal-A]]+ResultsInd[[#This Row],[Goal-B]]))</f>
        <v>1</v>
      </c>
      <c r="N92" s="265">
        <f>VALUE(ResultsInd[[#This Row],[Score-A]])</f>
        <v>8</v>
      </c>
      <c r="O92" s="265">
        <f>VALUE(ResultsInd[[#This Row],[Score-B]])</f>
        <v>1</v>
      </c>
      <c r="P92" s="265">
        <f ca="1">IF(AND(ResultsInd[[#This Row],[Category]]&lt;&gt;"",ResultsInd[[#This Row],[Player A]]&lt;&gt;""),COUNTIF(INDIRECT(ResultsInd[[#This Row],[Category]]&amp;"List[Retained Player Name]"),ResultsInd[[#This Row],[Player A]]),"")</f>
        <v>1</v>
      </c>
      <c r="Q92" s="265">
        <f ca="1">IF(AND(ResultsInd[[#This Row],[Category]]&lt;&gt;"",ResultsInd[[#This Row],[Player B]]&lt;&gt;""),COUNTIF(INDIRECT(ResultsInd[[#This Row],[Category]]&amp;"List[Retained Player Name]"),ResultsInd[[#This Row],[Player B]]),"")</f>
        <v>1</v>
      </c>
      <c r="R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OPEN-Joffray Laurent</v>
      </c>
      <c r="S92" s="265" t="str">
        <f>IF(ResultsInd[[#This Row],[Score_OK]],IF(ResultsInd[[#This Row],[Stage]]="Groups",ResultsInd[[#This Row],[Category]]&amp;"-"&amp;IF(ResultsInd[[#This Row],[Player B]]="","",IF(ResultsInd[[#This Row],[Score-A]]=ResultsInd[[#This Row],[Score-B]],ResultsInd[[#This Row],[Player A]],"")),""),"")</f>
        <v>OPEN-</v>
      </c>
      <c r="T92" s="265" t="str">
        <f>IF(ResultsInd[[#This Row],[Score_OK]],IF(ResultsInd[[#This Row],[Stage]]="Groups",ResultsInd[[#This Row],[Category]]&amp;"-"&amp;IF(ResultsInd[[#This Row],[Player B]]="","",IF(ResultsInd[[#This Row],[Score-A]]=ResultsInd[[#This Row],[Score-B]],ResultsInd[[#This Row],[Player B]],"")),""),"")</f>
        <v>OPEN-</v>
      </c>
      <c r="U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OPEN-Aurélien Feye</v>
      </c>
      <c r="V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X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Y92" s="264" t="str">
        <f>IF(ResultsInd[[#This Row],[Category]]="","",VLOOKUP(ResultsInd[[#This Row],[Stage]],$P$1:$V$9,MATCH(ResultsInd[[#This Row],[Category]],$Q$1:$V$1,0)+1,FALSE))</f>
        <v>PR1</v>
      </c>
      <c r="Z92" s="264" t="str">
        <f>IF(ResultsInd[[#This Row],[Score_OK]],IF(ResultsInd[[#This Row],[Level]]="R",ResultsInd[[#This Row],[Category]]&amp;"-"&amp;IF(ResultsInd[[#This Row],[LoseInKO]]=ResultsInd[[#This Row],[Category]]&amp;"-"&amp;ResultsInd[[#This Row],[Player A]],ResultsInd[[#This Row],[Player B]],ResultsInd[[#This Row],[Player A]]),""),"")</f>
        <v/>
      </c>
      <c r="AB92" s="8"/>
      <c r="AC92" s="12" t="str">
        <f t="shared" si="71"/>
        <v>OPEN</v>
      </c>
      <c r="AD92" s="312"/>
      <c r="AE92" s="313"/>
      <c r="AF92" s="314"/>
      <c r="AG92" s="294" t="str">
        <f>IF(AP92="","",SMALL(AH86:AH92,ROWS(AG86:AG92)))</f>
        <v/>
      </c>
      <c r="AH92" s="295" t="str">
        <f>IF(AP92="","",RANK(AL92,AL86:AL92)*1000+ROWS(AH86:AH92))</f>
        <v/>
      </c>
      <c r="AI92" s="318" t="str">
        <f t="shared" si="65"/>
        <v/>
      </c>
      <c r="AJ92" s="416" t="b">
        <f>AND(AO92&lt;&gt;"",AO92&gt;0,COUNTIF(AI86:AI92,AI92)&gt;1)</f>
        <v>0</v>
      </c>
      <c r="AK92" s="318" t="str">
        <f t="shared" si="66"/>
        <v/>
      </c>
      <c r="AL92" s="319" t="str">
        <f t="shared" si="67"/>
        <v/>
      </c>
      <c r="AM92" s="416" t="b">
        <f>AND(AO92&lt;&gt;"",AO92&gt;0,COUNTIF(AL86:AL92,AL92)&gt;1)</f>
        <v>0</v>
      </c>
      <c r="AN92" s="306" t="str">
        <f t="shared" si="68"/>
        <v/>
      </c>
      <c r="AO92" s="307" t="str">
        <f t="shared" si="69"/>
        <v/>
      </c>
      <c r="AP92" s="307" t="str">
        <f>IF(OR(AC85="",AD92=""),"",COUNTIF(ResultsInd[Win],AC85&amp;"-"&amp;AD92))</f>
        <v/>
      </c>
      <c r="AQ92" s="307" t="str">
        <f>IF(OR(AC85="",AD92=""),"",COUNTIF(ResultsInd[Draw1],AC85&amp;"-"&amp;AD92)+COUNTIF(ResultsInd[Draw2],AC85&amp;"-"&amp;AD92))</f>
        <v/>
      </c>
      <c r="AR92" s="307" t="str">
        <f>IF(OR(AC85="",AD92=""),"",COUNTIF(ResultsInd[Lose],AC85&amp;"-"&amp;AD92))</f>
        <v/>
      </c>
      <c r="AS92" s="307" t="str">
        <f>IF(OR(AC85="",AD92=""),"",SUMIFS(ResultsInd[Goal-A],ResultsInd[Category],AC85,ResultsInd[Stage],"Groups",ResultsInd[Player A],AD92)+SUMIFS(ResultsInd[Goal-B],ResultsInd[Category],AC85,ResultsInd[Stage],"Groups",ResultsInd[Player B],AD92))</f>
        <v/>
      </c>
      <c r="AT92" s="307" t="str">
        <f>IF(OR(AC85="",AD92=""),"",SUMIFS(ResultsInd[Goal-B],ResultsInd[Category],AC85,ResultsInd[Stage],"Groups",ResultsInd[Player A],AD92)+SUMIFS(ResultsInd[Goal-A],ResultsInd[Category],AC85,ResultsInd[Stage],"Groups",ResultsInd[Player B],AD92))</f>
        <v/>
      </c>
      <c r="AU92" s="308" t="str">
        <f t="shared" si="72"/>
        <v/>
      </c>
      <c r="AV92" s="469" t="str">
        <f>IF(AG92="","",OR(VLOOKUP(AG92,AH86:AU92,3,FALSE),VLOOKUP(AG92,AH86:AU92,6,FALSE)))</f>
        <v/>
      </c>
      <c r="AW92" s="299" t="str">
        <f t="shared" si="70"/>
        <v/>
      </c>
      <c r="AX92" s="287" t="str">
        <f>IF(AG92="","",INDEX(AD86:AD92,MATCH(AG92,AH86:AH92,0)))</f>
        <v/>
      </c>
      <c r="AY92" s="288" t="str">
        <f>IF(AG92="","",VLOOKUP(AG92,AH86:AU92,COLUMN()-COLUMN(AR85),FALSE))</f>
        <v/>
      </c>
      <c r="AZ92" s="288" t="str">
        <f>IF(AG92="","",VLOOKUP(AG92,AH86:AU92,COLUMN()-COLUMN(AR85),FALSE))</f>
        <v/>
      </c>
      <c r="BA92" s="288" t="str">
        <f>IF(AG92="","",VLOOKUP(AG92,AH86:AU92,COLUMN()-COLUMN(AR85),FALSE))</f>
        <v/>
      </c>
      <c r="BB92" s="288" t="str">
        <f>IF(AG92="","",VLOOKUP(AG92,AH86:AU92,COLUMN()-COLUMN(AR85),FALSE))</f>
        <v/>
      </c>
      <c r="BC92" s="288" t="str">
        <f>IF(AG92="","",VLOOKUP(AG92,AH86:AU92,COLUMN()-COLUMN(AR85),FALSE))</f>
        <v/>
      </c>
      <c r="BD92" s="288" t="str">
        <f>IF(AG92="","",VLOOKUP(AG92,AH86:AU92,COLUMN()-COLUMN(AR85),FALSE))</f>
        <v/>
      </c>
      <c r="BE92" s="288" t="str">
        <f>IF(AG92="","",VLOOKUP(AG92,AH86:AU92,COLUMN()-COLUMN(AR85),FALSE))</f>
        <v/>
      </c>
      <c r="BF92" s="302" t="str">
        <f>IF(AG92="","",VLOOKUP(AG92,AH86:AU92,COLUMN()-COLUMN(AR85),FALSE))</f>
        <v/>
      </c>
    </row>
    <row r="93" spans="1:58" ht="13.5" thickBot="1" x14ac:dyDescent="0.25">
      <c r="A93" s="249" t="s">
        <v>890</v>
      </c>
      <c r="B93" s="249" t="s">
        <v>12207</v>
      </c>
      <c r="C93" s="62">
        <v>13</v>
      </c>
      <c r="D93" s="62"/>
      <c r="E93" s="345" t="s">
        <v>10080</v>
      </c>
      <c r="F93" s="345" t="s">
        <v>8109</v>
      </c>
      <c r="G93" s="113">
        <v>3</v>
      </c>
      <c r="H93" s="113">
        <v>3</v>
      </c>
      <c r="I93" s="114"/>
      <c r="J93" s="114"/>
      <c r="K93" s="114"/>
      <c r="L93" s="81"/>
      <c r="M93" s="265" t="b">
        <f>NOT(ISERROR(ResultsInd[[#This Row],[Goal-A]]+ResultsInd[[#This Row],[Goal-B]]))</f>
        <v>1</v>
      </c>
      <c r="N93" s="265">
        <f>VALUE(ResultsInd[[#This Row],[Score-A]])</f>
        <v>3</v>
      </c>
      <c r="O93" s="265">
        <f>VALUE(ResultsInd[[#This Row],[Score-B]])</f>
        <v>3</v>
      </c>
      <c r="P93" s="265">
        <f ca="1">IF(AND(ResultsInd[[#This Row],[Category]]&lt;&gt;"",ResultsInd[[#This Row],[Player A]]&lt;&gt;""),COUNTIF(INDIRECT(ResultsInd[[#This Row],[Category]]&amp;"List[Retained Player Name]"),ResultsInd[[#This Row],[Player A]]),"")</f>
        <v>1</v>
      </c>
      <c r="Q93" s="265">
        <f ca="1">IF(AND(ResultsInd[[#This Row],[Category]]&lt;&gt;"",ResultsInd[[#This Row],[Player B]]&lt;&gt;""),COUNTIF(INDIRECT(ResultsInd[[#This Row],[Category]]&amp;"List[Retained Player Name]"),ResultsInd[[#This Row],[Player B]]),"")</f>
        <v>1</v>
      </c>
      <c r="R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93" s="265" t="str">
        <f>IF(ResultsInd[[#This Row],[Score_OK]],IF(ResultsInd[[#This Row],[Stage]]="Groups",ResultsInd[[#This Row],[Category]]&amp;"-"&amp;IF(ResultsInd[[#This Row],[Player B]]="","",IF(ResultsInd[[#This Row],[Score-A]]=ResultsInd[[#This Row],[Score-B]],ResultsInd[[#This Row],[Player A]],"")),""),"")</f>
        <v>OPEN-William Dotto</v>
      </c>
      <c r="T93" s="265" t="str">
        <f>IF(ResultsInd[[#This Row],[Score_OK]],IF(ResultsInd[[#This Row],[Stage]]="Groups",ResultsInd[[#This Row],[Category]]&amp;"-"&amp;IF(ResultsInd[[#This Row],[Player B]]="","",IF(ResultsInd[[#This Row],[Score-A]]=ResultsInd[[#This Row],[Score-B]],ResultsInd[[#This Row],[Player B]],"")),""),"")</f>
        <v>OPEN-Joffray Laurent</v>
      </c>
      <c r="U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OPEN-William Dotto</v>
      </c>
      <c r="X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OPEN-Joffray Laurent</v>
      </c>
      <c r="Y93" s="264" t="str">
        <f>IF(ResultsInd[[#This Row],[Category]]="","",VLOOKUP(ResultsInd[[#This Row],[Stage]],$P$1:$V$9,MATCH(ResultsInd[[#This Row],[Category]],$Q$1:$V$1,0)+1,FALSE))</f>
        <v>PR1</v>
      </c>
      <c r="Z93" s="264" t="str">
        <f>IF(ResultsInd[[#This Row],[Score_OK]],IF(ResultsInd[[#This Row],[Level]]="R",ResultsInd[[#This Row],[Category]]&amp;"-"&amp;IF(ResultsInd[[#This Row],[LoseInKO]]=ResultsInd[[#This Row],[Category]]&amp;"-"&amp;ResultsInd[[#This Row],[Player A]],ResultsInd[[#This Row],[Player B]],ResultsInd[[#This Row],[Player A]]),""),"")</f>
        <v/>
      </c>
      <c r="AB93" s="8"/>
      <c r="AC93" s="8"/>
      <c r="AF93" s="170"/>
      <c r="AG93" s="101"/>
      <c r="AH93" s="101"/>
      <c r="AN93" s="170"/>
      <c r="AO93" s="170"/>
      <c r="AP93" s="170"/>
      <c r="AQ93" s="172"/>
      <c r="AR93" s="173"/>
      <c r="AS93" s="173"/>
      <c r="AT93" s="173"/>
      <c r="AU93" s="101"/>
      <c r="AV93" s="101"/>
      <c r="AW93" s="101"/>
      <c r="AX93" s="101"/>
      <c r="AY93" s="101"/>
      <c r="AZ93" s="101"/>
    </row>
    <row r="94" spans="1:58" ht="12" thickBot="1" x14ac:dyDescent="0.25">
      <c r="A94" s="249" t="s">
        <v>890</v>
      </c>
      <c r="B94" s="249" t="s">
        <v>12207</v>
      </c>
      <c r="C94" s="62">
        <v>13</v>
      </c>
      <c r="D94" s="62"/>
      <c r="E94" s="345" t="s">
        <v>8698</v>
      </c>
      <c r="F94" s="345" t="s">
        <v>11594</v>
      </c>
      <c r="G94" s="113">
        <v>2</v>
      </c>
      <c r="H94" s="113">
        <v>1</v>
      </c>
      <c r="I94" s="114"/>
      <c r="J94" s="114"/>
      <c r="K94" s="114"/>
      <c r="L94" s="81"/>
      <c r="M94" s="265" t="b">
        <f>NOT(ISERROR(ResultsInd[[#This Row],[Goal-A]]+ResultsInd[[#This Row],[Goal-B]]))</f>
        <v>1</v>
      </c>
      <c r="N94" s="265">
        <f>VALUE(ResultsInd[[#This Row],[Score-A]])</f>
        <v>2</v>
      </c>
      <c r="O94" s="265">
        <f>VALUE(ResultsInd[[#This Row],[Score-B]])</f>
        <v>1</v>
      </c>
      <c r="P94" s="265">
        <f ca="1">IF(AND(ResultsInd[[#This Row],[Category]]&lt;&gt;"",ResultsInd[[#This Row],[Player A]]&lt;&gt;""),COUNTIF(INDIRECT(ResultsInd[[#This Row],[Category]]&amp;"List[Retained Player Name]"),ResultsInd[[#This Row],[Player A]]),"")</f>
        <v>1</v>
      </c>
      <c r="Q94" s="265">
        <f ca="1">IF(AND(ResultsInd[[#This Row],[Category]]&lt;&gt;"",ResultsInd[[#This Row],[Player B]]&lt;&gt;""),COUNTIF(INDIRECT(ResultsInd[[#This Row],[Category]]&amp;"List[Retained Player Name]"),ResultsInd[[#This Row],[Player B]]),"")</f>
        <v>1</v>
      </c>
      <c r="R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OPEN-Axel Modeste</v>
      </c>
      <c r="S94" s="265" t="str">
        <f>IF(ResultsInd[[#This Row],[Score_OK]],IF(ResultsInd[[#This Row],[Stage]]="Groups",ResultsInd[[#This Row],[Category]]&amp;"-"&amp;IF(ResultsInd[[#This Row],[Player B]]="","",IF(ResultsInd[[#This Row],[Score-A]]=ResultsInd[[#This Row],[Score-B]],ResultsInd[[#This Row],[Player A]],"")),""),"")</f>
        <v>OPEN-</v>
      </c>
      <c r="T94" s="265" t="str">
        <f>IF(ResultsInd[[#This Row],[Score_OK]],IF(ResultsInd[[#This Row],[Stage]]="Groups",ResultsInd[[#This Row],[Category]]&amp;"-"&amp;IF(ResultsInd[[#This Row],[Player B]]="","",IF(ResultsInd[[#This Row],[Score-A]]=ResultsInd[[#This Row],[Score-B]],ResultsInd[[#This Row],[Player B]],"")),""),"")</f>
        <v>OPEN-</v>
      </c>
      <c r="U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OPEN-Aurélien Feye</v>
      </c>
      <c r="V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X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Y94" s="264" t="str">
        <f>IF(ResultsInd[[#This Row],[Category]]="","",VLOOKUP(ResultsInd[[#This Row],[Stage]],$P$1:$V$9,MATCH(ResultsInd[[#This Row],[Category]],$Q$1:$V$1,0)+1,FALSE))</f>
        <v>PR1</v>
      </c>
      <c r="Z94" s="264" t="str">
        <f>IF(ResultsInd[[#This Row],[Score_OK]],IF(ResultsInd[[#This Row],[Level]]="R",ResultsInd[[#This Row],[Category]]&amp;"-"&amp;IF(ResultsInd[[#This Row],[LoseInKO]]=ResultsInd[[#This Row],[Category]]&amp;"-"&amp;ResultsInd[[#This Row],[Player A]],ResultsInd[[#This Row],[Player B]],ResultsInd[[#This Row],[Player A]]),""),"")</f>
        <v/>
      </c>
      <c r="AB94" s="281">
        <v>9</v>
      </c>
      <c r="AC94" s="315" t="s">
        <v>890</v>
      </c>
      <c r="AD94" s="289" t="s">
        <v>14439</v>
      </c>
      <c r="AE94" s="290" t="s">
        <v>12279</v>
      </c>
      <c r="AF94" s="284" t="s">
        <v>12275</v>
      </c>
      <c r="AG94" s="296" t="s">
        <v>12276</v>
      </c>
      <c r="AH94" s="291" t="s">
        <v>12271</v>
      </c>
      <c r="AI94" s="291" t="s">
        <v>12272</v>
      </c>
      <c r="AJ94" s="414" t="s">
        <v>13154</v>
      </c>
      <c r="AK94" s="291" t="s">
        <v>12273</v>
      </c>
      <c r="AL94" s="297" t="s">
        <v>12274</v>
      </c>
      <c r="AM94" s="414" t="s">
        <v>13154</v>
      </c>
      <c r="AN94" s="303" t="s">
        <v>12199</v>
      </c>
      <c r="AO94" s="304" t="s">
        <v>12200</v>
      </c>
      <c r="AP94" s="304" t="s">
        <v>12201</v>
      </c>
      <c r="AQ94" s="304" t="s">
        <v>12202</v>
      </c>
      <c r="AR94" s="304" t="s">
        <v>12203</v>
      </c>
      <c r="AS94" s="304" t="s">
        <v>12204</v>
      </c>
      <c r="AT94" s="304" t="s">
        <v>12205</v>
      </c>
      <c r="AU94" s="305" t="s">
        <v>12206</v>
      </c>
      <c r="AV94" s="468"/>
      <c r="AW94" s="282" t="s">
        <v>12276</v>
      </c>
      <c r="AX94" s="282" t="s">
        <v>12280</v>
      </c>
      <c r="AY94" s="283" t="s">
        <v>12199</v>
      </c>
      <c r="AZ94" s="283" t="s">
        <v>12200</v>
      </c>
      <c r="BA94" s="283" t="s">
        <v>12201</v>
      </c>
      <c r="BB94" s="283" t="s">
        <v>12202</v>
      </c>
      <c r="BC94" s="283" t="s">
        <v>12203</v>
      </c>
      <c r="BD94" s="283" t="s">
        <v>12204</v>
      </c>
      <c r="BE94" s="283" t="s">
        <v>12205</v>
      </c>
      <c r="BF94" s="300" t="s">
        <v>12206</v>
      </c>
    </row>
    <row r="95" spans="1:58" ht="12" thickBot="1" x14ac:dyDescent="0.25">
      <c r="A95" s="249" t="s">
        <v>890</v>
      </c>
      <c r="B95" s="249" t="s">
        <v>12207</v>
      </c>
      <c r="C95" s="62">
        <v>13</v>
      </c>
      <c r="D95" s="62"/>
      <c r="E95" s="345" t="s">
        <v>11594</v>
      </c>
      <c r="F95" s="345" t="s">
        <v>10080</v>
      </c>
      <c r="G95" s="113">
        <v>0</v>
      </c>
      <c r="H95" s="113">
        <v>8</v>
      </c>
      <c r="I95" s="114"/>
      <c r="J95" s="114"/>
      <c r="K95" s="114"/>
      <c r="L95" s="81"/>
      <c r="M95" s="265" t="b">
        <f>NOT(ISERROR(ResultsInd[[#This Row],[Goal-A]]+ResultsInd[[#This Row],[Goal-B]]))</f>
        <v>1</v>
      </c>
      <c r="N95" s="265">
        <f>VALUE(ResultsInd[[#This Row],[Score-A]])</f>
        <v>0</v>
      </c>
      <c r="O95" s="265">
        <f>VALUE(ResultsInd[[#This Row],[Score-B]])</f>
        <v>8</v>
      </c>
      <c r="P95" s="265">
        <f ca="1">IF(AND(ResultsInd[[#This Row],[Category]]&lt;&gt;"",ResultsInd[[#This Row],[Player A]]&lt;&gt;""),COUNTIF(INDIRECT(ResultsInd[[#This Row],[Category]]&amp;"List[Retained Player Name]"),ResultsInd[[#This Row],[Player A]]),"")</f>
        <v>1</v>
      </c>
      <c r="Q95" s="265">
        <f ca="1">IF(AND(ResultsInd[[#This Row],[Category]]&lt;&gt;"",ResultsInd[[#This Row],[Player B]]&lt;&gt;""),COUNTIF(INDIRECT(ResultsInd[[#This Row],[Category]]&amp;"List[Retained Player Name]"),ResultsInd[[#This Row],[Player B]]),"")</f>
        <v>1</v>
      </c>
      <c r="R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Dotto</v>
      </c>
      <c r="S95" s="265" t="str">
        <f>IF(ResultsInd[[#This Row],[Score_OK]],IF(ResultsInd[[#This Row],[Stage]]="Groups",ResultsInd[[#This Row],[Category]]&amp;"-"&amp;IF(ResultsInd[[#This Row],[Player B]]="","",IF(ResultsInd[[#This Row],[Score-A]]=ResultsInd[[#This Row],[Score-B]],ResultsInd[[#This Row],[Player A]],"")),""),"")</f>
        <v>OPEN-</v>
      </c>
      <c r="T95" s="265" t="str">
        <f>IF(ResultsInd[[#This Row],[Score_OK]],IF(ResultsInd[[#This Row],[Stage]]="Groups",ResultsInd[[#This Row],[Category]]&amp;"-"&amp;IF(ResultsInd[[#This Row],[Player B]]="","",IF(ResultsInd[[#This Row],[Score-A]]=ResultsInd[[#This Row],[Score-B]],ResultsInd[[#This Row],[Player B]],"")),""),"")</f>
        <v>OPEN-</v>
      </c>
      <c r="U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OPEN-Aurélien Feye</v>
      </c>
      <c r="V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X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Y95" s="264" t="str">
        <f>IF(ResultsInd[[#This Row],[Category]]="","",VLOOKUP(ResultsInd[[#This Row],[Stage]],$P$1:$V$9,MATCH(ResultsInd[[#This Row],[Category]],$Q$1:$V$1,0)+1,FALSE))</f>
        <v>PR1</v>
      </c>
      <c r="Z95" s="264" t="str">
        <f>IF(ResultsInd[[#This Row],[Score_OK]],IF(ResultsInd[[#This Row],[Level]]="R",ResultsInd[[#This Row],[Category]]&amp;"-"&amp;IF(ResultsInd[[#This Row],[LoseInKO]]=ResultsInd[[#This Row],[Category]]&amp;"-"&amp;ResultsInd[[#This Row],[Player A]],ResultsInd[[#This Row],[Player B]],ResultsInd[[#This Row],[Player A]]),""),"")</f>
        <v/>
      </c>
      <c r="AB95" s="8"/>
      <c r="AC95" s="12" t="str">
        <f>IF(AC94="","",AC94)</f>
        <v>OPEN</v>
      </c>
      <c r="AD95" s="309" t="s">
        <v>8628</v>
      </c>
      <c r="AE95" s="320"/>
      <c r="AF95" s="311"/>
      <c r="AG95" s="292">
        <f>IF(AP95="","",SMALL(AH95:AH101,ROWS(AG95:AG95)))</f>
        <v>1001</v>
      </c>
      <c r="AH95" s="293">
        <f>IF(AP95="","",RANK(AL95,AL95:AL101)*1000+ROWS(AH95:AH95))</f>
        <v>1001</v>
      </c>
      <c r="AI95" s="316">
        <f t="shared" ref="AI95:AI101" si="73">IF(AP95="","",CritClassInd1_Points*AN95+CritClassInd1_Matches*AP95+CritClassInd1_Attaque*AS95+CritClassInd1_DiffButs*AU95)</f>
        <v>9000000000000</v>
      </c>
      <c r="AJ95" s="415" t="b">
        <f>AND(AO95&lt;&gt;"",AO95&gt;0,COUNTIF(AI95:AI101,AI95)&gt;1)</f>
        <v>0</v>
      </c>
      <c r="AK95" s="316">
        <f t="shared" ref="AK95:AK101" si="74">IF(AP95="","",CritClassInd_ScorePart*AE95)</f>
        <v>0</v>
      </c>
      <c r="AL95" s="317">
        <f t="shared" ref="AL95:AL101" si="75">IF(AP95="","",AI95+AK95+CritClassInd2_Points*AN95+CritClassInd2_Matches*AP95+CritClassInd2_Attaque*AS95+CritClassInd2_DiffButs*AU95+AF95)</f>
        <v>9000000111600</v>
      </c>
      <c r="AM95" s="415" t="b">
        <f>AND(AO95&lt;&gt;"",AO95&gt;0,COUNTIF(AL95:AL101,AL95)&gt;1)</f>
        <v>0</v>
      </c>
      <c r="AN95" s="306">
        <f t="shared" ref="AN95:AN101" si="76">IF(AP95="","",(AP95*Points_Victoire)+AQ95*Points_Null)</f>
        <v>9</v>
      </c>
      <c r="AO95" s="307">
        <f t="shared" ref="AO95:AO101" si="77">IF(AP95="","",SUM(AP95:AR95))</f>
        <v>3</v>
      </c>
      <c r="AP95" s="307">
        <f>IF(OR(AC94="",AD95=""),"",COUNTIF(ResultsInd[Win],AC94&amp;"-"&amp;AD95))</f>
        <v>3</v>
      </c>
      <c r="AQ95" s="307">
        <f>IF(OR(AC94="",AD95=""),"",COUNTIF(ResultsInd[Draw1],AC94&amp;"-"&amp;AD95)+COUNTIF(ResultsInd[Draw2],AC94&amp;"-"&amp;AD95))</f>
        <v>0</v>
      </c>
      <c r="AR95" s="307">
        <f>IF(OR(AC94="",AD95=""),"",COUNTIF(ResultsInd[Lose],AC94&amp;"-"&amp;AD95))</f>
        <v>0</v>
      </c>
      <c r="AS95" s="307">
        <f>IF(OR(AC94="",AD95=""),"",SUMIFS(ResultsInd[Goal-A],ResultsInd[Category],AC94,ResultsInd[Stage],"Groups",ResultsInd[Player A],AD95)+SUMIFS(ResultsInd[Goal-B],ResultsInd[Category],AC94,ResultsInd[Stage],"Groups",ResultsInd[Player B],AD95))</f>
        <v>16</v>
      </c>
      <c r="AT95" s="307">
        <f>IF(OR(AC94="",AD95=""),"",SUMIFS(ResultsInd[Goal-B],ResultsInd[Category],AC94,ResultsInd[Stage],"Groups",ResultsInd[Player A],AD95)+SUMIFS(ResultsInd[Goal-A],ResultsInd[Category],AC94,ResultsInd[Stage],"Groups",ResultsInd[Player B],AD95))</f>
        <v>5</v>
      </c>
      <c r="AU95" s="308">
        <f>IF(AP95="","",AS95-AT95)</f>
        <v>11</v>
      </c>
      <c r="AV95" s="469" t="b">
        <f>IF(AG95="","",OR(VLOOKUP(AG95,AH95:AU101,3,FALSE),VLOOKUP(AG95,AH95:AU101,6,FALSE)))</f>
        <v>0</v>
      </c>
      <c r="AW95" s="298">
        <f t="shared" ref="AW95:AW101" si="78">IF(AG95="","",INT(AG95/1000))</f>
        <v>1</v>
      </c>
      <c r="AX95" s="285" t="str">
        <f>IF(AG95="","",INDEX(AD95:AD101,MATCH(AG95,AH95:AH101,0)))</f>
        <v>David González</v>
      </c>
      <c r="AY95" s="286">
        <f>IF(AG95="","",VLOOKUP(AG95,AH95:AU101,COLUMN()-COLUMN(AR94),FALSE))</f>
        <v>9</v>
      </c>
      <c r="AZ95" s="286">
        <f>IF(AG95="","",VLOOKUP(AG95,AH95:AU101,COLUMN()-COLUMN(AR94),FALSE))</f>
        <v>3</v>
      </c>
      <c r="BA95" s="286">
        <f>IF(AG95="","",VLOOKUP(AG95,AH95:AU101,COLUMN()-COLUMN(AR94),FALSE))</f>
        <v>3</v>
      </c>
      <c r="BB95" s="286">
        <f>IF(AG95="","",VLOOKUP(AG95,AH95:AU101,COLUMN()-COLUMN(AR94),FALSE))</f>
        <v>0</v>
      </c>
      <c r="BC95" s="286">
        <f>IF(AG95="","",VLOOKUP(AG95,AH95:AU101,COLUMN()-COLUMN(AR94),FALSE))</f>
        <v>0</v>
      </c>
      <c r="BD95" s="286">
        <f>IF(AG95="","",VLOOKUP(AG95,AH95:AU101,COLUMN()-COLUMN(AR94),FALSE))</f>
        <v>16</v>
      </c>
      <c r="BE95" s="286">
        <f>IF(AG95="","",VLOOKUP(AG95,AH95:AU101,COLUMN()-COLUMN(AR94),FALSE))</f>
        <v>5</v>
      </c>
      <c r="BF95" s="301">
        <f>IF(AG95="","",VLOOKUP(AG95,AH95:AU101,COLUMN()-COLUMN(AR94),FALSE))</f>
        <v>11</v>
      </c>
    </row>
    <row r="96" spans="1:58" ht="12" thickBot="1" x14ac:dyDescent="0.25">
      <c r="A96" s="249" t="s">
        <v>890</v>
      </c>
      <c r="B96" s="249" t="s">
        <v>12207</v>
      </c>
      <c r="C96" s="62">
        <v>13</v>
      </c>
      <c r="D96" s="62"/>
      <c r="E96" s="345" t="s">
        <v>8698</v>
      </c>
      <c r="F96" s="345" t="s">
        <v>8109</v>
      </c>
      <c r="G96" s="113">
        <v>3</v>
      </c>
      <c r="H96" s="113">
        <v>1</v>
      </c>
      <c r="I96" s="114"/>
      <c r="J96" s="114"/>
      <c r="K96" s="114"/>
      <c r="L96" s="81"/>
      <c r="M96" s="265" t="b">
        <f>NOT(ISERROR(ResultsInd[[#This Row],[Goal-A]]+ResultsInd[[#This Row],[Goal-B]]))</f>
        <v>1</v>
      </c>
      <c r="N96" s="265">
        <f>VALUE(ResultsInd[[#This Row],[Score-A]])</f>
        <v>3</v>
      </c>
      <c r="O96" s="265">
        <f>VALUE(ResultsInd[[#This Row],[Score-B]])</f>
        <v>1</v>
      </c>
      <c r="P96" s="265">
        <f ca="1">IF(AND(ResultsInd[[#This Row],[Category]]&lt;&gt;"",ResultsInd[[#This Row],[Player A]]&lt;&gt;""),COUNTIF(INDIRECT(ResultsInd[[#This Row],[Category]]&amp;"List[Retained Player Name]"),ResultsInd[[#This Row],[Player A]]),"")</f>
        <v>1</v>
      </c>
      <c r="Q96" s="265">
        <f ca="1">IF(AND(ResultsInd[[#This Row],[Category]]&lt;&gt;"",ResultsInd[[#This Row],[Player B]]&lt;&gt;""),COUNTIF(INDIRECT(ResultsInd[[#This Row],[Category]]&amp;"List[Retained Player Name]"),ResultsInd[[#This Row],[Player B]]),"")</f>
        <v>1</v>
      </c>
      <c r="R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OPEN-Axel Modeste</v>
      </c>
      <c r="S96" s="265" t="str">
        <f>IF(ResultsInd[[#This Row],[Score_OK]],IF(ResultsInd[[#This Row],[Stage]]="Groups",ResultsInd[[#This Row],[Category]]&amp;"-"&amp;IF(ResultsInd[[#This Row],[Player B]]="","",IF(ResultsInd[[#This Row],[Score-A]]=ResultsInd[[#This Row],[Score-B]],ResultsInd[[#This Row],[Player A]],"")),""),"")</f>
        <v>OPEN-</v>
      </c>
      <c r="T96" s="265" t="str">
        <f>IF(ResultsInd[[#This Row],[Score_OK]],IF(ResultsInd[[#This Row],[Stage]]="Groups",ResultsInd[[#This Row],[Category]]&amp;"-"&amp;IF(ResultsInd[[#This Row],[Player B]]="","",IF(ResultsInd[[#This Row],[Score-A]]=ResultsInd[[#This Row],[Score-B]],ResultsInd[[#This Row],[Player B]],"")),""),"")</f>
        <v>OPEN-</v>
      </c>
      <c r="U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OPEN-Joffray Laurent</v>
      </c>
      <c r="V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OPEN-Joffray Laurent</v>
      </c>
      <c r="X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OPEN-Joffray Laurent</v>
      </c>
      <c r="Y96" s="264" t="str">
        <f>IF(ResultsInd[[#This Row],[Category]]="","",VLOOKUP(ResultsInd[[#This Row],[Stage]],$P$1:$V$9,MATCH(ResultsInd[[#This Row],[Category]],$Q$1:$V$1,0)+1,FALSE))</f>
        <v>PR1</v>
      </c>
      <c r="Z96" s="264" t="str">
        <f>IF(ResultsInd[[#This Row],[Score_OK]],IF(ResultsInd[[#This Row],[Level]]="R",ResultsInd[[#This Row],[Category]]&amp;"-"&amp;IF(ResultsInd[[#This Row],[LoseInKO]]=ResultsInd[[#This Row],[Category]]&amp;"-"&amp;ResultsInd[[#This Row],[Player A]],ResultsInd[[#This Row],[Player B]],ResultsInd[[#This Row],[Player A]]),""),"")</f>
        <v/>
      </c>
      <c r="AB96" s="8"/>
      <c r="AC96" s="12" t="str">
        <f t="shared" ref="AC96:AC101" si="79">IF(AC95="","",AC95)</f>
        <v>OPEN</v>
      </c>
      <c r="AD96" s="309" t="s">
        <v>10440</v>
      </c>
      <c r="AE96" s="320"/>
      <c r="AF96" s="311"/>
      <c r="AG96" s="292">
        <f>IF(AP96="","",SMALL(AH95:AH101,ROWS(AG95:AG96)))</f>
        <v>2003</v>
      </c>
      <c r="AH96" s="293">
        <f>IF(AP96="","",RANK(AL96,AL95:AL101)*1000+ROWS(AH95:AH96))</f>
        <v>4002</v>
      </c>
      <c r="AI96" s="316">
        <f t="shared" si="73"/>
        <v>0</v>
      </c>
      <c r="AJ96" s="415" t="b">
        <f>AND(AO96&lt;&gt;"",AO96&gt;0,COUNTIF(AI95:AI101,AI96)&gt;1)</f>
        <v>0</v>
      </c>
      <c r="AK96" s="316">
        <f t="shared" si="74"/>
        <v>0</v>
      </c>
      <c r="AL96" s="317">
        <f t="shared" si="75"/>
        <v>-99800</v>
      </c>
      <c r="AM96" s="415" t="b">
        <f>AND(AO96&lt;&gt;"",AO96&gt;0,COUNTIF(AL95:AL101,AL96)&gt;1)</f>
        <v>0</v>
      </c>
      <c r="AN96" s="306">
        <f t="shared" si="76"/>
        <v>0</v>
      </c>
      <c r="AO96" s="307">
        <f t="shared" si="77"/>
        <v>3</v>
      </c>
      <c r="AP96" s="307">
        <f>IF(OR(AC94="",AD96=""),"",COUNTIF(ResultsInd[Win],AC94&amp;"-"&amp;AD96))</f>
        <v>0</v>
      </c>
      <c r="AQ96" s="307">
        <f>IF(OR(AC94="",AD96=""),"",COUNTIF(ResultsInd[Draw1],AC94&amp;"-"&amp;AD96)+COUNTIF(ResultsInd[Draw2],AC94&amp;"-"&amp;AD96))</f>
        <v>0</v>
      </c>
      <c r="AR96" s="307">
        <f>IF(OR(AC94="",AD96=""),"",COUNTIF(ResultsInd[Lose],AC94&amp;"-"&amp;AD96))</f>
        <v>3</v>
      </c>
      <c r="AS96" s="307">
        <f>IF(OR(AC94="",AD96=""),"",SUMIFS(ResultsInd[Goal-A],ResultsInd[Category],AC94,ResultsInd[Stage],"Groups",ResultsInd[Player A],AD96)+SUMIFS(ResultsInd[Goal-B],ResultsInd[Category],AC94,ResultsInd[Stage],"Groups",ResultsInd[Player B],AD96))</f>
        <v>2</v>
      </c>
      <c r="AT96" s="307">
        <f>IF(OR(AC94="",AD96=""),"",SUMIFS(ResultsInd[Goal-B],ResultsInd[Category],AC94,ResultsInd[Stage],"Groups",ResultsInd[Player A],AD96)+SUMIFS(ResultsInd[Goal-A],ResultsInd[Category],AC94,ResultsInd[Stage],"Groups",ResultsInd[Player B],AD96))</f>
        <v>12</v>
      </c>
      <c r="AU96" s="308">
        <f t="shared" ref="AU96:AU101" si="80">IF(AP96="","",AS96-AT96)</f>
        <v>-10</v>
      </c>
      <c r="AV96" s="469" t="b">
        <f>IF(AG96="","",OR(VLOOKUP(AG96,AH95:AU101,3,FALSE),VLOOKUP(AG96,AH95:AU101,6,FALSE)))</f>
        <v>0</v>
      </c>
      <c r="AW96" s="298">
        <f t="shared" si="78"/>
        <v>2</v>
      </c>
      <c r="AX96" s="285" t="str">
        <f>IF(AG96="","",INDEX(AD95:AD101,MATCH(AG96,AH95:AH101,0)))</f>
        <v>Christopher Sabetta</v>
      </c>
      <c r="AY96" s="286">
        <f>IF(AG96="","",VLOOKUP(AG96,AH95:AU101,COLUMN()-COLUMN(AR94),FALSE))</f>
        <v>6</v>
      </c>
      <c r="AZ96" s="286">
        <f>IF(AG96="","",VLOOKUP(AG96,AH95:AU101,COLUMN()-COLUMN(AR94),FALSE))</f>
        <v>3</v>
      </c>
      <c r="BA96" s="286">
        <f>IF(AG96="","",VLOOKUP(AG96,AH95:AU101,COLUMN()-COLUMN(AR94),FALSE))</f>
        <v>2</v>
      </c>
      <c r="BB96" s="286">
        <f>IF(AG96="","",VLOOKUP(AG96,AH95:AU101,COLUMN()-COLUMN(AR94),FALSE))</f>
        <v>0</v>
      </c>
      <c r="BC96" s="286">
        <f>IF(AG96="","",VLOOKUP(AG96,AH95:AU101,COLUMN()-COLUMN(AR94),FALSE))</f>
        <v>1</v>
      </c>
      <c r="BD96" s="286">
        <f>IF(AG96="","",VLOOKUP(AG96,AH95:AU101,COLUMN()-COLUMN(AR94),FALSE))</f>
        <v>9</v>
      </c>
      <c r="BE96" s="286">
        <f>IF(AG96="","",VLOOKUP(AG96,AH95:AU101,COLUMN()-COLUMN(AR94),FALSE))</f>
        <v>4</v>
      </c>
      <c r="BF96" s="301">
        <f>IF(AG96="","",VLOOKUP(AG96,AH95:AU101,COLUMN()-COLUMN(AR94),FALSE))</f>
        <v>5</v>
      </c>
    </row>
    <row r="97" spans="1:58" ht="12" thickBot="1" x14ac:dyDescent="0.25">
      <c r="A97" s="249" t="s">
        <v>890</v>
      </c>
      <c r="B97" s="249" t="s">
        <v>12207</v>
      </c>
      <c r="C97" s="62">
        <v>14</v>
      </c>
      <c r="D97" s="62"/>
      <c r="E97" s="345" t="s">
        <v>8036</v>
      </c>
      <c r="F97" s="345" t="s">
        <v>8096</v>
      </c>
      <c r="G97" s="113">
        <v>8</v>
      </c>
      <c r="H97" s="113">
        <v>1</v>
      </c>
      <c r="I97" s="114"/>
      <c r="J97" s="114"/>
      <c r="K97" s="114"/>
      <c r="L97" s="81"/>
      <c r="M97" s="265" t="b">
        <f>NOT(ISERROR(ResultsInd[[#This Row],[Goal-A]]+ResultsInd[[#This Row],[Goal-B]]))</f>
        <v>1</v>
      </c>
      <c r="N97" s="265">
        <f>VALUE(ResultsInd[[#This Row],[Score-A]])</f>
        <v>8</v>
      </c>
      <c r="O97" s="265">
        <f>VALUE(ResultsInd[[#This Row],[Score-B]])</f>
        <v>1</v>
      </c>
      <c r="P97" s="265">
        <f ca="1">IF(AND(ResultsInd[[#This Row],[Category]]&lt;&gt;"",ResultsInd[[#This Row],[Player A]]&lt;&gt;""),COUNTIF(INDIRECT(ResultsInd[[#This Row],[Category]]&amp;"List[Retained Player Name]"),ResultsInd[[#This Row],[Player A]]),"")</f>
        <v>1</v>
      </c>
      <c r="Q97" s="265">
        <f ca="1">IF(AND(ResultsInd[[#This Row],[Category]]&lt;&gt;"",ResultsInd[[#This Row],[Player B]]&lt;&gt;""),COUNTIF(INDIRECT(ResultsInd[[#This Row],[Category]]&amp;"List[Retained Player Name]"),ResultsInd[[#This Row],[Player B]]),"")</f>
        <v>1</v>
      </c>
      <c r="R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OPEN-Wolfgang Leitner</v>
      </c>
      <c r="S97" s="265" t="str">
        <f>IF(ResultsInd[[#This Row],[Score_OK]],IF(ResultsInd[[#This Row],[Stage]]="Groups",ResultsInd[[#This Row],[Category]]&amp;"-"&amp;IF(ResultsInd[[#This Row],[Player B]]="","",IF(ResultsInd[[#This Row],[Score-A]]=ResultsInd[[#This Row],[Score-B]],ResultsInd[[#This Row],[Player A]],"")),""),"")</f>
        <v>OPEN-</v>
      </c>
      <c r="T97" s="265" t="str">
        <f>IF(ResultsInd[[#This Row],[Score_OK]],IF(ResultsInd[[#This Row],[Stage]]="Groups",ResultsInd[[#This Row],[Category]]&amp;"-"&amp;IF(ResultsInd[[#This Row],[Player B]]="","",IF(ResultsInd[[#This Row],[Score-A]]=ResultsInd[[#This Row],[Score-B]],ResultsInd[[#This Row],[Player B]],"")),""),"")</f>
        <v>OPEN-</v>
      </c>
      <c r="U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OPEN-Louison Giaux</v>
      </c>
      <c r="V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OPEN-Louison Giaux</v>
      </c>
      <c r="X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OPEN-Louison Giaux</v>
      </c>
      <c r="Y97" s="264" t="str">
        <f>IF(ResultsInd[[#This Row],[Category]]="","",VLOOKUP(ResultsInd[[#This Row],[Stage]],$P$1:$V$9,MATCH(ResultsInd[[#This Row],[Category]],$Q$1:$V$1,0)+1,FALSE))</f>
        <v>PR1</v>
      </c>
      <c r="Z97" s="264" t="str">
        <f>IF(ResultsInd[[#This Row],[Score_OK]],IF(ResultsInd[[#This Row],[Level]]="R",ResultsInd[[#This Row],[Category]]&amp;"-"&amp;IF(ResultsInd[[#This Row],[LoseInKO]]=ResultsInd[[#This Row],[Category]]&amp;"-"&amp;ResultsInd[[#This Row],[Player A]],ResultsInd[[#This Row],[Player B]],ResultsInd[[#This Row],[Player A]]),""),"")</f>
        <v/>
      </c>
      <c r="AB97" s="8"/>
      <c r="AC97" s="12" t="str">
        <f t="shared" si="79"/>
        <v>OPEN</v>
      </c>
      <c r="AD97" s="309" t="s">
        <v>8165</v>
      </c>
      <c r="AE97" s="320"/>
      <c r="AF97" s="311"/>
      <c r="AG97" s="292">
        <f>IF(AP97="","",SMALL(AH95:AH101,ROWS(AG95:AG97)))</f>
        <v>3004</v>
      </c>
      <c r="AH97" s="293">
        <f>IF(AP97="","",RANK(AL97,AL95:AL101)*1000+ROWS(AH95:AH97))</f>
        <v>2003</v>
      </c>
      <c r="AI97" s="316">
        <f t="shared" si="73"/>
        <v>6000000000000</v>
      </c>
      <c r="AJ97" s="415" t="b">
        <f>AND(AO97&lt;&gt;"",AO97&gt;0,COUNTIF(AI95:AI101,AI97)&gt;1)</f>
        <v>0</v>
      </c>
      <c r="AK97" s="316">
        <f t="shared" si="74"/>
        <v>0</v>
      </c>
      <c r="AL97" s="317">
        <f t="shared" si="75"/>
        <v>6000000050900</v>
      </c>
      <c r="AM97" s="415" t="b">
        <f>AND(AO97&lt;&gt;"",AO97&gt;0,COUNTIF(AL95:AL101,AL97)&gt;1)</f>
        <v>0</v>
      </c>
      <c r="AN97" s="306">
        <f t="shared" si="76"/>
        <v>6</v>
      </c>
      <c r="AO97" s="307">
        <f t="shared" si="77"/>
        <v>3</v>
      </c>
      <c r="AP97" s="307">
        <f>IF(OR(AC94="",AD97=""),"",COUNTIF(ResultsInd[Win],AC94&amp;"-"&amp;AD97))</f>
        <v>2</v>
      </c>
      <c r="AQ97" s="307">
        <f>IF(OR(AC94="",AD97=""),"",COUNTIF(ResultsInd[Draw1],AC94&amp;"-"&amp;AD97)+COUNTIF(ResultsInd[Draw2],AC94&amp;"-"&amp;AD97))</f>
        <v>0</v>
      </c>
      <c r="AR97" s="307">
        <f>IF(OR(AC94="",AD97=""),"",COUNTIF(ResultsInd[Lose],AC94&amp;"-"&amp;AD97))</f>
        <v>1</v>
      </c>
      <c r="AS97" s="307">
        <f>IF(OR(AC94="",AD97=""),"",SUMIFS(ResultsInd[Goal-A],ResultsInd[Category],AC94,ResultsInd[Stage],"Groups",ResultsInd[Player A],AD97)+SUMIFS(ResultsInd[Goal-B],ResultsInd[Category],AC94,ResultsInd[Stage],"Groups",ResultsInd[Player B],AD97))</f>
        <v>9</v>
      </c>
      <c r="AT97" s="307">
        <f>IF(OR(AC94="",AD97=""),"",SUMIFS(ResultsInd[Goal-B],ResultsInd[Category],AC94,ResultsInd[Stage],"Groups",ResultsInd[Player A],AD97)+SUMIFS(ResultsInd[Goal-A],ResultsInd[Category],AC94,ResultsInd[Stage],"Groups",ResultsInd[Player B],AD97))</f>
        <v>4</v>
      </c>
      <c r="AU97" s="308">
        <f t="shared" si="80"/>
        <v>5</v>
      </c>
      <c r="AV97" s="469" t="b">
        <f>IF(AG97="","",OR(VLOOKUP(AG97,AH95:AU101,3,FALSE),VLOOKUP(AG97,AH95:AU101,6,FALSE)))</f>
        <v>0</v>
      </c>
      <c r="AW97" s="298">
        <f t="shared" si="78"/>
        <v>3</v>
      </c>
      <c r="AX97" s="285" t="str">
        <f>IF(AG97="","",INDEX(AD95:AD101,MATCH(AG97,AH95:AH101,0)))</f>
        <v>Christophe Brach</v>
      </c>
      <c r="AY97" s="286">
        <f>IF(AG97="","",VLOOKUP(AG97,AH95:AU101,COLUMN()-COLUMN(AR94),FALSE))</f>
        <v>3</v>
      </c>
      <c r="AZ97" s="286">
        <f>IF(AG97="","",VLOOKUP(AG97,AH95:AU101,COLUMN()-COLUMN(AR94),FALSE))</f>
        <v>3</v>
      </c>
      <c r="BA97" s="286">
        <f>IF(AG97="","",VLOOKUP(AG97,AH95:AU101,COLUMN()-COLUMN(AR94),FALSE))</f>
        <v>1</v>
      </c>
      <c r="BB97" s="286">
        <f>IF(AG97="","",VLOOKUP(AG97,AH95:AU101,COLUMN()-COLUMN(AR94),FALSE))</f>
        <v>0</v>
      </c>
      <c r="BC97" s="286">
        <f>IF(AG97="","",VLOOKUP(AG97,AH95:AU101,COLUMN()-COLUMN(AR94),FALSE))</f>
        <v>2</v>
      </c>
      <c r="BD97" s="286">
        <f>IF(AG97="","",VLOOKUP(AG97,AH95:AU101,COLUMN()-COLUMN(AR94),FALSE))</f>
        <v>5</v>
      </c>
      <c r="BE97" s="286">
        <f>IF(AG97="","",VLOOKUP(AG97,AH95:AU101,COLUMN()-COLUMN(AR94),FALSE))</f>
        <v>11</v>
      </c>
      <c r="BF97" s="301">
        <f>IF(AG97="","",VLOOKUP(AG97,AH95:AU101,COLUMN()-COLUMN(AR94),FALSE))</f>
        <v>-6</v>
      </c>
    </row>
    <row r="98" spans="1:58" ht="12" thickBot="1" x14ac:dyDescent="0.25">
      <c r="A98" s="249" t="s">
        <v>890</v>
      </c>
      <c r="B98" s="249" t="s">
        <v>12207</v>
      </c>
      <c r="C98" s="62">
        <v>14</v>
      </c>
      <c r="D98" s="62"/>
      <c r="E98" s="345" t="s">
        <v>10783</v>
      </c>
      <c r="F98" s="345" t="s">
        <v>10283</v>
      </c>
      <c r="G98" s="113">
        <v>1</v>
      </c>
      <c r="H98" s="113">
        <v>2</v>
      </c>
      <c r="I98" s="114"/>
      <c r="J98" s="114"/>
      <c r="K98" s="114"/>
      <c r="L98" s="81"/>
      <c r="M98" s="265" t="b">
        <f>NOT(ISERROR(ResultsInd[[#This Row],[Goal-A]]+ResultsInd[[#This Row],[Goal-B]]))</f>
        <v>1</v>
      </c>
      <c r="N98" s="265">
        <f>VALUE(ResultsInd[[#This Row],[Score-A]])</f>
        <v>1</v>
      </c>
      <c r="O98" s="265">
        <f>VALUE(ResultsInd[[#This Row],[Score-B]])</f>
        <v>2</v>
      </c>
      <c r="P98" s="265">
        <f ca="1">IF(AND(ResultsInd[[#This Row],[Category]]&lt;&gt;"",ResultsInd[[#This Row],[Player A]]&lt;&gt;""),COUNTIF(INDIRECT(ResultsInd[[#This Row],[Category]]&amp;"List[Retained Player Name]"),ResultsInd[[#This Row],[Player A]]),"")</f>
        <v>1</v>
      </c>
      <c r="Q98" s="265">
        <f ca="1">IF(AND(ResultsInd[[#This Row],[Category]]&lt;&gt;"",ResultsInd[[#This Row],[Player B]]&lt;&gt;""),COUNTIF(INDIRECT(ResultsInd[[#This Row],[Category]]&amp;"List[Retained Player Name]"),ResultsInd[[#This Row],[Player B]]),"")</f>
        <v>1</v>
      </c>
      <c r="R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OPEN-Marcello Bodin De Chatelard</v>
      </c>
      <c r="S98" s="265" t="str">
        <f>IF(ResultsInd[[#This Row],[Score_OK]],IF(ResultsInd[[#This Row],[Stage]]="Groups",ResultsInd[[#This Row],[Category]]&amp;"-"&amp;IF(ResultsInd[[#This Row],[Player B]]="","",IF(ResultsInd[[#This Row],[Score-A]]=ResultsInd[[#This Row],[Score-B]],ResultsInd[[#This Row],[Player A]],"")),""),"")</f>
        <v>OPEN-</v>
      </c>
      <c r="T98" s="265" t="str">
        <f>IF(ResultsInd[[#This Row],[Score_OK]],IF(ResultsInd[[#This Row],[Stage]]="Groups",ResultsInd[[#This Row],[Category]]&amp;"-"&amp;IF(ResultsInd[[#This Row],[Player B]]="","",IF(ResultsInd[[#This Row],[Score-A]]=ResultsInd[[#This Row],[Score-B]],ResultsInd[[#This Row],[Player B]],"")),""),"")</f>
        <v>OPEN-</v>
      </c>
      <c r="U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OPEN-Mongi Rouis</v>
      </c>
      <c r="V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OPEN-Mongi Rouis</v>
      </c>
      <c r="X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OPEN-Mongi Rouis</v>
      </c>
      <c r="Y98" s="264" t="str">
        <f>IF(ResultsInd[[#This Row],[Category]]="","",VLOOKUP(ResultsInd[[#This Row],[Stage]],$P$1:$V$9,MATCH(ResultsInd[[#This Row],[Category]],$Q$1:$V$1,0)+1,FALSE))</f>
        <v>PR1</v>
      </c>
      <c r="Z98" s="264" t="str">
        <f>IF(ResultsInd[[#This Row],[Score_OK]],IF(ResultsInd[[#This Row],[Level]]="R",ResultsInd[[#This Row],[Category]]&amp;"-"&amp;IF(ResultsInd[[#This Row],[LoseInKO]]=ResultsInd[[#This Row],[Category]]&amp;"-"&amp;ResultsInd[[#This Row],[Player A]],ResultsInd[[#This Row],[Player B]],ResultsInd[[#This Row],[Player A]]),""),"")</f>
        <v/>
      </c>
      <c r="AB98" s="91"/>
      <c r="AC98" s="12" t="str">
        <f t="shared" si="79"/>
        <v>OPEN</v>
      </c>
      <c r="AD98" s="309" t="s">
        <v>8078</v>
      </c>
      <c r="AE98" s="310"/>
      <c r="AF98" s="311"/>
      <c r="AG98" s="292">
        <f>IF(AP98="","",SMALL(AH95:AH101,ROWS(AG95:AG98)))</f>
        <v>4002</v>
      </c>
      <c r="AH98" s="293">
        <f>IF(AP98="","",RANK(AL98,AL95:AL101)*1000+ROWS(AH95:AH98))</f>
        <v>3004</v>
      </c>
      <c r="AI98" s="316">
        <f t="shared" si="73"/>
        <v>3000000000000</v>
      </c>
      <c r="AJ98" s="415" t="b">
        <f>AND(AO98&lt;&gt;"",AO98&gt;0,COUNTIF(AI95:AI101,AI98)&gt;1)</f>
        <v>0</v>
      </c>
      <c r="AK98" s="316">
        <f t="shared" si="74"/>
        <v>0</v>
      </c>
      <c r="AL98" s="317">
        <f t="shared" si="75"/>
        <v>2999999940500</v>
      </c>
      <c r="AM98" s="415" t="b">
        <f>AND(AO98&lt;&gt;"",AO98&gt;0,COUNTIF(AL95:AL101,AL98)&gt;1)</f>
        <v>0</v>
      </c>
      <c r="AN98" s="306">
        <f t="shared" si="76"/>
        <v>3</v>
      </c>
      <c r="AO98" s="307">
        <f t="shared" si="77"/>
        <v>3</v>
      </c>
      <c r="AP98" s="307">
        <f>IF(OR(AC94="",AD98=""),"",COUNTIF(ResultsInd[Win],AC94&amp;"-"&amp;AD98))</f>
        <v>1</v>
      </c>
      <c r="AQ98" s="307">
        <f>IF(OR(AC94="",AD98=""),"",COUNTIF(ResultsInd[Draw1],AC94&amp;"-"&amp;AD98)+COUNTIF(ResultsInd[Draw2],AC94&amp;"-"&amp;AD98))</f>
        <v>0</v>
      </c>
      <c r="AR98" s="307">
        <f>IF(OR(AC94="",AD98=""),"",COUNTIF(ResultsInd[Lose],AC94&amp;"-"&amp;AD98))</f>
        <v>2</v>
      </c>
      <c r="AS98" s="307">
        <f>IF(OR(AC94="",AD98=""),"",SUMIFS(ResultsInd[Goal-A],ResultsInd[Category],AC94,ResultsInd[Stage],"Groups",ResultsInd[Player A],AD98)+SUMIFS(ResultsInd[Goal-B],ResultsInd[Category],AC94,ResultsInd[Stage],"Groups",ResultsInd[Player B],AD98))</f>
        <v>5</v>
      </c>
      <c r="AT98" s="307">
        <f>IF(OR(AC94="",AD98=""),"",SUMIFS(ResultsInd[Goal-B],ResultsInd[Category],AC94,ResultsInd[Stage],"Groups",ResultsInd[Player A],AD98)+SUMIFS(ResultsInd[Goal-A],ResultsInd[Category],AC94,ResultsInd[Stage],"Groups",ResultsInd[Player B],AD98))</f>
        <v>11</v>
      </c>
      <c r="AU98" s="308">
        <f t="shared" si="80"/>
        <v>-6</v>
      </c>
      <c r="AV98" s="469" t="b">
        <f>IF(AG98="","",OR(VLOOKUP(AG98,AH95:AU101,3,FALSE),VLOOKUP(AG98,AH95:AU101,6,FALSE)))</f>
        <v>0</v>
      </c>
      <c r="AW98" s="298">
        <f t="shared" si="78"/>
        <v>4</v>
      </c>
      <c r="AX98" s="285" t="str">
        <f>IF(AG98="","",INDEX(AD95:AD101,MATCH(AG98,AH95:AH101,0)))</f>
        <v>Stanley Farrugia Randon</v>
      </c>
      <c r="AY98" s="286">
        <f>IF(AG98="","",VLOOKUP(AG98,AH95:AU101,COLUMN()-COLUMN(AR94),FALSE))</f>
        <v>0</v>
      </c>
      <c r="AZ98" s="286">
        <f>IF(AG98="","",VLOOKUP(AG98,AH95:AU101,COLUMN()-COLUMN(AR94),FALSE))</f>
        <v>3</v>
      </c>
      <c r="BA98" s="286">
        <f>IF(AG98="","",VLOOKUP(AG98,AH95:AU101,COLUMN()-COLUMN(AR94),FALSE))</f>
        <v>0</v>
      </c>
      <c r="BB98" s="286">
        <f>IF(AG98="","",VLOOKUP(AG98,AH95:AU101,COLUMN()-COLUMN(AR94),FALSE))</f>
        <v>0</v>
      </c>
      <c r="BC98" s="286">
        <f>IF(AG98="","",VLOOKUP(AG98,AH95:AU101,COLUMN()-COLUMN(AR94),FALSE))</f>
        <v>3</v>
      </c>
      <c r="BD98" s="286">
        <f>IF(AG98="","",VLOOKUP(AG98,AH95:AU101,COLUMN()-COLUMN(AR94),FALSE))</f>
        <v>2</v>
      </c>
      <c r="BE98" s="286">
        <f>IF(AG98="","",VLOOKUP(AG98,AH95:AU101,COLUMN()-COLUMN(AR94),FALSE))</f>
        <v>12</v>
      </c>
      <c r="BF98" s="301">
        <f>IF(AG98="","",VLOOKUP(AG98,AH95:AU101,COLUMN()-COLUMN(AR94),FALSE))</f>
        <v>-10</v>
      </c>
    </row>
    <row r="99" spans="1:58" ht="12" thickBot="1" x14ac:dyDescent="0.25">
      <c r="A99" s="249" t="s">
        <v>890</v>
      </c>
      <c r="B99" s="249" t="s">
        <v>12207</v>
      </c>
      <c r="C99" s="62">
        <v>14</v>
      </c>
      <c r="D99" s="62"/>
      <c r="E99" s="345" t="s">
        <v>8036</v>
      </c>
      <c r="F99" s="345" t="s">
        <v>10783</v>
      </c>
      <c r="G99" s="113">
        <v>1</v>
      </c>
      <c r="H99" s="113">
        <v>1</v>
      </c>
      <c r="I99" s="114"/>
      <c r="J99" s="114"/>
      <c r="K99" s="114"/>
      <c r="L99" s="81"/>
      <c r="M99" s="265" t="b">
        <f>NOT(ISERROR(ResultsInd[[#This Row],[Goal-A]]+ResultsInd[[#This Row],[Goal-B]]))</f>
        <v>1</v>
      </c>
      <c r="N99" s="265">
        <f>VALUE(ResultsInd[[#This Row],[Score-A]])</f>
        <v>1</v>
      </c>
      <c r="O99" s="265">
        <f>VALUE(ResultsInd[[#This Row],[Score-B]])</f>
        <v>1</v>
      </c>
      <c r="P99" s="265">
        <f ca="1">IF(AND(ResultsInd[[#This Row],[Category]]&lt;&gt;"",ResultsInd[[#This Row],[Player A]]&lt;&gt;""),COUNTIF(INDIRECT(ResultsInd[[#This Row],[Category]]&amp;"List[Retained Player Name]"),ResultsInd[[#This Row],[Player A]]),"")</f>
        <v>1</v>
      </c>
      <c r="Q99" s="265">
        <f ca="1">IF(AND(ResultsInd[[#This Row],[Category]]&lt;&gt;"",ResultsInd[[#This Row],[Player B]]&lt;&gt;""),COUNTIF(INDIRECT(ResultsInd[[#This Row],[Category]]&amp;"List[Retained Player Name]"),ResultsInd[[#This Row],[Player B]]),"")</f>
        <v>1</v>
      </c>
      <c r="R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99" s="265" t="str">
        <f>IF(ResultsInd[[#This Row],[Score_OK]],IF(ResultsInd[[#This Row],[Stage]]="Groups",ResultsInd[[#This Row],[Category]]&amp;"-"&amp;IF(ResultsInd[[#This Row],[Player B]]="","",IF(ResultsInd[[#This Row],[Score-A]]=ResultsInd[[#This Row],[Score-B]],ResultsInd[[#This Row],[Player A]],"")),""),"")</f>
        <v>OPEN-Wolfgang Leitner</v>
      </c>
      <c r="T99" s="265" t="str">
        <f>IF(ResultsInd[[#This Row],[Score_OK]],IF(ResultsInd[[#This Row],[Stage]]="Groups",ResultsInd[[#This Row],[Category]]&amp;"-"&amp;IF(ResultsInd[[#This Row],[Player B]]="","",IF(ResultsInd[[#This Row],[Score-A]]=ResultsInd[[#This Row],[Score-B]],ResultsInd[[#This Row],[Player B]],"")),""),"")</f>
        <v>OPEN-Mongi Rouis</v>
      </c>
      <c r="U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OPEN-Wolfgang Leitner</v>
      </c>
      <c r="X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OPEN-Mongi Rouis</v>
      </c>
      <c r="Y99" s="264" t="str">
        <f>IF(ResultsInd[[#This Row],[Category]]="","",VLOOKUP(ResultsInd[[#This Row],[Stage]],$P$1:$V$9,MATCH(ResultsInd[[#This Row],[Category]],$Q$1:$V$1,0)+1,FALSE))</f>
        <v>PR1</v>
      </c>
      <c r="Z99" s="264" t="str">
        <f>IF(ResultsInd[[#This Row],[Score_OK]],IF(ResultsInd[[#This Row],[Level]]="R",ResultsInd[[#This Row],[Category]]&amp;"-"&amp;IF(ResultsInd[[#This Row],[LoseInKO]]=ResultsInd[[#This Row],[Category]]&amp;"-"&amp;ResultsInd[[#This Row],[Player A]],ResultsInd[[#This Row],[Player B]],ResultsInd[[#This Row],[Player A]]),""),"")</f>
        <v/>
      </c>
      <c r="AB99" s="91"/>
      <c r="AC99" s="12" t="str">
        <f t="shared" si="79"/>
        <v>OPEN</v>
      </c>
      <c r="AD99" s="309"/>
      <c r="AE99" s="310"/>
      <c r="AF99" s="311"/>
      <c r="AG99" s="292" t="str">
        <f>IF(AP99="","",SMALL(AH95:AH101,ROWS(AG95:AG99)))</f>
        <v/>
      </c>
      <c r="AH99" s="293" t="str">
        <f>IF(AP99="","",RANK(AL99,AL95:AL101)*1000+ROWS(AH95:AH99))</f>
        <v/>
      </c>
      <c r="AI99" s="316" t="str">
        <f t="shared" si="73"/>
        <v/>
      </c>
      <c r="AJ99" s="415" t="b">
        <f>AND(AO99&lt;&gt;"",AO99&gt;0,COUNTIF(AI95:AI101,AI99)&gt;1)</f>
        <v>0</v>
      </c>
      <c r="AK99" s="316" t="str">
        <f t="shared" si="74"/>
        <v/>
      </c>
      <c r="AL99" s="317" t="str">
        <f t="shared" si="75"/>
        <v/>
      </c>
      <c r="AM99" s="415" t="b">
        <f>AND(AO99&lt;&gt;"",AO99&gt;0,COUNTIF(AL95:AL101,AL99)&gt;1)</f>
        <v>0</v>
      </c>
      <c r="AN99" s="306" t="str">
        <f t="shared" si="76"/>
        <v/>
      </c>
      <c r="AO99" s="307" t="str">
        <f t="shared" si="77"/>
        <v/>
      </c>
      <c r="AP99" s="307" t="str">
        <f>IF(OR(AC94="",AD99=""),"",COUNTIF(ResultsInd[Win],AC94&amp;"-"&amp;AD99))</f>
        <v/>
      </c>
      <c r="AQ99" s="307" t="str">
        <f>IF(OR(AC94="",AD99=""),"",COUNTIF(ResultsInd[Draw1],AC94&amp;"-"&amp;AD99)+COUNTIF(ResultsInd[Draw2],AC94&amp;"-"&amp;AD99))</f>
        <v/>
      </c>
      <c r="AR99" s="307" t="str">
        <f>IF(OR(AC94="",AD99=""),"",COUNTIF(ResultsInd[Lose],AC94&amp;"-"&amp;AD99))</f>
        <v/>
      </c>
      <c r="AS99" s="307" t="str">
        <f>IF(OR(AC94="",AD99=""),"",SUMIFS(ResultsInd[Goal-A],ResultsInd[Category],AC94,ResultsInd[Stage],"Groups",ResultsInd[Player A],AD99)+SUMIFS(ResultsInd[Goal-B],ResultsInd[Category],AC94,ResultsInd[Stage],"Groups",ResultsInd[Player B],AD99))</f>
        <v/>
      </c>
      <c r="AT99" s="307" t="str">
        <f>IF(OR(AC94="",AD99=""),"",SUMIFS(ResultsInd[Goal-B],ResultsInd[Category],AC94,ResultsInd[Stage],"Groups",ResultsInd[Player A],AD99)+SUMIFS(ResultsInd[Goal-A],ResultsInd[Category],AC94,ResultsInd[Stage],"Groups",ResultsInd[Player B],AD99))</f>
        <v/>
      </c>
      <c r="AU99" s="308" t="str">
        <f t="shared" si="80"/>
        <v/>
      </c>
      <c r="AV99" s="469" t="str">
        <f>IF(AG99="","",OR(VLOOKUP(AG99,AH95:AU101,3,FALSE),VLOOKUP(AG99,AH95:AU101,6,FALSE)))</f>
        <v/>
      </c>
      <c r="AW99" s="298" t="str">
        <f t="shared" si="78"/>
        <v/>
      </c>
      <c r="AX99" s="285" t="str">
        <f>IF(AG99="","",INDEX(AD95:AD101,MATCH(AG99,AH95:AH101,0)))</f>
        <v/>
      </c>
      <c r="AY99" s="286" t="str">
        <f>IF(AG99="","",VLOOKUP(AG99,AH95:AU101,COLUMN()-COLUMN(AR94),FALSE))</f>
        <v/>
      </c>
      <c r="AZ99" s="286" t="str">
        <f>IF(AG99="","",VLOOKUP(AG99,AH95:AU101,COLUMN()-COLUMN(AR94),FALSE))</f>
        <v/>
      </c>
      <c r="BA99" s="286" t="str">
        <f>IF(AG99="","",VLOOKUP(AG99,AH95:AU101,COLUMN()-COLUMN(AR94),FALSE))</f>
        <v/>
      </c>
      <c r="BB99" s="286" t="str">
        <f>IF(AG99="","",VLOOKUP(AG99,AH95:AU101,COLUMN()-COLUMN(AR94),FALSE))</f>
        <v/>
      </c>
      <c r="BC99" s="286" t="str">
        <f>IF(AG99="","",VLOOKUP(AG99,AH95:AU101,COLUMN()-COLUMN(AR94),FALSE))</f>
        <v/>
      </c>
      <c r="BD99" s="286" t="str">
        <f>IF(AG99="","",VLOOKUP(AG99,AH95:AU101,COLUMN()-COLUMN(AR94),FALSE))</f>
        <v/>
      </c>
      <c r="BE99" s="286" t="str">
        <f>IF(AG99="","",VLOOKUP(AG99,AH95:AU101,COLUMN()-COLUMN(AR94),FALSE))</f>
        <v/>
      </c>
      <c r="BF99" s="301" t="str">
        <f>IF(AG99="","",VLOOKUP(AG99,AH95:AU101,COLUMN()-COLUMN(AR94),FALSE))</f>
        <v/>
      </c>
    </row>
    <row r="100" spans="1:58" ht="12" thickBot="1" x14ac:dyDescent="0.25">
      <c r="A100" s="249" t="s">
        <v>890</v>
      </c>
      <c r="B100" s="249" t="s">
        <v>12207</v>
      </c>
      <c r="C100" s="62">
        <v>14</v>
      </c>
      <c r="D100" s="62"/>
      <c r="E100" s="345" t="s">
        <v>8096</v>
      </c>
      <c r="F100" s="345" t="s">
        <v>10283</v>
      </c>
      <c r="G100" s="113">
        <v>0</v>
      </c>
      <c r="H100" s="113">
        <v>3</v>
      </c>
      <c r="I100" s="114"/>
      <c r="J100" s="114"/>
      <c r="K100" s="114"/>
      <c r="L100" s="81"/>
      <c r="M100" s="265" t="b">
        <f>NOT(ISERROR(ResultsInd[[#This Row],[Goal-A]]+ResultsInd[[#This Row],[Goal-B]]))</f>
        <v>1</v>
      </c>
      <c r="N100" s="265">
        <f>VALUE(ResultsInd[[#This Row],[Score-A]])</f>
        <v>0</v>
      </c>
      <c r="O100" s="265">
        <f>VALUE(ResultsInd[[#This Row],[Score-B]])</f>
        <v>3</v>
      </c>
      <c r="P100" s="265">
        <f ca="1">IF(AND(ResultsInd[[#This Row],[Category]]&lt;&gt;"",ResultsInd[[#This Row],[Player A]]&lt;&gt;""),COUNTIF(INDIRECT(ResultsInd[[#This Row],[Category]]&amp;"List[Retained Player Name]"),ResultsInd[[#This Row],[Player A]]),"")</f>
        <v>1</v>
      </c>
      <c r="Q100" s="265">
        <f ca="1">IF(AND(ResultsInd[[#This Row],[Category]]&lt;&gt;"",ResultsInd[[#This Row],[Player B]]&lt;&gt;""),COUNTIF(INDIRECT(ResultsInd[[#This Row],[Category]]&amp;"List[Retained Player Name]"),ResultsInd[[#This Row],[Player B]]),"")</f>
        <v>1</v>
      </c>
      <c r="R1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OPEN-Marcello Bodin De Chatelard</v>
      </c>
      <c r="S100" s="265" t="str">
        <f>IF(ResultsInd[[#This Row],[Score_OK]],IF(ResultsInd[[#This Row],[Stage]]="Groups",ResultsInd[[#This Row],[Category]]&amp;"-"&amp;IF(ResultsInd[[#This Row],[Player B]]="","",IF(ResultsInd[[#This Row],[Score-A]]=ResultsInd[[#This Row],[Score-B]],ResultsInd[[#This Row],[Player A]],"")),""),"")</f>
        <v>OPEN-</v>
      </c>
      <c r="T100" s="265" t="str">
        <f>IF(ResultsInd[[#This Row],[Score_OK]],IF(ResultsInd[[#This Row],[Stage]]="Groups",ResultsInd[[#This Row],[Category]]&amp;"-"&amp;IF(ResultsInd[[#This Row],[Player B]]="","",IF(ResultsInd[[#This Row],[Score-A]]=ResultsInd[[#This Row],[Score-B]],ResultsInd[[#This Row],[Player B]],"")),""),"")</f>
        <v>OPEN-</v>
      </c>
      <c r="U1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OPEN-Louison Giaux</v>
      </c>
      <c r="V1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OPEN-Louison Giaux</v>
      </c>
      <c r="X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OPEN-Louison Giaux</v>
      </c>
      <c r="Y100" s="264" t="str">
        <f>IF(ResultsInd[[#This Row],[Category]]="","",VLOOKUP(ResultsInd[[#This Row],[Stage]],$P$1:$V$9,MATCH(ResultsInd[[#This Row],[Category]],$Q$1:$V$1,0)+1,FALSE))</f>
        <v>PR1</v>
      </c>
      <c r="Z100" s="264" t="str">
        <f>IF(ResultsInd[[#This Row],[Score_OK]],IF(ResultsInd[[#This Row],[Level]]="R",ResultsInd[[#This Row],[Category]]&amp;"-"&amp;IF(ResultsInd[[#This Row],[LoseInKO]]=ResultsInd[[#This Row],[Category]]&amp;"-"&amp;ResultsInd[[#This Row],[Player A]],ResultsInd[[#This Row],[Player B]],ResultsInd[[#This Row],[Player A]]),""),"")</f>
        <v/>
      </c>
      <c r="AB100" s="8"/>
      <c r="AC100" s="12" t="str">
        <f t="shared" si="79"/>
        <v>OPEN</v>
      </c>
      <c r="AD100" s="309"/>
      <c r="AE100" s="310"/>
      <c r="AF100" s="311"/>
      <c r="AG100" s="292" t="str">
        <f>IF(AP100="","",SMALL(AH95:AH101,ROWS(AG95:AG100)))</f>
        <v/>
      </c>
      <c r="AH100" s="293" t="str">
        <f>IF(AP100="","",RANK(AL100,AL95:AL101)*1000+ROWS(AH95:AH100))</f>
        <v/>
      </c>
      <c r="AI100" s="316" t="str">
        <f t="shared" si="73"/>
        <v/>
      </c>
      <c r="AJ100" s="415" t="b">
        <f>AND(AO100&lt;&gt;"",AO100&gt;0,COUNTIF(AI95:AI101,AI100)&gt;1)</f>
        <v>0</v>
      </c>
      <c r="AK100" s="316" t="str">
        <f t="shared" si="74"/>
        <v/>
      </c>
      <c r="AL100" s="317" t="str">
        <f t="shared" si="75"/>
        <v/>
      </c>
      <c r="AM100" s="415" t="b">
        <f>AND(AO100&lt;&gt;"",AO100&gt;0,COUNTIF(AL95:AL101,AL100)&gt;1)</f>
        <v>0</v>
      </c>
      <c r="AN100" s="306" t="str">
        <f t="shared" si="76"/>
        <v/>
      </c>
      <c r="AO100" s="307" t="str">
        <f t="shared" si="77"/>
        <v/>
      </c>
      <c r="AP100" s="307" t="str">
        <f>IF(OR(AC94="",AD100=""),"",COUNTIF(ResultsInd[Win],AC94&amp;"-"&amp;AD100))</f>
        <v/>
      </c>
      <c r="AQ100" s="307" t="str">
        <f>IF(OR(AC94="",AD100=""),"",COUNTIF(ResultsInd[Draw1],AC94&amp;"-"&amp;AD100)+COUNTIF(ResultsInd[Draw2],AC94&amp;"-"&amp;AD100))</f>
        <v/>
      </c>
      <c r="AR100" s="307" t="str">
        <f>IF(OR(AC94="",AD100=""),"",COUNTIF(ResultsInd[Lose],AC94&amp;"-"&amp;AD100))</f>
        <v/>
      </c>
      <c r="AS100" s="307" t="str">
        <f>IF(OR(AC94="",AD100=""),"",SUMIFS(ResultsInd[Goal-A],ResultsInd[Category],AC94,ResultsInd[Stage],"Groups",ResultsInd[Player A],AD100)+SUMIFS(ResultsInd[Goal-B],ResultsInd[Category],AC94,ResultsInd[Stage],"Groups",ResultsInd[Player B],AD100))</f>
        <v/>
      </c>
      <c r="AT100" s="307" t="str">
        <f>IF(OR(AC94="",AD100=""),"",SUMIFS(ResultsInd[Goal-B],ResultsInd[Category],AC94,ResultsInd[Stage],"Groups",ResultsInd[Player A],AD100)+SUMIFS(ResultsInd[Goal-A],ResultsInd[Category],AC94,ResultsInd[Stage],"Groups",ResultsInd[Player B],AD100))</f>
        <v/>
      </c>
      <c r="AU100" s="308" t="str">
        <f t="shared" si="80"/>
        <v/>
      </c>
      <c r="AV100" s="469" t="str">
        <f>IF(AG100="","",OR(VLOOKUP(AG100,AH95:AU101,3,FALSE),VLOOKUP(AG100,AH95:AU101,6,FALSE)))</f>
        <v/>
      </c>
      <c r="AW100" s="298" t="str">
        <f t="shared" si="78"/>
        <v/>
      </c>
      <c r="AX100" s="285" t="str">
        <f>IF(AG100="","",INDEX(AD95:AD101,MATCH(AG100,AH95:AH101,0)))</f>
        <v/>
      </c>
      <c r="AY100" s="286" t="str">
        <f>IF(AG100="","",VLOOKUP(AG100,AH95:AU101,COLUMN()-COLUMN(AR94),FALSE))</f>
        <v/>
      </c>
      <c r="AZ100" s="286" t="str">
        <f>IF(AG100="","",VLOOKUP(AG100,AH95:AU101,COLUMN()-COLUMN(AR94),FALSE))</f>
        <v/>
      </c>
      <c r="BA100" s="286" t="str">
        <f>IF(AG100="","",VLOOKUP(AG100,AH95:AU101,COLUMN()-COLUMN(AR94),FALSE))</f>
        <v/>
      </c>
      <c r="BB100" s="286" t="str">
        <f>IF(AG100="","",VLOOKUP(AG100,AH95:AU101,COLUMN()-COLUMN(AR94),FALSE))</f>
        <v/>
      </c>
      <c r="BC100" s="286" t="str">
        <f>IF(AG100="","",VLOOKUP(AG100,AH95:AU101,COLUMN()-COLUMN(AR94),FALSE))</f>
        <v/>
      </c>
      <c r="BD100" s="286" t="str">
        <f>IF(AG100="","",VLOOKUP(AG100,AH95:AU101,COLUMN()-COLUMN(AR94),FALSE))</f>
        <v/>
      </c>
      <c r="BE100" s="286" t="str">
        <f>IF(AG100="","",VLOOKUP(AG100,AH95:AU101,COLUMN()-COLUMN(AR94),FALSE))</f>
        <v/>
      </c>
      <c r="BF100" s="301" t="str">
        <f>IF(AG100="","",VLOOKUP(AG100,AH95:AU101,COLUMN()-COLUMN(AR94),FALSE))</f>
        <v/>
      </c>
    </row>
    <row r="101" spans="1:58" ht="12" thickBot="1" x14ac:dyDescent="0.25">
      <c r="A101" s="249" t="s">
        <v>890</v>
      </c>
      <c r="B101" s="249" t="s">
        <v>12207</v>
      </c>
      <c r="C101" s="62">
        <v>14</v>
      </c>
      <c r="D101" s="62"/>
      <c r="E101" s="345" t="s">
        <v>10283</v>
      </c>
      <c r="F101" s="345" t="s">
        <v>8036</v>
      </c>
      <c r="G101" s="113">
        <v>1</v>
      </c>
      <c r="H101" s="113">
        <v>2</v>
      </c>
      <c r="I101" s="114"/>
      <c r="J101" s="114"/>
      <c r="K101" s="114"/>
      <c r="L101" s="81"/>
      <c r="M101" s="265" t="b">
        <f>NOT(ISERROR(ResultsInd[[#This Row],[Goal-A]]+ResultsInd[[#This Row],[Goal-B]]))</f>
        <v>1</v>
      </c>
      <c r="N101" s="265">
        <f>VALUE(ResultsInd[[#This Row],[Score-A]])</f>
        <v>1</v>
      </c>
      <c r="O101" s="265">
        <f>VALUE(ResultsInd[[#This Row],[Score-B]])</f>
        <v>2</v>
      </c>
      <c r="P101" s="265">
        <f ca="1">IF(AND(ResultsInd[[#This Row],[Category]]&lt;&gt;"",ResultsInd[[#This Row],[Player A]]&lt;&gt;""),COUNTIF(INDIRECT(ResultsInd[[#This Row],[Category]]&amp;"List[Retained Player Name]"),ResultsInd[[#This Row],[Player A]]),"")</f>
        <v>1</v>
      </c>
      <c r="Q101" s="265">
        <f ca="1">IF(AND(ResultsInd[[#This Row],[Category]]&lt;&gt;"",ResultsInd[[#This Row],[Player B]]&lt;&gt;""),COUNTIF(INDIRECT(ResultsInd[[#This Row],[Category]]&amp;"List[Retained Player Name]"),ResultsInd[[#This Row],[Player B]]),"")</f>
        <v>1</v>
      </c>
      <c r="R1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OPEN-Wolfgang Leitner</v>
      </c>
      <c r="S101" s="265" t="str">
        <f>IF(ResultsInd[[#This Row],[Score_OK]],IF(ResultsInd[[#This Row],[Stage]]="Groups",ResultsInd[[#This Row],[Category]]&amp;"-"&amp;IF(ResultsInd[[#This Row],[Player B]]="","",IF(ResultsInd[[#This Row],[Score-A]]=ResultsInd[[#This Row],[Score-B]],ResultsInd[[#This Row],[Player A]],"")),""),"")</f>
        <v>OPEN-</v>
      </c>
      <c r="T101" s="265" t="str">
        <f>IF(ResultsInd[[#This Row],[Score_OK]],IF(ResultsInd[[#This Row],[Stage]]="Groups",ResultsInd[[#This Row],[Category]]&amp;"-"&amp;IF(ResultsInd[[#This Row],[Player B]]="","",IF(ResultsInd[[#This Row],[Score-A]]=ResultsInd[[#This Row],[Score-B]],ResultsInd[[#This Row],[Player B]],"")),""),"")</f>
        <v>OPEN-</v>
      </c>
      <c r="U1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OPEN-Marcello Bodin De Chatelard</v>
      </c>
      <c r="V1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OPEN-Marcello Bodin De Chatelard</v>
      </c>
      <c r="X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OPEN-Marcello Bodin De Chatelard</v>
      </c>
      <c r="Y101" s="264" t="str">
        <f>IF(ResultsInd[[#This Row],[Category]]="","",VLOOKUP(ResultsInd[[#This Row],[Stage]],$P$1:$V$9,MATCH(ResultsInd[[#This Row],[Category]],$Q$1:$V$1,0)+1,FALSE))</f>
        <v>PR1</v>
      </c>
      <c r="Z101" s="264" t="str">
        <f>IF(ResultsInd[[#This Row],[Score_OK]],IF(ResultsInd[[#This Row],[Level]]="R",ResultsInd[[#This Row],[Category]]&amp;"-"&amp;IF(ResultsInd[[#This Row],[LoseInKO]]=ResultsInd[[#This Row],[Category]]&amp;"-"&amp;ResultsInd[[#This Row],[Player A]],ResultsInd[[#This Row],[Player B]],ResultsInd[[#This Row],[Player A]]),""),"")</f>
        <v/>
      </c>
      <c r="AB101" s="8"/>
      <c r="AC101" s="12" t="str">
        <f t="shared" si="79"/>
        <v>OPEN</v>
      </c>
      <c r="AD101" s="312"/>
      <c r="AE101" s="313"/>
      <c r="AF101" s="314"/>
      <c r="AG101" s="294" t="str">
        <f>IF(AP101="","",SMALL(AH95:AH101,ROWS(AG95:AG101)))</f>
        <v/>
      </c>
      <c r="AH101" s="295" t="str">
        <f>IF(AP101="","",RANK(AL101,AL95:AL101)*1000+ROWS(AH95:AH101))</f>
        <v/>
      </c>
      <c r="AI101" s="318" t="str">
        <f t="shared" si="73"/>
        <v/>
      </c>
      <c r="AJ101" s="416" t="b">
        <f>AND(AO101&lt;&gt;"",AO101&gt;0,COUNTIF(AI95:AI101,AI101)&gt;1)</f>
        <v>0</v>
      </c>
      <c r="AK101" s="318" t="str">
        <f t="shared" si="74"/>
        <v/>
      </c>
      <c r="AL101" s="319" t="str">
        <f t="shared" si="75"/>
        <v/>
      </c>
      <c r="AM101" s="416" t="b">
        <f>AND(AO101&lt;&gt;"",AO101&gt;0,COUNTIF(AL95:AL101,AL101)&gt;1)</f>
        <v>0</v>
      </c>
      <c r="AN101" s="306" t="str">
        <f t="shared" si="76"/>
        <v/>
      </c>
      <c r="AO101" s="307" t="str">
        <f t="shared" si="77"/>
        <v/>
      </c>
      <c r="AP101" s="307" t="str">
        <f>IF(OR(AC94="",AD101=""),"",COUNTIF(ResultsInd[Win],AC94&amp;"-"&amp;AD101))</f>
        <v/>
      </c>
      <c r="AQ101" s="307" t="str">
        <f>IF(OR(AC94="",AD101=""),"",COUNTIF(ResultsInd[Draw1],AC94&amp;"-"&amp;AD101)+COUNTIF(ResultsInd[Draw2],AC94&amp;"-"&amp;AD101))</f>
        <v/>
      </c>
      <c r="AR101" s="307" t="str">
        <f>IF(OR(AC94="",AD101=""),"",COUNTIF(ResultsInd[Lose],AC94&amp;"-"&amp;AD101))</f>
        <v/>
      </c>
      <c r="AS101" s="307" t="str">
        <f>IF(OR(AC94="",AD101=""),"",SUMIFS(ResultsInd[Goal-A],ResultsInd[Category],AC94,ResultsInd[Stage],"Groups",ResultsInd[Player A],AD101)+SUMIFS(ResultsInd[Goal-B],ResultsInd[Category],AC94,ResultsInd[Stage],"Groups",ResultsInd[Player B],AD101))</f>
        <v/>
      </c>
      <c r="AT101" s="307" t="str">
        <f>IF(OR(AC94="",AD101=""),"",SUMIFS(ResultsInd[Goal-B],ResultsInd[Category],AC94,ResultsInd[Stage],"Groups",ResultsInd[Player A],AD101)+SUMIFS(ResultsInd[Goal-A],ResultsInd[Category],AC94,ResultsInd[Stage],"Groups",ResultsInd[Player B],AD101))</f>
        <v/>
      </c>
      <c r="AU101" s="308" t="str">
        <f t="shared" si="80"/>
        <v/>
      </c>
      <c r="AV101" s="469" t="str">
        <f>IF(AG101="","",OR(VLOOKUP(AG101,AH95:AU101,3,FALSE),VLOOKUP(AG101,AH95:AU101,6,FALSE)))</f>
        <v/>
      </c>
      <c r="AW101" s="299" t="str">
        <f t="shared" si="78"/>
        <v/>
      </c>
      <c r="AX101" s="287" t="str">
        <f>IF(AG101="","",INDEX(AD95:AD101,MATCH(AG101,AH95:AH101,0)))</f>
        <v/>
      </c>
      <c r="AY101" s="288" t="str">
        <f>IF(AG101="","",VLOOKUP(AG101,AH95:AU101,COLUMN()-COLUMN(AR94),FALSE))</f>
        <v/>
      </c>
      <c r="AZ101" s="288" t="str">
        <f>IF(AG101="","",VLOOKUP(AG101,AH95:AU101,COLUMN()-COLUMN(AR94),FALSE))</f>
        <v/>
      </c>
      <c r="BA101" s="288" t="str">
        <f>IF(AG101="","",VLOOKUP(AG101,AH95:AU101,COLUMN()-COLUMN(AR94),FALSE))</f>
        <v/>
      </c>
      <c r="BB101" s="288" t="str">
        <f>IF(AG101="","",VLOOKUP(AG101,AH95:AU101,COLUMN()-COLUMN(AR94),FALSE))</f>
        <v/>
      </c>
      <c r="BC101" s="288" t="str">
        <f>IF(AG101="","",VLOOKUP(AG101,AH95:AU101,COLUMN()-COLUMN(AR94),FALSE))</f>
        <v/>
      </c>
      <c r="BD101" s="288" t="str">
        <f>IF(AG101="","",VLOOKUP(AG101,AH95:AU101,COLUMN()-COLUMN(AR94),FALSE))</f>
        <v/>
      </c>
      <c r="BE101" s="288" t="str">
        <f>IF(AG101="","",VLOOKUP(AG101,AH95:AU101,COLUMN()-COLUMN(AR94),FALSE))</f>
        <v/>
      </c>
      <c r="BF101" s="302" t="str">
        <f>IF(AG101="","",VLOOKUP(AG101,AH95:AU101,COLUMN()-COLUMN(AR94),FALSE))</f>
        <v/>
      </c>
    </row>
    <row r="102" spans="1:58" ht="13.5" thickBot="1" x14ac:dyDescent="0.25">
      <c r="A102" s="249" t="s">
        <v>890</v>
      </c>
      <c r="B102" s="249" t="s">
        <v>12207</v>
      </c>
      <c r="C102" s="62">
        <v>14</v>
      </c>
      <c r="D102" s="62"/>
      <c r="E102" s="345" t="s">
        <v>8096</v>
      </c>
      <c r="F102" s="345" t="s">
        <v>10783</v>
      </c>
      <c r="G102" s="113">
        <v>4</v>
      </c>
      <c r="H102" s="113">
        <v>3</v>
      </c>
      <c r="I102" s="114"/>
      <c r="J102" s="114"/>
      <c r="K102" s="114"/>
      <c r="L102" s="81"/>
      <c r="M102" s="265" t="b">
        <f>NOT(ISERROR(ResultsInd[[#This Row],[Goal-A]]+ResultsInd[[#This Row],[Goal-B]]))</f>
        <v>1</v>
      </c>
      <c r="N102" s="265">
        <f>VALUE(ResultsInd[[#This Row],[Score-A]])</f>
        <v>4</v>
      </c>
      <c r="O102" s="265">
        <f>VALUE(ResultsInd[[#This Row],[Score-B]])</f>
        <v>3</v>
      </c>
      <c r="P102" s="265">
        <f ca="1">IF(AND(ResultsInd[[#This Row],[Category]]&lt;&gt;"",ResultsInd[[#This Row],[Player A]]&lt;&gt;""),COUNTIF(INDIRECT(ResultsInd[[#This Row],[Category]]&amp;"List[Retained Player Name]"),ResultsInd[[#This Row],[Player A]]),"")</f>
        <v>1</v>
      </c>
      <c r="Q102" s="265">
        <f ca="1">IF(AND(ResultsInd[[#This Row],[Category]]&lt;&gt;"",ResultsInd[[#This Row],[Player B]]&lt;&gt;""),COUNTIF(INDIRECT(ResultsInd[[#This Row],[Category]]&amp;"List[Retained Player Name]"),ResultsInd[[#This Row],[Player B]]),"")</f>
        <v>1</v>
      </c>
      <c r="R1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OPEN-Louison Giaux</v>
      </c>
      <c r="S102" s="265" t="str">
        <f>IF(ResultsInd[[#This Row],[Score_OK]],IF(ResultsInd[[#This Row],[Stage]]="Groups",ResultsInd[[#This Row],[Category]]&amp;"-"&amp;IF(ResultsInd[[#This Row],[Player B]]="","",IF(ResultsInd[[#This Row],[Score-A]]=ResultsInd[[#This Row],[Score-B]],ResultsInd[[#This Row],[Player A]],"")),""),"")</f>
        <v>OPEN-</v>
      </c>
      <c r="T102" s="265" t="str">
        <f>IF(ResultsInd[[#This Row],[Score_OK]],IF(ResultsInd[[#This Row],[Stage]]="Groups",ResultsInd[[#This Row],[Category]]&amp;"-"&amp;IF(ResultsInd[[#This Row],[Player B]]="","",IF(ResultsInd[[#This Row],[Score-A]]=ResultsInd[[#This Row],[Score-B]],ResultsInd[[#This Row],[Player B]],"")),""),"")</f>
        <v>OPEN-</v>
      </c>
      <c r="U1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OPEN-Mongi Rouis</v>
      </c>
      <c r="V1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OPEN-Mongi Rouis</v>
      </c>
      <c r="X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OPEN-Mongi Rouis</v>
      </c>
      <c r="Y102" s="264" t="str">
        <f>IF(ResultsInd[[#This Row],[Category]]="","",VLOOKUP(ResultsInd[[#This Row],[Stage]],$P$1:$V$9,MATCH(ResultsInd[[#This Row],[Category]],$Q$1:$V$1,0)+1,FALSE))</f>
        <v>PR1</v>
      </c>
      <c r="Z102" s="264" t="str">
        <f>IF(ResultsInd[[#This Row],[Score_OK]],IF(ResultsInd[[#This Row],[Level]]="R",ResultsInd[[#This Row],[Category]]&amp;"-"&amp;IF(ResultsInd[[#This Row],[LoseInKO]]=ResultsInd[[#This Row],[Category]]&amp;"-"&amp;ResultsInd[[#This Row],[Player A]],ResultsInd[[#This Row],[Player B]],ResultsInd[[#This Row],[Player A]]),""),"")</f>
        <v/>
      </c>
      <c r="AB102" s="8"/>
      <c r="AC102" s="8"/>
      <c r="AF102" s="170"/>
      <c r="AG102" s="101"/>
      <c r="AH102" s="101"/>
      <c r="AN102" s="170"/>
      <c r="AO102" s="170"/>
      <c r="AP102" s="170"/>
      <c r="AQ102" s="172"/>
      <c r="AR102" s="173"/>
      <c r="AS102" s="173"/>
      <c r="AT102" s="173"/>
      <c r="AU102" s="101"/>
      <c r="AV102" s="101"/>
      <c r="AW102" s="101"/>
      <c r="AX102" s="101"/>
      <c r="AY102" s="101"/>
      <c r="AZ102" s="101"/>
    </row>
    <row r="103" spans="1:58" ht="12" thickBot="1" x14ac:dyDescent="0.25">
      <c r="A103" s="249" t="s">
        <v>890</v>
      </c>
      <c r="B103" s="249" t="s">
        <v>12207</v>
      </c>
      <c r="C103" s="62">
        <v>15</v>
      </c>
      <c r="D103" s="62"/>
      <c r="E103" s="345" t="s">
        <v>10424</v>
      </c>
      <c r="F103" s="345" t="s">
        <v>8144</v>
      </c>
      <c r="G103" s="113">
        <v>3</v>
      </c>
      <c r="H103" s="113">
        <v>0</v>
      </c>
      <c r="I103" s="114"/>
      <c r="J103" s="114"/>
      <c r="K103" s="114"/>
      <c r="L103" s="81"/>
      <c r="M103" s="265" t="b">
        <f>NOT(ISERROR(ResultsInd[[#This Row],[Goal-A]]+ResultsInd[[#This Row],[Goal-B]]))</f>
        <v>1</v>
      </c>
      <c r="N103" s="265">
        <f>VALUE(ResultsInd[[#This Row],[Score-A]])</f>
        <v>3</v>
      </c>
      <c r="O103" s="265">
        <f>VALUE(ResultsInd[[#This Row],[Score-B]])</f>
        <v>0</v>
      </c>
      <c r="P103" s="265">
        <f ca="1">IF(AND(ResultsInd[[#This Row],[Category]]&lt;&gt;"",ResultsInd[[#This Row],[Player A]]&lt;&gt;""),COUNTIF(INDIRECT(ResultsInd[[#This Row],[Category]]&amp;"List[Retained Player Name]"),ResultsInd[[#This Row],[Player A]]),"")</f>
        <v>1</v>
      </c>
      <c r="Q103" s="265">
        <f ca="1">IF(AND(ResultsInd[[#This Row],[Category]]&lt;&gt;"",ResultsInd[[#This Row],[Player B]]&lt;&gt;""),COUNTIF(INDIRECT(ResultsInd[[#This Row],[Category]]&amp;"List[Retained Player Name]"),ResultsInd[[#This Row],[Player B]]),"")</f>
        <v>1</v>
      </c>
      <c r="R1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OPEN-George Ebejer</v>
      </c>
      <c r="S103" s="265" t="str">
        <f>IF(ResultsInd[[#This Row],[Score_OK]],IF(ResultsInd[[#This Row],[Stage]]="Groups",ResultsInd[[#This Row],[Category]]&amp;"-"&amp;IF(ResultsInd[[#This Row],[Player B]]="","",IF(ResultsInd[[#This Row],[Score-A]]=ResultsInd[[#This Row],[Score-B]],ResultsInd[[#This Row],[Player A]],"")),""),"")</f>
        <v>OPEN-</v>
      </c>
      <c r="T103" s="265" t="str">
        <f>IF(ResultsInd[[#This Row],[Score_OK]],IF(ResultsInd[[#This Row],[Stage]]="Groups",ResultsInd[[#This Row],[Category]]&amp;"-"&amp;IF(ResultsInd[[#This Row],[Player B]]="","",IF(ResultsInd[[#This Row],[Score-A]]=ResultsInd[[#This Row],[Score-B]],ResultsInd[[#This Row],[Player B]],"")),""),"")</f>
        <v>OPEN-</v>
      </c>
      <c r="U1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OPEN-Salvatore Visconti</v>
      </c>
      <c r="V1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X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Y103" s="264" t="str">
        <f>IF(ResultsInd[[#This Row],[Category]]="","",VLOOKUP(ResultsInd[[#This Row],[Stage]],$P$1:$V$9,MATCH(ResultsInd[[#This Row],[Category]],$Q$1:$V$1,0)+1,FALSE))</f>
        <v>PR1</v>
      </c>
      <c r="Z103" s="264" t="str">
        <f>IF(ResultsInd[[#This Row],[Score_OK]],IF(ResultsInd[[#This Row],[Level]]="R",ResultsInd[[#This Row],[Category]]&amp;"-"&amp;IF(ResultsInd[[#This Row],[LoseInKO]]=ResultsInd[[#This Row],[Category]]&amp;"-"&amp;ResultsInd[[#This Row],[Player A]],ResultsInd[[#This Row],[Player B]],ResultsInd[[#This Row],[Player A]]),""),"")</f>
        <v/>
      </c>
      <c r="AB103" s="281">
        <v>10</v>
      </c>
      <c r="AC103" s="315" t="s">
        <v>890</v>
      </c>
      <c r="AD103" s="289" t="s">
        <v>14439</v>
      </c>
      <c r="AE103" s="290" t="s">
        <v>12279</v>
      </c>
      <c r="AF103" s="284" t="s">
        <v>12275</v>
      </c>
      <c r="AG103" s="296" t="s">
        <v>12276</v>
      </c>
      <c r="AH103" s="291" t="s">
        <v>12271</v>
      </c>
      <c r="AI103" s="291" t="s">
        <v>12272</v>
      </c>
      <c r="AJ103" s="414" t="s">
        <v>13154</v>
      </c>
      <c r="AK103" s="291" t="s">
        <v>12273</v>
      </c>
      <c r="AL103" s="297" t="s">
        <v>12274</v>
      </c>
      <c r="AM103" s="414" t="s">
        <v>13154</v>
      </c>
      <c r="AN103" s="303" t="s">
        <v>12199</v>
      </c>
      <c r="AO103" s="304" t="s">
        <v>12200</v>
      </c>
      <c r="AP103" s="304" t="s">
        <v>12201</v>
      </c>
      <c r="AQ103" s="304" t="s">
        <v>12202</v>
      </c>
      <c r="AR103" s="304" t="s">
        <v>12203</v>
      </c>
      <c r="AS103" s="304" t="s">
        <v>12204</v>
      </c>
      <c r="AT103" s="304" t="s">
        <v>12205</v>
      </c>
      <c r="AU103" s="305" t="s">
        <v>12206</v>
      </c>
      <c r="AV103" s="468"/>
      <c r="AW103" s="282" t="s">
        <v>12276</v>
      </c>
      <c r="AX103" s="282" t="s">
        <v>12280</v>
      </c>
      <c r="AY103" s="283" t="s">
        <v>12199</v>
      </c>
      <c r="AZ103" s="283" t="s">
        <v>12200</v>
      </c>
      <c r="BA103" s="283" t="s">
        <v>12201</v>
      </c>
      <c r="BB103" s="283" t="s">
        <v>12202</v>
      </c>
      <c r="BC103" s="283" t="s">
        <v>12203</v>
      </c>
      <c r="BD103" s="283" t="s">
        <v>12204</v>
      </c>
      <c r="BE103" s="283" t="s">
        <v>12205</v>
      </c>
      <c r="BF103" s="300" t="s">
        <v>12206</v>
      </c>
    </row>
    <row r="104" spans="1:58" ht="12" thickBot="1" x14ac:dyDescent="0.25">
      <c r="A104" s="249" t="s">
        <v>890</v>
      </c>
      <c r="B104" s="249" t="s">
        <v>12207</v>
      </c>
      <c r="C104" s="62">
        <v>15</v>
      </c>
      <c r="D104" s="62"/>
      <c r="E104" s="345" t="s">
        <v>9915</v>
      </c>
      <c r="F104" s="345" t="s">
        <v>14582</v>
      </c>
      <c r="G104" s="113">
        <v>9</v>
      </c>
      <c r="H104" s="113">
        <v>1</v>
      </c>
      <c r="I104" s="114"/>
      <c r="J104" s="114"/>
      <c r="K104" s="114"/>
      <c r="L104" s="81"/>
      <c r="M104" s="265" t="b">
        <f>NOT(ISERROR(ResultsInd[[#This Row],[Goal-A]]+ResultsInd[[#This Row],[Goal-B]]))</f>
        <v>1</v>
      </c>
      <c r="N104" s="265">
        <f>VALUE(ResultsInd[[#This Row],[Score-A]])</f>
        <v>9</v>
      </c>
      <c r="O104" s="265">
        <f>VALUE(ResultsInd[[#This Row],[Score-B]])</f>
        <v>1</v>
      </c>
      <c r="P104" s="265">
        <f ca="1">IF(AND(ResultsInd[[#This Row],[Category]]&lt;&gt;"",ResultsInd[[#This Row],[Player A]]&lt;&gt;""),COUNTIF(INDIRECT(ResultsInd[[#This Row],[Category]]&amp;"List[Retained Player Name]"),ResultsInd[[#This Row],[Player A]]),"")</f>
        <v>1</v>
      </c>
      <c r="Q104" s="265">
        <f ca="1">IF(AND(ResultsInd[[#This Row],[Category]]&lt;&gt;"",ResultsInd[[#This Row],[Player B]]&lt;&gt;""),COUNTIF(INDIRECT(ResultsInd[[#This Row],[Category]]&amp;"List[Retained Player Name]"),ResultsInd[[#This Row],[Player B]]),"")</f>
        <v>0</v>
      </c>
      <c r="R1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OPEN-Emanuele Licheri</v>
      </c>
      <c r="S104" s="265" t="str">
        <f>IF(ResultsInd[[#This Row],[Score_OK]],IF(ResultsInd[[#This Row],[Stage]]="Groups",ResultsInd[[#This Row],[Category]]&amp;"-"&amp;IF(ResultsInd[[#This Row],[Player B]]="","",IF(ResultsInd[[#This Row],[Score-A]]=ResultsInd[[#This Row],[Score-B]],ResultsInd[[#This Row],[Player A]],"")),""),"")</f>
        <v>OPEN-</v>
      </c>
      <c r="T104" s="265" t="str">
        <f>IF(ResultsInd[[#This Row],[Score_OK]],IF(ResultsInd[[#This Row],[Stage]]="Groups",ResultsInd[[#This Row],[Category]]&amp;"-"&amp;IF(ResultsInd[[#This Row],[Player B]]="","",IF(ResultsInd[[#This Row],[Score-A]]=ResultsInd[[#This Row],[Score-B]],ResultsInd[[#This Row],[Player B]],"")),""),"")</f>
        <v>OPEN-</v>
      </c>
      <c r="U1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OPEN-Emilio Torrico</v>
      </c>
      <c r="V1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OPEN-Emilio Torrico</v>
      </c>
      <c r="X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OPEN-Emilio Torrico</v>
      </c>
      <c r="Y104" s="264" t="str">
        <f>IF(ResultsInd[[#This Row],[Category]]="","",VLOOKUP(ResultsInd[[#This Row],[Stage]],$P$1:$V$9,MATCH(ResultsInd[[#This Row],[Category]],$Q$1:$V$1,0)+1,FALSE))</f>
        <v>PR1</v>
      </c>
      <c r="Z104" s="264" t="str">
        <f>IF(ResultsInd[[#This Row],[Score_OK]],IF(ResultsInd[[#This Row],[Level]]="R",ResultsInd[[#This Row],[Category]]&amp;"-"&amp;IF(ResultsInd[[#This Row],[LoseInKO]]=ResultsInd[[#This Row],[Category]]&amp;"-"&amp;ResultsInd[[#This Row],[Player A]],ResultsInd[[#This Row],[Player B]],ResultsInd[[#This Row],[Player A]]),""),"")</f>
        <v/>
      </c>
      <c r="AB104" s="8"/>
      <c r="AC104" s="12" t="str">
        <f>IF(AC103="","",AC103)</f>
        <v>OPEN</v>
      </c>
      <c r="AD104" s="309" t="s">
        <v>8095</v>
      </c>
      <c r="AE104" s="320"/>
      <c r="AF104" s="311"/>
      <c r="AG104" s="292">
        <f>IF(AP104="","",SMALL(AH104:AH110,ROWS(AG104:AG104)))</f>
        <v>1001</v>
      </c>
      <c r="AH104" s="293">
        <f>IF(AP104="","",RANK(AL104,AL104:AL110)*1000+ROWS(AH104:AH104))</f>
        <v>1001</v>
      </c>
      <c r="AI104" s="316">
        <f t="shared" ref="AI104:AI110" si="81">IF(AP104="","",CritClassInd1_Points*AN104+CritClassInd1_Matches*AP104+CritClassInd1_Attaque*AS104+CritClassInd1_DiffButs*AU104)</f>
        <v>9000000000000</v>
      </c>
      <c r="AJ104" s="415" t="b">
        <f>AND(AO104&lt;&gt;"",AO104&gt;0,COUNTIF(AI104:AI110,AI104)&gt;1)</f>
        <v>0</v>
      </c>
      <c r="AK104" s="316">
        <f t="shared" ref="AK104:AK110" si="82">IF(AP104="","",CritClassInd_ScorePart*AE104)</f>
        <v>0</v>
      </c>
      <c r="AL104" s="317">
        <f t="shared" ref="AL104:AL110" si="83">IF(AP104="","",AI104+AK104+CritClassInd2_Points*AN104+CritClassInd2_Matches*AP104+CritClassInd2_Attaque*AS104+CritClassInd2_DiffButs*AU104+AF104)</f>
        <v>9000000131800</v>
      </c>
      <c r="AM104" s="415" t="b">
        <f>AND(AO104&lt;&gt;"",AO104&gt;0,COUNTIF(AL104:AL110,AL104)&gt;1)</f>
        <v>0</v>
      </c>
      <c r="AN104" s="306">
        <f t="shared" ref="AN104:AN110" si="84">IF(AP104="","",(AP104*Points_Victoire)+AQ104*Points_Null)</f>
        <v>9</v>
      </c>
      <c r="AO104" s="307">
        <f t="shared" ref="AO104:AO110" si="85">IF(AP104="","",SUM(AP104:AR104))</f>
        <v>3</v>
      </c>
      <c r="AP104" s="307">
        <f>IF(OR(AC103="",AD104=""),"",COUNTIF(ResultsInd[Win],AC103&amp;"-"&amp;AD104))</f>
        <v>3</v>
      </c>
      <c r="AQ104" s="307">
        <f>IF(OR(AC103="",AD104=""),"",COUNTIF(ResultsInd[Draw1],AC103&amp;"-"&amp;AD104)+COUNTIF(ResultsInd[Draw2],AC103&amp;"-"&amp;AD104))</f>
        <v>0</v>
      </c>
      <c r="AR104" s="307">
        <f>IF(OR(AC103="",AD104=""),"",COUNTIF(ResultsInd[Lose],AC103&amp;"-"&amp;AD104))</f>
        <v>0</v>
      </c>
      <c r="AS104" s="307">
        <f>IF(OR(AC103="",AD104=""),"",SUMIFS(ResultsInd[Goal-A],ResultsInd[Category],AC103,ResultsInd[Stage],"Groups",ResultsInd[Player A],AD104)+SUMIFS(ResultsInd[Goal-B],ResultsInd[Category],AC103,ResultsInd[Stage],"Groups",ResultsInd[Player B],AD104))</f>
        <v>18</v>
      </c>
      <c r="AT104" s="307">
        <f>IF(OR(AC103="",AD104=""),"",SUMIFS(ResultsInd[Goal-B],ResultsInd[Category],AC103,ResultsInd[Stage],"Groups",ResultsInd[Player A],AD104)+SUMIFS(ResultsInd[Goal-A],ResultsInd[Category],AC103,ResultsInd[Stage],"Groups",ResultsInd[Player B],AD104))</f>
        <v>5</v>
      </c>
      <c r="AU104" s="308">
        <f>IF(AP104="","",AS104-AT104)</f>
        <v>13</v>
      </c>
      <c r="AV104" s="469" t="b">
        <f>IF(AG104="","",OR(VLOOKUP(AG104,AH104:AU110,3,FALSE),VLOOKUP(AG104,AH104:AU110,6,FALSE)))</f>
        <v>0</v>
      </c>
      <c r="AW104" s="298">
        <f t="shared" ref="AW104:AW110" si="86">IF(AG104="","",INT(AG104/1000))</f>
        <v>1</v>
      </c>
      <c r="AX104" s="285" t="str">
        <f>IF(AG104="","",INDEX(AD104:AD110,MATCH(AG104,AH104:AH110,0)))</f>
        <v>Florian Giaux</v>
      </c>
      <c r="AY104" s="286">
        <f>IF(AG104="","",VLOOKUP(AG104,AH104:AU110,COLUMN()-COLUMN(AR103),FALSE))</f>
        <v>9</v>
      </c>
      <c r="AZ104" s="286">
        <f>IF(AG104="","",VLOOKUP(AG104,AH104:AU110,COLUMN()-COLUMN(AR103),FALSE))</f>
        <v>3</v>
      </c>
      <c r="BA104" s="286">
        <f>IF(AG104="","",VLOOKUP(AG104,AH104:AU110,COLUMN()-COLUMN(AR103),FALSE))</f>
        <v>3</v>
      </c>
      <c r="BB104" s="286">
        <f>IF(AG104="","",VLOOKUP(AG104,AH104:AU110,COLUMN()-COLUMN(AR103),FALSE))</f>
        <v>0</v>
      </c>
      <c r="BC104" s="286">
        <f>IF(AG104="","",VLOOKUP(AG104,AH104:AU110,COLUMN()-COLUMN(AR103),FALSE))</f>
        <v>0</v>
      </c>
      <c r="BD104" s="286">
        <f>IF(AG104="","",VLOOKUP(AG104,AH104:AU110,COLUMN()-COLUMN(AR103),FALSE))</f>
        <v>18</v>
      </c>
      <c r="BE104" s="286">
        <f>IF(AG104="","",VLOOKUP(AG104,AH104:AU110,COLUMN()-COLUMN(AR103),FALSE))</f>
        <v>5</v>
      </c>
      <c r="BF104" s="301">
        <f>IF(AG104="","",VLOOKUP(AG104,AH104:AU110,COLUMN()-COLUMN(AR103),FALSE))</f>
        <v>13</v>
      </c>
    </row>
    <row r="105" spans="1:58" ht="12" thickBot="1" x14ac:dyDescent="0.25">
      <c r="A105" s="249" t="s">
        <v>890</v>
      </c>
      <c r="B105" s="249" t="s">
        <v>12207</v>
      </c>
      <c r="C105" s="62">
        <v>15</v>
      </c>
      <c r="D105" s="62"/>
      <c r="E105" s="345" t="s">
        <v>10424</v>
      </c>
      <c r="F105" s="345" t="s">
        <v>9915</v>
      </c>
      <c r="G105" s="113">
        <v>1</v>
      </c>
      <c r="H105" s="113">
        <v>2</v>
      </c>
      <c r="I105" s="114"/>
      <c r="J105" s="114"/>
      <c r="K105" s="114"/>
      <c r="L105" s="81"/>
      <c r="M105" s="265" t="b">
        <f>NOT(ISERROR(ResultsInd[[#This Row],[Goal-A]]+ResultsInd[[#This Row],[Goal-B]]))</f>
        <v>1</v>
      </c>
      <c r="N105" s="265">
        <f>VALUE(ResultsInd[[#This Row],[Score-A]])</f>
        <v>1</v>
      </c>
      <c r="O105" s="265">
        <f>VALUE(ResultsInd[[#This Row],[Score-B]])</f>
        <v>2</v>
      </c>
      <c r="P105" s="265">
        <f ca="1">IF(AND(ResultsInd[[#This Row],[Category]]&lt;&gt;"",ResultsInd[[#This Row],[Player A]]&lt;&gt;""),COUNTIF(INDIRECT(ResultsInd[[#This Row],[Category]]&amp;"List[Retained Player Name]"),ResultsInd[[#This Row],[Player A]]),"")</f>
        <v>1</v>
      </c>
      <c r="Q105" s="265">
        <f ca="1">IF(AND(ResultsInd[[#This Row],[Category]]&lt;&gt;"",ResultsInd[[#This Row],[Player B]]&lt;&gt;""),COUNTIF(INDIRECT(ResultsInd[[#This Row],[Category]]&amp;"List[Retained Player Name]"),ResultsInd[[#This Row],[Player B]]),"")</f>
        <v>1</v>
      </c>
      <c r="R1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OPEN-Emanuele Licheri</v>
      </c>
      <c r="S105" s="265" t="str">
        <f>IF(ResultsInd[[#This Row],[Score_OK]],IF(ResultsInd[[#This Row],[Stage]]="Groups",ResultsInd[[#This Row],[Category]]&amp;"-"&amp;IF(ResultsInd[[#This Row],[Player B]]="","",IF(ResultsInd[[#This Row],[Score-A]]=ResultsInd[[#This Row],[Score-B]],ResultsInd[[#This Row],[Player A]],"")),""),"")</f>
        <v>OPEN-</v>
      </c>
      <c r="T105" s="265" t="str">
        <f>IF(ResultsInd[[#This Row],[Score_OK]],IF(ResultsInd[[#This Row],[Stage]]="Groups",ResultsInd[[#This Row],[Category]]&amp;"-"&amp;IF(ResultsInd[[#This Row],[Player B]]="","",IF(ResultsInd[[#This Row],[Score-A]]=ResultsInd[[#This Row],[Score-B]],ResultsInd[[#This Row],[Player B]],"")),""),"")</f>
        <v>OPEN-</v>
      </c>
      <c r="U1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OPEN-George Ebejer</v>
      </c>
      <c r="V1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OPEN-George Ebejer</v>
      </c>
      <c r="X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OPEN-George Ebejer</v>
      </c>
      <c r="Y105" s="264" t="str">
        <f>IF(ResultsInd[[#This Row],[Category]]="","",VLOOKUP(ResultsInd[[#This Row],[Stage]],$P$1:$V$9,MATCH(ResultsInd[[#This Row],[Category]],$Q$1:$V$1,0)+1,FALSE))</f>
        <v>PR1</v>
      </c>
      <c r="Z105" s="264" t="str">
        <f>IF(ResultsInd[[#This Row],[Score_OK]],IF(ResultsInd[[#This Row],[Level]]="R",ResultsInd[[#This Row],[Category]]&amp;"-"&amp;IF(ResultsInd[[#This Row],[LoseInKO]]=ResultsInd[[#This Row],[Category]]&amp;"-"&amp;ResultsInd[[#This Row],[Player A]],ResultsInd[[#This Row],[Player B]],ResultsInd[[#This Row],[Player A]]),""),"")</f>
        <v/>
      </c>
      <c r="AB105" s="8"/>
      <c r="AC105" s="12" t="str">
        <f t="shared" ref="AC105:AC110" si="87">IF(AC104="","",AC104)</f>
        <v>OPEN</v>
      </c>
      <c r="AD105" s="309" t="s">
        <v>8110</v>
      </c>
      <c r="AE105" s="320"/>
      <c r="AF105" s="311"/>
      <c r="AG105" s="292">
        <f>IF(AP105="","",SMALL(AH104:AH110,ROWS(AG104:AG105)))</f>
        <v>2003</v>
      </c>
      <c r="AH105" s="293">
        <f>IF(AP105="","",RANK(AL105,AL104:AL110)*1000+ROWS(AH104:AH105))</f>
        <v>4002</v>
      </c>
      <c r="AI105" s="316">
        <f t="shared" si="81"/>
        <v>0</v>
      </c>
      <c r="AJ105" s="415" t="b">
        <f>AND(AO105&lt;&gt;"",AO105&gt;0,COUNTIF(AI104:AI110,AI105)&gt;1)</f>
        <v>0</v>
      </c>
      <c r="AK105" s="316">
        <f t="shared" si="82"/>
        <v>0</v>
      </c>
      <c r="AL105" s="317">
        <f t="shared" si="83"/>
        <v>-79300</v>
      </c>
      <c r="AM105" s="415" t="b">
        <f>AND(AO105&lt;&gt;"",AO105&gt;0,COUNTIF(AL104:AL110,AL105)&gt;1)</f>
        <v>0</v>
      </c>
      <c r="AN105" s="306">
        <f t="shared" si="84"/>
        <v>0</v>
      </c>
      <c r="AO105" s="307">
        <f t="shared" si="85"/>
        <v>3</v>
      </c>
      <c r="AP105" s="307">
        <f>IF(OR(AC103="",AD105=""),"",COUNTIF(ResultsInd[Win],AC103&amp;"-"&amp;AD105))</f>
        <v>0</v>
      </c>
      <c r="AQ105" s="307">
        <f>IF(OR(AC103="",AD105=""),"",COUNTIF(ResultsInd[Draw1],AC103&amp;"-"&amp;AD105)+COUNTIF(ResultsInd[Draw2],AC103&amp;"-"&amp;AD105))</f>
        <v>0</v>
      </c>
      <c r="AR105" s="307">
        <f>IF(OR(AC103="",AD105=""),"",COUNTIF(ResultsInd[Lose],AC103&amp;"-"&amp;AD105))</f>
        <v>3</v>
      </c>
      <c r="AS105" s="307">
        <f>IF(OR(AC103="",AD105=""),"",SUMIFS(ResultsInd[Goal-A],ResultsInd[Category],AC103,ResultsInd[Stage],"Groups",ResultsInd[Player A],AD105)+SUMIFS(ResultsInd[Goal-B],ResultsInd[Category],AC103,ResultsInd[Stage],"Groups",ResultsInd[Player B],AD105))</f>
        <v>7</v>
      </c>
      <c r="AT105" s="307">
        <f>IF(OR(AC103="",AD105=""),"",SUMIFS(ResultsInd[Goal-B],ResultsInd[Category],AC103,ResultsInd[Stage],"Groups",ResultsInd[Player A],AD105)+SUMIFS(ResultsInd[Goal-A],ResultsInd[Category],AC103,ResultsInd[Stage],"Groups",ResultsInd[Player B],AD105))</f>
        <v>15</v>
      </c>
      <c r="AU105" s="308">
        <f t="shared" ref="AU105:AU110" si="88">IF(AP105="","",AS105-AT105)</f>
        <v>-8</v>
      </c>
      <c r="AV105" s="469" t="b">
        <f>IF(AG105="","",OR(VLOOKUP(AG105,AH104:AU110,3,FALSE),VLOOKUP(AG105,AH104:AU110,6,FALSE)))</f>
        <v>0</v>
      </c>
      <c r="AW105" s="298">
        <f t="shared" si="86"/>
        <v>2</v>
      </c>
      <c r="AX105" s="285" t="str">
        <f>IF(AG105="","",INDEX(AD104:AD110,MATCH(AG105,AH104:AH110,0)))</f>
        <v>Marco Preziuso</v>
      </c>
      <c r="AY105" s="286">
        <f>IF(AG105="","",VLOOKUP(AG105,AH104:AU110,COLUMN()-COLUMN(AR103),FALSE))</f>
        <v>6</v>
      </c>
      <c r="AZ105" s="286">
        <f>IF(AG105="","",VLOOKUP(AG105,AH104:AU110,COLUMN()-COLUMN(AR103),FALSE))</f>
        <v>3</v>
      </c>
      <c r="BA105" s="286">
        <f>IF(AG105="","",VLOOKUP(AG105,AH104:AU110,COLUMN()-COLUMN(AR103),FALSE))</f>
        <v>2</v>
      </c>
      <c r="BB105" s="286">
        <f>IF(AG105="","",VLOOKUP(AG105,AH104:AU110,COLUMN()-COLUMN(AR103),FALSE))</f>
        <v>0</v>
      </c>
      <c r="BC105" s="286">
        <f>IF(AG105="","",VLOOKUP(AG105,AH104:AU110,COLUMN()-COLUMN(AR103),FALSE))</f>
        <v>1</v>
      </c>
      <c r="BD105" s="286">
        <f>IF(AG105="","",VLOOKUP(AG105,AH104:AU110,COLUMN()-COLUMN(AR103),FALSE))</f>
        <v>16</v>
      </c>
      <c r="BE105" s="286">
        <f>IF(AG105="","",VLOOKUP(AG105,AH104:AU110,COLUMN()-COLUMN(AR103),FALSE))</f>
        <v>10</v>
      </c>
      <c r="BF105" s="301">
        <f>IF(AG105="","",VLOOKUP(AG105,AH104:AU110,COLUMN()-COLUMN(AR103),FALSE))</f>
        <v>6</v>
      </c>
    </row>
    <row r="106" spans="1:58" ht="12" thickBot="1" x14ac:dyDescent="0.25">
      <c r="A106" s="249" t="s">
        <v>890</v>
      </c>
      <c r="B106" s="249" t="s">
        <v>12207</v>
      </c>
      <c r="C106" s="62">
        <v>15</v>
      </c>
      <c r="D106" s="62"/>
      <c r="E106" s="345" t="s">
        <v>8144</v>
      </c>
      <c r="F106" s="345" t="s">
        <v>14582</v>
      </c>
      <c r="G106" s="113">
        <v>4</v>
      </c>
      <c r="H106" s="113">
        <v>0</v>
      </c>
      <c r="I106" s="114"/>
      <c r="J106" s="114"/>
      <c r="K106" s="114"/>
      <c r="L106" s="81"/>
      <c r="M106" s="265" t="b">
        <f>NOT(ISERROR(ResultsInd[[#This Row],[Goal-A]]+ResultsInd[[#This Row],[Goal-B]]))</f>
        <v>1</v>
      </c>
      <c r="N106" s="265">
        <f>VALUE(ResultsInd[[#This Row],[Score-A]])</f>
        <v>4</v>
      </c>
      <c r="O106" s="265">
        <f>VALUE(ResultsInd[[#This Row],[Score-B]])</f>
        <v>0</v>
      </c>
      <c r="P106" s="265">
        <f ca="1">IF(AND(ResultsInd[[#This Row],[Category]]&lt;&gt;"",ResultsInd[[#This Row],[Player A]]&lt;&gt;""),COUNTIF(INDIRECT(ResultsInd[[#This Row],[Category]]&amp;"List[Retained Player Name]"),ResultsInd[[#This Row],[Player A]]),"")</f>
        <v>1</v>
      </c>
      <c r="Q106" s="265">
        <f ca="1">IF(AND(ResultsInd[[#This Row],[Category]]&lt;&gt;"",ResultsInd[[#This Row],[Player B]]&lt;&gt;""),COUNTIF(INDIRECT(ResultsInd[[#This Row],[Category]]&amp;"List[Retained Player Name]"),ResultsInd[[#This Row],[Player B]]),"")</f>
        <v>0</v>
      </c>
      <c r="R1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OPEN-Salvatore Visconti</v>
      </c>
      <c r="S106" s="265" t="str">
        <f>IF(ResultsInd[[#This Row],[Score_OK]],IF(ResultsInd[[#This Row],[Stage]]="Groups",ResultsInd[[#This Row],[Category]]&amp;"-"&amp;IF(ResultsInd[[#This Row],[Player B]]="","",IF(ResultsInd[[#This Row],[Score-A]]=ResultsInd[[#This Row],[Score-B]],ResultsInd[[#This Row],[Player A]],"")),""),"")</f>
        <v>OPEN-</v>
      </c>
      <c r="T106" s="265" t="str">
        <f>IF(ResultsInd[[#This Row],[Score_OK]],IF(ResultsInd[[#This Row],[Stage]]="Groups",ResultsInd[[#This Row],[Category]]&amp;"-"&amp;IF(ResultsInd[[#This Row],[Player B]]="","",IF(ResultsInd[[#This Row],[Score-A]]=ResultsInd[[#This Row],[Score-B]],ResultsInd[[#This Row],[Player B]],"")),""),"")</f>
        <v>OPEN-</v>
      </c>
      <c r="U1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OPEN-Emilio Torrico</v>
      </c>
      <c r="V1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OPEN-Emilio Torrico</v>
      </c>
      <c r="X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OPEN-Emilio Torrico</v>
      </c>
      <c r="Y106" s="264" t="str">
        <f>IF(ResultsInd[[#This Row],[Category]]="","",VLOOKUP(ResultsInd[[#This Row],[Stage]],$P$1:$V$9,MATCH(ResultsInd[[#This Row],[Category]],$Q$1:$V$1,0)+1,FALSE))</f>
        <v>PR1</v>
      </c>
      <c r="Z106" s="264" t="str">
        <f>IF(ResultsInd[[#This Row],[Score_OK]],IF(ResultsInd[[#This Row],[Level]]="R",ResultsInd[[#This Row],[Category]]&amp;"-"&amp;IF(ResultsInd[[#This Row],[LoseInKO]]=ResultsInd[[#This Row],[Category]]&amp;"-"&amp;ResultsInd[[#This Row],[Player A]],ResultsInd[[#This Row],[Player B]],ResultsInd[[#This Row],[Player A]]),""),"")</f>
        <v/>
      </c>
      <c r="AB106" s="8"/>
      <c r="AC106" s="12" t="str">
        <f t="shared" si="87"/>
        <v>OPEN</v>
      </c>
      <c r="AD106" s="309" t="s">
        <v>9705</v>
      </c>
      <c r="AE106" s="320"/>
      <c r="AF106" s="311"/>
      <c r="AG106" s="292">
        <f>IF(AP106="","",SMALL(AH104:AH110,ROWS(AG104:AG106)))</f>
        <v>3004</v>
      </c>
      <c r="AH106" s="293">
        <f>IF(AP106="","",RANK(AL106,AL104:AL110)*1000+ROWS(AH104:AH106))</f>
        <v>2003</v>
      </c>
      <c r="AI106" s="316">
        <f t="shared" si="81"/>
        <v>6000000000000</v>
      </c>
      <c r="AJ106" s="415" t="b">
        <f>AND(AO106&lt;&gt;"",AO106&gt;0,COUNTIF(AI104:AI110,AI106)&gt;1)</f>
        <v>0</v>
      </c>
      <c r="AK106" s="316">
        <f t="shared" si="82"/>
        <v>0</v>
      </c>
      <c r="AL106" s="317">
        <f t="shared" si="83"/>
        <v>6000000061600</v>
      </c>
      <c r="AM106" s="415" t="b">
        <f>AND(AO106&lt;&gt;"",AO106&gt;0,COUNTIF(AL104:AL110,AL106)&gt;1)</f>
        <v>0</v>
      </c>
      <c r="AN106" s="306">
        <f t="shared" si="84"/>
        <v>6</v>
      </c>
      <c r="AO106" s="307">
        <f t="shared" si="85"/>
        <v>3</v>
      </c>
      <c r="AP106" s="307">
        <f>IF(OR(AC103="",AD106=""),"",COUNTIF(ResultsInd[Win],AC103&amp;"-"&amp;AD106))</f>
        <v>2</v>
      </c>
      <c r="AQ106" s="307">
        <f>IF(OR(AC103="",AD106=""),"",COUNTIF(ResultsInd[Draw1],AC103&amp;"-"&amp;AD106)+COUNTIF(ResultsInd[Draw2],AC103&amp;"-"&amp;AD106))</f>
        <v>0</v>
      </c>
      <c r="AR106" s="307">
        <f>IF(OR(AC103="",AD106=""),"",COUNTIF(ResultsInd[Lose],AC103&amp;"-"&amp;AD106))</f>
        <v>1</v>
      </c>
      <c r="AS106" s="307">
        <f>IF(OR(AC103="",AD106=""),"",SUMIFS(ResultsInd[Goal-A],ResultsInd[Category],AC103,ResultsInd[Stage],"Groups",ResultsInd[Player A],AD106)+SUMIFS(ResultsInd[Goal-B],ResultsInd[Category],AC103,ResultsInd[Stage],"Groups",ResultsInd[Player B],AD106))</f>
        <v>16</v>
      </c>
      <c r="AT106" s="307">
        <f>IF(OR(AC103="",AD106=""),"",SUMIFS(ResultsInd[Goal-B],ResultsInd[Category],AC103,ResultsInd[Stage],"Groups",ResultsInd[Player A],AD106)+SUMIFS(ResultsInd[Goal-A],ResultsInd[Category],AC103,ResultsInd[Stage],"Groups",ResultsInd[Player B],AD106))</f>
        <v>10</v>
      </c>
      <c r="AU106" s="308">
        <f t="shared" si="88"/>
        <v>6</v>
      </c>
      <c r="AV106" s="469" t="b">
        <f>IF(AG106="","",OR(VLOOKUP(AG106,AH104:AU110,3,FALSE),VLOOKUP(AG106,AH104:AU110,6,FALSE)))</f>
        <v>0</v>
      </c>
      <c r="AW106" s="298">
        <f t="shared" si="86"/>
        <v>3</v>
      </c>
      <c r="AX106" s="285" t="str">
        <f>IF(AG106="","",INDEX(AD104:AD110,MATCH(AG106,AH104:AH110,0)))</f>
        <v>Andy Fitzpatrick</v>
      </c>
      <c r="AY106" s="286">
        <f>IF(AG106="","",VLOOKUP(AG106,AH104:AU110,COLUMN()-COLUMN(AR103),FALSE))</f>
        <v>3</v>
      </c>
      <c r="AZ106" s="286">
        <f>IF(AG106="","",VLOOKUP(AG106,AH104:AU110,COLUMN()-COLUMN(AR103),FALSE))</f>
        <v>3</v>
      </c>
      <c r="BA106" s="286">
        <f>IF(AG106="","",VLOOKUP(AG106,AH104:AU110,COLUMN()-COLUMN(AR103),FALSE))</f>
        <v>1</v>
      </c>
      <c r="BB106" s="286">
        <f>IF(AG106="","",VLOOKUP(AG106,AH104:AU110,COLUMN()-COLUMN(AR103),FALSE))</f>
        <v>0</v>
      </c>
      <c r="BC106" s="286">
        <f>IF(AG106="","",VLOOKUP(AG106,AH104:AU110,COLUMN()-COLUMN(AR103),FALSE))</f>
        <v>2</v>
      </c>
      <c r="BD106" s="286">
        <f>IF(AG106="","",VLOOKUP(AG106,AH104:AU110,COLUMN()-COLUMN(AR103),FALSE))</f>
        <v>4</v>
      </c>
      <c r="BE106" s="286">
        <f>IF(AG106="","",VLOOKUP(AG106,AH104:AU110,COLUMN()-COLUMN(AR103),FALSE))</f>
        <v>15</v>
      </c>
      <c r="BF106" s="301">
        <f>IF(AG106="","",VLOOKUP(AG106,AH104:AU110,COLUMN()-COLUMN(AR103),FALSE))</f>
        <v>-11</v>
      </c>
    </row>
    <row r="107" spans="1:58" ht="12" thickBot="1" x14ac:dyDescent="0.25">
      <c r="A107" s="249" t="s">
        <v>890</v>
      </c>
      <c r="B107" s="249" t="s">
        <v>12207</v>
      </c>
      <c r="C107" s="62">
        <v>15</v>
      </c>
      <c r="D107" s="62"/>
      <c r="E107" s="345" t="s">
        <v>14582</v>
      </c>
      <c r="F107" s="345" t="s">
        <v>10424</v>
      </c>
      <c r="G107" s="113">
        <v>2</v>
      </c>
      <c r="H107" s="113">
        <v>5</v>
      </c>
      <c r="I107" s="114"/>
      <c r="J107" s="114"/>
      <c r="K107" s="114"/>
      <c r="L107" s="81"/>
      <c r="M107" s="265" t="b">
        <f>NOT(ISERROR(ResultsInd[[#This Row],[Goal-A]]+ResultsInd[[#This Row],[Goal-B]]))</f>
        <v>1</v>
      </c>
      <c r="N107" s="265">
        <f>VALUE(ResultsInd[[#This Row],[Score-A]])</f>
        <v>2</v>
      </c>
      <c r="O107" s="265">
        <f>VALUE(ResultsInd[[#This Row],[Score-B]])</f>
        <v>5</v>
      </c>
      <c r="P107" s="265">
        <f ca="1">IF(AND(ResultsInd[[#This Row],[Category]]&lt;&gt;"",ResultsInd[[#This Row],[Player A]]&lt;&gt;""),COUNTIF(INDIRECT(ResultsInd[[#This Row],[Category]]&amp;"List[Retained Player Name]"),ResultsInd[[#This Row],[Player A]]),"")</f>
        <v>0</v>
      </c>
      <c r="Q107" s="265">
        <f ca="1">IF(AND(ResultsInd[[#This Row],[Category]]&lt;&gt;"",ResultsInd[[#This Row],[Player B]]&lt;&gt;""),COUNTIF(INDIRECT(ResultsInd[[#This Row],[Category]]&amp;"List[Retained Player Name]"),ResultsInd[[#This Row],[Player B]]),"")</f>
        <v>1</v>
      </c>
      <c r="R1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OPEN-George Ebejer</v>
      </c>
      <c r="S107" s="265" t="str">
        <f>IF(ResultsInd[[#This Row],[Score_OK]],IF(ResultsInd[[#This Row],[Stage]]="Groups",ResultsInd[[#This Row],[Category]]&amp;"-"&amp;IF(ResultsInd[[#This Row],[Player B]]="","",IF(ResultsInd[[#This Row],[Score-A]]=ResultsInd[[#This Row],[Score-B]],ResultsInd[[#This Row],[Player A]],"")),""),"")</f>
        <v>OPEN-</v>
      </c>
      <c r="T107" s="265" t="str">
        <f>IF(ResultsInd[[#This Row],[Score_OK]],IF(ResultsInd[[#This Row],[Stage]]="Groups",ResultsInd[[#This Row],[Category]]&amp;"-"&amp;IF(ResultsInd[[#This Row],[Player B]]="","",IF(ResultsInd[[#This Row],[Score-A]]=ResultsInd[[#This Row],[Score-B]],ResultsInd[[#This Row],[Player B]],"")),""),"")</f>
        <v>OPEN-</v>
      </c>
      <c r="U1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OPEN-Emilio Torrico</v>
      </c>
      <c r="V1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OPEN-Emilio Torrico</v>
      </c>
      <c r="X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OPEN-Emilio Torrico</v>
      </c>
      <c r="Y107" s="264" t="str">
        <f>IF(ResultsInd[[#This Row],[Category]]="","",VLOOKUP(ResultsInd[[#This Row],[Stage]],$P$1:$V$9,MATCH(ResultsInd[[#This Row],[Category]],$Q$1:$V$1,0)+1,FALSE))</f>
        <v>PR1</v>
      </c>
      <c r="Z107" s="264" t="str">
        <f>IF(ResultsInd[[#This Row],[Score_OK]],IF(ResultsInd[[#This Row],[Level]]="R",ResultsInd[[#This Row],[Category]]&amp;"-"&amp;IF(ResultsInd[[#This Row],[LoseInKO]]=ResultsInd[[#This Row],[Category]]&amp;"-"&amp;ResultsInd[[#This Row],[Player A]],ResultsInd[[#This Row],[Player B]],ResultsInd[[#This Row],[Player A]]),""),"")</f>
        <v/>
      </c>
      <c r="AB107" s="91"/>
      <c r="AC107" s="12" t="str">
        <f t="shared" si="87"/>
        <v>OPEN</v>
      </c>
      <c r="AD107" s="309" t="s">
        <v>10590</v>
      </c>
      <c r="AE107" s="310"/>
      <c r="AF107" s="311"/>
      <c r="AG107" s="292">
        <f>IF(AP107="","",SMALL(AH104:AH110,ROWS(AG104:AG107)))</f>
        <v>4002</v>
      </c>
      <c r="AH107" s="293">
        <f>IF(AP107="","",RANK(AL107,AL104:AL110)*1000+ROWS(AH104:AH107))</f>
        <v>3004</v>
      </c>
      <c r="AI107" s="316">
        <f t="shared" si="81"/>
        <v>3000000000000</v>
      </c>
      <c r="AJ107" s="415" t="b">
        <f>AND(AO107&lt;&gt;"",AO107&gt;0,COUNTIF(AI104:AI110,AI107)&gt;1)</f>
        <v>0</v>
      </c>
      <c r="AK107" s="316">
        <f t="shared" si="82"/>
        <v>0</v>
      </c>
      <c r="AL107" s="317">
        <f t="shared" si="83"/>
        <v>2999999890400</v>
      </c>
      <c r="AM107" s="415" t="b">
        <f>AND(AO107&lt;&gt;"",AO107&gt;0,COUNTIF(AL104:AL110,AL107)&gt;1)</f>
        <v>0</v>
      </c>
      <c r="AN107" s="306">
        <f t="shared" si="84"/>
        <v>3</v>
      </c>
      <c r="AO107" s="307">
        <f t="shared" si="85"/>
        <v>3</v>
      </c>
      <c r="AP107" s="307">
        <f>IF(OR(AC103="",AD107=""),"",COUNTIF(ResultsInd[Win],AC103&amp;"-"&amp;AD107))</f>
        <v>1</v>
      </c>
      <c r="AQ107" s="307">
        <f>IF(OR(AC103="",AD107=""),"",COUNTIF(ResultsInd[Draw1],AC103&amp;"-"&amp;AD107)+COUNTIF(ResultsInd[Draw2],AC103&amp;"-"&amp;AD107))</f>
        <v>0</v>
      </c>
      <c r="AR107" s="307">
        <f>IF(OR(AC103="",AD107=""),"",COUNTIF(ResultsInd[Lose],AC103&amp;"-"&amp;AD107))</f>
        <v>2</v>
      </c>
      <c r="AS107" s="307">
        <f>IF(OR(AC103="",AD107=""),"",SUMIFS(ResultsInd[Goal-A],ResultsInd[Category],AC103,ResultsInd[Stage],"Groups",ResultsInd[Player A],AD107)+SUMIFS(ResultsInd[Goal-B],ResultsInd[Category],AC103,ResultsInd[Stage],"Groups",ResultsInd[Player B],AD107))</f>
        <v>4</v>
      </c>
      <c r="AT107" s="307">
        <f>IF(OR(AC103="",AD107=""),"",SUMIFS(ResultsInd[Goal-B],ResultsInd[Category],AC103,ResultsInd[Stage],"Groups",ResultsInd[Player A],AD107)+SUMIFS(ResultsInd[Goal-A],ResultsInd[Category],AC103,ResultsInd[Stage],"Groups",ResultsInd[Player B],AD107))</f>
        <v>15</v>
      </c>
      <c r="AU107" s="308">
        <f t="shared" si="88"/>
        <v>-11</v>
      </c>
      <c r="AV107" s="469" t="b">
        <f>IF(AG107="","",OR(VLOOKUP(AG107,AH104:AU110,3,FALSE),VLOOKUP(AG107,AH104:AU110,6,FALSE)))</f>
        <v>0</v>
      </c>
      <c r="AW107" s="298">
        <f t="shared" si="86"/>
        <v>4</v>
      </c>
      <c r="AX107" s="285" t="str">
        <f>IF(AG107="","",INDEX(AD104:AD110,MATCH(AG107,AH104:AH110,0)))</f>
        <v>Kevin Lelubre</v>
      </c>
      <c r="AY107" s="286">
        <f>IF(AG107="","",VLOOKUP(AG107,AH104:AU110,COLUMN()-COLUMN(AR103),FALSE))</f>
        <v>0</v>
      </c>
      <c r="AZ107" s="286">
        <f>IF(AG107="","",VLOOKUP(AG107,AH104:AU110,COLUMN()-COLUMN(AR103),FALSE))</f>
        <v>3</v>
      </c>
      <c r="BA107" s="286">
        <f>IF(AG107="","",VLOOKUP(AG107,AH104:AU110,COLUMN()-COLUMN(AR103),FALSE))</f>
        <v>0</v>
      </c>
      <c r="BB107" s="286">
        <f>IF(AG107="","",VLOOKUP(AG107,AH104:AU110,COLUMN()-COLUMN(AR103),FALSE))</f>
        <v>0</v>
      </c>
      <c r="BC107" s="286">
        <f>IF(AG107="","",VLOOKUP(AG107,AH104:AU110,COLUMN()-COLUMN(AR103),FALSE))</f>
        <v>3</v>
      </c>
      <c r="BD107" s="286">
        <f>IF(AG107="","",VLOOKUP(AG107,AH104:AU110,COLUMN()-COLUMN(AR103),FALSE))</f>
        <v>7</v>
      </c>
      <c r="BE107" s="286">
        <f>IF(AG107="","",VLOOKUP(AG107,AH104:AU110,COLUMN()-COLUMN(AR103),FALSE))</f>
        <v>15</v>
      </c>
      <c r="BF107" s="301">
        <f>IF(AG107="","",VLOOKUP(AG107,AH104:AU110,COLUMN()-COLUMN(AR103),FALSE))</f>
        <v>-8</v>
      </c>
    </row>
    <row r="108" spans="1:58" ht="12" thickBot="1" x14ac:dyDescent="0.25">
      <c r="A108" s="249" t="s">
        <v>890</v>
      </c>
      <c r="B108" s="249" t="s">
        <v>12207</v>
      </c>
      <c r="C108" s="62">
        <v>15</v>
      </c>
      <c r="D108" s="62"/>
      <c r="E108" s="345" t="s">
        <v>8144</v>
      </c>
      <c r="F108" s="345" t="s">
        <v>9915</v>
      </c>
      <c r="G108" s="113">
        <v>1</v>
      </c>
      <c r="H108" s="113">
        <v>2</v>
      </c>
      <c r="I108" s="114"/>
      <c r="J108" s="114"/>
      <c r="K108" s="114"/>
      <c r="L108" s="81"/>
      <c r="M108" s="265" t="b">
        <f>NOT(ISERROR(ResultsInd[[#This Row],[Goal-A]]+ResultsInd[[#This Row],[Goal-B]]))</f>
        <v>1</v>
      </c>
      <c r="N108" s="265">
        <f>VALUE(ResultsInd[[#This Row],[Score-A]])</f>
        <v>1</v>
      </c>
      <c r="O108" s="265">
        <f>VALUE(ResultsInd[[#This Row],[Score-B]])</f>
        <v>2</v>
      </c>
      <c r="P108" s="265">
        <f ca="1">IF(AND(ResultsInd[[#This Row],[Category]]&lt;&gt;"",ResultsInd[[#This Row],[Player A]]&lt;&gt;""),COUNTIF(INDIRECT(ResultsInd[[#This Row],[Category]]&amp;"List[Retained Player Name]"),ResultsInd[[#This Row],[Player A]]),"")</f>
        <v>1</v>
      </c>
      <c r="Q108" s="265">
        <f ca="1">IF(AND(ResultsInd[[#This Row],[Category]]&lt;&gt;"",ResultsInd[[#This Row],[Player B]]&lt;&gt;""),COUNTIF(INDIRECT(ResultsInd[[#This Row],[Category]]&amp;"List[Retained Player Name]"),ResultsInd[[#This Row],[Player B]]),"")</f>
        <v>1</v>
      </c>
      <c r="R1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OPEN-Emanuele Licheri</v>
      </c>
      <c r="S108" s="265" t="str">
        <f>IF(ResultsInd[[#This Row],[Score_OK]],IF(ResultsInd[[#This Row],[Stage]]="Groups",ResultsInd[[#This Row],[Category]]&amp;"-"&amp;IF(ResultsInd[[#This Row],[Player B]]="","",IF(ResultsInd[[#This Row],[Score-A]]=ResultsInd[[#This Row],[Score-B]],ResultsInd[[#This Row],[Player A]],"")),""),"")</f>
        <v>OPEN-</v>
      </c>
      <c r="T108" s="265" t="str">
        <f>IF(ResultsInd[[#This Row],[Score_OK]],IF(ResultsInd[[#This Row],[Stage]]="Groups",ResultsInd[[#This Row],[Category]]&amp;"-"&amp;IF(ResultsInd[[#This Row],[Player B]]="","",IF(ResultsInd[[#This Row],[Score-A]]=ResultsInd[[#This Row],[Score-B]],ResultsInd[[#This Row],[Player B]],"")),""),"")</f>
        <v>OPEN-</v>
      </c>
      <c r="U1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OPEN-Salvatore Visconti</v>
      </c>
      <c r="V1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X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Y108" s="264" t="str">
        <f>IF(ResultsInd[[#This Row],[Category]]="","",VLOOKUP(ResultsInd[[#This Row],[Stage]],$P$1:$V$9,MATCH(ResultsInd[[#This Row],[Category]],$Q$1:$V$1,0)+1,FALSE))</f>
        <v>PR1</v>
      </c>
      <c r="Z108" s="264" t="str">
        <f>IF(ResultsInd[[#This Row],[Score_OK]],IF(ResultsInd[[#This Row],[Level]]="R",ResultsInd[[#This Row],[Category]]&amp;"-"&amp;IF(ResultsInd[[#This Row],[LoseInKO]]=ResultsInd[[#This Row],[Category]]&amp;"-"&amp;ResultsInd[[#This Row],[Player A]],ResultsInd[[#This Row],[Player B]],ResultsInd[[#This Row],[Player A]]),""),"")</f>
        <v/>
      </c>
      <c r="AB108" s="91"/>
      <c r="AC108" s="12" t="str">
        <f t="shared" si="87"/>
        <v>OPEN</v>
      </c>
      <c r="AD108" s="309"/>
      <c r="AE108" s="310"/>
      <c r="AF108" s="311"/>
      <c r="AG108" s="292" t="str">
        <f>IF(AP108="","",SMALL(AH104:AH110,ROWS(AG104:AG108)))</f>
        <v/>
      </c>
      <c r="AH108" s="293" t="str">
        <f>IF(AP108="","",RANK(AL108,AL104:AL110)*1000+ROWS(AH104:AH108))</f>
        <v/>
      </c>
      <c r="AI108" s="316" t="str">
        <f t="shared" si="81"/>
        <v/>
      </c>
      <c r="AJ108" s="415" t="b">
        <f>AND(AO108&lt;&gt;"",AO108&gt;0,COUNTIF(AI104:AI110,AI108)&gt;1)</f>
        <v>0</v>
      </c>
      <c r="AK108" s="316" t="str">
        <f t="shared" si="82"/>
        <v/>
      </c>
      <c r="AL108" s="317" t="str">
        <f t="shared" si="83"/>
        <v/>
      </c>
      <c r="AM108" s="415" t="b">
        <f>AND(AO108&lt;&gt;"",AO108&gt;0,COUNTIF(AL104:AL110,AL108)&gt;1)</f>
        <v>0</v>
      </c>
      <c r="AN108" s="306" t="str">
        <f t="shared" si="84"/>
        <v/>
      </c>
      <c r="AO108" s="307" t="str">
        <f t="shared" si="85"/>
        <v/>
      </c>
      <c r="AP108" s="307" t="str">
        <f>IF(OR(AC103="",AD108=""),"",COUNTIF(ResultsInd[Win],AC103&amp;"-"&amp;AD108))</f>
        <v/>
      </c>
      <c r="AQ108" s="307" t="str">
        <f>IF(OR(AC103="",AD108=""),"",COUNTIF(ResultsInd[Draw1],AC103&amp;"-"&amp;AD108)+COUNTIF(ResultsInd[Draw2],AC103&amp;"-"&amp;AD108))</f>
        <v/>
      </c>
      <c r="AR108" s="307" t="str">
        <f>IF(OR(AC103="",AD108=""),"",COUNTIF(ResultsInd[Lose],AC103&amp;"-"&amp;AD108))</f>
        <v/>
      </c>
      <c r="AS108" s="307" t="str">
        <f>IF(OR(AC103="",AD108=""),"",SUMIFS(ResultsInd[Goal-A],ResultsInd[Category],AC103,ResultsInd[Stage],"Groups",ResultsInd[Player A],AD108)+SUMIFS(ResultsInd[Goal-B],ResultsInd[Category],AC103,ResultsInd[Stage],"Groups",ResultsInd[Player B],AD108))</f>
        <v/>
      </c>
      <c r="AT108" s="307" t="str">
        <f>IF(OR(AC103="",AD108=""),"",SUMIFS(ResultsInd[Goal-B],ResultsInd[Category],AC103,ResultsInd[Stage],"Groups",ResultsInd[Player A],AD108)+SUMIFS(ResultsInd[Goal-A],ResultsInd[Category],AC103,ResultsInd[Stage],"Groups",ResultsInd[Player B],AD108))</f>
        <v/>
      </c>
      <c r="AU108" s="308" t="str">
        <f t="shared" si="88"/>
        <v/>
      </c>
      <c r="AV108" s="469" t="str">
        <f>IF(AG108="","",OR(VLOOKUP(AG108,AH104:AU110,3,FALSE),VLOOKUP(AG108,AH104:AU110,6,FALSE)))</f>
        <v/>
      </c>
      <c r="AW108" s="298" t="str">
        <f t="shared" si="86"/>
        <v/>
      </c>
      <c r="AX108" s="285" t="str">
        <f>IF(AG108="","",INDEX(AD104:AD110,MATCH(AG108,AH104:AH110,0)))</f>
        <v/>
      </c>
      <c r="AY108" s="286" t="str">
        <f>IF(AG108="","",VLOOKUP(AG108,AH104:AU110,COLUMN()-COLUMN(AR103),FALSE))</f>
        <v/>
      </c>
      <c r="AZ108" s="286" t="str">
        <f>IF(AG108="","",VLOOKUP(AG108,AH104:AU110,COLUMN()-COLUMN(AR103),FALSE))</f>
        <v/>
      </c>
      <c r="BA108" s="286" t="str">
        <f>IF(AG108="","",VLOOKUP(AG108,AH104:AU110,COLUMN()-COLUMN(AR103),FALSE))</f>
        <v/>
      </c>
      <c r="BB108" s="286" t="str">
        <f>IF(AG108="","",VLOOKUP(AG108,AH104:AU110,COLUMN()-COLUMN(AR103),FALSE))</f>
        <v/>
      </c>
      <c r="BC108" s="286" t="str">
        <f>IF(AG108="","",VLOOKUP(AG108,AH104:AU110,COLUMN()-COLUMN(AR103),FALSE))</f>
        <v/>
      </c>
      <c r="BD108" s="286" t="str">
        <f>IF(AG108="","",VLOOKUP(AG108,AH104:AU110,COLUMN()-COLUMN(AR103),FALSE))</f>
        <v/>
      </c>
      <c r="BE108" s="286" t="str">
        <f>IF(AG108="","",VLOOKUP(AG108,AH104:AU110,COLUMN()-COLUMN(AR103),FALSE))</f>
        <v/>
      </c>
      <c r="BF108" s="301" t="str">
        <f>IF(AG108="","",VLOOKUP(AG108,AH104:AU110,COLUMN()-COLUMN(AR103),FALSE))</f>
        <v/>
      </c>
    </row>
    <row r="109" spans="1:58" ht="12" thickBot="1" x14ac:dyDescent="0.25">
      <c r="A109" s="249" t="s">
        <v>890</v>
      </c>
      <c r="B109" s="249" t="s">
        <v>12207</v>
      </c>
      <c r="C109" s="62">
        <v>16</v>
      </c>
      <c r="D109" s="62"/>
      <c r="E109" s="345" t="s">
        <v>8129</v>
      </c>
      <c r="F109" s="345" t="s">
        <v>8168</v>
      </c>
      <c r="G109" s="113">
        <v>3</v>
      </c>
      <c r="H109" s="113">
        <v>1</v>
      </c>
      <c r="I109" s="114"/>
      <c r="J109" s="114"/>
      <c r="K109" s="114"/>
      <c r="L109" s="81"/>
      <c r="M109" s="265" t="b">
        <f>NOT(ISERROR(ResultsInd[[#This Row],[Goal-A]]+ResultsInd[[#This Row],[Goal-B]]))</f>
        <v>1</v>
      </c>
      <c r="N109" s="265">
        <f>VALUE(ResultsInd[[#This Row],[Score-A]])</f>
        <v>3</v>
      </c>
      <c r="O109" s="265">
        <f>VALUE(ResultsInd[[#This Row],[Score-B]])</f>
        <v>1</v>
      </c>
      <c r="P109" s="265">
        <f ca="1">IF(AND(ResultsInd[[#This Row],[Category]]&lt;&gt;"",ResultsInd[[#This Row],[Player A]]&lt;&gt;""),COUNTIF(INDIRECT(ResultsInd[[#This Row],[Category]]&amp;"List[Retained Player Name]"),ResultsInd[[#This Row],[Player A]]),"")</f>
        <v>1</v>
      </c>
      <c r="Q109" s="265">
        <f ca="1">IF(AND(ResultsInd[[#This Row],[Category]]&lt;&gt;"",ResultsInd[[#This Row],[Player B]]&lt;&gt;""),COUNTIF(INDIRECT(ResultsInd[[#This Row],[Category]]&amp;"List[Retained Player Name]"),ResultsInd[[#This Row],[Player B]]),"")</f>
        <v>1</v>
      </c>
      <c r="R1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OPEN-Pascal Scheen</v>
      </c>
      <c r="S109" s="265" t="str">
        <f>IF(ResultsInd[[#This Row],[Score_OK]],IF(ResultsInd[[#This Row],[Stage]]="Groups",ResultsInd[[#This Row],[Category]]&amp;"-"&amp;IF(ResultsInd[[#This Row],[Player B]]="","",IF(ResultsInd[[#This Row],[Score-A]]=ResultsInd[[#This Row],[Score-B]],ResultsInd[[#This Row],[Player A]],"")),""),"")</f>
        <v>OPEN-</v>
      </c>
      <c r="T109" s="265" t="str">
        <f>IF(ResultsInd[[#This Row],[Score_OK]],IF(ResultsInd[[#This Row],[Stage]]="Groups",ResultsInd[[#This Row],[Category]]&amp;"-"&amp;IF(ResultsInd[[#This Row],[Player B]]="","",IF(ResultsInd[[#This Row],[Score-A]]=ResultsInd[[#This Row],[Score-B]],ResultsInd[[#This Row],[Player B]],"")),""),"")</f>
        <v>OPEN-</v>
      </c>
      <c r="U1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OPEN-Jean Grosdent</v>
      </c>
      <c r="V1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OPEN-Jean Grosdent</v>
      </c>
      <c r="X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OPEN-Jean Grosdent</v>
      </c>
      <c r="Y109" s="264" t="str">
        <f>IF(ResultsInd[[#This Row],[Category]]="","",VLOOKUP(ResultsInd[[#This Row],[Stage]],$P$1:$V$9,MATCH(ResultsInd[[#This Row],[Category]],$Q$1:$V$1,0)+1,FALSE))</f>
        <v>PR1</v>
      </c>
      <c r="Z109" s="264" t="str">
        <f>IF(ResultsInd[[#This Row],[Score_OK]],IF(ResultsInd[[#This Row],[Level]]="R",ResultsInd[[#This Row],[Category]]&amp;"-"&amp;IF(ResultsInd[[#This Row],[LoseInKO]]=ResultsInd[[#This Row],[Category]]&amp;"-"&amp;ResultsInd[[#This Row],[Player A]],ResultsInd[[#This Row],[Player B]],ResultsInd[[#This Row],[Player A]]),""),"")</f>
        <v/>
      </c>
      <c r="AB109" s="8"/>
      <c r="AC109" s="12" t="str">
        <f t="shared" si="87"/>
        <v>OPEN</v>
      </c>
      <c r="AD109" s="309"/>
      <c r="AE109" s="310"/>
      <c r="AF109" s="311"/>
      <c r="AG109" s="292" t="str">
        <f>IF(AP109="","",SMALL(AH104:AH110,ROWS(AG104:AG109)))</f>
        <v/>
      </c>
      <c r="AH109" s="293" t="str">
        <f>IF(AP109="","",RANK(AL109,AL104:AL110)*1000+ROWS(AH104:AH109))</f>
        <v/>
      </c>
      <c r="AI109" s="316" t="str">
        <f t="shared" si="81"/>
        <v/>
      </c>
      <c r="AJ109" s="415" t="b">
        <f>AND(AO109&lt;&gt;"",AO109&gt;0,COUNTIF(AI104:AI110,AI109)&gt;1)</f>
        <v>0</v>
      </c>
      <c r="AK109" s="316" t="str">
        <f t="shared" si="82"/>
        <v/>
      </c>
      <c r="AL109" s="317" t="str">
        <f t="shared" si="83"/>
        <v/>
      </c>
      <c r="AM109" s="415" t="b">
        <f>AND(AO109&lt;&gt;"",AO109&gt;0,COUNTIF(AL104:AL110,AL109)&gt;1)</f>
        <v>0</v>
      </c>
      <c r="AN109" s="306" t="str">
        <f t="shared" si="84"/>
        <v/>
      </c>
      <c r="AO109" s="307" t="str">
        <f t="shared" si="85"/>
        <v/>
      </c>
      <c r="AP109" s="307" t="str">
        <f>IF(OR(AC103="",AD109=""),"",COUNTIF(ResultsInd[Win],AC103&amp;"-"&amp;AD109))</f>
        <v/>
      </c>
      <c r="AQ109" s="307" t="str">
        <f>IF(OR(AC103="",AD109=""),"",COUNTIF(ResultsInd[Draw1],AC103&amp;"-"&amp;AD109)+COUNTIF(ResultsInd[Draw2],AC103&amp;"-"&amp;AD109))</f>
        <v/>
      </c>
      <c r="AR109" s="307" t="str">
        <f>IF(OR(AC103="",AD109=""),"",COUNTIF(ResultsInd[Lose],AC103&amp;"-"&amp;AD109))</f>
        <v/>
      </c>
      <c r="AS109" s="307" t="str">
        <f>IF(OR(AC103="",AD109=""),"",SUMIFS(ResultsInd[Goal-A],ResultsInd[Category],AC103,ResultsInd[Stage],"Groups",ResultsInd[Player A],AD109)+SUMIFS(ResultsInd[Goal-B],ResultsInd[Category],AC103,ResultsInd[Stage],"Groups",ResultsInd[Player B],AD109))</f>
        <v/>
      </c>
      <c r="AT109" s="307" t="str">
        <f>IF(OR(AC103="",AD109=""),"",SUMIFS(ResultsInd[Goal-B],ResultsInd[Category],AC103,ResultsInd[Stage],"Groups",ResultsInd[Player A],AD109)+SUMIFS(ResultsInd[Goal-A],ResultsInd[Category],AC103,ResultsInd[Stage],"Groups",ResultsInd[Player B],AD109))</f>
        <v/>
      </c>
      <c r="AU109" s="308" t="str">
        <f t="shared" si="88"/>
        <v/>
      </c>
      <c r="AV109" s="469" t="str">
        <f>IF(AG109="","",OR(VLOOKUP(AG109,AH104:AU110,3,FALSE),VLOOKUP(AG109,AH104:AU110,6,FALSE)))</f>
        <v/>
      </c>
      <c r="AW109" s="298" t="str">
        <f t="shared" si="86"/>
        <v/>
      </c>
      <c r="AX109" s="285" t="str">
        <f>IF(AG109="","",INDEX(AD104:AD110,MATCH(AG109,AH104:AH110,0)))</f>
        <v/>
      </c>
      <c r="AY109" s="286" t="str">
        <f>IF(AG109="","",VLOOKUP(AG109,AH104:AU110,COLUMN()-COLUMN(AR103),FALSE))</f>
        <v/>
      </c>
      <c r="AZ109" s="286" t="str">
        <f>IF(AG109="","",VLOOKUP(AG109,AH104:AU110,COLUMN()-COLUMN(AR103),FALSE))</f>
        <v/>
      </c>
      <c r="BA109" s="286" t="str">
        <f>IF(AG109="","",VLOOKUP(AG109,AH104:AU110,COLUMN()-COLUMN(AR103),FALSE))</f>
        <v/>
      </c>
      <c r="BB109" s="286" t="str">
        <f>IF(AG109="","",VLOOKUP(AG109,AH104:AU110,COLUMN()-COLUMN(AR103),FALSE))</f>
        <v/>
      </c>
      <c r="BC109" s="286" t="str">
        <f>IF(AG109="","",VLOOKUP(AG109,AH104:AU110,COLUMN()-COLUMN(AR103),FALSE))</f>
        <v/>
      </c>
      <c r="BD109" s="286" t="str">
        <f>IF(AG109="","",VLOOKUP(AG109,AH104:AU110,COLUMN()-COLUMN(AR103),FALSE))</f>
        <v/>
      </c>
      <c r="BE109" s="286" t="str">
        <f>IF(AG109="","",VLOOKUP(AG109,AH104:AU110,COLUMN()-COLUMN(AR103),FALSE))</f>
        <v/>
      </c>
      <c r="BF109" s="301" t="str">
        <f>IF(AG109="","",VLOOKUP(AG109,AH104:AU110,COLUMN()-COLUMN(AR103),FALSE))</f>
        <v/>
      </c>
    </row>
    <row r="110" spans="1:58" ht="12" thickBot="1" x14ac:dyDescent="0.25">
      <c r="A110" s="249" t="s">
        <v>890</v>
      </c>
      <c r="B110" s="249" t="s">
        <v>12207</v>
      </c>
      <c r="C110" s="62">
        <v>16</v>
      </c>
      <c r="D110" s="62"/>
      <c r="E110" s="345" t="s">
        <v>9194</v>
      </c>
      <c r="F110" s="345" t="s">
        <v>9527</v>
      </c>
      <c r="G110" s="113">
        <v>0</v>
      </c>
      <c r="H110" s="113">
        <v>1</v>
      </c>
      <c r="I110" s="114"/>
      <c r="J110" s="114"/>
      <c r="K110" s="114"/>
      <c r="L110" s="81"/>
      <c r="M110" s="265" t="b">
        <f>NOT(ISERROR(ResultsInd[[#This Row],[Goal-A]]+ResultsInd[[#This Row],[Goal-B]]))</f>
        <v>1</v>
      </c>
      <c r="N110" s="265">
        <f>VALUE(ResultsInd[[#This Row],[Score-A]])</f>
        <v>0</v>
      </c>
      <c r="O110" s="265">
        <f>VALUE(ResultsInd[[#This Row],[Score-B]])</f>
        <v>1</v>
      </c>
      <c r="P110" s="265">
        <f ca="1">IF(AND(ResultsInd[[#This Row],[Category]]&lt;&gt;"",ResultsInd[[#This Row],[Player A]]&lt;&gt;""),COUNTIF(INDIRECT(ResultsInd[[#This Row],[Category]]&amp;"List[Retained Player Name]"),ResultsInd[[#This Row],[Player A]]),"")</f>
        <v>1</v>
      </c>
      <c r="Q110" s="265">
        <f ca="1">IF(AND(ResultsInd[[#This Row],[Category]]&lt;&gt;"",ResultsInd[[#This Row],[Player B]]&lt;&gt;""),COUNTIF(INDIRECT(ResultsInd[[#This Row],[Category]]&amp;"List[Retained Player Name]"),ResultsInd[[#This Row],[Player B]]),"")</f>
        <v>1</v>
      </c>
      <c r="R1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OPEN-Paolo Zambello</v>
      </c>
      <c r="S110" s="265" t="str">
        <f>IF(ResultsInd[[#This Row],[Score_OK]],IF(ResultsInd[[#This Row],[Stage]]="Groups",ResultsInd[[#This Row],[Category]]&amp;"-"&amp;IF(ResultsInd[[#This Row],[Player B]]="","",IF(ResultsInd[[#This Row],[Score-A]]=ResultsInd[[#This Row],[Score-B]],ResultsInd[[#This Row],[Player A]],"")),""),"")</f>
        <v>OPEN-</v>
      </c>
      <c r="T110" s="265" t="str">
        <f>IF(ResultsInd[[#This Row],[Score_OK]],IF(ResultsInd[[#This Row],[Stage]]="Groups",ResultsInd[[#This Row],[Category]]&amp;"-"&amp;IF(ResultsInd[[#This Row],[Player B]]="","",IF(ResultsInd[[#This Row],[Score-A]]=ResultsInd[[#This Row],[Score-B]],ResultsInd[[#This Row],[Player B]],"")),""),"")</f>
        <v>OPEN-</v>
      </c>
      <c r="U1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OPEN-Giannis Nikolaidis</v>
      </c>
      <c r="V1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OPEN-Giannis Nikolaidis</v>
      </c>
      <c r="X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OPEN-Giannis Nikolaidis</v>
      </c>
      <c r="Y110" s="264" t="str">
        <f>IF(ResultsInd[[#This Row],[Category]]="","",VLOOKUP(ResultsInd[[#This Row],[Stage]],$P$1:$V$9,MATCH(ResultsInd[[#This Row],[Category]],$Q$1:$V$1,0)+1,FALSE))</f>
        <v>PR1</v>
      </c>
      <c r="Z110" s="264" t="str">
        <f>IF(ResultsInd[[#This Row],[Score_OK]],IF(ResultsInd[[#This Row],[Level]]="R",ResultsInd[[#This Row],[Category]]&amp;"-"&amp;IF(ResultsInd[[#This Row],[LoseInKO]]=ResultsInd[[#This Row],[Category]]&amp;"-"&amp;ResultsInd[[#This Row],[Player A]],ResultsInd[[#This Row],[Player B]],ResultsInd[[#This Row],[Player A]]),""),"")</f>
        <v/>
      </c>
      <c r="AB110" s="8"/>
      <c r="AC110" s="12" t="str">
        <f t="shared" si="87"/>
        <v>OPEN</v>
      </c>
      <c r="AD110" s="312"/>
      <c r="AE110" s="313"/>
      <c r="AF110" s="314"/>
      <c r="AG110" s="294" t="str">
        <f>IF(AP110="","",SMALL(AH104:AH110,ROWS(AG104:AG110)))</f>
        <v/>
      </c>
      <c r="AH110" s="295" t="str">
        <f>IF(AP110="","",RANK(AL110,AL104:AL110)*1000+ROWS(AH104:AH110))</f>
        <v/>
      </c>
      <c r="AI110" s="318" t="str">
        <f t="shared" si="81"/>
        <v/>
      </c>
      <c r="AJ110" s="416" t="b">
        <f>AND(AO110&lt;&gt;"",AO110&gt;0,COUNTIF(AI104:AI110,AI110)&gt;1)</f>
        <v>0</v>
      </c>
      <c r="AK110" s="318" t="str">
        <f t="shared" si="82"/>
        <v/>
      </c>
      <c r="AL110" s="319" t="str">
        <f t="shared" si="83"/>
        <v/>
      </c>
      <c r="AM110" s="416" t="b">
        <f>AND(AO110&lt;&gt;"",AO110&gt;0,COUNTIF(AL104:AL110,AL110)&gt;1)</f>
        <v>0</v>
      </c>
      <c r="AN110" s="306" t="str">
        <f t="shared" si="84"/>
        <v/>
      </c>
      <c r="AO110" s="307" t="str">
        <f t="shared" si="85"/>
        <v/>
      </c>
      <c r="AP110" s="307" t="str">
        <f>IF(OR(AC103="",AD110=""),"",COUNTIF(ResultsInd[Win],AC103&amp;"-"&amp;AD110))</f>
        <v/>
      </c>
      <c r="AQ110" s="307" t="str">
        <f>IF(OR(AC103="",AD110=""),"",COUNTIF(ResultsInd[Draw1],AC103&amp;"-"&amp;AD110)+COUNTIF(ResultsInd[Draw2],AC103&amp;"-"&amp;AD110))</f>
        <v/>
      </c>
      <c r="AR110" s="307" t="str">
        <f>IF(OR(AC103="",AD110=""),"",COUNTIF(ResultsInd[Lose],AC103&amp;"-"&amp;AD110))</f>
        <v/>
      </c>
      <c r="AS110" s="307" t="str">
        <f>IF(OR(AC103="",AD110=""),"",SUMIFS(ResultsInd[Goal-A],ResultsInd[Category],AC103,ResultsInd[Stage],"Groups",ResultsInd[Player A],AD110)+SUMIFS(ResultsInd[Goal-B],ResultsInd[Category],AC103,ResultsInd[Stage],"Groups",ResultsInd[Player B],AD110))</f>
        <v/>
      </c>
      <c r="AT110" s="307" t="str">
        <f>IF(OR(AC103="",AD110=""),"",SUMIFS(ResultsInd[Goal-B],ResultsInd[Category],AC103,ResultsInd[Stage],"Groups",ResultsInd[Player A],AD110)+SUMIFS(ResultsInd[Goal-A],ResultsInd[Category],AC103,ResultsInd[Stage],"Groups",ResultsInd[Player B],AD110))</f>
        <v/>
      </c>
      <c r="AU110" s="308" t="str">
        <f t="shared" si="88"/>
        <v/>
      </c>
      <c r="AV110" s="469" t="str">
        <f>IF(AG110="","",OR(VLOOKUP(AG110,AH104:AU110,3,FALSE),VLOOKUP(AG110,AH104:AU110,6,FALSE)))</f>
        <v/>
      </c>
      <c r="AW110" s="299" t="str">
        <f t="shared" si="86"/>
        <v/>
      </c>
      <c r="AX110" s="287" t="str">
        <f>IF(AG110="","",INDEX(AD104:AD110,MATCH(AG110,AH104:AH110,0)))</f>
        <v/>
      </c>
      <c r="AY110" s="288" t="str">
        <f>IF(AG110="","",VLOOKUP(AG110,AH104:AU110,COLUMN()-COLUMN(AR103),FALSE))</f>
        <v/>
      </c>
      <c r="AZ110" s="288" t="str">
        <f>IF(AG110="","",VLOOKUP(AG110,AH104:AU110,COLUMN()-COLUMN(AR103),FALSE))</f>
        <v/>
      </c>
      <c r="BA110" s="288" t="str">
        <f>IF(AG110="","",VLOOKUP(AG110,AH104:AU110,COLUMN()-COLUMN(AR103),FALSE))</f>
        <v/>
      </c>
      <c r="BB110" s="288" t="str">
        <f>IF(AG110="","",VLOOKUP(AG110,AH104:AU110,COLUMN()-COLUMN(AR103),FALSE))</f>
        <v/>
      </c>
      <c r="BC110" s="288" t="str">
        <f>IF(AG110="","",VLOOKUP(AG110,AH104:AU110,COLUMN()-COLUMN(AR103),FALSE))</f>
        <v/>
      </c>
      <c r="BD110" s="288" t="str">
        <f>IF(AG110="","",VLOOKUP(AG110,AH104:AU110,COLUMN()-COLUMN(AR103),FALSE))</f>
        <v/>
      </c>
      <c r="BE110" s="288" t="str">
        <f>IF(AG110="","",VLOOKUP(AG110,AH104:AU110,COLUMN()-COLUMN(AR103),FALSE))</f>
        <v/>
      </c>
      <c r="BF110" s="302" t="str">
        <f>IF(AG110="","",VLOOKUP(AG110,AH104:AU110,COLUMN()-COLUMN(AR103),FALSE))</f>
        <v/>
      </c>
    </row>
    <row r="111" spans="1:58" ht="13.5" thickBot="1" x14ac:dyDescent="0.25">
      <c r="A111" s="249" t="s">
        <v>890</v>
      </c>
      <c r="B111" s="249" t="s">
        <v>12207</v>
      </c>
      <c r="C111" s="62">
        <v>16</v>
      </c>
      <c r="D111" s="62"/>
      <c r="E111" s="345" t="s">
        <v>8129</v>
      </c>
      <c r="F111" s="345" t="s">
        <v>9194</v>
      </c>
      <c r="G111" s="113">
        <v>3</v>
      </c>
      <c r="H111" s="113">
        <v>3</v>
      </c>
      <c r="I111" s="114"/>
      <c r="J111" s="114"/>
      <c r="K111" s="114"/>
      <c r="L111" s="81"/>
      <c r="M111" s="265" t="b">
        <f>NOT(ISERROR(ResultsInd[[#This Row],[Goal-A]]+ResultsInd[[#This Row],[Goal-B]]))</f>
        <v>1</v>
      </c>
      <c r="N111" s="265">
        <f>VALUE(ResultsInd[[#This Row],[Score-A]])</f>
        <v>3</v>
      </c>
      <c r="O111" s="265">
        <f>VALUE(ResultsInd[[#This Row],[Score-B]])</f>
        <v>3</v>
      </c>
      <c r="P111" s="265">
        <f ca="1">IF(AND(ResultsInd[[#This Row],[Category]]&lt;&gt;"",ResultsInd[[#This Row],[Player A]]&lt;&gt;""),COUNTIF(INDIRECT(ResultsInd[[#This Row],[Category]]&amp;"List[Retained Player Name]"),ResultsInd[[#This Row],[Player A]]),"")</f>
        <v>1</v>
      </c>
      <c r="Q111" s="265">
        <f ca="1">IF(AND(ResultsInd[[#This Row],[Category]]&lt;&gt;"",ResultsInd[[#This Row],[Player B]]&lt;&gt;""),COUNTIF(INDIRECT(ResultsInd[[#This Row],[Category]]&amp;"List[Retained Player Name]"),ResultsInd[[#This Row],[Player B]]),"")</f>
        <v>1</v>
      </c>
      <c r="R1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11" s="265" t="str">
        <f>IF(ResultsInd[[#This Row],[Score_OK]],IF(ResultsInd[[#This Row],[Stage]]="Groups",ResultsInd[[#This Row],[Category]]&amp;"-"&amp;IF(ResultsInd[[#This Row],[Player B]]="","",IF(ResultsInd[[#This Row],[Score-A]]=ResultsInd[[#This Row],[Score-B]],ResultsInd[[#This Row],[Player A]],"")),""),"")</f>
        <v>OPEN-Pascal Scheen</v>
      </c>
      <c r="T111" s="265" t="str">
        <f>IF(ResultsInd[[#This Row],[Score_OK]],IF(ResultsInd[[#This Row],[Stage]]="Groups",ResultsInd[[#This Row],[Category]]&amp;"-"&amp;IF(ResultsInd[[#This Row],[Player B]]="","",IF(ResultsInd[[#This Row],[Score-A]]=ResultsInd[[#This Row],[Score-B]],ResultsInd[[#This Row],[Player B]],"")),""),"")</f>
        <v>OPEN-Giannis Nikolaidis</v>
      </c>
      <c r="U1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OPEN-Pascal Scheen</v>
      </c>
      <c r="X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OPEN-Giannis Nikolaidis</v>
      </c>
      <c r="Y111" s="264" t="str">
        <f>IF(ResultsInd[[#This Row],[Category]]="","",VLOOKUP(ResultsInd[[#This Row],[Stage]],$P$1:$V$9,MATCH(ResultsInd[[#This Row],[Category]],$Q$1:$V$1,0)+1,FALSE))</f>
        <v>PR1</v>
      </c>
      <c r="Z111" s="264" t="str">
        <f>IF(ResultsInd[[#This Row],[Score_OK]],IF(ResultsInd[[#This Row],[Level]]="R",ResultsInd[[#This Row],[Category]]&amp;"-"&amp;IF(ResultsInd[[#This Row],[LoseInKO]]=ResultsInd[[#This Row],[Category]]&amp;"-"&amp;ResultsInd[[#This Row],[Player A]],ResultsInd[[#This Row],[Player B]],ResultsInd[[#This Row],[Player A]]),""),"")</f>
        <v/>
      </c>
      <c r="AB111" s="8"/>
      <c r="AC111" s="8"/>
      <c r="AF111" s="170"/>
      <c r="AG111" s="101"/>
      <c r="AH111" s="101"/>
      <c r="AN111" s="170"/>
      <c r="AO111" s="170"/>
      <c r="AP111" s="170"/>
      <c r="AQ111" s="172"/>
      <c r="AR111" s="173"/>
      <c r="AS111" s="173"/>
      <c r="AT111" s="173"/>
      <c r="AU111" s="101"/>
      <c r="AV111" s="101"/>
      <c r="AW111" s="101"/>
      <c r="AX111" s="101"/>
      <c r="AY111" s="101"/>
      <c r="AZ111" s="101"/>
    </row>
    <row r="112" spans="1:58" ht="12" thickBot="1" x14ac:dyDescent="0.25">
      <c r="A112" s="249" t="s">
        <v>890</v>
      </c>
      <c r="B112" s="249" t="s">
        <v>12207</v>
      </c>
      <c r="C112" s="62">
        <v>16</v>
      </c>
      <c r="D112" s="62"/>
      <c r="E112" s="345" t="s">
        <v>8168</v>
      </c>
      <c r="F112" s="345" t="s">
        <v>9527</v>
      </c>
      <c r="G112" s="113">
        <v>1</v>
      </c>
      <c r="H112" s="113">
        <v>6</v>
      </c>
      <c r="I112" s="114"/>
      <c r="J112" s="114"/>
      <c r="K112" s="114"/>
      <c r="L112" s="81"/>
      <c r="M112" s="265" t="b">
        <f>NOT(ISERROR(ResultsInd[[#This Row],[Goal-A]]+ResultsInd[[#This Row],[Goal-B]]))</f>
        <v>1</v>
      </c>
      <c r="N112" s="265">
        <f>VALUE(ResultsInd[[#This Row],[Score-A]])</f>
        <v>1</v>
      </c>
      <c r="O112" s="265">
        <f>VALUE(ResultsInd[[#This Row],[Score-B]])</f>
        <v>6</v>
      </c>
      <c r="P112" s="265">
        <f ca="1">IF(AND(ResultsInd[[#This Row],[Category]]&lt;&gt;"",ResultsInd[[#This Row],[Player A]]&lt;&gt;""),COUNTIF(INDIRECT(ResultsInd[[#This Row],[Category]]&amp;"List[Retained Player Name]"),ResultsInd[[#This Row],[Player A]]),"")</f>
        <v>1</v>
      </c>
      <c r="Q112" s="265">
        <f ca="1">IF(AND(ResultsInd[[#This Row],[Category]]&lt;&gt;"",ResultsInd[[#This Row],[Player B]]&lt;&gt;""),COUNTIF(INDIRECT(ResultsInd[[#This Row],[Category]]&amp;"List[Retained Player Name]"),ResultsInd[[#This Row],[Player B]]),"")</f>
        <v>1</v>
      </c>
      <c r="R1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OPEN-Paolo Zambello</v>
      </c>
      <c r="S112" s="265" t="str">
        <f>IF(ResultsInd[[#This Row],[Score_OK]],IF(ResultsInd[[#This Row],[Stage]]="Groups",ResultsInd[[#This Row],[Category]]&amp;"-"&amp;IF(ResultsInd[[#This Row],[Player B]]="","",IF(ResultsInd[[#This Row],[Score-A]]=ResultsInd[[#This Row],[Score-B]],ResultsInd[[#This Row],[Player A]],"")),""),"")</f>
        <v>OPEN-</v>
      </c>
      <c r="T112" s="265" t="str">
        <f>IF(ResultsInd[[#This Row],[Score_OK]],IF(ResultsInd[[#This Row],[Stage]]="Groups",ResultsInd[[#This Row],[Category]]&amp;"-"&amp;IF(ResultsInd[[#This Row],[Player B]]="","",IF(ResultsInd[[#This Row],[Score-A]]=ResultsInd[[#This Row],[Score-B]],ResultsInd[[#This Row],[Player B]],"")),""),"")</f>
        <v>OPEN-</v>
      </c>
      <c r="U1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OPEN-Jean Grosdent</v>
      </c>
      <c r="V1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OPEN-Jean Grosdent</v>
      </c>
      <c r="X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OPEN-Jean Grosdent</v>
      </c>
      <c r="Y112" s="264" t="str">
        <f>IF(ResultsInd[[#This Row],[Category]]="","",VLOOKUP(ResultsInd[[#This Row],[Stage]],$P$1:$V$9,MATCH(ResultsInd[[#This Row],[Category]],$Q$1:$V$1,0)+1,FALSE))</f>
        <v>PR1</v>
      </c>
      <c r="Z112" s="264" t="str">
        <f>IF(ResultsInd[[#This Row],[Score_OK]],IF(ResultsInd[[#This Row],[Level]]="R",ResultsInd[[#This Row],[Category]]&amp;"-"&amp;IF(ResultsInd[[#This Row],[LoseInKO]]=ResultsInd[[#This Row],[Category]]&amp;"-"&amp;ResultsInd[[#This Row],[Player A]],ResultsInd[[#This Row],[Player B]],ResultsInd[[#This Row],[Player A]]),""),"")</f>
        <v/>
      </c>
      <c r="AB112" s="281">
        <v>11</v>
      </c>
      <c r="AC112" s="315" t="s">
        <v>890</v>
      </c>
      <c r="AD112" s="289" t="s">
        <v>14439</v>
      </c>
      <c r="AE112" s="290" t="s">
        <v>12279</v>
      </c>
      <c r="AF112" s="284" t="s">
        <v>12275</v>
      </c>
      <c r="AG112" s="296" t="s">
        <v>12276</v>
      </c>
      <c r="AH112" s="291" t="s">
        <v>12271</v>
      </c>
      <c r="AI112" s="291" t="s">
        <v>12272</v>
      </c>
      <c r="AJ112" s="414" t="s">
        <v>13154</v>
      </c>
      <c r="AK112" s="291" t="s">
        <v>12273</v>
      </c>
      <c r="AL112" s="297" t="s">
        <v>12274</v>
      </c>
      <c r="AM112" s="414" t="s">
        <v>13154</v>
      </c>
      <c r="AN112" s="303" t="s">
        <v>12199</v>
      </c>
      <c r="AO112" s="304" t="s">
        <v>12200</v>
      </c>
      <c r="AP112" s="304" t="s">
        <v>12201</v>
      </c>
      <c r="AQ112" s="304" t="s">
        <v>12202</v>
      </c>
      <c r="AR112" s="304" t="s">
        <v>12203</v>
      </c>
      <c r="AS112" s="304" t="s">
        <v>12204</v>
      </c>
      <c r="AT112" s="304" t="s">
        <v>12205</v>
      </c>
      <c r="AU112" s="305" t="s">
        <v>12206</v>
      </c>
      <c r="AV112" s="468"/>
      <c r="AW112" s="282" t="s">
        <v>12276</v>
      </c>
      <c r="AX112" s="282" t="s">
        <v>12280</v>
      </c>
      <c r="AY112" s="283" t="s">
        <v>12199</v>
      </c>
      <c r="AZ112" s="283" t="s">
        <v>12200</v>
      </c>
      <c r="BA112" s="283" t="s">
        <v>12201</v>
      </c>
      <c r="BB112" s="283" t="s">
        <v>12202</v>
      </c>
      <c r="BC112" s="283" t="s">
        <v>12203</v>
      </c>
      <c r="BD112" s="283" t="s">
        <v>12204</v>
      </c>
      <c r="BE112" s="283" t="s">
        <v>12205</v>
      </c>
      <c r="BF112" s="300" t="s">
        <v>12206</v>
      </c>
    </row>
    <row r="113" spans="1:58" ht="12" thickBot="1" x14ac:dyDescent="0.25">
      <c r="A113" s="249" t="s">
        <v>890</v>
      </c>
      <c r="B113" s="249" t="s">
        <v>12207</v>
      </c>
      <c r="C113" s="62">
        <v>16</v>
      </c>
      <c r="D113" s="62"/>
      <c r="E113" s="345" t="s">
        <v>9527</v>
      </c>
      <c r="F113" s="345" t="s">
        <v>8129</v>
      </c>
      <c r="G113" s="113">
        <v>1</v>
      </c>
      <c r="H113" s="113">
        <v>1</v>
      </c>
      <c r="I113" s="114"/>
      <c r="J113" s="114"/>
      <c r="K113" s="114"/>
      <c r="L113" s="81"/>
      <c r="M113" s="265" t="b">
        <f>NOT(ISERROR(ResultsInd[[#This Row],[Goal-A]]+ResultsInd[[#This Row],[Goal-B]]))</f>
        <v>1</v>
      </c>
      <c r="N113" s="265">
        <f>VALUE(ResultsInd[[#This Row],[Score-A]])</f>
        <v>1</v>
      </c>
      <c r="O113" s="265">
        <f>VALUE(ResultsInd[[#This Row],[Score-B]])</f>
        <v>1</v>
      </c>
      <c r="P113" s="265">
        <f ca="1">IF(AND(ResultsInd[[#This Row],[Category]]&lt;&gt;"",ResultsInd[[#This Row],[Player A]]&lt;&gt;""),COUNTIF(INDIRECT(ResultsInd[[#This Row],[Category]]&amp;"List[Retained Player Name]"),ResultsInd[[#This Row],[Player A]]),"")</f>
        <v>1</v>
      </c>
      <c r="Q113" s="265">
        <f ca="1">IF(AND(ResultsInd[[#This Row],[Category]]&lt;&gt;"",ResultsInd[[#This Row],[Player B]]&lt;&gt;""),COUNTIF(INDIRECT(ResultsInd[[#This Row],[Category]]&amp;"List[Retained Player Name]"),ResultsInd[[#This Row],[Player B]]),"")</f>
        <v>1</v>
      </c>
      <c r="R1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13" s="265" t="str">
        <f>IF(ResultsInd[[#This Row],[Score_OK]],IF(ResultsInd[[#This Row],[Stage]]="Groups",ResultsInd[[#This Row],[Category]]&amp;"-"&amp;IF(ResultsInd[[#This Row],[Player B]]="","",IF(ResultsInd[[#This Row],[Score-A]]=ResultsInd[[#This Row],[Score-B]],ResultsInd[[#This Row],[Player A]],"")),""),"")</f>
        <v>OPEN-Paolo Zambello</v>
      </c>
      <c r="T113" s="265" t="str">
        <f>IF(ResultsInd[[#This Row],[Score_OK]],IF(ResultsInd[[#This Row],[Stage]]="Groups",ResultsInd[[#This Row],[Category]]&amp;"-"&amp;IF(ResultsInd[[#This Row],[Player B]]="","",IF(ResultsInd[[#This Row],[Score-A]]=ResultsInd[[#This Row],[Score-B]],ResultsInd[[#This Row],[Player B]],"")),""),"")</f>
        <v>OPEN-Pascal Scheen</v>
      </c>
      <c r="U1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OPEN-Paolo Zambello</v>
      </c>
      <c r="X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OPEN-Pascal Scheen</v>
      </c>
      <c r="Y113" s="264" t="str">
        <f>IF(ResultsInd[[#This Row],[Category]]="","",VLOOKUP(ResultsInd[[#This Row],[Stage]],$P$1:$V$9,MATCH(ResultsInd[[#This Row],[Category]],$Q$1:$V$1,0)+1,FALSE))</f>
        <v>PR1</v>
      </c>
      <c r="Z113" s="264" t="str">
        <f>IF(ResultsInd[[#This Row],[Score_OK]],IF(ResultsInd[[#This Row],[Level]]="R",ResultsInd[[#This Row],[Category]]&amp;"-"&amp;IF(ResultsInd[[#This Row],[LoseInKO]]=ResultsInd[[#This Row],[Category]]&amp;"-"&amp;ResultsInd[[#This Row],[Player A]],ResultsInd[[#This Row],[Player B]],ResultsInd[[#This Row],[Player A]]),""),"")</f>
        <v/>
      </c>
      <c r="AB113" s="8"/>
      <c r="AC113" s="12" t="str">
        <f>IF(AC112="","",AC112)</f>
        <v>OPEN</v>
      </c>
      <c r="AD113" s="309" t="s">
        <v>10364</v>
      </c>
      <c r="AE113" s="320"/>
      <c r="AF113" s="311"/>
      <c r="AG113" s="292">
        <f>IF(AP113="","",SMALL(AH113:AH119,ROWS(AG113:AG113)))</f>
        <v>1001</v>
      </c>
      <c r="AH113" s="293">
        <f>IF(AP113="","",RANK(AL113,AL113:AL119)*1000+ROWS(AH113:AH113))</f>
        <v>1001</v>
      </c>
      <c r="AI113" s="316">
        <f t="shared" ref="AI113:AI119" si="89">IF(AP113="","",CritClassInd1_Points*AN113+CritClassInd1_Matches*AP113+CritClassInd1_Attaque*AS113+CritClassInd1_DiffButs*AU113)</f>
        <v>9000000000000</v>
      </c>
      <c r="AJ113" s="415" t="b">
        <f>AND(AO113&lt;&gt;"",AO113&gt;0,COUNTIF(AI113:AI119,AI113)&gt;1)</f>
        <v>0</v>
      </c>
      <c r="AK113" s="316">
        <f t="shared" ref="AK113:AK119" si="90">IF(AP113="","",CritClassInd_ScorePart*AE113)</f>
        <v>0</v>
      </c>
      <c r="AL113" s="317">
        <f t="shared" ref="AL113:AL119" si="91">IF(AP113="","",AI113+AK113+CritClassInd2_Points*AN113+CritClassInd2_Matches*AP113+CritClassInd2_Attaque*AS113+CritClassInd2_DiffButs*AU113+AF113)</f>
        <v>9000000232500</v>
      </c>
      <c r="AM113" s="415" t="b">
        <f>AND(AO113&lt;&gt;"",AO113&gt;0,COUNTIF(AL113:AL119,AL113)&gt;1)</f>
        <v>0</v>
      </c>
      <c r="AN113" s="306">
        <f t="shared" ref="AN113:AN119" si="92">IF(AP113="","",(AP113*Points_Victoire)+AQ113*Points_Null)</f>
        <v>9</v>
      </c>
      <c r="AO113" s="307">
        <f t="shared" ref="AO113:AO119" si="93">IF(AP113="","",SUM(AP113:AR113))</f>
        <v>3</v>
      </c>
      <c r="AP113" s="307">
        <f>IF(OR(AC112="",AD113=""),"",COUNTIF(ResultsInd[Win],AC112&amp;"-"&amp;AD113))</f>
        <v>3</v>
      </c>
      <c r="AQ113" s="307">
        <f>IF(OR(AC112="",AD113=""),"",COUNTIF(ResultsInd[Draw1],AC112&amp;"-"&amp;AD113)+COUNTIF(ResultsInd[Draw2],AC112&amp;"-"&amp;AD113))</f>
        <v>0</v>
      </c>
      <c r="AR113" s="307">
        <f>IF(OR(AC112="",AD113=""),"",COUNTIF(ResultsInd[Lose],AC112&amp;"-"&amp;AD113))</f>
        <v>0</v>
      </c>
      <c r="AS113" s="307">
        <f>IF(OR(AC112="",AD113=""),"",SUMIFS(ResultsInd[Goal-A],ResultsInd[Category],AC112,ResultsInd[Stage],"Groups",ResultsInd[Player A],AD113)+SUMIFS(ResultsInd[Goal-B],ResultsInd[Category],AC112,ResultsInd[Stage],"Groups",ResultsInd[Player B],AD113))</f>
        <v>25</v>
      </c>
      <c r="AT113" s="307">
        <f>IF(OR(AC112="",AD113=""),"",SUMIFS(ResultsInd[Goal-B],ResultsInd[Category],AC112,ResultsInd[Stage],"Groups",ResultsInd[Player A],AD113)+SUMIFS(ResultsInd[Goal-A],ResultsInd[Category],AC112,ResultsInd[Stage],"Groups",ResultsInd[Player B],AD113))</f>
        <v>2</v>
      </c>
      <c r="AU113" s="308">
        <f>IF(AP113="","",AS113-AT113)</f>
        <v>23</v>
      </c>
      <c r="AV113" s="469" t="b">
        <f>IF(AG113="","",OR(VLOOKUP(AG113,AH113:AU119,3,FALSE),VLOOKUP(AG113,AH113:AU119,6,FALSE)))</f>
        <v>0</v>
      </c>
      <c r="AW113" s="298">
        <f t="shared" ref="AW113:AW119" si="94">IF(AG113="","",INT(AG113/1000))</f>
        <v>1</v>
      </c>
      <c r="AX113" s="285" t="str">
        <f>IF(AG113="","",INDEX(AD113:AD119,MATCH(AG113,AH113:AH119,0)))</f>
        <v>Alessandro Amatelli</v>
      </c>
      <c r="AY113" s="286">
        <f>IF(AG113="","",VLOOKUP(AG113,AH113:AU119,COLUMN()-COLUMN(AR112),FALSE))</f>
        <v>9</v>
      </c>
      <c r="AZ113" s="286">
        <f>IF(AG113="","",VLOOKUP(AG113,AH113:AU119,COLUMN()-COLUMN(AR112),FALSE))</f>
        <v>3</v>
      </c>
      <c r="BA113" s="286">
        <f>IF(AG113="","",VLOOKUP(AG113,AH113:AU119,COLUMN()-COLUMN(AR112),FALSE))</f>
        <v>3</v>
      </c>
      <c r="BB113" s="286">
        <f>IF(AG113="","",VLOOKUP(AG113,AH113:AU119,COLUMN()-COLUMN(AR112),FALSE))</f>
        <v>0</v>
      </c>
      <c r="BC113" s="286">
        <f>IF(AG113="","",VLOOKUP(AG113,AH113:AU119,COLUMN()-COLUMN(AR112),FALSE))</f>
        <v>0</v>
      </c>
      <c r="BD113" s="286">
        <f>IF(AG113="","",VLOOKUP(AG113,AH113:AU119,COLUMN()-COLUMN(AR112),FALSE))</f>
        <v>25</v>
      </c>
      <c r="BE113" s="286">
        <f>IF(AG113="","",VLOOKUP(AG113,AH113:AU119,COLUMN()-COLUMN(AR112),FALSE))</f>
        <v>2</v>
      </c>
      <c r="BF113" s="301">
        <f>IF(AG113="","",VLOOKUP(AG113,AH113:AU119,COLUMN()-COLUMN(AR112),FALSE))</f>
        <v>23</v>
      </c>
    </row>
    <row r="114" spans="1:58" ht="12" thickBot="1" x14ac:dyDescent="0.25">
      <c r="A114" s="62" t="s">
        <v>890</v>
      </c>
      <c r="B114" s="62" t="s">
        <v>12207</v>
      </c>
      <c r="C114" s="62">
        <v>16</v>
      </c>
      <c r="D114" s="62"/>
      <c r="E114" s="345" t="s">
        <v>8168</v>
      </c>
      <c r="F114" s="345" t="s">
        <v>9194</v>
      </c>
      <c r="G114" s="113">
        <v>2</v>
      </c>
      <c r="H114" s="113">
        <v>0</v>
      </c>
      <c r="I114" s="114"/>
      <c r="J114" s="114"/>
      <c r="K114" s="114"/>
      <c r="L114" s="81"/>
      <c r="M114" s="265" t="b">
        <f>NOT(ISERROR(ResultsInd[[#This Row],[Goal-A]]+ResultsInd[[#This Row],[Goal-B]]))</f>
        <v>1</v>
      </c>
      <c r="N114" s="265">
        <f>VALUE(ResultsInd[[#This Row],[Score-A]])</f>
        <v>2</v>
      </c>
      <c r="O114" s="265">
        <f>VALUE(ResultsInd[[#This Row],[Score-B]])</f>
        <v>0</v>
      </c>
      <c r="P114" s="265">
        <f ca="1">IF(AND(ResultsInd[[#This Row],[Category]]&lt;&gt;"",ResultsInd[[#This Row],[Player A]]&lt;&gt;""),COUNTIF(INDIRECT(ResultsInd[[#This Row],[Category]]&amp;"List[Retained Player Name]"),ResultsInd[[#This Row],[Player A]]),"")</f>
        <v>1</v>
      </c>
      <c r="Q114" s="265">
        <f ca="1">IF(AND(ResultsInd[[#This Row],[Category]]&lt;&gt;"",ResultsInd[[#This Row],[Player B]]&lt;&gt;""),COUNTIF(INDIRECT(ResultsInd[[#This Row],[Category]]&amp;"List[Retained Player Name]"),ResultsInd[[#This Row],[Player B]]),"")</f>
        <v>1</v>
      </c>
      <c r="R1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OPEN-Jean Grosdent</v>
      </c>
      <c r="S114" s="265" t="str">
        <f>IF(ResultsInd[[#This Row],[Score_OK]],IF(ResultsInd[[#This Row],[Stage]]="Groups",ResultsInd[[#This Row],[Category]]&amp;"-"&amp;IF(ResultsInd[[#This Row],[Player B]]="","",IF(ResultsInd[[#This Row],[Score-A]]=ResultsInd[[#This Row],[Score-B]],ResultsInd[[#This Row],[Player A]],"")),""),"")</f>
        <v>OPEN-</v>
      </c>
      <c r="T114" s="265" t="str">
        <f>IF(ResultsInd[[#This Row],[Score_OK]],IF(ResultsInd[[#This Row],[Stage]]="Groups",ResultsInd[[#This Row],[Category]]&amp;"-"&amp;IF(ResultsInd[[#This Row],[Player B]]="","",IF(ResultsInd[[#This Row],[Score-A]]=ResultsInd[[#This Row],[Score-B]],ResultsInd[[#This Row],[Player B]],"")),""),"")</f>
        <v>OPEN-</v>
      </c>
      <c r="U1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OPEN-Giannis Nikolaidis</v>
      </c>
      <c r="V1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OPEN-Giannis Nikolaidis</v>
      </c>
      <c r="X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OPEN-Giannis Nikolaidis</v>
      </c>
      <c r="Y114" s="264" t="str">
        <f>IF(ResultsInd[[#This Row],[Category]]="","",VLOOKUP(ResultsInd[[#This Row],[Stage]],$P$1:$V$9,MATCH(ResultsInd[[#This Row],[Category]],$Q$1:$V$1,0)+1,FALSE))</f>
        <v>PR1</v>
      </c>
      <c r="Z114" s="264" t="str">
        <f>IF(ResultsInd[[#This Row],[Score_OK]],IF(ResultsInd[[#This Row],[Level]]="R",ResultsInd[[#This Row],[Category]]&amp;"-"&amp;IF(ResultsInd[[#This Row],[LoseInKO]]=ResultsInd[[#This Row],[Category]]&amp;"-"&amp;ResultsInd[[#This Row],[Player A]],ResultsInd[[#This Row],[Player B]],ResultsInd[[#This Row],[Player A]]),""),"")</f>
        <v/>
      </c>
      <c r="AB114" s="8"/>
      <c r="AC114" s="12" t="str">
        <f t="shared" ref="AC114:AC119" si="95">IF(AC113="","",AC113)</f>
        <v>OPEN</v>
      </c>
      <c r="AD114" s="309" t="s">
        <v>10447</v>
      </c>
      <c r="AE114" s="320"/>
      <c r="AF114" s="311"/>
      <c r="AG114" s="292">
        <f>IF(AP114="","",SMALL(AH113:AH119,ROWS(AG113:AG114)))</f>
        <v>2003</v>
      </c>
      <c r="AH114" s="293">
        <f>IF(AP114="","",RANK(AL114,AL113:AL119)*1000+ROWS(AH113:AH114))</f>
        <v>4002</v>
      </c>
      <c r="AI114" s="316">
        <f t="shared" si="89"/>
        <v>0</v>
      </c>
      <c r="AJ114" s="415" t="b">
        <f>AND(AO114&lt;&gt;"",AO114&gt;0,COUNTIF(AI113:AI119,AI114)&gt;1)</f>
        <v>0</v>
      </c>
      <c r="AK114" s="316">
        <f t="shared" si="90"/>
        <v>0</v>
      </c>
      <c r="AL114" s="317">
        <f t="shared" si="91"/>
        <v>-189800</v>
      </c>
      <c r="AM114" s="415" t="b">
        <f>AND(AO114&lt;&gt;"",AO114&gt;0,COUNTIF(AL113:AL119,AL114)&gt;1)</f>
        <v>0</v>
      </c>
      <c r="AN114" s="306">
        <f t="shared" si="92"/>
        <v>0</v>
      </c>
      <c r="AO114" s="307">
        <f t="shared" si="93"/>
        <v>3</v>
      </c>
      <c r="AP114" s="307">
        <f>IF(OR(AC112="",AD114=""),"",COUNTIF(ResultsInd[Win],AC112&amp;"-"&amp;AD114))</f>
        <v>0</v>
      </c>
      <c r="AQ114" s="307">
        <f>IF(OR(AC112="",AD114=""),"",COUNTIF(ResultsInd[Draw1],AC112&amp;"-"&amp;AD114)+COUNTIF(ResultsInd[Draw2],AC112&amp;"-"&amp;AD114))</f>
        <v>0</v>
      </c>
      <c r="AR114" s="307">
        <f>IF(OR(AC112="",AD114=""),"",COUNTIF(ResultsInd[Lose],AC112&amp;"-"&amp;AD114))</f>
        <v>3</v>
      </c>
      <c r="AS114" s="307">
        <f>IF(OR(AC112="",AD114=""),"",SUMIFS(ResultsInd[Goal-A],ResultsInd[Category],AC112,ResultsInd[Stage],"Groups",ResultsInd[Player A],AD114)+SUMIFS(ResultsInd[Goal-B],ResultsInd[Category],AC112,ResultsInd[Stage],"Groups",ResultsInd[Player B],AD114))</f>
        <v>2</v>
      </c>
      <c r="AT114" s="307">
        <f>IF(OR(AC112="",AD114=""),"",SUMIFS(ResultsInd[Goal-B],ResultsInd[Category],AC112,ResultsInd[Stage],"Groups",ResultsInd[Player A],AD114)+SUMIFS(ResultsInd[Goal-A],ResultsInd[Category],AC112,ResultsInd[Stage],"Groups",ResultsInd[Player B],AD114))</f>
        <v>21</v>
      </c>
      <c r="AU114" s="308">
        <f t="shared" ref="AU114:AU119" si="96">IF(AP114="","",AS114-AT114)</f>
        <v>-19</v>
      </c>
      <c r="AV114" s="469" t="b">
        <f>IF(AG114="","",OR(VLOOKUP(AG114,AH113:AU119,3,FALSE),VLOOKUP(AG114,AH113:AU119,6,FALSE)))</f>
        <v>0</v>
      </c>
      <c r="AW114" s="298">
        <f t="shared" si="94"/>
        <v>2</v>
      </c>
      <c r="AX114" s="285" t="str">
        <f>IF(AG114="","",INDEX(AD113:AD119,MATCH(AG114,AH113:AH119,0)))</f>
        <v>Jann Segers</v>
      </c>
      <c r="AY114" s="286">
        <f>IF(AG114="","",VLOOKUP(AG114,AH113:AU119,COLUMN()-COLUMN(AR112),FALSE))</f>
        <v>6</v>
      </c>
      <c r="AZ114" s="286">
        <f>IF(AG114="","",VLOOKUP(AG114,AH113:AU119,COLUMN()-COLUMN(AR112),FALSE))</f>
        <v>3</v>
      </c>
      <c r="BA114" s="286">
        <f>IF(AG114="","",VLOOKUP(AG114,AH113:AU119,COLUMN()-COLUMN(AR112),FALSE))</f>
        <v>2</v>
      </c>
      <c r="BB114" s="286">
        <f>IF(AG114="","",VLOOKUP(AG114,AH113:AU119,COLUMN()-COLUMN(AR112),FALSE))</f>
        <v>0</v>
      </c>
      <c r="BC114" s="286">
        <f>IF(AG114="","",VLOOKUP(AG114,AH113:AU119,COLUMN()-COLUMN(AR112),FALSE))</f>
        <v>1</v>
      </c>
      <c r="BD114" s="286">
        <f>IF(AG114="","",VLOOKUP(AG114,AH113:AU119,COLUMN()-COLUMN(AR112),FALSE))</f>
        <v>17</v>
      </c>
      <c r="BE114" s="286">
        <f>IF(AG114="","",VLOOKUP(AG114,AH113:AU119,COLUMN()-COLUMN(AR112),FALSE))</f>
        <v>10</v>
      </c>
      <c r="BF114" s="301">
        <f>IF(AG114="","",VLOOKUP(AG114,AH113:AU119,COLUMN()-COLUMN(AR112),FALSE))</f>
        <v>7</v>
      </c>
    </row>
    <row r="115" spans="1:58" ht="12" thickBot="1" x14ac:dyDescent="0.25">
      <c r="A115" s="62" t="s">
        <v>890</v>
      </c>
      <c r="B115" s="62" t="s">
        <v>12207</v>
      </c>
      <c r="C115" s="62">
        <v>17</v>
      </c>
      <c r="D115" s="62"/>
      <c r="E115" s="345" t="s">
        <v>8115</v>
      </c>
      <c r="F115" s="345" t="s">
        <v>8720</v>
      </c>
      <c r="G115" s="113">
        <v>1</v>
      </c>
      <c r="H115" s="113">
        <v>3</v>
      </c>
      <c r="I115" s="114"/>
      <c r="J115" s="114"/>
      <c r="K115" s="114"/>
      <c r="L115" s="81"/>
      <c r="M115" s="265" t="b">
        <f>NOT(ISERROR(ResultsInd[[#This Row],[Goal-A]]+ResultsInd[[#This Row],[Goal-B]]))</f>
        <v>1</v>
      </c>
      <c r="N115" s="265">
        <f>VALUE(ResultsInd[[#This Row],[Score-A]])</f>
        <v>1</v>
      </c>
      <c r="O115" s="265">
        <f>VALUE(ResultsInd[[#This Row],[Score-B]])</f>
        <v>3</v>
      </c>
      <c r="P115" s="265">
        <f ca="1">IF(AND(ResultsInd[[#This Row],[Category]]&lt;&gt;"",ResultsInd[[#This Row],[Player A]]&lt;&gt;""),COUNTIF(INDIRECT(ResultsInd[[#This Row],[Category]]&amp;"List[Retained Player Name]"),ResultsInd[[#This Row],[Player A]]),"")</f>
        <v>1</v>
      </c>
      <c r="Q115" s="265">
        <f ca="1">IF(AND(ResultsInd[[#This Row],[Category]]&lt;&gt;"",ResultsInd[[#This Row],[Player B]]&lt;&gt;""),COUNTIF(INDIRECT(ResultsInd[[#This Row],[Category]]&amp;"List[Retained Player Name]"),ResultsInd[[#This Row],[Player B]]),"")</f>
        <v>1</v>
      </c>
      <c r="R1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Monteiro</v>
      </c>
      <c r="S115" s="265" t="str">
        <f>IF(ResultsInd[[#This Row],[Score_OK]],IF(ResultsInd[[#This Row],[Stage]]="Groups",ResultsInd[[#This Row],[Category]]&amp;"-"&amp;IF(ResultsInd[[#This Row],[Player B]]="","",IF(ResultsInd[[#This Row],[Score-A]]=ResultsInd[[#This Row],[Score-B]],ResultsInd[[#This Row],[Player A]],"")),""),"")</f>
        <v>OPEN-</v>
      </c>
      <c r="T115" s="265" t="str">
        <f>IF(ResultsInd[[#This Row],[Score_OK]],IF(ResultsInd[[#This Row],[Stage]]="Groups",ResultsInd[[#This Row],[Category]]&amp;"-"&amp;IF(ResultsInd[[#This Row],[Player B]]="","",IF(ResultsInd[[#This Row],[Score-A]]=ResultsInd[[#This Row],[Score-B]],ResultsInd[[#This Row],[Player B]],"")),""),"")</f>
        <v>OPEN-</v>
      </c>
      <c r="U1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OPEN-Geoffrey Marain</v>
      </c>
      <c r="V1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OPEN-Geoffrey Marain</v>
      </c>
      <c r="X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OPEN-Geoffrey Marain</v>
      </c>
      <c r="Y115" s="264" t="str">
        <f>IF(ResultsInd[[#This Row],[Category]]="","",VLOOKUP(ResultsInd[[#This Row],[Stage]],$P$1:$V$9,MATCH(ResultsInd[[#This Row],[Category]],$Q$1:$V$1,0)+1,FALSE))</f>
        <v>PR1</v>
      </c>
      <c r="Z115" s="264" t="str">
        <f>IF(ResultsInd[[#This Row],[Score_OK]],IF(ResultsInd[[#This Row],[Level]]="R",ResultsInd[[#This Row],[Category]]&amp;"-"&amp;IF(ResultsInd[[#This Row],[LoseInKO]]=ResultsInd[[#This Row],[Category]]&amp;"-"&amp;ResultsInd[[#This Row],[Player A]],ResultsInd[[#This Row],[Player B]],ResultsInd[[#This Row],[Player A]]),""),"")</f>
        <v/>
      </c>
      <c r="AB115" s="8"/>
      <c r="AC115" s="12" t="str">
        <f t="shared" si="95"/>
        <v>OPEN</v>
      </c>
      <c r="AD115" s="309" t="s">
        <v>8149</v>
      </c>
      <c r="AE115" s="320"/>
      <c r="AF115" s="311"/>
      <c r="AG115" s="292">
        <f>IF(AP115="","",SMALL(AH113:AH119,ROWS(AG113:AG115)))</f>
        <v>3004</v>
      </c>
      <c r="AH115" s="293">
        <f>IF(AP115="","",RANK(AL115,AL113:AL119)*1000+ROWS(AH113:AH115))</f>
        <v>2003</v>
      </c>
      <c r="AI115" s="316">
        <f t="shared" si="89"/>
        <v>6000000000000</v>
      </c>
      <c r="AJ115" s="415" t="b">
        <f>AND(AO115&lt;&gt;"",AO115&gt;0,COUNTIF(AI113:AI119,AI115)&gt;1)</f>
        <v>0</v>
      </c>
      <c r="AK115" s="316">
        <f t="shared" si="90"/>
        <v>0</v>
      </c>
      <c r="AL115" s="317">
        <f t="shared" si="91"/>
        <v>6000000071700</v>
      </c>
      <c r="AM115" s="415" t="b">
        <f>AND(AO115&lt;&gt;"",AO115&gt;0,COUNTIF(AL113:AL119,AL115)&gt;1)</f>
        <v>0</v>
      </c>
      <c r="AN115" s="306">
        <f t="shared" si="92"/>
        <v>6</v>
      </c>
      <c r="AO115" s="307">
        <f t="shared" si="93"/>
        <v>3</v>
      </c>
      <c r="AP115" s="307">
        <f>IF(OR(AC112="",AD115=""),"",COUNTIF(ResultsInd[Win],AC112&amp;"-"&amp;AD115))</f>
        <v>2</v>
      </c>
      <c r="AQ115" s="307">
        <f>IF(OR(AC112="",AD115=""),"",COUNTIF(ResultsInd[Draw1],AC112&amp;"-"&amp;AD115)+COUNTIF(ResultsInd[Draw2],AC112&amp;"-"&amp;AD115))</f>
        <v>0</v>
      </c>
      <c r="AR115" s="307">
        <f>IF(OR(AC112="",AD115=""),"",COUNTIF(ResultsInd[Lose],AC112&amp;"-"&amp;AD115))</f>
        <v>1</v>
      </c>
      <c r="AS115" s="307">
        <f>IF(OR(AC112="",AD115=""),"",SUMIFS(ResultsInd[Goal-A],ResultsInd[Category],AC112,ResultsInd[Stage],"Groups",ResultsInd[Player A],AD115)+SUMIFS(ResultsInd[Goal-B],ResultsInd[Category],AC112,ResultsInd[Stage],"Groups",ResultsInd[Player B],AD115))</f>
        <v>17</v>
      </c>
      <c r="AT115" s="307">
        <f>IF(OR(AC112="",AD115=""),"",SUMIFS(ResultsInd[Goal-B],ResultsInd[Category],AC112,ResultsInd[Stage],"Groups",ResultsInd[Player A],AD115)+SUMIFS(ResultsInd[Goal-A],ResultsInd[Category],AC112,ResultsInd[Stage],"Groups",ResultsInd[Player B],AD115))</f>
        <v>10</v>
      </c>
      <c r="AU115" s="308">
        <f t="shared" si="96"/>
        <v>7</v>
      </c>
      <c r="AV115" s="469" t="b">
        <f>IF(AG115="","",OR(VLOOKUP(AG115,AH113:AU119,3,FALSE),VLOOKUP(AG115,AH113:AU119,6,FALSE)))</f>
        <v>0</v>
      </c>
      <c r="AW115" s="298">
        <f t="shared" si="94"/>
        <v>3</v>
      </c>
      <c r="AX115" s="285" t="str">
        <f>IF(AG115="","",INDEX(AD113:AD119,MATCH(AG115,AH113:AH119,0)))</f>
        <v>Jarno Marks</v>
      </c>
      <c r="AY115" s="286">
        <f>IF(AG115="","",VLOOKUP(AG115,AH113:AU119,COLUMN()-COLUMN(AR112),FALSE))</f>
        <v>3</v>
      </c>
      <c r="AZ115" s="286">
        <f>IF(AG115="","",VLOOKUP(AG115,AH113:AU119,COLUMN()-COLUMN(AR112),FALSE))</f>
        <v>3</v>
      </c>
      <c r="BA115" s="286">
        <f>IF(AG115="","",VLOOKUP(AG115,AH113:AU119,COLUMN()-COLUMN(AR112),FALSE))</f>
        <v>1</v>
      </c>
      <c r="BB115" s="286">
        <f>IF(AG115="","",VLOOKUP(AG115,AH113:AU119,COLUMN()-COLUMN(AR112),FALSE))</f>
        <v>0</v>
      </c>
      <c r="BC115" s="286">
        <f>IF(AG115="","",VLOOKUP(AG115,AH113:AU119,COLUMN()-COLUMN(AR112),FALSE))</f>
        <v>2</v>
      </c>
      <c r="BD115" s="286">
        <f>IF(AG115="","",VLOOKUP(AG115,AH113:AU119,COLUMN()-COLUMN(AR112),FALSE))</f>
        <v>3</v>
      </c>
      <c r="BE115" s="286">
        <f>IF(AG115="","",VLOOKUP(AG115,AH113:AU119,COLUMN()-COLUMN(AR112),FALSE))</f>
        <v>14</v>
      </c>
      <c r="BF115" s="301">
        <f>IF(AG115="","",VLOOKUP(AG115,AH113:AU119,COLUMN()-COLUMN(AR112),FALSE))</f>
        <v>-11</v>
      </c>
    </row>
    <row r="116" spans="1:58" ht="12" thickBot="1" x14ac:dyDescent="0.25">
      <c r="A116" s="62" t="s">
        <v>890</v>
      </c>
      <c r="B116" s="62" t="s">
        <v>12207</v>
      </c>
      <c r="C116" s="62">
        <v>17</v>
      </c>
      <c r="D116" s="62"/>
      <c r="E116" s="345" t="s">
        <v>14488</v>
      </c>
      <c r="F116" s="345" t="s">
        <v>8552</v>
      </c>
      <c r="G116" s="113">
        <v>0</v>
      </c>
      <c r="H116" s="113">
        <v>8</v>
      </c>
      <c r="I116" s="114"/>
      <c r="J116" s="114"/>
      <c r="K116" s="114"/>
      <c r="L116" s="81"/>
      <c r="M116" s="265" t="b">
        <f>NOT(ISERROR(ResultsInd[[#This Row],[Goal-A]]+ResultsInd[[#This Row],[Goal-B]]))</f>
        <v>1</v>
      </c>
      <c r="N116" s="265">
        <f>VALUE(ResultsInd[[#This Row],[Score-A]])</f>
        <v>0</v>
      </c>
      <c r="O116" s="265">
        <f>VALUE(ResultsInd[[#This Row],[Score-B]])</f>
        <v>8</v>
      </c>
      <c r="P116" s="265">
        <f ca="1">IF(AND(ResultsInd[[#This Row],[Category]]&lt;&gt;"",ResultsInd[[#This Row],[Player A]]&lt;&gt;""),COUNTIF(INDIRECT(ResultsInd[[#This Row],[Category]]&amp;"List[Retained Player Name]"),ResultsInd[[#This Row],[Player A]]),"")</f>
        <v>1</v>
      </c>
      <c r="Q116" s="265">
        <f ca="1">IF(AND(ResultsInd[[#This Row],[Category]]&lt;&gt;"",ResultsInd[[#This Row],[Player B]]&lt;&gt;""),COUNTIF(INDIRECT(ResultsInd[[#This Row],[Category]]&amp;"List[Retained Player Name]"),ResultsInd[[#This Row],[Player B]]),"")</f>
        <v>1</v>
      </c>
      <c r="R1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OPEN-Richard Badger</v>
      </c>
      <c r="S116" s="265" t="str">
        <f>IF(ResultsInd[[#This Row],[Score_OK]],IF(ResultsInd[[#This Row],[Stage]]="Groups",ResultsInd[[#This Row],[Category]]&amp;"-"&amp;IF(ResultsInd[[#This Row],[Player B]]="","",IF(ResultsInd[[#This Row],[Score-A]]=ResultsInd[[#This Row],[Score-B]],ResultsInd[[#This Row],[Player A]],"")),""),"")</f>
        <v>OPEN-</v>
      </c>
      <c r="T116" s="265" t="str">
        <f>IF(ResultsInd[[#This Row],[Score_OK]],IF(ResultsInd[[#This Row],[Stage]]="Groups",ResultsInd[[#This Row],[Category]]&amp;"-"&amp;IF(ResultsInd[[#This Row],[Player B]]="","",IF(ResultsInd[[#This Row],[Score-A]]=ResultsInd[[#This Row],[Score-B]],ResultsInd[[#This Row],[Player B]],"")),""),"")</f>
        <v>OPEN-</v>
      </c>
      <c r="U1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OPEN-Peter Fako</v>
      </c>
      <c r="V1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OPEN-Peter Fako</v>
      </c>
      <c r="X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OPEN-Peter Fako</v>
      </c>
      <c r="Y116" s="264" t="str">
        <f>IF(ResultsInd[[#This Row],[Category]]="","",VLOOKUP(ResultsInd[[#This Row],[Stage]],$P$1:$V$9,MATCH(ResultsInd[[#This Row],[Category]],$Q$1:$V$1,0)+1,FALSE))</f>
        <v>PR1</v>
      </c>
      <c r="Z116" s="264" t="str">
        <f>IF(ResultsInd[[#This Row],[Score_OK]],IF(ResultsInd[[#This Row],[Level]]="R",ResultsInd[[#This Row],[Category]]&amp;"-"&amp;IF(ResultsInd[[#This Row],[LoseInKO]]=ResultsInd[[#This Row],[Category]]&amp;"-"&amp;ResultsInd[[#This Row],[Player A]],ResultsInd[[#This Row],[Player B]],ResultsInd[[#This Row],[Player A]]),""),"")</f>
        <v/>
      </c>
      <c r="AB116" s="91"/>
      <c r="AC116" s="12" t="str">
        <f t="shared" si="95"/>
        <v>OPEN</v>
      </c>
      <c r="AD116" s="309" t="s">
        <v>11466</v>
      </c>
      <c r="AE116" s="310"/>
      <c r="AF116" s="311"/>
      <c r="AG116" s="292">
        <f>IF(AP116="","",SMALL(AH113:AH119,ROWS(AG113:AG116)))</f>
        <v>4002</v>
      </c>
      <c r="AH116" s="293">
        <f>IF(AP116="","",RANK(AL116,AL113:AL119)*1000+ROWS(AH113:AH116))</f>
        <v>3004</v>
      </c>
      <c r="AI116" s="316">
        <f t="shared" si="89"/>
        <v>3000000000000</v>
      </c>
      <c r="AJ116" s="415" t="b">
        <f>AND(AO116&lt;&gt;"",AO116&gt;0,COUNTIF(AI113:AI119,AI116)&gt;1)</f>
        <v>0</v>
      </c>
      <c r="AK116" s="316">
        <f t="shared" si="90"/>
        <v>0</v>
      </c>
      <c r="AL116" s="317">
        <f t="shared" si="91"/>
        <v>2999999890300</v>
      </c>
      <c r="AM116" s="415" t="b">
        <f>AND(AO116&lt;&gt;"",AO116&gt;0,COUNTIF(AL113:AL119,AL116)&gt;1)</f>
        <v>0</v>
      </c>
      <c r="AN116" s="306">
        <f t="shared" si="92"/>
        <v>3</v>
      </c>
      <c r="AO116" s="307">
        <f t="shared" si="93"/>
        <v>3</v>
      </c>
      <c r="AP116" s="307">
        <f>IF(OR(AC112="",AD116=""),"",COUNTIF(ResultsInd[Win],AC112&amp;"-"&amp;AD116))</f>
        <v>1</v>
      </c>
      <c r="AQ116" s="307">
        <f>IF(OR(AC112="",AD116=""),"",COUNTIF(ResultsInd[Draw1],AC112&amp;"-"&amp;AD116)+COUNTIF(ResultsInd[Draw2],AC112&amp;"-"&amp;AD116))</f>
        <v>0</v>
      </c>
      <c r="AR116" s="307">
        <f>IF(OR(AC112="",AD116=""),"",COUNTIF(ResultsInd[Lose],AC112&amp;"-"&amp;AD116))</f>
        <v>2</v>
      </c>
      <c r="AS116" s="307">
        <f>IF(OR(AC112="",AD116=""),"",SUMIFS(ResultsInd[Goal-A],ResultsInd[Category],AC112,ResultsInd[Stage],"Groups",ResultsInd[Player A],AD116)+SUMIFS(ResultsInd[Goal-B],ResultsInd[Category],AC112,ResultsInd[Stage],"Groups",ResultsInd[Player B],AD116))</f>
        <v>3</v>
      </c>
      <c r="AT116" s="307">
        <f>IF(OR(AC112="",AD116=""),"",SUMIFS(ResultsInd[Goal-B],ResultsInd[Category],AC112,ResultsInd[Stage],"Groups",ResultsInd[Player A],AD116)+SUMIFS(ResultsInd[Goal-A],ResultsInd[Category],AC112,ResultsInd[Stage],"Groups",ResultsInd[Player B],AD116))</f>
        <v>14</v>
      </c>
      <c r="AU116" s="308">
        <f t="shared" si="96"/>
        <v>-11</v>
      </c>
      <c r="AV116" s="469" t="b">
        <f>IF(AG116="","",OR(VLOOKUP(AG116,AH113:AU119,3,FALSE),VLOOKUP(AG116,AH113:AU119,6,FALSE)))</f>
        <v>0</v>
      </c>
      <c r="AW116" s="298">
        <f t="shared" si="94"/>
        <v>4</v>
      </c>
      <c r="AX116" s="285" t="str">
        <f>IF(AG116="","",INDEX(AD113:AD119,MATCH(AG116,AH113:AH119,0)))</f>
        <v>Mario Fleri Soler</v>
      </c>
      <c r="AY116" s="286">
        <f>IF(AG116="","",VLOOKUP(AG116,AH113:AU119,COLUMN()-COLUMN(AR112),FALSE))</f>
        <v>0</v>
      </c>
      <c r="AZ116" s="286">
        <f>IF(AG116="","",VLOOKUP(AG116,AH113:AU119,COLUMN()-COLUMN(AR112),FALSE))</f>
        <v>3</v>
      </c>
      <c r="BA116" s="286">
        <f>IF(AG116="","",VLOOKUP(AG116,AH113:AU119,COLUMN()-COLUMN(AR112),FALSE))</f>
        <v>0</v>
      </c>
      <c r="BB116" s="286">
        <f>IF(AG116="","",VLOOKUP(AG116,AH113:AU119,COLUMN()-COLUMN(AR112),FALSE))</f>
        <v>0</v>
      </c>
      <c r="BC116" s="286">
        <f>IF(AG116="","",VLOOKUP(AG116,AH113:AU119,COLUMN()-COLUMN(AR112),FALSE))</f>
        <v>3</v>
      </c>
      <c r="BD116" s="286">
        <f>IF(AG116="","",VLOOKUP(AG116,AH113:AU119,COLUMN()-COLUMN(AR112),FALSE))</f>
        <v>2</v>
      </c>
      <c r="BE116" s="286">
        <f>IF(AG116="","",VLOOKUP(AG116,AH113:AU119,COLUMN()-COLUMN(AR112),FALSE))</f>
        <v>21</v>
      </c>
      <c r="BF116" s="301">
        <f>IF(AG116="","",VLOOKUP(AG116,AH113:AU119,COLUMN()-COLUMN(AR112),FALSE))</f>
        <v>-19</v>
      </c>
    </row>
    <row r="117" spans="1:58" ht="12" thickBot="1" x14ac:dyDescent="0.25">
      <c r="A117" s="62" t="s">
        <v>890</v>
      </c>
      <c r="B117" s="62" t="s">
        <v>12207</v>
      </c>
      <c r="C117" s="62">
        <v>17</v>
      </c>
      <c r="D117" s="62"/>
      <c r="E117" s="345" t="s">
        <v>8115</v>
      </c>
      <c r="F117" s="345" t="s">
        <v>14488</v>
      </c>
      <c r="G117" s="113">
        <v>12</v>
      </c>
      <c r="H117" s="113">
        <v>0</v>
      </c>
      <c r="I117" s="114"/>
      <c r="J117" s="114"/>
      <c r="K117" s="114"/>
      <c r="L117" s="81"/>
      <c r="M117" s="265" t="b">
        <f>NOT(ISERROR(ResultsInd[[#This Row],[Goal-A]]+ResultsInd[[#This Row],[Goal-B]]))</f>
        <v>1</v>
      </c>
      <c r="N117" s="265">
        <f>VALUE(ResultsInd[[#This Row],[Score-A]])</f>
        <v>12</v>
      </c>
      <c r="O117" s="265">
        <f>VALUE(ResultsInd[[#This Row],[Score-B]])</f>
        <v>0</v>
      </c>
      <c r="P117" s="265">
        <f ca="1">IF(AND(ResultsInd[[#This Row],[Category]]&lt;&gt;"",ResultsInd[[#This Row],[Player A]]&lt;&gt;""),COUNTIF(INDIRECT(ResultsInd[[#This Row],[Category]]&amp;"List[Retained Player Name]"),ResultsInd[[#This Row],[Player A]]),"")</f>
        <v>1</v>
      </c>
      <c r="Q117" s="265">
        <f ca="1">IF(AND(ResultsInd[[#This Row],[Category]]&lt;&gt;"",ResultsInd[[#This Row],[Player B]]&lt;&gt;""),COUNTIF(INDIRECT(ResultsInd[[#This Row],[Category]]&amp;"List[Retained Player Name]"),ResultsInd[[#This Row],[Player B]]),"")</f>
        <v>1</v>
      </c>
      <c r="R1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OPEN-Geoffrey Marain</v>
      </c>
      <c r="S117" s="265" t="str">
        <f>IF(ResultsInd[[#This Row],[Score_OK]],IF(ResultsInd[[#This Row],[Stage]]="Groups",ResultsInd[[#This Row],[Category]]&amp;"-"&amp;IF(ResultsInd[[#This Row],[Player B]]="","",IF(ResultsInd[[#This Row],[Score-A]]=ResultsInd[[#This Row],[Score-B]],ResultsInd[[#This Row],[Player A]],"")),""),"")</f>
        <v>OPEN-</v>
      </c>
      <c r="T117" s="265" t="str">
        <f>IF(ResultsInd[[#This Row],[Score_OK]],IF(ResultsInd[[#This Row],[Stage]]="Groups",ResultsInd[[#This Row],[Category]]&amp;"-"&amp;IF(ResultsInd[[#This Row],[Player B]]="","",IF(ResultsInd[[#This Row],[Score-A]]=ResultsInd[[#This Row],[Score-B]],ResultsInd[[#This Row],[Player B]],"")),""),"")</f>
        <v>OPEN-</v>
      </c>
      <c r="U1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OPEN-Peter Fako</v>
      </c>
      <c r="V1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OPEN-Peter Fako</v>
      </c>
      <c r="X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OPEN-Peter Fako</v>
      </c>
      <c r="Y117" s="264" t="str">
        <f>IF(ResultsInd[[#This Row],[Category]]="","",VLOOKUP(ResultsInd[[#This Row],[Stage]],$P$1:$V$9,MATCH(ResultsInd[[#This Row],[Category]],$Q$1:$V$1,0)+1,FALSE))</f>
        <v>PR1</v>
      </c>
      <c r="Z117" s="264" t="str">
        <f>IF(ResultsInd[[#This Row],[Score_OK]],IF(ResultsInd[[#This Row],[Level]]="R",ResultsInd[[#This Row],[Category]]&amp;"-"&amp;IF(ResultsInd[[#This Row],[LoseInKO]]=ResultsInd[[#This Row],[Category]]&amp;"-"&amp;ResultsInd[[#This Row],[Player A]],ResultsInd[[#This Row],[Player B]],ResultsInd[[#This Row],[Player A]]),""),"")</f>
        <v/>
      </c>
      <c r="AB117" s="91"/>
      <c r="AC117" s="12" t="str">
        <f t="shared" si="95"/>
        <v>OPEN</v>
      </c>
      <c r="AD117" s="309"/>
      <c r="AE117" s="310"/>
      <c r="AF117" s="311"/>
      <c r="AG117" s="292" t="str">
        <f>IF(AP117="","",SMALL(AH113:AH119,ROWS(AG113:AG117)))</f>
        <v/>
      </c>
      <c r="AH117" s="293" t="str">
        <f>IF(AP117="","",RANK(AL117,AL113:AL119)*1000+ROWS(AH113:AH117))</f>
        <v/>
      </c>
      <c r="AI117" s="316" t="str">
        <f t="shared" si="89"/>
        <v/>
      </c>
      <c r="AJ117" s="415" t="b">
        <f>AND(AO117&lt;&gt;"",AO117&gt;0,COUNTIF(AI113:AI119,AI117)&gt;1)</f>
        <v>0</v>
      </c>
      <c r="AK117" s="316" t="str">
        <f t="shared" si="90"/>
        <v/>
      </c>
      <c r="AL117" s="317" t="str">
        <f t="shared" si="91"/>
        <v/>
      </c>
      <c r="AM117" s="415" t="b">
        <f>AND(AO117&lt;&gt;"",AO117&gt;0,COUNTIF(AL113:AL119,AL117)&gt;1)</f>
        <v>0</v>
      </c>
      <c r="AN117" s="306" t="str">
        <f t="shared" si="92"/>
        <v/>
      </c>
      <c r="AO117" s="307" t="str">
        <f t="shared" si="93"/>
        <v/>
      </c>
      <c r="AP117" s="307" t="str">
        <f>IF(OR(AC112="",AD117=""),"",COUNTIF(ResultsInd[Win],AC112&amp;"-"&amp;AD117))</f>
        <v/>
      </c>
      <c r="AQ117" s="307" t="str">
        <f>IF(OR(AC112="",AD117=""),"",COUNTIF(ResultsInd[Draw1],AC112&amp;"-"&amp;AD117)+COUNTIF(ResultsInd[Draw2],AC112&amp;"-"&amp;AD117))</f>
        <v/>
      </c>
      <c r="AR117" s="307" t="str">
        <f>IF(OR(AC112="",AD117=""),"",COUNTIF(ResultsInd[Lose],AC112&amp;"-"&amp;AD117))</f>
        <v/>
      </c>
      <c r="AS117" s="307" t="str">
        <f>IF(OR(AC112="",AD117=""),"",SUMIFS(ResultsInd[Goal-A],ResultsInd[Category],AC112,ResultsInd[Stage],"Groups",ResultsInd[Player A],AD117)+SUMIFS(ResultsInd[Goal-B],ResultsInd[Category],AC112,ResultsInd[Stage],"Groups",ResultsInd[Player B],AD117))</f>
        <v/>
      </c>
      <c r="AT117" s="307" t="str">
        <f>IF(OR(AC112="",AD117=""),"",SUMIFS(ResultsInd[Goal-B],ResultsInd[Category],AC112,ResultsInd[Stage],"Groups",ResultsInd[Player A],AD117)+SUMIFS(ResultsInd[Goal-A],ResultsInd[Category],AC112,ResultsInd[Stage],"Groups",ResultsInd[Player B],AD117))</f>
        <v/>
      </c>
      <c r="AU117" s="308" t="str">
        <f t="shared" si="96"/>
        <v/>
      </c>
      <c r="AV117" s="469" t="str">
        <f>IF(AG117="","",OR(VLOOKUP(AG117,AH113:AU119,3,FALSE),VLOOKUP(AG117,AH113:AU119,6,FALSE)))</f>
        <v/>
      </c>
      <c r="AW117" s="298" t="str">
        <f t="shared" si="94"/>
        <v/>
      </c>
      <c r="AX117" s="285" t="str">
        <f>IF(AG117="","",INDEX(AD113:AD119,MATCH(AG117,AH113:AH119,0)))</f>
        <v/>
      </c>
      <c r="AY117" s="286" t="str">
        <f>IF(AG117="","",VLOOKUP(AG117,AH113:AU119,COLUMN()-COLUMN(AR112),FALSE))</f>
        <v/>
      </c>
      <c r="AZ117" s="286" t="str">
        <f>IF(AG117="","",VLOOKUP(AG117,AH113:AU119,COLUMN()-COLUMN(AR112),FALSE))</f>
        <v/>
      </c>
      <c r="BA117" s="286" t="str">
        <f>IF(AG117="","",VLOOKUP(AG117,AH113:AU119,COLUMN()-COLUMN(AR112),FALSE))</f>
        <v/>
      </c>
      <c r="BB117" s="286" t="str">
        <f>IF(AG117="","",VLOOKUP(AG117,AH113:AU119,COLUMN()-COLUMN(AR112),FALSE))</f>
        <v/>
      </c>
      <c r="BC117" s="286" t="str">
        <f>IF(AG117="","",VLOOKUP(AG117,AH113:AU119,COLUMN()-COLUMN(AR112),FALSE))</f>
        <v/>
      </c>
      <c r="BD117" s="286" t="str">
        <f>IF(AG117="","",VLOOKUP(AG117,AH113:AU119,COLUMN()-COLUMN(AR112),FALSE))</f>
        <v/>
      </c>
      <c r="BE117" s="286" t="str">
        <f>IF(AG117="","",VLOOKUP(AG117,AH113:AU119,COLUMN()-COLUMN(AR112),FALSE))</f>
        <v/>
      </c>
      <c r="BF117" s="301" t="str">
        <f>IF(AG117="","",VLOOKUP(AG117,AH113:AU119,COLUMN()-COLUMN(AR112),FALSE))</f>
        <v/>
      </c>
    </row>
    <row r="118" spans="1:58" ht="12" thickBot="1" x14ac:dyDescent="0.25">
      <c r="A118" s="62" t="s">
        <v>890</v>
      </c>
      <c r="B118" s="62" t="s">
        <v>12207</v>
      </c>
      <c r="C118" s="62">
        <v>17</v>
      </c>
      <c r="D118" s="62"/>
      <c r="E118" s="345" t="s">
        <v>8720</v>
      </c>
      <c r="F118" s="345" t="s">
        <v>8552</v>
      </c>
      <c r="G118" s="113">
        <v>4</v>
      </c>
      <c r="H118" s="113">
        <v>1</v>
      </c>
      <c r="I118" s="114"/>
      <c r="J118" s="114"/>
      <c r="K118" s="114"/>
      <c r="L118" s="81"/>
      <c r="M118" s="265" t="b">
        <f>NOT(ISERROR(ResultsInd[[#This Row],[Goal-A]]+ResultsInd[[#This Row],[Goal-B]]))</f>
        <v>1</v>
      </c>
      <c r="N118" s="265">
        <f>VALUE(ResultsInd[[#This Row],[Score-A]])</f>
        <v>4</v>
      </c>
      <c r="O118" s="265">
        <f>VALUE(ResultsInd[[#This Row],[Score-B]])</f>
        <v>1</v>
      </c>
      <c r="P118" s="265">
        <f ca="1">IF(AND(ResultsInd[[#This Row],[Category]]&lt;&gt;"",ResultsInd[[#This Row],[Player A]]&lt;&gt;""),COUNTIF(INDIRECT(ResultsInd[[#This Row],[Category]]&amp;"List[Retained Player Name]"),ResultsInd[[#This Row],[Player A]]),"")</f>
        <v>1</v>
      </c>
      <c r="Q118" s="265">
        <f ca="1">IF(AND(ResultsInd[[#This Row],[Category]]&lt;&gt;"",ResultsInd[[#This Row],[Player B]]&lt;&gt;""),COUNTIF(INDIRECT(ResultsInd[[#This Row],[Category]]&amp;"List[Retained Player Name]"),ResultsInd[[#This Row],[Player B]]),"")</f>
        <v>1</v>
      </c>
      <c r="R1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Monteiro</v>
      </c>
      <c r="S118" s="265" t="str">
        <f>IF(ResultsInd[[#This Row],[Score_OK]],IF(ResultsInd[[#This Row],[Stage]]="Groups",ResultsInd[[#This Row],[Category]]&amp;"-"&amp;IF(ResultsInd[[#This Row],[Player B]]="","",IF(ResultsInd[[#This Row],[Score-A]]=ResultsInd[[#This Row],[Score-B]],ResultsInd[[#This Row],[Player A]],"")),""),"")</f>
        <v>OPEN-</v>
      </c>
      <c r="T118" s="265" t="str">
        <f>IF(ResultsInd[[#This Row],[Score_OK]],IF(ResultsInd[[#This Row],[Stage]]="Groups",ResultsInd[[#This Row],[Category]]&amp;"-"&amp;IF(ResultsInd[[#This Row],[Player B]]="","",IF(ResultsInd[[#This Row],[Score-A]]=ResultsInd[[#This Row],[Score-B]],ResultsInd[[#This Row],[Player B]],"")),""),"")</f>
        <v>OPEN-</v>
      </c>
      <c r="U1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OPEN-Richard Badger</v>
      </c>
      <c r="V1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OPEN-Richard Badger</v>
      </c>
      <c r="X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OPEN-Richard Badger</v>
      </c>
      <c r="Y118" s="264" t="str">
        <f>IF(ResultsInd[[#This Row],[Category]]="","",VLOOKUP(ResultsInd[[#This Row],[Stage]],$P$1:$V$9,MATCH(ResultsInd[[#This Row],[Category]],$Q$1:$V$1,0)+1,FALSE))</f>
        <v>PR1</v>
      </c>
      <c r="Z118" s="264" t="str">
        <f>IF(ResultsInd[[#This Row],[Score_OK]],IF(ResultsInd[[#This Row],[Level]]="R",ResultsInd[[#This Row],[Category]]&amp;"-"&amp;IF(ResultsInd[[#This Row],[LoseInKO]]=ResultsInd[[#This Row],[Category]]&amp;"-"&amp;ResultsInd[[#This Row],[Player A]],ResultsInd[[#This Row],[Player B]],ResultsInd[[#This Row],[Player A]]),""),"")</f>
        <v/>
      </c>
      <c r="AB118" s="8"/>
      <c r="AC118" s="12" t="str">
        <f t="shared" si="95"/>
        <v>OPEN</v>
      </c>
      <c r="AD118" s="309"/>
      <c r="AE118" s="310"/>
      <c r="AF118" s="311"/>
      <c r="AG118" s="292" t="str">
        <f>IF(AP118="","",SMALL(AH113:AH119,ROWS(AG113:AG118)))</f>
        <v/>
      </c>
      <c r="AH118" s="293" t="str">
        <f>IF(AP118="","",RANK(AL118,AL113:AL119)*1000+ROWS(AH113:AH118))</f>
        <v/>
      </c>
      <c r="AI118" s="316" t="str">
        <f t="shared" si="89"/>
        <v/>
      </c>
      <c r="AJ118" s="415" t="b">
        <f>AND(AO118&lt;&gt;"",AO118&gt;0,COUNTIF(AI113:AI119,AI118)&gt;1)</f>
        <v>0</v>
      </c>
      <c r="AK118" s="316" t="str">
        <f t="shared" si="90"/>
        <v/>
      </c>
      <c r="AL118" s="317" t="str">
        <f t="shared" si="91"/>
        <v/>
      </c>
      <c r="AM118" s="415" t="b">
        <f>AND(AO118&lt;&gt;"",AO118&gt;0,COUNTIF(AL113:AL119,AL118)&gt;1)</f>
        <v>0</v>
      </c>
      <c r="AN118" s="306" t="str">
        <f t="shared" si="92"/>
        <v/>
      </c>
      <c r="AO118" s="307" t="str">
        <f t="shared" si="93"/>
        <v/>
      </c>
      <c r="AP118" s="307" t="str">
        <f>IF(OR(AC112="",AD118=""),"",COUNTIF(ResultsInd[Win],AC112&amp;"-"&amp;AD118))</f>
        <v/>
      </c>
      <c r="AQ118" s="307" t="str">
        <f>IF(OR(AC112="",AD118=""),"",COUNTIF(ResultsInd[Draw1],AC112&amp;"-"&amp;AD118)+COUNTIF(ResultsInd[Draw2],AC112&amp;"-"&amp;AD118))</f>
        <v/>
      </c>
      <c r="AR118" s="307" t="str">
        <f>IF(OR(AC112="",AD118=""),"",COUNTIF(ResultsInd[Lose],AC112&amp;"-"&amp;AD118))</f>
        <v/>
      </c>
      <c r="AS118" s="307" t="str">
        <f>IF(OR(AC112="",AD118=""),"",SUMIFS(ResultsInd[Goal-A],ResultsInd[Category],AC112,ResultsInd[Stage],"Groups",ResultsInd[Player A],AD118)+SUMIFS(ResultsInd[Goal-B],ResultsInd[Category],AC112,ResultsInd[Stage],"Groups",ResultsInd[Player B],AD118))</f>
        <v/>
      </c>
      <c r="AT118" s="307" t="str">
        <f>IF(OR(AC112="",AD118=""),"",SUMIFS(ResultsInd[Goal-B],ResultsInd[Category],AC112,ResultsInd[Stage],"Groups",ResultsInd[Player A],AD118)+SUMIFS(ResultsInd[Goal-A],ResultsInd[Category],AC112,ResultsInd[Stage],"Groups",ResultsInd[Player B],AD118))</f>
        <v/>
      </c>
      <c r="AU118" s="308" t="str">
        <f t="shared" si="96"/>
        <v/>
      </c>
      <c r="AV118" s="469" t="str">
        <f>IF(AG118="","",OR(VLOOKUP(AG118,AH113:AU119,3,FALSE),VLOOKUP(AG118,AH113:AU119,6,FALSE)))</f>
        <v/>
      </c>
      <c r="AW118" s="298" t="str">
        <f t="shared" si="94"/>
        <v/>
      </c>
      <c r="AX118" s="285" t="str">
        <f>IF(AG118="","",INDEX(AD113:AD119,MATCH(AG118,AH113:AH119,0)))</f>
        <v/>
      </c>
      <c r="AY118" s="286" t="str">
        <f>IF(AG118="","",VLOOKUP(AG118,AH113:AU119,COLUMN()-COLUMN(AR112),FALSE))</f>
        <v/>
      </c>
      <c r="AZ118" s="286" t="str">
        <f>IF(AG118="","",VLOOKUP(AG118,AH113:AU119,COLUMN()-COLUMN(AR112),FALSE))</f>
        <v/>
      </c>
      <c r="BA118" s="286" t="str">
        <f>IF(AG118="","",VLOOKUP(AG118,AH113:AU119,COLUMN()-COLUMN(AR112),FALSE))</f>
        <v/>
      </c>
      <c r="BB118" s="286" t="str">
        <f>IF(AG118="","",VLOOKUP(AG118,AH113:AU119,COLUMN()-COLUMN(AR112),FALSE))</f>
        <v/>
      </c>
      <c r="BC118" s="286" t="str">
        <f>IF(AG118="","",VLOOKUP(AG118,AH113:AU119,COLUMN()-COLUMN(AR112),FALSE))</f>
        <v/>
      </c>
      <c r="BD118" s="286" t="str">
        <f>IF(AG118="","",VLOOKUP(AG118,AH113:AU119,COLUMN()-COLUMN(AR112),FALSE))</f>
        <v/>
      </c>
      <c r="BE118" s="286" t="str">
        <f>IF(AG118="","",VLOOKUP(AG118,AH113:AU119,COLUMN()-COLUMN(AR112),FALSE))</f>
        <v/>
      </c>
      <c r="BF118" s="301" t="str">
        <f>IF(AG118="","",VLOOKUP(AG118,AH113:AU119,COLUMN()-COLUMN(AR112),FALSE))</f>
        <v/>
      </c>
    </row>
    <row r="119" spans="1:58" ht="12" thickBot="1" x14ac:dyDescent="0.25">
      <c r="A119" s="62" t="s">
        <v>890</v>
      </c>
      <c r="B119" s="62" t="s">
        <v>12207</v>
      </c>
      <c r="C119" s="62">
        <v>17</v>
      </c>
      <c r="D119" s="62"/>
      <c r="E119" s="345" t="s">
        <v>8552</v>
      </c>
      <c r="F119" s="345" t="s">
        <v>8115</v>
      </c>
      <c r="G119" s="113">
        <v>0</v>
      </c>
      <c r="H119" s="113">
        <v>4</v>
      </c>
      <c r="I119" s="114"/>
      <c r="J119" s="114"/>
      <c r="K119" s="114"/>
      <c r="L119" s="81"/>
      <c r="M119" s="265" t="b">
        <f>NOT(ISERROR(ResultsInd[[#This Row],[Goal-A]]+ResultsInd[[#This Row],[Goal-B]]))</f>
        <v>1</v>
      </c>
      <c r="N119" s="265">
        <f>VALUE(ResultsInd[[#This Row],[Score-A]])</f>
        <v>0</v>
      </c>
      <c r="O119" s="265">
        <f>VALUE(ResultsInd[[#This Row],[Score-B]])</f>
        <v>4</v>
      </c>
      <c r="P119" s="265">
        <f ca="1">IF(AND(ResultsInd[[#This Row],[Category]]&lt;&gt;"",ResultsInd[[#This Row],[Player A]]&lt;&gt;""),COUNTIF(INDIRECT(ResultsInd[[#This Row],[Category]]&amp;"List[Retained Player Name]"),ResultsInd[[#This Row],[Player A]]),"")</f>
        <v>1</v>
      </c>
      <c r="Q119" s="265">
        <f ca="1">IF(AND(ResultsInd[[#This Row],[Category]]&lt;&gt;"",ResultsInd[[#This Row],[Player B]]&lt;&gt;""),COUNTIF(INDIRECT(ResultsInd[[#This Row],[Category]]&amp;"List[Retained Player Name]"),ResultsInd[[#This Row],[Player B]]),"")</f>
        <v>1</v>
      </c>
      <c r="R1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OPEN-Geoffrey Marain</v>
      </c>
      <c r="S119" s="265" t="str">
        <f>IF(ResultsInd[[#This Row],[Score_OK]],IF(ResultsInd[[#This Row],[Stage]]="Groups",ResultsInd[[#This Row],[Category]]&amp;"-"&amp;IF(ResultsInd[[#This Row],[Player B]]="","",IF(ResultsInd[[#This Row],[Score-A]]=ResultsInd[[#This Row],[Score-B]],ResultsInd[[#This Row],[Player A]],"")),""),"")</f>
        <v>OPEN-</v>
      </c>
      <c r="T119" s="265" t="str">
        <f>IF(ResultsInd[[#This Row],[Score_OK]],IF(ResultsInd[[#This Row],[Stage]]="Groups",ResultsInd[[#This Row],[Category]]&amp;"-"&amp;IF(ResultsInd[[#This Row],[Player B]]="","",IF(ResultsInd[[#This Row],[Score-A]]=ResultsInd[[#This Row],[Score-B]],ResultsInd[[#This Row],[Player B]],"")),""),"")</f>
        <v>OPEN-</v>
      </c>
      <c r="U1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OPEN-Richard Badger</v>
      </c>
      <c r="V1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OPEN-Richard Badger</v>
      </c>
      <c r="X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OPEN-Richard Badger</v>
      </c>
      <c r="Y119" s="264" t="str">
        <f>IF(ResultsInd[[#This Row],[Category]]="","",VLOOKUP(ResultsInd[[#This Row],[Stage]],$P$1:$V$9,MATCH(ResultsInd[[#This Row],[Category]],$Q$1:$V$1,0)+1,FALSE))</f>
        <v>PR1</v>
      </c>
      <c r="Z119" s="264" t="str">
        <f>IF(ResultsInd[[#This Row],[Score_OK]],IF(ResultsInd[[#This Row],[Level]]="R",ResultsInd[[#This Row],[Category]]&amp;"-"&amp;IF(ResultsInd[[#This Row],[LoseInKO]]=ResultsInd[[#This Row],[Category]]&amp;"-"&amp;ResultsInd[[#This Row],[Player A]],ResultsInd[[#This Row],[Player B]],ResultsInd[[#This Row],[Player A]]),""),"")</f>
        <v/>
      </c>
      <c r="AB119" s="8"/>
      <c r="AC119" s="12" t="str">
        <f t="shared" si="95"/>
        <v>OPEN</v>
      </c>
      <c r="AD119" s="312"/>
      <c r="AE119" s="313"/>
      <c r="AF119" s="314"/>
      <c r="AG119" s="294" t="str">
        <f>IF(AP119="","",SMALL(AH113:AH119,ROWS(AG113:AG119)))</f>
        <v/>
      </c>
      <c r="AH119" s="295" t="str">
        <f>IF(AP119="","",RANK(AL119,AL113:AL119)*1000+ROWS(AH113:AH119))</f>
        <v/>
      </c>
      <c r="AI119" s="318" t="str">
        <f t="shared" si="89"/>
        <v/>
      </c>
      <c r="AJ119" s="416" t="b">
        <f>AND(AO119&lt;&gt;"",AO119&gt;0,COUNTIF(AI113:AI119,AI119)&gt;1)</f>
        <v>0</v>
      </c>
      <c r="AK119" s="318" t="str">
        <f t="shared" si="90"/>
        <v/>
      </c>
      <c r="AL119" s="319" t="str">
        <f t="shared" si="91"/>
        <v/>
      </c>
      <c r="AM119" s="416" t="b">
        <f>AND(AO119&lt;&gt;"",AO119&gt;0,COUNTIF(AL113:AL119,AL119)&gt;1)</f>
        <v>0</v>
      </c>
      <c r="AN119" s="306" t="str">
        <f t="shared" si="92"/>
        <v/>
      </c>
      <c r="AO119" s="307" t="str">
        <f t="shared" si="93"/>
        <v/>
      </c>
      <c r="AP119" s="307" t="str">
        <f>IF(OR(AC112="",AD119=""),"",COUNTIF(ResultsInd[Win],AC112&amp;"-"&amp;AD119))</f>
        <v/>
      </c>
      <c r="AQ119" s="307" t="str">
        <f>IF(OR(AC112="",AD119=""),"",COUNTIF(ResultsInd[Draw1],AC112&amp;"-"&amp;AD119)+COUNTIF(ResultsInd[Draw2],AC112&amp;"-"&amp;AD119))</f>
        <v/>
      </c>
      <c r="AR119" s="307" t="str">
        <f>IF(OR(AC112="",AD119=""),"",COUNTIF(ResultsInd[Lose],AC112&amp;"-"&amp;AD119))</f>
        <v/>
      </c>
      <c r="AS119" s="307" t="str">
        <f>IF(OR(AC112="",AD119=""),"",SUMIFS(ResultsInd[Goal-A],ResultsInd[Category],AC112,ResultsInd[Stage],"Groups",ResultsInd[Player A],AD119)+SUMIFS(ResultsInd[Goal-B],ResultsInd[Category],AC112,ResultsInd[Stage],"Groups",ResultsInd[Player B],AD119))</f>
        <v/>
      </c>
      <c r="AT119" s="307" t="str">
        <f>IF(OR(AC112="",AD119=""),"",SUMIFS(ResultsInd[Goal-B],ResultsInd[Category],AC112,ResultsInd[Stage],"Groups",ResultsInd[Player A],AD119)+SUMIFS(ResultsInd[Goal-A],ResultsInd[Category],AC112,ResultsInd[Stage],"Groups",ResultsInd[Player B],AD119))</f>
        <v/>
      </c>
      <c r="AU119" s="308" t="str">
        <f t="shared" si="96"/>
        <v/>
      </c>
      <c r="AV119" s="469" t="str">
        <f>IF(AG119="","",OR(VLOOKUP(AG119,AH113:AU119,3,FALSE),VLOOKUP(AG119,AH113:AU119,6,FALSE)))</f>
        <v/>
      </c>
      <c r="AW119" s="299" t="str">
        <f t="shared" si="94"/>
        <v/>
      </c>
      <c r="AX119" s="287" t="str">
        <f>IF(AG119="","",INDEX(AD113:AD119,MATCH(AG119,AH113:AH119,0)))</f>
        <v/>
      </c>
      <c r="AY119" s="288" t="str">
        <f>IF(AG119="","",VLOOKUP(AG119,AH113:AU119,COLUMN()-COLUMN(AR112),FALSE))</f>
        <v/>
      </c>
      <c r="AZ119" s="288" t="str">
        <f>IF(AG119="","",VLOOKUP(AG119,AH113:AU119,COLUMN()-COLUMN(AR112),FALSE))</f>
        <v/>
      </c>
      <c r="BA119" s="288" t="str">
        <f>IF(AG119="","",VLOOKUP(AG119,AH113:AU119,COLUMN()-COLUMN(AR112),FALSE))</f>
        <v/>
      </c>
      <c r="BB119" s="288" t="str">
        <f>IF(AG119="","",VLOOKUP(AG119,AH113:AU119,COLUMN()-COLUMN(AR112),FALSE))</f>
        <v/>
      </c>
      <c r="BC119" s="288" t="str">
        <f>IF(AG119="","",VLOOKUP(AG119,AH113:AU119,COLUMN()-COLUMN(AR112),FALSE))</f>
        <v/>
      </c>
      <c r="BD119" s="288" t="str">
        <f>IF(AG119="","",VLOOKUP(AG119,AH113:AU119,COLUMN()-COLUMN(AR112),FALSE))</f>
        <v/>
      </c>
      <c r="BE119" s="288" t="str">
        <f>IF(AG119="","",VLOOKUP(AG119,AH113:AU119,COLUMN()-COLUMN(AR112),FALSE))</f>
        <v/>
      </c>
      <c r="BF119" s="302" t="str">
        <f>IF(AG119="","",VLOOKUP(AG119,AH113:AU119,COLUMN()-COLUMN(AR112),FALSE))</f>
        <v/>
      </c>
    </row>
    <row r="120" spans="1:58" ht="13.5" thickBot="1" x14ac:dyDescent="0.25">
      <c r="A120" s="62" t="s">
        <v>890</v>
      </c>
      <c r="B120" s="62" t="s">
        <v>12207</v>
      </c>
      <c r="C120" s="62">
        <v>17</v>
      </c>
      <c r="D120" s="62"/>
      <c r="E120" s="345" t="s">
        <v>8720</v>
      </c>
      <c r="F120" s="345" t="s">
        <v>14488</v>
      </c>
      <c r="G120" s="113">
        <v>5</v>
      </c>
      <c r="H120" s="113">
        <v>0</v>
      </c>
      <c r="I120" s="114"/>
      <c r="J120" s="114"/>
      <c r="K120" s="114"/>
      <c r="L120" s="81"/>
      <c r="M120" s="265" t="b">
        <f>NOT(ISERROR(ResultsInd[[#This Row],[Goal-A]]+ResultsInd[[#This Row],[Goal-B]]))</f>
        <v>1</v>
      </c>
      <c r="N120" s="265">
        <f>VALUE(ResultsInd[[#This Row],[Score-A]])</f>
        <v>5</v>
      </c>
      <c r="O120" s="265">
        <f>VALUE(ResultsInd[[#This Row],[Score-B]])</f>
        <v>0</v>
      </c>
      <c r="P120" s="265">
        <f ca="1">IF(AND(ResultsInd[[#This Row],[Category]]&lt;&gt;"",ResultsInd[[#This Row],[Player A]]&lt;&gt;""),COUNTIF(INDIRECT(ResultsInd[[#This Row],[Category]]&amp;"List[Retained Player Name]"),ResultsInd[[#This Row],[Player A]]),"")</f>
        <v>1</v>
      </c>
      <c r="Q120" s="265">
        <f ca="1">IF(AND(ResultsInd[[#This Row],[Category]]&lt;&gt;"",ResultsInd[[#This Row],[Player B]]&lt;&gt;""),COUNTIF(INDIRECT(ResultsInd[[#This Row],[Category]]&amp;"List[Retained Player Name]"),ResultsInd[[#This Row],[Player B]]),"")</f>
        <v>1</v>
      </c>
      <c r="R1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Monteiro</v>
      </c>
      <c r="S120" s="265" t="str">
        <f>IF(ResultsInd[[#This Row],[Score_OK]],IF(ResultsInd[[#This Row],[Stage]]="Groups",ResultsInd[[#This Row],[Category]]&amp;"-"&amp;IF(ResultsInd[[#This Row],[Player B]]="","",IF(ResultsInd[[#This Row],[Score-A]]=ResultsInd[[#This Row],[Score-B]],ResultsInd[[#This Row],[Player A]],"")),""),"")</f>
        <v>OPEN-</v>
      </c>
      <c r="T120" s="265" t="str">
        <f>IF(ResultsInd[[#This Row],[Score_OK]],IF(ResultsInd[[#This Row],[Stage]]="Groups",ResultsInd[[#This Row],[Category]]&amp;"-"&amp;IF(ResultsInd[[#This Row],[Player B]]="","",IF(ResultsInd[[#This Row],[Score-A]]=ResultsInd[[#This Row],[Score-B]],ResultsInd[[#This Row],[Player B]],"")),""),"")</f>
        <v>OPEN-</v>
      </c>
      <c r="U1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OPEN-Peter Fako</v>
      </c>
      <c r="V1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OPEN-Peter Fako</v>
      </c>
      <c r="X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OPEN-Peter Fako</v>
      </c>
      <c r="Y120" s="264" t="str">
        <f>IF(ResultsInd[[#This Row],[Category]]="","",VLOOKUP(ResultsInd[[#This Row],[Stage]],$P$1:$V$9,MATCH(ResultsInd[[#This Row],[Category]],$Q$1:$V$1,0)+1,FALSE))</f>
        <v>PR1</v>
      </c>
      <c r="Z120" s="264" t="str">
        <f>IF(ResultsInd[[#This Row],[Score_OK]],IF(ResultsInd[[#This Row],[Level]]="R",ResultsInd[[#This Row],[Category]]&amp;"-"&amp;IF(ResultsInd[[#This Row],[LoseInKO]]=ResultsInd[[#This Row],[Category]]&amp;"-"&amp;ResultsInd[[#This Row],[Player A]],ResultsInd[[#This Row],[Player B]],ResultsInd[[#This Row],[Player A]]),""),"")</f>
        <v/>
      </c>
      <c r="AB120" s="8"/>
      <c r="AC120" s="8"/>
      <c r="AF120" s="170"/>
      <c r="AG120" s="101"/>
      <c r="AH120" s="101"/>
      <c r="AN120" s="170"/>
      <c r="AO120" s="170"/>
      <c r="AP120" s="170"/>
      <c r="AQ120" s="172"/>
      <c r="AR120" s="173"/>
      <c r="AS120" s="173"/>
      <c r="AT120" s="173"/>
      <c r="AU120" s="101"/>
      <c r="AV120" s="101"/>
      <c r="AW120" s="101"/>
      <c r="AX120" s="101"/>
      <c r="AY120" s="101"/>
      <c r="AZ120" s="101"/>
    </row>
    <row r="121" spans="1:58" ht="12" thickBot="1" x14ac:dyDescent="0.25">
      <c r="A121" s="62" t="s">
        <v>890</v>
      </c>
      <c r="B121" s="62" t="s">
        <v>12207</v>
      </c>
      <c r="C121" s="62">
        <v>18</v>
      </c>
      <c r="D121" s="62"/>
      <c r="E121" s="345" t="s">
        <v>8043</v>
      </c>
      <c r="F121" s="345" t="s">
        <v>10875</v>
      </c>
      <c r="G121" s="113">
        <v>5</v>
      </c>
      <c r="H121" s="113">
        <v>1</v>
      </c>
      <c r="I121" s="114"/>
      <c r="J121" s="114"/>
      <c r="K121" s="114"/>
      <c r="L121" s="81"/>
      <c r="M121" s="265" t="b">
        <f>NOT(ISERROR(ResultsInd[[#This Row],[Goal-A]]+ResultsInd[[#This Row],[Goal-B]]))</f>
        <v>1</v>
      </c>
      <c r="N121" s="265">
        <f>VALUE(ResultsInd[[#This Row],[Score-A]])</f>
        <v>5</v>
      </c>
      <c r="O121" s="265">
        <f>VALUE(ResultsInd[[#This Row],[Score-B]])</f>
        <v>1</v>
      </c>
      <c r="P121" s="265">
        <f ca="1">IF(AND(ResultsInd[[#This Row],[Category]]&lt;&gt;"",ResultsInd[[#This Row],[Player A]]&lt;&gt;""),COUNTIF(INDIRECT(ResultsInd[[#This Row],[Category]]&amp;"List[Retained Player Name]"),ResultsInd[[#This Row],[Player A]]),"")</f>
        <v>1</v>
      </c>
      <c r="Q121" s="265">
        <f ca="1">IF(AND(ResultsInd[[#This Row],[Category]]&lt;&gt;"",ResultsInd[[#This Row],[Player B]]&lt;&gt;""),COUNTIF(INDIRECT(ResultsInd[[#This Row],[Category]]&amp;"List[Retained Player Name]"),ResultsInd[[#This Row],[Player B]]),"")</f>
        <v>1</v>
      </c>
      <c r="R1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OPEN-Alexander Haas</v>
      </c>
      <c r="S121" s="265" t="str">
        <f>IF(ResultsInd[[#This Row],[Score_OK]],IF(ResultsInd[[#This Row],[Stage]]="Groups",ResultsInd[[#This Row],[Category]]&amp;"-"&amp;IF(ResultsInd[[#This Row],[Player B]]="","",IF(ResultsInd[[#This Row],[Score-A]]=ResultsInd[[#This Row],[Score-B]],ResultsInd[[#This Row],[Player A]],"")),""),"")</f>
        <v>OPEN-</v>
      </c>
      <c r="T121" s="265" t="str">
        <f>IF(ResultsInd[[#This Row],[Score_OK]],IF(ResultsInd[[#This Row],[Stage]]="Groups",ResultsInd[[#This Row],[Category]]&amp;"-"&amp;IF(ResultsInd[[#This Row],[Player B]]="","",IF(ResultsInd[[#This Row],[Score-A]]=ResultsInd[[#This Row],[Score-B]],ResultsInd[[#This Row],[Player B]],"")),""),"")</f>
        <v>OPEN-</v>
      </c>
      <c r="U1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Lauder</v>
      </c>
      <c r="V1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OPEN-David Lauder</v>
      </c>
      <c r="X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OPEN-David Lauder</v>
      </c>
      <c r="Y121" s="264" t="str">
        <f>IF(ResultsInd[[#This Row],[Category]]="","",VLOOKUP(ResultsInd[[#This Row],[Stage]],$P$1:$V$9,MATCH(ResultsInd[[#This Row],[Category]],$Q$1:$V$1,0)+1,FALSE))</f>
        <v>PR1</v>
      </c>
      <c r="Z121" s="264" t="str">
        <f>IF(ResultsInd[[#This Row],[Score_OK]],IF(ResultsInd[[#This Row],[Level]]="R",ResultsInd[[#This Row],[Category]]&amp;"-"&amp;IF(ResultsInd[[#This Row],[LoseInKO]]=ResultsInd[[#This Row],[Category]]&amp;"-"&amp;ResultsInd[[#This Row],[Player A]],ResultsInd[[#This Row],[Player B]],ResultsInd[[#This Row],[Player A]]),""),"")</f>
        <v/>
      </c>
      <c r="AB121" s="281">
        <v>12</v>
      </c>
      <c r="AC121" s="315" t="s">
        <v>890</v>
      </c>
      <c r="AD121" s="289" t="s">
        <v>14439</v>
      </c>
      <c r="AE121" s="290" t="s">
        <v>12279</v>
      </c>
      <c r="AF121" s="284" t="s">
        <v>12275</v>
      </c>
      <c r="AG121" s="296" t="s">
        <v>12276</v>
      </c>
      <c r="AH121" s="291" t="s">
        <v>12271</v>
      </c>
      <c r="AI121" s="291" t="s">
        <v>12272</v>
      </c>
      <c r="AJ121" s="414" t="s">
        <v>13154</v>
      </c>
      <c r="AK121" s="291" t="s">
        <v>12273</v>
      </c>
      <c r="AL121" s="297" t="s">
        <v>12274</v>
      </c>
      <c r="AM121" s="414" t="s">
        <v>13154</v>
      </c>
      <c r="AN121" s="303" t="s">
        <v>12199</v>
      </c>
      <c r="AO121" s="304" t="s">
        <v>12200</v>
      </c>
      <c r="AP121" s="304" t="s">
        <v>12201</v>
      </c>
      <c r="AQ121" s="304" t="s">
        <v>12202</v>
      </c>
      <c r="AR121" s="304" t="s">
        <v>12203</v>
      </c>
      <c r="AS121" s="304" t="s">
        <v>12204</v>
      </c>
      <c r="AT121" s="304" t="s">
        <v>12205</v>
      </c>
      <c r="AU121" s="305" t="s">
        <v>12206</v>
      </c>
      <c r="AV121" s="468"/>
      <c r="AW121" s="282" t="s">
        <v>12276</v>
      </c>
      <c r="AX121" s="282" t="s">
        <v>12280</v>
      </c>
      <c r="AY121" s="283" t="s">
        <v>12199</v>
      </c>
      <c r="AZ121" s="283" t="s">
        <v>12200</v>
      </c>
      <c r="BA121" s="283" t="s">
        <v>12201</v>
      </c>
      <c r="BB121" s="283" t="s">
        <v>12202</v>
      </c>
      <c r="BC121" s="283" t="s">
        <v>12203</v>
      </c>
      <c r="BD121" s="283" t="s">
        <v>12204</v>
      </c>
      <c r="BE121" s="283" t="s">
        <v>12205</v>
      </c>
      <c r="BF121" s="300" t="s">
        <v>12206</v>
      </c>
    </row>
    <row r="122" spans="1:58" ht="12" thickBot="1" x14ac:dyDescent="0.25">
      <c r="A122" s="62" t="s">
        <v>890</v>
      </c>
      <c r="B122" s="62" t="s">
        <v>12207</v>
      </c>
      <c r="C122" s="62">
        <v>18</v>
      </c>
      <c r="D122" s="62"/>
      <c r="E122" s="345" t="s">
        <v>8148</v>
      </c>
      <c r="F122" s="345" t="s">
        <v>8152</v>
      </c>
      <c r="G122" s="113">
        <v>3</v>
      </c>
      <c r="H122" s="113">
        <v>0</v>
      </c>
      <c r="I122" s="114"/>
      <c r="J122" s="114"/>
      <c r="K122" s="114"/>
      <c r="L122" s="81"/>
      <c r="M122" s="265" t="b">
        <f>NOT(ISERROR(ResultsInd[[#This Row],[Goal-A]]+ResultsInd[[#This Row],[Goal-B]]))</f>
        <v>1</v>
      </c>
      <c r="N122" s="265">
        <f>VALUE(ResultsInd[[#This Row],[Score-A]])</f>
        <v>3</v>
      </c>
      <c r="O122" s="265">
        <f>VALUE(ResultsInd[[#This Row],[Score-B]])</f>
        <v>0</v>
      </c>
      <c r="P122" s="265">
        <f ca="1">IF(AND(ResultsInd[[#This Row],[Category]]&lt;&gt;"",ResultsInd[[#This Row],[Player A]]&lt;&gt;""),COUNTIF(INDIRECT(ResultsInd[[#This Row],[Category]]&amp;"List[Retained Player Name]"),ResultsInd[[#This Row],[Player A]]),"")</f>
        <v>1</v>
      </c>
      <c r="Q122" s="265">
        <f ca="1">IF(AND(ResultsInd[[#This Row],[Category]]&lt;&gt;"",ResultsInd[[#This Row],[Player B]]&lt;&gt;""),COUNTIF(INDIRECT(ResultsInd[[#This Row],[Category]]&amp;"List[Retained Player Name]"),ResultsInd[[#This Row],[Player B]]),"")</f>
        <v>1</v>
      </c>
      <c r="R1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122" s="265" t="str">
        <f>IF(ResultsInd[[#This Row],[Score_OK]],IF(ResultsInd[[#This Row],[Stage]]="Groups",ResultsInd[[#This Row],[Category]]&amp;"-"&amp;IF(ResultsInd[[#This Row],[Player B]]="","",IF(ResultsInd[[#This Row],[Score-A]]=ResultsInd[[#This Row],[Score-B]],ResultsInd[[#This Row],[Player A]],"")),""),"")</f>
        <v>OPEN-</v>
      </c>
      <c r="T122" s="265" t="str">
        <f>IF(ResultsInd[[#This Row],[Score_OK]],IF(ResultsInd[[#This Row],[Stage]]="Groups",ResultsInd[[#This Row],[Category]]&amp;"-"&amp;IF(ResultsInd[[#This Row],[Player B]]="","",IF(ResultsInd[[#This Row],[Score-A]]=ResultsInd[[#This Row],[Score-B]],ResultsInd[[#This Row],[Player B]],"")),""),"")</f>
        <v>OPEN-</v>
      </c>
      <c r="U1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OPEN-Sébastien Darmont</v>
      </c>
      <c r="V1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OPEN-Sébastien Darmont</v>
      </c>
      <c r="X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OPEN-Sébastien Darmont</v>
      </c>
      <c r="Y122" s="264" t="str">
        <f>IF(ResultsInd[[#This Row],[Category]]="","",VLOOKUP(ResultsInd[[#This Row],[Stage]],$P$1:$V$9,MATCH(ResultsInd[[#This Row],[Category]],$Q$1:$V$1,0)+1,FALSE))</f>
        <v>PR1</v>
      </c>
      <c r="Z122" s="264" t="str">
        <f>IF(ResultsInd[[#This Row],[Score_OK]],IF(ResultsInd[[#This Row],[Level]]="R",ResultsInd[[#This Row],[Category]]&amp;"-"&amp;IF(ResultsInd[[#This Row],[LoseInKO]]=ResultsInd[[#This Row],[Category]]&amp;"-"&amp;ResultsInd[[#This Row],[Player A]],ResultsInd[[#This Row],[Player B]],ResultsInd[[#This Row],[Player A]]),""),"")</f>
        <v/>
      </c>
      <c r="AB122" s="8"/>
      <c r="AC122" s="12" t="str">
        <f>IF(AC121="","",AC121)</f>
        <v>OPEN</v>
      </c>
      <c r="AD122" s="309" t="s">
        <v>8088</v>
      </c>
      <c r="AE122" s="320"/>
      <c r="AF122" s="311"/>
      <c r="AG122" s="292">
        <f>IF(AP122="","",SMALL(AH122:AH128,ROWS(AG122:AG122)))</f>
        <v>1002</v>
      </c>
      <c r="AH122" s="293">
        <f>IF(AP122="","",RANK(AL122,AL122:AL128)*1000+ROWS(AH122:AH122))</f>
        <v>2001</v>
      </c>
      <c r="AI122" s="316">
        <f t="shared" ref="AI122:AI128" si="97">IF(AP122="","",CritClassInd1_Points*AN122+CritClassInd1_Matches*AP122+CritClassInd1_Attaque*AS122+CritClassInd1_DiffButs*AU122)</f>
        <v>7000000000000</v>
      </c>
      <c r="AJ122" s="415" t="b">
        <f>AND(AO122&lt;&gt;"",AO122&gt;0,COUNTIF(AI122:AI128,AI122)&gt;1)</f>
        <v>1</v>
      </c>
      <c r="AK122" s="316">
        <f t="shared" ref="AK122:AK128" si="98">IF(AP122="","",CritClassInd_ScorePart*AE122)</f>
        <v>0</v>
      </c>
      <c r="AL122" s="317">
        <f t="shared" ref="AL122:AL128" si="99">IF(AP122="","",AI122+AK122+CritClassInd2_Points*AN122+CritClassInd2_Matches*AP122+CritClassInd2_Attaque*AS122+CritClassInd2_DiffButs*AU122+AF122)</f>
        <v>7000000071000</v>
      </c>
      <c r="AM122" s="415" t="b">
        <f>AND(AO122&lt;&gt;"",AO122&gt;0,COUNTIF(AL122:AL128,AL122)&gt;1)</f>
        <v>0</v>
      </c>
      <c r="AN122" s="306">
        <f t="shared" ref="AN122:AN128" si="100">IF(AP122="","",(AP122*Points_Victoire)+AQ122*Points_Null)</f>
        <v>7</v>
      </c>
      <c r="AO122" s="307">
        <f t="shared" ref="AO122:AO128" si="101">IF(AP122="","",SUM(AP122:AR122))</f>
        <v>3</v>
      </c>
      <c r="AP122" s="307">
        <f>IF(OR(AC121="",AD122=""),"",COUNTIF(ResultsInd[Win],AC121&amp;"-"&amp;AD122))</f>
        <v>2</v>
      </c>
      <c r="AQ122" s="307">
        <f>IF(OR(AC121="",AD122=""),"",COUNTIF(ResultsInd[Draw1],AC121&amp;"-"&amp;AD122)+COUNTIF(ResultsInd[Draw2],AC121&amp;"-"&amp;AD122))</f>
        <v>1</v>
      </c>
      <c r="AR122" s="307">
        <f>IF(OR(AC121="",AD122=""),"",COUNTIF(ResultsInd[Lose],AC121&amp;"-"&amp;AD122))</f>
        <v>0</v>
      </c>
      <c r="AS122" s="307">
        <f>IF(OR(AC121="",AD122=""),"",SUMIFS(ResultsInd[Goal-A],ResultsInd[Category],AC121,ResultsInd[Stage],"Groups",ResultsInd[Player A],AD122)+SUMIFS(ResultsInd[Goal-B],ResultsInd[Category],AC121,ResultsInd[Stage],"Groups",ResultsInd[Player B],AD122))</f>
        <v>10</v>
      </c>
      <c r="AT122" s="307">
        <f>IF(OR(AC121="",AD122=""),"",SUMIFS(ResultsInd[Goal-B],ResultsInd[Category],AC121,ResultsInd[Stage],"Groups",ResultsInd[Player A],AD122)+SUMIFS(ResultsInd[Goal-A],ResultsInd[Category],AC121,ResultsInd[Stage],"Groups",ResultsInd[Player B],AD122))</f>
        <v>3</v>
      </c>
      <c r="AU122" s="308">
        <f>IF(AP122="","",AS122-AT122)</f>
        <v>7</v>
      </c>
      <c r="AV122" s="469" t="b">
        <f>IF(AG122="","",OR(VLOOKUP(AG122,AH122:AU128,3,FALSE),VLOOKUP(AG122,AH122:AU128,6,FALSE)))</f>
        <v>1</v>
      </c>
      <c r="AW122" s="298">
        <f t="shared" ref="AW122:AW128" si="102">IF(AG122="","",INT(AG122/1000))</f>
        <v>1</v>
      </c>
      <c r="AX122" s="285" t="str">
        <f>IF(AG122="","",INDEX(AD122:AD128,MATCH(AG122,AH122:AH128,0)))</f>
        <v>Noah Janssens</v>
      </c>
      <c r="AY122" s="286">
        <f>IF(AG122="","",VLOOKUP(AG122,AH122:AU128,COLUMN()-COLUMN(AR121),FALSE))</f>
        <v>7</v>
      </c>
      <c r="AZ122" s="286">
        <f>IF(AG122="","",VLOOKUP(AG122,AH122:AU128,COLUMN()-COLUMN(AR121),FALSE))</f>
        <v>3</v>
      </c>
      <c r="BA122" s="286">
        <f>IF(AG122="","",VLOOKUP(AG122,AH122:AU128,COLUMN()-COLUMN(AR121),FALSE))</f>
        <v>2</v>
      </c>
      <c r="BB122" s="286">
        <f>IF(AG122="","",VLOOKUP(AG122,AH122:AU128,COLUMN()-COLUMN(AR121),FALSE))</f>
        <v>1</v>
      </c>
      <c r="BC122" s="286">
        <f>IF(AG122="","",VLOOKUP(AG122,AH122:AU128,COLUMN()-COLUMN(AR121),FALSE))</f>
        <v>0</v>
      </c>
      <c r="BD122" s="286">
        <f>IF(AG122="","",VLOOKUP(AG122,AH122:AU128,COLUMN()-COLUMN(AR121),FALSE))</f>
        <v>14</v>
      </c>
      <c r="BE122" s="286">
        <f>IF(AG122="","",VLOOKUP(AG122,AH122:AU128,COLUMN()-COLUMN(AR121),FALSE))</f>
        <v>4</v>
      </c>
      <c r="BF122" s="301">
        <f>IF(AG122="","",VLOOKUP(AG122,AH122:AU128,COLUMN()-COLUMN(AR121),FALSE))</f>
        <v>10</v>
      </c>
    </row>
    <row r="123" spans="1:58" ht="12" thickBot="1" x14ac:dyDescent="0.25">
      <c r="A123" s="62" t="s">
        <v>890</v>
      </c>
      <c r="B123" s="62" t="s">
        <v>12207</v>
      </c>
      <c r="C123" s="62">
        <v>18</v>
      </c>
      <c r="D123" s="62"/>
      <c r="E123" s="345" t="s">
        <v>8043</v>
      </c>
      <c r="F123" s="345" t="s">
        <v>8148</v>
      </c>
      <c r="G123" s="113">
        <v>2</v>
      </c>
      <c r="H123" s="113">
        <v>3</v>
      </c>
      <c r="I123" s="114"/>
      <c r="J123" s="114"/>
      <c r="K123" s="114"/>
      <c r="L123" s="81"/>
      <c r="M123" s="265" t="b">
        <f>NOT(ISERROR(ResultsInd[[#This Row],[Goal-A]]+ResultsInd[[#This Row],[Goal-B]]))</f>
        <v>1</v>
      </c>
      <c r="N123" s="265">
        <f>VALUE(ResultsInd[[#This Row],[Score-A]])</f>
        <v>2</v>
      </c>
      <c r="O123" s="265">
        <f>VALUE(ResultsInd[[#This Row],[Score-B]])</f>
        <v>3</v>
      </c>
      <c r="P123" s="265">
        <f ca="1">IF(AND(ResultsInd[[#This Row],[Category]]&lt;&gt;"",ResultsInd[[#This Row],[Player A]]&lt;&gt;""),COUNTIF(INDIRECT(ResultsInd[[#This Row],[Category]]&amp;"List[Retained Player Name]"),ResultsInd[[#This Row],[Player A]]),"")</f>
        <v>1</v>
      </c>
      <c r="Q123" s="265">
        <f ca="1">IF(AND(ResultsInd[[#This Row],[Category]]&lt;&gt;"",ResultsInd[[#This Row],[Player B]]&lt;&gt;""),COUNTIF(INDIRECT(ResultsInd[[#This Row],[Category]]&amp;"List[Retained Player Name]"),ResultsInd[[#This Row],[Player B]]),"")</f>
        <v>1</v>
      </c>
      <c r="R1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123" s="265" t="str">
        <f>IF(ResultsInd[[#This Row],[Score_OK]],IF(ResultsInd[[#This Row],[Stage]]="Groups",ResultsInd[[#This Row],[Category]]&amp;"-"&amp;IF(ResultsInd[[#This Row],[Player B]]="","",IF(ResultsInd[[#This Row],[Score-A]]=ResultsInd[[#This Row],[Score-B]],ResultsInd[[#This Row],[Player A]],"")),""),"")</f>
        <v>OPEN-</v>
      </c>
      <c r="T123" s="265" t="str">
        <f>IF(ResultsInd[[#This Row],[Score_OK]],IF(ResultsInd[[#This Row],[Stage]]="Groups",ResultsInd[[#This Row],[Category]]&amp;"-"&amp;IF(ResultsInd[[#This Row],[Player B]]="","",IF(ResultsInd[[#This Row],[Score-A]]=ResultsInd[[#This Row],[Score-B]],ResultsInd[[#This Row],[Player B]],"")),""),"")</f>
        <v>OPEN-</v>
      </c>
      <c r="U1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OPEN-Alexander Haas</v>
      </c>
      <c r="V1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OPEN-Alexander Haas</v>
      </c>
      <c r="X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OPEN-Alexander Haas</v>
      </c>
      <c r="Y123" s="264" t="str">
        <f>IF(ResultsInd[[#This Row],[Category]]="","",VLOOKUP(ResultsInd[[#This Row],[Stage]],$P$1:$V$9,MATCH(ResultsInd[[#This Row],[Category]],$Q$1:$V$1,0)+1,FALSE))</f>
        <v>PR1</v>
      </c>
      <c r="Z123" s="264" t="str">
        <f>IF(ResultsInd[[#This Row],[Score_OK]],IF(ResultsInd[[#This Row],[Level]]="R",ResultsInd[[#This Row],[Category]]&amp;"-"&amp;IF(ResultsInd[[#This Row],[LoseInKO]]=ResultsInd[[#This Row],[Category]]&amp;"-"&amp;ResultsInd[[#This Row],[Player A]],ResultsInd[[#This Row],[Player B]],ResultsInd[[#This Row],[Player A]]),""),"")</f>
        <v/>
      </c>
      <c r="AB123" s="8"/>
      <c r="AC123" s="12" t="str">
        <f t="shared" ref="AC123:AC128" si="103">IF(AC122="","",AC122)</f>
        <v>OPEN</v>
      </c>
      <c r="AD123" s="309" t="s">
        <v>8194</v>
      </c>
      <c r="AE123" s="320"/>
      <c r="AF123" s="311"/>
      <c r="AG123" s="292">
        <f>IF(AP123="","",SMALL(AH122:AH128,ROWS(AG122:AG123)))</f>
        <v>2001</v>
      </c>
      <c r="AH123" s="293">
        <f>IF(AP123="","",RANK(AL123,AL122:AL128)*1000+ROWS(AH122:AH123))</f>
        <v>1002</v>
      </c>
      <c r="AI123" s="316">
        <f t="shared" si="97"/>
        <v>7000000000000</v>
      </c>
      <c r="AJ123" s="415" t="b">
        <f>AND(AO123&lt;&gt;"",AO123&gt;0,COUNTIF(AI122:AI128,AI123)&gt;1)</f>
        <v>1</v>
      </c>
      <c r="AK123" s="316">
        <f t="shared" si="98"/>
        <v>0</v>
      </c>
      <c r="AL123" s="317">
        <f t="shared" si="99"/>
        <v>7000000101400</v>
      </c>
      <c r="AM123" s="415" t="b">
        <f>AND(AO123&lt;&gt;"",AO123&gt;0,COUNTIF(AL122:AL128,AL123)&gt;1)</f>
        <v>0</v>
      </c>
      <c r="AN123" s="306">
        <f t="shared" si="100"/>
        <v>7</v>
      </c>
      <c r="AO123" s="307">
        <f t="shared" si="101"/>
        <v>3</v>
      </c>
      <c r="AP123" s="307">
        <f>IF(OR(AC121="",AD123=""),"",COUNTIF(ResultsInd[Win],AC121&amp;"-"&amp;AD123))</f>
        <v>2</v>
      </c>
      <c r="AQ123" s="307">
        <f>IF(OR(AC121="",AD123=""),"",COUNTIF(ResultsInd[Draw1],AC121&amp;"-"&amp;AD123)+COUNTIF(ResultsInd[Draw2],AC121&amp;"-"&amp;AD123))</f>
        <v>1</v>
      </c>
      <c r="AR123" s="307">
        <f>IF(OR(AC121="",AD123=""),"",COUNTIF(ResultsInd[Lose],AC121&amp;"-"&amp;AD123))</f>
        <v>0</v>
      </c>
      <c r="AS123" s="307">
        <f>IF(OR(AC121="",AD123=""),"",SUMIFS(ResultsInd[Goal-A],ResultsInd[Category],AC121,ResultsInd[Stage],"Groups",ResultsInd[Player A],AD123)+SUMIFS(ResultsInd[Goal-B],ResultsInd[Category],AC121,ResultsInd[Stage],"Groups",ResultsInd[Player B],AD123))</f>
        <v>14</v>
      </c>
      <c r="AT123" s="307">
        <f>IF(OR(AC121="",AD123=""),"",SUMIFS(ResultsInd[Goal-B],ResultsInd[Category],AC121,ResultsInd[Stage],"Groups",ResultsInd[Player A],AD123)+SUMIFS(ResultsInd[Goal-A],ResultsInd[Category],AC121,ResultsInd[Stage],"Groups",ResultsInd[Player B],AD123))</f>
        <v>4</v>
      </c>
      <c r="AU123" s="308">
        <f t="shared" ref="AU123:AU128" si="104">IF(AP123="","",AS123-AT123)</f>
        <v>10</v>
      </c>
      <c r="AV123" s="469" t="b">
        <f>IF(AG123="","",OR(VLOOKUP(AG123,AH122:AU128,3,FALSE),VLOOKUP(AG123,AH122:AU128,6,FALSE)))</f>
        <v>1</v>
      </c>
      <c r="AW123" s="298">
        <f t="shared" si="102"/>
        <v>2</v>
      </c>
      <c r="AX123" s="285" t="str">
        <f>IF(AG123="","",INDEX(AD122:AD128,MATCH(AG123,AH122:AH128,0)))</f>
        <v>Steffen Despretz</v>
      </c>
      <c r="AY123" s="286">
        <f>IF(AG123="","",VLOOKUP(AG123,AH122:AU128,COLUMN()-COLUMN(AR121),FALSE))</f>
        <v>7</v>
      </c>
      <c r="AZ123" s="286">
        <f>IF(AG123="","",VLOOKUP(AG123,AH122:AU128,COLUMN()-COLUMN(AR121),FALSE))</f>
        <v>3</v>
      </c>
      <c r="BA123" s="286">
        <f>IF(AG123="","",VLOOKUP(AG123,AH122:AU128,COLUMN()-COLUMN(AR121),FALSE))</f>
        <v>2</v>
      </c>
      <c r="BB123" s="286">
        <f>IF(AG123="","",VLOOKUP(AG123,AH122:AU128,COLUMN()-COLUMN(AR121),FALSE))</f>
        <v>1</v>
      </c>
      <c r="BC123" s="286">
        <f>IF(AG123="","",VLOOKUP(AG123,AH122:AU128,COLUMN()-COLUMN(AR121),FALSE))</f>
        <v>0</v>
      </c>
      <c r="BD123" s="286">
        <f>IF(AG123="","",VLOOKUP(AG123,AH122:AU128,COLUMN()-COLUMN(AR121),FALSE))</f>
        <v>10</v>
      </c>
      <c r="BE123" s="286">
        <f>IF(AG123="","",VLOOKUP(AG123,AH122:AU128,COLUMN()-COLUMN(AR121),FALSE))</f>
        <v>3</v>
      </c>
      <c r="BF123" s="301">
        <f>IF(AG123="","",VLOOKUP(AG123,AH122:AU128,COLUMN()-COLUMN(AR121),FALSE))</f>
        <v>7</v>
      </c>
    </row>
    <row r="124" spans="1:58" ht="12" thickBot="1" x14ac:dyDescent="0.25">
      <c r="A124" s="62" t="s">
        <v>890</v>
      </c>
      <c r="B124" s="62" t="s">
        <v>12207</v>
      </c>
      <c r="C124" s="62">
        <v>18</v>
      </c>
      <c r="D124" s="62"/>
      <c r="E124" s="345" t="s">
        <v>10875</v>
      </c>
      <c r="F124" s="345" t="s">
        <v>8152</v>
      </c>
      <c r="G124" s="113">
        <v>2</v>
      </c>
      <c r="H124" s="113">
        <v>1</v>
      </c>
      <c r="I124" s="114"/>
      <c r="J124" s="114"/>
      <c r="K124" s="114"/>
      <c r="L124" s="81"/>
      <c r="M124" s="265" t="b">
        <f>NOT(ISERROR(ResultsInd[[#This Row],[Goal-A]]+ResultsInd[[#This Row],[Goal-B]]))</f>
        <v>1</v>
      </c>
      <c r="N124" s="265">
        <f>VALUE(ResultsInd[[#This Row],[Score-A]])</f>
        <v>2</v>
      </c>
      <c r="O124" s="265">
        <f>VALUE(ResultsInd[[#This Row],[Score-B]])</f>
        <v>1</v>
      </c>
      <c r="P124" s="265">
        <f ca="1">IF(AND(ResultsInd[[#This Row],[Category]]&lt;&gt;"",ResultsInd[[#This Row],[Player A]]&lt;&gt;""),COUNTIF(INDIRECT(ResultsInd[[#This Row],[Category]]&amp;"List[Retained Player Name]"),ResultsInd[[#This Row],[Player A]]),"")</f>
        <v>1</v>
      </c>
      <c r="Q124" s="265">
        <f ca="1">IF(AND(ResultsInd[[#This Row],[Category]]&lt;&gt;"",ResultsInd[[#This Row],[Player B]]&lt;&gt;""),COUNTIF(INDIRECT(ResultsInd[[#This Row],[Category]]&amp;"List[Retained Player Name]"),ResultsInd[[#This Row],[Player B]]),"")</f>
        <v>1</v>
      </c>
      <c r="R1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 Lauder</v>
      </c>
      <c r="S124" s="265" t="str">
        <f>IF(ResultsInd[[#This Row],[Score_OK]],IF(ResultsInd[[#This Row],[Stage]]="Groups",ResultsInd[[#This Row],[Category]]&amp;"-"&amp;IF(ResultsInd[[#This Row],[Player B]]="","",IF(ResultsInd[[#This Row],[Score-A]]=ResultsInd[[#This Row],[Score-B]],ResultsInd[[#This Row],[Player A]],"")),""),"")</f>
        <v>OPEN-</v>
      </c>
      <c r="T124" s="265" t="str">
        <f>IF(ResultsInd[[#This Row],[Score_OK]],IF(ResultsInd[[#This Row],[Stage]]="Groups",ResultsInd[[#This Row],[Category]]&amp;"-"&amp;IF(ResultsInd[[#This Row],[Player B]]="","",IF(ResultsInd[[#This Row],[Score-A]]=ResultsInd[[#This Row],[Score-B]],ResultsInd[[#This Row],[Player B]],"")),""),"")</f>
        <v>OPEN-</v>
      </c>
      <c r="U1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OPEN-Sébastien Darmont</v>
      </c>
      <c r="V1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OPEN-Sébastien Darmont</v>
      </c>
      <c r="X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OPEN-Sébastien Darmont</v>
      </c>
      <c r="Y124" s="264" t="str">
        <f>IF(ResultsInd[[#This Row],[Category]]="","",VLOOKUP(ResultsInd[[#This Row],[Stage]],$P$1:$V$9,MATCH(ResultsInd[[#This Row],[Category]],$Q$1:$V$1,0)+1,FALSE))</f>
        <v>PR1</v>
      </c>
      <c r="Z124" s="264" t="str">
        <f>IF(ResultsInd[[#This Row],[Score_OK]],IF(ResultsInd[[#This Row],[Level]]="R",ResultsInd[[#This Row],[Category]]&amp;"-"&amp;IF(ResultsInd[[#This Row],[LoseInKO]]=ResultsInd[[#This Row],[Category]]&amp;"-"&amp;ResultsInd[[#This Row],[Player A]],ResultsInd[[#This Row],[Player B]],ResultsInd[[#This Row],[Player A]]),""),"")</f>
        <v/>
      </c>
      <c r="AB124" s="8"/>
      <c r="AC124" s="12" t="str">
        <f t="shared" si="103"/>
        <v>OPEN</v>
      </c>
      <c r="AD124" s="309" t="s">
        <v>10216</v>
      </c>
      <c r="AE124" s="320"/>
      <c r="AF124" s="311"/>
      <c r="AG124" s="292">
        <f>IF(AP124="","",SMALL(AH122:AH128,ROWS(AG122:AG124)))</f>
        <v>3003</v>
      </c>
      <c r="AH124" s="293">
        <f>IF(AP124="","",RANK(AL124,AL122:AL128)*1000+ROWS(AH122:AH124))</f>
        <v>3003</v>
      </c>
      <c r="AI124" s="316">
        <f t="shared" si="97"/>
        <v>3000000000000</v>
      </c>
      <c r="AJ124" s="415" t="b">
        <f>AND(AO124&lt;&gt;"",AO124&gt;0,COUNTIF(AI122:AI128,AI124)&gt;1)</f>
        <v>0</v>
      </c>
      <c r="AK124" s="316">
        <f t="shared" si="98"/>
        <v>0</v>
      </c>
      <c r="AL124" s="317">
        <f t="shared" si="99"/>
        <v>3000000000800</v>
      </c>
      <c r="AM124" s="415" t="b">
        <f>AND(AO124&lt;&gt;"",AO124&gt;0,COUNTIF(AL122:AL128,AL124)&gt;1)</f>
        <v>0</v>
      </c>
      <c r="AN124" s="306">
        <f t="shared" si="100"/>
        <v>3</v>
      </c>
      <c r="AO124" s="307">
        <f t="shared" si="101"/>
        <v>3</v>
      </c>
      <c r="AP124" s="307">
        <f>IF(OR(AC121="",AD124=""),"",COUNTIF(ResultsInd[Win],AC121&amp;"-"&amp;AD124))</f>
        <v>1</v>
      </c>
      <c r="AQ124" s="307">
        <f>IF(OR(AC121="",AD124=""),"",COUNTIF(ResultsInd[Draw1],AC121&amp;"-"&amp;AD124)+COUNTIF(ResultsInd[Draw2],AC121&amp;"-"&amp;AD124))</f>
        <v>0</v>
      </c>
      <c r="AR124" s="307">
        <f>IF(OR(AC121="",AD124=""),"",COUNTIF(ResultsInd[Lose],AC121&amp;"-"&amp;AD124))</f>
        <v>2</v>
      </c>
      <c r="AS124" s="307">
        <f>IF(OR(AC121="",AD124=""),"",SUMIFS(ResultsInd[Goal-A],ResultsInd[Category],AC121,ResultsInd[Stage],"Groups",ResultsInd[Player A],AD124)+SUMIFS(ResultsInd[Goal-B],ResultsInd[Category],AC121,ResultsInd[Stage],"Groups",ResultsInd[Player B],AD124))</f>
        <v>8</v>
      </c>
      <c r="AT124" s="307">
        <f>IF(OR(AC121="",AD124=""),"",SUMIFS(ResultsInd[Goal-B],ResultsInd[Category],AC121,ResultsInd[Stage],"Groups",ResultsInd[Player A],AD124)+SUMIFS(ResultsInd[Goal-A],ResultsInd[Category],AC121,ResultsInd[Stage],"Groups",ResultsInd[Player B],AD124))</f>
        <v>8</v>
      </c>
      <c r="AU124" s="308">
        <f t="shared" si="104"/>
        <v>0</v>
      </c>
      <c r="AV124" s="469" t="b">
        <f>IF(AG124="","",OR(VLOOKUP(AG124,AH122:AU128,3,FALSE),VLOOKUP(AG124,AH122:AU128,6,FALSE)))</f>
        <v>0</v>
      </c>
      <c r="AW124" s="298">
        <f t="shared" si="102"/>
        <v>3</v>
      </c>
      <c r="AX124" s="285" t="str">
        <f>IF(AG124="","",INDEX(AD122:AD128,MATCH(AG124,AH122:AH128,0)))</f>
        <v>Fabrizio Cavazza</v>
      </c>
      <c r="AY124" s="286">
        <f>IF(AG124="","",VLOOKUP(AG124,AH122:AU128,COLUMN()-COLUMN(AR121),FALSE))</f>
        <v>3</v>
      </c>
      <c r="AZ124" s="286">
        <f>IF(AG124="","",VLOOKUP(AG124,AH122:AU128,COLUMN()-COLUMN(AR121),FALSE))</f>
        <v>3</v>
      </c>
      <c r="BA124" s="286">
        <f>IF(AG124="","",VLOOKUP(AG124,AH122:AU128,COLUMN()-COLUMN(AR121),FALSE))</f>
        <v>1</v>
      </c>
      <c r="BB124" s="286">
        <f>IF(AG124="","",VLOOKUP(AG124,AH122:AU128,COLUMN()-COLUMN(AR121),FALSE))</f>
        <v>0</v>
      </c>
      <c r="BC124" s="286">
        <f>IF(AG124="","",VLOOKUP(AG124,AH122:AU128,COLUMN()-COLUMN(AR121),FALSE))</f>
        <v>2</v>
      </c>
      <c r="BD124" s="286">
        <f>IF(AG124="","",VLOOKUP(AG124,AH122:AU128,COLUMN()-COLUMN(AR121),FALSE))</f>
        <v>8</v>
      </c>
      <c r="BE124" s="286">
        <f>IF(AG124="","",VLOOKUP(AG124,AH122:AU128,COLUMN()-COLUMN(AR121),FALSE))</f>
        <v>8</v>
      </c>
      <c r="BF124" s="301">
        <f>IF(AG124="","",VLOOKUP(AG124,AH122:AU128,COLUMN()-COLUMN(AR121),FALSE))</f>
        <v>0</v>
      </c>
    </row>
    <row r="125" spans="1:58" ht="12" thickBot="1" x14ac:dyDescent="0.25">
      <c r="A125" s="62" t="s">
        <v>890</v>
      </c>
      <c r="B125" s="62" t="s">
        <v>12207</v>
      </c>
      <c r="C125" s="62">
        <v>18</v>
      </c>
      <c r="D125" s="62"/>
      <c r="E125" s="345" t="s">
        <v>8152</v>
      </c>
      <c r="F125" s="345" t="s">
        <v>8043</v>
      </c>
      <c r="G125" s="113">
        <v>1</v>
      </c>
      <c r="H125" s="113">
        <v>3</v>
      </c>
      <c r="I125" s="114"/>
      <c r="J125" s="114"/>
      <c r="K125" s="114"/>
      <c r="L125" s="81"/>
      <c r="M125" s="265" t="b">
        <f>NOT(ISERROR(ResultsInd[[#This Row],[Goal-A]]+ResultsInd[[#This Row],[Goal-B]]))</f>
        <v>1</v>
      </c>
      <c r="N125" s="265">
        <f>VALUE(ResultsInd[[#This Row],[Score-A]])</f>
        <v>1</v>
      </c>
      <c r="O125" s="265">
        <f>VALUE(ResultsInd[[#This Row],[Score-B]])</f>
        <v>3</v>
      </c>
      <c r="P125" s="265">
        <f ca="1">IF(AND(ResultsInd[[#This Row],[Category]]&lt;&gt;"",ResultsInd[[#This Row],[Player A]]&lt;&gt;""),COUNTIF(INDIRECT(ResultsInd[[#This Row],[Category]]&amp;"List[Retained Player Name]"),ResultsInd[[#This Row],[Player A]]),"")</f>
        <v>1</v>
      </c>
      <c r="Q125" s="265">
        <f ca="1">IF(AND(ResultsInd[[#This Row],[Category]]&lt;&gt;"",ResultsInd[[#This Row],[Player B]]&lt;&gt;""),COUNTIF(INDIRECT(ResultsInd[[#This Row],[Category]]&amp;"List[Retained Player Name]"),ResultsInd[[#This Row],[Player B]]),"")</f>
        <v>1</v>
      </c>
      <c r="R1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OPEN-Alexander Haas</v>
      </c>
      <c r="S125" s="265" t="str">
        <f>IF(ResultsInd[[#This Row],[Score_OK]],IF(ResultsInd[[#This Row],[Stage]]="Groups",ResultsInd[[#This Row],[Category]]&amp;"-"&amp;IF(ResultsInd[[#This Row],[Player B]]="","",IF(ResultsInd[[#This Row],[Score-A]]=ResultsInd[[#This Row],[Score-B]],ResultsInd[[#This Row],[Player A]],"")),""),"")</f>
        <v>OPEN-</v>
      </c>
      <c r="T125" s="265" t="str">
        <f>IF(ResultsInd[[#This Row],[Score_OK]],IF(ResultsInd[[#This Row],[Stage]]="Groups",ResultsInd[[#This Row],[Category]]&amp;"-"&amp;IF(ResultsInd[[#This Row],[Player B]]="","",IF(ResultsInd[[#This Row],[Score-A]]=ResultsInd[[#This Row],[Score-B]],ResultsInd[[#This Row],[Player B]],"")),""),"")</f>
        <v>OPEN-</v>
      </c>
      <c r="U1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OPEN-Sébastien Darmont</v>
      </c>
      <c r="V1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OPEN-Sébastien Darmont</v>
      </c>
      <c r="X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OPEN-Sébastien Darmont</v>
      </c>
      <c r="Y125" s="264" t="str">
        <f>IF(ResultsInd[[#This Row],[Category]]="","",VLOOKUP(ResultsInd[[#This Row],[Stage]],$P$1:$V$9,MATCH(ResultsInd[[#This Row],[Category]],$Q$1:$V$1,0)+1,FALSE))</f>
        <v>PR1</v>
      </c>
      <c r="Z125" s="264" t="str">
        <f>IF(ResultsInd[[#This Row],[Score_OK]],IF(ResultsInd[[#This Row],[Level]]="R",ResultsInd[[#This Row],[Category]]&amp;"-"&amp;IF(ResultsInd[[#This Row],[LoseInKO]]=ResultsInd[[#This Row],[Category]]&amp;"-"&amp;ResultsInd[[#This Row],[Player A]],ResultsInd[[#This Row],[Player B]],ResultsInd[[#This Row],[Player A]]),""),"")</f>
        <v/>
      </c>
      <c r="AB125" s="91"/>
      <c r="AC125" s="12" t="str">
        <f t="shared" si="103"/>
        <v>OPEN</v>
      </c>
      <c r="AD125" s="309" t="s">
        <v>10881</v>
      </c>
      <c r="AE125" s="310"/>
      <c r="AF125" s="311"/>
      <c r="AG125" s="292">
        <f>IF(AP125="","",SMALL(AH122:AH128,ROWS(AG122:AG125)))</f>
        <v>4004</v>
      </c>
      <c r="AH125" s="293">
        <f>IF(AP125="","",RANK(AL125,AL122:AL128)*1000+ROWS(AH122:AH125))</f>
        <v>4004</v>
      </c>
      <c r="AI125" s="316">
        <f t="shared" si="97"/>
        <v>0</v>
      </c>
      <c r="AJ125" s="415" t="b">
        <f>AND(AO125&lt;&gt;"",AO125&gt;0,COUNTIF(AI122:AI128,AI125)&gt;1)</f>
        <v>0</v>
      </c>
      <c r="AK125" s="316">
        <f t="shared" si="98"/>
        <v>0</v>
      </c>
      <c r="AL125" s="317">
        <f t="shared" si="99"/>
        <v>-169800</v>
      </c>
      <c r="AM125" s="415" t="b">
        <f>AND(AO125&lt;&gt;"",AO125&gt;0,COUNTIF(AL122:AL128,AL125)&gt;1)</f>
        <v>0</v>
      </c>
      <c r="AN125" s="306">
        <f t="shared" si="100"/>
        <v>0</v>
      </c>
      <c r="AO125" s="307">
        <f t="shared" si="101"/>
        <v>3</v>
      </c>
      <c r="AP125" s="307">
        <f>IF(OR(AC121="",AD125=""),"",COUNTIF(ResultsInd[Win],AC121&amp;"-"&amp;AD125))</f>
        <v>0</v>
      </c>
      <c r="AQ125" s="307">
        <f>IF(OR(AC121="",AD125=""),"",COUNTIF(ResultsInd[Draw1],AC121&amp;"-"&amp;AD125)+COUNTIF(ResultsInd[Draw2],AC121&amp;"-"&amp;AD125))</f>
        <v>0</v>
      </c>
      <c r="AR125" s="307">
        <f>IF(OR(AC121="",AD125=""),"",COUNTIF(ResultsInd[Lose],AC121&amp;"-"&amp;AD125))</f>
        <v>3</v>
      </c>
      <c r="AS125" s="307">
        <f>IF(OR(AC121="",AD125=""),"",SUMIFS(ResultsInd[Goal-A],ResultsInd[Category],AC121,ResultsInd[Stage],"Groups",ResultsInd[Player A],AD125)+SUMIFS(ResultsInd[Goal-B],ResultsInd[Category],AC121,ResultsInd[Stage],"Groups",ResultsInd[Player B],AD125))</f>
        <v>2</v>
      </c>
      <c r="AT125" s="307">
        <f>IF(OR(AC121="",AD125=""),"",SUMIFS(ResultsInd[Goal-B],ResultsInd[Category],AC121,ResultsInd[Stage],"Groups",ResultsInd[Player A],AD125)+SUMIFS(ResultsInd[Goal-A],ResultsInd[Category],AC121,ResultsInd[Stage],"Groups",ResultsInd[Player B],AD125))</f>
        <v>19</v>
      </c>
      <c r="AU125" s="308">
        <f t="shared" si="104"/>
        <v>-17</v>
      </c>
      <c r="AV125" s="469" t="b">
        <f>IF(AG125="","",OR(VLOOKUP(AG125,AH122:AU128,3,FALSE),VLOOKUP(AG125,AH122:AU128,6,FALSE)))</f>
        <v>0</v>
      </c>
      <c r="AW125" s="298">
        <f t="shared" si="102"/>
        <v>4</v>
      </c>
      <c r="AX125" s="285" t="str">
        <f>IF(AG125="","",INDEX(AD122:AD128,MATCH(AG125,AH122:AH128,0)))</f>
        <v>John Lauder</v>
      </c>
      <c r="AY125" s="286">
        <f>IF(AG125="","",VLOOKUP(AG125,AH122:AU128,COLUMN()-COLUMN(AR121),FALSE))</f>
        <v>0</v>
      </c>
      <c r="AZ125" s="286">
        <f>IF(AG125="","",VLOOKUP(AG125,AH122:AU128,COLUMN()-COLUMN(AR121),FALSE))</f>
        <v>3</v>
      </c>
      <c r="BA125" s="286">
        <f>IF(AG125="","",VLOOKUP(AG125,AH122:AU128,COLUMN()-COLUMN(AR121),FALSE))</f>
        <v>0</v>
      </c>
      <c r="BB125" s="286">
        <f>IF(AG125="","",VLOOKUP(AG125,AH122:AU128,COLUMN()-COLUMN(AR121),FALSE))</f>
        <v>0</v>
      </c>
      <c r="BC125" s="286">
        <f>IF(AG125="","",VLOOKUP(AG125,AH122:AU128,COLUMN()-COLUMN(AR121),FALSE))</f>
        <v>3</v>
      </c>
      <c r="BD125" s="286">
        <f>IF(AG125="","",VLOOKUP(AG125,AH122:AU128,COLUMN()-COLUMN(AR121),FALSE))</f>
        <v>2</v>
      </c>
      <c r="BE125" s="286">
        <f>IF(AG125="","",VLOOKUP(AG125,AH122:AU128,COLUMN()-COLUMN(AR121),FALSE))</f>
        <v>19</v>
      </c>
      <c r="BF125" s="301">
        <f>IF(AG125="","",VLOOKUP(AG125,AH122:AU128,COLUMN()-COLUMN(AR121),FALSE))</f>
        <v>-17</v>
      </c>
    </row>
    <row r="126" spans="1:58" ht="12" thickBot="1" x14ac:dyDescent="0.25">
      <c r="A126" s="62" t="s">
        <v>890</v>
      </c>
      <c r="B126" s="62" t="s">
        <v>12207</v>
      </c>
      <c r="C126" s="62">
        <v>18</v>
      </c>
      <c r="D126" s="62"/>
      <c r="E126" s="345" t="s">
        <v>10875</v>
      </c>
      <c r="F126" s="345" t="s">
        <v>8148</v>
      </c>
      <c r="G126" s="113">
        <v>2</v>
      </c>
      <c r="H126" s="113">
        <v>6</v>
      </c>
      <c r="I126" s="114"/>
      <c r="J126" s="114"/>
      <c r="K126" s="114"/>
      <c r="L126" s="81"/>
      <c r="M126" s="265" t="b">
        <f>NOT(ISERROR(ResultsInd[[#This Row],[Goal-A]]+ResultsInd[[#This Row],[Goal-B]]))</f>
        <v>1</v>
      </c>
      <c r="N126" s="265">
        <f>VALUE(ResultsInd[[#This Row],[Score-A]])</f>
        <v>2</v>
      </c>
      <c r="O126" s="265">
        <f>VALUE(ResultsInd[[#This Row],[Score-B]])</f>
        <v>6</v>
      </c>
      <c r="P126" s="265">
        <f ca="1">IF(AND(ResultsInd[[#This Row],[Category]]&lt;&gt;"",ResultsInd[[#This Row],[Player A]]&lt;&gt;""),COUNTIF(INDIRECT(ResultsInd[[#This Row],[Category]]&amp;"List[Retained Player Name]"),ResultsInd[[#This Row],[Player A]]),"")</f>
        <v>1</v>
      </c>
      <c r="Q126" s="265">
        <f ca="1">IF(AND(ResultsInd[[#This Row],[Category]]&lt;&gt;"",ResultsInd[[#This Row],[Player B]]&lt;&gt;""),COUNTIF(INDIRECT(ResultsInd[[#This Row],[Category]]&amp;"List[Retained Player Name]"),ResultsInd[[#This Row],[Player B]]),"")</f>
        <v>1</v>
      </c>
      <c r="R1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126" s="265" t="str">
        <f>IF(ResultsInd[[#This Row],[Score_OK]],IF(ResultsInd[[#This Row],[Stage]]="Groups",ResultsInd[[#This Row],[Category]]&amp;"-"&amp;IF(ResultsInd[[#This Row],[Player B]]="","",IF(ResultsInd[[#This Row],[Score-A]]=ResultsInd[[#This Row],[Score-B]],ResultsInd[[#This Row],[Player A]],"")),""),"")</f>
        <v>OPEN-</v>
      </c>
      <c r="T126" s="265" t="str">
        <f>IF(ResultsInd[[#This Row],[Score_OK]],IF(ResultsInd[[#This Row],[Stage]]="Groups",ResultsInd[[#This Row],[Category]]&amp;"-"&amp;IF(ResultsInd[[#This Row],[Player B]]="","",IF(ResultsInd[[#This Row],[Score-A]]=ResultsInd[[#This Row],[Score-B]],ResultsInd[[#This Row],[Player B]],"")),""),"")</f>
        <v>OPEN-</v>
      </c>
      <c r="U1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 Lauder</v>
      </c>
      <c r="V1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OPEN-David Lauder</v>
      </c>
      <c r="X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OPEN-David Lauder</v>
      </c>
      <c r="Y126" s="264" t="str">
        <f>IF(ResultsInd[[#This Row],[Category]]="","",VLOOKUP(ResultsInd[[#This Row],[Stage]],$P$1:$V$9,MATCH(ResultsInd[[#This Row],[Category]],$Q$1:$V$1,0)+1,FALSE))</f>
        <v>PR1</v>
      </c>
      <c r="Z126" s="264" t="str">
        <f>IF(ResultsInd[[#This Row],[Score_OK]],IF(ResultsInd[[#This Row],[Level]]="R",ResultsInd[[#This Row],[Category]]&amp;"-"&amp;IF(ResultsInd[[#This Row],[LoseInKO]]=ResultsInd[[#This Row],[Category]]&amp;"-"&amp;ResultsInd[[#This Row],[Player A]],ResultsInd[[#This Row],[Player B]],ResultsInd[[#This Row],[Player A]]),""),"")</f>
        <v/>
      </c>
      <c r="AB126" s="91"/>
      <c r="AC126" s="12" t="str">
        <f t="shared" si="103"/>
        <v>OPEN</v>
      </c>
      <c r="AD126" s="309"/>
      <c r="AE126" s="310"/>
      <c r="AF126" s="311"/>
      <c r="AG126" s="292" t="str">
        <f>IF(AP126="","",SMALL(AH122:AH128,ROWS(AG122:AG126)))</f>
        <v/>
      </c>
      <c r="AH126" s="293" t="str">
        <f>IF(AP126="","",RANK(AL126,AL122:AL128)*1000+ROWS(AH122:AH126))</f>
        <v/>
      </c>
      <c r="AI126" s="316" t="str">
        <f t="shared" si="97"/>
        <v/>
      </c>
      <c r="AJ126" s="415" t="b">
        <f>AND(AO126&lt;&gt;"",AO126&gt;0,COUNTIF(AI122:AI128,AI126)&gt;1)</f>
        <v>0</v>
      </c>
      <c r="AK126" s="316" t="str">
        <f t="shared" si="98"/>
        <v/>
      </c>
      <c r="AL126" s="317" t="str">
        <f t="shared" si="99"/>
        <v/>
      </c>
      <c r="AM126" s="415" t="b">
        <f>AND(AO126&lt;&gt;"",AO126&gt;0,COUNTIF(AL122:AL128,AL126)&gt;1)</f>
        <v>0</v>
      </c>
      <c r="AN126" s="306" t="str">
        <f t="shared" si="100"/>
        <v/>
      </c>
      <c r="AO126" s="307" t="str">
        <f t="shared" si="101"/>
        <v/>
      </c>
      <c r="AP126" s="307" t="str">
        <f>IF(OR(AC121="",AD126=""),"",COUNTIF(ResultsInd[Win],AC121&amp;"-"&amp;AD126))</f>
        <v/>
      </c>
      <c r="AQ126" s="307" t="str">
        <f>IF(OR(AC121="",AD126=""),"",COUNTIF(ResultsInd[Draw1],AC121&amp;"-"&amp;AD126)+COUNTIF(ResultsInd[Draw2],AC121&amp;"-"&amp;AD126))</f>
        <v/>
      </c>
      <c r="AR126" s="307" t="str">
        <f>IF(OR(AC121="",AD126=""),"",COUNTIF(ResultsInd[Lose],AC121&amp;"-"&amp;AD126))</f>
        <v/>
      </c>
      <c r="AS126" s="307" t="str">
        <f>IF(OR(AC121="",AD126=""),"",SUMIFS(ResultsInd[Goal-A],ResultsInd[Category],AC121,ResultsInd[Stage],"Groups",ResultsInd[Player A],AD126)+SUMIFS(ResultsInd[Goal-B],ResultsInd[Category],AC121,ResultsInd[Stage],"Groups",ResultsInd[Player B],AD126))</f>
        <v/>
      </c>
      <c r="AT126" s="307" t="str">
        <f>IF(OR(AC121="",AD126=""),"",SUMIFS(ResultsInd[Goal-B],ResultsInd[Category],AC121,ResultsInd[Stage],"Groups",ResultsInd[Player A],AD126)+SUMIFS(ResultsInd[Goal-A],ResultsInd[Category],AC121,ResultsInd[Stage],"Groups",ResultsInd[Player B],AD126))</f>
        <v/>
      </c>
      <c r="AU126" s="308" t="str">
        <f t="shared" si="104"/>
        <v/>
      </c>
      <c r="AV126" s="469" t="str">
        <f>IF(AG126="","",OR(VLOOKUP(AG126,AH122:AU128,3,FALSE),VLOOKUP(AG126,AH122:AU128,6,FALSE)))</f>
        <v/>
      </c>
      <c r="AW126" s="298" t="str">
        <f t="shared" si="102"/>
        <v/>
      </c>
      <c r="AX126" s="285" t="str">
        <f>IF(AG126="","",INDEX(AD122:AD128,MATCH(AG126,AH122:AH128,0)))</f>
        <v/>
      </c>
      <c r="AY126" s="286" t="str">
        <f>IF(AG126="","",VLOOKUP(AG126,AH122:AU128,COLUMN()-COLUMN(AR121),FALSE))</f>
        <v/>
      </c>
      <c r="AZ126" s="286" t="str">
        <f>IF(AG126="","",VLOOKUP(AG126,AH122:AU128,COLUMN()-COLUMN(AR121),FALSE))</f>
        <v/>
      </c>
      <c r="BA126" s="286" t="str">
        <f>IF(AG126="","",VLOOKUP(AG126,AH122:AU128,COLUMN()-COLUMN(AR121),FALSE))</f>
        <v/>
      </c>
      <c r="BB126" s="286" t="str">
        <f>IF(AG126="","",VLOOKUP(AG126,AH122:AU128,COLUMN()-COLUMN(AR121),FALSE))</f>
        <v/>
      </c>
      <c r="BC126" s="286" t="str">
        <f>IF(AG126="","",VLOOKUP(AG126,AH122:AU128,COLUMN()-COLUMN(AR121),FALSE))</f>
        <v/>
      </c>
      <c r="BD126" s="286" t="str">
        <f>IF(AG126="","",VLOOKUP(AG126,AH122:AU128,COLUMN()-COLUMN(AR121),FALSE))</f>
        <v/>
      </c>
      <c r="BE126" s="286" t="str">
        <f>IF(AG126="","",VLOOKUP(AG126,AH122:AU128,COLUMN()-COLUMN(AR121),FALSE))</f>
        <v/>
      </c>
      <c r="BF126" s="301" t="str">
        <f>IF(AG126="","",VLOOKUP(AG126,AH122:AU128,COLUMN()-COLUMN(AR121),FALSE))</f>
        <v/>
      </c>
    </row>
    <row r="127" spans="1:58" ht="12" thickBot="1" x14ac:dyDescent="0.25">
      <c r="A127" s="62" t="s">
        <v>890</v>
      </c>
      <c r="B127" s="62" t="s">
        <v>12207</v>
      </c>
      <c r="C127" s="62">
        <v>19</v>
      </c>
      <c r="D127" s="62"/>
      <c r="E127" s="345" t="s">
        <v>9827</v>
      </c>
      <c r="F127" s="345" t="s">
        <v>8065</v>
      </c>
      <c r="G127" s="113">
        <v>5</v>
      </c>
      <c r="H127" s="113">
        <v>1</v>
      </c>
      <c r="I127" s="114"/>
      <c r="J127" s="114"/>
      <c r="K127" s="114"/>
      <c r="L127" s="81"/>
      <c r="M127" s="265" t="b">
        <f>NOT(ISERROR(ResultsInd[[#This Row],[Goal-A]]+ResultsInd[[#This Row],[Goal-B]]))</f>
        <v>1</v>
      </c>
      <c r="N127" s="265">
        <f>VALUE(ResultsInd[[#This Row],[Score-A]])</f>
        <v>5</v>
      </c>
      <c r="O127" s="265">
        <f>VALUE(ResultsInd[[#This Row],[Score-B]])</f>
        <v>1</v>
      </c>
      <c r="P127" s="265">
        <f ca="1">IF(AND(ResultsInd[[#This Row],[Category]]&lt;&gt;"",ResultsInd[[#This Row],[Player A]]&lt;&gt;""),COUNTIF(INDIRECT(ResultsInd[[#This Row],[Category]]&amp;"List[Retained Player Name]"),ResultsInd[[#This Row],[Player A]]),"")</f>
        <v>1</v>
      </c>
      <c r="Q127" s="265">
        <f ca="1">IF(AND(ResultsInd[[#This Row],[Category]]&lt;&gt;"",ResultsInd[[#This Row],[Player B]]&lt;&gt;""),COUNTIF(INDIRECT(ResultsInd[[#This Row],[Category]]&amp;"List[Retained Player Name]"),ResultsInd[[#This Row],[Player B]]),"")</f>
        <v>1</v>
      </c>
      <c r="R1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Mettivieri</v>
      </c>
      <c r="S127" s="265" t="str">
        <f>IF(ResultsInd[[#This Row],[Score_OK]],IF(ResultsInd[[#This Row],[Stage]]="Groups",ResultsInd[[#This Row],[Category]]&amp;"-"&amp;IF(ResultsInd[[#This Row],[Player B]]="","",IF(ResultsInd[[#This Row],[Score-A]]=ResultsInd[[#This Row],[Score-B]],ResultsInd[[#This Row],[Player A]],"")),""),"")</f>
        <v>OPEN-</v>
      </c>
      <c r="T127" s="265" t="str">
        <f>IF(ResultsInd[[#This Row],[Score_OK]],IF(ResultsInd[[#This Row],[Stage]]="Groups",ResultsInd[[#This Row],[Category]]&amp;"-"&amp;IF(ResultsInd[[#This Row],[Player B]]="","",IF(ResultsInd[[#This Row],[Score-A]]=ResultsInd[[#This Row],[Score-B]],ResultsInd[[#This Row],[Player B]],"")),""),"")</f>
        <v>OPEN-</v>
      </c>
      <c r="U1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OPEN-Daniel Vranovitz</v>
      </c>
      <c r="V1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OPEN-Daniel Vranovitz</v>
      </c>
      <c r="X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OPEN-Daniel Vranovitz</v>
      </c>
      <c r="Y127" s="264" t="str">
        <f>IF(ResultsInd[[#This Row],[Category]]="","",VLOOKUP(ResultsInd[[#This Row],[Stage]],$P$1:$V$9,MATCH(ResultsInd[[#This Row],[Category]],$Q$1:$V$1,0)+1,FALSE))</f>
        <v>PR1</v>
      </c>
      <c r="Z127" s="264" t="str">
        <f>IF(ResultsInd[[#This Row],[Score_OK]],IF(ResultsInd[[#This Row],[Level]]="R",ResultsInd[[#This Row],[Category]]&amp;"-"&amp;IF(ResultsInd[[#This Row],[LoseInKO]]=ResultsInd[[#This Row],[Category]]&amp;"-"&amp;ResultsInd[[#This Row],[Player A]],ResultsInd[[#This Row],[Player B]],ResultsInd[[#This Row],[Player A]]),""),"")</f>
        <v/>
      </c>
      <c r="AB127" s="8"/>
      <c r="AC127" s="12" t="str">
        <f t="shared" si="103"/>
        <v>OPEN</v>
      </c>
      <c r="AD127" s="309"/>
      <c r="AE127" s="310"/>
      <c r="AF127" s="311"/>
      <c r="AG127" s="292" t="str">
        <f>IF(AP127="","",SMALL(AH122:AH128,ROWS(AG122:AG127)))</f>
        <v/>
      </c>
      <c r="AH127" s="293" t="str">
        <f>IF(AP127="","",RANK(AL127,AL122:AL128)*1000+ROWS(AH122:AH127))</f>
        <v/>
      </c>
      <c r="AI127" s="316" t="str">
        <f t="shared" si="97"/>
        <v/>
      </c>
      <c r="AJ127" s="415" t="b">
        <f>AND(AO127&lt;&gt;"",AO127&gt;0,COUNTIF(AI122:AI128,AI127)&gt;1)</f>
        <v>0</v>
      </c>
      <c r="AK127" s="316" t="str">
        <f t="shared" si="98"/>
        <v/>
      </c>
      <c r="AL127" s="317" t="str">
        <f t="shared" si="99"/>
        <v/>
      </c>
      <c r="AM127" s="415" t="b">
        <f>AND(AO127&lt;&gt;"",AO127&gt;0,COUNTIF(AL122:AL128,AL127)&gt;1)</f>
        <v>0</v>
      </c>
      <c r="AN127" s="306" t="str">
        <f t="shared" si="100"/>
        <v/>
      </c>
      <c r="AO127" s="307" t="str">
        <f t="shared" si="101"/>
        <v/>
      </c>
      <c r="AP127" s="307" t="str">
        <f>IF(OR(AC121="",AD127=""),"",COUNTIF(ResultsInd[Win],AC121&amp;"-"&amp;AD127))</f>
        <v/>
      </c>
      <c r="AQ127" s="307" t="str">
        <f>IF(OR(AC121="",AD127=""),"",COUNTIF(ResultsInd[Draw1],AC121&amp;"-"&amp;AD127)+COUNTIF(ResultsInd[Draw2],AC121&amp;"-"&amp;AD127))</f>
        <v/>
      </c>
      <c r="AR127" s="307" t="str">
        <f>IF(OR(AC121="",AD127=""),"",COUNTIF(ResultsInd[Lose],AC121&amp;"-"&amp;AD127))</f>
        <v/>
      </c>
      <c r="AS127" s="307" t="str">
        <f>IF(OR(AC121="",AD127=""),"",SUMIFS(ResultsInd[Goal-A],ResultsInd[Category],AC121,ResultsInd[Stage],"Groups",ResultsInd[Player A],AD127)+SUMIFS(ResultsInd[Goal-B],ResultsInd[Category],AC121,ResultsInd[Stage],"Groups",ResultsInd[Player B],AD127))</f>
        <v/>
      </c>
      <c r="AT127" s="307" t="str">
        <f>IF(OR(AC121="",AD127=""),"",SUMIFS(ResultsInd[Goal-B],ResultsInd[Category],AC121,ResultsInd[Stage],"Groups",ResultsInd[Player A],AD127)+SUMIFS(ResultsInd[Goal-A],ResultsInd[Category],AC121,ResultsInd[Stage],"Groups",ResultsInd[Player B],AD127))</f>
        <v/>
      </c>
      <c r="AU127" s="308" t="str">
        <f t="shared" si="104"/>
        <v/>
      </c>
      <c r="AV127" s="469" t="str">
        <f>IF(AG127="","",OR(VLOOKUP(AG127,AH122:AU128,3,FALSE),VLOOKUP(AG127,AH122:AU128,6,FALSE)))</f>
        <v/>
      </c>
      <c r="AW127" s="298" t="str">
        <f t="shared" si="102"/>
        <v/>
      </c>
      <c r="AX127" s="285" t="str">
        <f>IF(AG127="","",INDEX(AD122:AD128,MATCH(AG127,AH122:AH128,0)))</f>
        <v/>
      </c>
      <c r="AY127" s="286" t="str">
        <f>IF(AG127="","",VLOOKUP(AG127,AH122:AU128,COLUMN()-COLUMN(AR121),FALSE))</f>
        <v/>
      </c>
      <c r="AZ127" s="286" t="str">
        <f>IF(AG127="","",VLOOKUP(AG127,AH122:AU128,COLUMN()-COLUMN(AR121),FALSE))</f>
        <v/>
      </c>
      <c r="BA127" s="286" t="str">
        <f>IF(AG127="","",VLOOKUP(AG127,AH122:AU128,COLUMN()-COLUMN(AR121),FALSE))</f>
        <v/>
      </c>
      <c r="BB127" s="286" t="str">
        <f>IF(AG127="","",VLOOKUP(AG127,AH122:AU128,COLUMN()-COLUMN(AR121),FALSE))</f>
        <v/>
      </c>
      <c r="BC127" s="286" t="str">
        <f>IF(AG127="","",VLOOKUP(AG127,AH122:AU128,COLUMN()-COLUMN(AR121),FALSE))</f>
        <v/>
      </c>
      <c r="BD127" s="286" t="str">
        <f>IF(AG127="","",VLOOKUP(AG127,AH122:AU128,COLUMN()-COLUMN(AR121),FALSE))</f>
        <v/>
      </c>
      <c r="BE127" s="286" t="str">
        <f>IF(AG127="","",VLOOKUP(AG127,AH122:AU128,COLUMN()-COLUMN(AR121),FALSE))</f>
        <v/>
      </c>
      <c r="BF127" s="301" t="str">
        <f>IF(AG127="","",VLOOKUP(AG127,AH122:AU128,COLUMN()-COLUMN(AR121),FALSE))</f>
        <v/>
      </c>
    </row>
    <row r="128" spans="1:58" ht="12" thickBot="1" x14ac:dyDescent="0.25">
      <c r="A128" s="62" t="s">
        <v>890</v>
      </c>
      <c r="B128" s="62" t="s">
        <v>12207</v>
      </c>
      <c r="C128" s="62">
        <v>19</v>
      </c>
      <c r="D128" s="62"/>
      <c r="E128" s="345" t="s">
        <v>8120</v>
      </c>
      <c r="F128" s="345" t="s">
        <v>8140</v>
      </c>
      <c r="G128" s="113">
        <v>4</v>
      </c>
      <c r="H128" s="113">
        <v>2</v>
      </c>
      <c r="I128" s="114"/>
      <c r="J128" s="114"/>
      <c r="K128" s="114"/>
      <c r="L128" s="81"/>
      <c r="M128" s="265" t="b">
        <f>NOT(ISERROR(ResultsInd[[#This Row],[Goal-A]]+ResultsInd[[#This Row],[Goal-B]]))</f>
        <v>1</v>
      </c>
      <c r="N128" s="265">
        <f>VALUE(ResultsInd[[#This Row],[Score-A]])</f>
        <v>4</v>
      </c>
      <c r="O128" s="265">
        <f>VALUE(ResultsInd[[#This Row],[Score-B]])</f>
        <v>2</v>
      </c>
      <c r="P128" s="265">
        <f ca="1">IF(AND(ResultsInd[[#This Row],[Category]]&lt;&gt;"",ResultsInd[[#This Row],[Player A]]&lt;&gt;""),COUNTIF(INDIRECT(ResultsInd[[#This Row],[Category]]&amp;"List[Retained Player Name]"),ResultsInd[[#This Row],[Player A]]),"")</f>
        <v>1</v>
      </c>
      <c r="Q128" s="265">
        <f ca="1">IF(AND(ResultsInd[[#This Row],[Category]]&lt;&gt;"",ResultsInd[[#This Row],[Player B]]&lt;&gt;""),COUNTIF(INDIRECT(ResultsInd[[#This Row],[Category]]&amp;"List[Retained Player Name]"),ResultsInd[[#This Row],[Player B]]),"")</f>
        <v>1</v>
      </c>
      <c r="R1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OPEN-Lucas Pere</v>
      </c>
      <c r="S128" s="265" t="str">
        <f>IF(ResultsInd[[#This Row],[Score_OK]],IF(ResultsInd[[#This Row],[Stage]]="Groups",ResultsInd[[#This Row],[Category]]&amp;"-"&amp;IF(ResultsInd[[#This Row],[Player B]]="","",IF(ResultsInd[[#This Row],[Score-A]]=ResultsInd[[#This Row],[Score-B]],ResultsInd[[#This Row],[Player A]],"")),""),"")</f>
        <v>OPEN-</v>
      </c>
      <c r="T128" s="265" t="str">
        <f>IF(ResultsInd[[#This Row],[Score_OK]],IF(ResultsInd[[#This Row],[Stage]]="Groups",ResultsInd[[#This Row],[Category]]&amp;"-"&amp;IF(ResultsInd[[#This Row],[Player B]]="","",IF(ResultsInd[[#This Row],[Score-A]]=ResultsInd[[#This Row],[Score-B]],ResultsInd[[#This Row],[Player B]],"")),""),"")</f>
        <v>OPEN-</v>
      </c>
      <c r="U1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OPEN-Quentin Van Glabeke</v>
      </c>
      <c r="V1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OPEN-Quentin Van Glabeke</v>
      </c>
      <c r="X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OPEN-Quentin Van Glabeke</v>
      </c>
      <c r="Y128" s="264" t="str">
        <f>IF(ResultsInd[[#This Row],[Category]]="","",VLOOKUP(ResultsInd[[#This Row],[Stage]],$P$1:$V$9,MATCH(ResultsInd[[#This Row],[Category]],$Q$1:$V$1,0)+1,FALSE))</f>
        <v>PR1</v>
      </c>
      <c r="Z128" s="264" t="str">
        <f>IF(ResultsInd[[#This Row],[Score_OK]],IF(ResultsInd[[#This Row],[Level]]="R",ResultsInd[[#This Row],[Category]]&amp;"-"&amp;IF(ResultsInd[[#This Row],[LoseInKO]]=ResultsInd[[#This Row],[Category]]&amp;"-"&amp;ResultsInd[[#This Row],[Player A]],ResultsInd[[#This Row],[Player B]],ResultsInd[[#This Row],[Player A]]),""),"")</f>
        <v/>
      </c>
      <c r="AB128" s="8"/>
      <c r="AC128" s="12" t="str">
        <f t="shared" si="103"/>
        <v>OPEN</v>
      </c>
      <c r="AD128" s="312"/>
      <c r="AE128" s="313"/>
      <c r="AF128" s="314"/>
      <c r="AG128" s="294" t="str">
        <f>IF(AP128="","",SMALL(AH122:AH128,ROWS(AG122:AG128)))</f>
        <v/>
      </c>
      <c r="AH128" s="295" t="str">
        <f>IF(AP128="","",RANK(AL128,AL122:AL128)*1000+ROWS(AH122:AH128))</f>
        <v/>
      </c>
      <c r="AI128" s="318" t="str">
        <f t="shared" si="97"/>
        <v/>
      </c>
      <c r="AJ128" s="416" t="b">
        <f>AND(AO128&lt;&gt;"",AO128&gt;0,COUNTIF(AI122:AI128,AI128)&gt;1)</f>
        <v>0</v>
      </c>
      <c r="AK128" s="318" t="str">
        <f t="shared" si="98"/>
        <v/>
      </c>
      <c r="AL128" s="319" t="str">
        <f t="shared" si="99"/>
        <v/>
      </c>
      <c r="AM128" s="416" t="b">
        <f>AND(AO128&lt;&gt;"",AO128&gt;0,COUNTIF(AL122:AL128,AL128)&gt;1)</f>
        <v>0</v>
      </c>
      <c r="AN128" s="306" t="str">
        <f t="shared" si="100"/>
        <v/>
      </c>
      <c r="AO128" s="307" t="str">
        <f t="shared" si="101"/>
        <v/>
      </c>
      <c r="AP128" s="307" t="str">
        <f>IF(OR(AC121="",AD128=""),"",COUNTIF(ResultsInd[Win],AC121&amp;"-"&amp;AD128))</f>
        <v/>
      </c>
      <c r="AQ128" s="307" t="str">
        <f>IF(OR(AC121="",AD128=""),"",COUNTIF(ResultsInd[Draw1],AC121&amp;"-"&amp;AD128)+COUNTIF(ResultsInd[Draw2],AC121&amp;"-"&amp;AD128))</f>
        <v/>
      </c>
      <c r="AR128" s="307" t="str">
        <f>IF(OR(AC121="",AD128=""),"",COUNTIF(ResultsInd[Lose],AC121&amp;"-"&amp;AD128))</f>
        <v/>
      </c>
      <c r="AS128" s="307" t="str">
        <f>IF(OR(AC121="",AD128=""),"",SUMIFS(ResultsInd[Goal-A],ResultsInd[Category],AC121,ResultsInd[Stage],"Groups",ResultsInd[Player A],AD128)+SUMIFS(ResultsInd[Goal-B],ResultsInd[Category],AC121,ResultsInd[Stage],"Groups",ResultsInd[Player B],AD128))</f>
        <v/>
      </c>
      <c r="AT128" s="307" t="str">
        <f>IF(OR(AC121="",AD128=""),"",SUMIFS(ResultsInd[Goal-B],ResultsInd[Category],AC121,ResultsInd[Stage],"Groups",ResultsInd[Player A],AD128)+SUMIFS(ResultsInd[Goal-A],ResultsInd[Category],AC121,ResultsInd[Stage],"Groups",ResultsInd[Player B],AD128))</f>
        <v/>
      </c>
      <c r="AU128" s="308" t="str">
        <f t="shared" si="104"/>
        <v/>
      </c>
      <c r="AV128" s="469" t="str">
        <f>IF(AG128="","",OR(VLOOKUP(AG128,AH122:AU128,3,FALSE),VLOOKUP(AG128,AH122:AU128,6,FALSE)))</f>
        <v/>
      </c>
      <c r="AW128" s="299" t="str">
        <f t="shared" si="102"/>
        <v/>
      </c>
      <c r="AX128" s="287" t="str">
        <f>IF(AG128="","",INDEX(AD122:AD128,MATCH(AG128,AH122:AH128,0)))</f>
        <v/>
      </c>
      <c r="AY128" s="288" t="str">
        <f>IF(AG128="","",VLOOKUP(AG128,AH122:AU128,COLUMN()-COLUMN(AR121),FALSE))</f>
        <v/>
      </c>
      <c r="AZ128" s="288" t="str">
        <f>IF(AG128="","",VLOOKUP(AG128,AH122:AU128,COLUMN()-COLUMN(AR121),FALSE))</f>
        <v/>
      </c>
      <c r="BA128" s="288" t="str">
        <f>IF(AG128="","",VLOOKUP(AG128,AH122:AU128,COLUMN()-COLUMN(AR121),FALSE))</f>
        <v/>
      </c>
      <c r="BB128" s="288" t="str">
        <f>IF(AG128="","",VLOOKUP(AG128,AH122:AU128,COLUMN()-COLUMN(AR121),FALSE))</f>
        <v/>
      </c>
      <c r="BC128" s="288" t="str">
        <f>IF(AG128="","",VLOOKUP(AG128,AH122:AU128,COLUMN()-COLUMN(AR121),FALSE))</f>
        <v/>
      </c>
      <c r="BD128" s="288" t="str">
        <f>IF(AG128="","",VLOOKUP(AG128,AH122:AU128,COLUMN()-COLUMN(AR121),FALSE))</f>
        <v/>
      </c>
      <c r="BE128" s="288" t="str">
        <f>IF(AG128="","",VLOOKUP(AG128,AH122:AU128,COLUMN()-COLUMN(AR121),FALSE))</f>
        <v/>
      </c>
      <c r="BF128" s="302" t="str">
        <f>IF(AG128="","",VLOOKUP(AG128,AH122:AU128,COLUMN()-COLUMN(AR121),FALSE))</f>
        <v/>
      </c>
    </row>
    <row r="129" spans="1:58" ht="13.5" thickBot="1" x14ac:dyDescent="0.25">
      <c r="A129" s="62" t="s">
        <v>890</v>
      </c>
      <c r="B129" s="62" t="s">
        <v>12207</v>
      </c>
      <c r="C129" s="62">
        <v>19</v>
      </c>
      <c r="D129" s="62"/>
      <c r="E129" s="345" t="s">
        <v>9827</v>
      </c>
      <c r="F129" s="345" t="s">
        <v>8120</v>
      </c>
      <c r="G129" s="113">
        <v>7</v>
      </c>
      <c r="H129" s="113">
        <v>1</v>
      </c>
      <c r="I129" s="114"/>
      <c r="J129" s="114"/>
      <c r="K129" s="114"/>
      <c r="L129" s="81"/>
      <c r="M129" s="265" t="b">
        <f>NOT(ISERROR(ResultsInd[[#This Row],[Goal-A]]+ResultsInd[[#This Row],[Goal-B]]))</f>
        <v>1</v>
      </c>
      <c r="N129" s="265">
        <f>VALUE(ResultsInd[[#This Row],[Score-A]])</f>
        <v>7</v>
      </c>
      <c r="O129" s="265">
        <f>VALUE(ResultsInd[[#This Row],[Score-B]])</f>
        <v>1</v>
      </c>
      <c r="P129" s="265">
        <f ca="1">IF(AND(ResultsInd[[#This Row],[Category]]&lt;&gt;"",ResultsInd[[#This Row],[Player A]]&lt;&gt;""),COUNTIF(INDIRECT(ResultsInd[[#This Row],[Category]]&amp;"List[Retained Player Name]"),ResultsInd[[#This Row],[Player A]]),"")</f>
        <v>1</v>
      </c>
      <c r="Q129" s="265">
        <f ca="1">IF(AND(ResultsInd[[#This Row],[Category]]&lt;&gt;"",ResultsInd[[#This Row],[Player B]]&lt;&gt;""),COUNTIF(INDIRECT(ResultsInd[[#This Row],[Category]]&amp;"List[Retained Player Name]"),ResultsInd[[#This Row],[Player B]]),"")</f>
        <v>1</v>
      </c>
      <c r="R1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Mettivieri</v>
      </c>
      <c r="S129" s="265" t="str">
        <f>IF(ResultsInd[[#This Row],[Score_OK]],IF(ResultsInd[[#This Row],[Stage]]="Groups",ResultsInd[[#This Row],[Category]]&amp;"-"&amp;IF(ResultsInd[[#This Row],[Player B]]="","",IF(ResultsInd[[#This Row],[Score-A]]=ResultsInd[[#This Row],[Score-B]],ResultsInd[[#This Row],[Player A]],"")),""),"")</f>
        <v>OPEN-</v>
      </c>
      <c r="T129" s="265" t="str">
        <f>IF(ResultsInd[[#This Row],[Score_OK]],IF(ResultsInd[[#This Row],[Stage]]="Groups",ResultsInd[[#This Row],[Category]]&amp;"-"&amp;IF(ResultsInd[[#This Row],[Player B]]="","",IF(ResultsInd[[#This Row],[Score-A]]=ResultsInd[[#This Row],[Score-B]],ResultsInd[[#This Row],[Player B]],"")),""),"")</f>
        <v>OPEN-</v>
      </c>
      <c r="U1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Pere</v>
      </c>
      <c r="V1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Pere</v>
      </c>
      <c r="X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Pere</v>
      </c>
      <c r="Y129" s="264" t="str">
        <f>IF(ResultsInd[[#This Row],[Category]]="","",VLOOKUP(ResultsInd[[#This Row],[Stage]],$P$1:$V$9,MATCH(ResultsInd[[#This Row],[Category]],$Q$1:$V$1,0)+1,FALSE))</f>
        <v>PR1</v>
      </c>
      <c r="Z129" s="264" t="str">
        <f>IF(ResultsInd[[#This Row],[Score_OK]],IF(ResultsInd[[#This Row],[Level]]="R",ResultsInd[[#This Row],[Category]]&amp;"-"&amp;IF(ResultsInd[[#This Row],[LoseInKO]]=ResultsInd[[#This Row],[Category]]&amp;"-"&amp;ResultsInd[[#This Row],[Player A]],ResultsInd[[#This Row],[Player B]],ResultsInd[[#This Row],[Player A]]),""),"")</f>
        <v/>
      </c>
      <c r="AB129" s="8"/>
      <c r="AC129" s="8"/>
      <c r="AF129" s="170"/>
      <c r="AG129" s="101"/>
      <c r="AH129" s="101"/>
      <c r="AN129" s="170"/>
      <c r="AO129" s="170"/>
      <c r="AP129" s="170"/>
      <c r="AQ129" s="172"/>
      <c r="AR129" s="173"/>
      <c r="AS129" s="173"/>
      <c r="AT129" s="173"/>
      <c r="AU129" s="101"/>
      <c r="AV129" s="101"/>
      <c r="AW129" s="101"/>
      <c r="AX129" s="101"/>
      <c r="AY129" s="101"/>
      <c r="AZ129" s="101"/>
    </row>
    <row r="130" spans="1:58" ht="12" thickBot="1" x14ac:dyDescent="0.25">
      <c r="A130" s="62" t="s">
        <v>890</v>
      </c>
      <c r="B130" s="62" t="s">
        <v>12207</v>
      </c>
      <c r="C130" s="62">
        <v>19</v>
      </c>
      <c r="D130" s="62"/>
      <c r="E130" s="345" t="s">
        <v>8065</v>
      </c>
      <c r="F130" s="345" t="s">
        <v>8140</v>
      </c>
      <c r="G130" s="113">
        <v>1</v>
      </c>
      <c r="H130" s="113">
        <v>2</v>
      </c>
      <c r="I130" s="114"/>
      <c r="J130" s="114"/>
      <c r="K130" s="114"/>
      <c r="L130" s="81"/>
      <c r="M130" s="265" t="b">
        <f>NOT(ISERROR(ResultsInd[[#This Row],[Goal-A]]+ResultsInd[[#This Row],[Goal-B]]))</f>
        <v>1</v>
      </c>
      <c r="N130" s="265">
        <f>VALUE(ResultsInd[[#This Row],[Score-A]])</f>
        <v>1</v>
      </c>
      <c r="O130" s="265">
        <f>VALUE(ResultsInd[[#This Row],[Score-B]])</f>
        <v>2</v>
      </c>
      <c r="P130" s="265">
        <f ca="1">IF(AND(ResultsInd[[#This Row],[Category]]&lt;&gt;"",ResultsInd[[#This Row],[Player A]]&lt;&gt;""),COUNTIF(INDIRECT(ResultsInd[[#This Row],[Category]]&amp;"List[Retained Player Name]"),ResultsInd[[#This Row],[Player A]]),"")</f>
        <v>1</v>
      </c>
      <c r="Q130" s="265">
        <f ca="1">IF(AND(ResultsInd[[#This Row],[Category]]&lt;&gt;"",ResultsInd[[#This Row],[Player B]]&lt;&gt;""),COUNTIF(INDIRECT(ResultsInd[[#This Row],[Category]]&amp;"List[Retained Player Name]"),ResultsInd[[#This Row],[Player B]]),"")</f>
        <v>1</v>
      </c>
      <c r="R1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OPEN-Quentin Van Glabeke</v>
      </c>
      <c r="S130" s="265" t="str">
        <f>IF(ResultsInd[[#This Row],[Score_OK]],IF(ResultsInd[[#This Row],[Stage]]="Groups",ResultsInd[[#This Row],[Category]]&amp;"-"&amp;IF(ResultsInd[[#This Row],[Player B]]="","",IF(ResultsInd[[#This Row],[Score-A]]=ResultsInd[[#This Row],[Score-B]],ResultsInd[[#This Row],[Player A]],"")),""),"")</f>
        <v>OPEN-</v>
      </c>
      <c r="T130" s="265" t="str">
        <f>IF(ResultsInd[[#This Row],[Score_OK]],IF(ResultsInd[[#This Row],[Stage]]="Groups",ResultsInd[[#This Row],[Category]]&amp;"-"&amp;IF(ResultsInd[[#This Row],[Player B]]="","",IF(ResultsInd[[#This Row],[Score-A]]=ResultsInd[[#This Row],[Score-B]],ResultsInd[[#This Row],[Player B]],"")),""),"")</f>
        <v>OPEN-</v>
      </c>
      <c r="U1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OPEN-Daniel Vranovitz</v>
      </c>
      <c r="V1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OPEN-Daniel Vranovitz</v>
      </c>
      <c r="X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OPEN-Daniel Vranovitz</v>
      </c>
      <c r="Y130" s="264" t="str">
        <f>IF(ResultsInd[[#This Row],[Category]]="","",VLOOKUP(ResultsInd[[#This Row],[Stage]],$P$1:$V$9,MATCH(ResultsInd[[#This Row],[Category]],$Q$1:$V$1,0)+1,FALSE))</f>
        <v>PR1</v>
      </c>
      <c r="Z130" s="264" t="str">
        <f>IF(ResultsInd[[#This Row],[Score_OK]],IF(ResultsInd[[#This Row],[Level]]="R",ResultsInd[[#This Row],[Category]]&amp;"-"&amp;IF(ResultsInd[[#This Row],[LoseInKO]]=ResultsInd[[#This Row],[Category]]&amp;"-"&amp;ResultsInd[[#This Row],[Player A]],ResultsInd[[#This Row],[Player B]],ResultsInd[[#This Row],[Player A]]),""),"")</f>
        <v/>
      </c>
      <c r="AB130" s="281">
        <v>13</v>
      </c>
      <c r="AC130" s="315" t="s">
        <v>890</v>
      </c>
      <c r="AD130" s="289" t="s">
        <v>14439</v>
      </c>
      <c r="AE130" s="290" t="s">
        <v>12279</v>
      </c>
      <c r="AF130" s="284" t="s">
        <v>12275</v>
      </c>
      <c r="AG130" s="296" t="s">
        <v>12276</v>
      </c>
      <c r="AH130" s="291" t="s">
        <v>12271</v>
      </c>
      <c r="AI130" s="291" t="s">
        <v>12272</v>
      </c>
      <c r="AJ130" s="414" t="s">
        <v>13154</v>
      </c>
      <c r="AK130" s="291" t="s">
        <v>12273</v>
      </c>
      <c r="AL130" s="297" t="s">
        <v>12274</v>
      </c>
      <c r="AM130" s="414" t="s">
        <v>13154</v>
      </c>
      <c r="AN130" s="303" t="s">
        <v>12199</v>
      </c>
      <c r="AO130" s="304" t="s">
        <v>12200</v>
      </c>
      <c r="AP130" s="304" t="s">
        <v>12201</v>
      </c>
      <c r="AQ130" s="304" t="s">
        <v>12202</v>
      </c>
      <c r="AR130" s="304" t="s">
        <v>12203</v>
      </c>
      <c r="AS130" s="304" t="s">
        <v>12204</v>
      </c>
      <c r="AT130" s="304" t="s">
        <v>12205</v>
      </c>
      <c r="AU130" s="305" t="s">
        <v>12206</v>
      </c>
      <c r="AV130" s="468"/>
      <c r="AW130" s="282" t="s">
        <v>12276</v>
      </c>
      <c r="AX130" s="282" t="s">
        <v>12280</v>
      </c>
      <c r="AY130" s="283" t="s">
        <v>12199</v>
      </c>
      <c r="AZ130" s="283" t="s">
        <v>12200</v>
      </c>
      <c r="BA130" s="283" t="s">
        <v>12201</v>
      </c>
      <c r="BB130" s="283" t="s">
        <v>12202</v>
      </c>
      <c r="BC130" s="283" t="s">
        <v>12203</v>
      </c>
      <c r="BD130" s="283" t="s">
        <v>12204</v>
      </c>
      <c r="BE130" s="283" t="s">
        <v>12205</v>
      </c>
      <c r="BF130" s="300" t="s">
        <v>12206</v>
      </c>
    </row>
    <row r="131" spans="1:58" ht="12" thickBot="1" x14ac:dyDescent="0.25">
      <c r="A131" s="62" t="s">
        <v>890</v>
      </c>
      <c r="B131" s="62" t="s">
        <v>12207</v>
      </c>
      <c r="C131" s="62">
        <v>19</v>
      </c>
      <c r="D131" s="62"/>
      <c r="E131" s="345" t="s">
        <v>8140</v>
      </c>
      <c r="F131" s="345" t="s">
        <v>9827</v>
      </c>
      <c r="G131" s="113">
        <v>0</v>
      </c>
      <c r="H131" s="113">
        <v>5</v>
      </c>
      <c r="I131" s="114"/>
      <c r="J131" s="114"/>
      <c r="K131" s="114"/>
      <c r="L131" s="81"/>
      <c r="M131" s="265" t="b">
        <f>NOT(ISERROR(ResultsInd[[#This Row],[Goal-A]]+ResultsInd[[#This Row],[Goal-B]]))</f>
        <v>1</v>
      </c>
      <c r="N131" s="265">
        <f>VALUE(ResultsInd[[#This Row],[Score-A]])</f>
        <v>0</v>
      </c>
      <c r="O131" s="265">
        <f>VALUE(ResultsInd[[#This Row],[Score-B]])</f>
        <v>5</v>
      </c>
      <c r="P131" s="265">
        <f ca="1">IF(AND(ResultsInd[[#This Row],[Category]]&lt;&gt;"",ResultsInd[[#This Row],[Player A]]&lt;&gt;""),COUNTIF(INDIRECT(ResultsInd[[#This Row],[Category]]&amp;"List[Retained Player Name]"),ResultsInd[[#This Row],[Player A]]),"")</f>
        <v>1</v>
      </c>
      <c r="Q131" s="265">
        <f ca="1">IF(AND(ResultsInd[[#This Row],[Category]]&lt;&gt;"",ResultsInd[[#This Row],[Player B]]&lt;&gt;""),COUNTIF(INDIRECT(ResultsInd[[#This Row],[Category]]&amp;"List[Retained Player Name]"),ResultsInd[[#This Row],[Player B]]),"")</f>
        <v>1</v>
      </c>
      <c r="R1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Mettivieri</v>
      </c>
      <c r="S131" s="265" t="str">
        <f>IF(ResultsInd[[#This Row],[Score_OK]],IF(ResultsInd[[#This Row],[Stage]]="Groups",ResultsInd[[#This Row],[Category]]&amp;"-"&amp;IF(ResultsInd[[#This Row],[Player B]]="","",IF(ResultsInd[[#This Row],[Score-A]]=ResultsInd[[#This Row],[Score-B]],ResultsInd[[#This Row],[Player A]],"")),""),"")</f>
        <v>OPEN-</v>
      </c>
      <c r="T131" s="265" t="str">
        <f>IF(ResultsInd[[#This Row],[Score_OK]],IF(ResultsInd[[#This Row],[Stage]]="Groups",ResultsInd[[#This Row],[Category]]&amp;"-"&amp;IF(ResultsInd[[#This Row],[Player B]]="","",IF(ResultsInd[[#This Row],[Score-A]]=ResultsInd[[#This Row],[Score-B]],ResultsInd[[#This Row],[Player B]],"")),""),"")</f>
        <v>OPEN-</v>
      </c>
      <c r="U1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OPEN-Quentin Van Glabeke</v>
      </c>
      <c r="V1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OPEN-Quentin Van Glabeke</v>
      </c>
      <c r="X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OPEN-Quentin Van Glabeke</v>
      </c>
      <c r="Y131" s="264" t="str">
        <f>IF(ResultsInd[[#This Row],[Category]]="","",VLOOKUP(ResultsInd[[#This Row],[Stage]],$P$1:$V$9,MATCH(ResultsInd[[#This Row],[Category]],$Q$1:$V$1,0)+1,FALSE))</f>
        <v>PR1</v>
      </c>
      <c r="Z131" s="264" t="str">
        <f>IF(ResultsInd[[#This Row],[Score_OK]],IF(ResultsInd[[#This Row],[Level]]="R",ResultsInd[[#This Row],[Category]]&amp;"-"&amp;IF(ResultsInd[[#This Row],[LoseInKO]]=ResultsInd[[#This Row],[Category]]&amp;"-"&amp;ResultsInd[[#This Row],[Player A]],ResultsInd[[#This Row],[Player B]],ResultsInd[[#This Row],[Player A]]),""),"")</f>
        <v/>
      </c>
      <c r="AB131" s="8"/>
      <c r="AC131" s="12" t="str">
        <f>IF(AC130="","",AC130)</f>
        <v>OPEN</v>
      </c>
      <c r="AD131" s="309" t="s">
        <v>10080</v>
      </c>
      <c r="AE131" s="320"/>
      <c r="AF131" s="311"/>
      <c r="AG131" s="292">
        <f>IF(AP131="","",SMALL(AH131:AH137,ROWS(AG131:AG131)))</f>
        <v>1001</v>
      </c>
      <c r="AH131" s="293">
        <f>IF(AP131="","",RANK(AL131,AL131:AL137)*1000+ROWS(AH131:AH131))</f>
        <v>1001</v>
      </c>
      <c r="AI131" s="316">
        <f t="shared" ref="AI131:AI137" si="105">IF(AP131="","",CritClassInd1_Points*AN131+CritClassInd1_Matches*AP131+CritClassInd1_Attaque*AS131+CritClassInd1_DiffButs*AU131)</f>
        <v>7000000000000</v>
      </c>
      <c r="AJ131" s="415" t="b">
        <f>AND(AO131&lt;&gt;"",AO131&gt;0,COUNTIF(AI131:AI137,AI131)&gt;1)</f>
        <v>0</v>
      </c>
      <c r="AK131" s="316">
        <f t="shared" ref="AK131:AK137" si="106">IF(AP131="","",CritClassInd_ScorePart*AE131)</f>
        <v>0</v>
      </c>
      <c r="AL131" s="317">
        <f t="shared" ref="AL131:AL137" si="107">IF(AP131="","",AI131+AK131+CritClassInd2_Points*AN131+CritClassInd2_Matches*AP131+CritClassInd2_Attaque*AS131+CritClassInd2_DiffButs*AU131+AF131)</f>
        <v>7000000101300</v>
      </c>
      <c r="AM131" s="415" t="b">
        <f>AND(AO131&lt;&gt;"",AO131&gt;0,COUNTIF(AL131:AL137,AL131)&gt;1)</f>
        <v>0</v>
      </c>
      <c r="AN131" s="306">
        <f t="shared" ref="AN131:AN137" si="108">IF(AP131="","",(AP131*Points_Victoire)+AQ131*Points_Null)</f>
        <v>7</v>
      </c>
      <c r="AO131" s="307">
        <f t="shared" ref="AO131:AO137" si="109">IF(AP131="","",SUM(AP131:AR131))</f>
        <v>3</v>
      </c>
      <c r="AP131" s="307">
        <f>IF(OR(AC130="",AD131=""),"",COUNTIF(ResultsInd[Win],AC130&amp;"-"&amp;AD131))</f>
        <v>2</v>
      </c>
      <c r="AQ131" s="307">
        <f>IF(OR(AC130="",AD131=""),"",COUNTIF(ResultsInd[Draw1],AC130&amp;"-"&amp;AD131)+COUNTIF(ResultsInd[Draw2],AC130&amp;"-"&amp;AD131))</f>
        <v>1</v>
      </c>
      <c r="AR131" s="307">
        <f>IF(OR(AC130="",AD131=""),"",COUNTIF(ResultsInd[Lose],AC130&amp;"-"&amp;AD131))</f>
        <v>0</v>
      </c>
      <c r="AS131" s="307">
        <f>IF(OR(AC130="",AD131=""),"",SUMIFS(ResultsInd[Goal-A],ResultsInd[Category],AC130,ResultsInd[Stage],"Groups",ResultsInd[Player A],AD131)+SUMIFS(ResultsInd[Goal-B],ResultsInd[Category],AC130,ResultsInd[Stage],"Groups",ResultsInd[Player B],AD131))</f>
        <v>13</v>
      </c>
      <c r="AT131" s="307">
        <f>IF(OR(AC130="",AD131=""),"",SUMIFS(ResultsInd[Goal-B],ResultsInd[Category],AC130,ResultsInd[Stage],"Groups",ResultsInd[Player A],AD131)+SUMIFS(ResultsInd[Goal-A],ResultsInd[Category],AC130,ResultsInd[Stage],"Groups",ResultsInd[Player B],AD131))</f>
        <v>3</v>
      </c>
      <c r="AU131" s="308">
        <f>IF(AP131="","",AS131-AT131)</f>
        <v>10</v>
      </c>
      <c r="AV131" s="469" t="b">
        <f>IF(AG131="","",OR(VLOOKUP(AG131,AH131:AU137,3,FALSE),VLOOKUP(AG131,AH131:AU137,6,FALSE)))</f>
        <v>0</v>
      </c>
      <c r="AW131" s="298">
        <f t="shared" ref="AW131:AW137" si="110">IF(AG131="","",INT(AG131/1000))</f>
        <v>1</v>
      </c>
      <c r="AX131" s="285" t="str">
        <f>IF(AG131="","",INDEX(AD131:AD137,MATCH(AG131,AH131:AH137,0)))</f>
        <v>William Dotto</v>
      </c>
      <c r="AY131" s="286">
        <f>IF(AG131="","",VLOOKUP(AG131,AH131:AU137,COLUMN()-COLUMN(AR130),FALSE))</f>
        <v>7</v>
      </c>
      <c r="AZ131" s="286">
        <f>IF(AG131="","",VLOOKUP(AG131,AH131:AU137,COLUMN()-COLUMN(AR130),FALSE))</f>
        <v>3</v>
      </c>
      <c r="BA131" s="286">
        <f>IF(AG131="","",VLOOKUP(AG131,AH131:AU137,COLUMN()-COLUMN(AR130),FALSE))</f>
        <v>2</v>
      </c>
      <c r="BB131" s="286">
        <f>IF(AG131="","",VLOOKUP(AG131,AH131:AU137,COLUMN()-COLUMN(AR130),FALSE))</f>
        <v>1</v>
      </c>
      <c r="BC131" s="286">
        <f>IF(AG131="","",VLOOKUP(AG131,AH131:AU137,COLUMN()-COLUMN(AR130),FALSE))</f>
        <v>0</v>
      </c>
      <c r="BD131" s="286">
        <f>IF(AG131="","",VLOOKUP(AG131,AH131:AU137,COLUMN()-COLUMN(AR130),FALSE))</f>
        <v>13</v>
      </c>
      <c r="BE131" s="286">
        <f>IF(AG131="","",VLOOKUP(AG131,AH131:AU137,COLUMN()-COLUMN(AR130),FALSE))</f>
        <v>3</v>
      </c>
      <c r="BF131" s="301">
        <f>IF(AG131="","",VLOOKUP(AG131,AH131:AU137,COLUMN()-COLUMN(AR130),FALSE))</f>
        <v>10</v>
      </c>
    </row>
    <row r="132" spans="1:58" ht="12" thickBot="1" x14ac:dyDescent="0.25">
      <c r="A132" s="62" t="s">
        <v>890</v>
      </c>
      <c r="B132" s="62" t="s">
        <v>12207</v>
      </c>
      <c r="C132" s="62">
        <v>19</v>
      </c>
      <c r="D132" s="62"/>
      <c r="E132" s="345" t="s">
        <v>8065</v>
      </c>
      <c r="F132" s="345" t="s">
        <v>8120</v>
      </c>
      <c r="G132" s="113">
        <v>1</v>
      </c>
      <c r="H132" s="113">
        <v>1</v>
      </c>
      <c r="I132" s="114"/>
      <c r="J132" s="114"/>
      <c r="K132" s="114"/>
      <c r="L132" s="81"/>
      <c r="M132" s="265" t="b">
        <f>NOT(ISERROR(ResultsInd[[#This Row],[Goal-A]]+ResultsInd[[#This Row],[Goal-B]]))</f>
        <v>1</v>
      </c>
      <c r="N132" s="265">
        <f>VALUE(ResultsInd[[#This Row],[Score-A]])</f>
        <v>1</v>
      </c>
      <c r="O132" s="265">
        <f>VALUE(ResultsInd[[#This Row],[Score-B]])</f>
        <v>1</v>
      </c>
      <c r="P132" s="265">
        <f ca="1">IF(AND(ResultsInd[[#This Row],[Category]]&lt;&gt;"",ResultsInd[[#This Row],[Player A]]&lt;&gt;""),COUNTIF(INDIRECT(ResultsInd[[#This Row],[Category]]&amp;"List[Retained Player Name]"),ResultsInd[[#This Row],[Player A]]),"")</f>
        <v>1</v>
      </c>
      <c r="Q132" s="265">
        <f ca="1">IF(AND(ResultsInd[[#This Row],[Category]]&lt;&gt;"",ResultsInd[[#This Row],[Player B]]&lt;&gt;""),COUNTIF(INDIRECT(ResultsInd[[#This Row],[Category]]&amp;"List[Retained Player Name]"),ResultsInd[[#This Row],[Player B]]),"")</f>
        <v>1</v>
      </c>
      <c r="R1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32" s="265" t="str">
        <f>IF(ResultsInd[[#This Row],[Score_OK]],IF(ResultsInd[[#This Row],[Stage]]="Groups",ResultsInd[[#This Row],[Category]]&amp;"-"&amp;IF(ResultsInd[[#This Row],[Player B]]="","",IF(ResultsInd[[#This Row],[Score-A]]=ResultsInd[[#This Row],[Score-B]],ResultsInd[[#This Row],[Player A]],"")),""),"")</f>
        <v>OPEN-Daniel Vranovitz</v>
      </c>
      <c r="T132" s="265" t="str">
        <f>IF(ResultsInd[[#This Row],[Score_OK]],IF(ResultsInd[[#This Row],[Stage]]="Groups",ResultsInd[[#This Row],[Category]]&amp;"-"&amp;IF(ResultsInd[[#This Row],[Player B]]="","",IF(ResultsInd[[#This Row],[Score-A]]=ResultsInd[[#This Row],[Score-B]],ResultsInd[[#This Row],[Player B]],"")),""),"")</f>
        <v>OPEN-Lucas Pere</v>
      </c>
      <c r="U1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OPEN-Daniel Vranovitz</v>
      </c>
      <c r="X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Pere</v>
      </c>
      <c r="Y132" s="264" t="str">
        <f>IF(ResultsInd[[#This Row],[Category]]="","",VLOOKUP(ResultsInd[[#This Row],[Stage]],$P$1:$V$9,MATCH(ResultsInd[[#This Row],[Category]],$Q$1:$V$1,0)+1,FALSE))</f>
        <v>PR1</v>
      </c>
      <c r="Z132" s="264" t="str">
        <f>IF(ResultsInd[[#This Row],[Score_OK]],IF(ResultsInd[[#This Row],[Level]]="R",ResultsInd[[#This Row],[Category]]&amp;"-"&amp;IF(ResultsInd[[#This Row],[LoseInKO]]=ResultsInd[[#This Row],[Category]]&amp;"-"&amp;ResultsInd[[#This Row],[Player A]],ResultsInd[[#This Row],[Player B]],ResultsInd[[#This Row],[Player A]]),""),"")</f>
        <v/>
      </c>
      <c r="AB132" s="8"/>
      <c r="AC132" s="12" t="str">
        <f t="shared" ref="AC132:AC137" si="111">IF(AC131="","",AC131)</f>
        <v>OPEN</v>
      </c>
      <c r="AD132" s="309" t="s">
        <v>8698</v>
      </c>
      <c r="AE132" s="320"/>
      <c r="AF132" s="311"/>
      <c r="AG132" s="292">
        <f>IF(AP132="","",SMALL(AH131:AH137,ROWS(AG131:AG132)))</f>
        <v>2002</v>
      </c>
      <c r="AH132" s="293">
        <f>IF(AP132="","",RANK(AL132,AL131:AL137)*1000+ROWS(AH131:AH132))</f>
        <v>2002</v>
      </c>
      <c r="AI132" s="316">
        <f t="shared" si="105"/>
        <v>6000000000000</v>
      </c>
      <c r="AJ132" s="415" t="b">
        <f>AND(AO132&lt;&gt;"",AO132&gt;0,COUNTIF(AI131:AI137,AI132)&gt;1)</f>
        <v>0</v>
      </c>
      <c r="AK132" s="316">
        <f t="shared" si="106"/>
        <v>0</v>
      </c>
      <c r="AL132" s="317">
        <f t="shared" si="107"/>
        <v>6000000010500</v>
      </c>
      <c r="AM132" s="415" t="b">
        <f>AND(AO132&lt;&gt;"",AO132&gt;0,COUNTIF(AL131:AL137,AL132)&gt;1)</f>
        <v>0</v>
      </c>
      <c r="AN132" s="306">
        <f t="shared" si="108"/>
        <v>6</v>
      </c>
      <c r="AO132" s="307">
        <f t="shared" si="109"/>
        <v>3</v>
      </c>
      <c r="AP132" s="307">
        <f>IF(OR(AC130="",AD132=""),"",COUNTIF(ResultsInd[Win],AC130&amp;"-"&amp;AD132))</f>
        <v>2</v>
      </c>
      <c r="AQ132" s="307">
        <f>IF(OR(AC130="",AD132=""),"",COUNTIF(ResultsInd[Draw1],AC130&amp;"-"&amp;AD132)+COUNTIF(ResultsInd[Draw2],AC130&amp;"-"&amp;AD132))</f>
        <v>0</v>
      </c>
      <c r="AR132" s="307">
        <f>IF(OR(AC130="",AD132=""),"",COUNTIF(ResultsInd[Lose],AC130&amp;"-"&amp;AD132))</f>
        <v>1</v>
      </c>
      <c r="AS132" s="307">
        <f>IF(OR(AC130="",AD132=""),"",SUMIFS(ResultsInd[Goal-A],ResultsInd[Category],AC130,ResultsInd[Stage],"Groups",ResultsInd[Player A],AD132)+SUMIFS(ResultsInd[Goal-B],ResultsInd[Category],AC130,ResultsInd[Stage],"Groups",ResultsInd[Player B],AD132))</f>
        <v>5</v>
      </c>
      <c r="AT132" s="307">
        <f>IF(OR(AC130="",AD132=""),"",SUMIFS(ResultsInd[Goal-B],ResultsInd[Category],AC130,ResultsInd[Stage],"Groups",ResultsInd[Player A],AD132)+SUMIFS(ResultsInd[Goal-A],ResultsInd[Category],AC130,ResultsInd[Stage],"Groups",ResultsInd[Player B],AD132))</f>
        <v>4</v>
      </c>
      <c r="AU132" s="308">
        <f t="shared" ref="AU132:AU137" si="112">IF(AP132="","",AS132-AT132)</f>
        <v>1</v>
      </c>
      <c r="AV132" s="469" t="b">
        <f>IF(AG132="","",OR(VLOOKUP(AG132,AH131:AU137,3,FALSE),VLOOKUP(AG132,AH131:AU137,6,FALSE)))</f>
        <v>0</v>
      </c>
      <c r="AW132" s="298">
        <f t="shared" si="110"/>
        <v>2</v>
      </c>
      <c r="AX132" s="285" t="str">
        <f>IF(AG132="","",INDEX(AD131:AD137,MATCH(AG132,AH131:AH137,0)))</f>
        <v>Axel Modeste</v>
      </c>
      <c r="AY132" s="286">
        <f>IF(AG132="","",VLOOKUP(AG132,AH131:AU137,COLUMN()-COLUMN(AR130),FALSE))</f>
        <v>6</v>
      </c>
      <c r="AZ132" s="286">
        <f>IF(AG132="","",VLOOKUP(AG132,AH131:AU137,COLUMN()-COLUMN(AR130),FALSE))</f>
        <v>3</v>
      </c>
      <c r="BA132" s="286">
        <f>IF(AG132="","",VLOOKUP(AG132,AH131:AU137,COLUMN()-COLUMN(AR130),FALSE))</f>
        <v>2</v>
      </c>
      <c r="BB132" s="286">
        <f>IF(AG132="","",VLOOKUP(AG132,AH131:AU137,COLUMN()-COLUMN(AR130),FALSE))</f>
        <v>0</v>
      </c>
      <c r="BC132" s="286">
        <f>IF(AG132="","",VLOOKUP(AG132,AH131:AU137,COLUMN()-COLUMN(AR130),FALSE))</f>
        <v>1</v>
      </c>
      <c r="BD132" s="286">
        <f>IF(AG132="","",VLOOKUP(AG132,AH131:AU137,COLUMN()-COLUMN(AR130),FALSE))</f>
        <v>5</v>
      </c>
      <c r="BE132" s="286">
        <f>IF(AG132="","",VLOOKUP(AG132,AH131:AU137,COLUMN()-COLUMN(AR130),FALSE))</f>
        <v>4</v>
      </c>
      <c r="BF132" s="301">
        <f>IF(AG132="","",VLOOKUP(AG132,AH131:AU137,COLUMN()-COLUMN(AR130),FALSE))</f>
        <v>1</v>
      </c>
    </row>
    <row r="133" spans="1:58" ht="12" thickBot="1" x14ac:dyDescent="0.25">
      <c r="A133" s="62" t="s">
        <v>890</v>
      </c>
      <c r="B133" s="62" t="s">
        <v>12207</v>
      </c>
      <c r="C133" s="62">
        <v>20</v>
      </c>
      <c r="D133" s="62"/>
      <c r="E133" s="345" t="s">
        <v>8075</v>
      </c>
      <c r="F133" s="345" t="s">
        <v>8629</v>
      </c>
      <c r="G133" s="113">
        <v>2</v>
      </c>
      <c r="H133" s="113">
        <v>4</v>
      </c>
      <c r="I133" s="114"/>
      <c r="J133" s="114"/>
      <c r="K133" s="114"/>
      <c r="L133" s="81"/>
      <c r="M133" s="265" t="b">
        <f>NOT(ISERROR(ResultsInd[[#This Row],[Goal-A]]+ResultsInd[[#This Row],[Goal-B]]))</f>
        <v>1</v>
      </c>
      <c r="N133" s="265">
        <f>VALUE(ResultsInd[[#This Row],[Score-A]])</f>
        <v>2</v>
      </c>
      <c r="O133" s="265">
        <f>VALUE(ResultsInd[[#This Row],[Score-B]])</f>
        <v>4</v>
      </c>
      <c r="P133" s="265">
        <f ca="1">IF(AND(ResultsInd[[#This Row],[Category]]&lt;&gt;"",ResultsInd[[#This Row],[Player A]]&lt;&gt;""),COUNTIF(INDIRECT(ResultsInd[[#This Row],[Category]]&amp;"List[Retained Player Name]"),ResultsInd[[#This Row],[Player A]]),"")</f>
        <v>1</v>
      </c>
      <c r="Q133" s="265">
        <f ca="1">IF(AND(ResultsInd[[#This Row],[Category]]&lt;&gt;"",ResultsInd[[#This Row],[Player B]]&lt;&gt;""),COUNTIF(INDIRECT(ResultsInd[[#This Row],[Category]]&amp;"List[Retained Player Name]"),ResultsInd[[#This Row],[Player B]]),"")</f>
        <v>1</v>
      </c>
      <c r="R1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Jesús Casín</v>
      </c>
      <c r="S133" s="265" t="str">
        <f>IF(ResultsInd[[#This Row],[Score_OK]],IF(ResultsInd[[#This Row],[Stage]]="Groups",ResultsInd[[#This Row],[Category]]&amp;"-"&amp;IF(ResultsInd[[#This Row],[Player B]]="","",IF(ResultsInd[[#This Row],[Score-A]]=ResultsInd[[#This Row],[Score-B]],ResultsInd[[#This Row],[Player A]],"")),""),"")</f>
        <v>OPEN-</v>
      </c>
      <c r="T133" s="265" t="str">
        <f>IF(ResultsInd[[#This Row],[Score_OK]],IF(ResultsInd[[#This Row],[Stage]]="Groups",ResultsInd[[#This Row],[Category]]&amp;"-"&amp;IF(ResultsInd[[#This Row],[Player B]]="","",IF(ResultsInd[[#This Row],[Score-A]]=ResultsInd[[#This Row],[Score-B]],ResultsInd[[#This Row],[Player B]],"")),""),"")</f>
        <v>OPEN-</v>
      </c>
      <c r="U1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OPEN-Corentin Bouchez</v>
      </c>
      <c r="V1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OPEN-Corentin Bouchez</v>
      </c>
      <c r="X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OPEN-Corentin Bouchez</v>
      </c>
      <c r="Y133" s="264" t="str">
        <f>IF(ResultsInd[[#This Row],[Category]]="","",VLOOKUP(ResultsInd[[#This Row],[Stage]],$P$1:$V$9,MATCH(ResultsInd[[#This Row],[Category]],$Q$1:$V$1,0)+1,FALSE))</f>
        <v>PR1</v>
      </c>
      <c r="Z133" s="264" t="str">
        <f>IF(ResultsInd[[#This Row],[Score_OK]],IF(ResultsInd[[#This Row],[Level]]="R",ResultsInd[[#This Row],[Category]]&amp;"-"&amp;IF(ResultsInd[[#This Row],[LoseInKO]]=ResultsInd[[#This Row],[Category]]&amp;"-"&amp;ResultsInd[[#This Row],[Player A]],ResultsInd[[#This Row],[Player B]],ResultsInd[[#This Row],[Player A]]),""),"")</f>
        <v/>
      </c>
      <c r="AB133" s="8"/>
      <c r="AC133" s="12" t="str">
        <f t="shared" si="111"/>
        <v>OPEN</v>
      </c>
      <c r="AD133" s="309" t="s">
        <v>8109</v>
      </c>
      <c r="AE133" s="320"/>
      <c r="AF133" s="311"/>
      <c r="AG133" s="292">
        <f>IF(AP133="","",SMALL(AH131:AH137,ROWS(AG131:AG133)))</f>
        <v>3003</v>
      </c>
      <c r="AH133" s="293">
        <f>IF(AP133="","",RANK(AL133,AL131:AL137)*1000+ROWS(AH131:AH133))</f>
        <v>3003</v>
      </c>
      <c r="AI133" s="316">
        <f t="shared" si="105"/>
        <v>4000000000000</v>
      </c>
      <c r="AJ133" s="415" t="b">
        <f>AND(AO133&lt;&gt;"",AO133&gt;0,COUNTIF(AI131:AI137,AI133)&gt;1)</f>
        <v>0</v>
      </c>
      <c r="AK133" s="316">
        <f t="shared" si="106"/>
        <v>0</v>
      </c>
      <c r="AL133" s="317">
        <f t="shared" si="107"/>
        <v>4000000051200</v>
      </c>
      <c r="AM133" s="415" t="b">
        <f>AND(AO133&lt;&gt;"",AO133&gt;0,COUNTIF(AL131:AL137,AL133)&gt;1)</f>
        <v>0</v>
      </c>
      <c r="AN133" s="306">
        <f t="shared" si="108"/>
        <v>4</v>
      </c>
      <c r="AO133" s="307">
        <f t="shared" si="109"/>
        <v>3</v>
      </c>
      <c r="AP133" s="307">
        <f>IF(OR(AC130="",AD133=""),"",COUNTIF(ResultsInd[Win],AC130&amp;"-"&amp;AD133))</f>
        <v>1</v>
      </c>
      <c r="AQ133" s="307">
        <f>IF(OR(AC130="",AD133=""),"",COUNTIF(ResultsInd[Draw1],AC130&amp;"-"&amp;AD133)+COUNTIF(ResultsInd[Draw2],AC130&amp;"-"&amp;AD133))</f>
        <v>1</v>
      </c>
      <c r="AR133" s="307">
        <f>IF(OR(AC130="",AD133=""),"",COUNTIF(ResultsInd[Lose],AC130&amp;"-"&amp;AD133))</f>
        <v>1</v>
      </c>
      <c r="AS133" s="307">
        <f>IF(OR(AC130="",AD133=""),"",SUMIFS(ResultsInd[Goal-A],ResultsInd[Category],AC130,ResultsInd[Stage],"Groups",ResultsInd[Player A],AD133)+SUMIFS(ResultsInd[Goal-B],ResultsInd[Category],AC130,ResultsInd[Stage],"Groups",ResultsInd[Player B],AD133))</f>
        <v>12</v>
      </c>
      <c r="AT133" s="307">
        <f>IF(OR(AC130="",AD133=""),"",SUMIFS(ResultsInd[Goal-B],ResultsInd[Category],AC130,ResultsInd[Stage],"Groups",ResultsInd[Player A],AD133)+SUMIFS(ResultsInd[Goal-A],ResultsInd[Category],AC130,ResultsInd[Stage],"Groups",ResultsInd[Player B],AD133))</f>
        <v>7</v>
      </c>
      <c r="AU133" s="308">
        <f t="shared" si="112"/>
        <v>5</v>
      </c>
      <c r="AV133" s="469" t="b">
        <f>IF(AG133="","",OR(VLOOKUP(AG133,AH131:AU137,3,FALSE),VLOOKUP(AG133,AH131:AU137,6,FALSE)))</f>
        <v>0</v>
      </c>
      <c r="AW133" s="298">
        <f t="shared" si="110"/>
        <v>3</v>
      </c>
      <c r="AX133" s="285" t="str">
        <f>IF(AG133="","",INDEX(AD131:AD137,MATCH(AG133,AH131:AH137,0)))</f>
        <v>Joffray Laurent</v>
      </c>
      <c r="AY133" s="286">
        <f>IF(AG133="","",VLOOKUP(AG133,AH131:AU137,COLUMN()-COLUMN(AR130),FALSE))</f>
        <v>4</v>
      </c>
      <c r="AZ133" s="286">
        <f>IF(AG133="","",VLOOKUP(AG133,AH131:AU137,COLUMN()-COLUMN(AR130),FALSE))</f>
        <v>3</v>
      </c>
      <c r="BA133" s="286">
        <f>IF(AG133="","",VLOOKUP(AG133,AH131:AU137,COLUMN()-COLUMN(AR130),FALSE))</f>
        <v>1</v>
      </c>
      <c r="BB133" s="286">
        <f>IF(AG133="","",VLOOKUP(AG133,AH131:AU137,COLUMN()-COLUMN(AR130),FALSE))</f>
        <v>1</v>
      </c>
      <c r="BC133" s="286">
        <f>IF(AG133="","",VLOOKUP(AG133,AH131:AU137,COLUMN()-COLUMN(AR130),FALSE))</f>
        <v>1</v>
      </c>
      <c r="BD133" s="286">
        <f>IF(AG133="","",VLOOKUP(AG133,AH131:AU137,COLUMN()-COLUMN(AR130),FALSE))</f>
        <v>12</v>
      </c>
      <c r="BE133" s="286">
        <f>IF(AG133="","",VLOOKUP(AG133,AH131:AU137,COLUMN()-COLUMN(AR130),FALSE))</f>
        <v>7</v>
      </c>
      <c r="BF133" s="301">
        <f>IF(AG133="","",VLOOKUP(AG133,AH131:AU137,COLUMN()-COLUMN(AR130),FALSE))</f>
        <v>5</v>
      </c>
    </row>
    <row r="134" spans="1:58" ht="12" thickBot="1" x14ac:dyDescent="0.25">
      <c r="A134" s="62" t="s">
        <v>890</v>
      </c>
      <c r="B134" s="62" t="s">
        <v>12207</v>
      </c>
      <c r="C134" s="62">
        <v>20</v>
      </c>
      <c r="D134" s="62"/>
      <c r="E134" s="345" t="s">
        <v>10281</v>
      </c>
      <c r="F134" s="345" t="s">
        <v>8075</v>
      </c>
      <c r="G134" s="113">
        <v>1</v>
      </c>
      <c r="H134" s="113">
        <v>2</v>
      </c>
      <c r="I134" s="114"/>
      <c r="J134" s="114"/>
      <c r="K134" s="114"/>
      <c r="L134" s="81"/>
      <c r="M134" s="265" t="b">
        <f>NOT(ISERROR(ResultsInd[[#This Row],[Goal-A]]+ResultsInd[[#This Row],[Goal-B]]))</f>
        <v>1</v>
      </c>
      <c r="N134" s="265">
        <f>VALUE(ResultsInd[[#This Row],[Score-A]])</f>
        <v>1</v>
      </c>
      <c r="O134" s="265">
        <f>VALUE(ResultsInd[[#This Row],[Score-B]])</f>
        <v>2</v>
      </c>
      <c r="P134" s="265">
        <f ca="1">IF(AND(ResultsInd[[#This Row],[Category]]&lt;&gt;"",ResultsInd[[#This Row],[Player A]]&lt;&gt;""),COUNTIF(INDIRECT(ResultsInd[[#This Row],[Category]]&amp;"List[Retained Player Name]"),ResultsInd[[#This Row],[Player A]]),"")</f>
        <v>1</v>
      </c>
      <c r="Q134" s="265">
        <f ca="1">IF(AND(ResultsInd[[#This Row],[Category]]&lt;&gt;"",ResultsInd[[#This Row],[Player B]]&lt;&gt;""),COUNTIF(INDIRECT(ResultsInd[[#This Row],[Category]]&amp;"List[Retained Player Name]"),ResultsInd[[#This Row],[Player B]]),"")</f>
        <v>1</v>
      </c>
      <c r="R1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OPEN-Corentin Bouchez</v>
      </c>
      <c r="S134" s="265" t="str">
        <f>IF(ResultsInd[[#This Row],[Score_OK]],IF(ResultsInd[[#This Row],[Stage]]="Groups",ResultsInd[[#This Row],[Category]]&amp;"-"&amp;IF(ResultsInd[[#This Row],[Player B]]="","",IF(ResultsInd[[#This Row],[Score-A]]=ResultsInd[[#This Row],[Score-B]],ResultsInd[[#This Row],[Player A]],"")),""),"")</f>
        <v>OPEN-</v>
      </c>
      <c r="T134" s="265" t="str">
        <f>IF(ResultsInd[[#This Row],[Score_OK]],IF(ResultsInd[[#This Row],[Stage]]="Groups",ResultsInd[[#This Row],[Category]]&amp;"-"&amp;IF(ResultsInd[[#This Row],[Player B]]="","",IF(ResultsInd[[#This Row],[Score-A]]=ResultsInd[[#This Row],[Score-B]],ResultsInd[[#This Row],[Player B]],"")),""),"")</f>
        <v>OPEN-</v>
      </c>
      <c r="U1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OPEN-Massimo Bolognino</v>
      </c>
      <c r="V1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OPEN-Massimo Bolognino</v>
      </c>
      <c r="X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OPEN-Massimo Bolognino</v>
      </c>
      <c r="Y134" s="264" t="str">
        <f>IF(ResultsInd[[#This Row],[Category]]="","",VLOOKUP(ResultsInd[[#This Row],[Stage]],$P$1:$V$9,MATCH(ResultsInd[[#This Row],[Category]],$Q$1:$V$1,0)+1,FALSE))</f>
        <v>PR1</v>
      </c>
      <c r="Z134" s="264" t="str">
        <f>IF(ResultsInd[[#This Row],[Score_OK]],IF(ResultsInd[[#This Row],[Level]]="R",ResultsInd[[#This Row],[Category]]&amp;"-"&amp;IF(ResultsInd[[#This Row],[LoseInKO]]=ResultsInd[[#This Row],[Category]]&amp;"-"&amp;ResultsInd[[#This Row],[Player A]],ResultsInd[[#This Row],[Player B]],ResultsInd[[#This Row],[Player A]]),""),"")</f>
        <v/>
      </c>
      <c r="AB134" s="91"/>
      <c r="AC134" s="12" t="str">
        <f t="shared" si="111"/>
        <v>OPEN</v>
      </c>
      <c r="AD134" s="309" t="s">
        <v>11594</v>
      </c>
      <c r="AE134" s="310"/>
      <c r="AF134" s="311"/>
      <c r="AG134" s="292">
        <f>IF(AP134="","",SMALL(AH131:AH137,ROWS(AG131:AG134)))</f>
        <v>4004</v>
      </c>
      <c r="AH134" s="293">
        <f>IF(AP134="","",RANK(AL134,AL131:AL137)*1000+ROWS(AH131:AH134))</f>
        <v>4004</v>
      </c>
      <c r="AI134" s="316">
        <f t="shared" si="105"/>
        <v>0</v>
      </c>
      <c r="AJ134" s="415" t="b">
        <f>AND(AO134&lt;&gt;"",AO134&gt;0,COUNTIF(AI131:AI137,AI134)&gt;1)</f>
        <v>0</v>
      </c>
      <c r="AK134" s="316">
        <f t="shared" si="106"/>
        <v>0</v>
      </c>
      <c r="AL134" s="317">
        <f t="shared" si="107"/>
        <v>-159800</v>
      </c>
      <c r="AM134" s="415" t="b">
        <f>AND(AO134&lt;&gt;"",AO134&gt;0,COUNTIF(AL131:AL137,AL134)&gt;1)</f>
        <v>0</v>
      </c>
      <c r="AN134" s="306">
        <f t="shared" si="108"/>
        <v>0</v>
      </c>
      <c r="AO134" s="307">
        <f t="shared" si="109"/>
        <v>3</v>
      </c>
      <c r="AP134" s="307">
        <f>IF(OR(AC130="",AD134=""),"",COUNTIF(ResultsInd[Win],AC130&amp;"-"&amp;AD134))</f>
        <v>0</v>
      </c>
      <c r="AQ134" s="307">
        <f>IF(OR(AC130="",AD134=""),"",COUNTIF(ResultsInd[Draw1],AC130&amp;"-"&amp;AD134)+COUNTIF(ResultsInd[Draw2],AC130&amp;"-"&amp;AD134))</f>
        <v>0</v>
      </c>
      <c r="AR134" s="307">
        <f>IF(OR(AC130="",AD134=""),"",COUNTIF(ResultsInd[Lose],AC130&amp;"-"&amp;AD134))</f>
        <v>3</v>
      </c>
      <c r="AS134" s="307">
        <f>IF(OR(AC130="",AD134=""),"",SUMIFS(ResultsInd[Goal-A],ResultsInd[Category],AC130,ResultsInd[Stage],"Groups",ResultsInd[Player A],AD134)+SUMIFS(ResultsInd[Goal-B],ResultsInd[Category],AC130,ResultsInd[Stage],"Groups",ResultsInd[Player B],AD134))</f>
        <v>2</v>
      </c>
      <c r="AT134" s="307">
        <f>IF(OR(AC130="",AD134=""),"",SUMIFS(ResultsInd[Goal-B],ResultsInd[Category],AC130,ResultsInd[Stage],"Groups",ResultsInd[Player A],AD134)+SUMIFS(ResultsInd[Goal-A],ResultsInd[Category],AC130,ResultsInd[Stage],"Groups",ResultsInd[Player B],AD134))</f>
        <v>18</v>
      </c>
      <c r="AU134" s="308">
        <f t="shared" si="112"/>
        <v>-16</v>
      </c>
      <c r="AV134" s="469" t="b">
        <f>IF(AG134="","",OR(VLOOKUP(AG134,AH131:AU137,3,FALSE),VLOOKUP(AG134,AH131:AU137,6,FALSE)))</f>
        <v>0</v>
      </c>
      <c r="AW134" s="298">
        <f t="shared" si="110"/>
        <v>4</v>
      </c>
      <c r="AX134" s="285" t="str">
        <f>IF(AG134="","",INDEX(AD131:AD137,MATCH(AG134,AH131:AH137,0)))</f>
        <v>Aurélien Feye</v>
      </c>
      <c r="AY134" s="286">
        <f>IF(AG134="","",VLOOKUP(AG134,AH131:AU137,COLUMN()-COLUMN(AR130),FALSE))</f>
        <v>0</v>
      </c>
      <c r="AZ134" s="286">
        <f>IF(AG134="","",VLOOKUP(AG134,AH131:AU137,COLUMN()-COLUMN(AR130),FALSE))</f>
        <v>3</v>
      </c>
      <c r="BA134" s="286">
        <f>IF(AG134="","",VLOOKUP(AG134,AH131:AU137,COLUMN()-COLUMN(AR130),FALSE))</f>
        <v>0</v>
      </c>
      <c r="BB134" s="286">
        <f>IF(AG134="","",VLOOKUP(AG134,AH131:AU137,COLUMN()-COLUMN(AR130),FALSE))</f>
        <v>0</v>
      </c>
      <c r="BC134" s="286">
        <f>IF(AG134="","",VLOOKUP(AG134,AH131:AU137,COLUMN()-COLUMN(AR130),FALSE))</f>
        <v>3</v>
      </c>
      <c r="BD134" s="286">
        <f>IF(AG134="","",VLOOKUP(AG134,AH131:AU137,COLUMN()-COLUMN(AR130),FALSE))</f>
        <v>2</v>
      </c>
      <c r="BE134" s="286">
        <f>IF(AG134="","",VLOOKUP(AG134,AH131:AU137,COLUMN()-COLUMN(AR130),FALSE))</f>
        <v>18</v>
      </c>
      <c r="BF134" s="301">
        <f>IF(AG134="","",VLOOKUP(AG134,AH131:AU137,COLUMN()-COLUMN(AR130),FALSE))</f>
        <v>-16</v>
      </c>
    </row>
    <row r="135" spans="1:58" ht="12" thickBot="1" x14ac:dyDescent="0.25">
      <c r="A135" s="62" t="s">
        <v>890</v>
      </c>
      <c r="B135" s="62" t="s">
        <v>12207</v>
      </c>
      <c r="C135" s="62">
        <v>20</v>
      </c>
      <c r="D135" s="62"/>
      <c r="E135" s="345" t="s">
        <v>8629</v>
      </c>
      <c r="F135" s="345" t="s">
        <v>10281</v>
      </c>
      <c r="G135" s="113">
        <v>1</v>
      </c>
      <c r="H135" s="113">
        <v>0</v>
      </c>
      <c r="I135" s="114"/>
      <c r="J135" s="114"/>
      <c r="K135" s="114"/>
      <c r="L135" s="81"/>
      <c r="M135" s="265" t="b">
        <f>NOT(ISERROR(ResultsInd[[#This Row],[Goal-A]]+ResultsInd[[#This Row],[Goal-B]]))</f>
        <v>1</v>
      </c>
      <c r="N135" s="265">
        <f>VALUE(ResultsInd[[#This Row],[Score-A]])</f>
        <v>1</v>
      </c>
      <c r="O135" s="265">
        <f>VALUE(ResultsInd[[#This Row],[Score-B]])</f>
        <v>0</v>
      </c>
      <c r="P135" s="265">
        <f ca="1">IF(AND(ResultsInd[[#This Row],[Category]]&lt;&gt;"",ResultsInd[[#This Row],[Player A]]&lt;&gt;""),COUNTIF(INDIRECT(ResultsInd[[#This Row],[Category]]&amp;"List[Retained Player Name]"),ResultsInd[[#This Row],[Player A]]),"")</f>
        <v>1</v>
      </c>
      <c r="Q135" s="265">
        <f ca="1">IF(AND(ResultsInd[[#This Row],[Category]]&lt;&gt;"",ResultsInd[[#This Row],[Player B]]&lt;&gt;""),COUNTIF(INDIRECT(ResultsInd[[#This Row],[Category]]&amp;"List[Retained Player Name]"),ResultsInd[[#This Row],[Player B]]),"")</f>
        <v>1</v>
      </c>
      <c r="R1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Jesús Casín</v>
      </c>
      <c r="S135" s="265" t="str">
        <f>IF(ResultsInd[[#This Row],[Score_OK]],IF(ResultsInd[[#This Row],[Stage]]="Groups",ResultsInd[[#This Row],[Category]]&amp;"-"&amp;IF(ResultsInd[[#This Row],[Player B]]="","",IF(ResultsInd[[#This Row],[Score-A]]=ResultsInd[[#This Row],[Score-B]],ResultsInd[[#This Row],[Player A]],"")),""),"")</f>
        <v>OPEN-</v>
      </c>
      <c r="T135" s="265" t="str">
        <f>IF(ResultsInd[[#This Row],[Score_OK]],IF(ResultsInd[[#This Row],[Stage]]="Groups",ResultsInd[[#This Row],[Category]]&amp;"-"&amp;IF(ResultsInd[[#This Row],[Player B]]="","",IF(ResultsInd[[#This Row],[Score-A]]=ResultsInd[[#This Row],[Score-B]],ResultsInd[[#This Row],[Player B]],"")),""),"")</f>
        <v>OPEN-</v>
      </c>
      <c r="U1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OPEN-Massimo Bolognino</v>
      </c>
      <c r="V1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OPEN-Massimo Bolognino</v>
      </c>
      <c r="X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OPEN-Massimo Bolognino</v>
      </c>
      <c r="Y135" s="264" t="str">
        <f>IF(ResultsInd[[#This Row],[Category]]="","",VLOOKUP(ResultsInd[[#This Row],[Stage]],$P$1:$V$9,MATCH(ResultsInd[[#This Row],[Category]],$Q$1:$V$1,0)+1,FALSE))</f>
        <v>PR1</v>
      </c>
      <c r="Z135" s="264" t="str">
        <f>IF(ResultsInd[[#This Row],[Score_OK]],IF(ResultsInd[[#This Row],[Level]]="R",ResultsInd[[#This Row],[Category]]&amp;"-"&amp;IF(ResultsInd[[#This Row],[LoseInKO]]=ResultsInd[[#This Row],[Category]]&amp;"-"&amp;ResultsInd[[#This Row],[Player A]],ResultsInd[[#This Row],[Player B]],ResultsInd[[#This Row],[Player A]]),""),"")</f>
        <v/>
      </c>
      <c r="AB135" s="91"/>
      <c r="AC135" s="12" t="str">
        <f t="shared" si="111"/>
        <v>OPEN</v>
      </c>
      <c r="AD135" s="309"/>
      <c r="AE135" s="310"/>
      <c r="AF135" s="311"/>
      <c r="AG135" s="292" t="str">
        <f>IF(AP135="","",SMALL(AH131:AH137,ROWS(AG131:AG135)))</f>
        <v/>
      </c>
      <c r="AH135" s="293" t="str">
        <f>IF(AP135="","",RANK(AL135,AL131:AL137)*1000+ROWS(AH131:AH135))</f>
        <v/>
      </c>
      <c r="AI135" s="316" t="str">
        <f t="shared" si="105"/>
        <v/>
      </c>
      <c r="AJ135" s="415" t="b">
        <f>AND(AO135&lt;&gt;"",AO135&gt;0,COUNTIF(AI131:AI137,AI135)&gt;1)</f>
        <v>0</v>
      </c>
      <c r="AK135" s="316" t="str">
        <f t="shared" si="106"/>
        <v/>
      </c>
      <c r="AL135" s="317" t="str">
        <f t="shared" si="107"/>
        <v/>
      </c>
      <c r="AM135" s="415" t="b">
        <f>AND(AO135&lt;&gt;"",AO135&gt;0,COUNTIF(AL131:AL137,AL135)&gt;1)</f>
        <v>0</v>
      </c>
      <c r="AN135" s="306" t="str">
        <f t="shared" si="108"/>
        <v/>
      </c>
      <c r="AO135" s="307" t="str">
        <f t="shared" si="109"/>
        <v/>
      </c>
      <c r="AP135" s="307" t="str">
        <f>IF(OR(AC130="",AD135=""),"",COUNTIF(ResultsInd[Win],AC130&amp;"-"&amp;AD135))</f>
        <v/>
      </c>
      <c r="AQ135" s="307" t="str">
        <f>IF(OR(AC130="",AD135=""),"",COUNTIF(ResultsInd[Draw1],AC130&amp;"-"&amp;AD135)+COUNTIF(ResultsInd[Draw2],AC130&amp;"-"&amp;AD135))</f>
        <v/>
      </c>
      <c r="AR135" s="307" t="str">
        <f>IF(OR(AC130="",AD135=""),"",COUNTIF(ResultsInd[Lose],AC130&amp;"-"&amp;AD135))</f>
        <v/>
      </c>
      <c r="AS135" s="307" t="str">
        <f>IF(OR(AC130="",AD135=""),"",SUMIFS(ResultsInd[Goal-A],ResultsInd[Category],AC130,ResultsInd[Stage],"Groups",ResultsInd[Player A],AD135)+SUMIFS(ResultsInd[Goal-B],ResultsInd[Category],AC130,ResultsInd[Stage],"Groups",ResultsInd[Player B],AD135))</f>
        <v/>
      </c>
      <c r="AT135" s="307" t="str">
        <f>IF(OR(AC130="",AD135=""),"",SUMIFS(ResultsInd[Goal-B],ResultsInd[Category],AC130,ResultsInd[Stage],"Groups",ResultsInd[Player A],AD135)+SUMIFS(ResultsInd[Goal-A],ResultsInd[Category],AC130,ResultsInd[Stage],"Groups",ResultsInd[Player B],AD135))</f>
        <v/>
      </c>
      <c r="AU135" s="308" t="str">
        <f t="shared" si="112"/>
        <v/>
      </c>
      <c r="AV135" s="469" t="str">
        <f>IF(AG135="","",OR(VLOOKUP(AG135,AH131:AU137,3,FALSE),VLOOKUP(AG135,AH131:AU137,6,FALSE)))</f>
        <v/>
      </c>
      <c r="AW135" s="298" t="str">
        <f t="shared" si="110"/>
        <v/>
      </c>
      <c r="AX135" s="285" t="str">
        <f>IF(AG135="","",INDEX(AD131:AD137,MATCH(AG135,AH131:AH137,0)))</f>
        <v/>
      </c>
      <c r="AY135" s="286" t="str">
        <f>IF(AG135="","",VLOOKUP(AG135,AH131:AU137,COLUMN()-COLUMN(AR130),FALSE))</f>
        <v/>
      </c>
      <c r="AZ135" s="286" t="str">
        <f>IF(AG135="","",VLOOKUP(AG135,AH131:AU137,COLUMN()-COLUMN(AR130),FALSE))</f>
        <v/>
      </c>
      <c r="BA135" s="286" t="str">
        <f>IF(AG135="","",VLOOKUP(AG135,AH131:AU137,COLUMN()-COLUMN(AR130),FALSE))</f>
        <v/>
      </c>
      <c r="BB135" s="286" t="str">
        <f>IF(AG135="","",VLOOKUP(AG135,AH131:AU137,COLUMN()-COLUMN(AR130),FALSE))</f>
        <v/>
      </c>
      <c r="BC135" s="286" t="str">
        <f>IF(AG135="","",VLOOKUP(AG135,AH131:AU137,COLUMN()-COLUMN(AR130),FALSE))</f>
        <v/>
      </c>
      <c r="BD135" s="286" t="str">
        <f>IF(AG135="","",VLOOKUP(AG135,AH131:AU137,COLUMN()-COLUMN(AR130),FALSE))</f>
        <v/>
      </c>
      <c r="BE135" s="286" t="str">
        <f>IF(AG135="","",VLOOKUP(AG135,AH131:AU137,COLUMN()-COLUMN(AR130),FALSE))</f>
        <v/>
      </c>
      <c r="BF135" s="301" t="str">
        <f>IF(AG135="","",VLOOKUP(AG135,AH131:AU137,COLUMN()-COLUMN(AR130),FALSE))</f>
        <v/>
      </c>
    </row>
    <row r="136" spans="1:58" ht="12" thickBot="1" x14ac:dyDescent="0.25">
      <c r="A136" s="62" t="s">
        <v>890</v>
      </c>
      <c r="B136" s="62" t="s">
        <v>12207</v>
      </c>
      <c r="C136" s="62">
        <v>21</v>
      </c>
      <c r="D136" s="62"/>
      <c r="E136" s="345" t="s">
        <v>8714</v>
      </c>
      <c r="F136" s="345" t="s">
        <v>10786</v>
      </c>
      <c r="G136" s="113">
        <v>6</v>
      </c>
      <c r="H136" s="113">
        <v>1</v>
      </c>
      <c r="I136" s="114"/>
      <c r="J136" s="114"/>
      <c r="K136" s="114"/>
      <c r="L136" s="81"/>
      <c r="M136" s="265" t="b">
        <f>NOT(ISERROR(ResultsInd[[#This Row],[Goal-A]]+ResultsInd[[#This Row],[Goal-B]]))</f>
        <v>1</v>
      </c>
      <c r="N136" s="265">
        <f>VALUE(ResultsInd[[#This Row],[Score-A]])</f>
        <v>6</v>
      </c>
      <c r="O136" s="265">
        <f>VALUE(ResultsInd[[#This Row],[Score-B]])</f>
        <v>1</v>
      </c>
      <c r="P136" s="265">
        <f ca="1">IF(AND(ResultsInd[[#This Row],[Category]]&lt;&gt;"",ResultsInd[[#This Row],[Player A]]&lt;&gt;""),COUNTIF(INDIRECT(ResultsInd[[#This Row],[Category]]&amp;"List[Retained Player Name]"),ResultsInd[[#This Row],[Player A]]),"")</f>
        <v>1</v>
      </c>
      <c r="Q136" s="265">
        <f ca="1">IF(AND(ResultsInd[[#This Row],[Category]]&lt;&gt;"",ResultsInd[[#This Row],[Player B]]&lt;&gt;""),COUNTIF(INDIRECT(ResultsInd[[#This Row],[Category]]&amp;"List[Retained Player Name]"),ResultsInd[[#This Row],[Player B]]),"")</f>
        <v>1</v>
      </c>
      <c r="R1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OPEN-Rémi Soret</v>
      </c>
      <c r="S136" s="265" t="str">
        <f>IF(ResultsInd[[#This Row],[Score_OK]],IF(ResultsInd[[#This Row],[Stage]]="Groups",ResultsInd[[#This Row],[Category]]&amp;"-"&amp;IF(ResultsInd[[#This Row],[Player B]]="","",IF(ResultsInd[[#This Row],[Score-A]]=ResultsInd[[#This Row],[Score-B]],ResultsInd[[#This Row],[Player A]],"")),""),"")</f>
        <v>OPEN-</v>
      </c>
      <c r="T136" s="265" t="str">
        <f>IF(ResultsInd[[#This Row],[Score_OK]],IF(ResultsInd[[#This Row],[Stage]]="Groups",ResultsInd[[#This Row],[Category]]&amp;"-"&amp;IF(ResultsInd[[#This Row],[Player B]]="","",IF(ResultsInd[[#This Row],[Score-A]]=ResultsInd[[#This Row],[Score-B]],ResultsInd[[#This Row],[Player B]],"")),""),"")</f>
        <v>OPEN-</v>
      </c>
      <c r="U1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PONTÉ</v>
      </c>
      <c r="V1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OPEN-Thomas PONTÉ</v>
      </c>
      <c r="X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OPEN-Thomas PONTÉ</v>
      </c>
      <c r="Y136" s="264" t="str">
        <f>IF(ResultsInd[[#This Row],[Category]]="","",VLOOKUP(ResultsInd[[#This Row],[Stage]],$P$1:$V$9,MATCH(ResultsInd[[#This Row],[Category]],$Q$1:$V$1,0)+1,FALSE))</f>
        <v>PR1</v>
      </c>
      <c r="Z136" s="264" t="str">
        <f>IF(ResultsInd[[#This Row],[Score_OK]],IF(ResultsInd[[#This Row],[Level]]="R",ResultsInd[[#This Row],[Category]]&amp;"-"&amp;IF(ResultsInd[[#This Row],[LoseInKO]]=ResultsInd[[#This Row],[Category]]&amp;"-"&amp;ResultsInd[[#This Row],[Player A]],ResultsInd[[#This Row],[Player B]],ResultsInd[[#This Row],[Player A]]),""),"")</f>
        <v/>
      </c>
      <c r="AB136" s="8"/>
      <c r="AC136" s="12" t="str">
        <f t="shared" si="111"/>
        <v>OPEN</v>
      </c>
      <c r="AD136" s="309"/>
      <c r="AE136" s="310"/>
      <c r="AF136" s="311"/>
      <c r="AG136" s="292" t="str">
        <f>IF(AP136="","",SMALL(AH131:AH137,ROWS(AG131:AG136)))</f>
        <v/>
      </c>
      <c r="AH136" s="293" t="str">
        <f>IF(AP136="","",RANK(AL136,AL131:AL137)*1000+ROWS(AH131:AH136))</f>
        <v/>
      </c>
      <c r="AI136" s="316" t="str">
        <f t="shared" si="105"/>
        <v/>
      </c>
      <c r="AJ136" s="415" t="b">
        <f>AND(AO136&lt;&gt;"",AO136&gt;0,COUNTIF(AI131:AI137,AI136)&gt;1)</f>
        <v>0</v>
      </c>
      <c r="AK136" s="316" t="str">
        <f t="shared" si="106"/>
        <v/>
      </c>
      <c r="AL136" s="317" t="str">
        <f t="shared" si="107"/>
        <v/>
      </c>
      <c r="AM136" s="415" t="b">
        <f>AND(AO136&lt;&gt;"",AO136&gt;0,COUNTIF(AL131:AL137,AL136)&gt;1)</f>
        <v>0</v>
      </c>
      <c r="AN136" s="306" t="str">
        <f t="shared" si="108"/>
        <v/>
      </c>
      <c r="AO136" s="307" t="str">
        <f t="shared" si="109"/>
        <v/>
      </c>
      <c r="AP136" s="307" t="str">
        <f>IF(OR(AC130="",AD136=""),"",COUNTIF(ResultsInd[Win],AC130&amp;"-"&amp;AD136))</f>
        <v/>
      </c>
      <c r="AQ136" s="307" t="str">
        <f>IF(OR(AC130="",AD136=""),"",COUNTIF(ResultsInd[Draw1],AC130&amp;"-"&amp;AD136)+COUNTIF(ResultsInd[Draw2],AC130&amp;"-"&amp;AD136))</f>
        <v/>
      </c>
      <c r="AR136" s="307" t="str">
        <f>IF(OR(AC130="",AD136=""),"",COUNTIF(ResultsInd[Lose],AC130&amp;"-"&amp;AD136))</f>
        <v/>
      </c>
      <c r="AS136" s="307" t="str">
        <f>IF(OR(AC130="",AD136=""),"",SUMIFS(ResultsInd[Goal-A],ResultsInd[Category],AC130,ResultsInd[Stage],"Groups",ResultsInd[Player A],AD136)+SUMIFS(ResultsInd[Goal-B],ResultsInd[Category],AC130,ResultsInd[Stage],"Groups",ResultsInd[Player B],AD136))</f>
        <v/>
      </c>
      <c r="AT136" s="307" t="str">
        <f>IF(OR(AC130="",AD136=""),"",SUMIFS(ResultsInd[Goal-B],ResultsInd[Category],AC130,ResultsInd[Stage],"Groups",ResultsInd[Player A],AD136)+SUMIFS(ResultsInd[Goal-A],ResultsInd[Category],AC130,ResultsInd[Stage],"Groups",ResultsInd[Player B],AD136))</f>
        <v/>
      </c>
      <c r="AU136" s="308" t="str">
        <f t="shared" si="112"/>
        <v/>
      </c>
      <c r="AV136" s="469" t="str">
        <f>IF(AG136="","",OR(VLOOKUP(AG136,AH131:AU137,3,FALSE),VLOOKUP(AG136,AH131:AU137,6,FALSE)))</f>
        <v/>
      </c>
      <c r="AW136" s="298" t="str">
        <f t="shared" si="110"/>
        <v/>
      </c>
      <c r="AX136" s="285" t="str">
        <f>IF(AG136="","",INDEX(AD131:AD137,MATCH(AG136,AH131:AH137,0)))</f>
        <v/>
      </c>
      <c r="AY136" s="286" t="str">
        <f>IF(AG136="","",VLOOKUP(AG136,AH131:AU137,COLUMN()-COLUMN(AR130),FALSE))</f>
        <v/>
      </c>
      <c r="AZ136" s="286" t="str">
        <f>IF(AG136="","",VLOOKUP(AG136,AH131:AU137,COLUMN()-COLUMN(AR130),FALSE))</f>
        <v/>
      </c>
      <c r="BA136" s="286" t="str">
        <f>IF(AG136="","",VLOOKUP(AG136,AH131:AU137,COLUMN()-COLUMN(AR130),FALSE))</f>
        <v/>
      </c>
      <c r="BB136" s="286" t="str">
        <f>IF(AG136="","",VLOOKUP(AG136,AH131:AU137,COLUMN()-COLUMN(AR130),FALSE))</f>
        <v/>
      </c>
      <c r="BC136" s="286" t="str">
        <f>IF(AG136="","",VLOOKUP(AG136,AH131:AU137,COLUMN()-COLUMN(AR130),FALSE))</f>
        <v/>
      </c>
      <c r="BD136" s="286" t="str">
        <f>IF(AG136="","",VLOOKUP(AG136,AH131:AU137,COLUMN()-COLUMN(AR130),FALSE))</f>
        <v/>
      </c>
      <c r="BE136" s="286" t="str">
        <f>IF(AG136="","",VLOOKUP(AG136,AH131:AU137,COLUMN()-COLUMN(AR130),FALSE))</f>
        <v/>
      </c>
      <c r="BF136" s="301" t="str">
        <f>IF(AG136="","",VLOOKUP(AG136,AH131:AU137,COLUMN()-COLUMN(AR130),FALSE))</f>
        <v/>
      </c>
    </row>
    <row r="137" spans="1:58" ht="12" thickBot="1" x14ac:dyDescent="0.25">
      <c r="A137" s="62" t="s">
        <v>890</v>
      </c>
      <c r="B137" s="62" t="s">
        <v>12207</v>
      </c>
      <c r="C137" s="62">
        <v>21</v>
      </c>
      <c r="D137" s="62"/>
      <c r="E137" s="345" t="s">
        <v>8104</v>
      </c>
      <c r="F137" s="345" t="s">
        <v>14502</v>
      </c>
      <c r="G137" s="113">
        <v>10</v>
      </c>
      <c r="H137" s="113">
        <v>1</v>
      </c>
      <c r="I137" s="114"/>
      <c r="J137" s="114"/>
      <c r="K137" s="114"/>
      <c r="L137" s="81"/>
      <c r="M137" s="265" t="b">
        <f>NOT(ISERROR(ResultsInd[[#This Row],[Goal-A]]+ResultsInd[[#This Row],[Goal-B]]))</f>
        <v>1</v>
      </c>
      <c r="N137" s="265">
        <f>VALUE(ResultsInd[[#This Row],[Score-A]])</f>
        <v>10</v>
      </c>
      <c r="O137" s="265">
        <f>VALUE(ResultsInd[[#This Row],[Score-B]])</f>
        <v>1</v>
      </c>
      <c r="P137" s="265">
        <f ca="1">IF(AND(ResultsInd[[#This Row],[Category]]&lt;&gt;"",ResultsInd[[#This Row],[Player A]]&lt;&gt;""),COUNTIF(INDIRECT(ResultsInd[[#This Row],[Category]]&amp;"List[Retained Player Name]"),ResultsInd[[#This Row],[Player A]]),"")</f>
        <v>1</v>
      </c>
      <c r="Q137" s="265">
        <f ca="1">IF(AND(ResultsInd[[#This Row],[Category]]&lt;&gt;"",ResultsInd[[#This Row],[Player B]]&lt;&gt;""),COUNTIF(INDIRECT(ResultsInd[[#This Row],[Category]]&amp;"List[Retained Player Name]"),ResultsInd[[#This Row],[Player B]]),"")</f>
        <v>1</v>
      </c>
      <c r="R1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OPEN-Jérôme Heyvaert</v>
      </c>
      <c r="S137" s="265" t="str">
        <f>IF(ResultsInd[[#This Row],[Score_OK]],IF(ResultsInd[[#This Row],[Stage]]="Groups",ResultsInd[[#This Row],[Category]]&amp;"-"&amp;IF(ResultsInd[[#This Row],[Player B]]="","",IF(ResultsInd[[#This Row],[Score-A]]=ResultsInd[[#This Row],[Score-B]],ResultsInd[[#This Row],[Player A]],"")),""),"")</f>
        <v>OPEN-</v>
      </c>
      <c r="T137" s="265" t="str">
        <f>IF(ResultsInd[[#This Row],[Score_OK]],IF(ResultsInd[[#This Row],[Stage]]="Groups",ResultsInd[[#This Row],[Category]]&amp;"-"&amp;IF(ResultsInd[[#This Row],[Player B]]="","",IF(ResultsInd[[#This Row],[Score-A]]=ResultsInd[[#This Row],[Score-B]],ResultsInd[[#This Row],[Player B]],"")),""),"")</f>
        <v>OPEN-</v>
      </c>
      <c r="U1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Herman</v>
      </c>
      <c r="V1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X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Y137" s="264" t="str">
        <f>IF(ResultsInd[[#This Row],[Category]]="","",VLOOKUP(ResultsInd[[#This Row],[Stage]],$P$1:$V$9,MATCH(ResultsInd[[#This Row],[Category]],$Q$1:$V$1,0)+1,FALSE))</f>
        <v>PR1</v>
      </c>
      <c r="Z137" s="264" t="str">
        <f>IF(ResultsInd[[#This Row],[Score_OK]],IF(ResultsInd[[#This Row],[Level]]="R",ResultsInd[[#This Row],[Category]]&amp;"-"&amp;IF(ResultsInd[[#This Row],[LoseInKO]]=ResultsInd[[#This Row],[Category]]&amp;"-"&amp;ResultsInd[[#This Row],[Player A]],ResultsInd[[#This Row],[Player B]],ResultsInd[[#This Row],[Player A]]),""),"")</f>
        <v/>
      </c>
      <c r="AB137" s="8"/>
      <c r="AC137" s="12" t="str">
        <f t="shared" si="111"/>
        <v>OPEN</v>
      </c>
      <c r="AD137" s="312"/>
      <c r="AE137" s="313"/>
      <c r="AF137" s="314"/>
      <c r="AG137" s="294" t="str">
        <f>IF(AP137="","",SMALL(AH131:AH137,ROWS(AG131:AG137)))</f>
        <v/>
      </c>
      <c r="AH137" s="295" t="str">
        <f>IF(AP137="","",RANK(AL137,AL131:AL137)*1000+ROWS(AH131:AH137))</f>
        <v/>
      </c>
      <c r="AI137" s="318" t="str">
        <f t="shared" si="105"/>
        <v/>
      </c>
      <c r="AJ137" s="416" t="b">
        <f>AND(AO137&lt;&gt;"",AO137&gt;0,COUNTIF(AI131:AI137,AI137)&gt;1)</f>
        <v>0</v>
      </c>
      <c r="AK137" s="318" t="str">
        <f t="shared" si="106"/>
        <v/>
      </c>
      <c r="AL137" s="319" t="str">
        <f t="shared" si="107"/>
        <v/>
      </c>
      <c r="AM137" s="416" t="b">
        <f>AND(AO137&lt;&gt;"",AO137&gt;0,COUNTIF(AL131:AL137,AL137)&gt;1)</f>
        <v>0</v>
      </c>
      <c r="AN137" s="306" t="str">
        <f t="shared" si="108"/>
        <v/>
      </c>
      <c r="AO137" s="307" t="str">
        <f t="shared" si="109"/>
        <v/>
      </c>
      <c r="AP137" s="307" t="str">
        <f>IF(OR(AC130="",AD137=""),"",COUNTIF(ResultsInd[Win],AC130&amp;"-"&amp;AD137))</f>
        <v/>
      </c>
      <c r="AQ137" s="307" t="str">
        <f>IF(OR(AC130="",AD137=""),"",COUNTIF(ResultsInd[Draw1],AC130&amp;"-"&amp;AD137)+COUNTIF(ResultsInd[Draw2],AC130&amp;"-"&amp;AD137))</f>
        <v/>
      </c>
      <c r="AR137" s="307" t="str">
        <f>IF(OR(AC130="",AD137=""),"",COUNTIF(ResultsInd[Lose],AC130&amp;"-"&amp;AD137))</f>
        <v/>
      </c>
      <c r="AS137" s="307" t="str">
        <f>IF(OR(AC130="",AD137=""),"",SUMIFS(ResultsInd[Goal-A],ResultsInd[Category],AC130,ResultsInd[Stage],"Groups",ResultsInd[Player A],AD137)+SUMIFS(ResultsInd[Goal-B],ResultsInd[Category],AC130,ResultsInd[Stage],"Groups",ResultsInd[Player B],AD137))</f>
        <v/>
      </c>
      <c r="AT137" s="307" t="str">
        <f>IF(OR(AC130="",AD137=""),"",SUMIFS(ResultsInd[Goal-B],ResultsInd[Category],AC130,ResultsInd[Stage],"Groups",ResultsInd[Player A],AD137)+SUMIFS(ResultsInd[Goal-A],ResultsInd[Category],AC130,ResultsInd[Stage],"Groups",ResultsInd[Player B],AD137))</f>
        <v/>
      </c>
      <c r="AU137" s="308" t="str">
        <f t="shared" si="112"/>
        <v/>
      </c>
      <c r="AV137" s="469" t="str">
        <f>IF(AG137="","",OR(VLOOKUP(AG137,AH131:AU137,3,FALSE),VLOOKUP(AG137,AH131:AU137,6,FALSE)))</f>
        <v/>
      </c>
      <c r="AW137" s="299" t="str">
        <f t="shared" si="110"/>
        <v/>
      </c>
      <c r="AX137" s="287" t="str">
        <f>IF(AG137="","",INDEX(AD131:AD137,MATCH(AG137,AH131:AH137,0)))</f>
        <v/>
      </c>
      <c r="AY137" s="288" t="str">
        <f>IF(AG137="","",VLOOKUP(AG137,AH131:AU137,COLUMN()-COLUMN(AR130),FALSE))</f>
        <v/>
      </c>
      <c r="AZ137" s="288" t="str">
        <f>IF(AG137="","",VLOOKUP(AG137,AH131:AU137,COLUMN()-COLUMN(AR130),FALSE))</f>
        <v/>
      </c>
      <c r="BA137" s="288" t="str">
        <f>IF(AG137="","",VLOOKUP(AG137,AH131:AU137,COLUMN()-COLUMN(AR130),FALSE))</f>
        <v/>
      </c>
      <c r="BB137" s="288" t="str">
        <f>IF(AG137="","",VLOOKUP(AG137,AH131:AU137,COLUMN()-COLUMN(AR130),FALSE))</f>
        <v/>
      </c>
      <c r="BC137" s="288" t="str">
        <f>IF(AG137="","",VLOOKUP(AG137,AH131:AU137,COLUMN()-COLUMN(AR130),FALSE))</f>
        <v/>
      </c>
      <c r="BD137" s="288" t="str">
        <f>IF(AG137="","",VLOOKUP(AG137,AH131:AU137,COLUMN()-COLUMN(AR130),FALSE))</f>
        <v/>
      </c>
      <c r="BE137" s="288" t="str">
        <f>IF(AG137="","",VLOOKUP(AG137,AH131:AU137,COLUMN()-COLUMN(AR130),FALSE))</f>
        <v/>
      </c>
      <c r="BF137" s="302" t="str">
        <f>IF(AG137="","",VLOOKUP(AG137,AH131:AU137,COLUMN()-COLUMN(AR130),FALSE))</f>
        <v/>
      </c>
    </row>
    <row r="138" spans="1:58" ht="13.5" thickBot="1" x14ac:dyDescent="0.25">
      <c r="A138" s="62" t="s">
        <v>890</v>
      </c>
      <c r="B138" s="62" t="s">
        <v>12207</v>
      </c>
      <c r="C138" s="62">
        <v>21</v>
      </c>
      <c r="D138" s="62"/>
      <c r="E138" s="345" t="s">
        <v>8714</v>
      </c>
      <c r="F138" s="345" t="s">
        <v>8104</v>
      </c>
      <c r="G138" s="113">
        <v>4</v>
      </c>
      <c r="H138" s="113">
        <v>2</v>
      </c>
      <c r="I138" s="114"/>
      <c r="J138" s="114"/>
      <c r="K138" s="114"/>
      <c r="L138" s="81"/>
      <c r="M138" s="265" t="b">
        <f>NOT(ISERROR(ResultsInd[[#This Row],[Goal-A]]+ResultsInd[[#This Row],[Goal-B]]))</f>
        <v>1</v>
      </c>
      <c r="N138" s="265">
        <f>VALUE(ResultsInd[[#This Row],[Score-A]])</f>
        <v>4</v>
      </c>
      <c r="O138" s="265">
        <f>VALUE(ResultsInd[[#This Row],[Score-B]])</f>
        <v>2</v>
      </c>
      <c r="P138" s="265">
        <f ca="1">IF(AND(ResultsInd[[#This Row],[Category]]&lt;&gt;"",ResultsInd[[#This Row],[Player A]]&lt;&gt;""),COUNTIF(INDIRECT(ResultsInd[[#This Row],[Category]]&amp;"List[Retained Player Name]"),ResultsInd[[#This Row],[Player A]]),"")</f>
        <v>1</v>
      </c>
      <c r="Q138" s="265">
        <f ca="1">IF(AND(ResultsInd[[#This Row],[Category]]&lt;&gt;"",ResultsInd[[#This Row],[Player B]]&lt;&gt;""),COUNTIF(INDIRECT(ResultsInd[[#This Row],[Category]]&amp;"List[Retained Player Name]"),ResultsInd[[#This Row],[Player B]]),"")</f>
        <v>1</v>
      </c>
      <c r="R1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OPEN-Rémi Soret</v>
      </c>
      <c r="S138" s="265" t="str">
        <f>IF(ResultsInd[[#This Row],[Score_OK]],IF(ResultsInd[[#This Row],[Stage]]="Groups",ResultsInd[[#This Row],[Category]]&amp;"-"&amp;IF(ResultsInd[[#This Row],[Player B]]="","",IF(ResultsInd[[#This Row],[Score-A]]=ResultsInd[[#This Row],[Score-B]],ResultsInd[[#This Row],[Player A]],"")),""),"")</f>
        <v>OPEN-</v>
      </c>
      <c r="T138" s="265" t="str">
        <f>IF(ResultsInd[[#This Row],[Score_OK]],IF(ResultsInd[[#This Row],[Stage]]="Groups",ResultsInd[[#This Row],[Category]]&amp;"-"&amp;IF(ResultsInd[[#This Row],[Player B]]="","",IF(ResultsInd[[#This Row],[Score-A]]=ResultsInd[[#This Row],[Score-B]],ResultsInd[[#This Row],[Player B]],"")),""),"")</f>
        <v>OPEN-</v>
      </c>
      <c r="U1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OPEN-Jérôme Heyvaert</v>
      </c>
      <c r="V1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OPEN-Jérôme Heyvaert</v>
      </c>
      <c r="X1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OPEN-Jérôme Heyvaert</v>
      </c>
      <c r="Y138" s="264" t="str">
        <f>IF(ResultsInd[[#This Row],[Category]]="","",VLOOKUP(ResultsInd[[#This Row],[Stage]],$P$1:$V$9,MATCH(ResultsInd[[#This Row],[Category]],$Q$1:$V$1,0)+1,FALSE))</f>
        <v>PR1</v>
      </c>
      <c r="Z138" s="264" t="str">
        <f>IF(ResultsInd[[#This Row],[Score_OK]],IF(ResultsInd[[#This Row],[Level]]="R",ResultsInd[[#This Row],[Category]]&amp;"-"&amp;IF(ResultsInd[[#This Row],[LoseInKO]]=ResultsInd[[#This Row],[Category]]&amp;"-"&amp;ResultsInd[[#This Row],[Player A]],ResultsInd[[#This Row],[Player B]],ResultsInd[[#This Row],[Player A]]),""),"")</f>
        <v/>
      </c>
      <c r="AB138" s="8"/>
      <c r="AC138" s="8"/>
      <c r="AF138" s="170"/>
      <c r="AG138" s="101"/>
      <c r="AH138" s="101"/>
      <c r="AN138" s="170"/>
      <c r="AO138" s="170"/>
      <c r="AP138" s="170"/>
      <c r="AQ138" s="172"/>
      <c r="AR138" s="173"/>
      <c r="AS138" s="173"/>
      <c r="AT138" s="173"/>
      <c r="AU138" s="101"/>
      <c r="AV138" s="101"/>
      <c r="AW138" s="101"/>
      <c r="AX138" s="101"/>
      <c r="AY138" s="101"/>
      <c r="AZ138" s="101"/>
    </row>
    <row r="139" spans="1:58" ht="12" thickBot="1" x14ac:dyDescent="0.25">
      <c r="A139" s="62" t="s">
        <v>890</v>
      </c>
      <c r="B139" s="62" t="s">
        <v>12207</v>
      </c>
      <c r="C139" s="62">
        <v>21</v>
      </c>
      <c r="D139" s="62"/>
      <c r="E139" s="345" t="s">
        <v>10786</v>
      </c>
      <c r="F139" s="345" t="s">
        <v>14502</v>
      </c>
      <c r="G139" s="113">
        <v>3</v>
      </c>
      <c r="H139" s="113">
        <v>1</v>
      </c>
      <c r="I139" s="114"/>
      <c r="J139" s="114"/>
      <c r="K139" s="114"/>
      <c r="L139" s="81"/>
      <c r="M139" s="265" t="b">
        <f>NOT(ISERROR(ResultsInd[[#This Row],[Goal-A]]+ResultsInd[[#This Row],[Goal-B]]))</f>
        <v>1</v>
      </c>
      <c r="N139" s="265">
        <f>VALUE(ResultsInd[[#This Row],[Score-A]])</f>
        <v>3</v>
      </c>
      <c r="O139" s="265">
        <f>VALUE(ResultsInd[[#This Row],[Score-B]])</f>
        <v>1</v>
      </c>
      <c r="P139" s="265">
        <f ca="1">IF(AND(ResultsInd[[#This Row],[Category]]&lt;&gt;"",ResultsInd[[#This Row],[Player A]]&lt;&gt;""),COUNTIF(INDIRECT(ResultsInd[[#This Row],[Category]]&amp;"List[Retained Player Name]"),ResultsInd[[#This Row],[Player A]]),"")</f>
        <v>1</v>
      </c>
      <c r="Q139" s="265">
        <f ca="1">IF(AND(ResultsInd[[#This Row],[Category]]&lt;&gt;"",ResultsInd[[#This Row],[Player B]]&lt;&gt;""),COUNTIF(INDIRECT(ResultsInd[[#This Row],[Category]]&amp;"List[Retained Player Name]"),ResultsInd[[#This Row],[Player B]]),"")</f>
        <v>1</v>
      </c>
      <c r="R1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OPEN-Thomas PONTÉ</v>
      </c>
      <c r="S139" s="265" t="str">
        <f>IF(ResultsInd[[#This Row],[Score_OK]],IF(ResultsInd[[#This Row],[Stage]]="Groups",ResultsInd[[#This Row],[Category]]&amp;"-"&amp;IF(ResultsInd[[#This Row],[Player B]]="","",IF(ResultsInd[[#This Row],[Score-A]]=ResultsInd[[#This Row],[Score-B]],ResultsInd[[#This Row],[Player A]],"")),""),"")</f>
        <v>OPEN-</v>
      </c>
      <c r="T139" s="265" t="str">
        <f>IF(ResultsInd[[#This Row],[Score_OK]],IF(ResultsInd[[#This Row],[Stage]]="Groups",ResultsInd[[#This Row],[Category]]&amp;"-"&amp;IF(ResultsInd[[#This Row],[Player B]]="","",IF(ResultsInd[[#This Row],[Score-A]]=ResultsInd[[#This Row],[Score-B]],ResultsInd[[#This Row],[Player B]],"")),""),"")</f>
        <v>OPEN-</v>
      </c>
      <c r="U1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Herman</v>
      </c>
      <c r="V1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X1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Y139" s="264" t="str">
        <f>IF(ResultsInd[[#This Row],[Category]]="","",VLOOKUP(ResultsInd[[#This Row],[Stage]],$P$1:$V$9,MATCH(ResultsInd[[#This Row],[Category]],$Q$1:$V$1,0)+1,FALSE))</f>
        <v>PR1</v>
      </c>
      <c r="Z139" s="264" t="str">
        <f>IF(ResultsInd[[#This Row],[Score_OK]],IF(ResultsInd[[#This Row],[Level]]="R",ResultsInd[[#This Row],[Category]]&amp;"-"&amp;IF(ResultsInd[[#This Row],[LoseInKO]]=ResultsInd[[#This Row],[Category]]&amp;"-"&amp;ResultsInd[[#This Row],[Player A]],ResultsInd[[#This Row],[Player B]],ResultsInd[[#This Row],[Player A]]),""),"")</f>
        <v/>
      </c>
      <c r="AB139" s="281">
        <v>14</v>
      </c>
      <c r="AC139" s="315" t="s">
        <v>890</v>
      </c>
      <c r="AD139" s="289" t="s">
        <v>14439</v>
      </c>
      <c r="AE139" s="290" t="s">
        <v>12279</v>
      </c>
      <c r="AF139" s="284" t="s">
        <v>12275</v>
      </c>
      <c r="AG139" s="296" t="s">
        <v>12276</v>
      </c>
      <c r="AH139" s="291" t="s">
        <v>12271</v>
      </c>
      <c r="AI139" s="291" t="s">
        <v>12272</v>
      </c>
      <c r="AJ139" s="414" t="s">
        <v>13154</v>
      </c>
      <c r="AK139" s="291" t="s">
        <v>12273</v>
      </c>
      <c r="AL139" s="297" t="s">
        <v>12274</v>
      </c>
      <c r="AM139" s="414" t="s">
        <v>13154</v>
      </c>
      <c r="AN139" s="303" t="s">
        <v>12199</v>
      </c>
      <c r="AO139" s="304" t="s">
        <v>12200</v>
      </c>
      <c r="AP139" s="304" t="s">
        <v>12201</v>
      </c>
      <c r="AQ139" s="304" t="s">
        <v>12202</v>
      </c>
      <c r="AR139" s="304" t="s">
        <v>12203</v>
      </c>
      <c r="AS139" s="304" t="s">
        <v>12204</v>
      </c>
      <c r="AT139" s="304" t="s">
        <v>12205</v>
      </c>
      <c r="AU139" s="305" t="s">
        <v>12206</v>
      </c>
      <c r="AV139" s="468"/>
      <c r="AW139" s="282" t="s">
        <v>12276</v>
      </c>
      <c r="AX139" s="282" t="s">
        <v>12280</v>
      </c>
      <c r="AY139" s="283" t="s">
        <v>12199</v>
      </c>
      <c r="AZ139" s="283" t="s">
        <v>12200</v>
      </c>
      <c r="BA139" s="283" t="s">
        <v>12201</v>
      </c>
      <c r="BB139" s="283" t="s">
        <v>12202</v>
      </c>
      <c r="BC139" s="283" t="s">
        <v>12203</v>
      </c>
      <c r="BD139" s="283" t="s">
        <v>12204</v>
      </c>
      <c r="BE139" s="283" t="s">
        <v>12205</v>
      </c>
      <c r="BF139" s="300" t="s">
        <v>12206</v>
      </c>
    </row>
    <row r="140" spans="1:58" ht="12" thickBot="1" x14ac:dyDescent="0.25">
      <c r="A140" s="62" t="s">
        <v>890</v>
      </c>
      <c r="B140" s="62" t="s">
        <v>12207</v>
      </c>
      <c r="C140" s="62">
        <v>21</v>
      </c>
      <c r="D140" s="62"/>
      <c r="E140" s="345" t="s">
        <v>14502</v>
      </c>
      <c r="F140" s="345" t="s">
        <v>8714</v>
      </c>
      <c r="G140" s="113">
        <v>1</v>
      </c>
      <c r="H140" s="113">
        <v>4</v>
      </c>
      <c r="I140" s="114"/>
      <c r="J140" s="114"/>
      <c r="K140" s="114"/>
      <c r="L140" s="81"/>
      <c r="M140" s="265" t="b">
        <f>NOT(ISERROR(ResultsInd[[#This Row],[Goal-A]]+ResultsInd[[#This Row],[Goal-B]]))</f>
        <v>1</v>
      </c>
      <c r="N140" s="265">
        <f>VALUE(ResultsInd[[#This Row],[Score-A]])</f>
        <v>1</v>
      </c>
      <c r="O140" s="265">
        <f>VALUE(ResultsInd[[#This Row],[Score-B]])</f>
        <v>4</v>
      </c>
      <c r="P140" s="265">
        <f ca="1">IF(AND(ResultsInd[[#This Row],[Category]]&lt;&gt;"",ResultsInd[[#This Row],[Player A]]&lt;&gt;""),COUNTIF(INDIRECT(ResultsInd[[#This Row],[Category]]&amp;"List[Retained Player Name]"),ResultsInd[[#This Row],[Player A]]),"")</f>
        <v>1</v>
      </c>
      <c r="Q140" s="265">
        <f ca="1">IF(AND(ResultsInd[[#This Row],[Category]]&lt;&gt;"",ResultsInd[[#This Row],[Player B]]&lt;&gt;""),COUNTIF(INDIRECT(ResultsInd[[#This Row],[Category]]&amp;"List[Retained Player Name]"),ResultsInd[[#This Row],[Player B]]),"")</f>
        <v>1</v>
      </c>
      <c r="R1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OPEN-Rémi Soret</v>
      </c>
      <c r="S140" s="265" t="str">
        <f>IF(ResultsInd[[#This Row],[Score_OK]],IF(ResultsInd[[#This Row],[Stage]]="Groups",ResultsInd[[#This Row],[Category]]&amp;"-"&amp;IF(ResultsInd[[#This Row],[Player B]]="","",IF(ResultsInd[[#This Row],[Score-A]]=ResultsInd[[#This Row],[Score-B]],ResultsInd[[#This Row],[Player A]],"")),""),"")</f>
        <v>OPEN-</v>
      </c>
      <c r="T140" s="265" t="str">
        <f>IF(ResultsInd[[#This Row],[Score_OK]],IF(ResultsInd[[#This Row],[Stage]]="Groups",ResultsInd[[#This Row],[Category]]&amp;"-"&amp;IF(ResultsInd[[#This Row],[Player B]]="","",IF(ResultsInd[[#This Row],[Score-A]]=ResultsInd[[#This Row],[Score-B]],ResultsInd[[#This Row],[Player B]],"")),""),"")</f>
        <v>OPEN-</v>
      </c>
      <c r="U1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Herman</v>
      </c>
      <c r="V1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X1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Y140" s="264" t="str">
        <f>IF(ResultsInd[[#This Row],[Category]]="","",VLOOKUP(ResultsInd[[#This Row],[Stage]],$P$1:$V$9,MATCH(ResultsInd[[#This Row],[Category]],$Q$1:$V$1,0)+1,FALSE))</f>
        <v>PR1</v>
      </c>
      <c r="Z140" s="264" t="str">
        <f>IF(ResultsInd[[#This Row],[Score_OK]],IF(ResultsInd[[#This Row],[Level]]="R",ResultsInd[[#This Row],[Category]]&amp;"-"&amp;IF(ResultsInd[[#This Row],[LoseInKO]]=ResultsInd[[#This Row],[Category]]&amp;"-"&amp;ResultsInd[[#This Row],[Player A]],ResultsInd[[#This Row],[Player B]],ResultsInd[[#This Row],[Player A]]),""),"")</f>
        <v/>
      </c>
      <c r="AB140" s="8"/>
      <c r="AC140" s="12" t="str">
        <f>IF(AC139="","",AC139)</f>
        <v>OPEN</v>
      </c>
      <c r="AD140" s="309" t="s">
        <v>8036</v>
      </c>
      <c r="AE140" s="320"/>
      <c r="AF140" s="311"/>
      <c r="AG140" s="292">
        <f>IF(AP140="","",SMALL(AH140:AH146,ROWS(AG140:AG140)))</f>
        <v>1001</v>
      </c>
      <c r="AH140" s="293">
        <f>IF(AP140="","",RANK(AL140,AL140:AL146)*1000+ROWS(AH140:AH140))</f>
        <v>1001</v>
      </c>
      <c r="AI140" s="316">
        <f t="shared" ref="AI140:AI146" si="113">IF(AP140="","",CritClassInd1_Points*AN140+CritClassInd1_Matches*AP140+CritClassInd1_Attaque*AS140+CritClassInd1_DiffButs*AU140)</f>
        <v>7000000000000</v>
      </c>
      <c r="AJ140" s="415" t="b">
        <f>AND(AO140&lt;&gt;"",AO140&gt;0,COUNTIF(AI140:AI146,AI140)&gt;1)</f>
        <v>0</v>
      </c>
      <c r="AK140" s="316">
        <f t="shared" ref="AK140:AK146" si="114">IF(AP140="","",CritClassInd_ScorePart*AE140)</f>
        <v>0</v>
      </c>
      <c r="AL140" s="317">
        <f t="shared" ref="AL140:AL146" si="115">IF(AP140="","",AI140+AK140+CritClassInd2_Points*AN140+CritClassInd2_Matches*AP140+CritClassInd2_Attaque*AS140+CritClassInd2_DiffButs*AU140+AF140)</f>
        <v>7000000081100</v>
      </c>
      <c r="AM140" s="415" t="b">
        <f>AND(AO140&lt;&gt;"",AO140&gt;0,COUNTIF(AL140:AL146,AL140)&gt;1)</f>
        <v>0</v>
      </c>
      <c r="AN140" s="306">
        <f t="shared" ref="AN140:AN146" si="116">IF(AP140="","",(AP140*Points_Victoire)+AQ140*Points_Null)</f>
        <v>7</v>
      </c>
      <c r="AO140" s="307">
        <f t="shared" ref="AO140:AO146" si="117">IF(AP140="","",SUM(AP140:AR140))</f>
        <v>3</v>
      </c>
      <c r="AP140" s="307">
        <f>IF(OR(AC139="",AD140=""),"",COUNTIF(ResultsInd[Win],AC139&amp;"-"&amp;AD140))</f>
        <v>2</v>
      </c>
      <c r="AQ140" s="307">
        <f>IF(OR(AC139="",AD140=""),"",COUNTIF(ResultsInd[Draw1],AC139&amp;"-"&amp;AD140)+COUNTIF(ResultsInd[Draw2],AC139&amp;"-"&amp;AD140))</f>
        <v>1</v>
      </c>
      <c r="AR140" s="307">
        <f>IF(OR(AC139="",AD140=""),"",COUNTIF(ResultsInd[Lose],AC139&amp;"-"&amp;AD140))</f>
        <v>0</v>
      </c>
      <c r="AS140" s="307">
        <f>IF(OR(AC139="",AD140=""),"",SUMIFS(ResultsInd[Goal-A],ResultsInd[Category],AC139,ResultsInd[Stage],"Groups",ResultsInd[Player A],AD140)+SUMIFS(ResultsInd[Goal-B],ResultsInd[Category],AC139,ResultsInd[Stage],"Groups",ResultsInd[Player B],AD140))</f>
        <v>11</v>
      </c>
      <c r="AT140" s="307">
        <f>IF(OR(AC139="",AD140=""),"",SUMIFS(ResultsInd[Goal-B],ResultsInd[Category],AC139,ResultsInd[Stage],"Groups",ResultsInd[Player A],AD140)+SUMIFS(ResultsInd[Goal-A],ResultsInd[Category],AC139,ResultsInd[Stage],"Groups",ResultsInd[Player B],AD140))</f>
        <v>3</v>
      </c>
      <c r="AU140" s="308">
        <f>IF(AP140="","",AS140-AT140)</f>
        <v>8</v>
      </c>
      <c r="AV140" s="469" t="b">
        <f>IF(AG140="","",OR(VLOOKUP(AG140,AH140:AU146,3,FALSE),VLOOKUP(AG140,AH140:AU146,6,FALSE)))</f>
        <v>0</v>
      </c>
      <c r="AW140" s="298">
        <f t="shared" ref="AW140:AW146" si="118">IF(AG140="","",INT(AG140/1000))</f>
        <v>1</v>
      </c>
      <c r="AX140" s="285" t="str">
        <f>IF(AG140="","",INDEX(AD140:AD146,MATCH(AG140,AH140:AH146,0)))</f>
        <v>Wolfgang Leitner</v>
      </c>
      <c r="AY140" s="286">
        <f>IF(AG140="","",VLOOKUP(AG140,AH140:AU146,COLUMN()-COLUMN(AR139),FALSE))</f>
        <v>7</v>
      </c>
      <c r="AZ140" s="286">
        <f>IF(AG140="","",VLOOKUP(AG140,AH140:AU146,COLUMN()-COLUMN(AR139),FALSE))</f>
        <v>3</v>
      </c>
      <c r="BA140" s="286">
        <f>IF(AG140="","",VLOOKUP(AG140,AH140:AU146,COLUMN()-COLUMN(AR139),FALSE))</f>
        <v>2</v>
      </c>
      <c r="BB140" s="286">
        <f>IF(AG140="","",VLOOKUP(AG140,AH140:AU146,COLUMN()-COLUMN(AR139),FALSE))</f>
        <v>1</v>
      </c>
      <c r="BC140" s="286">
        <f>IF(AG140="","",VLOOKUP(AG140,AH140:AU146,COLUMN()-COLUMN(AR139),FALSE))</f>
        <v>0</v>
      </c>
      <c r="BD140" s="286">
        <f>IF(AG140="","",VLOOKUP(AG140,AH140:AU146,COLUMN()-COLUMN(AR139),FALSE))</f>
        <v>11</v>
      </c>
      <c r="BE140" s="286">
        <f>IF(AG140="","",VLOOKUP(AG140,AH140:AU146,COLUMN()-COLUMN(AR139),FALSE))</f>
        <v>3</v>
      </c>
      <c r="BF140" s="301">
        <f>IF(AG140="","",VLOOKUP(AG140,AH140:AU146,COLUMN()-COLUMN(AR139),FALSE))</f>
        <v>8</v>
      </c>
    </row>
    <row r="141" spans="1:58" ht="12" thickBot="1" x14ac:dyDescent="0.25">
      <c r="A141" s="62" t="s">
        <v>890</v>
      </c>
      <c r="B141" s="62" t="s">
        <v>12207</v>
      </c>
      <c r="C141" s="62">
        <v>21</v>
      </c>
      <c r="D141" s="62"/>
      <c r="E141" s="345" t="s">
        <v>10786</v>
      </c>
      <c r="F141" s="345" t="s">
        <v>8104</v>
      </c>
      <c r="G141" s="113">
        <v>0</v>
      </c>
      <c r="H141" s="113">
        <v>4</v>
      </c>
      <c r="I141" s="114"/>
      <c r="J141" s="114"/>
      <c r="K141" s="114"/>
      <c r="L141" s="81"/>
      <c r="M141" s="265" t="b">
        <f>NOT(ISERROR(ResultsInd[[#This Row],[Goal-A]]+ResultsInd[[#This Row],[Goal-B]]))</f>
        <v>1</v>
      </c>
      <c r="N141" s="265">
        <f>VALUE(ResultsInd[[#This Row],[Score-A]])</f>
        <v>0</v>
      </c>
      <c r="O141" s="265">
        <f>VALUE(ResultsInd[[#This Row],[Score-B]])</f>
        <v>4</v>
      </c>
      <c r="P141" s="265">
        <f ca="1">IF(AND(ResultsInd[[#This Row],[Category]]&lt;&gt;"",ResultsInd[[#This Row],[Player A]]&lt;&gt;""),COUNTIF(INDIRECT(ResultsInd[[#This Row],[Category]]&amp;"List[Retained Player Name]"),ResultsInd[[#This Row],[Player A]]),"")</f>
        <v>1</v>
      </c>
      <c r="Q141" s="265">
        <f ca="1">IF(AND(ResultsInd[[#This Row],[Category]]&lt;&gt;"",ResultsInd[[#This Row],[Player B]]&lt;&gt;""),COUNTIF(INDIRECT(ResultsInd[[#This Row],[Category]]&amp;"List[Retained Player Name]"),ResultsInd[[#This Row],[Player B]]),"")</f>
        <v>1</v>
      </c>
      <c r="R1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OPEN-Jérôme Heyvaert</v>
      </c>
      <c r="S141" s="265" t="str">
        <f>IF(ResultsInd[[#This Row],[Score_OK]],IF(ResultsInd[[#This Row],[Stage]]="Groups",ResultsInd[[#This Row],[Category]]&amp;"-"&amp;IF(ResultsInd[[#This Row],[Player B]]="","",IF(ResultsInd[[#This Row],[Score-A]]=ResultsInd[[#This Row],[Score-B]],ResultsInd[[#This Row],[Player A]],"")),""),"")</f>
        <v>OPEN-</v>
      </c>
      <c r="T141" s="265" t="str">
        <f>IF(ResultsInd[[#This Row],[Score_OK]],IF(ResultsInd[[#This Row],[Stage]]="Groups",ResultsInd[[#This Row],[Category]]&amp;"-"&amp;IF(ResultsInd[[#This Row],[Player B]]="","",IF(ResultsInd[[#This Row],[Score-A]]=ResultsInd[[#This Row],[Score-B]],ResultsInd[[#This Row],[Player B]],"")),""),"")</f>
        <v>OPEN-</v>
      </c>
      <c r="U1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OPEN-Thomas PONTÉ</v>
      </c>
      <c r="V1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OPEN-Thomas PONTÉ</v>
      </c>
      <c r="X1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OPEN-Thomas PONTÉ</v>
      </c>
      <c r="Y141" s="264" t="str">
        <f>IF(ResultsInd[[#This Row],[Category]]="","",VLOOKUP(ResultsInd[[#This Row],[Stage]],$P$1:$V$9,MATCH(ResultsInd[[#This Row],[Category]],$Q$1:$V$1,0)+1,FALSE))</f>
        <v>PR1</v>
      </c>
      <c r="Z141" s="264" t="str">
        <f>IF(ResultsInd[[#This Row],[Score_OK]],IF(ResultsInd[[#This Row],[Level]]="R",ResultsInd[[#This Row],[Category]]&amp;"-"&amp;IF(ResultsInd[[#This Row],[LoseInKO]]=ResultsInd[[#This Row],[Category]]&amp;"-"&amp;ResultsInd[[#This Row],[Player A]],ResultsInd[[#This Row],[Player B]],ResultsInd[[#This Row],[Player A]]),""),"")</f>
        <v/>
      </c>
      <c r="AB141" s="8"/>
      <c r="AC141" s="12" t="str">
        <f t="shared" ref="AC141:AC146" si="119">IF(AC140="","",AC140)</f>
        <v>OPEN</v>
      </c>
      <c r="AD141" s="309" t="s">
        <v>8096</v>
      </c>
      <c r="AE141" s="320"/>
      <c r="AF141" s="311"/>
      <c r="AG141" s="292">
        <f>IF(AP141="","",SMALL(AH140:AH146,ROWS(AG140:AG141)))</f>
        <v>2004</v>
      </c>
      <c r="AH141" s="293">
        <f>IF(AP141="","",RANK(AL141,AL140:AL146)*1000+ROWS(AH140:AH141))</f>
        <v>3002</v>
      </c>
      <c r="AI141" s="316">
        <f t="shared" si="113"/>
        <v>3000000000000</v>
      </c>
      <c r="AJ141" s="415" t="b">
        <f>AND(AO141&lt;&gt;"",AO141&gt;0,COUNTIF(AI140:AI146,AI141)&gt;1)</f>
        <v>0</v>
      </c>
      <c r="AK141" s="316">
        <f t="shared" si="114"/>
        <v>0</v>
      </c>
      <c r="AL141" s="317">
        <f t="shared" si="115"/>
        <v>2999999910500</v>
      </c>
      <c r="AM141" s="415" t="b">
        <f>AND(AO141&lt;&gt;"",AO141&gt;0,COUNTIF(AL140:AL146,AL141)&gt;1)</f>
        <v>0</v>
      </c>
      <c r="AN141" s="306">
        <f t="shared" si="116"/>
        <v>3</v>
      </c>
      <c r="AO141" s="307">
        <f t="shared" si="117"/>
        <v>3</v>
      </c>
      <c r="AP141" s="307">
        <f>IF(OR(AC139="",AD141=""),"",COUNTIF(ResultsInd[Win],AC139&amp;"-"&amp;AD141))</f>
        <v>1</v>
      </c>
      <c r="AQ141" s="307">
        <f>IF(OR(AC139="",AD141=""),"",COUNTIF(ResultsInd[Draw1],AC139&amp;"-"&amp;AD141)+COUNTIF(ResultsInd[Draw2],AC139&amp;"-"&amp;AD141))</f>
        <v>0</v>
      </c>
      <c r="AR141" s="307">
        <f>IF(OR(AC139="",AD141=""),"",COUNTIF(ResultsInd[Lose],AC139&amp;"-"&amp;AD141))</f>
        <v>2</v>
      </c>
      <c r="AS141" s="307">
        <f>IF(OR(AC139="",AD141=""),"",SUMIFS(ResultsInd[Goal-A],ResultsInd[Category],AC139,ResultsInd[Stage],"Groups",ResultsInd[Player A],AD141)+SUMIFS(ResultsInd[Goal-B],ResultsInd[Category],AC139,ResultsInd[Stage],"Groups",ResultsInd[Player B],AD141))</f>
        <v>5</v>
      </c>
      <c r="AT141" s="307">
        <f>IF(OR(AC139="",AD141=""),"",SUMIFS(ResultsInd[Goal-B],ResultsInd[Category],AC139,ResultsInd[Stage],"Groups",ResultsInd[Player A],AD141)+SUMIFS(ResultsInd[Goal-A],ResultsInd[Category],AC139,ResultsInd[Stage],"Groups",ResultsInd[Player B],AD141))</f>
        <v>14</v>
      </c>
      <c r="AU141" s="308">
        <f t="shared" ref="AU141:AU146" si="120">IF(AP141="","",AS141-AT141)</f>
        <v>-9</v>
      </c>
      <c r="AV141" s="469" t="b">
        <f>IF(AG141="","",OR(VLOOKUP(AG141,AH140:AU146,3,FALSE),VLOOKUP(AG141,AH140:AU146,6,FALSE)))</f>
        <v>0</v>
      </c>
      <c r="AW141" s="298">
        <f t="shared" si="118"/>
        <v>2</v>
      </c>
      <c r="AX141" s="285" t="str">
        <f>IF(AG141="","",INDEX(AD140:AD146,MATCH(AG141,AH140:AH146,0)))</f>
        <v>Marcello Bodin De Chatelard</v>
      </c>
      <c r="AY141" s="286">
        <f>IF(AG141="","",VLOOKUP(AG141,AH140:AU146,COLUMN()-COLUMN(AR139),FALSE))</f>
        <v>6</v>
      </c>
      <c r="AZ141" s="286">
        <f>IF(AG141="","",VLOOKUP(AG141,AH140:AU146,COLUMN()-COLUMN(AR139),FALSE))</f>
        <v>3</v>
      </c>
      <c r="BA141" s="286">
        <f>IF(AG141="","",VLOOKUP(AG141,AH140:AU146,COLUMN()-COLUMN(AR139),FALSE))</f>
        <v>2</v>
      </c>
      <c r="BB141" s="286">
        <f>IF(AG141="","",VLOOKUP(AG141,AH140:AU146,COLUMN()-COLUMN(AR139),FALSE))</f>
        <v>0</v>
      </c>
      <c r="BC141" s="286">
        <f>IF(AG141="","",VLOOKUP(AG141,AH140:AU146,COLUMN()-COLUMN(AR139),FALSE))</f>
        <v>1</v>
      </c>
      <c r="BD141" s="286">
        <f>IF(AG141="","",VLOOKUP(AG141,AH140:AU146,COLUMN()-COLUMN(AR139),FALSE))</f>
        <v>6</v>
      </c>
      <c r="BE141" s="286">
        <f>IF(AG141="","",VLOOKUP(AG141,AH140:AU146,COLUMN()-COLUMN(AR139),FALSE))</f>
        <v>3</v>
      </c>
      <c r="BF141" s="301">
        <f>IF(AG141="","",VLOOKUP(AG141,AH140:AU146,COLUMN()-COLUMN(AR139),FALSE))</f>
        <v>3</v>
      </c>
    </row>
    <row r="142" spans="1:58" ht="12" thickBot="1" x14ac:dyDescent="0.25">
      <c r="A142" s="62" t="s">
        <v>890</v>
      </c>
      <c r="B142" s="62" t="s">
        <v>12207</v>
      </c>
      <c r="C142" s="62">
        <v>22</v>
      </c>
      <c r="D142" s="62"/>
      <c r="E142" s="345" t="s">
        <v>9526</v>
      </c>
      <c r="F142" s="345" t="s">
        <v>10509</v>
      </c>
      <c r="G142" s="113">
        <v>5</v>
      </c>
      <c r="H142" s="113">
        <v>2</v>
      </c>
      <c r="I142" s="114"/>
      <c r="J142" s="114"/>
      <c r="K142" s="114"/>
      <c r="L142" s="81"/>
      <c r="M142" s="265" t="b">
        <f>NOT(ISERROR(ResultsInd[[#This Row],[Goal-A]]+ResultsInd[[#This Row],[Goal-B]]))</f>
        <v>1</v>
      </c>
      <c r="N142" s="265">
        <f>VALUE(ResultsInd[[#This Row],[Score-A]])</f>
        <v>5</v>
      </c>
      <c r="O142" s="265">
        <f>VALUE(ResultsInd[[#This Row],[Score-B]])</f>
        <v>2</v>
      </c>
      <c r="P142" s="265">
        <f ca="1">IF(AND(ResultsInd[[#This Row],[Category]]&lt;&gt;"",ResultsInd[[#This Row],[Player A]]&lt;&gt;""),COUNTIF(INDIRECT(ResultsInd[[#This Row],[Category]]&amp;"List[Retained Player Name]"),ResultsInd[[#This Row],[Player A]]),"")</f>
        <v>1</v>
      </c>
      <c r="Q142" s="265">
        <f ca="1">IF(AND(ResultsInd[[#This Row],[Category]]&lt;&gt;"",ResultsInd[[#This Row],[Player B]]&lt;&gt;""),COUNTIF(INDIRECT(ResultsInd[[#This Row],[Category]]&amp;"List[Retained Player Name]"),ResultsInd[[#This Row],[Player B]]),"")</f>
        <v>1</v>
      </c>
      <c r="R1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 Zambello</v>
      </c>
      <c r="S142" s="265" t="str">
        <f>IF(ResultsInd[[#This Row],[Score_OK]],IF(ResultsInd[[#This Row],[Stage]]="Groups",ResultsInd[[#This Row],[Category]]&amp;"-"&amp;IF(ResultsInd[[#This Row],[Player B]]="","",IF(ResultsInd[[#This Row],[Score-A]]=ResultsInd[[#This Row],[Score-B]],ResultsInd[[#This Row],[Player A]],"")),""),"")</f>
        <v>OPEN-</v>
      </c>
      <c r="T142" s="265" t="str">
        <f>IF(ResultsInd[[#This Row],[Score_OK]],IF(ResultsInd[[#This Row],[Stage]]="Groups",ResultsInd[[#This Row],[Category]]&amp;"-"&amp;IF(ResultsInd[[#This Row],[Player B]]="","",IF(ResultsInd[[#This Row],[Score-A]]=ResultsInd[[#This Row],[Score-B]],ResultsInd[[#This Row],[Player B]],"")),""),"")</f>
        <v>OPEN-</v>
      </c>
      <c r="U1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OPEN-Sérgio Loureiro</v>
      </c>
      <c r="V1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OPEN-Sérgio Loureiro</v>
      </c>
      <c r="X1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OPEN-Sérgio Loureiro</v>
      </c>
      <c r="Y142" s="264" t="str">
        <f>IF(ResultsInd[[#This Row],[Category]]="","",VLOOKUP(ResultsInd[[#This Row],[Stage]],$P$1:$V$9,MATCH(ResultsInd[[#This Row],[Category]],$Q$1:$V$1,0)+1,FALSE))</f>
        <v>PR1</v>
      </c>
      <c r="Z142" s="264" t="str">
        <f>IF(ResultsInd[[#This Row],[Score_OK]],IF(ResultsInd[[#This Row],[Level]]="R",ResultsInd[[#This Row],[Category]]&amp;"-"&amp;IF(ResultsInd[[#This Row],[LoseInKO]]=ResultsInd[[#This Row],[Category]]&amp;"-"&amp;ResultsInd[[#This Row],[Player A]],ResultsInd[[#This Row],[Player B]],ResultsInd[[#This Row],[Player A]]),""),"")</f>
        <v/>
      </c>
      <c r="AB142" s="8"/>
      <c r="AC142" s="12" t="str">
        <f t="shared" si="119"/>
        <v>OPEN</v>
      </c>
      <c r="AD142" s="309" t="s">
        <v>10783</v>
      </c>
      <c r="AE142" s="320"/>
      <c r="AF142" s="311"/>
      <c r="AG142" s="292">
        <f>IF(AP142="","",SMALL(AH140:AH146,ROWS(AG140:AG142)))</f>
        <v>3002</v>
      </c>
      <c r="AH142" s="293">
        <f>IF(AP142="","",RANK(AL142,AL140:AL146)*1000+ROWS(AH140:AH142))</f>
        <v>4003</v>
      </c>
      <c r="AI142" s="316">
        <f t="shared" si="113"/>
        <v>1000000000000</v>
      </c>
      <c r="AJ142" s="415" t="b">
        <f>AND(AO142&lt;&gt;"",AO142&gt;0,COUNTIF(AI140:AI146,AI142)&gt;1)</f>
        <v>0</v>
      </c>
      <c r="AK142" s="316">
        <f t="shared" si="114"/>
        <v>0</v>
      </c>
      <c r="AL142" s="317">
        <f t="shared" si="115"/>
        <v>999999980500</v>
      </c>
      <c r="AM142" s="415" t="b">
        <f>AND(AO142&lt;&gt;"",AO142&gt;0,COUNTIF(AL140:AL146,AL142)&gt;1)</f>
        <v>0</v>
      </c>
      <c r="AN142" s="306">
        <f t="shared" si="116"/>
        <v>1</v>
      </c>
      <c r="AO142" s="307">
        <f t="shared" si="117"/>
        <v>3</v>
      </c>
      <c r="AP142" s="307">
        <f>IF(OR(AC139="",AD142=""),"",COUNTIF(ResultsInd[Win],AC139&amp;"-"&amp;AD142))</f>
        <v>0</v>
      </c>
      <c r="AQ142" s="307">
        <f>IF(OR(AC139="",AD142=""),"",COUNTIF(ResultsInd[Draw1],AC139&amp;"-"&amp;AD142)+COUNTIF(ResultsInd[Draw2],AC139&amp;"-"&amp;AD142))</f>
        <v>1</v>
      </c>
      <c r="AR142" s="307">
        <f>IF(OR(AC139="",AD142=""),"",COUNTIF(ResultsInd[Lose],AC139&amp;"-"&amp;AD142))</f>
        <v>2</v>
      </c>
      <c r="AS142" s="307">
        <f>IF(OR(AC139="",AD142=""),"",SUMIFS(ResultsInd[Goal-A],ResultsInd[Category],AC139,ResultsInd[Stage],"Groups",ResultsInd[Player A],AD142)+SUMIFS(ResultsInd[Goal-B],ResultsInd[Category],AC139,ResultsInd[Stage],"Groups",ResultsInd[Player B],AD142))</f>
        <v>5</v>
      </c>
      <c r="AT142" s="307">
        <f>IF(OR(AC139="",AD142=""),"",SUMIFS(ResultsInd[Goal-B],ResultsInd[Category],AC139,ResultsInd[Stage],"Groups",ResultsInd[Player A],AD142)+SUMIFS(ResultsInd[Goal-A],ResultsInd[Category],AC139,ResultsInd[Stage],"Groups",ResultsInd[Player B],AD142))</f>
        <v>7</v>
      </c>
      <c r="AU142" s="308">
        <f t="shared" si="120"/>
        <v>-2</v>
      </c>
      <c r="AV142" s="469" t="b">
        <f>IF(AG142="","",OR(VLOOKUP(AG142,AH140:AU146,3,FALSE),VLOOKUP(AG142,AH140:AU146,6,FALSE)))</f>
        <v>0</v>
      </c>
      <c r="AW142" s="298">
        <f t="shared" si="118"/>
        <v>3</v>
      </c>
      <c r="AX142" s="285" t="str">
        <f>IF(AG142="","",INDEX(AD140:AD146,MATCH(AG142,AH140:AH146,0)))</f>
        <v>Louison Giaux</v>
      </c>
      <c r="AY142" s="286">
        <f>IF(AG142="","",VLOOKUP(AG142,AH140:AU146,COLUMN()-COLUMN(AR139),FALSE))</f>
        <v>3</v>
      </c>
      <c r="AZ142" s="286">
        <f>IF(AG142="","",VLOOKUP(AG142,AH140:AU146,COLUMN()-COLUMN(AR139),FALSE))</f>
        <v>3</v>
      </c>
      <c r="BA142" s="286">
        <f>IF(AG142="","",VLOOKUP(AG142,AH140:AU146,COLUMN()-COLUMN(AR139),FALSE))</f>
        <v>1</v>
      </c>
      <c r="BB142" s="286">
        <f>IF(AG142="","",VLOOKUP(AG142,AH140:AU146,COLUMN()-COLUMN(AR139),FALSE))</f>
        <v>0</v>
      </c>
      <c r="BC142" s="286">
        <f>IF(AG142="","",VLOOKUP(AG142,AH140:AU146,COLUMN()-COLUMN(AR139),FALSE))</f>
        <v>2</v>
      </c>
      <c r="BD142" s="286">
        <f>IF(AG142="","",VLOOKUP(AG142,AH140:AU146,COLUMN()-COLUMN(AR139),FALSE))</f>
        <v>5</v>
      </c>
      <c r="BE142" s="286">
        <f>IF(AG142="","",VLOOKUP(AG142,AH140:AU146,COLUMN()-COLUMN(AR139),FALSE))</f>
        <v>14</v>
      </c>
      <c r="BF142" s="301">
        <f>IF(AG142="","",VLOOKUP(AG142,AH140:AU146,COLUMN()-COLUMN(AR139),FALSE))</f>
        <v>-9</v>
      </c>
    </row>
    <row r="143" spans="1:58" ht="12" thickBot="1" x14ac:dyDescent="0.25">
      <c r="A143" s="62" t="s">
        <v>890</v>
      </c>
      <c r="B143" s="62" t="s">
        <v>12207</v>
      </c>
      <c r="C143" s="62">
        <v>22</v>
      </c>
      <c r="D143" s="62"/>
      <c r="E143" s="345" t="s">
        <v>8082</v>
      </c>
      <c r="F143" s="345" t="s">
        <v>8716</v>
      </c>
      <c r="G143" s="113">
        <v>5</v>
      </c>
      <c r="H143" s="113">
        <v>4</v>
      </c>
      <c r="I143" s="114"/>
      <c r="J143" s="114"/>
      <c r="K143" s="114"/>
      <c r="L143" s="81"/>
      <c r="M143" s="265" t="b">
        <f>NOT(ISERROR(ResultsInd[[#This Row],[Goal-A]]+ResultsInd[[#This Row],[Goal-B]]))</f>
        <v>1</v>
      </c>
      <c r="N143" s="265">
        <f>VALUE(ResultsInd[[#This Row],[Score-A]])</f>
        <v>5</v>
      </c>
      <c r="O143" s="265">
        <f>VALUE(ResultsInd[[#This Row],[Score-B]])</f>
        <v>4</v>
      </c>
      <c r="P143" s="265">
        <f ca="1">IF(AND(ResultsInd[[#This Row],[Category]]&lt;&gt;"",ResultsInd[[#This Row],[Player A]]&lt;&gt;""),COUNTIF(INDIRECT(ResultsInd[[#This Row],[Category]]&amp;"List[Retained Player Name]"),ResultsInd[[#This Row],[Player A]]),"")</f>
        <v>1</v>
      </c>
      <c r="Q143" s="265">
        <f ca="1">IF(AND(ResultsInd[[#This Row],[Category]]&lt;&gt;"",ResultsInd[[#This Row],[Player B]]&lt;&gt;""),COUNTIF(INDIRECT(ResultsInd[[#This Row],[Category]]&amp;"List[Retained Player Name]"),ResultsInd[[#This Row],[Player B]]),"")</f>
        <v>1</v>
      </c>
      <c r="R1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OPEN-Pierre De Leeuw</v>
      </c>
      <c r="S143" s="265" t="str">
        <f>IF(ResultsInd[[#This Row],[Score_OK]],IF(ResultsInd[[#This Row],[Stage]]="Groups",ResultsInd[[#This Row],[Category]]&amp;"-"&amp;IF(ResultsInd[[#This Row],[Player B]]="","",IF(ResultsInd[[#This Row],[Score-A]]=ResultsInd[[#This Row],[Score-B]],ResultsInd[[#This Row],[Player A]],"")),""),"")</f>
        <v>OPEN-</v>
      </c>
      <c r="T143" s="265" t="str">
        <f>IF(ResultsInd[[#This Row],[Score_OK]],IF(ResultsInd[[#This Row],[Stage]]="Groups",ResultsInd[[#This Row],[Category]]&amp;"-"&amp;IF(ResultsInd[[#This Row],[Player B]]="","",IF(ResultsInd[[#This Row],[Score-A]]=ResultsInd[[#This Row],[Score-B]],ResultsInd[[#This Row],[Player B]],"")),""),"")</f>
        <v>OPEN-</v>
      </c>
      <c r="U1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OPEN-Quentin Ausset</v>
      </c>
      <c r="V1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OPEN-Quentin Ausset</v>
      </c>
      <c r="X1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OPEN-Quentin Ausset</v>
      </c>
      <c r="Y143" s="264" t="str">
        <f>IF(ResultsInd[[#This Row],[Category]]="","",VLOOKUP(ResultsInd[[#This Row],[Stage]],$P$1:$V$9,MATCH(ResultsInd[[#This Row],[Category]],$Q$1:$V$1,0)+1,FALSE))</f>
        <v>PR1</v>
      </c>
      <c r="Z143" s="264" t="str">
        <f>IF(ResultsInd[[#This Row],[Score_OK]],IF(ResultsInd[[#This Row],[Level]]="R",ResultsInd[[#This Row],[Category]]&amp;"-"&amp;IF(ResultsInd[[#This Row],[LoseInKO]]=ResultsInd[[#This Row],[Category]]&amp;"-"&amp;ResultsInd[[#This Row],[Player A]],ResultsInd[[#This Row],[Player B]],ResultsInd[[#This Row],[Player A]]),""),"")</f>
        <v/>
      </c>
      <c r="AB143" s="91"/>
      <c r="AC143" s="12" t="str">
        <f t="shared" si="119"/>
        <v>OPEN</v>
      </c>
      <c r="AD143" s="309" t="s">
        <v>10283</v>
      </c>
      <c r="AE143" s="310"/>
      <c r="AF143" s="311"/>
      <c r="AG143" s="292">
        <f>IF(AP143="","",SMALL(AH140:AH146,ROWS(AG140:AG143)))</f>
        <v>4003</v>
      </c>
      <c r="AH143" s="293">
        <f>IF(AP143="","",RANK(AL143,AL140:AL146)*1000+ROWS(AH140:AH143))</f>
        <v>2004</v>
      </c>
      <c r="AI143" s="316">
        <f t="shared" si="113"/>
        <v>6000000000000</v>
      </c>
      <c r="AJ143" s="415" t="b">
        <f>AND(AO143&lt;&gt;"",AO143&gt;0,COUNTIF(AI140:AI146,AI143)&gt;1)</f>
        <v>0</v>
      </c>
      <c r="AK143" s="316">
        <f t="shared" si="114"/>
        <v>0</v>
      </c>
      <c r="AL143" s="317">
        <f t="shared" si="115"/>
        <v>6000000030600</v>
      </c>
      <c r="AM143" s="415" t="b">
        <f>AND(AO143&lt;&gt;"",AO143&gt;0,COUNTIF(AL140:AL146,AL143)&gt;1)</f>
        <v>0</v>
      </c>
      <c r="AN143" s="306">
        <f t="shared" si="116"/>
        <v>6</v>
      </c>
      <c r="AO143" s="307">
        <f t="shared" si="117"/>
        <v>3</v>
      </c>
      <c r="AP143" s="307">
        <f>IF(OR(AC139="",AD143=""),"",COUNTIF(ResultsInd[Win],AC139&amp;"-"&amp;AD143))</f>
        <v>2</v>
      </c>
      <c r="AQ143" s="307">
        <f>IF(OR(AC139="",AD143=""),"",COUNTIF(ResultsInd[Draw1],AC139&amp;"-"&amp;AD143)+COUNTIF(ResultsInd[Draw2],AC139&amp;"-"&amp;AD143))</f>
        <v>0</v>
      </c>
      <c r="AR143" s="307">
        <f>IF(OR(AC139="",AD143=""),"",COUNTIF(ResultsInd[Lose],AC139&amp;"-"&amp;AD143))</f>
        <v>1</v>
      </c>
      <c r="AS143" s="307">
        <f>IF(OR(AC139="",AD143=""),"",SUMIFS(ResultsInd[Goal-A],ResultsInd[Category],AC139,ResultsInd[Stage],"Groups",ResultsInd[Player A],AD143)+SUMIFS(ResultsInd[Goal-B],ResultsInd[Category],AC139,ResultsInd[Stage],"Groups",ResultsInd[Player B],AD143))</f>
        <v>6</v>
      </c>
      <c r="AT143" s="307">
        <f>IF(OR(AC139="",AD143=""),"",SUMIFS(ResultsInd[Goal-B],ResultsInd[Category],AC139,ResultsInd[Stage],"Groups",ResultsInd[Player A],AD143)+SUMIFS(ResultsInd[Goal-A],ResultsInd[Category],AC139,ResultsInd[Stage],"Groups",ResultsInd[Player B],AD143))</f>
        <v>3</v>
      </c>
      <c r="AU143" s="308">
        <f t="shared" si="120"/>
        <v>3</v>
      </c>
      <c r="AV143" s="469" t="b">
        <f>IF(AG143="","",OR(VLOOKUP(AG143,AH140:AU146,3,FALSE),VLOOKUP(AG143,AH140:AU146,6,FALSE)))</f>
        <v>0</v>
      </c>
      <c r="AW143" s="298">
        <f t="shared" si="118"/>
        <v>4</v>
      </c>
      <c r="AX143" s="285" t="str">
        <f>IF(AG143="","",INDEX(AD140:AD146,MATCH(AG143,AH140:AH146,0)))</f>
        <v>Mongi Rouis</v>
      </c>
      <c r="AY143" s="286">
        <f>IF(AG143="","",VLOOKUP(AG143,AH140:AU146,COLUMN()-COLUMN(AR139),FALSE))</f>
        <v>1</v>
      </c>
      <c r="AZ143" s="286">
        <f>IF(AG143="","",VLOOKUP(AG143,AH140:AU146,COLUMN()-COLUMN(AR139),FALSE))</f>
        <v>3</v>
      </c>
      <c r="BA143" s="286">
        <f>IF(AG143="","",VLOOKUP(AG143,AH140:AU146,COLUMN()-COLUMN(AR139),FALSE))</f>
        <v>0</v>
      </c>
      <c r="BB143" s="286">
        <f>IF(AG143="","",VLOOKUP(AG143,AH140:AU146,COLUMN()-COLUMN(AR139),FALSE))</f>
        <v>1</v>
      </c>
      <c r="BC143" s="286">
        <f>IF(AG143="","",VLOOKUP(AG143,AH140:AU146,COLUMN()-COLUMN(AR139),FALSE))</f>
        <v>2</v>
      </c>
      <c r="BD143" s="286">
        <f>IF(AG143="","",VLOOKUP(AG143,AH140:AU146,COLUMN()-COLUMN(AR139),FALSE))</f>
        <v>5</v>
      </c>
      <c r="BE143" s="286">
        <f>IF(AG143="","",VLOOKUP(AG143,AH140:AU146,COLUMN()-COLUMN(AR139),FALSE))</f>
        <v>7</v>
      </c>
      <c r="BF143" s="301">
        <f>IF(AG143="","",VLOOKUP(AG143,AH140:AU146,COLUMN()-COLUMN(AR139),FALSE))</f>
        <v>-2</v>
      </c>
    </row>
    <row r="144" spans="1:58" ht="12" thickBot="1" x14ac:dyDescent="0.25">
      <c r="A144" s="62" t="s">
        <v>890</v>
      </c>
      <c r="B144" s="62" t="s">
        <v>12207</v>
      </c>
      <c r="C144" s="62">
        <v>22</v>
      </c>
      <c r="D144" s="62"/>
      <c r="E144" s="345" t="s">
        <v>9526</v>
      </c>
      <c r="F144" s="345" t="s">
        <v>8082</v>
      </c>
      <c r="G144" s="113">
        <v>3</v>
      </c>
      <c r="H144" s="113">
        <v>0</v>
      </c>
      <c r="I144" s="114"/>
      <c r="J144" s="114"/>
      <c r="K144" s="114"/>
      <c r="L144" s="81"/>
      <c r="M144" s="265" t="b">
        <f>NOT(ISERROR(ResultsInd[[#This Row],[Goal-A]]+ResultsInd[[#This Row],[Goal-B]]))</f>
        <v>1</v>
      </c>
      <c r="N144" s="265">
        <f>VALUE(ResultsInd[[#This Row],[Score-A]])</f>
        <v>3</v>
      </c>
      <c r="O144" s="265">
        <f>VALUE(ResultsInd[[#This Row],[Score-B]])</f>
        <v>0</v>
      </c>
      <c r="P144" s="265">
        <f ca="1">IF(AND(ResultsInd[[#This Row],[Category]]&lt;&gt;"",ResultsInd[[#This Row],[Player A]]&lt;&gt;""),COUNTIF(INDIRECT(ResultsInd[[#This Row],[Category]]&amp;"List[Retained Player Name]"),ResultsInd[[#This Row],[Player A]]),"")</f>
        <v>1</v>
      </c>
      <c r="Q144" s="265">
        <f ca="1">IF(AND(ResultsInd[[#This Row],[Category]]&lt;&gt;"",ResultsInd[[#This Row],[Player B]]&lt;&gt;""),COUNTIF(INDIRECT(ResultsInd[[#This Row],[Category]]&amp;"List[Retained Player Name]"),ResultsInd[[#This Row],[Player B]]),"")</f>
        <v>1</v>
      </c>
      <c r="R1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 Zambello</v>
      </c>
      <c r="S144" s="265" t="str">
        <f>IF(ResultsInd[[#This Row],[Score_OK]],IF(ResultsInd[[#This Row],[Stage]]="Groups",ResultsInd[[#This Row],[Category]]&amp;"-"&amp;IF(ResultsInd[[#This Row],[Player B]]="","",IF(ResultsInd[[#This Row],[Score-A]]=ResultsInd[[#This Row],[Score-B]],ResultsInd[[#This Row],[Player A]],"")),""),"")</f>
        <v>OPEN-</v>
      </c>
      <c r="T144" s="265" t="str">
        <f>IF(ResultsInd[[#This Row],[Score_OK]],IF(ResultsInd[[#This Row],[Stage]]="Groups",ResultsInd[[#This Row],[Category]]&amp;"-"&amp;IF(ResultsInd[[#This Row],[Player B]]="","",IF(ResultsInd[[#This Row],[Score-A]]=ResultsInd[[#This Row],[Score-B]],ResultsInd[[#This Row],[Player B]],"")),""),"")</f>
        <v>OPEN-</v>
      </c>
      <c r="U1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OPEN-Pierre De Leeuw</v>
      </c>
      <c r="V1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OPEN-Pierre De Leeuw</v>
      </c>
      <c r="X1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OPEN-Pierre De Leeuw</v>
      </c>
      <c r="Y144" s="264" t="str">
        <f>IF(ResultsInd[[#This Row],[Category]]="","",VLOOKUP(ResultsInd[[#This Row],[Stage]],$P$1:$V$9,MATCH(ResultsInd[[#This Row],[Category]],$Q$1:$V$1,0)+1,FALSE))</f>
        <v>PR1</v>
      </c>
      <c r="Z144" s="264" t="str">
        <f>IF(ResultsInd[[#This Row],[Score_OK]],IF(ResultsInd[[#This Row],[Level]]="R",ResultsInd[[#This Row],[Category]]&amp;"-"&amp;IF(ResultsInd[[#This Row],[LoseInKO]]=ResultsInd[[#This Row],[Category]]&amp;"-"&amp;ResultsInd[[#This Row],[Player A]],ResultsInd[[#This Row],[Player B]],ResultsInd[[#This Row],[Player A]]),""),"")</f>
        <v/>
      </c>
      <c r="AB144" s="91"/>
      <c r="AC144" s="12" t="str">
        <f t="shared" si="119"/>
        <v>OPEN</v>
      </c>
      <c r="AD144" s="309"/>
      <c r="AE144" s="310"/>
      <c r="AF144" s="311"/>
      <c r="AG144" s="292" t="str">
        <f>IF(AP144="","",SMALL(AH140:AH146,ROWS(AG140:AG144)))</f>
        <v/>
      </c>
      <c r="AH144" s="293" t="str">
        <f>IF(AP144="","",RANK(AL144,AL140:AL146)*1000+ROWS(AH140:AH144))</f>
        <v/>
      </c>
      <c r="AI144" s="316" t="str">
        <f t="shared" si="113"/>
        <v/>
      </c>
      <c r="AJ144" s="415" t="b">
        <f>AND(AO144&lt;&gt;"",AO144&gt;0,COUNTIF(AI140:AI146,AI144)&gt;1)</f>
        <v>0</v>
      </c>
      <c r="AK144" s="316" t="str">
        <f t="shared" si="114"/>
        <v/>
      </c>
      <c r="AL144" s="317" t="str">
        <f t="shared" si="115"/>
        <v/>
      </c>
      <c r="AM144" s="415" t="b">
        <f>AND(AO144&lt;&gt;"",AO144&gt;0,COUNTIF(AL140:AL146,AL144)&gt;1)</f>
        <v>0</v>
      </c>
      <c r="AN144" s="306" t="str">
        <f t="shared" si="116"/>
        <v/>
      </c>
      <c r="AO144" s="307" t="str">
        <f t="shared" si="117"/>
        <v/>
      </c>
      <c r="AP144" s="307" t="str">
        <f>IF(OR(AC139="",AD144=""),"",COUNTIF(ResultsInd[Win],AC139&amp;"-"&amp;AD144))</f>
        <v/>
      </c>
      <c r="AQ144" s="307" t="str">
        <f>IF(OR(AC139="",AD144=""),"",COUNTIF(ResultsInd[Draw1],AC139&amp;"-"&amp;AD144)+COUNTIF(ResultsInd[Draw2],AC139&amp;"-"&amp;AD144))</f>
        <v/>
      </c>
      <c r="AR144" s="307" t="str">
        <f>IF(OR(AC139="",AD144=""),"",COUNTIF(ResultsInd[Lose],AC139&amp;"-"&amp;AD144))</f>
        <v/>
      </c>
      <c r="AS144" s="307" t="str">
        <f>IF(OR(AC139="",AD144=""),"",SUMIFS(ResultsInd[Goal-A],ResultsInd[Category],AC139,ResultsInd[Stage],"Groups",ResultsInd[Player A],AD144)+SUMIFS(ResultsInd[Goal-B],ResultsInd[Category],AC139,ResultsInd[Stage],"Groups",ResultsInd[Player B],AD144))</f>
        <v/>
      </c>
      <c r="AT144" s="307" t="str">
        <f>IF(OR(AC139="",AD144=""),"",SUMIFS(ResultsInd[Goal-B],ResultsInd[Category],AC139,ResultsInd[Stage],"Groups",ResultsInd[Player A],AD144)+SUMIFS(ResultsInd[Goal-A],ResultsInd[Category],AC139,ResultsInd[Stage],"Groups",ResultsInd[Player B],AD144))</f>
        <v/>
      </c>
      <c r="AU144" s="308" t="str">
        <f t="shared" si="120"/>
        <v/>
      </c>
      <c r="AV144" s="469" t="str">
        <f>IF(AG144="","",OR(VLOOKUP(AG144,AH140:AU146,3,FALSE),VLOOKUP(AG144,AH140:AU146,6,FALSE)))</f>
        <v/>
      </c>
      <c r="AW144" s="298" t="str">
        <f t="shared" si="118"/>
        <v/>
      </c>
      <c r="AX144" s="285" t="str">
        <f>IF(AG144="","",INDEX(AD140:AD146,MATCH(AG144,AH140:AH146,0)))</f>
        <v/>
      </c>
      <c r="AY144" s="286" t="str">
        <f>IF(AG144="","",VLOOKUP(AG144,AH140:AU146,COLUMN()-COLUMN(AR139),FALSE))</f>
        <v/>
      </c>
      <c r="AZ144" s="286" t="str">
        <f>IF(AG144="","",VLOOKUP(AG144,AH140:AU146,COLUMN()-COLUMN(AR139),FALSE))</f>
        <v/>
      </c>
      <c r="BA144" s="286" t="str">
        <f>IF(AG144="","",VLOOKUP(AG144,AH140:AU146,COLUMN()-COLUMN(AR139),FALSE))</f>
        <v/>
      </c>
      <c r="BB144" s="286" t="str">
        <f>IF(AG144="","",VLOOKUP(AG144,AH140:AU146,COLUMN()-COLUMN(AR139),FALSE))</f>
        <v/>
      </c>
      <c r="BC144" s="286" t="str">
        <f>IF(AG144="","",VLOOKUP(AG144,AH140:AU146,COLUMN()-COLUMN(AR139),FALSE))</f>
        <v/>
      </c>
      <c r="BD144" s="286" t="str">
        <f>IF(AG144="","",VLOOKUP(AG144,AH140:AU146,COLUMN()-COLUMN(AR139),FALSE))</f>
        <v/>
      </c>
      <c r="BE144" s="286" t="str">
        <f>IF(AG144="","",VLOOKUP(AG144,AH140:AU146,COLUMN()-COLUMN(AR139),FALSE))</f>
        <v/>
      </c>
      <c r="BF144" s="301" t="str">
        <f>IF(AG144="","",VLOOKUP(AG144,AH140:AU146,COLUMN()-COLUMN(AR139),FALSE))</f>
        <v/>
      </c>
    </row>
    <row r="145" spans="1:58" ht="12" thickBot="1" x14ac:dyDescent="0.25">
      <c r="A145" s="62" t="s">
        <v>890</v>
      </c>
      <c r="B145" s="62" t="s">
        <v>12207</v>
      </c>
      <c r="C145" s="62">
        <v>22</v>
      </c>
      <c r="D145" s="62"/>
      <c r="E145" s="345" t="s">
        <v>10509</v>
      </c>
      <c r="F145" s="345" t="s">
        <v>8716</v>
      </c>
      <c r="G145" s="113">
        <v>9</v>
      </c>
      <c r="H145" s="113">
        <v>3</v>
      </c>
      <c r="I145" s="114"/>
      <c r="J145" s="114"/>
      <c r="K145" s="114"/>
      <c r="L145" s="81"/>
      <c r="M145" s="265" t="b">
        <f>NOT(ISERROR(ResultsInd[[#This Row],[Goal-A]]+ResultsInd[[#This Row],[Goal-B]]))</f>
        <v>1</v>
      </c>
      <c r="N145" s="265">
        <f>VALUE(ResultsInd[[#This Row],[Score-A]])</f>
        <v>9</v>
      </c>
      <c r="O145" s="265">
        <f>VALUE(ResultsInd[[#This Row],[Score-B]])</f>
        <v>3</v>
      </c>
      <c r="P145" s="265">
        <f ca="1">IF(AND(ResultsInd[[#This Row],[Category]]&lt;&gt;"",ResultsInd[[#This Row],[Player A]]&lt;&gt;""),COUNTIF(INDIRECT(ResultsInd[[#This Row],[Category]]&amp;"List[Retained Player Name]"),ResultsInd[[#This Row],[Player A]]),"")</f>
        <v>1</v>
      </c>
      <c r="Q145" s="265">
        <f ca="1">IF(AND(ResultsInd[[#This Row],[Category]]&lt;&gt;"",ResultsInd[[#This Row],[Player B]]&lt;&gt;""),COUNTIF(INDIRECT(ResultsInd[[#This Row],[Category]]&amp;"List[Retained Player Name]"),ResultsInd[[#This Row],[Player B]]),"")</f>
        <v>1</v>
      </c>
      <c r="R1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OPEN-Sérgio Loureiro</v>
      </c>
      <c r="S145" s="265" t="str">
        <f>IF(ResultsInd[[#This Row],[Score_OK]],IF(ResultsInd[[#This Row],[Stage]]="Groups",ResultsInd[[#This Row],[Category]]&amp;"-"&amp;IF(ResultsInd[[#This Row],[Player B]]="","",IF(ResultsInd[[#This Row],[Score-A]]=ResultsInd[[#This Row],[Score-B]],ResultsInd[[#This Row],[Player A]],"")),""),"")</f>
        <v>OPEN-</v>
      </c>
      <c r="T145" s="265" t="str">
        <f>IF(ResultsInd[[#This Row],[Score_OK]],IF(ResultsInd[[#This Row],[Stage]]="Groups",ResultsInd[[#This Row],[Category]]&amp;"-"&amp;IF(ResultsInd[[#This Row],[Player B]]="","",IF(ResultsInd[[#This Row],[Score-A]]=ResultsInd[[#This Row],[Score-B]],ResultsInd[[#This Row],[Player B]],"")),""),"")</f>
        <v>OPEN-</v>
      </c>
      <c r="U1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OPEN-Quentin Ausset</v>
      </c>
      <c r="V1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OPEN-Quentin Ausset</v>
      </c>
      <c r="X1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OPEN-Quentin Ausset</v>
      </c>
      <c r="Y145" s="264" t="str">
        <f>IF(ResultsInd[[#This Row],[Category]]="","",VLOOKUP(ResultsInd[[#This Row],[Stage]],$P$1:$V$9,MATCH(ResultsInd[[#This Row],[Category]],$Q$1:$V$1,0)+1,FALSE))</f>
        <v>PR1</v>
      </c>
      <c r="Z145" s="264" t="str">
        <f>IF(ResultsInd[[#This Row],[Score_OK]],IF(ResultsInd[[#This Row],[Level]]="R",ResultsInd[[#This Row],[Category]]&amp;"-"&amp;IF(ResultsInd[[#This Row],[LoseInKO]]=ResultsInd[[#This Row],[Category]]&amp;"-"&amp;ResultsInd[[#This Row],[Player A]],ResultsInd[[#This Row],[Player B]],ResultsInd[[#This Row],[Player A]]),""),"")</f>
        <v/>
      </c>
      <c r="AB145" s="8"/>
      <c r="AC145" s="12" t="str">
        <f t="shared" si="119"/>
        <v>OPEN</v>
      </c>
      <c r="AD145" s="309"/>
      <c r="AE145" s="310"/>
      <c r="AF145" s="311"/>
      <c r="AG145" s="292" t="str">
        <f>IF(AP145="","",SMALL(AH140:AH146,ROWS(AG140:AG145)))</f>
        <v/>
      </c>
      <c r="AH145" s="293" t="str">
        <f>IF(AP145="","",RANK(AL145,AL140:AL146)*1000+ROWS(AH140:AH145))</f>
        <v/>
      </c>
      <c r="AI145" s="316" t="str">
        <f t="shared" si="113"/>
        <v/>
      </c>
      <c r="AJ145" s="415" t="b">
        <f>AND(AO145&lt;&gt;"",AO145&gt;0,COUNTIF(AI140:AI146,AI145)&gt;1)</f>
        <v>0</v>
      </c>
      <c r="AK145" s="316" t="str">
        <f t="shared" si="114"/>
        <v/>
      </c>
      <c r="AL145" s="317" t="str">
        <f t="shared" si="115"/>
        <v/>
      </c>
      <c r="AM145" s="415" t="b">
        <f>AND(AO145&lt;&gt;"",AO145&gt;0,COUNTIF(AL140:AL146,AL145)&gt;1)</f>
        <v>0</v>
      </c>
      <c r="AN145" s="306" t="str">
        <f t="shared" si="116"/>
        <v/>
      </c>
      <c r="AO145" s="307" t="str">
        <f t="shared" si="117"/>
        <v/>
      </c>
      <c r="AP145" s="307" t="str">
        <f>IF(OR(AC139="",AD145=""),"",COUNTIF(ResultsInd[Win],AC139&amp;"-"&amp;AD145))</f>
        <v/>
      </c>
      <c r="AQ145" s="307" t="str">
        <f>IF(OR(AC139="",AD145=""),"",COUNTIF(ResultsInd[Draw1],AC139&amp;"-"&amp;AD145)+COUNTIF(ResultsInd[Draw2],AC139&amp;"-"&amp;AD145))</f>
        <v/>
      </c>
      <c r="AR145" s="307" t="str">
        <f>IF(OR(AC139="",AD145=""),"",COUNTIF(ResultsInd[Lose],AC139&amp;"-"&amp;AD145))</f>
        <v/>
      </c>
      <c r="AS145" s="307" t="str">
        <f>IF(OR(AC139="",AD145=""),"",SUMIFS(ResultsInd[Goal-A],ResultsInd[Category],AC139,ResultsInd[Stage],"Groups",ResultsInd[Player A],AD145)+SUMIFS(ResultsInd[Goal-B],ResultsInd[Category],AC139,ResultsInd[Stage],"Groups",ResultsInd[Player B],AD145))</f>
        <v/>
      </c>
      <c r="AT145" s="307" t="str">
        <f>IF(OR(AC139="",AD145=""),"",SUMIFS(ResultsInd[Goal-B],ResultsInd[Category],AC139,ResultsInd[Stage],"Groups",ResultsInd[Player A],AD145)+SUMIFS(ResultsInd[Goal-A],ResultsInd[Category],AC139,ResultsInd[Stage],"Groups",ResultsInd[Player B],AD145))</f>
        <v/>
      </c>
      <c r="AU145" s="308" t="str">
        <f t="shared" si="120"/>
        <v/>
      </c>
      <c r="AV145" s="469" t="str">
        <f>IF(AG145="","",OR(VLOOKUP(AG145,AH140:AU146,3,FALSE),VLOOKUP(AG145,AH140:AU146,6,FALSE)))</f>
        <v/>
      </c>
      <c r="AW145" s="298" t="str">
        <f t="shared" si="118"/>
        <v/>
      </c>
      <c r="AX145" s="285" t="str">
        <f>IF(AG145="","",INDEX(AD140:AD146,MATCH(AG145,AH140:AH146,0)))</f>
        <v/>
      </c>
      <c r="AY145" s="286" t="str">
        <f>IF(AG145="","",VLOOKUP(AG145,AH140:AU146,COLUMN()-COLUMN(AR139),FALSE))</f>
        <v/>
      </c>
      <c r="AZ145" s="286" t="str">
        <f>IF(AG145="","",VLOOKUP(AG145,AH140:AU146,COLUMN()-COLUMN(AR139),FALSE))</f>
        <v/>
      </c>
      <c r="BA145" s="286" t="str">
        <f>IF(AG145="","",VLOOKUP(AG145,AH140:AU146,COLUMN()-COLUMN(AR139),FALSE))</f>
        <v/>
      </c>
      <c r="BB145" s="286" t="str">
        <f>IF(AG145="","",VLOOKUP(AG145,AH140:AU146,COLUMN()-COLUMN(AR139),FALSE))</f>
        <v/>
      </c>
      <c r="BC145" s="286" t="str">
        <f>IF(AG145="","",VLOOKUP(AG145,AH140:AU146,COLUMN()-COLUMN(AR139),FALSE))</f>
        <v/>
      </c>
      <c r="BD145" s="286" t="str">
        <f>IF(AG145="","",VLOOKUP(AG145,AH140:AU146,COLUMN()-COLUMN(AR139),FALSE))</f>
        <v/>
      </c>
      <c r="BE145" s="286" t="str">
        <f>IF(AG145="","",VLOOKUP(AG145,AH140:AU146,COLUMN()-COLUMN(AR139),FALSE))</f>
        <v/>
      </c>
      <c r="BF145" s="301" t="str">
        <f>IF(AG145="","",VLOOKUP(AG145,AH140:AU146,COLUMN()-COLUMN(AR139),FALSE))</f>
        <v/>
      </c>
    </row>
    <row r="146" spans="1:58" ht="12" thickBot="1" x14ac:dyDescent="0.25">
      <c r="A146" s="62" t="s">
        <v>890</v>
      </c>
      <c r="B146" s="62" t="s">
        <v>12207</v>
      </c>
      <c r="C146" s="62">
        <v>22</v>
      </c>
      <c r="D146" s="62"/>
      <c r="E146" s="345" t="s">
        <v>8716</v>
      </c>
      <c r="F146" s="345" t="s">
        <v>9526</v>
      </c>
      <c r="G146" s="113">
        <v>1</v>
      </c>
      <c r="H146" s="113">
        <v>4</v>
      </c>
      <c r="I146" s="114"/>
      <c r="J146" s="114"/>
      <c r="K146" s="114"/>
      <c r="L146" s="81"/>
      <c r="M146" s="265" t="b">
        <f>NOT(ISERROR(ResultsInd[[#This Row],[Goal-A]]+ResultsInd[[#This Row],[Goal-B]]))</f>
        <v>1</v>
      </c>
      <c r="N146" s="265">
        <f>VALUE(ResultsInd[[#This Row],[Score-A]])</f>
        <v>1</v>
      </c>
      <c r="O146" s="265">
        <f>VALUE(ResultsInd[[#This Row],[Score-B]])</f>
        <v>4</v>
      </c>
      <c r="P146" s="265">
        <f ca="1">IF(AND(ResultsInd[[#This Row],[Category]]&lt;&gt;"",ResultsInd[[#This Row],[Player A]]&lt;&gt;""),COUNTIF(INDIRECT(ResultsInd[[#This Row],[Category]]&amp;"List[Retained Player Name]"),ResultsInd[[#This Row],[Player A]]),"")</f>
        <v>1</v>
      </c>
      <c r="Q146" s="265">
        <f ca="1">IF(AND(ResultsInd[[#This Row],[Category]]&lt;&gt;"",ResultsInd[[#This Row],[Player B]]&lt;&gt;""),COUNTIF(INDIRECT(ResultsInd[[#This Row],[Category]]&amp;"List[Retained Player Name]"),ResultsInd[[#This Row],[Player B]]),"")</f>
        <v>1</v>
      </c>
      <c r="R1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 Zambello</v>
      </c>
      <c r="S146" s="265" t="str">
        <f>IF(ResultsInd[[#This Row],[Score_OK]],IF(ResultsInd[[#This Row],[Stage]]="Groups",ResultsInd[[#This Row],[Category]]&amp;"-"&amp;IF(ResultsInd[[#This Row],[Player B]]="","",IF(ResultsInd[[#This Row],[Score-A]]=ResultsInd[[#This Row],[Score-B]],ResultsInd[[#This Row],[Player A]],"")),""),"")</f>
        <v>OPEN-</v>
      </c>
      <c r="T146" s="265" t="str">
        <f>IF(ResultsInd[[#This Row],[Score_OK]],IF(ResultsInd[[#This Row],[Stage]]="Groups",ResultsInd[[#This Row],[Category]]&amp;"-"&amp;IF(ResultsInd[[#This Row],[Player B]]="","",IF(ResultsInd[[#This Row],[Score-A]]=ResultsInd[[#This Row],[Score-B]],ResultsInd[[#This Row],[Player B]],"")),""),"")</f>
        <v>OPEN-</v>
      </c>
      <c r="U1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OPEN-Quentin Ausset</v>
      </c>
      <c r="V1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OPEN-Quentin Ausset</v>
      </c>
      <c r="X1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OPEN-Quentin Ausset</v>
      </c>
      <c r="Y146" s="264" t="str">
        <f>IF(ResultsInd[[#This Row],[Category]]="","",VLOOKUP(ResultsInd[[#This Row],[Stage]],$P$1:$V$9,MATCH(ResultsInd[[#This Row],[Category]],$Q$1:$V$1,0)+1,FALSE))</f>
        <v>PR1</v>
      </c>
      <c r="Z146" s="264" t="str">
        <f>IF(ResultsInd[[#This Row],[Score_OK]],IF(ResultsInd[[#This Row],[Level]]="R",ResultsInd[[#This Row],[Category]]&amp;"-"&amp;IF(ResultsInd[[#This Row],[LoseInKO]]=ResultsInd[[#This Row],[Category]]&amp;"-"&amp;ResultsInd[[#This Row],[Player A]],ResultsInd[[#This Row],[Player B]],ResultsInd[[#This Row],[Player A]]),""),"")</f>
        <v/>
      </c>
      <c r="AB146" s="8"/>
      <c r="AC146" s="12" t="str">
        <f t="shared" si="119"/>
        <v>OPEN</v>
      </c>
      <c r="AD146" s="312"/>
      <c r="AE146" s="313"/>
      <c r="AF146" s="314"/>
      <c r="AG146" s="294" t="str">
        <f>IF(AP146="","",SMALL(AH140:AH146,ROWS(AG140:AG146)))</f>
        <v/>
      </c>
      <c r="AH146" s="295" t="str">
        <f>IF(AP146="","",RANK(AL146,AL140:AL146)*1000+ROWS(AH140:AH146))</f>
        <v/>
      </c>
      <c r="AI146" s="318" t="str">
        <f t="shared" si="113"/>
        <v/>
      </c>
      <c r="AJ146" s="416" t="b">
        <f>AND(AO146&lt;&gt;"",AO146&gt;0,COUNTIF(AI140:AI146,AI146)&gt;1)</f>
        <v>0</v>
      </c>
      <c r="AK146" s="318" t="str">
        <f t="shared" si="114"/>
        <v/>
      </c>
      <c r="AL146" s="319" t="str">
        <f t="shared" si="115"/>
        <v/>
      </c>
      <c r="AM146" s="416" t="b">
        <f>AND(AO146&lt;&gt;"",AO146&gt;0,COUNTIF(AL140:AL146,AL146)&gt;1)</f>
        <v>0</v>
      </c>
      <c r="AN146" s="306" t="str">
        <f t="shared" si="116"/>
        <v/>
      </c>
      <c r="AO146" s="307" t="str">
        <f t="shared" si="117"/>
        <v/>
      </c>
      <c r="AP146" s="307" t="str">
        <f>IF(OR(AC139="",AD146=""),"",COUNTIF(ResultsInd[Win],AC139&amp;"-"&amp;AD146))</f>
        <v/>
      </c>
      <c r="AQ146" s="307" t="str">
        <f>IF(OR(AC139="",AD146=""),"",COUNTIF(ResultsInd[Draw1],AC139&amp;"-"&amp;AD146)+COUNTIF(ResultsInd[Draw2],AC139&amp;"-"&amp;AD146))</f>
        <v/>
      </c>
      <c r="AR146" s="307" t="str">
        <f>IF(OR(AC139="",AD146=""),"",COUNTIF(ResultsInd[Lose],AC139&amp;"-"&amp;AD146))</f>
        <v/>
      </c>
      <c r="AS146" s="307" t="str">
        <f>IF(OR(AC139="",AD146=""),"",SUMIFS(ResultsInd[Goal-A],ResultsInd[Category],AC139,ResultsInd[Stage],"Groups",ResultsInd[Player A],AD146)+SUMIFS(ResultsInd[Goal-B],ResultsInd[Category],AC139,ResultsInd[Stage],"Groups",ResultsInd[Player B],AD146))</f>
        <v/>
      </c>
      <c r="AT146" s="307" t="str">
        <f>IF(OR(AC139="",AD146=""),"",SUMIFS(ResultsInd[Goal-B],ResultsInd[Category],AC139,ResultsInd[Stage],"Groups",ResultsInd[Player A],AD146)+SUMIFS(ResultsInd[Goal-A],ResultsInd[Category],AC139,ResultsInd[Stage],"Groups",ResultsInd[Player B],AD146))</f>
        <v/>
      </c>
      <c r="AU146" s="308" t="str">
        <f t="shared" si="120"/>
        <v/>
      </c>
      <c r="AV146" s="469" t="str">
        <f>IF(AG146="","",OR(VLOOKUP(AG146,AH140:AU146,3,FALSE),VLOOKUP(AG146,AH140:AU146,6,FALSE)))</f>
        <v/>
      </c>
      <c r="AW146" s="299" t="str">
        <f t="shared" si="118"/>
        <v/>
      </c>
      <c r="AX146" s="287" t="str">
        <f>IF(AG146="","",INDEX(AD140:AD146,MATCH(AG146,AH140:AH146,0)))</f>
        <v/>
      </c>
      <c r="AY146" s="288" t="str">
        <f>IF(AG146="","",VLOOKUP(AG146,AH140:AU146,COLUMN()-COLUMN(AR139),FALSE))</f>
        <v/>
      </c>
      <c r="AZ146" s="288" t="str">
        <f>IF(AG146="","",VLOOKUP(AG146,AH140:AU146,COLUMN()-COLUMN(AR139),FALSE))</f>
        <v/>
      </c>
      <c r="BA146" s="288" t="str">
        <f>IF(AG146="","",VLOOKUP(AG146,AH140:AU146,COLUMN()-COLUMN(AR139),FALSE))</f>
        <v/>
      </c>
      <c r="BB146" s="288" t="str">
        <f>IF(AG146="","",VLOOKUP(AG146,AH140:AU146,COLUMN()-COLUMN(AR139),FALSE))</f>
        <v/>
      </c>
      <c r="BC146" s="288" t="str">
        <f>IF(AG146="","",VLOOKUP(AG146,AH140:AU146,COLUMN()-COLUMN(AR139),FALSE))</f>
        <v/>
      </c>
      <c r="BD146" s="288" t="str">
        <f>IF(AG146="","",VLOOKUP(AG146,AH140:AU146,COLUMN()-COLUMN(AR139),FALSE))</f>
        <v/>
      </c>
      <c r="BE146" s="288" t="str">
        <f>IF(AG146="","",VLOOKUP(AG146,AH140:AU146,COLUMN()-COLUMN(AR139),FALSE))</f>
        <v/>
      </c>
      <c r="BF146" s="302" t="str">
        <f>IF(AG146="","",VLOOKUP(AG146,AH140:AU146,COLUMN()-COLUMN(AR139),FALSE))</f>
        <v/>
      </c>
    </row>
    <row r="147" spans="1:58" ht="13.5" thickBot="1" x14ac:dyDescent="0.25">
      <c r="A147" s="62" t="s">
        <v>890</v>
      </c>
      <c r="B147" s="62" t="s">
        <v>12207</v>
      </c>
      <c r="C147" s="62">
        <v>22</v>
      </c>
      <c r="D147" s="62"/>
      <c r="E147" s="345" t="s">
        <v>10509</v>
      </c>
      <c r="F147" s="345" t="s">
        <v>8082</v>
      </c>
      <c r="G147" s="113">
        <v>4</v>
      </c>
      <c r="H147" s="113">
        <v>0</v>
      </c>
      <c r="I147" s="114"/>
      <c r="J147" s="114"/>
      <c r="K147" s="114"/>
      <c r="L147" s="81"/>
      <c r="M147" s="265" t="b">
        <f>NOT(ISERROR(ResultsInd[[#This Row],[Goal-A]]+ResultsInd[[#This Row],[Goal-B]]))</f>
        <v>1</v>
      </c>
      <c r="N147" s="265">
        <f>VALUE(ResultsInd[[#This Row],[Score-A]])</f>
        <v>4</v>
      </c>
      <c r="O147" s="265">
        <f>VALUE(ResultsInd[[#This Row],[Score-B]])</f>
        <v>0</v>
      </c>
      <c r="P147" s="265">
        <f ca="1">IF(AND(ResultsInd[[#This Row],[Category]]&lt;&gt;"",ResultsInd[[#This Row],[Player A]]&lt;&gt;""),COUNTIF(INDIRECT(ResultsInd[[#This Row],[Category]]&amp;"List[Retained Player Name]"),ResultsInd[[#This Row],[Player A]]),"")</f>
        <v>1</v>
      </c>
      <c r="Q147" s="265">
        <f ca="1">IF(AND(ResultsInd[[#This Row],[Category]]&lt;&gt;"",ResultsInd[[#This Row],[Player B]]&lt;&gt;""),COUNTIF(INDIRECT(ResultsInd[[#This Row],[Category]]&amp;"List[Retained Player Name]"),ResultsInd[[#This Row],[Player B]]),"")</f>
        <v>1</v>
      </c>
      <c r="R1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OPEN-Sérgio Loureiro</v>
      </c>
      <c r="S147" s="265" t="str">
        <f>IF(ResultsInd[[#This Row],[Score_OK]],IF(ResultsInd[[#This Row],[Stage]]="Groups",ResultsInd[[#This Row],[Category]]&amp;"-"&amp;IF(ResultsInd[[#This Row],[Player B]]="","",IF(ResultsInd[[#This Row],[Score-A]]=ResultsInd[[#This Row],[Score-B]],ResultsInd[[#This Row],[Player A]],"")),""),"")</f>
        <v>OPEN-</v>
      </c>
      <c r="T147" s="265" t="str">
        <f>IF(ResultsInd[[#This Row],[Score_OK]],IF(ResultsInd[[#This Row],[Stage]]="Groups",ResultsInd[[#This Row],[Category]]&amp;"-"&amp;IF(ResultsInd[[#This Row],[Player B]]="","",IF(ResultsInd[[#This Row],[Score-A]]=ResultsInd[[#This Row],[Score-B]],ResultsInd[[#This Row],[Player B]],"")),""),"")</f>
        <v>OPEN-</v>
      </c>
      <c r="U1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OPEN-Pierre De Leeuw</v>
      </c>
      <c r="V1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OPEN-Pierre De Leeuw</v>
      </c>
      <c r="X1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OPEN-Pierre De Leeuw</v>
      </c>
      <c r="Y147" s="264" t="str">
        <f>IF(ResultsInd[[#This Row],[Category]]="","",VLOOKUP(ResultsInd[[#This Row],[Stage]],$P$1:$V$9,MATCH(ResultsInd[[#This Row],[Category]],$Q$1:$V$1,0)+1,FALSE))</f>
        <v>PR1</v>
      </c>
      <c r="Z147" s="264" t="str">
        <f>IF(ResultsInd[[#This Row],[Score_OK]],IF(ResultsInd[[#This Row],[Level]]="R",ResultsInd[[#This Row],[Category]]&amp;"-"&amp;IF(ResultsInd[[#This Row],[LoseInKO]]=ResultsInd[[#This Row],[Category]]&amp;"-"&amp;ResultsInd[[#This Row],[Player A]],ResultsInd[[#This Row],[Player B]],ResultsInd[[#This Row],[Player A]]),""),"")</f>
        <v/>
      </c>
      <c r="AB147" s="8"/>
      <c r="AC147" s="8"/>
      <c r="AF147" s="170"/>
      <c r="AG147" s="101"/>
      <c r="AH147" s="101"/>
      <c r="AN147" s="170"/>
      <c r="AO147" s="170"/>
      <c r="AP147" s="170"/>
      <c r="AQ147" s="172"/>
      <c r="AR147" s="173"/>
      <c r="AS147" s="173"/>
      <c r="AT147" s="173"/>
      <c r="AU147" s="101"/>
      <c r="AV147" s="101"/>
      <c r="AW147" s="101"/>
      <c r="AX147" s="101"/>
      <c r="AY147" s="101"/>
      <c r="AZ147" s="101"/>
    </row>
    <row r="148" spans="1:58" ht="12" thickBot="1" x14ac:dyDescent="0.25">
      <c r="A148" s="62" t="s">
        <v>890</v>
      </c>
      <c r="B148" s="62" t="s">
        <v>12207</v>
      </c>
      <c r="C148" s="62">
        <v>23</v>
      </c>
      <c r="D148" s="62"/>
      <c r="E148" s="345" t="s">
        <v>10506</v>
      </c>
      <c r="F148" s="345" t="s">
        <v>10448</v>
      </c>
      <c r="G148" s="113">
        <v>2</v>
      </c>
      <c r="H148" s="113">
        <v>1</v>
      </c>
      <c r="I148" s="114"/>
      <c r="J148" s="114"/>
      <c r="K148" s="114"/>
      <c r="L148" s="81"/>
      <c r="M148" s="265" t="b">
        <f>NOT(ISERROR(ResultsInd[[#This Row],[Goal-A]]+ResultsInd[[#This Row],[Goal-B]]))</f>
        <v>1</v>
      </c>
      <c r="N148" s="265">
        <f>VALUE(ResultsInd[[#This Row],[Score-A]])</f>
        <v>2</v>
      </c>
      <c r="O148" s="265">
        <f>VALUE(ResultsInd[[#This Row],[Score-B]])</f>
        <v>1</v>
      </c>
      <c r="P148" s="265">
        <f ca="1">IF(AND(ResultsInd[[#This Row],[Category]]&lt;&gt;"",ResultsInd[[#This Row],[Player A]]&lt;&gt;""),COUNTIF(INDIRECT(ResultsInd[[#This Row],[Category]]&amp;"List[Retained Player Name]"),ResultsInd[[#This Row],[Player A]]),"")</f>
        <v>1</v>
      </c>
      <c r="Q148" s="265">
        <f ca="1">IF(AND(ResultsInd[[#This Row],[Category]]&lt;&gt;"",ResultsInd[[#This Row],[Player B]]&lt;&gt;""),COUNTIF(INDIRECT(ResultsInd[[#This Row],[Category]]&amp;"List[Retained Player Name]"),ResultsInd[[#This Row],[Player B]]),"")</f>
        <v>1</v>
      </c>
      <c r="R1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OPEN-Ricardo José</v>
      </c>
      <c r="S148" s="265" t="str">
        <f>IF(ResultsInd[[#This Row],[Score_OK]],IF(ResultsInd[[#This Row],[Stage]]="Groups",ResultsInd[[#This Row],[Category]]&amp;"-"&amp;IF(ResultsInd[[#This Row],[Player B]]="","",IF(ResultsInd[[#This Row],[Score-A]]=ResultsInd[[#This Row],[Score-B]],ResultsInd[[#This Row],[Player A]],"")),""),"")</f>
        <v>OPEN-</v>
      </c>
      <c r="T148" s="265" t="str">
        <f>IF(ResultsInd[[#This Row],[Score_OK]],IF(ResultsInd[[#This Row],[Stage]]="Groups",ResultsInd[[#This Row],[Category]]&amp;"-"&amp;IF(ResultsInd[[#This Row],[Player B]]="","",IF(ResultsInd[[#This Row],[Score-A]]=ResultsInd[[#This Row],[Score-B]],ResultsInd[[#This Row],[Player B]],"")),""),"")</f>
        <v>OPEN-</v>
      </c>
      <c r="U1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OPEN-Spencer Conti</v>
      </c>
      <c r="V1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OPEN-Spencer Conti</v>
      </c>
      <c r="X1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OPEN-Spencer Conti</v>
      </c>
      <c r="Y148" s="264" t="str">
        <f>IF(ResultsInd[[#This Row],[Category]]="","",VLOOKUP(ResultsInd[[#This Row],[Stage]],$P$1:$V$9,MATCH(ResultsInd[[#This Row],[Category]],$Q$1:$V$1,0)+1,FALSE))</f>
        <v>PR1</v>
      </c>
      <c r="Z148" s="264" t="str">
        <f>IF(ResultsInd[[#This Row],[Score_OK]],IF(ResultsInd[[#This Row],[Level]]="R",ResultsInd[[#This Row],[Category]]&amp;"-"&amp;IF(ResultsInd[[#This Row],[LoseInKO]]=ResultsInd[[#This Row],[Category]]&amp;"-"&amp;ResultsInd[[#This Row],[Player A]],ResultsInd[[#This Row],[Player B]],ResultsInd[[#This Row],[Player A]]),""),"")</f>
        <v/>
      </c>
      <c r="AB148" s="281">
        <v>15</v>
      </c>
      <c r="AC148" s="315" t="s">
        <v>890</v>
      </c>
      <c r="AD148" s="289" t="s">
        <v>14439</v>
      </c>
      <c r="AE148" s="290" t="s">
        <v>12279</v>
      </c>
      <c r="AF148" s="284" t="s">
        <v>12275</v>
      </c>
      <c r="AG148" s="296" t="s">
        <v>12276</v>
      </c>
      <c r="AH148" s="291" t="s">
        <v>12271</v>
      </c>
      <c r="AI148" s="291" t="s">
        <v>12272</v>
      </c>
      <c r="AJ148" s="414" t="s">
        <v>13154</v>
      </c>
      <c r="AK148" s="291" t="s">
        <v>12273</v>
      </c>
      <c r="AL148" s="297" t="s">
        <v>12274</v>
      </c>
      <c r="AM148" s="414" t="s">
        <v>13154</v>
      </c>
      <c r="AN148" s="303" t="s">
        <v>12199</v>
      </c>
      <c r="AO148" s="304" t="s">
        <v>12200</v>
      </c>
      <c r="AP148" s="304" t="s">
        <v>12201</v>
      </c>
      <c r="AQ148" s="304" t="s">
        <v>12202</v>
      </c>
      <c r="AR148" s="304" t="s">
        <v>12203</v>
      </c>
      <c r="AS148" s="304" t="s">
        <v>12204</v>
      </c>
      <c r="AT148" s="304" t="s">
        <v>12205</v>
      </c>
      <c r="AU148" s="305" t="s">
        <v>12206</v>
      </c>
      <c r="AV148" s="468"/>
      <c r="AW148" s="282" t="s">
        <v>12276</v>
      </c>
      <c r="AX148" s="282" t="s">
        <v>12280</v>
      </c>
      <c r="AY148" s="283" t="s">
        <v>12199</v>
      </c>
      <c r="AZ148" s="283" t="s">
        <v>12200</v>
      </c>
      <c r="BA148" s="283" t="s">
        <v>12201</v>
      </c>
      <c r="BB148" s="283" t="s">
        <v>12202</v>
      </c>
      <c r="BC148" s="283" t="s">
        <v>12203</v>
      </c>
      <c r="BD148" s="283" t="s">
        <v>12204</v>
      </c>
      <c r="BE148" s="283" t="s">
        <v>12205</v>
      </c>
      <c r="BF148" s="300" t="s">
        <v>12206</v>
      </c>
    </row>
    <row r="149" spans="1:58" ht="12" thickBot="1" x14ac:dyDescent="0.25">
      <c r="A149" s="62" t="s">
        <v>890</v>
      </c>
      <c r="B149" s="62" t="s">
        <v>12207</v>
      </c>
      <c r="C149" s="62">
        <v>23</v>
      </c>
      <c r="D149" s="62"/>
      <c r="E149" s="345" t="s">
        <v>8171</v>
      </c>
      <c r="F149" s="345" t="s">
        <v>8091</v>
      </c>
      <c r="G149" s="113">
        <v>2</v>
      </c>
      <c r="H149" s="113">
        <v>4</v>
      </c>
      <c r="I149" s="114"/>
      <c r="J149" s="114"/>
      <c r="K149" s="114"/>
      <c r="L149" s="81"/>
      <c r="M149" s="265" t="b">
        <f>NOT(ISERROR(ResultsInd[[#This Row],[Goal-A]]+ResultsInd[[#This Row],[Goal-B]]))</f>
        <v>1</v>
      </c>
      <c r="N149" s="265">
        <f>VALUE(ResultsInd[[#This Row],[Score-A]])</f>
        <v>2</v>
      </c>
      <c r="O149" s="265">
        <f>VALUE(ResultsInd[[#This Row],[Score-B]])</f>
        <v>4</v>
      </c>
      <c r="P149" s="265">
        <f ca="1">IF(AND(ResultsInd[[#This Row],[Category]]&lt;&gt;"",ResultsInd[[#This Row],[Player A]]&lt;&gt;""),COUNTIF(INDIRECT(ResultsInd[[#This Row],[Category]]&amp;"List[Retained Player Name]"),ResultsInd[[#This Row],[Player A]]),"")</f>
        <v>1</v>
      </c>
      <c r="Q149" s="265">
        <f ca="1">IF(AND(ResultsInd[[#This Row],[Category]]&lt;&gt;"",ResultsInd[[#This Row],[Player B]]&lt;&gt;""),COUNTIF(INDIRECT(ResultsInd[[#This Row],[Category]]&amp;"List[Retained Player Name]"),ResultsInd[[#This Row],[Player B]]),"")</f>
        <v>1</v>
      </c>
      <c r="R1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OPEN-Delphine Dieudonne</v>
      </c>
      <c r="S149" s="265" t="str">
        <f>IF(ResultsInd[[#This Row],[Score_OK]],IF(ResultsInd[[#This Row],[Stage]]="Groups",ResultsInd[[#This Row],[Category]]&amp;"-"&amp;IF(ResultsInd[[#This Row],[Player B]]="","",IF(ResultsInd[[#This Row],[Score-A]]=ResultsInd[[#This Row],[Score-B]],ResultsInd[[#This Row],[Player A]],"")),""),"")</f>
        <v>OPEN-</v>
      </c>
      <c r="T149" s="265" t="str">
        <f>IF(ResultsInd[[#This Row],[Score_OK]],IF(ResultsInd[[#This Row],[Stage]]="Groups",ResultsInd[[#This Row],[Category]]&amp;"-"&amp;IF(ResultsInd[[#This Row],[Player B]]="","",IF(ResultsInd[[#This Row],[Score-A]]=ResultsInd[[#This Row],[Score-B]],ResultsInd[[#This Row],[Player B]],"")),""),"")</f>
        <v>OPEN-</v>
      </c>
      <c r="U1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OPEN-Frédéric Thiel</v>
      </c>
      <c r="V1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OPEN-Frédéric Thiel</v>
      </c>
      <c r="X1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OPEN-Frédéric Thiel</v>
      </c>
      <c r="Y149" s="264" t="str">
        <f>IF(ResultsInd[[#This Row],[Category]]="","",VLOOKUP(ResultsInd[[#This Row],[Stage]],$P$1:$V$9,MATCH(ResultsInd[[#This Row],[Category]],$Q$1:$V$1,0)+1,FALSE))</f>
        <v>PR1</v>
      </c>
      <c r="Z149" s="264" t="str">
        <f>IF(ResultsInd[[#This Row],[Score_OK]],IF(ResultsInd[[#This Row],[Level]]="R",ResultsInd[[#This Row],[Category]]&amp;"-"&amp;IF(ResultsInd[[#This Row],[LoseInKO]]=ResultsInd[[#This Row],[Category]]&amp;"-"&amp;ResultsInd[[#This Row],[Player A]],ResultsInd[[#This Row],[Player B]],ResultsInd[[#This Row],[Player A]]),""),"")</f>
        <v/>
      </c>
      <c r="AB149" s="8"/>
      <c r="AC149" s="12" t="str">
        <f>IF(AC148="","",AC148)</f>
        <v>OPEN</v>
      </c>
      <c r="AD149" s="309" t="s">
        <v>10424</v>
      </c>
      <c r="AE149" s="320"/>
      <c r="AF149" s="311"/>
      <c r="AG149" s="292">
        <f>IF(AP149="","",SMALL(AH149:AH155,ROWS(AG149:AG149)))</f>
        <v>1003</v>
      </c>
      <c r="AH149" s="293">
        <f>IF(AP149="","",RANK(AL149,AL149:AL155)*1000+ROWS(AH149:AH149))</f>
        <v>2001</v>
      </c>
      <c r="AI149" s="316">
        <f t="shared" ref="AI149:AI155" si="121">IF(AP149="","",CritClassInd1_Points*AN149+CritClassInd1_Matches*AP149+CritClassInd1_Attaque*AS149+CritClassInd1_DiffButs*AU149)</f>
        <v>6000000000000</v>
      </c>
      <c r="AJ149" s="415" t="b">
        <f>AND(AO149&lt;&gt;"",AO149&gt;0,COUNTIF(AI149:AI155,AI149)&gt;1)</f>
        <v>0</v>
      </c>
      <c r="AK149" s="316">
        <f t="shared" ref="AK149:AK155" si="122">IF(AP149="","",CritClassInd_ScorePart*AE149)</f>
        <v>0</v>
      </c>
      <c r="AL149" s="317">
        <f t="shared" ref="AL149:AL155" si="123">IF(AP149="","",AI149+AK149+CritClassInd2_Points*AN149+CritClassInd2_Matches*AP149+CritClassInd2_Attaque*AS149+CritClassInd2_DiffButs*AU149+AF149)</f>
        <v>6000000050900</v>
      </c>
      <c r="AM149" s="415" t="b">
        <f>AND(AO149&lt;&gt;"",AO149&gt;0,COUNTIF(AL149:AL155,AL149)&gt;1)</f>
        <v>0</v>
      </c>
      <c r="AN149" s="306">
        <f t="shared" ref="AN149:AN155" si="124">IF(AP149="","",(AP149*Points_Victoire)+AQ149*Points_Null)</f>
        <v>6</v>
      </c>
      <c r="AO149" s="307">
        <f t="shared" ref="AO149:AO155" si="125">IF(AP149="","",SUM(AP149:AR149))</f>
        <v>3</v>
      </c>
      <c r="AP149" s="307">
        <f>IF(OR(AC148="",AD149=""),"",COUNTIF(ResultsInd[Win],AC148&amp;"-"&amp;AD149))</f>
        <v>2</v>
      </c>
      <c r="AQ149" s="307">
        <f>IF(OR(AC148="",AD149=""),"",COUNTIF(ResultsInd[Draw1],AC148&amp;"-"&amp;AD149)+COUNTIF(ResultsInd[Draw2],AC148&amp;"-"&amp;AD149))</f>
        <v>0</v>
      </c>
      <c r="AR149" s="307">
        <f>IF(OR(AC148="",AD149=""),"",COUNTIF(ResultsInd[Lose],AC148&amp;"-"&amp;AD149))</f>
        <v>1</v>
      </c>
      <c r="AS149" s="307">
        <f>IF(OR(AC148="",AD149=""),"",SUMIFS(ResultsInd[Goal-A],ResultsInd[Category],AC148,ResultsInd[Stage],"Groups",ResultsInd[Player A],AD149)+SUMIFS(ResultsInd[Goal-B],ResultsInd[Category],AC148,ResultsInd[Stage],"Groups",ResultsInd[Player B],AD149))</f>
        <v>9</v>
      </c>
      <c r="AT149" s="307">
        <f>IF(OR(AC148="",AD149=""),"",SUMIFS(ResultsInd[Goal-B],ResultsInd[Category],AC148,ResultsInd[Stage],"Groups",ResultsInd[Player A],AD149)+SUMIFS(ResultsInd[Goal-A],ResultsInd[Category],AC148,ResultsInd[Stage],"Groups",ResultsInd[Player B],AD149))</f>
        <v>4</v>
      </c>
      <c r="AU149" s="308">
        <f>IF(AP149="","",AS149-AT149)</f>
        <v>5</v>
      </c>
      <c r="AV149" s="469" t="b">
        <f>IF(AG149="","",OR(VLOOKUP(AG149,AH149:AU155,3,FALSE),VLOOKUP(AG149,AH149:AU155,6,FALSE)))</f>
        <v>0</v>
      </c>
      <c r="AW149" s="298">
        <f t="shared" ref="AW149:AW155" si="126">IF(AG149="","",INT(AG149/1000))</f>
        <v>1</v>
      </c>
      <c r="AX149" s="285" t="str">
        <f>IF(AG149="","",INDEX(AD149:AD155,MATCH(AG149,AH149:AH155,0)))</f>
        <v>Emanuele Licheri</v>
      </c>
      <c r="AY149" s="286">
        <f>IF(AG149="","",VLOOKUP(AG149,AH149:AU155,COLUMN()-COLUMN(AR148),FALSE))</f>
        <v>9</v>
      </c>
      <c r="AZ149" s="286">
        <f>IF(AG149="","",VLOOKUP(AG149,AH149:AU155,COLUMN()-COLUMN(AR148),FALSE))</f>
        <v>3</v>
      </c>
      <c r="BA149" s="286">
        <f>IF(AG149="","",VLOOKUP(AG149,AH149:AU155,COLUMN()-COLUMN(AR148),FALSE))</f>
        <v>3</v>
      </c>
      <c r="BB149" s="286">
        <f>IF(AG149="","",VLOOKUP(AG149,AH149:AU155,COLUMN()-COLUMN(AR148),FALSE))</f>
        <v>0</v>
      </c>
      <c r="BC149" s="286">
        <f>IF(AG149="","",VLOOKUP(AG149,AH149:AU155,COLUMN()-COLUMN(AR148),FALSE))</f>
        <v>0</v>
      </c>
      <c r="BD149" s="286">
        <f>IF(AG149="","",VLOOKUP(AG149,AH149:AU155,COLUMN()-COLUMN(AR148),FALSE))</f>
        <v>13</v>
      </c>
      <c r="BE149" s="286">
        <f>IF(AG149="","",VLOOKUP(AG149,AH149:AU155,COLUMN()-COLUMN(AR148),FALSE))</f>
        <v>3</v>
      </c>
      <c r="BF149" s="301">
        <f>IF(AG149="","",VLOOKUP(AG149,AH149:AU155,COLUMN()-COLUMN(AR148),FALSE))</f>
        <v>10</v>
      </c>
    </row>
    <row r="150" spans="1:58" ht="12" thickBot="1" x14ac:dyDescent="0.25">
      <c r="A150" s="62" t="s">
        <v>890</v>
      </c>
      <c r="B150" s="62" t="s">
        <v>12207</v>
      </c>
      <c r="C150" s="62">
        <v>23</v>
      </c>
      <c r="D150" s="62"/>
      <c r="E150" s="345" t="s">
        <v>10506</v>
      </c>
      <c r="F150" s="345" t="s">
        <v>8171</v>
      </c>
      <c r="G150" s="113">
        <v>5</v>
      </c>
      <c r="H150" s="113">
        <v>1</v>
      </c>
      <c r="I150" s="114"/>
      <c r="J150" s="114"/>
      <c r="K150" s="114"/>
      <c r="L150" s="81"/>
      <c r="M150" s="265" t="b">
        <f>NOT(ISERROR(ResultsInd[[#This Row],[Goal-A]]+ResultsInd[[#This Row],[Goal-B]]))</f>
        <v>1</v>
      </c>
      <c r="N150" s="265">
        <f>VALUE(ResultsInd[[#This Row],[Score-A]])</f>
        <v>5</v>
      </c>
      <c r="O150" s="265">
        <f>VALUE(ResultsInd[[#This Row],[Score-B]])</f>
        <v>1</v>
      </c>
      <c r="P150" s="265">
        <f ca="1">IF(AND(ResultsInd[[#This Row],[Category]]&lt;&gt;"",ResultsInd[[#This Row],[Player A]]&lt;&gt;""),COUNTIF(INDIRECT(ResultsInd[[#This Row],[Category]]&amp;"List[Retained Player Name]"),ResultsInd[[#This Row],[Player A]]),"")</f>
        <v>1</v>
      </c>
      <c r="Q150" s="265">
        <f ca="1">IF(AND(ResultsInd[[#This Row],[Category]]&lt;&gt;"",ResultsInd[[#This Row],[Player B]]&lt;&gt;""),COUNTIF(INDIRECT(ResultsInd[[#This Row],[Category]]&amp;"List[Retained Player Name]"),ResultsInd[[#This Row],[Player B]]),"")</f>
        <v>1</v>
      </c>
      <c r="R1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OPEN-Ricardo José</v>
      </c>
      <c r="S150" s="265" t="str">
        <f>IF(ResultsInd[[#This Row],[Score_OK]],IF(ResultsInd[[#This Row],[Stage]]="Groups",ResultsInd[[#This Row],[Category]]&amp;"-"&amp;IF(ResultsInd[[#This Row],[Player B]]="","",IF(ResultsInd[[#This Row],[Score-A]]=ResultsInd[[#This Row],[Score-B]],ResultsInd[[#This Row],[Player A]],"")),""),"")</f>
        <v>OPEN-</v>
      </c>
      <c r="T150" s="265" t="str">
        <f>IF(ResultsInd[[#This Row],[Score_OK]],IF(ResultsInd[[#This Row],[Stage]]="Groups",ResultsInd[[#This Row],[Category]]&amp;"-"&amp;IF(ResultsInd[[#This Row],[Player B]]="","",IF(ResultsInd[[#This Row],[Score-A]]=ResultsInd[[#This Row],[Score-B]],ResultsInd[[#This Row],[Player B]],"")),""),"")</f>
        <v>OPEN-</v>
      </c>
      <c r="U1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OPEN-Frédéric Thiel</v>
      </c>
      <c r="V1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OPEN-Frédéric Thiel</v>
      </c>
      <c r="X1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OPEN-Frédéric Thiel</v>
      </c>
      <c r="Y150" s="264" t="str">
        <f>IF(ResultsInd[[#This Row],[Category]]="","",VLOOKUP(ResultsInd[[#This Row],[Stage]],$P$1:$V$9,MATCH(ResultsInd[[#This Row],[Category]],$Q$1:$V$1,0)+1,FALSE))</f>
        <v>PR1</v>
      </c>
      <c r="Z150" s="264" t="str">
        <f>IF(ResultsInd[[#This Row],[Score_OK]],IF(ResultsInd[[#This Row],[Level]]="R",ResultsInd[[#This Row],[Category]]&amp;"-"&amp;IF(ResultsInd[[#This Row],[LoseInKO]]=ResultsInd[[#This Row],[Category]]&amp;"-"&amp;ResultsInd[[#This Row],[Player A]],ResultsInd[[#This Row],[Player B]],ResultsInd[[#This Row],[Player A]]),""),"")</f>
        <v/>
      </c>
      <c r="AB150" s="8"/>
      <c r="AC150" s="12" t="str">
        <f t="shared" ref="AC150:AC155" si="127">IF(AC149="","",AC149)</f>
        <v>OPEN</v>
      </c>
      <c r="AD150" s="309" t="s">
        <v>8144</v>
      </c>
      <c r="AE150" s="320"/>
      <c r="AF150" s="311"/>
      <c r="AG150" s="292">
        <f>IF(AP150="","",SMALL(AH149:AH155,ROWS(AG149:AG150)))</f>
        <v>2001</v>
      </c>
      <c r="AH150" s="293">
        <f>IF(AP150="","",RANK(AL150,AL149:AL155)*1000+ROWS(AH149:AH150))</f>
        <v>3002</v>
      </c>
      <c r="AI150" s="316">
        <f t="shared" si="121"/>
        <v>3000000000000</v>
      </c>
      <c r="AJ150" s="415" t="b">
        <f>AND(AO150&lt;&gt;"",AO150&gt;0,COUNTIF(AI149:AI155,AI150)&gt;1)</f>
        <v>0</v>
      </c>
      <c r="AK150" s="316">
        <f t="shared" si="122"/>
        <v>0</v>
      </c>
      <c r="AL150" s="317">
        <f t="shared" si="123"/>
        <v>3000000000500</v>
      </c>
      <c r="AM150" s="415" t="b">
        <f>AND(AO150&lt;&gt;"",AO150&gt;0,COUNTIF(AL149:AL155,AL150)&gt;1)</f>
        <v>0</v>
      </c>
      <c r="AN150" s="306">
        <f t="shared" si="124"/>
        <v>3</v>
      </c>
      <c r="AO150" s="307">
        <f t="shared" si="125"/>
        <v>3</v>
      </c>
      <c r="AP150" s="307">
        <f>IF(OR(AC148="",AD150=""),"",COUNTIF(ResultsInd[Win],AC148&amp;"-"&amp;AD150))</f>
        <v>1</v>
      </c>
      <c r="AQ150" s="307">
        <f>IF(OR(AC148="",AD150=""),"",COUNTIF(ResultsInd[Draw1],AC148&amp;"-"&amp;AD150)+COUNTIF(ResultsInd[Draw2],AC148&amp;"-"&amp;AD150))</f>
        <v>0</v>
      </c>
      <c r="AR150" s="307">
        <f>IF(OR(AC148="",AD150=""),"",COUNTIF(ResultsInd[Lose],AC148&amp;"-"&amp;AD150))</f>
        <v>2</v>
      </c>
      <c r="AS150" s="307">
        <f>IF(OR(AC148="",AD150=""),"",SUMIFS(ResultsInd[Goal-A],ResultsInd[Category],AC148,ResultsInd[Stage],"Groups",ResultsInd[Player A],AD150)+SUMIFS(ResultsInd[Goal-B],ResultsInd[Category],AC148,ResultsInd[Stage],"Groups",ResultsInd[Player B],AD150))</f>
        <v>5</v>
      </c>
      <c r="AT150" s="307">
        <f>IF(OR(AC148="",AD150=""),"",SUMIFS(ResultsInd[Goal-B],ResultsInd[Category],AC148,ResultsInd[Stage],"Groups",ResultsInd[Player A],AD150)+SUMIFS(ResultsInd[Goal-A],ResultsInd[Category],AC148,ResultsInd[Stage],"Groups",ResultsInd[Player B],AD150))</f>
        <v>5</v>
      </c>
      <c r="AU150" s="308">
        <f t="shared" ref="AU150:AU155" si="128">IF(AP150="","",AS150-AT150)</f>
        <v>0</v>
      </c>
      <c r="AV150" s="469" t="b">
        <f>IF(AG150="","",OR(VLOOKUP(AG150,AH149:AU155,3,FALSE),VLOOKUP(AG150,AH149:AU155,6,FALSE)))</f>
        <v>0</v>
      </c>
      <c r="AW150" s="298">
        <f t="shared" si="126"/>
        <v>2</v>
      </c>
      <c r="AX150" s="285" t="str">
        <f>IF(AG150="","",INDEX(AD149:AD155,MATCH(AG150,AH149:AH155,0)))</f>
        <v>George Ebejer</v>
      </c>
      <c r="AY150" s="286">
        <f>IF(AG150="","",VLOOKUP(AG150,AH149:AU155,COLUMN()-COLUMN(AR148),FALSE))</f>
        <v>6</v>
      </c>
      <c r="AZ150" s="286">
        <f>IF(AG150="","",VLOOKUP(AG150,AH149:AU155,COLUMN()-COLUMN(AR148),FALSE))</f>
        <v>3</v>
      </c>
      <c r="BA150" s="286">
        <f>IF(AG150="","",VLOOKUP(AG150,AH149:AU155,COLUMN()-COLUMN(AR148),FALSE))</f>
        <v>2</v>
      </c>
      <c r="BB150" s="286">
        <f>IF(AG150="","",VLOOKUP(AG150,AH149:AU155,COLUMN()-COLUMN(AR148),FALSE))</f>
        <v>0</v>
      </c>
      <c r="BC150" s="286">
        <f>IF(AG150="","",VLOOKUP(AG150,AH149:AU155,COLUMN()-COLUMN(AR148),FALSE))</f>
        <v>1</v>
      </c>
      <c r="BD150" s="286">
        <f>IF(AG150="","",VLOOKUP(AG150,AH149:AU155,COLUMN()-COLUMN(AR148),FALSE))</f>
        <v>9</v>
      </c>
      <c r="BE150" s="286">
        <f>IF(AG150="","",VLOOKUP(AG150,AH149:AU155,COLUMN()-COLUMN(AR148),FALSE))</f>
        <v>4</v>
      </c>
      <c r="BF150" s="301">
        <f>IF(AG150="","",VLOOKUP(AG150,AH149:AU155,COLUMN()-COLUMN(AR148),FALSE))</f>
        <v>5</v>
      </c>
    </row>
    <row r="151" spans="1:58" ht="12" thickBot="1" x14ac:dyDescent="0.25">
      <c r="A151" s="62" t="s">
        <v>890</v>
      </c>
      <c r="B151" s="62" t="s">
        <v>12207</v>
      </c>
      <c r="C151" s="62">
        <v>23</v>
      </c>
      <c r="D151" s="62"/>
      <c r="E151" s="345" t="s">
        <v>10448</v>
      </c>
      <c r="F151" s="345" t="s">
        <v>8091</v>
      </c>
      <c r="G151" s="113">
        <v>3</v>
      </c>
      <c r="H151" s="113">
        <v>3</v>
      </c>
      <c r="I151" s="114"/>
      <c r="J151" s="114"/>
      <c r="K151" s="114"/>
      <c r="L151" s="81"/>
      <c r="M151" s="265" t="b">
        <f>NOT(ISERROR(ResultsInd[[#This Row],[Goal-A]]+ResultsInd[[#This Row],[Goal-B]]))</f>
        <v>1</v>
      </c>
      <c r="N151" s="265">
        <f>VALUE(ResultsInd[[#This Row],[Score-A]])</f>
        <v>3</v>
      </c>
      <c r="O151" s="265">
        <f>VALUE(ResultsInd[[#This Row],[Score-B]])</f>
        <v>3</v>
      </c>
      <c r="P151" s="265">
        <f ca="1">IF(AND(ResultsInd[[#This Row],[Category]]&lt;&gt;"",ResultsInd[[#This Row],[Player A]]&lt;&gt;""),COUNTIF(INDIRECT(ResultsInd[[#This Row],[Category]]&amp;"List[Retained Player Name]"),ResultsInd[[#This Row],[Player A]]),"")</f>
        <v>1</v>
      </c>
      <c r="Q151" s="265">
        <f ca="1">IF(AND(ResultsInd[[#This Row],[Category]]&lt;&gt;"",ResultsInd[[#This Row],[Player B]]&lt;&gt;""),COUNTIF(INDIRECT(ResultsInd[[#This Row],[Category]]&amp;"List[Retained Player Name]"),ResultsInd[[#This Row],[Player B]]),"")</f>
        <v>1</v>
      </c>
      <c r="R1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51" s="265" t="str">
        <f>IF(ResultsInd[[#This Row],[Score_OK]],IF(ResultsInd[[#This Row],[Stage]]="Groups",ResultsInd[[#This Row],[Category]]&amp;"-"&amp;IF(ResultsInd[[#This Row],[Player B]]="","",IF(ResultsInd[[#This Row],[Score-A]]=ResultsInd[[#This Row],[Score-B]],ResultsInd[[#This Row],[Player A]],"")),""),"")</f>
        <v>OPEN-Spencer Conti</v>
      </c>
      <c r="T151" s="265" t="str">
        <f>IF(ResultsInd[[#This Row],[Score_OK]],IF(ResultsInd[[#This Row],[Stage]]="Groups",ResultsInd[[#This Row],[Category]]&amp;"-"&amp;IF(ResultsInd[[#This Row],[Player B]]="","",IF(ResultsInd[[#This Row],[Score-A]]=ResultsInd[[#This Row],[Score-B]],ResultsInd[[#This Row],[Player B]],"")),""),"")</f>
        <v>OPEN-Delphine Dieudonne</v>
      </c>
      <c r="U1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OPEN-Spencer Conti</v>
      </c>
      <c r="X1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OPEN-Delphine Dieudonne</v>
      </c>
      <c r="Y151" s="264" t="str">
        <f>IF(ResultsInd[[#This Row],[Category]]="","",VLOOKUP(ResultsInd[[#This Row],[Stage]],$P$1:$V$9,MATCH(ResultsInd[[#This Row],[Category]],$Q$1:$V$1,0)+1,FALSE))</f>
        <v>PR1</v>
      </c>
      <c r="Z151" s="264" t="str">
        <f>IF(ResultsInd[[#This Row],[Score_OK]],IF(ResultsInd[[#This Row],[Level]]="R",ResultsInd[[#This Row],[Category]]&amp;"-"&amp;IF(ResultsInd[[#This Row],[LoseInKO]]=ResultsInd[[#This Row],[Category]]&amp;"-"&amp;ResultsInd[[#This Row],[Player A]],ResultsInd[[#This Row],[Player B]],ResultsInd[[#This Row],[Player A]]),""),"")</f>
        <v/>
      </c>
      <c r="AB151" s="8"/>
      <c r="AC151" s="12" t="str">
        <f t="shared" si="127"/>
        <v>OPEN</v>
      </c>
      <c r="AD151" s="309" t="s">
        <v>9915</v>
      </c>
      <c r="AE151" s="320"/>
      <c r="AF151" s="311"/>
      <c r="AG151" s="292">
        <f>IF(AP151="","",SMALL(AH149:AH155,ROWS(AG149:AG151)))</f>
        <v>3002</v>
      </c>
      <c r="AH151" s="293">
        <f>IF(AP151="","",RANK(AL151,AL149:AL155)*1000+ROWS(AH149:AH151))</f>
        <v>1003</v>
      </c>
      <c r="AI151" s="316">
        <f t="shared" si="121"/>
        <v>9000000000000</v>
      </c>
      <c r="AJ151" s="415" t="b">
        <f>AND(AO151&lt;&gt;"",AO151&gt;0,COUNTIF(AI149:AI155,AI151)&gt;1)</f>
        <v>0</v>
      </c>
      <c r="AK151" s="316">
        <f t="shared" si="122"/>
        <v>0</v>
      </c>
      <c r="AL151" s="317">
        <f t="shared" si="123"/>
        <v>9000000101300</v>
      </c>
      <c r="AM151" s="415" t="b">
        <f>AND(AO151&lt;&gt;"",AO151&gt;0,COUNTIF(AL149:AL155,AL151)&gt;1)</f>
        <v>0</v>
      </c>
      <c r="AN151" s="306">
        <f t="shared" si="124"/>
        <v>9</v>
      </c>
      <c r="AO151" s="307">
        <f t="shared" si="125"/>
        <v>3</v>
      </c>
      <c r="AP151" s="307">
        <f>IF(OR(AC148="",AD151=""),"",COUNTIF(ResultsInd[Win],AC148&amp;"-"&amp;AD151))</f>
        <v>3</v>
      </c>
      <c r="AQ151" s="307">
        <f>IF(OR(AC148="",AD151=""),"",COUNTIF(ResultsInd[Draw1],AC148&amp;"-"&amp;AD151)+COUNTIF(ResultsInd[Draw2],AC148&amp;"-"&amp;AD151))</f>
        <v>0</v>
      </c>
      <c r="AR151" s="307">
        <f>IF(OR(AC148="",AD151=""),"",COUNTIF(ResultsInd[Lose],AC148&amp;"-"&amp;AD151))</f>
        <v>0</v>
      </c>
      <c r="AS151" s="307">
        <f>IF(OR(AC148="",AD151=""),"",SUMIFS(ResultsInd[Goal-A],ResultsInd[Category],AC148,ResultsInd[Stage],"Groups",ResultsInd[Player A],AD151)+SUMIFS(ResultsInd[Goal-B],ResultsInd[Category],AC148,ResultsInd[Stage],"Groups",ResultsInd[Player B],AD151))</f>
        <v>13</v>
      </c>
      <c r="AT151" s="307">
        <f>IF(OR(AC148="",AD151=""),"",SUMIFS(ResultsInd[Goal-B],ResultsInd[Category],AC148,ResultsInd[Stage],"Groups",ResultsInd[Player A],AD151)+SUMIFS(ResultsInd[Goal-A],ResultsInd[Category],AC148,ResultsInd[Stage],"Groups",ResultsInd[Player B],AD151))</f>
        <v>3</v>
      </c>
      <c r="AU151" s="308">
        <f t="shared" si="128"/>
        <v>10</v>
      </c>
      <c r="AV151" s="469" t="b">
        <f>IF(AG151="","",OR(VLOOKUP(AG151,AH149:AU155,3,FALSE),VLOOKUP(AG151,AH149:AU155,6,FALSE)))</f>
        <v>0</v>
      </c>
      <c r="AW151" s="298">
        <f t="shared" si="126"/>
        <v>3</v>
      </c>
      <c r="AX151" s="285" t="str">
        <f>IF(AG151="","",INDEX(AD149:AD155,MATCH(AG151,AH149:AH155,0)))</f>
        <v>Salvatore Visconti</v>
      </c>
      <c r="AY151" s="286">
        <f>IF(AG151="","",VLOOKUP(AG151,AH149:AU155,COLUMN()-COLUMN(AR148),FALSE))</f>
        <v>3</v>
      </c>
      <c r="AZ151" s="286">
        <f>IF(AG151="","",VLOOKUP(AG151,AH149:AU155,COLUMN()-COLUMN(AR148),FALSE))</f>
        <v>3</v>
      </c>
      <c r="BA151" s="286">
        <f>IF(AG151="","",VLOOKUP(AG151,AH149:AU155,COLUMN()-COLUMN(AR148),FALSE))</f>
        <v>1</v>
      </c>
      <c r="BB151" s="286">
        <f>IF(AG151="","",VLOOKUP(AG151,AH149:AU155,COLUMN()-COLUMN(AR148),FALSE))</f>
        <v>0</v>
      </c>
      <c r="BC151" s="286">
        <f>IF(AG151="","",VLOOKUP(AG151,AH149:AU155,COLUMN()-COLUMN(AR148),FALSE))</f>
        <v>2</v>
      </c>
      <c r="BD151" s="286">
        <f>IF(AG151="","",VLOOKUP(AG151,AH149:AU155,COLUMN()-COLUMN(AR148),FALSE))</f>
        <v>5</v>
      </c>
      <c r="BE151" s="286">
        <f>IF(AG151="","",VLOOKUP(AG151,AH149:AU155,COLUMN()-COLUMN(AR148),FALSE))</f>
        <v>5</v>
      </c>
      <c r="BF151" s="301">
        <f>IF(AG151="","",VLOOKUP(AG151,AH149:AU155,COLUMN()-COLUMN(AR148),FALSE))</f>
        <v>0</v>
      </c>
    </row>
    <row r="152" spans="1:58" ht="12" thickBot="1" x14ac:dyDescent="0.25">
      <c r="A152" s="62" t="s">
        <v>890</v>
      </c>
      <c r="B152" s="62" t="s">
        <v>12207</v>
      </c>
      <c r="C152" s="62">
        <v>23</v>
      </c>
      <c r="D152" s="62"/>
      <c r="E152" s="345" t="s">
        <v>8091</v>
      </c>
      <c r="F152" s="345" t="s">
        <v>10506</v>
      </c>
      <c r="G152" s="113">
        <v>1</v>
      </c>
      <c r="H152" s="113">
        <v>4</v>
      </c>
      <c r="I152" s="114"/>
      <c r="J152" s="114"/>
      <c r="K152" s="114"/>
      <c r="L152" s="81"/>
      <c r="M152" s="265" t="b">
        <f>NOT(ISERROR(ResultsInd[[#This Row],[Goal-A]]+ResultsInd[[#This Row],[Goal-B]]))</f>
        <v>1</v>
      </c>
      <c r="N152" s="265">
        <f>VALUE(ResultsInd[[#This Row],[Score-A]])</f>
        <v>1</v>
      </c>
      <c r="O152" s="265">
        <f>VALUE(ResultsInd[[#This Row],[Score-B]])</f>
        <v>4</v>
      </c>
      <c r="P152" s="265">
        <f ca="1">IF(AND(ResultsInd[[#This Row],[Category]]&lt;&gt;"",ResultsInd[[#This Row],[Player A]]&lt;&gt;""),COUNTIF(INDIRECT(ResultsInd[[#This Row],[Category]]&amp;"List[Retained Player Name]"),ResultsInd[[#This Row],[Player A]]),"")</f>
        <v>1</v>
      </c>
      <c r="Q152" s="265">
        <f ca="1">IF(AND(ResultsInd[[#This Row],[Category]]&lt;&gt;"",ResultsInd[[#This Row],[Player B]]&lt;&gt;""),COUNTIF(INDIRECT(ResultsInd[[#This Row],[Category]]&amp;"List[Retained Player Name]"),ResultsInd[[#This Row],[Player B]]),"")</f>
        <v>1</v>
      </c>
      <c r="R1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OPEN-Ricardo José</v>
      </c>
      <c r="S152" s="265" t="str">
        <f>IF(ResultsInd[[#This Row],[Score_OK]],IF(ResultsInd[[#This Row],[Stage]]="Groups",ResultsInd[[#This Row],[Category]]&amp;"-"&amp;IF(ResultsInd[[#This Row],[Player B]]="","",IF(ResultsInd[[#This Row],[Score-A]]=ResultsInd[[#This Row],[Score-B]],ResultsInd[[#This Row],[Player A]],"")),""),"")</f>
        <v>OPEN-</v>
      </c>
      <c r="T152" s="265" t="str">
        <f>IF(ResultsInd[[#This Row],[Score_OK]],IF(ResultsInd[[#This Row],[Stage]]="Groups",ResultsInd[[#This Row],[Category]]&amp;"-"&amp;IF(ResultsInd[[#This Row],[Player B]]="","",IF(ResultsInd[[#This Row],[Score-A]]=ResultsInd[[#This Row],[Score-B]],ResultsInd[[#This Row],[Player B]],"")),""),"")</f>
        <v>OPEN-</v>
      </c>
      <c r="U1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OPEN-Delphine Dieudonne</v>
      </c>
      <c r="V1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OPEN-Delphine Dieudonne</v>
      </c>
      <c r="X1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OPEN-Delphine Dieudonne</v>
      </c>
      <c r="Y152" s="264" t="str">
        <f>IF(ResultsInd[[#This Row],[Category]]="","",VLOOKUP(ResultsInd[[#This Row],[Stage]],$P$1:$V$9,MATCH(ResultsInd[[#This Row],[Category]],$Q$1:$V$1,0)+1,FALSE))</f>
        <v>PR1</v>
      </c>
      <c r="Z152" s="264" t="str">
        <f>IF(ResultsInd[[#This Row],[Score_OK]],IF(ResultsInd[[#This Row],[Level]]="R",ResultsInd[[#This Row],[Category]]&amp;"-"&amp;IF(ResultsInd[[#This Row],[LoseInKO]]=ResultsInd[[#This Row],[Category]]&amp;"-"&amp;ResultsInd[[#This Row],[Player A]],ResultsInd[[#This Row],[Player B]],ResultsInd[[#This Row],[Player A]]),""),"")</f>
        <v/>
      </c>
      <c r="AB152" s="91"/>
      <c r="AC152" s="12" t="str">
        <f t="shared" si="127"/>
        <v>OPEN</v>
      </c>
      <c r="AD152" s="309" t="s">
        <v>14582</v>
      </c>
      <c r="AE152" s="310"/>
      <c r="AF152" s="311"/>
      <c r="AG152" s="292">
        <f>IF(AP152="","",SMALL(AH149:AH155,ROWS(AG149:AG152)))</f>
        <v>4004</v>
      </c>
      <c r="AH152" s="293">
        <f>IF(AP152="","",RANK(AL152,AL149:AL155)*1000+ROWS(AH149:AH152))</f>
        <v>4004</v>
      </c>
      <c r="AI152" s="316">
        <f t="shared" si="121"/>
        <v>0</v>
      </c>
      <c r="AJ152" s="415" t="b">
        <f>AND(AO152&lt;&gt;"",AO152&gt;0,COUNTIF(AI149:AI155,AI152)&gt;1)</f>
        <v>0</v>
      </c>
      <c r="AK152" s="316">
        <f t="shared" si="122"/>
        <v>0</v>
      </c>
      <c r="AL152" s="317">
        <f t="shared" si="123"/>
        <v>-149700</v>
      </c>
      <c r="AM152" s="415" t="b">
        <f>AND(AO152&lt;&gt;"",AO152&gt;0,COUNTIF(AL149:AL155,AL152)&gt;1)</f>
        <v>0</v>
      </c>
      <c r="AN152" s="306">
        <f t="shared" si="124"/>
        <v>0</v>
      </c>
      <c r="AO152" s="307">
        <f t="shared" si="125"/>
        <v>3</v>
      </c>
      <c r="AP152" s="307">
        <f>IF(OR(AC148="",AD152=""),"",COUNTIF(ResultsInd[Win],AC148&amp;"-"&amp;AD152))</f>
        <v>0</v>
      </c>
      <c r="AQ152" s="307">
        <f>IF(OR(AC148="",AD152=""),"",COUNTIF(ResultsInd[Draw1],AC148&amp;"-"&amp;AD152)+COUNTIF(ResultsInd[Draw2],AC148&amp;"-"&amp;AD152))</f>
        <v>0</v>
      </c>
      <c r="AR152" s="307">
        <f>IF(OR(AC148="",AD152=""),"",COUNTIF(ResultsInd[Lose],AC148&amp;"-"&amp;AD152))</f>
        <v>3</v>
      </c>
      <c r="AS152" s="307">
        <f>IF(OR(AC148="",AD152=""),"",SUMIFS(ResultsInd[Goal-A],ResultsInd[Category],AC148,ResultsInd[Stage],"Groups",ResultsInd[Player A],AD152)+SUMIFS(ResultsInd[Goal-B],ResultsInd[Category],AC148,ResultsInd[Stage],"Groups",ResultsInd[Player B],AD152))</f>
        <v>3</v>
      </c>
      <c r="AT152" s="307">
        <f>IF(OR(AC148="",AD152=""),"",SUMIFS(ResultsInd[Goal-B],ResultsInd[Category],AC148,ResultsInd[Stage],"Groups",ResultsInd[Player A],AD152)+SUMIFS(ResultsInd[Goal-A],ResultsInd[Category],AC148,ResultsInd[Stage],"Groups",ResultsInd[Player B],AD152))</f>
        <v>18</v>
      </c>
      <c r="AU152" s="308">
        <f t="shared" si="128"/>
        <v>-15</v>
      </c>
      <c r="AV152" s="469" t="b">
        <f>IF(AG152="","",OR(VLOOKUP(AG152,AH149:AU155,3,FALSE),VLOOKUP(AG152,AH149:AU155,6,FALSE)))</f>
        <v>0</v>
      </c>
      <c r="AW152" s="298">
        <f t="shared" si="126"/>
        <v>4</v>
      </c>
      <c r="AX152" s="285" t="str">
        <f>IF(AG152="","",INDEX(AD149:AD155,MATCH(AG152,AH149:AH155,0)))</f>
        <v>Emilio Torrico</v>
      </c>
      <c r="AY152" s="286">
        <f>IF(AG152="","",VLOOKUP(AG152,AH149:AU155,COLUMN()-COLUMN(AR148),FALSE))</f>
        <v>0</v>
      </c>
      <c r="AZ152" s="286">
        <f>IF(AG152="","",VLOOKUP(AG152,AH149:AU155,COLUMN()-COLUMN(AR148),FALSE))</f>
        <v>3</v>
      </c>
      <c r="BA152" s="286">
        <f>IF(AG152="","",VLOOKUP(AG152,AH149:AU155,COLUMN()-COLUMN(AR148),FALSE))</f>
        <v>0</v>
      </c>
      <c r="BB152" s="286">
        <f>IF(AG152="","",VLOOKUP(AG152,AH149:AU155,COLUMN()-COLUMN(AR148),FALSE))</f>
        <v>0</v>
      </c>
      <c r="BC152" s="286">
        <f>IF(AG152="","",VLOOKUP(AG152,AH149:AU155,COLUMN()-COLUMN(AR148),FALSE))</f>
        <v>3</v>
      </c>
      <c r="BD152" s="286">
        <f>IF(AG152="","",VLOOKUP(AG152,AH149:AU155,COLUMN()-COLUMN(AR148),FALSE))</f>
        <v>3</v>
      </c>
      <c r="BE152" s="286">
        <f>IF(AG152="","",VLOOKUP(AG152,AH149:AU155,COLUMN()-COLUMN(AR148),FALSE))</f>
        <v>18</v>
      </c>
      <c r="BF152" s="301">
        <f>IF(AG152="","",VLOOKUP(AG152,AH149:AU155,COLUMN()-COLUMN(AR148),FALSE))</f>
        <v>-15</v>
      </c>
    </row>
    <row r="153" spans="1:58" ht="12" thickBot="1" x14ac:dyDescent="0.25">
      <c r="A153" s="62" t="s">
        <v>890</v>
      </c>
      <c r="B153" s="62" t="s">
        <v>12207</v>
      </c>
      <c r="C153" s="62">
        <v>23</v>
      </c>
      <c r="D153" s="62"/>
      <c r="E153" s="345" t="s">
        <v>10448</v>
      </c>
      <c r="F153" s="345" t="s">
        <v>8171</v>
      </c>
      <c r="G153" s="113">
        <v>3</v>
      </c>
      <c r="H153" s="113">
        <v>1</v>
      </c>
      <c r="I153" s="114"/>
      <c r="J153" s="114"/>
      <c r="K153" s="114"/>
      <c r="L153" s="81"/>
      <c r="M153" s="265" t="b">
        <f>NOT(ISERROR(ResultsInd[[#This Row],[Goal-A]]+ResultsInd[[#This Row],[Goal-B]]))</f>
        <v>1</v>
      </c>
      <c r="N153" s="265">
        <f>VALUE(ResultsInd[[#This Row],[Score-A]])</f>
        <v>3</v>
      </c>
      <c r="O153" s="265">
        <f>VALUE(ResultsInd[[#This Row],[Score-B]])</f>
        <v>1</v>
      </c>
      <c r="P153" s="265">
        <f ca="1">IF(AND(ResultsInd[[#This Row],[Category]]&lt;&gt;"",ResultsInd[[#This Row],[Player A]]&lt;&gt;""),COUNTIF(INDIRECT(ResultsInd[[#This Row],[Category]]&amp;"List[Retained Player Name]"),ResultsInd[[#This Row],[Player A]]),"")</f>
        <v>1</v>
      </c>
      <c r="Q153" s="265">
        <f ca="1">IF(AND(ResultsInd[[#This Row],[Category]]&lt;&gt;"",ResultsInd[[#This Row],[Player B]]&lt;&gt;""),COUNTIF(INDIRECT(ResultsInd[[#This Row],[Category]]&amp;"List[Retained Player Name]"),ResultsInd[[#This Row],[Player B]]),"")</f>
        <v>1</v>
      </c>
      <c r="R1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OPEN-Spencer Conti</v>
      </c>
      <c r="S153" s="265" t="str">
        <f>IF(ResultsInd[[#This Row],[Score_OK]],IF(ResultsInd[[#This Row],[Stage]]="Groups",ResultsInd[[#This Row],[Category]]&amp;"-"&amp;IF(ResultsInd[[#This Row],[Player B]]="","",IF(ResultsInd[[#This Row],[Score-A]]=ResultsInd[[#This Row],[Score-B]],ResultsInd[[#This Row],[Player A]],"")),""),"")</f>
        <v>OPEN-</v>
      </c>
      <c r="T153" s="265" t="str">
        <f>IF(ResultsInd[[#This Row],[Score_OK]],IF(ResultsInd[[#This Row],[Stage]]="Groups",ResultsInd[[#This Row],[Category]]&amp;"-"&amp;IF(ResultsInd[[#This Row],[Player B]]="","",IF(ResultsInd[[#This Row],[Score-A]]=ResultsInd[[#This Row],[Score-B]],ResultsInd[[#This Row],[Player B]],"")),""),"")</f>
        <v>OPEN-</v>
      </c>
      <c r="U1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OPEN-Frédéric Thiel</v>
      </c>
      <c r="V1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OPEN-Frédéric Thiel</v>
      </c>
      <c r="X1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OPEN-Frédéric Thiel</v>
      </c>
      <c r="Y153" s="264" t="str">
        <f>IF(ResultsInd[[#This Row],[Category]]="","",VLOOKUP(ResultsInd[[#This Row],[Stage]],$P$1:$V$9,MATCH(ResultsInd[[#This Row],[Category]],$Q$1:$V$1,0)+1,FALSE))</f>
        <v>PR1</v>
      </c>
      <c r="Z153" s="264" t="str">
        <f>IF(ResultsInd[[#This Row],[Score_OK]],IF(ResultsInd[[#This Row],[Level]]="R",ResultsInd[[#This Row],[Category]]&amp;"-"&amp;IF(ResultsInd[[#This Row],[LoseInKO]]=ResultsInd[[#This Row],[Category]]&amp;"-"&amp;ResultsInd[[#This Row],[Player A]],ResultsInd[[#This Row],[Player B]],ResultsInd[[#This Row],[Player A]]),""),"")</f>
        <v/>
      </c>
      <c r="AB153" s="91"/>
      <c r="AC153" s="12" t="str">
        <f t="shared" si="127"/>
        <v>OPEN</v>
      </c>
      <c r="AD153" s="309"/>
      <c r="AE153" s="310"/>
      <c r="AF153" s="311"/>
      <c r="AG153" s="292" t="str">
        <f>IF(AP153="","",SMALL(AH149:AH155,ROWS(AG149:AG153)))</f>
        <v/>
      </c>
      <c r="AH153" s="293" t="str">
        <f>IF(AP153="","",RANK(AL153,AL149:AL155)*1000+ROWS(AH149:AH153))</f>
        <v/>
      </c>
      <c r="AI153" s="316" t="str">
        <f t="shared" si="121"/>
        <v/>
      </c>
      <c r="AJ153" s="415" t="b">
        <f>AND(AO153&lt;&gt;"",AO153&gt;0,COUNTIF(AI149:AI155,AI153)&gt;1)</f>
        <v>0</v>
      </c>
      <c r="AK153" s="316" t="str">
        <f t="shared" si="122"/>
        <v/>
      </c>
      <c r="AL153" s="317" t="str">
        <f t="shared" si="123"/>
        <v/>
      </c>
      <c r="AM153" s="415" t="b">
        <f>AND(AO153&lt;&gt;"",AO153&gt;0,COUNTIF(AL149:AL155,AL153)&gt;1)</f>
        <v>0</v>
      </c>
      <c r="AN153" s="306" t="str">
        <f t="shared" si="124"/>
        <v/>
      </c>
      <c r="AO153" s="307" t="str">
        <f t="shared" si="125"/>
        <v/>
      </c>
      <c r="AP153" s="307" t="str">
        <f>IF(OR(AC148="",AD153=""),"",COUNTIF(ResultsInd[Win],AC148&amp;"-"&amp;AD153))</f>
        <v/>
      </c>
      <c r="AQ153" s="307" t="str">
        <f>IF(OR(AC148="",AD153=""),"",COUNTIF(ResultsInd[Draw1],AC148&amp;"-"&amp;AD153)+COUNTIF(ResultsInd[Draw2],AC148&amp;"-"&amp;AD153))</f>
        <v/>
      </c>
      <c r="AR153" s="307" t="str">
        <f>IF(OR(AC148="",AD153=""),"",COUNTIF(ResultsInd[Lose],AC148&amp;"-"&amp;AD153))</f>
        <v/>
      </c>
      <c r="AS153" s="307" t="str">
        <f>IF(OR(AC148="",AD153=""),"",SUMIFS(ResultsInd[Goal-A],ResultsInd[Category],AC148,ResultsInd[Stage],"Groups",ResultsInd[Player A],AD153)+SUMIFS(ResultsInd[Goal-B],ResultsInd[Category],AC148,ResultsInd[Stage],"Groups",ResultsInd[Player B],AD153))</f>
        <v/>
      </c>
      <c r="AT153" s="307" t="str">
        <f>IF(OR(AC148="",AD153=""),"",SUMIFS(ResultsInd[Goal-B],ResultsInd[Category],AC148,ResultsInd[Stage],"Groups",ResultsInd[Player A],AD153)+SUMIFS(ResultsInd[Goal-A],ResultsInd[Category],AC148,ResultsInd[Stage],"Groups",ResultsInd[Player B],AD153))</f>
        <v/>
      </c>
      <c r="AU153" s="308" t="str">
        <f t="shared" si="128"/>
        <v/>
      </c>
      <c r="AV153" s="469" t="str">
        <f>IF(AG153="","",OR(VLOOKUP(AG153,AH149:AU155,3,FALSE),VLOOKUP(AG153,AH149:AU155,6,FALSE)))</f>
        <v/>
      </c>
      <c r="AW153" s="298" t="str">
        <f t="shared" si="126"/>
        <v/>
      </c>
      <c r="AX153" s="285" t="str">
        <f>IF(AG153="","",INDEX(AD149:AD155,MATCH(AG153,AH149:AH155,0)))</f>
        <v/>
      </c>
      <c r="AY153" s="286" t="str">
        <f>IF(AG153="","",VLOOKUP(AG153,AH149:AU155,COLUMN()-COLUMN(AR148),FALSE))</f>
        <v/>
      </c>
      <c r="AZ153" s="286" t="str">
        <f>IF(AG153="","",VLOOKUP(AG153,AH149:AU155,COLUMN()-COLUMN(AR148),FALSE))</f>
        <v/>
      </c>
      <c r="BA153" s="286" t="str">
        <f>IF(AG153="","",VLOOKUP(AG153,AH149:AU155,COLUMN()-COLUMN(AR148),FALSE))</f>
        <v/>
      </c>
      <c r="BB153" s="286" t="str">
        <f>IF(AG153="","",VLOOKUP(AG153,AH149:AU155,COLUMN()-COLUMN(AR148),FALSE))</f>
        <v/>
      </c>
      <c r="BC153" s="286" t="str">
        <f>IF(AG153="","",VLOOKUP(AG153,AH149:AU155,COLUMN()-COLUMN(AR148),FALSE))</f>
        <v/>
      </c>
      <c r="BD153" s="286" t="str">
        <f>IF(AG153="","",VLOOKUP(AG153,AH149:AU155,COLUMN()-COLUMN(AR148),FALSE))</f>
        <v/>
      </c>
      <c r="BE153" s="286" t="str">
        <f>IF(AG153="","",VLOOKUP(AG153,AH149:AU155,COLUMN()-COLUMN(AR148),FALSE))</f>
        <v/>
      </c>
      <c r="BF153" s="301" t="str">
        <f>IF(AG153="","",VLOOKUP(AG153,AH149:AU155,COLUMN()-COLUMN(AR148),FALSE))</f>
        <v/>
      </c>
    </row>
    <row r="154" spans="1:58" ht="12" thickBot="1" x14ac:dyDescent="0.25">
      <c r="A154" s="62" t="s">
        <v>890</v>
      </c>
      <c r="B154" s="62" t="s">
        <v>12207</v>
      </c>
      <c r="C154" s="62">
        <v>24</v>
      </c>
      <c r="D154" s="62"/>
      <c r="E154" s="345" t="s">
        <v>10420</v>
      </c>
      <c r="F154" s="345" t="s">
        <v>8050</v>
      </c>
      <c r="G154" s="113">
        <v>2</v>
      </c>
      <c r="H154" s="113">
        <v>3</v>
      </c>
      <c r="I154" s="114"/>
      <c r="J154" s="114"/>
      <c r="K154" s="114"/>
      <c r="L154" s="81"/>
      <c r="M154" s="265" t="b">
        <f>NOT(ISERROR(ResultsInd[[#This Row],[Goal-A]]+ResultsInd[[#This Row],[Goal-B]]))</f>
        <v>1</v>
      </c>
      <c r="N154" s="265">
        <f>VALUE(ResultsInd[[#This Row],[Score-A]])</f>
        <v>2</v>
      </c>
      <c r="O154" s="265">
        <f>VALUE(ResultsInd[[#This Row],[Score-B]])</f>
        <v>3</v>
      </c>
      <c r="P154" s="265">
        <f ca="1">IF(AND(ResultsInd[[#This Row],[Category]]&lt;&gt;"",ResultsInd[[#This Row],[Player A]]&lt;&gt;""),COUNTIF(INDIRECT(ResultsInd[[#This Row],[Category]]&amp;"List[Retained Player Name]"),ResultsInd[[#This Row],[Player A]]),"")</f>
        <v>1</v>
      </c>
      <c r="Q154" s="265">
        <f ca="1">IF(AND(ResultsInd[[#This Row],[Category]]&lt;&gt;"",ResultsInd[[#This Row],[Player B]]&lt;&gt;""),COUNTIF(INDIRECT(ResultsInd[[#This Row],[Category]]&amp;"List[Retained Player Name]"),ResultsInd[[#This Row],[Player B]]),"")</f>
        <v>1</v>
      </c>
      <c r="R1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OPEN-Thomas Wittmann</v>
      </c>
      <c r="S154" s="265" t="str">
        <f>IF(ResultsInd[[#This Row],[Score_OK]],IF(ResultsInd[[#This Row],[Stage]]="Groups",ResultsInd[[#This Row],[Category]]&amp;"-"&amp;IF(ResultsInd[[#This Row],[Player B]]="","",IF(ResultsInd[[#This Row],[Score-A]]=ResultsInd[[#This Row],[Score-B]],ResultsInd[[#This Row],[Player A]],"")),""),"")</f>
        <v>OPEN-</v>
      </c>
      <c r="T154" s="265" t="str">
        <f>IF(ResultsInd[[#This Row],[Score_OK]],IF(ResultsInd[[#This Row],[Stage]]="Groups",ResultsInd[[#This Row],[Category]]&amp;"-"&amp;IF(ResultsInd[[#This Row],[Player B]]="","",IF(ResultsInd[[#This Row],[Score-A]]=ResultsInd[[#This Row],[Score-B]],ResultsInd[[#This Row],[Player B]],"")),""),"")</f>
        <v>OPEN-</v>
      </c>
      <c r="U1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OPEN-Josef Camilleri</v>
      </c>
      <c r="V1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OPEN-Josef Camilleri</v>
      </c>
      <c r="X1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OPEN-Josef Camilleri</v>
      </c>
      <c r="Y154" s="264" t="str">
        <f>IF(ResultsInd[[#This Row],[Category]]="","",VLOOKUP(ResultsInd[[#This Row],[Stage]],$P$1:$V$9,MATCH(ResultsInd[[#This Row],[Category]],$Q$1:$V$1,0)+1,FALSE))</f>
        <v>PR1</v>
      </c>
      <c r="Z154" s="264" t="str">
        <f>IF(ResultsInd[[#This Row],[Score_OK]],IF(ResultsInd[[#This Row],[Level]]="R",ResultsInd[[#This Row],[Category]]&amp;"-"&amp;IF(ResultsInd[[#This Row],[LoseInKO]]=ResultsInd[[#This Row],[Category]]&amp;"-"&amp;ResultsInd[[#This Row],[Player A]],ResultsInd[[#This Row],[Player B]],ResultsInd[[#This Row],[Player A]]),""),"")</f>
        <v/>
      </c>
      <c r="AB154" s="8"/>
      <c r="AC154" s="12" t="str">
        <f t="shared" si="127"/>
        <v>OPEN</v>
      </c>
      <c r="AD154" s="309"/>
      <c r="AE154" s="310"/>
      <c r="AF154" s="311"/>
      <c r="AG154" s="292" t="str">
        <f>IF(AP154="","",SMALL(AH149:AH155,ROWS(AG149:AG154)))</f>
        <v/>
      </c>
      <c r="AH154" s="293" t="str">
        <f>IF(AP154="","",RANK(AL154,AL149:AL155)*1000+ROWS(AH149:AH154))</f>
        <v/>
      </c>
      <c r="AI154" s="316" t="str">
        <f t="shared" si="121"/>
        <v/>
      </c>
      <c r="AJ154" s="415" t="b">
        <f>AND(AO154&lt;&gt;"",AO154&gt;0,COUNTIF(AI149:AI155,AI154)&gt;1)</f>
        <v>0</v>
      </c>
      <c r="AK154" s="316" t="str">
        <f t="shared" si="122"/>
        <v/>
      </c>
      <c r="AL154" s="317" t="str">
        <f t="shared" si="123"/>
        <v/>
      </c>
      <c r="AM154" s="415" t="b">
        <f>AND(AO154&lt;&gt;"",AO154&gt;0,COUNTIF(AL149:AL155,AL154)&gt;1)</f>
        <v>0</v>
      </c>
      <c r="AN154" s="306" t="str">
        <f t="shared" si="124"/>
        <v/>
      </c>
      <c r="AO154" s="307" t="str">
        <f t="shared" si="125"/>
        <v/>
      </c>
      <c r="AP154" s="307" t="str">
        <f>IF(OR(AC148="",AD154=""),"",COUNTIF(ResultsInd[Win],AC148&amp;"-"&amp;AD154))</f>
        <v/>
      </c>
      <c r="AQ154" s="307" t="str">
        <f>IF(OR(AC148="",AD154=""),"",COUNTIF(ResultsInd[Draw1],AC148&amp;"-"&amp;AD154)+COUNTIF(ResultsInd[Draw2],AC148&amp;"-"&amp;AD154))</f>
        <v/>
      </c>
      <c r="AR154" s="307" t="str">
        <f>IF(OR(AC148="",AD154=""),"",COUNTIF(ResultsInd[Lose],AC148&amp;"-"&amp;AD154))</f>
        <v/>
      </c>
      <c r="AS154" s="307" t="str">
        <f>IF(OR(AC148="",AD154=""),"",SUMIFS(ResultsInd[Goal-A],ResultsInd[Category],AC148,ResultsInd[Stage],"Groups",ResultsInd[Player A],AD154)+SUMIFS(ResultsInd[Goal-B],ResultsInd[Category],AC148,ResultsInd[Stage],"Groups",ResultsInd[Player B],AD154))</f>
        <v/>
      </c>
      <c r="AT154" s="307" t="str">
        <f>IF(OR(AC148="",AD154=""),"",SUMIFS(ResultsInd[Goal-B],ResultsInd[Category],AC148,ResultsInd[Stage],"Groups",ResultsInd[Player A],AD154)+SUMIFS(ResultsInd[Goal-A],ResultsInd[Category],AC148,ResultsInd[Stage],"Groups",ResultsInd[Player B],AD154))</f>
        <v/>
      </c>
      <c r="AU154" s="308" t="str">
        <f t="shared" si="128"/>
        <v/>
      </c>
      <c r="AV154" s="469" t="str">
        <f>IF(AG154="","",OR(VLOOKUP(AG154,AH149:AU155,3,FALSE),VLOOKUP(AG154,AH149:AU155,6,FALSE)))</f>
        <v/>
      </c>
      <c r="AW154" s="298" t="str">
        <f t="shared" si="126"/>
        <v/>
      </c>
      <c r="AX154" s="285" t="str">
        <f>IF(AG154="","",INDEX(AD149:AD155,MATCH(AG154,AH149:AH155,0)))</f>
        <v/>
      </c>
      <c r="AY154" s="286" t="str">
        <f>IF(AG154="","",VLOOKUP(AG154,AH149:AU155,COLUMN()-COLUMN(AR148),FALSE))</f>
        <v/>
      </c>
      <c r="AZ154" s="286" t="str">
        <f>IF(AG154="","",VLOOKUP(AG154,AH149:AU155,COLUMN()-COLUMN(AR148),FALSE))</f>
        <v/>
      </c>
      <c r="BA154" s="286" t="str">
        <f>IF(AG154="","",VLOOKUP(AG154,AH149:AU155,COLUMN()-COLUMN(AR148),FALSE))</f>
        <v/>
      </c>
      <c r="BB154" s="286" t="str">
        <f>IF(AG154="","",VLOOKUP(AG154,AH149:AU155,COLUMN()-COLUMN(AR148),FALSE))</f>
        <v/>
      </c>
      <c r="BC154" s="286" t="str">
        <f>IF(AG154="","",VLOOKUP(AG154,AH149:AU155,COLUMN()-COLUMN(AR148),FALSE))</f>
        <v/>
      </c>
      <c r="BD154" s="286" t="str">
        <f>IF(AG154="","",VLOOKUP(AG154,AH149:AU155,COLUMN()-COLUMN(AR148),FALSE))</f>
        <v/>
      </c>
      <c r="BE154" s="286" t="str">
        <f>IF(AG154="","",VLOOKUP(AG154,AH149:AU155,COLUMN()-COLUMN(AR148),FALSE))</f>
        <v/>
      </c>
      <c r="BF154" s="301" t="str">
        <f>IF(AG154="","",VLOOKUP(AG154,AH149:AU155,COLUMN()-COLUMN(AR148),FALSE))</f>
        <v/>
      </c>
    </row>
    <row r="155" spans="1:58" ht="12" thickBot="1" x14ac:dyDescent="0.25">
      <c r="A155" s="62" t="s">
        <v>890</v>
      </c>
      <c r="B155" s="62" t="s">
        <v>12207</v>
      </c>
      <c r="C155" s="62">
        <v>24</v>
      </c>
      <c r="D155" s="62"/>
      <c r="E155" s="345" t="s">
        <v>14445</v>
      </c>
      <c r="F155" s="345" t="s">
        <v>8117</v>
      </c>
      <c r="G155" s="113">
        <v>1</v>
      </c>
      <c r="H155" s="113">
        <v>7</v>
      </c>
      <c r="I155" s="114"/>
      <c r="J155" s="114"/>
      <c r="K155" s="114"/>
      <c r="L155" s="81"/>
      <c r="M155" s="265" t="b">
        <f>NOT(ISERROR(ResultsInd[[#This Row],[Goal-A]]+ResultsInd[[#This Row],[Goal-B]]))</f>
        <v>1</v>
      </c>
      <c r="N155" s="265">
        <f>VALUE(ResultsInd[[#This Row],[Score-A]])</f>
        <v>1</v>
      </c>
      <c r="O155" s="265">
        <f>VALUE(ResultsInd[[#This Row],[Score-B]])</f>
        <v>7</v>
      </c>
      <c r="P155" s="265">
        <f ca="1">IF(AND(ResultsInd[[#This Row],[Category]]&lt;&gt;"",ResultsInd[[#This Row],[Player A]]&lt;&gt;""),COUNTIF(INDIRECT(ResultsInd[[#This Row],[Category]]&amp;"List[Retained Player Name]"),ResultsInd[[#This Row],[Player A]]),"")</f>
        <v>1</v>
      </c>
      <c r="Q155" s="265">
        <f ca="1">IF(AND(ResultsInd[[#This Row],[Category]]&lt;&gt;"",ResultsInd[[#This Row],[Player B]]&lt;&gt;""),COUNTIF(INDIRECT(ResultsInd[[#This Row],[Category]]&amp;"List[Retained Player Name]"),ResultsInd[[#This Row],[Player B]]),"")</f>
        <v>1</v>
      </c>
      <c r="R1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Muraille</v>
      </c>
      <c r="S155" s="265" t="str">
        <f>IF(ResultsInd[[#This Row],[Score_OK]],IF(ResultsInd[[#This Row],[Stage]]="Groups",ResultsInd[[#This Row],[Category]]&amp;"-"&amp;IF(ResultsInd[[#This Row],[Player B]]="","",IF(ResultsInd[[#This Row],[Score-A]]=ResultsInd[[#This Row],[Score-B]],ResultsInd[[#This Row],[Player A]],"")),""),"")</f>
        <v>OPEN-</v>
      </c>
      <c r="T155" s="265" t="str">
        <f>IF(ResultsInd[[#This Row],[Score_OK]],IF(ResultsInd[[#This Row],[Stage]]="Groups",ResultsInd[[#This Row],[Category]]&amp;"-"&amp;IF(ResultsInd[[#This Row],[Player B]]="","",IF(ResultsInd[[#This Row],[Score-A]]=ResultsInd[[#This Row],[Score-B]],ResultsInd[[#This Row],[Player B]],"")),""),"")</f>
        <v>OPEN-</v>
      </c>
      <c r="U1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OPEN-Jordan Bonte</v>
      </c>
      <c r="V1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OPEN-Jordan Bonte</v>
      </c>
      <c r="X1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OPEN-Jordan Bonte</v>
      </c>
      <c r="Y155" s="264" t="str">
        <f>IF(ResultsInd[[#This Row],[Category]]="","",VLOOKUP(ResultsInd[[#This Row],[Stage]],$P$1:$V$9,MATCH(ResultsInd[[#This Row],[Category]],$Q$1:$V$1,0)+1,FALSE))</f>
        <v>PR1</v>
      </c>
      <c r="Z155" s="264" t="str">
        <f>IF(ResultsInd[[#This Row],[Score_OK]],IF(ResultsInd[[#This Row],[Level]]="R",ResultsInd[[#This Row],[Category]]&amp;"-"&amp;IF(ResultsInd[[#This Row],[LoseInKO]]=ResultsInd[[#This Row],[Category]]&amp;"-"&amp;ResultsInd[[#This Row],[Player A]],ResultsInd[[#This Row],[Player B]],ResultsInd[[#This Row],[Player A]]),""),"")</f>
        <v/>
      </c>
      <c r="AB155" s="8"/>
      <c r="AC155" s="12" t="str">
        <f t="shared" si="127"/>
        <v>OPEN</v>
      </c>
      <c r="AD155" s="312"/>
      <c r="AE155" s="313"/>
      <c r="AF155" s="314"/>
      <c r="AG155" s="294" t="str">
        <f>IF(AP155="","",SMALL(AH149:AH155,ROWS(AG149:AG155)))</f>
        <v/>
      </c>
      <c r="AH155" s="295" t="str">
        <f>IF(AP155="","",RANK(AL155,AL149:AL155)*1000+ROWS(AH149:AH155))</f>
        <v/>
      </c>
      <c r="AI155" s="318" t="str">
        <f t="shared" si="121"/>
        <v/>
      </c>
      <c r="AJ155" s="416" t="b">
        <f>AND(AO155&lt;&gt;"",AO155&gt;0,COUNTIF(AI149:AI155,AI155)&gt;1)</f>
        <v>0</v>
      </c>
      <c r="AK155" s="318" t="str">
        <f t="shared" si="122"/>
        <v/>
      </c>
      <c r="AL155" s="319" t="str">
        <f t="shared" si="123"/>
        <v/>
      </c>
      <c r="AM155" s="416" t="b">
        <f>AND(AO155&lt;&gt;"",AO155&gt;0,COUNTIF(AL149:AL155,AL155)&gt;1)</f>
        <v>0</v>
      </c>
      <c r="AN155" s="306" t="str">
        <f t="shared" si="124"/>
        <v/>
      </c>
      <c r="AO155" s="307" t="str">
        <f t="shared" si="125"/>
        <v/>
      </c>
      <c r="AP155" s="307" t="str">
        <f>IF(OR(AC148="",AD155=""),"",COUNTIF(ResultsInd[Win],AC148&amp;"-"&amp;AD155))</f>
        <v/>
      </c>
      <c r="AQ155" s="307" t="str">
        <f>IF(OR(AC148="",AD155=""),"",COUNTIF(ResultsInd[Draw1],AC148&amp;"-"&amp;AD155)+COUNTIF(ResultsInd[Draw2],AC148&amp;"-"&amp;AD155))</f>
        <v/>
      </c>
      <c r="AR155" s="307" t="str">
        <f>IF(OR(AC148="",AD155=""),"",COUNTIF(ResultsInd[Lose],AC148&amp;"-"&amp;AD155))</f>
        <v/>
      </c>
      <c r="AS155" s="307" t="str">
        <f>IF(OR(AC148="",AD155=""),"",SUMIFS(ResultsInd[Goal-A],ResultsInd[Category],AC148,ResultsInd[Stage],"Groups",ResultsInd[Player A],AD155)+SUMIFS(ResultsInd[Goal-B],ResultsInd[Category],AC148,ResultsInd[Stage],"Groups",ResultsInd[Player B],AD155))</f>
        <v/>
      </c>
      <c r="AT155" s="307" t="str">
        <f>IF(OR(AC148="",AD155=""),"",SUMIFS(ResultsInd[Goal-B],ResultsInd[Category],AC148,ResultsInd[Stage],"Groups",ResultsInd[Player A],AD155)+SUMIFS(ResultsInd[Goal-A],ResultsInd[Category],AC148,ResultsInd[Stage],"Groups",ResultsInd[Player B],AD155))</f>
        <v/>
      </c>
      <c r="AU155" s="308" t="str">
        <f t="shared" si="128"/>
        <v/>
      </c>
      <c r="AV155" s="469" t="str">
        <f>IF(AG155="","",OR(VLOOKUP(AG155,AH149:AU155,3,FALSE),VLOOKUP(AG155,AH149:AU155,6,FALSE)))</f>
        <v/>
      </c>
      <c r="AW155" s="299" t="str">
        <f t="shared" si="126"/>
        <v/>
      </c>
      <c r="AX155" s="287" t="str">
        <f>IF(AG155="","",INDEX(AD149:AD155,MATCH(AG155,AH149:AH155,0)))</f>
        <v/>
      </c>
      <c r="AY155" s="288" t="str">
        <f>IF(AG155="","",VLOOKUP(AG155,AH149:AU155,COLUMN()-COLUMN(AR148),FALSE))</f>
        <v/>
      </c>
      <c r="AZ155" s="288" t="str">
        <f>IF(AG155="","",VLOOKUP(AG155,AH149:AU155,COLUMN()-COLUMN(AR148),FALSE))</f>
        <v/>
      </c>
      <c r="BA155" s="288" t="str">
        <f>IF(AG155="","",VLOOKUP(AG155,AH149:AU155,COLUMN()-COLUMN(AR148),FALSE))</f>
        <v/>
      </c>
      <c r="BB155" s="288" t="str">
        <f>IF(AG155="","",VLOOKUP(AG155,AH149:AU155,COLUMN()-COLUMN(AR148),FALSE))</f>
        <v/>
      </c>
      <c r="BC155" s="288" t="str">
        <f>IF(AG155="","",VLOOKUP(AG155,AH149:AU155,COLUMN()-COLUMN(AR148),FALSE))</f>
        <v/>
      </c>
      <c r="BD155" s="288" t="str">
        <f>IF(AG155="","",VLOOKUP(AG155,AH149:AU155,COLUMN()-COLUMN(AR148),FALSE))</f>
        <v/>
      </c>
      <c r="BE155" s="288" t="str">
        <f>IF(AG155="","",VLOOKUP(AG155,AH149:AU155,COLUMN()-COLUMN(AR148),FALSE))</f>
        <v/>
      </c>
      <c r="BF155" s="302" t="str">
        <f>IF(AG155="","",VLOOKUP(AG155,AH149:AU155,COLUMN()-COLUMN(AR148),FALSE))</f>
        <v/>
      </c>
    </row>
    <row r="156" spans="1:58" ht="13.5" thickBot="1" x14ac:dyDescent="0.25">
      <c r="A156" s="62" t="s">
        <v>890</v>
      </c>
      <c r="B156" s="62" t="s">
        <v>12207</v>
      </c>
      <c r="C156" s="62">
        <v>24</v>
      </c>
      <c r="D156" s="62"/>
      <c r="E156" s="345" t="s">
        <v>10420</v>
      </c>
      <c r="F156" s="345" t="s">
        <v>14445</v>
      </c>
      <c r="G156" s="113">
        <v>6</v>
      </c>
      <c r="H156" s="113">
        <v>0</v>
      </c>
      <c r="I156" s="114"/>
      <c r="J156" s="114"/>
      <c r="K156" s="114"/>
      <c r="L156" s="81"/>
      <c r="M156" s="265" t="b">
        <f>NOT(ISERROR(ResultsInd[[#This Row],[Goal-A]]+ResultsInd[[#This Row],[Goal-B]]))</f>
        <v>1</v>
      </c>
      <c r="N156" s="265">
        <f>VALUE(ResultsInd[[#This Row],[Score-A]])</f>
        <v>6</v>
      </c>
      <c r="O156" s="265">
        <f>VALUE(ResultsInd[[#This Row],[Score-B]])</f>
        <v>0</v>
      </c>
      <c r="P156" s="265">
        <f ca="1">IF(AND(ResultsInd[[#This Row],[Category]]&lt;&gt;"",ResultsInd[[#This Row],[Player A]]&lt;&gt;""),COUNTIF(INDIRECT(ResultsInd[[#This Row],[Category]]&amp;"List[Retained Player Name]"),ResultsInd[[#This Row],[Player A]]),"")</f>
        <v>1</v>
      </c>
      <c r="Q156" s="265">
        <f ca="1">IF(AND(ResultsInd[[#This Row],[Category]]&lt;&gt;"",ResultsInd[[#This Row],[Player B]]&lt;&gt;""),COUNTIF(INDIRECT(ResultsInd[[#This Row],[Category]]&amp;"List[Retained Player Name]"),ResultsInd[[#This Row],[Player B]]),"")</f>
        <v>1</v>
      </c>
      <c r="R1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OPEN-Josef Camilleri</v>
      </c>
      <c r="S156" s="265" t="str">
        <f>IF(ResultsInd[[#This Row],[Score_OK]],IF(ResultsInd[[#This Row],[Stage]]="Groups",ResultsInd[[#This Row],[Category]]&amp;"-"&amp;IF(ResultsInd[[#This Row],[Player B]]="","",IF(ResultsInd[[#This Row],[Score-A]]=ResultsInd[[#This Row],[Score-B]],ResultsInd[[#This Row],[Player A]],"")),""),"")</f>
        <v>OPEN-</v>
      </c>
      <c r="T156" s="265" t="str">
        <f>IF(ResultsInd[[#This Row],[Score_OK]],IF(ResultsInd[[#This Row],[Stage]]="Groups",ResultsInd[[#This Row],[Category]]&amp;"-"&amp;IF(ResultsInd[[#This Row],[Player B]]="","",IF(ResultsInd[[#This Row],[Score-A]]=ResultsInd[[#This Row],[Score-B]],ResultsInd[[#This Row],[Player B]],"")),""),"")</f>
        <v>OPEN-</v>
      </c>
      <c r="U1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OPEN-Jordan Bonte</v>
      </c>
      <c r="V1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OPEN-Jordan Bonte</v>
      </c>
      <c r="X1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OPEN-Jordan Bonte</v>
      </c>
      <c r="Y156" s="264" t="str">
        <f>IF(ResultsInd[[#This Row],[Category]]="","",VLOOKUP(ResultsInd[[#This Row],[Stage]],$P$1:$V$9,MATCH(ResultsInd[[#This Row],[Category]],$Q$1:$V$1,0)+1,FALSE))</f>
        <v>PR1</v>
      </c>
      <c r="Z156" s="264" t="str">
        <f>IF(ResultsInd[[#This Row],[Score_OK]],IF(ResultsInd[[#This Row],[Level]]="R",ResultsInd[[#This Row],[Category]]&amp;"-"&amp;IF(ResultsInd[[#This Row],[LoseInKO]]=ResultsInd[[#This Row],[Category]]&amp;"-"&amp;ResultsInd[[#This Row],[Player A]],ResultsInd[[#This Row],[Player B]],ResultsInd[[#This Row],[Player A]]),""),"")</f>
        <v/>
      </c>
      <c r="AB156" s="8"/>
      <c r="AC156" s="8"/>
      <c r="AF156" s="170"/>
      <c r="AG156" s="101"/>
      <c r="AH156" s="101"/>
      <c r="AN156" s="170"/>
      <c r="AO156" s="170"/>
      <c r="AP156" s="170"/>
      <c r="AQ156" s="172"/>
      <c r="AR156" s="173"/>
      <c r="AS156" s="173"/>
      <c r="AT156" s="173"/>
      <c r="AU156" s="101"/>
      <c r="AV156" s="101"/>
      <c r="AW156" s="101"/>
      <c r="AX156" s="101"/>
      <c r="AY156" s="101"/>
      <c r="AZ156" s="101"/>
    </row>
    <row r="157" spans="1:58" ht="12" thickBot="1" x14ac:dyDescent="0.25">
      <c r="A157" s="62" t="s">
        <v>890</v>
      </c>
      <c r="B157" s="62" t="s">
        <v>12207</v>
      </c>
      <c r="C157" s="62">
        <v>24</v>
      </c>
      <c r="D157" s="62"/>
      <c r="E157" s="345" t="s">
        <v>8050</v>
      </c>
      <c r="F157" s="345" t="s">
        <v>8117</v>
      </c>
      <c r="G157" s="113">
        <v>2</v>
      </c>
      <c r="H157" s="113">
        <v>2</v>
      </c>
      <c r="I157" s="114"/>
      <c r="J157" s="114"/>
      <c r="K157" s="114"/>
      <c r="L157" s="81"/>
      <c r="M157" s="265" t="b">
        <f>NOT(ISERROR(ResultsInd[[#This Row],[Goal-A]]+ResultsInd[[#This Row],[Goal-B]]))</f>
        <v>1</v>
      </c>
      <c r="N157" s="265">
        <f>VALUE(ResultsInd[[#This Row],[Score-A]])</f>
        <v>2</v>
      </c>
      <c r="O157" s="265">
        <f>VALUE(ResultsInd[[#This Row],[Score-B]])</f>
        <v>2</v>
      </c>
      <c r="P157" s="265">
        <f ca="1">IF(AND(ResultsInd[[#This Row],[Category]]&lt;&gt;"",ResultsInd[[#This Row],[Player A]]&lt;&gt;""),COUNTIF(INDIRECT(ResultsInd[[#This Row],[Category]]&amp;"List[Retained Player Name]"),ResultsInd[[#This Row],[Player A]]),"")</f>
        <v>1</v>
      </c>
      <c r="Q157" s="265">
        <f ca="1">IF(AND(ResultsInd[[#This Row],[Category]]&lt;&gt;"",ResultsInd[[#This Row],[Player B]]&lt;&gt;""),COUNTIF(INDIRECT(ResultsInd[[#This Row],[Category]]&amp;"List[Retained Player Name]"),ResultsInd[[#This Row],[Player B]]),"")</f>
        <v>1</v>
      </c>
      <c r="R1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57" s="265" t="str">
        <f>IF(ResultsInd[[#This Row],[Score_OK]],IF(ResultsInd[[#This Row],[Stage]]="Groups",ResultsInd[[#This Row],[Category]]&amp;"-"&amp;IF(ResultsInd[[#This Row],[Player B]]="","",IF(ResultsInd[[#This Row],[Score-A]]=ResultsInd[[#This Row],[Score-B]],ResultsInd[[#This Row],[Player A]],"")),""),"")</f>
        <v>OPEN-Thomas Wittmann</v>
      </c>
      <c r="T157" s="265" t="str">
        <f>IF(ResultsInd[[#This Row],[Score_OK]],IF(ResultsInd[[#This Row],[Stage]]="Groups",ResultsInd[[#This Row],[Category]]&amp;"-"&amp;IF(ResultsInd[[#This Row],[Player B]]="","",IF(ResultsInd[[#This Row],[Score-A]]=ResultsInd[[#This Row],[Score-B]],ResultsInd[[#This Row],[Player B]],"")),""),"")</f>
        <v>OPEN-Maxime Muraille</v>
      </c>
      <c r="U1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OPEN-Thomas Wittmann</v>
      </c>
      <c r="X1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OPEN-Maxime Muraille</v>
      </c>
      <c r="Y157" s="264" t="str">
        <f>IF(ResultsInd[[#This Row],[Category]]="","",VLOOKUP(ResultsInd[[#This Row],[Stage]],$P$1:$V$9,MATCH(ResultsInd[[#This Row],[Category]],$Q$1:$V$1,0)+1,FALSE))</f>
        <v>PR1</v>
      </c>
      <c r="Z157" s="264" t="str">
        <f>IF(ResultsInd[[#This Row],[Score_OK]],IF(ResultsInd[[#This Row],[Level]]="R",ResultsInd[[#This Row],[Category]]&amp;"-"&amp;IF(ResultsInd[[#This Row],[LoseInKO]]=ResultsInd[[#This Row],[Category]]&amp;"-"&amp;ResultsInd[[#This Row],[Player A]],ResultsInd[[#This Row],[Player B]],ResultsInd[[#This Row],[Player A]]),""),"")</f>
        <v/>
      </c>
      <c r="AB157" s="281">
        <v>16</v>
      </c>
      <c r="AC157" s="315" t="s">
        <v>890</v>
      </c>
      <c r="AD157" s="289" t="s">
        <v>14439</v>
      </c>
      <c r="AE157" s="290" t="s">
        <v>12279</v>
      </c>
      <c r="AF157" s="284" t="s">
        <v>12275</v>
      </c>
      <c r="AG157" s="296" t="s">
        <v>12276</v>
      </c>
      <c r="AH157" s="291" t="s">
        <v>12271</v>
      </c>
      <c r="AI157" s="291" t="s">
        <v>12272</v>
      </c>
      <c r="AJ157" s="414" t="s">
        <v>13154</v>
      </c>
      <c r="AK157" s="291" t="s">
        <v>12273</v>
      </c>
      <c r="AL157" s="297" t="s">
        <v>12274</v>
      </c>
      <c r="AM157" s="414" t="s">
        <v>13154</v>
      </c>
      <c r="AN157" s="303" t="s">
        <v>12199</v>
      </c>
      <c r="AO157" s="304" t="s">
        <v>12200</v>
      </c>
      <c r="AP157" s="304" t="s">
        <v>12201</v>
      </c>
      <c r="AQ157" s="304" t="s">
        <v>12202</v>
      </c>
      <c r="AR157" s="304" t="s">
        <v>12203</v>
      </c>
      <c r="AS157" s="304" t="s">
        <v>12204</v>
      </c>
      <c r="AT157" s="304" t="s">
        <v>12205</v>
      </c>
      <c r="AU157" s="305" t="s">
        <v>12206</v>
      </c>
      <c r="AV157" s="468"/>
      <c r="AW157" s="282" t="s">
        <v>12276</v>
      </c>
      <c r="AX157" s="282" t="s">
        <v>12280</v>
      </c>
      <c r="AY157" s="283" t="s">
        <v>12199</v>
      </c>
      <c r="AZ157" s="283" t="s">
        <v>12200</v>
      </c>
      <c r="BA157" s="283" t="s">
        <v>12201</v>
      </c>
      <c r="BB157" s="283" t="s">
        <v>12202</v>
      </c>
      <c r="BC157" s="283" t="s">
        <v>12203</v>
      </c>
      <c r="BD157" s="283" t="s">
        <v>12204</v>
      </c>
      <c r="BE157" s="283" t="s">
        <v>12205</v>
      </c>
      <c r="BF157" s="300" t="s">
        <v>12206</v>
      </c>
    </row>
    <row r="158" spans="1:58" ht="12" thickBot="1" x14ac:dyDescent="0.25">
      <c r="A158" s="62" t="s">
        <v>890</v>
      </c>
      <c r="B158" s="62" t="s">
        <v>12207</v>
      </c>
      <c r="C158" s="62">
        <v>24</v>
      </c>
      <c r="D158" s="62"/>
      <c r="E158" s="345" t="s">
        <v>8117</v>
      </c>
      <c r="F158" s="345" t="s">
        <v>10420</v>
      </c>
      <c r="G158" s="113">
        <v>2</v>
      </c>
      <c r="H158" s="113">
        <v>1</v>
      </c>
      <c r="I158" s="114"/>
      <c r="J158" s="114"/>
      <c r="K158" s="114"/>
      <c r="L158" s="81"/>
      <c r="M158" s="265" t="b">
        <f>NOT(ISERROR(ResultsInd[[#This Row],[Goal-A]]+ResultsInd[[#This Row],[Goal-B]]))</f>
        <v>1</v>
      </c>
      <c r="N158" s="265">
        <f>VALUE(ResultsInd[[#This Row],[Score-A]])</f>
        <v>2</v>
      </c>
      <c r="O158" s="265">
        <f>VALUE(ResultsInd[[#This Row],[Score-B]])</f>
        <v>1</v>
      </c>
      <c r="P158" s="265">
        <f ca="1">IF(AND(ResultsInd[[#This Row],[Category]]&lt;&gt;"",ResultsInd[[#This Row],[Player A]]&lt;&gt;""),COUNTIF(INDIRECT(ResultsInd[[#This Row],[Category]]&amp;"List[Retained Player Name]"),ResultsInd[[#This Row],[Player A]]),"")</f>
        <v>1</v>
      </c>
      <c r="Q158" s="265">
        <f ca="1">IF(AND(ResultsInd[[#This Row],[Category]]&lt;&gt;"",ResultsInd[[#This Row],[Player B]]&lt;&gt;""),COUNTIF(INDIRECT(ResultsInd[[#This Row],[Category]]&amp;"List[Retained Player Name]"),ResultsInd[[#This Row],[Player B]]),"")</f>
        <v>1</v>
      </c>
      <c r="R1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Muraille</v>
      </c>
      <c r="S158" s="265" t="str">
        <f>IF(ResultsInd[[#This Row],[Score_OK]],IF(ResultsInd[[#This Row],[Stage]]="Groups",ResultsInd[[#This Row],[Category]]&amp;"-"&amp;IF(ResultsInd[[#This Row],[Player B]]="","",IF(ResultsInd[[#This Row],[Score-A]]=ResultsInd[[#This Row],[Score-B]],ResultsInd[[#This Row],[Player A]],"")),""),"")</f>
        <v>OPEN-</v>
      </c>
      <c r="T158" s="265" t="str">
        <f>IF(ResultsInd[[#This Row],[Score_OK]],IF(ResultsInd[[#This Row],[Stage]]="Groups",ResultsInd[[#This Row],[Category]]&amp;"-"&amp;IF(ResultsInd[[#This Row],[Player B]]="","",IF(ResultsInd[[#This Row],[Score-A]]=ResultsInd[[#This Row],[Score-B]],ResultsInd[[#This Row],[Player B]],"")),""),"")</f>
        <v>OPEN-</v>
      </c>
      <c r="U1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OPEN-Josef Camilleri</v>
      </c>
      <c r="V1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OPEN-Josef Camilleri</v>
      </c>
      <c r="X1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OPEN-Josef Camilleri</v>
      </c>
      <c r="Y158" s="264" t="str">
        <f>IF(ResultsInd[[#This Row],[Category]]="","",VLOOKUP(ResultsInd[[#This Row],[Stage]],$P$1:$V$9,MATCH(ResultsInd[[#This Row],[Category]],$Q$1:$V$1,0)+1,FALSE))</f>
        <v>PR1</v>
      </c>
      <c r="Z158" s="264" t="str">
        <f>IF(ResultsInd[[#This Row],[Score_OK]],IF(ResultsInd[[#This Row],[Level]]="R",ResultsInd[[#This Row],[Category]]&amp;"-"&amp;IF(ResultsInd[[#This Row],[LoseInKO]]=ResultsInd[[#This Row],[Category]]&amp;"-"&amp;ResultsInd[[#This Row],[Player A]],ResultsInd[[#This Row],[Player B]],ResultsInd[[#This Row],[Player A]]),""),"")</f>
        <v/>
      </c>
      <c r="AB158" s="8"/>
      <c r="AC158" s="12" t="str">
        <f>IF(AC157="","",AC157)</f>
        <v>OPEN</v>
      </c>
      <c r="AD158" s="309" t="s">
        <v>8129</v>
      </c>
      <c r="AE158" s="320"/>
      <c r="AF158" s="311"/>
      <c r="AG158" s="292">
        <f>IF(AP158="","",SMALL(AH158:AH164,ROWS(AG158:AG158)))</f>
        <v>1004</v>
      </c>
      <c r="AH158" s="293">
        <f>IF(AP158="","",RANK(AL158,AL158:AL164)*1000+ROWS(AH158:AH158))</f>
        <v>2001</v>
      </c>
      <c r="AI158" s="316">
        <f t="shared" ref="AI158:AI164" si="129">IF(AP158="","",CritClassInd1_Points*AN158+CritClassInd1_Matches*AP158+CritClassInd1_Attaque*AS158+CritClassInd1_DiffButs*AU158)</f>
        <v>5000000000000</v>
      </c>
      <c r="AJ158" s="415" t="b">
        <f>AND(AO158&lt;&gt;"",AO158&gt;0,COUNTIF(AI158:AI164,AI158)&gt;1)</f>
        <v>0</v>
      </c>
      <c r="AK158" s="316">
        <f t="shared" ref="AK158:AK164" si="130">IF(AP158="","",CritClassInd_ScorePart*AE158)</f>
        <v>0</v>
      </c>
      <c r="AL158" s="317">
        <f t="shared" ref="AL158:AL164" si="131">IF(AP158="","",AI158+AK158+CritClassInd2_Points*AN158+CritClassInd2_Matches*AP158+CritClassInd2_Attaque*AS158+CritClassInd2_DiffButs*AU158+AF158)</f>
        <v>5000000020700</v>
      </c>
      <c r="AM158" s="415" t="b">
        <f>AND(AO158&lt;&gt;"",AO158&gt;0,COUNTIF(AL158:AL164,AL158)&gt;1)</f>
        <v>0</v>
      </c>
      <c r="AN158" s="306">
        <f t="shared" ref="AN158:AN164" si="132">IF(AP158="","",(AP158*Points_Victoire)+AQ158*Points_Null)</f>
        <v>5</v>
      </c>
      <c r="AO158" s="307">
        <f t="shared" ref="AO158:AO164" si="133">IF(AP158="","",SUM(AP158:AR158))</f>
        <v>3</v>
      </c>
      <c r="AP158" s="307">
        <f>IF(OR(AC157="",AD158=""),"",COUNTIF(ResultsInd[Win],AC157&amp;"-"&amp;AD158))</f>
        <v>1</v>
      </c>
      <c r="AQ158" s="307">
        <f>IF(OR(AC157="",AD158=""),"",COUNTIF(ResultsInd[Draw1],AC157&amp;"-"&amp;AD158)+COUNTIF(ResultsInd[Draw2],AC157&amp;"-"&amp;AD158))</f>
        <v>2</v>
      </c>
      <c r="AR158" s="307">
        <f>IF(OR(AC157="",AD158=""),"",COUNTIF(ResultsInd[Lose],AC157&amp;"-"&amp;AD158))</f>
        <v>0</v>
      </c>
      <c r="AS158" s="307">
        <f>IF(OR(AC157="",AD158=""),"",SUMIFS(ResultsInd[Goal-A],ResultsInd[Category],AC157,ResultsInd[Stage],"Groups",ResultsInd[Player A],AD158)+SUMIFS(ResultsInd[Goal-B],ResultsInd[Category],AC157,ResultsInd[Stage],"Groups",ResultsInd[Player B],AD158))</f>
        <v>7</v>
      </c>
      <c r="AT158" s="307">
        <f>IF(OR(AC157="",AD158=""),"",SUMIFS(ResultsInd[Goal-B],ResultsInd[Category],AC157,ResultsInd[Stage],"Groups",ResultsInd[Player A],AD158)+SUMIFS(ResultsInd[Goal-A],ResultsInd[Category],AC157,ResultsInd[Stage],"Groups",ResultsInd[Player B],AD158))</f>
        <v>5</v>
      </c>
      <c r="AU158" s="308">
        <f>IF(AP158="","",AS158-AT158)</f>
        <v>2</v>
      </c>
      <c r="AV158" s="469" t="b">
        <f>IF(AG158="","",OR(VLOOKUP(AG158,AH158:AU164,3,FALSE),VLOOKUP(AG158,AH158:AU164,6,FALSE)))</f>
        <v>0</v>
      </c>
      <c r="AW158" s="298">
        <f t="shared" ref="AW158:AW164" si="134">IF(AG158="","",INT(AG158/1000))</f>
        <v>1</v>
      </c>
      <c r="AX158" s="285" t="str">
        <f>IF(AG158="","",INDEX(AD158:AD164,MATCH(AG158,AH158:AH164,0)))</f>
        <v>Paolo Zambello</v>
      </c>
      <c r="AY158" s="286">
        <f>IF(AG158="","",VLOOKUP(AG158,AH158:AU164,COLUMN()-COLUMN(AR157),FALSE))</f>
        <v>7</v>
      </c>
      <c r="AZ158" s="286">
        <f>IF(AG158="","",VLOOKUP(AG158,AH158:AU164,COLUMN()-COLUMN(AR157),FALSE))</f>
        <v>3</v>
      </c>
      <c r="BA158" s="286">
        <f>IF(AG158="","",VLOOKUP(AG158,AH158:AU164,COLUMN()-COLUMN(AR157),FALSE))</f>
        <v>2</v>
      </c>
      <c r="BB158" s="286">
        <f>IF(AG158="","",VLOOKUP(AG158,AH158:AU164,COLUMN()-COLUMN(AR157),FALSE))</f>
        <v>1</v>
      </c>
      <c r="BC158" s="286">
        <f>IF(AG158="","",VLOOKUP(AG158,AH158:AU164,COLUMN()-COLUMN(AR157),FALSE))</f>
        <v>0</v>
      </c>
      <c r="BD158" s="286">
        <f>IF(AG158="","",VLOOKUP(AG158,AH158:AU164,COLUMN()-COLUMN(AR157),FALSE))</f>
        <v>8</v>
      </c>
      <c r="BE158" s="286">
        <f>IF(AG158="","",VLOOKUP(AG158,AH158:AU164,COLUMN()-COLUMN(AR157),FALSE))</f>
        <v>2</v>
      </c>
      <c r="BF158" s="301">
        <f>IF(AG158="","",VLOOKUP(AG158,AH158:AU164,COLUMN()-COLUMN(AR157),FALSE))</f>
        <v>6</v>
      </c>
    </row>
    <row r="159" spans="1:58" ht="12" thickBot="1" x14ac:dyDescent="0.25">
      <c r="A159" s="62" t="s">
        <v>890</v>
      </c>
      <c r="B159" s="62" t="s">
        <v>12207</v>
      </c>
      <c r="C159" s="62">
        <v>24</v>
      </c>
      <c r="D159" s="62"/>
      <c r="E159" s="345" t="s">
        <v>8050</v>
      </c>
      <c r="F159" s="345" t="s">
        <v>14445</v>
      </c>
      <c r="G159" s="113">
        <v>6</v>
      </c>
      <c r="H159" s="113">
        <v>0</v>
      </c>
      <c r="I159" s="114"/>
      <c r="J159" s="114"/>
      <c r="K159" s="114"/>
      <c r="L159" s="81"/>
      <c r="M159" s="265" t="b">
        <f>NOT(ISERROR(ResultsInd[[#This Row],[Goal-A]]+ResultsInd[[#This Row],[Goal-B]]))</f>
        <v>1</v>
      </c>
      <c r="N159" s="265">
        <f>VALUE(ResultsInd[[#This Row],[Score-A]])</f>
        <v>6</v>
      </c>
      <c r="O159" s="265">
        <f>VALUE(ResultsInd[[#This Row],[Score-B]])</f>
        <v>0</v>
      </c>
      <c r="P159" s="265">
        <f ca="1">IF(AND(ResultsInd[[#This Row],[Category]]&lt;&gt;"",ResultsInd[[#This Row],[Player A]]&lt;&gt;""),COUNTIF(INDIRECT(ResultsInd[[#This Row],[Category]]&amp;"List[Retained Player Name]"),ResultsInd[[#This Row],[Player A]]),"")</f>
        <v>1</v>
      </c>
      <c r="Q159" s="265">
        <f ca="1">IF(AND(ResultsInd[[#This Row],[Category]]&lt;&gt;"",ResultsInd[[#This Row],[Player B]]&lt;&gt;""),COUNTIF(INDIRECT(ResultsInd[[#This Row],[Category]]&amp;"List[Retained Player Name]"),ResultsInd[[#This Row],[Player B]]),"")</f>
        <v>1</v>
      </c>
      <c r="R1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OPEN-Thomas Wittmann</v>
      </c>
      <c r="S159" s="265" t="str">
        <f>IF(ResultsInd[[#This Row],[Score_OK]],IF(ResultsInd[[#This Row],[Stage]]="Groups",ResultsInd[[#This Row],[Category]]&amp;"-"&amp;IF(ResultsInd[[#This Row],[Player B]]="","",IF(ResultsInd[[#This Row],[Score-A]]=ResultsInd[[#This Row],[Score-B]],ResultsInd[[#This Row],[Player A]],"")),""),"")</f>
        <v>OPEN-</v>
      </c>
      <c r="T159" s="265" t="str">
        <f>IF(ResultsInd[[#This Row],[Score_OK]],IF(ResultsInd[[#This Row],[Stage]]="Groups",ResultsInd[[#This Row],[Category]]&amp;"-"&amp;IF(ResultsInd[[#This Row],[Player B]]="","",IF(ResultsInd[[#This Row],[Score-A]]=ResultsInd[[#This Row],[Score-B]],ResultsInd[[#This Row],[Player B]],"")),""),"")</f>
        <v>OPEN-</v>
      </c>
      <c r="U1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OPEN-Jordan Bonte</v>
      </c>
      <c r="V1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OPEN-Jordan Bonte</v>
      </c>
      <c r="X1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OPEN-Jordan Bonte</v>
      </c>
      <c r="Y159" s="264" t="str">
        <f>IF(ResultsInd[[#This Row],[Category]]="","",VLOOKUP(ResultsInd[[#This Row],[Stage]],$P$1:$V$9,MATCH(ResultsInd[[#This Row],[Category]],$Q$1:$V$1,0)+1,FALSE))</f>
        <v>PR1</v>
      </c>
      <c r="Z159" s="264" t="str">
        <f>IF(ResultsInd[[#This Row],[Score_OK]],IF(ResultsInd[[#This Row],[Level]]="R",ResultsInd[[#This Row],[Category]]&amp;"-"&amp;IF(ResultsInd[[#This Row],[LoseInKO]]=ResultsInd[[#This Row],[Category]]&amp;"-"&amp;ResultsInd[[#This Row],[Player A]],ResultsInd[[#This Row],[Player B]],ResultsInd[[#This Row],[Player A]]),""),"")</f>
        <v/>
      </c>
      <c r="AB159" s="8"/>
      <c r="AC159" s="12" t="str">
        <f t="shared" ref="AC159:AC164" si="135">IF(AC158="","",AC158)</f>
        <v>OPEN</v>
      </c>
      <c r="AD159" s="309" t="s">
        <v>8168</v>
      </c>
      <c r="AE159" s="320"/>
      <c r="AF159" s="311"/>
      <c r="AG159" s="292">
        <f>IF(AP159="","",SMALL(AH158:AH164,ROWS(AG158:AG159)))</f>
        <v>2001</v>
      </c>
      <c r="AH159" s="293">
        <f>IF(AP159="","",RANK(AL159,AL158:AL164)*1000+ROWS(AH158:AH159))</f>
        <v>3002</v>
      </c>
      <c r="AI159" s="316">
        <f t="shared" si="129"/>
        <v>3000000000000</v>
      </c>
      <c r="AJ159" s="415" t="b">
        <f>AND(AO159&lt;&gt;"",AO159&gt;0,COUNTIF(AI158:AI164,AI159)&gt;1)</f>
        <v>0</v>
      </c>
      <c r="AK159" s="316">
        <f t="shared" si="130"/>
        <v>0</v>
      </c>
      <c r="AL159" s="317">
        <f t="shared" si="131"/>
        <v>2999999950400</v>
      </c>
      <c r="AM159" s="415" t="b">
        <f>AND(AO159&lt;&gt;"",AO159&gt;0,COUNTIF(AL158:AL164,AL159)&gt;1)</f>
        <v>0</v>
      </c>
      <c r="AN159" s="306">
        <f t="shared" si="132"/>
        <v>3</v>
      </c>
      <c r="AO159" s="307">
        <f t="shared" si="133"/>
        <v>3</v>
      </c>
      <c r="AP159" s="307">
        <f>IF(OR(AC157="",AD159=""),"",COUNTIF(ResultsInd[Win],AC157&amp;"-"&amp;AD159))</f>
        <v>1</v>
      </c>
      <c r="AQ159" s="307">
        <f>IF(OR(AC157="",AD159=""),"",COUNTIF(ResultsInd[Draw1],AC157&amp;"-"&amp;AD159)+COUNTIF(ResultsInd[Draw2],AC157&amp;"-"&amp;AD159))</f>
        <v>0</v>
      </c>
      <c r="AR159" s="307">
        <f>IF(OR(AC157="",AD159=""),"",COUNTIF(ResultsInd[Lose],AC157&amp;"-"&amp;AD159))</f>
        <v>2</v>
      </c>
      <c r="AS159" s="307">
        <f>IF(OR(AC157="",AD159=""),"",SUMIFS(ResultsInd[Goal-A],ResultsInd[Category],AC157,ResultsInd[Stage],"Groups",ResultsInd[Player A],AD159)+SUMIFS(ResultsInd[Goal-B],ResultsInd[Category],AC157,ResultsInd[Stage],"Groups",ResultsInd[Player B],AD159))</f>
        <v>4</v>
      </c>
      <c r="AT159" s="307">
        <f>IF(OR(AC157="",AD159=""),"",SUMIFS(ResultsInd[Goal-B],ResultsInd[Category],AC157,ResultsInd[Stage],"Groups",ResultsInd[Player A],AD159)+SUMIFS(ResultsInd[Goal-A],ResultsInd[Category],AC157,ResultsInd[Stage],"Groups",ResultsInd[Player B],AD159))</f>
        <v>9</v>
      </c>
      <c r="AU159" s="308">
        <f t="shared" ref="AU159:AU164" si="136">IF(AP159="","",AS159-AT159)</f>
        <v>-5</v>
      </c>
      <c r="AV159" s="469" t="b">
        <f>IF(AG159="","",OR(VLOOKUP(AG159,AH158:AU164,3,FALSE),VLOOKUP(AG159,AH158:AU164,6,FALSE)))</f>
        <v>0</v>
      </c>
      <c r="AW159" s="298">
        <f t="shared" si="134"/>
        <v>2</v>
      </c>
      <c r="AX159" s="285" t="str">
        <f>IF(AG159="","",INDEX(AD158:AD164,MATCH(AG159,AH158:AH164,0)))</f>
        <v>Pascal Scheen</v>
      </c>
      <c r="AY159" s="286">
        <f>IF(AG159="","",VLOOKUP(AG159,AH158:AU164,COLUMN()-COLUMN(AR157),FALSE))</f>
        <v>5</v>
      </c>
      <c r="AZ159" s="286">
        <f>IF(AG159="","",VLOOKUP(AG159,AH158:AU164,COLUMN()-COLUMN(AR157),FALSE))</f>
        <v>3</v>
      </c>
      <c r="BA159" s="286">
        <f>IF(AG159="","",VLOOKUP(AG159,AH158:AU164,COLUMN()-COLUMN(AR157),FALSE))</f>
        <v>1</v>
      </c>
      <c r="BB159" s="286">
        <f>IF(AG159="","",VLOOKUP(AG159,AH158:AU164,COLUMN()-COLUMN(AR157),FALSE))</f>
        <v>2</v>
      </c>
      <c r="BC159" s="286">
        <f>IF(AG159="","",VLOOKUP(AG159,AH158:AU164,COLUMN()-COLUMN(AR157),FALSE))</f>
        <v>0</v>
      </c>
      <c r="BD159" s="286">
        <f>IF(AG159="","",VLOOKUP(AG159,AH158:AU164,COLUMN()-COLUMN(AR157),FALSE))</f>
        <v>7</v>
      </c>
      <c r="BE159" s="286">
        <f>IF(AG159="","",VLOOKUP(AG159,AH158:AU164,COLUMN()-COLUMN(AR157),FALSE))</f>
        <v>5</v>
      </c>
      <c r="BF159" s="301">
        <f>IF(AG159="","",VLOOKUP(AG159,AH158:AU164,COLUMN()-COLUMN(AR157),FALSE))</f>
        <v>2</v>
      </c>
    </row>
    <row r="160" spans="1:58" ht="12" thickBot="1" x14ac:dyDescent="0.25">
      <c r="A160" s="62" t="s">
        <v>890</v>
      </c>
      <c r="B160" s="62" t="s">
        <v>12207</v>
      </c>
      <c r="C160" s="62">
        <v>25</v>
      </c>
      <c r="D160" s="62"/>
      <c r="E160" s="345" t="s">
        <v>8138</v>
      </c>
      <c r="F160" s="345" t="s">
        <v>8200</v>
      </c>
      <c r="G160" s="113">
        <v>7</v>
      </c>
      <c r="H160" s="113">
        <v>2</v>
      </c>
      <c r="I160" s="114"/>
      <c r="J160" s="114"/>
      <c r="K160" s="114"/>
      <c r="L160" s="81"/>
      <c r="M160" s="265" t="b">
        <f>NOT(ISERROR(ResultsInd[[#This Row],[Goal-A]]+ResultsInd[[#This Row],[Goal-B]]))</f>
        <v>1</v>
      </c>
      <c r="N160" s="265">
        <f>VALUE(ResultsInd[[#This Row],[Score-A]])</f>
        <v>7</v>
      </c>
      <c r="O160" s="265">
        <f>VALUE(ResultsInd[[#This Row],[Score-B]])</f>
        <v>2</v>
      </c>
      <c r="P160" s="265">
        <f ca="1">IF(AND(ResultsInd[[#This Row],[Category]]&lt;&gt;"",ResultsInd[[#This Row],[Player A]]&lt;&gt;""),COUNTIF(INDIRECT(ResultsInd[[#This Row],[Category]]&amp;"List[Retained Player Name]"),ResultsInd[[#This Row],[Player A]]),"")</f>
        <v>1</v>
      </c>
      <c r="Q160" s="265">
        <f ca="1">IF(AND(ResultsInd[[#This Row],[Category]]&lt;&gt;"",ResultsInd[[#This Row],[Player B]]&lt;&gt;""),COUNTIF(INDIRECT(ResultsInd[[#This Row],[Category]]&amp;"List[Retained Player Name]"),ResultsInd[[#This Row],[Player B]]),"")</f>
        <v>1</v>
      </c>
      <c r="R1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Van Den Houte</v>
      </c>
      <c r="S160" s="265" t="str">
        <f>IF(ResultsInd[[#This Row],[Score_OK]],IF(ResultsInd[[#This Row],[Stage]]="Groups",ResultsInd[[#This Row],[Category]]&amp;"-"&amp;IF(ResultsInd[[#This Row],[Player B]]="","",IF(ResultsInd[[#This Row],[Score-A]]=ResultsInd[[#This Row],[Score-B]],ResultsInd[[#This Row],[Player A]],"")),""),"")</f>
        <v>OPEN-</v>
      </c>
      <c r="T160" s="265" t="str">
        <f>IF(ResultsInd[[#This Row],[Score_OK]],IF(ResultsInd[[#This Row],[Stage]]="Groups",ResultsInd[[#This Row],[Category]]&amp;"-"&amp;IF(ResultsInd[[#This Row],[Player B]]="","",IF(ResultsInd[[#This Row],[Score-A]]=ResultsInd[[#This Row],[Score-B]],ResultsInd[[#This Row],[Player B]],"")),""),"")</f>
        <v>OPEN-</v>
      </c>
      <c r="U1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OPEN-Mathieu Crasset</v>
      </c>
      <c r="V1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X1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Y160" s="264" t="str">
        <f>IF(ResultsInd[[#This Row],[Category]]="","",VLOOKUP(ResultsInd[[#This Row],[Stage]],$P$1:$V$9,MATCH(ResultsInd[[#This Row],[Category]],$Q$1:$V$1,0)+1,FALSE))</f>
        <v>PR1</v>
      </c>
      <c r="Z160" s="264" t="str">
        <f>IF(ResultsInd[[#This Row],[Score_OK]],IF(ResultsInd[[#This Row],[Level]]="R",ResultsInd[[#This Row],[Category]]&amp;"-"&amp;IF(ResultsInd[[#This Row],[LoseInKO]]=ResultsInd[[#This Row],[Category]]&amp;"-"&amp;ResultsInd[[#This Row],[Player A]],ResultsInd[[#This Row],[Player B]],ResultsInd[[#This Row],[Player A]]),""),"")</f>
        <v/>
      </c>
      <c r="AB160" s="8"/>
      <c r="AC160" s="12" t="str">
        <f t="shared" si="135"/>
        <v>OPEN</v>
      </c>
      <c r="AD160" s="309" t="s">
        <v>9194</v>
      </c>
      <c r="AE160" s="320"/>
      <c r="AF160" s="311"/>
      <c r="AG160" s="292">
        <f>IF(AP160="","",SMALL(AH158:AH164,ROWS(AG158:AG160)))</f>
        <v>3002</v>
      </c>
      <c r="AH160" s="293">
        <f>IF(AP160="","",RANK(AL160,AL158:AL164)*1000+ROWS(AH158:AH160))</f>
        <v>4003</v>
      </c>
      <c r="AI160" s="316">
        <f t="shared" si="129"/>
        <v>1000000000000</v>
      </c>
      <c r="AJ160" s="415" t="b">
        <f>AND(AO160&lt;&gt;"",AO160&gt;0,COUNTIF(AI158:AI164,AI160)&gt;1)</f>
        <v>0</v>
      </c>
      <c r="AK160" s="316">
        <f t="shared" si="130"/>
        <v>0</v>
      </c>
      <c r="AL160" s="317">
        <f t="shared" si="131"/>
        <v>999999970300</v>
      </c>
      <c r="AM160" s="415" t="b">
        <f>AND(AO160&lt;&gt;"",AO160&gt;0,COUNTIF(AL158:AL164,AL160)&gt;1)</f>
        <v>0</v>
      </c>
      <c r="AN160" s="306">
        <f t="shared" si="132"/>
        <v>1</v>
      </c>
      <c r="AO160" s="307">
        <f t="shared" si="133"/>
        <v>3</v>
      </c>
      <c r="AP160" s="307">
        <f>IF(OR(AC157="",AD160=""),"",COUNTIF(ResultsInd[Win],AC157&amp;"-"&amp;AD160))</f>
        <v>0</v>
      </c>
      <c r="AQ160" s="307">
        <f>IF(OR(AC157="",AD160=""),"",COUNTIF(ResultsInd[Draw1],AC157&amp;"-"&amp;AD160)+COUNTIF(ResultsInd[Draw2],AC157&amp;"-"&amp;AD160))</f>
        <v>1</v>
      </c>
      <c r="AR160" s="307">
        <f>IF(OR(AC157="",AD160=""),"",COUNTIF(ResultsInd[Lose],AC157&amp;"-"&amp;AD160))</f>
        <v>2</v>
      </c>
      <c r="AS160" s="307">
        <f>IF(OR(AC157="",AD160=""),"",SUMIFS(ResultsInd[Goal-A],ResultsInd[Category],AC157,ResultsInd[Stage],"Groups",ResultsInd[Player A],AD160)+SUMIFS(ResultsInd[Goal-B],ResultsInd[Category],AC157,ResultsInd[Stage],"Groups",ResultsInd[Player B],AD160))</f>
        <v>3</v>
      </c>
      <c r="AT160" s="307">
        <f>IF(OR(AC157="",AD160=""),"",SUMIFS(ResultsInd[Goal-B],ResultsInd[Category],AC157,ResultsInd[Stage],"Groups",ResultsInd[Player A],AD160)+SUMIFS(ResultsInd[Goal-A],ResultsInd[Category],AC157,ResultsInd[Stage],"Groups",ResultsInd[Player B],AD160))</f>
        <v>6</v>
      </c>
      <c r="AU160" s="308">
        <f t="shared" si="136"/>
        <v>-3</v>
      </c>
      <c r="AV160" s="469" t="b">
        <f>IF(AG160="","",OR(VLOOKUP(AG160,AH158:AU164,3,FALSE),VLOOKUP(AG160,AH158:AU164,6,FALSE)))</f>
        <v>0</v>
      </c>
      <c r="AW160" s="298">
        <f t="shared" si="134"/>
        <v>3</v>
      </c>
      <c r="AX160" s="285" t="str">
        <f>IF(AG160="","",INDEX(AD158:AD164,MATCH(AG160,AH158:AH164,0)))</f>
        <v>Jean Grosdent</v>
      </c>
      <c r="AY160" s="286">
        <f>IF(AG160="","",VLOOKUP(AG160,AH158:AU164,COLUMN()-COLUMN(AR157),FALSE))</f>
        <v>3</v>
      </c>
      <c r="AZ160" s="286">
        <f>IF(AG160="","",VLOOKUP(AG160,AH158:AU164,COLUMN()-COLUMN(AR157),FALSE))</f>
        <v>3</v>
      </c>
      <c r="BA160" s="286">
        <f>IF(AG160="","",VLOOKUP(AG160,AH158:AU164,COLUMN()-COLUMN(AR157),FALSE))</f>
        <v>1</v>
      </c>
      <c r="BB160" s="286">
        <f>IF(AG160="","",VLOOKUP(AG160,AH158:AU164,COLUMN()-COLUMN(AR157),FALSE))</f>
        <v>0</v>
      </c>
      <c r="BC160" s="286">
        <f>IF(AG160="","",VLOOKUP(AG160,AH158:AU164,COLUMN()-COLUMN(AR157),FALSE))</f>
        <v>2</v>
      </c>
      <c r="BD160" s="286">
        <f>IF(AG160="","",VLOOKUP(AG160,AH158:AU164,COLUMN()-COLUMN(AR157),FALSE))</f>
        <v>4</v>
      </c>
      <c r="BE160" s="286">
        <f>IF(AG160="","",VLOOKUP(AG160,AH158:AU164,COLUMN()-COLUMN(AR157),FALSE))</f>
        <v>9</v>
      </c>
      <c r="BF160" s="301">
        <f>IF(AG160="","",VLOOKUP(AG160,AH158:AU164,COLUMN()-COLUMN(AR157),FALSE))</f>
        <v>-5</v>
      </c>
    </row>
    <row r="161" spans="1:58" ht="12" thickBot="1" x14ac:dyDescent="0.25">
      <c r="A161" s="62" t="s">
        <v>890</v>
      </c>
      <c r="B161" s="62" t="s">
        <v>12207</v>
      </c>
      <c r="C161" s="62">
        <v>25</v>
      </c>
      <c r="D161" s="62"/>
      <c r="E161" s="345" t="s">
        <v>14019</v>
      </c>
      <c r="F161" s="345" t="s">
        <v>8583</v>
      </c>
      <c r="G161" s="113">
        <v>4</v>
      </c>
      <c r="H161" s="113">
        <v>0</v>
      </c>
      <c r="I161" s="114"/>
      <c r="J161" s="114"/>
      <c r="K161" s="114"/>
      <c r="L161" s="81"/>
      <c r="M161" s="265" t="b">
        <f>NOT(ISERROR(ResultsInd[[#This Row],[Goal-A]]+ResultsInd[[#This Row],[Goal-B]]))</f>
        <v>1</v>
      </c>
      <c r="N161" s="265">
        <f>VALUE(ResultsInd[[#This Row],[Score-A]])</f>
        <v>4</v>
      </c>
      <c r="O161" s="265">
        <f>VALUE(ResultsInd[[#This Row],[Score-B]])</f>
        <v>0</v>
      </c>
      <c r="P161" s="265">
        <f ca="1">IF(AND(ResultsInd[[#This Row],[Category]]&lt;&gt;"",ResultsInd[[#This Row],[Player A]]&lt;&gt;""),COUNTIF(INDIRECT(ResultsInd[[#This Row],[Category]]&amp;"List[Retained Player Name]"),ResultsInd[[#This Row],[Player A]]),"")</f>
        <v>1</v>
      </c>
      <c r="Q161" s="265">
        <f ca="1">IF(AND(ResultsInd[[#This Row],[Category]]&lt;&gt;"",ResultsInd[[#This Row],[Player B]]&lt;&gt;""),COUNTIF(INDIRECT(ResultsInd[[#This Row],[Category]]&amp;"List[Retained Player Name]"),ResultsInd[[#This Row],[Player B]]),"")</f>
        <v>1</v>
      </c>
      <c r="R1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OPEN-Stylianos Tsangouris</v>
      </c>
      <c r="S161" s="265" t="str">
        <f>IF(ResultsInd[[#This Row],[Score_OK]],IF(ResultsInd[[#This Row],[Stage]]="Groups",ResultsInd[[#This Row],[Category]]&amp;"-"&amp;IF(ResultsInd[[#This Row],[Player B]]="","",IF(ResultsInd[[#This Row],[Score-A]]=ResultsInd[[#This Row],[Score-B]],ResultsInd[[#This Row],[Player A]],"")),""),"")</f>
        <v>OPEN-</v>
      </c>
      <c r="T161" s="265" t="str">
        <f>IF(ResultsInd[[#This Row],[Score_OK]],IF(ResultsInd[[#This Row],[Stage]]="Groups",ResultsInd[[#This Row],[Category]]&amp;"-"&amp;IF(ResultsInd[[#This Row],[Player B]]="","",IF(ResultsInd[[#This Row],[Score-A]]=ResultsInd[[#This Row],[Score-B]],ResultsInd[[#This Row],[Player B]],"")),""),"")</f>
        <v>OPEN-</v>
      </c>
      <c r="U1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1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OPEN-Gage Badger</v>
      </c>
      <c r="X1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OPEN-Gage Badger</v>
      </c>
      <c r="Y161" s="264" t="str">
        <f>IF(ResultsInd[[#This Row],[Category]]="","",VLOOKUP(ResultsInd[[#This Row],[Stage]],$P$1:$V$9,MATCH(ResultsInd[[#This Row],[Category]],$Q$1:$V$1,0)+1,FALSE))</f>
        <v>PR1</v>
      </c>
      <c r="Z161" s="264" t="str">
        <f>IF(ResultsInd[[#This Row],[Score_OK]],IF(ResultsInd[[#This Row],[Level]]="R",ResultsInd[[#This Row],[Category]]&amp;"-"&amp;IF(ResultsInd[[#This Row],[LoseInKO]]=ResultsInd[[#This Row],[Category]]&amp;"-"&amp;ResultsInd[[#This Row],[Player A]],ResultsInd[[#This Row],[Player B]],ResultsInd[[#This Row],[Player A]]),""),"")</f>
        <v/>
      </c>
      <c r="AB161" s="91"/>
      <c r="AC161" s="12" t="str">
        <f t="shared" si="135"/>
        <v>OPEN</v>
      </c>
      <c r="AD161" s="309" t="s">
        <v>9527</v>
      </c>
      <c r="AE161" s="310"/>
      <c r="AF161" s="311"/>
      <c r="AG161" s="292">
        <f>IF(AP161="","",SMALL(AH158:AH164,ROWS(AG158:AG161)))</f>
        <v>4003</v>
      </c>
      <c r="AH161" s="293">
        <f>IF(AP161="","",RANK(AL161,AL158:AL164)*1000+ROWS(AH158:AH161))</f>
        <v>1004</v>
      </c>
      <c r="AI161" s="316">
        <f t="shared" si="129"/>
        <v>7000000000000</v>
      </c>
      <c r="AJ161" s="415" t="b">
        <f>AND(AO161&lt;&gt;"",AO161&gt;0,COUNTIF(AI158:AI164,AI161)&gt;1)</f>
        <v>0</v>
      </c>
      <c r="AK161" s="316">
        <f t="shared" si="130"/>
        <v>0</v>
      </c>
      <c r="AL161" s="317">
        <f t="shared" si="131"/>
        <v>7000000060800</v>
      </c>
      <c r="AM161" s="415" t="b">
        <f>AND(AO161&lt;&gt;"",AO161&gt;0,COUNTIF(AL158:AL164,AL161)&gt;1)</f>
        <v>0</v>
      </c>
      <c r="AN161" s="306">
        <f t="shared" si="132"/>
        <v>7</v>
      </c>
      <c r="AO161" s="307">
        <f t="shared" si="133"/>
        <v>3</v>
      </c>
      <c r="AP161" s="307">
        <f>IF(OR(AC157="",AD161=""),"",COUNTIF(ResultsInd[Win],AC157&amp;"-"&amp;AD161))</f>
        <v>2</v>
      </c>
      <c r="AQ161" s="307">
        <f>IF(OR(AC157="",AD161=""),"",COUNTIF(ResultsInd[Draw1],AC157&amp;"-"&amp;AD161)+COUNTIF(ResultsInd[Draw2],AC157&amp;"-"&amp;AD161))</f>
        <v>1</v>
      </c>
      <c r="AR161" s="307">
        <f>IF(OR(AC157="",AD161=""),"",COUNTIF(ResultsInd[Lose],AC157&amp;"-"&amp;AD161))</f>
        <v>0</v>
      </c>
      <c r="AS161" s="307">
        <f>IF(OR(AC157="",AD161=""),"",SUMIFS(ResultsInd[Goal-A],ResultsInd[Category],AC157,ResultsInd[Stage],"Groups",ResultsInd[Player A],AD161)+SUMIFS(ResultsInd[Goal-B],ResultsInd[Category],AC157,ResultsInd[Stage],"Groups",ResultsInd[Player B],AD161))</f>
        <v>8</v>
      </c>
      <c r="AT161" s="307">
        <f>IF(OR(AC157="",AD161=""),"",SUMIFS(ResultsInd[Goal-B],ResultsInd[Category],AC157,ResultsInd[Stage],"Groups",ResultsInd[Player A],AD161)+SUMIFS(ResultsInd[Goal-A],ResultsInd[Category],AC157,ResultsInd[Stage],"Groups",ResultsInd[Player B],AD161))</f>
        <v>2</v>
      </c>
      <c r="AU161" s="308">
        <f t="shared" si="136"/>
        <v>6</v>
      </c>
      <c r="AV161" s="469" t="b">
        <f>IF(AG161="","",OR(VLOOKUP(AG161,AH158:AU164,3,FALSE),VLOOKUP(AG161,AH158:AU164,6,FALSE)))</f>
        <v>0</v>
      </c>
      <c r="AW161" s="298">
        <f t="shared" si="134"/>
        <v>4</v>
      </c>
      <c r="AX161" s="285" t="str">
        <f>IF(AG161="","",INDEX(AD158:AD164,MATCH(AG161,AH158:AH164,0)))</f>
        <v>Giannis Nikolaidis</v>
      </c>
      <c r="AY161" s="286">
        <f>IF(AG161="","",VLOOKUP(AG161,AH158:AU164,COLUMN()-COLUMN(AR157),FALSE))</f>
        <v>1</v>
      </c>
      <c r="AZ161" s="286">
        <f>IF(AG161="","",VLOOKUP(AG161,AH158:AU164,COLUMN()-COLUMN(AR157),FALSE))</f>
        <v>3</v>
      </c>
      <c r="BA161" s="286">
        <f>IF(AG161="","",VLOOKUP(AG161,AH158:AU164,COLUMN()-COLUMN(AR157),FALSE))</f>
        <v>0</v>
      </c>
      <c r="BB161" s="286">
        <f>IF(AG161="","",VLOOKUP(AG161,AH158:AU164,COLUMN()-COLUMN(AR157),FALSE))</f>
        <v>1</v>
      </c>
      <c r="BC161" s="286">
        <f>IF(AG161="","",VLOOKUP(AG161,AH158:AU164,COLUMN()-COLUMN(AR157),FALSE))</f>
        <v>2</v>
      </c>
      <c r="BD161" s="286">
        <f>IF(AG161="","",VLOOKUP(AG161,AH158:AU164,COLUMN()-COLUMN(AR157),FALSE))</f>
        <v>3</v>
      </c>
      <c r="BE161" s="286">
        <f>IF(AG161="","",VLOOKUP(AG161,AH158:AU164,COLUMN()-COLUMN(AR157),FALSE))</f>
        <v>6</v>
      </c>
      <c r="BF161" s="301">
        <f>IF(AG161="","",VLOOKUP(AG161,AH158:AU164,COLUMN()-COLUMN(AR157),FALSE))</f>
        <v>-3</v>
      </c>
    </row>
    <row r="162" spans="1:58" ht="12" thickBot="1" x14ac:dyDescent="0.25">
      <c r="A162" s="62" t="s">
        <v>890</v>
      </c>
      <c r="B162" s="62" t="s">
        <v>12207</v>
      </c>
      <c r="C162" s="62">
        <v>25</v>
      </c>
      <c r="D162" s="62"/>
      <c r="E162" s="345" t="s">
        <v>8138</v>
      </c>
      <c r="F162" s="345" t="s">
        <v>14019</v>
      </c>
      <c r="G162" s="113">
        <v>4</v>
      </c>
      <c r="H162" s="113">
        <v>2</v>
      </c>
      <c r="I162" s="114"/>
      <c r="J162" s="114"/>
      <c r="K162" s="114"/>
      <c r="L162" s="81"/>
      <c r="M162" s="265" t="b">
        <f>NOT(ISERROR(ResultsInd[[#This Row],[Goal-A]]+ResultsInd[[#This Row],[Goal-B]]))</f>
        <v>1</v>
      </c>
      <c r="N162" s="265">
        <f>VALUE(ResultsInd[[#This Row],[Score-A]])</f>
        <v>4</v>
      </c>
      <c r="O162" s="265">
        <f>VALUE(ResultsInd[[#This Row],[Score-B]])</f>
        <v>2</v>
      </c>
      <c r="P162" s="265">
        <f ca="1">IF(AND(ResultsInd[[#This Row],[Category]]&lt;&gt;"",ResultsInd[[#This Row],[Player A]]&lt;&gt;""),COUNTIF(INDIRECT(ResultsInd[[#This Row],[Category]]&amp;"List[Retained Player Name]"),ResultsInd[[#This Row],[Player A]]),"")</f>
        <v>1</v>
      </c>
      <c r="Q162" s="265">
        <f ca="1">IF(AND(ResultsInd[[#This Row],[Category]]&lt;&gt;"",ResultsInd[[#This Row],[Player B]]&lt;&gt;""),COUNTIF(INDIRECT(ResultsInd[[#This Row],[Category]]&amp;"List[Retained Player Name]"),ResultsInd[[#This Row],[Player B]]),"")</f>
        <v>1</v>
      </c>
      <c r="R1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Van Den Houte</v>
      </c>
      <c r="S162" s="265" t="str">
        <f>IF(ResultsInd[[#This Row],[Score_OK]],IF(ResultsInd[[#This Row],[Stage]]="Groups",ResultsInd[[#This Row],[Category]]&amp;"-"&amp;IF(ResultsInd[[#This Row],[Player B]]="","",IF(ResultsInd[[#This Row],[Score-A]]=ResultsInd[[#This Row],[Score-B]],ResultsInd[[#This Row],[Player A]],"")),""),"")</f>
        <v>OPEN-</v>
      </c>
      <c r="T162" s="265" t="str">
        <f>IF(ResultsInd[[#This Row],[Score_OK]],IF(ResultsInd[[#This Row],[Stage]]="Groups",ResultsInd[[#This Row],[Category]]&amp;"-"&amp;IF(ResultsInd[[#This Row],[Player B]]="","",IF(ResultsInd[[#This Row],[Score-A]]=ResultsInd[[#This Row],[Score-B]],ResultsInd[[#This Row],[Player B]],"")),""),"")</f>
        <v>OPEN-</v>
      </c>
      <c r="U1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OPEN-Stylianos Tsangouris</v>
      </c>
      <c r="V1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OPEN-Stylianos Tsangouris</v>
      </c>
      <c r="X1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OPEN-Stylianos Tsangouris</v>
      </c>
      <c r="Y162" s="264" t="str">
        <f>IF(ResultsInd[[#This Row],[Category]]="","",VLOOKUP(ResultsInd[[#This Row],[Stage]],$P$1:$V$9,MATCH(ResultsInd[[#This Row],[Category]],$Q$1:$V$1,0)+1,FALSE))</f>
        <v>PR1</v>
      </c>
      <c r="Z162" s="264" t="str">
        <f>IF(ResultsInd[[#This Row],[Score_OK]],IF(ResultsInd[[#This Row],[Level]]="R",ResultsInd[[#This Row],[Category]]&amp;"-"&amp;IF(ResultsInd[[#This Row],[LoseInKO]]=ResultsInd[[#This Row],[Category]]&amp;"-"&amp;ResultsInd[[#This Row],[Player A]],ResultsInd[[#This Row],[Player B]],ResultsInd[[#This Row],[Player A]]),""),"")</f>
        <v/>
      </c>
      <c r="AB162" s="91"/>
      <c r="AC162" s="12" t="str">
        <f t="shared" si="135"/>
        <v>OPEN</v>
      </c>
      <c r="AD162" s="309"/>
      <c r="AE162" s="310"/>
      <c r="AF162" s="311"/>
      <c r="AG162" s="292" t="str">
        <f>IF(AP162="","",SMALL(AH158:AH164,ROWS(AG158:AG162)))</f>
        <v/>
      </c>
      <c r="AH162" s="293" t="str">
        <f>IF(AP162="","",RANK(AL162,AL158:AL164)*1000+ROWS(AH158:AH162))</f>
        <v/>
      </c>
      <c r="AI162" s="316" t="str">
        <f t="shared" si="129"/>
        <v/>
      </c>
      <c r="AJ162" s="415" t="b">
        <f>AND(AO162&lt;&gt;"",AO162&gt;0,COUNTIF(AI158:AI164,AI162)&gt;1)</f>
        <v>0</v>
      </c>
      <c r="AK162" s="316" t="str">
        <f t="shared" si="130"/>
        <v/>
      </c>
      <c r="AL162" s="317" t="str">
        <f t="shared" si="131"/>
        <v/>
      </c>
      <c r="AM162" s="415" t="b">
        <f>AND(AO162&lt;&gt;"",AO162&gt;0,COUNTIF(AL158:AL164,AL162)&gt;1)</f>
        <v>0</v>
      </c>
      <c r="AN162" s="306" t="str">
        <f t="shared" si="132"/>
        <v/>
      </c>
      <c r="AO162" s="307" t="str">
        <f t="shared" si="133"/>
        <v/>
      </c>
      <c r="AP162" s="307" t="str">
        <f>IF(OR(AC157="",AD162=""),"",COUNTIF(ResultsInd[Win],AC157&amp;"-"&amp;AD162))</f>
        <v/>
      </c>
      <c r="AQ162" s="307" t="str">
        <f>IF(OR(AC157="",AD162=""),"",COUNTIF(ResultsInd[Draw1],AC157&amp;"-"&amp;AD162)+COUNTIF(ResultsInd[Draw2],AC157&amp;"-"&amp;AD162))</f>
        <v/>
      </c>
      <c r="AR162" s="307" t="str">
        <f>IF(OR(AC157="",AD162=""),"",COUNTIF(ResultsInd[Lose],AC157&amp;"-"&amp;AD162))</f>
        <v/>
      </c>
      <c r="AS162" s="307" t="str">
        <f>IF(OR(AC157="",AD162=""),"",SUMIFS(ResultsInd[Goal-A],ResultsInd[Category],AC157,ResultsInd[Stage],"Groups",ResultsInd[Player A],AD162)+SUMIFS(ResultsInd[Goal-B],ResultsInd[Category],AC157,ResultsInd[Stage],"Groups",ResultsInd[Player B],AD162))</f>
        <v/>
      </c>
      <c r="AT162" s="307" t="str">
        <f>IF(OR(AC157="",AD162=""),"",SUMIFS(ResultsInd[Goal-B],ResultsInd[Category],AC157,ResultsInd[Stage],"Groups",ResultsInd[Player A],AD162)+SUMIFS(ResultsInd[Goal-A],ResultsInd[Category],AC157,ResultsInd[Stage],"Groups",ResultsInd[Player B],AD162))</f>
        <v/>
      </c>
      <c r="AU162" s="308" t="str">
        <f t="shared" si="136"/>
        <v/>
      </c>
      <c r="AV162" s="469" t="str">
        <f>IF(AG162="","",OR(VLOOKUP(AG162,AH158:AU164,3,FALSE),VLOOKUP(AG162,AH158:AU164,6,FALSE)))</f>
        <v/>
      </c>
      <c r="AW162" s="298" t="str">
        <f t="shared" si="134"/>
        <v/>
      </c>
      <c r="AX162" s="285" t="str">
        <f>IF(AG162="","",INDEX(AD158:AD164,MATCH(AG162,AH158:AH164,0)))</f>
        <v/>
      </c>
      <c r="AY162" s="286" t="str">
        <f>IF(AG162="","",VLOOKUP(AG162,AH158:AU164,COLUMN()-COLUMN(AR157),FALSE))</f>
        <v/>
      </c>
      <c r="AZ162" s="286" t="str">
        <f>IF(AG162="","",VLOOKUP(AG162,AH158:AU164,COLUMN()-COLUMN(AR157),FALSE))</f>
        <v/>
      </c>
      <c r="BA162" s="286" t="str">
        <f>IF(AG162="","",VLOOKUP(AG162,AH158:AU164,COLUMN()-COLUMN(AR157),FALSE))</f>
        <v/>
      </c>
      <c r="BB162" s="286" t="str">
        <f>IF(AG162="","",VLOOKUP(AG162,AH158:AU164,COLUMN()-COLUMN(AR157),FALSE))</f>
        <v/>
      </c>
      <c r="BC162" s="286" t="str">
        <f>IF(AG162="","",VLOOKUP(AG162,AH158:AU164,COLUMN()-COLUMN(AR157),FALSE))</f>
        <v/>
      </c>
      <c r="BD162" s="286" t="str">
        <f>IF(AG162="","",VLOOKUP(AG162,AH158:AU164,COLUMN()-COLUMN(AR157),FALSE))</f>
        <v/>
      </c>
      <c r="BE162" s="286" t="str">
        <f>IF(AG162="","",VLOOKUP(AG162,AH158:AU164,COLUMN()-COLUMN(AR157),FALSE))</f>
        <v/>
      </c>
      <c r="BF162" s="301" t="str">
        <f>IF(AG162="","",VLOOKUP(AG162,AH158:AU164,COLUMN()-COLUMN(AR157),FALSE))</f>
        <v/>
      </c>
    </row>
    <row r="163" spans="1:58" ht="12" thickBot="1" x14ac:dyDescent="0.25">
      <c r="A163" s="62" t="s">
        <v>890</v>
      </c>
      <c r="B163" s="62" t="s">
        <v>12207</v>
      </c>
      <c r="C163" s="62">
        <v>25</v>
      </c>
      <c r="D163" s="62"/>
      <c r="E163" s="345" t="s">
        <v>8200</v>
      </c>
      <c r="F163" s="345" t="s">
        <v>8583</v>
      </c>
      <c r="G163" s="113">
        <v>2</v>
      </c>
      <c r="H163" s="113">
        <v>0</v>
      </c>
      <c r="I163" s="114"/>
      <c r="J163" s="114"/>
      <c r="K163" s="114"/>
      <c r="L163" s="81"/>
      <c r="M163" s="265" t="b">
        <f>NOT(ISERROR(ResultsInd[[#This Row],[Goal-A]]+ResultsInd[[#This Row],[Goal-B]]))</f>
        <v>1</v>
      </c>
      <c r="N163" s="265">
        <f>VALUE(ResultsInd[[#This Row],[Score-A]])</f>
        <v>2</v>
      </c>
      <c r="O163" s="265">
        <f>VALUE(ResultsInd[[#This Row],[Score-B]])</f>
        <v>0</v>
      </c>
      <c r="P163" s="265">
        <f ca="1">IF(AND(ResultsInd[[#This Row],[Category]]&lt;&gt;"",ResultsInd[[#This Row],[Player A]]&lt;&gt;""),COUNTIF(INDIRECT(ResultsInd[[#This Row],[Category]]&amp;"List[Retained Player Name]"),ResultsInd[[#This Row],[Player A]]),"")</f>
        <v>1</v>
      </c>
      <c r="Q163" s="265">
        <f ca="1">IF(AND(ResultsInd[[#This Row],[Category]]&lt;&gt;"",ResultsInd[[#This Row],[Player B]]&lt;&gt;""),COUNTIF(INDIRECT(ResultsInd[[#This Row],[Category]]&amp;"List[Retained Player Name]"),ResultsInd[[#This Row],[Player B]]),"")</f>
        <v>1</v>
      </c>
      <c r="R1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OPEN-Mathieu Crasset</v>
      </c>
      <c r="S163" s="265" t="str">
        <f>IF(ResultsInd[[#This Row],[Score_OK]],IF(ResultsInd[[#This Row],[Stage]]="Groups",ResultsInd[[#This Row],[Category]]&amp;"-"&amp;IF(ResultsInd[[#This Row],[Player B]]="","",IF(ResultsInd[[#This Row],[Score-A]]=ResultsInd[[#This Row],[Score-B]],ResultsInd[[#This Row],[Player A]],"")),""),"")</f>
        <v>OPEN-</v>
      </c>
      <c r="T163" s="265" t="str">
        <f>IF(ResultsInd[[#This Row],[Score_OK]],IF(ResultsInd[[#This Row],[Stage]]="Groups",ResultsInd[[#This Row],[Category]]&amp;"-"&amp;IF(ResultsInd[[#This Row],[Player B]]="","",IF(ResultsInd[[#This Row],[Score-A]]=ResultsInd[[#This Row],[Score-B]],ResultsInd[[#This Row],[Player B]],"")),""),"")</f>
        <v>OPEN-</v>
      </c>
      <c r="U1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1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OPEN-Gage Badger</v>
      </c>
      <c r="X1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OPEN-Gage Badger</v>
      </c>
      <c r="Y163" s="264" t="str">
        <f>IF(ResultsInd[[#This Row],[Category]]="","",VLOOKUP(ResultsInd[[#This Row],[Stage]],$P$1:$V$9,MATCH(ResultsInd[[#This Row],[Category]],$Q$1:$V$1,0)+1,FALSE))</f>
        <v>PR1</v>
      </c>
      <c r="Z163" s="264" t="str">
        <f>IF(ResultsInd[[#This Row],[Score_OK]],IF(ResultsInd[[#This Row],[Level]]="R",ResultsInd[[#This Row],[Category]]&amp;"-"&amp;IF(ResultsInd[[#This Row],[LoseInKO]]=ResultsInd[[#This Row],[Category]]&amp;"-"&amp;ResultsInd[[#This Row],[Player A]],ResultsInd[[#This Row],[Player B]],ResultsInd[[#This Row],[Player A]]),""),"")</f>
        <v/>
      </c>
      <c r="AB163" s="8"/>
      <c r="AC163" s="12" t="str">
        <f t="shared" si="135"/>
        <v>OPEN</v>
      </c>
      <c r="AD163" s="309"/>
      <c r="AE163" s="310"/>
      <c r="AF163" s="311"/>
      <c r="AG163" s="292" t="str">
        <f>IF(AP163="","",SMALL(AH158:AH164,ROWS(AG158:AG163)))</f>
        <v/>
      </c>
      <c r="AH163" s="293" t="str">
        <f>IF(AP163="","",RANK(AL163,AL158:AL164)*1000+ROWS(AH158:AH163))</f>
        <v/>
      </c>
      <c r="AI163" s="316" t="str">
        <f t="shared" si="129"/>
        <v/>
      </c>
      <c r="AJ163" s="415" t="b">
        <f>AND(AO163&lt;&gt;"",AO163&gt;0,COUNTIF(AI158:AI164,AI163)&gt;1)</f>
        <v>0</v>
      </c>
      <c r="AK163" s="316" t="str">
        <f t="shared" si="130"/>
        <v/>
      </c>
      <c r="AL163" s="317" t="str">
        <f t="shared" si="131"/>
        <v/>
      </c>
      <c r="AM163" s="415" t="b">
        <f>AND(AO163&lt;&gt;"",AO163&gt;0,COUNTIF(AL158:AL164,AL163)&gt;1)</f>
        <v>0</v>
      </c>
      <c r="AN163" s="306" t="str">
        <f t="shared" si="132"/>
        <v/>
      </c>
      <c r="AO163" s="307" t="str">
        <f t="shared" si="133"/>
        <v/>
      </c>
      <c r="AP163" s="307" t="str">
        <f>IF(OR(AC157="",AD163=""),"",COUNTIF(ResultsInd[Win],AC157&amp;"-"&amp;AD163))</f>
        <v/>
      </c>
      <c r="AQ163" s="307" t="str">
        <f>IF(OR(AC157="",AD163=""),"",COUNTIF(ResultsInd[Draw1],AC157&amp;"-"&amp;AD163)+COUNTIF(ResultsInd[Draw2],AC157&amp;"-"&amp;AD163))</f>
        <v/>
      </c>
      <c r="AR163" s="307" t="str">
        <f>IF(OR(AC157="",AD163=""),"",COUNTIF(ResultsInd[Lose],AC157&amp;"-"&amp;AD163))</f>
        <v/>
      </c>
      <c r="AS163" s="307" t="str">
        <f>IF(OR(AC157="",AD163=""),"",SUMIFS(ResultsInd[Goal-A],ResultsInd[Category],AC157,ResultsInd[Stage],"Groups",ResultsInd[Player A],AD163)+SUMIFS(ResultsInd[Goal-B],ResultsInd[Category],AC157,ResultsInd[Stage],"Groups",ResultsInd[Player B],AD163))</f>
        <v/>
      </c>
      <c r="AT163" s="307" t="str">
        <f>IF(OR(AC157="",AD163=""),"",SUMIFS(ResultsInd[Goal-B],ResultsInd[Category],AC157,ResultsInd[Stage],"Groups",ResultsInd[Player A],AD163)+SUMIFS(ResultsInd[Goal-A],ResultsInd[Category],AC157,ResultsInd[Stage],"Groups",ResultsInd[Player B],AD163))</f>
        <v/>
      </c>
      <c r="AU163" s="308" t="str">
        <f t="shared" si="136"/>
        <v/>
      </c>
      <c r="AV163" s="469" t="str">
        <f>IF(AG163="","",OR(VLOOKUP(AG163,AH158:AU164,3,FALSE),VLOOKUP(AG163,AH158:AU164,6,FALSE)))</f>
        <v/>
      </c>
      <c r="AW163" s="298" t="str">
        <f t="shared" si="134"/>
        <v/>
      </c>
      <c r="AX163" s="285" t="str">
        <f>IF(AG163="","",INDEX(AD158:AD164,MATCH(AG163,AH158:AH164,0)))</f>
        <v/>
      </c>
      <c r="AY163" s="286" t="str">
        <f>IF(AG163="","",VLOOKUP(AG163,AH158:AU164,COLUMN()-COLUMN(AR157),FALSE))</f>
        <v/>
      </c>
      <c r="AZ163" s="286" t="str">
        <f>IF(AG163="","",VLOOKUP(AG163,AH158:AU164,COLUMN()-COLUMN(AR157),FALSE))</f>
        <v/>
      </c>
      <c r="BA163" s="286" t="str">
        <f>IF(AG163="","",VLOOKUP(AG163,AH158:AU164,COLUMN()-COLUMN(AR157),FALSE))</f>
        <v/>
      </c>
      <c r="BB163" s="286" t="str">
        <f>IF(AG163="","",VLOOKUP(AG163,AH158:AU164,COLUMN()-COLUMN(AR157),FALSE))</f>
        <v/>
      </c>
      <c r="BC163" s="286" t="str">
        <f>IF(AG163="","",VLOOKUP(AG163,AH158:AU164,COLUMN()-COLUMN(AR157),FALSE))</f>
        <v/>
      </c>
      <c r="BD163" s="286" t="str">
        <f>IF(AG163="","",VLOOKUP(AG163,AH158:AU164,COLUMN()-COLUMN(AR157),FALSE))</f>
        <v/>
      </c>
      <c r="BE163" s="286" t="str">
        <f>IF(AG163="","",VLOOKUP(AG163,AH158:AU164,COLUMN()-COLUMN(AR157),FALSE))</f>
        <v/>
      </c>
      <c r="BF163" s="301" t="str">
        <f>IF(AG163="","",VLOOKUP(AG163,AH158:AU164,COLUMN()-COLUMN(AR157),FALSE))</f>
        <v/>
      </c>
    </row>
    <row r="164" spans="1:58" ht="12" thickBot="1" x14ac:dyDescent="0.25">
      <c r="A164" s="62" t="s">
        <v>890</v>
      </c>
      <c r="B164" s="62" t="s">
        <v>12207</v>
      </c>
      <c r="C164" s="62">
        <v>25</v>
      </c>
      <c r="D164" s="62"/>
      <c r="E164" s="345" t="s">
        <v>8583</v>
      </c>
      <c r="F164" s="345" t="s">
        <v>8138</v>
      </c>
      <c r="G164" s="113">
        <v>0</v>
      </c>
      <c r="H164" s="113">
        <v>6</v>
      </c>
      <c r="I164" s="114"/>
      <c r="J164" s="114"/>
      <c r="K164" s="114"/>
      <c r="L164" s="81"/>
      <c r="M164" s="265" t="b">
        <f>NOT(ISERROR(ResultsInd[[#This Row],[Goal-A]]+ResultsInd[[#This Row],[Goal-B]]))</f>
        <v>1</v>
      </c>
      <c r="N164" s="265">
        <f>VALUE(ResultsInd[[#This Row],[Score-A]])</f>
        <v>0</v>
      </c>
      <c r="O164" s="265">
        <f>VALUE(ResultsInd[[#This Row],[Score-B]])</f>
        <v>6</v>
      </c>
      <c r="P164" s="265">
        <f ca="1">IF(AND(ResultsInd[[#This Row],[Category]]&lt;&gt;"",ResultsInd[[#This Row],[Player A]]&lt;&gt;""),COUNTIF(INDIRECT(ResultsInd[[#This Row],[Category]]&amp;"List[Retained Player Name]"),ResultsInd[[#This Row],[Player A]]),"")</f>
        <v>1</v>
      </c>
      <c r="Q164" s="265">
        <f ca="1">IF(AND(ResultsInd[[#This Row],[Category]]&lt;&gt;"",ResultsInd[[#This Row],[Player B]]&lt;&gt;""),COUNTIF(INDIRECT(ResultsInd[[#This Row],[Category]]&amp;"List[Retained Player Name]"),ResultsInd[[#This Row],[Player B]]),"")</f>
        <v>1</v>
      </c>
      <c r="R1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Van Den Houte</v>
      </c>
      <c r="S164" s="265" t="str">
        <f>IF(ResultsInd[[#This Row],[Score_OK]],IF(ResultsInd[[#This Row],[Stage]]="Groups",ResultsInd[[#This Row],[Category]]&amp;"-"&amp;IF(ResultsInd[[#This Row],[Player B]]="","",IF(ResultsInd[[#This Row],[Score-A]]=ResultsInd[[#This Row],[Score-B]],ResultsInd[[#This Row],[Player A]],"")),""),"")</f>
        <v>OPEN-</v>
      </c>
      <c r="T164" s="265" t="str">
        <f>IF(ResultsInd[[#This Row],[Score_OK]],IF(ResultsInd[[#This Row],[Stage]]="Groups",ResultsInd[[#This Row],[Category]]&amp;"-"&amp;IF(ResultsInd[[#This Row],[Player B]]="","",IF(ResultsInd[[#This Row],[Score-A]]=ResultsInd[[#This Row],[Score-B]],ResultsInd[[#This Row],[Player B]],"")),""),"")</f>
        <v>OPEN-</v>
      </c>
      <c r="U1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1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OPEN-Gage Badger</v>
      </c>
      <c r="X1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OPEN-Gage Badger</v>
      </c>
      <c r="Y164" s="264" t="str">
        <f>IF(ResultsInd[[#This Row],[Category]]="","",VLOOKUP(ResultsInd[[#This Row],[Stage]],$P$1:$V$9,MATCH(ResultsInd[[#This Row],[Category]],$Q$1:$V$1,0)+1,FALSE))</f>
        <v>PR1</v>
      </c>
      <c r="Z164" s="264" t="str">
        <f>IF(ResultsInd[[#This Row],[Score_OK]],IF(ResultsInd[[#This Row],[Level]]="R",ResultsInd[[#This Row],[Category]]&amp;"-"&amp;IF(ResultsInd[[#This Row],[LoseInKO]]=ResultsInd[[#This Row],[Category]]&amp;"-"&amp;ResultsInd[[#This Row],[Player A]],ResultsInd[[#This Row],[Player B]],ResultsInd[[#This Row],[Player A]]),""),"")</f>
        <v/>
      </c>
      <c r="AB164" s="8"/>
      <c r="AC164" s="12" t="str">
        <f t="shared" si="135"/>
        <v>OPEN</v>
      </c>
      <c r="AD164" s="312"/>
      <c r="AE164" s="313"/>
      <c r="AF164" s="314"/>
      <c r="AG164" s="294" t="str">
        <f>IF(AP164="","",SMALL(AH158:AH164,ROWS(AG158:AG164)))</f>
        <v/>
      </c>
      <c r="AH164" s="295" t="str">
        <f>IF(AP164="","",RANK(AL164,AL158:AL164)*1000+ROWS(AH158:AH164))</f>
        <v/>
      </c>
      <c r="AI164" s="318" t="str">
        <f t="shared" si="129"/>
        <v/>
      </c>
      <c r="AJ164" s="416" t="b">
        <f>AND(AO164&lt;&gt;"",AO164&gt;0,COUNTIF(AI158:AI164,AI164)&gt;1)</f>
        <v>0</v>
      </c>
      <c r="AK164" s="318" t="str">
        <f t="shared" si="130"/>
        <v/>
      </c>
      <c r="AL164" s="319" t="str">
        <f t="shared" si="131"/>
        <v/>
      </c>
      <c r="AM164" s="416" t="b">
        <f>AND(AO164&lt;&gt;"",AO164&gt;0,COUNTIF(AL158:AL164,AL164)&gt;1)</f>
        <v>0</v>
      </c>
      <c r="AN164" s="306" t="str">
        <f t="shared" si="132"/>
        <v/>
      </c>
      <c r="AO164" s="307" t="str">
        <f t="shared" si="133"/>
        <v/>
      </c>
      <c r="AP164" s="307" t="str">
        <f>IF(OR(AC157="",AD164=""),"",COUNTIF(ResultsInd[Win],AC157&amp;"-"&amp;AD164))</f>
        <v/>
      </c>
      <c r="AQ164" s="307" t="str">
        <f>IF(OR(AC157="",AD164=""),"",COUNTIF(ResultsInd[Draw1],AC157&amp;"-"&amp;AD164)+COUNTIF(ResultsInd[Draw2],AC157&amp;"-"&amp;AD164))</f>
        <v/>
      </c>
      <c r="AR164" s="307" t="str">
        <f>IF(OR(AC157="",AD164=""),"",COUNTIF(ResultsInd[Lose],AC157&amp;"-"&amp;AD164))</f>
        <v/>
      </c>
      <c r="AS164" s="307" t="str">
        <f>IF(OR(AC157="",AD164=""),"",SUMIFS(ResultsInd[Goal-A],ResultsInd[Category],AC157,ResultsInd[Stage],"Groups",ResultsInd[Player A],AD164)+SUMIFS(ResultsInd[Goal-B],ResultsInd[Category],AC157,ResultsInd[Stage],"Groups",ResultsInd[Player B],AD164))</f>
        <v/>
      </c>
      <c r="AT164" s="307" t="str">
        <f>IF(OR(AC157="",AD164=""),"",SUMIFS(ResultsInd[Goal-B],ResultsInd[Category],AC157,ResultsInd[Stage],"Groups",ResultsInd[Player A],AD164)+SUMIFS(ResultsInd[Goal-A],ResultsInd[Category],AC157,ResultsInd[Stage],"Groups",ResultsInd[Player B],AD164))</f>
        <v/>
      </c>
      <c r="AU164" s="308" t="str">
        <f t="shared" si="136"/>
        <v/>
      </c>
      <c r="AV164" s="469" t="str">
        <f>IF(AG164="","",OR(VLOOKUP(AG164,AH158:AU164,3,FALSE),VLOOKUP(AG164,AH158:AU164,6,FALSE)))</f>
        <v/>
      </c>
      <c r="AW164" s="299" t="str">
        <f t="shared" si="134"/>
        <v/>
      </c>
      <c r="AX164" s="287" t="str">
        <f>IF(AG164="","",INDEX(AD158:AD164,MATCH(AG164,AH158:AH164,0)))</f>
        <v/>
      </c>
      <c r="AY164" s="288" t="str">
        <f>IF(AG164="","",VLOOKUP(AG164,AH158:AU164,COLUMN()-COLUMN(AR157),FALSE))</f>
        <v/>
      </c>
      <c r="AZ164" s="288" t="str">
        <f>IF(AG164="","",VLOOKUP(AG164,AH158:AU164,COLUMN()-COLUMN(AR157),FALSE))</f>
        <v/>
      </c>
      <c r="BA164" s="288" t="str">
        <f>IF(AG164="","",VLOOKUP(AG164,AH158:AU164,COLUMN()-COLUMN(AR157),FALSE))</f>
        <v/>
      </c>
      <c r="BB164" s="288" t="str">
        <f>IF(AG164="","",VLOOKUP(AG164,AH158:AU164,COLUMN()-COLUMN(AR157),FALSE))</f>
        <v/>
      </c>
      <c r="BC164" s="288" t="str">
        <f>IF(AG164="","",VLOOKUP(AG164,AH158:AU164,COLUMN()-COLUMN(AR157),FALSE))</f>
        <v/>
      </c>
      <c r="BD164" s="288" t="str">
        <f>IF(AG164="","",VLOOKUP(AG164,AH158:AU164,COLUMN()-COLUMN(AR157),FALSE))</f>
        <v/>
      </c>
      <c r="BE164" s="288" t="str">
        <f>IF(AG164="","",VLOOKUP(AG164,AH158:AU164,COLUMN()-COLUMN(AR157),FALSE))</f>
        <v/>
      </c>
      <c r="BF164" s="302" t="str">
        <f>IF(AG164="","",VLOOKUP(AG164,AH158:AU164,COLUMN()-COLUMN(AR157),FALSE))</f>
        <v/>
      </c>
    </row>
    <row r="165" spans="1:58" ht="13.5" thickBot="1" x14ac:dyDescent="0.25">
      <c r="A165" s="62" t="s">
        <v>890</v>
      </c>
      <c r="B165" s="62" t="s">
        <v>12207</v>
      </c>
      <c r="C165" s="62">
        <v>25</v>
      </c>
      <c r="D165" s="62"/>
      <c r="E165" s="345" t="s">
        <v>8200</v>
      </c>
      <c r="F165" s="345" t="s">
        <v>14019</v>
      </c>
      <c r="G165" s="113">
        <v>1</v>
      </c>
      <c r="H165" s="113">
        <v>4</v>
      </c>
      <c r="I165" s="114"/>
      <c r="J165" s="114"/>
      <c r="K165" s="114"/>
      <c r="L165" s="81"/>
      <c r="M165" s="265" t="b">
        <f>NOT(ISERROR(ResultsInd[[#This Row],[Goal-A]]+ResultsInd[[#This Row],[Goal-B]]))</f>
        <v>1</v>
      </c>
      <c r="N165" s="265">
        <f>VALUE(ResultsInd[[#This Row],[Score-A]])</f>
        <v>1</v>
      </c>
      <c r="O165" s="265">
        <f>VALUE(ResultsInd[[#This Row],[Score-B]])</f>
        <v>4</v>
      </c>
      <c r="P165" s="265">
        <f ca="1">IF(AND(ResultsInd[[#This Row],[Category]]&lt;&gt;"",ResultsInd[[#This Row],[Player A]]&lt;&gt;""),COUNTIF(INDIRECT(ResultsInd[[#This Row],[Category]]&amp;"List[Retained Player Name]"),ResultsInd[[#This Row],[Player A]]),"")</f>
        <v>1</v>
      </c>
      <c r="Q165" s="265">
        <f ca="1">IF(AND(ResultsInd[[#This Row],[Category]]&lt;&gt;"",ResultsInd[[#This Row],[Player B]]&lt;&gt;""),COUNTIF(INDIRECT(ResultsInd[[#This Row],[Category]]&amp;"List[Retained Player Name]"),ResultsInd[[#This Row],[Player B]]),"")</f>
        <v>1</v>
      </c>
      <c r="R1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OPEN-Stylianos Tsangouris</v>
      </c>
      <c r="S165" s="265" t="str">
        <f>IF(ResultsInd[[#This Row],[Score_OK]],IF(ResultsInd[[#This Row],[Stage]]="Groups",ResultsInd[[#This Row],[Category]]&amp;"-"&amp;IF(ResultsInd[[#This Row],[Player B]]="","",IF(ResultsInd[[#This Row],[Score-A]]=ResultsInd[[#This Row],[Score-B]],ResultsInd[[#This Row],[Player A]],"")),""),"")</f>
        <v>OPEN-</v>
      </c>
      <c r="T165" s="265" t="str">
        <f>IF(ResultsInd[[#This Row],[Score_OK]],IF(ResultsInd[[#This Row],[Stage]]="Groups",ResultsInd[[#This Row],[Category]]&amp;"-"&amp;IF(ResultsInd[[#This Row],[Player B]]="","",IF(ResultsInd[[#This Row],[Score-A]]=ResultsInd[[#This Row],[Score-B]],ResultsInd[[#This Row],[Player B]],"")),""),"")</f>
        <v>OPEN-</v>
      </c>
      <c r="U1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OPEN-Mathieu Crasset</v>
      </c>
      <c r="V1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X1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Y165" s="264" t="str">
        <f>IF(ResultsInd[[#This Row],[Category]]="","",VLOOKUP(ResultsInd[[#This Row],[Stage]],$P$1:$V$9,MATCH(ResultsInd[[#This Row],[Category]],$Q$1:$V$1,0)+1,FALSE))</f>
        <v>PR1</v>
      </c>
      <c r="Z165" s="264" t="str">
        <f>IF(ResultsInd[[#This Row],[Score_OK]],IF(ResultsInd[[#This Row],[Level]]="R",ResultsInd[[#This Row],[Category]]&amp;"-"&amp;IF(ResultsInd[[#This Row],[LoseInKO]]=ResultsInd[[#This Row],[Category]]&amp;"-"&amp;ResultsInd[[#This Row],[Player A]],ResultsInd[[#This Row],[Player B]],ResultsInd[[#This Row],[Player A]]),""),"")</f>
        <v/>
      </c>
      <c r="AB165" s="8"/>
      <c r="AC165" s="8"/>
      <c r="AF165" s="170"/>
      <c r="AG165" s="101"/>
      <c r="AH165" s="101"/>
      <c r="AN165" s="170"/>
      <c r="AO165" s="170"/>
      <c r="AP165" s="170"/>
      <c r="AQ165" s="172"/>
      <c r="AR165" s="173"/>
      <c r="AS165" s="173"/>
      <c r="AT165" s="173"/>
      <c r="AU165" s="101"/>
      <c r="AV165" s="101"/>
      <c r="AW165" s="101"/>
      <c r="AX165" s="101"/>
      <c r="AY165" s="101"/>
      <c r="AZ165" s="101"/>
    </row>
    <row r="166" spans="1:58" ht="12" thickBot="1" x14ac:dyDescent="0.25">
      <c r="A166" s="62" t="s">
        <v>890</v>
      </c>
      <c r="B166" s="62" t="s">
        <v>12207</v>
      </c>
      <c r="C166" s="62">
        <v>26</v>
      </c>
      <c r="D166" s="62"/>
      <c r="E166" s="345" t="s">
        <v>8123</v>
      </c>
      <c r="F166" s="345" t="s">
        <v>8151</v>
      </c>
      <c r="G166" s="113">
        <v>2</v>
      </c>
      <c r="H166" s="113">
        <v>1</v>
      </c>
      <c r="I166" s="114"/>
      <c r="J166" s="114"/>
      <c r="K166" s="114"/>
      <c r="L166" s="81"/>
      <c r="M166" s="265" t="b">
        <f>NOT(ISERROR(ResultsInd[[#This Row],[Goal-A]]+ResultsInd[[#This Row],[Goal-B]]))</f>
        <v>1</v>
      </c>
      <c r="N166" s="265">
        <f>VALUE(ResultsInd[[#This Row],[Score-A]])</f>
        <v>2</v>
      </c>
      <c r="O166" s="265">
        <f>VALUE(ResultsInd[[#This Row],[Score-B]])</f>
        <v>1</v>
      </c>
      <c r="P166" s="265">
        <f ca="1">IF(AND(ResultsInd[[#This Row],[Category]]&lt;&gt;"",ResultsInd[[#This Row],[Player A]]&lt;&gt;""),COUNTIF(INDIRECT(ResultsInd[[#This Row],[Category]]&amp;"List[Retained Player Name]"),ResultsInd[[#This Row],[Player A]]),"")</f>
        <v>1</v>
      </c>
      <c r="Q166" s="265">
        <f ca="1">IF(AND(ResultsInd[[#This Row],[Category]]&lt;&gt;"",ResultsInd[[#This Row],[Player B]]&lt;&gt;""),COUNTIF(INDIRECT(ResultsInd[[#This Row],[Category]]&amp;"List[Retained Player Name]"),ResultsInd[[#This Row],[Player B]]),"")</f>
        <v>1</v>
      </c>
      <c r="R1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Rairoux</v>
      </c>
      <c r="S166" s="265" t="str">
        <f>IF(ResultsInd[[#This Row],[Score_OK]],IF(ResultsInd[[#This Row],[Stage]]="Groups",ResultsInd[[#This Row],[Category]]&amp;"-"&amp;IF(ResultsInd[[#This Row],[Player B]]="","",IF(ResultsInd[[#This Row],[Score-A]]=ResultsInd[[#This Row],[Score-B]],ResultsInd[[#This Row],[Player A]],"")),""),"")</f>
        <v>OPEN-</v>
      </c>
      <c r="T166" s="265" t="str">
        <f>IF(ResultsInd[[#This Row],[Score_OK]],IF(ResultsInd[[#This Row],[Stage]]="Groups",ResultsInd[[#This Row],[Category]]&amp;"-"&amp;IF(ResultsInd[[#This Row],[Player B]]="","",IF(ResultsInd[[#This Row],[Score-A]]=ResultsInd[[#This Row],[Score-B]],ResultsInd[[#This Row],[Player B]],"")),""),"")</f>
        <v>OPEN-</v>
      </c>
      <c r="U1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OPEN-Benoit Lagneau</v>
      </c>
      <c r="V1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X1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Y166" s="264" t="str">
        <f>IF(ResultsInd[[#This Row],[Category]]="","",VLOOKUP(ResultsInd[[#This Row],[Stage]],$P$1:$V$9,MATCH(ResultsInd[[#This Row],[Category]],$Q$1:$V$1,0)+1,FALSE))</f>
        <v>PR1</v>
      </c>
      <c r="Z166" s="264" t="str">
        <f>IF(ResultsInd[[#This Row],[Score_OK]],IF(ResultsInd[[#This Row],[Level]]="R",ResultsInd[[#This Row],[Category]]&amp;"-"&amp;IF(ResultsInd[[#This Row],[LoseInKO]]=ResultsInd[[#This Row],[Category]]&amp;"-"&amp;ResultsInd[[#This Row],[Player A]],ResultsInd[[#This Row],[Player B]],ResultsInd[[#This Row],[Player A]]),""),"")</f>
        <v/>
      </c>
      <c r="AB166" s="281">
        <v>17</v>
      </c>
      <c r="AC166" s="315" t="s">
        <v>890</v>
      </c>
      <c r="AD166" s="289" t="s">
        <v>14439</v>
      </c>
      <c r="AE166" s="290" t="s">
        <v>12279</v>
      </c>
      <c r="AF166" s="284" t="s">
        <v>12275</v>
      </c>
      <c r="AG166" s="296" t="s">
        <v>12276</v>
      </c>
      <c r="AH166" s="291" t="s">
        <v>12271</v>
      </c>
      <c r="AI166" s="291" t="s">
        <v>12272</v>
      </c>
      <c r="AJ166" s="414" t="s">
        <v>13154</v>
      </c>
      <c r="AK166" s="291" t="s">
        <v>12273</v>
      </c>
      <c r="AL166" s="297" t="s">
        <v>12274</v>
      </c>
      <c r="AM166" s="414" t="s">
        <v>13154</v>
      </c>
      <c r="AN166" s="303" t="s">
        <v>12199</v>
      </c>
      <c r="AO166" s="304" t="s">
        <v>12200</v>
      </c>
      <c r="AP166" s="304" t="s">
        <v>12201</v>
      </c>
      <c r="AQ166" s="304" t="s">
        <v>12202</v>
      </c>
      <c r="AR166" s="304" t="s">
        <v>12203</v>
      </c>
      <c r="AS166" s="304" t="s">
        <v>12204</v>
      </c>
      <c r="AT166" s="304" t="s">
        <v>12205</v>
      </c>
      <c r="AU166" s="305" t="s">
        <v>12206</v>
      </c>
      <c r="AV166" s="468"/>
      <c r="AW166" s="282" t="s">
        <v>12276</v>
      </c>
      <c r="AX166" s="282" t="s">
        <v>12280</v>
      </c>
      <c r="AY166" s="283" t="s">
        <v>12199</v>
      </c>
      <c r="AZ166" s="283" t="s">
        <v>12200</v>
      </c>
      <c r="BA166" s="283" t="s">
        <v>12201</v>
      </c>
      <c r="BB166" s="283" t="s">
        <v>12202</v>
      </c>
      <c r="BC166" s="283" t="s">
        <v>12203</v>
      </c>
      <c r="BD166" s="283" t="s">
        <v>12204</v>
      </c>
      <c r="BE166" s="283" t="s">
        <v>12205</v>
      </c>
      <c r="BF166" s="300" t="s">
        <v>12206</v>
      </c>
    </row>
    <row r="167" spans="1:58" ht="12" thickBot="1" x14ac:dyDescent="0.25">
      <c r="A167" s="62" t="s">
        <v>890</v>
      </c>
      <c r="B167" s="62" t="s">
        <v>12207</v>
      </c>
      <c r="C167" s="62">
        <v>26</v>
      </c>
      <c r="D167" s="62"/>
      <c r="E167" s="345" t="s">
        <v>8922</v>
      </c>
      <c r="F167" s="345" t="s">
        <v>11459</v>
      </c>
      <c r="G167" s="113">
        <v>9</v>
      </c>
      <c r="H167" s="113">
        <v>1</v>
      </c>
      <c r="I167" s="114"/>
      <c r="J167" s="114"/>
      <c r="K167" s="114"/>
      <c r="L167" s="81"/>
      <c r="M167" s="265" t="b">
        <f>NOT(ISERROR(ResultsInd[[#This Row],[Goal-A]]+ResultsInd[[#This Row],[Goal-B]]))</f>
        <v>1</v>
      </c>
      <c r="N167" s="265">
        <f>VALUE(ResultsInd[[#This Row],[Score-A]])</f>
        <v>9</v>
      </c>
      <c r="O167" s="265">
        <f>VALUE(ResultsInd[[#This Row],[Score-B]])</f>
        <v>1</v>
      </c>
      <c r="P167" s="265">
        <f ca="1">IF(AND(ResultsInd[[#This Row],[Category]]&lt;&gt;"",ResultsInd[[#This Row],[Player A]]&lt;&gt;""),COUNTIF(INDIRECT(ResultsInd[[#This Row],[Category]]&amp;"List[Retained Player Name]"),ResultsInd[[#This Row],[Player A]]),"")</f>
        <v>1</v>
      </c>
      <c r="Q167" s="265">
        <f ca="1">IF(AND(ResultsInd[[#This Row],[Category]]&lt;&gt;"",ResultsInd[[#This Row],[Player B]]&lt;&gt;""),COUNTIF(INDIRECT(ResultsInd[[#This Row],[Category]]&amp;"List[Retained Player Name]"),ResultsInd[[#This Row],[Player B]]),"")</f>
        <v>1</v>
      </c>
      <c r="R1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OPEN-Georgios Genitsaropoulos</v>
      </c>
      <c r="S167" s="265" t="str">
        <f>IF(ResultsInd[[#This Row],[Score_OK]],IF(ResultsInd[[#This Row],[Stage]]="Groups",ResultsInd[[#This Row],[Category]]&amp;"-"&amp;IF(ResultsInd[[#This Row],[Player B]]="","",IF(ResultsInd[[#This Row],[Score-A]]=ResultsInd[[#This Row],[Score-B]],ResultsInd[[#This Row],[Player A]],"")),""),"")</f>
        <v>OPEN-</v>
      </c>
      <c r="T167" s="265" t="str">
        <f>IF(ResultsInd[[#This Row],[Score_OK]],IF(ResultsInd[[#This Row],[Stage]]="Groups",ResultsInd[[#This Row],[Category]]&amp;"-"&amp;IF(ResultsInd[[#This Row],[Player B]]="","",IF(ResultsInd[[#This Row],[Score-A]]=ResultsInd[[#This Row],[Score-B]],ResultsInd[[#This Row],[Player B]],"")),""),"")</f>
        <v>OPEN-</v>
      </c>
      <c r="U1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OPEN-Cailim Marks</v>
      </c>
      <c r="V1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X1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Y167" s="264" t="str">
        <f>IF(ResultsInd[[#This Row],[Category]]="","",VLOOKUP(ResultsInd[[#This Row],[Stage]],$P$1:$V$9,MATCH(ResultsInd[[#This Row],[Category]],$Q$1:$V$1,0)+1,FALSE))</f>
        <v>PR1</v>
      </c>
      <c r="Z167" s="264" t="str">
        <f>IF(ResultsInd[[#This Row],[Score_OK]],IF(ResultsInd[[#This Row],[Level]]="R",ResultsInd[[#This Row],[Category]]&amp;"-"&amp;IF(ResultsInd[[#This Row],[LoseInKO]]=ResultsInd[[#This Row],[Category]]&amp;"-"&amp;ResultsInd[[#This Row],[Player A]],ResultsInd[[#This Row],[Player B]],ResultsInd[[#This Row],[Player A]]),""),"")</f>
        <v/>
      </c>
      <c r="AB167" s="8"/>
      <c r="AC167" s="12" t="str">
        <f>IF(AC166="","",AC166)</f>
        <v>OPEN</v>
      </c>
      <c r="AD167" s="309" t="s">
        <v>8115</v>
      </c>
      <c r="AE167" s="320"/>
      <c r="AF167" s="311"/>
      <c r="AG167" s="292">
        <f>IF(AP167="","",SMALL(AH167:AH173,ROWS(AG167:AG167)))</f>
        <v>1002</v>
      </c>
      <c r="AH167" s="293">
        <f>IF(AP167="","",RANK(AL167,AL167:AL173)*1000+ROWS(AH167:AH167))</f>
        <v>2001</v>
      </c>
      <c r="AI167" s="316">
        <f t="shared" ref="AI167:AI173" si="137">IF(AP167="","",CritClassInd1_Points*AN167+CritClassInd1_Matches*AP167+CritClassInd1_Attaque*AS167+CritClassInd1_DiffButs*AU167)</f>
        <v>6000000000000</v>
      </c>
      <c r="AJ167" s="415" t="b">
        <f>AND(AO167&lt;&gt;"",AO167&gt;0,COUNTIF(AI167:AI173,AI167)&gt;1)</f>
        <v>0</v>
      </c>
      <c r="AK167" s="316">
        <f t="shared" ref="AK167:AK173" si="138">IF(AP167="","",CritClassInd_ScorePart*AE167)</f>
        <v>0</v>
      </c>
      <c r="AL167" s="317">
        <f t="shared" ref="AL167:AL173" si="139">IF(AP167="","",AI167+AK167+CritClassInd2_Points*AN167+CritClassInd2_Matches*AP167+CritClassInd2_Attaque*AS167+CritClassInd2_DiffButs*AU167+AF167)</f>
        <v>6000000141700</v>
      </c>
      <c r="AM167" s="415" t="b">
        <f>AND(AO167&lt;&gt;"",AO167&gt;0,COUNTIF(AL167:AL173,AL167)&gt;1)</f>
        <v>0</v>
      </c>
      <c r="AN167" s="306">
        <f t="shared" ref="AN167:AN173" si="140">IF(AP167="","",(AP167*Points_Victoire)+AQ167*Points_Null)</f>
        <v>6</v>
      </c>
      <c r="AO167" s="307">
        <f t="shared" ref="AO167:AO173" si="141">IF(AP167="","",SUM(AP167:AR167))</f>
        <v>3</v>
      </c>
      <c r="AP167" s="307">
        <f>IF(OR(AC166="",AD167=""),"",COUNTIF(ResultsInd[Win],AC166&amp;"-"&amp;AD167))</f>
        <v>2</v>
      </c>
      <c r="AQ167" s="307">
        <f>IF(OR(AC166="",AD167=""),"",COUNTIF(ResultsInd[Draw1],AC166&amp;"-"&amp;AD167)+COUNTIF(ResultsInd[Draw2],AC166&amp;"-"&amp;AD167))</f>
        <v>0</v>
      </c>
      <c r="AR167" s="307">
        <f>IF(OR(AC166="",AD167=""),"",COUNTIF(ResultsInd[Lose],AC166&amp;"-"&amp;AD167))</f>
        <v>1</v>
      </c>
      <c r="AS167" s="307">
        <f>IF(OR(AC166="",AD167=""),"",SUMIFS(ResultsInd[Goal-A],ResultsInd[Category],AC166,ResultsInd[Stage],"Groups",ResultsInd[Player A],AD167)+SUMIFS(ResultsInd[Goal-B],ResultsInd[Category],AC166,ResultsInd[Stage],"Groups",ResultsInd[Player B],AD167))</f>
        <v>17</v>
      </c>
      <c r="AT167" s="307">
        <f>IF(OR(AC166="",AD167=""),"",SUMIFS(ResultsInd[Goal-B],ResultsInd[Category],AC166,ResultsInd[Stage],"Groups",ResultsInd[Player A],AD167)+SUMIFS(ResultsInd[Goal-A],ResultsInd[Category],AC166,ResultsInd[Stage],"Groups",ResultsInd[Player B],AD167))</f>
        <v>3</v>
      </c>
      <c r="AU167" s="308">
        <f>IF(AP167="","",AS167-AT167)</f>
        <v>14</v>
      </c>
      <c r="AV167" s="469" t="b">
        <f>IF(AG167="","",OR(VLOOKUP(AG167,AH167:AU173,3,FALSE),VLOOKUP(AG167,AH167:AU173,6,FALSE)))</f>
        <v>0</v>
      </c>
      <c r="AW167" s="298">
        <f t="shared" ref="AW167:AW173" si="142">IF(AG167="","",INT(AG167/1000))</f>
        <v>1</v>
      </c>
      <c r="AX167" s="285" t="str">
        <f>IF(AG167="","",INDEX(AD167:AD173,MATCH(AG167,AH167:AH173,0)))</f>
        <v>Christophe Monteiro</v>
      </c>
      <c r="AY167" s="286">
        <f>IF(AG167="","",VLOOKUP(AG167,AH167:AU173,COLUMN()-COLUMN(AR166),FALSE))</f>
        <v>9</v>
      </c>
      <c r="AZ167" s="286">
        <f>IF(AG167="","",VLOOKUP(AG167,AH167:AU173,COLUMN()-COLUMN(AR166),FALSE))</f>
        <v>3</v>
      </c>
      <c r="BA167" s="286">
        <f>IF(AG167="","",VLOOKUP(AG167,AH167:AU173,COLUMN()-COLUMN(AR166),FALSE))</f>
        <v>3</v>
      </c>
      <c r="BB167" s="286">
        <f>IF(AG167="","",VLOOKUP(AG167,AH167:AU173,COLUMN()-COLUMN(AR166),FALSE))</f>
        <v>0</v>
      </c>
      <c r="BC167" s="286">
        <f>IF(AG167="","",VLOOKUP(AG167,AH167:AU173,COLUMN()-COLUMN(AR166),FALSE))</f>
        <v>0</v>
      </c>
      <c r="BD167" s="286">
        <f>IF(AG167="","",VLOOKUP(AG167,AH167:AU173,COLUMN()-COLUMN(AR166),FALSE))</f>
        <v>12</v>
      </c>
      <c r="BE167" s="286">
        <f>IF(AG167="","",VLOOKUP(AG167,AH167:AU173,COLUMN()-COLUMN(AR166),FALSE))</f>
        <v>2</v>
      </c>
      <c r="BF167" s="301">
        <f>IF(AG167="","",VLOOKUP(AG167,AH167:AU173,COLUMN()-COLUMN(AR166),FALSE))</f>
        <v>10</v>
      </c>
    </row>
    <row r="168" spans="1:58" ht="12" thickBot="1" x14ac:dyDescent="0.25">
      <c r="A168" s="62" t="s">
        <v>890</v>
      </c>
      <c r="B168" s="62" t="s">
        <v>12207</v>
      </c>
      <c r="C168" s="62">
        <v>26</v>
      </c>
      <c r="D168" s="62"/>
      <c r="E168" s="345" t="s">
        <v>8123</v>
      </c>
      <c r="F168" s="345" t="s">
        <v>8922</v>
      </c>
      <c r="G168" s="113">
        <v>2</v>
      </c>
      <c r="H168" s="113">
        <v>1</v>
      </c>
      <c r="I168" s="114"/>
      <c r="J168" s="114"/>
      <c r="K168" s="114"/>
      <c r="L168" s="81"/>
      <c r="M168" s="265" t="b">
        <f>NOT(ISERROR(ResultsInd[[#This Row],[Goal-A]]+ResultsInd[[#This Row],[Goal-B]]))</f>
        <v>1</v>
      </c>
      <c r="N168" s="265">
        <f>VALUE(ResultsInd[[#This Row],[Score-A]])</f>
        <v>2</v>
      </c>
      <c r="O168" s="265">
        <f>VALUE(ResultsInd[[#This Row],[Score-B]])</f>
        <v>1</v>
      </c>
      <c r="P168" s="265">
        <f ca="1">IF(AND(ResultsInd[[#This Row],[Category]]&lt;&gt;"",ResultsInd[[#This Row],[Player A]]&lt;&gt;""),COUNTIF(INDIRECT(ResultsInd[[#This Row],[Category]]&amp;"List[Retained Player Name]"),ResultsInd[[#This Row],[Player A]]),"")</f>
        <v>1</v>
      </c>
      <c r="Q168" s="265">
        <f ca="1">IF(AND(ResultsInd[[#This Row],[Category]]&lt;&gt;"",ResultsInd[[#This Row],[Player B]]&lt;&gt;""),COUNTIF(INDIRECT(ResultsInd[[#This Row],[Category]]&amp;"List[Retained Player Name]"),ResultsInd[[#This Row],[Player B]]),"")</f>
        <v>1</v>
      </c>
      <c r="R1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Rairoux</v>
      </c>
      <c r="S168" s="265" t="str">
        <f>IF(ResultsInd[[#This Row],[Score_OK]],IF(ResultsInd[[#This Row],[Stage]]="Groups",ResultsInd[[#This Row],[Category]]&amp;"-"&amp;IF(ResultsInd[[#This Row],[Player B]]="","",IF(ResultsInd[[#This Row],[Score-A]]=ResultsInd[[#This Row],[Score-B]],ResultsInd[[#This Row],[Player A]],"")),""),"")</f>
        <v>OPEN-</v>
      </c>
      <c r="T168" s="265" t="str">
        <f>IF(ResultsInd[[#This Row],[Score_OK]],IF(ResultsInd[[#This Row],[Stage]]="Groups",ResultsInd[[#This Row],[Category]]&amp;"-"&amp;IF(ResultsInd[[#This Row],[Player B]]="","",IF(ResultsInd[[#This Row],[Score-A]]=ResultsInd[[#This Row],[Score-B]],ResultsInd[[#This Row],[Player B]],"")),""),"")</f>
        <v>OPEN-</v>
      </c>
      <c r="U1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OPEN-Georgios Genitsaropoulos</v>
      </c>
      <c r="V1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OPEN-Georgios Genitsaropoulos</v>
      </c>
      <c r="X1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OPEN-Georgios Genitsaropoulos</v>
      </c>
      <c r="Y168" s="264" t="str">
        <f>IF(ResultsInd[[#This Row],[Category]]="","",VLOOKUP(ResultsInd[[#This Row],[Stage]],$P$1:$V$9,MATCH(ResultsInd[[#This Row],[Category]],$Q$1:$V$1,0)+1,FALSE))</f>
        <v>PR1</v>
      </c>
      <c r="Z168" s="264" t="str">
        <f>IF(ResultsInd[[#This Row],[Score_OK]],IF(ResultsInd[[#This Row],[Level]]="R",ResultsInd[[#This Row],[Category]]&amp;"-"&amp;IF(ResultsInd[[#This Row],[LoseInKO]]=ResultsInd[[#This Row],[Category]]&amp;"-"&amp;ResultsInd[[#This Row],[Player A]],ResultsInd[[#This Row],[Player B]],ResultsInd[[#This Row],[Player A]]),""),"")</f>
        <v/>
      </c>
      <c r="AB168" s="8"/>
      <c r="AC168" s="12" t="str">
        <f t="shared" ref="AC168:AC173" si="143">IF(AC167="","",AC167)</f>
        <v>OPEN</v>
      </c>
      <c r="AD168" s="309" t="s">
        <v>8720</v>
      </c>
      <c r="AE168" s="320"/>
      <c r="AF168" s="311"/>
      <c r="AG168" s="292">
        <f>IF(AP168="","",SMALL(AH167:AH173,ROWS(AG167:AG168)))</f>
        <v>2001</v>
      </c>
      <c r="AH168" s="293">
        <f>IF(AP168="","",RANK(AL168,AL167:AL173)*1000+ROWS(AH167:AH168))</f>
        <v>1002</v>
      </c>
      <c r="AI168" s="316">
        <f t="shared" si="137"/>
        <v>9000000000000</v>
      </c>
      <c r="AJ168" s="415" t="b">
        <f>AND(AO168&lt;&gt;"",AO168&gt;0,COUNTIF(AI167:AI173,AI168)&gt;1)</f>
        <v>0</v>
      </c>
      <c r="AK168" s="316">
        <f t="shared" si="138"/>
        <v>0</v>
      </c>
      <c r="AL168" s="317">
        <f t="shared" si="139"/>
        <v>9000000101200</v>
      </c>
      <c r="AM168" s="415" t="b">
        <f>AND(AO168&lt;&gt;"",AO168&gt;0,COUNTIF(AL167:AL173,AL168)&gt;1)</f>
        <v>0</v>
      </c>
      <c r="AN168" s="306">
        <f t="shared" si="140"/>
        <v>9</v>
      </c>
      <c r="AO168" s="307">
        <f t="shared" si="141"/>
        <v>3</v>
      </c>
      <c r="AP168" s="307">
        <f>IF(OR(AC166="",AD168=""),"",COUNTIF(ResultsInd[Win],AC166&amp;"-"&amp;AD168))</f>
        <v>3</v>
      </c>
      <c r="AQ168" s="307">
        <f>IF(OR(AC166="",AD168=""),"",COUNTIF(ResultsInd[Draw1],AC166&amp;"-"&amp;AD168)+COUNTIF(ResultsInd[Draw2],AC166&amp;"-"&amp;AD168))</f>
        <v>0</v>
      </c>
      <c r="AR168" s="307">
        <f>IF(OR(AC166="",AD168=""),"",COUNTIF(ResultsInd[Lose],AC166&amp;"-"&amp;AD168))</f>
        <v>0</v>
      </c>
      <c r="AS168" s="307">
        <f>IF(OR(AC166="",AD168=""),"",SUMIFS(ResultsInd[Goal-A],ResultsInd[Category],AC166,ResultsInd[Stage],"Groups",ResultsInd[Player A],AD168)+SUMIFS(ResultsInd[Goal-B],ResultsInd[Category],AC166,ResultsInd[Stage],"Groups",ResultsInd[Player B],AD168))</f>
        <v>12</v>
      </c>
      <c r="AT168" s="307">
        <f>IF(OR(AC166="",AD168=""),"",SUMIFS(ResultsInd[Goal-B],ResultsInd[Category],AC166,ResultsInd[Stage],"Groups",ResultsInd[Player A],AD168)+SUMIFS(ResultsInd[Goal-A],ResultsInd[Category],AC166,ResultsInd[Stage],"Groups",ResultsInd[Player B],AD168))</f>
        <v>2</v>
      </c>
      <c r="AU168" s="308">
        <f t="shared" ref="AU168:AU173" si="144">IF(AP168="","",AS168-AT168)</f>
        <v>10</v>
      </c>
      <c r="AV168" s="469" t="b">
        <f>IF(AG168="","",OR(VLOOKUP(AG168,AH167:AU173,3,FALSE),VLOOKUP(AG168,AH167:AU173,6,FALSE)))</f>
        <v>0</v>
      </c>
      <c r="AW168" s="298">
        <f t="shared" si="142"/>
        <v>2</v>
      </c>
      <c r="AX168" s="285" t="str">
        <f>IF(AG168="","",INDEX(AD167:AD173,MATCH(AG168,AH167:AH173,0)))</f>
        <v>Geoffrey Marain</v>
      </c>
      <c r="AY168" s="286">
        <f>IF(AG168="","",VLOOKUP(AG168,AH167:AU173,COLUMN()-COLUMN(AR166),FALSE))</f>
        <v>6</v>
      </c>
      <c r="AZ168" s="286">
        <f>IF(AG168="","",VLOOKUP(AG168,AH167:AU173,COLUMN()-COLUMN(AR166),FALSE))</f>
        <v>3</v>
      </c>
      <c r="BA168" s="286">
        <f>IF(AG168="","",VLOOKUP(AG168,AH167:AU173,COLUMN()-COLUMN(AR166),FALSE))</f>
        <v>2</v>
      </c>
      <c r="BB168" s="286">
        <f>IF(AG168="","",VLOOKUP(AG168,AH167:AU173,COLUMN()-COLUMN(AR166),FALSE))</f>
        <v>0</v>
      </c>
      <c r="BC168" s="286">
        <f>IF(AG168="","",VLOOKUP(AG168,AH167:AU173,COLUMN()-COLUMN(AR166),FALSE))</f>
        <v>1</v>
      </c>
      <c r="BD168" s="286">
        <f>IF(AG168="","",VLOOKUP(AG168,AH167:AU173,COLUMN()-COLUMN(AR166),FALSE))</f>
        <v>17</v>
      </c>
      <c r="BE168" s="286">
        <f>IF(AG168="","",VLOOKUP(AG168,AH167:AU173,COLUMN()-COLUMN(AR166),FALSE))</f>
        <v>3</v>
      </c>
      <c r="BF168" s="301">
        <f>IF(AG168="","",VLOOKUP(AG168,AH167:AU173,COLUMN()-COLUMN(AR166),FALSE))</f>
        <v>14</v>
      </c>
    </row>
    <row r="169" spans="1:58" ht="12" thickBot="1" x14ac:dyDescent="0.25">
      <c r="A169" s="62" t="s">
        <v>890</v>
      </c>
      <c r="B169" s="62" t="s">
        <v>12207</v>
      </c>
      <c r="C169" s="62">
        <v>26</v>
      </c>
      <c r="D169" s="62"/>
      <c r="E169" s="345" t="s">
        <v>8151</v>
      </c>
      <c r="F169" s="345" t="s">
        <v>11459</v>
      </c>
      <c r="G169" s="113">
        <v>3</v>
      </c>
      <c r="H169" s="113">
        <v>0</v>
      </c>
      <c r="I169" s="114"/>
      <c r="J169" s="114"/>
      <c r="K169" s="114"/>
      <c r="L169" s="81"/>
      <c r="M169" s="265" t="b">
        <f>NOT(ISERROR(ResultsInd[[#This Row],[Goal-A]]+ResultsInd[[#This Row],[Goal-B]]))</f>
        <v>1</v>
      </c>
      <c r="N169" s="265">
        <f>VALUE(ResultsInd[[#This Row],[Score-A]])</f>
        <v>3</v>
      </c>
      <c r="O169" s="265">
        <f>VALUE(ResultsInd[[#This Row],[Score-B]])</f>
        <v>0</v>
      </c>
      <c r="P169" s="265">
        <f ca="1">IF(AND(ResultsInd[[#This Row],[Category]]&lt;&gt;"",ResultsInd[[#This Row],[Player A]]&lt;&gt;""),COUNTIF(INDIRECT(ResultsInd[[#This Row],[Category]]&amp;"List[Retained Player Name]"),ResultsInd[[#This Row],[Player A]]),"")</f>
        <v>1</v>
      </c>
      <c r="Q169" s="265">
        <f ca="1">IF(AND(ResultsInd[[#This Row],[Category]]&lt;&gt;"",ResultsInd[[#This Row],[Player B]]&lt;&gt;""),COUNTIF(INDIRECT(ResultsInd[[#This Row],[Category]]&amp;"List[Retained Player Name]"),ResultsInd[[#This Row],[Player B]]),"")</f>
        <v>1</v>
      </c>
      <c r="R1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OPEN-Benoit Lagneau</v>
      </c>
      <c r="S169" s="265" t="str">
        <f>IF(ResultsInd[[#This Row],[Score_OK]],IF(ResultsInd[[#This Row],[Stage]]="Groups",ResultsInd[[#This Row],[Category]]&amp;"-"&amp;IF(ResultsInd[[#This Row],[Player B]]="","",IF(ResultsInd[[#This Row],[Score-A]]=ResultsInd[[#This Row],[Score-B]],ResultsInd[[#This Row],[Player A]],"")),""),"")</f>
        <v>OPEN-</v>
      </c>
      <c r="T169" s="265" t="str">
        <f>IF(ResultsInd[[#This Row],[Score_OK]],IF(ResultsInd[[#This Row],[Stage]]="Groups",ResultsInd[[#This Row],[Category]]&amp;"-"&amp;IF(ResultsInd[[#This Row],[Player B]]="","",IF(ResultsInd[[#This Row],[Score-A]]=ResultsInd[[#This Row],[Score-B]],ResultsInd[[#This Row],[Player B]],"")),""),"")</f>
        <v>OPEN-</v>
      </c>
      <c r="U1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OPEN-Cailim Marks</v>
      </c>
      <c r="V1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X1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Y169" s="264" t="str">
        <f>IF(ResultsInd[[#This Row],[Category]]="","",VLOOKUP(ResultsInd[[#This Row],[Stage]],$P$1:$V$9,MATCH(ResultsInd[[#This Row],[Category]],$Q$1:$V$1,0)+1,FALSE))</f>
        <v>PR1</v>
      </c>
      <c r="Z169" s="264" t="str">
        <f>IF(ResultsInd[[#This Row],[Score_OK]],IF(ResultsInd[[#This Row],[Level]]="R",ResultsInd[[#This Row],[Category]]&amp;"-"&amp;IF(ResultsInd[[#This Row],[LoseInKO]]=ResultsInd[[#This Row],[Category]]&amp;"-"&amp;ResultsInd[[#This Row],[Player A]],ResultsInd[[#This Row],[Player B]],ResultsInd[[#This Row],[Player A]]),""),"")</f>
        <v/>
      </c>
      <c r="AB169" s="8"/>
      <c r="AC169" s="12" t="str">
        <f t="shared" si="143"/>
        <v>OPEN</v>
      </c>
      <c r="AD169" s="309" t="s">
        <v>14488</v>
      </c>
      <c r="AE169" s="320"/>
      <c r="AF169" s="311"/>
      <c r="AG169" s="292">
        <f>IF(AP169="","",SMALL(AH167:AH173,ROWS(AG167:AG169)))</f>
        <v>3004</v>
      </c>
      <c r="AH169" s="293">
        <f>IF(AP169="","",RANK(AL169,AL167:AL173)*1000+ROWS(AH167:AH169))</f>
        <v>4003</v>
      </c>
      <c r="AI169" s="316">
        <f t="shared" si="137"/>
        <v>0</v>
      </c>
      <c r="AJ169" s="415" t="b">
        <f>AND(AO169&lt;&gt;"",AO169&gt;0,COUNTIF(AI167:AI173,AI169)&gt;1)</f>
        <v>0</v>
      </c>
      <c r="AK169" s="316">
        <f t="shared" si="138"/>
        <v>0</v>
      </c>
      <c r="AL169" s="317">
        <f t="shared" si="139"/>
        <v>-250000</v>
      </c>
      <c r="AM169" s="415" t="b">
        <f>AND(AO169&lt;&gt;"",AO169&gt;0,COUNTIF(AL167:AL173,AL169)&gt;1)</f>
        <v>0</v>
      </c>
      <c r="AN169" s="306">
        <f t="shared" si="140"/>
        <v>0</v>
      </c>
      <c r="AO169" s="307">
        <f t="shared" si="141"/>
        <v>3</v>
      </c>
      <c r="AP169" s="307">
        <f>IF(OR(AC166="",AD169=""),"",COUNTIF(ResultsInd[Win],AC166&amp;"-"&amp;AD169))</f>
        <v>0</v>
      </c>
      <c r="AQ169" s="307">
        <f>IF(OR(AC166="",AD169=""),"",COUNTIF(ResultsInd[Draw1],AC166&amp;"-"&amp;AD169)+COUNTIF(ResultsInd[Draw2],AC166&amp;"-"&amp;AD169))</f>
        <v>0</v>
      </c>
      <c r="AR169" s="307">
        <f>IF(OR(AC166="",AD169=""),"",COUNTIF(ResultsInd[Lose],AC166&amp;"-"&amp;AD169))</f>
        <v>3</v>
      </c>
      <c r="AS169" s="307">
        <f>IF(OR(AC166="",AD169=""),"",SUMIFS(ResultsInd[Goal-A],ResultsInd[Category],AC166,ResultsInd[Stage],"Groups",ResultsInd[Player A],AD169)+SUMIFS(ResultsInd[Goal-B],ResultsInd[Category],AC166,ResultsInd[Stage],"Groups",ResultsInd[Player B],AD169))</f>
        <v>0</v>
      </c>
      <c r="AT169" s="307">
        <f>IF(OR(AC166="",AD169=""),"",SUMIFS(ResultsInd[Goal-B],ResultsInd[Category],AC166,ResultsInd[Stage],"Groups",ResultsInd[Player A],AD169)+SUMIFS(ResultsInd[Goal-A],ResultsInd[Category],AC166,ResultsInd[Stage],"Groups",ResultsInd[Player B],AD169))</f>
        <v>25</v>
      </c>
      <c r="AU169" s="308">
        <f t="shared" si="144"/>
        <v>-25</v>
      </c>
      <c r="AV169" s="469" t="b">
        <f>IF(AG169="","",OR(VLOOKUP(AG169,AH167:AU173,3,FALSE),VLOOKUP(AG169,AH167:AU173,6,FALSE)))</f>
        <v>0</v>
      </c>
      <c r="AW169" s="298">
        <f t="shared" si="142"/>
        <v>3</v>
      </c>
      <c r="AX169" s="285" t="str">
        <f>IF(AG169="","",INDEX(AD167:AD173,MATCH(AG169,AH167:AH173,0)))</f>
        <v>Richard Badger</v>
      </c>
      <c r="AY169" s="286">
        <f>IF(AG169="","",VLOOKUP(AG169,AH167:AU173,COLUMN()-COLUMN(AR166),FALSE))</f>
        <v>3</v>
      </c>
      <c r="AZ169" s="286">
        <f>IF(AG169="","",VLOOKUP(AG169,AH167:AU173,COLUMN()-COLUMN(AR166),FALSE))</f>
        <v>3</v>
      </c>
      <c r="BA169" s="286">
        <f>IF(AG169="","",VLOOKUP(AG169,AH167:AU173,COLUMN()-COLUMN(AR166),FALSE))</f>
        <v>1</v>
      </c>
      <c r="BB169" s="286">
        <f>IF(AG169="","",VLOOKUP(AG169,AH167:AU173,COLUMN()-COLUMN(AR166),FALSE))</f>
        <v>0</v>
      </c>
      <c r="BC169" s="286">
        <f>IF(AG169="","",VLOOKUP(AG169,AH167:AU173,COLUMN()-COLUMN(AR166),FALSE))</f>
        <v>2</v>
      </c>
      <c r="BD169" s="286">
        <f>IF(AG169="","",VLOOKUP(AG169,AH167:AU173,COLUMN()-COLUMN(AR166),FALSE))</f>
        <v>9</v>
      </c>
      <c r="BE169" s="286">
        <f>IF(AG169="","",VLOOKUP(AG169,AH167:AU173,COLUMN()-COLUMN(AR166),FALSE))</f>
        <v>8</v>
      </c>
      <c r="BF169" s="301">
        <f>IF(AG169="","",VLOOKUP(AG169,AH167:AU173,COLUMN()-COLUMN(AR166),FALSE))</f>
        <v>1</v>
      </c>
    </row>
    <row r="170" spans="1:58" ht="12" thickBot="1" x14ac:dyDescent="0.25">
      <c r="A170" s="62" t="s">
        <v>890</v>
      </c>
      <c r="B170" s="62" t="s">
        <v>12207</v>
      </c>
      <c r="C170" s="62">
        <v>26</v>
      </c>
      <c r="D170" s="62"/>
      <c r="E170" s="345" t="s">
        <v>11459</v>
      </c>
      <c r="F170" s="345" t="s">
        <v>8123</v>
      </c>
      <c r="G170" s="113">
        <v>0</v>
      </c>
      <c r="H170" s="113">
        <v>3</v>
      </c>
      <c r="I170" s="114"/>
      <c r="J170" s="114"/>
      <c r="K170" s="114"/>
      <c r="L170" s="81"/>
      <c r="M170" s="265" t="b">
        <f>NOT(ISERROR(ResultsInd[[#This Row],[Goal-A]]+ResultsInd[[#This Row],[Goal-B]]))</f>
        <v>1</v>
      </c>
      <c r="N170" s="265">
        <f>VALUE(ResultsInd[[#This Row],[Score-A]])</f>
        <v>0</v>
      </c>
      <c r="O170" s="265">
        <f>VALUE(ResultsInd[[#This Row],[Score-B]])</f>
        <v>3</v>
      </c>
      <c r="P170" s="265">
        <f ca="1">IF(AND(ResultsInd[[#This Row],[Category]]&lt;&gt;"",ResultsInd[[#This Row],[Player A]]&lt;&gt;""),COUNTIF(INDIRECT(ResultsInd[[#This Row],[Category]]&amp;"List[Retained Player Name]"),ResultsInd[[#This Row],[Player A]]),"")</f>
        <v>1</v>
      </c>
      <c r="Q170" s="265">
        <f ca="1">IF(AND(ResultsInd[[#This Row],[Category]]&lt;&gt;"",ResultsInd[[#This Row],[Player B]]&lt;&gt;""),COUNTIF(INDIRECT(ResultsInd[[#This Row],[Category]]&amp;"List[Retained Player Name]"),ResultsInd[[#This Row],[Player B]]),"")</f>
        <v>1</v>
      </c>
      <c r="R1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Rairoux</v>
      </c>
      <c r="S170" s="265" t="str">
        <f>IF(ResultsInd[[#This Row],[Score_OK]],IF(ResultsInd[[#This Row],[Stage]]="Groups",ResultsInd[[#This Row],[Category]]&amp;"-"&amp;IF(ResultsInd[[#This Row],[Player B]]="","",IF(ResultsInd[[#This Row],[Score-A]]=ResultsInd[[#This Row],[Score-B]],ResultsInd[[#This Row],[Player A]],"")),""),"")</f>
        <v>OPEN-</v>
      </c>
      <c r="T170" s="265" t="str">
        <f>IF(ResultsInd[[#This Row],[Score_OK]],IF(ResultsInd[[#This Row],[Stage]]="Groups",ResultsInd[[#This Row],[Category]]&amp;"-"&amp;IF(ResultsInd[[#This Row],[Player B]]="","",IF(ResultsInd[[#This Row],[Score-A]]=ResultsInd[[#This Row],[Score-B]],ResultsInd[[#This Row],[Player B]],"")),""),"")</f>
        <v>OPEN-</v>
      </c>
      <c r="U1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OPEN-Cailim Marks</v>
      </c>
      <c r="V1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X1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Y170" s="264" t="str">
        <f>IF(ResultsInd[[#This Row],[Category]]="","",VLOOKUP(ResultsInd[[#This Row],[Stage]],$P$1:$V$9,MATCH(ResultsInd[[#This Row],[Category]],$Q$1:$V$1,0)+1,FALSE))</f>
        <v>PR1</v>
      </c>
      <c r="Z170" s="264" t="str">
        <f>IF(ResultsInd[[#This Row],[Score_OK]],IF(ResultsInd[[#This Row],[Level]]="R",ResultsInd[[#This Row],[Category]]&amp;"-"&amp;IF(ResultsInd[[#This Row],[LoseInKO]]=ResultsInd[[#This Row],[Category]]&amp;"-"&amp;ResultsInd[[#This Row],[Player A]],ResultsInd[[#This Row],[Player B]],ResultsInd[[#This Row],[Player A]]),""),"")</f>
        <v/>
      </c>
      <c r="AB170" s="91"/>
      <c r="AC170" s="12" t="str">
        <f t="shared" si="143"/>
        <v>OPEN</v>
      </c>
      <c r="AD170" s="309" t="s">
        <v>8552</v>
      </c>
      <c r="AE170" s="310"/>
      <c r="AF170" s="311"/>
      <c r="AG170" s="292">
        <f>IF(AP170="","",SMALL(AH167:AH173,ROWS(AG167:AG170)))</f>
        <v>4003</v>
      </c>
      <c r="AH170" s="293">
        <f>IF(AP170="","",RANK(AL170,AL167:AL173)*1000+ROWS(AH167:AH170))</f>
        <v>3004</v>
      </c>
      <c r="AI170" s="316">
        <f t="shared" si="137"/>
        <v>3000000000000</v>
      </c>
      <c r="AJ170" s="415" t="b">
        <f>AND(AO170&lt;&gt;"",AO170&gt;0,COUNTIF(AI167:AI173,AI170)&gt;1)</f>
        <v>0</v>
      </c>
      <c r="AK170" s="316">
        <f t="shared" si="138"/>
        <v>0</v>
      </c>
      <c r="AL170" s="317">
        <f t="shared" si="139"/>
        <v>3000000010900</v>
      </c>
      <c r="AM170" s="415" t="b">
        <f>AND(AO170&lt;&gt;"",AO170&gt;0,COUNTIF(AL167:AL173,AL170)&gt;1)</f>
        <v>0</v>
      </c>
      <c r="AN170" s="306">
        <f t="shared" si="140"/>
        <v>3</v>
      </c>
      <c r="AO170" s="307">
        <f t="shared" si="141"/>
        <v>3</v>
      </c>
      <c r="AP170" s="307">
        <f>IF(OR(AC166="",AD170=""),"",COUNTIF(ResultsInd[Win],AC166&amp;"-"&amp;AD170))</f>
        <v>1</v>
      </c>
      <c r="AQ170" s="307">
        <f>IF(OR(AC166="",AD170=""),"",COUNTIF(ResultsInd[Draw1],AC166&amp;"-"&amp;AD170)+COUNTIF(ResultsInd[Draw2],AC166&amp;"-"&amp;AD170))</f>
        <v>0</v>
      </c>
      <c r="AR170" s="307">
        <f>IF(OR(AC166="",AD170=""),"",COUNTIF(ResultsInd[Lose],AC166&amp;"-"&amp;AD170))</f>
        <v>2</v>
      </c>
      <c r="AS170" s="307">
        <f>IF(OR(AC166="",AD170=""),"",SUMIFS(ResultsInd[Goal-A],ResultsInd[Category],AC166,ResultsInd[Stage],"Groups",ResultsInd[Player A],AD170)+SUMIFS(ResultsInd[Goal-B],ResultsInd[Category],AC166,ResultsInd[Stage],"Groups",ResultsInd[Player B],AD170))</f>
        <v>9</v>
      </c>
      <c r="AT170" s="307">
        <f>IF(OR(AC166="",AD170=""),"",SUMIFS(ResultsInd[Goal-B],ResultsInd[Category],AC166,ResultsInd[Stage],"Groups",ResultsInd[Player A],AD170)+SUMIFS(ResultsInd[Goal-A],ResultsInd[Category],AC166,ResultsInd[Stage],"Groups",ResultsInd[Player B],AD170))</f>
        <v>8</v>
      </c>
      <c r="AU170" s="308">
        <f t="shared" si="144"/>
        <v>1</v>
      </c>
      <c r="AV170" s="469" t="b">
        <f>IF(AG170="","",OR(VLOOKUP(AG170,AH167:AU173,3,FALSE),VLOOKUP(AG170,AH167:AU173,6,FALSE)))</f>
        <v>0</v>
      </c>
      <c r="AW170" s="298">
        <f t="shared" si="142"/>
        <v>4</v>
      </c>
      <c r="AX170" s="285" t="str">
        <f>IF(AG170="","",INDEX(AD167:AD173,MATCH(AG170,AH167:AH173,0)))</f>
        <v>Peter Fako</v>
      </c>
      <c r="AY170" s="286">
        <f>IF(AG170="","",VLOOKUP(AG170,AH167:AU173,COLUMN()-COLUMN(AR166),FALSE))</f>
        <v>0</v>
      </c>
      <c r="AZ170" s="286">
        <f>IF(AG170="","",VLOOKUP(AG170,AH167:AU173,COLUMN()-COLUMN(AR166),FALSE))</f>
        <v>3</v>
      </c>
      <c r="BA170" s="286">
        <f>IF(AG170="","",VLOOKUP(AG170,AH167:AU173,COLUMN()-COLUMN(AR166),FALSE))</f>
        <v>0</v>
      </c>
      <c r="BB170" s="286">
        <f>IF(AG170="","",VLOOKUP(AG170,AH167:AU173,COLUMN()-COLUMN(AR166),FALSE))</f>
        <v>0</v>
      </c>
      <c r="BC170" s="286">
        <f>IF(AG170="","",VLOOKUP(AG170,AH167:AU173,COLUMN()-COLUMN(AR166),FALSE))</f>
        <v>3</v>
      </c>
      <c r="BD170" s="286">
        <f>IF(AG170="","",VLOOKUP(AG170,AH167:AU173,COLUMN()-COLUMN(AR166),FALSE))</f>
        <v>0</v>
      </c>
      <c r="BE170" s="286">
        <f>IF(AG170="","",VLOOKUP(AG170,AH167:AU173,COLUMN()-COLUMN(AR166),FALSE))</f>
        <v>25</v>
      </c>
      <c r="BF170" s="301">
        <f>IF(AG170="","",VLOOKUP(AG170,AH167:AU173,COLUMN()-COLUMN(AR166),FALSE))</f>
        <v>-25</v>
      </c>
    </row>
    <row r="171" spans="1:58" ht="12" thickBot="1" x14ac:dyDescent="0.25">
      <c r="A171" s="62" t="s">
        <v>890</v>
      </c>
      <c r="B171" s="62" t="s">
        <v>12207</v>
      </c>
      <c r="C171" s="62">
        <v>26</v>
      </c>
      <c r="D171" s="62"/>
      <c r="E171" s="345" t="s">
        <v>8151</v>
      </c>
      <c r="F171" s="345" t="s">
        <v>8922</v>
      </c>
      <c r="G171" s="113">
        <v>0</v>
      </c>
      <c r="H171" s="113">
        <v>12</v>
      </c>
      <c r="I171" s="114"/>
      <c r="J171" s="114"/>
      <c r="K171" s="114"/>
      <c r="L171" s="81"/>
      <c r="M171" s="265" t="b">
        <f>NOT(ISERROR(ResultsInd[[#This Row],[Goal-A]]+ResultsInd[[#This Row],[Goal-B]]))</f>
        <v>1</v>
      </c>
      <c r="N171" s="265">
        <f>VALUE(ResultsInd[[#This Row],[Score-A]])</f>
        <v>0</v>
      </c>
      <c r="O171" s="265">
        <f>VALUE(ResultsInd[[#This Row],[Score-B]])</f>
        <v>12</v>
      </c>
      <c r="P171" s="265">
        <f ca="1">IF(AND(ResultsInd[[#This Row],[Category]]&lt;&gt;"",ResultsInd[[#This Row],[Player A]]&lt;&gt;""),COUNTIF(INDIRECT(ResultsInd[[#This Row],[Category]]&amp;"List[Retained Player Name]"),ResultsInd[[#This Row],[Player A]]),"")</f>
        <v>1</v>
      </c>
      <c r="Q171" s="265">
        <f ca="1">IF(AND(ResultsInd[[#This Row],[Category]]&lt;&gt;"",ResultsInd[[#This Row],[Player B]]&lt;&gt;""),COUNTIF(INDIRECT(ResultsInd[[#This Row],[Category]]&amp;"List[Retained Player Name]"),ResultsInd[[#This Row],[Player B]]),"")</f>
        <v>1</v>
      </c>
      <c r="R1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OPEN-Georgios Genitsaropoulos</v>
      </c>
      <c r="S171" s="265" t="str">
        <f>IF(ResultsInd[[#This Row],[Score_OK]],IF(ResultsInd[[#This Row],[Stage]]="Groups",ResultsInd[[#This Row],[Category]]&amp;"-"&amp;IF(ResultsInd[[#This Row],[Player B]]="","",IF(ResultsInd[[#This Row],[Score-A]]=ResultsInd[[#This Row],[Score-B]],ResultsInd[[#This Row],[Player A]],"")),""),"")</f>
        <v>OPEN-</v>
      </c>
      <c r="T171" s="265" t="str">
        <f>IF(ResultsInd[[#This Row],[Score_OK]],IF(ResultsInd[[#This Row],[Stage]]="Groups",ResultsInd[[#This Row],[Category]]&amp;"-"&amp;IF(ResultsInd[[#This Row],[Player B]]="","",IF(ResultsInd[[#This Row],[Score-A]]=ResultsInd[[#This Row],[Score-B]],ResultsInd[[#This Row],[Player B]],"")),""),"")</f>
        <v>OPEN-</v>
      </c>
      <c r="U1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OPEN-Benoit Lagneau</v>
      </c>
      <c r="V1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X1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Y171" s="264" t="str">
        <f>IF(ResultsInd[[#This Row],[Category]]="","",VLOOKUP(ResultsInd[[#This Row],[Stage]],$P$1:$V$9,MATCH(ResultsInd[[#This Row],[Category]],$Q$1:$V$1,0)+1,FALSE))</f>
        <v>PR1</v>
      </c>
      <c r="Z171" s="264" t="str">
        <f>IF(ResultsInd[[#This Row],[Score_OK]],IF(ResultsInd[[#This Row],[Level]]="R",ResultsInd[[#This Row],[Category]]&amp;"-"&amp;IF(ResultsInd[[#This Row],[LoseInKO]]=ResultsInd[[#This Row],[Category]]&amp;"-"&amp;ResultsInd[[#This Row],[Player A]],ResultsInd[[#This Row],[Player B]],ResultsInd[[#This Row],[Player A]]),""),"")</f>
        <v/>
      </c>
      <c r="AB171" s="91"/>
      <c r="AC171" s="12" t="str">
        <f t="shared" si="143"/>
        <v>OPEN</v>
      </c>
      <c r="AD171" s="309"/>
      <c r="AE171" s="310"/>
      <c r="AF171" s="311"/>
      <c r="AG171" s="292" t="str">
        <f>IF(AP171="","",SMALL(AH167:AH173,ROWS(AG167:AG171)))</f>
        <v/>
      </c>
      <c r="AH171" s="293" t="str">
        <f>IF(AP171="","",RANK(AL171,AL167:AL173)*1000+ROWS(AH167:AH171))</f>
        <v/>
      </c>
      <c r="AI171" s="316" t="str">
        <f t="shared" si="137"/>
        <v/>
      </c>
      <c r="AJ171" s="415" t="b">
        <f>AND(AO171&lt;&gt;"",AO171&gt;0,COUNTIF(AI167:AI173,AI171)&gt;1)</f>
        <v>0</v>
      </c>
      <c r="AK171" s="316" t="str">
        <f t="shared" si="138"/>
        <v/>
      </c>
      <c r="AL171" s="317" t="str">
        <f t="shared" si="139"/>
        <v/>
      </c>
      <c r="AM171" s="415" t="b">
        <f>AND(AO171&lt;&gt;"",AO171&gt;0,COUNTIF(AL167:AL173,AL171)&gt;1)</f>
        <v>0</v>
      </c>
      <c r="AN171" s="306" t="str">
        <f t="shared" si="140"/>
        <v/>
      </c>
      <c r="AO171" s="307" t="str">
        <f t="shared" si="141"/>
        <v/>
      </c>
      <c r="AP171" s="307" t="str">
        <f>IF(OR(AC166="",AD171=""),"",COUNTIF(ResultsInd[Win],AC166&amp;"-"&amp;AD171))</f>
        <v/>
      </c>
      <c r="AQ171" s="307" t="str">
        <f>IF(OR(AC166="",AD171=""),"",COUNTIF(ResultsInd[Draw1],AC166&amp;"-"&amp;AD171)+COUNTIF(ResultsInd[Draw2],AC166&amp;"-"&amp;AD171))</f>
        <v/>
      </c>
      <c r="AR171" s="307" t="str">
        <f>IF(OR(AC166="",AD171=""),"",COUNTIF(ResultsInd[Lose],AC166&amp;"-"&amp;AD171))</f>
        <v/>
      </c>
      <c r="AS171" s="307" t="str">
        <f>IF(OR(AC166="",AD171=""),"",SUMIFS(ResultsInd[Goal-A],ResultsInd[Category],AC166,ResultsInd[Stage],"Groups",ResultsInd[Player A],AD171)+SUMIFS(ResultsInd[Goal-B],ResultsInd[Category],AC166,ResultsInd[Stage],"Groups",ResultsInd[Player B],AD171))</f>
        <v/>
      </c>
      <c r="AT171" s="307" t="str">
        <f>IF(OR(AC166="",AD171=""),"",SUMIFS(ResultsInd[Goal-B],ResultsInd[Category],AC166,ResultsInd[Stage],"Groups",ResultsInd[Player A],AD171)+SUMIFS(ResultsInd[Goal-A],ResultsInd[Category],AC166,ResultsInd[Stage],"Groups",ResultsInd[Player B],AD171))</f>
        <v/>
      </c>
      <c r="AU171" s="308" t="str">
        <f t="shared" si="144"/>
        <v/>
      </c>
      <c r="AV171" s="469" t="str">
        <f>IF(AG171="","",OR(VLOOKUP(AG171,AH167:AU173,3,FALSE),VLOOKUP(AG171,AH167:AU173,6,FALSE)))</f>
        <v/>
      </c>
      <c r="AW171" s="298" t="str">
        <f t="shared" si="142"/>
        <v/>
      </c>
      <c r="AX171" s="285" t="str">
        <f>IF(AG171="","",INDEX(AD167:AD173,MATCH(AG171,AH167:AH173,0)))</f>
        <v/>
      </c>
      <c r="AY171" s="286" t="str">
        <f>IF(AG171="","",VLOOKUP(AG171,AH167:AU173,COLUMN()-COLUMN(AR166),FALSE))</f>
        <v/>
      </c>
      <c r="AZ171" s="286" t="str">
        <f>IF(AG171="","",VLOOKUP(AG171,AH167:AU173,COLUMN()-COLUMN(AR166),FALSE))</f>
        <v/>
      </c>
      <c r="BA171" s="286" t="str">
        <f>IF(AG171="","",VLOOKUP(AG171,AH167:AU173,COLUMN()-COLUMN(AR166),FALSE))</f>
        <v/>
      </c>
      <c r="BB171" s="286" t="str">
        <f>IF(AG171="","",VLOOKUP(AG171,AH167:AU173,COLUMN()-COLUMN(AR166),FALSE))</f>
        <v/>
      </c>
      <c r="BC171" s="286" t="str">
        <f>IF(AG171="","",VLOOKUP(AG171,AH167:AU173,COLUMN()-COLUMN(AR166),FALSE))</f>
        <v/>
      </c>
      <c r="BD171" s="286" t="str">
        <f>IF(AG171="","",VLOOKUP(AG171,AH167:AU173,COLUMN()-COLUMN(AR166),FALSE))</f>
        <v/>
      </c>
      <c r="BE171" s="286" t="str">
        <f>IF(AG171="","",VLOOKUP(AG171,AH167:AU173,COLUMN()-COLUMN(AR166),FALSE))</f>
        <v/>
      </c>
      <c r="BF171" s="301" t="str">
        <f>IF(AG171="","",VLOOKUP(AG171,AH167:AU173,COLUMN()-COLUMN(AR166),FALSE))</f>
        <v/>
      </c>
    </row>
    <row r="172" spans="1:58" ht="12" thickBot="1" x14ac:dyDescent="0.25">
      <c r="A172" s="62" t="s">
        <v>890</v>
      </c>
      <c r="B172" s="62" t="s">
        <v>12207</v>
      </c>
      <c r="C172" s="62">
        <v>27</v>
      </c>
      <c r="D172" s="62"/>
      <c r="E172" s="345" t="s">
        <v>10090</v>
      </c>
      <c r="F172" s="345" t="s">
        <v>13246</v>
      </c>
      <c r="G172" s="113">
        <v>9</v>
      </c>
      <c r="H172" s="113">
        <v>0</v>
      </c>
      <c r="I172" s="114"/>
      <c r="J172" s="114"/>
      <c r="K172" s="114"/>
      <c r="L172" s="81"/>
      <c r="M172" s="265" t="b">
        <f>NOT(ISERROR(ResultsInd[[#This Row],[Goal-A]]+ResultsInd[[#This Row],[Goal-B]]))</f>
        <v>1</v>
      </c>
      <c r="N172" s="265">
        <f>VALUE(ResultsInd[[#This Row],[Score-A]])</f>
        <v>9</v>
      </c>
      <c r="O172" s="265">
        <f>VALUE(ResultsInd[[#This Row],[Score-B]])</f>
        <v>0</v>
      </c>
      <c r="P172" s="265">
        <f ca="1">IF(AND(ResultsInd[[#This Row],[Category]]&lt;&gt;"",ResultsInd[[#This Row],[Player A]]&lt;&gt;""),COUNTIF(INDIRECT(ResultsInd[[#This Row],[Category]]&amp;"List[Retained Player Name]"),ResultsInd[[#This Row],[Player A]]),"")</f>
        <v>1</v>
      </c>
      <c r="Q172" s="265">
        <f ca="1">IF(AND(ResultsInd[[#This Row],[Category]]&lt;&gt;"",ResultsInd[[#This Row],[Player B]]&lt;&gt;""),COUNTIF(INDIRECT(ResultsInd[[#This Row],[Category]]&amp;"List[Retained Player Name]"),ResultsInd[[#This Row],[Player B]]),"")</f>
        <v>1</v>
      </c>
      <c r="R1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OPEN-Andrea Di Vincenzo</v>
      </c>
      <c r="S172" s="265" t="str">
        <f>IF(ResultsInd[[#This Row],[Score_OK]],IF(ResultsInd[[#This Row],[Stage]]="Groups",ResultsInd[[#This Row],[Category]]&amp;"-"&amp;IF(ResultsInd[[#This Row],[Player B]]="","",IF(ResultsInd[[#This Row],[Score-A]]=ResultsInd[[#This Row],[Score-B]],ResultsInd[[#This Row],[Player A]],"")),""),"")</f>
        <v>OPEN-</v>
      </c>
      <c r="T172" s="265" t="str">
        <f>IF(ResultsInd[[#This Row],[Score_OK]],IF(ResultsInd[[#This Row],[Stage]]="Groups",ResultsInd[[#This Row],[Category]]&amp;"-"&amp;IF(ResultsInd[[#This Row],[Player B]]="","",IF(ResultsInd[[#This Row],[Score-A]]=ResultsInd[[#This Row],[Score-B]],ResultsInd[[#This Row],[Player B]],"")),""),"")</f>
        <v>OPEN-</v>
      </c>
      <c r="U1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OPEN-Kyle Jamieson</v>
      </c>
      <c r="V1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OPEN-Kyle Jamieson</v>
      </c>
      <c r="X1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OPEN-Kyle Jamieson</v>
      </c>
      <c r="Y172" s="264" t="str">
        <f>IF(ResultsInd[[#This Row],[Category]]="","",VLOOKUP(ResultsInd[[#This Row],[Stage]],$P$1:$V$9,MATCH(ResultsInd[[#This Row],[Category]],$Q$1:$V$1,0)+1,FALSE))</f>
        <v>PR1</v>
      </c>
      <c r="Z172" s="264" t="str">
        <f>IF(ResultsInd[[#This Row],[Score_OK]],IF(ResultsInd[[#This Row],[Level]]="R",ResultsInd[[#This Row],[Category]]&amp;"-"&amp;IF(ResultsInd[[#This Row],[LoseInKO]]=ResultsInd[[#This Row],[Category]]&amp;"-"&amp;ResultsInd[[#This Row],[Player A]],ResultsInd[[#This Row],[Player B]],ResultsInd[[#This Row],[Player A]]),""),"")</f>
        <v/>
      </c>
      <c r="AB172" s="8"/>
      <c r="AC172" s="12" t="str">
        <f t="shared" si="143"/>
        <v>OPEN</v>
      </c>
      <c r="AD172" s="309"/>
      <c r="AE172" s="310"/>
      <c r="AF172" s="311"/>
      <c r="AG172" s="292" t="str">
        <f>IF(AP172="","",SMALL(AH167:AH173,ROWS(AG167:AG172)))</f>
        <v/>
      </c>
      <c r="AH172" s="293" t="str">
        <f>IF(AP172="","",RANK(AL172,AL167:AL173)*1000+ROWS(AH167:AH172))</f>
        <v/>
      </c>
      <c r="AI172" s="316" t="str">
        <f t="shared" si="137"/>
        <v/>
      </c>
      <c r="AJ172" s="415" t="b">
        <f>AND(AO172&lt;&gt;"",AO172&gt;0,COUNTIF(AI167:AI173,AI172)&gt;1)</f>
        <v>0</v>
      </c>
      <c r="AK172" s="316" t="str">
        <f t="shared" si="138"/>
        <v/>
      </c>
      <c r="AL172" s="317" t="str">
        <f t="shared" si="139"/>
        <v/>
      </c>
      <c r="AM172" s="415" t="b">
        <f>AND(AO172&lt;&gt;"",AO172&gt;0,COUNTIF(AL167:AL173,AL172)&gt;1)</f>
        <v>0</v>
      </c>
      <c r="AN172" s="306" t="str">
        <f t="shared" si="140"/>
        <v/>
      </c>
      <c r="AO172" s="307" t="str">
        <f t="shared" si="141"/>
        <v/>
      </c>
      <c r="AP172" s="307" t="str">
        <f>IF(OR(AC166="",AD172=""),"",COUNTIF(ResultsInd[Win],AC166&amp;"-"&amp;AD172))</f>
        <v/>
      </c>
      <c r="AQ172" s="307" t="str">
        <f>IF(OR(AC166="",AD172=""),"",COUNTIF(ResultsInd[Draw1],AC166&amp;"-"&amp;AD172)+COUNTIF(ResultsInd[Draw2],AC166&amp;"-"&amp;AD172))</f>
        <v/>
      </c>
      <c r="AR172" s="307" t="str">
        <f>IF(OR(AC166="",AD172=""),"",COUNTIF(ResultsInd[Lose],AC166&amp;"-"&amp;AD172))</f>
        <v/>
      </c>
      <c r="AS172" s="307" t="str">
        <f>IF(OR(AC166="",AD172=""),"",SUMIFS(ResultsInd[Goal-A],ResultsInd[Category],AC166,ResultsInd[Stage],"Groups",ResultsInd[Player A],AD172)+SUMIFS(ResultsInd[Goal-B],ResultsInd[Category],AC166,ResultsInd[Stage],"Groups",ResultsInd[Player B],AD172))</f>
        <v/>
      </c>
      <c r="AT172" s="307" t="str">
        <f>IF(OR(AC166="",AD172=""),"",SUMIFS(ResultsInd[Goal-B],ResultsInd[Category],AC166,ResultsInd[Stage],"Groups",ResultsInd[Player A],AD172)+SUMIFS(ResultsInd[Goal-A],ResultsInd[Category],AC166,ResultsInd[Stage],"Groups",ResultsInd[Player B],AD172))</f>
        <v/>
      </c>
      <c r="AU172" s="308" t="str">
        <f t="shared" si="144"/>
        <v/>
      </c>
      <c r="AV172" s="469" t="str">
        <f>IF(AG172="","",OR(VLOOKUP(AG172,AH167:AU173,3,FALSE),VLOOKUP(AG172,AH167:AU173,6,FALSE)))</f>
        <v/>
      </c>
      <c r="AW172" s="298" t="str">
        <f t="shared" si="142"/>
        <v/>
      </c>
      <c r="AX172" s="285" t="str">
        <f>IF(AG172="","",INDEX(AD167:AD173,MATCH(AG172,AH167:AH173,0)))</f>
        <v/>
      </c>
      <c r="AY172" s="286" t="str">
        <f>IF(AG172="","",VLOOKUP(AG172,AH167:AU173,COLUMN()-COLUMN(AR166),FALSE))</f>
        <v/>
      </c>
      <c r="AZ172" s="286" t="str">
        <f>IF(AG172="","",VLOOKUP(AG172,AH167:AU173,COLUMN()-COLUMN(AR166),FALSE))</f>
        <v/>
      </c>
      <c r="BA172" s="286" t="str">
        <f>IF(AG172="","",VLOOKUP(AG172,AH167:AU173,COLUMN()-COLUMN(AR166),FALSE))</f>
        <v/>
      </c>
      <c r="BB172" s="286" t="str">
        <f>IF(AG172="","",VLOOKUP(AG172,AH167:AU173,COLUMN()-COLUMN(AR166),FALSE))</f>
        <v/>
      </c>
      <c r="BC172" s="286" t="str">
        <f>IF(AG172="","",VLOOKUP(AG172,AH167:AU173,COLUMN()-COLUMN(AR166),FALSE))</f>
        <v/>
      </c>
      <c r="BD172" s="286" t="str">
        <f>IF(AG172="","",VLOOKUP(AG172,AH167:AU173,COLUMN()-COLUMN(AR166),FALSE))</f>
        <v/>
      </c>
      <c r="BE172" s="286" t="str">
        <f>IF(AG172="","",VLOOKUP(AG172,AH167:AU173,COLUMN()-COLUMN(AR166),FALSE))</f>
        <v/>
      </c>
      <c r="BF172" s="301" t="str">
        <f>IF(AG172="","",VLOOKUP(AG172,AH167:AU173,COLUMN()-COLUMN(AR166),FALSE))</f>
        <v/>
      </c>
    </row>
    <row r="173" spans="1:58" ht="12" thickBot="1" x14ac:dyDescent="0.25">
      <c r="A173" s="62" t="s">
        <v>890</v>
      </c>
      <c r="B173" s="62" t="s">
        <v>12207</v>
      </c>
      <c r="C173" s="62">
        <v>27</v>
      </c>
      <c r="D173" s="62"/>
      <c r="E173" s="345" t="s">
        <v>8166</v>
      </c>
      <c r="F173" s="345" t="s">
        <v>14521</v>
      </c>
      <c r="G173" s="113">
        <v>3</v>
      </c>
      <c r="H173" s="113">
        <v>1</v>
      </c>
      <c r="I173" s="114"/>
      <c r="J173" s="114"/>
      <c r="K173" s="114"/>
      <c r="L173" s="81"/>
      <c r="M173" s="265" t="b">
        <f>NOT(ISERROR(ResultsInd[[#This Row],[Goal-A]]+ResultsInd[[#This Row],[Goal-B]]))</f>
        <v>1</v>
      </c>
      <c r="N173" s="265">
        <f>VALUE(ResultsInd[[#This Row],[Score-A]])</f>
        <v>3</v>
      </c>
      <c r="O173" s="265">
        <f>VALUE(ResultsInd[[#This Row],[Score-B]])</f>
        <v>1</v>
      </c>
      <c r="P173" s="265">
        <f ca="1">IF(AND(ResultsInd[[#This Row],[Category]]&lt;&gt;"",ResultsInd[[#This Row],[Player A]]&lt;&gt;""),COUNTIF(INDIRECT(ResultsInd[[#This Row],[Category]]&amp;"List[Retained Player Name]"),ResultsInd[[#This Row],[Player A]]),"")</f>
        <v>1</v>
      </c>
      <c r="Q173" s="265">
        <f ca="1">IF(AND(ResultsInd[[#This Row],[Category]]&lt;&gt;"",ResultsInd[[#This Row],[Player B]]&lt;&gt;""),COUNTIF(INDIRECT(ResultsInd[[#This Row],[Category]]&amp;"List[Retained Player Name]"),ResultsInd[[#This Row],[Player B]]),"")</f>
        <v>1</v>
      </c>
      <c r="R1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Timpano</v>
      </c>
      <c r="S173" s="265" t="str">
        <f>IF(ResultsInd[[#This Row],[Score_OK]],IF(ResultsInd[[#This Row],[Stage]]="Groups",ResultsInd[[#This Row],[Category]]&amp;"-"&amp;IF(ResultsInd[[#This Row],[Player B]]="","",IF(ResultsInd[[#This Row],[Score-A]]=ResultsInd[[#This Row],[Score-B]],ResultsInd[[#This Row],[Player A]],"")),""),"")</f>
        <v>OPEN-</v>
      </c>
      <c r="T173" s="265" t="str">
        <f>IF(ResultsInd[[#This Row],[Score_OK]],IF(ResultsInd[[#This Row],[Stage]]="Groups",ResultsInd[[#This Row],[Category]]&amp;"-"&amp;IF(ResultsInd[[#This Row],[Player B]]="","",IF(ResultsInd[[#This Row],[Score-A]]=ResultsInd[[#This Row],[Score-B]],ResultsInd[[#This Row],[Player B]],"")),""),"")</f>
        <v>OPEN-</v>
      </c>
      <c r="U1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OPEN-Philippe Mairesse</v>
      </c>
      <c r="V1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OPEN-Philippe Mairesse</v>
      </c>
      <c r="X1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OPEN-Philippe Mairesse</v>
      </c>
      <c r="Y173" s="264" t="str">
        <f>IF(ResultsInd[[#This Row],[Category]]="","",VLOOKUP(ResultsInd[[#This Row],[Stage]],$P$1:$V$9,MATCH(ResultsInd[[#This Row],[Category]],$Q$1:$V$1,0)+1,FALSE))</f>
        <v>PR1</v>
      </c>
      <c r="Z173" s="264" t="str">
        <f>IF(ResultsInd[[#This Row],[Score_OK]],IF(ResultsInd[[#This Row],[Level]]="R",ResultsInd[[#This Row],[Category]]&amp;"-"&amp;IF(ResultsInd[[#This Row],[LoseInKO]]=ResultsInd[[#This Row],[Category]]&amp;"-"&amp;ResultsInd[[#This Row],[Player A]],ResultsInd[[#This Row],[Player B]],ResultsInd[[#This Row],[Player A]]),""),"")</f>
        <v/>
      </c>
      <c r="AB173" s="8"/>
      <c r="AC173" s="12" t="str">
        <f t="shared" si="143"/>
        <v>OPEN</v>
      </c>
      <c r="AD173" s="312"/>
      <c r="AE173" s="313"/>
      <c r="AF173" s="314"/>
      <c r="AG173" s="294" t="str">
        <f>IF(AP173="","",SMALL(AH167:AH173,ROWS(AG167:AG173)))</f>
        <v/>
      </c>
      <c r="AH173" s="295" t="str">
        <f>IF(AP173="","",RANK(AL173,AL167:AL173)*1000+ROWS(AH167:AH173))</f>
        <v/>
      </c>
      <c r="AI173" s="318" t="str">
        <f t="shared" si="137"/>
        <v/>
      </c>
      <c r="AJ173" s="416" t="b">
        <f>AND(AO173&lt;&gt;"",AO173&gt;0,COUNTIF(AI167:AI173,AI173)&gt;1)</f>
        <v>0</v>
      </c>
      <c r="AK173" s="318" t="str">
        <f t="shared" si="138"/>
        <v/>
      </c>
      <c r="AL173" s="319" t="str">
        <f t="shared" si="139"/>
        <v/>
      </c>
      <c r="AM173" s="416" t="b">
        <f>AND(AO173&lt;&gt;"",AO173&gt;0,COUNTIF(AL167:AL173,AL173)&gt;1)</f>
        <v>0</v>
      </c>
      <c r="AN173" s="306" t="str">
        <f t="shared" si="140"/>
        <v/>
      </c>
      <c r="AO173" s="307" t="str">
        <f t="shared" si="141"/>
        <v/>
      </c>
      <c r="AP173" s="307" t="str">
        <f>IF(OR(AC166="",AD173=""),"",COUNTIF(ResultsInd[Win],AC166&amp;"-"&amp;AD173))</f>
        <v/>
      </c>
      <c r="AQ173" s="307" t="str">
        <f>IF(OR(AC166="",AD173=""),"",COUNTIF(ResultsInd[Draw1],AC166&amp;"-"&amp;AD173)+COUNTIF(ResultsInd[Draw2],AC166&amp;"-"&amp;AD173))</f>
        <v/>
      </c>
      <c r="AR173" s="307" t="str">
        <f>IF(OR(AC166="",AD173=""),"",COUNTIF(ResultsInd[Lose],AC166&amp;"-"&amp;AD173))</f>
        <v/>
      </c>
      <c r="AS173" s="307" t="str">
        <f>IF(OR(AC166="",AD173=""),"",SUMIFS(ResultsInd[Goal-A],ResultsInd[Category],AC166,ResultsInd[Stage],"Groups",ResultsInd[Player A],AD173)+SUMIFS(ResultsInd[Goal-B],ResultsInd[Category],AC166,ResultsInd[Stage],"Groups",ResultsInd[Player B],AD173))</f>
        <v/>
      </c>
      <c r="AT173" s="307" t="str">
        <f>IF(OR(AC166="",AD173=""),"",SUMIFS(ResultsInd[Goal-B],ResultsInd[Category],AC166,ResultsInd[Stage],"Groups",ResultsInd[Player A],AD173)+SUMIFS(ResultsInd[Goal-A],ResultsInd[Category],AC166,ResultsInd[Stage],"Groups",ResultsInd[Player B],AD173))</f>
        <v/>
      </c>
      <c r="AU173" s="308" t="str">
        <f t="shared" si="144"/>
        <v/>
      </c>
      <c r="AV173" s="469" t="str">
        <f>IF(AG173="","",OR(VLOOKUP(AG173,AH167:AU173,3,FALSE),VLOOKUP(AG173,AH167:AU173,6,FALSE)))</f>
        <v/>
      </c>
      <c r="AW173" s="299" t="str">
        <f t="shared" si="142"/>
        <v/>
      </c>
      <c r="AX173" s="287" t="str">
        <f>IF(AG173="","",INDEX(AD167:AD173,MATCH(AG173,AH167:AH173,0)))</f>
        <v/>
      </c>
      <c r="AY173" s="288" t="str">
        <f>IF(AG173="","",VLOOKUP(AG173,AH167:AU173,COLUMN()-COLUMN(AR166),FALSE))</f>
        <v/>
      </c>
      <c r="AZ173" s="288" t="str">
        <f>IF(AG173="","",VLOOKUP(AG173,AH167:AU173,COLUMN()-COLUMN(AR166),FALSE))</f>
        <v/>
      </c>
      <c r="BA173" s="288" t="str">
        <f>IF(AG173="","",VLOOKUP(AG173,AH167:AU173,COLUMN()-COLUMN(AR166),FALSE))</f>
        <v/>
      </c>
      <c r="BB173" s="288" t="str">
        <f>IF(AG173="","",VLOOKUP(AG173,AH167:AU173,COLUMN()-COLUMN(AR166),FALSE))</f>
        <v/>
      </c>
      <c r="BC173" s="288" t="str">
        <f>IF(AG173="","",VLOOKUP(AG173,AH167:AU173,COLUMN()-COLUMN(AR166),FALSE))</f>
        <v/>
      </c>
      <c r="BD173" s="288" t="str">
        <f>IF(AG173="","",VLOOKUP(AG173,AH167:AU173,COLUMN()-COLUMN(AR166),FALSE))</f>
        <v/>
      </c>
      <c r="BE173" s="288" t="str">
        <f>IF(AG173="","",VLOOKUP(AG173,AH167:AU173,COLUMN()-COLUMN(AR166),FALSE))</f>
        <v/>
      </c>
      <c r="BF173" s="302" t="str">
        <f>IF(AG173="","",VLOOKUP(AG173,AH167:AU173,COLUMN()-COLUMN(AR166),FALSE))</f>
        <v/>
      </c>
    </row>
    <row r="174" spans="1:58" ht="13.5" thickBot="1" x14ac:dyDescent="0.25">
      <c r="A174" s="62" t="s">
        <v>890</v>
      </c>
      <c r="B174" s="62" t="s">
        <v>12207</v>
      </c>
      <c r="C174" s="62">
        <v>27</v>
      </c>
      <c r="D174" s="62"/>
      <c r="E174" s="345" t="s">
        <v>10090</v>
      </c>
      <c r="F174" s="345" t="s">
        <v>8166</v>
      </c>
      <c r="G174" s="113">
        <v>5</v>
      </c>
      <c r="H174" s="113">
        <v>0</v>
      </c>
      <c r="I174" s="114"/>
      <c r="J174" s="114"/>
      <c r="K174" s="114"/>
      <c r="L174" s="81"/>
      <c r="M174" s="265" t="b">
        <f>NOT(ISERROR(ResultsInd[[#This Row],[Goal-A]]+ResultsInd[[#This Row],[Goal-B]]))</f>
        <v>1</v>
      </c>
      <c r="N174" s="265">
        <f>VALUE(ResultsInd[[#This Row],[Score-A]])</f>
        <v>5</v>
      </c>
      <c r="O174" s="265">
        <f>VALUE(ResultsInd[[#This Row],[Score-B]])</f>
        <v>0</v>
      </c>
      <c r="P174" s="265">
        <f ca="1">IF(AND(ResultsInd[[#This Row],[Category]]&lt;&gt;"",ResultsInd[[#This Row],[Player A]]&lt;&gt;""),COUNTIF(INDIRECT(ResultsInd[[#This Row],[Category]]&amp;"List[Retained Player Name]"),ResultsInd[[#This Row],[Player A]]),"")</f>
        <v>1</v>
      </c>
      <c r="Q174" s="265">
        <f ca="1">IF(AND(ResultsInd[[#This Row],[Category]]&lt;&gt;"",ResultsInd[[#This Row],[Player B]]&lt;&gt;""),COUNTIF(INDIRECT(ResultsInd[[#This Row],[Category]]&amp;"List[Retained Player Name]"),ResultsInd[[#This Row],[Player B]]),"")</f>
        <v>1</v>
      </c>
      <c r="R1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OPEN-Andrea Di Vincenzo</v>
      </c>
      <c r="S174" s="265" t="str">
        <f>IF(ResultsInd[[#This Row],[Score_OK]],IF(ResultsInd[[#This Row],[Stage]]="Groups",ResultsInd[[#This Row],[Category]]&amp;"-"&amp;IF(ResultsInd[[#This Row],[Player B]]="","",IF(ResultsInd[[#This Row],[Score-A]]=ResultsInd[[#This Row],[Score-B]],ResultsInd[[#This Row],[Player A]],"")),""),"")</f>
        <v>OPEN-</v>
      </c>
      <c r="T174" s="265" t="str">
        <f>IF(ResultsInd[[#This Row],[Score_OK]],IF(ResultsInd[[#This Row],[Stage]]="Groups",ResultsInd[[#This Row],[Category]]&amp;"-"&amp;IF(ResultsInd[[#This Row],[Player B]]="","",IF(ResultsInd[[#This Row],[Score-A]]=ResultsInd[[#This Row],[Score-B]],ResultsInd[[#This Row],[Player B]],"")),""),"")</f>
        <v>OPEN-</v>
      </c>
      <c r="U1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OPEN-Antonio Timpano</v>
      </c>
      <c r="V1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OPEN-Antonio Timpano</v>
      </c>
      <c r="X1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OPEN-Antonio Timpano</v>
      </c>
      <c r="Y174" s="264" t="str">
        <f>IF(ResultsInd[[#This Row],[Category]]="","",VLOOKUP(ResultsInd[[#This Row],[Stage]],$P$1:$V$9,MATCH(ResultsInd[[#This Row],[Category]],$Q$1:$V$1,0)+1,FALSE))</f>
        <v>PR1</v>
      </c>
      <c r="Z174" s="264" t="str">
        <f>IF(ResultsInd[[#This Row],[Score_OK]],IF(ResultsInd[[#This Row],[Level]]="R",ResultsInd[[#This Row],[Category]]&amp;"-"&amp;IF(ResultsInd[[#This Row],[LoseInKO]]=ResultsInd[[#This Row],[Category]]&amp;"-"&amp;ResultsInd[[#This Row],[Player A]],ResultsInd[[#This Row],[Player B]],ResultsInd[[#This Row],[Player A]]),""),"")</f>
        <v/>
      </c>
      <c r="AB174" s="8"/>
      <c r="AC174" s="8"/>
      <c r="AF174" s="170"/>
      <c r="AG174" s="101"/>
      <c r="AH174" s="101"/>
      <c r="AN174" s="170"/>
      <c r="AO174" s="170"/>
      <c r="AP174" s="170"/>
      <c r="AQ174" s="172"/>
      <c r="AR174" s="173"/>
      <c r="AS174" s="173"/>
      <c r="AT174" s="173"/>
      <c r="AU174" s="101"/>
      <c r="AV174" s="101"/>
      <c r="AW174" s="101"/>
      <c r="AX174" s="101"/>
      <c r="AY174" s="101"/>
      <c r="AZ174" s="101"/>
    </row>
    <row r="175" spans="1:58" ht="12" thickBot="1" x14ac:dyDescent="0.25">
      <c r="A175" s="62" t="s">
        <v>890</v>
      </c>
      <c r="B175" s="62" t="s">
        <v>12207</v>
      </c>
      <c r="C175" s="62">
        <v>27</v>
      </c>
      <c r="D175" s="62"/>
      <c r="E175" s="345" t="s">
        <v>13246</v>
      </c>
      <c r="F175" s="345" t="s">
        <v>14521</v>
      </c>
      <c r="G175" s="113">
        <v>1</v>
      </c>
      <c r="H175" s="113">
        <v>2</v>
      </c>
      <c r="I175" s="114"/>
      <c r="J175" s="114"/>
      <c r="K175" s="114"/>
      <c r="L175" s="81"/>
      <c r="M175" s="265" t="b">
        <f>NOT(ISERROR(ResultsInd[[#This Row],[Goal-A]]+ResultsInd[[#This Row],[Goal-B]]))</f>
        <v>1</v>
      </c>
      <c r="N175" s="265">
        <f>VALUE(ResultsInd[[#This Row],[Score-A]])</f>
        <v>1</v>
      </c>
      <c r="O175" s="265">
        <f>VALUE(ResultsInd[[#This Row],[Score-B]])</f>
        <v>2</v>
      </c>
      <c r="P175" s="265">
        <f ca="1">IF(AND(ResultsInd[[#This Row],[Category]]&lt;&gt;"",ResultsInd[[#This Row],[Player A]]&lt;&gt;""),COUNTIF(INDIRECT(ResultsInd[[#This Row],[Category]]&amp;"List[Retained Player Name]"),ResultsInd[[#This Row],[Player A]]),"")</f>
        <v>1</v>
      </c>
      <c r="Q175" s="265">
        <f ca="1">IF(AND(ResultsInd[[#This Row],[Category]]&lt;&gt;"",ResultsInd[[#This Row],[Player B]]&lt;&gt;""),COUNTIF(INDIRECT(ResultsInd[[#This Row],[Category]]&amp;"List[Retained Player Name]"),ResultsInd[[#This Row],[Player B]]),"")</f>
        <v>1</v>
      </c>
      <c r="R1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OPEN-Philippe Mairesse</v>
      </c>
      <c r="S175" s="265" t="str">
        <f>IF(ResultsInd[[#This Row],[Score_OK]],IF(ResultsInd[[#This Row],[Stage]]="Groups",ResultsInd[[#This Row],[Category]]&amp;"-"&amp;IF(ResultsInd[[#This Row],[Player B]]="","",IF(ResultsInd[[#This Row],[Score-A]]=ResultsInd[[#This Row],[Score-B]],ResultsInd[[#This Row],[Player A]],"")),""),"")</f>
        <v>OPEN-</v>
      </c>
      <c r="T175" s="265" t="str">
        <f>IF(ResultsInd[[#This Row],[Score_OK]],IF(ResultsInd[[#This Row],[Stage]]="Groups",ResultsInd[[#This Row],[Category]]&amp;"-"&amp;IF(ResultsInd[[#This Row],[Player B]]="","",IF(ResultsInd[[#This Row],[Score-A]]=ResultsInd[[#This Row],[Score-B]],ResultsInd[[#This Row],[Player B]],"")),""),"")</f>
        <v>OPEN-</v>
      </c>
      <c r="U1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OPEN-Kyle Jamieson</v>
      </c>
      <c r="V1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OPEN-Kyle Jamieson</v>
      </c>
      <c r="X1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OPEN-Kyle Jamieson</v>
      </c>
      <c r="Y175" s="264" t="str">
        <f>IF(ResultsInd[[#This Row],[Category]]="","",VLOOKUP(ResultsInd[[#This Row],[Stage]],$P$1:$V$9,MATCH(ResultsInd[[#This Row],[Category]],$Q$1:$V$1,0)+1,FALSE))</f>
        <v>PR1</v>
      </c>
      <c r="Z175" s="264" t="str">
        <f>IF(ResultsInd[[#This Row],[Score_OK]],IF(ResultsInd[[#This Row],[Level]]="R",ResultsInd[[#This Row],[Category]]&amp;"-"&amp;IF(ResultsInd[[#This Row],[LoseInKO]]=ResultsInd[[#This Row],[Category]]&amp;"-"&amp;ResultsInd[[#This Row],[Player A]],ResultsInd[[#This Row],[Player B]],ResultsInd[[#This Row],[Player A]]),""),"")</f>
        <v/>
      </c>
      <c r="AB175" s="281">
        <v>18</v>
      </c>
      <c r="AC175" s="315" t="s">
        <v>890</v>
      </c>
      <c r="AD175" s="289" t="s">
        <v>14439</v>
      </c>
      <c r="AE175" s="290" t="s">
        <v>12279</v>
      </c>
      <c r="AF175" s="284" t="s">
        <v>12275</v>
      </c>
      <c r="AG175" s="296" t="s">
        <v>12276</v>
      </c>
      <c r="AH175" s="291" t="s">
        <v>12271</v>
      </c>
      <c r="AI175" s="291" t="s">
        <v>12272</v>
      </c>
      <c r="AJ175" s="414" t="s">
        <v>13154</v>
      </c>
      <c r="AK175" s="291" t="s">
        <v>12273</v>
      </c>
      <c r="AL175" s="297" t="s">
        <v>12274</v>
      </c>
      <c r="AM175" s="414" t="s">
        <v>13154</v>
      </c>
      <c r="AN175" s="303" t="s">
        <v>12199</v>
      </c>
      <c r="AO175" s="304" t="s">
        <v>12200</v>
      </c>
      <c r="AP175" s="304" t="s">
        <v>12201</v>
      </c>
      <c r="AQ175" s="304" t="s">
        <v>12202</v>
      </c>
      <c r="AR175" s="304" t="s">
        <v>12203</v>
      </c>
      <c r="AS175" s="304" t="s">
        <v>12204</v>
      </c>
      <c r="AT175" s="304" t="s">
        <v>12205</v>
      </c>
      <c r="AU175" s="305" t="s">
        <v>12206</v>
      </c>
      <c r="AV175" s="468"/>
      <c r="AW175" s="282" t="s">
        <v>12276</v>
      </c>
      <c r="AX175" s="282" t="s">
        <v>12280</v>
      </c>
      <c r="AY175" s="283" t="s">
        <v>12199</v>
      </c>
      <c r="AZ175" s="283" t="s">
        <v>12200</v>
      </c>
      <c r="BA175" s="283" t="s">
        <v>12201</v>
      </c>
      <c r="BB175" s="283" t="s">
        <v>12202</v>
      </c>
      <c r="BC175" s="283" t="s">
        <v>12203</v>
      </c>
      <c r="BD175" s="283" t="s">
        <v>12204</v>
      </c>
      <c r="BE175" s="283" t="s">
        <v>12205</v>
      </c>
      <c r="BF175" s="300" t="s">
        <v>12206</v>
      </c>
    </row>
    <row r="176" spans="1:58" ht="12" thickBot="1" x14ac:dyDescent="0.25">
      <c r="A176" s="62" t="s">
        <v>890</v>
      </c>
      <c r="B176" s="62" t="s">
        <v>12207</v>
      </c>
      <c r="C176" s="62">
        <v>27</v>
      </c>
      <c r="D176" s="62"/>
      <c r="E176" s="345" t="s">
        <v>14521</v>
      </c>
      <c r="F176" s="345" t="s">
        <v>10090</v>
      </c>
      <c r="G176" s="113">
        <v>2</v>
      </c>
      <c r="H176" s="113">
        <v>4</v>
      </c>
      <c r="I176" s="114"/>
      <c r="J176" s="114"/>
      <c r="K176" s="114"/>
      <c r="L176" s="81"/>
      <c r="M176" s="265" t="b">
        <f>NOT(ISERROR(ResultsInd[[#This Row],[Goal-A]]+ResultsInd[[#This Row],[Goal-B]]))</f>
        <v>1</v>
      </c>
      <c r="N176" s="265">
        <f>VALUE(ResultsInd[[#This Row],[Score-A]])</f>
        <v>2</v>
      </c>
      <c r="O176" s="265">
        <f>VALUE(ResultsInd[[#This Row],[Score-B]])</f>
        <v>4</v>
      </c>
      <c r="P176" s="265">
        <f ca="1">IF(AND(ResultsInd[[#This Row],[Category]]&lt;&gt;"",ResultsInd[[#This Row],[Player A]]&lt;&gt;""),COUNTIF(INDIRECT(ResultsInd[[#This Row],[Category]]&amp;"List[Retained Player Name]"),ResultsInd[[#This Row],[Player A]]),"")</f>
        <v>1</v>
      </c>
      <c r="Q176" s="265">
        <f ca="1">IF(AND(ResultsInd[[#This Row],[Category]]&lt;&gt;"",ResultsInd[[#This Row],[Player B]]&lt;&gt;""),COUNTIF(INDIRECT(ResultsInd[[#This Row],[Category]]&amp;"List[Retained Player Name]"),ResultsInd[[#This Row],[Player B]]),"")</f>
        <v>1</v>
      </c>
      <c r="R1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OPEN-Andrea Di Vincenzo</v>
      </c>
      <c r="S176" s="265" t="str">
        <f>IF(ResultsInd[[#This Row],[Score_OK]],IF(ResultsInd[[#This Row],[Stage]]="Groups",ResultsInd[[#This Row],[Category]]&amp;"-"&amp;IF(ResultsInd[[#This Row],[Player B]]="","",IF(ResultsInd[[#This Row],[Score-A]]=ResultsInd[[#This Row],[Score-B]],ResultsInd[[#This Row],[Player A]],"")),""),"")</f>
        <v>OPEN-</v>
      </c>
      <c r="T176" s="265" t="str">
        <f>IF(ResultsInd[[#This Row],[Score_OK]],IF(ResultsInd[[#This Row],[Stage]]="Groups",ResultsInd[[#This Row],[Category]]&amp;"-"&amp;IF(ResultsInd[[#This Row],[Player B]]="","",IF(ResultsInd[[#This Row],[Score-A]]=ResultsInd[[#This Row],[Score-B]],ResultsInd[[#This Row],[Player B]],"")),""),"")</f>
        <v>OPEN-</v>
      </c>
      <c r="U1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OPEN-Philippe Mairesse</v>
      </c>
      <c r="V1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OPEN-Philippe Mairesse</v>
      </c>
      <c r="X1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OPEN-Philippe Mairesse</v>
      </c>
      <c r="Y176" s="264" t="str">
        <f>IF(ResultsInd[[#This Row],[Category]]="","",VLOOKUP(ResultsInd[[#This Row],[Stage]],$P$1:$V$9,MATCH(ResultsInd[[#This Row],[Category]],$Q$1:$V$1,0)+1,FALSE))</f>
        <v>PR1</v>
      </c>
      <c r="Z176" s="264" t="str">
        <f>IF(ResultsInd[[#This Row],[Score_OK]],IF(ResultsInd[[#This Row],[Level]]="R",ResultsInd[[#This Row],[Category]]&amp;"-"&amp;IF(ResultsInd[[#This Row],[LoseInKO]]=ResultsInd[[#This Row],[Category]]&amp;"-"&amp;ResultsInd[[#This Row],[Player A]],ResultsInd[[#This Row],[Player B]],ResultsInd[[#This Row],[Player A]]),""),"")</f>
        <v/>
      </c>
      <c r="AB176" s="8"/>
      <c r="AC176" s="12" t="str">
        <f>IF(AC175="","",AC175)</f>
        <v>OPEN</v>
      </c>
      <c r="AD176" s="309" t="s">
        <v>8043</v>
      </c>
      <c r="AE176" s="320"/>
      <c r="AF176" s="311"/>
      <c r="AG176" s="292">
        <f>IF(AP176="","",SMALL(AH176:AH182,ROWS(AG176:AG176)))</f>
        <v>1003</v>
      </c>
      <c r="AH176" s="293">
        <f>IF(AP176="","",RANK(AL176,AL176:AL182)*1000+ROWS(AH176:AH176))</f>
        <v>2001</v>
      </c>
      <c r="AI176" s="316">
        <f t="shared" ref="AI176:AI182" si="145">IF(AP176="","",CritClassInd1_Points*AN176+CritClassInd1_Matches*AP176+CritClassInd1_Attaque*AS176+CritClassInd1_DiffButs*AU176)</f>
        <v>6000000000000</v>
      </c>
      <c r="AJ176" s="415" t="b">
        <f>AND(AO176&lt;&gt;"",AO176&gt;0,COUNTIF(AI176:AI182,AI176)&gt;1)</f>
        <v>0</v>
      </c>
      <c r="AK176" s="316">
        <f t="shared" ref="AK176:AK182" si="146">IF(AP176="","",CritClassInd_ScorePart*AE176)</f>
        <v>0</v>
      </c>
      <c r="AL176" s="317">
        <f t="shared" ref="AL176:AL182" si="147">IF(AP176="","",AI176+AK176+CritClassInd2_Points*AN176+CritClassInd2_Matches*AP176+CritClassInd2_Attaque*AS176+CritClassInd2_DiffButs*AU176+AF176)</f>
        <v>6000000051000</v>
      </c>
      <c r="AM176" s="415" t="b">
        <f>AND(AO176&lt;&gt;"",AO176&gt;0,COUNTIF(AL176:AL182,AL176)&gt;1)</f>
        <v>0</v>
      </c>
      <c r="AN176" s="306">
        <f t="shared" ref="AN176:AN182" si="148">IF(AP176="","",(AP176*Points_Victoire)+AQ176*Points_Null)</f>
        <v>6</v>
      </c>
      <c r="AO176" s="307">
        <f t="shared" ref="AO176:AO182" si="149">IF(AP176="","",SUM(AP176:AR176))</f>
        <v>3</v>
      </c>
      <c r="AP176" s="307">
        <f>IF(OR(AC175="",AD176=""),"",COUNTIF(ResultsInd[Win],AC175&amp;"-"&amp;AD176))</f>
        <v>2</v>
      </c>
      <c r="AQ176" s="307">
        <f>IF(OR(AC175="",AD176=""),"",COUNTIF(ResultsInd[Draw1],AC175&amp;"-"&amp;AD176)+COUNTIF(ResultsInd[Draw2],AC175&amp;"-"&amp;AD176))</f>
        <v>0</v>
      </c>
      <c r="AR176" s="307">
        <f>IF(OR(AC175="",AD176=""),"",COUNTIF(ResultsInd[Lose],AC175&amp;"-"&amp;AD176))</f>
        <v>1</v>
      </c>
      <c r="AS176" s="307">
        <f>IF(OR(AC175="",AD176=""),"",SUMIFS(ResultsInd[Goal-A],ResultsInd[Category],AC175,ResultsInd[Stage],"Groups",ResultsInd[Player A],AD176)+SUMIFS(ResultsInd[Goal-B],ResultsInd[Category],AC175,ResultsInd[Stage],"Groups",ResultsInd[Player B],AD176))</f>
        <v>10</v>
      </c>
      <c r="AT176" s="307">
        <f>IF(OR(AC175="",AD176=""),"",SUMIFS(ResultsInd[Goal-B],ResultsInd[Category],AC175,ResultsInd[Stage],"Groups",ResultsInd[Player A],AD176)+SUMIFS(ResultsInd[Goal-A],ResultsInd[Category],AC175,ResultsInd[Stage],"Groups",ResultsInd[Player B],AD176))</f>
        <v>5</v>
      </c>
      <c r="AU176" s="308">
        <f>IF(AP176="","",AS176-AT176)</f>
        <v>5</v>
      </c>
      <c r="AV176" s="469" t="b">
        <f>IF(AG176="","",OR(VLOOKUP(AG176,AH176:AU182,3,FALSE),VLOOKUP(AG176,AH176:AU182,6,FALSE)))</f>
        <v>0</v>
      </c>
      <c r="AW176" s="298">
        <f t="shared" ref="AW176:AW182" si="150">IF(AG176="","",INT(AG176/1000))</f>
        <v>1</v>
      </c>
      <c r="AX176" s="285" t="str">
        <f>IF(AG176="","",INDEX(AD176:AD182,MATCH(AG176,AH176:AH182,0)))</f>
        <v>Matthias Averlant</v>
      </c>
      <c r="AY176" s="286">
        <f>IF(AG176="","",VLOOKUP(AG176,AH176:AU182,COLUMN()-COLUMN(AR175),FALSE))</f>
        <v>9</v>
      </c>
      <c r="AZ176" s="286">
        <f>IF(AG176="","",VLOOKUP(AG176,AH176:AU182,COLUMN()-COLUMN(AR175),FALSE))</f>
        <v>3</v>
      </c>
      <c r="BA176" s="286">
        <f>IF(AG176="","",VLOOKUP(AG176,AH176:AU182,COLUMN()-COLUMN(AR175),FALSE))</f>
        <v>3</v>
      </c>
      <c r="BB176" s="286">
        <f>IF(AG176="","",VLOOKUP(AG176,AH176:AU182,COLUMN()-COLUMN(AR175),FALSE))</f>
        <v>0</v>
      </c>
      <c r="BC176" s="286">
        <f>IF(AG176="","",VLOOKUP(AG176,AH176:AU182,COLUMN()-COLUMN(AR175),FALSE))</f>
        <v>0</v>
      </c>
      <c r="BD176" s="286">
        <f>IF(AG176="","",VLOOKUP(AG176,AH176:AU182,COLUMN()-COLUMN(AR175),FALSE))</f>
        <v>12</v>
      </c>
      <c r="BE176" s="286">
        <f>IF(AG176="","",VLOOKUP(AG176,AH176:AU182,COLUMN()-COLUMN(AR175),FALSE))</f>
        <v>4</v>
      </c>
      <c r="BF176" s="301">
        <f>IF(AG176="","",VLOOKUP(AG176,AH176:AU182,COLUMN()-COLUMN(AR175),FALSE))</f>
        <v>8</v>
      </c>
    </row>
    <row r="177" spans="1:58" ht="12" thickBot="1" x14ac:dyDescent="0.25">
      <c r="A177" s="62" t="s">
        <v>890</v>
      </c>
      <c r="B177" s="62" t="s">
        <v>12207</v>
      </c>
      <c r="C177" s="62">
        <v>27</v>
      </c>
      <c r="D177" s="62"/>
      <c r="E177" s="345" t="s">
        <v>13246</v>
      </c>
      <c r="F177" s="345" t="s">
        <v>8166</v>
      </c>
      <c r="G177" s="113">
        <v>1</v>
      </c>
      <c r="H177" s="113">
        <v>13</v>
      </c>
      <c r="I177" s="114"/>
      <c r="J177" s="114"/>
      <c r="K177" s="114"/>
      <c r="L177" s="81"/>
      <c r="M177" s="265" t="b">
        <f>NOT(ISERROR(ResultsInd[[#This Row],[Goal-A]]+ResultsInd[[#This Row],[Goal-B]]))</f>
        <v>1</v>
      </c>
      <c r="N177" s="265">
        <f>VALUE(ResultsInd[[#This Row],[Score-A]])</f>
        <v>1</v>
      </c>
      <c r="O177" s="265">
        <f>VALUE(ResultsInd[[#This Row],[Score-B]])</f>
        <v>13</v>
      </c>
      <c r="P177" s="265">
        <f ca="1">IF(AND(ResultsInd[[#This Row],[Category]]&lt;&gt;"",ResultsInd[[#This Row],[Player A]]&lt;&gt;""),COUNTIF(INDIRECT(ResultsInd[[#This Row],[Category]]&amp;"List[Retained Player Name]"),ResultsInd[[#This Row],[Player A]]),"")</f>
        <v>1</v>
      </c>
      <c r="Q177" s="265">
        <f ca="1">IF(AND(ResultsInd[[#This Row],[Category]]&lt;&gt;"",ResultsInd[[#This Row],[Player B]]&lt;&gt;""),COUNTIF(INDIRECT(ResultsInd[[#This Row],[Category]]&amp;"List[Retained Player Name]"),ResultsInd[[#This Row],[Player B]]),"")</f>
        <v>1</v>
      </c>
      <c r="R1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Timpano</v>
      </c>
      <c r="S177" s="265" t="str">
        <f>IF(ResultsInd[[#This Row],[Score_OK]],IF(ResultsInd[[#This Row],[Stage]]="Groups",ResultsInd[[#This Row],[Category]]&amp;"-"&amp;IF(ResultsInd[[#This Row],[Player B]]="","",IF(ResultsInd[[#This Row],[Score-A]]=ResultsInd[[#This Row],[Score-B]],ResultsInd[[#This Row],[Player A]],"")),""),"")</f>
        <v>OPEN-</v>
      </c>
      <c r="T177" s="265" t="str">
        <f>IF(ResultsInd[[#This Row],[Score_OK]],IF(ResultsInd[[#This Row],[Stage]]="Groups",ResultsInd[[#This Row],[Category]]&amp;"-"&amp;IF(ResultsInd[[#This Row],[Player B]]="","",IF(ResultsInd[[#This Row],[Score-A]]=ResultsInd[[#This Row],[Score-B]],ResultsInd[[#This Row],[Player B]],"")),""),"")</f>
        <v>OPEN-</v>
      </c>
      <c r="U1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OPEN-Kyle Jamieson</v>
      </c>
      <c r="V1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OPEN-Kyle Jamieson</v>
      </c>
      <c r="X1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OPEN-Kyle Jamieson</v>
      </c>
      <c r="Y177" s="264" t="str">
        <f>IF(ResultsInd[[#This Row],[Category]]="","",VLOOKUP(ResultsInd[[#This Row],[Stage]],$P$1:$V$9,MATCH(ResultsInd[[#This Row],[Category]],$Q$1:$V$1,0)+1,FALSE))</f>
        <v>PR1</v>
      </c>
      <c r="Z177" s="264" t="str">
        <f>IF(ResultsInd[[#This Row],[Score_OK]],IF(ResultsInd[[#This Row],[Level]]="R",ResultsInd[[#This Row],[Category]]&amp;"-"&amp;IF(ResultsInd[[#This Row],[LoseInKO]]=ResultsInd[[#This Row],[Category]]&amp;"-"&amp;ResultsInd[[#This Row],[Player A]],ResultsInd[[#This Row],[Player B]],ResultsInd[[#This Row],[Player A]]),""),"")</f>
        <v/>
      </c>
      <c r="AB177" s="8"/>
      <c r="AC177" s="12" t="str">
        <f t="shared" ref="AC177:AC182" si="151">IF(AC176="","",AC176)</f>
        <v>OPEN</v>
      </c>
      <c r="AD177" s="309" t="s">
        <v>10875</v>
      </c>
      <c r="AE177" s="320"/>
      <c r="AF177" s="311"/>
      <c r="AG177" s="292">
        <f>IF(AP177="","",SMALL(AH176:AH182,ROWS(AG176:AG177)))</f>
        <v>2001</v>
      </c>
      <c r="AH177" s="293">
        <f>IF(AP177="","",RANK(AL177,AL176:AL182)*1000+ROWS(AH176:AH177))</f>
        <v>3002</v>
      </c>
      <c r="AI177" s="316">
        <f t="shared" si="145"/>
        <v>3000000000000</v>
      </c>
      <c r="AJ177" s="415" t="b">
        <f>AND(AO177&lt;&gt;"",AO177&gt;0,COUNTIF(AI176:AI182,AI177)&gt;1)</f>
        <v>0</v>
      </c>
      <c r="AK177" s="316">
        <f t="shared" si="146"/>
        <v>0</v>
      </c>
      <c r="AL177" s="317">
        <f t="shared" si="147"/>
        <v>2999999930500</v>
      </c>
      <c r="AM177" s="415" t="b">
        <f>AND(AO177&lt;&gt;"",AO177&gt;0,COUNTIF(AL176:AL182,AL177)&gt;1)</f>
        <v>0</v>
      </c>
      <c r="AN177" s="306">
        <f t="shared" si="148"/>
        <v>3</v>
      </c>
      <c r="AO177" s="307">
        <f t="shared" si="149"/>
        <v>3</v>
      </c>
      <c r="AP177" s="307">
        <f>IF(OR(AC175="",AD177=""),"",COUNTIF(ResultsInd[Win],AC175&amp;"-"&amp;AD177))</f>
        <v>1</v>
      </c>
      <c r="AQ177" s="307">
        <f>IF(OR(AC175="",AD177=""),"",COUNTIF(ResultsInd[Draw1],AC175&amp;"-"&amp;AD177)+COUNTIF(ResultsInd[Draw2],AC175&amp;"-"&amp;AD177))</f>
        <v>0</v>
      </c>
      <c r="AR177" s="307">
        <f>IF(OR(AC175="",AD177=""),"",COUNTIF(ResultsInd[Lose],AC175&amp;"-"&amp;AD177))</f>
        <v>2</v>
      </c>
      <c r="AS177" s="307">
        <f>IF(OR(AC175="",AD177=""),"",SUMIFS(ResultsInd[Goal-A],ResultsInd[Category],AC175,ResultsInd[Stage],"Groups",ResultsInd[Player A],AD177)+SUMIFS(ResultsInd[Goal-B],ResultsInd[Category],AC175,ResultsInd[Stage],"Groups",ResultsInd[Player B],AD177))</f>
        <v>5</v>
      </c>
      <c r="AT177" s="307">
        <f>IF(OR(AC175="",AD177=""),"",SUMIFS(ResultsInd[Goal-B],ResultsInd[Category],AC175,ResultsInd[Stage],"Groups",ResultsInd[Player A],AD177)+SUMIFS(ResultsInd[Goal-A],ResultsInd[Category],AC175,ResultsInd[Stage],"Groups",ResultsInd[Player B],AD177))</f>
        <v>12</v>
      </c>
      <c r="AU177" s="308">
        <f t="shared" ref="AU177:AU182" si="152">IF(AP177="","",AS177-AT177)</f>
        <v>-7</v>
      </c>
      <c r="AV177" s="469" t="b">
        <f>IF(AG177="","",OR(VLOOKUP(AG177,AH176:AU182,3,FALSE),VLOOKUP(AG177,AH176:AU182,6,FALSE)))</f>
        <v>0</v>
      </c>
      <c r="AW177" s="298">
        <f t="shared" si="150"/>
        <v>2</v>
      </c>
      <c r="AX177" s="285" t="str">
        <f>IF(AG177="","",INDEX(AD176:AD182,MATCH(AG177,AH176:AH182,0)))</f>
        <v>Alexander Haas</v>
      </c>
      <c r="AY177" s="286">
        <f>IF(AG177="","",VLOOKUP(AG177,AH176:AU182,COLUMN()-COLUMN(AR175),FALSE))</f>
        <v>6</v>
      </c>
      <c r="AZ177" s="286">
        <f>IF(AG177="","",VLOOKUP(AG177,AH176:AU182,COLUMN()-COLUMN(AR175),FALSE))</f>
        <v>3</v>
      </c>
      <c r="BA177" s="286">
        <f>IF(AG177="","",VLOOKUP(AG177,AH176:AU182,COLUMN()-COLUMN(AR175),FALSE))</f>
        <v>2</v>
      </c>
      <c r="BB177" s="286">
        <f>IF(AG177="","",VLOOKUP(AG177,AH176:AU182,COLUMN()-COLUMN(AR175),FALSE))</f>
        <v>0</v>
      </c>
      <c r="BC177" s="286">
        <f>IF(AG177="","",VLOOKUP(AG177,AH176:AU182,COLUMN()-COLUMN(AR175),FALSE))</f>
        <v>1</v>
      </c>
      <c r="BD177" s="286">
        <f>IF(AG177="","",VLOOKUP(AG177,AH176:AU182,COLUMN()-COLUMN(AR175),FALSE))</f>
        <v>10</v>
      </c>
      <c r="BE177" s="286">
        <f>IF(AG177="","",VLOOKUP(AG177,AH176:AU182,COLUMN()-COLUMN(AR175),FALSE))</f>
        <v>5</v>
      </c>
      <c r="BF177" s="301">
        <f>IF(AG177="","",VLOOKUP(AG177,AH176:AU182,COLUMN()-COLUMN(AR175),FALSE))</f>
        <v>5</v>
      </c>
    </row>
    <row r="178" spans="1:58" ht="12" thickBot="1" x14ac:dyDescent="0.25">
      <c r="A178" s="62" t="s">
        <v>890</v>
      </c>
      <c r="B178" s="62" t="s">
        <v>12207</v>
      </c>
      <c r="C178" s="62">
        <v>28</v>
      </c>
      <c r="D178" s="62"/>
      <c r="E178" s="345" t="s">
        <v>8541</v>
      </c>
      <c r="F178" s="345" t="s">
        <v>8713</v>
      </c>
      <c r="G178" s="113">
        <v>2</v>
      </c>
      <c r="H178" s="113">
        <v>1</v>
      </c>
      <c r="I178" s="114"/>
      <c r="J178" s="114"/>
      <c r="K178" s="114"/>
      <c r="L178" s="81"/>
      <c r="M178" s="265" t="b">
        <f>NOT(ISERROR(ResultsInd[[#This Row],[Goal-A]]+ResultsInd[[#This Row],[Goal-B]]))</f>
        <v>1</v>
      </c>
      <c r="N178" s="265">
        <f>VALUE(ResultsInd[[#This Row],[Score-A]])</f>
        <v>2</v>
      </c>
      <c r="O178" s="265">
        <f>VALUE(ResultsInd[[#This Row],[Score-B]])</f>
        <v>1</v>
      </c>
      <c r="P178" s="265">
        <f ca="1">IF(AND(ResultsInd[[#This Row],[Category]]&lt;&gt;"",ResultsInd[[#This Row],[Player A]]&lt;&gt;""),COUNTIF(INDIRECT(ResultsInd[[#This Row],[Category]]&amp;"List[Retained Player Name]"),ResultsInd[[#This Row],[Player A]]),"")</f>
        <v>1</v>
      </c>
      <c r="Q178" s="265">
        <f ca="1">IF(AND(ResultsInd[[#This Row],[Category]]&lt;&gt;"",ResultsInd[[#This Row],[Player B]]&lt;&gt;""),COUNTIF(INDIRECT(ResultsInd[[#This Row],[Category]]&amp;"List[Retained Player Name]"),ResultsInd[[#This Row],[Player B]]),"")</f>
        <v>1</v>
      </c>
      <c r="R1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178" s="265" t="str">
        <f>IF(ResultsInd[[#This Row],[Score_OK]],IF(ResultsInd[[#This Row],[Stage]]="Groups",ResultsInd[[#This Row],[Category]]&amp;"-"&amp;IF(ResultsInd[[#This Row],[Player B]]="","",IF(ResultsInd[[#This Row],[Score-A]]=ResultsInd[[#This Row],[Score-B]],ResultsInd[[#This Row],[Player A]],"")),""),"")</f>
        <v>OPEN-</v>
      </c>
      <c r="T178" s="265" t="str">
        <f>IF(ResultsInd[[#This Row],[Score_OK]],IF(ResultsInd[[#This Row],[Stage]]="Groups",ResultsInd[[#This Row],[Category]]&amp;"-"&amp;IF(ResultsInd[[#This Row],[Player B]]="","",IF(ResultsInd[[#This Row],[Score-A]]=ResultsInd[[#This Row],[Score-B]],ResultsInd[[#This Row],[Player B]],"")),""),"")</f>
        <v>OPEN-</v>
      </c>
      <c r="U1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OPEN-Ludovic Midoux</v>
      </c>
      <c r="V1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X1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Y178" s="264" t="str">
        <f>IF(ResultsInd[[#This Row],[Category]]="","",VLOOKUP(ResultsInd[[#This Row],[Stage]],$P$1:$V$9,MATCH(ResultsInd[[#This Row],[Category]],$Q$1:$V$1,0)+1,FALSE))</f>
        <v>PR1</v>
      </c>
      <c r="Z178" s="264" t="str">
        <f>IF(ResultsInd[[#This Row],[Score_OK]],IF(ResultsInd[[#This Row],[Level]]="R",ResultsInd[[#This Row],[Category]]&amp;"-"&amp;IF(ResultsInd[[#This Row],[LoseInKO]]=ResultsInd[[#This Row],[Category]]&amp;"-"&amp;ResultsInd[[#This Row],[Player A]],ResultsInd[[#This Row],[Player B]],ResultsInd[[#This Row],[Player A]]),""),"")</f>
        <v/>
      </c>
      <c r="AB178" s="8"/>
      <c r="AC178" s="12" t="str">
        <f t="shared" si="151"/>
        <v>OPEN</v>
      </c>
      <c r="AD178" s="309" t="s">
        <v>8148</v>
      </c>
      <c r="AE178" s="320"/>
      <c r="AF178" s="311"/>
      <c r="AG178" s="292">
        <f>IF(AP178="","",SMALL(AH176:AH182,ROWS(AG176:AG178)))</f>
        <v>3002</v>
      </c>
      <c r="AH178" s="293">
        <f>IF(AP178="","",RANK(AL178,AL176:AL182)*1000+ROWS(AH176:AH178))</f>
        <v>1003</v>
      </c>
      <c r="AI178" s="316">
        <f t="shared" si="145"/>
        <v>9000000000000</v>
      </c>
      <c r="AJ178" s="415" t="b">
        <f>AND(AO178&lt;&gt;"",AO178&gt;0,COUNTIF(AI176:AI182,AI178)&gt;1)</f>
        <v>0</v>
      </c>
      <c r="AK178" s="316">
        <f t="shared" si="146"/>
        <v>0</v>
      </c>
      <c r="AL178" s="317">
        <f t="shared" si="147"/>
        <v>9000000081200</v>
      </c>
      <c r="AM178" s="415" t="b">
        <f>AND(AO178&lt;&gt;"",AO178&gt;0,COUNTIF(AL176:AL182,AL178)&gt;1)</f>
        <v>0</v>
      </c>
      <c r="AN178" s="306">
        <f t="shared" si="148"/>
        <v>9</v>
      </c>
      <c r="AO178" s="307">
        <f t="shared" si="149"/>
        <v>3</v>
      </c>
      <c r="AP178" s="307">
        <f>IF(OR(AC175="",AD178=""),"",COUNTIF(ResultsInd[Win],AC175&amp;"-"&amp;AD178))</f>
        <v>3</v>
      </c>
      <c r="AQ178" s="307">
        <f>IF(OR(AC175="",AD178=""),"",COUNTIF(ResultsInd[Draw1],AC175&amp;"-"&amp;AD178)+COUNTIF(ResultsInd[Draw2],AC175&amp;"-"&amp;AD178))</f>
        <v>0</v>
      </c>
      <c r="AR178" s="307">
        <f>IF(OR(AC175="",AD178=""),"",COUNTIF(ResultsInd[Lose],AC175&amp;"-"&amp;AD178))</f>
        <v>0</v>
      </c>
      <c r="AS178" s="307">
        <f>IF(OR(AC175="",AD178=""),"",SUMIFS(ResultsInd[Goal-A],ResultsInd[Category],AC175,ResultsInd[Stage],"Groups",ResultsInd[Player A],AD178)+SUMIFS(ResultsInd[Goal-B],ResultsInd[Category],AC175,ResultsInd[Stage],"Groups",ResultsInd[Player B],AD178))</f>
        <v>12</v>
      </c>
      <c r="AT178" s="307">
        <f>IF(OR(AC175="",AD178=""),"",SUMIFS(ResultsInd[Goal-B],ResultsInd[Category],AC175,ResultsInd[Stage],"Groups",ResultsInd[Player A],AD178)+SUMIFS(ResultsInd[Goal-A],ResultsInd[Category],AC175,ResultsInd[Stage],"Groups",ResultsInd[Player B],AD178))</f>
        <v>4</v>
      </c>
      <c r="AU178" s="308">
        <f t="shared" si="152"/>
        <v>8</v>
      </c>
      <c r="AV178" s="469" t="b">
        <f>IF(AG178="","",OR(VLOOKUP(AG178,AH176:AU182,3,FALSE),VLOOKUP(AG178,AH176:AU182,6,FALSE)))</f>
        <v>0</v>
      </c>
      <c r="AW178" s="298">
        <f t="shared" si="150"/>
        <v>3</v>
      </c>
      <c r="AX178" s="285" t="str">
        <f>IF(AG178="","",INDEX(AD176:AD182,MATCH(AG178,AH176:AH182,0)))</f>
        <v>David Lauder</v>
      </c>
      <c r="AY178" s="286">
        <f>IF(AG178="","",VLOOKUP(AG178,AH176:AU182,COLUMN()-COLUMN(AR175),FALSE))</f>
        <v>3</v>
      </c>
      <c r="AZ178" s="286">
        <f>IF(AG178="","",VLOOKUP(AG178,AH176:AU182,COLUMN()-COLUMN(AR175),FALSE))</f>
        <v>3</v>
      </c>
      <c r="BA178" s="286">
        <f>IF(AG178="","",VLOOKUP(AG178,AH176:AU182,COLUMN()-COLUMN(AR175),FALSE))</f>
        <v>1</v>
      </c>
      <c r="BB178" s="286">
        <f>IF(AG178="","",VLOOKUP(AG178,AH176:AU182,COLUMN()-COLUMN(AR175),FALSE))</f>
        <v>0</v>
      </c>
      <c r="BC178" s="286">
        <f>IF(AG178="","",VLOOKUP(AG178,AH176:AU182,COLUMN()-COLUMN(AR175),FALSE))</f>
        <v>2</v>
      </c>
      <c r="BD178" s="286">
        <f>IF(AG178="","",VLOOKUP(AG178,AH176:AU182,COLUMN()-COLUMN(AR175),FALSE))</f>
        <v>5</v>
      </c>
      <c r="BE178" s="286">
        <f>IF(AG178="","",VLOOKUP(AG178,AH176:AU182,COLUMN()-COLUMN(AR175),FALSE))</f>
        <v>12</v>
      </c>
      <c r="BF178" s="301">
        <f>IF(AG178="","",VLOOKUP(AG178,AH176:AU182,COLUMN()-COLUMN(AR175),FALSE))</f>
        <v>-7</v>
      </c>
    </row>
    <row r="179" spans="1:58" ht="12" thickBot="1" x14ac:dyDescent="0.25">
      <c r="A179" s="62" t="s">
        <v>890</v>
      </c>
      <c r="B179" s="62" t="s">
        <v>12207</v>
      </c>
      <c r="C179" s="62">
        <v>28</v>
      </c>
      <c r="D179" s="62"/>
      <c r="E179" s="345" t="s">
        <v>8083</v>
      </c>
      <c r="F179" s="345" t="s">
        <v>10272</v>
      </c>
      <c r="G179" s="113">
        <v>0</v>
      </c>
      <c r="H179" s="113">
        <v>9</v>
      </c>
      <c r="I179" s="114"/>
      <c r="J179" s="114"/>
      <c r="K179" s="114"/>
      <c r="L179" s="81"/>
      <c r="M179" s="265" t="b">
        <f>NOT(ISERROR(ResultsInd[[#This Row],[Goal-A]]+ResultsInd[[#This Row],[Goal-B]]))</f>
        <v>1</v>
      </c>
      <c r="N179" s="265">
        <f>VALUE(ResultsInd[[#This Row],[Score-A]])</f>
        <v>0</v>
      </c>
      <c r="O179" s="265">
        <f>VALUE(ResultsInd[[#This Row],[Score-B]])</f>
        <v>9</v>
      </c>
      <c r="P179" s="265">
        <f ca="1">IF(AND(ResultsInd[[#This Row],[Category]]&lt;&gt;"",ResultsInd[[#This Row],[Player A]]&lt;&gt;""),COUNTIF(INDIRECT(ResultsInd[[#This Row],[Category]]&amp;"List[Retained Player Name]"),ResultsInd[[#This Row],[Player A]]),"")</f>
        <v>1</v>
      </c>
      <c r="Q179" s="265">
        <f ca="1">IF(AND(ResultsInd[[#This Row],[Category]]&lt;&gt;"",ResultsInd[[#This Row],[Player B]]&lt;&gt;""),COUNTIF(INDIRECT(ResultsInd[[#This Row],[Category]]&amp;"List[Retained Player Name]"),ResultsInd[[#This Row],[Player B]]),"")</f>
        <v>1</v>
      </c>
      <c r="R1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OPEN-Francesco Borgo</v>
      </c>
      <c r="S179" s="265" t="str">
        <f>IF(ResultsInd[[#This Row],[Score_OK]],IF(ResultsInd[[#This Row],[Stage]]="Groups",ResultsInd[[#This Row],[Category]]&amp;"-"&amp;IF(ResultsInd[[#This Row],[Player B]]="","",IF(ResultsInd[[#This Row],[Score-A]]=ResultsInd[[#This Row],[Score-B]],ResultsInd[[#This Row],[Player A]],"")),""),"")</f>
        <v>OPEN-</v>
      </c>
      <c r="T179" s="265" t="str">
        <f>IF(ResultsInd[[#This Row],[Score_OK]],IF(ResultsInd[[#This Row],[Stage]]="Groups",ResultsInd[[#This Row],[Category]]&amp;"-"&amp;IF(ResultsInd[[#This Row],[Player B]]="","",IF(ResultsInd[[#This Row],[Score-A]]=ResultsInd[[#This Row],[Score-B]],ResultsInd[[#This Row],[Player B]],"")),""),"")</f>
        <v>OPEN-</v>
      </c>
      <c r="U1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OPEN-Kenny De Schuyteneer</v>
      </c>
      <c r="V1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OPEN-Kenny De Schuyteneer</v>
      </c>
      <c r="X1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OPEN-Kenny De Schuyteneer</v>
      </c>
      <c r="Y179" s="264" t="str">
        <f>IF(ResultsInd[[#This Row],[Category]]="","",VLOOKUP(ResultsInd[[#This Row],[Stage]],$P$1:$V$9,MATCH(ResultsInd[[#This Row],[Category]],$Q$1:$V$1,0)+1,FALSE))</f>
        <v>PR1</v>
      </c>
      <c r="Z179" s="264" t="str">
        <f>IF(ResultsInd[[#This Row],[Score_OK]],IF(ResultsInd[[#This Row],[Level]]="R",ResultsInd[[#This Row],[Category]]&amp;"-"&amp;IF(ResultsInd[[#This Row],[LoseInKO]]=ResultsInd[[#This Row],[Category]]&amp;"-"&amp;ResultsInd[[#This Row],[Player A]],ResultsInd[[#This Row],[Player B]],ResultsInd[[#This Row],[Player A]]),""),"")</f>
        <v/>
      </c>
      <c r="AB179" s="91"/>
      <c r="AC179" s="12" t="str">
        <f t="shared" si="151"/>
        <v>OPEN</v>
      </c>
      <c r="AD179" s="309" t="s">
        <v>8152</v>
      </c>
      <c r="AE179" s="310"/>
      <c r="AF179" s="311"/>
      <c r="AG179" s="292">
        <f>IF(AP179="","",SMALL(AH176:AH182,ROWS(AG176:AG179)))</f>
        <v>4004</v>
      </c>
      <c r="AH179" s="293">
        <f>IF(AP179="","",RANK(AL179,AL176:AL182)*1000+ROWS(AH176:AH179))</f>
        <v>4004</v>
      </c>
      <c r="AI179" s="316">
        <f t="shared" si="145"/>
        <v>0</v>
      </c>
      <c r="AJ179" s="415" t="b">
        <f>AND(AO179&lt;&gt;"",AO179&gt;0,COUNTIF(AI176:AI182,AI179)&gt;1)</f>
        <v>0</v>
      </c>
      <c r="AK179" s="316">
        <f t="shared" si="146"/>
        <v>0</v>
      </c>
      <c r="AL179" s="317">
        <f t="shared" si="147"/>
        <v>-59800</v>
      </c>
      <c r="AM179" s="415" t="b">
        <f>AND(AO179&lt;&gt;"",AO179&gt;0,COUNTIF(AL176:AL182,AL179)&gt;1)</f>
        <v>0</v>
      </c>
      <c r="AN179" s="306">
        <f t="shared" si="148"/>
        <v>0</v>
      </c>
      <c r="AO179" s="307">
        <f t="shared" si="149"/>
        <v>3</v>
      </c>
      <c r="AP179" s="307">
        <f>IF(OR(AC175="",AD179=""),"",COUNTIF(ResultsInd[Win],AC175&amp;"-"&amp;AD179))</f>
        <v>0</v>
      </c>
      <c r="AQ179" s="307">
        <f>IF(OR(AC175="",AD179=""),"",COUNTIF(ResultsInd[Draw1],AC175&amp;"-"&amp;AD179)+COUNTIF(ResultsInd[Draw2],AC175&amp;"-"&amp;AD179))</f>
        <v>0</v>
      </c>
      <c r="AR179" s="307">
        <f>IF(OR(AC175="",AD179=""),"",COUNTIF(ResultsInd[Lose],AC175&amp;"-"&amp;AD179))</f>
        <v>3</v>
      </c>
      <c r="AS179" s="307">
        <f>IF(OR(AC175="",AD179=""),"",SUMIFS(ResultsInd[Goal-A],ResultsInd[Category],AC175,ResultsInd[Stage],"Groups",ResultsInd[Player A],AD179)+SUMIFS(ResultsInd[Goal-B],ResultsInd[Category],AC175,ResultsInd[Stage],"Groups",ResultsInd[Player B],AD179))</f>
        <v>2</v>
      </c>
      <c r="AT179" s="307">
        <f>IF(OR(AC175="",AD179=""),"",SUMIFS(ResultsInd[Goal-B],ResultsInd[Category],AC175,ResultsInd[Stage],"Groups",ResultsInd[Player A],AD179)+SUMIFS(ResultsInd[Goal-A],ResultsInd[Category],AC175,ResultsInd[Stage],"Groups",ResultsInd[Player B],AD179))</f>
        <v>8</v>
      </c>
      <c r="AU179" s="308">
        <f t="shared" si="152"/>
        <v>-6</v>
      </c>
      <c r="AV179" s="469" t="b">
        <f>IF(AG179="","",OR(VLOOKUP(AG179,AH176:AU182,3,FALSE),VLOOKUP(AG179,AH176:AU182,6,FALSE)))</f>
        <v>0</v>
      </c>
      <c r="AW179" s="298">
        <f t="shared" si="150"/>
        <v>4</v>
      </c>
      <c r="AX179" s="285" t="str">
        <f>IF(AG179="","",INDEX(AD176:AD182,MATCH(AG179,AH176:AH182,0)))</f>
        <v>Sébastien Darmont</v>
      </c>
      <c r="AY179" s="286">
        <f>IF(AG179="","",VLOOKUP(AG179,AH176:AU182,COLUMN()-COLUMN(AR175),FALSE))</f>
        <v>0</v>
      </c>
      <c r="AZ179" s="286">
        <f>IF(AG179="","",VLOOKUP(AG179,AH176:AU182,COLUMN()-COLUMN(AR175),FALSE))</f>
        <v>3</v>
      </c>
      <c r="BA179" s="286">
        <f>IF(AG179="","",VLOOKUP(AG179,AH176:AU182,COLUMN()-COLUMN(AR175),FALSE))</f>
        <v>0</v>
      </c>
      <c r="BB179" s="286">
        <f>IF(AG179="","",VLOOKUP(AG179,AH176:AU182,COLUMN()-COLUMN(AR175),FALSE))</f>
        <v>0</v>
      </c>
      <c r="BC179" s="286">
        <f>IF(AG179="","",VLOOKUP(AG179,AH176:AU182,COLUMN()-COLUMN(AR175),FALSE))</f>
        <v>3</v>
      </c>
      <c r="BD179" s="286">
        <f>IF(AG179="","",VLOOKUP(AG179,AH176:AU182,COLUMN()-COLUMN(AR175),FALSE))</f>
        <v>2</v>
      </c>
      <c r="BE179" s="286">
        <f>IF(AG179="","",VLOOKUP(AG179,AH176:AU182,COLUMN()-COLUMN(AR175),FALSE))</f>
        <v>8</v>
      </c>
      <c r="BF179" s="301">
        <f>IF(AG179="","",VLOOKUP(AG179,AH176:AU182,COLUMN()-COLUMN(AR175),FALSE))</f>
        <v>-6</v>
      </c>
    </row>
    <row r="180" spans="1:58" ht="12" thickBot="1" x14ac:dyDescent="0.25">
      <c r="A180" s="62" t="s">
        <v>890</v>
      </c>
      <c r="B180" s="62" t="s">
        <v>12207</v>
      </c>
      <c r="C180" s="62">
        <v>28</v>
      </c>
      <c r="D180" s="62"/>
      <c r="E180" s="345" t="s">
        <v>8541</v>
      </c>
      <c r="F180" s="345" t="s">
        <v>8083</v>
      </c>
      <c r="G180" s="113">
        <v>2</v>
      </c>
      <c r="H180" s="113">
        <v>1</v>
      </c>
      <c r="I180" s="114"/>
      <c r="J180" s="114"/>
      <c r="K180" s="114"/>
      <c r="L180" s="81"/>
      <c r="M180" s="265" t="b">
        <f>NOT(ISERROR(ResultsInd[[#This Row],[Goal-A]]+ResultsInd[[#This Row],[Goal-B]]))</f>
        <v>1</v>
      </c>
      <c r="N180" s="265">
        <f>VALUE(ResultsInd[[#This Row],[Score-A]])</f>
        <v>2</v>
      </c>
      <c r="O180" s="265">
        <f>VALUE(ResultsInd[[#This Row],[Score-B]])</f>
        <v>1</v>
      </c>
      <c r="P180" s="265">
        <f ca="1">IF(AND(ResultsInd[[#This Row],[Category]]&lt;&gt;"",ResultsInd[[#This Row],[Player A]]&lt;&gt;""),COUNTIF(INDIRECT(ResultsInd[[#This Row],[Category]]&amp;"List[Retained Player Name]"),ResultsInd[[#This Row],[Player A]]),"")</f>
        <v>1</v>
      </c>
      <c r="Q180" s="265">
        <f ca="1">IF(AND(ResultsInd[[#This Row],[Category]]&lt;&gt;"",ResultsInd[[#This Row],[Player B]]&lt;&gt;""),COUNTIF(INDIRECT(ResultsInd[[#This Row],[Category]]&amp;"List[Retained Player Name]"),ResultsInd[[#This Row],[Player B]]),"")</f>
        <v>1</v>
      </c>
      <c r="R1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180" s="265" t="str">
        <f>IF(ResultsInd[[#This Row],[Score_OK]],IF(ResultsInd[[#This Row],[Stage]]="Groups",ResultsInd[[#This Row],[Category]]&amp;"-"&amp;IF(ResultsInd[[#This Row],[Player B]]="","",IF(ResultsInd[[#This Row],[Score-A]]=ResultsInd[[#This Row],[Score-B]],ResultsInd[[#This Row],[Player A]],"")),""),"")</f>
        <v>OPEN-</v>
      </c>
      <c r="T180" s="265" t="str">
        <f>IF(ResultsInd[[#This Row],[Score_OK]],IF(ResultsInd[[#This Row],[Stage]]="Groups",ResultsInd[[#This Row],[Category]]&amp;"-"&amp;IF(ResultsInd[[#This Row],[Player B]]="","",IF(ResultsInd[[#This Row],[Score-A]]=ResultsInd[[#This Row],[Score-B]],ResultsInd[[#This Row],[Player B]],"")),""),"")</f>
        <v>OPEN-</v>
      </c>
      <c r="U1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OPEN-Kenny De Schuyteneer</v>
      </c>
      <c r="V1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OPEN-Kenny De Schuyteneer</v>
      </c>
      <c r="X1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OPEN-Kenny De Schuyteneer</v>
      </c>
      <c r="Y180" s="264" t="str">
        <f>IF(ResultsInd[[#This Row],[Category]]="","",VLOOKUP(ResultsInd[[#This Row],[Stage]],$P$1:$V$9,MATCH(ResultsInd[[#This Row],[Category]],$Q$1:$V$1,0)+1,FALSE))</f>
        <v>PR1</v>
      </c>
      <c r="Z180" s="264" t="str">
        <f>IF(ResultsInd[[#This Row],[Score_OK]],IF(ResultsInd[[#This Row],[Level]]="R",ResultsInd[[#This Row],[Category]]&amp;"-"&amp;IF(ResultsInd[[#This Row],[LoseInKO]]=ResultsInd[[#This Row],[Category]]&amp;"-"&amp;ResultsInd[[#This Row],[Player A]],ResultsInd[[#This Row],[Player B]],ResultsInd[[#This Row],[Player A]]),""),"")</f>
        <v/>
      </c>
      <c r="AB180" s="91"/>
      <c r="AC180" s="12" t="str">
        <f t="shared" si="151"/>
        <v>OPEN</v>
      </c>
      <c r="AD180" s="309"/>
      <c r="AE180" s="310"/>
      <c r="AF180" s="311"/>
      <c r="AG180" s="292" t="str">
        <f>IF(AP180="","",SMALL(AH176:AH182,ROWS(AG176:AG180)))</f>
        <v/>
      </c>
      <c r="AH180" s="293" t="str">
        <f>IF(AP180="","",RANK(AL180,AL176:AL182)*1000+ROWS(AH176:AH180))</f>
        <v/>
      </c>
      <c r="AI180" s="316" t="str">
        <f t="shared" si="145"/>
        <v/>
      </c>
      <c r="AJ180" s="415" t="b">
        <f>AND(AO180&lt;&gt;"",AO180&gt;0,COUNTIF(AI176:AI182,AI180)&gt;1)</f>
        <v>0</v>
      </c>
      <c r="AK180" s="316" t="str">
        <f t="shared" si="146"/>
        <v/>
      </c>
      <c r="AL180" s="317" t="str">
        <f t="shared" si="147"/>
        <v/>
      </c>
      <c r="AM180" s="415" t="b">
        <f>AND(AO180&lt;&gt;"",AO180&gt;0,COUNTIF(AL176:AL182,AL180)&gt;1)</f>
        <v>0</v>
      </c>
      <c r="AN180" s="306" t="str">
        <f t="shared" si="148"/>
        <v/>
      </c>
      <c r="AO180" s="307" t="str">
        <f t="shared" si="149"/>
        <v/>
      </c>
      <c r="AP180" s="307" t="str">
        <f>IF(OR(AC175="",AD180=""),"",COUNTIF(ResultsInd[Win],AC175&amp;"-"&amp;AD180))</f>
        <v/>
      </c>
      <c r="AQ180" s="307" t="str">
        <f>IF(OR(AC175="",AD180=""),"",COUNTIF(ResultsInd[Draw1],AC175&amp;"-"&amp;AD180)+COUNTIF(ResultsInd[Draw2],AC175&amp;"-"&amp;AD180))</f>
        <v/>
      </c>
      <c r="AR180" s="307" t="str">
        <f>IF(OR(AC175="",AD180=""),"",COUNTIF(ResultsInd[Lose],AC175&amp;"-"&amp;AD180))</f>
        <v/>
      </c>
      <c r="AS180" s="307" t="str">
        <f>IF(OR(AC175="",AD180=""),"",SUMIFS(ResultsInd[Goal-A],ResultsInd[Category],AC175,ResultsInd[Stage],"Groups",ResultsInd[Player A],AD180)+SUMIFS(ResultsInd[Goal-B],ResultsInd[Category],AC175,ResultsInd[Stage],"Groups",ResultsInd[Player B],AD180))</f>
        <v/>
      </c>
      <c r="AT180" s="307" t="str">
        <f>IF(OR(AC175="",AD180=""),"",SUMIFS(ResultsInd[Goal-B],ResultsInd[Category],AC175,ResultsInd[Stage],"Groups",ResultsInd[Player A],AD180)+SUMIFS(ResultsInd[Goal-A],ResultsInd[Category],AC175,ResultsInd[Stage],"Groups",ResultsInd[Player B],AD180))</f>
        <v/>
      </c>
      <c r="AU180" s="308" t="str">
        <f t="shared" si="152"/>
        <v/>
      </c>
      <c r="AV180" s="469" t="str">
        <f>IF(AG180="","",OR(VLOOKUP(AG180,AH176:AU182,3,FALSE),VLOOKUP(AG180,AH176:AU182,6,FALSE)))</f>
        <v/>
      </c>
      <c r="AW180" s="298" t="str">
        <f t="shared" si="150"/>
        <v/>
      </c>
      <c r="AX180" s="285" t="str">
        <f>IF(AG180="","",INDEX(AD176:AD182,MATCH(AG180,AH176:AH182,0)))</f>
        <v/>
      </c>
      <c r="AY180" s="286" t="str">
        <f>IF(AG180="","",VLOOKUP(AG180,AH176:AU182,COLUMN()-COLUMN(AR175),FALSE))</f>
        <v/>
      </c>
      <c r="AZ180" s="286" t="str">
        <f>IF(AG180="","",VLOOKUP(AG180,AH176:AU182,COLUMN()-COLUMN(AR175),FALSE))</f>
        <v/>
      </c>
      <c r="BA180" s="286" t="str">
        <f>IF(AG180="","",VLOOKUP(AG180,AH176:AU182,COLUMN()-COLUMN(AR175),FALSE))</f>
        <v/>
      </c>
      <c r="BB180" s="286" t="str">
        <f>IF(AG180="","",VLOOKUP(AG180,AH176:AU182,COLUMN()-COLUMN(AR175),FALSE))</f>
        <v/>
      </c>
      <c r="BC180" s="286" t="str">
        <f>IF(AG180="","",VLOOKUP(AG180,AH176:AU182,COLUMN()-COLUMN(AR175),FALSE))</f>
        <v/>
      </c>
      <c r="BD180" s="286" t="str">
        <f>IF(AG180="","",VLOOKUP(AG180,AH176:AU182,COLUMN()-COLUMN(AR175),FALSE))</f>
        <v/>
      </c>
      <c r="BE180" s="286" t="str">
        <f>IF(AG180="","",VLOOKUP(AG180,AH176:AU182,COLUMN()-COLUMN(AR175),FALSE))</f>
        <v/>
      </c>
      <c r="BF180" s="301" t="str">
        <f>IF(AG180="","",VLOOKUP(AG180,AH176:AU182,COLUMN()-COLUMN(AR175),FALSE))</f>
        <v/>
      </c>
    </row>
    <row r="181" spans="1:58" ht="12" thickBot="1" x14ac:dyDescent="0.25">
      <c r="A181" s="62" t="s">
        <v>890</v>
      </c>
      <c r="B181" s="62" t="s">
        <v>12207</v>
      </c>
      <c r="C181" s="62">
        <v>28</v>
      </c>
      <c r="D181" s="62"/>
      <c r="E181" s="345" t="s">
        <v>8713</v>
      </c>
      <c r="F181" s="345" t="s">
        <v>10272</v>
      </c>
      <c r="G181" s="113">
        <v>2</v>
      </c>
      <c r="H181" s="113">
        <v>8</v>
      </c>
      <c r="I181" s="114"/>
      <c r="J181" s="114"/>
      <c r="K181" s="114"/>
      <c r="L181" s="81"/>
      <c r="M181" s="265" t="b">
        <f>NOT(ISERROR(ResultsInd[[#This Row],[Goal-A]]+ResultsInd[[#This Row],[Goal-B]]))</f>
        <v>1</v>
      </c>
      <c r="N181" s="265">
        <f>VALUE(ResultsInd[[#This Row],[Score-A]])</f>
        <v>2</v>
      </c>
      <c r="O181" s="265">
        <f>VALUE(ResultsInd[[#This Row],[Score-B]])</f>
        <v>8</v>
      </c>
      <c r="P181" s="265">
        <f ca="1">IF(AND(ResultsInd[[#This Row],[Category]]&lt;&gt;"",ResultsInd[[#This Row],[Player A]]&lt;&gt;""),COUNTIF(INDIRECT(ResultsInd[[#This Row],[Category]]&amp;"List[Retained Player Name]"),ResultsInd[[#This Row],[Player A]]),"")</f>
        <v>1</v>
      </c>
      <c r="Q181" s="265">
        <f ca="1">IF(AND(ResultsInd[[#This Row],[Category]]&lt;&gt;"",ResultsInd[[#This Row],[Player B]]&lt;&gt;""),COUNTIF(INDIRECT(ResultsInd[[#This Row],[Category]]&amp;"List[Retained Player Name]"),ResultsInd[[#This Row],[Player B]]),"")</f>
        <v>1</v>
      </c>
      <c r="R1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OPEN-Francesco Borgo</v>
      </c>
      <c r="S181" s="265" t="str">
        <f>IF(ResultsInd[[#This Row],[Score_OK]],IF(ResultsInd[[#This Row],[Stage]]="Groups",ResultsInd[[#This Row],[Category]]&amp;"-"&amp;IF(ResultsInd[[#This Row],[Player B]]="","",IF(ResultsInd[[#This Row],[Score-A]]=ResultsInd[[#This Row],[Score-B]],ResultsInd[[#This Row],[Player A]],"")),""),"")</f>
        <v>OPEN-</v>
      </c>
      <c r="T181" s="265" t="str">
        <f>IF(ResultsInd[[#This Row],[Score_OK]],IF(ResultsInd[[#This Row],[Stage]]="Groups",ResultsInd[[#This Row],[Category]]&amp;"-"&amp;IF(ResultsInd[[#This Row],[Player B]]="","",IF(ResultsInd[[#This Row],[Score-A]]=ResultsInd[[#This Row],[Score-B]],ResultsInd[[#This Row],[Player B]],"")),""),"")</f>
        <v>OPEN-</v>
      </c>
      <c r="U1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OPEN-Ludovic Midoux</v>
      </c>
      <c r="V1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X1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Y181" s="264" t="str">
        <f>IF(ResultsInd[[#This Row],[Category]]="","",VLOOKUP(ResultsInd[[#This Row],[Stage]],$P$1:$V$9,MATCH(ResultsInd[[#This Row],[Category]],$Q$1:$V$1,0)+1,FALSE))</f>
        <v>PR1</v>
      </c>
      <c r="Z181" s="264" t="str">
        <f>IF(ResultsInd[[#This Row],[Score_OK]],IF(ResultsInd[[#This Row],[Level]]="R",ResultsInd[[#This Row],[Category]]&amp;"-"&amp;IF(ResultsInd[[#This Row],[LoseInKO]]=ResultsInd[[#This Row],[Category]]&amp;"-"&amp;ResultsInd[[#This Row],[Player A]],ResultsInd[[#This Row],[Player B]],ResultsInd[[#This Row],[Player A]]),""),"")</f>
        <v/>
      </c>
      <c r="AB181" s="8"/>
      <c r="AC181" s="12" t="str">
        <f t="shared" si="151"/>
        <v>OPEN</v>
      </c>
      <c r="AD181" s="309"/>
      <c r="AE181" s="310"/>
      <c r="AF181" s="311"/>
      <c r="AG181" s="292" t="str">
        <f>IF(AP181="","",SMALL(AH176:AH182,ROWS(AG176:AG181)))</f>
        <v/>
      </c>
      <c r="AH181" s="293" t="str">
        <f>IF(AP181="","",RANK(AL181,AL176:AL182)*1000+ROWS(AH176:AH181))</f>
        <v/>
      </c>
      <c r="AI181" s="316" t="str">
        <f t="shared" si="145"/>
        <v/>
      </c>
      <c r="AJ181" s="415" t="b">
        <f>AND(AO181&lt;&gt;"",AO181&gt;0,COUNTIF(AI176:AI182,AI181)&gt;1)</f>
        <v>0</v>
      </c>
      <c r="AK181" s="316" t="str">
        <f t="shared" si="146"/>
        <v/>
      </c>
      <c r="AL181" s="317" t="str">
        <f t="shared" si="147"/>
        <v/>
      </c>
      <c r="AM181" s="415" t="b">
        <f>AND(AO181&lt;&gt;"",AO181&gt;0,COUNTIF(AL176:AL182,AL181)&gt;1)</f>
        <v>0</v>
      </c>
      <c r="AN181" s="306" t="str">
        <f t="shared" si="148"/>
        <v/>
      </c>
      <c r="AO181" s="307" t="str">
        <f t="shared" si="149"/>
        <v/>
      </c>
      <c r="AP181" s="307" t="str">
        <f>IF(OR(AC175="",AD181=""),"",COUNTIF(ResultsInd[Win],AC175&amp;"-"&amp;AD181))</f>
        <v/>
      </c>
      <c r="AQ181" s="307" t="str">
        <f>IF(OR(AC175="",AD181=""),"",COUNTIF(ResultsInd[Draw1],AC175&amp;"-"&amp;AD181)+COUNTIF(ResultsInd[Draw2],AC175&amp;"-"&amp;AD181))</f>
        <v/>
      </c>
      <c r="AR181" s="307" t="str">
        <f>IF(OR(AC175="",AD181=""),"",COUNTIF(ResultsInd[Lose],AC175&amp;"-"&amp;AD181))</f>
        <v/>
      </c>
      <c r="AS181" s="307" t="str">
        <f>IF(OR(AC175="",AD181=""),"",SUMIFS(ResultsInd[Goal-A],ResultsInd[Category],AC175,ResultsInd[Stage],"Groups",ResultsInd[Player A],AD181)+SUMIFS(ResultsInd[Goal-B],ResultsInd[Category],AC175,ResultsInd[Stage],"Groups",ResultsInd[Player B],AD181))</f>
        <v/>
      </c>
      <c r="AT181" s="307" t="str">
        <f>IF(OR(AC175="",AD181=""),"",SUMIFS(ResultsInd[Goal-B],ResultsInd[Category],AC175,ResultsInd[Stage],"Groups",ResultsInd[Player A],AD181)+SUMIFS(ResultsInd[Goal-A],ResultsInd[Category],AC175,ResultsInd[Stage],"Groups",ResultsInd[Player B],AD181))</f>
        <v/>
      </c>
      <c r="AU181" s="308" t="str">
        <f t="shared" si="152"/>
        <v/>
      </c>
      <c r="AV181" s="469" t="str">
        <f>IF(AG181="","",OR(VLOOKUP(AG181,AH176:AU182,3,FALSE),VLOOKUP(AG181,AH176:AU182,6,FALSE)))</f>
        <v/>
      </c>
      <c r="AW181" s="298" t="str">
        <f t="shared" si="150"/>
        <v/>
      </c>
      <c r="AX181" s="285" t="str">
        <f>IF(AG181="","",INDEX(AD176:AD182,MATCH(AG181,AH176:AH182,0)))</f>
        <v/>
      </c>
      <c r="AY181" s="286" t="str">
        <f>IF(AG181="","",VLOOKUP(AG181,AH176:AU182,COLUMN()-COLUMN(AR175),FALSE))</f>
        <v/>
      </c>
      <c r="AZ181" s="286" t="str">
        <f>IF(AG181="","",VLOOKUP(AG181,AH176:AU182,COLUMN()-COLUMN(AR175),FALSE))</f>
        <v/>
      </c>
      <c r="BA181" s="286" t="str">
        <f>IF(AG181="","",VLOOKUP(AG181,AH176:AU182,COLUMN()-COLUMN(AR175),FALSE))</f>
        <v/>
      </c>
      <c r="BB181" s="286" t="str">
        <f>IF(AG181="","",VLOOKUP(AG181,AH176:AU182,COLUMN()-COLUMN(AR175),FALSE))</f>
        <v/>
      </c>
      <c r="BC181" s="286" t="str">
        <f>IF(AG181="","",VLOOKUP(AG181,AH176:AU182,COLUMN()-COLUMN(AR175),FALSE))</f>
        <v/>
      </c>
      <c r="BD181" s="286" t="str">
        <f>IF(AG181="","",VLOOKUP(AG181,AH176:AU182,COLUMN()-COLUMN(AR175),FALSE))</f>
        <v/>
      </c>
      <c r="BE181" s="286" t="str">
        <f>IF(AG181="","",VLOOKUP(AG181,AH176:AU182,COLUMN()-COLUMN(AR175),FALSE))</f>
        <v/>
      </c>
      <c r="BF181" s="301" t="str">
        <f>IF(AG181="","",VLOOKUP(AG181,AH176:AU182,COLUMN()-COLUMN(AR175),FALSE))</f>
        <v/>
      </c>
    </row>
    <row r="182" spans="1:58" ht="12" thickBot="1" x14ac:dyDescent="0.25">
      <c r="A182" s="62" t="s">
        <v>890</v>
      </c>
      <c r="B182" s="62" t="s">
        <v>12207</v>
      </c>
      <c r="C182" s="62">
        <v>28</v>
      </c>
      <c r="D182" s="62"/>
      <c r="E182" s="345" t="s">
        <v>10272</v>
      </c>
      <c r="F182" s="345" t="s">
        <v>8541</v>
      </c>
      <c r="G182" s="113">
        <v>4</v>
      </c>
      <c r="H182" s="113">
        <v>1</v>
      </c>
      <c r="I182" s="114"/>
      <c r="J182" s="114"/>
      <c r="K182" s="114"/>
      <c r="L182" s="81"/>
      <c r="M182" s="265" t="b">
        <f>NOT(ISERROR(ResultsInd[[#This Row],[Goal-A]]+ResultsInd[[#This Row],[Goal-B]]))</f>
        <v>1</v>
      </c>
      <c r="N182" s="265">
        <f>VALUE(ResultsInd[[#This Row],[Score-A]])</f>
        <v>4</v>
      </c>
      <c r="O182" s="265">
        <f>VALUE(ResultsInd[[#This Row],[Score-B]])</f>
        <v>1</v>
      </c>
      <c r="P182" s="265">
        <f ca="1">IF(AND(ResultsInd[[#This Row],[Category]]&lt;&gt;"",ResultsInd[[#This Row],[Player A]]&lt;&gt;""),COUNTIF(INDIRECT(ResultsInd[[#This Row],[Category]]&amp;"List[Retained Player Name]"),ResultsInd[[#This Row],[Player A]]),"")</f>
        <v>1</v>
      </c>
      <c r="Q182" s="265">
        <f ca="1">IF(AND(ResultsInd[[#This Row],[Category]]&lt;&gt;"",ResultsInd[[#This Row],[Player B]]&lt;&gt;""),COUNTIF(INDIRECT(ResultsInd[[#This Row],[Category]]&amp;"List[Retained Player Name]"),ResultsInd[[#This Row],[Player B]]),"")</f>
        <v>1</v>
      </c>
      <c r="R1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OPEN-Francesco Borgo</v>
      </c>
      <c r="S182" s="265" t="str">
        <f>IF(ResultsInd[[#This Row],[Score_OK]],IF(ResultsInd[[#This Row],[Stage]]="Groups",ResultsInd[[#This Row],[Category]]&amp;"-"&amp;IF(ResultsInd[[#This Row],[Player B]]="","",IF(ResultsInd[[#This Row],[Score-A]]=ResultsInd[[#This Row],[Score-B]],ResultsInd[[#This Row],[Player A]],"")),""),"")</f>
        <v>OPEN-</v>
      </c>
      <c r="T182" s="265" t="str">
        <f>IF(ResultsInd[[#This Row],[Score_OK]],IF(ResultsInd[[#This Row],[Stage]]="Groups",ResultsInd[[#This Row],[Category]]&amp;"-"&amp;IF(ResultsInd[[#This Row],[Player B]]="","",IF(ResultsInd[[#This Row],[Score-A]]=ResultsInd[[#This Row],[Score-B]],ResultsInd[[#This Row],[Player B]],"")),""),"")</f>
        <v>OPEN-</v>
      </c>
      <c r="U1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OPEN-Kevin Cordell</v>
      </c>
      <c r="V1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OPEN-Kevin Cordell</v>
      </c>
      <c r="X1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OPEN-Kevin Cordell</v>
      </c>
      <c r="Y182" s="264" t="str">
        <f>IF(ResultsInd[[#This Row],[Category]]="","",VLOOKUP(ResultsInd[[#This Row],[Stage]],$P$1:$V$9,MATCH(ResultsInd[[#This Row],[Category]],$Q$1:$V$1,0)+1,FALSE))</f>
        <v>PR1</v>
      </c>
      <c r="Z182" s="264" t="str">
        <f>IF(ResultsInd[[#This Row],[Score_OK]],IF(ResultsInd[[#This Row],[Level]]="R",ResultsInd[[#This Row],[Category]]&amp;"-"&amp;IF(ResultsInd[[#This Row],[LoseInKO]]=ResultsInd[[#This Row],[Category]]&amp;"-"&amp;ResultsInd[[#This Row],[Player A]],ResultsInd[[#This Row],[Player B]],ResultsInd[[#This Row],[Player A]]),""),"")</f>
        <v/>
      </c>
      <c r="AB182" s="8"/>
      <c r="AC182" s="12" t="str">
        <f t="shared" si="151"/>
        <v>OPEN</v>
      </c>
      <c r="AD182" s="312"/>
      <c r="AE182" s="313"/>
      <c r="AF182" s="314"/>
      <c r="AG182" s="294" t="str">
        <f>IF(AP182="","",SMALL(AH176:AH182,ROWS(AG176:AG182)))</f>
        <v/>
      </c>
      <c r="AH182" s="295" t="str">
        <f>IF(AP182="","",RANK(AL182,AL176:AL182)*1000+ROWS(AH176:AH182))</f>
        <v/>
      </c>
      <c r="AI182" s="318" t="str">
        <f t="shared" si="145"/>
        <v/>
      </c>
      <c r="AJ182" s="416" t="b">
        <f>AND(AO182&lt;&gt;"",AO182&gt;0,COUNTIF(AI176:AI182,AI182)&gt;1)</f>
        <v>0</v>
      </c>
      <c r="AK182" s="318" t="str">
        <f t="shared" si="146"/>
        <v/>
      </c>
      <c r="AL182" s="319" t="str">
        <f t="shared" si="147"/>
        <v/>
      </c>
      <c r="AM182" s="416" t="b">
        <f>AND(AO182&lt;&gt;"",AO182&gt;0,COUNTIF(AL176:AL182,AL182)&gt;1)</f>
        <v>0</v>
      </c>
      <c r="AN182" s="306" t="str">
        <f t="shared" si="148"/>
        <v/>
      </c>
      <c r="AO182" s="307" t="str">
        <f t="shared" si="149"/>
        <v/>
      </c>
      <c r="AP182" s="307" t="str">
        <f>IF(OR(AC175="",AD182=""),"",COUNTIF(ResultsInd[Win],AC175&amp;"-"&amp;AD182))</f>
        <v/>
      </c>
      <c r="AQ182" s="307" t="str">
        <f>IF(OR(AC175="",AD182=""),"",COUNTIF(ResultsInd[Draw1],AC175&amp;"-"&amp;AD182)+COUNTIF(ResultsInd[Draw2],AC175&amp;"-"&amp;AD182))</f>
        <v/>
      </c>
      <c r="AR182" s="307" t="str">
        <f>IF(OR(AC175="",AD182=""),"",COUNTIF(ResultsInd[Lose],AC175&amp;"-"&amp;AD182))</f>
        <v/>
      </c>
      <c r="AS182" s="307" t="str">
        <f>IF(OR(AC175="",AD182=""),"",SUMIFS(ResultsInd[Goal-A],ResultsInd[Category],AC175,ResultsInd[Stage],"Groups",ResultsInd[Player A],AD182)+SUMIFS(ResultsInd[Goal-B],ResultsInd[Category],AC175,ResultsInd[Stage],"Groups",ResultsInd[Player B],AD182))</f>
        <v/>
      </c>
      <c r="AT182" s="307" t="str">
        <f>IF(OR(AC175="",AD182=""),"",SUMIFS(ResultsInd[Goal-B],ResultsInd[Category],AC175,ResultsInd[Stage],"Groups",ResultsInd[Player A],AD182)+SUMIFS(ResultsInd[Goal-A],ResultsInd[Category],AC175,ResultsInd[Stage],"Groups",ResultsInd[Player B],AD182))</f>
        <v/>
      </c>
      <c r="AU182" s="308" t="str">
        <f t="shared" si="152"/>
        <v/>
      </c>
      <c r="AV182" s="469" t="str">
        <f>IF(AG182="","",OR(VLOOKUP(AG182,AH176:AU182,3,FALSE),VLOOKUP(AG182,AH176:AU182,6,FALSE)))</f>
        <v/>
      </c>
      <c r="AW182" s="299" t="str">
        <f t="shared" si="150"/>
        <v/>
      </c>
      <c r="AX182" s="287" t="str">
        <f>IF(AG182="","",INDEX(AD176:AD182,MATCH(AG182,AH176:AH182,0)))</f>
        <v/>
      </c>
      <c r="AY182" s="288" t="str">
        <f>IF(AG182="","",VLOOKUP(AG182,AH176:AU182,COLUMN()-COLUMN(AR175),FALSE))</f>
        <v/>
      </c>
      <c r="AZ182" s="288" t="str">
        <f>IF(AG182="","",VLOOKUP(AG182,AH176:AU182,COLUMN()-COLUMN(AR175),FALSE))</f>
        <v/>
      </c>
      <c r="BA182" s="288" t="str">
        <f>IF(AG182="","",VLOOKUP(AG182,AH176:AU182,COLUMN()-COLUMN(AR175),FALSE))</f>
        <v/>
      </c>
      <c r="BB182" s="288" t="str">
        <f>IF(AG182="","",VLOOKUP(AG182,AH176:AU182,COLUMN()-COLUMN(AR175),FALSE))</f>
        <v/>
      </c>
      <c r="BC182" s="288" t="str">
        <f>IF(AG182="","",VLOOKUP(AG182,AH176:AU182,COLUMN()-COLUMN(AR175),FALSE))</f>
        <v/>
      </c>
      <c r="BD182" s="288" t="str">
        <f>IF(AG182="","",VLOOKUP(AG182,AH176:AU182,COLUMN()-COLUMN(AR175),FALSE))</f>
        <v/>
      </c>
      <c r="BE182" s="288" t="str">
        <f>IF(AG182="","",VLOOKUP(AG182,AH176:AU182,COLUMN()-COLUMN(AR175),FALSE))</f>
        <v/>
      </c>
      <c r="BF182" s="302" t="str">
        <f>IF(AG182="","",VLOOKUP(AG182,AH176:AU182,COLUMN()-COLUMN(AR175),FALSE))</f>
        <v/>
      </c>
    </row>
    <row r="183" spans="1:58" ht="13.5" thickBot="1" x14ac:dyDescent="0.25">
      <c r="A183" s="62" t="s">
        <v>890</v>
      </c>
      <c r="B183" s="62" t="s">
        <v>12207</v>
      </c>
      <c r="C183" s="62">
        <v>28</v>
      </c>
      <c r="D183" s="62"/>
      <c r="E183" s="345" t="s">
        <v>8713</v>
      </c>
      <c r="F183" s="345" t="s">
        <v>8083</v>
      </c>
      <c r="G183" s="113">
        <v>3</v>
      </c>
      <c r="H183" s="113">
        <v>5</v>
      </c>
      <c r="I183" s="114"/>
      <c r="J183" s="114"/>
      <c r="K183" s="114"/>
      <c r="L183" s="81"/>
      <c r="M183" s="265" t="b">
        <f>NOT(ISERROR(ResultsInd[[#This Row],[Goal-A]]+ResultsInd[[#This Row],[Goal-B]]))</f>
        <v>1</v>
      </c>
      <c r="N183" s="265">
        <f>VALUE(ResultsInd[[#This Row],[Score-A]])</f>
        <v>3</v>
      </c>
      <c r="O183" s="265">
        <f>VALUE(ResultsInd[[#This Row],[Score-B]])</f>
        <v>5</v>
      </c>
      <c r="P183" s="265">
        <f ca="1">IF(AND(ResultsInd[[#This Row],[Category]]&lt;&gt;"",ResultsInd[[#This Row],[Player A]]&lt;&gt;""),COUNTIF(INDIRECT(ResultsInd[[#This Row],[Category]]&amp;"List[Retained Player Name]"),ResultsInd[[#This Row],[Player A]]),"")</f>
        <v>1</v>
      </c>
      <c r="Q183" s="265">
        <f ca="1">IF(AND(ResultsInd[[#This Row],[Category]]&lt;&gt;"",ResultsInd[[#This Row],[Player B]]&lt;&gt;""),COUNTIF(INDIRECT(ResultsInd[[#This Row],[Category]]&amp;"List[Retained Player Name]"),ResultsInd[[#This Row],[Player B]]),"")</f>
        <v>1</v>
      </c>
      <c r="R1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OPEN-Kenny De Schuyteneer</v>
      </c>
      <c r="S183" s="265" t="str">
        <f>IF(ResultsInd[[#This Row],[Score_OK]],IF(ResultsInd[[#This Row],[Stage]]="Groups",ResultsInd[[#This Row],[Category]]&amp;"-"&amp;IF(ResultsInd[[#This Row],[Player B]]="","",IF(ResultsInd[[#This Row],[Score-A]]=ResultsInd[[#This Row],[Score-B]],ResultsInd[[#This Row],[Player A]],"")),""),"")</f>
        <v>OPEN-</v>
      </c>
      <c r="T183" s="265" t="str">
        <f>IF(ResultsInd[[#This Row],[Score_OK]],IF(ResultsInd[[#This Row],[Stage]]="Groups",ResultsInd[[#This Row],[Category]]&amp;"-"&amp;IF(ResultsInd[[#This Row],[Player B]]="","",IF(ResultsInd[[#This Row],[Score-A]]=ResultsInd[[#This Row],[Score-B]],ResultsInd[[#This Row],[Player B]],"")),""),"")</f>
        <v>OPEN-</v>
      </c>
      <c r="U1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OPEN-Ludovic Midoux</v>
      </c>
      <c r="V1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X1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Y183" s="264" t="str">
        <f>IF(ResultsInd[[#This Row],[Category]]="","",VLOOKUP(ResultsInd[[#This Row],[Stage]],$P$1:$V$9,MATCH(ResultsInd[[#This Row],[Category]],$Q$1:$V$1,0)+1,FALSE))</f>
        <v>PR1</v>
      </c>
      <c r="Z183" s="264" t="str">
        <f>IF(ResultsInd[[#This Row],[Score_OK]],IF(ResultsInd[[#This Row],[Level]]="R",ResultsInd[[#This Row],[Category]]&amp;"-"&amp;IF(ResultsInd[[#This Row],[LoseInKO]]=ResultsInd[[#This Row],[Category]]&amp;"-"&amp;ResultsInd[[#This Row],[Player A]],ResultsInd[[#This Row],[Player B]],ResultsInd[[#This Row],[Player A]]),""),"")</f>
        <v/>
      </c>
      <c r="AB183" s="8"/>
      <c r="AC183" s="8"/>
      <c r="AF183" s="170"/>
      <c r="AG183" s="101"/>
      <c r="AH183" s="101"/>
      <c r="AN183" s="170"/>
      <c r="AO183" s="170"/>
      <c r="AP183" s="170"/>
      <c r="AQ183" s="172"/>
      <c r="AR183" s="173"/>
      <c r="AS183" s="173"/>
      <c r="AT183" s="173"/>
      <c r="AU183" s="101"/>
      <c r="AV183" s="101"/>
      <c r="AW183" s="101"/>
      <c r="AX183" s="101"/>
      <c r="AY183" s="101"/>
      <c r="AZ183" s="101"/>
    </row>
    <row r="184" spans="1:58" ht="12" thickBot="1" x14ac:dyDescent="0.25">
      <c r="A184" s="62" t="s">
        <v>890</v>
      </c>
      <c r="B184" s="62" t="s">
        <v>12207</v>
      </c>
      <c r="C184" s="62">
        <v>29</v>
      </c>
      <c r="D184" s="62"/>
      <c r="E184" s="345" t="s">
        <v>8697</v>
      </c>
      <c r="F184" s="345" t="s">
        <v>8538</v>
      </c>
      <c r="G184" s="113">
        <v>6</v>
      </c>
      <c r="H184" s="113">
        <v>0</v>
      </c>
      <c r="I184" s="114"/>
      <c r="J184" s="114"/>
      <c r="K184" s="114"/>
      <c r="L184" s="81"/>
      <c r="M184" s="265" t="b">
        <f>NOT(ISERROR(ResultsInd[[#This Row],[Goal-A]]+ResultsInd[[#This Row],[Goal-B]]))</f>
        <v>1</v>
      </c>
      <c r="N184" s="265">
        <f>VALUE(ResultsInd[[#This Row],[Score-A]])</f>
        <v>6</v>
      </c>
      <c r="O184" s="265">
        <f>VALUE(ResultsInd[[#This Row],[Score-B]])</f>
        <v>0</v>
      </c>
      <c r="P184" s="265">
        <f ca="1">IF(AND(ResultsInd[[#This Row],[Category]]&lt;&gt;"",ResultsInd[[#This Row],[Player A]]&lt;&gt;""),COUNTIF(INDIRECT(ResultsInd[[#This Row],[Category]]&amp;"List[Retained Player Name]"),ResultsInd[[#This Row],[Player A]]),"")</f>
        <v>1</v>
      </c>
      <c r="Q184" s="265">
        <f ca="1">IF(AND(ResultsInd[[#This Row],[Category]]&lt;&gt;"",ResultsInd[[#This Row],[Player B]]&lt;&gt;""),COUNTIF(INDIRECT(ResultsInd[[#This Row],[Category]]&amp;"List[Retained Player Name]"),ResultsInd[[#This Row],[Player B]]),"")</f>
        <v>1</v>
      </c>
      <c r="R1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OPEN-Axel Donval</v>
      </c>
      <c r="S184" s="265" t="str">
        <f>IF(ResultsInd[[#This Row],[Score_OK]],IF(ResultsInd[[#This Row],[Stage]]="Groups",ResultsInd[[#This Row],[Category]]&amp;"-"&amp;IF(ResultsInd[[#This Row],[Player B]]="","",IF(ResultsInd[[#This Row],[Score-A]]=ResultsInd[[#This Row],[Score-B]],ResultsInd[[#This Row],[Player A]],"")),""),"")</f>
        <v>OPEN-</v>
      </c>
      <c r="T184" s="265" t="str">
        <f>IF(ResultsInd[[#This Row],[Score_OK]],IF(ResultsInd[[#This Row],[Stage]]="Groups",ResultsInd[[#This Row],[Category]]&amp;"-"&amp;IF(ResultsInd[[#This Row],[Player B]]="","",IF(ResultsInd[[#This Row],[Score-A]]=ResultsInd[[#This Row],[Score-B]],ResultsInd[[#This Row],[Player B]],"")),""),"")</f>
        <v>OPEN-</v>
      </c>
      <c r="U1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OPEN-Brandon Lavender</v>
      </c>
      <c r="V1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OPEN-Brandon Lavender</v>
      </c>
      <c r="X1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OPEN-Brandon Lavender</v>
      </c>
      <c r="Y184" s="264" t="str">
        <f>IF(ResultsInd[[#This Row],[Category]]="","",VLOOKUP(ResultsInd[[#This Row],[Stage]],$P$1:$V$9,MATCH(ResultsInd[[#This Row],[Category]],$Q$1:$V$1,0)+1,FALSE))</f>
        <v>PR1</v>
      </c>
      <c r="Z184" s="264" t="str">
        <f>IF(ResultsInd[[#This Row],[Score_OK]],IF(ResultsInd[[#This Row],[Level]]="R",ResultsInd[[#This Row],[Category]]&amp;"-"&amp;IF(ResultsInd[[#This Row],[LoseInKO]]=ResultsInd[[#This Row],[Category]]&amp;"-"&amp;ResultsInd[[#This Row],[Player A]],ResultsInd[[#This Row],[Player B]],ResultsInd[[#This Row],[Player A]]),""),"")</f>
        <v/>
      </c>
      <c r="AB184" s="281">
        <v>19</v>
      </c>
      <c r="AC184" s="315" t="s">
        <v>890</v>
      </c>
      <c r="AD184" s="289" t="s">
        <v>14439</v>
      </c>
      <c r="AE184" s="290" t="s">
        <v>12279</v>
      </c>
      <c r="AF184" s="284" t="s">
        <v>12275</v>
      </c>
      <c r="AG184" s="296" t="s">
        <v>12276</v>
      </c>
      <c r="AH184" s="291" t="s">
        <v>12271</v>
      </c>
      <c r="AI184" s="291" t="s">
        <v>12272</v>
      </c>
      <c r="AJ184" s="414" t="s">
        <v>13154</v>
      </c>
      <c r="AK184" s="291" t="s">
        <v>12273</v>
      </c>
      <c r="AL184" s="297" t="s">
        <v>12274</v>
      </c>
      <c r="AM184" s="414" t="s">
        <v>13154</v>
      </c>
      <c r="AN184" s="303" t="s">
        <v>12199</v>
      </c>
      <c r="AO184" s="304" t="s">
        <v>12200</v>
      </c>
      <c r="AP184" s="304" t="s">
        <v>12201</v>
      </c>
      <c r="AQ184" s="304" t="s">
        <v>12202</v>
      </c>
      <c r="AR184" s="304" t="s">
        <v>12203</v>
      </c>
      <c r="AS184" s="304" t="s">
        <v>12204</v>
      </c>
      <c r="AT184" s="304" t="s">
        <v>12205</v>
      </c>
      <c r="AU184" s="305" t="s">
        <v>12206</v>
      </c>
      <c r="AV184" s="468"/>
      <c r="AW184" s="282" t="s">
        <v>12276</v>
      </c>
      <c r="AX184" s="282" t="s">
        <v>12280</v>
      </c>
      <c r="AY184" s="283" t="s">
        <v>12199</v>
      </c>
      <c r="AZ184" s="283" t="s">
        <v>12200</v>
      </c>
      <c r="BA184" s="283" t="s">
        <v>12201</v>
      </c>
      <c r="BB184" s="283" t="s">
        <v>12202</v>
      </c>
      <c r="BC184" s="283" t="s">
        <v>12203</v>
      </c>
      <c r="BD184" s="283" t="s">
        <v>12204</v>
      </c>
      <c r="BE184" s="283" t="s">
        <v>12205</v>
      </c>
      <c r="BF184" s="300" t="s">
        <v>12206</v>
      </c>
    </row>
    <row r="185" spans="1:58" ht="12" thickBot="1" x14ac:dyDescent="0.25">
      <c r="A185" s="62" t="s">
        <v>890</v>
      </c>
      <c r="B185" s="62" t="s">
        <v>12207</v>
      </c>
      <c r="C185" s="62">
        <v>29</v>
      </c>
      <c r="D185" s="62"/>
      <c r="E185" s="345" t="s">
        <v>8100</v>
      </c>
      <c r="F185" s="345" t="s">
        <v>8076</v>
      </c>
      <c r="G185" s="113">
        <v>1</v>
      </c>
      <c r="H185" s="113">
        <v>3</v>
      </c>
      <c r="I185" s="114"/>
      <c r="J185" s="114"/>
      <c r="K185" s="114"/>
      <c r="L185" s="81"/>
      <c r="M185" s="265" t="b">
        <f>NOT(ISERROR(ResultsInd[[#This Row],[Goal-A]]+ResultsInd[[#This Row],[Goal-B]]))</f>
        <v>1</v>
      </c>
      <c r="N185" s="265">
        <f>VALUE(ResultsInd[[#This Row],[Score-A]])</f>
        <v>1</v>
      </c>
      <c r="O185" s="265">
        <f>VALUE(ResultsInd[[#This Row],[Score-B]])</f>
        <v>3</v>
      </c>
      <c r="P185" s="265">
        <f ca="1">IF(AND(ResultsInd[[#This Row],[Category]]&lt;&gt;"",ResultsInd[[#This Row],[Player A]]&lt;&gt;""),COUNTIF(INDIRECT(ResultsInd[[#This Row],[Category]]&amp;"List[Retained Player Name]"),ResultsInd[[#This Row],[Player A]]),"")</f>
        <v>1</v>
      </c>
      <c r="Q185" s="265">
        <f ca="1">IF(AND(ResultsInd[[#This Row],[Category]]&lt;&gt;"",ResultsInd[[#This Row],[Player B]]&lt;&gt;""),COUNTIF(INDIRECT(ResultsInd[[#This Row],[Category]]&amp;"List[Retained Player Name]"),ResultsInd[[#This Row],[Player B]]),"")</f>
        <v>1</v>
      </c>
      <c r="R1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OPEN-Denis Bouchez</v>
      </c>
      <c r="S185" s="265" t="str">
        <f>IF(ResultsInd[[#This Row],[Score_OK]],IF(ResultsInd[[#This Row],[Stage]]="Groups",ResultsInd[[#This Row],[Category]]&amp;"-"&amp;IF(ResultsInd[[#This Row],[Player B]]="","",IF(ResultsInd[[#This Row],[Score-A]]=ResultsInd[[#This Row],[Score-B]],ResultsInd[[#This Row],[Player A]],"")),""),"")</f>
        <v>OPEN-</v>
      </c>
      <c r="T185" s="265" t="str">
        <f>IF(ResultsInd[[#This Row],[Score_OK]],IF(ResultsInd[[#This Row],[Stage]]="Groups",ResultsInd[[#This Row],[Category]]&amp;"-"&amp;IF(ResultsInd[[#This Row],[Player B]]="","",IF(ResultsInd[[#This Row],[Score-A]]=ResultsInd[[#This Row],[Score-B]],ResultsInd[[#This Row],[Player B]],"")),""),"")</f>
        <v>OPEN-</v>
      </c>
      <c r="U1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OPEN-Ralf Gregoire</v>
      </c>
      <c r="V1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X1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Y185" s="264" t="str">
        <f>IF(ResultsInd[[#This Row],[Category]]="","",VLOOKUP(ResultsInd[[#This Row],[Stage]],$P$1:$V$9,MATCH(ResultsInd[[#This Row],[Category]],$Q$1:$V$1,0)+1,FALSE))</f>
        <v>PR1</v>
      </c>
      <c r="Z185" s="264" t="str">
        <f>IF(ResultsInd[[#This Row],[Score_OK]],IF(ResultsInd[[#This Row],[Level]]="R",ResultsInd[[#This Row],[Category]]&amp;"-"&amp;IF(ResultsInd[[#This Row],[LoseInKO]]=ResultsInd[[#This Row],[Category]]&amp;"-"&amp;ResultsInd[[#This Row],[Player A]],ResultsInd[[#This Row],[Player B]],ResultsInd[[#This Row],[Player A]]),""),"")</f>
        <v/>
      </c>
      <c r="AB185" s="8"/>
      <c r="AC185" s="12" t="str">
        <f>IF(AC184="","",AC184)</f>
        <v>OPEN</v>
      </c>
      <c r="AD185" s="309" t="s">
        <v>9827</v>
      </c>
      <c r="AE185" s="320"/>
      <c r="AF185" s="311"/>
      <c r="AG185" s="292">
        <f>IF(AP185="","",SMALL(AH185:AH191,ROWS(AG185:AG185)))</f>
        <v>1001</v>
      </c>
      <c r="AH185" s="293">
        <f>IF(AP185="","",RANK(AL185,AL185:AL191)*1000+ROWS(AH185:AH185))</f>
        <v>1001</v>
      </c>
      <c r="AI185" s="316">
        <f t="shared" ref="AI185:AI191" si="153">IF(AP185="","",CritClassInd1_Points*AN185+CritClassInd1_Matches*AP185+CritClassInd1_Attaque*AS185+CritClassInd1_DiffButs*AU185)</f>
        <v>9000000000000</v>
      </c>
      <c r="AJ185" s="415" t="b">
        <f>AND(AO185&lt;&gt;"",AO185&gt;0,COUNTIF(AI185:AI191,AI185)&gt;1)</f>
        <v>0</v>
      </c>
      <c r="AK185" s="316">
        <f t="shared" ref="AK185:AK191" si="154">IF(AP185="","",CritClassInd_ScorePart*AE185)</f>
        <v>0</v>
      </c>
      <c r="AL185" s="317">
        <f t="shared" ref="AL185:AL191" si="155">IF(AP185="","",AI185+AK185+CritClassInd2_Points*AN185+CritClassInd2_Matches*AP185+CritClassInd2_Attaque*AS185+CritClassInd2_DiffButs*AU185+AF185)</f>
        <v>9000000151700</v>
      </c>
      <c r="AM185" s="415" t="b">
        <f>AND(AO185&lt;&gt;"",AO185&gt;0,COUNTIF(AL185:AL191,AL185)&gt;1)</f>
        <v>0</v>
      </c>
      <c r="AN185" s="306">
        <f t="shared" ref="AN185:AN191" si="156">IF(AP185="","",(AP185*Points_Victoire)+AQ185*Points_Null)</f>
        <v>9</v>
      </c>
      <c r="AO185" s="307">
        <f t="shared" ref="AO185:AO191" si="157">IF(AP185="","",SUM(AP185:AR185))</f>
        <v>3</v>
      </c>
      <c r="AP185" s="307">
        <f>IF(OR(AC184="",AD185=""),"",COUNTIF(ResultsInd[Win],AC184&amp;"-"&amp;AD185))</f>
        <v>3</v>
      </c>
      <c r="AQ185" s="307">
        <f>IF(OR(AC184="",AD185=""),"",COUNTIF(ResultsInd[Draw1],AC184&amp;"-"&amp;AD185)+COUNTIF(ResultsInd[Draw2],AC184&amp;"-"&amp;AD185))</f>
        <v>0</v>
      </c>
      <c r="AR185" s="307">
        <f>IF(OR(AC184="",AD185=""),"",COUNTIF(ResultsInd[Lose],AC184&amp;"-"&amp;AD185))</f>
        <v>0</v>
      </c>
      <c r="AS185" s="307">
        <f>IF(OR(AC184="",AD185=""),"",SUMIFS(ResultsInd[Goal-A],ResultsInd[Category],AC184,ResultsInd[Stage],"Groups",ResultsInd[Player A],AD185)+SUMIFS(ResultsInd[Goal-B],ResultsInd[Category],AC184,ResultsInd[Stage],"Groups",ResultsInd[Player B],AD185))</f>
        <v>17</v>
      </c>
      <c r="AT185" s="307">
        <f>IF(OR(AC184="",AD185=""),"",SUMIFS(ResultsInd[Goal-B],ResultsInd[Category],AC184,ResultsInd[Stage],"Groups",ResultsInd[Player A],AD185)+SUMIFS(ResultsInd[Goal-A],ResultsInd[Category],AC184,ResultsInd[Stage],"Groups",ResultsInd[Player B],AD185))</f>
        <v>2</v>
      </c>
      <c r="AU185" s="308">
        <f>IF(AP185="","",AS185-AT185)</f>
        <v>15</v>
      </c>
      <c r="AV185" s="469" t="b">
        <f>IF(AG185="","",OR(VLOOKUP(AG185,AH185:AU191,3,FALSE),VLOOKUP(AG185,AH185:AU191,6,FALSE)))</f>
        <v>0</v>
      </c>
      <c r="AW185" s="298">
        <f t="shared" ref="AW185:AW191" si="158">IF(AG185="","",INT(AG185/1000))</f>
        <v>1</v>
      </c>
      <c r="AX185" s="285" t="str">
        <f>IF(AG185="","",INDEX(AD185:AD191,MATCH(AG185,AH185:AH191,0)))</f>
        <v>Antonio Mettivieri</v>
      </c>
      <c r="AY185" s="286">
        <f>IF(AG185="","",VLOOKUP(AG185,AH185:AU191,COLUMN()-COLUMN(AR184),FALSE))</f>
        <v>9</v>
      </c>
      <c r="AZ185" s="286">
        <f>IF(AG185="","",VLOOKUP(AG185,AH185:AU191,COLUMN()-COLUMN(AR184),FALSE))</f>
        <v>3</v>
      </c>
      <c r="BA185" s="286">
        <f>IF(AG185="","",VLOOKUP(AG185,AH185:AU191,COLUMN()-COLUMN(AR184),FALSE))</f>
        <v>3</v>
      </c>
      <c r="BB185" s="286">
        <f>IF(AG185="","",VLOOKUP(AG185,AH185:AU191,COLUMN()-COLUMN(AR184),FALSE))</f>
        <v>0</v>
      </c>
      <c r="BC185" s="286">
        <f>IF(AG185="","",VLOOKUP(AG185,AH185:AU191,COLUMN()-COLUMN(AR184),FALSE))</f>
        <v>0</v>
      </c>
      <c r="BD185" s="286">
        <f>IF(AG185="","",VLOOKUP(AG185,AH185:AU191,COLUMN()-COLUMN(AR184),FALSE))</f>
        <v>17</v>
      </c>
      <c r="BE185" s="286">
        <f>IF(AG185="","",VLOOKUP(AG185,AH185:AU191,COLUMN()-COLUMN(AR184),FALSE))</f>
        <v>2</v>
      </c>
      <c r="BF185" s="301">
        <f>IF(AG185="","",VLOOKUP(AG185,AH185:AU191,COLUMN()-COLUMN(AR184),FALSE))</f>
        <v>15</v>
      </c>
    </row>
    <row r="186" spans="1:58" ht="12" thickBot="1" x14ac:dyDescent="0.25">
      <c r="A186" s="62" t="s">
        <v>890</v>
      </c>
      <c r="B186" s="62" t="s">
        <v>12207</v>
      </c>
      <c r="C186" s="62">
        <v>29</v>
      </c>
      <c r="D186" s="62"/>
      <c r="E186" s="345" t="s">
        <v>8697</v>
      </c>
      <c r="F186" s="345" t="s">
        <v>8100</v>
      </c>
      <c r="G186" s="113">
        <v>1</v>
      </c>
      <c r="H186" s="113">
        <v>1</v>
      </c>
      <c r="I186" s="114"/>
      <c r="J186" s="114"/>
      <c r="K186" s="114"/>
      <c r="L186" s="81"/>
      <c r="M186" s="265" t="b">
        <f>NOT(ISERROR(ResultsInd[[#This Row],[Goal-A]]+ResultsInd[[#This Row],[Goal-B]]))</f>
        <v>1</v>
      </c>
      <c r="N186" s="265">
        <f>VALUE(ResultsInd[[#This Row],[Score-A]])</f>
        <v>1</v>
      </c>
      <c r="O186" s="265">
        <f>VALUE(ResultsInd[[#This Row],[Score-B]])</f>
        <v>1</v>
      </c>
      <c r="P186" s="265">
        <f ca="1">IF(AND(ResultsInd[[#This Row],[Category]]&lt;&gt;"",ResultsInd[[#This Row],[Player A]]&lt;&gt;""),COUNTIF(INDIRECT(ResultsInd[[#This Row],[Category]]&amp;"List[Retained Player Name]"),ResultsInd[[#This Row],[Player A]]),"")</f>
        <v>1</v>
      </c>
      <c r="Q186" s="265">
        <f ca="1">IF(AND(ResultsInd[[#This Row],[Category]]&lt;&gt;"",ResultsInd[[#This Row],[Player B]]&lt;&gt;""),COUNTIF(INDIRECT(ResultsInd[[#This Row],[Category]]&amp;"List[Retained Player Name]"),ResultsInd[[#This Row],[Player B]]),"")</f>
        <v>1</v>
      </c>
      <c r="R1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86" s="265" t="str">
        <f>IF(ResultsInd[[#This Row],[Score_OK]],IF(ResultsInd[[#This Row],[Stage]]="Groups",ResultsInd[[#This Row],[Category]]&amp;"-"&amp;IF(ResultsInd[[#This Row],[Player B]]="","",IF(ResultsInd[[#This Row],[Score-A]]=ResultsInd[[#This Row],[Score-B]],ResultsInd[[#This Row],[Player A]],"")),""),"")</f>
        <v>OPEN-Axel Donval</v>
      </c>
      <c r="T186" s="265" t="str">
        <f>IF(ResultsInd[[#This Row],[Score_OK]],IF(ResultsInd[[#This Row],[Stage]]="Groups",ResultsInd[[#This Row],[Category]]&amp;"-"&amp;IF(ResultsInd[[#This Row],[Player B]]="","",IF(ResultsInd[[#This Row],[Score-A]]=ResultsInd[[#This Row],[Score-B]],ResultsInd[[#This Row],[Player B]],"")),""),"")</f>
        <v>OPEN-Ralf Gregoire</v>
      </c>
      <c r="U1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OPEN-Axel Donval</v>
      </c>
      <c r="X1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Y186" s="264" t="str">
        <f>IF(ResultsInd[[#This Row],[Category]]="","",VLOOKUP(ResultsInd[[#This Row],[Stage]],$P$1:$V$9,MATCH(ResultsInd[[#This Row],[Category]],$Q$1:$V$1,0)+1,FALSE))</f>
        <v>PR1</v>
      </c>
      <c r="Z186" s="264" t="str">
        <f>IF(ResultsInd[[#This Row],[Score_OK]],IF(ResultsInd[[#This Row],[Level]]="R",ResultsInd[[#This Row],[Category]]&amp;"-"&amp;IF(ResultsInd[[#This Row],[LoseInKO]]=ResultsInd[[#This Row],[Category]]&amp;"-"&amp;ResultsInd[[#This Row],[Player A]],ResultsInd[[#This Row],[Player B]],ResultsInd[[#This Row],[Player A]]),""),"")</f>
        <v/>
      </c>
      <c r="AB186" s="8"/>
      <c r="AC186" s="12" t="str">
        <f t="shared" ref="AC186:AC191" si="159">IF(AC185="","",AC185)</f>
        <v>OPEN</v>
      </c>
      <c r="AD186" s="309" t="s">
        <v>8065</v>
      </c>
      <c r="AE186" s="320"/>
      <c r="AF186" s="311"/>
      <c r="AG186" s="292">
        <f>IF(AP186="","",SMALL(AH185:AH191,ROWS(AG185:AG186)))</f>
        <v>2003</v>
      </c>
      <c r="AH186" s="293">
        <f>IF(AP186="","",RANK(AL186,AL185:AL191)*1000+ROWS(AH185:AH186))</f>
        <v>4002</v>
      </c>
      <c r="AI186" s="316">
        <f t="shared" si="153"/>
        <v>1000000000000</v>
      </c>
      <c r="AJ186" s="415" t="b">
        <f>AND(AO186&lt;&gt;"",AO186&gt;0,COUNTIF(AI185:AI191,AI186)&gt;1)</f>
        <v>0</v>
      </c>
      <c r="AK186" s="316">
        <f t="shared" si="154"/>
        <v>0</v>
      </c>
      <c r="AL186" s="317">
        <f t="shared" si="155"/>
        <v>999999950300</v>
      </c>
      <c r="AM186" s="415" t="b">
        <f>AND(AO186&lt;&gt;"",AO186&gt;0,COUNTIF(AL185:AL191,AL186)&gt;1)</f>
        <v>0</v>
      </c>
      <c r="AN186" s="306">
        <f t="shared" si="156"/>
        <v>1</v>
      </c>
      <c r="AO186" s="307">
        <f t="shared" si="157"/>
        <v>3</v>
      </c>
      <c r="AP186" s="307">
        <f>IF(OR(AC184="",AD186=""),"",COUNTIF(ResultsInd[Win],AC184&amp;"-"&amp;AD186))</f>
        <v>0</v>
      </c>
      <c r="AQ186" s="307">
        <f>IF(OR(AC184="",AD186=""),"",COUNTIF(ResultsInd[Draw1],AC184&amp;"-"&amp;AD186)+COUNTIF(ResultsInd[Draw2],AC184&amp;"-"&amp;AD186))</f>
        <v>1</v>
      </c>
      <c r="AR186" s="307">
        <f>IF(OR(AC184="",AD186=""),"",COUNTIF(ResultsInd[Lose],AC184&amp;"-"&amp;AD186))</f>
        <v>2</v>
      </c>
      <c r="AS186" s="307">
        <f>IF(OR(AC184="",AD186=""),"",SUMIFS(ResultsInd[Goal-A],ResultsInd[Category],AC184,ResultsInd[Stage],"Groups",ResultsInd[Player A],AD186)+SUMIFS(ResultsInd[Goal-B],ResultsInd[Category],AC184,ResultsInd[Stage],"Groups",ResultsInd[Player B],AD186))</f>
        <v>3</v>
      </c>
      <c r="AT186" s="307">
        <f>IF(OR(AC184="",AD186=""),"",SUMIFS(ResultsInd[Goal-B],ResultsInd[Category],AC184,ResultsInd[Stage],"Groups",ResultsInd[Player A],AD186)+SUMIFS(ResultsInd[Goal-A],ResultsInd[Category],AC184,ResultsInd[Stage],"Groups",ResultsInd[Player B],AD186))</f>
        <v>8</v>
      </c>
      <c r="AU186" s="308">
        <f t="shared" ref="AU186:AU191" si="160">IF(AP186="","",AS186-AT186)</f>
        <v>-5</v>
      </c>
      <c r="AV186" s="469" t="b">
        <f>IF(AG186="","",OR(VLOOKUP(AG186,AH185:AU191,3,FALSE),VLOOKUP(AG186,AH185:AU191,6,FALSE)))</f>
        <v>0</v>
      </c>
      <c r="AW186" s="298">
        <f t="shared" si="158"/>
        <v>2</v>
      </c>
      <c r="AX186" s="285" t="str">
        <f>IF(AG186="","",INDEX(AD185:AD191,MATCH(AG186,AH185:AH191,0)))</f>
        <v>Lucas Pere</v>
      </c>
      <c r="AY186" s="286">
        <f>IF(AG186="","",VLOOKUP(AG186,AH185:AU191,COLUMN()-COLUMN(AR184),FALSE))</f>
        <v>4</v>
      </c>
      <c r="AZ186" s="286">
        <f>IF(AG186="","",VLOOKUP(AG186,AH185:AU191,COLUMN()-COLUMN(AR184),FALSE))</f>
        <v>3</v>
      </c>
      <c r="BA186" s="286">
        <f>IF(AG186="","",VLOOKUP(AG186,AH185:AU191,COLUMN()-COLUMN(AR184),FALSE))</f>
        <v>1</v>
      </c>
      <c r="BB186" s="286">
        <f>IF(AG186="","",VLOOKUP(AG186,AH185:AU191,COLUMN()-COLUMN(AR184),FALSE))</f>
        <v>1</v>
      </c>
      <c r="BC186" s="286">
        <f>IF(AG186="","",VLOOKUP(AG186,AH185:AU191,COLUMN()-COLUMN(AR184),FALSE))</f>
        <v>1</v>
      </c>
      <c r="BD186" s="286">
        <f>IF(AG186="","",VLOOKUP(AG186,AH185:AU191,COLUMN()-COLUMN(AR184),FALSE))</f>
        <v>6</v>
      </c>
      <c r="BE186" s="286">
        <f>IF(AG186="","",VLOOKUP(AG186,AH185:AU191,COLUMN()-COLUMN(AR184),FALSE))</f>
        <v>10</v>
      </c>
      <c r="BF186" s="301">
        <f>IF(AG186="","",VLOOKUP(AG186,AH185:AU191,COLUMN()-COLUMN(AR184),FALSE))</f>
        <v>-4</v>
      </c>
    </row>
    <row r="187" spans="1:58" ht="12" thickBot="1" x14ac:dyDescent="0.25">
      <c r="A187" s="62" t="s">
        <v>890</v>
      </c>
      <c r="B187" s="62" t="s">
        <v>12207</v>
      </c>
      <c r="C187" s="62">
        <v>29</v>
      </c>
      <c r="D187" s="62"/>
      <c r="E187" s="345" t="s">
        <v>8538</v>
      </c>
      <c r="F187" s="345" t="s">
        <v>8076</v>
      </c>
      <c r="G187" s="113">
        <v>0</v>
      </c>
      <c r="H187" s="113">
        <v>3</v>
      </c>
      <c r="I187" s="114"/>
      <c r="J187" s="114"/>
      <c r="K187" s="114"/>
      <c r="L187" s="81"/>
      <c r="M187" s="265" t="b">
        <f>NOT(ISERROR(ResultsInd[[#This Row],[Goal-A]]+ResultsInd[[#This Row],[Goal-B]]))</f>
        <v>1</v>
      </c>
      <c r="N187" s="265">
        <f>VALUE(ResultsInd[[#This Row],[Score-A]])</f>
        <v>0</v>
      </c>
      <c r="O187" s="265">
        <f>VALUE(ResultsInd[[#This Row],[Score-B]])</f>
        <v>3</v>
      </c>
      <c r="P187" s="265">
        <f ca="1">IF(AND(ResultsInd[[#This Row],[Category]]&lt;&gt;"",ResultsInd[[#This Row],[Player A]]&lt;&gt;""),COUNTIF(INDIRECT(ResultsInd[[#This Row],[Category]]&amp;"List[Retained Player Name]"),ResultsInd[[#This Row],[Player A]]),"")</f>
        <v>1</v>
      </c>
      <c r="Q187" s="265">
        <f ca="1">IF(AND(ResultsInd[[#This Row],[Category]]&lt;&gt;"",ResultsInd[[#This Row],[Player B]]&lt;&gt;""),COUNTIF(INDIRECT(ResultsInd[[#This Row],[Category]]&amp;"List[Retained Player Name]"),ResultsInd[[#This Row],[Player B]]),"")</f>
        <v>1</v>
      </c>
      <c r="R1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OPEN-Denis Bouchez</v>
      </c>
      <c r="S187" s="265" t="str">
        <f>IF(ResultsInd[[#This Row],[Score_OK]],IF(ResultsInd[[#This Row],[Stage]]="Groups",ResultsInd[[#This Row],[Category]]&amp;"-"&amp;IF(ResultsInd[[#This Row],[Player B]]="","",IF(ResultsInd[[#This Row],[Score-A]]=ResultsInd[[#This Row],[Score-B]],ResultsInd[[#This Row],[Player A]],"")),""),"")</f>
        <v>OPEN-</v>
      </c>
      <c r="T187" s="265" t="str">
        <f>IF(ResultsInd[[#This Row],[Score_OK]],IF(ResultsInd[[#This Row],[Stage]]="Groups",ResultsInd[[#This Row],[Category]]&amp;"-"&amp;IF(ResultsInd[[#This Row],[Player B]]="","",IF(ResultsInd[[#This Row],[Score-A]]=ResultsInd[[#This Row],[Score-B]],ResultsInd[[#This Row],[Player B]],"")),""),"")</f>
        <v>OPEN-</v>
      </c>
      <c r="U1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OPEN-Brandon Lavender</v>
      </c>
      <c r="V1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OPEN-Brandon Lavender</v>
      </c>
      <c r="X1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OPEN-Brandon Lavender</v>
      </c>
      <c r="Y187" s="264" t="str">
        <f>IF(ResultsInd[[#This Row],[Category]]="","",VLOOKUP(ResultsInd[[#This Row],[Stage]],$P$1:$V$9,MATCH(ResultsInd[[#This Row],[Category]],$Q$1:$V$1,0)+1,FALSE))</f>
        <v>PR1</v>
      </c>
      <c r="Z187" s="264" t="str">
        <f>IF(ResultsInd[[#This Row],[Score_OK]],IF(ResultsInd[[#This Row],[Level]]="R",ResultsInd[[#This Row],[Category]]&amp;"-"&amp;IF(ResultsInd[[#This Row],[LoseInKO]]=ResultsInd[[#This Row],[Category]]&amp;"-"&amp;ResultsInd[[#This Row],[Player A]],ResultsInd[[#This Row],[Player B]],ResultsInd[[#This Row],[Player A]]),""),"")</f>
        <v/>
      </c>
      <c r="AB187" s="8"/>
      <c r="AC187" s="12" t="str">
        <f t="shared" si="159"/>
        <v>OPEN</v>
      </c>
      <c r="AD187" s="309" t="s">
        <v>8120</v>
      </c>
      <c r="AE187" s="320"/>
      <c r="AF187" s="311"/>
      <c r="AG187" s="292">
        <f>IF(AP187="","",SMALL(AH185:AH191,ROWS(AG185:AG187)))</f>
        <v>3004</v>
      </c>
      <c r="AH187" s="293">
        <f>IF(AP187="","",RANK(AL187,AL185:AL191)*1000+ROWS(AH185:AH187))</f>
        <v>2003</v>
      </c>
      <c r="AI187" s="316">
        <f t="shared" si="153"/>
        <v>4000000000000</v>
      </c>
      <c r="AJ187" s="415" t="b">
        <f>AND(AO187&lt;&gt;"",AO187&gt;0,COUNTIF(AI185:AI191,AI187)&gt;1)</f>
        <v>0</v>
      </c>
      <c r="AK187" s="316">
        <f t="shared" si="154"/>
        <v>0</v>
      </c>
      <c r="AL187" s="317">
        <f t="shared" si="155"/>
        <v>3999999960600</v>
      </c>
      <c r="AM187" s="415" t="b">
        <f>AND(AO187&lt;&gt;"",AO187&gt;0,COUNTIF(AL185:AL191,AL187)&gt;1)</f>
        <v>0</v>
      </c>
      <c r="AN187" s="306">
        <f t="shared" si="156"/>
        <v>4</v>
      </c>
      <c r="AO187" s="307">
        <f t="shared" si="157"/>
        <v>3</v>
      </c>
      <c r="AP187" s="307">
        <f>IF(OR(AC184="",AD187=""),"",COUNTIF(ResultsInd[Win],AC184&amp;"-"&amp;AD187))</f>
        <v>1</v>
      </c>
      <c r="AQ187" s="307">
        <f>IF(OR(AC184="",AD187=""),"",COUNTIF(ResultsInd[Draw1],AC184&amp;"-"&amp;AD187)+COUNTIF(ResultsInd[Draw2],AC184&amp;"-"&amp;AD187))</f>
        <v>1</v>
      </c>
      <c r="AR187" s="307">
        <f>IF(OR(AC184="",AD187=""),"",COUNTIF(ResultsInd[Lose],AC184&amp;"-"&amp;AD187))</f>
        <v>1</v>
      </c>
      <c r="AS187" s="307">
        <f>IF(OR(AC184="",AD187=""),"",SUMIFS(ResultsInd[Goal-A],ResultsInd[Category],AC184,ResultsInd[Stage],"Groups",ResultsInd[Player A],AD187)+SUMIFS(ResultsInd[Goal-B],ResultsInd[Category],AC184,ResultsInd[Stage],"Groups",ResultsInd[Player B],AD187))</f>
        <v>6</v>
      </c>
      <c r="AT187" s="307">
        <f>IF(OR(AC184="",AD187=""),"",SUMIFS(ResultsInd[Goal-B],ResultsInd[Category],AC184,ResultsInd[Stage],"Groups",ResultsInd[Player A],AD187)+SUMIFS(ResultsInd[Goal-A],ResultsInd[Category],AC184,ResultsInd[Stage],"Groups",ResultsInd[Player B],AD187))</f>
        <v>10</v>
      </c>
      <c r="AU187" s="308">
        <f t="shared" si="160"/>
        <v>-4</v>
      </c>
      <c r="AV187" s="469" t="b">
        <f>IF(AG187="","",OR(VLOOKUP(AG187,AH185:AU191,3,FALSE),VLOOKUP(AG187,AH185:AU191,6,FALSE)))</f>
        <v>0</v>
      </c>
      <c r="AW187" s="298">
        <f t="shared" si="158"/>
        <v>3</v>
      </c>
      <c r="AX187" s="285" t="str">
        <f>IF(AG187="","",INDEX(AD185:AD191,MATCH(AG187,AH185:AH191,0)))</f>
        <v>Quentin Van Glabeke</v>
      </c>
      <c r="AY187" s="286">
        <f>IF(AG187="","",VLOOKUP(AG187,AH185:AU191,COLUMN()-COLUMN(AR184),FALSE))</f>
        <v>3</v>
      </c>
      <c r="AZ187" s="286">
        <f>IF(AG187="","",VLOOKUP(AG187,AH185:AU191,COLUMN()-COLUMN(AR184),FALSE))</f>
        <v>3</v>
      </c>
      <c r="BA187" s="286">
        <f>IF(AG187="","",VLOOKUP(AG187,AH185:AU191,COLUMN()-COLUMN(AR184),FALSE))</f>
        <v>1</v>
      </c>
      <c r="BB187" s="286">
        <f>IF(AG187="","",VLOOKUP(AG187,AH185:AU191,COLUMN()-COLUMN(AR184),FALSE))</f>
        <v>0</v>
      </c>
      <c r="BC187" s="286">
        <f>IF(AG187="","",VLOOKUP(AG187,AH185:AU191,COLUMN()-COLUMN(AR184),FALSE))</f>
        <v>2</v>
      </c>
      <c r="BD187" s="286">
        <f>IF(AG187="","",VLOOKUP(AG187,AH185:AU191,COLUMN()-COLUMN(AR184),FALSE))</f>
        <v>4</v>
      </c>
      <c r="BE187" s="286">
        <f>IF(AG187="","",VLOOKUP(AG187,AH185:AU191,COLUMN()-COLUMN(AR184),FALSE))</f>
        <v>10</v>
      </c>
      <c r="BF187" s="301">
        <f>IF(AG187="","",VLOOKUP(AG187,AH185:AU191,COLUMN()-COLUMN(AR184),FALSE))</f>
        <v>-6</v>
      </c>
    </row>
    <row r="188" spans="1:58" ht="12" thickBot="1" x14ac:dyDescent="0.25">
      <c r="A188" s="62" t="s">
        <v>890</v>
      </c>
      <c r="B188" s="62" t="s">
        <v>12207</v>
      </c>
      <c r="C188" s="62">
        <v>29</v>
      </c>
      <c r="D188" s="62"/>
      <c r="E188" s="345" t="s">
        <v>8076</v>
      </c>
      <c r="F188" s="345" t="s">
        <v>8697</v>
      </c>
      <c r="G188" s="113">
        <v>0</v>
      </c>
      <c r="H188" s="113">
        <v>4</v>
      </c>
      <c r="I188" s="114"/>
      <c r="J188" s="114"/>
      <c r="K188" s="114"/>
      <c r="L188" s="81"/>
      <c r="M188" s="265" t="b">
        <f>NOT(ISERROR(ResultsInd[[#This Row],[Goal-A]]+ResultsInd[[#This Row],[Goal-B]]))</f>
        <v>1</v>
      </c>
      <c r="N188" s="265">
        <f>VALUE(ResultsInd[[#This Row],[Score-A]])</f>
        <v>0</v>
      </c>
      <c r="O188" s="265">
        <f>VALUE(ResultsInd[[#This Row],[Score-B]])</f>
        <v>4</v>
      </c>
      <c r="P188" s="265">
        <f ca="1">IF(AND(ResultsInd[[#This Row],[Category]]&lt;&gt;"",ResultsInd[[#This Row],[Player A]]&lt;&gt;""),COUNTIF(INDIRECT(ResultsInd[[#This Row],[Category]]&amp;"List[Retained Player Name]"),ResultsInd[[#This Row],[Player A]]),"")</f>
        <v>1</v>
      </c>
      <c r="Q188" s="265">
        <f ca="1">IF(AND(ResultsInd[[#This Row],[Category]]&lt;&gt;"",ResultsInd[[#This Row],[Player B]]&lt;&gt;""),COUNTIF(INDIRECT(ResultsInd[[#This Row],[Category]]&amp;"List[Retained Player Name]"),ResultsInd[[#This Row],[Player B]]),"")</f>
        <v>1</v>
      </c>
      <c r="R1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OPEN-Axel Donval</v>
      </c>
      <c r="S188" s="265" t="str">
        <f>IF(ResultsInd[[#This Row],[Score_OK]],IF(ResultsInd[[#This Row],[Stage]]="Groups",ResultsInd[[#This Row],[Category]]&amp;"-"&amp;IF(ResultsInd[[#This Row],[Player B]]="","",IF(ResultsInd[[#This Row],[Score-A]]=ResultsInd[[#This Row],[Score-B]],ResultsInd[[#This Row],[Player A]],"")),""),"")</f>
        <v>OPEN-</v>
      </c>
      <c r="T188" s="265" t="str">
        <f>IF(ResultsInd[[#This Row],[Score_OK]],IF(ResultsInd[[#This Row],[Stage]]="Groups",ResultsInd[[#This Row],[Category]]&amp;"-"&amp;IF(ResultsInd[[#This Row],[Player B]]="","",IF(ResultsInd[[#This Row],[Score-A]]=ResultsInd[[#This Row],[Score-B]],ResultsInd[[#This Row],[Player B]],"")),""),"")</f>
        <v>OPEN-</v>
      </c>
      <c r="U1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OPEN-Denis Bouchez</v>
      </c>
      <c r="V1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OPEN-Denis Bouchez</v>
      </c>
      <c r="X1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OPEN-Denis Bouchez</v>
      </c>
      <c r="Y188" s="264" t="str">
        <f>IF(ResultsInd[[#This Row],[Category]]="","",VLOOKUP(ResultsInd[[#This Row],[Stage]],$P$1:$V$9,MATCH(ResultsInd[[#This Row],[Category]],$Q$1:$V$1,0)+1,FALSE))</f>
        <v>PR1</v>
      </c>
      <c r="Z188" s="264" t="str">
        <f>IF(ResultsInd[[#This Row],[Score_OK]],IF(ResultsInd[[#This Row],[Level]]="R",ResultsInd[[#This Row],[Category]]&amp;"-"&amp;IF(ResultsInd[[#This Row],[LoseInKO]]=ResultsInd[[#This Row],[Category]]&amp;"-"&amp;ResultsInd[[#This Row],[Player A]],ResultsInd[[#This Row],[Player B]],ResultsInd[[#This Row],[Player A]]),""),"")</f>
        <v/>
      </c>
      <c r="AB188" s="91"/>
      <c r="AC188" s="12" t="str">
        <f t="shared" si="159"/>
        <v>OPEN</v>
      </c>
      <c r="AD188" s="309" t="s">
        <v>8140</v>
      </c>
      <c r="AE188" s="310"/>
      <c r="AF188" s="311"/>
      <c r="AG188" s="292">
        <f>IF(AP188="","",SMALL(AH185:AH191,ROWS(AG185:AG188)))</f>
        <v>4002</v>
      </c>
      <c r="AH188" s="293">
        <f>IF(AP188="","",RANK(AL188,AL185:AL191)*1000+ROWS(AH185:AH188))</f>
        <v>3004</v>
      </c>
      <c r="AI188" s="316">
        <f t="shared" si="153"/>
        <v>3000000000000</v>
      </c>
      <c r="AJ188" s="415" t="b">
        <f>AND(AO188&lt;&gt;"",AO188&gt;0,COUNTIF(AI185:AI191,AI188)&gt;1)</f>
        <v>0</v>
      </c>
      <c r="AK188" s="316">
        <f t="shared" si="154"/>
        <v>0</v>
      </c>
      <c r="AL188" s="317">
        <f t="shared" si="155"/>
        <v>2999999940400</v>
      </c>
      <c r="AM188" s="415" t="b">
        <f>AND(AO188&lt;&gt;"",AO188&gt;0,COUNTIF(AL185:AL191,AL188)&gt;1)</f>
        <v>0</v>
      </c>
      <c r="AN188" s="306">
        <f t="shared" si="156"/>
        <v>3</v>
      </c>
      <c r="AO188" s="307">
        <f t="shared" si="157"/>
        <v>3</v>
      </c>
      <c r="AP188" s="307">
        <f>IF(OR(AC184="",AD188=""),"",COUNTIF(ResultsInd[Win],AC184&amp;"-"&amp;AD188))</f>
        <v>1</v>
      </c>
      <c r="AQ188" s="307">
        <f>IF(OR(AC184="",AD188=""),"",COUNTIF(ResultsInd[Draw1],AC184&amp;"-"&amp;AD188)+COUNTIF(ResultsInd[Draw2],AC184&amp;"-"&amp;AD188))</f>
        <v>0</v>
      </c>
      <c r="AR188" s="307">
        <f>IF(OR(AC184="",AD188=""),"",COUNTIF(ResultsInd[Lose],AC184&amp;"-"&amp;AD188))</f>
        <v>2</v>
      </c>
      <c r="AS188" s="307">
        <f>IF(OR(AC184="",AD188=""),"",SUMIFS(ResultsInd[Goal-A],ResultsInd[Category],AC184,ResultsInd[Stage],"Groups",ResultsInd[Player A],AD188)+SUMIFS(ResultsInd[Goal-B],ResultsInd[Category],AC184,ResultsInd[Stage],"Groups",ResultsInd[Player B],AD188))</f>
        <v>4</v>
      </c>
      <c r="AT188" s="307">
        <f>IF(OR(AC184="",AD188=""),"",SUMIFS(ResultsInd[Goal-B],ResultsInd[Category],AC184,ResultsInd[Stage],"Groups",ResultsInd[Player A],AD188)+SUMIFS(ResultsInd[Goal-A],ResultsInd[Category],AC184,ResultsInd[Stage],"Groups",ResultsInd[Player B],AD188))</f>
        <v>10</v>
      </c>
      <c r="AU188" s="308">
        <f t="shared" si="160"/>
        <v>-6</v>
      </c>
      <c r="AV188" s="469" t="b">
        <f>IF(AG188="","",OR(VLOOKUP(AG188,AH185:AU191,3,FALSE),VLOOKUP(AG188,AH185:AU191,6,FALSE)))</f>
        <v>0</v>
      </c>
      <c r="AW188" s="298">
        <f t="shared" si="158"/>
        <v>4</v>
      </c>
      <c r="AX188" s="285" t="str">
        <f>IF(AG188="","",INDEX(AD185:AD191,MATCH(AG188,AH185:AH191,0)))</f>
        <v>Daniel Vranovitz</v>
      </c>
      <c r="AY188" s="286">
        <f>IF(AG188="","",VLOOKUP(AG188,AH185:AU191,COLUMN()-COLUMN(AR184),FALSE))</f>
        <v>1</v>
      </c>
      <c r="AZ188" s="286">
        <f>IF(AG188="","",VLOOKUP(AG188,AH185:AU191,COLUMN()-COLUMN(AR184),FALSE))</f>
        <v>3</v>
      </c>
      <c r="BA188" s="286">
        <f>IF(AG188="","",VLOOKUP(AG188,AH185:AU191,COLUMN()-COLUMN(AR184),FALSE))</f>
        <v>0</v>
      </c>
      <c r="BB188" s="286">
        <f>IF(AG188="","",VLOOKUP(AG188,AH185:AU191,COLUMN()-COLUMN(AR184),FALSE))</f>
        <v>1</v>
      </c>
      <c r="BC188" s="286">
        <f>IF(AG188="","",VLOOKUP(AG188,AH185:AU191,COLUMN()-COLUMN(AR184),FALSE))</f>
        <v>2</v>
      </c>
      <c r="BD188" s="286">
        <f>IF(AG188="","",VLOOKUP(AG188,AH185:AU191,COLUMN()-COLUMN(AR184),FALSE))</f>
        <v>3</v>
      </c>
      <c r="BE188" s="286">
        <f>IF(AG188="","",VLOOKUP(AG188,AH185:AU191,COLUMN()-COLUMN(AR184),FALSE))</f>
        <v>8</v>
      </c>
      <c r="BF188" s="301">
        <f>IF(AG188="","",VLOOKUP(AG188,AH185:AU191,COLUMN()-COLUMN(AR184),FALSE))</f>
        <v>-5</v>
      </c>
    </row>
    <row r="189" spans="1:58" ht="12" thickBot="1" x14ac:dyDescent="0.25">
      <c r="A189" s="62" t="s">
        <v>890</v>
      </c>
      <c r="B189" s="62" t="s">
        <v>12207</v>
      </c>
      <c r="C189" s="62">
        <v>29</v>
      </c>
      <c r="D189" s="62"/>
      <c r="E189" s="345" t="s">
        <v>8538</v>
      </c>
      <c r="F189" s="345" t="s">
        <v>8100</v>
      </c>
      <c r="G189" s="113">
        <v>4</v>
      </c>
      <c r="H189" s="113">
        <v>4</v>
      </c>
      <c r="I189" s="114"/>
      <c r="J189" s="114"/>
      <c r="K189" s="114"/>
      <c r="L189" s="81"/>
      <c r="M189" s="265" t="b">
        <f>NOT(ISERROR(ResultsInd[[#This Row],[Goal-A]]+ResultsInd[[#This Row],[Goal-B]]))</f>
        <v>1</v>
      </c>
      <c r="N189" s="265">
        <f>VALUE(ResultsInd[[#This Row],[Score-A]])</f>
        <v>4</v>
      </c>
      <c r="O189" s="265">
        <f>VALUE(ResultsInd[[#This Row],[Score-B]])</f>
        <v>4</v>
      </c>
      <c r="P189" s="265">
        <f ca="1">IF(AND(ResultsInd[[#This Row],[Category]]&lt;&gt;"",ResultsInd[[#This Row],[Player A]]&lt;&gt;""),COUNTIF(INDIRECT(ResultsInd[[#This Row],[Category]]&amp;"List[Retained Player Name]"),ResultsInd[[#This Row],[Player A]]),"")</f>
        <v>1</v>
      </c>
      <c r="Q189" s="265">
        <f ca="1">IF(AND(ResultsInd[[#This Row],[Category]]&lt;&gt;"",ResultsInd[[#This Row],[Player B]]&lt;&gt;""),COUNTIF(INDIRECT(ResultsInd[[#This Row],[Category]]&amp;"List[Retained Player Name]"),ResultsInd[[#This Row],[Player B]]),"")</f>
        <v>1</v>
      </c>
      <c r="R1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89" s="265" t="str">
        <f>IF(ResultsInd[[#This Row],[Score_OK]],IF(ResultsInd[[#This Row],[Stage]]="Groups",ResultsInd[[#This Row],[Category]]&amp;"-"&amp;IF(ResultsInd[[#This Row],[Player B]]="","",IF(ResultsInd[[#This Row],[Score-A]]=ResultsInd[[#This Row],[Score-B]],ResultsInd[[#This Row],[Player A]],"")),""),"")</f>
        <v>OPEN-Brandon Lavender</v>
      </c>
      <c r="T189" s="265" t="str">
        <f>IF(ResultsInd[[#This Row],[Score_OK]],IF(ResultsInd[[#This Row],[Stage]]="Groups",ResultsInd[[#This Row],[Category]]&amp;"-"&amp;IF(ResultsInd[[#This Row],[Player B]]="","",IF(ResultsInd[[#This Row],[Score-A]]=ResultsInd[[#This Row],[Score-B]],ResultsInd[[#This Row],[Player B]],"")),""),"")</f>
        <v>OPEN-Ralf Gregoire</v>
      </c>
      <c r="U1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OPEN-Brandon Lavender</v>
      </c>
      <c r="X1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Y189" s="264" t="str">
        <f>IF(ResultsInd[[#This Row],[Category]]="","",VLOOKUP(ResultsInd[[#This Row],[Stage]],$P$1:$V$9,MATCH(ResultsInd[[#This Row],[Category]],$Q$1:$V$1,0)+1,FALSE))</f>
        <v>PR1</v>
      </c>
      <c r="Z189" s="264" t="str">
        <f>IF(ResultsInd[[#This Row],[Score_OK]],IF(ResultsInd[[#This Row],[Level]]="R",ResultsInd[[#This Row],[Category]]&amp;"-"&amp;IF(ResultsInd[[#This Row],[LoseInKO]]=ResultsInd[[#This Row],[Category]]&amp;"-"&amp;ResultsInd[[#This Row],[Player A]],ResultsInd[[#This Row],[Player B]],ResultsInd[[#This Row],[Player A]]),""),"")</f>
        <v/>
      </c>
      <c r="AB189" s="91"/>
      <c r="AC189" s="12" t="str">
        <f t="shared" si="159"/>
        <v>OPEN</v>
      </c>
      <c r="AD189" s="309"/>
      <c r="AE189" s="310"/>
      <c r="AF189" s="311"/>
      <c r="AG189" s="292" t="str">
        <f>IF(AP189="","",SMALL(AH185:AH191,ROWS(AG185:AG189)))</f>
        <v/>
      </c>
      <c r="AH189" s="293" t="str">
        <f>IF(AP189="","",RANK(AL189,AL185:AL191)*1000+ROWS(AH185:AH189))</f>
        <v/>
      </c>
      <c r="AI189" s="316" t="str">
        <f t="shared" si="153"/>
        <v/>
      </c>
      <c r="AJ189" s="415" t="b">
        <f>AND(AO189&lt;&gt;"",AO189&gt;0,COUNTIF(AI185:AI191,AI189)&gt;1)</f>
        <v>0</v>
      </c>
      <c r="AK189" s="316" t="str">
        <f t="shared" si="154"/>
        <v/>
      </c>
      <c r="AL189" s="317" t="str">
        <f t="shared" si="155"/>
        <v/>
      </c>
      <c r="AM189" s="415" t="b">
        <f>AND(AO189&lt;&gt;"",AO189&gt;0,COUNTIF(AL185:AL191,AL189)&gt;1)</f>
        <v>0</v>
      </c>
      <c r="AN189" s="306" t="str">
        <f t="shared" si="156"/>
        <v/>
      </c>
      <c r="AO189" s="307" t="str">
        <f t="shared" si="157"/>
        <v/>
      </c>
      <c r="AP189" s="307" t="str">
        <f>IF(OR(AC184="",AD189=""),"",COUNTIF(ResultsInd[Win],AC184&amp;"-"&amp;AD189))</f>
        <v/>
      </c>
      <c r="AQ189" s="307" t="str">
        <f>IF(OR(AC184="",AD189=""),"",COUNTIF(ResultsInd[Draw1],AC184&amp;"-"&amp;AD189)+COUNTIF(ResultsInd[Draw2],AC184&amp;"-"&amp;AD189))</f>
        <v/>
      </c>
      <c r="AR189" s="307" t="str">
        <f>IF(OR(AC184="",AD189=""),"",COUNTIF(ResultsInd[Lose],AC184&amp;"-"&amp;AD189))</f>
        <v/>
      </c>
      <c r="AS189" s="307" t="str">
        <f>IF(OR(AC184="",AD189=""),"",SUMIFS(ResultsInd[Goal-A],ResultsInd[Category],AC184,ResultsInd[Stage],"Groups",ResultsInd[Player A],AD189)+SUMIFS(ResultsInd[Goal-B],ResultsInd[Category],AC184,ResultsInd[Stage],"Groups",ResultsInd[Player B],AD189))</f>
        <v/>
      </c>
      <c r="AT189" s="307" t="str">
        <f>IF(OR(AC184="",AD189=""),"",SUMIFS(ResultsInd[Goal-B],ResultsInd[Category],AC184,ResultsInd[Stage],"Groups",ResultsInd[Player A],AD189)+SUMIFS(ResultsInd[Goal-A],ResultsInd[Category],AC184,ResultsInd[Stage],"Groups",ResultsInd[Player B],AD189))</f>
        <v/>
      </c>
      <c r="AU189" s="308" t="str">
        <f t="shared" si="160"/>
        <v/>
      </c>
      <c r="AV189" s="469" t="str">
        <f>IF(AG189="","",OR(VLOOKUP(AG189,AH185:AU191,3,FALSE),VLOOKUP(AG189,AH185:AU191,6,FALSE)))</f>
        <v/>
      </c>
      <c r="AW189" s="298" t="str">
        <f t="shared" si="158"/>
        <v/>
      </c>
      <c r="AX189" s="285" t="str">
        <f>IF(AG189="","",INDEX(AD185:AD191,MATCH(AG189,AH185:AH191,0)))</f>
        <v/>
      </c>
      <c r="AY189" s="286" t="str">
        <f>IF(AG189="","",VLOOKUP(AG189,AH185:AU191,COLUMN()-COLUMN(AR184),FALSE))</f>
        <v/>
      </c>
      <c r="AZ189" s="286" t="str">
        <f>IF(AG189="","",VLOOKUP(AG189,AH185:AU191,COLUMN()-COLUMN(AR184),FALSE))</f>
        <v/>
      </c>
      <c r="BA189" s="286" t="str">
        <f>IF(AG189="","",VLOOKUP(AG189,AH185:AU191,COLUMN()-COLUMN(AR184),FALSE))</f>
        <v/>
      </c>
      <c r="BB189" s="286" t="str">
        <f>IF(AG189="","",VLOOKUP(AG189,AH185:AU191,COLUMN()-COLUMN(AR184),FALSE))</f>
        <v/>
      </c>
      <c r="BC189" s="286" t="str">
        <f>IF(AG189="","",VLOOKUP(AG189,AH185:AU191,COLUMN()-COLUMN(AR184),FALSE))</f>
        <v/>
      </c>
      <c r="BD189" s="286" t="str">
        <f>IF(AG189="","",VLOOKUP(AG189,AH185:AU191,COLUMN()-COLUMN(AR184),FALSE))</f>
        <v/>
      </c>
      <c r="BE189" s="286" t="str">
        <f>IF(AG189="","",VLOOKUP(AG189,AH185:AU191,COLUMN()-COLUMN(AR184),FALSE))</f>
        <v/>
      </c>
      <c r="BF189" s="301" t="str">
        <f>IF(AG189="","",VLOOKUP(AG189,AH185:AU191,COLUMN()-COLUMN(AR184),FALSE))</f>
        <v/>
      </c>
    </row>
    <row r="190" spans="1:58" ht="12" thickBot="1" x14ac:dyDescent="0.25">
      <c r="A190" s="62"/>
      <c r="B190" s="62"/>
      <c r="C190" s="62"/>
      <c r="D190" s="62"/>
      <c r="E190" s="345"/>
      <c r="F190" s="345"/>
      <c r="G190" s="113"/>
      <c r="H190" s="113"/>
      <c r="I190" s="114"/>
      <c r="J190" s="114"/>
      <c r="K190" s="114"/>
      <c r="L190" s="81"/>
      <c r="M190" s="265" t="b">
        <f>NOT(ISERROR(ResultsInd[[#This Row],[Goal-A]]+ResultsInd[[#This Row],[Goal-B]]))</f>
        <v>1</v>
      </c>
      <c r="N190" s="265">
        <f>VALUE(ResultsInd[[#This Row],[Score-A]])</f>
        <v>0</v>
      </c>
      <c r="O190" s="265">
        <f>VALUE(ResultsInd[[#This Row],[Score-B]])</f>
        <v>0</v>
      </c>
      <c r="P190" s="265" t="str">
        <f ca="1">IF(AND(ResultsInd[[#This Row],[Category]]&lt;&gt;"",ResultsInd[[#This Row],[Player A]]&lt;&gt;""),COUNTIF(INDIRECT(ResultsInd[[#This Row],[Category]]&amp;"List[Retained Player Name]"),ResultsInd[[#This Row],[Player A]]),"")</f>
        <v/>
      </c>
      <c r="Q190" s="265" t="str">
        <f ca="1">IF(AND(ResultsInd[[#This Row],[Category]]&lt;&gt;"",ResultsInd[[#This Row],[Player B]]&lt;&gt;""),COUNTIF(INDIRECT(ResultsInd[[#This Row],[Category]]&amp;"List[Retained Player Name]"),ResultsInd[[#This Row],[Player B]]),"")</f>
        <v/>
      </c>
      <c r="R1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0" s="265" t="str">
        <f>IF(ResultsInd[[#This Row],[Score_OK]],IF(ResultsInd[[#This Row],[Stage]]="Groups",ResultsInd[[#This Row],[Category]]&amp;"-"&amp;IF(ResultsInd[[#This Row],[Player B]]="","",IF(ResultsInd[[#This Row],[Score-A]]=ResultsInd[[#This Row],[Score-B]],ResultsInd[[#This Row],[Player A]],"")),""),"")</f>
        <v/>
      </c>
      <c r="T190" s="265" t="str">
        <f>IF(ResultsInd[[#This Row],[Score_OK]],IF(ResultsInd[[#This Row],[Stage]]="Groups",ResultsInd[[#This Row],[Category]]&amp;"-"&amp;IF(ResultsInd[[#This Row],[Player B]]="","",IF(ResultsInd[[#This Row],[Score-A]]=ResultsInd[[#This Row],[Score-B]],ResultsInd[[#This Row],[Player B]],"")),""),"")</f>
        <v/>
      </c>
      <c r="U1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0" s="264" t="str">
        <f>IF(ResultsInd[[#This Row],[Category]]="","",VLOOKUP(ResultsInd[[#This Row],[Stage]],$P$1:$V$9,MATCH(ResultsInd[[#This Row],[Category]],$Q$1:$V$1,0)+1,FALSE))</f>
        <v/>
      </c>
      <c r="Z190" s="264" t="str">
        <f>IF(ResultsInd[[#This Row],[Score_OK]],IF(ResultsInd[[#This Row],[Level]]="R",ResultsInd[[#This Row],[Category]]&amp;"-"&amp;IF(ResultsInd[[#This Row],[LoseInKO]]=ResultsInd[[#This Row],[Category]]&amp;"-"&amp;ResultsInd[[#This Row],[Player A]],ResultsInd[[#This Row],[Player B]],ResultsInd[[#This Row],[Player A]]),""),"")</f>
        <v/>
      </c>
      <c r="AB190" s="8"/>
      <c r="AC190" s="12" t="str">
        <f t="shared" si="159"/>
        <v>OPEN</v>
      </c>
      <c r="AD190" s="309"/>
      <c r="AE190" s="310"/>
      <c r="AF190" s="311"/>
      <c r="AG190" s="292" t="str">
        <f>IF(AP190="","",SMALL(AH185:AH191,ROWS(AG185:AG190)))</f>
        <v/>
      </c>
      <c r="AH190" s="293" t="str">
        <f>IF(AP190="","",RANK(AL190,AL185:AL191)*1000+ROWS(AH185:AH190))</f>
        <v/>
      </c>
      <c r="AI190" s="316" t="str">
        <f t="shared" si="153"/>
        <v/>
      </c>
      <c r="AJ190" s="415" t="b">
        <f>AND(AO190&lt;&gt;"",AO190&gt;0,COUNTIF(AI185:AI191,AI190)&gt;1)</f>
        <v>0</v>
      </c>
      <c r="AK190" s="316" t="str">
        <f t="shared" si="154"/>
        <v/>
      </c>
      <c r="AL190" s="317" t="str">
        <f t="shared" si="155"/>
        <v/>
      </c>
      <c r="AM190" s="415" t="b">
        <f>AND(AO190&lt;&gt;"",AO190&gt;0,COUNTIF(AL185:AL191,AL190)&gt;1)</f>
        <v>0</v>
      </c>
      <c r="AN190" s="306" t="str">
        <f t="shared" si="156"/>
        <v/>
      </c>
      <c r="AO190" s="307" t="str">
        <f t="shared" si="157"/>
        <v/>
      </c>
      <c r="AP190" s="307" t="str">
        <f>IF(OR(AC184="",AD190=""),"",COUNTIF(ResultsInd[Win],AC184&amp;"-"&amp;AD190))</f>
        <v/>
      </c>
      <c r="AQ190" s="307" t="str">
        <f>IF(OR(AC184="",AD190=""),"",COUNTIF(ResultsInd[Draw1],AC184&amp;"-"&amp;AD190)+COUNTIF(ResultsInd[Draw2],AC184&amp;"-"&amp;AD190))</f>
        <v/>
      </c>
      <c r="AR190" s="307" t="str">
        <f>IF(OR(AC184="",AD190=""),"",COUNTIF(ResultsInd[Lose],AC184&amp;"-"&amp;AD190))</f>
        <v/>
      </c>
      <c r="AS190" s="307" t="str">
        <f>IF(OR(AC184="",AD190=""),"",SUMIFS(ResultsInd[Goal-A],ResultsInd[Category],AC184,ResultsInd[Stage],"Groups",ResultsInd[Player A],AD190)+SUMIFS(ResultsInd[Goal-B],ResultsInd[Category],AC184,ResultsInd[Stage],"Groups",ResultsInd[Player B],AD190))</f>
        <v/>
      </c>
      <c r="AT190" s="307" t="str">
        <f>IF(OR(AC184="",AD190=""),"",SUMIFS(ResultsInd[Goal-B],ResultsInd[Category],AC184,ResultsInd[Stage],"Groups",ResultsInd[Player A],AD190)+SUMIFS(ResultsInd[Goal-A],ResultsInd[Category],AC184,ResultsInd[Stage],"Groups",ResultsInd[Player B],AD190))</f>
        <v/>
      </c>
      <c r="AU190" s="308" t="str">
        <f t="shared" si="160"/>
        <v/>
      </c>
      <c r="AV190" s="469" t="str">
        <f>IF(AG190="","",OR(VLOOKUP(AG190,AH185:AU191,3,FALSE),VLOOKUP(AG190,AH185:AU191,6,FALSE)))</f>
        <v/>
      </c>
      <c r="AW190" s="298" t="str">
        <f t="shared" si="158"/>
        <v/>
      </c>
      <c r="AX190" s="285" t="str">
        <f>IF(AG190="","",INDEX(AD185:AD191,MATCH(AG190,AH185:AH191,0)))</f>
        <v/>
      </c>
      <c r="AY190" s="286" t="str">
        <f>IF(AG190="","",VLOOKUP(AG190,AH185:AU191,COLUMN()-COLUMN(AR184),FALSE))</f>
        <v/>
      </c>
      <c r="AZ190" s="286" t="str">
        <f>IF(AG190="","",VLOOKUP(AG190,AH185:AU191,COLUMN()-COLUMN(AR184),FALSE))</f>
        <v/>
      </c>
      <c r="BA190" s="286" t="str">
        <f>IF(AG190="","",VLOOKUP(AG190,AH185:AU191,COLUMN()-COLUMN(AR184),FALSE))</f>
        <v/>
      </c>
      <c r="BB190" s="286" t="str">
        <f>IF(AG190="","",VLOOKUP(AG190,AH185:AU191,COLUMN()-COLUMN(AR184),FALSE))</f>
        <v/>
      </c>
      <c r="BC190" s="286" t="str">
        <f>IF(AG190="","",VLOOKUP(AG190,AH185:AU191,COLUMN()-COLUMN(AR184),FALSE))</f>
        <v/>
      </c>
      <c r="BD190" s="286" t="str">
        <f>IF(AG190="","",VLOOKUP(AG190,AH185:AU191,COLUMN()-COLUMN(AR184),FALSE))</f>
        <v/>
      </c>
      <c r="BE190" s="286" t="str">
        <f>IF(AG190="","",VLOOKUP(AG190,AH185:AU191,COLUMN()-COLUMN(AR184),FALSE))</f>
        <v/>
      </c>
      <c r="BF190" s="301" t="str">
        <f>IF(AG190="","",VLOOKUP(AG190,AH185:AU191,COLUMN()-COLUMN(AR184),FALSE))</f>
        <v/>
      </c>
    </row>
    <row r="191" spans="1:58" ht="12" thickBot="1" x14ac:dyDescent="0.25">
      <c r="A191" s="62"/>
      <c r="B191" s="62"/>
      <c r="C191" s="62"/>
      <c r="D191" s="62"/>
      <c r="E191" s="345"/>
      <c r="F191" s="345"/>
      <c r="G191" s="113"/>
      <c r="H191" s="113"/>
      <c r="I191" s="114"/>
      <c r="J191" s="114"/>
      <c r="K191" s="114"/>
      <c r="L191" s="81"/>
      <c r="M191" s="265" t="b">
        <f>NOT(ISERROR(ResultsInd[[#This Row],[Goal-A]]+ResultsInd[[#This Row],[Goal-B]]))</f>
        <v>1</v>
      </c>
      <c r="N191" s="265">
        <f>VALUE(ResultsInd[[#This Row],[Score-A]])</f>
        <v>0</v>
      </c>
      <c r="O191" s="265">
        <f>VALUE(ResultsInd[[#This Row],[Score-B]])</f>
        <v>0</v>
      </c>
      <c r="P191" s="265" t="str">
        <f ca="1">IF(AND(ResultsInd[[#This Row],[Category]]&lt;&gt;"",ResultsInd[[#This Row],[Player A]]&lt;&gt;""),COUNTIF(INDIRECT(ResultsInd[[#This Row],[Category]]&amp;"List[Retained Player Name]"),ResultsInd[[#This Row],[Player A]]),"")</f>
        <v/>
      </c>
      <c r="Q191" s="265" t="str">
        <f ca="1">IF(AND(ResultsInd[[#This Row],[Category]]&lt;&gt;"",ResultsInd[[#This Row],[Player B]]&lt;&gt;""),COUNTIF(INDIRECT(ResultsInd[[#This Row],[Category]]&amp;"List[Retained Player Name]"),ResultsInd[[#This Row],[Player B]]),"")</f>
        <v/>
      </c>
      <c r="R1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1" s="265" t="str">
        <f>IF(ResultsInd[[#This Row],[Score_OK]],IF(ResultsInd[[#This Row],[Stage]]="Groups",ResultsInd[[#This Row],[Category]]&amp;"-"&amp;IF(ResultsInd[[#This Row],[Player B]]="","",IF(ResultsInd[[#This Row],[Score-A]]=ResultsInd[[#This Row],[Score-B]],ResultsInd[[#This Row],[Player A]],"")),""),"")</f>
        <v/>
      </c>
      <c r="T191" s="265" t="str">
        <f>IF(ResultsInd[[#This Row],[Score_OK]],IF(ResultsInd[[#This Row],[Stage]]="Groups",ResultsInd[[#This Row],[Category]]&amp;"-"&amp;IF(ResultsInd[[#This Row],[Player B]]="","",IF(ResultsInd[[#This Row],[Score-A]]=ResultsInd[[#This Row],[Score-B]],ResultsInd[[#This Row],[Player B]],"")),""),"")</f>
        <v/>
      </c>
      <c r="U1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1" s="264" t="str">
        <f>IF(ResultsInd[[#This Row],[Category]]="","",VLOOKUP(ResultsInd[[#This Row],[Stage]],$P$1:$V$9,MATCH(ResultsInd[[#This Row],[Category]],$Q$1:$V$1,0)+1,FALSE))</f>
        <v/>
      </c>
      <c r="Z191" s="264" t="str">
        <f>IF(ResultsInd[[#This Row],[Score_OK]],IF(ResultsInd[[#This Row],[Level]]="R",ResultsInd[[#This Row],[Category]]&amp;"-"&amp;IF(ResultsInd[[#This Row],[LoseInKO]]=ResultsInd[[#This Row],[Category]]&amp;"-"&amp;ResultsInd[[#This Row],[Player A]],ResultsInd[[#This Row],[Player B]],ResultsInd[[#This Row],[Player A]]),""),"")</f>
        <v/>
      </c>
      <c r="AB191" s="8"/>
      <c r="AC191" s="12" t="str">
        <f t="shared" si="159"/>
        <v>OPEN</v>
      </c>
      <c r="AD191" s="312"/>
      <c r="AE191" s="313"/>
      <c r="AF191" s="314"/>
      <c r="AG191" s="294" t="str">
        <f>IF(AP191="","",SMALL(AH185:AH191,ROWS(AG185:AG191)))</f>
        <v/>
      </c>
      <c r="AH191" s="295" t="str">
        <f>IF(AP191="","",RANK(AL191,AL185:AL191)*1000+ROWS(AH185:AH191))</f>
        <v/>
      </c>
      <c r="AI191" s="318" t="str">
        <f t="shared" si="153"/>
        <v/>
      </c>
      <c r="AJ191" s="416" t="b">
        <f>AND(AO191&lt;&gt;"",AO191&gt;0,COUNTIF(AI185:AI191,AI191)&gt;1)</f>
        <v>0</v>
      </c>
      <c r="AK191" s="318" t="str">
        <f t="shared" si="154"/>
        <v/>
      </c>
      <c r="AL191" s="319" t="str">
        <f t="shared" si="155"/>
        <v/>
      </c>
      <c r="AM191" s="416" t="b">
        <f>AND(AO191&lt;&gt;"",AO191&gt;0,COUNTIF(AL185:AL191,AL191)&gt;1)</f>
        <v>0</v>
      </c>
      <c r="AN191" s="306" t="str">
        <f t="shared" si="156"/>
        <v/>
      </c>
      <c r="AO191" s="307" t="str">
        <f t="shared" si="157"/>
        <v/>
      </c>
      <c r="AP191" s="307" t="str">
        <f>IF(OR(AC184="",AD191=""),"",COUNTIF(ResultsInd[Win],AC184&amp;"-"&amp;AD191))</f>
        <v/>
      </c>
      <c r="AQ191" s="307" t="str">
        <f>IF(OR(AC184="",AD191=""),"",COUNTIF(ResultsInd[Draw1],AC184&amp;"-"&amp;AD191)+COUNTIF(ResultsInd[Draw2],AC184&amp;"-"&amp;AD191))</f>
        <v/>
      </c>
      <c r="AR191" s="307" t="str">
        <f>IF(OR(AC184="",AD191=""),"",COUNTIF(ResultsInd[Lose],AC184&amp;"-"&amp;AD191))</f>
        <v/>
      </c>
      <c r="AS191" s="307" t="str">
        <f>IF(OR(AC184="",AD191=""),"",SUMIFS(ResultsInd[Goal-A],ResultsInd[Category],AC184,ResultsInd[Stage],"Groups",ResultsInd[Player A],AD191)+SUMIFS(ResultsInd[Goal-B],ResultsInd[Category],AC184,ResultsInd[Stage],"Groups",ResultsInd[Player B],AD191))</f>
        <v/>
      </c>
      <c r="AT191" s="307" t="str">
        <f>IF(OR(AC184="",AD191=""),"",SUMIFS(ResultsInd[Goal-B],ResultsInd[Category],AC184,ResultsInd[Stage],"Groups",ResultsInd[Player A],AD191)+SUMIFS(ResultsInd[Goal-A],ResultsInd[Category],AC184,ResultsInd[Stage],"Groups",ResultsInd[Player B],AD191))</f>
        <v/>
      </c>
      <c r="AU191" s="308" t="str">
        <f t="shared" si="160"/>
        <v/>
      </c>
      <c r="AV191" s="469" t="str">
        <f>IF(AG191="","",OR(VLOOKUP(AG191,AH185:AU191,3,FALSE),VLOOKUP(AG191,AH185:AU191,6,FALSE)))</f>
        <v/>
      </c>
      <c r="AW191" s="299" t="str">
        <f t="shared" si="158"/>
        <v/>
      </c>
      <c r="AX191" s="287" t="str">
        <f>IF(AG191="","",INDEX(AD185:AD191,MATCH(AG191,AH185:AH191,0)))</f>
        <v/>
      </c>
      <c r="AY191" s="288" t="str">
        <f>IF(AG191="","",VLOOKUP(AG191,AH185:AU191,COLUMN()-COLUMN(AR184),FALSE))</f>
        <v/>
      </c>
      <c r="AZ191" s="288" t="str">
        <f>IF(AG191="","",VLOOKUP(AG191,AH185:AU191,COLUMN()-COLUMN(AR184),FALSE))</f>
        <v/>
      </c>
      <c r="BA191" s="288" t="str">
        <f>IF(AG191="","",VLOOKUP(AG191,AH185:AU191,COLUMN()-COLUMN(AR184),FALSE))</f>
        <v/>
      </c>
      <c r="BB191" s="288" t="str">
        <f>IF(AG191="","",VLOOKUP(AG191,AH185:AU191,COLUMN()-COLUMN(AR184),FALSE))</f>
        <v/>
      </c>
      <c r="BC191" s="288" t="str">
        <f>IF(AG191="","",VLOOKUP(AG191,AH185:AU191,COLUMN()-COLUMN(AR184),FALSE))</f>
        <v/>
      </c>
      <c r="BD191" s="288" t="str">
        <f>IF(AG191="","",VLOOKUP(AG191,AH185:AU191,COLUMN()-COLUMN(AR184),FALSE))</f>
        <v/>
      </c>
      <c r="BE191" s="288" t="str">
        <f>IF(AG191="","",VLOOKUP(AG191,AH185:AU191,COLUMN()-COLUMN(AR184),FALSE))</f>
        <v/>
      </c>
      <c r="BF191" s="302" t="str">
        <f>IF(AG191="","",VLOOKUP(AG191,AH185:AU191,COLUMN()-COLUMN(AR184),FALSE))</f>
        <v/>
      </c>
    </row>
    <row r="192" spans="1:58" ht="13.5" thickBot="1" x14ac:dyDescent="0.25">
      <c r="A192" s="62"/>
      <c r="B192" s="62"/>
      <c r="C192" s="62"/>
      <c r="D192" s="62"/>
      <c r="E192" s="345"/>
      <c r="F192" s="345"/>
      <c r="G192" s="113"/>
      <c r="H192" s="113"/>
      <c r="I192" s="114"/>
      <c r="J192" s="114"/>
      <c r="K192" s="114"/>
      <c r="L192" s="81"/>
      <c r="M192" s="265" t="b">
        <f>NOT(ISERROR(ResultsInd[[#This Row],[Goal-A]]+ResultsInd[[#This Row],[Goal-B]]))</f>
        <v>1</v>
      </c>
      <c r="N192" s="265">
        <f>VALUE(ResultsInd[[#This Row],[Score-A]])</f>
        <v>0</v>
      </c>
      <c r="O192" s="265">
        <f>VALUE(ResultsInd[[#This Row],[Score-B]])</f>
        <v>0</v>
      </c>
      <c r="P192" s="265" t="str">
        <f ca="1">IF(AND(ResultsInd[[#This Row],[Category]]&lt;&gt;"",ResultsInd[[#This Row],[Player A]]&lt;&gt;""),COUNTIF(INDIRECT(ResultsInd[[#This Row],[Category]]&amp;"List[Retained Player Name]"),ResultsInd[[#This Row],[Player A]]),"")</f>
        <v/>
      </c>
      <c r="Q192" s="265" t="str">
        <f ca="1">IF(AND(ResultsInd[[#This Row],[Category]]&lt;&gt;"",ResultsInd[[#This Row],[Player B]]&lt;&gt;""),COUNTIF(INDIRECT(ResultsInd[[#This Row],[Category]]&amp;"List[Retained Player Name]"),ResultsInd[[#This Row],[Player B]]),"")</f>
        <v/>
      </c>
      <c r="R1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2" s="265" t="str">
        <f>IF(ResultsInd[[#This Row],[Score_OK]],IF(ResultsInd[[#This Row],[Stage]]="Groups",ResultsInd[[#This Row],[Category]]&amp;"-"&amp;IF(ResultsInd[[#This Row],[Player B]]="","",IF(ResultsInd[[#This Row],[Score-A]]=ResultsInd[[#This Row],[Score-B]],ResultsInd[[#This Row],[Player A]],"")),""),"")</f>
        <v/>
      </c>
      <c r="T192" s="265" t="str">
        <f>IF(ResultsInd[[#This Row],[Score_OK]],IF(ResultsInd[[#This Row],[Stage]]="Groups",ResultsInd[[#This Row],[Category]]&amp;"-"&amp;IF(ResultsInd[[#This Row],[Player B]]="","",IF(ResultsInd[[#This Row],[Score-A]]=ResultsInd[[#This Row],[Score-B]],ResultsInd[[#This Row],[Player B]],"")),""),"")</f>
        <v/>
      </c>
      <c r="U1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2" s="264" t="str">
        <f>IF(ResultsInd[[#This Row],[Category]]="","",VLOOKUP(ResultsInd[[#This Row],[Stage]],$P$1:$V$9,MATCH(ResultsInd[[#This Row],[Category]],$Q$1:$V$1,0)+1,FALSE))</f>
        <v/>
      </c>
      <c r="Z192" s="264" t="str">
        <f>IF(ResultsInd[[#This Row],[Score_OK]],IF(ResultsInd[[#This Row],[Level]]="R",ResultsInd[[#This Row],[Category]]&amp;"-"&amp;IF(ResultsInd[[#This Row],[LoseInKO]]=ResultsInd[[#This Row],[Category]]&amp;"-"&amp;ResultsInd[[#This Row],[Player A]],ResultsInd[[#This Row],[Player B]],ResultsInd[[#This Row],[Player A]]),""),"")</f>
        <v/>
      </c>
      <c r="AB192" s="8"/>
      <c r="AC192" s="8"/>
      <c r="AF192" s="170"/>
      <c r="AG192" s="101"/>
      <c r="AH192" s="101"/>
      <c r="AN192" s="170"/>
      <c r="AO192" s="170"/>
      <c r="AP192" s="170"/>
      <c r="AQ192" s="172"/>
      <c r="AR192" s="173"/>
      <c r="AS192" s="173"/>
      <c r="AT192" s="173"/>
      <c r="AU192" s="101"/>
      <c r="AV192" s="101"/>
      <c r="AW192" s="101"/>
      <c r="AX192" s="101"/>
      <c r="AY192" s="101"/>
      <c r="AZ192" s="101"/>
    </row>
    <row r="193" spans="1:58" ht="12" thickBot="1" x14ac:dyDescent="0.25">
      <c r="A193" s="62"/>
      <c r="B193" s="62"/>
      <c r="C193" s="62"/>
      <c r="D193" s="62"/>
      <c r="E193" s="345"/>
      <c r="F193" s="345"/>
      <c r="G193" s="113"/>
      <c r="H193" s="113"/>
      <c r="I193" s="114"/>
      <c r="J193" s="114"/>
      <c r="K193" s="114"/>
      <c r="L193" s="81"/>
      <c r="M193" s="265" t="b">
        <f>NOT(ISERROR(ResultsInd[[#This Row],[Goal-A]]+ResultsInd[[#This Row],[Goal-B]]))</f>
        <v>1</v>
      </c>
      <c r="N193" s="265">
        <f>VALUE(ResultsInd[[#This Row],[Score-A]])</f>
        <v>0</v>
      </c>
      <c r="O193" s="265">
        <f>VALUE(ResultsInd[[#This Row],[Score-B]])</f>
        <v>0</v>
      </c>
      <c r="P193" s="265" t="str">
        <f ca="1">IF(AND(ResultsInd[[#This Row],[Category]]&lt;&gt;"",ResultsInd[[#This Row],[Player A]]&lt;&gt;""),COUNTIF(INDIRECT(ResultsInd[[#This Row],[Category]]&amp;"List[Retained Player Name]"),ResultsInd[[#This Row],[Player A]]),"")</f>
        <v/>
      </c>
      <c r="Q193" s="265" t="str">
        <f ca="1">IF(AND(ResultsInd[[#This Row],[Category]]&lt;&gt;"",ResultsInd[[#This Row],[Player B]]&lt;&gt;""),COUNTIF(INDIRECT(ResultsInd[[#This Row],[Category]]&amp;"List[Retained Player Name]"),ResultsInd[[#This Row],[Player B]]),"")</f>
        <v/>
      </c>
      <c r="R1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3" s="265" t="str">
        <f>IF(ResultsInd[[#This Row],[Score_OK]],IF(ResultsInd[[#This Row],[Stage]]="Groups",ResultsInd[[#This Row],[Category]]&amp;"-"&amp;IF(ResultsInd[[#This Row],[Player B]]="","",IF(ResultsInd[[#This Row],[Score-A]]=ResultsInd[[#This Row],[Score-B]],ResultsInd[[#This Row],[Player A]],"")),""),"")</f>
        <v/>
      </c>
      <c r="T193" s="265" t="str">
        <f>IF(ResultsInd[[#This Row],[Score_OK]],IF(ResultsInd[[#This Row],[Stage]]="Groups",ResultsInd[[#This Row],[Category]]&amp;"-"&amp;IF(ResultsInd[[#This Row],[Player B]]="","",IF(ResultsInd[[#This Row],[Score-A]]=ResultsInd[[#This Row],[Score-B]],ResultsInd[[#This Row],[Player B]],"")),""),"")</f>
        <v/>
      </c>
      <c r="U1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3" s="264" t="str">
        <f>IF(ResultsInd[[#This Row],[Category]]="","",VLOOKUP(ResultsInd[[#This Row],[Stage]],$P$1:$V$9,MATCH(ResultsInd[[#This Row],[Category]],$Q$1:$V$1,0)+1,FALSE))</f>
        <v/>
      </c>
      <c r="Z193" s="264" t="str">
        <f>IF(ResultsInd[[#This Row],[Score_OK]],IF(ResultsInd[[#This Row],[Level]]="R",ResultsInd[[#This Row],[Category]]&amp;"-"&amp;IF(ResultsInd[[#This Row],[LoseInKO]]=ResultsInd[[#This Row],[Category]]&amp;"-"&amp;ResultsInd[[#This Row],[Player A]],ResultsInd[[#This Row],[Player B]],ResultsInd[[#This Row],[Player A]]),""),"")</f>
        <v/>
      </c>
      <c r="AB193" s="281">
        <v>20</v>
      </c>
      <c r="AC193" s="315" t="s">
        <v>890</v>
      </c>
      <c r="AD193" s="289" t="s">
        <v>14439</v>
      </c>
      <c r="AE193" s="290" t="s">
        <v>12279</v>
      </c>
      <c r="AF193" s="284" t="s">
        <v>12275</v>
      </c>
      <c r="AG193" s="296" t="s">
        <v>12276</v>
      </c>
      <c r="AH193" s="291" t="s">
        <v>12271</v>
      </c>
      <c r="AI193" s="291" t="s">
        <v>12272</v>
      </c>
      <c r="AJ193" s="414" t="s">
        <v>13154</v>
      </c>
      <c r="AK193" s="291" t="s">
        <v>12273</v>
      </c>
      <c r="AL193" s="297" t="s">
        <v>12274</v>
      </c>
      <c r="AM193" s="414" t="s">
        <v>13154</v>
      </c>
      <c r="AN193" s="303" t="s">
        <v>12199</v>
      </c>
      <c r="AO193" s="304" t="s">
        <v>12200</v>
      </c>
      <c r="AP193" s="304" t="s">
        <v>12201</v>
      </c>
      <c r="AQ193" s="304" t="s">
        <v>12202</v>
      </c>
      <c r="AR193" s="304" t="s">
        <v>12203</v>
      </c>
      <c r="AS193" s="304" t="s">
        <v>12204</v>
      </c>
      <c r="AT193" s="304" t="s">
        <v>12205</v>
      </c>
      <c r="AU193" s="305" t="s">
        <v>12206</v>
      </c>
      <c r="AV193" s="468"/>
      <c r="AW193" s="282" t="s">
        <v>12276</v>
      </c>
      <c r="AX193" s="282" t="s">
        <v>12280</v>
      </c>
      <c r="AY193" s="283" t="s">
        <v>12199</v>
      </c>
      <c r="AZ193" s="283" t="s">
        <v>12200</v>
      </c>
      <c r="BA193" s="283" t="s">
        <v>12201</v>
      </c>
      <c r="BB193" s="283" t="s">
        <v>12202</v>
      </c>
      <c r="BC193" s="283" t="s">
        <v>12203</v>
      </c>
      <c r="BD193" s="283" t="s">
        <v>12204</v>
      </c>
      <c r="BE193" s="283" t="s">
        <v>12205</v>
      </c>
      <c r="BF193" s="300" t="s">
        <v>12206</v>
      </c>
    </row>
    <row r="194" spans="1:58" ht="12" thickBot="1" x14ac:dyDescent="0.25">
      <c r="A194" s="62"/>
      <c r="B194" s="62"/>
      <c r="C194" s="62"/>
      <c r="D194" s="62"/>
      <c r="E194" s="345"/>
      <c r="F194" s="345"/>
      <c r="G194" s="113"/>
      <c r="H194" s="113"/>
      <c r="I194" s="114"/>
      <c r="J194" s="114"/>
      <c r="K194" s="114"/>
      <c r="L194" s="81"/>
      <c r="M194" s="265" t="b">
        <f>NOT(ISERROR(ResultsInd[[#This Row],[Goal-A]]+ResultsInd[[#This Row],[Goal-B]]))</f>
        <v>1</v>
      </c>
      <c r="N194" s="265">
        <f>VALUE(ResultsInd[[#This Row],[Score-A]])</f>
        <v>0</v>
      </c>
      <c r="O194" s="265">
        <f>VALUE(ResultsInd[[#This Row],[Score-B]])</f>
        <v>0</v>
      </c>
      <c r="P194" s="265" t="str">
        <f ca="1">IF(AND(ResultsInd[[#This Row],[Category]]&lt;&gt;"",ResultsInd[[#This Row],[Player A]]&lt;&gt;""),COUNTIF(INDIRECT(ResultsInd[[#This Row],[Category]]&amp;"List[Retained Player Name]"),ResultsInd[[#This Row],[Player A]]),"")</f>
        <v/>
      </c>
      <c r="Q194" s="265" t="str">
        <f ca="1">IF(AND(ResultsInd[[#This Row],[Category]]&lt;&gt;"",ResultsInd[[#This Row],[Player B]]&lt;&gt;""),COUNTIF(INDIRECT(ResultsInd[[#This Row],[Category]]&amp;"List[Retained Player Name]"),ResultsInd[[#This Row],[Player B]]),"")</f>
        <v/>
      </c>
      <c r="R1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4" s="265" t="str">
        <f>IF(ResultsInd[[#This Row],[Score_OK]],IF(ResultsInd[[#This Row],[Stage]]="Groups",ResultsInd[[#This Row],[Category]]&amp;"-"&amp;IF(ResultsInd[[#This Row],[Player B]]="","",IF(ResultsInd[[#This Row],[Score-A]]=ResultsInd[[#This Row],[Score-B]],ResultsInd[[#This Row],[Player A]],"")),""),"")</f>
        <v/>
      </c>
      <c r="T194" s="265" t="str">
        <f>IF(ResultsInd[[#This Row],[Score_OK]],IF(ResultsInd[[#This Row],[Stage]]="Groups",ResultsInd[[#This Row],[Category]]&amp;"-"&amp;IF(ResultsInd[[#This Row],[Player B]]="","",IF(ResultsInd[[#This Row],[Score-A]]=ResultsInd[[#This Row],[Score-B]],ResultsInd[[#This Row],[Player B]],"")),""),"")</f>
        <v/>
      </c>
      <c r="U1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4" s="264" t="str">
        <f>IF(ResultsInd[[#This Row],[Category]]="","",VLOOKUP(ResultsInd[[#This Row],[Stage]],$P$1:$V$9,MATCH(ResultsInd[[#This Row],[Category]],$Q$1:$V$1,0)+1,FALSE))</f>
        <v/>
      </c>
      <c r="Z194" s="264" t="str">
        <f>IF(ResultsInd[[#This Row],[Score_OK]],IF(ResultsInd[[#This Row],[Level]]="R",ResultsInd[[#This Row],[Category]]&amp;"-"&amp;IF(ResultsInd[[#This Row],[LoseInKO]]=ResultsInd[[#This Row],[Category]]&amp;"-"&amp;ResultsInd[[#This Row],[Player A]],ResultsInd[[#This Row],[Player B]],ResultsInd[[#This Row],[Player A]]),""),"")</f>
        <v/>
      </c>
      <c r="AB194" s="8"/>
      <c r="AC194" s="12" t="str">
        <f>IF(AC193="","",AC193)</f>
        <v>OPEN</v>
      </c>
      <c r="AD194" s="309" t="s">
        <v>8629</v>
      </c>
      <c r="AE194" s="320"/>
      <c r="AF194" s="311"/>
      <c r="AG194" s="292">
        <f>IF(AP194="","",SMALL(AH194:AH200,ROWS(AG194:AG194)))</f>
        <v>1001</v>
      </c>
      <c r="AH194" s="293">
        <f>IF(AP194="","",RANK(AL194,AL194:AL200)*1000+ROWS(AH194:AH194))</f>
        <v>1001</v>
      </c>
      <c r="AI194" s="316">
        <f t="shared" ref="AI194:AI200" si="161">IF(AP194="","",CritClassInd1_Points*AN194+CritClassInd1_Matches*AP194+CritClassInd1_Attaque*AS194+CritClassInd1_DiffButs*AU194)</f>
        <v>6000000000000</v>
      </c>
      <c r="AJ194" s="415" t="b">
        <f>AND(AO194&lt;&gt;"",AO194&gt;0,COUNTIF(AI194:AI200,AI194)&gt;1)</f>
        <v>0</v>
      </c>
      <c r="AK194" s="316">
        <f t="shared" ref="AK194:AK200" si="162">IF(AP194="","",CritClassInd_ScorePart*AE194)</f>
        <v>0</v>
      </c>
      <c r="AL194" s="317">
        <f t="shared" ref="AL194:AL200" si="163">IF(AP194="","",AI194+AK194+CritClassInd2_Points*AN194+CritClassInd2_Matches*AP194+CritClassInd2_Attaque*AS194+CritClassInd2_DiffButs*AU194+AF194)</f>
        <v>6000000030500</v>
      </c>
      <c r="AM194" s="415" t="b">
        <f>AND(AO194&lt;&gt;"",AO194&gt;0,COUNTIF(AL194:AL200,AL194)&gt;1)</f>
        <v>0</v>
      </c>
      <c r="AN194" s="306">
        <f t="shared" ref="AN194:AN200" si="164">IF(AP194="","",(AP194*Points_Victoire)+AQ194*Points_Null)</f>
        <v>6</v>
      </c>
      <c r="AO194" s="307">
        <f t="shared" ref="AO194:AO200" si="165">IF(AP194="","",SUM(AP194:AR194))</f>
        <v>2</v>
      </c>
      <c r="AP194" s="307">
        <f>IF(OR(AC193="",AD194=""),"",COUNTIF(ResultsInd[Win],AC193&amp;"-"&amp;AD194))</f>
        <v>2</v>
      </c>
      <c r="AQ194" s="307">
        <f>IF(OR(AC193="",AD194=""),"",COUNTIF(ResultsInd[Draw1],AC193&amp;"-"&amp;AD194)+COUNTIF(ResultsInd[Draw2],AC193&amp;"-"&amp;AD194))</f>
        <v>0</v>
      </c>
      <c r="AR194" s="307">
        <f>IF(OR(AC193="",AD194=""),"",COUNTIF(ResultsInd[Lose],AC193&amp;"-"&amp;AD194))</f>
        <v>0</v>
      </c>
      <c r="AS194" s="307">
        <f>IF(OR(AC193="",AD194=""),"",SUMIFS(ResultsInd[Goal-A],ResultsInd[Category],AC193,ResultsInd[Stage],"Groups",ResultsInd[Player A],AD194)+SUMIFS(ResultsInd[Goal-B],ResultsInd[Category],AC193,ResultsInd[Stage],"Groups",ResultsInd[Player B],AD194))</f>
        <v>5</v>
      </c>
      <c r="AT194" s="307">
        <f>IF(OR(AC193="",AD194=""),"",SUMIFS(ResultsInd[Goal-B],ResultsInd[Category],AC193,ResultsInd[Stage],"Groups",ResultsInd[Player A],AD194)+SUMIFS(ResultsInd[Goal-A],ResultsInd[Category],AC193,ResultsInd[Stage],"Groups",ResultsInd[Player B],AD194))</f>
        <v>2</v>
      </c>
      <c r="AU194" s="308">
        <f>IF(AP194="","",AS194-AT194)</f>
        <v>3</v>
      </c>
      <c r="AV194" s="469" t="b">
        <f>IF(AG194="","",OR(VLOOKUP(AG194,AH194:AU200,3,FALSE),VLOOKUP(AG194,AH194:AU200,6,FALSE)))</f>
        <v>0</v>
      </c>
      <c r="AW194" s="298">
        <f t="shared" ref="AW194:AW200" si="166">IF(AG194="","",INT(AG194/1000))</f>
        <v>1</v>
      </c>
      <c r="AX194" s="285" t="str">
        <f>IF(AG194="","",INDEX(AD194:AD200,MATCH(AG194,AH194:AH200,0)))</f>
        <v>Antonio Jesús Casín</v>
      </c>
      <c r="AY194" s="286">
        <f>IF(AG194="","",VLOOKUP(AG194,AH194:AU200,COLUMN()-COLUMN(AR193),FALSE))</f>
        <v>6</v>
      </c>
      <c r="AZ194" s="286">
        <f>IF(AG194="","",VLOOKUP(AG194,AH194:AU200,COLUMN()-COLUMN(AR193),FALSE))</f>
        <v>2</v>
      </c>
      <c r="BA194" s="286">
        <f>IF(AG194="","",VLOOKUP(AG194,AH194:AU200,COLUMN()-COLUMN(AR193),FALSE))</f>
        <v>2</v>
      </c>
      <c r="BB194" s="286">
        <f>IF(AG194="","",VLOOKUP(AG194,AH194:AU200,COLUMN()-COLUMN(AR193),FALSE))</f>
        <v>0</v>
      </c>
      <c r="BC194" s="286">
        <f>IF(AG194="","",VLOOKUP(AG194,AH194:AU200,COLUMN()-COLUMN(AR193),FALSE))</f>
        <v>0</v>
      </c>
      <c r="BD194" s="286">
        <f>IF(AG194="","",VLOOKUP(AG194,AH194:AU200,COLUMN()-COLUMN(AR193),FALSE))</f>
        <v>5</v>
      </c>
      <c r="BE194" s="286">
        <f>IF(AG194="","",VLOOKUP(AG194,AH194:AU200,COLUMN()-COLUMN(AR193),FALSE))</f>
        <v>2</v>
      </c>
      <c r="BF194" s="301">
        <f>IF(AG194="","",VLOOKUP(AG194,AH194:AU200,COLUMN()-COLUMN(AR193),FALSE))</f>
        <v>3</v>
      </c>
    </row>
    <row r="195" spans="1:58" ht="12" thickBot="1" x14ac:dyDescent="0.25">
      <c r="A195" s="62"/>
      <c r="B195" s="62"/>
      <c r="C195" s="62"/>
      <c r="D195" s="62"/>
      <c r="E195" s="345"/>
      <c r="F195" s="345"/>
      <c r="G195" s="113"/>
      <c r="H195" s="113"/>
      <c r="I195" s="114"/>
      <c r="J195" s="114"/>
      <c r="K195" s="114"/>
      <c r="L195" s="81"/>
      <c r="M195" s="265" t="b">
        <f>NOT(ISERROR(ResultsInd[[#This Row],[Goal-A]]+ResultsInd[[#This Row],[Goal-B]]))</f>
        <v>1</v>
      </c>
      <c r="N195" s="265">
        <f>VALUE(ResultsInd[[#This Row],[Score-A]])</f>
        <v>0</v>
      </c>
      <c r="O195" s="265">
        <f>VALUE(ResultsInd[[#This Row],[Score-B]])</f>
        <v>0</v>
      </c>
      <c r="P195" s="265" t="str">
        <f ca="1">IF(AND(ResultsInd[[#This Row],[Category]]&lt;&gt;"",ResultsInd[[#This Row],[Player A]]&lt;&gt;""),COUNTIF(INDIRECT(ResultsInd[[#This Row],[Category]]&amp;"List[Retained Player Name]"),ResultsInd[[#This Row],[Player A]]),"")</f>
        <v/>
      </c>
      <c r="Q195" s="265" t="str">
        <f ca="1">IF(AND(ResultsInd[[#This Row],[Category]]&lt;&gt;"",ResultsInd[[#This Row],[Player B]]&lt;&gt;""),COUNTIF(INDIRECT(ResultsInd[[#This Row],[Category]]&amp;"List[Retained Player Name]"),ResultsInd[[#This Row],[Player B]]),"")</f>
        <v/>
      </c>
      <c r="R1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5" s="265" t="str">
        <f>IF(ResultsInd[[#This Row],[Score_OK]],IF(ResultsInd[[#This Row],[Stage]]="Groups",ResultsInd[[#This Row],[Category]]&amp;"-"&amp;IF(ResultsInd[[#This Row],[Player B]]="","",IF(ResultsInd[[#This Row],[Score-A]]=ResultsInd[[#This Row],[Score-B]],ResultsInd[[#This Row],[Player A]],"")),""),"")</f>
        <v/>
      </c>
      <c r="T195" s="265" t="str">
        <f>IF(ResultsInd[[#This Row],[Score_OK]],IF(ResultsInd[[#This Row],[Stage]]="Groups",ResultsInd[[#This Row],[Category]]&amp;"-"&amp;IF(ResultsInd[[#This Row],[Player B]]="","",IF(ResultsInd[[#This Row],[Score-A]]=ResultsInd[[#This Row],[Score-B]],ResultsInd[[#This Row],[Player B]],"")),""),"")</f>
        <v/>
      </c>
      <c r="U1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5" s="264" t="str">
        <f>IF(ResultsInd[[#This Row],[Category]]="","",VLOOKUP(ResultsInd[[#This Row],[Stage]],$P$1:$V$9,MATCH(ResultsInd[[#This Row],[Category]],$Q$1:$V$1,0)+1,FALSE))</f>
        <v/>
      </c>
      <c r="Z195" s="264" t="str">
        <f>IF(ResultsInd[[#This Row],[Score_OK]],IF(ResultsInd[[#This Row],[Level]]="R",ResultsInd[[#This Row],[Category]]&amp;"-"&amp;IF(ResultsInd[[#This Row],[LoseInKO]]=ResultsInd[[#This Row],[Category]]&amp;"-"&amp;ResultsInd[[#This Row],[Player A]],ResultsInd[[#This Row],[Player B]],ResultsInd[[#This Row],[Player A]]),""),"")</f>
        <v/>
      </c>
      <c r="AB195" s="8"/>
      <c r="AC195" s="12" t="str">
        <f t="shared" ref="AC195:AC200" si="167">IF(AC194="","",AC194)</f>
        <v>OPEN</v>
      </c>
      <c r="AD195" s="309" t="s">
        <v>8725</v>
      </c>
      <c r="AE195" s="320"/>
      <c r="AF195" s="311"/>
      <c r="AG195" s="292">
        <f>IF(AP195="","",SMALL(AH194:AH200,ROWS(AG194:AG195)))</f>
        <v>2004</v>
      </c>
      <c r="AH195" s="293">
        <f>IF(AP195="","",RANK(AL195,AL194:AL200)*1000+ROWS(AH194:AH195))</f>
        <v>3002</v>
      </c>
      <c r="AI195" s="316">
        <f t="shared" si="161"/>
        <v>0</v>
      </c>
      <c r="AJ195" s="415" t="b">
        <f>AND(AO195&lt;&gt;"",AO195&gt;0,COUNTIF(AI194:AI200,AI195)&gt;1)</f>
        <v>0</v>
      </c>
      <c r="AK195" s="316">
        <f t="shared" si="162"/>
        <v>0</v>
      </c>
      <c r="AL195" s="317">
        <f t="shared" si="163"/>
        <v>0</v>
      </c>
      <c r="AM195" s="415" t="b">
        <f>AND(AO195&lt;&gt;"",AO195&gt;0,COUNTIF(AL194:AL200,AL195)&gt;1)</f>
        <v>0</v>
      </c>
      <c r="AN195" s="306">
        <f t="shared" si="164"/>
        <v>0</v>
      </c>
      <c r="AO195" s="307">
        <f t="shared" si="165"/>
        <v>0</v>
      </c>
      <c r="AP195" s="307">
        <f>IF(OR(AC193="",AD195=""),"",COUNTIF(ResultsInd[Win],AC193&amp;"-"&amp;AD195))</f>
        <v>0</v>
      </c>
      <c r="AQ195" s="307">
        <f>IF(OR(AC193="",AD195=""),"",COUNTIF(ResultsInd[Draw1],AC193&amp;"-"&amp;AD195)+COUNTIF(ResultsInd[Draw2],AC193&amp;"-"&amp;AD195))</f>
        <v>0</v>
      </c>
      <c r="AR195" s="307">
        <f>IF(OR(AC193="",AD195=""),"",COUNTIF(ResultsInd[Lose],AC193&amp;"-"&amp;AD195))</f>
        <v>0</v>
      </c>
      <c r="AS195" s="307">
        <f>IF(OR(AC193="",AD195=""),"",SUMIFS(ResultsInd[Goal-A],ResultsInd[Category],AC193,ResultsInd[Stage],"Groups",ResultsInd[Player A],AD195)+SUMIFS(ResultsInd[Goal-B],ResultsInd[Category],AC193,ResultsInd[Stage],"Groups",ResultsInd[Player B],AD195))</f>
        <v>0</v>
      </c>
      <c r="AT195" s="307">
        <f>IF(OR(AC193="",AD195=""),"",SUMIFS(ResultsInd[Goal-B],ResultsInd[Category],AC193,ResultsInd[Stage],"Groups",ResultsInd[Player A],AD195)+SUMIFS(ResultsInd[Goal-A],ResultsInd[Category],AC193,ResultsInd[Stage],"Groups",ResultsInd[Player B],AD195))</f>
        <v>0</v>
      </c>
      <c r="AU195" s="308">
        <f t="shared" ref="AU195:AU200" si="168">IF(AP195="","",AS195-AT195)</f>
        <v>0</v>
      </c>
      <c r="AV195" s="469" t="b">
        <f>IF(AG195="","",OR(VLOOKUP(AG195,AH194:AU200,3,FALSE),VLOOKUP(AG195,AH194:AU200,6,FALSE)))</f>
        <v>0</v>
      </c>
      <c r="AW195" s="298">
        <f t="shared" si="166"/>
        <v>2</v>
      </c>
      <c r="AX195" s="285" t="str">
        <f>IF(AG195="","",INDEX(AD194:AD200,MATCH(AG195,AH194:AH200,0)))</f>
        <v>Corentin Bouchez</v>
      </c>
      <c r="AY195" s="286">
        <f>IF(AG195="","",VLOOKUP(AG195,AH194:AU200,COLUMN()-COLUMN(AR193),FALSE))</f>
        <v>3</v>
      </c>
      <c r="AZ195" s="286">
        <f>IF(AG195="","",VLOOKUP(AG195,AH194:AU200,COLUMN()-COLUMN(AR193),FALSE))</f>
        <v>2</v>
      </c>
      <c r="BA195" s="286">
        <f>IF(AG195="","",VLOOKUP(AG195,AH194:AU200,COLUMN()-COLUMN(AR193),FALSE))</f>
        <v>1</v>
      </c>
      <c r="BB195" s="286">
        <f>IF(AG195="","",VLOOKUP(AG195,AH194:AU200,COLUMN()-COLUMN(AR193),FALSE))</f>
        <v>0</v>
      </c>
      <c r="BC195" s="286">
        <f>IF(AG195="","",VLOOKUP(AG195,AH194:AU200,COLUMN()-COLUMN(AR193),FALSE))</f>
        <v>1</v>
      </c>
      <c r="BD195" s="286">
        <f>IF(AG195="","",VLOOKUP(AG195,AH194:AU200,COLUMN()-COLUMN(AR193),FALSE))</f>
        <v>4</v>
      </c>
      <c r="BE195" s="286">
        <f>IF(AG195="","",VLOOKUP(AG195,AH194:AU200,COLUMN()-COLUMN(AR193),FALSE))</f>
        <v>5</v>
      </c>
      <c r="BF195" s="301">
        <f>IF(AG195="","",VLOOKUP(AG195,AH194:AU200,COLUMN()-COLUMN(AR193),FALSE))</f>
        <v>-1</v>
      </c>
    </row>
    <row r="196" spans="1:58" ht="12" thickBot="1" x14ac:dyDescent="0.25">
      <c r="A196" s="62"/>
      <c r="B196" s="62"/>
      <c r="C196" s="62"/>
      <c r="D196" s="62"/>
      <c r="E196" s="345"/>
      <c r="F196" s="345"/>
      <c r="G196" s="113"/>
      <c r="H196" s="113"/>
      <c r="I196" s="114"/>
      <c r="J196" s="114"/>
      <c r="K196" s="114"/>
      <c r="L196" s="81"/>
      <c r="M196" s="265" t="b">
        <f>NOT(ISERROR(ResultsInd[[#This Row],[Goal-A]]+ResultsInd[[#This Row],[Goal-B]]))</f>
        <v>1</v>
      </c>
      <c r="N196" s="265">
        <f>VALUE(ResultsInd[[#This Row],[Score-A]])</f>
        <v>0</v>
      </c>
      <c r="O196" s="265">
        <f>VALUE(ResultsInd[[#This Row],[Score-B]])</f>
        <v>0</v>
      </c>
      <c r="P196" s="265" t="str">
        <f ca="1">IF(AND(ResultsInd[[#This Row],[Category]]&lt;&gt;"",ResultsInd[[#This Row],[Player A]]&lt;&gt;""),COUNTIF(INDIRECT(ResultsInd[[#This Row],[Category]]&amp;"List[Retained Player Name]"),ResultsInd[[#This Row],[Player A]]),"")</f>
        <v/>
      </c>
      <c r="Q196" s="265" t="str">
        <f ca="1">IF(AND(ResultsInd[[#This Row],[Category]]&lt;&gt;"",ResultsInd[[#This Row],[Player B]]&lt;&gt;""),COUNTIF(INDIRECT(ResultsInd[[#This Row],[Category]]&amp;"List[Retained Player Name]"),ResultsInd[[#This Row],[Player B]]),"")</f>
        <v/>
      </c>
      <c r="R1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6" s="265" t="str">
        <f>IF(ResultsInd[[#This Row],[Score_OK]],IF(ResultsInd[[#This Row],[Stage]]="Groups",ResultsInd[[#This Row],[Category]]&amp;"-"&amp;IF(ResultsInd[[#This Row],[Player B]]="","",IF(ResultsInd[[#This Row],[Score-A]]=ResultsInd[[#This Row],[Score-B]],ResultsInd[[#This Row],[Player A]],"")),""),"")</f>
        <v/>
      </c>
      <c r="T196" s="265" t="str">
        <f>IF(ResultsInd[[#This Row],[Score_OK]],IF(ResultsInd[[#This Row],[Stage]]="Groups",ResultsInd[[#This Row],[Category]]&amp;"-"&amp;IF(ResultsInd[[#This Row],[Player B]]="","",IF(ResultsInd[[#This Row],[Score-A]]=ResultsInd[[#This Row],[Score-B]],ResultsInd[[#This Row],[Player B]],"")),""),"")</f>
        <v/>
      </c>
      <c r="U1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6" s="264" t="str">
        <f>IF(ResultsInd[[#This Row],[Category]]="","",VLOOKUP(ResultsInd[[#This Row],[Stage]],$P$1:$V$9,MATCH(ResultsInd[[#This Row],[Category]],$Q$1:$V$1,0)+1,FALSE))</f>
        <v/>
      </c>
      <c r="Z196" s="264" t="str">
        <f>IF(ResultsInd[[#This Row],[Score_OK]],IF(ResultsInd[[#This Row],[Level]]="R",ResultsInd[[#This Row],[Category]]&amp;"-"&amp;IF(ResultsInd[[#This Row],[LoseInKO]]=ResultsInd[[#This Row],[Category]]&amp;"-"&amp;ResultsInd[[#This Row],[Player A]],ResultsInd[[#This Row],[Player B]],ResultsInd[[#This Row],[Player A]]),""),"")</f>
        <v/>
      </c>
      <c r="AB196" s="8"/>
      <c r="AC196" s="12" t="str">
        <f t="shared" si="167"/>
        <v>OPEN</v>
      </c>
      <c r="AD196" s="309" t="s">
        <v>10281</v>
      </c>
      <c r="AE196" s="320"/>
      <c r="AF196" s="311"/>
      <c r="AG196" s="292">
        <f>IF(AP196="","",SMALL(AH194:AH200,ROWS(AG194:AG196)))</f>
        <v>3002</v>
      </c>
      <c r="AH196" s="293">
        <f>IF(AP196="","",RANK(AL196,AL194:AL200)*1000+ROWS(AH194:AH196))</f>
        <v>4003</v>
      </c>
      <c r="AI196" s="316">
        <f t="shared" si="161"/>
        <v>0</v>
      </c>
      <c r="AJ196" s="415" t="b">
        <f>AND(AO196&lt;&gt;"",AO196&gt;0,COUNTIF(AI194:AI200,AI196)&gt;1)</f>
        <v>1</v>
      </c>
      <c r="AK196" s="316">
        <f t="shared" si="162"/>
        <v>0</v>
      </c>
      <c r="AL196" s="317">
        <f t="shared" si="163"/>
        <v>-19900</v>
      </c>
      <c r="AM196" s="415" t="b">
        <f>AND(AO196&lt;&gt;"",AO196&gt;0,COUNTIF(AL194:AL200,AL196)&gt;1)</f>
        <v>0</v>
      </c>
      <c r="AN196" s="306">
        <f t="shared" si="164"/>
        <v>0</v>
      </c>
      <c r="AO196" s="307">
        <f t="shared" si="165"/>
        <v>2</v>
      </c>
      <c r="AP196" s="307">
        <f>IF(OR(AC193="",AD196=""),"",COUNTIF(ResultsInd[Win],AC193&amp;"-"&amp;AD196))</f>
        <v>0</v>
      </c>
      <c r="AQ196" s="307">
        <f>IF(OR(AC193="",AD196=""),"",COUNTIF(ResultsInd[Draw1],AC193&amp;"-"&amp;AD196)+COUNTIF(ResultsInd[Draw2],AC193&amp;"-"&amp;AD196))</f>
        <v>0</v>
      </c>
      <c r="AR196" s="307">
        <f>IF(OR(AC193="",AD196=""),"",COUNTIF(ResultsInd[Lose],AC193&amp;"-"&amp;AD196))</f>
        <v>2</v>
      </c>
      <c r="AS196" s="307">
        <f>IF(OR(AC193="",AD196=""),"",SUMIFS(ResultsInd[Goal-A],ResultsInd[Category],AC193,ResultsInd[Stage],"Groups",ResultsInd[Player A],AD196)+SUMIFS(ResultsInd[Goal-B],ResultsInd[Category],AC193,ResultsInd[Stage],"Groups",ResultsInd[Player B],AD196))</f>
        <v>1</v>
      </c>
      <c r="AT196" s="307">
        <f>IF(OR(AC193="",AD196=""),"",SUMIFS(ResultsInd[Goal-B],ResultsInd[Category],AC193,ResultsInd[Stage],"Groups",ResultsInd[Player A],AD196)+SUMIFS(ResultsInd[Goal-A],ResultsInd[Category],AC193,ResultsInd[Stage],"Groups",ResultsInd[Player B],AD196))</f>
        <v>3</v>
      </c>
      <c r="AU196" s="308">
        <f t="shared" si="168"/>
        <v>-2</v>
      </c>
      <c r="AV196" s="469" t="b">
        <f>IF(AG196="","",OR(VLOOKUP(AG196,AH194:AU200,3,FALSE),VLOOKUP(AG196,AH194:AU200,6,FALSE)))</f>
        <v>0</v>
      </c>
      <c r="AW196" s="298">
        <f t="shared" si="166"/>
        <v>3</v>
      </c>
      <c r="AX196" s="285" t="str">
        <f>IF(AG196="","",INDEX(AD194:AD200,MATCH(AG196,AH194:AH200,0)))</f>
        <v>Irène Linquercq-Rivière</v>
      </c>
      <c r="AY196" s="286">
        <f>IF(AG196="","",VLOOKUP(AG196,AH194:AU200,COLUMN()-COLUMN(AR193),FALSE))</f>
        <v>0</v>
      </c>
      <c r="AZ196" s="286">
        <f>IF(AG196="","",VLOOKUP(AG196,AH194:AU200,COLUMN()-COLUMN(AR193),FALSE))</f>
        <v>0</v>
      </c>
      <c r="BA196" s="286">
        <f>IF(AG196="","",VLOOKUP(AG196,AH194:AU200,COLUMN()-COLUMN(AR193),FALSE))</f>
        <v>0</v>
      </c>
      <c r="BB196" s="286">
        <f>IF(AG196="","",VLOOKUP(AG196,AH194:AU200,COLUMN()-COLUMN(AR193),FALSE))</f>
        <v>0</v>
      </c>
      <c r="BC196" s="286">
        <f>IF(AG196="","",VLOOKUP(AG196,AH194:AU200,COLUMN()-COLUMN(AR193),FALSE))</f>
        <v>0</v>
      </c>
      <c r="BD196" s="286">
        <f>IF(AG196="","",VLOOKUP(AG196,AH194:AU200,COLUMN()-COLUMN(AR193),FALSE))</f>
        <v>0</v>
      </c>
      <c r="BE196" s="286">
        <f>IF(AG196="","",VLOOKUP(AG196,AH194:AU200,COLUMN()-COLUMN(AR193),FALSE))</f>
        <v>0</v>
      </c>
      <c r="BF196" s="301">
        <f>IF(AG196="","",VLOOKUP(AG196,AH194:AU200,COLUMN()-COLUMN(AR193),FALSE))</f>
        <v>0</v>
      </c>
    </row>
    <row r="197" spans="1:58" ht="12" thickBot="1" x14ac:dyDescent="0.25">
      <c r="A197" s="62"/>
      <c r="B197" s="62"/>
      <c r="C197" s="62"/>
      <c r="D197" s="62"/>
      <c r="E197" s="345"/>
      <c r="F197" s="345"/>
      <c r="G197" s="113"/>
      <c r="H197" s="113"/>
      <c r="I197" s="114"/>
      <c r="J197" s="114"/>
      <c r="K197" s="114"/>
      <c r="L197" s="81"/>
      <c r="M197" s="265" t="b">
        <f>NOT(ISERROR(ResultsInd[[#This Row],[Goal-A]]+ResultsInd[[#This Row],[Goal-B]]))</f>
        <v>1</v>
      </c>
      <c r="N197" s="265">
        <f>VALUE(ResultsInd[[#This Row],[Score-A]])</f>
        <v>0</v>
      </c>
      <c r="O197" s="265">
        <f>VALUE(ResultsInd[[#This Row],[Score-B]])</f>
        <v>0</v>
      </c>
      <c r="P197" s="265" t="str">
        <f ca="1">IF(AND(ResultsInd[[#This Row],[Category]]&lt;&gt;"",ResultsInd[[#This Row],[Player A]]&lt;&gt;""),COUNTIF(INDIRECT(ResultsInd[[#This Row],[Category]]&amp;"List[Retained Player Name]"),ResultsInd[[#This Row],[Player A]]),"")</f>
        <v/>
      </c>
      <c r="Q197" s="265" t="str">
        <f ca="1">IF(AND(ResultsInd[[#This Row],[Category]]&lt;&gt;"",ResultsInd[[#This Row],[Player B]]&lt;&gt;""),COUNTIF(INDIRECT(ResultsInd[[#This Row],[Category]]&amp;"List[Retained Player Name]"),ResultsInd[[#This Row],[Player B]]),"")</f>
        <v/>
      </c>
      <c r="R1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7" s="265" t="str">
        <f>IF(ResultsInd[[#This Row],[Score_OK]],IF(ResultsInd[[#This Row],[Stage]]="Groups",ResultsInd[[#This Row],[Category]]&amp;"-"&amp;IF(ResultsInd[[#This Row],[Player B]]="","",IF(ResultsInd[[#This Row],[Score-A]]=ResultsInd[[#This Row],[Score-B]],ResultsInd[[#This Row],[Player A]],"")),""),"")</f>
        <v/>
      </c>
      <c r="T197" s="265" t="str">
        <f>IF(ResultsInd[[#This Row],[Score_OK]],IF(ResultsInd[[#This Row],[Stage]]="Groups",ResultsInd[[#This Row],[Category]]&amp;"-"&amp;IF(ResultsInd[[#This Row],[Player B]]="","",IF(ResultsInd[[#This Row],[Score-A]]=ResultsInd[[#This Row],[Score-B]],ResultsInd[[#This Row],[Player B]],"")),""),"")</f>
        <v/>
      </c>
      <c r="U1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7" s="264" t="str">
        <f>IF(ResultsInd[[#This Row],[Category]]="","",VLOOKUP(ResultsInd[[#This Row],[Stage]],$P$1:$V$9,MATCH(ResultsInd[[#This Row],[Category]],$Q$1:$V$1,0)+1,FALSE))</f>
        <v/>
      </c>
      <c r="Z197" s="264" t="str">
        <f>IF(ResultsInd[[#This Row],[Score_OK]],IF(ResultsInd[[#This Row],[Level]]="R",ResultsInd[[#This Row],[Category]]&amp;"-"&amp;IF(ResultsInd[[#This Row],[LoseInKO]]=ResultsInd[[#This Row],[Category]]&amp;"-"&amp;ResultsInd[[#This Row],[Player A]],ResultsInd[[#This Row],[Player B]],ResultsInd[[#This Row],[Player A]]),""),"")</f>
        <v/>
      </c>
      <c r="AB197" s="91"/>
      <c r="AC197" s="12" t="str">
        <f t="shared" si="167"/>
        <v>OPEN</v>
      </c>
      <c r="AD197" s="309" t="s">
        <v>8075</v>
      </c>
      <c r="AE197" s="310"/>
      <c r="AF197" s="311"/>
      <c r="AG197" s="292">
        <f>IF(AP197="","",SMALL(AH194:AH200,ROWS(AG194:AG197)))</f>
        <v>4003</v>
      </c>
      <c r="AH197" s="293">
        <f>IF(AP197="","",RANK(AL197,AL194:AL200)*1000+ROWS(AH194:AH197))</f>
        <v>2004</v>
      </c>
      <c r="AI197" s="316">
        <f t="shared" si="161"/>
        <v>3000000000000</v>
      </c>
      <c r="AJ197" s="415" t="b">
        <f>AND(AO197&lt;&gt;"",AO197&gt;0,COUNTIF(AI194:AI200,AI197)&gt;1)</f>
        <v>0</v>
      </c>
      <c r="AK197" s="316">
        <f t="shared" si="162"/>
        <v>0</v>
      </c>
      <c r="AL197" s="317">
        <f t="shared" si="163"/>
        <v>2999999990400</v>
      </c>
      <c r="AM197" s="415" t="b">
        <f>AND(AO197&lt;&gt;"",AO197&gt;0,COUNTIF(AL194:AL200,AL197)&gt;1)</f>
        <v>0</v>
      </c>
      <c r="AN197" s="306">
        <f t="shared" si="164"/>
        <v>3</v>
      </c>
      <c r="AO197" s="307">
        <f t="shared" si="165"/>
        <v>2</v>
      </c>
      <c r="AP197" s="307">
        <f>IF(OR(AC193="",AD197=""),"",COUNTIF(ResultsInd[Win],AC193&amp;"-"&amp;AD197))</f>
        <v>1</v>
      </c>
      <c r="AQ197" s="307">
        <f>IF(OR(AC193="",AD197=""),"",COUNTIF(ResultsInd[Draw1],AC193&amp;"-"&amp;AD197)+COUNTIF(ResultsInd[Draw2],AC193&amp;"-"&amp;AD197))</f>
        <v>0</v>
      </c>
      <c r="AR197" s="307">
        <f>IF(OR(AC193="",AD197=""),"",COUNTIF(ResultsInd[Lose],AC193&amp;"-"&amp;AD197))</f>
        <v>1</v>
      </c>
      <c r="AS197" s="307">
        <f>IF(OR(AC193="",AD197=""),"",SUMIFS(ResultsInd[Goal-A],ResultsInd[Category],AC193,ResultsInd[Stage],"Groups",ResultsInd[Player A],AD197)+SUMIFS(ResultsInd[Goal-B],ResultsInd[Category],AC193,ResultsInd[Stage],"Groups",ResultsInd[Player B],AD197))</f>
        <v>4</v>
      </c>
      <c r="AT197" s="307">
        <f>IF(OR(AC193="",AD197=""),"",SUMIFS(ResultsInd[Goal-B],ResultsInd[Category],AC193,ResultsInd[Stage],"Groups",ResultsInd[Player A],AD197)+SUMIFS(ResultsInd[Goal-A],ResultsInd[Category],AC193,ResultsInd[Stage],"Groups",ResultsInd[Player B],AD197))</f>
        <v>5</v>
      </c>
      <c r="AU197" s="308">
        <f t="shared" si="168"/>
        <v>-1</v>
      </c>
      <c r="AV197" s="469" t="b">
        <f>IF(AG197="","",OR(VLOOKUP(AG197,AH194:AU200,3,FALSE),VLOOKUP(AG197,AH194:AU200,6,FALSE)))</f>
        <v>1</v>
      </c>
      <c r="AW197" s="298">
        <f t="shared" si="166"/>
        <v>4</v>
      </c>
      <c r="AX197" s="285" t="str">
        <f>IF(AG197="","",INDEX(AD194:AD200,MATCH(AG197,AH194:AH200,0)))</f>
        <v>Massimo Bolognino</v>
      </c>
      <c r="AY197" s="286">
        <f>IF(AG197="","",VLOOKUP(AG197,AH194:AU200,COLUMN()-COLUMN(AR193),FALSE))</f>
        <v>0</v>
      </c>
      <c r="AZ197" s="286">
        <f>IF(AG197="","",VLOOKUP(AG197,AH194:AU200,COLUMN()-COLUMN(AR193),FALSE))</f>
        <v>2</v>
      </c>
      <c r="BA197" s="286">
        <f>IF(AG197="","",VLOOKUP(AG197,AH194:AU200,COLUMN()-COLUMN(AR193),FALSE))</f>
        <v>0</v>
      </c>
      <c r="BB197" s="286">
        <f>IF(AG197="","",VLOOKUP(AG197,AH194:AU200,COLUMN()-COLUMN(AR193),FALSE))</f>
        <v>0</v>
      </c>
      <c r="BC197" s="286">
        <f>IF(AG197="","",VLOOKUP(AG197,AH194:AU200,COLUMN()-COLUMN(AR193),FALSE))</f>
        <v>2</v>
      </c>
      <c r="BD197" s="286">
        <f>IF(AG197="","",VLOOKUP(AG197,AH194:AU200,COLUMN()-COLUMN(AR193),FALSE))</f>
        <v>1</v>
      </c>
      <c r="BE197" s="286">
        <f>IF(AG197="","",VLOOKUP(AG197,AH194:AU200,COLUMN()-COLUMN(AR193),FALSE))</f>
        <v>3</v>
      </c>
      <c r="BF197" s="301">
        <f>IF(AG197="","",VLOOKUP(AG197,AH194:AU200,COLUMN()-COLUMN(AR193),FALSE))</f>
        <v>-2</v>
      </c>
    </row>
    <row r="198" spans="1:58" ht="12" thickBot="1" x14ac:dyDescent="0.25">
      <c r="A198" s="62"/>
      <c r="B198" s="62"/>
      <c r="C198" s="62"/>
      <c r="D198" s="62"/>
      <c r="E198" s="345"/>
      <c r="F198" s="345"/>
      <c r="G198" s="113"/>
      <c r="H198" s="113"/>
      <c r="I198" s="114"/>
      <c r="J198" s="114"/>
      <c r="K198" s="114"/>
      <c r="L198" s="81"/>
      <c r="M198" s="265" t="b">
        <f>NOT(ISERROR(ResultsInd[[#This Row],[Goal-A]]+ResultsInd[[#This Row],[Goal-B]]))</f>
        <v>1</v>
      </c>
      <c r="N198" s="265">
        <f>VALUE(ResultsInd[[#This Row],[Score-A]])</f>
        <v>0</v>
      </c>
      <c r="O198" s="265">
        <f>VALUE(ResultsInd[[#This Row],[Score-B]])</f>
        <v>0</v>
      </c>
      <c r="P198" s="265" t="str">
        <f ca="1">IF(AND(ResultsInd[[#This Row],[Category]]&lt;&gt;"",ResultsInd[[#This Row],[Player A]]&lt;&gt;""),COUNTIF(INDIRECT(ResultsInd[[#This Row],[Category]]&amp;"List[Retained Player Name]"),ResultsInd[[#This Row],[Player A]]),"")</f>
        <v/>
      </c>
      <c r="Q198" s="265" t="str">
        <f ca="1">IF(AND(ResultsInd[[#This Row],[Category]]&lt;&gt;"",ResultsInd[[#This Row],[Player B]]&lt;&gt;""),COUNTIF(INDIRECT(ResultsInd[[#This Row],[Category]]&amp;"List[Retained Player Name]"),ResultsInd[[#This Row],[Player B]]),"")</f>
        <v/>
      </c>
      <c r="R1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8" s="265" t="str">
        <f>IF(ResultsInd[[#This Row],[Score_OK]],IF(ResultsInd[[#This Row],[Stage]]="Groups",ResultsInd[[#This Row],[Category]]&amp;"-"&amp;IF(ResultsInd[[#This Row],[Player B]]="","",IF(ResultsInd[[#This Row],[Score-A]]=ResultsInd[[#This Row],[Score-B]],ResultsInd[[#This Row],[Player A]],"")),""),"")</f>
        <v/>
      </c>
      <c r="T198" s="265" t="str">
        <f>IF(ResultsInd[[#This Row],[Score_OK]],IF(ResultsInd[[#This Row],[Stage]]="Groups",ResultsInd[[#This Row],[Category]]&amp;"-"&amp;IF(ResultsInd[[#This Row],[Player B]]="","",IF(ResultsInd[[#This Row],[Score-A]]=ResultsInd[[#This Row],[Score-B]],ResultsInd[[#This Row],[Player B]],"")),""),"")</f>
        <v/>
      </c>
      <c r="U1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8" s="264" t="str">
        <f>IF(ResultsInd[[#This Row],[Category]]="","",VLOOKUP(ResultsInd[[#This Row],[Stage]],$P$1:$V$9,MATCH(ResultsInd[[#This Row],[Category]],$Q$1:$V$1,0)+1,FALSE))</f>
        <v/>
      </c>
      <c r="Z198" s="264" t="str">
        <f>IF(ResultsInd[[#This Row],[Score_OK]],IF(ResultsInd[[#This Row],[Level]]="R",ResultsInd[[#This Row],[Category]]&amp;"-"&amp;IF(ResultsInd[[#This Row],[LoseInKO]]=ResultsInd[[#This Row],[Category]]&amp;"-"&amp;ResultsInd[[#This Row],[Player A]],ResultsInd[[#This Row],[Player B]],ResultsInd[[#This Row],[Player A]]),""),"")</f>
        <v/>
      </c>
      <c r="AB198" s="91"/>
      <c r="AC198" s="12" t="str">
        <f t="shared" si="167"/>
        <v>OPEN</v>
      </c>
      <c r="AD198" s="309"/>
      <c r="AE198" s="310"/>
      <c r="AF198" s="311"/>
      <c r="AG198" s="292" t="str">
        <f>IF(AP198="","",SMALL(AH194:AH200,ROWS(AG194:AG198)))</f>
        <v/>
      </c>
      <c r="AH198" s="293" t="str">
        <f>IF(AP198="","",RANK(AL198,AL194:AL200)*1000+ROWS(AH194:AH198))</f>
        <v/>
      </c>
      <c r="AI198" s="316" t="str">
        <f t="shared" si="161"/>
        <v/>
      </c>
      <c r="AJ198" s="415" t="b">
        <f>AND(AO198&lt;&gt;"",AO198&gt;0,COUNTIF(AI194:AI200,AI198)&gt;1)</f>
        <v>0</v>
      </c>
      <c r="AK198" s="316" t="str">
        <f t="shared" si="162"/>
        <v/>
      </c>
      <c r="AL198" s="317" t="str">
        <f t="shared" si="163"/>
        <v/>
      </c>
      <c r="AM198" s="415" t="b">
        <f>AND(AO198&lt;&gt;"",AO198&gt;0,COUNTIF(AL194:AL200,AL198)&gt;1)</f>
        <v>0</v>
      </c>
      <c r="AN198" s="306" t="str">
        <f t="shared" si="164"/>
        <v/>
      </c>
      <c r="AO198" s="307" t="str">
        <f t="shared" si="165"/>
        <v/>
      </c>
      <c r="AP198" s="307" t="str">
        <f>IF(OR(AC193="",AD198=""),"",COUNTIF(ResultsInd[Win],AC193&amp;"-"&amp;AD198))</f>
        <v/>
      </c>
      <c r="AQ198" s="307" t="str">
        <f>IF(OR(AC193="",AD198=""),"",COUNTIF(ResultsInd[Draw1],AC193&amp;"-"&amp;AD198)+COUNTIF(ResultsInd[Draw2],AC193&amp;"-"&amp;AD198))</f>
        <v/>
      </c>
      <c r="AR198" s="307" t="str">
        <f>IF(OR(AC193="",AD198=""),"",COUNTIF(ResultsInd[Lose],AC193&amp;"-"&amp;AD198))</f>
        <v/>
      </c>
      <c r="AS198" s="307" t="str">
        <f>IF(OR(AC193="",AD198=""),"",SUMIFS(ResultsInd[Goal-A],ResultsInd[Category],AC193,ResultsInd[Stage],"Groups",ResultsInd[Player A],AD198)+SUMIFS(ResultsInd[Goal-B],ResultsInd[Category],AC193,ResultsInd[Stage],"Groups",ResultsInd[Player B],AD198))</f>
        <v/>
      </c>
      <c r="AT198" s="307" t="str">
        <f>IF(OR(AC193="",AD198=""),"",SUMIFS(ResultsInd[Goal-B],ResultsInd[Category],AC193,ResultsInd[Stage],"Groups",ResultsInd[Player A],AD198)+SUMIFS(ResultsInd[Goal-A],ResultsInd[Category],AC193,ResultsInd[Stage],"Groups",ResultsInd[Player B],AD198))</f>
        <v/>
      </c>
      <c r="AU198" s="308" t="str">
        <f t="shared" si="168"/>
        <v/>
      </c>
      <c r="AV198" s="469" t="str">
        <f>IF(AG198="","",OR(VLOOKUP(AG198,AH194:AU200,3,FALSE),VLOOKUP(AG198,AH194:AU200,6,FALSE)))</f>
        <v/>
      </c>
      <c r="AW198" s="298" t="str">
        <f t="shared" si="166"/>
        <v/>
      </c>
      <c r="AX198" s="285" t="str">
        <f>IF(AG198="","",INDEX(AD194:AD200,MATCH(AG198,AH194:AH200,0)))</f>
        <v/>
      </c>
      <c r="AY198" s="286" t="str">
        <f>IF(AG198="","",VLOOKUP(AG198,AH194:AU200,COLUMN()-COLUMN(AR193),FALSE))</f>
        <v/>
      </c>
      <c r="AZ198" s="286" t="str">
        <f>IF(AG198="","",VLOOKUP(AG198,AH194:AU200,COLUMN()-COLUMN(AR193),FALSE))</f>
        <v/>
      </c>
      <c r="BA198" s="286" t="str">
        <f>IF(AG198="","",VLOOKUP(AG198,AH194:AU200,COLUMN()-COLUMN(AR193),FALSE))</f>
        <v/>
      </c>
      <c r="BB198" s="286" t="str">
        <f>IF(AG198="","",VLOOKUP(AG198,AH194:AU200,COLUMN()-COLUMN(AR193),FALSE))</f>
        <v/>
      </c>
      <c r="BC198" s="286" t="str">
        <f>IF(AG198="","",VLOOKUP(AG198,AH194:AU200,COLUMN()-COLUMN(AR193),FALSE))</f>
        <v/>
      </c>
      <c r="BD198" s="286" t="str">
        <f>IF(AG198="","",VLOOKUP(AG198,AH194:AU200,COLUMN()-COLUMN(AR193),FALSE))</f>
        <v/>
      </c>
      <c r="BE198" s="286" t="str">
        <f>IF(AG198="","",VLOOKUP(AG198,AH194:AU200,COLUMN()-COLUMN(AR193),FALSE))</f>
        <v/>
      </c>
      <c r="BF198" s="301" t="str">
        <f>IF(AG198="","",VLOOKUP(AG198,AH194:AU200,COLUMN()-COLUMN(AR193),FALSE))</f>
        <v/>
      </c>
    </row>
    <row r="199" spans="1:58" ht="12" thickBot="1" x14ac:dyDescent="0.25">
      <c r="A199" s="62"/>
      <c r="B199" s="62"/>
      <c r="C199" s="62"/>
      <c r="D199" s="62"/>
      <c r="E199" s="345"/>
      <c r="F199" s="345"/>
      <c r="G199" s="113"/>
      <c r="H199" s="113"/>
      <c r="I199" s="114"/>
      <c r="J199" s="114"/>
      <c r="K199" s="114"/>
      <c r="L199" s="81"/>
      <c r="M199" s="265" t="b">
        <f>NOT(ISERROR(ResultsInd[[#This Row],[Goal-A]]+ResultsInd[[#This Row],[Goal-B]]))</f>
        <v>1</v>
      </c>
      <c r="N199" s="265">
        <f>VALUE(ResultsInd[[#This Row],[Score-A]])</f>
        <v>0</v>
      </c>
      <c r="O199" s="265">
        <f>VALUE(ResultsInd[[#This Row],[Score-B]])</f>
        <v>0</v>
      </c>
      <c r="P199" s="265" t="str">
        <f ca="1">IF(AND(ResultsInd[[#This Row],[Category]]&lt;&gt;"",ResultsInd[[#This Row],[Player A]]&lt;&gt;""),COUNTIF(INDIRECT(ResultsInd[[#This Row],[Category]]&amp;"List[Retained Player Name]"),ResultsInd[[#This Row],[Player A]]),"")</f>
        <v/>
      </c>
      <c r="Q199" s="265" t="str">
        <f ca="1">IF(AND(ResultsInd[[#This Row],[Category]]&lt;&gt;"",ResultsInd[[#This Row],[Player B]]&lt;&gt;""),COUNTIF(INDIRECT(ResultsInd[[#This Row],[Category]]&amp;"List[Retained Player Name]"),ResultsInd[[#This Row],[Player B]]),"")</f>
        <v/>
      </c>
      <c r="R1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9" s="265" t="str">
        <f>IF(ResultsInd[[#This Row],[Score_OK]],IF(ResultsInd[[#This Row],[Stage]]="Groups",ResultsInd[[#This Row],[Category]]&amp;"-"&amp;IF(ResultsInd[[#This Row],[Player B]]="","",IF(ResultsInd[[#This Row],[Score-A]]=ResultsInd[[#This Row],[Score-B]],ResultsInd[[#This Row],[Player A]],"")),""),"")</f>
        <v/>
      </c>
      <c r="T199" s="265" t="str">
        <f>IF(ResultsInd[[#This Row],[Score_OK]],IF(ResultsInd[[#This Row],[Stage]]="Groups",ResultsInd[[#This Row],[Category]]&amp;"-"&amp;IF(ResultsInd[[#This Row],[Player B]]="","",IF(ResultsInd[[#This Row],[Score-A]]=ResultsInd[[#This Row],[Score-B]],ResultsInd[[#This Row],[Player B]],"")),""),"")</f>
        <v/>
      </c>
      <c r="U1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99" s="264" t="str">
        <f>IF(ResultsInd[[#This Row],[Category]]="","",VLOOKUP(ResultsInd[[#This Row],[Stage]],$P$1:$V$9,MATCH(ResultsInd[[#This Row],[Category]],$Q$1:$V$1,0)+1,FALSE))</f>
        <v/>
      </c>
      <c r="Z199" s="264" t="str">
        <f>IF(ResultsInd[[#This Row],[Score_OK]],IF(ResultsInd[[#This Row],[Level]]="R",ResultsInd[[#This Row],[Category]]&amp;"-"&amp;IF(ResultsInd[[#This Row],[LoseInKO]]=ResultsInd[[#This Row],[Category]]&amp;"-"&amp;ResultsInd[[#This Row],[Player A]],ResultsInd[[#This Row],[Player B]],ResultsInd[[#This Row],[Player A]]),""),"")</f>
        <v/>
      </c>
      <c r="AB199" s="8"/>
      <c r="AC199" s="12" t="str">
        <f t="shared" si="167"/>
        <v>OPEN</v>
      </c>
      <c r="AD199" s="309"/>
      <c r="AE199" s="310"/>
      <c r="AF199" s="311"/>
      <c r="AG199" s="292" t="str">
        <f>IF(AP199="","",SMALL(AH194:AH200,ROWS(AG194:AG199)))</f>
        <v/>
      </c>
      <c r="AH199" s="293" t="str">
        <f>IF(AP199="","",RANK(AL199,AL194:AL200)*1000+ROWS(AH194:AH199))</f>
        <v/>
      </c>
      <c r="AI199" s="316" t="str">
        <f t="shared" si="161"/>
        <v/>
      </c>
      <c r="AJ199" s="415" t="b">
        <f>AND(AO199&lt;&gt;"",AO199&gt;0,COUNTIF(AI194:AI200,AI199)&gt;1)</f>
        <v>0</v>
      </c>
      <c r="AK199" s="316" t="str">
        <f t="shared" si="162"/>
        <v/>
      </c>
      <c r="AL199" s="317" t="str">
        <f t="shared" si="163"/>
        <v/>
      </c>
      <c r="AM199" s="415" t="b">
        <f>AND(AO199&lt;&gt;"",AO199&gt;0,COUNTIF(AL194:AL200,AL199)&gt;1)</f>
        <v>0</v>
      </c>
      <c r="AN199" s="306" t="str">
        <f t="shared" si="164"/>
        <v/>
      </c>
      <c r="AO199" s="307" t="str">
        <f t="shared" si="165"/>
        <v/>
      </c>
      <c r="AP199" s="307" t="str">
        <f>IF(OR(AC193="",AD199=""),"",COUNTIF(ResultsInd[Win],AC193&amp;"-"&amp;AD199))</f>
        <v/>
      </c>
      <c r="AQ199" s="307" t="str">
        <f>IF(OR(AC193="",AD199=""),"",COUNTIF(ResultsInd[Draw1],AC193&amp;"-"&amp;AD199)+COUNTIF(ResultsInd[Draw2],AC193&amp;"-"&amp;AD199))</f>
        <v/>
      </c>
      <c r="AR199" s="307" t="str">
        <f>IF(OR(AC193="",AD199=""),"",COUNTIF(ResultsInd[Lose],AC193&amp;"-"&amp;AD199))</f>
        <v/>
      </c>
      <c r="AS199" s="307" t="str">
        <f>IF(OR(AC193="",AD199=""),"",SUMIFS(ResultsInd[Goal-A],ResultsInd[Category],AC193,ResultsInd[Stage],"Groups",ResultsInd[Player A],AD199)+SUMIFS(ResultsInd[Goal-B],ResultsInd[Category],AC193,ResultsInd[Stage],"Groups",ResultsInd[Player B],AD199))</f>
        <v/>
      </c>
      <c r="AT199" s="307" t="str">
        <f>IF(OR(AC193="",AD199=""),"",SUMIFS(ResultsInd[Goal-B],ResultsInd[Category],AC193,ResultsInd[Stage],"Groups",ResultsInd[Player A],AD199)+SUMIFS(ResultsInd[Goal-A],ResultsInd[Category],AC193,ResultsInd[Stage],"Groups",ResultsInd[Player B],AD199))</f>
        <v/>
      </c>
      <c r="AU199" s="308" t="str">
        <f t="shared" si="168"/>
        <v/>
      </c>
      <c r="AV199" s="469" t="str">
        <f>IF(AG199="","",OR(VLOOKUP(AG199,AH194:AU200,3,FALSE),VLOOKUP(AG199,AH194:AU200,6,FALSE)))</f>
        <v/>
      </c>
      <c r="AW199" s="298" t="str">
        <f t="shared" si="166"/>
        <v/>
      </c>
      <c r="AX199" s="285" t="str">
        <f>IF(AG199="","",INDEX(AD194:AD200,MATCH(AG199,AH194:AH200,0)))</f>
        <v/>
      </c>
      <c r="AY199" s="286" t="str">
        <f>IF(AG199="","",VLOOKUP(AG199,AH194:AU200,COLUMN()-COLUMN(AR193),FALSE))</f>
        <v/>
      </c>
      <c r="AZ199" s="286" t="str">
        <f>IF(AG199="","",VLOOKUP(AG199,AH194:AU200,COLUMN()-COLUMN(AR193),FALSE))</f>
        <v/>
      </c>
      <c r="BA199" s="286" t="str">
        <f>IF(AG199="","",VLOOKUP(AG199,AH194:AU200,COLUMN()-COLUMN(AR193),FALSE))</f>
        <v/>
      </c>
      <c r="BB199" s="286" t="str">
        <f>IF(AG199="","",VLOOKUP(AG199,AH194:AU200,COLUMN()-COLUMN(AR193),FALSE))</f>
        <v/>
      </c>
      <c r="BC199" s="286" t="str">
        <f>IF(AG199="","",VLOOKUP(AG199,AH194:AU200,COLUMN()-COLUMN(AR193),FALSE))</f>
        <v/>
      </c>
      <c r="BD199" s="286" t="str">
        <f>IF(AG199="","",VLOOKUP(AG199,AH194:AU200,COLUMN()-COLUMN(AR193),FALSE))</f>
        <v/>
      </c>
      <c r="BE199" s="286" t="str">
        <f>IF(AG199="","",VLOOKUP(AG199,AH194:AU200,COLUMN()-COLUMN(AR193),FALSE))</f>
        <v/>
      </c>
      <c r="BF199" s="301" t="str">
        <f>IF(AG199="","",VLOOKUP(AG199,AH194:AU200,COLUMN()-COLUMN(AR193),FALSE))</f>
        <v/>
      </c>
    </row>
    <row r="200" spans="1:58" ht="12" thickBot="1" x14ac:dyDescent="0.25">
      <c r="A200" s="62"/>
      <c r="B200" s="62"/>
      <c r="C200" s="62"/>
      <c r="D200" s="62"/>
      <c r="E200" s="345"/>
      <c r="F200" s="345"/>
      <c r="G200" s="113"/>
      <c r="H200" s="113"/>
      <c r="I200" s="114"/>
      <c r="J200" s="114"/>
      <c r="K200" s="114"/>
      <c r="L200" s="81"/>
      <c r="M200" s="265" t="b">
        <f>NOT(ISERROR(ResultsInd[[#This Row],[Goal-A]]+ResultsInd[[#This Row],[Goal-B]]))</f>
        <v>1</v>
      </c>
      <c r="N200" s="265">
        <f>VALUE(ResultsInd[[#This Row],[Score-A]])</f>
        <v>0</v>
      </c>
      <c r="O200" s="265">
        <f>VALUE(ResultsInd[[#This Row],[Score-B]])</f>
        <v>0</v>
      </c>
      <c r="P200" s="265" t="str">
        <f ca="1">IF(AND(ResultsInd[[#This Row],[Category]]&lt;&gt;"",ResultsInd[[#This Row],[Player A]]&lt;&gt;""),COUNTIF(INDIRECT(ResultsInd[[#This Row],[Category]]&amp;"List[Retained Player Name]"),ResultsInd[[#This Row],[Player A]]),"")</f>
        <v/>
      </c>
      <c r="Q200" s="265" t="str">
        <f ca="1">IF(AND(ResultsInd[[#This Row],[Category]]&lt;&gt;"",ResultsInd[[#This Row],[Player B]]&lt;&gt;""),COUNTIF(INDIRECT(ResultsInd[[#This Row],[Category]]&amp;"List[Retained Player Name]"),ResultsInd[[#This Row],[Player B]]),"")</f>
        <v/>
      </c>
      <c r="R2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0" s="265" t="str">
        <f>IF(ResultsInd[[#This Row],[Score_OK]],IF(ResultsInd[[#This Row],[Stage]]="Groups",ResultsInd[[#This Row],[Category]]&amp;"-"&amp;IF(ResultsInd[[#This Row],[Player B]]="","",IF(ResultsInd[[#This Row],[Score-A]]=ResultsInd[[#This Row],[Score-B]],ResultsInd[[#This Row],[Player A]],"")),""),"")</f>
        <v/>
      </c>
      <c r="T200" s="265" t="str">
        <f>IF(ResultsInd[[#This Row],[Score_OK]],IF(ResultsInd[[#This Row],[Stage]]="Groups",ResultsInd[[#This Row],[Category]]&amp;"-"&amp;IF(ResultsInd[[#This Row],[Player B]]="","",IF(ResultsInd[[#This Row],[Score-A]]=ResultsInd[[#This Row],[Score-B]],ResultsInd[[#This Row],[Player B]],"")),""),"")</f>
        <v/>
      </c>
      <c r="U2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0" s="264" t="str">
        <f>IF(ResultsInd[[#This Row],[Category]]="","",VLOOKUP(ResultsInd[[#This Row],[Stage]],$P$1:$V$9,MATCH(ResultsInd[[#This Row],[Category]],$Q$1:$V$1,0)+1,FALSE))</f>
        <v/>
      </c>
      <c r="Z200" s="264" t="str">
        <f>IF(ResultsInd[[#This Row],[Score_OK]],IF(ResultsInd[[#This Row],[Level]]="R",ResultsInd[[#This Row],[Category]]&amp;"-"&amp;IF(ResultsInd[[#This Row],[LoseInKO]]=ResultsInd[[#This Row],[Category]]&amp;"-"&amp;ResultsInd[[#This Row],[Player A]],ResultsInd[[#This Row],[Player B]],ResultsInd[[#This Row],[Player A]]),""),"")</f>
        <v/>
      </c>
      <c r="AB200" s="8"/>
      <c r="AC200" s="12" t="str">
        <f t="shared" si="167"/>
        <v>OPEN</v>
      </c>
      <c r="AD200" s="312"/>
      <c r="AE200" s="313"/>
      <c r="AF200" s="314"/>
      <c r="AG200" s="294" t="str">
        <f>IF(AP200="","",SMALL(AH194:AH200,ROWS(AG194:AG200)))</f>
        <v/>
      </c>
      <c r="AH200" s="295" t="str">
        <f>IF(AP200="","",RANK(AL200,AL194:AL200)*1000+ROWS(AH194:AH200))</f>
        <v/>
      </c>
      <c r="AI200" s="318" t="str">
        <f t="shared" si="161"/>
        <v/>
      </c>
      <c r="AJ200" s="416" t="b">
        <f>AND(AO200&lt;&gt;"",AO200&gt;0,COUNTIF(AI194:AI200,AI200)&gt;1)</f>
        <v>0</v>
      </c>
      <c r="AK200" s="318" t="str">
        <f t="shared" si="162"/>
        <v/>
      </c>
      <c r="AL200" s="319" t="str">
        <f t="shared" si="163"/>
        <v/>
      </c>
      <c r="AM200" s="416" t="b">
        <f>AND(AO200&lt;&gt;"",AO200&gt;0,COUNTIF(AL194:AL200,AL200)&gt;1)</f>
        <v>0</v>
      </c>
      <c r="AN200" s="306" t="str">
        <f t="shared" si="164"/>
        <v/>
      </c>
      <c r="AO200" s="307" t="str">
        <f t="shared" si="165"/>
        <v/>
      </c>
      <c r="AP200" s="307" t="str">
        <f>IF(OR(AC193="",AD200=""),"",COUNTIF(ResultsInd[Win],AC193&amp;"-"&amp;AD200))</f>
        <v/>
      </c>
      <c r="AQ200" s="307" t="str">
        <f>IF(OR(AC193="",AD200=""),"",COUNTIF(ResultsInd[Draw1],AC193&amp;"-"&amp;AD200)+COUNTIF(ResultsInd[Draw2],AC193&amp;"-"&amp;AD200))</f>
        <v/>
      </c>
      <c r="AR200" s="307" t="str">
        <f>IF(OR(AC193="",AD200=""),"",COUNTIF(ResultsInd[Lose],AC193&amp;"-"&amp;AD200))</f>
        <v/>
      </c>
      <c r="AS200" s="307" t="str">
        <f>IF(OR(AC193="",AD200=""),"",SUMIFS(ResultsInd[Goal-A],ResultsInd[Category],AC193,ResultsInd[Stage],"Groups",ResultsInd[Player A],AD200)+SUMIFS(ResultsInd[Goal-B],ResultsInd[Category],AC193,ResultsInd[Stage],"Groups",ResultsInd[Player B],AD200))</f>
        <v/>
      </c>
      <c r="AT200" s="307" t="str">
        <f>IF(OR(AC193="",AD200=""),"",SUMIFS(ResultsInd[Goal-B],ResultsInd[Category],AC193,ResultsInd[Stage],"Groups",ResultsInd[Player A],AD200)+SUMIFS(ResultsInd[Goal-A],ResultsInd[Category],AC193,ResultsInd[Stage],"Groups",ResultsInd[Player B],AD200))</f>
        <v/>
      </c>
      <c r="AU200" s="308" t="str">
        <f t="shared" si="168"/>
        <v/>
      </c>
      <c r="AV200" s="469" t="str">
        <f>IF(AG200="","",OR(VLOOKUP(AG200,AH194:AU200,3,FALSE),VLOOKUP(AG200,AH194:AU200,6,FALSE)))</f>
        <v/>
      </c>
      <c r="AW200" s="299" t="str">
        <f t="shared" si="166"/>
        <v/>
      </c>
      <c r="AX200" s="287" t="str">
        <f>IF(AG200="","",INDEX(AD194:AD200,MATCH(AG200,AH194:AH200,0)))</f>
        <v/>
      </c>
      <c r="AY200" s="288" t="str">
        <f>IF(AG200="","",VLOOKUP(AG200,AH194:AU200,COLUMN()-COLUMN(AR193),FALSE))</f>
        <v/>
      </c>
      <c r="AZ200" s="288" t="str">
        <f>IF(AG200="","",VLOOKUP(AG200,AH194:AU200,COLUMN()-COLUMN(AR193),FALSE))</f>
        <v/>
      </c>
      <c r="BA200" s="288" t="str">
        <f>IF(AG200="","",VLOOKUP(AG200,AH194:AU200,COLUMN()-COLUMN(AR193),FALSE))</f>
        <v/>
      </c>
      <c r="BB200" s="288" t="str">
        <f>IF(AG200="","",VLOOKUP(AG200,AH194:AU200,COLUMN()-COLUMN(AR193),FALSE))</f>
        <v/>
      </c>
      <c r="BC200" s="288" t="str">
        <f>IF(AG200="","",VLOOKUP(AG200,AH194:AU200,COLUMN()-COLUMN(AR193),FALSE))</f>
        <v/>
      </c>
      <c r="BD200" s="288" t="str">
        <f>IF(AG200="","",VLOOKUP(AG200,AH194:AU200,COLUMN()-COLUMN(AR193),FALSE))</f>
        <v/>
      </c>
      <c r="BE200" s="288" t="str">
        <f>IF(AG200="","",VLOOKUP(AG200,AH194:AU200,COLUMN()-COLUMN(AR193),FALSE))</f>
        <v/>
      </c>
      <c r="BF200" s="302" t="str">
        <f>IF(AG200="","",VLOOKUP(AG200,AH194:AU200,COLUMN()-COLUMN(AR193),FALSE))</f>
        <v/>
      </c>
    </row>
    <row r="201" spans="1:58" ht="13.5" thickBot="1" x14ac:dyDescent="0.25">
      <c r="A201" s="62"/>
      <c r="B201" s="62"/>
      <c r="C201" s="62"/>
      <c r="D201" s="62"/>
      <c r="E201" s="345"/>
      <c r="F201" s="345"/>
      <c r="G201" s="113"/>
      <c r="H201" s="113"/>
      <c r="I201" s="114"/>
      <c r="J201" s="114"/>
      <c r="K201" s="114"/>
      <c r="L201" s="81"/>
      <c r="M201" s="265" t="b">
        <f>NOT(ISERROR(ResultsInd[[#This Row],[Goal-A]]+ResultsInd[[#This Row],[Goal-B]]))</f>
        <v>1</v>
      </c>
      <c r="N201" s="265">
        <f>VALUE(ResultsInd[[#This Row],[Score-A]])</f>
        <v>0</v>
      </c>
      <c r="O201" s="265">
        <f>VALUE(ResultsInd[[#This Row],[Score-B]])</f>
        <v>0</v>
      </c>
      <c r="P201" s="265" t="str">
        <f ca="1">IF(AND(ResultsInd[[#This Row],[Category]]&lt;&gt;"",ResultsInd[[#This Row],[Player A]]&lt;&gt;""),COUNTIF(INDIRECT(ResultsInd[[#This Row],[Category]]&amp;"List[Retained Player Name]"),ResultsInd[[#This Row],[Player A]]),"")</f>
        <v/>
      </c>
      <c r="Q201" s="265" t="str">
        <f ca="1">IF(AND(ResultsInd[[#This Row],[Category]]&lt;&gt;"",ResultsInd[[#This Row],[Player B]]&lt;&gt;""),COUNTIF(INDIRECT(ResultsInd[[#This Row],[Category]]&amp;"List[Retained Player Name]"),ResultsInd[[#This Row],[Player B]]),"")</f>
        <v/>
      </c>
      <c r="R2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1" s="265" t="str">
        <f>IF(ResultsInd[[#This Row],[Score_OK]],IF(ResultsInd[[#This Row],[Stage]]="Groups",ResultsInd[[#This Row],[Category]]&amp;"-"&amp;IF(ResultsInd[[#This Row],[Player B]]="","",IF(ResultsInd[[#This Row],[Score-A]]=ResultsInd[[#This Row],[Score-B]],ResultsInd[[#This Row],[Player A]],"")),""),"")</f>
        <v/>
      </c>
      <c r="T201" s="265" t="str">
        <f>IF(ResultsInd[[#This Row],[Score_OK]],IF(ResultsInd[[#This Row],[Stage]]="Groups",ResultsInd[[#This Row],[Category]]&amp;"-"&amp;IF(ResultsInd[[#This Row],[Player B]]="","",IF(ResultsInd[[#This Row],[Score-A]]=ResultsInd[[#This Row],[Score-B]],ResultsInd[[#This Row],[Player B]],"")),""),"")</f>
        <v/>
      </c>
      <c r="U2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1" s="264" t="str">
        <f>IF(ResultsInd[[#This Row],[Category]]="","",VLOOKUP(ResultsInd[[#This Row],[Stage]],$P$1:$V$9,MATCH(ResultsInd[[#This Row],[Category]],$Q$1:$V$1,0)+1,FALSE))</f>
        <v/>
      </c>
      <c r="Z201" s="264" t="str">
        <f>IF(ResultsInd[[#This Row],[Score_OK]],IF(ResultsInd[[#This Row],[Level]]="R",ResultsInd[[#This Row],[Category]]&amp;"-"&amp;IF(ResultsInd[[#This Row],[LoseInKO]]=ResultsInd[[#This Row],[Category]]&amp;"-"&amp;ResultsInd[[#This Row],[Player A]],ResultsInd[[#This Row],[Player B]],ResultsInd[[#This Row],[Player A]]),""),"")</f>
        <v/>
      </c>
      <c r="AB201" s="8"/>
      <c r="AC201" s="8"/>
      <c r="AF201" s="170"/>
      <c r="AG201" s="101"/>
      <c r="AH201" s="101"/>
      <c r="AN201" s="170"/>
      <c r="AO201" s="170"/>
      <c r="AP201" s="170"/>
      <c r="AQ201" s="172"/>
      <c r="AR201" s="173"/>
      <c r="AS201" s="173"/>
      <c r="AT201" s="173"/>
      <c r="AU201" s="101"/>
      <c r="AV201" s="101"/>
      <c r="AW201" s="101"/>
      <c r="AX201" s="101"/>
      <c r="AY201" s="101"/>
      <c r="AZ201" s="101"/>
    </row>
    <row r="202" spans="1:58" ht="12" thickBot="1" x14ac:dyDescent="0.25">
      <c r="A202" s="62"/>
      <c r="B202" s="62"/>
      <c r="C202" s="62"/>
      <c r="D202" s="62"/>
      <c r="E202" s="345"/>
      <c r="F202" s="345"/>
      <c r="G202" s="113"/>
      <c r="H202" s="113"/>
      <c r="I202" s="114"/>
      <c r="J202" s="114"/>
      <c r="K202" s="114"/>
      <c r="L202" s="81"/>
      <c r="M202" s="265" t="b">
        <f>NOT(ISERROR(ResultsInd[[#This Row],[Goal-A]]+ResultsInd[[#This Row],[Goal-B]]))</f>
        <v>1</v>
      </c>
      <c r="N202" s="265">
        <f>VALUE(ResultsInd[[#This Row],[Score-A]])</f>
        <v>0</v>
      </c>
      <c r="O202" s="265">
        <f>VALUE(ResultsInd[[#This Row],[Score-B]])</f>
        <v>0</v>
      </c>
      <c r="P202" s="265" t="str">
        <f ca="1">IF(AND(ResultsInd[[#This Row],[Category]]&lt;&gt;"",ResultsInd[[#This Row],[Player A]]&lt;&gt;""),COUNTIF(INDIRECT(ResultsInd[[#This Row],[Category]]&amp;"List[Retained Player Name]"),ResultsInd[[#This Row],[Player A]]),"")</f>
        <v/>
      </c>
      <c r="Q202" s="265" t="str">
        <f ca="1">IF(AND(ResultsInd[[#This Row],[Category]]&lt;&gt;"",ResultsInd[[#This Row],[Player B]]&lt;&gt;""),COUNTIF(INDIRECT(ResultsInd[[#This Row],[Category]]&amp;"List[Retained Player Name]"),ResultsInd[[#This Row],[Player B]]),"")</f>
        <v/>
      </c>
      <c r="R2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2" s="265" t="str">
        <f>IF(ResultsInd[[#This Row],[Score_OK]],IF(ResultsInd[[#This Row],[Stage]]="Groups",ResultsInd[[#This Row],[Category]]&amp;"-"&amp;IF(ResultsInd[[#This Row],[Player B]]="","",IF(ResultsInd[[#This Row],[Score-A]]=ResultsInd[[#This Row],[Score-B]],ResultsInd[[#This Row],[Player A]],"")),""),"")</f>
        <v/>
      </c>
      <c r="T202" s="265" t="str">
        <f>IF(ResultsInd[[#This Row],[Score_OK]],IF(ResultsInd[[#This Row],[Stage]]="Groups",ResultsInd[[#This Row],[Category]]&amp;"-"&amp;IF(ResultsInd[[#This Row],[Player B]]="","",IF(ResultsInd[[#This Row],[Score-A]]=ResultsInd[[#This Row],[Score-B]],ResultsInd[[#This Row],[Player B]],"")),""),"")</f>
        <v/>
      </c>
      <c r="U2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2" s="264" t="str">
        <f>IF(ResultsInd[[#This Row],[Category]]="","",VLOOKUP(ResultsInd[[#This Row],[Stage]],$P$1:$V$9,MATCH(ResultsInd[[#This Row],[Category]],$Q$1:$V$1,0)+1,FALSE))</f>
        <v/>
      </c>
      <c r="Z202" s="264" t="str">
        <f>IF(ResultsInd[[#This Row],[Score_OK]],IF(ResultsInd[[#This Row],[Level]]="R",ResultsInd[[#This Row],[Category]]&amp;"-"&amp;IF(ResultsInd[[#This Row],[LoseInKO]]=ResultsInd[[#This Row],[Category]]&amp;"-"&amp;ResultsInd[[#This Row],[Player A]],ResultsInd[[#This Row],[Player B]],ResultsInd[[#This Row],[Player A]]),""),"")</f>
        <v/>
      </c>
      <c r="AB202" s="281">
        <v>21</v>
      </c>
      <c r="AC202" s="315" t="s">
        <v>890</v>
      </c>
      <c r="AD202" s="289" t="s">
        <v>14439</v>
      </c>
      <c r="AE202" s="290" t="s">
        <v>12279</v>
      </c>
      <c r="AF202" s="284" t="s">
        <v>12275</v>
      </c>
      <c r="AG202" s="296" t="s">
        <v>12276</v>
      </c>
      <c r="AH202" s="291" t="s">
        <v>12271</v>
      </c>
      <c r="AI202" s="291" t="s">
        <v>12272</v>
      </c>
      <c r="AJ202" s="414" t="s">
        <v>13154</v>
      </c>
      <c r="AK202" s="291" t="s">
        <v>12273</v>
      </c>
      <c r="AL202" s="297" t="s">
        <v>12274</v>
      </c>
      <c r="AM202" s="414" t="s">
        <v>13154</v>
      </c>
      <c r="AN202" s="303" t="s">
        <v>12199</v>
      </c>
      <c r="AO202" s="304" t="s">
        <v>12200</v>
      </c>
      <c r="AP202" s="304" t="s">
        <v>12201</v>
      </c>
      <c r="AQ202" s="304" t="s">
        <v>12202</v>
      </c>
      <c r="AR202" s="304" t="s">
        <v>12203</v>
      </c>
      <c r="AS202" s="304" t="s">
        <v>12204</v>
      </c>
      <c r="AT202" s="304" t="s">
        <v>12205</v>
      </c>
      <c r="AU202" s="305" t="s">
        <v>12206</v>
      </c>
      <c r="AV202" s="468"/>
      <c r="AW202" s="282" t="s">
        <v>12276</v>
      </c>
      <c r="AX202" s="282" t="s">
        <v>12280</v>
      </c>
      <c r="AY202" s="283" t="s">
        <v>12199</v>
      </c>
      <c r="AZ202" s="283" t="s">
        <v>12200</v>
      </c>
      <c r="BA202" s="283" t="s">
        <v>12201</v>
      </c>
      <c r="BB202" s="283" t="s">
        <v>12202</v>
      </c>
      <c r="BC202" s="283" t="s">
        <v>12203</v>
      </c>
      <c r="BD202" s="283" t="s">
        <v>12204</v>
      </c>
      <c r="BE202" s="283" t="s">
        <v>12205</v>
      </c>
      <c r="BF202" s="300" t="s">
        <v>12206</v>
      </c>
    </row>
    <row r="203" spans="1:58" ht="12" thickBot="1" x14ac:dyDescent="0.25">
      <c r="A203" s="62"/>
      <c r="B203" s="62"/>
      <c r="C203" s="62"/>
      <c r="D203" s="62"/>
      <c r="E203" s="345"/>
      <c r="F203" s="345"/>
      <c r="G203" s="113"/>
      <c r="H203" s="113"/>
      <c r="I203" s="114"/>
      <c r="J203" s="114"/>
      <c r="K203" s="114"/>
      <c r="L203" s="81"/>
      <c r="M203" s="265" t="b">
        <f>NOT(ISERROR(ResultsInd[[#This Row],[Goal-A]]+ResultsInd[[#This Row],[Goal-B]]))</f>
        <v>1</v>
      </c>
      <c r="N203" s="265">
        <f>VALUE(ResultsInd[[#This Row],[Score-A]])</f>
        <v>0</v>
      </c>
      <c r="O203" s="265">
        <f>VALUE(ResultsInd[[#This Row],[Score-B]])</f>
        <v>0</v>
      </c>
      <c r="P203" s="265" t="str">
        <f ca="1">IF(AND(ResultsInd[[#This Row],[Category]]&lt;&gt;"",ResultsInd[[#This Row],[Player A]]&lt;&gt;""),COUNTIF(INDIRECT(ResultsInd[[#This Row],[Category]]&amp;"List[Retained Player Name]"),ResultsInd[[#This Row],[Player A]]),"")</f>
        <v/>
      </c>
      <c r="Q203" s="265" t="str">
        <f ca="1">IF(AND(ResultsInd[[#This Row],[Category]]&lt;&gt;"",ResultsInd[[#This Row],[Player B]]&lt;&gt;""),COUNTIF(INDIRECT(ResultsInd[[#This Row],[Category]]&amp;"List[Retained Player Name]"),ResultsInd[[#This Row],[Player B]]),"")</f>
        <v/>
      </c>
      <c r="R2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3" s="265" t="str">
        <f>IF(ResultsInd[[#This Row],[Score_OK]],IF(ResultsInd[[#This Row],[Stage]]="Groups",ResultsInd[[#This Row],[Category]]&amp;"-"&amp;IF(ResultsInd[[#This Row],[Player B]]="","",IF(ResultsInd[[#This Row],[Score-A]]=ResultsInd[[#This Row],[Score-B]],ResultsInd[[#This Row],[Player A]],"")),""),"")</f>
        <v/>
      </c>
      <c r="T203" s="265" t="str">
        <f>IF(ResultsInd[[#This Row],[Score_OK]],IF(ResultsInd[[#This Row],[Stage]]="Groups",ResultsInd[[#This Row],[Category]]&amp;"-"&amp;IF(ResultsInd[[#This Row],[Player B]]="","",IF(ResultsInd[[#This Row],[Score-A]]=ResultsInd[[#This Row],[Score-B]],ResultsInd[[#This Row],[Player B]],"")),""),"")</f>
        <v/>
      </c>
      <c r="U2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3" s="264" t="str">
        <f>IF(ResultsInd[[#This Row],[Category]]="","",VLOOKUP(ResultsInd[[#This Row],[Stage]],$P$1:$V$9,MATCH(ResultsInd[[#This Row],[Category]],$Q$1:$V$1,0)+1,FALSE))</f>
        <v/>
      </c>
      <c r="Z203" s="264" t="str">
        <f>IF(ResultsInd[[#This Row],[Score_OK]],IF(ResultsInd[[#This Row],[Level]]="R",ResultsInd[[#This Row],[Category]]&amp;"-"&amp;IF(ResultsInd[[#This Row],[LoseInKO]]=ResultsInd[[#This Row],[Category]]&amp;"-"&amp;ResultsInd[[#This Row],[Player A]],ResultsInd[[#This Row],[Player B]],ResultsInd[[#This Row],[Player A]]),""),"")</f>
        <v/>
      </c>
      <c r="AB203" s="8"/>
      <c r="AC203" s="12" t="str">
        <f>IF(AC202="","",AC202)</f>
        <v>OPEN</v>
      </c>
      <c r="AD203" s="309" t="s">
        <v>8714</v>
      </c>
      <c r="AE203" s="320"/>
      <c r="AF203" s="311"/>
      <c r="AG203" s="292">
        <f>IF(AP203="","",SMALL(AH203:AH209,ROWS(AG203:AG203)))</f>
        <v>1001</v>
      </c>
      <c r="AH203" s="293">
        <f>IF(AP203="","",RANK(AL203,AL203:AL209)*1000+ROWS(AH203:AH203))</f>
        <v>1001</v>
      </c>
      <c r="AI203" s="316">
        <f t="shared" ref="AI203:AI209" si="169">IF(AP203="","",CritClassInd1_Points*AN203+CritClassInd1_Matches*AP203+CritClassInd1_Attaque*AS203+CritClassInd1_DiffButs*AU203)</f>
        <v>9000000000000</v>
      </c>
      <c r="AJ203" s="415" t="b">
        <f>AND(AO203&lt;&gt;"",AO203&gt;0,COUNTIF(AI203:AI209,AI203)&gt;1)</f>
        <v>0</v>
      </c>
      <c r="AK203" s="316">
        <f t="shared" ref="AK203:AK209" si="170">IF(AP203="","",CritClassInd_ScorePart*AE203)</f>
        <v>0</v>
      </c>
      <c r="AL203" s="317">
        <f t="shared" ref="AL203:AL209" si="171">IF(AP203="","",AI203+AK203+CritClassInd2_Points*AN203+CritClassInd2_Matches*AP203+CritClassInd2_Attaque*AS203+CritClassInd2_DiffButs*AU203+AF203)</f>
        <v>9000000101400</v>
      </c>
      <c r="AM203" s="415" t="b">
        <f>AND(AO203&lt;&gt;"",AO203&gt;0,COUNTIF(AL203:AL209,AL203)&gt;1)</f>
        <v>0</v>
      </c>
      <c r="AN203" s="306">
        <f t="shared" ref="AN203:AN209" si="172">IF(AP203="","",(AP203*Points_Victoire)+AQ203*Points_Null)</f>
        <v>9</v>
      </c>
      <c r="AO203" s="307">
        <f t="shared" ref="AO203:AO209" si="173">IF(AP203="","",SUM(AP203:AR203))</f>
        <v>3</v>
      </c>
      <c r="AP203" s="307">
        <f>IF(OR(AC202="",AD203=""),"",COUNTIF(ResultsInd[Win],AC202&amp;"-"&amp;AD203))</f>
        <v>3</v>
      </c>
      <c r="AQ203" s="307">
        <f>IF(OR(AC202="",AD203=""),"",COUNTIF(ResultsInd[Draw1],AC202&amp;"-"&amp;AD203)+COUNTIF(ResultsInd[Draw2],AC202&amp;"-"&amp;AD203))</f>
        <v>0</v>
      </c>
      <c r="AR203" s="307">
        <f>IF(OR(AC202="",AD203=""),"",COUNTIF(ResultsInd[Lose],AC202&amp;"-"&amp;AD203))</f>
        <v>0</v>
      </c>
      <c r="AS203" s="307">
        <f>IF(OR(AC202="",AD203=""),"",SUMIFS(ResultsInd[Goal-A],ResultsInd[Category],AC202,ResultsInd[Stage],"Groups",ResultsInd[Player A],AD203)+SUMIFS(ResultsInd[Goal-B],ResultsInd[Category],AC202,ResultsInd[Stage],"Groups",ResultsInd[Player B],AD203))</f>
        <v>14</v>
      </c>
      <c r="AT203" s="307">
        <f>IF(OR(AC202="",AD203=""),"",SUMIFS(ResultsInd[Goal-B],ResultsInd[Category],AC202,ResultsInd[Stage],"Groups",ResultsInd[Player A],AD203)+SUMIFS(ResultsInd[Goal-A],ResultsInd[Category],AC202,ResultsInd[Stage],"Groups",ResultsInd[Player B],AD203))</f>
        <v>4</v>
      </c>
      <c r="AU203" s="308">
        <f>IF(AP203="","",AS203-AT203)</f>
        <v>10</v>
      </c>
      <c r="AV203" s="469" t="b">
        <f>IF(AG203="","",OR(VLOOKUP(AG203,AH203:AU209,3,FALSE),VLOOKUP(AG203,AH203:AU209,6,FALSE)))</f>
        <v>0</v>
      </c>
      <c r="AW203" s="298">
        <f t="shared" ref="AW203:AW209" si="174">IF(AG203="","",INT(AG203/1000))</f>
        <v>1</v>
      </c>
      <c r="AX203" s="285" t="str">
        <f>IF(AG203="","",INDEX(AD203:AD209,MATCH(AG203,AH203:AH209,0)))</f>
        <v>Rémi Soret</v>
      </c>
      <c r="AY203" s="286">
        <f>IF(AG203="","",VLOOKUP(AG203,AH203:AU209,COLUMN()-COLUMN(AR202),FALSE))</f>
        <v>9</v>
      </c>
      <c r="AZ203" s="286">
        <f>IF(AG203="","",VLOOKUP(AG203,AH203:AU209,COLUMN()-COLUMN(AR202),FALSE))</f>
        <v>3</v>
      </c>
      <c r="BA203" s="286">
        <f>IF(AG203="","",VLOOKUP(AG203,AH203:AU209,COLUMN()-COLUMN(AR202),FALSE))</f>
        <v>3</v>
      </c>
      <c r="BB203" s="286">
        <f>IF(AG203="","",VLOOKUP(AG203,AH203:AU209,COLUMN()-COLUMN(AR202),FALSE))</f>
        <v>0</v>
      </c>
      <c r="BC203" s="286">
        <f>IF(AG203="","",VLOOKUP(AG203,AH203:AU209,COLUMN()-COLUMN(AR202),FALSE))</f>
        <v>0</v>
      </c>
      <c r="BD203" s="286">
        <f>IF(AG203="","",VLOOKUP(AG203,AH203:AU209,COLUMN()-COLUMN(AR202),FALSE))</f>
        <v>14</v>
      </c>
      <c r="BE203" s="286">
        <f>IF(AG203="","",VLOOKUP(AG203,AH203:AU209,COLUMN()-COLUMN(AR202),FALSE))</f>
        <v>4</v>
      </c>
      <c r="BF203" s="301">
        <f>IF(AG203="","",VLOOKUP(AG203,AH203:AU209,COLUMN()-COLUMN(AR202),FALSE))</f>
        <v>10</v>
      </c>
    </row>
    <row r="204" spans="1:58" ht="12" thickBot="1" x14ac:dyDescent="0.25">
      <c r="A204" s="62"/>
      <c r="B204" s="62"/>
      <c r="C204" s="62"/>
      <c r="D204" s="62"/>
      <c r="E204" s="345"/>
      <c r="F204" s="345"/>
      <c r="G204" s="113"/>
      <c r="H204" s="113"/>
      <c r="I204" s="114"/>
      <c r="J204" s="114"/>
      <c r="K204" s="114"/>
      <c r="L204" s="81"/>
      <c r="M204" s="265" t="b">
        <f>NOT(ISERROR(ResultsInd[[#This Row],[Goal-A]]+ResultsInd[[#This Row],[Goal-B]]))</f>
        <v>1</v>
      </c>
      <c r="N204" s="265">
        <f>VALUE(ResultsInd[[#This Row],[Score-A]])</f>
        <v>0</v>
      </c>
      <c r="O204" s="265">
        <f>VALUE(ResultsInd[[#This Row],[Score-B]])</f>
        <v>0</v>
      </c>
      <c r="P204" s="265" t="str">
        <f ca="1">IF(AND(ResultsInd[[#This Row],[Category]]&lt;&gt;"",ResultsInd[[#This Row],[Player A]]&lt;&gt;""),COUNTIF(INDIRECT(ResultsInd[[#This Row],[Category]]&amp;"List[Retained Player Name]"),ResultsInd[[#This Row],[Player A]]),"")</f>
        <v/>
      </c>
      <c r="Q204" s="265" t="str">
        <f ca="1">IF(AND(ResultsInd[[#This Row],[Category]]&lt;&gt;"",ResultsInd[[#This Row],[Player B]]&lt;&gt;""),COUNTIF(INDIRECT(ResultsInd[[#This Row],[Category]]&amp;"List[Retained Player Name]"),ResultsInd[[#This Row],[Player B]]),"")</f>
        <v/>
      </c>
      <c r="R2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4" s="265" t="str">
        <f>IF(ResultsInd[[#This Row],[Score_OK]],IF(ResultsInd[[#This Row],[Stage]]="Groups",ResultsInd[[#This Row],[Category]]&amp;"-"&amp;IF(ResultsInd[[#This Row],[Player B]]="","",IF(ResultsInd[[#This Row],[Score-A]]=ResultsInd[[#This Row],[Score-B]],ResultsInd[[#This Row],[Player A]],"")),""),"")</f>
        <v/>
      </c>
      <c r="T204" s="265" t="str">
        <f>IF(ResultsInd[[#This Row],[Score_OK]],IF(ResultsInd[[#This Row],[Stage]]="Groups",ResultsInd[[#This Row],[Category]]&amp;"-"&amp;IF(ResultsInd[[#This Row],[Player B]]="","",IF(ResultsInd[[#This Row],[Score-A]]=ResultsInd[[#This Row],[Score-B]],ResultsInd[[#This Row],[Player B]],"")),""),"")</f>
        <v/>
      </c>
      <c r="U2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4" s="264" t="str">
        <f>IF(ResultsInd[[#This Row],[Category]]="","",VLOOKUP(ResultsInd[[#This Row],[Stage]],$P$1:$V$9,MATCH(ResultsInd[[#This Row],[Category]],$Q$1:$V$1,0)+1,FALSE))</f>
        <v/>
      </c>
      <c r="Z204" s="264" t="str">
        <f>IF(ResultsInd[[#This Row],[Score_OK]],IF(ResultsInd[[#This Row],[Level]]="R",ResultsInd[[#This Row],[Category]]&amp;"-"&amp;IF(ResultsInd[[#This Row],[LoseInKO]]=ResultsInd[[#This Row],[Category]]&amp;"-"&amp;ResultsInd[[#This Row],[Player A]],ResultsInd[[#This Row],[Player B]],ResultsInd[[#This Row],[Player A]]),""),"")</f>
        <v/>
      </c>
      <c r="AB204" s="8"/>
      <c r="AC204" s="12" t="str">
        <f t="shared" ref="AC204:AC209" si="175">IF(AC203="","",AC203)</f>
        <v>OPEN</v>
      </c>
      <c r="AD204" s="309" t="s">
        <v>10786</v>
      </c>
      <c r="AE204" s="320"/>
      <c r="AF204" s="311"/>
      <c r="AG204" s="292">
        <f>IF(AP204="","",SMALL(AH203:AH209,ROWS(AG203:AG204)))</f>
        <v>2003</v>
      </c>
      <c r="AH204" s="293">
        <f>IF(AP204="","",RANK(AL204,AL203:AL209)*1000+ROWS(AH203:AH204))</f>
        <v>3002</v>
      </c>
      <c r="AI204" s="316">
        <f t="shared" si="169"/>
        <v>3000000000000</v>
      </c>
      <c r="AJ204" s="415" t="b">
        <f>AND(AO204&lt;&gt;"",AO204&gt;0,COUNTIF(AI203:AI209,AI204)&gt;1)</f>
        <v>0</v>
      </c>
      <c r="AK204" s="316">
        <f t="shared" si="170"/>
        <v>0</v>
      </c>
      <c r="AL204" s="317">
        <f t="shared" si="171"/>
        <v>2999999930400</v>
      </c>
      <c r="AM204" s="415" t="b">
        <f>AND(AO204&lt;&gt;"",AO204&gt;0,COUNTIF(AL203:AL209,AL204)&gt;1)</f>
        <v>0</v>
      </c>
      <c r="AN204" s="306">
        <f t="shared" si="172"/>
        <v>3</v>
      </c>
      <c r="AO204" s="307">
        <f t="shared" si="173"/>
        <v>3</v>
      </c>
      <c r="AP204" s="307">
        <f>IF(OR(AC202="",AD204=""),"",COUNTIF(ResultsInd[Win],AC202&amp;"-"&amp;AD204))</f>
        <v>1</v>
      </c>
      <c r="AQ204" s="307">
        <f>IF(OR(AC202="",AD204=""),"",COUNTIF(ResultsInd[Draw1],AC202&amp;"-"&amp;AD204)+COUNTIF(ResultsInd[Draw2],AC202&amp;"-"&amp;AD204))</f>
        <v>0</v>
      </c>
      <c r="AR204" s="307">
        <f>IF(OR(AC202="",AD204=""),"",COUNTIF(ResultsInd[Lose],AC202&amp;"-"&amp;AD204))</f>
        <v>2</v>
      </c>
      <c r="AS204" s="307">
        <f>IF(OR(AC202="",AD204=""),"",SUMIFS(ResultsInd[Goal-A],ResultsInd[Category],AC202,ResultsInd[Stage],"Groups",ResultsInd[Player A],AD204)+SUMIFS(ResultsInd[Goal-B],ResultsInd[Category],AC202,ResultsInd[Stage],"Groups",ResultsInd[Player B],AD204))</f>
        <v>4</v>
      </c>
      <c r="AT204" s="307">
        <f>IF(OR(AC202="",AD204=""),"",SUMIFS(ResultsInd[Goal-B],ResultsInd[Category],AC202,ResultsInd[Stage],"Groups",ResultsInd[Player A],AD204)+SUMIFS(ResultsInd[Goal-A],ResultsInd[Category],AC202,ResultsInd[Stage],"Groups",ResultsInd[Player B],AD204))</f>
        <v>11</v>
      </c>
      <c r="AU204" s="308">
        <f t="shared" ref="AU204:AU209" si="176">IF(AP204="","",AS204-AT204)</f>
        <v>-7</v>
      </c>
      <c r="AV204" s="469" t="b">
        <f>IF(AG204="","",OR(VLOOKUP(AG204,AH203:AU209,3,FALSE),VLOOKUP(AG204,AH203:AU209,6,FALSE)))</f>
        <v>0</v>
      </c>
      <c r="AW204" s="298">
        <f t="shared" si="174"/>
        <v>2</v>
      </c>
      <c r="AX204" s="285" t="str">
        <f>IF(AG204="","",INDEX(AD203:AD209,MATCH(AG204,AH203:AH209,0)))</f>
        <v>Jérôme Heyvaert</v>
      </c>
      <c r="AY204" s="286">
        <f>IF(AG204="","",VLOOKUP(AG204,AH203:AU209,COLUMN()-COLUMN(AR202),FALSE))</f>
        <v>6</v>
      </c>
      <c r="AZ204" s="286">
        <f>IF(AG204="","",VLOOKUP(AG204,AH203:AU209,COLUMN()-COLUMN(AR202),FALSE))</f>
        <v>3</v>
      </c>
      <c r="BA204" s="286">
        <f>IF(AG204="","",VLOOKUP(AG204,AH203:AU209,COLUMN()-COLUMN(AR202),FALSE))</f>
        <v>2</v>
      </c>
      <c r="BB204" s="286">
        <f>IF(AG204="","",VLOOKUP(AG204,AH203:AU209,COLUMN()-COLUMN(AR202),FALSE))</f>
        <v>0</v>
      </c>
      <c r="BC204" s="286">
        <f>IF(AG204="","",VLOOKUP(AG204,AH203:AU209,COLUMN()-COLUMN(AR202),FALSE))</f>
        <v>1</v>
      </c>
      <c r="BD204" s="286">
        <f>IF(AG204="","",VLOOKUP(AG204,AH203:AU209,COLUMN()-COLUMN(AR202),FALSE))</f>
        <v>16</v>
      </c>
      <c r="BE204" s="286">
        <f>IF(AG204="","",VLOOKUP(AG204,AH203:AU209,COLUMN()-COLUMN(AR202),FALSE))</f>
        <v>5</v>
      </c>
      <c r="BF204" s="301">
        <f>IF(AG204="","",VLOOKUP(AG204,AH203:AU209,COLUMN()-COLUMN(AR202),FALSE))</f>
        <v>11</v>
      </c>
    </row>
    <row r="205" spans="1:58" ht="12" thickBot="1" x14ac:dyDescent="0.25">
      <c r="A205" s="62"/>
      <c r="B205" s="62"/>
      <c r="C205" s="62"/>
      <c r="D205" s="62"/>
      <c r="E205" s="345"/>
      <c r="F205" s="345"/>
      <c r="G205" s="113"/>
      <c r="H205" s="113"/>
      <c r="I205" s="114"/>
      <c r="J205" s="114"/>
      <c r="K205" s="114"/>
      <c r="L205" s="81"/>
      <c r="M205" s="265" t="b">
        <f>NOT(ISERROR(ResultsInd[[#This Row],[Goal-A]]+ResultsInd[[#This Row],[Goal-B]]))</f>
        <v>1</v>
      </c>
      <c r="N205" s="265">
        <f>VALUE(ResultsInd[[#This Row],[Score-A]])</f>
        <v>0</v>
      </c>
      <c r="O205" s="265">
        <f>VALUE(ResultsInd[[#This Row],[Score-B]])</f>
        <v>0</v>
      </c>
      <c r="P205" s="265" t="str">
        <f ca="1">IF(AND(ResultsInd[[#This Row],[Category]]&lt;&gt;"",ResultsInd[[#This Row],[Player A]]&lt;&gt;""),COUNTIF(INDIRECT(ResultsInd[[#This Row],[Category]]&amp;"List[Retained Player Name]"),ResultsInd[[#This Row],[Player A]]),"")</f>
        <v/>
      </c>
      <c r="Q205" s="265" t="str">
        <f ca="1">IF(AND(ResultsInd[[#This Row],[Category]]&lt;&gt;"",ResultsInd[[#This Row],[Player B]]&lt;&gt;""),COUNTIF(INDIRECT(ResultsInd[[#This Row],[Category]]&amp;"List[Retained Player Name]"),ResultsInd[[#This Row],[Player B]]),"")</f>
        <v/>
      </c>
      <c r="R2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5" s="265" t="str">
        <f>IF(ResultsInd[[#This Row],[Score_OK]],IF(ResultsInd[[#This Row],[Stage]]="Groups",ResultsInd[[#This Row],[Category]]&amp;"-"&amp;IF(ResultsInd[[#This Row],[Player B]]="","",IF(ResultsInd[[#This Row],[Score-A]]=ResultsInd[[#This Row],[Score-B]],ResultsInd[[#This Row],[Player A]],"")),""),"")</f>
        <v/>
      </c>
      <c r="T205" s="265" t="str">
        <f>IF(ResultsInd[[#This Row],[Score_OK]],IF(ResultsInd[[#This Row],[Stage]]="Groups",ResultsInd[[#This Row],[Category]]&amp;"-"&amp;IF(ResultsInd[[#This Row],[Player B]]="","",IF(ResultsInd[[#This Row],[Score-A]]=ResultsInd[[#This Row],[Score-B]],ResultsInd[[#This Row],[Player B]],"")),""),"")</f>
        <v/>
      </c>
      <c r="U2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5" s="264" t="str">
        <f>IF(ResultsInd[[#This Row],[Category]]="","",VLOOKUP(ResultsInd[[#This Row],[Stage]],$P$1:$V$9,MATCH(ResultsInd[[#This Row],[Category]],$Q$1:$V$1,0)+1,FALSE))</f>
        <v/>
      </c>
      <c r="Z205" s="264" t="str">
        <f>IF(ResultsInd[[#This Row],[Score_OK]],IF(ResultsInd[[#This Row],[Level]]="R",ResultsInd[[#This Row],[Category]]&amp;"-"&amp;IF(ResultsInd[[#This Row],[LoseInKO]]=ResultsInd[[#This Row],[Category]]&amp;"-"&amp;ResultsInd[[#This Row],[Player A]],ResultsInd[[#This Row],[Player B]],ResultsInd[[#This Row],[Player A]]),""),"")</f>
        <v/>
      </c>
      <c r="AB205" s="8"/>
      <c r="AC205" s="12" t="str">
        <f t="shared" si="175"/>
        <v>OPEN</v>
      </c>
      <c r="AD205" s="309" t="s">
        <v>8104</v>
      </c>
      <c r="AE205" s="320"/>
      <c r="AF205" s="311"/>
      <c r="AG205" s="292">
        <f>IF(AP205="","",SMALL(AH203:AH209,ROWS(AG203:AG205)))</f>
        <v>3002</v>
      </c>
      <c r="AH205" s="293">
        <f>IF(AP205="","",RANK(AL205,AL203:AL209)*1000+ROWS(AH203:AH205))</f>
        <v>2003</v>
      </c>
      <c r="AI205" s="316">
        <f t="shared" si="169"/>
        <v>6000000000000</v>
      </c>
      <c r="AJ205" s="415" t="b">
        <f>AND(AO205&lt;&gt;"",AO205&gt;0,COUNTIF(AI203:AI209,AI205)&gt;1)</f>
        <v>0</v>
      </c>
      <c r="AK205" s="316">
        <f t="shared" si="170"/>
        <v>0</v>
      </c>
      <c r="AL205" s="317">
        <f t="shared" si="171"/>
        <v>6000000111600</v>
      </c>
      <c r="AM205" s="415" t="b">
        <f>AND(AO205&lt;&gt;"",AO205&gt;0,COUNTIF(AL203:AL209,AL205)&gt;1)</f>
        <v>0</v>
      </c>
      <c r="AN205" s="306">
        <f t="shared" si="172"/>
        <v>6</v>
      </c>
      <c r="AO205" s="307">
        <f t="shared" si="173"/>
        <v>3</v>
      </c>
      <c r="AP205" s="307">
        <f>IF(OR(AC202="",AD205=""),"",COUNTIF(ResultsInd[Win],AC202&amp;"-"&amp;AD205))</f>
        <v>2</v>
      </c>
      <c r="AQ205" s="307">
        <f>IF(OR(AC202="",AD205=""),"",COUNTIF(ResultsInd[Draw1],AC202&amp;"-"&amp;AD205)+COUNTIF(ResultsInd[Draw2],AC202&amp;"-"&amp;AD205))</f>
        <v>0</v>
      </c>
      <c r="AR205" s="307">
        <f>IF(OR(AC202="",AD205=""),"",COUNTIF(ResultsInd[Lose],AC202&amp;"-"&amp;AD205))</f>
        <v>1</v>
      </c>
      <c r="AS205" s="307">
        <f>IF(OR(AC202="",AD205=""),"",SUMIFS(ResultsInd[Goal-A],ResultsInd[Category],AC202,ResultsInd[Stage],"Groups",ResultsInd[Player A],AD205)+SUMIFS(ResultsInd[Goal-B],ResultsInd[Category],AC202,ResultsInd[Stage],"Groups",ResultsInd[Player B],AD205))</f>
        <v>16</v>
      </c>
      <c r="AT205" s="307">
        <f>IF(OR(AC202="",AD205=""),"",SUMIFS(ResultsInd[Goal-B],ResultsInd[Category],AC202,ResultsInd[Stage],"Groups",ResultsInd[Player A],AD205)+SUMIFS(ResultsInd[Goal-A],ResultsInd[Category],AC202,ResultsInd[Stage],"Groups",ResultsInd[Player B],AD205))</f>
        <v>5</v>
      </c>
      <c r="AU205" s="308">
        <f t="shared" si="176"/>
        <v>11</v>
      </c>
      <c r="AV205" s="469" t="b">
        <f>IF(AG205="","",OR(VLOOKUP(AG205,AH203:AU209,3,FALSE),VLOOKUP(AG205,AH203:AU209,6,FALSE)))</f>
        <v>0</v>
      </c>
      <c r="AW205" s="298">
        <f t="shared" si="174"/>
        <v>3</v>
      </c>
      <c r="AX205" s="285" t="str">
        <f>IF(AG205="","",INDEX(AD203:AD209,MATCH(AG205,AH203:AH209,0)))</f>
        <v>Thomas PONTÉ</v>
      </c>
      <c r="AY205" s="286">
        <f>IF(AG205="","",VLOOKUP(AG205,AH203:AU209,COLUMN()-COLUMN(AR202),FALSE))</f>
        <v>3</v>
      </c>
      <c r="AZ205" s="286">
        <f>IF(AG205="","",VLOOKUP(AG205,AH203:AU209,COLUMN()-COLUMN(AR202),FALSE))</f>
        <v>3</v>
      </c>
      <c r="BA205" s="286">
        <f>IF(AG205="","",VLOOKUP(AG205,AH203:AU209,COLUMN()-COLUMN(AR202),FALSE))</f>
        <v>1</v>
      </c>
      <c r="BB205" s="286">
        <f>IF(AG205="","",VLOOKUP(AG205,AH203:AU209,COLUMN()-COLUMN(AR202),FALSE))</f>
        <v>0</v>
      </c>
      <c r="BC205" s="286">
        <f>IF(AG205="","",VLOOKUP(AG205,AH203:AU209,COLUMN()-COLUMN(AR202),FALSE))</f>
        <v>2</v>
      </c>
      <c r="BD205" s="286">
        <f>IF(AG205="","",VLOOKUP(AG205,AH203:AU209,COLUMN()-COLUMN(AR202),FALSE))</f>
        <v>4</v>
      </c>
      <c r="BE205" s="286">
        <f>IF(AG205="","",VLOOKUP(AG205,AH203:AU209,COLUMN()-COLUMN(AR202),FALSE))</f>
        <v>11</v>
      </c>
      <c r="BF205" s="301">
        <f>IF(AG205="","",VLOOKUP(AG205,AH203:AU209,COLUMN()-COLUMN(AR202),FALSE))</f>
        <v>-7</v>
      </c>
    </row>
    <row r="206" spans="1:58" ht="12" thickBot="1" x14ac:dyDescent="0.25">
      <c r="A206" s="62"/>
      <c r="B206" s="62"/>
      <c r="C206" s="62"/>
      <c r="D206" s="62"/>
      <c r="E206" s="345"/>
      <c r="F206" s="345"/>
      <c r="G206" s="113"/>
      <c r="H206" s="113"/>
      <c r="I206" s="114"/>
      <c r="J206" s="114"/>
      <c r="K206" s="114"/>
      <c r="L206" s="81"/>
      <c r="M206" s="265" t="b">
        <f>NOT(ISERROR(ResultsInd[[#This Row],[Goal-A]]+ResultsInd[[#This Row],[Goal-B]]))</f>
        <v>1</v>
      </c>
      <c r="N206" s="265">
        <f>VALUE(ResultsInd[[#This Row],[Score-A]])</f>
        <v>0</v>
      </c>
      <c r="O206" s="265">
        <f>VALUE(ResultsInd[[#This Row],[Score-B]])</f>
        <v>0</v>
      </c>
      <c r="P206" s="265" t="str">
        <f ca="1">IF(AND(ResultsInd[[#This Row],[Category]]&lt;&gt;"",ResultsInd[[#This Row],[Player A]]&lt;&gt;""),COUNTIF(INDIRECT(ResultsInd[[#This Row],[Category]]&amp;"List[Retained Player Name]"),ResultsInd[[#This Row],[Player A]]),"")</f>
        <v/>
      </c>
      <c r="Q206" s="265" t="str">
        <f ca="1">IF(AND(ResultsInd[[#This Row],[Category]]&lt;&gt;"",ResultsInd[[#This Row],[Player B]]&lt;&gt;""),COUNTIF(INDIRECT(ResultsInd[[#This Row],[Category]]&amp;"List[Retained Player Name]"),ResultsInd[[#This Row],[Player B]]),"")</f>
        <v/>
      </c>
      <c r="R2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6" s="265" t="str">
        <f>IF(ResultsInd[[#This Row],[Score_OK]],IF(ResultsInd[[#This Row],[Stage]]="Groups",ResultsInd[[#This Row],[Category]]&amp;"-"&amp;IF(ResultsInd[[#This Row],[Player B]]="","",IF(ResultsInd[[#This Row],[Score-A]]=ResultsInd[[#This Row],[Score-B]],ResultsInd[[#This Row],[Player A]],"")),""),"")</f>
        <v/>
      </c>
      <c r="T206" s="265" t="str">
        <f>IF(ResultsInd[[#This Row],[Score_OK]],IF(ResultsInd[[#This Row],[Stage]]="Groups",ResultsInd[[#This Row],[Category]]&amp;"-"&amp;IF(ResultsInd[[#This Row],[Player B]]="","",IF(ResultsInd[[#This Row],[Score-A]]=ResultsInd[[#This Row],[Score-B]],ResultsInd[[#This Row],[Player B]],"")),""),"")</f>
        <v/>
      </c>
      <c r="U2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6" s="264" t="str">
        <f>IF(ResultsInd[[#This Row],[Category]]="","",VLOOKUP(ResultsInd[[#This Row],[Stage]],$P$1:$V$9,MATCH(ResultsInd[[#This Row],[Category]],$Q$1:$V$1,0)+1,FALSE))</f>
        <v/>
      </c>
      <c r="Z206" s="264" t="str">
        <f>IF(ResultsInd[[#This Row],[Score_OK]],IF(ResultsInd[[#This Row],[Level]]="R",ResultsInd[[#This Row],[Category]]&amp;"-"&amp;IF(ResultsInd[[#This Row],[LoseInKO]]=ResultsInd[[#This Row],[Category]]&amp;"-"&amp;ResultsInd[[#This Row],[Player A]],ResultsInd[[#This Row],[Player B]],ResultsInd[[#This Row],[Player A]]),""),"")</f>
        <v/>
      </c>
      <c r="AB206" s="91"/>
      <c r="AC206" s="12" t="str">
        <f t="shared" si="175"/>
        <v>OPEN</v>
      </c>
      <c r="AD206" s="309" t="s">
        <v>14502</v>
      </c>
      <c r="AE206" s="310"/>
      <c r="AF206" s="311"/>
      <c r="AG206" s="292">
        <f>IF(AP206="","",SMALL(AH203:AH209,ROWS(AG203:AG206)))</f>
        <v>4004</v>
      </c>
      <c r="AH206" s="293">
        <f>IF(AP206="","",RANK(AL206,AL203:AL209)*1000+ROWS(AH203:AH206))</f>
        <v>4004</v>
      </c>
      <c r="AI206" s="316">
        <f t="shared" si="169"/>
        <v>0</v>
      </c>
      <c r="AJ206" s="415" t="b">
        <f>AND(AO206&lt;&gt;"",AO206&gt;0,COUNTIF(AI203:AI209,AI206)&gt;1)</f>
        <v>0</v>
      </c>
      <c r="AK206" s="316">
        <f t="shared" si="170"/>
        <v>0</v>
      </c>
      <c r="AL206" s="317">
        <f t="shared" si="171"/>
        <v>-139700</v>
      </c>
      <c r="AM206" s="415" t="b">
        <f>AND(AO206&lt;&gt;"",AO206&gt;0,COUNTIF(AL203:AL209,AL206)&gt;1)</f>
        <v>0</v>
      </c>
      <c r="AN206" s="306">
        <f t="shared" si="172"/>
        <v>0</v>
      </c>
      <c r="AO206" s="307">
        <f t="shared" si="173"/>
        <v>3</v>
      </c>
      <c r="AP206" s="307">
        <f>IF(OR(AC202="",AD206=""),"",COUNTIF(ResultsInd[Win],AC202&amp;"-"&amp;AD206))</f>
        <v>0</v>
      </c>
      <c r="AQ206" s="307">
        <f>IF(OR(AC202="",AD206=""),"",COUNTIF(ResultsInd[Draw1],AC202&amp;"-"&amp;AD206)+COUNTIF(ResultsInd[Draw2],AC202&amp;"-"&amp;AD206))</f>
        <v>0</v>
      </c>
      <c r="AR206" s="307">
        <f>IF(OR(AC202="",AD206=""),"",COUNTIF(ResultsInd[Lose],AC202&amp;"-"&amp;AD206))</f>
        <v>3</v>
      </c>
      <c r="AS206" s="307">
        <f>IF(OR(AC202="",AD206=""),"",SUMIFS(ResultsInd[Goal-A],ResultsInd[Category],AC202,ResultsInd[Stage],"Groups",ResultsInd[Player A],AD206)+SUMIFS(ResultsInd[Goal-B],ResultsInd[Category],AC202,ResultsInd[Stage],"Groups",ResultsInd[Player B],AD206))</f>
        <v>3</v>
      </c>
      <c r="AT206" s="307">
        <f>IF(OR(AC202="",AD206=""),"",SUMIFS(ResultsInd[Goal-B],ResultsInd[Category],AC202,ResultsInd[Stage],"Groups",ResultsInd[Player A],AD206)+SUMIFS(ResultsInd[Goal-A],ResultsInd[Category],AC202,ResultsInd[Stage],"Groups",ResultsInd[Player B],AD206))</f>
        <v>17</v>
      </c>
      <c r="AU206" s="308">
        <f t="shared" si="176"/>
        <v>-14</v>
      </c>
      <c r="AV206" s="469" t="b">
        <f>IF(AG206="","",OR(VLOOKUP(AG206,AH203:AU209,3,FALSE),VLOOKUP(AG206,AH203:AU209,6,FALSE)))</f>
        <v>0</v>
      </c>
      <c r="AW206" s="298">
        <f t="shared" si="174"/>
        <v>4</v>
      </c>
      <c r="AX206" s="285" t="str">
        <f>IF(AG206="","",INDEX(AD203:AD209,MATCH(AG206,AH203:AH209,0)))</f>
        <v>Xavier Herman</v>
      </c>
      <c r="AY206" s="286">
        <f>IF(AG206="","",VLOOKUP(AG206,AH203:AU209,COLUMN()-COLUMN(AR202),FALSE))</f>
        <v>0</v>
      </c>
      <c r="AZ206" s="286">
        <f>IF(AG206="","",VLOOKUP(AG206,AH203:AU209,COLUMN()-COLUMN(AR202),FALSE))</f>
        <v>3</v>
      </c>
      <c r="BA206" s="286">
        <f>IF(AG206="","",VLOOKUP(AG206,AH203:AU209,COLUMN()-COLUMN(AR202),FALSE))</f>
        <v>0</v>
      </c>
      <c r="BB206" s="286">
        <f>IF(AG206="","",VLOOKUP(AG206,AH203:AU209,COLUMN()-COLUMN(AR202),FALSE))</f>
        <v>0</v>
      </c>
      <c r="BC206" s="286">
        <f>IF(AG206="","",VLOOKUP(AG206,AH203:AU209,COLUMN()-COLUMN(AR202),FALSE))</f>
        <v>3</v>
      </c>
      <c r="BD206" s="286">
        <f>IF(AG206="","",VLOOKUP(AG206,AH203:AU209,COLUMN()-COLUMN(AR202),FALSE))</f>
        <v>3</v>
      </c>
      <c r="BE206" s="286">
        <f>IF(AG206="","",VLOOKUP(AG206,AH203:AU209,COLUMN()-COLUMN(AR202),FALSE))</f>
        <v>17</v>
      </c>
      <c r="BF206" s="301">
        <f>IF(AG206="","",VLOOKUP(AG206,AH203:AU209,COLUMN()-COLUMN(AR202),FALSE))</f>
        <v>-14</v>
      </c>
    </row>
    <row r="207" spans="1:58" ht="12" thickBot="1" x14ac:dyDescent="0.25">
      <c r="A207" s="62"/>
      <c r="B207" s="62"/>
      <c r="C207" s="62"/>
      <c r="D207" s="62"/>
      <c r="E207" s="345"/>
      <c r="F207" s="345"/>
      <c r="G207" s="113"/>
      <c r="H207" s="113"/>
      <c r="I207" s="114"/>
      <c r="J207" s="114"/>
      <c r="K207" s="114"/>
      <c r="L207" s="81"/>
      <c r="M207" s="265" t="b">
        <f>NOT(ISERROR(ResultsInd[[#This Row],[Goal-A]]+ResultsInd[[#This Row],[Goal-B]]))</f>
        <v>1</v>
      </c>
      <c r="N207" s="265">
        <f>VALUE(ResultsInd[[#This Row],[Score-A]])</f>
        <v>0</v>
      </c>
      <c r="O207" s="265">
        <f>VALUE(ResultsInd[[#This Row],[Score-B]])</f>
        <v>0</v>
      </c>
      <c r="P207" s="265" t="str">
        <f ca="1">IF(AND(ResultsInd[[#This Row],[Category]]&lt;&gt;"",ResultsInd[[#This Row],[Player A]]&lt;&gt;""),COUNTIF(INDIRECT(ResultsInd[[#This Row],[Category]]&amp;"List[Retained Player Name]"),ResultsInd[[#This Row],[Player A]]),"")</f>
        <v/>
      </c>
      <c r="Q207" s="265" t="str">
        <f ca="1">IF(AND(ResultsInd[[#This Row],[Category]]&lt;&gt;"",ResultsInd[[#This Row],[Player B]]&lt;&gt;""),COUNTIF(INDIRECT(ResultsInd[[#This Row],[Category]]&amp;"List[Retained Player Name]"),ResultsInd[[#This Row],[Player B]]),"")</f>
        <v/>
      </c>
      <c r="R2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7" s="265" t="str">
        <f>IF(ResultsInd[[#This Row],[Score_OK]],IF(ResultsInd[[#This Row],[Stage]]="Groups",ResultsInd[[#This Row],[Category]]&amp;"-"&amp;IF(ResultsInd[[#This Row],[Player B]]="","",IF(ResultsInd[[#This Row],[Score-A]]=ResultsInd[[#This Row],[Score-B]],ResultsInd[[#This Row],[Player A]],"")),""),"")</f>
        <v/>
      </c>
      <c r="T207" s="265" t="str">
        <f>IF(ResultsInd[[#This Row],[Score_OK]],IF(ResultsInd[[#This Row],[Stage]]="Groups",ResultsInd[[#This Row],[Category]]&amp;"-"&amp;IF(ResultsInd[[#This Row],[Player B]]="","",IF(ResultsInd[[#This Row],[Score-A]]=ResultsInd[[#This Row],[Score-B]],ResultsInd[[#This Row],[Player B]],"")),""),"")</f>
        <v/>
      </c>
      <c r="U2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7" s="264" t="str">
        <f>IF(ResultsInd[[#This Row],[Category]]="","",VLOOKUP(ResultsInd[[#This Row],[Stage]],$P$1:$V$9,MATCH(ResultsInd[[#This Row],[Category]],$Q$1:$V$1,0)+1,FALSE))</f>
        <v/>
      </c>
      <c r="Z207" s="264" t="str">
        <f>IF(ResultsInd[[#This Row],[Score_OK]],IF(ResultsInd[[#This Row],[Level]]="R",ResultsInd[[#This Row],[Category]]&amp;"-"&amp;IF(ResultsInd[[#This Row],[LoseInKO]]=ResultsInd[[#This Row],[Category]]&amp;"-"&amp;ResultsInd[[#This Row],[Player A]],ResultsInd[[#This Row],[Player B]],ResultsInd[[#This Row],[Player A]]),""),"")</f>
        <v/>
      </c>
      <c r="AB207" s="91"/>
      <c r="AC207" s="12" t="str">
        <f t="shared" si="175"/>
        <v>OPEN</v>
      </c>
      <c r="AD207" s="309"/>
      <c r="AE207" s="310"/>
      <c r="AF207" s="311"/>
      <c r="AG207" s="292" t="str">
        <f>IF(AP207="","",SMALL(AH203:AH209,ROWS(AG203:AG207)))</f>
        <v/>
      </c>
      <c r="AH207" s="293" t="str">
        <f>IF(AP207="","",RANK(AL207,AL203:AL209)*1000+ROWS(AH203:AH207))</f>
        <v/>
      </c>
      <c r="AI207" s="316" t="str">
        <f t="shared" si="169"/>
        <v/>
      </c>
      <c r="AJ207" s="415" t="b">
        <f>AND(AO207&lt;&gt;"",AO207&gt;0,COUNTIF(AI203:AI209,AI207)&gt;1)</f>
        <v>0</v>
      </c>
      <c r="AK207" s="316" t="str">
        <f t="shared" si="170"/>
        <v/>
      </c>
      <c r="AL207" s="317" t="str">
        <f t="shared" si="171"/>
        <v/>
      </c>
      <c r="AM207" s="415" t="b">
        <f>AND(AO207&lt;&gt;"",AO207&gt;0,COUNTIF(AL203:AL209,AL207)&gt;1)</f>
        <v>0</v>
      </c>
      <c r="AN207" s="306" t="str">
        <f t="shared" si="172"/>
        <v/>
      </c>
      <c r="AO207" s="307" t="str">
        <f t="shared" si="173"/>
        <v/>
      </c>
      <c r="AP207" s="307" t="str">
        <f>IF(OR(AC202="",AD207=""),"",COUNTIF(ResultsInd[Win],AC202&amp;"-"&amp;AD207))</f>
        <v/>
      </c>
      <c r="AQ207" s="307" t="str">
        <f>IF(OR(AC202="",AD207=""),"",COUNTIF(ResultsInd[Draw1],AC202&amp;"-"&amp;AD207)+COUNTIF(ResultsInd[Draw2],AC202&amp;"-"&amp;AD207))</f>
        <v/>
      </c>
      <c r="AR207" s="307" t="str">
        <f>IF(OR(AC202="",AD207=""),"",COUNTIF(ResultsInd[Lose],AC202&amp;"-"&amp;AD207))</f>
        <v/>
      </c>
      <c r="AS207" s="307" t="str">
        <f>IF(OR(AC202="",AD207=""),"",SUMIFS(ResultsInd[Goal-A],ResultsInd[Category],AC202,ResultsInd[Stage],"Groups",ResultsInd[Player A],AD207)+SUMIFS(ResultsInd[Goal-B],ResultsInd[Category],AC202,ResultsInd[Stage],"Groups",ResultsInd[Player B],AD207))</f>
        <v/>
      </c>
      <c r="AT207" s="307" t="str">
        <f>IF(OR(AC202="",AD207=""),"",SUMIFS(ResultsInd[Goal-B],ResultsInd[Category],AC202,ResultsInd[Stage],"Groups",ResultsInd[Player A],AD207)+SUMIFS(ResultsInd[Goal-A],ResultsInd[Category],AC202,ResultsInd[Stage],"Groups",ResultsInd[Player B],AD207))</f>
        <v/>
      </c>
      <c r="AU207" s="308" t="str">
        <f t="shared" si="176"/>
        <v/>
      </c>
      <c r="AV207" s="469" t="str">
        <f>IF(AG207="","",OR(VLOOKUP(AG207,AH203:AU209,3,FALSE),VLOOKUP(AG207,AH203:AU209,6,FALSE)))</f>
        <v/>
      </c>
      <c r="AW207" s="298" t="str">
        <f t="shared" si="174"/>
        <v/>
      </c>
      <c r="AX207" s="285" t="str">
        <f>IF(AG207="","",INDEX(AD203:AD209,MATCH(AG207,AH203:AH209,0)))</f>
        <v/>
      </c>
      <c r="AY207" s="286" t="str">
        <f>IF(AG207="","",VLOOKUP(AG207,AH203:AU209,COLUMN()-COLUMN(AR202),FALSE))</f>
        <v/>
      </c>
      <c r="AZ207" s="286" t="str">
        <f>IF(AG207="","",VLOOKUP(AG207,AH203:AU209,COLUMN()-COLUMN(AR202),FALSE))</f>
        <v/>
      </c>
      <c r="BA207" s="286" t="str">
        <f>IF(AG207="","",VLOOKUP(AG207,AH203:AU209,COLUMN()-COLUMN(AR202),FALSE))</f>
        <v/>
      </c>
      <c r="BB207" s="286" t="str">
        <f>IF(AG207="","",VLOOKUP(AG207,AH203:AU209,COLUMN()-COLUMN(AR202),FALSE))</f>
        <v/>
      </c>
      <c r="BC207" s="286" t="str">
        <f>IF(AG207="","",VLOOKUP(AG207,AH203:AU209,COLUMN()-COLUMN(AR202),FALSE))</f>
        <v/>
      </c>
      <c r="BD207" s="286" t="str">
        <f>IF(AG207="","",VLOOKUP(AG207,AH203:AU209,COLUMN()-COLUMN(AR202),FALSE))</f>
        <v/>
      </c>
      <c r="BE207" s="286" t="str">
        <f>IF(AG207="","",VLOOKUP(AG207,AH203:AU209,COLUMN()-COLUMN(AR202),FALSE))</f>
        <v/>
      </c>
      <c r="BF207" s="301" t="str">
        <f>IF(AG207="","",VLOOKUP(AG207,AH203:AU209,COLUMN()-COLUMN(AR202),FALSE))</f>
        <v/>
      </c>
    </row>
    <row r="208" spans="1:58" ht="12" thickBot="1" x14ac:dyDescent="0.25">
      <c r="A208" s="62"/>
      <c r="B208" s="62"/>
      <c r="C208" s="62"/>
      <c r="D208" s="62"/>
      <c r="E208" s="345"/>
      <c r="F208" s="345"/>
      <c r="G208" s="113"/>
      <c r="H208" s="113"/>
      <c r="I208" s="114"/>
      <c r="J208" s="114"/>
      <c r="K208" s="114"/>
      <c r="L208" s="81"/>
      <c r="M208" s="265" t="b">
        <f>NOT(ISERROR(ResultsInd[[#This Row],[Goal-A]]+ResultsInd[[#This Row],[Goal-B]]))</f>
        <v>1</v>
      </c>
      <c r="N208" s="265">
        <f>VALUE(ResultsInd[[#This Row],[Score-A]])</f>
        <v>0</v>
      </c>
      <c r="O208" s="265">
        <f>VALUE(ResultsInd[[#This Row],[Score-B]])</f>
        <v>0</v>
      </c>
      <c r="P208" s="265" t="str">
        <f ca="1">IF(AND(ResultsInd[[#This Row],[Category]]&lt;&gt;"",ResultsInd[[#This Row],[Player A]]&lt;&gt;""),COUNTIF(INDIRECT(ResultsInd[[#This Row],[Category]]&amp;"List[Retained Player Name]"),ResultsInd[[#This Row],[Player A]]),"")</f>
        <v/>
      </c>
      <c r="Q208" s="265" t="str">
        <f ca="1">IF(AND(ResultsInd[[#This Row],[Category]]&lt;&gt;"",ResultsInd[[#This Row],[Player B]]&lt;&gt;""),COUNTIF(INDIRECT(ResultsInd[[#This Row],[Category]]&amp;"List[Retained Player Name]"),ResultsInd[[#This Row],[Player B]]),"")</f>
        <v/>
      </c>
      <c r="R2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8" s="265" t="str">
        <f>IF(ResultsInd[[#This Row],[Score_OK]],IF(ResultsInd[[#This Row],[Stage]]="Groups",ResultsInd[[#This Row],[Category]]&amp;"-"&amp;IF(ResultsInd[[#This Row],[Player B]]="","",IF(ResultsInd[[#This Row],[Score-A]]=ResultsInd[[#This Row],[Score-B]],ResultsInd[[#This Row],[Player A]],"")),""),"")</f>
        <v/>
      </c>
      <c r="T208" s="265" t="str">
        <f>IF(ResultsInd[[#This Row],[Score_OK]],IF(ResultsInd[[#This Row],[Stage]]="Groups",ResultsInd[[#This Row],[Category]]&amp;"-"&amp;IF(ResultsInd[[#This Row],[Player B]]="","",IF(ResultsInd[[#This Row],[Score-A]]=ResultsInd[[#This Row],[Score-B]],ResultsInd[[#This Row],[Player B]],"")),""),"")</f>
        <v/>
      </c>
      <c r="U2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8" s="264" t="str">
        <f>IF(ResultsInd[[#This Row],[Category]]="","",VLOOKUP(ResultsInd[[#This Row],[Stage]],$P$1:$V$9,MATCH(ResultsInd[[#This Row],[Category]],$Q$1:$V$1,0)+1,FALSE))</f>
        <v/>
      </c>
      <c r="Z208" s="264" t="str">
        <f>IF(ResultsInd[[#This Row],[Score_OK]],IF(ResultsInd[[#This Row],[Level]]="R",ResultsInd[[#This Row],[Category]]&amp;"-"&amp;IF(ResultsInd[[#This Row],[LoseInKO]]=ResultsInd[[#This Row],[Category]]&amp;"-"&amp;ResultsInd[[#This Row],[Player A]],ResultsInd[[#This Row],[Player B]],ResultsInd[[#This Row],[Player A]]),""),"")</f>
        <v/>
      </c>
      <c r="AB208" s="8"/>
      <c r="AC208" s="12" t="str">
        <f t="shared" si="175"/>
        <v>OPEN</v>
      </c>
      <c r="AD208" s="309"/>
      <c r="AE208" s="310"/>
      <c r="AF208" s="311"/>
      <c r="AG208" s="292" t="str">
        <f>IF(AP208="","",SMALL(AH203:AH209,ROWS(AG203:AG208)))</f>
        <v/>
      </c>
      <c r="AH208" s="293" t="str">
        <f>IF(AP208="","",RANK(AL208,AL203:AL209)*1000+ROWS(AH203:AH208))</f>
        <v/>
      </c>
      <c r="AI208" s="316" t="str">
        <f t="shared" si="169"/>
        <v/>
      </c>
      <c r="AJ208" s="415" t="b">
        <f>AND(AO208&lt;&gt;"",AO208&gt;0,COUNTIF(AI203:AI209,AI208)&gt;1)</f>
        <v>0</v>
      </c>
      <c r="AK208" s="316" t="str">
        <f t="shared" si="170"/>
        <v/>
      </c>
      <c r="AL208" s="317" t="str">
        <f t="shared" si="171"/>
        <v/>
      </c>
      <c r="AM208" s="415" t="b">
        <f>AND(AO208&lt;&gt;"",AO208&gt;0,COUNTIF(AL203:AL209,AL208)&gt;1)</f>
        <v>0</v>
      </c>
      <c r="AN208" s="306" t="str">
        <f t="shared" si="172"/>
        <v/>
      </c>
      <c r="AO208" s="307" t="str">
        <f t="shared" si="173"/>
        <v/>
      </c>
      <c r="AP208" s="307" t="str">
        <f>IF(OR(AC202="",AD208=""),"",COUNTIF(ResultsInd[Win],AC202&amp;"-"&amp;AD208))</f>
        <v/>
      </c>
      <c r="AQ208" s="307" t="str">
        <f>IF(OR(AC202="",AD208=""),"",COUNTIF(ResultsInd[Draw1],AC202&amp;"-"&amp;AD208)+COUNTIF(ResultsInd[Draw2],AC202&amp;"-"&amp;AD208))</f>
        <v/>
      </c>
      <c r="AR208" s="307" t="str">
        <f>IF(OR(AC202="",AD208=""),"",COUNTIF(ResultsInd[Lose],AC202&amp;"-"&amp;AD208))</f>
        <v/>
      </c>
      <c r="AS208" s="307" t="str">
        <f>IF(OR(AC202="",AD208=""),"",SUMIFS(ResultsInd[Goal-A],ResultsInd[Category],AC202,ResultsInd[Stage],"Groups",ResultsInd[Player A],AD208)+SUMIFS(ResultsInd[Goal-B],ResultsInd[Category],AC202,ResultsInd[Stage],"Groups",ResultsInd[Player B],AD208))</f>
        <v/>
      </c>
      <c r="AT208" s="307" t="str">
        <f>IF(OR(AC202="",AD208=""),"",SUMIFS(ResultsInd[Goal-B],ResultsInd[Category],AC202,ResultsInd[Stage],"Groups",ResultsInd[Player A],AD208)+SUMIFS(ResultsInd[Goal-A],ResultsInd[Category],AC202,ResultsInd[Stage],"Groups",ResultsInd[Player B],AD208))</f>
        <v/>
      </c>
      <c r="AU208" s="308" t="str">
        <f t="shared" si="176"/>
        <v/>
      </c>
      <c r="AV208" s="469" t="str">
        <f>IF(AG208="","",OR(VLOOKUP(AG208,AH203:AU209,3,FALSE),VLOOKUP(AG208,AH203:AU209,6,FALSE)))</f>
        <v/>
      </c>
      <c r="AW208" s="298" t="str">
        <f t="shared" si="174"/>
        <v/>
      </c>
      <c r="AX208" s="285" t="str">
        <f>IF(AG208="","",INDEX(AD203:AD209,MATCH(AG208,AH203:AH209,0)))</f>
        <v/>
      </c>
      <c r="AY208" s="286" t="str">
        <f>IF(AG208="","",VLOOKUP(AG208,AH203:AU209,COLUMN()-COLUMN(AR202),FALSE))</f>
        <v/>
      </c>
      <c r="AZ208" s="286" t="str">
        <f>IF(AG208="","",VLOOKUP(AG208,AH203:AU209,COLUMN()-COLUMN(AR202),FALSE))</f>
        <v/>
      </c>
      <c r="BA208" s="286" t="str">
        <f>IF(AG208="","",VLOOKUP(AG208,AH203:AU209,COLUMN()-COLUMN(AR202),FALSE))</f>
        <v/>
      </c>
      <c r="BB208" s="286" t="str">
        <f>IF(AG208="","",VLOOKUP(AG208,AH203:AU209,COLUMN()-COLUMN(AR202),FALSE))</f>
        <v/>
      </c>
      <c r="BC208" s="286" t="str">
        <f>IF(AG208="","",VLOOKUP(AG208,AH203:AU209,COLUMN()-COLUMN(AR202),FALSE))</f>
        <v/>
      </c>
      <c r="BD208" s="286" t="str">
        <f>IF(AG208="","",VLOOKUP(AG208,AH203:AU209,COLUMN()-COLUMN(AR202),FALSE))</f>
        <v/>
      </c>
      <c r="BE208" s="286" t="str">
        <f>IF(AG208="","",VLOOKUP(AG208,AH203:AU209,COLUMN()-COLUMN(AR202),FALSE))</f>
        <v/>
      </c>
      <c r="BF208" s="301" t="str">
        <f>IF(AG208="","",VLOOKUP(AG208,AH203:AU209,COLUMN()-COLUMN(AR202),FALSE))</f>
        <v/>
      </c>
    </row>
    <row r="209" spans="1:58" ht="12" thickBot="1" x14ac:dyDescent="0.25">
      <c r="A209" s="62"/>
      <c r="B209" s="62"/>
      <c r="C209" s="62"/>
      <c r="D209" s="62"/>
      <c r="E209" s="345"/>
      <c r="F209" s="345"/>
      <c r="G209" s="113"/>
      <c r="H209" s="113"/>
      <c r="I209" s="114"/>
      <c r="J209" s="114"/>
      <c r="K209" s="114"/>
      <c r="L209" s="81"/>
      <c r="M209" s="265" t="b">
        <f>NOT(ISERROR(ResultsInd[[#This Row],[Goal-A]]+ResultsInd[[#This Row],[Goal-B]]))</f>
        <v>1</v>
      </c>
      <c r="N209" s="265">
        <f>VALUE(ResultsInd[[#This Row],[Score-A]])</f>
        <v>0</v>
      </c>
      <c r="O209" s="265">
        <f>VALUE(ResultsInd[[#This Row],[Score-B]])</f>
        <v>0</v>
      </c>
      <c r="P209" s="265" t="str">
        <f ca="1">IF(AND(ResultsInd[[#This Row],[Category]]&lt;&gt;"",ResultsInd[[#This Row],[Player A]]&lt;&gt;""),COUNTIF(INDIRECT(ResultsInd[[#This Row],[Category]]&amp;"List[Retained Player Name]"),ResultsInd[[#This Row],[Player A]]),"")</f>
        <v/>
      </c>
      <c r="Q209" s="265" t="str">
        <f ca="1">IF(AND(ResultsInd[[#This Row],[Category]]&lt;&gt;"",ResultsInd[[#This Row],[Player B]]&lt;&gt;""),COUNTIF(INDIRECT(ResultsInd[[#This Row],[Category]]&amp;"List[Retained Player Name]"),ResultsInd[[#This Row],[Player B]]),"")</f>
        <v/>
      </c>
      <c r="R2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9" s="265" t="str">
        <f>IF(ResultsInd[[#This Row],[Score_OK]],IF(ResultsInd[[#This Row],[Stage]]="Groups",ResultsInd[[#This Row],[Category]]&amp;"-"&amp;IF(ResultsInd[[#This Row],[Player B]]="","",IF(ResultsInd[[#This Row],[Score-A]]=ResultsInd[[#This Row],[Score-B]],ResultsInd[[#This Row],[Player A]],"")),""),"")</f>
        <v/>
      </c>
      <c r="T209" s="265" t="str">
        <f>IF(ResultsInd[[#This Row],[Score_OK]],IF(ResultsInd[[#This Row],[Stage]]="Groups",ResultsInd[[#This Row],[Category]]&amp;"-"&amp;IF(ResultsInd[[#This Row],[Player B]]="","",IF(ResultsInd[[#This Row],[Score-A]]=ResultsInd[[#This Row],[Score-B]],ResultsInd[[#This Row],[Player B]],"")),""),"")</f>
        <v/>
      </c>
      <c r="U2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09" s="264" t="str">
        <f>IF(ResultsInd[[#This Row],[Category]]="","",VLOOKUP(ResultsInd[[#This Row],[Stage]],$P$1:$V$9,MATCH(ResultsInd[[#This Row],[Category]],$Q$1:$V$1,0)+1,FALSE))</f>
        <v/>
      </c>
      <c r="Z209" s="264" t="str">
        <f>IF(ResultsInd[[#This Row],[Score_OK]],IF(ResultsInd[[#This Row],[Level]]="R",ResultsInd[[#This Row],[Category]]&amp;"-"&amp;IF(ResultsInd[[#This Row],[LoseInKO]]=ResultsInd[[#This Row],[Category]]&amp;"-"&amp;ResultsInd[[#This Row],[Player A]],ResultsInd[[#This Row],[Player B]],ResultsInd[[#This Row],[Player A]]),""),"")</f>
        <v/>
      </c>
      <c r="AB209" s="8"/>
      <c r="AC209" s="12" t="str">
        <f t="shared" si="175"/>
        <v>OPEN</v>
      </c>
      <c r="AD209" s="312"/>
      <c r="AE209" s="313"/>
      <c r="AF209" s="314"/>
      <c r="AG209" s="294" t="str">
        <f>IF(AP209="","",SMALL(AH203:AH209,ROWS(AG203:AG209)))</f>
        <v/>
      </c>
      <c r="AH209" s="295" t="str">
        <f>IF(AP209="","",RANK(AL209,AL203:AL209)*1000+ROWS(AH203:AH209))</f>
        <v/>
      </c>
      <c r="AI209" s="318" t="str">
        <f t="shared" si="169"/>
        <v/>
      </c>
      <c r="AJ209" s="416" t="b">
        <f>AND(AO209&lt;&gt;"",AO209&gt;0,COUNTIF(AI203:AI209,AI209)&gt;1)</f>
        <v>0</v>
      </c>
      <c r="AK209" s="318" t="str">
        <f t="shared" si="170"/>
        <v/>
      </c>
      <c r="AL209" s="319" t="str">
        <f t="shared" si="171"/>
        <v/>
      </c>
      <c r="AM209" s="416" t="b">
        <f>AND(AO209&lt;&gt;"",AO209&gt;0,COUNTIF(AL203:AL209,AL209)&gt;1)</f>
        <v>0</v>
      </c>
      <c r="AN209" s="306" t="str">
        <f t="shared" si="172"/>
        <v/>
      </c>
      <c r="AO209" s="307" t="str">
        <f t="shared" si="173"/>
        <v/>
      </c>
      <c r="AP209" s="307" t="str">
        <f>IF(OR(AC202="",AD209=""),"",COUNTIF(ResultsInd[Win],AC202&amp;"-"&amp;AD209))</f>
        <v/>
      </c>
      <c r="AQ209" s="307" t="str">
        <f>IF(OR(AC202="",AD209=""),"",COUNTIF(ResultsInd[Draw1],AC202&amp;"-"&amp;AD209)+COUNTIF(ResultsInd[Draw2],AC202&amp;"-"&amp;AD209))</f>
        <v/>
      </c>
      <c r="AR209" s="307" t="str">
        <f>IF(OR(AC202="",AD209=""),"",COUNTIF(ResultsInd[Lose],AC202&amp;"-"&amp;AD209))</f>
        <v/>
      </c>
      <c r="AS209" s="307" t="str">
        <f>IF(OR(AC202="",AD209=""),"",SUMIFS(ResultsInd[Goal-A],ResultsInd[Category],AC202,ResultsInd[Stage],"Groups",ResultsInd[Player A],AD209)+SUMIFS(ResultsInd[Goal-B],ResultsInd[Category],AC202,ResultsInd[Stage],"Groups",ResultsInd[Player B],AD209))</f>
        <v/>
      </c>
      <c r="AT209" s="307" t="str">
        <f>IF(OR(AC202="",AD209=""),"",SUMIFS(ResultsInd[Goal-B],ResultsInd[Category],AC202,ResultsInd[Stage],"Groups",ResultsInd[Player A],AD209)+SUMIFS(ResultsInd[Goal-A],ResultsInd[Category],AC202,ResultsInd[Stage],"Groups",ResultsInd[Player B],AD209))</f>
        <v/>
      </c>
      <c r="AU209" s="308" t="str">
        <f t="shared" si="176"/>
        <v/>
      </c>
      <c r="AV209" s="469" t="str">
        <f>IF(AG209="","",OR(VLOOKUP(AG209,AH203:AU209,3,FALSE),VLOOKUP(AG209,AH203:AU209,6,FALSE)))</f>
        <v/>
      </c>
      <c r="AW209" s="299" t="str">
        <f t="shared" si="174"/>
        <v/>
      </c>
      <c r="AX209" s="287" t="str">
        <f>IF(AG209="","",INDEX(AD203:AD209,MATCH(AG209,AH203:AH209,0)))</f>
        <v/>
      </c>
      <c r="AY209" s="288" t="str">
        <f>IF(AG209="","",VLOOKUP(AG209,AH203:AU209,COLUMN()-COLUMN(AR202),FALSE))</f>
        <v/>
      </c>
      <c r="AZ209" s="288" t="str">
        <f>IF(AG209="","",VLOOKUP(AG209,AH203:AU209,COLUMN()-COLUMN(AR202),FALSE))</f>
        <v/>
      </c>
      <c r="BA209" s="288" t="str">
        <f>IF(AG209="","",VLOOKUP(AG209,AH203:AU209,COLUMN()-COLUMN(AR202),FALSE))</f>
        <v/>
      </c>
      <c r="BB209" s="288" t="str">
        <f>IF(AG209="","",VLOOKUP(AG209,AH203:AU209,COLUMN()-COLUMN(AR202),FALSE))</f>
        <v/>
      </c>
      <c r="BC209" s="288" t="str">
        <f>IF(AG209="","",VLOOKUP(AG209,AH203:AU209,COLUMN()-COLUMN(AR202),FALSE))</f>
        <v/>
      </c>
      <c r="BD209" s="288" t="str">
        <f>IF(AG209="","",VLOOKUP(AG209,AH203:AU209,COLUMN()-COLUMN(AR202),FALSE))</f>
        <v/>
      </c>
      <c r="BE209" s="288" t="str">
        <f>IF(AG209="","",VLOOKUP(AG209,AH203:AU209,COLUMN()-COLUMN(AR202),FALSE))</f>
        <v/>
      </c>
      <c r="BF209" s="302" t="str">
        <f>IF(AG209="","",VLOOKUP(AG209,AH203:AU209,COLUMN()-COLUMN(AR202),FALSE))</f>
        <v/>
      </c>
    </row>
    <row r="210" spans="1:58" ht="13.5" thickBot="1" x14ac:dyDescent="0.25">
      <c r="A210" s="62"/>
      <c r="B210" s="62"/>
      <c r="C210" s="62"/>
      <c r="D210" s="62"/>
      <c r="E210" s="345"/>
      <c r="F210" s="345"/>
      <c r="G210" s="113"/>
      <c r="H210" s="113"/>
      <c r="I210" s="114"/>
      <c r="J210" s="114"/>
      <c r="K210" s="114"/>
      <c r="L210" s="81"/>
      <c r="M210" s="265" t="b">
        <f>NOT(ISERROR(ResultsInd[[#This Row],[Goal-A]]+ResultsInd[[#This Row],[Goal-B]]))</f>
        <v>1</v>
      </c>
      <c r="N210" s="265">
        <f>VALUE(ResultsInd[[#This Row],[Score-A]])</f>
        <v>0</v>
      </c>
      <c r="O210" s="265">
        <f>VALUE(ResultsInd[[#This Row],[Score-B]])</f>
        <v>0</v>
      </c>
      <c r="P210" s="265" t="str">
        <f ca="1">IF(AND(ResultsInd[[#This Row],[Category]]&lt;&gt;"",ResultsInd[[#This Row],[Player A]]&lt;&gt;""),COUNTIF(INDIRECT(ResultsInd[[#This Row],[Category]]&amp;"List[Retained Player Name]"),ResultsInd[[#This Row],[Player A]]),"")</f>
        <v/>
      </c>
      <c r="Q210" s="265" t="str">
        <f ca="1">IF(AND(ResultsInd[[#This Row],[Category]]&lt;&gt;"",ResultsInd[[#This Row],[Player B]]&lt;&gt;""),COUNTIF(INDIRECT(ResultsInd[[#This Row],[Category]]&amp;"List[Retained Player Name]"),ResultsInd[[#This Row],[Player B]]),"")</f>
        <v/>
      </c>
      <c r="R2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0" s="265" t="str">
        <f>IF(ResultsInd[[#This Row],[Score_OK]],IF(ResultsInd[[#This Row],[Stage]]="Groups",ResultsInd[[#This Row],[Category]]&amp;"-"&amp;IF(ResultsInd[[#This Row],[Player B]]="","",IF(ResultsInd[[#This Row],[Score-A]]=ResultsInd[[#This Row],[Score-B]],ResultsInd[[#This Row],[Player A]],"")),""),"")</f>
        <v/>
      </c>
      <c r="T210" s="265" t="str">
        <f>IF(ResultsInd[[#This Row],[Score_OK]],IF(ResultsInd[[#This Row],[Stage]]="Groups",ResultsInd[[#This Row],[Category]]&amp;"-"&amp;IF(ResultsInd[[#This Row],[Player B]]="","",IF(ResultsInd[[#This Row],[Score-A]]=ResultsInd[[#This Row],[Score-B]],ResultsInd[[#This Row],[Player B]],"")),""),"")</f>
        <v/>
      </c>
      <c r="U2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0" s="264" t="str">
        <f>IF(ResultsInd[[#This Row],[Category]]="","",VLOOKUP(ResultsInd[[#This Row],[Stage]],$P$1:$V$9,MATCH(ResultsInd[[#This Row],[Category]],$Q$1:$V$1,0)+1,FALSE))</f>
        <v/>
      </c>
      <c r="Z210" s="264" t="str">
        <f>IF(ResultsInd[[#This Row],[Score_OK]],IF(ResultsInd[[#This Row],[Level]]="R",ResultsInd[[#This Row],[Category]]&amp;"-"&amp;IF(ResultsInd[[#This Row],[LoseInKO]]=ResultsInd[[#This Row],[Category]]&amp;"-"&amp;ResultsInd[[#This Row],[Player A]],ResultsInd[[#This Row],[Player B]],ResultsInd[[#This Row],[Player A]]),""),"")</f>
        <v/>
      </c>
      <c r="AB210" s="8"/>
      <c r="AC210" s="8"/>
      <c r="AF210" s="170"/>
      <c r="AG210" s="101"/>
      <c r="AH210" s="101"/>
      <c r="AN210" s="170"/>
      <c r="AO210" s="170"/>
      <c r="AP210" s="170"/>
      <c r="AQ210" s="172"/>
      <c r="AR210" s="173"/>
      <c r="AS210" s="173"/>
      <c r="AT210" s="173"/>
      <c r="AU210" s="101"/>
      <c r="AV210" s="101"/>
      <c r="AW210" s="101"/>
      <c r="AX210" s="101"/>
      <c r="AY210" s="101"/>
      <c r="AZ210" s="101"/>
    </row>
    <row r="211" spans="1:58" ht="12" thickBot="1" x14ac:dyDescent="0.25">
      <c r="A211" s="62"/>
      <c r="B211" s="62"/>
      <c r="C211" s="62"/>
      <c r="D211" s="62"/>
      <c r="E211" s="345"/>
      <c r="F211" s="345"/>
      <c r="G211" s="113"/>
      <c r="H211" s="113"/>
      <c r="I211" s="114"/>
      <c r="J211" s="114"/>
      <c r="K211" s="114"/>
      <c r="L211" s="81"/>
      <c r="M211" s="265" t="b">
        <f>NOT(ISERROR(ResultsInd[[#This Row],[Goal-A]]+ResultsInd[[#This Row],[Goal-B]]))</f>
        <v>1</v>
      </c>
      <c r="N211" s="265">
        <f>VALUE(ResultsInd[[#This Row],[Score-A]])</f>
        <v>0</v>
      </c>
      <c r="O211" s="265">
        <f>VALUE(ResultsInd[[#This Row],[Score-B]])</f>
        <v>0</v>
      </c>
      <c r="P211" s="265" t="str">
        <f ca="1">IF(AND(ResultsInd[[#This Row],[Category]]&lt;&gt;"",ResultsInd[[#This Row],[Player A]]&lt;&gt;""),COUNTIF(INDIRECT(ResultsInd[[#This Row],[Category]]&amp;"List[Retained Player Name]"),ResultsInd[[#This Row],[Player A]]),"")</f>
        <v/>
      </c>
      <c r="Q211" s="265" t="str">
        <f ca="1">IF(AND(ResultsInd[[#This Row],[Category]]&lt;&gt;"",ResultsInd[[#This Row],[Player B]]&lt;&gt;""),COUNTIF(INDIRECT(ResultsInd[[#This Row],[Category]]&amp;"List[Retained Player Name]"),ResultsInd[[#This Row],[Player B]]),"")</f>
        <v/>
      </c>
      <c r="R2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1" s="265" t="str">
        <f>IF(ResultsInd[[#This Row],[Score_OK]],IF(ResultsInd[[#This Row],[Stage]]="Groups",ResultsInd[[#This Row],[Category]]&amp;"-"&amp;IF(ResultsInd[[#This Row],[Player B]]="","",IF(ResultsInd[[#This Row],[Score-A]]=ResultsInd[[#This Row],[Score-B]],ResultsInd[[#This Row],[Player A]],"")),""),"")</f>
        <v/>
      </c>
      <c r="T211" s="265" t="str">
        <f>IF(ResultsInd[[#This Row],[Score_OK]],IF(ResultsInd[[#This Row],[Stage]]="Groups",ResultsInd[[#This Row],[Category]]&amp;"-"&amp;IF(ResultsInd[[#This Row],[Player B]]="","",IF(ResultsInd[[#This Row],[Score-A]]=ResultsInd[[#This Row],[Score-B]],ResultsInd[[#This Row],[Player B]],"")),""),"")</f>
        <v/>
      </c>
      <c r="U2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1" s="264" t="str">
        <f>IF(ResultsInd[[#This Row],[Category]]="","",VLOOKUP(ResultsInd[[#This Row],[Stage]],$P$1:$V$9,MATCH(ResultsInd[[#This Row],[Category]],$Q$1:$V$1,0)+1,FALSE))</f>
        <v/>
      </c>
      <c r="Z211" s="264" t="str">
        <f>IF(ResultsInd[[#This Row],[Score_OK]],IF(ResultsInd[[#This Row],[Level]]="R",ResultsInd[[#This Row],[Category]]&amp;"-"&amp;IF(ResultsInd[[#This Row],[LoseInKO]]=ResultsInd[[#This Row],[Category]]&amp;"-"&amp;ResultsInd[[#This Row],[Player A]],ResultsInd[[#This Row],[Player B]],ResultsInd[[#This Row],[Player A]]),""),"")</f>
        <v/>
      </c>
      <c r="AB211" s="281">
        <v>22</v>
      </c>
      <c r="AC211" s="315" t="s">
        <v>890</v>
      </c>
      <c r="AD211" s="289" t="s">
        <v>14439</v>
      </c>
      <c r="AE211" s="290" t="s">
        <v>12279</v>
      </c>
      <c r="AF211" s="284" t="s">
        <v>12275</v>
      </c>
      <c r="AG211" s="296" t="s">
        <v>12276</v>
      </c>
      <c r="AH211" s="291" t="s">
        <v>12271</v>
      </c>
      <c r="AI211" s="291" t="s">
        <v>12272</v>
      </c>
      <c r="AJ211" s="414" t="s">
        <v>13154</v>
      </c>
      <c r="AK211" s="291" t="s">
        <v>12273</v>
      </c>
      <c r="AL211" s="297" t="s">
        <v>12274</v>
      </c>
      <c r="AM211" s="414" t="s">
        <v>13154</v>
      </c>
      <c r="AN211" s="303" t="s">
        <v>12199</v>
      </c>
      <c r="AO211" s="304" t="s">
        <v>12200</v>
      </c>
      <c r="AP211" s="304" t="s">
        <v>12201</v>
      </c>
      <c r="AQ211" s="304" t="s">
        <v>12202</v>
      </c>
      <c r="AR211" s="304" t="s">
        <v>12203</v>
      </c>
      <c r="AS211" s="304" t="s">
        <v>12204</v>
      </c>
      <c r="AT211" s="304" t="s">
        <v>12205</v>
      </c>
      <c r="AU211" s="305" t="s">
        <v>12206</v>
      </c>
      <c r="AV211" s="468"/>
      <c r="AW211" s="282" t="s">
        <v>12276</v>
      </c>
      <c r="AX211" s="282" t="s">
        <v>12280</v>
      </c>
      <c r="AY211" s="283" t="s">
        <v>12199</v>
      </c>
      <c r="AZ211" s="283" t="s">
        <v>12200</v>
      </c>
      <c r="BA211" s="283" t="s">
        <v>12201</v>
      </c>
      <c r="BB211" s="283" t="s">
        <v>12202</v>
      </c>
      <c r="BC211" s="283" t="s">
        <v>12203</v>
      </c>
      <c r="BD211" s="283" t="s">
        <v>12204</v>
      </c>
      <c r="BE211" s="283" t="s">
        <v>12205</v>
      </c>
      <c r="BF211" s="300" t="s">
        <v>12206</v>
      </c>
    </row>
    <row r="212" spans="1:58" ht="12" thickBot="1" x14ac:dyDescent="0.25">
      <c r="A212" s="62"/>
      <c r="B212" s="62"/>
      <c r="C212" s="62"/>
      <c r="D212" s="62"/>
      <c r="E212" s="345"/>
      <c r="F212" s="345"/>
      <c r="G212" s="113"/>
      <c r="H212" s="113"/>
      <c r="I212" s="114"/>
      <c r="J212" s="114"/>
      <c r="K212" s="114"/>
      <c r="L212" s="81"/>
      <c r="M212" s="265" t="b">
        <f>NOT(ISERROR(ResultsInd[[#This Row],[Goal-A]]+ResultsInd[[#This Row],[Goal-B]]))</f>
        <v>1</v>
      </c>
      <c r="N212" s="265">
        <f>VALUE(ResultsInd[[#This Row],[Score-A]])</f>
        <v>0</v>
      </c>
      <c r="O212" s="265">
        <f>VALUE(ResultsInd[[#This Row],[Score-B]])</f>
        <v>0</v>
      </c>
      <c r="P212" s="265" t="str">
        <f ca="1">IF(AND(ResultsInd[[#This Row],[Category]]&lt;&gt;"",ResultsInd[[#This Row],[Player A]]&lt;&gt;""),COUNTIF(INDIRECT(ResultsInd[[#This Row],[Category]]&amp;"List[Retained Player Name]"),ResultsInd[[#This Row],[Player A]]),"")</f>
        <v/>
      </c>
      <c r="Q212" s="265" t="str">
        <f ca="1">IF(AND(ResultsInd[[#This Row],[Category]]&lt;&gt;"",ResultsInd[[#This Row],[Player B]]&lt;&gt;""),COUNTIF(INDIRECT(ResultsInd[[#This Row],[Category]]&amp;"List[Retained Player Name]"),ResultsInd[[#This Row],[Player B]]),"")</f>
        <v/>
      </c>
      <c r="R2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2" s="265" t="str">
        <f>IF(ResultsInd[[#This Row],[Score_OK]],IF(ResultsInd[[#This Row],[Stage]]="Groups",ResultsInd[[#This Row],[Category]]&amp;"-"&amp;IF(ResultsInd[[#This Row],[Player B]]="","",IF(ResultsInd[[#This Row],[Score-A]]=ResultsInd[[#This Row],[Score-B]],ResultsInd[[#This Row],[Player A]],"")),""),"")</f>
        <v/>
      </c>
      <c r="T212" s="265" t="str">
        <f>IF(ResultsInd[[#This Row],[Score_OK]],IF(ResultsInd[[#This Row],[Stage]]="Groups",ResultsInd[[#This Row],[Category]]&amp;"-"&amp;IF(ResultsInd[[#This Row],[Player B]]="","",IF(ResultsInd[[#This Row],[Score-A]]=ResultsInd[[#This Row],[Score-B]],ResultsInd[[#This Row],[Player B]],"")),""),"")</f>
        <v/>
      </c>
      <c r="U2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2" s="264" t="str">
        <f>IF(ResultsInd[[#This Row],[Category]]="","",VLOOKUP(ResultsInd[[#This Row],[Stage]],$P$1:$V$9,MATCH(ResultsInd[[#This Row],[Category]],$Q$1:$V$1,0)+1,FALSE))</f>
        <v/>
      </c>
      <c r="Z212" s="264" t="str">
        <f>IF(ResultsInd[[#This Row],[Score_OK]],IF(ResultsInd[[#This Row],[Level]]="R",ResultsInd[[#This Row],[Category]]&amp;"-"&amp;IF(ResultsInd[[#This Row],[LoseInKO]]=ResultsInd[[#This Row],[Category]]&amp;"-"&amp;ResultsInd[[#This Row],[Player A]],ResultsInd[[#This Row],[Player B]],ResultsInd[[#This Row],[Player A]]),""),"")</f>
        <v/>
      </c>
      <c r="AB212" s="8"/>
      <c r="AC212" s="12" t="str">
        <f>IF(AC211="","",AC211)</f>
        <v>OPEN</v>
      </c>
      <c r="AD212" s="309" t="s">
        <v>9526</v>
      </c>
      <c r="AE212" s="320"/>
      <c r="AF212" s="311"/>
      <c r="AG212" s="292">
        <f>IF(AP212="","",SMALL(AH212:AH218,ROWS(AG212:AG212)))</f>
        <v>1001</v>
      </c>
      <c r="AH212" s="293">
        <f>IF(AP212="","",RANK(AL212,AL212:AL218)*1000+ROWS(AH212:AH212))</f>
        <v>1001</v>
      </c>
      <c r="AI212" s="316">
        <f t="shared" ref="AI212:AI218" si="177">IF(AP212="","",CritClassInd1_Points*AN212+CritClassInd1_Matches*AP212+CritClassInd1_Attaque*AS212+CritClassInd1_DiffButs*AU212)</f>
        <v>9000000000000</v>
      </c>
      <c r="AJ212" s="415" t="b">
        <f>AND(AO212&lt;&gt;"",AO212&gt;0,COUNTIF(AI212:AI218,AI212)&gt;1)</f>
        <v>0</v>
      </c>
      <c r="AK212" s="316">
        <f t="shared" ref="AK212:AK218" si="178">IF(AP212="","",CritClassInd_ScorePart*AE212)</f>
        <v>0</v>
      </c>
      <c r="AL212" s="317">
        <f t="shared" ref="AL212:AL218" si="179">IF(AP212="","",AI212+AK212+CritClassInd2_Points*AN212+CritClassInd2_Matches*AP212+CritClassInd2_Attaque*AS212+CritClassInd2_DiffButs*AU212+AF212)</f>
        <v>9000000091200</v>
      </c>
      <c r="AM212" s="415" t="b">
        <f>AND(AO212&lt;&gt;"",AO212&gt;0,COUNTIF(AL212:AL218,AL212)&gt;1)</f>
        <v>0</v>
      </c>
      <c r="AN212" s="306">
        <f t="shared" ref="AN212:AN218" si="180">IF(AP212="","",(AP212*Points_Victoire)+AQ212*Points_Null)</f>
        <v>9</v>
      </c>
      <c r="AO212" s="307">
        <f t="shared" ref="AO212:AO218" si="181">IF(AP212="","",SUM(AP212:AR212))</f>
        <v>3</v>
      </c>
      <c r="AP212" s="307">
        <f>IF(OR(AC211="",AD212=""),"",COUNTIF(ResultsInd[Win],AC211&amp;"-"&amp;AD212))</f>
        <v>3</v>
      </c>
      <c r="AQ212" s="307">
        <f>IF(OR(AC211="",AD212=""),"",COUNTIF(ResultsInd[Draw1],AC211&amp;"-"&amp;AD212)+COUNTIF(ResultsInd[Draw2],AC211&amp;"-"&amp;AD212))</f>
        <v>0</v>
      </c>
      <c r="AR212" s="307">
        <f>IF(OR(AC211="",AD212=""),"",COUNTIF(ResultsInd[Lose],AC211&amp;"-"&amp;AD212))</f>
        <v>0</v>
      </c>
      <c r="AS212" s="307">
        <f>IF(OR(AC211="",AD212=""),"",SUMIFS(ResultsInd[Goal-A],ResultsInd[Category],AC211,ResultsInd[Stage],"Groups",ResultsInd[Player A],AD212)+SUMIFS(ResultsInd[Goal-B],ResultsInd[Category],AC211,ResultsInd[Stage],"Groups",ResultsInd[Player B],AD212))</f>
        <v>12</v>
      </c>
      <c r="AT212" s="307">
        <f>IF(OR(AC211="",AD212=""),"",SUMIFS(ResultsInd[Goal-B],ResultsInd[Category],AC211,ResultsInd[Stage],"Groups",ResultsInd[Player A],AD212)+SUMIFS(ResultsInd[Goal-A],ResultsInd[Category],AC211,ResultsInd[Stage],"Groups",ResultsInd[Player B],AD212))</f>
        <v>3</v>
      </c>
      <c r="AU212" s="308">
        <f>IF(AP212="","",AS212-AT212)</f>
        <v>9</v>
      </c>
      <c r="AV212" s="469" t="b">
        <f>IF(AG212="","",OR(VLOOKUP(AG212,AH212:AU218,3,FALSE),VLOOKUP(AG212,AH212:AU218,6,FALSE)))</f>
        <v>0</v>
      </c>
      <c r="AW212" s="298">
        <f t="shared" ref="AW212:AW218" si="182">IF(AG212="","",INT(AG212/1000))</f>
        <v>1</v>
      </c>
      <c r="AX212" s="285" t="str">
        <f>IF(AG212="","",INDEX(AD212:AD218,MATCH(AG212,AH212:AH218,0)))</f>
        <v>Luca Zambello</v>
      </c>
      <c r="AY212" s="286">
        <f>IF(AG212="","",VLOOKUP(AG212,AH212:AU218,COLUMN()-COLUMN(AR211),FALSE))</f>
        <v>9</v>
      </c>
      <c r="AZ212" s="286">
        <f>IF(AG212="","",VLOOKUP(AG212,AH212:AU218,COLUMN()-COLUMN(AR211),FALSE))</f>
        <v>3</v>
      </c>
      <c r="BA212" s="286">
        <f>IF(AG212="","",VLOOKUP(AG212,AH212:AU218,COLUMN()-COLUMN(AR211),FALSE))</f>
        <v>3</v>
      </c>
      <c r="BB212" s="286">
        <f>IF(AG212="","",VLOOKUP(AG212,AH212:AU218,COLUMN()-COLUMN(AR211),FALSE))</f>
        <v>0</v>
      </c>
      <c r="BC212" s="286">
        <f>IF(AG212="","",VLOOKUP(AG212,AH212:AU218,COLUMN()-COLUMN(AR211),FALSE))</f>
        <v>0</v>
      </c>
      <c r="BD212" s="286">
        <f>IF(AG212="","",VLOOKUP(AG212,AH212:AU218,COLUMN()-COLUMN(AR211),FALSE))</f>
        <v>12</v>
      </c>
      <c r="BE212" s="286">
        <f>IF(AG212="","",VLOOKUP(AG212,AH212:AU218,COLUMN()-COLUMN(AR211),FALSE))</f>
        <v>3</v>
      </c>
      <c r="BF212" s="301">
        <f>IF(AG212="","",VLOOKUP(AG212,AH212:AU218,COLUMN()-COLUMN(AR211),FALSE))</f>
        <v>9</v>
      </c>
    </row>
    <row r="213" spans="1:58" ht="12" thickBot="1" x14ac:dyDescent="0.25">
      <c r="A213" s="62"/>
      <c r="B213" s="62"/>
      <c r="C213" s="62"/>
      <c r="D213" s="62"/>
      <c r="E213" s="345"/>
      <c r="F213" s="345"/>
      <c r="G213" s="113"/>
      <c r="H213" s="113"/>
      <c r="I213" s="114"/>
      <c r="J213" s="114"/>
      <c r="K213" s="114"/>
      <c r="L213" s="81"/>
      <c r="M213" s="265" t="b">
        <f>NOT(ISERROR(ResultsInd[[#This Row],[Goal-A]]+ResultsInd[[#This Row],[Goal-B]]))</f>
        <v>1</v>
      </c>
      <c r="N213" s="265">
        <f>VALUE(ResultsInd[[#This Row],[Score-A]])</f>
        <v>0</v>
      </c>
      <c r="O213" s="265">
        <f>VALUE(ResultsInd[[#This Row],[Score-B]])</f>
        <v>0</v>
      </c>
      <c r="P213" s="265" t="str">
        <f ca="1">IF(AND(ResultsInd[[#This Row],[Category]]&lt;&gt;"",ResultsInd[[#This Row],[Player A]]&lt;&gt;""),COUNTIF(INDIRECT(ResultsInd[[#This Row],[Category]]&amp;"List[Retained Player Name]"),ResultsInd[[#This Row],[Player A]]),"")</f>
        <v/>
      </c>
      <c r="Q213" s="265" t="str">
        <f ca="1">IF(AND(ResultsInd[[#This Row],[Category]]&lt;&gt;"",ResultsInd[[#This Row],[Player B]]&lt;&gt;""),COUNTIF(INDIRECT(ResultsInd[[#This Row],[Category]]&amp;"List[Retained Player Name]"),ResultsInd[[#This Row],[Player B]]),"")</f>
        <v/>
      </c>
      <c r="R2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3" s="265" t="str">
        <f>IF(ResultsInd[[#This Row],[Score_OK]],IF(ResultsInd[[#This Row],[Stage]]="Groups",ResultsInd[[#This Row],[Category]]&amp;"-"&amp;IF(ResultsInd[[#This Row],[Player B]]="","",IF(ResultsInd[[#This Row],[Score-A]]=ResultsInd[[#This Row],[Score-B]],ResultsInd[[#This Row],[Player A]],"")),""),"")</f>
        <v/>
      </c>
      <c r="T213" s="265" t="str">
        <f>IF(ResultsInd[[#This Row],[Score_OK]],IF(ResultsInd[[#This Row],[Stage]]="Groups",ResultsInd[[#This Row],[Category]]&amp;"-"&amp;IF(ResultsInd[[#This Row],[Player B]]="","",IF(ResultsInd[[#This Row],[Score-A]]=ResultsInd[[#This Row],[Score-B]],ResultsInd[[#This Row],[Player B]],"")),""),"")</f>
        <v/>
      </c>
      <c r="U2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3" s="264" t="str">
        <f>IF(ResultsInd[[#This Row],[Category]]="","",VLOOKUP(ResultsInd[[#This Row],[Stage]],$P$1:$V$9,MATCH(ResultsInd[[#This Row],[Category]],$Q$1:$V$1,0)+1,FALSE))</f>
        <v/>
      </c>
      <c r="Z213" s="264" t="str">
        <f>IF(ResultsInd[[#This Row],[Score_OK]],IF(ResultsInd[[#This Row],[Level]]="R",ResultsInd[[#This Row],[Category]]&amp;"-"&amp;IF(ResultsInd[[#This Row],[LoseInKO]]=ResultsInd[[#This Row],[Category]]&amp;"-"&amp;ResultsInd[[#This Row],[Player A]],ResultsInd[[#This Row],[Player B]],ResultsInd[[#This Row],[Player A]]),""),"")</f>
        <v/>
      </c>
      <c r="AB213" s="8"/>
      <c r="AC213" s="12" t="str">
        <f t="shared" ref="AC213:AC218" si="183">IF(AC212="","",AC212)</f>
        <v>OPEN</v>
      </c>
      <c r="AD213" s="309" t="s">
        <v>10509</v>
      </c>
      <c r="AE213" s="320"/>
      <c r="AF213" s="311"/>
      <c r="AG213" s="292">
        <f>IF(AP213="","",SMALL(AH212:AH218,ROWS(AG212:AG213)))</f>
        <v>2002</v>
      </c>
      <c r="AH213" s="293">
        <f>IF(AP213="","",RANK(AL213,AL212:AL218)*1000+ROWS(AH212:AH213))</f>
        <v>2002</v>
      </c>
      <c r="AI213" s="316">
        <f t="shared" si="177"/>
        <v>6000000000000</v>
      </c>
      <c r="AJ213" s="415" t="b">
        <f>AND(AO213&lt;&gt;"",AO213&gt;0,COUNTIF(AI212:AI218,AI213)&gt;1)</f>
        <v>0</v>
      </c>
      <c r="AK213" s="316">
        <f t="shared" si="178"/>
        <v>0</v>
      </c>
      <c r="AL213" s="317">
        <f t="shared" si="179"/>
        <v>6000000071500</v>
      </c>
      <c r="AM213" s="415" t="b">
        <f>AND(AO213&lt;&gt;"",AO213&gt;0,COUNTIF(AL212:AL218,AL213)&gt;1)</f>
        <v>0</v>
      </c>
      <c r="AN213" s="306">
        <f t="shared" si="180"/>
        <v>6</v>
      </c>
      <c r="AO213" s="307">
        <f t="shared" si="181"/>
        <v>3</v>
      </c>
      <c r="AP213" s="307">
        <f>IF(OR(AC211="",AD213=""),"",COUNTIF(ResultsInd[Win],AC211&amp;"-"&amp;AD213))</f>
        <v>2</v>
      </c>
      <c r="AQ213" s="307">
        <f>IF(OR(AC211="",AD213=""),"",COUNTIF(ResultsInd[Draw1],AC211&amp;"-"&amp;AD213)+COUNTIF(ResultsInd[Draw2],AC211&amp;"-"&amp;AD213))</f>
        <v>0</v>
      </c>
      <c r="AR213" s="307">
        <f>IF(OR(AC211="",AD213=""),"",COUNTIF(ResultsInd[Lose],AC211&amp;"-"&amp;AD213))</f>
        <v>1</v>
      </c>
      <c r="AS213" s="307">
        <f>IF(OR(AC211="",AD213=""),"",SUMIFS(ResultsInd[Goal-A],ResultsInd[Category],AC211,ResultsInd[Stage],"Groups",ResultsInd[Player A],AD213)+SUMIFS(ResultsInd[Goal-B],ResultsInd[Category],AC211,ResultsInd[Stage],"Groups",ResultsInd[Player B],AD213))</f>
        <v>15</v>
      </c>
      <c r="AT213" s="307">
        <f>IF(OR(AC211="",AD213=""),"",SUMIFS(ResultsInd[Goal-B],ResultsInd[Category],AC211,ResultsInd[Stage],"Groups",ResultsInd[Player A],AD213)+SUMIFS(ResultsInd[Goal-A],ResultsInd[Category],AC211,ResultsInd[Stage],"Groups",ResultsInd[Player B],AD213))</f>
        <v>8</v>
      </c>
      <c r="AU213" s="308">
        <f t="shared" ref="AU213:AU218" si="184">IF(AP213="","",AS213-AT213)</f>
        <v>7</v>
      </c>
      <c r="AV213" s="469" t="b">
        <f>IF(AG213="","",OR(VLOOKUP(AG213,AH212:AU218,3,FALSE),VLOOKUP(AG213,AH212:AU218,6,FALSE)))</f>
        <v>0</v>
      </c>
      <c r="AW213" s="298">
        <f t="shared" si="182"/>
        <v>2</v>
      </c>
      <c r="AX213" s="285" t="str">
        <f>IF(AG213="","",INDEX(AD212:AD218,MATCH(AG213,AH212:AH218,0)))</f>
        <v>Sérgio Loureiro</v>
      </c>
      <c r="AY213" s="286">
        <f>IF(AG213="","",VLOOKUP(AG213,AH212:AU218,COLUMN()-COLUMN(AR211),FALSE))</f>
        <v>6</v>
      </c>
      <c r="AZ213" s="286">
        <f>IF(AG213="","",VLOOKUP(AG213,AH212:AU218,COLUMN()-COLUMN(AR211),FALSE))</f>
        <v>3</v>
      </c>
      <c r="BA213" s="286">
        <f>IF(AG213="","",VLOOKUP(AG213,AH212:AU218,COLUMN()-COLUMN(AR211),FALSE))</f>
        <v>2</v>
      </c>
      <c r="BB213" s="286">
        <f>IF(AG213="","",VLOOKUP(AG213,AH212:AU218,COLUMN()-COLUMN(AR211),FALSE))</f>
        <v>0</v>
      </c>
      <c r="BC213" s="286">
        <f>IF(AG213="","",VLOOKUP(AG213,AH212:AU218,COLUMN()-COLUMN(AR211),FALSE))</f>
        <v>1</v>
      </c>
      <c r="BD213" s="286">
        <f>IF(AG213="","",VLOOKUP(AG213,AH212:AU218,COLUMN()-COLUMN(AR211),FALSE))</f>
        <v>15</v>
      </c>
      <c r="BE213" s="286">
        <f>IF(AG213="","",VLOOKUP(AG213,AH212:AU218,COLUMN()-COLUMN(AR211),FALSE))</f>
        <v>8</v>
      </c>
      <c r="BF213" s="301">
        <f>IF(AG213="","",VLOOKUP(AG213,AH212:AU218,COLUMN()-COLUMN(AR211),FALSE))</f>
        <v>7</v>
      </c>
    </row>
    <row r="214" spans="1:58" ht="12" thickBot="1" x14ac:dyDescent="0.25">
      <c r="A214" s="62"/>
      <c r="B214" s="62"/>
      <c r="C214" s="62"/>
      <c r="D214" s="62"/>
      <c r="E214" s="345"/>
      <c r="F214" s="345"/>
      <c r="G214" s="113"/>
      <c r="H214" s="113"/>
      <c r="I214" s="114"/>
      <c r="J214" s="114"/>
      <c r="K214" s="114"/>
      <c r="L214" s="81"/>
      <c r="M214" s="265" t="b">
        <f>NOT(ISERROR(ResultsInd[[#This Row],[Goal-A]]+ResultsInd[[#This Row],[Goal-B]]))</f>
        <v>1</v>
      </c>
      <c r="N214" s="265">
        <f>VALUE(ResultsInd[[#This Row],[Score-A]])</f>
        <v>0</v>
      </c>
      <c r="O214" s="265">
        <f>VALUE(ResultsInd[[#This Row],[Score-B]])</f>
        <v>0</v>
      </c>
      <c r="P214" s="265" t="str">
        <f ca="1">IF(AND(ResultsInd[[#This Row],[Category]]&lt;&gt;"",ResultsInd[[#This Row],[Player A]]&lt;&gt;""),COUNTIF(INDIRECT(ResultsInd[[#This Row],[Category]]&amp;"List[Retained Player Name]"),ResultsInd[[#This Row],[Player A]]),"")</f>
        <v/>
      </c>
      <c r="Q214" s="265" t="str">
        <f ca="1">IF(AND(ResultsInd[[#This Row],[Category]]&lt;&gt;"",ResultsInd[[#This Row],[Player B]]&lt;&gt;""),COUNTIF(INDIRECT(ResultsInd[[#This Row],[Category]]&amp;"List[Retained Player Name]"),ResultsInd[[#This Row],[Player B]]),"")</f>
        <v/>
      </c>
      <c r="R2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4" s="265" t="str">
        <f>IF(ResultsInd[[#This Row],[Score_OK]],IF(ResultsInd[[#This Row],[Stage]]="Groups",ResultsInd[[#This Row],[Category]]&amp;"-"&amp;IF(ResultsInd[[#This Row],[Player B]]="","",IF(ResultsInd[[#This Row],[Score-A]]=ResultsInd[[#This Row],[Score-B]],ResultsInd[[#This Row],[Player A]],"")),""),"")</f>
        <v/>
      </c>
      <c r="T214" s="265" t="str">
        <f>IF(ResultsInd[[#This Row],[Score_OK]],IF(ResultsInd[[#This Row],[Stage]]="Groups",ResultsInd[[#This Row],[Category]]&amp;"-"&amp;IF(ResultsInd[[#This Row],[Player B]]="","",IF(ResultsInd[[#This Row],[Score-A]]=ResultsInd[[#This Row],[Score-B]],ResultsInd[[#This Row],[Player B]],"")),""),"")</f>
        <v/>
      </c>
      <c r="U2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4" s="264" t="str">
        <f>IF(ResultsInd[[#This Row],[Category]]="","",VLOOKUP(ResultsInd[[#This Row],[Stage]],$P$1:$V$9,MATCH(ResultsInd[[#This Row],[Category]],$Q$1:$V$1,0)+1,FALSE))</f>
        <v/>
      </c>
      <c r="Z214" s="264" t="str">
        <f>IF(ResultsInd[[#This Row],[Score_OK]],IF(ResultsInd[[#This Row],[Level]]="R",ResultsInd[[#This Row],[Category]]&amp;"-"&amp;IF(ResultsInd[[#This Row],[LoseInKO]]=ResultsInd[[#This Row],[Category]]&amp;"-"&amp;ResultsInd[[#This Row],[Player A]],ResultsInd[[#This Row],[Player B]],ResultsInd[[#This Row],[Player A]]),""),"")</f>
        <v/>
      </c>
      <c r="AB214" s="8"/>
      <c r="AC214" s="12" t="str">
        <f t="shared" si="183"/>
        <v>OPEN</v>
      </c>
      <c r="AD214" s="309" t="s">
        <v>8082</v>
      </c>
      <c r="AE214" s="320"/>
      <c r="AF214" s="311"/>
      <c r="AG214" s="292">
        <f>IF(AP214="","",SMALL(AH212:AH218,ROWS(AG212:AG214)))</f>
        <v>3003</v>
      </c>
      <c r="AH214" s="293">
        <f>IF(AP214="","",RANK(AL214,AL212:AL218)*1000+ROWS(AH212:AH214))</f>
        <v>3003</v>
      </c>
      <c r="AI214" s="316">
        <f t="shared" si="177"/>
        <v>3000000000000</v>
      </c>
      <c r="AJ214" s="415" t="b">
        <f>AND(AO214&lt;&gt;"",AO214&gt;0,COUNTIF(AI212:AI218,AI214)&gt;1)</f>
        <v>0</v>
      </c>
      <c r="AK214" s="316">
        <f t="shared" si="178"/>
        <v>0</v>
      </c>
      <c r="AL214" s="317">
        <f t="shared" si="179"/>
        <v>2999999940500</v>
      </c>
      <c r="AM214" s="415" t="b">
        <f>AND(AO214&lt;&gt;"",AO214&gt;0,COUNTIF(AL212:AL218,AL214)&gt;1)</f>
        <v>0</v>
      </c>
      <c r="AN214" s="306">
        <f t="shared" si="180"/>
        <v>3</v>
      </c>
      <c r="AO214" s="307">
        <f t="shared" si="181"/>
        <v>3</v>
      </c>
      <c r="AP214" s="307">
        <f>IF(OR(AC211="",AD214=""),"",COUNTIF(ResultsInd[Win],AC211&amp;"-"&amp;AD214))</f>
        <v>1</v>
      </c>
      <c r="AQ214" s="307">
        <f>IF(OR(AC211="",AD214=""),"",COUNTIF(ResultsInd[Draw1],AC211&amp;"-"&amp;AD214)+COUNTIF(ResultsInd[Draw2],AC211&amp;"-"&amp;AD214))</f>
        <v>0</v>
      </c>
      <c r="AR214" s="307">
        <f>IF(OR(AC211="",AD214=""),"",COUNTIF(ResultsInd[Lose],AC211&amp;"-"&amp;AD214))</f>
        <v>2</v>
      </c>
      <c r="AS214" s="307">
        <f>IF(OR(AC211="",AD214=""),"",SUMIFS(ResultsInd[Goal-A],ResultsInd[Category],AC211,ResultsInd[Stage],"Groups",ResultsInd[Player A],AD214)+SUMIFS(ResultsInd[Goal-B],ResultsInd[Category],AC211,ResultsInd[Stage],"Groups",ResultsInd[Player B],AD214))</f>
        <v>5</v>
      </c>
      <c r="AT214" s="307">
        <f>IF(OR(AC211="",AD214=""),"",SUMIFS(ResultsInd[Goal-B],ResultsInd[Category],AC211,ResultsInd[Stage],"Groups",ResultsInd[Player A],AD214)+SUMIFS(ResultsInd[Goal-A],ResultsInd[Category],AC211,ResultsInd[Stage],"Groups",ResultsInd[Player B],AD214))</f>
        <v>11</v>
      </c>
      <c r="AU214" s="308">
        <f t="shared" si="184"/>
        <v>-6</v>
      </c>
      <c r="AV214" s="469" t="b">
        <f>IF(AG214="","",OR(VLOOKUP(AG214,AH212:AU218,3,FALSE),VLOOKUP(AG214,AH212:AU218,6,FALSE)))</f>
        <v>0</v>
      </c>
      <c r="AW214" s="298">
        <f t="shared" si="182"/>
        <v>3</v>
      </c>
      <c r="AX214" s="285" t="str">
        <f>IF(AG214="","",INDEX(AD212:AD218,MATCH(AG214,AH212:AH218,0)))</f>
        <v>Pierre De Leeuw</v>
      </c>
      <c r="AY214" s="286">
        <f>IF(AG214="","",VLOOKUP(AG214,AH212:AU218,COLUMN()-COLUMN(AR211),FALSE))</f>
        <v>3</v>
      </c>
      <c r="AZ214" s="286">
        <f>IF(AG214="","",VLOOKUP(AG214,AH212:AU218,COLUMN()-COLUMN(AR211),FALSE))</f>
        <v>3</v>
      </c>
      <c r="BA214" s="286">
        <f>IF(AG214="","",VLOOKUP(AG214,AH212:AU218,COLUMN()-COLUMN(AR211),FALSE))</f>
        <v>1</v>
      </c>
      <c r="BB214" s="286">
        <f>IF(AG214="","",VLOOKUP(AG214,AH212:AU218,COLUMN()-COLUMN(AR211),FALSE))</f>
        <v>0</v>
      </c>
      <c r="BC214" s="286">
        <f>IF(AG214="","",VLOOKUP(AG214,AH212:AU218,COLUMN()-COLUMN(AR211),FALSE))</f>
        <v>2</v>
      </c>
      <c r="BD214" s="286">
        <f>IF(AG214="","",VLOOKUP(AG214,AH212:AU218,COLUMN()-COLUMN(AR211),FALSE))</f>
        <v>5</v>
      </c>
      <c r="BE214" s="286">
        <f>IF(AG214="","",VLOOKUP(AG214,AH212:AU218,COLUMN()-COLUMN(AR211),FALSE))</f>
        <v>11</v>
      </c>
      <c r="BF214" s="301">
        <f>IF(AG214="","",VLOOKUP(AG214,AH212:AU218,COLUMN()-COLUMN(AR211),FALSE))</f>
        <v>-6</v>
      </c>
    </row>
    <row r="215" spans="1:58" ht="12" thickBot="1" x14ac:dyDescent="0.25">
      <c r="A215" s="62"/>
      <c r="B215" s="62"/>
      <c r="C215" s="62"/>
      <c r="D215" s="62"/>
      <c r="E215" s="345"/>
      <c r="F215" s="345"/>
      <c r="G215" s="113"/>
      <c r="H215" s="113"/>
      <c r="I215" s="114"/>
      <c r="J215" s="114"/>
      <c r="K215" s="114"/>
      <c r="L215" s="81"/>
      <c r="M215" s="265" t="b">
        <f>NOT(ISERROR(ResultsInd[[#This Row],[Goal-A]]+ResultsInd[[#This Row],[Goal-B]]))</f>
        <v>1</v>
      </c>
      <c r="N215" s="265">
        <f>VALUE(ResultsInd[[#This Row],[Score-A]])</f>
        <v>0</v>
      </c>
      <c r="O215" s="265">
        <f>VALUE(ResultsInd[[#This Row],[Score-B]])</f>
        <v>0</v>
      </c>
      <c r="P215" s="265" t="str">
        <f ca="1">IF(AND(ResultsInd[[#This Row],[Category]]&lt;&gt;"",ResultsInd[[#This Row],[Player A]]&lt;&gt;""),COUNTIF(INDIRECT(ResultsInd[[#This Row],[Category]]&amp;"List[Retained Player Name]"),ResultsInd[[#This Row],[Player A]]),"")</f>
        <v/>
      </c>
      <c r="Q215" s="265" t="str">
        <f ca="1">IF(AND(ResultsInd[[#This Row],[Category]]&lt;&gt;"",ResultsInd[[#This Row],[Player B]]&lt;&gt;""),COUNTIF(INDIRECT(ResultsInd[[#This Row],[Category]]&amp;"List[Retained Player Name]"),ResultsInd[[#This Row],[Player B]]),"")</f>
        <v/>
      </c>
      <c r="R2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5" s="265" t="str">
        <f>IF(ResultsInd[[#This Row],[Score_OK]],IF(ResultsInd[[#This Row],[Stage]]="Groups",ResultsInd[[#This Row],[Category]]&amp;"-"&amp;IF(ResultsInd[[#This Row],[Player B]]="","",IF(ResultsInd[[#This Row],[Score-A]]=ResultsInd[[#This Row],[Score-B]],ResultsInd[[#This Row],[Player A]],"")),""),"")</f>
        <v/>
      </c>
      <c r="T215" s="265" t="str">
        <f>IF(ResultsInd[[#This Row],[Score_OK]],IF(ResultsInd[[#This Row],[Stage]]="Groups",ResultsInd[[#This Row],[Category]]&amp;"-"&amp;IF(ResultsInd[[#This Row],[Player B]]="","",IF(ResultsInd[[#This Row],[Score-A]]=ResultsInd[[#This Row],[Score-B]],ResultsInd[[#This Row],[Player B]],"")),""),"")</f>
        <v/>
      </c>
      <c r="U2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5" s="264" t="str">
        <f>IF(ResultsInd[[#This Row],[Category]]="","",VLOOKUP(ResultsInd[[#This Row],[Stage]],$P$1:$V$9,MATCH(ResultsInd[[#This Row],[Category]],$Q$1:$V$1,0)+1,FALSE))</f>
        <v/>
      </c>
      <c r="Z215" s="264" t="str">
        <f>IF(ResultsInd[[#This Row],[Score_OK]],IF(ResultsInd[[#This Row],[Level]]="R",ResultsInd[[#This Row],[Category]]&amp;"-"&amp;IF(ResultsInd[[#This Row],[LoseInKO]]=ResultsInd[[#This Row],[Category]]&amp;"-"&amp;ResultsInd[[#This Row],[Player A]],ResultsInd[[#This Row],[Player B]],ResultsInd[[#This Row],[Player A]]),""),"")</f>
        <v/>
      </c>
      <c r="AB215" s="91"/>
      <c r="AC215" s="12" t="str">
        <f t="shared" si="183"/>
        <v>OPEN</v>
      </c>
      <c r="AD215" s="309" t="s">
        <v>8716</v>
      </c>
      <c r="AE215" s="310"/>
      <c r="AF215" s="311"/>
      <c r="AG215" s="292">
        <f>IF(AP215="","",SMALL(AH212:AH218,ROWS(AG212:AG215)))</f>
        <v>4004</v>
      </c>
      <c r="AH215" s="293">
        <f>IF(AP215="","",RANK(AL215,AL212:AL218)*1000+ROWS(AH212:AH215))</f>
        <v>4004</v>
      </c>
      <c r="AI215" s="316">
        <f t="shared" si="177"/>
        <v>0</v>
      </c>
      <c r="AJ215" s="415" t="b">
        <f>AND(AO215&lt;&gt;"",AO215&gt;0,COUNTIF(AI212:AI218,AI215)&gt;1)</f>
        <v>0</v>
      </c>
      <c r="AK215" s="316">
        <f t="shared" si="178"/>
        <v>0</v>
      </c>
      <c r="AL215" s="317">
        <f t="shared" si="179"/>
        <v>-99200</v>
      </c>
      <c r="AM215" s="415" t="b">
        <f>AND(AO215&lt;&gt;"",AO215&gt;0,COUNTIF(AL212:AL218,AL215)&gt;1)</f>
        <v>0</v>
      </c>
      <c r="AN215" s="306">
        <f t="shared" si="180"/>
        <v>0</v>
      </c>
      <c r="AO215" s="307">
        <f t="shared" si="181"/>
        <v>3</v>
      </c>
      <c r="AP215" s="307">
        <f>IF(OR(AC211="",AD215=""),"",COUNTIF(ResultsInd[Win],AC211&amp;"-"&amp;AD215))</f>
        <v>0</v>
      </c>
      <c r="AQ215" s="307">
        <f>IF(OR(AC211="",AD215=""),"",COUNTIF(ResultsInd[Draw1],AC211&amp;"-"&amp;AD215)+COUNTIF(ResultsInd[Draw2],AC211&amp;"-"&amp;AD215))</f>
        <v>0</v>
      </c>
      <c r="AR215" s="307">
        <f>IF(OR(AC211="",AD215=""),"",COUNTIF(ResultsInd[Lose],AC211&amp;"-"&amp;AD215))</f>
        <v>3</v>
      </c>
      <c r="AS215" s="307">
        <f>IF(OR(AC211="",AD215=""),"",SUMIFS(ResultsInd[Goal-A],ResultsInd[Category],AC211,ResultsInd[Stage],"Groups",ResultsInd[Player A],AD215)+SUMIFS(ResultsInd[Goal-B],ResultsInd[Category],AC211,ResultsInd[Stage],"Groups",ResultsInd[Player B],AD215))</f>
        <v>8</v>
      </c>
      <c r="AT215" s="307">
        <f>IF(OR(AC211="",AD215=""),"",SUMIFS(ResultsInd[Goal-B],ResultsInd[Category],AC211,ResultsInd[Stage],"Groups",ResultsInd[Player A],AD215)+SUMIFS(ResultsInd[Goal-A],ResultsInd[Category],AC211,ResultsInd[Stage],"Groups",ResultsInd[Player B],AD215))</f>
        <v>18</v>
      </c>
      <c r="AU215" s="308">
        <f t="shared" si="184"/>
        <v>-10</v>
      </c>
      <c r="AV215" s="469" t="b">
        <f>IF(AG215="","",OR(VLOOKUP(AG215,AH212:AU218,3,FALSE),VLOOKUP(AG215,AH212:AU218,6,FALSE)))</f>
        <v>0</v>
      </c>
      <c r="AW215" s="298">
        <f t="shared" si="182"/>
        <v>4</v>
      </c>
      <c r="AX215" s="285" t="str">
        <f>IF(AG215="","",INDEX(AD212:AD218,MATCH(AG215,AH212:AH218,0)))</f>
        <v>Quentin Ausset</v>
      </c>
      <c r="AY215" s="286">
        <f>IF(AG215="","",VLOOKUP(AG215,AH212:AU218,COLUMN()-COLUMN(AR211),FALSE))</f>
        <v>0</v>
      </c>
      <c r="AZ215" s="286">
        <f>IF(AG215="","",VLOOKUP(AG215,AH212:AU218,COLUMN()-COLUMN(AR211),FALSE))</f>
        <v>3</v>
      </c>
      <c r="BA215" s="286">
        <f>IF(AG215="","",VLOOKUP(AG215,AH212:AU218,COLUMN()-COLUMN(AR211),FALSE))</f>
        <v>0</v>
      </c>
      <c r="BB215" s="286">
        <f>IF(AG215="","",VLOOKUP(AG215,AH212:AU218,COLUMN()-COLUMN(AR211),FALSE))</f>
        <v>0</v>
      </c>
      <c r="BC215" s="286">
        <f>IF(AG215="","",VLOOKUP(AG215,AH212:AU218,COLUMN()-COLUMN(AR211),FALSE))</f>
        <v>3</v>
      </c>
      <c r="BD215" s="286">
        <f>IF(AG215="","",VLOOKUP(AG215,AH212:AU218,COLUMN()-COLUMN(AR211),FALSE))</f>
        <v>8</v>
      </c>
      <c r="BE215" s="286">
        <f>IF(AG215="","",VLOOKUP(AG215,AH212:AU218,COLUMN()-COLUMN(AR211),FALSE))</f>
        <v>18</v>
      </c>
      <c r="BF215" s="301">
        <f>IF(AG215="","",VLOOKUP(AG215,AH212:AU218,COLUMN()-COLUMN(AR211),FALSE))</f>
        <v>-10</v>
      </c>
    </row>
    <row r="216" spans="1:58" ht="12" thickBot="1" x14ac:dyDescent="0.25">
      <c r="A216" s="62"/>
      <c r="B216" s="62"/>
      <c r="C216" s="62"/>
      <c r="D216" s="62"/>
      <c r="E216" s="345"/>
      <c r="F216" s="345"/>
      <c r="G216" s="113"/>
      <c r="H216" s="113"/>
      <c r="I216" s="114"/>
      <c r="J216" s="114"/>
      <c r="K216" s="114"/>
      <c r="L216" s="81"/>
      <c r="M216" s="265" t="b">
        <f>NOT(ISERROR(ResultsInd[[#This Row],[Goal-A]]+ResultsInd[[#This Row],[Goal-B]]))</f>
        <v>1</v>
      </c>
      <c r="N216" s="265">
        <f>VALUE(ResultsInd[[#This Row],[Score-A]])</f>
        <v>0</v>
      </c>
      <c r="O216" s="265">
        <f>VALUE(ResultsInd[[#This Row],[Score-B]])</f>
        <v>0</v>
      </c>
      <c r="P216" s="265" t="str">
        <f ca="1">IF(AND(ResultsInd[[#This Row],[Category]]&lt;&gt;"",ResultsInd[[#This Row],[Player A]]&lt;&gt;""),COUNTIF(INDIRECT(ResultsInd[[#This Row],[Category]]&amp;"List[Retained Player Name]"),ResultsInd[[#This Row],[Player A]]),"")</f>
        <v/>
      </c>
      <c r="Q216" s="265" t="str">
        <f ca="1">IF(AND(ResultsInd[[#This Row],[Category]]&lt;&gt;"",ResultsInd[[#This Row],[Player B]]&lt;&gt;""),COUNTIF(INDIRECT(ResultsInd[[#This Row],[Category]]&amp;"List[Retained Player Name]"),ResultsInd[[#This Row],[Player B]]),"")</f>
        <v/>
      </c>
      <c r="R2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6" s="265" t="str">
        <f>IF(ResultsInd[[#This Row],[Score_OK]],IF(ResultsInd[[#This Row],[Stage]]="Groups",ResultsInd[[#This Row],[Category]]&amp;"-"&amp;IF(ResultsInd[[#This Row],[Player B]]="","",IF(ResultsInd[[#This Row],[Score-A]]=ResultsInd[[#This Row],[Score-B]],ResultsInd[[#This Row],[Player A]],"")),""),"")</f>
        <v/>
      </c>
      <c r="T216" s="265" t="str">
        <f>IF(ResultsInd[[#This Row],[Score_OK]],IF(ResultsInd[[#This Row],[Stage]]="Groups",ResultsInd[[#This Row],[Category]]&amp;"-"&amp;IF(ResultsInd[[#This Row],[Player B]]="","",IF(ResultsInd[[#This Row],[Score-A]]=ResultsInd[[#This Row],[Score-B]],ResultsInd[[#This Row],[Player B]],"")),""),"")</f>
        <v/>
      </c>
      <c r="U2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6" s="264" t="str">
        <f>IF(ResultsInd[[#This Row],[Category]]="","",VLOOKUP(ResultsInd[[#This Row],[Stage]],$P$1:$V$9,MATCH(ResultsInd[[#This Row],[Category]],$Q$1:$V$1,0)+1,FALSE))</f>
        <v/>
      </c>
      <c r="Z216" s="264" t="str">
        <f>IF(ResultsInd[[#This Row],[Score_OK]],IF(ResultsInd[[#This Row],[Level]]="R",ResultsInd[[#This Row],[Category]]&amp;"-"&amp;IF(ResultsInd[[#This Row],[LoseInKO]]=ResultsInd[[#This Row],[Category]]&amp;"-"&amp;ResultsInd[[#This Row],[Player A]],ResultsInd[[#This Row],[Player B]],ResultsInd[[#This Row],[Player A]]),""),"")</f>
        <v/>
      </c>
      <c r="AB216" s="91"/>
      <c r="AC216" s="12" t="str">
        <f t="shared" si="183"/>
        <v>OPEN</v>
      </c>
      <c r="AD216" s="309"/>
      <c r="AE216" s="310"/>
      <c r="AF216" s="311"/>
      <c r="AG216" s="292" t="str">
        <f>IF(AP216="","",SMALL(AH212:AH218,ROWS(AG212:AG216)))</f>
        <v/>
      </c>
      <c r="AH216" s="293" t="str">
        <f>IF(AP216="","",RANK(AL216,AL212:AL218)*1000+ROWS(AH212:AH216))</f>
        <v/>
      </c>
      <c r="AI216" s="316" t="str">
        <f t="shared" si="177"/>
        <v/>
      </c>
      <c r="AJ216" s="415" t="b">
        <f>AND(AO216&lt;&gt;"",AO216&gt;0,COUNTIF(AI212:AI218,AI216)&gt;1)</f>
        <v>0</v>
      </c>
      <c r="AK216" s="316" t="str">
        <f t="shared" si="178"/>
        <v/>
      </c>
      <c r="AL216" s="317" t="str">
        <f t="shared" si="179"/>
        <v/>
      </c>
      <c r="AM216" s="415" t="b">
        <f>AND(AO216&lt;&gt;"",AO216&gt;0,COUNTIF(AL212:AL218,AL216)&gt;1)</f>
        <v>0</v>
      </c>
      <c r="AN216" s="306" t="str">
        <f t="shared" si="180"/>
        <v/>
      </c>
      <c r="AO216" s="307" t="str">
        <f t="shared" si="181"/>
        <v/>
      </c>
      <c r="AP216" s="307" t="str">
        <f>IF(OR(AC211="",AD216=""),"",COUNTIF(ResultsInd[Win],AC211&amp;"-"&amp;AD216))</f>
        <v/>
      </c>
      <c r="AQ216" s="307" t="str">
        <f>IF(OR(AC211="",AD216=""),"",COUNTIF(ResultsInd[Draw1],AC211&amp;"-"&amp;AD216)+COUNTIF(ResultsInd[Draw2],AC211&amp;"-"&amp;AD216))</f>
        <v/>
      </c>
      <c r="AR216" s="307" t="str">
        <f>IF(OR(AC211="",AD216=""),"",COUNTIF(ResultsInd[Lose],AC211&amp;"-"&amp;AD216))</f>
        <v/>
      </c>
      <c r="AS216" s="307" t="str">
        <f>IF(OR(AC211="",AD216=""),"",SUMIFS(ResultsInd[Goal-A],ResultsInd[Category],AC211,ResultsInd[Stage],"Groups",ResultsInd[Player A],AD216)+SUMIFS(ResultsInd[Goal-B],ResultsInd[Category],AC211,ResultsInd[Stage],"Groups",ResultsInd[Player B],AD216))</f>
        <v/>
      </c>
      <c r="AT216" s="307" t="str">
        <f>IF(OR(AC211="",AD216=""),"",SUMIFS(ResultsInd[Goal-B],ResultsInd[Category],AC211,ResultsInd[Stage],"Groups",ResultsInd[Player A],AD216)+SUMIFS(ResultsInd[Goal-A],ResultsInd[Category],AC211,ResultsInd[Stage],"Groups",ResultsInd[Player B],AD216))</f>
        <v/>
      </c>
      <c r="AU216" s="308" t="str">
        <f t="shared" si="184"/>
        <v/>
      </c>
      <c r="AV216" s="469" t="str">
        <f>IF(AG216="","",OR(VLOOKUP(AG216,AH212:AU218,3,FALSE),VLOOKUP(AG216,AH212:AU218,6,FALSE)))</f>
        <v/>
      </c>
      <c r="AW216" s="298" t="str">
        <f t="shared" si="182"/>
        <v/>
      </c>
      <c r="AX216" s="285" t="str">
        <f>IF(AG216="","",INDEX(AD212:AD218,MATCH(AG216,AH212:AH218,0)))</f>
        <v/>
      </c>
      <c r="AY216" s="286" t="str">
        <f>IF(AG216="","",VLOOKUP(AG216,AH212:AU218,COLUMN()-COLUMN(AR211),FALSE))</f>
        <v/>
      </c>
      <c r="AZ216" s="286" t="str">
        <f>IF(AG216="","",VLOOKUP(AG216,AH212:AU218,COLUMN()-COLUMN(AR211),FALSE))</f>
        <v/>
      </c>
      <c r="BA216" s="286" t="str">
        <f>IF(AG216="","",VLOOKUP(AG216,AH212:AU218,COLUMN()-COLUMN(AR211),FALSE))</f>
        <v/>
      </c>
      <c r="BB216" s="286" t="str">
        <f>IF(AG216="","",VLOOKUP(AG216,AH212:AU218,COLUMN()-COLUMN(AR211),FALSE))</f>
        <v/>
      </c>
      <c r="BC216" s="286" t="str">
        <f>IF(AG216="","",VLOOKUP(AG216,AH212:AU218,COLUMN()-COLUMN(AR211),FALSE))</f>
        <v/>
      </c>
      <c r="BD216" s="286" t="str">
        <f>IF(AG216="","",VLOOKUP(AG216,AH212:AU218,COLUMN()-COLUMN(AR211),FALSE))</f>
        <v/>
      </c>
      <c r="BE216" s="286" t="str">
        <f>IF(AG216="","",VLOOKUP(AG216,AH212:AU218,COLUMN()-COLUMN(AR211),FALSE))</f>
        <v/>
      </c>
      <c r="BF216" s="301" t="str">
        <f>IF(AG216="","",VLOOKUP(AG216,AH212:AU218,COLUMN()-COLUMN(AR211),FALSE))</f>
        <v/>
      </c>
    </row>
    <row r="217" spans="1:58" ht="12" thickBot="1" x14ac:dyDescent="0.25">
      <c r="A217" s="62"/>
      <c r="B217" s="62"/>
      <c r="C217" s="62"/>
      <c r="D217" s="62"/>
      <c r="E217" s="345"/>
      <c r="F217" s="345"/>
      <c r="G217" s="113"/>
      <c r="H217" s="113"/>
      <c r="I217" s="114"/>
      <c r="J217" s="114"/>
      <c r="K217" s="114"/>
      <c r="L217" s="81"/>
      <c r="M217" s="265" t="b">
        <f>NOT(ISERROR(ResultsInd[[#This Row],[Goal-A]]+ResultsInd[[#This Row],[Goal-B]]))</f>
        <v>1</v>
      </c>
      <c r="N217" s="265">
        <f>VALUE(ResultsInd[[#This Row],[Score-A]])</f>
        <v>0</v>
      </c>
      <c r="O217" s="265">
        <f>VALUE(ResultsInd[[#This Row],[Score-B]])</f>
        <v>0</v>
      </c>
      <c r="P217" s="265" t="str">
        <f ca="1">IF(AND(ResultsInd[[#This Row],[Category]]&lt;&gt;"",ResultsInd[[#This Row],[Player A]]&lt;&gt;""),COUNTIF(INDIRECT(ResultsInd[[#This Row],[Category]]&amp;"List[Retained Player Name]"),ResultsInd[[#This Row],[Player A]]),"")</f>
        <v/>
      </c>
      <c r="Q217" s="265" t="str">
        <f ca="1">IF(AND(ResultsInd[[#This Row],[Category]]&lt;&gt;"",ResultsInd[[#This Row],[Player B]]&lt;&gt;""),COUNTIF(INDIRECT(ResultsInd[[#This Row],[Category]]&amp;"List[Retained Player Name]"),ResultsInd[[#This Row],[Player B]]),"")</f>
        <v/>
      </c>
      <c r="R2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7" s="265" t="str">
        <f>IF(ResultsInd[[#This Row],[Score_OK]],IF(ResultsInd[[#This Row],[Stage]]="Groups",ResultsInd[[#This Row],[Category]]&amp;"-"&amp;IF(ResultsInd[[#This Row],[Player B]]="","",IF(ResultsInd[[#This Row],[Score-A]]=ResultsInd[[#This Row],[Score-B]],ResultsInd[[#This Row],[Player A]],"")),""),"")</f>
        <v/>
      </c>
      <c r="T217" s="265" t="str">
        <f>IF(ResultsInd[[#This Row],[Score_OK]],IF(ResultsInd[[#This Row],[Stage]]="Groups",ResultsInd[[#This Row],[Category]]&amp;"-"&amp;IF(ResultsInd[[#This Row],[Player B]]="","",IF(ResultsInd[[#This Row],[Score-A]]=ResultsInd[[#This Row],[Score-B]],ResultsInd[[#This Row],[Player B]],"")),""),"")</f>
        <v/>
      </c>
      <c r="U2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7" s="264" t="str">
        <f>IF(ResultsInd[[#This Row],[Category]]="","",VLOOKUP(ResultsInd[[#This Row],[Stage]],$P$1:$V$9,MATCH(ResultsInd[[#This Row],[Category]],$Q$1:$V$1,0)+1,FALSE))</f>
        <v/>
      </c>
      <c r="Z217" s="264" t="str">
        <f>IF(ResultsInd[[#This Row],[Score_OK]],IF(ResultsInd[[#This Row],[Level]]="R",ResultsInd[[#This Row],[Category]]&amp;"-"&amp;IF(ResultsInd[[#This Row],[LoseInKO]]=ResultsInd[[#This Row],[Category]]&amp;"-"&amp;ResultsInd[[#This Row],[Player A]],ResultsInd[[#This Row],[Player B]],ResultsInd[[#This Row],[Player A]]),""),"")</f>
        <v/>
      </c>
      <c r="AB217" s="8"/>
      <c r="AC217" s="12" t="str">
        <f t="shared" si="183"/>
        <v>OPEN</v>
      </c>
      <c r="AD217" s="309"/>
      <c r="AE217" s="310"/>
      <c r="AF217" s="311"/>
      <c r="AG217" s="292" t="str">
        <f>IF(AP217="","",SMALL(AH212:AH218,ROWS(AG212:AG217)))</f>
        <v/>
      </c>
      <c r="AH217" s="293" t="str">
        <f>IF(AP217="","",RANK(AL217,AL212:AL218)*1000+ROWS(AH212:AH217))</f>
        <v/>
      </c>
      <c r="AI217" s="316" t="str">
        <f t="shared" si="177"/>
        <v/>
      </c>
      <c r="AJ217" s="415" t="b">
        <f>AND(AO217&lt;&gt;"",AO217&gt;0,COUNTIF(AI212:AI218,AI217)&gt;1)</f>
        <v>0</v>
      </c>
      <c r="AK217" s="316" t="str">
        <f t="shared" si="178"/>
        <v/>
      </c>
      <c r="AL217" s="317" t="str">
        <f t="shared" si="179"/>
        <v/>
      </c>
      <c r="AM217" s="415" t="b">
        <f>AND(AO217&lt;&gt;"",AO217&gt;0,COUNTIF(AL212:AL218,AL217)&gt;1)</f>
        <v>0</v>
      </c>
      <c r="AN217" s="306" t="str">
        <f t="shared" si="180"/>
        <v/>
      </c>
      <c r="AO217" s="307" t="str">
        <f t="shared" si="181"/>
        <v/>
      </c>
      <c r="AP217" s="307" t="str">
        <f>IF(OR(AC211="",AD217=""),"",COUNTIF(ResultsInd[Win],AC211&amp;"-"&amp;AD217))</f>
        <v/>
      </c>
      <c r="AQ217" s="307" t="str">
        <f>IF(OR(AC211="",AD217=""),"",COUNTIF(ResultsInd[Draw1],AC211&amp;"-"&amp;AD217)+COUNTIF(ResultsInd[Draw2],AC211&amp;"-"&amp;AD217))</f>
        <v/>
      </c>
      <c r="AR217" s="307" t="str">
        <f>IF(OR(AC211="",AD217=""),"",COUNTIF(ResultsInd[Lose],AC211&amp;"-"&amp;AD217))</f>
        <v/>
      </c>
      <c r="AS217" s="307" t="str">
        <f>IF(OR(AC211="",AD217=""),"",SUMIFS(ResultsInd[Goal-A],ResultsInd[Category],AC211,ResultsInd[Stage],"Groups",ResultsInd[Player A],AD217)+SUMIFS(ResultsInd[Goal-B],ResultsInd[Category],AC211,ResultsInd[Stage],"Groups",ResultsInd[Player B],AD217))</f>
        <v/>
      </c>
      <c r="AT217" s="307" t="str">
        <f>IF(OR(AC211="",AD217=""),"",SUMIFS(ResultsInd[Goal-B],ResultsInd[Category],AC211,ResultsInd[Stage],"Groups",ResultsInd[Player A],AD217)+SUMIFS(ResultsInd[Goal-A],ResultsInd[Category],AC211,ResultsInd[Stage],"Groups",ResultsInd[Player B],AD217))</f>
        <v/>
      </c>
      <c r="AU217" s="308" t="str">
        <f t="shared" si="184"/>
        <v/>
      </c>
      <c r="AV217" s="469" t="str">
        <f>IF(AG217="","",OR(VLOOKUP(AG217,AH212:AU218,3,FALSE),VLOOKUP(AG217,AH212:AU218,6,FALSE)))</f>
        <v/>
      </c>
      <c r="AW217" s="298" t="str">
        <f t="shared" si="182"/>
        <v/>
      </c>
      <c r="AX217" s="285" t="str">
        <f>IF(AG217="","",INDEX(AD212:AD218,MATCH(AG217,AH212:AH218,0)))</f>
        <v/>
      </c>
      <c r="AY217" s="286" t="str">
        <f>IF(AG217="","",VLOOKUP(AG217,AH212:AU218,COLUMN()-COLUMN(AR211),FALSE))</f>
        <v/>
      </c>
      <c r="AZ217" s="286" t="str">
        <f>IF(AG217="","",VLOOKUP(AG217,AH212:AU218,COLUMN()-COLUMN(AR211),FALSE))</f>
        <v/>
      </c>
      <c r="BA217" s="286" t="str">
        <f>IF(AG217="","",VLOOKUP(AG217,AH212:AU218,COLUMN()-COLUMN(AR211),FALSE))</f>
        <v/>
      </c>
      <c r="BB217" s="286" t="str">
        <f>IF(AG217="","",VLOOKUP(AG217,AH212:AU218,COLUMN()-COLUMN(AR211),FALSE))</f>
        <v/>
      </c>
      <c r="BC217" s="286" t="str">
        <f>IF(AG217="","",VLOOKUP(AG217,AH212:AU218,COLUMN()-COLUMN(AR211),FALSE))</f>
        <v/>
      </c>
      <c r="BD217" s="286" t="str">
        <f>IF(AG217="","",VLOOKUP(AG217,AH212:AU218,COLUMN()-COLUMN(AR211),FALSE))</f>
        <v/>
      </c>
      <c r="BE217" s="286" t="str">
        <f>IF(AG217="","",VLOOKUP(AG217,AH212:AU218,COLUMN()-COLUMN(AR211),FALSE))</f>
        <v/>
      </c>
      <c r="BF217" s="301" t="str">
        <f>IF(AG217="","",VLOOKUP(AG217,AH212:AU218,COLUMN()-COLUMN(AR211),FALSE))</f>
        <v/>
      </c>
    </row>
    <row r="218" spans="1:58" ht="12" thickBot="1" x14ac:dyDescent="0.25">
      <c r="A218" s="62"/>
      <c r="B218" s="62"/>
      <c r="C218" s="62"/>
      <c r="D218" s="62"/>
      <c r="E218" s="345"/>
      <c r="F218" s="345"/>
      <c r="G218" s="113"/>
      <c r="H218" s="113"/>
      <c r="I218" s="114"/>
      <c r="J218" s="114"/>
      <c r="K218" s="114"/>
      <c r="L218" s="81"/>
      <c r="M218" s="265" t="b">
        <f>NOT(ISERROR(ResultsInd[[#This Row],[Goal-A]]+ResultsInd[[#This Row],[Goal-B]]))</f>
        <v>1</v>
      </c>
      <c r="N218" s="265">
        <f>VALUE(ResultsInd[[#This Row],[Score-A]])</f>
        <v>0</v>
      </c>
      <c r="O218" s="265">
        <f>VALUE(ResultsInd[[#This Row],[Score-B]])</f>
        <v>0</v>
      </c>
      <c r="P218" s="265" t="str">
        <f ca="1">IF(AND(ResultsInd[[#This Row],[Category]]&lt;&gt;"",ResultsInd[[#This Row],[Player A]]&lt;&gt;""),COUNTIF(INDIRECT(ResultsInd[[#This Row],[Category]]&amp;"List[Retained Player Name]"),ResultsInd[[#This Row],[Player A]]),"")</f>
        <v/>
      </c>
      <c r="Q218" s="265" t="str">
        <f ca="1">IF(AND(ResultsInd[[#This Row],[Category]]&lt;&gt;"",ResultsInd[[#This Row],[Player B]]&lt;&gt;""),COUNTIF(INDIRECT(ResultsInd[[#This Row],[Category]]&amp;"List[Retained Player Name]"),ResultsInd[[#This Row],[Player B]]),"")</f>
        <v/>
      </c>
      <c r="R2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8" s="265" t="str">
        <f>IF(ResultsInd[[#This Row],[Score_OK]],IF(ResultsInd[[#This Row],[Stage]]="Groups",ResultsInd[[#This Row],[Category]]&amp;"-"&amp;IF(ResultsInd[[#This Row],[Player B]]="","",IF(ResultsInd[[#This Row],[Score-A]]=ResultsInd[[#This Row],[Score-B]],ResultsInd[[#This Row],[Player A]],"")),""),"")</f>
        <v/>
      </c>
      <c r="T218" s="265" t="str">
        <f>IF(ResultsInd[[#This Row],[Score_OK]],IF(ResultsInd[[#This Row],[Stage]]="Groups",ResultsInd[[#This Row],[Category]]&amp;"-"&amp;IF(ResultsInd[[#This Row],[Player B]]="","",IF(ResultsInd[[#This Row],[Score-A]]=ResultsInd[[#This Row],[Score-B]],ResultsInd[[#This Row],[Player B]],"")),""),"")</f>
        <v/>
      </c>
      <c r="U2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8" s="264" t="str">
        <f>IF(ResultsInd[[#This Row],[Category]]="","",VLOOKUP(ResultsInd[[#This Row],[Stage]],$P$1:$V$9,MATCH(ResultsInd[[#This Row],[Category]],$Q$1:$V$1,0)+1,FALSE))</f>
        <v/>
      </c>
      <c r="Z218" s="264" t="str">
        <f>IF(ResultsInd[[#This Row],[Score_OK]],IF(ResultsInd[[#This Row],[Level]]="R",ResultsInd[[#This Row],[Category]]&amp;"-"&amp;IF(ResultsInd[[#This Row],[LoseInKO]]=ResultsInd[[#This Row],[Category]]&amp;"-"&amp;ResultsInd[[#This Row],[Player A]],ResultsInd[[#This Row],[Player B]],ResultsInd[[#This Row],[Player A]]),""),"")</f>
        <v/>
      </c>
      <c r="AB218" s="8"/>
      <c r="AC218" s="12" t="str">
        <f t="shared" si="183"/>
        <v>OPEN</v>
      </c>
      <c r="AD218" s="312"/>
      <c r="AE218" s="313"/>
      <c r="AF218" s="314"/>
      <c r="AG218" s="294" t="str">
        <f>IF(AP218="","",SMALL(AH212:AH218,ROWS(AG212:AG218)))</f>
        <v/>
      </c>
      <c r="AH218" s="295" t="str">
        <f>IF(AP218="","",RANK(AL218,AL212:AL218)*1000+ROWS(AH212:AH218))</f>
        <v/>
      </c>
      <c r="AI218" s="318" t="str">
        <f t="shared" si="177"/>
        <v/>
      </c>
      <c r="AJ218" s="416" t="b">
        <f>AND(AO218&lt;&gt;"",AO218&gt;0,COUNTIF(AI212:AI218,AI218)&gt;1)</f>
        <v>0</v>
      </c>
      <c r="AK218" s="318" t="str">
        <f t="shared" si="178"/>
        <v/>
      </c>
      <c r="AL218" s="319" t="str">
        <f t="shared" si="179"/>
        <v/>
      </c>
      <c r="AM218" s="416" t="b">
        <f>AND(AO218&lt;&gt;"",AO218&gt;0,COUNTIF(AL212:AL218,AL218)&gt;1)</f>
        <v>0</v>
      </c>
      <c r="AN218" s="306" t="str">
        <f t="shared" si="180"/>
        <v/>
      </c>
      <c r="AO218" s="307" t="str">
        <f t="shared" si="181"/>
        <v/>
      </c>
      <c r="AP218" s="307" t="str">
        <f>IF(OR(AC211="",AD218=""),"",COUNTIF(ResultsInd[Win],AC211&amp;"-"&amp;AD218))</f>
        <v/>
      </c>
      <c r="AQ218" s="307" t="str">
        <f>IF(OR(AC211="",AD218=""),"",COUNTIF(ResultsInd[Draw1],AC211&amp;"-"&amp;AD218)+COUNTIF(ResultsInd[Draw2],AC211&amp;"-"&amp;AD218))</f>
        <v/>
      </c>
      <c r="AR218" s="307" t="str">
        <f>IF(OR(AC211="",AD218=""),"",COUNTIF(ResultsInd[Lose],AC211&amp;"-"&amp;AD218))</f>
        <v/>
      </c>
      <c r="AS218" s="307" t="str">
        <f>IF(OR(AC211="",AD218=""),"",SUMIFS(ResultsInd[Goal-A],ResultsInd[Category],AC211,ResultsInd[Stage],"Groups",ResultsInd[Player A],AD218)+SUMIFS(ResultsInd[Goal-B],ResultsInd[Category],AC211,ResultsInd[Stage],"Groups",ResultsInd[Player B],AD218))</f>
        <v/>
      </c>
      <c r="AT218" s="307" t="str">
        <f>IF(OR(AC211="",AD218=""),"",SUMIFS(ResultsInd[Goal-B],ResultsInd[Category],AC211,ResultsInd[Stage],"Groups",ResultsInd[Player A],AD218)+SUMIFS(ResultsInd[Goal-A],ResultsInd[Category],AC211,ResultsInd[Stage],"Groups",ResultsInd[Player B],AD218))</f>
        <v/>
      </c>
      <c r="AU218" s="308" t="str">
        <f t="shared" si="184"/>
        <v/>
      </c>
      <c r="AV218" s="469" t="str">
        <f>IF(AG218="","",OR(VLOOKUP(AG218,AH212:AU218,3,FALSE),VLOOKUP(AG218,AH212:AU218,6,FALSE)))</f>
        <v/>
      </c>
      <c r="AW218" s="299" t="str">
        <f t="shared" si="182"/>
        <v/>
      </c>
      <c r="AX218" s="287" t="str">
        <f>IF(AG218="","",INDEX(AD212:AD218,MATCH(AG218,AH212:AH218,0)))</f>
        <v/>
      </c>
      <c r="AY218" s="288" t="str">
        <f>IF(AG218="","",VLOOKUP(AG218,AH212:AU218,COLUMN()-COLUMN(AR211),FALSE))</f>
        <v/>
      </c>
      <c r="AZ218" s="288" t="str">
        <f>IF(AG218="","",VLOOKUP(AG218,AH212:AU218,COLUMN()-COLUMN(AR211),FALSE))</f>
        <v/>
      </c>
      <c r="BA218" s="288" t="str">
        <f>IF(AG218="","",VLOOKUP(AG218,AH212:AU218,COLUMN()-COLUMN(AR211),FALSE))</f>
        <v/>
      </c>
      <c r="BB218" s="288" t="str">
        <f>IF(AG218="","",VLOOKUP(AG218,AH212:AU218,COLUMN()-COLUMN(AR211),FALSE))</f>
        <v/>
      </c>
      <c r="BC218" s="288" t="str">
        <f>IF(AG218="","",VLOOKUP(AG218,AH212:AU218,COLUMN()-COLUMN(AR211),FALSE))</f>
        <v/>
      </c>
      <c r="BD218" s="288" t="str">
        <f>IF(AG218="","",VLOOKUP(AG218,AH212:AU218,COLUMN()-COLUMN(AR211),FALSE))</f>
        <v/>
      </c>
      <c r="BE218" s="288" t="str">
        <f>IF(AG218="","",VLOOKUP(AG218,AH212:AU218,COLUMN()-COLUMN(AR211),FALSE))</f>
        <v/>
      </c>
      <c r="BF218" s="302" t="str">
        <f>IF(AG218="","",VLOOKUP(AG218,AH212:AU218,COLUMN()-COLUMN(AR211),FALSE))</f>
        <v/>
      </c>
    </row>
    <row r="219" spans="1:58" ht="13.5" thickBot="1" x14ac:dyDescent="0.25">
      <c r="A219" s="62"/>
      <c r="B219" s="62"/>
      <c r="C219" s="62"/>
      <c r="D219" s="62"/>
      <c r="E219" s="345"/>
      <c r="F219" s="345"/>
      <c r="G219" s="113"/>
      <c r="H219" s="113"/>
      <c r="I219" s="114"/>
      <c r="J219" s="114"/>
      <c r="K219" s="114"/>
      <c r="L219" s="81"/>
      <c r="M219" s="265" t="b">
        <f>NOT(ISERROR(ResultsInd[[#This Row],[Goal-A]]+ResultsInd[[#This Row],[Goal-B]]))</f>
        <v>1</v>
      </c>
      <c r="N219" s="265">
        <f>VALUE(ResultsInd[[#This Row],[Score-A]])</f>
        <v>0</v>
      </c>
      <c r="O219" s="265">
        <f>VALUE(ResultsInd[[#This Row],[Score-B]])</f>
        <v>0</v>
      </c>
      <c r="P219" s="265" t="str">
        <f ca="1">IF(AND(ResultsInd[[#This Row],[Category]]&lt;&gt;"",ResultsInd[[#This Row],[Player A]]&lt;&gt;""),COUNTIF(INDIRECT(ResultsInd[[#This Row],[Category]]&amp;"List[Retained Player Name]"),ResultsInd[[#This Row],[Player A]]),"")</f>
        <v/>
      </c>
      <c r="Q219" s="265" t="str">
        <f ca="1">IF(AND(ResultsInd[[#This Row],[Category]]&lt;&gt;"",ResultsInd[[#This Row],[Player B]]&lt;&gt;""),COUNTIF(INDIRECT(ResultsInd[[#This Row],[Category]]&amp;"List[Retained Player Name]"),ResultsInd[[#This Row],[Player B]]),"")</f>
        <v/>
      </c>
      <c r="R2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9" s="265" t="str">
        <f>IF(ResultsInd[[#This Row],[Score_OK]],IF(ResultsInd[[#This Row],[Stage]]="Groups",ResultsInd[[#This Row],[Category]]&amp;"-"&amp;IF(ResultsInd[[#This Row],[Player B]]="","",IF(ResultsInd[[#This Row],[Score-A]]=ResultsInd[[#This Row],[Score-B]],ResultsInd[[#This Row],[Player A]],"")),""),"")</f>
        <v/>
      </c>
      <c r="T219" s="265" t="str">
        <f>IF(ResultsInd[[#This Row],[Score_OK]],IF(ResultsInd[[#This Row],[Stage]]="Groups",ResultsInd[[#This Row],[Category]]&amp;"-"&amp;IF(ResultsInd[[#This Row],[Player B]]="","",IF(ResultsInd[[#This Row],[Score-A]]=ResultsInd[[#This Row],[Score-B]],ResultsInd[[#This Row],[Player B]],"")),""),"")</f>
        <v/>
      </c>
      <c r="U2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19" s="264" t="str">
        <f>IF(ResultsInd[[#This Row],[Category]]="","",VLOOKUP(ResultsInd[[#This Row],[Stage]],$P$1:$V$9,MATCH(ResultsInd[[#This Row],[Category]],$Q$1:$V$1,0)+1,FALSE))</f>
        <v/>
      </c>
      <c r="Z219" s="264" t="str">
        <f>IF(ResultsInd[[#This Row],[Score_OK]],IF(ResultsInd[[#This Row],[Level]]="R",ResultsInd[[#This Row],[Category]]&amp;"-"&amp;IF(ResultsInd[[#This Row],[LoseInKO]]=ResultsInd[[#This Row],[Category]]&amp;"-"&amp;ResultsInd[[#This Row],[Player A]],ResultsInd[[#This Row],[Player B]],ResultsInd[[#This Row],[Player A]]),""),"")</f>
        <v/>
      </c>
      <c r="AB219" s="8"/>
      <c r="AC219" s="8"/>
      <c r="AF219" s="170"/>
      <c r="AG219" s="101"/>
      <c r="AH219" s="101"/>
      <c r="AN219" s="170"/>
      <c r="AO219" s="170"/>
      <c r="AP219" s="170"/>
      <c r="AQ219" s="172"/>
      <c r="AR219" s="173"/>
      <c r="AS219" s="173"/>
      <c r="AT219" s="173"/>
      <c r="AU219" s="101"/>
      <c r="AV219" s="101"/>
      <c r="AW219" s="101"/>
      <c r="AX219" s="101"/>
      <c r="AY219" s="101"/>
      <c r="AZ219" s="101"/>
    </row>
    <row r="220" spans="1:58" ht="12" thickBot="1" x14ac:dyDescent="0.25">
      <c r="A220" s="62"/>
      <c r="B220" s="62"/>
      <c r="C220" s="62"/>
      <c r="D220" s="62"/>
      <c r="E220" s="345"/>
      <c r="F220" s="345"/>
      <c r="G220" s="113"/>
      <c r="H220" s="113"/>
      <c r="I220" s="114"/>
      <c r="J220" s="114"/>
      <c r="K220" s="114"/>
      <c r="L220" s="81"/>
      <c r="M220" s="265" t="b">
        <f>NOT(ISERROR(ResultsInd[[#This Row],[Goal-A]]+ResultsInd[[#This Row],[Goal-B]]))</f>
        <v>1</v>
      </c>
      <c r="N220" s="265">
        <f>VALUE(ResultsInd[[#This Row],[Score-A]])</f>
        <v>0</v>
      </c>
      <c r="O220" s="265">
        <f>VALUE(ResultsInd[[#This Row],[Score-B]])</f>
        <v>0</v>
      </c>
      <c r="P220" s="265" t="str">
        <f ca="1">IF(AND(ResultsInd[[#This Row],[Category]]&lt;&gt;"",ResultsInd[[#This Row],[Player A]]&lt;&gt;""),COUNTIF(INDIRECT(ResultsInd[[#This Row],[Category]]&amp;"List[Retained Player Name]"),ResultsInd[[#This Row],[Player A]]),"")</f>
        <v/>
      </c>
      <c r="Q220" s="265" t="str">
        <f ca="1">IF(AND(ResultsInd[[#This Row],[Category]]&lt;&gt;"",ResultsInd[[#This Row],[Player B]]&lt;&gt;""),COUNTIF(INDIRECT(ResultsInd[[#This Row],[Category]]&amp;"List[Retained Player Name]"),ResultsInd[[#This Row],[Player B]]),"")</f>
        <v/>
      </c>
      <c r="R2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0" s="265" t="str">
        <f>IF(ResultsInd[[#This Row],[Score_OK]],IF(ResultsInd[[#This Row],[Stage]]="Groups",ResultsInd[[#This Row],[Category]]&amp;"-"&amp;IF(ResultsInd[[#This Row],[Player B]]="","",IF(ResultsInd[[#This Row],[Score-A]]=ResultsInd[[#This Row],[Score-B]],ResultsInd[[#This Row],[Player A]],"")),""),"")</f>
        <v/>
      </c>
      <c r="T220" s="265" t="str">
        <f>IF(ResultsInd[[#This Row],[Score_OK]],IF(ResultsInd[[#This Row],[Stage]]="Groups",ResultsInd[[#This Row],[Category]]&amp;"-"&amp;IF(ResultsInd[[#This Row],[Player B]]="","",IF(ResultsInd[[#This Row],[Score-A]]=ResultsInd[[#This Row],[Score-B]],ResultsInd[[#This Row],[Player B]],"")),""),"")</f>
        <v/>
      </c>
      <c r="U2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0" s="264" t="str">
        <f>IF(ResultsInd[[#This Row],[Category]]="","",VLOOKUP(ResultsInd[[#This Row],[Stage]],$P$1:$V$9,MATCH(ResultsInd[[#This Row],[Category]],$Q$1:$V$1,0)+1,FALSE))</f>
        <v/>
      </c>
      <c r="Z220" s="264" t="str">
        <f>IF(ResultsInd[[#This Row],[Score_OK]],IF(ResultsInd[[#This Row],[Level]]="R",ResultsInd[[#This Row],[Category]]&amp;"-"&amp;IF(ResultsInd[[#This Row],[LoseInKO]]=ResultsInd[[#This Row],[Category]]&amp;"-"&amp;ResultsInd[[#This Row],[Player A]],ResultsInd[[#This Row],[Player B]],ResultsInd[[#This Row],[Player A]]),""),"")</f>
        <v/>
      </c>
      <c r="AB220" s="281">
        <v>23</v>
      </c>
      <c r="AC220" s="315" t="s">
        <v>890</v>
      </c>
      <c r="AD220" s="289" t="s">
        <v>14439</v>
      </c>
      <c r="AE220" s="290" t="s">
        <v>12279</v>
      </c>
      <c r="AF220" s="284" t="s">
        <v>12275</v>
      </c>
      <c r="AG220" s="296" t="s">
        <v>12276</v>
      </c>
      <c r="AH220" s="291" t="s">
        <v>12271</v>
      </c>
      <c r="AI220" s="291" t="s">
        <v>12272</v>
      </c>
      <c r="AJ220" s="414" t="s">
        <v>13154</v>
      </c>
      <c r="AK220" s="291" t="s">
        <v>12273</v>
      </c>
      <c r="AL220" s="297" t="s">
        <v>12274</v>
      </c>
      <c r="AM220" s="414" t="s">
        <v>13154</v>
      </c>
      <c r="AN220" s="303" t="s">
        <v>12199</v>
      </c>
      <c r="AO220" s="304" t="s">
        <v>12200</v>
      </c>
      <c r="AP220" s="304" t="s">
        <v>12201</v>
      </c>
      <c r="AQ220" s="304" t="s">
        <v>12202</v>
      </c>
      <c r="AR220" s="304" t="s">
        <v>12203</v>
      </c>
      <c r="AS220" s="304" t="s">
        <v>12204</v>
      </c>
      <c r="AT220" s="304" t="s">
        <v>12205</v>
      </c>
      <c r="AU220" s="305" t="s">
        <v>12206</v>
      </c>
      <c r="AV220" s="468"/>
      <c r="AW220" s="282" t="s">
        <v>12276</v>
      </c>
      <c r="AX220" s="282" t="s">
        <v>12280</v>
      </c>
      <c r="AY220" s="283" t="s">
        <v>12199</v>
      </c>
      <c r="AZ220" s="283" t="s">
        <v>12200</v>
      </c>
      <c r="BA220" s="283" t="s">
        <v>12201</v>
      </c>
      <c r="BB220" s="283" t="s">
        <v>12202</v>
      </c>
      <c r="BC220" s="283" t="s">
        <v>12203</v>
      </c>
      <c r="BD220" s="283" t="s">
        <v>12204</v>
      </c>
      <c r="BE220" s="283" t="s">
        <v>12205</v>
      </c>
      <c r="BF220" s="300" t="s">
        <v>12206</v>
      </c>
    </row>
    <row r="221" spans="1:58" ht="12" thickBot="1" x14ac:dyDescent="0.25">
      <c r="A221" s="62"/>
      <c r="B221" s="62"/>
      <c r="C221" s="62"/>
      <c r="D221" s="62"/>
      <c r="E221" s="345"/>
      <c r="F221" s="345"/>
      <c r="G221" s="113"/>
      <c r="H221" s="113"/>
      <c r="I221" s="114"/>
      <c r="J221" s="114"/>
      <c r="K221" s="114"/>
      <c r="L221" s="81"/>
      <c r="M221" s="265" t="b">
        <f>NOT(ISERROR(ResultsInd[[#This Row],[Goal-A]]+ResultsInd[[#This Row],[Goal-B]]))</f>
        <v>1</v>
      </c>
      <c r="N221" s="265">
        <f>VALUE(ResultsInd[[#This Row],[Score-A]])</f>
        <v>0</v>
      </c>
      <c r="O221" s="265">
        <f>VALUE(ResultsInd[[#This Row],[Score-B]])</f>
        <v>0</v>
      </c>
      <c r="P221" s="265" t="str">
        <f ca="1">IF(AND(ResultsInd[[#This Row],[Category]]&lt;&gt;"",ResultsInd[[#This Row],[Player A]]&lt;&gt;""),COUNTIF(INDIRECT(ResultsInd[[#This Row],[Category]]&amp;"List[Retained Player Name]"),ResultsInd[[#This Row],[Player A]]),"")</f>
        <v/>
      </c>
      <c r="Q221" s="265" t="str">
        <f ca="1">IF(AND(ResultsInd[[#This Row],[Category]]&lt;&gt;"",ResultsInd[[#This Row],[Player B]]&lt;&gt;""),COUNTIF(INDIRECT(ResultsInd[[#This Row],[Category]]&amp;"List[Retained Player Name]"),ResultsInd[[#This Row],[Player B]]),"")</f>
        <v/>
      </c>
      <c r="R2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1" s="265" t="str">
        <f>IF(ResultsInd[[#This Row],[Score_OK]],IF(ResultsInd[[#This Row],[Stage]]="Groups",ResultsInd[[#This Row],[Category]]&amp;"-"&amp;IF(ResultsInd[[#This Row],[Player B]]="","",IF(ResultsInd[[#This Row],[Score-A]]=ResultsInd[[#This Row],[Score-B]],ResultsInd[[#This Row],[Player A]],"")),""),"")</f>
        <v/>
      </c>
      <c r="T221" s="265" t="str">
        <f>IF(ResultsInd[[#This Row],[Score_OK]],IF(ResultsInd[[#This Row],[Stage]]="Groups",ResultsInd[[#This Row],[Category]]&amp;"-"&amp;IF(ResultsInd[[#This Row],[Player B]]="","",IF(ResultsInd[[#This Row],[Score-A]]=ResultsInd[[#This Row],[Score-B]],ResultsInd[[#This Row],[Player B]],"")),""),"")</f>
        <v/>
      </c>
      <c r="U2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1" s="264" t="str">
        <f>IF(ResultsInd[[#This Row],[Category]]="","",VLOOKUP(ResultsInd[[#This Row],[Stage]],$P$1:$V$9,MATCH(ResultsInd[[#This Row],[Category]],$Q$1:$V$1,0)+1,FALSE))</f>
        <v/>
      </c>
      <c r="Z221" s="264" t="str">
        <f>IF(ResultsInd[[#This Row],[Score_OK]],IF(ResultsInd[[#This Row],[Level]]="R",ResultsInd[[#This Row],[Category]]&amp;"-"&amp;IF(ResultsInd[[#This Row],[LoseInKO]]=ResultsInd[[#This Row],[Category]]&amp;"-"&amp;ResultsInd[[#This Row],[Player A]],ResultsInd[[#This Row],[Player B]],ResultsInd[[#This Row],[Player A]]),""),"")</f>
        <v/>
      </c>
      <c r="AB221" s="8"/>
      <c r="AC221" s="12" t="str">
        <f>IF(AC220="","",AC220)</f>
        <v>OPEN</v>
      </c>
      <c r="AD221" s="309" t="s">
        <v>10506</v>
      </c>
      <c r="AE221" s="320"/>
      <c r="AF221" s="311"/>
      <c r="AG221" s="292">
        <f>IF(AP221="","",SMALL(AH221:AH227,ROWS(AG221:AG221)))</f>
        <v>1001</v>
      </c>
      <c r="AH221" s="293">
        <f>IF(AP221="","",RANK(AL221,AL221:AL227)*1000+ROWS(AH221:AH221))</f>
        <v>1001</v>
      </c>
      <c r="AI221" s="316">
        <f t="shared" ref="AI221:AI227" si="185">IF(AP221="","",CritClassInd1_Points*AN221+CritClassInd1_Matches*AP221+CritClassInd1_Attaque*AS221+CritClassInd1_DiffButs*AU221)</f>
        <v>9000000000000</v>
      </c>
      <c r="AJ221" s="415" t="b">
        <f>AND(AO221&lt;&gt;"",AO221&gt;0,COUNTIF(AI221:AI227,AI221)&gt;1)</f>
        <v>0</v>
      </c>
      <c r="AK221" s="316">
        <f t="shared" ref="AK221:AK227" si="186">IF(AP221="","",CritClassInd_ScorePart*AE221)</f>
        <v>0</v>
      </c>
      <c r="AL221" s="317">
        <f t="shared" ref="AL221:AL227" si="187">IF(AP221="","",AI221+AK221+CritClassInd2_Points*AN221+CritClassInd2_Matches*AP221+CritClassInd2_Attaque*AS221+CritClassInd2_DiffButs*AU221+AF221)</f>
        <v>9000000081100</v>
      </c>
      <c r="AM221" s="415" t="b">
        <f>AND(AO221&lt;&gt;"",AO221&gt;0,COUNTIF(AL221:AL227,AL221)&gt;1)</f>
        <v>0</v>
      </c>
      <c r="AN221" s="306">
        <f t="shared" ref="AN221:AN227" si="188">IF(AP221="","",(AP221*Points_Victoire)+AQ221*Points_Null)</f>
        <v>9</v>
      </c>
      <c r="AO221" s="307">
        <f t="shared" ref="AO221:AO227" si="189">IF(AP221="","",SUM(AP221:AR221))</f>
        <v>3</v>
      </c>
      <c r="AP221" s="307">
        <f>IF(OR(AC220="",AD221=""),"",COUNTIF(ResultsInd[Win],AC220&amp;"-"&amp;AD221))</f>
        <v>3</v>
      </c>
      <c r="AQ221" s="307">
        <f>IF(OR(AC220="",AD221=""),"",COUNTIF(ResultsInd[Draw1],AC220&amp;"-"&amp;AD221)+COUNTIF(ResultsInd[Draw2],AC220&amp;"-"&amp;AD221))</f>
        <v>0</v>
      </c>
      <c r="AR221" s="307">
        <f>IF(OR(AC220="",AD221=""),"",COUNTIF(ResultsInd[Lose],AC220&amp;"-"&amp;AD221))</f>
        <v>0</v>
      </c>
      <c r="AS221" s="307">
        <f>IF(OR(AC220="",AD221=""),"",SUMIFS(ResultsInd[Goal-A],ResultsInd[Category],AC220,ResultsInd[Stage],"Groups",ResultsInd[Player A],AD221)+SUMIFS(ResultsInd[Goal-B],ResultsInd[Category],AC220,ResultsInd[Stage],"Groups",ResultsInd[Player B],AD221))</f>
        <v>11</v>
      </c>
      <c r="AT221" s="307">
        <f>IF(OR(AC220="",AD221=""),"",SUMIFS(ResultsInd[Goal-B],ResultsInd[Category],AC220,ResultsInd[Stage],"Groups",ResultsInd[Player A],AD221)+SUMIFS(ResultsInd[Goal-A],ResultsInd[Category],AC220,ResultsInd[Stage],"Groups",ResultsInd[Player B],AD221))</f>
        <v>3</v>
      </c>
      <c r="AU221" s="308">
        <f>IF(AP221="","",AS221-AT221)</f>
        <v>8</v>
      </c>
      <c r="AV221" s="469" t="b">
        <f>IF(AG221="","",OR(VLOOKUP(AG221,AH221:AU227,3,FALSE),VLOOKUP(AG221,AH221:AU227,6,FALSE)))</f>
        <v>0</v>
      </c>
      <c r="AW221" s="298">
        <f t="shared" ref="AW221:AW227" si="190">IF(AG221="","",INT(AG221/1000))</f>
        <v>1</v>
      </c>
      <c r="AX221" s="285" t="str">
        <f>IF(AG221="","",INDEX(AD221:AD227,MATCH(AG221,AH221:AH227,0)))</f>
        <v>Ricardo José</v>
      </c>
      <c r="AY221" s="286">
        <f>IF(AG221="","",VLOOKUP(AG221,AH221:AU227,COLUMN()-COLUMN(AR220),FALSE))</f>
        <v>9</v>
      </c>
      <c r="AZ221" s="286">
        <f>IF(AG221="","",VLOOKUP(AG221,AH221:AU227,COLUMN()-COLUMN(AR220),FALSE))</f>
        <v>3</v>
      </c>
      <c r="BA221" s="286">
        <f>IF(AG221="","",VLOOKUP(AG221,AH221:AU227,COLUMN()-COLUMN(AR220),FALSE))</f>
        <v>3</v>
      </c>
      <c r="BB221" s="286">
        <f>IF(AG221="","",VLOOKUP(AG221,AH221:AU227,COLUMN()-COLUMN(AR220),FALSE))</f>
        <v>0</v>
      </c>
      <c r="BC221" s="286">
        <f>IF(AG221="","",VLOOKUP(AG221,AH221:AU227,COLUMN()-COLUMN(AR220),FALSE))</f>
        <v>0</v>
      </c>
      <c r="BD221" s="286">
        <f>IF(AG221="","",VLOOKUP(AG221,AH221:AU227,COLUMN()-COLUMN(AR220),FALSE))</f>
        <v>11</v>
      </c>
      <c r="BE221" s="286">
        <f>IF(AG221="","",VLOOKUP(AG221,AH221:AU227,COLUMN()-COLUMN(AR220),FALSE))</f>
        <v>3</v>
      </c>
      <c r="BF221" s="301">
        <f>IF(AG221="","",VLOOKUP(AG221,AH221:AU227,COLUMN()-COLUMN(AR220),FALSE))</f>
        <v>8</v>
      </c>
    </row>
    <row r="222" spans="1:58" ht="12" thickBot="1" x14ac:dyDescent="0.25">
      <c r="A222" s="62"/>
      <c r="B222" s="62"/>
      <c r="C222" s="62"/>
      <c r="D222" s="62"/>
      <c r="E222" s="345"/>
      <c r="F222" s="345"/>
      <c r="G222" s="113"/>
      <c r="H222" s="113"/>
      <c r="I222" s="114"/>
      <c r="J222" s="114"/>
      <c r="K222" s="114"/>
      <c r="L222" s="81"/>
      <c r="M222" s="265" t="b">
        <f>NOT(ISERROR(ResultsInd[[#This Row],[Goal-A]]+ResultsInd[[#This Row],[Goal-B]]))</f>
        <v>1</v>
      </c>
      <c r="N222" s="265">
        <f>VALUE(ResultsInd[[#This Row],[Score-A]])</f>
        <v>0</v>
      </c>
      <c r="O222" s="265">
        <f>VALUE(ResultsInd[[#This Row],[Score-B]])</f>
        <v>0</v>
      </c>
      <c r="P222" s="265" t="str">
        <f ca="1">IF(AND(ResultsInd[[#This Row],[Category]]&lt;&gt;"",ResultsInd[[#This Row],[Player A]]&lt;&gt;""),COUNTIF(INDIRECT(ResultsInd[[#This Row],[Category]]&amp;"List[Retained Player Name]"),ResultsInd[[#This Row],[Player A]]),"")</f>
        <v/>
      </c>
      <c r="Q222" s="265" t="str">
        <f ca="1">IF(AND(ResultsInd[[#This Row],[Category]]&lt;&gt;"",ResultsInd[[#This Row],[Player B]]&lt;&gt;""),COUNTIF(INDIRECT(ResultsInd[[#This Row],[Category]]&amp;"List[Retained Player Name]"),ResultsInd[[#This Row],[Player B]]),"")</f>
        <v/>
      </c>
      <c r="R2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2" s="265" t="str">
        <f>IF(ResultsInd[[#This Row],[Score_OK]],IF(ResultsInd[[#This Row],[Stage]]="Groups",ResultsInd[[#This Row],[Category]]&amp;"-"&amp;IF(ResultsInd[[#This Row],[Player B]]="","",IF(ResultsInd[[#This Row],[Score-A]]=ResultsInd[[#This Row],[Score-B]],ResultsInd[[#This Row],[Player A]],"")),""),"")</f>
        <v/>
      </c>
      <c r="T222" s="265" t="str">
        <f>IF(ResultsInd[[#This Row],[Score_OK]],IF(ResultsInd[[#This Row],[Stage]]="Groups",ResultsInd[[#This Row],[Category]]&amp;"-"&amp;IF(ResultsInd[[#This Row],[Player B]]="","",IF(ResultsInd[[#This Row],[Score-A]]=ResultsInd[[#This Row],[Score-B]],ResultsInd[[#This Row],[Player B]],"")),""),"")</f>
        <v/>
      </c>
      <c r="U2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2" s="264" t="str">
        <f>IF(ResultsInd[[#This Row],[Category]]="","",VLOOKUP(ResultsInd[[#This Row],[Stage]],$P$1:$V$9,MATCH(ResultsInd[[#This Row],[Category]],$Q$1:$V$1,0)+1,FALSE))</f>
        <v/>
      </c>
      <c r="Z222" s="264" t="str">
        <f>IF(ResultsInd[[#This Row],[Score_OK]],IF(ResultsInd[[#This Row],[Level]]="R",ResultsInd[[#This Row],[Category]]&amp;"-"&amp;IF(ResultsInd[[#This Row],[LoseInKO]]=ResultsInd[[#This Row],[Category]]&amp;"-"&amp;ResultsInd[[#This Row],[Player A]],ResultsInd[[#This Row],[Player B]],ResultsInd[[#This Row],[Player A]]),""),"")</f>
        <v/>
      </c>
      <c r="AB222" s="8"/>
      <c r="AC222" s="12" t="str">
        <f t="shared" ref="AC222:AC227" si="191">IF(AC221="","",AC221)</f>
        <v>OPEN</v>
      </c>
      <c r="AD222" s="309" t="s">
        <v>10448</v>
      </c>
      <c r="AE222" s="320"/>
      <c r="AF222" s="311"/>
      <c r="AG222" s="292">
        <f>IF(AP222="","",SMALL(AH221:AH227,ROWS(AG221:AG222)))</f>
        <v>2002</v>
      </c>
      <c r="AH222" s="293">
        <f>IF(AP222="","",RANK(AL222,AL221:AL227)*1000+ROWS(AH221:AH222))</f>
        <v>2002</v>
      </c>
      <c r="AI222" s="316">
        <f t="shared" si="185"/>
        <v>4000000000000</v>
      </c>
      <c r="AJ222" s="415" t="b">
        <f>AND(AO222&lt;&gt;"",AO222&gt;0,COUNTIF(AI221:AI227,AI222)&gt;1)</f>
        <v>1</v>
      </c>
      <c r="AK222" s="316">
        <f t="shared" si="186"/>
        <v>0</v>
      </c>
      <c r="AL222" s="317">
        <f t="shared" si="187"/>
        <v>4000000010700</v>
      </c>
      <c r="AM222" s="415" t="b">
        <f>AND(AO222&lt;&gt;"",AO222&gt;0,COUNTIF(AL221:AL227,AL222)&gt;1)</f>
        <v>0</v>
      </c>
      <c r="AN222" s="306">
        <f t="shared" si="188"/>
        <v>4</v>
      </c>
      <c r="AO222" s="307">
        <f t="shared" si="189"/>
        <v>3</v>
      </c>
      <c r="AP222" s="307">
        <f>IF(OR(AC220="",AD222=""),"",COUNTIF(ResultsInd[Win],AC220&amp;"-"&amp;AD222))</f>
        <v>1</v>
      </c>
      <c r="AQ222" s="307">
        <f>IF(OR(AC220="",AD222=""),"",COUNTIF(ResultsInd[Draw1],AC220&amp;"-"&amp;AD222)+COUNTIF(ResultsInd[Draw2],AC220&amp;"-"&amp;AD222))</f>
        <v>1</v>
      </c>
      <c r="AR222" s="307">
        <f>IF(OR(AC220="",AD222=""),"",COUNTIF(ResultsInd[Lose],AC220&amp;"-"&amp;AD222))</f>
        <v>1</v>
      </c>
      <c r="AS222" s="307">
        <f>IF(OR(AC220="",AD222=""),"",SUMIFS(ResultsInd[Goal-A],ResultsInd[Category],AC220,ResultsInd[Stage],"Groups",ResultsInd[Player A],AD222)+SUMIFS(ResultsInd[Goal-B],ResultsInd[Category],AC220,ResultsInd[Stage],"Groups",ResultsInd[Player B],AD222))</f>
        <v>7</v>
      </c>
      <c r="AT222" s="307">
        <f>IF(OR(AC220="",AD222=""),"",SUMIFS(ResultsInd[Goal-B],ResultsInd[Category],AC220,ResultsInd[Stage],"Groups",ResultsInd[Player A],AD222)+SUMIFS(ResultsInd[Goal-A],ResultsInd[Category],AC220,ResultsInd[Stage],"Groups",ResultsInd[Player B],AD222))</f>
        <v>6</v>
      </c>
      <c r="AU222" s="308">
        <f t="shared" ref="AU222:AU227" si="192">IF(AP222="","",AS222-AT222)</f>
        <v>1</v>
      </c>
      <c r="AV222" s="469" t="b">
        <f>IF(AG222="","",OR(VLOOKUP(AG222,AH221:AU227,3,FALSE),VLOOKUP(AG222,AH221:AU227,6,FALSE)))</f>
        <v>1</v>
      </c>
      <c r="AW222" s="298">
        <f t="shared" si="190"/>
        <v>2</v>
      </c>
      <c r="AX222" s="285" t="str">
        <f>IF(AG222="","",INDEX(AD221:AD227,MATCH(AG222,AH221:AH227,0)))</f>
        <v>Spencer Conti</v>
      </c>
      <c r="AY222" s="286">
        <f>IF(AG222="","",VLOOKUP(AG222,AH221:AU227,COLUMN()-COLUMN(AR220),FALSE))</f>
        <v>4</v>
      </c>
      <c r="AZ222" s="286">
        <f>IF(AG222="","",VLOOKUP(AG222,AH221:AU227,COLUMN()-COLUMN(AR220),FALSE))</f>
        <v>3</v>
      </c>
      <c r="BA222" s="286">
        <f>IF(AG222="","",VLOOKUP(AG222,AH221:AU227,COLUMN()-COLUMN(AR220),FALSE))</f>
        <v>1</v>
      </c>
      <c r="BB222" s="286">
        <f>IF(AG222="","",VLOOKUP(AG222,AH221:AU227,COLUMN()-COLUMN(AR220),FALSE))</f>
        <v>1</v>
      </c>
      <c r="BC222" s="286">
        <f>IF(AG222="","",VLOOKUP(AG222,AH221:AU227,COLUMN()-COLUMN(AR220),FALSE))</f>
        <v>1</v>
      </c>
      <c r="BD222" s="286">
        <f>IF(AG222="","",VLOOKUP(AG222,AH221:AU227,COLUMN()-COLUMN(AR220),FALSE))</f>
        <v>7</v>
      </c>
      <c r="BE222" s="286">
        <f>IF(AG222="","",VLOOKUP(AG222,AH221:AU227,COLUMN()-COLUMN(AR220),FALSE))</f>
        <v>6</v>
      </c>
      <c r="BF222" s="301">
        <f>IF(AG222="","",VLOOKUP(AG222,AH221:AU227,COLUMN()-COLUMN(AR220),FALSE))</f>
        <v>1</v>
      </c>
    </row>
    <row r="223" spans="1:58" ht="12" thickBot="1" x14ac:dyDescent="0.25">
      <c r="A223" s="62"/>
      <c r="B223" s="62"/>
      <c r="C223" s="62"/>
      <c r="D223" s="62"/>
      <c r="E223" s="345"/>
      <c r="F223" s="345"/>
      <c r="G223" s="113"/>
      <c r="H223" s="113"/>
      <c r="I223" s="114"/>
      <c r="J223" s="114"/>
      <c r="K223" s="114"/>
      <c r="L223" s="81"/>
      <c r="M223" s="265" t="b">
        <f>NOT(ISERROR(ResultsInd[[#This Row],[Goal-A]]+ResultsInd[[#This Row],[Goal-B]]))</f>
        <v>1</v>
      </c>
      <c r="N223" s="265">
        <f>VALUE(ResultsInd[[#This Row],[Score-A]])</f>
        <v>0</v>
      </c>
      <c r="O223" s="265">
        <f>VALUE(ResultsInd[[#This Row],[Score-B]])</f>
        <v>0</v>
      </c>
      <c r="P223" s="265" t="str">
        <f ca="1">IF(AND(ResultsInd[[#This Row],[Category]]&lt;&gt;"",ResultsInd[[#This Row],[Player A]]&lt;&gt;""),COUNTIF(INDIRECT(ResultsInd[[#This Row],[Category]]&amp;"List[Retained Player Name]"),ResultsInd[[#This Row],[Player A]]),"")</f>
        <v/>
      </c>
      <c r="Q223" s="265" t="str">
        <f ca="1">IF(AND(ResultsInd[[#This Row],[Category]]&lt;&gt;"",ResultsInd[[#This Row],[Player B]]&lt;&gt;""),COUNTIF(INDIRECT(ResultsInd[[#This Row],[Category]]&amp;"List[Retained Player Name]"),ResultsInd[[#This Row],[Player B]]),"")</f>
        <v/>
      </c>
      <c r="R2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3" s="265" t="str">
        <f>IF(ResultsInd[[#This Row],[Score_OK]],IF(ResultsInd[[#This Row],[Stage]]="Groups",ResultsInd[[#This Row],[Category]]&amp;"-"&amp;IF(ResultsInd[[#This Row],[Player B]]="","",IF(ResultsInd[[#This Row],[Score-A]]=ResultsInd[[#This Row],[Score-B]],ResultsInd[[#This Row],[Player A]],"")),""),"")</f>
        <v/>
      </c>
      <c r="T223" s="265" t="str">
        <f>IF(ResultsInd[[#This Row],[Score_OK]],IF(ResultsInd[[#This Row],[Stage]]="Groups",ResultsInd[[#This Row],[Category]]&amp;"-"&amp;IF(ResultsInd[[#This Row],[Player B]]="","",IF(ResultsInd[[#This Row],[Score-A]]=ResultsInd[[#This Row],[Score-B]],ResultsInd[[#This Row],[Player B]],"")),""),"")</f>
        <v/>
      </c>
      <c r="U2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3" s="264" t="str">
        <f>IF(ResultsInd[[#This Row],[Category]]="","",VLOOKUP(ResultsInd[[#This Row],[Stage]],$P$1:$V$9,MATCH(ResultsInd[[#This Row],[Category]],$Q$1:$V$1,0)+1,FALSE))</f>
        <v/>
      </c>
      <c r="Z223" s="264" t="str">
        <f>IF(ResultsInd[[#This Row],[Score_OK]],IF(ResultsInd[[#This Row],[Level]]="R",ResultsInd[[#This Row],[Category]]&amp;"-"&amp;IF(ResultsInd[[#This Row],[LoseInKO]]=ResultsInd[[#This Row],[Category]]&amp;"-"&amp;ResultsInd[[#This Row],[Player A]],ResultsInd[[#This Row],[Player B]],ResultsInd[[#This Row],[Player A]]),""),"")</f>
        <v/>
      </c>
      <c r="AB223" s="8"/>
      <c r="AC223" s="12" t="str">
        <f t="shared" si="191"/>
        <v>OPEN</v>
      </c>
      <c r="AD223" s="309" t="s">
        <v>8171</v>
      </c>
      <c r="AE223" s="320"/>
      <c r="AF223" s="311"/>
      <c r="AG223" s="292">
        <f>IF(AP223="","",SMALL(AH221:AH227,ROWS(AG221:AG223)))</f>
        <v>3004</v>
      </c>
      <c r="AH223" s="293">
        <f>IF(AP223="","",RANK(AL223,AL221:AL227)*1000+ROWS(AH221:AH223))</f>
        <v>4003</v>
      </c>
      <c r="AI223" s="316">
        <f t="shared" si="185"/>
        <v>0</v>
      </c>
      <c r="AJ223" s="415" t="b">
        <f>AND(AO223&lt;&gt;"",AO223&gt;0,COUNTIF(AI221:AI227,AI223)&gt;1)</f>
        <v>0</v>
      </c>
      <c r="AK223" s="316">
        <f t="shared" si="186"/>
        <v>0</v>
      </c>
      <c r="AL223" s="317">
        <f t="shared" si="187"/>
        <v>-79600</v>
      </c>
      <c r="AM223" s="415" t="b">
        <f>AND(AO223&lt;&gt;"",AO223&gt;0,COUNTIF(AL221:AL227,AL223)&gt;1)</f>
        <v>0</v>
      </c>
      <c r="AN223" s="306">
        <f t="shared" si="188"/>
        <v>0</v>
      </c>
      <c r="AO223" s="307">
        <f t="shared" si="189"/>
        <v>3</v>
      </c>
      <c r="AP223" s="307">
        <f>IF(OR(AC220="",AD223=""),"",COUNTIF(ResultsInd[Win],AC220&amp;"-"&amp;AD223))</f>
        <v>0</v>
      </c>
      <c r="AQ223" s="307">
        <f>IF(OR(AC220="",AD223=""),"",COUNTIF(ResultsInd[Draw1],AC220&amp;"-"&amp;AD223)+COUNTIF(ResultsInd[Draw2],AC220&amp;"-"&amp;AD223))</f>
        <v>0</v>
      </c>
      <c r="AR223" s="307">
        <f>IF(OR(AC220="",AD223=""),"",COUNTIF(ResultsInd[Lose],AC220&amp;"-"&amp;AD223))</f>
        <v>3</v>
      </c>
      <c r="AS223" s="307">
        <f>IF(OR(AC220="",AD223=""),"",SUMIFS(ResultsInd[Goal-A],ResultsInd[Category],AC220,ResultsInd[Stage],"Groups",ResultsInd[Player A],AD223)+SUMIFS(ResultsInd[Goal-B],ResultsInd[Category],AC220,ResultsInd[Stage],"Groups",ResultsInd[Player B],AD223))</f>
        <v>4</v>
      </c>
      <c r="AT223" s="307">
        <f>IF(OR(AC220="",AD223=""),"",SUMIFS(ResultsInd[Goal-B],ResultsInd[Category],AC220,ResultsInd[Stage],"Groups",ResultsInd[Player A],AD223)+SUMIFS(ResultsInd[Goal-A],ResultsInd[Category],AC220,ResultsInd[Stage],"Groups",ResultsInd[Player B],AD223))</f>
        <v>12</v>
      </c>
      <c r="AU223" s="308">
        <f t="shared" si="192"/>
        <v>-8</v>
      </c>
      <c r="AV223" s="469" t="b">
        <f>IF(AG223="","",OR(VLOOKUP(AG223,AH221:AU227,3,FALSE),VLOOKUP(AG223,AH221:AU227,6,FALSE)))</f>
        <v>1</v>
      </c>
      <c r="AW223" s="298">
        <f t="shared" si="190"/>
        <v>3</v>
      </c>
      <c r="AX223" s="285" t="str">
        <f>IF(AG223="","",INDEX(AD221:AD227,MATCH(AG223,AH221:AH227,0)))</f>
        <v>Delphine Dieudonne</v>
      </c>
      <c r="AY223" s="286">
        <f>IF(AG223="","",VLOOKUP(AG223,AH221:AU227,COLUMN()-COLUMN(AR220),FALSE))</f>
        <v>4</v>
      </c>
      <c r="AZ223" s="286">
        <f>IF(AG223="","",VLOOKUP(AG223,AH221:AU227,COLUMN()-COLUMN(AR220),FALSE))</f>
        <v>3</v>
      </c>
      <c r="BA223" s="286">
        <f>IF(AG223="","",VLOOKUP(AG223,AH221:AU227,COLUMN()-COLUMN(AR220),FALSE))</f>
        <v>1</v>
      </c>
      <c r="BB223" s="286">
        <f>IF(AG223="","",VLOOKUP(AG223,AH221:AU227,COLUMN()-COLUMN(AR220),FALSE))</f>
        <v>1</v>
      </c>
      <c r="BC223" s="286">
        <f>IF(AG223="","",VLOOKUP(AG223,AH221:AU227,COLUMN()-COLUMN(AR220),FALSE))</f>
        <v>1</v>
      </c>
      <c r="BD223" s="286">
        <f>IF(AG223="","",VLOOKUP(AG223,AH221:AU227,COLUMN()-COLUMN(AR220),FALSE))</f>
        <v>8</v>
      </c>
      <c r="BE223" s="286">
        <f>IF(AG223="","",VLOOKUP(AG223,AH221:AU227,COLUMN()-COLUMN(AR220),FALSE))</f>
        <v>9</v>
      </c>
      <c r="BF223" s="301">
        <f>IF(AG223="","",VLOOKUP(AG223,AH221:AU227,COLUMN()-COLUMN(AR220),FALSE))</f>
        <v>-1</v>
      </c>
    </row>
    <row r="224" spans="1:58" ht="12" thickBot="1" x14ac:dyDescent="0.25">
      <c r="A224" s="62"/>
      <c r="B224" s="62"/>
      <c r="C224" s="62"/>
      <c r="D224" s="62"/>
      <c r="E224" s="345"/>
      <c r="F224" s="345"/>
      <c r="G224" s="113"/>
      <c r="H224" s="113"/>
      <c r="I224" s="114"/>
      <c r="J224" s="114"/>
      <c r="K224" s="114"/>
      <c r="L224" s="81"/>
      <c r="M224" s="265" t="b">
        <f>NOT(ISERROR(ResultsInd[[#This Row],[Goal-A]]+ResultsInd[[#This Row],[Goal-B]]))</f>
        <v>1</v>
      </c>
      <c r="N224" s="265">
        <f>VALUE(ResultsInd[[#This Row],[Score-A]])</f>
        <v>0</v>
      </c>
      <c r="O224" s="265">
        <f>VALUE(ResultsInd[[#This Row],[Score-B]])</f>
        <v>0</v>
      </c>
      <c r="P224" s="265" t="str">
        <f ca="1">IF(AND(ResultsInd[[#This Row],[Category]]&lt;&gt;"",ResultsInd[[#This Row],[Player A]]&lt;&gt;""),COUNTIF(INDIRECT(ResultsInd[[#This Row],[Category]]&amp;"List[Retained Player Name]"),ResultsInd[[#This Row],[Player A]]),"")</f>
        <v/>
      </c>
      <c r="Q224" s="265" t="str">
        <f ca="1">IF(AND(ResultsInd[[#This Row],[Category]]&lt;&gt;"",ResultsInd[[#This Row],[Player B]]&lt;&gt;""),COUNTIF(INDIRECT(ResultsInd[[#This Row],[Category]]&amp;"List[Retained Player Name]"),ResultsInd[[#This Row],[Player B]]),"")</f>
        <v/>
      </c>
      <c r="R2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4" s="265" t="str">
        <f>IF(ResultsInd[[#This Row],[Score_OK]],IF(ResultsInd[[#This Row],[Stage]]="Groups",ResultsInd[[#This Row],[Category]]&amp;"-"&amp;IF(ResultsInd[[#This Row],[Player B]]="","",IF(ResultsInd[[#This Row],[Score-A]]=ResultsInd[[#This Row],[Score-B]],ResultsInd[[#This Row],[Player A]],"")),""),"")</f>
        <v/>
      </c>
      <c r="T224" s="265" t="str">
        <f>IF(ResultsInd[[#This Row],[Score_OK]],IF(ResultsInd[[#This Row],[Stage]]="Groups",ResultsInd[[#This Row],[Category]]&amp;"-"&amp;IF(ResultsInd[[#This Row],[Player B]]="","",IF(ResultsInd[[#This Row],[Score-A]]=ResultsInd[[#This Row],[Score-B]],ResultsInd[[#This Row],[Player B]],"")),""),"")</f>
        <v/>
      </c>
      <c r="U2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4" s="264" t="str">
        <f>IF(ResultsInd[[#This Row],[Category]]="","",VLOOKUP(ResultsInd[[#This Row],[Stage]],$P$1:$V$9,MATCH(ResultsInd[[#This Row],[Category]],$Q$1:$V$1,0)+1,FALSE))</f>
        <v/>
      </c>
      <c r="Z224" s="264" t="str">
        <f>IF(ResultsInd[[#This Row],[Score_OK]],IF(ResultsInd[[#This Row],[Level]]="R",ResultsInd[[#This Row],[Category]]&amp;"-"&amp;IF(ResultsInd[[#This Row],[LoseInKO]]=ResultsInd[[#This Row],[Category]]&amp;"-"&amp;ResultsInd[[#This Row],[Player A]],ResultsInd[[#This Row],[Player B]],ResultsInd[[#This Row],[Player A]]),""),"")</f>
        <v/>
      </c>
      <c r="AB224" s="91"/>
      <c r="AC224" s="12" t="str">
        <f t="shared" si="191"/>
        <v>OPEN</v>
      </c>
      <c r="AD224" s="309" t="s">
        <v>8091</v>
      </c>
      <c r="AE224" s="310"/>
      <c r="AF224" s="311"/>
      <c r="AG224" s="292">
        <f>IF(AP224="","",SMALL(AH221:AH227,ROWS(AG221:AG224)))</f>
        <v>4003</v>
      </c>
      <c r="AH224" s="293">
        <f>IF(AP224="","",RANK(AL224,AL221:AL227)*1000+ROWS(AH221:AH224))</f>
        <v>3004</v>
      </c>
      <c r="AI224" s="316">
        <f t="shared" si="185"/>
        <v>4000000000000</v>
      </c>
      <c r="AJ224" s="415" t="b">
        <f>AND(AO224&lt;&gt;"",AO224&gt;0,COUNTIF(AI221:AI227,AI224)&gt;1)</f>
        <v>1</v>
      </c>
      <c r="AK224" s="316">
        <f t="shared" si="186"/>
        <v>0</v>
      </c>
      <c r="AL224" s="317">
        <f t="shared" si="187"/>
        <v>3999999990800</v>
      </c>
      <c r="AM224" s="415" t="b">
        <f>AND(AO224&lt;&gt;"",AO224&gt;0,COUNTIF(AL221:AL227,AL224)&gt;1)</f>
        <v>0</v>
      </c>
      <c r="AN224" s="306">
        <f t="shared" si="188"/>
        <v>4</v>
      </c>
      <c r="AO224" s="307">
        <f t="shared" si="189"/>
        <v>3</v>
      </c>
      <c r="AP224" s="307">
        <f>IF(OR(AC220="",AD224=""),"",COUNTIF(ResultsInd[Win],AC220&amp;"-"&amp;AD224))</f>
        <v>1</v>
      </c>
      <c r="AQ224" s="307">
        <f>IF(OR(AC220="",AD224=""),"",COUNTIF(ResultsInd[Draw1],AC220&amp;"-"&amp;AD224)+COUNTIF(ResultsInd[Draw2],AC220&amp;"-"&amp;AD224))</f>
        <v>1</v>
      </c>
      <c r="AR224" s="307">
        <f>IF(OR(AC220="",AD224=""),"",COUNTIF(ResultsInd[Lose],AC220&amp;"-"&amp;AD224))</f>
        <v>1</v>
      </c>
      <c r="AS224" s="307">
        <f>IF(OR(AC220="",AD224=""),"",SUMIFS(ResultsInd[Goal-A],ResultsInd[Category],AC220,ResultsInd[Stage],"Groups",ResultsInd[Player A],AD224)+SUMIFS(ResultsInd[Goal-B],ResultsInd[Category],AC220,ResultsInd[Stage],"Groups",ResultsInd[Player B],AD224))</f>
        <v>8</v>
      </c>
      <c r="AT224" s="307">
        <f>IF(OR(AC220="",AD224=""),"",SUMIFS(ResultsInd[Goal-B],ResultsInd[Category],AC220,ResultsInd[Stage],"Groups",ResultsInd[Player A],AD224)+SUMIFS(ResultsInd[Goal-A],ResultsInd[Category],AC220,ResultsInd[Stage],"Groups",ResultsInd[Player B],AD224))</f>
        <v>9</v>
      </c>
      <c r="AU224" s="308">
        <f t="shared" si="192"/>
        <v>-1</v>
      </c>
      <c r="AV224" s="469" t="b">
        <f>IF(AG224="","",OR(VLOOKUP(AG224,AH221:AU227,3,FALSE),VLOOKUP(AG224,AH221:AU227,6,FALSE)))</f>
        <v>0</v>
      </c>
      <c r="AW224" s="298">
        <f t="shared" si="190"/>
        <v>4</v>
      </c>
      <c r="AX224" s="285" t="str">
        <f>IF(AG224="","",INDEX(AD221:AD227,MATCH(AG224,AH221:AH227,0)))</f>
        <v>Frédéric Thiel</v>
      </c>
      <c r="AY224" s="286">
        <f>IF(AG224="","",VLOOKUP(AG224,AH221:AU227,COLUMN()-COLUMN(AR220),FALSE))</f>
        <v>0</v>
      </c>
      <c r="AZ224" s="286">
        <f>IF(AG224="","",VLOOKUP(AG224,AH221:AU227,COLUMN()-COLUMN(AR220),FALSE))</f>
        <v>3</v>
      </c>
      <c r="BA224" s="286">
        <f>IF(AG224="","",VLOOKUP(AG224,AH221:AU227,COLUMN()-COLUMN(AR220),FALSE))</f>
        <v>0</v>
      </c>
      <c r="BB224" s="286">
        <f>IF(AG224="","",VLOOKUP(AG224,AH221:AU227,COLUMN()-COLUMN(AR220),FALSE))</f>
        <v>0</v>
      </c>
      <c r="BC224" s="286">
        <f>IF(AG224="","",VLOOKUP(AG224,AH221:AU227,COLUMN()-COLUMN(AR220),FALSE))</f>
        <v>3</v>
      </c>
      <c r="BD224" s="286">
        <f>IF(AG224="","",VLOOKUP(AG224,AH221:AU227,COLUMN()-COLUMN(AR220),FALSE))</f>
        <v>4</v>
      </c>
      <c r="BE224" s="286">
        <f>IF(AG224="","",VLOOKUP(AG224,AH221:AU227,COLUMN()-COLUMN(AR220),FALSE))</f>
        <v>12</v>
      </c>
      <c r="BF224" s="301">
        <f>IF(AG224="","",VLOOKUP(AG224,AH221:AU227,COLUMN()-COLUMN(AR220),FALSE))</f>
        <v>-8</v>
      </c>
    </row>
    <row r="225" spans="1:58" ht="12" thickBot="1" x14ac:dyDescent="0.25">
      <c r="A225" s="62"/>
      <c r="B225" s="62"/>
      <c r="C225" s="62"/>
      <c r="D225" s="62"/>
      <c r="E225" s="345"/>
      <c r="F225" s="345"/>
      <c r="G225" s="113"/>
      <c r="H225" s="113"/>
      <c r="I225" s="114"/>
      <c r="J225" s="114"/>
      <c r="K225" s="114"/>
      <c r="L225" s="81"/>
      <c r="M225" s="265" t="b">
        <f>NOT(ISERROR(ResultsInd[[#This Row],[Goal-A]]+ResultsInd[[#This Row],[Goal-B]]))</f>
        <v>1</v>
      </c>
      <c r="N225" s="265">
        <f>VALUE(ResultsInd[[#This Row],[Score-A]])</f>
        <v>0</v>
      </c>
      <c r="O225" s="265">
        <f>VALUE(ResultsInd[[#This Row],[Score-B]])</f>
        <v>0</v>
      </c>
      <c r="P225" s="265" t="str">
        <f ca="1">IF(AND(ResultsInd[[#This Row],[Category]]&lt;&gt;"",ResultsInd[[#This Row],[Player A]]&lt;&gt;""),COUNTIF(INDIRECT(ResultsInd[[#This Row],[Category]]&amp;"List[Retained Player Name]"),ResultsInd[[#This Row],[Player A]]),"")</f>
        <v/>
      </c>
      <c r="Q225" s="265" t="str">
        <f ca="1">IF(AND(ResultsInd[[#This Row],[Category]]&lt;&gt;"",ResultsInd[[#This Row],[Player B]]&lt;&gt;""),COUNTIF(INDIRECT(ResultsInd[[#This Row],[Category]]&amp;"List[Retained Player Name]"),ResultsInd[[#This Row],[Player B]]),"")</f>
        <v/>
      </c>
      <c r="R2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5" s="265" t="str">
        <f>IF(ResultsInd[[#This Row],[Score_OK]],IF(ResultsInd[[#This Row],[Stage]]="Groups",ResultsInd[[#This Row],[Category]]&amp;"-"&amp;IF(ResultsInd[[#This Row],[Player B]]="","",IF(ResultsInd[[#This Row],[Score-A]]=ResultsInd[[#This Row],[Score-B]],ResultsInd[[#This Row],[Player A]],"")),""),"")</f>
        <v/>
      </c>
      <c r="T225" s="265" t="str">
        <f>IF(ResultsInd[[#This Row],[Score_OK]],IF(ResultsInd[[#This Row],[Stage]]="Groups",ResultsInd[[#This Row],[Category]]&amp;"-"&amp;IF(ResultsInd[[#This Row],[Player B]]="","",IF(ResultsInd[[#This Row],[Score-A]]=ResultsInd[[#This Row],[Score-B]],ResultsInd[[#This Row],[Player B]],"")),""),"")</f>
        <v/>
      </c>
      <c r="U2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5" s="264" t="str">
        <f>IF(ResultsInd[[#This Row],[Category]]="","",VLOOKUP(ResultsInd[[#This Row],[Stage]],$P$1:$V$9,MATCH(ResultsInd[[#This Row],[Category]],$Q$1:$V$1,0)+1,FALSE))</f>
        <v/>
      </c>
      <c r="Z225" s="264" t="str">
        <f>IF(ResultsInd[[#This Row],[Score_OK]],IF(ResultsInd[[#This Row],[Level]]="R",ResultsInd[[#This Row],[Category]]&amp;"-"&amp;IF(ResultsInd[[#This Row],[LoseInKO]]=ResultsInd[[#This Row],[Category]]&amp;"-"&amp;ResultsInd[[#This Row],[Player A]],ResultsInd[[#This Row],[Player B]],ResultsInd[[#This Row],[Player A]]),""),"")</f>
        <v/>
      </c>
      <c r="AB225" s="91"/>
      <c r="AC225" s="12" t="str">
        <f t="shared" si="191"/>
        <v>OPEN</v>
      </c>
      <c r="AD225" s="309"/>
      <c r="AE225" s="310"/>
      <c r="AF225" s="311"/>
      <c r="AG225" s="292" t="str">
        <f>IF(AP225="","",SMALL(AH221:AH227,ROWS(AG221:AG225)))</f>
        <v/>
      </c>
      <c r="AH225" s="293" t="str">
        <f>IF(AP225="","",RANK(AL225,AL221:AL227)*1000+ROWS(AH221:AH225))</f>
        <v/>
      </c>
      <c r="AI225" s="316" t="str">
        <f t="shared" si="185"/>
        <v/>
      </c>
      <c r="AJ225" s="415" t="b">
        <f>AND(AO225&lt;&gt;"",AO225&gt;0,COUNTIF(AI221:AI227,AI225)&gt;1)</f>
        <v>0</v>
      </c>
      <c r="AK225" s="316" t="str">
        <f t="shared" si="186"/>
        <v/>
      </c>
      <c r="AL225" s="317" t="str">
        <f t="shared" si="187"/>
        <v/>
      </c>
      <c r="AM225" s="415" t="b">
        <f>AND(AO225&lt;&gt;"",AO225&gt;0,COUNTIF(AL221:AL227,AL225)&gt;1)</f>
        <v>0</v>
      </c>
      <c r="AN225" s="306" t="str">
        <f t="shared" si="188"/>
        <v/>
      </c>
      <c r="AO225" s="307" t="str">
        <f t="shared" si="189"/>
        <v/>
      </c>
      <c r="AP225" s="307" t="str">
        <f>IF(OR(AC220="",AD225=""),"",COUNTIF(ResultsInd[Win],AC220&amp;"-"&amp;AD225))</f>
        <v/>
      </c>
      <c r="AQ225" s="307" t="str">
        <f>IF(OR(AC220="",AD225=""),"",COUNTIF(ResultsInd[Draw1],AC220&amp;"-"&amp;AD225)+COUNTIF(ResultsInd[Draw2],AC220&amp;"-"&amp;AD225))</f>
        <v/>
      </c>
      <c r="AR225" s="307" t="str">
        <f>IF(OR(AC220="",AD225=""),"",COUNTIF(ResultsInd[Lose],AC220&amp;"-"&amp;AD225))</f>
        <v/>
      </c>
      <c r="AS225" s="307" t="str">
        <f>IF(OR(AC220="",AD225=""),"",SUMIFS(ResultsInd[Goal-A],ResultsInd[Category],AC220,ResultsInd[Stage],"Groups",ResultsInd[Player A],AD225)+SUMIFS(ResultsInd[Goal-B],ResultsInd[Category],AC220,ResultsInd[Stage],"Groups",ResultsInd[Player B],AD225))</f>
        <v/>
      </c>
      <c r="AT225" s="307" t="str">
        <f>IF(OR(AC220="",AD225=""),"",SUMIFS(ResultsInd[Goal-B],ResultsInd[Category],AC220,ResultsInd[Stage],"Groups",ResultsInd[Player A],AD225)+SUMIFS(ResultsInd[Goal-A],ResultsInd[Category],AC220,ResultsInd[Stage],"Groups",ResultsInd[Player B],AD225))</f>
        <v/>
      </c>
      <c r="AU225" s="308" t="str">
        <f t="shared" si="192"/>
        <v/>
      </c>
      <c r="AV225" s="469" t="str">
        <f>IF(AG225="","",OR(VLOOKUP(AG225,AH221:AU227,3,FALSE),VLOOKUP(AG225,AH221:AU227,6,FALSE)))</f>
        <v/>
      </c>
      <c r="AW225" s="298" t="str">
        <f t="shared" si="190"/>
        <v/>
      </c>
      <c r="AX225" s="285" t="str">
        <f>IF(AG225="","",INDEX(AD221:AD227,MATCH(AG225,AH221:AH227,0)))</f>
        <v/>
      </c>
      <c r="AY225" s="286" t="str">
        <f>IF(AG225="","",VLOOKUP(AG225,AH221:AU227,COLUMN()-COLUMN(AR220),FALSE))</f>
        <v/>
      </c>
      <c r="AZ225" s="286" t="str">
        <f>IF(AG225="","",VLOOKUP(AG225,AH221:AU227,COLUMN()-COLUMN(AR220),FALSE))</f>
        <v/>
      </c>
      <c r="BA225" s="286" t="str">
        <f>IF(AG225="","",VLOOKUP(AG225,AH221:AU227,COLUMN()-COLUMN(AR220),FALSE))</f>
        <v/>
      </c>
      <c r="BB225" s="286" t="str">
        <f>IF(AG225="","",VLOOKUP(AG225,AH221:AU227,COLUMN()-COLUMN(AR220),FALSE))</f>
        <v/>
      </c>
      <c r="BC225" s="286" t="str">
        <f>IF(AG225="","",VLOOKUP(AG225,AH221:AU227,COLUMN()-COLUMN(AR220),FALSE))</f>
        <v/>
      </c>
      <c r="BD225" s="286" t="str">
        <f>IF(AG225="","",VLOOKUP(AG225,AH221:AU227,COLUMN()-COLUMN(AR220),FALSE))</f>
        <v/>
      </c>
      <c r="BE225" s="286" t="str">
        <f>IF(AG225="","",VLOOKUP(AG225,AH221:AU227,COLUMN()-COLUMN(AR220),FALSE))</f>
        <v/>
      </c>
      <c r="BF225" s="301" t="str">
        <f>IF(AG225="","",VLOOKUP(AG225,AH221:AU227,COLUMN()-COLUMN(AR220),FALSE))</f>
        <v/>
      </c>
    </row>
    <row r="226" spans="1:58" ht="12" thickBot="1" x14ac:dyDescent="0.25">
      <c r="A226" s="62"/>
      <c r="B226" s="62"/>
      <c r="C226" s="62"/>
      <c r="D226" s="62"/>
      <c r="E226" s="345"/>
      <c r="F226" s="345"/>
      <c r="G226" s="113"/>
      <c r="H226" s="113"/>
      <c r="I226" s="114"/>
      <c r="J226" s="114"/>
      <c r="K226" s="114"/>
      <c r="L226" s="81"/>
      <c r="M226" s="265" t="b">
        <f>NOT(ISERROR(ResultsInd[[#This Row],[Goal-A]]+ResultsInd[[#This Row],[Goal-B]]))</f>
        <v>1</v>
      </c>
      <c r="N226" s="265">
        <f>VALUE(ResultsInd[[#This Row],[Score-A]])</f>
        <v>0</v>
      </c>
      <c r="O226" s="265">
        <f>VALUE(ResultsInd[[#This Row],[Score-B]])</f>
        <v>0</v>
      </c>
      <c r="P226" s="265" t="str">
        <f ca="1">IF(AND(ResultsInd[[#This Row],[Category]]&lt;&gt;"",ResultsInd[[#This Row],[Player A]]&lt;&gt;""),COUNTIF(INDIRECT(ResultsInd[[#This Row],[Category]]&amp;"List[Retained Player Name]"),ResultsInd[[#This Row],[Player A]]),"")</f>
        <v/>
      </c>
      <c r="Q226" s="265" t="str">
        <f ca="1">IF(AND(ResultsInd[[#This Row],[Category]]&lt;&gt;"",ResultsInd[[#This Row],[Player B]]&lt;&gt;""),COUNTIF(INDIRECT(ResultsInd[[#This Row],[Category]]&amp;"List[Retained Player Name]"),ResultsInd[[#This Row],[Player B]]),"")</f>
        <v/>
      </c>
      <c r="R2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6" s="265" t="str">
        <f>IF(ResultsInd[[#This Row],[Score_OK]],IF(ResultsInd[[#This Row],[Stage]]="Groups",ResultsInd[[#This Row],[Category]]&amp;"-"&amp;IF(ResultsInd[[#This Row],[Player B]]="","",IF(ResultsInd[[#This Row],[Score-A]]=ResultsInd[[#This Row],[Score-B]],ResultsInd[[#This Row],[Player A]],"")),""),"")</f>
        <v/>
      </c>
      <c r="T226" s="265" t="str">
        <f>IF(ResultsInd[[#This Row],[Score_OK]],IF(ResultsInd[[#This Row],[Stage]]="Groups",ResultsInd[[#This Row],[Category]]&amp;"-"&amp;IF(ResultsInd[[#This Row],[Player B]]="","",IF(ResultsInd[[#This Row],[Score-A]]=ResultsInd[[#This Row],[Score-B]],ResultsInd[[#This Row],[Player B]],"")),""),"")</f>
        <v/>
      </c>
      <c r="U2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6" s="264" t="str">
        <f>IF(ResultsInd[[#This Row],[Category]]="","",VLOOKUP(ResultsInd[[#This Row],[Stage]],$P$1:$V$9,MATCH(ResultsInd[[#This Row],[Category]],$Q$1:$V$1,0)+1,FALSE))</f>
        <v/>
      </c>
      <c r="Z226" s="264" t="str">
        <f>IF(ResultsInd[[#This Row],[Score_OK]],IF(ResultsInd[[#This Row],[Level]]="R",ResultsInd[[#This Row],[Category]]&amp;"-"&amp;IF(ResultsInd[[#This Row],[LoseInKO]]=ResultsInd[[#This Row],[Category]]&amp;"-"&amp;ResultsInd[[#This Row],[Player A]],ResultsInd[[#This Row],[Player B]],ResultsInd[[#This Row],[Player A]]),""),"")</f>
        <v/>
      </c>
      <c r="AB226" s="8"/>
      <c r="AC226" s="12" t="str">
        <f t="shared" si="191"/>
        <v>OPEN</v>
      </c>
      <c r="AD226" s="309"/>
      <c r="AE226" s="310"/>
      <c r="AF226" s="311"/>
      <c r="AG226" s="292" t="str">
        <f>IF(AP226="","",SMALL(AH221:AH227,ROWS(AG221:AG226)))</f>
        <v/>
      </c>
      <c r="AH226" s="293" t="str">
        <f>IF(AP226="","",RANK(AL226,AL221:AL227)*1000+ROWS(AH221:AH226))</f>
        <v/>
      </c>
      <c r="AI226" s="316" t="str">
        <f t="shared" si="185"/>
        <v/>
      </c>
      <c r="AJ226" s="415" t="b">
        <f>AND(AO226&lt;&gt;"",AO226&gt;0,COUNTIF(AI221:AI227,AI226)&gt;1)</f>
        <v>0</v>
      </c>
      <c r="AK226" s="316" t="str">
        <f t="shared" si="186"/>
        <v/>
      </c>
      <c r="AL226" s="317" t="str">
        <f t="shared" si="187"/>
        <v/>
      </c>
      <c r="AM226" s="415" t="b">
        <f>AND(AO226&lt;&gt;"",AO226&gt;0,COUNTIF(AL221:AL227,AL226)&gt;1)</f>
        <v>0</v>
      </c>
      <c r="AN226" s="306" t="str">
        <f t="shared" si="188"/>
        <v/>
      </c>
      <c r="AO226" s="307" t="str">
        <f t="shared" si="189"/>
        <v/>
      </c>
      <c r="AP226" s="307" t="str">
        <f>IF(OR(AC220="",AD226=""),"",COUNTIF(ResultsInd[Win],AC220&amp;"-"&amp;AD226))</f>
        <v/>
      </c>
      <c r="AQ226" s="307" t="str">
        <f>IF(OR(AC220="",AD226=""),"",COUNTIF(ResultsInd[Draw1],AC220&amp;"-"&amp;AD226)+COUNTIF(ResultsInd[Draw2],AC220&amp;"-"&amp;AD226))</f>
        <v/>
      </c>
      <c r="AR226" s="307" t="str">
        <f>IF(OR(AC220="",AD226=""),"",COUNTIF(ResultsInd[Lose],AC220&amp;"-"&amp;AD226))</f>
        <v/>
      </c>
      <c r="AS226" s="307" t="str">
        <f>IF(OR(AC220="",AD226=""),"",SUMIFS(ResultsInd[Goal-A],ResultsInd[Category],AC220,ResultsInd[Stage],"Groups",ResultsInd[Player A],AD226)+SUMIFS(ResultsInd[Goal-B],ResultsInd[Category],AC220,ResultsInd[Stage],"Groups",ResultsInd[Player B],AD226))</f>
        <v/>
      </c>
      <c r="AT226" s="307" t="str">
        <f>IF(OR(AC220="",AD226=""),"",SUMIFS(ResultsInd[Goal-B],ResultsInd[Category],AC220,ResultsInd[Stage],"Groups",ResultsInd[Player A],AD226)+SUMIFS(ResultsInd[Goal-A],ResultsInd[Category],AC220,ResultsInd[Stage],"Groups",ResultsInd[Player B],AD226))</f>
        <v/>
      </c>
      <c r="AU226" s="308" t="str">
        <f t="shared" si="192"/>
        <v/>
      </c>
      <c r="AV226" s="469" t="str">
        <f>IF(AG226="","",OR(VLOOKUP(AG226,AH221:AU227,3,FALSE),VLOOKUP(AG226,AH221:AU227,6,FALSE)))</f>
        <v/>
      </c>
      <c r="AW226" s="298" t="str">
        <f t="shared" si="190"/>
        <v/>
      </c>
      <c r="AX226" s="285" t="str">
        <f>IF(AG226="","",INDEX(AD221:AD227,MATCH(AG226,AH221:AH227,0)))</f>
        <v/>
      </c>
      <c r="AY226" s="286" t="str">
        <f>IF(AG226="","",VLOOKUP(AG226,AH221:AU227,COLUMN()-COLUMN(AR220),FALSE))</f>
        <v/>
      </c>
      <c r="AZ226" s="286" t="str">
        <f>IF(AG226="","",VLOOKUP(AG226,AH221:AU227,COLUMN()-COLUMN(AR220),FALSE))</f>
        <v/>
      </c>
      <c r="BA226" s="286" t="str">
        <f>IF(AG226="","",VLOOKUP(AG226,AH221:AU227,COLUMN()-COLUMN(AR220),FALSE))</f>
        <v/>
      </c>
      <c r="BB226" s="286" t="str">
        <f>IF(AG226="","",VLOOKUP(AG226,AH221:AU227,COLUMN()-COLUMN(AR220),FALSE))</f>
        <v/>
      </c>
      <c r="BC226" s="286" t="str">
        <f>IF(AG226="","",VLOOKUP(AG226,AH221:AU227,COLUMN()-COLUMN(AR220),FALSE))</f>
        <v/>
      </c>
      <c r="BD226" s="286" t="str">
        <f>IF(AG226="","",VLOOKUP(AG226,AH221:AU227,COLUMN()-COLUMN(AR220),FALSE))</f>
        <v/>
      </c>
      <c r="BE226" s="286" t="str">
        <f>IF(AG226="","",VLOOKUP(AG226,AH221:AU227,COLUMN()-COLUMN(AR220),FALSE))</f>
        <v/>
      </c>
      <c r="BF226" s="301" t="str">
        <f>IF(AG226="","",VLOOKUP(AG226,AH221:AU227,COLUMN()-COLUMN(AR220),FALSE))</f>
        <v/>
      </c>
    </row>
    <row r="227" spans="1:58" ht="12" thickBot="1" x14ac:dyDescent="0.25">
      <c r="A227" s="62"/>
      <c r="B227" s="62"/>
      <c r="C227" s="62"/>
      <c r="D227" s="62"/>
      <c r="E227" s="345"/>
      <c r="F227" s="345"/>
      <c r="G227" s="113"/>
      <c r="H227" s="113"/>
      <c r="I227" s="114"/>
      <c r="J227" s="114"/>
      <c r="K227" s="114"/>
      <c r="L227" s="81"/>
      <c r="M227" s="265" t="b">
        <f>NOT(ISERROR(ResultsInd[[#This Row],[Goal-A]]+ResultsInd[[#This Row],[Goal-B]]))</f>
        <v>1</v>
      </c>
      <c r="N227" s="265">
        <f>VALUE(ResultsInd[[#This Row],[Score-A]])</f>
        <v>0</v>
      </c>
      <c r="O227" s="265">
        <f>VALUE(ResultsInd[[#This Row],[Score-B]])</f>
        <v>0</v>
      </c>
      <c r="P227" s="265" t="str">
        <f ca="1">IF(AND(ResultsInd[[#This Row],[Category]]&lt;&gt;"",ResultsInd[[#This Row],[Player A]]&lt;&gt;""),COUNTIF(INDIRECT(ResultsInd[[#This Row],[Category]]&amp;"List[Retained Player Name]"),ResultsInd[[#This Row],[Player A]]),"")</f>
        <v/>
      </c>
      <c r="Q227" s="265" t="str">
        <f ca="1">IF(AND(ResultsInd[[#This Row],[Category]]&lt;&gt;"",ResultsInd[[#This Row],[Player B]]&lt;&gt;""),COUNTIF(INDIRECT(ResultsInd[[#This Row],[Category]]&amp;"List[Retained Player Name]"),ResultsInd[[#This Row],[Player B]]),"")</f>
        <v/>
      </c>
      <c r="R2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7" s="265" t="str">
        <f>IF(ResultsInd[[#This Row],[Score_OK]],IF(ResultsInd[[#This Row],[Stage]]="Groups",ResultsInd[[#This Row],[Category]]&amp;"-"&amp;IF(ResultsInd[[#This Row],[Player B]]="","",IF(ResultsInd[[#This Row],[Score-A]]=ResultsInd[[#This Row],[Score-B]],ResultsInd[[#This Row],[Player A]],"")),""),"")</f>
        <v/>
      </c>
      <c r="T227" s="265" t="str">
        <f>IF(ResultsInd[[#This Row],[Score_OK]],IF(ResultsInd[[#This Row],[Stage]]="Groups",ResultsInd[[#This Row],[Category]]&amp;"-"&amp;IF(ResultsInd[[#This Row],[Player B]]="","",IF(ResultsInd[[#This Row],[Score-A]]=ResultsInd[[#This Row],[Score-B]],ResultsInd[[#This Row],[Player B]],"")),""),"")</f>
        <v/>
      </c>
      <c r="U2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7" s="264" t="str">
        <f>IF(ResultsInd[[#This Row],[Category]]="","",VLOOKUP(ResultsInd[[#This Row],[Stage]],$P$1:$V$9,MATCH(ResultsInd[[#This Row],[Category]],$Q$1:$V$1,0)+1,FALSE))</f>
        <v/>
      </c>
      <c r="Z227" s="264" t="str">
        <f>IF(ResultsInd[[#This Row],[Score_OK]],IF(ResultsInd[[#This Row],[Level]]="R",ResultsInd[[#This Row],[Category]]&amp;"-"&amp;IF(ResultsInd[[#This Row],[LoseInKO]]=ResultsInd[[#This Row],[Category]]&amp;"-"&amp;ResultsInd[[#This Row],[Player A]],ResultsInd[[#This Row],[Player B]],ResultsInd[[#This Row],[Player A]]),""),"")</f>
        <v/>
      </c>
      <c r="AB227" s="8"/>
      <c r="AC227" s="12" t="str">
        <f t="shared" si="191"/>
        <v>OPEN</v>
      </c>
      <c r="AD227" s="312"/>
      <c r="AE227" s="313"/>
      <c r="AF227" s="314"/>
      <c r="AG227" s="294" t="str">
        <f>IF(AP227="","",SMALL(AH221:AH227,ROWS(AG221:AG227)))</f>
        <v/>
      </c>
      <c r="AH227" s="295" t="str">
        <f>IF(AP227="","",RANK(AL227,AL221:AL227)*1000+ROWS(AH221:AH227))</f>
        <v/>
      </c>
      <c r="AI227" s="318" t="str">
        <f t="shared" si="185"/>
        <v/>
      </c>
      <c r="AJ227" s="416" t="b">
        <f>AND(AO227&lt;&gt;"",AO227&gt;0,COUNTIF(AI221:AI227,AI227)&gt;1)</f>
        <v>0</v>
      </c>
      <c r="AK227" s="318" t="str">
        <f t="shared" si="186"/>
        <v/>
      </c>
      <c r="AL227" s="319" t="str">
        <f t="shared" si="187"/>
        <v/>
      </c>
      <c r="AM227" s="416" t="b">
        <f>AND(AO227&lt;&gt;"",AO227&gt;0,COUNTIF(AL221:AL227,AL227)&gt;1)</f>
        <v>0</v>
      </c>
      <c r="AN227" s="306" t="str">
        <f t="shared" si="188"/>
        <v/>
      </c>
      <c r="AO227" s="307" t="str">
        <f t="shared" si="189"/>
        <v/>
      </c>
      <c r="AP227" s="307" t="str">
        <f>IF(OR(AC220="",AD227=""),"",COUNTIF(ResultsInd[Win],AC220&amp;"-"&amp;AD227))</f>
        <v/>
      </c>
      <c r="AQ227" s="307" t="str">
        <f>IF(OR(AC220="",AD227=""),"",COUNTIF(ResultsInd[Draw1],AC220&amp;"-"&amp;AD227)+COUNTIF(ResultsInd[Draw2],AC220&amp;"-"&amp;AD227))</f>
        <v/>
      </c>
      <c r="AR227" s="307" t="str">
        <f>IF(OR(AC220="",AD227=""),"",COUNTIF(ResultsInd[Lose],AC220&amp;"-"&amp;AD227))</f>
        <v/>
      </c>
      <c r="AS227" s="307" t="str">
        <f>IF(OR(AC220="",AD227=""),"",SUMIFS(ResultsInd[Goal-A],ResultsInd[Category],AC220,ResultsInd[Stage],"Groups",ResultsInd[Player A],AD227)+SUMIFS(ResultsInd[Goal-B],ResultsInd[Category],AC220,ResultsInd[Stage],"Groups",ResultsInd[Player B],AD227))</f>
        <v/>
      </c>
      <c r="AT227" s="307" t="str">
        <f>IF(OR(AC220="",AD227=""),"",SUMIFS(ResultsInd[Goal-B],ResultsInd[Category],AC220,ResultsInd[Stage],"Groups",ResultsInd[Player A],AD227)+SUMIFS(ResultsInd[Goal-A],ResultsInd[Category],AC220,ResultsInd[Stage],"Groups",ResultsInd[Player B],AD227))</f>
        <v/>
      </c>
      <c r="AU227" s="308" t="str">
        <f t="shared" si="192"/>
        <v/>
      </c>
      <c r="AV227" s="469" t="str">
        <f>IF(AG227="","",OR(VLOOKUP(AG227,AH221:AU227,3,FALSE),VLOOKUP(AG227,AH221:AU227,6,FALSE)))</f>
        <v/>
      </c>
      <c r="AW227" s="299" t="str">
        <f t="shared" si="190"/>
        <v/>
      </c>
      <c r="AX227" s="287" t="str">
        <f>IF(AG227="","",INDEX(AD221:AD227,MATCH(AG227,AH221:AH227,0)))</f>
        <v/>
      </c>
      <c r="AY227" s="288" t="str">
        <f>IF(AG227="","",VLOOKUP(AG227,AH221:AU227,COLUMN()-COLUMN(AR220),FALSE))</f>
        <v/>
      </c>
      <c r="AZ227" s="288" t="str">
        <f>IF(AG227="","",VLOOKUP(AG227,AH221:AU227,COLUMN()-COLUMN(AR220),FALSE))</f>
        <v/>
      </c>
      <c r="BA227" s="288" t="str">
        <f>IF(AG227="","",VLOOKUP(AG227,AH221:AU227,COLUMN()-COLUMN(AR220),FALSE))</f>
        <v/>
      </c>
      <c r="BB227" s="288" t="str">
        <f>IF(AG227="","",VLOOKUP(AG227,AH221:AU227,COLUMN()-COLUMN(AR220),FALSE))</f>
        <v/>
      </c>
      <c r="BC227" s="288" t="str">
        <f>IF(AG227="","",VLOOKUP(AG227,AH221:AU227,COLUMN()-COLUMN(AR220),FALSE))</f>
        <v/>
      </c>
      <c r="BD227" s="288" t="str">
        <f>IF(AG227="","",VLOOKUP(AG227,AH221:AU227,COLUMN()-COLUMN(AR220),FALSE))</f>
        <v/>
      </c>
      <c r="BE227" s="288" t="str">
        <f>IF(AG227="","",VLOOKUP(AG227,AH221:AU227,COLUMN()-COLUMN(AR220),FALSE))</f>
        <v/>
      </c>
      <c r="BF227" s="302" t="str">
        <f>IF(AG227="","",VLOOKUP(AG227,AH221:AU227,COLUMN()-COLUMN(AR220),FALSE))</f>
        <v/>
      </c>
    </row>
    <row r="228" spans="1:58" ht="13.5" thickBot="1" x14ac:dyDescent="0.25">
      <c r="A228" s="62"/>
      <c r="B228" s="62"/>
      <c r="C228" s="62"/>
      <c r="D228" s="62"/>
      <c r="E228" s="345"/>
      <c r="F228" s="345"/>
      <c r="G228" s="113"/>
      <c r="H228" s="113"/>
      <c r="I228" s="114"/>
      <c r="J228" s="114"/>
      <c r="K228" s="114"/>
      <c r="L228" s="81"/>
      <c r="M228" s="265" t="b">
        <f>NOT(ISERROR(ResultsInd[[#This Row],[Goal-A]]+ResultsInd[[#This Row],[Goal-B]]))</f>
        <v>1</v>
      </c>
      <c r="N228" s="265">
        <f>VALUE(ResultsInd[[#This Row],[Score-A]])</f>
        <v>0</v>
      </c>
      <c r="O228" s="265">
        <f>VALUE(ResultsInd[[#This Row],[Score-B]])</f>
        <v>0</v>
      </c>
      <c r="P228" s="265" t="str">
        <f ca="1">IF(AND(ResultsInd[[#This Row],[Category]]&lt;&gt;"",ResultsInd[[#This Row],[Player A]]&lt;&gt;""),COUNTIF(INDIRECT(ResultsInd[[#This Row],[Category]]&amp;"List[Retained Player Name]"),ResultsInd[[#This Row],[Player A]]),"")</f>
        <v/>
      </c>
      <c r="Q228" s="265" t="str">
        <f ca="1">IF(AND(ResultsInd[[#This Row],[Category]]&lt;&gt;"",ResultsInd[[#This Row],[Player B]]&lt;&gt;""),COUNTIF(INDIRECT(ResultsInd[[#This Row],[Category]]&amp;"List[Retained Player Name]"),ResultsInd[[#This Row],[Player B]]),"")</f>
        <v/>
      </c>
      <c r="R2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8" s="265" t="str">
        <f>IF(ResultsInd[[#This Row],[Score_OK]],IF(ResultsInd[[#This Row],[Stage]]="Groups",ResultsInd[[#This Row],[Category]]&amp;"-"&amp;IF(ResultsInd[[#This Row],[Player B]]="","",IF(ResultsInd[[#This Row],[Score-A]]=ResultsInd[[#This Row],[Score-B]],ResultsInd[[#This Row],[Player A]],"")),""),"")</f>
        <v/>
      </c>
      <c r="T228" s="265" t="str">
        <f>IF(ResultsInd[[#This Row],[Score_OK]],IF(ResultsInd[[#This Row],[Stage]]="Groups",ResultsInd[[#This Row],[Category]]&amp;"-"&amp;IF(ResultsInd[[#This Row],[Player B]]="","",IF(ResultsInd[[#This Row],[Score-A]]=ResultsInd[[#This Row],[Score-B]],ResultsInd[[#This Row],[Player B]],"")),""),"")</f>
        <v/>
      </c>
      <c r="U2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8" s="264" t="str">
        <f>IF(ResultsInd[[#This Row],[Category]]="","",VLOOKUP(ResultsInd[[#This Row],[Stage]],$P$1:$V$9,MATCH(ResultsInd[[#This Row],[Category]],$Q$1:$V$1,0)+1,FALSE))</f>
        <v/>
      </c>
      <c r="Z228" s="264" t="str">
        <f>IF(ResultsInd[[#This Row],[Score_OK]],IF(ResultsInd[[#This Row],[Level]]="R",ResultsInd[[#This Row],[Category]]&amp;"-"&amp;IF(ResultsInd[[#This Row],[LoseInKO]]=ResultsInd[[#This Row],[Category]]&amp;"-"&amp;ResultsInd[[#This Row],[Player A]],ResultsInd[[#This Row],[Player B]],ResultsInd[[#This Row],[Player A]]),""),"")</f>
        <v/>
      </c>
      <c r="AB228" s="8"/>
      <c r="AC228" s="8"/>
      <c r="AF228" s="170"/>
      <c r="AG228" s="101"/>
      <c r="AH228" s="101"/>
      <c r="AN228" s="170"/>
      <c r="AO228" s="170"/>
      <c r="AP228" s="170"/>
      <c r="AQ228" s="172"/>
      <c r="AR228" s="173"/>
      <c r="AS228" s="173"/>
      <c r="AT228" s="173"/>
      <c r="AU228" s="101"/>
      <c r="AV228" s="101"/>
      <c r="AW228" s="101"/>
      <c r="AX228" s="101"/>
      <c r="AY228" s="101"/>
      <c r="AZ228" s="101"/>
    </row>
    <row r="229" spans="1:58" ht="12" thickBot="1" x14ac:dyDescent="0.25">
      <c r="A229" s="62"/>
      <c r="B229" s="62"/>
      <c r="C229" s="62"/>
      <c r="D229" s="62"/>
      <c r="E229" s="345"/>
      <c r="F229" s="345"/>
      <c r="G229" s="113"/>
      <c r="H229" s="113"/>
      <c r="I229" s="114"/>
      <c r="J229" s="114"/>
      <c r="K229" s="114"/>
      <c r="L229" s="81"/>
      <c r="M229" s="265" t="b">
        <f>NOT(ISERROR(ResultsInd[[#This Row],[Goal-A]]+ResultsInd[[#This Row],[Goal-B]]))</f>
        <v>1</v>
      </c>
      <c r="N229" s="265">
        <f>VALUE(ResultsInd[[#This Row],[Score-A]])</f>
        <v>0</v>
      </c>
      <c r="O229" s="265">
        <f>VALUE(ResultsInd[[#This Row],[Score-B]])</f>
        <v>0</v>
      </c>
      <c r="P229" s="265" t="str">
        <f ca="1">IF(AND(ResultsInd[[#This Row],[Category]]&lt;&gt;"",ResultsInd[[#This Row],[Player A]]&lt;&gt;""),COUNTIF(INDIRECT(ResultsInd[[#This Row],[Category]]&amp;"List[Retained Player Name]"),ResultsInd[[#This Row],[Player A]]),"")</f>
        <v/>
      </c>
      <c r="Q229" s="265" t="str">
        <f ca="1">IF(AND(ResultsInd[[#This Row],[Category]]&lt;&gt;"",ResultsInd[[#This Row],[Player B]]&lt;&gt;""),COUNTIF(INDIRECT(ResultsInd[[#This Row],[Category]]&amp;"List[Retained Player Name]"),ResultsInd[[#This Row],[Player B]]),"")</f>
        <v/>
      </c>
      <c r="R2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9" s="265" t="str">
        <f>IF(ResultsInd[[#This Row],[Score_OK]],IF(ResultsInd[[#This Row],[Stage]]="Groups",ResultsInd[[#This Row],[Category]]&amp;"-"&amp;IF(ResultsInd[[#This Row],[Player B]]="","",IF(ResultsInd[[#This Row],[Score-A]]=ResultsInd[[#This Row],[Score-B]],ResultsInd[[#This Row],[Player A]],"")),""),"")</f>
        <v/>
      </c>
      <c r="T229" s="265" t="str">
        <f>IF(ResultsInd[[#This Row],[Score_OK]],IF(ResultsInd[[#This Row],[Stage]]="Groups",ResultsInd[[#This Row],[Category]]&amp;"-"&amp;IF(ResultsInd[[#This Row],[Player B]]="","",IF(ResultsInd[[#This Row],[Score-A]]=ResultsInd[[#This Row],[Score-B]],ResultsInd[[#This Row],[Player B]],"")),""),"")</f>
        <v/>
      </c>
      <c r="U2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29" s="264" t="str">
        <f>IF(ResultsInd[[#This Row],[Category]]="","",VLOOKUP(ResultsInd[[#This Row],[Stage]],$P$1:$V$9,MATCH(ResultsInd[[#This Row],[Category]],$Q$1:$V$1,0)+1,FALSE))</f>
        <v/>
      </c>
      <c r="Z229" s="264" t="str">
        <f>IF(ResultsInd[[#This Row],[Score_OK]],IF(ResultsInd[[#This Row],[Level]]="R",ResultsInd[[#This Row],[Category]]&amp;"-"&amp;IF(ResultsInd[[#This Row],[LoseInKO]]=ResultsInd[[#This Row],[Category]]&amp;"-"&amp;ResultsInd[[#This Row],[Player A]],ResultsInd[[#This Row],[Player B]],ResultsInd[[#This Row],[Player A]]),""),"")</f>
        <v/>
      </c>
      <c r="AB229" s="281">
        <v>24</v>
      </c>
      <c r="AC229" s="315" t="s">
        <v>890</v>
      </c>
      <c r="AD229" s="289" t="s">
        <v>14439</v>
      </c>
      <c r="AE229" s="290" t="s">
        <v>12279</v>
      </c>
      <c r="AF229" s="284" t="s">
        <v>12275</v>
      </c>
      <c r="AG229" s="296" t="s">
        <v>12276</v>
      </c>
      <c r="AH229" s="291" t="s">
        <v>12271</v>
      </c>
      <c r="AI229" s="291" t="s">
        <v>12272</v>
      </c>
      <c r="AJ229" s="414" t="s">
        <v>13154</v>
      </c>
      <c r="AK229" s="291" t="s">
        <v>12273</v>
      </c>
      <c r="AL229" s="297" t="s">
        <v>12274</v>
      </c>
      <c r="AM229" s="414" t="s">
        <v>13154</v>
      </c>
      <c r="AN229" s="303" t="s">
        <v>12199</v>
      </c>
      <c r="AO229" s="304" t="s">
        <v>12200</v>
      </c>
      <c r="AP229" s="304" t="s">
        <v>12201</v>
      </c>
      <c r="AQ229" s="304" t="s">
        <v>12202</v>
      </c>
      <c r="AR229" s="304" t="s">
        <v>12203</v>
      </c>
      <c r="AS229" s="304" t="s">
        <v>12204</v>
      </c>
      <c r="AT229" s="304" t="s">
        <v>12205</v>
      </c>
      <c r="AU229" s="305" t="s">
        <v>12206</v>
      </c>
      <c r="AV229" s="468"/>
      <c r="AW229" s="282" t="s">
        <v>12276</v>
      </c>
      <c r="AX229" s="282" t="s">
        <v>12280</v>
      </c>
      <c r="AY229" s="283" t="s">
        <v>12199</v>
      </c>
      <c r="AZ229" s="283" t="s">
        <v>12200</v>
      </c>
      <c r="BA229" s="283" t="s">
        <v>12201</v>
      </c>
      <c r="BB229" s="283" t="s">
        <v>12202</v>
      </c>
      <c r="BC229" s="283" t="s">
        <v>12203</v>
      </c>
      <c r="BD229" s="283" t="s">
        <v>12204</v>
      </c>
      <c r="BE229" s="283" t="s">
        <v>12205</v>
      </c>
      <c r="BF229" s="300" t="s">
        <v>12206</v>
      </c>
    </row>
    <row r="230" spans="1:58" ht="12" thickBot="1" x14ac:dyDescent="0.25">
      <c r="A230" s="62"/>
      <c r="B230" s="62"/>
      <c r="C230" s="62"/>
      <c r="D230" s="62"/>
      <c r="E230" s="345"/>
      <c r="F230" s="345"/>
      <c r="G230" s="113"/>
      <c r="H230" s="113"/>
      <c r="I230" s="114"/>
      <c r="J230" s="114"/>
      <c r="K230" s="114"/>
      <c r="L230" s="81"/>
      <c r="M230" s="265" t="b">
        <f>NOT(ISERROR(ResultsInd[[#This Row],[Goal-A]]+ResultsInd[[#This Row],[Goal-B]]))</f>
        <v>1</v>
      </c>
      <c r="N230" s="265">
        <f>VALUE(ResultsInd[[#This Row],[Score-A]])</f>
        <v>0</v>
      </c>
      <c r="O230" s="265">
        <f>VALUE(ResultsInd[[#This Row],[Score-B]])</f>
        <v>0</v>
      </c>
      <c r="P230" s="265" t="str">
        <f ca="1">IF(AND(ResultsInd[[#This Row],[Category]]&lt;&gt;"",ResultsInd[[#This Row],[Player A]]&lt;&gt;""),COUNTIF(INDIRECT(ResultsInd[[#This Row],[Category]]&amp;"List[Retained Player Name]"),ResultsInd[[#This Row],[Player A]]),"")</f>
        <v/>
      </c>
      <c r="Q230" s="265" t="str">
        <f ca="1">IF(AND(ResultsInd[[#This Row],[Category]]&lt;&gt;"",ResultsInd[[#This Row],[Player B]]&lt;&gt;""),COUNTIF(INDIRECT(ResultsInd[[#This Row],[Category]]&amp;"List[Retained Player Name]"),ResultsInd[[#This Row],[Player B]]),"")</f>
        <v/>
      </c>
      <c r="R2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0" s="265" t="str">
        <f>IF(ResultsInd[[#This Row],[Score_OK]],IF(ResultsInd[[#This Row],[Stage]]="Groups",ResultsInd[[#This Row],[Category]]&amp;"-"&amp;IF(ResultsInd[[#This Row],[Player B]]="","",IF(ResultsInd[[#This Row],[Score-A]]=ResultsInd[[#This Row],[Score-B]],ResultsInd[[#This Row],[Player A]],"")),""),"")</f>
        <v/>
      </c>
      <c r="T230" s="265" t="str">
        <f>IF(ResultsInd[[#This Row],[Score_OK]],IF(ResultsInd[[#This Row],[Stage]]="Groups",ResultsInd[[#This Row],[Category]]&amp;"-"&amp;IF(ResultsInd[[#This Row],[Player B]]="","",IF(ResultsInd[[#This Row],[Score-A]]=ResultsInd[[#This Row],[Score-B]],ResultsInd[[#This Row],[Player B]],"")),""),"")</f>
        <v/>
      </c>
      <c r="U2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0" s="264" t="str">
        <f>IF(ResultsInd[[#This Row],[Category]]="","",VLOOKUP(ResultsInd[[#This Row],[Stage]],$P$1:$V$9,MATCH(ResultsInd[[#This Row],[Category]],$Q$1:$V$1,0)+1,FALSE))</f>
        <v/>
      </c>
      <c r="Z230" s="264" t="str">
        <f>IF(ResultsInd[[#This Row],[Score_OK]],IF(ResultsInd[[#This Row],[Level]]="R",ResultsInd[[#This Row],[Category]]&amp;"-"&amp;IF(ResultsInd[[#This Row],[LoseInKO]]=ResultsInd[[#This Row],[Category]]&amp;"-"&amp;ResultsInd[[#This Row],[Player A]],ResultsInd[[#This Row],[Player B]],ResultsInd[[#This Row],[Player A]]),""),"")</f>
        <v/>
      </c>
      <c r="AB230" s="8"/>
      <c r="AC230" s="12" t="str">
        <f>IF(AC229="","",AC229)</f>
        <v>OPEN</v>
      </c>
      <c r="AD230" s="309" t="s">
        <v>10420</v>
      </c>
      <c r="AE230" s="320"/>
      <c r="AF230" s="311"/>
      <c r="AG230" s="292">
        <f>IF(AP230="","",SMALL(AH230:AH236,ROWS(AG230:AG230)))</f>
        <v>1002</v>
      </c>
      <c r="AH230" s="293">
        <f>IF(AP230="","",RANK(AL230,AL230:AL236)*1000+ROWS(AH230:AH230))</f>
        <v>3001</v>
      </c>
      <c r="AI230" s="316">
        <f t="shared" ref="AI230:AI236" si="193">IF(AP230="","",CritClassInd1_Points*AN230+CritClassInd1_Matches*AP230+CritClassInd1_Attaque*AS230+CritClassInd1_DiffButs*AU230)</f>
        <v>3000000000000</v>
      </c>
      <c r="AJ230" s="415" t="b">
        <f>AND(AO230&lt;&gt;"",AO230&gt;0,COUNTIF(AI230:AI236,AI230)&gt;1)</f>
        <v>0</v>
      </c>
      <c r="AK230" s="316">
        <f t="shared" ref="AK230:AK236" si="194">IF(AP230="","",CritClassInd_ScorePart*AE230)</f>
        <v>0</v>
      </c>
      <c r="AL230" s="317">
        <f t="shared" ref="AL230:AL236" si="195">IF(AP230="","",AI230+AK230+CritClassInd2_Points*AN230+CritClassInd2_Matches*AP230+CritClassInd2_Attaque*AS230+CritClassInd2_DiffButs*AU230+AF230)</f>
        <v>3000000040900</v>
      </c>
      <c r="AM230" s="415" t="b">
        <f>AND(AO230&lt;&gt;"",AO230&gt;0,COUNTIF(AL230:AL236,AL230)&gt;1)</f>
        <v>0</v>
      </c>
      <c r="AN230" s="306">
        <f t="shared" ref="AN230:AN236" si="196">IF(AP230="","",(AP230*Points_Victoire)+AQ230*Points_Null)</f>
        <v>3</v>
      </c>
      <c r="AO230" s="307">
        <f t="shared" ref="AO230:AO236" si="197">IF(AP230="","",SUM(AP230:AR230))</f>
        <v>3</v>
      </c>
      <c r="AP230" s="307">
        <f>IF(OR(AC229="",AD230=""),"",COUNTIF(ResultsInd[Win],AC229&amp;"-"&amp;AD230))</f>
        <v>1</v>
      </c>
      <c r="AQ230" s="307">
        <f>IF(OR(AC229="",AD230=""),"",COUNTIF(ResultsInd[Draw1],AC229&amp;"-"&amp;AD230)+COUNTIF(ResultsInd[Draw2],AC229&amp;"-"&amp;AD230))</f>
        <v>0</v>
      </c>
      <c r="AR230" s="307">
        <f>IF(OR(AC229="",AD230=""),"",COUNTIF(ResultsInd[Lose],AC229&amp;"-"&amp;AD230))</f>
        <v>2</v>
      </c>
      <c r="AS230" s="307">
        <f>IF(OR(AC229="",AD230=""),"",SUMIFS(ResultsInd[Goal-A],ResultsInd[Category],AC229,ResultsInd[Stage],"Groups",ResultsInd[Player A],AD230)+SUMIFS(ResultsInd[Goal-B],ResultsInd[Category],AC229,ResultsInd[Stage],"Groups",ResultsInd[Player B],AD230))</f>
        <v>9</v>
      </c>
      <c r="AT230" s="307">
        <f>IF(OR(AC229="",AD230=""),"",SUMIFS(ResultsInd[Goal-B],ResultsInd[Category],AC229,ResultsInd[Stage],"Groups",ResultsInd[Player A],AD230)+SUMIFS(ResultsInd[Goal-A],ResultsInd[Category],AC229,ResultsInd[Stage],"Groups",ResultsInd[Player B],AD230))</f>
        <v>5</v>
      </c>
      <c r="AU230" s="308">
        <f>IF(AP230="","",AS230-AT230)</f>
        <v>4</v>
      </c>
      <c r="AV230" s="469" t="b">
        <f>IF(AG230="","",OR(VLOOKUP(AG230,AH230:AU236,3,FALSE),VLOOKUP(AG230,AH230:AU236,6,FALSE)))</f>
        <v>1</v>
      </c>
      <c r="AW230" s="298">
        <f t="shared" ref="AW230:AW236" si="198">IF(AG230="","",INT(AG230/1000))</f>
        <v>1</v>
      </c>
      <c r="AX230" s="285" t="str">
        <f>IF(AG230="","",INDEX(AD230:AD236,MATCH(AG230,AH230:AH236,0)))</f>
        <v>Thomas Wittmann</v>
      </c>
      <c r="AY230" s="286">
        <f>IF(AG230="","",VLOOKUP(AG230,AH230:AU236,COLUMN()-COLUMN(AR229),FALSE))</f>
        <v>7</v>
      </c>
      <c r="AZ230" s="286">
        <f>IF(AG230="","",VLOOKUP(AG230,AH230:AU236,COLUMN()-COLUMN(AR229),FALSE))</f>
        <v>3</v>
      </c>
      <c r="BA230" s="286">
        <f>IF(AG230="","",VLOOKUP(AG230,AH230:AU236,COLUMN()-COLUMN(AR229),FALSE))</f>
        <v>2</v>
      </c>
      <c r="BB230" s="286">
        <f>IF(AG230="","",VLOOKUP(AG230,AH230:AU236,COLUMN()-COLUMN(AR229),FALSE))</f>
        <v>1</v>
      </c>
      <c r="BC230" s="286">
        <f>IF(AG230="","",VLOOKUP(AG230,AH230:AU236,COLUMN()-COLUMN(AR229),FALSE))</f>
        <v>0</v>
      </c>
      <c r="BD230" s="286">
        <f>IF(AG230="","",VLOOKUP(AG230,AH230:AU236,COLUMN()-COLUMN(AR229),FALSE))</f>
        <v>11</v>
      </c>
      <c r="BE230" s="286">
        <f>IF(AG230="","",VLOOKUP(AG230,AH230:AU236,COLUMN()-COLUMN(AR229),FALSE))</f>
        <v>4</v>
      </c>
      <c r="BF230" s="301">
        <f>IF(AG230="","",VLOOKUP(AG230,AH230:AU236,COLUMN()-COLUMN(AR229),FALSE))</f>
        <v>7</v>
      </c>
    </row>
    <row r="231" spans="1:58" ht="12" thickBot="1" x14ac:dyDescent="0.25">
      <c r="A231" s="62"/>
      <c r="B231" s="62"/>
      <c r="C231" s="62"/>
      <c r="D231" s="62"/>
      <c r="E231" s="345"/>
      <c r="F231" s="345"/>
      <c r="G231" s="113"/>
      <c r="H231" s="113"/>
      <c r="I231" s="114"/>
      <c r="J231" s="114"/>
      <c r="K231" s="114"/>
      <c r="L231" s="81"/>
      <c r="M231" s="265" t="b">
        <f>NOT(ISERROR(ResultsInd[[#This Row],[Goal-A]]+ResultsInd[[#This Row],[Goal-B]]))</f>
        <v>1</v>
      </c>
      <c r="N231" s="265">
        <f>VALUE(ResultsInd[[#This Row],[Score-A]])</f>
        <v>0</v>
      </c>
      <c r="O231" s="265">
        <f>VALUE(ResultsInd[[#This Row],[Score-B]])</f>
        <v>0</v>
      </c>
      <c r="P231" s="265" t="str">
        <f ca="1">IF(AND(ResultsInd[[#This Row],[Category]]&lt;&gt;"",ResultsInd[[#This Row],[Player A]]&lt;&gt;""),COUNTIF(INDIRECT(ResultsInd[[#This Row],[Category]]&amp;"List[Retained Player Name]"),ResultsInd[[#This Row],[Player A]]),"")</f>
        <v/>
      </c>
      <c r="Q231" s="265" t="str">
        <f ca="1">IF(AND(ResultsInd[[#This Row],[Category]]&lt;&gt;"",ResultsInd[[#This Row],[Player B]]&lt;&gt;""),COUNTIF(INDIRECT(ResultsInd[[#This Row],[Category]]&amp;"List[Retained Player Name]"),ResultsInd[[#This Row],[Player B]]),"")</f>
        <v/>
      </c>
      <c r="R2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1" s="265" t="str">
        <f>IF(ResultsInd[[#This Row],[Score_OK]],IF(ResultsInd[[#This Row],[Stage]]="Groups",ResultsInd[[#This Row],[Category]]&amp;"-"&amp;IF(ResultsInd[[#This Row],[Player B]]="","",IF(ResultsInd[[#This Row],[Score-A]]=ResultsInd[[#This Row],[Score-B]],ResultsInd[[#This Row],[Player A]],"")),""),"")</f>
        <v/>
      </c>
      <c r="T231" s="265" t="str">
        <f>IF(ResultsInd[[#This Row],[Score_OK]],IF(ResultsInd[[#This Row],[Stage]]="Groups",ResultsInd[[#This Row],[Category]]&amp;"-"&amp;IF(ResultsInd[[#This Row],[Player B]]="","",IF(ResultsInd[[#This Row],[Score-A]]=ResultsInd[[#This Row],[Score-B]],ResultsInd[[#This Row],[Player B]],"")),""),"")</f>
        <v/>
      </c>
      <c r="U2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1" s="264" t="str">
        <f>IF(ResultsInd[[#This Row],[Category]]="","",VLOOKUP(ResultsInd[[#This Row],[Stage]],$P$1:$V$9,MATCH(ResultsInd[[#This Row],[Category]],$Q$1:$V$1,0)+1,FALSE))</f>
        <v/>
      </c>
      <c r="Z231" s="264" t="str">
        <f>IF(ResultsInd[[#This Row],[Score_OK]],IF(ResultsInd[[#This Row],[Level]]="R",ResultsInd[[#This Row],[Category]]&amp;"-"&amp;IF(ResultsInd[[#This Row],[LoseInKO]]=ResultsInd[[#This Row],[Category]]&amp;"-"&amp;ResultsInd[[#This Row],[Player A]],ResultsInd[[#This Row],[Player B]],ResultsInd[[#This Row],[Player A]]),""),"")</f>
        <v/>
      </c>
      <c r="AB231" s="8"/>
      <c r="AC231" s="12" t="str">
        <f t="shared" ref="AC231:AC236" si="199">IF(AC230="","",AC230)</f>
        <v>OPEN</v>
      </c>
      <c r="AD231" s="309" t="s">
        <v>8050</v>
      </c>
      <c r="AE231" s="320"/>
      <c r="AF231" s="311"/>
      <c r="AG231" s="292">
        <f>IF(AP231="","",SMALL(AH230:AH236,ROWS(AG230:AG231)))</f>
        <v>1004</v>
      </c>
      <c r="AH231" s="293">
        <f>IF(AP231="","",RANK(AL231,AL230:AL236)*1000+ROWS(AH230:AH231))</f>
        <v>1002</v>
      </c>
      <c r="AI231" s="316">
        <f t="shared" si="193"/>
        <v>7000000000000</v>
      </c>
      <c r="AJ231" s="415" t="b">
        <f>AND(AO231&lt;&gt;"",AO231&gt;0,COUNTIF(AI230:AI236,AI231)&gt;1)</f>
        <v>1</v>
      </c>
      <c r="AK231" s="316">
        <f t="shared" si="194"/>
        <v>0</v>
      </c>
      <c r="AL231" s="317">
        <f t="shared" si="195"/>
        <v>7000000071100</v>
      </c>
      <c r="AM231" s="415" t="b">
        <f>AND(AO231&lt;&gt;"",AO231&gt;0,COUNTIF(AL230:AL236,AL231)&gt;1)</f>
        <v>1</v>
      </c>
      <c r="AN231" s="306">
        <f t="shared" si="196"/>
        <v>7</v>
      </c>
      <c r="AO231" s="307">
        <f t="shared" si="197"/>
        <v>3</v>
      </c>
      <c r="AP231" s="307">
        <f>IF(OR(AC229="",AD231=""),"",COUNTIF(ResultsInd[Win],AC229&amp;"-"&amp;AD231))</f>
        <v>2</v>
      </c>
      <c r="AQ231" s="307">
        <f>IF(OR(AC229="",AD231=""),"",COUNTIF(ResultsInd[Draw1],AC229&amp;"-"&amp;AD231)+COUNTIF(ResultsInd[Draw2],AC229&amp;"-"&amp;AD231))</f>
        <v>1</v>
      </c>
      <c r="AR231" s="307">
        <f>IF(OR(AC229="",AD231=""),"",COUNTIF(ResultsInd[Lose],AC229&amp;"-"&amp;AD231))</f>
        <v>0</v>
      </c>
      <c r="AS231" s="307">
        <f>IF(OR(AC229="",AD231=""),"",SUMIFS(ResultsInd[Goal-A],ResultsInd[Category],AC229,ResultsInd[Stage],"Groups",ResultsInd[Player A],AD231)+SUMIFS(ResultsInd[Goal-B],ResultsInd[Category],AC229,ResultsInd[Stage],"Groups",ResultsInd[Player B],AD231))</f>
        <v>11</v>
      </c>
      <c r="AT231" s="307">
        <f>IF(OR(AC229="",AD231=""),"",SUMIFS(ResultsInd[Goal-B],ResultsInd[Category],AC229,ResultsInd[Stage],"Groups",ResultsInd[Player A],AD231)+SUMIFS(ResultsInd[Goal-A],ResultsInd[Category],AC229,ResultsInd[Stage],"Groups",ResultsInd[Player B],AD231))</f>
        <v>4</v>
      </c>
      <c r="AU231" s="308">
        <f t="shared" ref="AU231:AU236" si="200">IF(AP231="","",AS231-AT231)</f>
        <v>7</v>
      </c>
      <c r="AV231" s="469" t="b">
        <f>IF(AG231="","",OR(VLOOKUP(AG231,AH230:AU236,3,FALSE),VLOOKUP(AG231,AH230:AU236,6,FALSE)))</f>
        <v>1</v>
      </c>
      <c r="AW231" s="298">
        <f t="shared" si="198"/>
        <v>1</v>
      </c>
      <c r="AX231" s="285" t="str">
        <f>IF(AG231="","",INDEX(AD230:AD236,MATCH(AG231,AH230:AH236,0)))</f>
        <v>Maxime Muraille</v>
      </c>
      <c r="AY231" s="286">
        <f>IF(AG231="","",VLOOKUP(AG231,AH230:AU236,COLUMN()-COLUMN(AR229),FALSE))</f>
        <v>7</v>
      </c>
      <c r="AZ231" s="286">
        <f>IF(AG231="","",VLOOKUP(AG231,AH230:AU236,COLUMN()-COLUMN(AR229),FALSE))</f>
        <v>3</v>
      </c>
      <c r="BA231" s="286">
        <f>IF(AG231="","",VLOOKUP(AG231,AH230:AU236,COLUMN()-COLUMN(AR229),FALSE))</f>
        <v>2</v>
      </c>
      <c r="BB231" s="286">
        <f>IF(AG231="","",VLOOKUP(AG231,AH230:AU236,COLUMN()-COLUMN(AR229),FALSE))</f>
        <v>1</v>
      </c>
      <c r="BC231" s="286">
        <f>IF(AG231="","",VLOOKUP(AG231,AH230:AU236,COLUMN()-COLUMN(AR229),FALSE))</f>
        <v>0</v>
      </c>
      <c r="BD231" s="286">
        <f>IF(AG231="","",VLOOKUP(AG231,AH230:AU236,COLUMN()-COLUMN(AR229),FALSE))</f>
        <v>11</v>
      </c>
      <c r="BE231" s="286">
        <f>IF(AG231="","",VLOOKUP(AG231,AH230:AU236,COLUMN()-COLUMN(AR229),FALSE))</f>
        <v>4</v>
      </c>
      <c r="BF231" s="301">
        <f>IF(AG231="","",VLOOKUP(AG231,AH230:AU236,COLUMN()-COLUMN(AR229),FALSE))</f>
        <v>7</v>
      </c>
    </row>
    <row r="232" spans="1:58" ht="12" thickBot="1" x14ac:dyDescent="0.25">
      <c r="A232" s="62"/>
      <c r="B232" s="62"/>
      <c r="C232" s="62"/>
      <c r="D232" s="62"/>
      <c r="E232" s="345"/>
      <c r="F232" s="345"/>
      <c r="G232" s="113"/>
      <c r="H232" s="113"/>
      <c r="I232" s="114"/>
      <c r="J232" s="114"/>
      <c r="K232" s="114"/>
      <c r="L232" s="81"/>
      <c r="M232" s="265" t="b">
        <f>NOT(ISERROR(ResultsInd[[#This Row],[Goal-A]]+ResultsInd[[#This Row],[Goal-B]]))</f>
        <v>1</v>
      </c>
      <c r="N232" s="265">
        <f>VALUE(ResultsInd[[#This Row],[Score-A]])</f>
        <v>0</v>
      </c>
      <c r="O232" s="265">
        <f>VALUE(ResultsInd[[#This Row],[Score-B]])</f>
        <v>0</v>
      </c>
      <c r="P232" s="265" t="str">
        <f ca="1">IF(AND(ResultsInd[[#This Row],[Category]]&lt;&gt;"",ResultsInd[[#This Row],[Player A]]&lt;&gt;""),COUNTIF(INDIRECT(ResultsInd[[#This Row],[Category]]&amp;"List[Retained Player Name]"),ResultsInd[[#This Row],[Player A]]),"")</f>
        <v/>
      </c>
      <c r="Q232" s="265" t="str">
        <f ca="1">IF(AND(ResultsInd[[#This Row],[Category]]&lt;&gt;"",ResultsInd[[#This Row],[Player B]]&lt;&gt;""),COUNTIF(INDIRECT(ResultsInd[[#This Row],[Category]]&amp;"List[Retained Player Name]"),ResultsInd[[#This Row],[Player B]]),"")</f>
        <v/>
      </c>
      <c r="R2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2" s="265" t="str">
        <f>IF(ResultsInd[[#This Row],[Score_OK]],IF(ResultsInd[[#This Row],[Stage]]="Groups",ResultsInd[[#This Row],[Category]]&amp;"-"&amp;IF(ResultsInd[[#This Row],[Player B]]="","",IF(ResultsInd[[#This Row],[Score-A]]=ResultsInd[[#This Row],[Score-B]],ResultsInd[[#This Row],[Player A]],"")),""),"")</f>
        <v/>
      </c>
      <c r="T232" s="265" t="str">
        <f>IF(ResultsInd[[#This Row],[Score_OK]],IF(ResultsInd[[#This Row],[Stage]]="Groups",ResultsInd[[#This Row],[Category]]&amp;"-"&amp;IF(ResultsInd[[#This Row],[Player B]]="","",IF(ResultsInd[[#This Row],[Score-A]]=ResultsInd[[#This Row],[Score-B]],ResultsInd[[#This Row],[Player B]],"")),""),"")</f>
        <v/>
      </c>
      <c r="U2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2" s="264" t="str">
        <f>IF(ResultsInd[[#This Row],[Category]]="","",VLOOKUP(ResultsInd[[#This Row],[Stage]],$P$1:$V$9,MATCH(ResultsInd[[#This Row],[Category]],$Q$1:$V$1,0)+1,FALSE))</f>
        <v/>
      </c>
      <c r="Z232" s="264" t="str">
        <f>IF(ResultsInd[[#This Row],[Score_OK]],IF(ResultsInd[[#This Row],[Level]]="R",ResultsInd[[#This Row],[Category]]&amp;"-"&amp;IF(ResultsInd[[#This Row],[LoseInKO]]=ResultsInd[[#This Row],[Category]]&amp;"-"&amp;ResultsInd[[#This Row],[Player A]],ResultsInd[[#This Row],[Player B]],ResultsInd[[#This Row],[Player A]]),""),"")</f>
        <v/>
      </c>
      <c r="AB232" s="8"/>
      <c r="AC232" s="12" t="str">
        <f t="shared" si="199"/>
        <v>OPEN</v>
      </c>
      <c r="AD232" s="309" t="s">
        <v>14445</v>
      </c>
      <c r="AE232" s="320"/>
      <c r="AF232" s="311"/>
      <c r="AG232" s="292">
        <f>IF(AP232="","",SMALL(AH230:AH236,ROWS(AG230:AG232)))</f>
        <v>3001</v>
      </c>
      <c r="AH232" s="293">
        <f>IF(AP232="","",RANK(AL232,AL230:AL236)*1000+ROWS(AH230:AH232))</f>
        <v>4003</v>
      </c>
      <c r="AI232" s="316">
        <f t="shared" si="193"/>
        <v>0</v>
      </c>
      <c r="AJ232" s="415" t="b">
        <f>AND(AO232&lt;&gt;"",AO232&gt;0,COUNTIF(AI230:AI236,AI232)&gt;1)</f>
        <v>0</v>
      </c>
      <c r="AK232" s="316">
        <f t="shared" si="194"/>
        <v>0</v>
      </c>
      <c r="AL232" s="317">
        <f t="shared" si="195"/>
        <v>-179900</v>
      </c>
      <c r="AM232" s="415" t="b">
        <f>AND(AO232&lt;&gt;"",AO232&gt;0,COUNTIF(AL230:AL236,AL232)&gt;1)</f>
        <v>0</v>
      </c>
      <c r="AN232" s="306">
        <f t="shared" si="196"/>
        <v>0</v>
      </c>
      <c r="AO232" s="307">
        <f t="shared" si="197"/>
        <v>3</v>
      </c>
      <c r="AP232" s="307">
        <f>IF(OR(AC229="",AD232=""),"",COUNTIF(ResultsInd[Win],AC229&amp;"-"&amp;AD232))</f>
        <v>0</v>
      </c>
      <c r="AQ232" s="307">
        <f>IF(OR(AC229="",AD232=""),"",COUNTIF(ResultsInd[Draw1],AC229&amp;"-"&amp;AD232)+COUNTIF(ResultsInd[Draw2],AC229&amp;"-"&amp;AD232))</f>
        <v>0</v>
      </c>
      <c r="AR232" s="307">
        <f>IF(OR(AC229="",AD232=""),"",COUNTIF(ResultsInd[Lose],AC229&amp;"-"&amp;AD232))</f>
        <v>3</v>
      </c>
      <c r="AS232" s="307">
        <f>IF(OR(AC229="",AD232=""),"",SUMIFS(ResultsInd[Goal-A],ResultsInd[Category],AC229,ResultsInd[Stage],"Groups",ResultsInd[Player A],AD232)+SUMIFS(ResultsInd[Goal-B],ResultsInd[Category],AC229,ResultsInd[Stage],"Groups",ResultsInd[Player B],AD232))</f>
        <v>1</v>
      </c>
      <c r="AT232" s="307">
        <f>IF(OR(AC229="",AD232=""),"",SUMIFS(ResultsInd[Goal-B],ResultsInd[Category],AC229,ResultsInd[Stage],"Groups",ResultsInd[Player A],AD232)+SUMIFS(ResultsInd[Goal-A],ResultsInd[Category],AC229,ResultsInd[Stage],"Groups",ResultsInd[Player B],AD232))</f>
        <v>19</v>
      </c>
      <c r="AU232" s="308">
        <f t="shared" si="200"/>
        <v>-18</v>
      </c>
      <c r="AV232" s="469" t="b">
        <f>IF(AG232="","",OR(VLOOKUP(AG232,AH230:AU236,3,FALSE),VLOOKUP(AG232,AH230:AU236,6,FALSE)))</f>
        <v>0</v>
      </c>
      <c r="AW232" s="298">
        <f t="shared" si="198"/>
        <v>3</v>
      </c>
      <c r="AX232" s="285" t="str">
        <f>IF(AG232="","",INDEX(AD230:AD236,MATCH(AG232,AH230:AH236,0)))</f>
        <v>Josef Camilleri</v>
      </c>
      <c r="AY232" s="286">
        <f>IF(AG232="","",VLOOKUP(AG232,AH230:AU236,COLUMN()-COLUMN(AR229),FALSE))</f>
        <v>3</v>
      </c>
      <c r="AZ232" s="286">
        <f>IF(AG232="","",VLOOKUP(AG232,AH230:AU236,COLUMN()-COLUMN(AR229),FALSE))</f>
        <v>3</v>
      </c>
      <c r="BA232" s="286">
        <f>IF(AG232="","",VLOOKUP(AG232,AH230:AU236,COLUMN()-COLUMN(AR229),FALSE))</f>
        <v>1</v>
      </c>
      <c r="BB232" s="286">
        <f>IF(AG232="","",VLOOKUP(AG232,AH230:AU236,COLUMN()-COLUMN(AR229),FALSE))</f>
        <v>0</v>
      </c>
      <c r="BC232" s="286">
        <f>IF(AG232="","",VLOOKUP(AG232,AH230:AU236,COLUMN()-COLUMN(AR229),FALSE))</f>
        <v>2</v>
      </c>
      <c r="BD232" s="286">
        <f>IF(AG232="","",VLOOKUP(AG232,AH230:AU236,COLUMN()-COLUMN(AR229),FALSE))</f>
        <v>9</v>
      </c>
      <c r="BE232" s="286">
        <f>IF(AG232="","",VLOOKUP(AG232,AH230:AU236,COLUMN()-COLUMN(AR229),FALSE))</f>
        <v>5</v>
      </c>
      <c r="BF232" s="301">
        <f>IF(AG232="","",VLOOKUP(AG232,AH230:AU236,COLUMN()-COLUMN(AR229),FALSE))</f>
        <v>4</v>
      </c>
    </row>
    <row r="233" spans="1:58" ht="12" thickBot="1" x14ac:dyDescent="0.25">
      <c r="A233" s="62"/>
      <c r="B233" s="62"/>
      <c r="C233" s="62"/>
      <c r="D233" s="62"/>
      <c r="E233" s="345"/>
      <c r="F233" s="345"/>
      <c r="G233" s="113"/>
      <c r="H233" s="113"/>
      <c r="I233" s="114"/>
      <c r="J233" s="114"/>
      <c r="K233" s="114"/>
      <c r="L233" s="81"/>
      <c r="M233" s="265" t="b">
        <f>NOT(ISERROR(ResultsInd[[#This Row],[Goal-A]]+ResultsInd[[#This Row],[Goal-B]]))</f>
        <v>1</v>
      </c>
      <c r="N233" s="265">
        <f>VALUE(ResultsInd[[#This Row],[Score-A]])</f>
        <v>0</v>
      </c>
      <c r="O233" s="265">
        <f>VALUE(ResultsInd[[#This Row],[Score-B]])</f>
        <v>0</v>
      </c>
      <c r="P233" s="265" t="str">
        <f ca="1">IF(AND(ResultsInd[[#This Row],[Category]]&lt;&gt;"",ResultsInd[[#This Row],[Player A]]&lt;&gt;""),COUNTIF(INDIRECT(ResultsInd[[#This Row],[Category]]&amp;"List[Retained Player Name]"),ResultsInd[[#This Row],[Player A]]),"")</f>
        <v/>
      </c>
      <c r="Q233" s="265" t="str">
        <f ca="1">IF(AND(ResultsInd[[#This Row],[Category]]&lt;&gt;"",ResultsInd[[#This Row],[Player B]]&lt;&gt;""),COUNTIF(INDIRECT(ResultsInd[[#This Row],[Category]]&amp;"List[Retained Player Name]"),ResultsInd[[#This Row],[Player B]]),"")</f>
        <v/>
      </c>
      <c r="R2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3" s="265" t="str">
        <f>IF(ResultsInd[[#This Row],[Score_OK]],IF(ResultsInd[[#This Row],[Stage]]="Groups",ResultsInd[[#This Row],[Category]]&amp;"-"&amp;IF(ResultsInd[[#This Row],[Player B]]="","",IF(ResultsInd[[#This Row],[Score-A]]=ResultsInd[[#This Row],[Score-B]],ResultsInd[[#This Row],[Player A]],"")),""),"")</f>
        <v/>
      </c>
      <c r="T233" s="265" t="str">
        <f>IF(ResultsInd[[#This Row],[Score_OK]],IF(ResultsInd[[#This Row],[Stage]]="Groups",ResultsInd[[#This Row],[Category]]&amp;"-"&amp;IF(ResultsInd[[#This Row],[Player B]]="","",IF(ResultsInd[[#This Row],[Score-A]]=ResultsInd[[#This Row],[Score-B]],ResultsInd[[#This Row],[Player B]],"")),""),"")</f>
        <v/>
      </c>
      <c r="U2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3" s="264" t="str">
        <f>IF(ResultsInd[[#This Row],[Category]]="","",VLOOKUP(ResultsInd[[#This Row],[Stage]],$P$1:$V$9,MATCH(ResultsInd[[#This Row],[Category]],$Q$1:$V$1,0)+1,FALSE))</f>
        <v/>
      </c>
      <c r="Z233" s="264" t="str">
        <f>IF(ResultsInd[[#This Row],[Score_OK]],IF(ResultsInd[[#This Row],[Level]]="R",ResultsInd[[#This Row],[Category]]&amp;"-"&amp;IF(ResultsInd[[#This Row],[LoseInKO]]=ResultsInd[[#This Row],[Category]]&amp;"-"&amp;ResultsInd[[#This Row],[Player A]],ResultsInd[[#This Row],[Player B]],ResultsInd[[#This Row],[Player A]]),""),"")</f>
        <v/>
      </c>
      <c r="AB233" s="91"/>
      <c r="AC233" s="12" t="str">
        <f t="shared" si="199"/>
        <v>OPEN</v>
      </c>
      <c r="AD233" s="309" t="s">
        <v>8117</v>
      </c>
      <c r="AE233" s="310"/>
      <c r="AF233" s="311"/>
      <c r="AG233" s="292">
        <f>IF(AP233="","",SMALL(AH230:AH236,ROWS(AG230:AG233)))</f>
        <v>4003</v>
      </c>
      <c r="AH233" s="293">
        <f>IF(AP233="","",RANK(AL233,AL230:AL236)*1000+ROWS(AH230:AH233))</f>
        <v>1004</v>
      </c>
      <c r="AI233" s="316">
        <f t="shared" si="193"/>
        <v>7000000000000</v>
      </c>
      <c r="AJ233" s="415" t="b">
        <f>AND(AO233&lt;&gt;"",AO233&gt;0,COUNTIF(AI230:AI236,AI233)&gt;1)</f>
        <v>1</v>
      </c>
      <c r="AK233" s="316">
        <f t="shared" si="194"/>
        <v>0</v>
      </c>
      <c r="AL233" s="317">
        <f t="shared" si="195"/>
        <v>7000000071100</v>
      </c>
      <c r="AM233" s="415" t="b">
        <f>AND(AO233&lt;&gt;"",AO233&gt;0,COUNTIF(AL230:AL236,AL233)&gt;1)</f>
        <v>1</v>
      </c>
      <c r="AN233" s="306">
        <f t="shared" si="196"/>
        <v>7</v>
      </c>
      <c r="AO233" s="307">
        <f t="shared" si="197"/>
        <v>3</v>
      </c>
      <c r="AP233" s="307">
        <f>IF(OR(AC229="",AD233=""),"",COUNTIF(ResultsInd[Win],AC229&amp;"-"&amp;AD233))</f>
        <v>2</v>
      </c>
      <c r="AQ233" s="307">
        <f>IF(OR(AC229="",AD233=""),"",COUNTIF(ResultsInd[Draw1],AC229&amp;"-"&amp;AD233)+COUNTIF(ResultsInd[Draw2],AC229&amp;"-"&amp;AD233))</f>
        <v>1</v>
      </c>
      <c r="AR233" s="307">
        <f>IF(OR(AC229="",AD233=""),"",COUNTIF(ResultsInd[Lose],AC229&amp;"-"&amp;AD233))</f>
        <v>0</v>
      </c>
      <c r="AS233" s="307">
        <f>IF(OR(AC229="",AD233=""),"",SUMIFS(ResultsInd[Goal-A],ResultsInd[Category],AC229,ResultsInd[Stage],"Groups",ResultsInd[Player A],AD233)+SUMIFS(ResultsInd[Goal-B],ResultsInd[Category],AC229,ResultsInd[Stage],"Groups",ResultsInd[Player B],AD233))</f>
        <v>11</v>
      </c>
      <c r="AT233" s="307">
        <f>IF(OR(AC229="",AD233=""),"",SUMIFS(ResultsInd[Goal-B],ResultsInd[Category],AC229,ResultsInd[Stage],"Groups",ResultsInd[Player A],AD233)+SUMIFS(ResultsInd[Goal-A],ResultsInd[Category],AC229,ResultsInd[Stage],"Groups",ResultsInd[Player B],AD233))</f>
        <v>4</v>
      </c>
      <c r="AU233" s="308">
        <f t="shared" si="200"/>
        <v>7</v>
      </c>
      <c r="AV233" s="469" t="b">
        <f>IF(AG233="","",OR(VLOOKUP(AG233,AH230:AU236,3,FALSE),VLOOKUP(AG233,AH230:AU236,6,FALSE)))</f>
        <v>0</v>
      </c>
      <c r="AW233" s="298">
        <f t="shared" si="198"/>
        <v>4</v>
      </c>
      <c r="AX233" s="285" t="str">
        <f>IF(AG233="","",INDEX(AD230:AD236,MATCH(AG233,AH230:AH236,0)))</f>
        <v>Jordan Bonte</v>
      </c>
      <c r="AY233" s="286">
        <f>IF(AG233="","",VLOOKUP(AG233,AH230:AU236,COLUMN()-COLUMN(AR229),FALSE))</f>
        <v>0</v>
      </c>
      <c r="AZ233" s="286">
        <f>IF(AG233="","",VLOOKUP(AG233,AH230:AU236,COLUMN()-COLUMN(AR229),FALSE))</f>
        <v>3</v>
      </c>
      <c r="BA233" s="286">
        <f>IF(AG233="","",VLOOKUP(AG233,AH230:AU236,COLUMN()-COLUMN(AR229),FALSE))</f>
        <v>0</v>
      </c>
      <c r="BB233" s="286">
        <f>IF(AG233="","",VLOOKUP(AG233,AH230:AU236,COLUMN()-COLUMN(AR229),FALSE))</f>
        <v>0</v>
      </c>
      <c r="BC233" s="286">
        <f>IF(AG233="","",VLOOKUP(AG233,AH230:AU236,COLUMN()-COLUMN(AR229),FALSE))</f>
        <v>3</v>
      </c>
      <c r="BD233" s="286">
        <f>IF(AG233="","",VLOOKUP(AG233,AH230:AU236,COLUMN()-COLUMN(AR229),FALSE))</f>
        <v>1</v>
      </c>
      <c r="BE233" s="286">
        <f>IF(AG233="","",VLOOKUP(AG233,AH230:AU236,COLUMN()-COLUMN(AR229),FALSE))</f>
        <v>19</v>
      </c>
      <c r="BF233" s="301">
        <f>IF(AG233="","",VLOOKUP(AG233,AH230:AU236,COLUMN()-COLUMN(AR229),FALSE))</f>
        <v>-18</v>
      </c>
    </row>
    <row r="234" spans="1:58" ht="12" thickBot="1" x14ac:dyDescent="0.25">
      <c r="A234" s="62"/>
      <c r="B234" s="62"/>
      <c r="C234" s="62"/>
      <c r="D234" s="62"/>
      <c r="E234" s="345"/>
      <c r="F234" s="345"/>
      <c r="G234" s="113"/>
      <c r="H234" s="113"/>
      <c r="I234" s="114"/>
      <c r="J234" s="114"/>
      <c r="K234" s="114"/>
      <c r="L234" s="81"/>
      <c r="M234" s="265" t="b">
        <f>NOT(ISERROR(ResultsInd[[#This Row],[Goal-A]]+ResultsInd[[#This Row],[Goal-B]]))</f>
        <v>1</v>
      </c>
      <c r="N234" s="265">
        <f>VALUE(ResultsInd[[#This Row],[Score-A]])</f>
        <v>0</v>
      </c>
      <c r="O234" s="265">
        <f>VALUE(ResultsInd[[#This Row],[Score-B]])</f>
        <v>0</v>
      </c>
      <c r="P234" s="265" t="str">
        <f ca="1">IF(AND(ResultsInd[[#This Row],[Category]]&lt;&gt;"",ResultsInd[[#This Row],[Player A]]&lt;&gt;""),COUNTIF(INDIRECT(ResultsInd[[#This Row],[Category]]&amp;"List[Retained Player Name]"),ResultsInd[[#This Row],[Player A]]),"")</f>
        <v/>
      </c>
      <c r="Q234" s="265" t="str">
        <f ca="1">IF(AND(ResultsInd[[#This Row],[Category]]&lt;&gt;"",ResultsInd[[#This Row],[Player B]]&lt;&gt;""),COUNTIF(INDIRECT(ResultsInd[[#This Row],[Category]]&amp;"List[Retained Player Name]"),ResultsInd[[#This Row],[Player B]]),"")</f>
        <v/>
      </c>
      <c r="R2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4" s="265" t="str">
        <f>IF(ResultsInd[[#This Row],[Score_OK]],IF(ResultsInd[[#This Row],[Stage]]="Groups",ResultsInd[[#This Row],[Category]]&amp;"-"&amp;IF(ResultsInd[[#This Row],[Player B]]="","",IF(ResultsInd[[#This Row],[Score-A]]=ResultsInd[[#This Row],[Score-B]],ResultsInd[[#This Row],[Player A]],"")),""),"")</f>
        <v/>
      </c>
      <c r="T234" s="265" t="str">
        <f>IF(ResultsInd[[#This Row],[Score_OK]],IF(ResultsInd[[#This Row],[Stage]]="Groups",ResultsInd[[#This Row],[Category]]&amp;"-"&amp;IF(ResultsInd[[#This Row],[Player B]]="","",IF(ResultsInd[[#This Row],[Score-A]]=ResultsInd[[#This Row],[Score-B]],ResultsInd[[#This Row],[Player B]],"")),""),"")</f>
        <v/>
      </c>
      <c r="U2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4" s="264" t="str">
        <f>IF(ResultsInd[[#This Row],[Category]]="","",VLOOKUP(ResultsInd[[#This Row],[Stage]],$P$1:$V$9,MATCH(ResultsInd[[#This Row],[Category]],$Q$1:$V$1,0)+1,FALSE))</f>
        <v/>
      </c>
      <c r="Z234" s="264" t="str">
        <f>IF(ResultsInd[[#This Row],[Score_OK]],IF(ResultsInd[[#This Row],[Level]]="R",ResultsInd[[#This Row],[Category]]&amp;"-"&amp;IF(ResultsInd[[#This Row],[LoseInKO]]=ResultsInd[[#This Row],[Category]]&amp;"-"&amp;ResultsInd[[#This Row],[Player A]],ResultsInd[[#This Row],[Player B]],ResultsInd[[#This Row],[Player A]]),""),"")</f>
        <v/>
      </c>
      <c r="AB234" s="91"/>
      <c r="AC234" s="12" t="str">
        <f t="shared" si="199"/>
        <v>OPEN</v>
      </c>
      <c r="AD234" s="309"/>
      <c r="AE234" s="310"/>
      <c r="AF234" s="311"/>
      <c r="AG234" s="292" t="str">
        <f>IF(AP234="","",SMALL(AH230:AH236,ROWS(AG230:AG234)))</f>
        <v/>
      </c>
      <c r="AH234" s="293" t="str">
        <f>IF(AP234="","",RANK(AL234,AL230:AL236)*1000+ROWS(AH230:AH234))</f>
        <v/>
      </c>
      <c r="AI234" s="316" t="str">
        <f t="shared" si="193"/>
        <v/>
      </c>
      <c r="AJ234" s="415" t="b">
        <f>AND(AO234&lt;&gt;"",AO234&gt;0,COUNTIF(AI230:AI236,AI234)&gt;1)</f>
        <v>0</v>
      </c>
      <c r="AK234" s="316" t="str">
        <f t="shared" si="194"/>
        <v/>
      </c>
      <c r="AL234" s="317" t="str">
        <f t="shared" si="195"/>
        <v/>
      </c>
      <c r="AM234" s="415" t="b">
        <f>AND(AO234&lt;&gt;"",AO234&gt;0,COUNTIF(AL230:AL236,AL234)&gt;1)</f>
        <v>0</v>
      </c>
      <c r="AN234" s="306" t="str">
        <f t="shared" si="196"/>
        <v/>
      </c>
      <c r="AO234" s="307" t="str">
        <f t="shared" si="197"/>
        <v/>
      </c>
      <c r="AP234" s="307" t="str">
        <f>IF(OR(AC229="",AD234=""),"",COUNTIF(ResultsInd[Win],AC229&amp;"-"&amp;AD234))</f>
        <v/>
      </c>
      <c r="AQ234" s="307" t="str">
        <f>IF(OR(AC229="",AD234=""),"",COUNTIF(ResultsInd[Draw1],AC229&amp;"-"&amp;AD234)+COUNTIF(ResultsInd[Draw2],AC229&amp;"-"&amp;AD234))</f>
        <v/>
      </c>
      <c r="AR234" s="307" t="str">
        <f>IF(OR(AC229="",AD234=""),"",COUNTIF(ResultsInd[Lose],AC229&amp;"-"&amp;AD234))</f>
        <v/>
      </c>
      <c r="AS234" s="307" t="str">
        <f>IF(OR(AC229="",AD234=""),"",SUMIFS(ResultsInd[Goal-A],ResultsInd[Category],AC229,ResultsInd[Stage],"Groups",ResultsInd[Player A],AD234)+SUMIFS(ResultsInd[Goal-B],ResultsInd[Category],AC229,ResultsInd[Stage],"Groups",ResultsInd[Player B],AD234))</f>
        <v/>
      </c>
      <c r="AT234" s="307" t="str">
        <f>IF(OR(AC229="",AD234=""),"",SUMIFS(ResultsInd[Goal-B],ResultsInd[Category],AC229,ResultsInd[Stage],"Groups",ResultsInd[Player A],AD234)+SUMIFS(ResultsInd[Goal-A],ResultsInd[Category],AC229,ResultsInd[Stage],"Groups",ResultsInd[Player B],AD234))</f>
        <v/>
      </c>
      <c r="AU234" s="308" t="str">
        <f t="shared" si="200"/>
        <v/>
      </c>
      <c r="AV234" s="469" t="str">
        <f>IF(AG234="","",OR(VLOOKUP(AG234,AH230:AU236,3,FALSE),VLOOKUP(AG234,AH230:AU236,6,FALSE)))</f>
        <v/>
      </c>
      <c r="AW234" s="298" t="str">
        <f t="shared" si="198"/>
        <v/>
      </c>
      <c r="AX234" s="285" t="str">
        <f>IF(AG234="","",INDEX(AD230:AD236,MATCH(AG234,AH230:AH236,0)))</f>
        <v/>
      </c>
      <c r="AY234" s="286" t="str">
        <f>IF(AG234="","",VLOOKUP(AG234,AH230:AU236,COLUMN()-COLUMN(AR229),FALSE))</f>
        <v/>
      </c>
      <c r="AZ234" s="286" t="str">
        <f>IF(AG234="","",VLOOKUP(AG234,AH230:AU236,COLUMN()-COLUMN(AR229),FALSE))</f>
        <v/>
      </c>
      <c r="BA234" s="286" t="str">
        <f>IF(AG234="","",VLOOKUP(AG234,AH230:AU236,COLUMN()-COLUMN(AR229),FALSE))</f>
        <v/>
      </c>
      <c r="BB234" s="286" t="str">
        <f>IF(AG234="","",VLOOKUP(AG234,AH230:AU236,COLUMN()-COLUMN(AR229),FALSE))</f>
        <v/>
      </c>
      <c r="BC234" s="286" t="str">
        <f>IF(AG234="","",VLOOKUP(AG234,AH230:AU236,COLUMN()-COLUMN(AR229),FALSE))</f>
        <v/>
      </c>
      <c r="BD234" s="286" t="str">
        <f>IF(AG234="","",VLOOKUP(AG234,AH230:AU236,COLUMN()-COLUMN(AR229),FALSE))</f>
        <v/>
      </c>
      <c r="BE234" s="286" t="str">
        <f>IF(AG234="","",VLOOKUP(AG234,AH230:AU236,COLUMN()-COLUMN(AR229),FALSE))</f>
        <v/>
      </c>
      <c r="BF234" s="301" t="str">
        <f>IF(AG234="","",VLOOKUP(AG234,AH230:AU236,COLUMN()-COLUMN(AR229),FALSE))</f>
        <v/>
      </c>
    </row>
    <row r="235" spans="1:58" ht="12" thickBot="1" x14ac:dyDescent="0.25">
      <c r="A235" s="62"/>
      <c r="B235" s="62"/>
      <c r="C235" s="62"/>
      <c r="D235" s="62"/>
      <c r="E235" s="345"/>
      <c r="F235" s="345"/>
      <c r="G235" s="113"/>
      <c r="H235" s="113"/>
      <c r="I235" s="114"/>
      <c r="J235" s="114"/>
      <c r="K235" s="114"/>
      <c r="L235" s="81"/>
      <c r="M235" s="265" t="b">
        <f>NOT(ISERROR(ResultsInd[[#This Row],[Goal-A]]+ResultsInd[[#This Row],[Goal-B]]))</f>
        <v>1</v>
      </c>
      <c r="N235" s="265">
        <f>VALUE(ResultsInd[[#This Row],[Score-A]])</f>
        <v>0</v>
      </c>
      <c r="O235" s="265">
        <f>VALUE(ResultsInd[[#This Row],[Score-B]])</f>
        <v>0</v>
      </c>
      <c r="P235" s="265" t="str">
        <f ca="1">IF(AND(ResultsInd[[#This Row],[Category]]&lt;&gt;"",ResultsInd[[#This Row],[Player A]]&lt;&gt;""),COUNTIF(INDIRECT(ResultsInd[[#This Row],[Category]]&amp;"List[Retained Player Name]"),ResultsInd[[#This Row],[Player A]]),"")</f>
        <v/>
      </c>
      <c r="Q235" s="265" t="str">
        <f ca="1">IF(AND(ResultsInd[[#This Row],[Category]]&lt;&gt;"",ResultsInd[[#This Row],[Player B]]&lt;&gt;""),COUNTIF(INDIRECT(ResultsInd[[#This Row],[Category]]&amp;"List[Retained Player Name]"),ResultsInd[[#This Row],[Player B]]),"")</f>
        <v/>
      </c>
      <c r="R2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5" s="265" t="str">
        <f>IF(ResultsInd[[#This Row],[Score_OK]],IF(ResultsInd[[#This Row],[Stage]]="Groups",ResultsInd[[#This Row],[Category]]&amp;"-"&amp;IF(ResultsInd[[#This Row],[Player B]]="","",IF(ResultsInd[[#This Row],[Score-A]]=ResultsInd[[#This Row],[Score-B]],ResultsInd[[#This Row],[Player A]],"")),""),"")</f>
        <v/>
      </c>
      <c r="T235" s="265" t="str">
        <f>IF(ResultsInd[[#This Row],[Score_OK]],IF(ResultsInd[[#This Row],[Stage]]="Groups",ResultsInd[[#This Row],[Category]]&amp;"-"&amp;IF(ResultsInd[[#This Row],[Player B]]="","",IF(ResultsInd[[#This Row],[Score-A]]=ResultsInd[[#This Row],[Score-B]],ResultsInd[[#This Row],[Player B]],"")),""),"")</f>
        <v/>
      </c>
      <c r="U2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5" s="264" t="str">
        <f>IF(ResultsInd[[#This Row],[Category]]="","",VLOOKUP(ResultsInd[[#This Row],[Stage]],$P$1:$V$9,MATCH(ResultsInd[[#This Row],[Category]],$Q$1:$V$1,0)+1,FALSE))</f>
        <v/>
      </c>
      <c r="Z235" s="264" t="str">
        <f>IF(ResultsInd[[#This Row],[Score_OK]],IF(ResultsInd[[#This Row],[Level]]="R",ResultsInd[[#This Row],[Category]]&amp;"-"&amp;IF(ResultsInd[[#This Row],[LoseInKO]]=ResultsInd[[#This Row],[Category]]&amp;"-"&amp;ResultsInd[[#This Row],[Player A]],ResultsInd[[#This Row],[Player B]],ResultsInd[[#This Row],[Player A]]),""),"")</f>
        <v/>
      </c>
      <c r="AB235" s="8"/>
      <c r="AC235" s="12" t="str">
        <f t="shared" si="199"/>
        <v>OPEN</v>
      </c>
      <c r="AD235" s="309"/>
      <c r="AE235" s="310"/>
      <c r="AF235" s="311"/>
      <c r="AG235" s="292" t="str">
        <f>IF(AP235="","",SMALL(AH230:AH236,ROWS(AG230:AG235)))</f>
        <v/>
      </c>
      <c r="AH235" s="293" t="str">
        <f>IF(AP235="","",RANK(AL235,AL230:AL236)*1000+ROWS(AH230:AH235))</f>
        <v/>
      </c>
      <c r="AI235" s="316" t="str">
        <f t="shared" si="193"/>
        <v/>
      </c>
      <c r="AJ235" s="415" t="b">
        <f>AND(AO235&lt;&gt;"",AO235&gt;0,COUNTIF(AI230:AI236,AI235)&gt;1)</f>
        <v>0</v>
      </c>
      <c r="AK235" s="316" t="str">
        <f t="shared" si="194"/>
        <v/>
      </c>
      <c r="AL235" s="317" t="str">
        <f t="shared" si="195"/>
        <v/>
      </c>
      <c r="AM235" s="415" t="b">
        <f>AND(AO235&lt;&gt;"",AO235&gt;0,COUNTIF(AL230:AL236,AL235)&gt;1)</f>
        <v>0</v>
      </c>
      <c r="AN235" s="306" t="str">
        <f t="shared" si="196"/>
        <v/>
      </c>
      <c r="AO235" s="307" t="str">
        <f t="shared" si="197"/>
        <v/>
      </c>
      <c r="AP235" s="307" t="str">
        <f>IF(OR(AC229="",AD235=""),"",COUNTIF(ResultsInd[Win],AC229&amp;"-"&amp;AD235))</f>
        <v/>
      </c>
      <c r="AQ235" s="307" t="str">
        <f>IF(OR(AC229="",AD235=""),"",COUNTIF(ResultsInd[Draw1],AC229&amp;"-"&amp;AD235)+COUNTIF(ResultsInd[Draw2],AC229&amp;"-"&amp;AD235))</f>
        <v/>
      </c>
      <c r="AR235" s="307" t="str">
        <f>IF(OR(AC229="",AD235=""),"",COUNTIF(ResultsInd[Lose],AC229&amp;"-"&amp;AD235))</f>
        <v/>
      </c>
      <c r="AS235" s="307" t="str">
        <f>IF(OR(AC229="",AD235=""),"",SUMIFS(ResultsInd[Goal-A],ResultsInd[Category],AC229,ResultsInd[Stage],"Groups",ResultsInd[Player A],AD235)+SUMIFS(ResultsInd[Goal-B],ResultsInd[Category],AC229,ResultsInd[Stage],"Groups",ResultsInd[Player B],AD235))</f>
        <v/>
      </c>
      <c r="AT235" s="307" t="str">
        <f>IF(OR(AC229="",AD235=""),"",SUMIFS(ResultsInd[Goal-B],ResultsInd[Category],AC229,ResultsInd[Stage],"Groups",ResultsInd[Player A],AD235)+SUMIFS(ResultsInd[Goal-A],ResultsInd[Category],AC229,ResultsInd[Stage],"Groups",ResultsInd[Player B],AD235))</f>
        <v/>
      </c>
      <c r="AU235" s="308" t="str">
        <f t="shared" si="200"/>
        <v/>
      </c>
      <c r="AV235" s="469" t="str">
        <f>IF(AG235="","",OR(VLOOKUP(AG235,AH230:AU236,3,FALSE),VLOOKUP(AG235,AH230:AU236,6,FALSE)))</f>
        <v/>
      </c>
      <c r="AW235" s="298" t="str">
        <f t="shared" si="198"/>
        <v/>
      </c>
      <c r="AX235" s="285" t="str">
        <f>IF(AG235="","",INDEX(AD230:AD236,MATCH(AG235,AH230:AH236,0)))</f>
        <v/>
      </c>
      <c r="AY235" s="286" t="str">
        <f>IF(AG235="","",VLOOKUP(AG235,AH230:AU236,COLUMN()-COLUMN(AR229),FALSE))</f>
        <v/>
      </c>
      <c r="AZ235" s="286" t="str">
        <f>IF(AG235="","",VLOOKUP(AG235,AH230:AU236,COLUMN()-COLUMN(AR229),FALSE))</f>
        <v/>
      </c>
      <c r="BA235" s="286" t="str">
        <f>IF(AG235="","",VLOOKUP(AG235,AH230:AU236,COLUMN()-COLUMN(AR229),FALSE))</f>
        <v/>
      </c>
      <c r="BB235" s="286" t="str">
        <f>IF(AG235="","",VLOOKUP(AG235,AH230:AU236,COLUMN()-COLUMN(AR229),FALSE))</f>
        <v/>
      </c>
      <c r="BC235" s="286" t="str">
        <f>IF(AG235="","",VLOOKUP(AG235,AH230:AU236,COLUMN()-COLUMN(AR229),FALSE))</f>
        <v/>
      </c>
      <c r="BD235" s="286" t="str">
        <f>IF(AG235="","",VLOOKUP(AG235,AH230:AU236,COLUMN()-COLUMN(AR229),FALSE))</f>
        <v/>
      </c>
      <c r="BE235" s="286" t="str">
        <f>IF(AG235="","",VLOOKUP(AG235,AH230:AU236,COLUMN()-COLUMN(AR229),FALSE))</f>
        <v/>
      </c>
      <c r="BF235" s="301" t="str">
        <f>IF(AG235="","",VLOOKUP(AG235,AH230:AU236,COLUMN()-COLUMN(AR229),FALSE))</f>
        <v/>
      </c>
    </row>
    <row r="236" spans="1:58" ht="12" thickBot="1" x14ac:dyDescent="0.25">
      <c r="A236" s="62"/>
      <c r="B236" s="62"/>
      <c r="C236" s="62"/>
      <c r="D236" s="62"/>
      <c r="E236" s="345"/>
      <c r="F236" s="345"/>
      <c r="G236" s="113"/>
      <c r="H236" s="113"/>
      <c r="I236" s="114"/>
      <c r="J236" s="114"/>
      <c r="K236" s="114"/>
      <c r="L236" s="81"/>
      <c r="M236" s="265" t="b">
        <f>NOT(ISERROR(ResultsInd[[#This Row],[Goal-A]]+ResultsInd[[#This Row],[Goal-B]]))</f>
        <v>1</v>
      </c>
      <c r="N236" s="265">
        <f>VALUE(ResultsInd[[#This Row],[Score-A]])</f>
        <v>0</v>
      </c>
      <c r="O236" s="265">
        <f>VALUE(ResultsInd[[#This Row],[Score-B]])</f>
        <v>0</v>
      </c>
      <c r="P236" s="265" t="str">
        <f ca="1">IF(AND(ResultsInd[[#This Row],[Category]]&lt;&gt;"",ResultsInd[[#This Row],[Player A]]&lt;&gt;""),COUNTIF(INDIRECT(ResultsInd[[#This Row],[Category]]&amp;"List[Retained Player Name]"),ResultsInd[[#This Row],[Player A]]),"")</f>
        <v/>
      </c>
      <c r="Q236" s="265" t="str">
        <f ca="1">IF(AND(ResultsInd[[#This Row],[Category]]&lt;&gt;"",ResultsInd[[#This Row],[Player B]]&lt;&gt;""),COUNTIF(INDIRECT(ResultsInd[[#This Row],[Category]]&amp;"List[Retained Player Name]"),ResultsInd[[#This Row],[Player B]]),"")</f>
        <v/>
      </c>
      <c r="R2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6" s="265" t="str">
        <f>IF(ResultsInd[[#This Row],[Score_OK]],IF(ResultsInd[[#This Row],[Stage]]="Groups",ResultsInd[[#This Row],[Category]]&amp;"-"&amp;IF(ResultsInd[[#This Row],[Player B]]="","",IF(ResultsInd[[#This Row],[Score-A]]=ResultsInd[[#This Row],[Score-B]],ResultsInd[[#This Row],[Player A]],"")),""),"")</f>
        <v/>
      </c>
      <c r="T236" s="265" t="str">
        <f>IF(ResultsInd[[#This Row],[Score_OK]],IF(ResultsInd[[#This Row],[Stage]]="Groups",ResultsInd[[#This Row],[Category]]&amp;"-"&amp;IF(ResultsInd[[#This Row],[Player B]]="","",IF(ResultsInd[[#This Row],[Score-A]]=ResultsInd[[#This Row],[Score-B]],ResultsInd[[#This Row],[Player B]],"")),""),"")</f>
        <v/>
      </c>
      <c r="U2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6" s="264" t="str">
        <f>IF(ResultsInd[[#This Row],[Category]]="","",VLOOKUP(ResultsInd[[#This Row],[Stage]],$P$1:$V$9,MATCH(ResultsInd[[#This Row],[Category]],$Q$1:$V$1,0)+1,FALSE))</f>
        <v/>
      </c>
      <c r="Z236" s="264" t="str">
        <f>IF(ResultsInd[[#This Row],[Score_OK]],IF(ResultsInd[[#This Row],[Level]]="R",ResultsInd[[#This Row],[Category]]&amp;"-"&amp;IF(ResultsInd[[#This Row],[LoseInKO]]=ResultsInd[[#This Row],[Category]]&amp;"-"&amp;ResultsInd[[#This Row],[Player A]],ResultsInd[[#This Row],[Player B]],ResultsInd[[#This Row],[Player A]]),""),"")</f>
        <v/>
      </c>
      <c r="AB236" s="8"/>
      <c r="AC236" s="12" t="str">
        <f t="shared" si="199"/>
        <v>OPEN</v>
      </c>
      <c r="AD236" s="312"/>
      <c r="AE236" s="313"/>
      <c r="AF236" s="314"/>
      <c r="AG236" s="294" t="str">
        <f>IF(AP236="","",SMALL(AH230:AH236,ROWS(AG230:AG236)))</f>
        <v/>
      </c>
      <c r="AH236" s="295" t="str">
        <f>IF(AP236="","",RANK(AL236,AL230:AL236)*1000+ROWS(AH230:AH236))</f>
        <v/>
      </c>
      <c r="AI236" s="318" t="str">
        <f t="shared" si="193"/>
        <v/>
      </c>
      <c r="AJ236" s="416" t="b">
        <f>AND(AO236&lt;&gt;"",AO236&gt;0,COUNTIF(AI230:AI236,AI236)&gt;1)</f>
        <v>0</v>
      </c>
      <c r="AK236" s="318" t="str">
        <f t="shared" si="194"/>
        <v/>
      </c>
      <c r="AL236" s="319" t="str">
        <f t="shared" si="195"/>
        <v/>
      </c>
      <c r="AM236" s="416" t="b">
        <f>AND(AO236&lt;&gt;"",AO236&gt;0,COUNTIF(AL230:AL236,AL236)&gt;1)</f>
        <v>0</v>
      </c>
      <c r="AN236" s="306" t="str">
        <f t="shared" si="196"/>
        <v/>
      </c>
      <c r="AO236" s="307" t="str">
        <f t="shared" si="197"/>
        <v/>
      </c>
      <c r="AP236" s="307" t="str">
        <f>IF(OR(AC229="",AD236=""),"",COUNTIF(ResultsInd[Win],AC229&amp;"-"&amp;AD236))</f>
        <v/>
      </c>
      <c r="AQ236" s="307" t="str">
        <f>IF(OR(AC229="",AD236=""),"",COUNTIF(ResultsInd[Draw1],AC229&amp;"-"&amp;AD236)+COUNTIF(ResultsInd[Draw2],AC229&amp;"-"&amp;AD236))</f>
        <v/>
      </c>
      <c r="AR236" s="307" t="str">
        <f>IF(OR(AC229="",AD236=""),"",COUNTIF(ResultsInd[Lose],AC229&amp;"-"&amp;AD236))</f>
        <v/>
      </c>
      <c r="AS236" s="307" t="str">
        <f>IF(OR(AC229="",AD236=""),"",SUMIFS(ResultsInd[Goal-A],ResultsInd[Category],AC229,ResultsInd[Stage],"Groups",ResultsInd[Player A],AD236)+SUMIFS(ResultsInd[Goal-B],ResultsInd[Category],AC229,ResultsInd[Stage],"Groups",ResultsInd[Player B],AD236))</f>
        <v/>
      </c>
      <c r="AT236" s="307" t="str">
        <f>IF(OR(AC229="",AD236=""),"",SUMIFS(ResultsInd[Goal-B],ResultsInd[Category],AC229,ResultsInd[Stage],"Groups",ResultsInd[Player A],AD236)+SUMIFS(ResultsInd[Goal-A],ResultsInd[Category],AC229,ResultsInd[Stage],"Groups",ResultsInd[Player B],AD236))</f>
        <v/>
      </c>
      <c r="AU236" s="308" t="str">
        <f t="shared" si="200"/>
        <v/>
      </c>
      <c r="AV236" s="469" t="str">
        <f>IF(AG236="","",OR(VLOOKUP(AG236,AH230:AU236,3,FALSE),VLOOKUP(AG236,AH230:AU236,6,FALSE)))</f>
        <v/>
      </c>
      <c r="AW236" s="299" t="str">
        <f t="shared" si="198"/>
        <v/>
      </c>
      <c r="AX236" s="287" t="str">
        <f>IF(AG236="","",INDEX(AD230:AD236,MATCH(AG236,AH230:AH236,0)))</f>
        <v/>
      </c>
      <c r="AY236" s="288" t="str">
        <f>IF(AG236="","",VLOOKUP(AG236,AH230:AU236,COLUMN()-COLUMN(AR229),FALSE))</f>
        <v/>
      </c>
      <c r="AZ236" s="288" t="str">
        <f>IF(AG236="","",VLOOKUP(AG236,AH230:AU236,COLUMN()-COLUMN(AR229),FALSE))</f>
        <v/>
      </c>
      <c r="BA236" s="288" t="str">
        <f>IF(AG236="","",VLOOKUP(AG236,AH230:AU236,COLUMN()-COLUMN(AR229),FALSE))</f>
        <v/>
      </c>
      <c r="BB236" s="288" t="str">
        <f>IF(AG236="","",VLOOKUP(AG236,AH230:AU236,COLUMN()-COLUMN(AR229),FALSE))</f>
        <v/>
      </c>
      <c r="BC236" s="288" t="str">
        <f>IF(AG236="","",VLOOKUP(AG236,AH230:AU236,COLUMN()-COLUMN(AR229),FALSE))</f>
        <v/>
      </c>
      <c r="BD236" s="288" t="str">
        <f>IF(AG236="","",VLOOKUP(AG236,AH230:AU236,COLUMN()-COLUMN(AR229),FALSE))</f>
        <v/>
      </c>
      <c r="BE236" s="288" t="str">
        <f>IF(AG236="","",VLOOKUP(AG236,AH230:AU236,COLUMN()-COLUMN(AR229),FALSE))</f>
        <v/>
      </c>
      <c r="BF236" s="302" t="str">
        <f>IF(AG236="","",VLOOKUP(AG236,AH230:AU236,COLUMN()-COLUMN(AR229),FALSE))</f>
        <v/>
      </c>
    </row>
    <row r="237" spans="1:58" ht="13.5" thickBot="1" x14ac:dyDescent="0.25">
      <c r="A237" s="62"/>
      <c r="B237" s="62"/>
      <c r="C237" s="62"/>
      <c r="D237" s="62"/>
      <c r="E237" s="345"/>
      <c r="F237" s="345"/>
      <c r="G237" s="113"/>
      <c r="H237" s="113"/>
      <c r="I237" s="114"/>
      <c r="J237" s="114"/>
      <c r="K237" s="114"/>
      <c r="L237" s="81"/>
      <c r="M237" s="265" t="b">
        <f>NOT(ISERROR(ResultsInd[[#This Row],[Goal-A]]+ResultsInd[[#This Row],[Goal-B]]))</f>
        <v>1</v>
      </c>
      <c r="N237" s="265">
        <f>VALUE(ResultsInd[[#This Row],[Score-A]])</f>
        <v>0</v>
      </c>
      <c r="O237" s="265">
        <f>VALUE(ResultsInd[[#This Row],[Score-B]])</f>
        <v>0</v>
      </c>
      <c r="P237" s="265" t="str">
        <f ca="1">IF(AND(ResultsInd[[#This Row],[Category]]&lt;&gt;"",ResultsInd[[#This Row],[Player A]]&lt;&gt;""),COUNTIF(INDIRECT(ResultsInd[[#This Row],[Category]]&amp;"List[Retained Player Name]"),ResultsInd[[#This Row],[Player A]]),"")</f>
        <v/>
      </c>
      <c r="Q237" s="265" t="str">
        <f ca="1">IF(AND(ResultsInd[[#This Row],[Category]]&lt;&gt;"",ResultsInd[[#This Row],[Player B]]&lt;&gt;""),COUNTIF(INDIRECT(ResultsInd[[#This Row],[Category]]&amp;"List[Retained Player Name]"),ResultsInd[[#This Row],[Player B]]),"")</f>
        <v/>
      </c>
      <c r="R2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7" s="265" t="str">
        <f>IF(ResultsInd[[#This Row],[Score_OK]],IF(ResultsInd[[#This Row],[Stage]]="Groups",ResultsInd[[#This Row],[Category]]&amp;"-"&amp;IF(ResultsInd[[#This Row],[Player B]]="","",IF(ResultsInd[[#This Row],[Score-A]]=ResultsInd[[#This Row],[Score-B]],ResultsInd[[#This Row],[Player A]],"")),""),"")</f>
        <v/>
      </c>
      <c r="T237" s="265" t="str">
        <f>IF(ResultsInd[[#This Row],[Score_OK]],IF(ResultsInd[[#This Row],[Stage]]="Groups",ResultsInd[[#This Row],[Category]]&amp;"-"&amp;IF(ResultsInd[[#This Row],[Player B]]="","",IF(ResultsInd[[#This Row],[Score-A]]=ResultsInd[[#This Row],[Score-B]],ResultsInd[[#This Row],[Player B]],"")),""),"")</f>
        <v/>
      </c>
      <c r="U2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7" s="264" t="str">
        <f>IF(ResultsInd[[#This Row],[Category]]="","",VLOOKUP(ResultsInd[[#This Row],[Stage]],$P$1:$V$9,MATCH(ResultsInd[[#This Row],[Category]],$Q$1:$V$1,0)+1,FALSE))</f>
        <v/>
      </c>
      <c r="Z237" s="264" t="str">
        <f>IF(ResultsInd[[#This Row],[Score_OK]],IF(ResultsInd[[#This Row],[Level]]="R",ResultsInd[[#This Row],[Category]]&amp;"-"&amp;IF(ResultsInd[[#This Row],[LoseInKO]]=ResultsInd[[#This Row],[Category]]&amp;"-"&amp;ResultsInd[[#This Row],[Player A]],ResultsInd[[#This Row],[Player B]],ResultsInd[[#This Row],[Player A]]),""),"")</f>
        <v/>
      </c>
      <c r="AB237" s="8"/>
      <c r="AC237" s="8"/>
      <c r="AF237" s="170"/>
      <c r="AG237" s="101"/>
      <c r="AH237" s="101"/>
      <c r="AN237" s="170"/>
      <c r="AO237" s="170"/>
      <c r="AP237" s="170"/>
      <c r="AQ237" s="172"/>
      <c r="AR237" s="173"/>
      <c r="AS237" s="173"/>
      <c r="AT237" s="173"/>
      <c r="AU237" s="101"/>
      <c r="AV237" s="101"/>
      <c r="AW237" s="101"/>
      <c r="AX237" s="101"/>
      <c r="AY237" s="101"/>
      <c r="AZ237" s="101"/>
    </row>
    <row r="238" spans="1:58" ht="12" thickBot="1" x14ac:dyDescent="0.25">
      <c r="A238" s="62"/>
      <c r="B238" s="62"/>
      <c r="C238" s="62"/>
      <c r="D238" s="62"/>
      <c r="E238" s="345"/>
      <c r="F238" s="345"/>
      <c r="G238" s="113"/>
      <c r="H238" s="113"/>
      <c r="I238" s="114"/>
      <c r="J238" s="114"/>
      <c r="K238" s="114"/>
      <c r="L238" s="81"/>
      <c r="M238" s="265" t="b">
        <f>NOT(ISERROR(ResultsInd[[#This Row],[Goal-A]]+ResultsInd[[#This Row],[Goal-B]]))</f>
        <v>1</v>
      </c>
      <c r="N238" s="265">
        <f>VALUE(ResultsInd[[#This Row],[Score-A]])</f>
        <v>0</v>
      </c>
      <c r="O238" s="265">
        <f>VALUE(ResultsInd[[#This Row],[Score-B]])</f>
        <v>0</v>
      </c>
      <c r="P238" s="265" t="str">
        <f ca="1">IF(AND(ResultsInd[[#This Row],[Category]]&lt;&gt;"",ResultsInd[[#This Row],[Player A]]&lt;&gt;""),COUNTIF(INDIRECT(ResultsInd[[#This Row],[Category]]&amp;"List[Retained Player Name]"),ResultsInd[[#This Row],[Player A]]),"")</f>
        <v/>
      </c>
      <c r="Q238" s="265" t="str">
        <f ca="1">IF(AND(ResultsInd[[#This Row],[Category]]&lt;&gt;"",ResultsInd[[#This Row],[Player B]]&lt;&gt;""),COUNTIF(INDIRECT(ResultsInd[[#This Row],[Category]]&amp;"List[Retained Player Name]"),ResultsInd[[#This Row],[Player B]]),"")</f>
        <v/>
      </c>
      <c r="R2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8" s="265" t="str">
        <f>IF(ResultsInd[[#This Row],[Score_OK]],IF(ResultsInd[[#This Row],[Stage]]="Groups",ResultsInd[[#This Row],[Category]]&amp;"-"&amp;IF(ResultsInd[[#This Row],[Player B]]="","",IF(ResultsInd[[#This Row],[Score-A]]=ResultsInd[[#This Row],[Score-B]],ResultsInd[[#This Row],[Player A]],"")),""),"")</f>
        <v/>
      </c>
      <c r="T238" s="265" t="str">
        <f>IF(ResultsInd[[#This Row],[Score_OK]],IF(ResultsInd[[#This Row],[Stage]]="Groups",ResultsInd[[#This Row],[Category]]&amp;"-"&amp;IF(ResultsInd[[#This Row],[Player B]]="","",IF(ResultsInd[[#This Row],[Score-A]]=ResultsInd[[#This Row],[Score-B]],ResultsInd[[#This Row],[Player B]],"")),""),"")</f>
        <v/>
      </c>
      <c r="U2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8" s="264" t="str">
        <f>IF(ResultsInd[[#This Row],[Category]]="","",VLOOKUP(ResultsInd[[#This Row],[Stage]],$P$1:$V$9,MATCH(ResultsInd[[#This Row],[Category]],$Q$1:$V$1,0)+1,FALSE))</f>
        <v/>
      </c>
      <c r="Z238" s="264" t="str">
        <f>IF(ResultsInd[[#This Row],[Score_OK]],IF(ResultsInd[[#This Row],[Level]]="R",ResultsInd[[#This Row],[Category]]&amp;"-"&amp;IF(ResultsInd[[#This Row],[LoseInKO]]=ResultsInd[[#This Row],[Category]]&amp;"-"&amp;ResultsInd[[#This Row],[Player A]],ResultsInd[[#This Row],[Player B]],ResultsInd[[#This Row],[Player A]]),""),"")</f>
        <v/>
      </c>
      <c r="AB238" s="281">
        <v>25</v>
      </c>
      <c r="AC238" s="315" t="s">
        <v>890</v>
      </c>
      <c r="AD238" s="289" t="s">
        <v>14439</v>
      </c>
      <c r="AE238" s="290" t="s">
        <v>12279</v>
      </c>
      <c r="AF238" s="284" t="s">
        <v>12275</v>
      </c>
      <c r="AG238" s="296" t="s">
        <v>12276</v>
      </c>
      <c r="AH238" s="291" t="s">
        <v>12271</v>
      </c>
      <c r="AI238" s="291" t="s">
        <v>12272</v>
      </c>
      <c r="AJ238" s="414" t="s">
        <v>13154</v>
      </c>
      <c r="AK238" s="291" t="s">
        <v>12273</v>
      </c>
      <c r="AL238" s="297" t="s">
        <v>12274</v>
      </c>
      <c r="AM238" s="414" t="s">
        <v>13154</v>
      </c>
      <c r="AN238" s="303" t="s">
        <v>12199</v>
      </c>
      <c r="AO238" s="304" t="s">
        <v>12200</v>
      </c>
      <c r="AP238" s="304" t="s">
        <v>12201</v>
      </c>
      <c r="AQ238" s="304" t="s">
        <v>12202</v>
      </c>
      <c r="AR238" s="304" t="s">
        <v>12203</v>
      </c>
      <c r="AS238" s="304" t="s">
        <v>12204</v>
      </c>
      <c r="AT238" s="304" t="s">
        <v>12205</v>
      </c>
      <c r="AU238" s="305" t="s">
        <v>12206</v>
      </c>
      <c r="AV238" s="468"/>
      <c r="AW238" s="282" t="s">
        <v>12276</v>
      </c>
      <c r="AX238" s="282" t="s">
        <v>12280</v>
      </c>
      <c r="AY238" s="283" t="s">
        <v>12199</v>
      </c>
      <c r="AZ238" s="283" t="s">
        <v>12200</v>
      </c>
      <c r="BA238" s="283" t="s">
        <v>12201</v>
      </c>
      <c r="BB238" s="283" t="s">
        <v>12202</v>
      </c>
      <c r="BC238" s="283" t="s">
        <v>12203</v>
      </c>
      <c r="BD238" s="283" t="s">
        <v>12204</v>
      </c>
      <c r="BE238" s="283" t="s">
        <v>12205</v>
      </c>
      <c r="BF238" s="300" t="s">
        <v>12206</v>
      </c>
    </row>
    <row r="239" spans="1:58" ht="12" thickBot="1" x14ac:dyDescent="0.25">
      <c r="A239" s="62"/>
      <c r="B239" s="62"/>
      <c r="C239" s="62"/>
      <c r="D239" s="62"/>
      <c r="E239" s="345"/>
      <c r="F239" s="345"/>
      <c r="G239" s="113"/>
      <c r="H239" s="113"/>
      <c r="I239" s="114"/>
      <c r="J239" s="114"/>
      <c r="K239" s="114"/>
      <c r="L239" s="81"/>
      <c r="M239" s="265" t="b">
        <f>NOT(ISERROR(ResultsInd[[#This Row],[Goal-A]]+ResultsInd[[#This Row],[Goal-B]]))</f>
        <v>1</v>
      </c>
      <c r="N239" s="265">
        <f>VALUE(ResultsInd[[#This Row],[Score-A]])</f>
        <v>0</v>
      </c>
      <c r="O239" s="265">
        <f>VALUE(ResultsInd[[#This Row],[Score-B]])</f>
        <v>0</v>
      </c>
      <c r="P239" s="265" t="str">
        <f ca="1">IF(AND(ResultsInd[[#This Row],[Category]]&lt;&gt;"",ResultsInd[[#This Row],[Player A]]&lt;&gt;""),COUNTIF(INDIRECT(ResultsInd[[#This Row],[Category]]&amp;"List[Retained Player Name]"),ResultsInd[[#This Row],[Player A]]),"")</f>
        <v/>
      </c>
      <c r="Q239" s="265" t="str">
        <f ca="1">IF(AND(ResultsInd[[#This Row],[Category]]&lt;&gt;"",ResultsInd[[#This Row],[Player B]]&lt;&gt;""),COUNTIF(INDIRECT(ResultsInd[[#This Row],[Category]]&amp;"List[Retained Player Name]"),ResultsInd[[#This Row],[Player B]]),"")</f>
        <v/>
      </c>
      <c r="R2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9" s="265" t="str">
        <f>IF(ResultsInd[[#This Row],[Score_OK]],IF(ResultsInd[[#This Row],[Stage]]="Groups",ResultsInd[[#This Row],[Category]]&amp;"-"&amp;IF(ResultsInd[[#This Row],[Player B]]="","",IF(ResultsInd[[#This Row],[Score-A]]=ResultsInd[[#This Row],[Score-B]],ResultsInd[[#This Row],[Player A]],"")),""),"")</f>
        <v/>
      </c>
      <c r="T239" s="265" t="str">
        <f>IF(ResultsInd[[#This Row],[Score_OK]],IF(ResultsInd[[#This Row],[Stage]]="Groups",ResultsInd[[#This Row],[Category]]&amp;"-"&amp;IF(ResultsInd[[#This Row],[Player B]]="","",IF(ResultsInd[[#This Row],[Score-A]]=ResultsInd[[#This Row],[Score-B]],ResultsInd[[#This Row],[Player B]],"")),""),"")</f>
        <v/>
      </c>
      <c r="U2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39" s="264" t="str">
        <f>IF(ResultsInd[[#This Row],[Category]]="","",VLOOKUP(ResultsInd[[#This Row],[Stage]],$P$1:$V$9,MATCH(ResultsInd[[#This Row],[Category]],$Q$1:$V$1,0)+1,FALSE))</f>
        <v/>
      </c>
      <c r="Z239" s="264" t="str">
        <f>IF(ResultsInd[[#This Row],[Score_OK]],IF(ResultsInd[[#This Row],[Level]]="R",ResultsInd[[#This Row],[Category]]&amp;"-"&amp;IF(ResultsInd[[#This Row],[LoseInKO]]=ResultsInd[[#This Row],[Category]]&amp;"-"&amp;ResultsInd[[#This Row],[Player A]],ResultsInd[[#This Row],[Player B]],ResultsInd[[#This Row],[Player A]]),""),"")</f>
        <v/>
      </c>
      <c r="AB239" s="8"/>
      <c r="AC239" s="12" t="str">
        <f>IF(AC238="","",AC238)</f>
        <v>OPEN</v>
      </c>
      <c r="AD239" s="309" t="s">
        <v>8138</v>
      </c>
      <c r="AE239" s="320"/>
      <c r="AF239" s="311"/>
      <c r="AG239" s="292">
        <f>IF(AP239="","",SMALL(AH239:AH245,ROWS(AG239:AG239)))</f>
        <v>1001</v>
      </c>
      <c r="AH239" s="293">
        <f>IF(AP239="","",RANK(AL239,AL239:AL245)*1000+ROWS(AH239:AH239))</f>
        <v>1001</v>
      </c>
      <c r="AI239" s="316">
        <f t="shared" ref="AI239:AI245" si="201">IF(AP239="","",CritClassInd1_Points*AN239+CritClassInd1_Matches*AP239+CritClassInd1_Attaque*AS239+CritClassInd1_DiffButs*AU239)</f>
        <v>9000000000000</v>
      </c>
      <c r="AJ239" s="415" t="b">
        <f>AND(AO239&lt;&gt;"",AO239&gt;0,COUNTIF(AI239:AI245,AI239)&gt;1)</f>
        <v>0</v>
      </c>
      <c r="AK239" s="316">
        <f t="shared" ref="AK239:AK245" si="202">IF(AP239="","",CritClassInd_ScorePart*AE239)</f>
        <v>0</v>
      </c>
      <c r="AL239" s="317">
        <f t="shared" ref="AL239:AL245" si="203">IF(AP239="","",AI239+AK239+CritClassInd2_Points*AN239+CritClassInd2_Matches*AP239+CritClassInd2_Attaque*AS239+CritClassInd2_DiffButs*AU239+AF239)</f>
        <v>9000000131700</v>
      </c>
      <c r="AM239" s="415" t="b">
        <f>AND(AO239&lt;&gt;"",AO239&gt;0,COUNTIF(AL239:AL245,AL239)&gt;1)</f>
        <v>0</v>
      </c>
      <c r="AN239" s="306">
        <f t="shared" ref="AN239:AN245" si="204">IF(AP239="","",(AP239*Points_Victoire)+AQ239*Points_Null)</f>
        <v>9</v>
      </c>
      <c r="AO239" s="307">
        <f t="shared" ref="AO239:AO245" si="205">IF(AP239="","",SUM(AP239:AR239))</f>
        <v>3</v>
      </c>
      <c r="AP239" s="307">
        <f>IF(OR(AC238="",AD239=""),"",COUNTIF(ResultsInd[Win],AC238&amp;"-"&amp;AD239))</f>
        <v>3</v>
      </c>
      <c r="AQ239" s="307">
        <f>IF(OR(AC238="",AD239=""),"",COUNTIF(ResultsInd[Draw1],AC238&amp;"-"&amp;AD239)+COUNTIF(ResultsInd[Draw2],AC238&amp;"-"&amp;AD239))</f>
        <v>0</v>
      </c>
      <c r="AR239" s="307">
        <f>IF(OR(AC238="",AD239=""),"",COUNTIF(ResultsInd[Lose],AC238&amp;"-"&amp;AD239))</f>
        <v>0</v>
      </c>
      <c r="AS239" s="307">
        <f>IF(OR(AC238="",AD239=""),"",SUMIFS(ResultsInd[Goal-A],ResultsInd[Category],AC238,ResultsInd[Stage],"Groups",ResultsInd[Player A],AD239)+SUMIFS(ResultsInd[Goal-B],ResultsInd[Category],AC238,ResultsInd[Stage],"Groups",ResultsInd[Player B],AD239))</f>
        <v>17</v>
      </c>
      <c r="AT239" s="307">
        <f>IF(OR(AC238="",AD239=""),"",SUMIFS(ResultsInd[Goal-B],ResultsInd[Category],AC238,ResultsInd[Stage],"Groups",ResultsInd[Player A],AD239)+SUMIFS(ResultsInd[Goal-A],ResultsInd[Category],AC238,ResultsInd[Stage],"Groups",ResultsInd[Player B],AD239))</f>
        <v>4</v>
      </c>
      <c r="AU239" s="308">
        <f>IF(AP239="","",AS239-AT239)</f>
        <v>13</v>
      </c>
      <c r="AV239" s="469" t="b">
        <f>IF(AG239="","",OR(VLOOKUP(AG239,AH239:AU245,3,FALSE),VLOOKUP(AG239,AH239:AU245,6,FALSE)))</f>
        <v>0</v>
      </c>
      <c r="AW239" s="298">
        <f t="shared" ref="AW239:AW245" si="206">IF(AG239="","",INT(AG239/1000))</f>
        <v>1</v>
      </c>
      <c r="AX239" s="285" t="str">
        <f>IF(AG239="","",INDEX(AD239:AD245,MATCH(AG239,AH239:AH245,0)))</f>
        <v>William Van Den Houte</v>
      </c>
      <c r="AY239" s="286">
        <f>IF(AG239="","",VLOOKUP(AG239,AH239:AU245,COLUMN()-COLUMN(AR238),FALSE))</f>
        <v>9</v>
      </c>
      <c r="AZ239" s="286">
        <f>IF(AG239="","",VLOOKUP(AG239,AH239:AU245,COLUMN()-COLUMN(AR238),FALSE))</f>
        <v>3</v>
      </c>
      <c r="BA239" s="286">
        <f>IF(AG239="","",VLOOKUP(AG239,AH239:AU245,COLUMN()-COLUMN(AR238),FALSE))</f>
        <v>3</v>
      </c>
      <c r="BB239" s="286">
        <f>IF(AG239="","",VLOOKUP(AG239,AH239:AU245,COLUMN()-COLUMN(AR238),FALSE))</f>
        <v>0</v>
      </c>
      <c r="BC239" s="286">
        <f>IF(AG239="","",VLOOKUP(AG239,AH239:AU245,COLUMN()-COLUMN(AR238),FALSE))</f>
        <v>0</v>
      </c>
      <c r="BD239" s="286">
        <f>IF(AG239="","",VLOOKUP(AG239,AH239:AU245,COLUMN()-COLUMN(AR238),FALSE))</f>
        <v>17</v>
      </c>
      <c r="BE239" s="286">
        <f>IF(AG239="","",VLOOKUP(AG239,AH239:AU245,COLUMN()-COLUMN(AR238),FALSE))</f>
        <v>4</v>
      </c>
      <c r="BF239" s="301">
        <f>IF(AG239="","",VLOOKUP(AG239,AH239:AU245,COLUMN()-COLUMN(AR238),FALSE))</f>
        <v>13</v>
      </c>
    </row>
    <row r="240" spans="1:58" ht="12" thickBot="1" x14ac:dyDescent="0.25">
      <c r="A240" s="62"/>
      <c r="B240" s="62"/>
      <c r="C240" s="62"/>
      <c r="D240" s="62"/>
      <c r="E240" s="345"/>
      <c r="F240" s="345"/>
      <c r="G240" s="113"/>
      <c r="H240" s="113"/>
      <c r="I240" s="114"/>
      <c r="J240" s="114"/>
      <c r="K240" s="114"/>
      <c r="L240" s="81"/>
      <c r="M240" s="265" t="b">
        <f>NOT(ISERROR(ResultsInd[[#This Row],[Goal-A]]+ResultsInd[[#This Row],[Goal-B]]))</f>
        <v>1</v>
      </c>
      <c r="N240" s="265">
        <f>VALUE(ResultsInd[[#This Row],[Score-A]])</f>
        <v>0</v>
      </c>
      <c r="O240" s="265">
        <f>VALUE(ResultsInd[[#This Row],[Score-B]])</f>
        <v>0</v>
      </c>
      <c r="P240" s="265" t="str">
        <f ca="1">IF(AND(ResultsInd[[#This Row],[Category]]&lt;&gt;"",ResultsInd[[#This Row],[Player A]]&lt;&gt;""),COUNTIF(INDIRECT(ResultsInd[[#This Row],[Category]]&amp;"List[Retained Player Name]"),ResultsInd[[#This Row],[Player A]]),"")</f>
        <v/>
      </c>
      <c r="Q240" s="265" t="str">
        <f ca="1">IF(AND(ResultsInd[[#This Row],[Category]]&lt;&gt;"",ResultsInd[[#This Row],[Player B]]&lt;&gt;""),COUNTIF(INDIRECT(ResultsInd[[#This Row],[Category]]&amp;"List[Retained Player Name]"),ResultsInd[[#This Row],[Player B]]),"")</f>
        <v/>
      </c>
      <c r="R2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0" s="265" t="str">
        <f>IF(ResultsInd[[#This Row],[Score_OK]],IF(ResultsInd[[#This Row],[Stage]]="Groups",ResultsInd[[#This Row],[Category]]&amp;"-"&amp;IF(ResultsInd[[#This Row],[Player B]]="","",IF(ResultsInd[[#This Row],[Score-A]]=ResultsInd[[#This Row],[Score-B]],ResultsInd[[#This Row],[Player A]],"")),""),"")</f>
        <v/>
      </c>
      <c r="T240" s="265" t="str">
        <f>IF(ResultsInd[[#This Row],[Score_OK]],IF(ResultsInd[[#This Row],[Stage]]="Groups",ResultsInd[[#This Row],[Category]]&amp;"-"&amp;IF(ResultsInd[[#This Row],[Player B]]="","",IF(ResultsInd[[#This Row],[Score-A]]=ResultsInd[[#This Row],[Score-B]],ResultsInd[[#This Row],[Player B]],"")),""),"")</f>
        <v/>
      </c>
      <c r="U2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0" s="264" t="str">
        <f>IF(ResultsInd[[#This Row],[Category]]="","",VLOOKUP(ResultsInd[[#This Row],[Stage]],$P$1:$V$9,MATCH(ResultsInd[[#This Row],[Category]],$Q$1:$V$1,0)+1,FALSE))</f>
        <v/>
      </c>
      <c r="Z240" s="264" t="str">
        <f>IF(ResultsInd[[#This Row],[Score_OK]],IF(ResultsInd[[#This Row],[Level]]="R",ResultsInd[[#This Row],[Category]]&amp;"-"&amp;IF(ResultsInd[[#This Row],[LoseInKO]]=ResultsInd[[#This Row],[Category]]&amp;"-"&amp;ResultsInd[[#This Row],[Player A]],ResultsInd[[#This Row],[Player B]],ResultsInd[[#This Row],[Player A]]),""),"")</f>
        <v/>
      </c>
      <c r="AB240" s="8"/>
      <c r="AC240" s="12" t="str">
        <f t="shared" ref="AC240:AC245" si="207">IF(AC239="","",AC239)</f>
        <v>OPEN</v>
      </c>
      <c r="AD240" s="309" t="s">
        <v>8200</v>
      </c>
      <c r="AE240" s="320"/>
      <c r="AF240" s="311"/>
      <c r="AG240" s="292">
        <f>IF(AP240="","",SMALL(AH239:AH245,ROWS(AG239:AG240)))</f>
        <v>2003</v>
      </c>
      <c r="AH240" s="293">
        <f>IF(AP240="","",RANK(AL240,AL239:AL245)*1000+ROWS(AH239:AH240))</f>
        <v>3002</v>
      </c>
      <c r="AI240" s="316">
        <f t="shared" si="201"/>
        <v>3000000000000</v>
      </c>
      <c r="AJ240" s="415" t="b">
        <f>AND(AO240&lt;&gt;"",AO240&gt;0,COUNTIF(AI239:AI245,AI240)&gt;1)</f>
        <v>0</v>
      </c>
      <c r="AK240" s="316">
        <f t="shared" si="202"/>
        <v>0</v>
      </c>
      <c r="AL240" s="317">
        <f t="shared" si="203"/>
        <v>2999999940500</v>
      </c>
      <c r="AM240" s="415" t="b">
        <f>AND(AO240&lt;&gt;"",AO240&gt;0,COUNTIF(AL239:AL245,AL240)&gt;1)</f>
        <v>0</v>
      </c>
      <c r="AN240" s="306">
        <f t="shared" si="204"/>
        <v>3</v>
      </c>
      <c r="AO240" s="307">
        <f t="shared" si="205"/>
        <v>3</v>
      </c>
      <c r="AP240" s="307">
        <f>IF(OR(AC238="",AD240=""),"",COUNTIF(ResultsInd[Win],AC238&amp;"-"&amp;AD240))</f>
        <v>1</v>
      </c>
      <c r="AQ240" s="307">
        <f>IF(OR(AC238="",AD240=""),"",COUNTIF(ResultsInd[Draw1],AC238&amp;"-"&amp;AD240)+COUNTIF(ResultsInd[Draw2],AC238&amp;"-"&amp;AD240))</f>
        <v>0</v>
      </c>
      <c r="AR240" s="307">
        <f>IF(OR(AC238="",AD240=""),"",COUNTIF(ResultsInd[Lose],AC238&amp;"-"&amp;AD240))</f>
        <v>2</v>
      </c>
      <c r="AS240" s="307">
        <f>IF(OR(AC238="",AD240=""),"",SUMIFS(ResultsInd[Goal-A],ResultsInd[Category],AC238,ResultsInd[Stage],"Groups",ResultsInd[Player A],AD240)+SUMIFS(ResultsInd[Goal-B],ResultsInd[Category],AC238,ResultsInd[Stage],"Groups",ResultsInd[Player B],AD240))</f>
        <v>5</v>
      </c>
      <c r="AT240" s="307">
        <f>IF(OR(AC238="",AD240=""),"",SUMIFS(ResultsInd[Goal-B],ResultsInd[Category],AC238,ResultsInd[Stage],"Groups",ResultsInd[Player A],AD240)+SUMIFS(ResultsInd[Goal-A],ResultsInd[Category],AC238,ResultsInd[Stage],"Groups",ResultsInd[Player B],AD240))</f>
        <v>11</v>
      </c>
      <c r="AU240" s="308">
        <f t="shared" ref="AU240:AU245" si="208">IF(AP240="","",AS240-AT240)</f>
        <v>-6</v>
      </c>
      <c r="AV240" s="469" t="b">
        <f>IF(AG240="","",OR(VLOOKUP(AG240,AH239:AU245,3,FALSE),VLOOKUP(AG240,AH239:AU245,6,FALSE)))</f>
        <v>0</v>
      </c>
      <c r="AW240" s="298">
        <f t="shared" si="206"/>
        <v>2</v>
      </c>
      <c r="AX240" s="285" t="str">
        <f>IF(AG240="","",INDEX(AD239:AD245,MATCH(AG240,AH239:AH245,0)))</f>
        <v>Stylianos Tsangouris</v>
      </c>
      <c r="AY240" s="286">
        <f>IF(AG240="","",VLOOKUP(AG240,AH239:AU245,COLUMN()-COLUMN(AR238),FALSE))</f>
        <v>6</v>
      </c>
      <c r="AZ240" s="286">
        <f>IF(AG240="","",VLOOKUP(AG240,AH239:AU245,COLUMN()-COLUMN(AR238),FALSE))</f>
        <v>3</v>
      </c>
      <c r="BA240" s="286">
        <f>IF(AG240="","",VLOOKUP(AG240,AH239:AU245,COLUMN()-COLUMN(AR238),FALSE))</f>
        <v>2</v>
      </c>
      <c r="BB240" s="286">
        <f>IF(AG240="","",VLOOKUP(AG240,AH239:AU245,COLUMN()-COLUMN(AR238),FALSE))</f>
        <v>0</v>
      </c>
      <c r="BC240" s="286">
        <f>IF(AG240="","",VLOOKUP(AG240,AH239:AU245,COLUMN()-COLUMN(AR238),FALSE))</f>
        <v>1</v>
      </c>
      <c r="BD240" s="286">
        <f>IF(AG240="","",VLOOKUP(AG240,AH239:AU245,COLUMN()-COLUMN(AR238),FALSE))</f>
        <v>10</v>
      </c>
      <c r="BE240" s="286">
        <f>IF(AG240="","",VLOOKUP(AG240,AH239:AU245,COLUMN()-COLUMN(AR238),FALSE))</f>
        <v>5</v>
      </c>
      <c r="BF240" s="301">
        <f>IF(AG240="","",VLOOKUP(AG240,AH239:AU245,COLUMN()-COLUMN(AR238),FALSE))</f>
        <v>5</v>
      </c>
    </row>
    <row r="241" spans="1:58" ht="12" thickBot="1" x14ac:dyDescent="0.25">
      <c r="A241" s="62"/>
      <c r="B241" s="62"/>
      <c r="C241" s="62"/>
      <c r="D241" s="62"/>
      <c r="E241" s="345"/>
      <c r="F241" s="345"/>
      <c r="G241" s="113"/>
      <c r="H241" s="113"/>
      <c r="I241" s="114"/>
      <c r="J241" s="114"/>
      <c r="K241" s="114"/>
      <c r="L241" s="81"/>
      <c r="M241" s="265" t="b">
        <f>NOT(ISERROR(ResultsInd[[#This Row],[Goal-A]]+ResultsInd[[#This Row],[Goal-B]]))</f>
        <v>1</v>
      </c>
      <c r="N241" s="265">
        <f>VALUE(ResultsInd[[#This Row],[Score-A]])</f>
        <v>0</v>
      </c>
      <c r="O241" s="265">
        <f>VALUE(ResultsInd[[#This Row],[Score-B]])</f>
        <v>0</v>
      </c>
      <c r="P241" s="265" t="str">
        <f ca="1">IF(AND(ResultsInd[[#This Row],[Category]]&lt;&gt;"",ResultsInd[[#This Row],[Player A]]&lt;&gt;""),COUNTIF(INDIRECT(ResultsInd[[#This Row],[Category]]&amp;"List[Retained Player Name]"),ResultsInd[[#This Row],[Player A]]),"")</f>
        <v/>
      </c>
      <c r="Q241" s="265" t="str">
        <f ca="1">IF(AND(ResultsInd[[#This Row],[Category]]&lt;&gt;"",ResultsInd[[#This Row],[Player B]]&lt;&gt;""),COUNTIF(INDIRECT(ResultsInd[[#This Row],[Category]]&amp;"List[Retained Player Name]"),ResultsInd[[#This Row],[Player B]]),"")</f>
        <v/>
      </c>
      <c r="R2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1" s="265" t="str">
        <f>IF(ResultsInd[[#This Row],[Score_OK]],IF(ResultsInd[[#This Row],[Stage]]="Groups",ResultsInd[[#This Row],[Category]]&amp;"-"&amp;IF(ResultsInd[[#This Row],[Player B]]="","",IF(ResultsInd[[#This Row],[Score-A]]=ResultsInd[[#This Row],[Score-B]],ResultsInd[[#This Row],[Player A]],"")),""),"")</f>
        <v/>
      </c>
      <c r="T241" s="265" t="str">
        <f>IF(ResultsInd[[#This Row],[Score_OK]],IF(ResultsInd[[#This Row],[Stage]]="Groups",ResultsInd[[#This Row],[Category]]&amp;"-"&amp;IF(ResultsInd[[#This Row],[Player B]]="","",IF(ResultsInd[[#This Row],[Score-A]]=ResultsInd[[#This Row],[Score-B]],ResultsInd[[#This Row],[Player B]],"")),""),"")</f>
        <v/>
      </c>
      <c r="U2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1" s="264" t="str">
        <f>IF(ResultsInd[[#This Row],[Category]]="","",VLOOKUP(ResultsInd[[#This Row],[Stage]],$P$1:$V$9,MATCH(ResultsInd[[#This Row],[Category]],$Q$1:$V$1,0)+1,FALSE))</f>
        <v/>
      </c>
      <c r="Z241" s="264" t="str">
        <f>IF(ResultsInd[[#This Row],[Score_OK]],IF(ResultsInd[[#This Row],[Level]]="R",ResultsInd[[#This Row],[Category]]&amp;"-"&amp;IF(ResultsInd[[#This Row],[LoseInKO]]=ResultsInd[[#This Row],[Category]]&amp;"-"&amp;ResultsInd[[#This Row],[Player A]],ResultsInd[[#This Row],[Player B]],ResultsInd[[#This Row],[Player A]]),""),"")</f>
        <v/>
      </c>
      <c r="AB241" s="8"/>
      <c r="AC241" s="12" t="str">
        <f t="shared" si="207"/>
        <v>OPEN</v>
      </c>
      <c r="AD241" s="309" t="s">
        <v>14019</v>
      </c>
      <c r="AE241" s="320"/>
      <c r="AF241" s="311"/>
      <c r="AG241" s="292">
        <f>IF(AP241="","",SMALL(AH239:AH245,ROWS(AG239:AG241)))</f>
        <v>3002</v>
      </c>
      <c r="AH241" s="293">
        <f>IF(AP241="","",RANK(AL241,AL239:AL245)*1000+ROWS(AH239:AH241))</f>
        <v>2003</v>
      </c>
      <c r="AI241" s="316">
        <f t="shared" si="201"/>
        <v>6000000000000</v>
      </c>
      <c r="AJ241" s="415" t="b">
        <f>AND(AO241&lt;&gt;"",AO241&gt;0,COUNTIF(AI239:AI245,AI241)&gt;1)</f>
        <v>0</v>
      </c>
      <c r="AK241" s="316">
        <f t="shared" si="202"/>
        <v>0</v>
      </c>
      <c r="AL241" s="317">
        <f t="shared" si="203"/>
        <v>6000000051000</v>
      </c>
      <c r="AM241" s="415" t="b">
        <f>AND(AO241&lt;&gt;"",AO241&gt;0,COUNTIF(AL239:AL245,AL241)&gt;1)</f>
        <v>0</v>
      </c>
      <c r="AN241" s="306">
        <f t="shared" si="204"/>
        <v>6</v>
      </c>
      <c r="AO241" s="307">
        <f t="shared" si="205"/>
        <v>3</v>
      </c>
      <c r="AP241" s="307">
        <f>IF(OR(AC238="",AD241=""),"",COUNTIF(ResultsInd[Win],AC238&amp;"-"&amp;AD241))</f>
        <v>2</v>
      </c>
      <c r="AQ241" s="307">
        <f>IF(OR(AC238="",AD241=""),"",COUNTIF(ResultsInd[Draw1],AC238&amp;"-"&amp;AD241)+COUNTIF(ResultsInd[Draw2],AC238&amp;"-"&amp;AD241))</f>
        <v>0</v>
      </c>
      <c r="AR241" s="307">
        <f>IF(OR(AC238="",AD241=""),"",COUNTIF(ResultsInd[Lose],AC238&amp;"-"&amp;AD241))</f>
        <v>1</v>
      </c>
      <c r="AS241" s="307">
        <f>IF(OR(AC238="",AD241=""),"",SUMIFS(ResultsInd[Goal-A],ResultsInd[Category],AC238,ResultsInd[Stage],"Groups",ResultsInd[Player A],AD241)+SUMIFS(ResultsInd[Goal-B],ResultsInd[Category],AC238,ResultsInd[Stage],"Groups",ResultsInd[Player B],AD241))</f>
        <v>10</v>
      </c>
      <c r="AT241" s="307">
        <f>IF(OR(AC238="",AD241=""),"",SUMIFS(ResultsInd[Goal-B],ResultsInd[Category],AC238,ResultsInd[Stage],"Groups",ResultsInd[Player A],AD241)+SUMIFS(ResultsInd[Goal-A],ResultsInd[Category],AC238,ResultsInd[Stage],"Groups",ResultsInd[Player B],AD241))</f>
        <v>5</v>
      </c>
      <c r="AU241" s="308">
        <f t="shared" si="208"/>
        <v>5</v>
      </c>
      <c r="AV241" s="469" t="b">
        <f>IF(AG241="","",OR(VLOOKUP(AG241,AH239:AU245,3,FALSE),VLOOKUP(AG241,AH239:AU245,6,FALSE)))</f>
        <v>0</v>
      </c>
      <c r="AW241" s="298">
        <f t="shared" si="206"/>
        <v>3</v>
      </c>
      <c r="AX241" s="285" t="str">
        <f>IF(AG241="","",INDEX(AD239:AD245,MATCH(AG241,AH239:AH245,0)))</f>
        <v>Mathieu Crasset</v>
      </c>
      <c r="AY241" s="286">
        <f>IF(AG241="","",VLOOKUP(AG241,AH239:AU245,COLUMN()-COLUMN(AR238),FALSE))</f>
        <v>3</v>
      </c>
      <c r="AZ241" s="286">
        <f>IF(AG241="","",VLOOKUP(AG241,AH239:AU245,COLUMN()-COLUMN(AR238),FALSE))</f>
        <v>3</v>
      </c>
      <c r="BA241" s="286">
        <f>IF(AG241="","",VLOOKUP(AG241,AH239:AU245,COLUMN()-COLUMN(AR238),FALSE))</f>
        <v>1</v>
      </c>
      <c r="BB241" s="286">
        <f>IF(AG241="","",VLOOKUP(AG241,AH239:AU245,COLUMN()-COLUMN(AR238),FALSE))</f>
        <v>0</v>
      </c>
      <c r="BC241" s="286">
        <f>IF(AG241="","",VLOOKUP(AG241,AH239:AU245,COLUMN()-COLUMN(AR238),FALSE))</f>
        <v>2</v>
      </c>
      <c r="BD241" s="286">
        <f>IF(AG241="","",VLOOKUP(AG241,AH239:AU245,COLUMN()-COLUMN(AR238),FALSE))</f>
        <v>5</v>
      </c>
      <c r="BE241" s="286">
        <f>IF(AG241="","",VLOOKUP(AG241,AH239:AU245,COLUMN()-COLUMN(AR238),FALSE))</f>
        <v>11</v>
      </c>
      <c r="BF241" s="301">
        <f>IF(AG241="","",VLOOKUP(AG241,AH239:AU245,COLUMN()-COLUMN(AR238),FALSE))</f>
        <v>-6</v>
      </c>
    </row>
    <row r="242" spans="1:58" ht="12" thickBot="1" x14ac:dyDescent="0.25">
      <c r="A242" s="62"/>
      <c r="B242" s="62"/>
      <c r="C242" s="62"/>
      <c r="D242" s="62"/>
      <c r="E242" s="345"/>
      <c r="F242" s="345"/>
      <c r="G242" s="113"/>
      <c r="H242" s="113"/>
      <c r="I242" s="114"/>
      <c r="J242" s="114"/>
      <c r="K242" s="114"/>
      <c r="L242" s="81"/>
      <c r="M242" s="265" t="b">
        <f>NOT(ISERROR(ResultsInd[[#This Row],[Goal-A]]+ResultsInd[[#This Row],[Goal-B]]))</f>
        <v>1</v>
      </c>
      <c r="N242" s="265">
        <f>VALUE(ResultsInd[[#This Row],[Score-A]])</f>
        <v>0</v>
      </c>
      <c r="O242" s="265">
        <f>VALUE(ResultsInd[[#This Row],[Score-B]])</f>
        <v>0</v>
      </c>
      <c r="P242" s="265" t="str">
        <f ca="1">IF(AND(ResultsInd[[#This Row],[Category]]&lt;&gt;"",ResultsInd[[#This Row],[Player A]]&lt;&gt;""),COUNTIF(INDIRECT(ResultsInd[[#This Row],[Category]]&amp;"List[Retained Player Name]"),ResultsInd[[#This Row],[Player A]]),"")</f>
        <v/>
      </c>
      <c r="Q242" s="265" t="str">
        <f ca="1">IF(AND(ResultsInd[[#This Row],[Category]]&lt;&gt;"",ResultsInd[[#This Row],[Player B]]&lt;&gt;""),COUNTIF(INDIRECT(ResultsInd[[#This Row],[Category]]&amp;"List[Retained Player Name]"),ResultsInd[[#This Row],[Player B]]),"")</f>
        <v/>
      </c>
      <c r="R2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2" s="265" t="str">
        <f>IF(ResultsInd[[#This Row],[Score_OK]],IF(ResultsInd[[#This Row],[Stage]]="Groups",ResultsInd[[#This Row],[Category]]&amp;"-"&amp;IF(ResultsInd[[#This Row],[Player B]]="","",IF(ResultsInd[[#This Row],[Score-A]]=ResultsInd[[#This Row],[Score-B]],ResultsInd[[#This Row],[Player A]],"")),""),"")</f>
        <v/>
      </c>
      <c r="T242" s="265" t="str">
        <f>IF(ResultsInd[[#This Row],[Score_OK]],IF(ResultsInd[[#This Row],[Stage]]="Groups",ResultsInd[[#This Row],[Category]]&amp;"-"&amp;IF(ResultsInd[[#This Row],[Player B]]="","",IF(ResultsInd[[#This Row],[Score-A]]=ResultsInd[[#This Row],[Score-B]],ResultsInd[[#This Row],[Player B]],"")),""),"")</f>
        <v/>
      </c>
      <c r="U2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2" s="264" t="str">
        <f>IF(ResultsInd[[#This Row],[Category]]="","",VLOOKUP(ResultsInd[[#This Row],[Stage]],$P$1:$V$9,MATCH(ResultsInd[[#This Row],[Category]],$Q$1:$V$1,0)+1,FALSE))</f>
        <v/>
      </c>
      <c r="Z242" s="264" t="str">
        <f>IF(ResultsInd[[#This Row],[Score_OK]],IF(ResultsInd[[#This Row],[Level]]="R",ResultsInd[[#This Row],[Category]]&amp;"-"&amp;IF(ResultsInd[[#This Row],[LoseInKO]]=ResultsInd[[#This Row],[Category]]&amp;"-"&amp;ResultsInd[[#This Row],[Player A]],ResultsInd[[#This Row],[Player B]],ResultsInd[[#This Row],[Player A]]),""),"")</f>
        <v/>
      </c>
      <c r="AB242" s="91"/>
      <c r="AC242" s="12" t="str">
        <f t="shared" si="207"/>
        <v>OPEN</v>
      </c>
      <c r="AD242" s="309" t="s">
        <v>8583</v>
      </c>
      <c r="AE242" s="310"/>
      <c r="AF242" s="311"/>
      <c r="AG242" s="292">
        <f>IF(AP242="","",SMALL(AH239:AH245,ROWS(AG239:AG242)))</f>
        <v>4004</v>
      </c>
      <c r="AH242" s="293">
        <f>IF(AP242="","",RANK(AL242,AL239:AL245)*1000+ROWS(AH239:AH242))</f>
        <v>4004</v>
      </c>
      <c r="AI242" s="316">
        <f t="shared" si="201"/>
        <v>0</v>
      </c>
      <c r="AJ242" s="415" t="b">
        <f>AND(AO242&lt;&gt;"",AO242&gt;0,COUNTIF(AI239:AI245,AI242)&gt;1)</f>
        <v>0</v>
      </c>
      <c r="AK242" s="316">
        <f t="shared" si="202"/>
        <v>0</v>
      </c>
      <c r="AL242" s="317">
        <f t="shared" si="203"/>
        <v>-120000</v>
      </c>
      <c r="AM242" s="415" t="b">
        <f>AND(AO242&lt;&gt;"",AO242&gt;0,COUNTIF(AL239:AL245,AL242)&gt;1)</f>
        <v>0</v>
      </c>
      <c r="AN242" s="306">
        <f t="shared" si="204"/>
        <v>0</v>
      </c>
      <c r="AO242" s="307">
        <f t="shared" si="205"/>
        <v>3</v>
      </c>
      <c r="AP242" s="307">
        <f>IF(OR(AC238="",AD242=""),"",COUNTIF(ResultsInd[Win],AC238&amp;"-"&amp;AD242))</f>
        <v>0</v>
      </c>
      <c r="AQ242" s="307">
        <f>IF(OR(AC238="",AD242=""),"",COUNTIF(ResultsInd[Draw1],AC238&amp;"-"&amp;AD242)+COUNTIF(ResultsInd[Draw2],AC238&amp;"-"&amp;AD242))</f>
        <v>0</v>
      </c>
      <c r="AR242" s="307">
        <f>IF(OR(AC238="",AD242=""),"",COUNTIF(ResultsInd[Lose],AC238&amp;"-"&amp;AD242))</f>
        <v>3</v>
      </c>
      <c r="AS242" s="307">
        <f>IF(OR(AC238="",AD242=""),"",SUMIFS(ResultsInd[Goal-A],ResultsInd[Category],AC238,ResultsInd[Stage],"Groups",ResultsInd[Player A],AD242)+SUMIFS(ResultsInd[Goal-B],ResultsInd[Category],AC238,ResultsInd[Stage],"Groups",ResultsInd[Player B],AD242))</f>
        <v>0</v>
      </c>
      <c r="AT242" s="307">
        <f>IF(OR(AC238="",AD242=""),"",SUMIFS(ResultsInd[Goal-B],ResultsInd[Category],AC238,ResultsInd[Stage],"Groups",ResultsInd[Player A],AD242)+SUMIFS(ResultsInd[Goal-A],ResultsInd[Category],AC238,ResultsInd[Stage],"Groups",ResultsInd[Player B],AD242))</f>
        <v>12</v>
      </c>
      <c r="AU242" s="308">
        <f t="shared" si="208"/>
        <v>-12</v>
      </c>
      <c r="AV242" s="469" t="b">
        <f>IF(AG242="","",OR(VLOOKUP(AG242,AH239:AU245,3,FALSE),VLOOKUP(AG242,AH239:AU245,6,FALSE)))</f>
        <v>0</v>
      </c>
      <c r="AW242" s="298">
        <f t="shared" si="206"/>
        <v>4</v>
      </c>
      <c r="AX242" s="285" t="str">
        <f>IF(AG242="","",INDEX(AD239:AD245,MATCH(AG242,AH239:AH245,0)))</f>
        <v>Gage Badger</v>
      </c>
      <c r="AY242" s="286">
        <f>IF(AG242="","",VLOOKUP(AG242,AH239:AU245,COLUMN()-COLUMN(AR238),FALSE))</f>
        <v>0</v>
      </c>
      <c r="AZ242" s="286">
        <f>IF(AG242="","",VLOOKUP(AG242,AH239:AU245,COLUMN()-COLUMN(AR238),FALSE))</f>
        <v>3</v>
      </c>
      <c r="BA242" s="286">
        <f>IF(AG242="","",VLOOKUP(AG242,AH239:AU245,COLUMN()-COLUMN(AR238),FALSE))</f>
        <v>0</v>
      </c>
      <c r="BB242" s="286">
        <f>IF(AG242="","",VLOOKUP(AG242,AH239:AU245,COLUMN()-COLUMN(AR238),FALSE))</f>
        <v>0</v>
      </c>
      <c r="BC242" s="286">
        <f>IF(AG242="","",VLOOKUP(AG242,AH239:AU245,COLUMN()-COLUMN(AR238),FALSE))</f>
        <v>3</v>
      </c>
      <c r="BD242" s="286">
        <f>IF(AG242="","",VLOOKUP(AG242,AH239:AU245,COLUMN()-COLUMN(AR238),FALSE))</f>
        <v>0</v>
      </c>
      <c r="BE242" s="286">
        <f>IF(AG242="","",VLOOKUP(AG242,AH239:AU245,COLUMN()-COLUMN(AR238),FALSE))</f>
        <v>12</v>
      </c>
      <c r="BF242" s="301">
        <f>IF(AG242="","",VLOOKUP(AG242,AH239:AU245,COLUMN()-COLUMN(AR238),FALSE))</f>
        <v>-12</v>
      </c>
    </row>
    <row r="243" spans="1:58" ht="12" thickBot="1" x14ac:dyDescent="0.25">
      <c r="A243" s="62"/>
      <c r="B243" s="62"/>
      <c r="C243" s="62"/>
      <c r="D243" s="62"/>
      <c r="E243" s="345"/>
      <c r="F243" s="345"/>
      <c r="G243" s="113"/>
      <c r="H243" s="113"/>
      <c r="I243" s="114"/>
      <c r="J243" s="114"/>
      <c r="K243" s="114"/>
      <c r="L243" s="81"/>
      <c r="M243" s="265" t="b">
        <f>NOT(ISERROR(ResultsInd[[#This Row],[Goal-A]]+ResultsInd[[#This Row],[Goal-B]]))</f>
        <v>1</v>
      </c>
      <c r="N243" s="265">
        <f>VALUE(ResultsInd[[#This Row],[Score-A]])</f>
        <v>0</v>
      </c>
      <c r="O243" s="265">
        <f>VALUE(ResultsInd[[#This Row],[Score-B]])</f>
        <v>0</v>
      </c>
      <c r="P243" s="265" t="str">
        <f ca="1">IF(AND(ResultsInd[[#This Row],[Category]]&lt;&gt;"",ResultsInd[[#This Row],[Player A]]&lt;&gt;""),COUNTIF(INDIRECT(ResultsInd[[#This Row],[Category]]&amp;"List[Retained Player Name]"),ResultsInd[[#This Row],[Player A]]),"")</f>
        <v/>
      </c>
      <c r="Q243" s="265" t="str">
        <f ca="1">IF(AND(ResultsInd[[#This Row],[Category]]&lt;&gt;"",ResultsInd[[#This Row],[Player B]]&lt;&gt;""),COUNTIF(INDIRECT(ResultsInd[[#This Row],[Category]]&amp;"List[Retained Player Name]"),ResultsInd[[#This Row],[Player B]]),"")</f>
        <v/>
      </c>
      <c r="R2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3" s="265" t="str">
        <f>IF(ResultsInd[[#This Row],[Score_OK]],IF(ResultsInd[[#This Row],[Stage]]="Groups",ResultsInd[[#This Row],[Category]]&amp;"-"&amp;IF(ResultsInd[[#This Row],[Player B]]="","",IF(ResultsInd[[#This Row],[Score-A]]=ResultsInd[[#This Row],[Score-B]],ResultsInd[[#This Row],[Player A]],"")),""),"")</f>
        <v/>
      </c>
      <c r="T243" s="265" t="str">
        <f>IF(ResultsInd[[#This Row],[Score_OK]],IF(ResultsInd[[#This Row],[Stage]]="Groups",ResultsInd[[#This Row],[Category]]&amp;"-"&amp;IF(ResultsInd[[#This Row],[Player B]]="","",IF(ResultsInd[[#This Row],[Score-A]]=ResultsInd[[#This Row],[Score-B]],ResultsInd[[#This Row],[Player B]],"")),""),"")</f>
        <v/>
      </c>
      <c r="U2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3" s="264" t="str">
        <f>IF(ResultsInd[[#This Row],[Category]]="","",VLOOKUP(ResultsInd[[#This Row],[Stage]],$P$1:$V$9,MATCH(ResultsInd[[#This Row],[Category]],$Q$1:$V$1,0)+1,FALSE))</f>
        <v/>
      </c>
      <c r="Z243" s="264" t="str">
        <f>IF(ResultsInd[[#This Row],[Score_OK]],IF(ResultsInd[[#This Row],[Level]]="R",ResultsInd[[#This Row],[Category]]&amp;"-"&amp;IF(ResultsInd[[#This Row],[LoseInKO]]=ResultsInd[[#This Row],[Category]]&amp;"-"&amp;ResultsInd[[#This Row],[Player A]],ResultsInd[[#This Row],[Player B]],ResultsInd[[#This Row],[Player A]]),""),"")</f>
        <v/>
      </c>
      <c r="AB243" s="91"/>
      <c r="AC243" s="12" t="str">
        <f t="shared" si="207"/>
        <v>OPEN</v>
      </c>
      <c r="AD243" s="309"/>
      <c r="AE243" s="310"/>
      <c r="AF243" s="311"/>
      <c r="AG243" s="292" t="str">
        <f>IF(AP243="","",SMALL(AH239:AH245,ROWS(AG239:AG243)))</f>
        <v/>
      </c>
      <c r="AH243" s="293" t="str">
        <f>IF(AP243="","",RANK(AL243,AL239:AL245)*1000+ROWS(AH239:AH243))</f>
        <v/>
      </c>
      <c r="AI243" s="316" t="str">
        <f t="shared" si="201"/>
        <v/>
      </c>
      <c r="AJ243" s="415" t="b">
        <f>AND(AO243&lt;&gt;"",AO243&gt;0,COUNTIF(AI239:AI245,AI243)&gt;1)</f>
        <v>0</v>
      </c>
      <c r="AK243" s="316" t="str">
        <f t="shared" si="202"/>
        <v/>
      </c>
      <c r="AL243" s="317" t="str">
        <f t="shared" si="203"/>
        <v/>
      </c>
      <c r="AM243" s="415" t="b">
        <f>AND(AO243&lt;&gt;"",AO243&gt;0,COUNTIF(AL239:AL245,AL243)&gt;1)</f>
        <v>0</v>
      </c>
      <c r="AN243" s="306" t="str">
        <f t="shared" si="204"/>
        <v/>
      </c>
      <c r="AO243" s="307" t="str">
        <f t="shared" si="205"/>
        <v/>
      </c>
      <c r="AP243" s="307" t="str">
        <f>IF(OR(AC238="",AD243=""),"",COUNTIF(ResultsInd[Win],AC238&amp;"-"&amp;AD243))</f>
        <v/>
      </c>
      <c r="AQ243" s="307" t="str">
        <f>IF(OR(AC238="",AD243=""),"",COUNTIF(ResultsInd[Draw1],AC238&amp;"-"&amp;AD243)+COUNTIF(ResultsInd[Draw2],AC238&amp;"-"&amp;AD243))</f>
        <v/>
      </c>
      <c r="AR243" s="307" t="str">
        <f>IF(OR(AC238="",AD243=""),"",COUNTIF(ResultsInd[Lose],AC238&amp;"-"&amp;AD243))</f>
        <v/>
      </c>
      <c r="AS243" s="307" t="str">
        <f>IF(OR(AC238="",AD243=""),"",SUMIFS(ResultsInd[Goal-A],ResultsInd[Category],AC238,ResultsInd[Stage],"Groups",ResultsInd[Player A],AD243)+SUMIFS(ResultsInd[Goal-B],ResultsInd[Category],AC238,ResultsInd[Stage],"Groups",ResultsInd[Player B],AD243))</f>
        <v/>
      </c>
      <c r="AT243" s="307" t="str">
        <f>IF(OR(AC238="",AD243=""),"",SUMIFS(ResultsInd[Goal-B],ResultsInd[Category],AC238,ResultsInd[Stage],"Groups",ResultsInd[Player A],AD243)+SUMIFS(ResultsInd[Goal-A],ResultsInd[Category],AC238,ResultsInd[Stage],"Groups",ResultsInd[Player B],AD243))</f>
        <v/>
      </c>
      <c r="AU243" s="308" t="str">
        <f t="shared" si="208"/>
        <v/>
      </c>
      <c r="AV243" s="469" t="str">
        <f>IF(AG243="","",OR(VLOOKUP(AG243,AH239:AU245,3,FALSE),VLOOKUP(AG243,AH239:AU245,6,FALSE)))</f>
        <v/>
      </c>
      <c r="AW243" s="298" t="str">
        <f t="shared" si="206"/>
        <v/>
      </c>
      <c r="AX243" s="285" t="str">
        <f>IF(AG243="","",INDEX(AD239:AD245,MATCH(AG243,AH239:AH245,0)))</f>
        <v/>
      </c>
      <c r="AY243" s="286" t="str">
        <f>IF(AG243="","",VLOOKUP(AG243,AH239:AU245,COLUMN()-COLUMN(AR238),FALSE))</f>
        <v/>
      </c>
      <c r="AZ243" s="286" t="str">
        <f>IF(AG243="","",VLOOKUP(AG243,AH239:AU245,COLUMN()-COLUMN(AR238),FALSE))</f>
        <v/>
      </c>
      <c r="BA243" s="286" t="str">
        <f>IF(AG243="","",VLOOKUP(AG243,AH239:AU245,COLUMN()-COLUMN(AR238),FALSE))</f>
        <v/>
      </c>
      <c r="BB243" s="286" t="str">
        <f>IF(AG243="","",VLOOKUP(AG243,AH239:AU245,COLUMN()-COLUMN(AR238),FALSE))</f>
        <v/>
      </c>
      <c r="BC243" s="286" t="str">
        <f>IF(AG243="","",VLOOKUP(AG243,AH239:AU245,COLUMN()-COLUMN(AR238),FALSE))</f>
        <v/>
      </c>
      <c r="BD243" s="286" t="str">
        <f>IF(AG243="","",VLOOKUP(AG243,AH239:AU245,COLUMN()-COLUMN(AR238),FALSE))</f>
        <v/>
      </c>
      <c r="BE243" s="286" t="str">
        <f>IF(AG243="","",VLOOKUP(AG243,AH239:AU245,COLUMN()-COLUMN(AR238),FALSE))</f>
        <v/>
      </c>
      <c r="BF243" s="301" t="str">
        <f>IF(AG243="","",VLOOKUP(AG243,AH239:AU245,COLUMN()-COLUMN(AR238),FALSE))</f>
        <v/>
      </c>
    </row>
    <row r="244" spans="1:58" ht="12" thickBot="1" x14ac:dyDescent="0.25">
      <c r="A244" s="62"/>
      <c r="B244" s="62"/>
      <c r="C244" s="62"/>
      <c r="D244" s="62"/>
      <c r="E244" s="345"/>
      <c r="F244" s="345"/>
      <c r="G244" s="113"/>
      <c r="H244" s="113"/>
      <c r="I244" s="114"/>
      <c r="J244" s="114"/>
      <c r="K244" s="114"/>
      <c r="L244" s="81"/>
      <c r="M244" s="265" t="b">
        <f>NOT(ISERROR(ResultsInd[[#This Row],[Goal-A]]+ResultsInd[[#This Row],[Goal-B]]))</f>
        <v>1</v>
      </c>
      <c r="N244" s="265">
        <f>VALUE(ResultsInd[[#This Row],[Score-A]])</f>
        <v>0</v>
      </c>
      <c r="O244" s="265">
        <f>VALUE(ResultsInd[[#This Row],[Score-B]])</f>
        <v>0</v>
      </c>
      <c r="P244" s="265" t="str">
        <f ca="1">IF(AND(ResultsInd[[#This Row],[Category]]&lt;&gt;"",ResultsInd[[#This Row],[Player A]]&lt;&gt;""),COUNTIF(INDIRECT(ResultsInd[[#This Row],[Category]]&amp;"List[Retained Player Name]"),ResultsInd[[#This Row],[Player A]]),"")</f>
        <v/>
      </c>
      <c r="Q244" s="265" t="str">
        <f ca="1">IF(AND(ResultsInd[[#This Row],[Category]]&lt;&gt;"",ResultsInd[[#This Row],[Player B]]&lt;&gt;""),COUNTIF(INDIRECT(ResultsInd[[#This Row],[Category]]&amp;"List[Retained Player Name]"),ResultsInd[[#This Row],[Player B]]),"")</f>
        <v/>
      </c>
      <c r="R2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4" s="265" t="str">
        <f>IF(ResultsInd[[#This Row],[Score_OK]],IF(ResultsInd[[#This Row],[Stage]]="Groups",ResultsInd[[#This Row],[Category]]&amp;"-"&amp;IF(ResultsInd[[#This Row],[Player B]]="","",IF(ResultsInd[[#This Row],[Score-A]]=ResultsInd[[#This Row],[Score-B]],ResultsInd[[#This Row],[Player A]],"")),""),"")</f>
        <v/>
      </c>
      <c r="T244" s="265" t="str">
        <f>IF(ResultsInd[[#This Row],[Score_OK]],IF(ResultsInd[[#This Row],[Stage]]="Groups",ResultsInd[[#This Row],[Category]]&amp;"-"&amp;IF(ResultsInd[[#This Row],[Player B]]="","",IF(ResultsInd[[#This Row],[Score-A]]=ResultsInd[[#This Row],[Score-B]],ResultsInd[[#This Row],[Player B]],"")),""),"")</f>
        <v/>
      </c>
      <c r="U2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4" s="264" t="str">
        <f>IF(ResultsInd[[#This Row],[Category]]="","",VLOOKUP(ResultsInd[[#This Row],[Stage]],$P$1:$V$9,MATCH(ResultsInd[[#This Row],[Category]],$Q$1:$V$1,0)+1,FALSE))</f>
        <v/>
      </c>
      <c r="Z244" s="264" t="str">
        <f>IF(ResultsInd[[#This Row],[Score_OK]],IF(ResultsInd[[#This Row],[Level]]="R",ResultsInd[[#This Row],[Category]]&amp;"-"&amp;IF(ResultsInd[[#This Row],[LoseInKO]]=ResultsInd[[#This Row],[Category]]&amp;"-"&amp;ResultsInd[[#This Row],[Player A]],ResultsInd[[#This Row],[Player B]],ResultsInd[[#This Row],[Player A]]),""),"")</f>
        <v/>
      </c>
      <c r="AB244" s="8"/>
      <c r="AC244" s="12" t="str">
        <f t="shared" si="207"/>
        <v>OPEN</v>
      </c>
      <c r="AD244" s="309"/>
      <c r="AE244" s="310"/>
      <c r="AF244" s="311"/>
      <c r="AG244" s="292" t="str">
        <f>IF(AP244="","",SMALL(AH239:AH245,ROWS(AG239:AG244)))</f>
        <v/>
      </c>
      <c r="AH244" s="293" t="str">
        <f>IF(AP244="","",RANK(AL244,AL239:AL245)*1000+ROWS(AH239:AH244))</f>
        <v/>
      </c>
      <c r="AI244" s="316" t="str">
        <f t="shared" si="201"/>
        <v/>
      </c>
      <c r="AJ244" s="415" t="b">
        <f>AND(AO244&lt;&gt;"",AO244&gt;0,COUNTIF(AI239:AI245,AI244)&gt;1)</f>
        <v>0</v>
      </c>
      <c r="AK244" s="316" t="str">
        <f t="shared" si="202"/>
        <v/>
      </c>
      <c r="AL244" s="317" t="str">
        <f t="shared" si="203"/>
        <v/>
      </c>
      <c r="AM244" s="415" t="b">
        <f>AND(AO244&lt;&gt;"",AO244&gt;0,COUNTIF(AL239:AL245,AL244)&gt;1)</f>
        <v>0</v>
      </c>
      <c r="AN244" s="306" t="str">
        <f t="shared" si="204"/>
        <v/>
      </c>
      <c r="AO244" s="307" t="str">
        <f t="shared" si="205"/>
        <v/>
      </c>
      <c r="AP244" s="307" t="str">
        <f>IF(OR(AC238="",AD244=""),"",COUNTIF(ResultsInd[Win],AC238&amp;"-"&amp;AD244))</f>
        <v/>
      </c>
      <c r="AQ244" s="307" t="str">
        <f>IF(OR(AC238="",AD244=""),"",COUNTIF(ResultsInd[Draw1],AC238&amp;"-"&amp;AD244)+COUNTIF(ResultsInd[Draw2],AC238&amp;"-"&amp;AD244))</f>
        <v/>
      </c>
      <c r="AR244" s="307" t="str">
        <f>IF(OR(AC238="",AD244=""),"",COUNTIF(ResultsInd[Lose],AC238&amp;"-"&amp;AD244))</f>
        <v/>
      </c>
      <c r="AS244" s="307" t="str">
        <f>IF(OR(AC238="",AD244=""),"",SUMIFS(ResultsInd[Goal-A],ResultsInd[Category],AC238,ResultsInd[Stage],"Groups",ResultsInd[Player A],AD244)+SUMIFS(ResultsInd[Goal-B],ResultsInd[Category],AC238,ResultsInd[Stage],"Groups",ResultsInd[Player B],AD244))</f>
        <v/>
      </c>
      <c r="AT244" s="307" t="str">
        <f>IF(OR(AC238="",AD244=""),"",SUMIFS(ResultsInd[Goal-B],ResultsInd[Category],AC238,ResultsInd[Stage],"Groups",ResultsInd[Player A],AD244)+SUMIFS(ResultsInd[Goal-A],ResultsInd[Category],AC238,ResultsInd[Stage],"Groups",ResultsInd[Player B],AD244))</f>
        <v/>
      </c>
      <c r="AU244" s="308" t="str">
        <f t="shared" si="208"/>
        <v/>
      </c>
      <c r="AV244" s="469" t="str">
        <f>IF(AG244="","",OR(VLOOKUP(AG244,AH239:AU245,3,FALSE),VLOOKUP(AG244,AH239:AU245,6,FALSE)))</f>
        <v/>
      </c>
      <c r="AW244" s="298" t="str">
        <f t="shared" si="206"/>
        <v/>
      </c>
      <c r="AX244" s="285" t="str">
        <f>IF(AG244="","",INDEX(AD239:AD245,MATCH(AG244,AH239:AH245,0)))</f>
        <v/>
      </c>
      <c r="AY244" s="286" t="str">
        <f>IF(AG244="","",VLOOKUP(AG244,AH239:AU245,COLUMN()-COLUMN(AR238),FALSE))</f>
        <v/>
      </c>
      <c r="AZ244" s="286" t="str">
        <f>IF(AG244="","",VLOOKUP(AG244,AH239:AU245,COLUMN()-COLUMN(AR238),FALSE))</f>
        <v/>
      </c>
      <c r="BA244" s="286" t="str">
        <f>IF(AG244="","",VLOOKUP(AG244,AH239:AU245,COLUMN()-COLUMN(AR238),FALSE))</f>
        <v/>
      </c>
      <c r="BB244" s="286" t="str">
        <f>IF(AG244="","",VLOOKUP(AG244,AH239:AU245,COLUMN()-COLUMN(AR238),FALSE))</f>
        <v/>
      </c>
      <c r="BC244" s="286" t="str">
        <f>IF(AG244="","",VLOOKUP(AG244,AH239:AU245,COLUMN()-COLUMN(AR238),FALSE))</f>
        <v/>
      </c>
      <c r="BD244" s="286" t="str">
        <f>IF(AG244="","",VLOOKUP(AG244,AH239:AU245,COLUMN()-COLUMN(AR238),FALSE))</f>
        <v/>
      </c>
      <c r="BE244" s="286" t="str">
        <f>IF(AG244="","",VLOOKUP(AG244,AH239:AU245,COLUMN()-COLUMN(AR238),FALSE))</f>
        <v/>
      </c>
      <c r="BF244" s="301" t="str">
        <f>IF(AG244="","",VLOOKUP(AG244,AH239:AU245,COLUMN()-COLUMN(AR238),FALSE))</f>
        <v/>
      </c>
    </row>
    <row r="245" spans="1:58" ht="12" thickBot="1" x14ac:dyDescent="0.25">
      <c r="A245" s="62"/>
      <c r="B245" s="62"/>
      <c r="C245" s="62"/>
      <c r="D245" s="62"/>
      <c r="E245" s="345"/>
      <c r="F245" s="345"/>
      <c r="G245" s="113"/>
      <c r="H245" s="113"/>
      <c r="I245" s="114"/>
      <c r="J245" s="114"/>
      <c r="K245" s="114"/>
      <c r="L245" s="81"/>
      <c r="M245" s="265" t="b">
        <f>NOT(ISERROR(ResultsInd[[#This Row],[Goal-A]]+ResultsInd[[#This Row],[Goal-B]]))</f>
        <v>1</v>
      </c>
      <c r="N245" s="265">
        <f>VALUE(ResultsInd[[#This Row],[Score-A]])</f>
        <v>0</v>
      </c>
      <c r="O245" s="265">
        <f>VALUE(ResultsInd[[#This Row],[Score-B]])</f>
        <v>0</v>
      </c>
      <c r="P245" s="265" t="str">
        <f ca="1">IF(AND(ResultsInd[[#This Row],[Category]]&lt;&gt;"",ResultsInd[[#This Row],[Player A]]&lt;&gt;""),COUNTIF(INDIRECT(ResultsInd[[#This Row],[Category]]&amp;"List[Retained Player Name]"),ResultsInd[[#This Row],[Player A]]),"")</f>
        <v/>
      </c>
      <c r="Q245" s="265" t="str">
        <f ca="1">IF(AND(ResultsInd[[#This Row],[Category]]&lt;&gt;"",ResultsInd[[#This Row],[Player B]]&lt;&gt;""),COUNTIF(INDIRECT(ResultsInd[[#This Row],[Category]]&amp;"List[Retained Player Name]"),ResultsInd[[#This Row],[Player B]]),"")</f>
        <v/>
      </c>
      <c r="R2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5" s="265" t="str">
        <f>IF(ResultsInd[[#This Row],[Score_OK]],IF(ResultsInd[[#This Row],[Stage]]="Groups",ResultsInd[[#This Row],[Category]]&amp;"-"&amp;IF(ResultsInd[[#This Row],[Player B]]="","",IF(ResultsInd[[#This Row],[Score-A]]=ResultsInd[[#This Row],[Score-B]],ResultsInd[[#This Row],[Player A]],"")),""),"")</f>
        <v/>
      </c>
      <c r="T245" s="265" t="str">
        <f>IF(ResultsInd[[#This Row],[Score_OK]],IF(ResultsInd[[#This Row],[Stage]]="Groups",ResultsInd[[#This Row],[Category]]&amp;"-"&amp;IF(ResultsInd[[#This Row],[Player B]]="","",IF(ResultsInd[[#This Row],[Score-A]]=ResultsInd[[#This Row],[Score-B]],ResultsInd[[#This Row],[Player B]],"")),""),"")</f>
        <v/>
      </c>
      <c r="U2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5" s="264" t="str">
        <f>IF(ResultsInd[[#This Row],[Category]]="","",VLOOKUP(ResultsInd[[#This Row],[Stage]],$P$1:$V$9,MATCH(ResultsInd[[#This Row],[Category]],$Q$1:$V$1,0)+1,FALSE))</f>
        <v/>
      </c>
      <c r="Z245" s="264" t="str">
        <f>IF(ResultsInd[[#This Row],[Score_OK]],IF(ResultsInd[[#This Row],[Level]]="R",ResultsInd[[#This Row],[Category]]&amp;"-"&amp;IF(ResultsInd[[#This Row],[LoseInKO]]=ResultsInd[[#This Row],[Category]]&amp;"-"&amp;ResultsInd[[#This Row],[Player A]],ResultsInd[[#This Row],[Player B]],ResultsInd[[#This Row],[Player A]]),""),"")</f>
        <v/>
      </c>
      <c r="AB245" s="8"/>
      <c r="AC245" s="12" t="str">
        <f t="shared" si="207"/>
        <v>OPEN</v>
      </c>
      <c r="AD245" s="312"/>
      <c r="AE245" s="313"/>
      <c r="AF245" s="314"/>
      <c r="AG245" s="294" t="str">
        <f>IF(AP245="","",SMALL(AH239:AH245,ROWS(AG239:AG245)))</f>
        <v/>
      </c>
      <c r="AH245" s="295" t="str">
        <f>IF(AP245="","",RANK(AL245,AL239:AL245)*1000+ROWS(AH239:AH245))</f>
        <v/>
      </c>
      <c r="AI245" s="318" t="str">
        <f t="shared" si="201"/>
        <v/>
      </c>
      <c r="AJ245" s="416" t="b">
        <f>AND(AO245&lt;&gt;"",AO245&gt;0,COUNTIF(AI239:AI245,AI245)&gt;1)</f>
        <v>0</v>
      </c>
      <c r="AK245" s="318" t="str">
        <f t="shared" si="202"/>
        <v/>
      </c>
      <c r="AL245" s="319" t="str">
        <f t="shared" si="203"/>
        <v/>
      </c>
      <c r="AM245" s="416" t="b">
        <f>AND(AO245&lt;&gt;"",AO245&gt;0,COUNTIF(AL239:AL245,AL245)&gt;1)</f>
        <v>0</v>
      </c>
      <c r="AN245" s="306" t="str">
        <f t="shared" si="204"/>
        <v/>
      </c>
      <c r="AO245" s="307" t="str">
        <f t="shared" si="205"/>
        <v/>
      </c>
      <c r="AP245" s="307" t="str">
        <f>IF(OR(AC238="",AD245=""),"",COUNTIF(ResultsInd[Win],AC238&amp;"-"&amp;AD245))</f>
        <v/>
      </c>
      <c r="AQ245" s="307" t="str">
        <f>IF(OR(AC238="",AD245=""),"",COUNTIF(ResultsInd[Draw1],AC238&amp;"-"&amp;AD245)+COUNTIF(ResultsInd[Draw2],AC238&amp;"-"&amp;AD245))</f>
        <v/>
      </c>
      <c r="AR245" s="307" t="str">
        <f>IF(OR(AC238="",AD245=""),"",COUNTIF(ResultsInd[Lose],AC238&amp;"-"&amp;AD245))</f>
        <v/>
      </c>
      <c r="AS245" s="307" t="str">
        <f>IF(OR(AC238="",AD245=""),"",SUMIFS(ResultsInd[Goal-A],ResultsInd[Category],AC238,ResultsInd[Stage],"Groups",ResultsInd[Player A],AD245)+SUMIFS(ResultsInd[Goal-B],ResultsInd[Category],AC238,ResultsInd[Stage],"Groups",ResultsInd[Player B],AD245))</f>
        <v/>
      </c>
      <c r="AT245" s="307" t="str">
        <f>IF(OR(AC238="",AD245=""),"",SUMIFS(ResultsInd[Goal-B],ResultsInd[Category],AC238,ResultsInd[Stage],"Groups",ResultsInd[Player A],AD245)+SUMIFS(ResultsInd[Goal-A],ResultsInd[Category],AC238,ResultsInd[Stage],"Groups",ResultsInd[Player B],AD245))</f>
        <v/>
      </c>
      <c r="AU245" s="308" t="str">
        <f t="shared" si="208"/>
        <v/>
      </c>
      <c r="AV245" s="469" t="str">
        <f>IF(AG245="","",OR(VLOOKUP(AG245,AH239:AU245,3,FALSE),VLOOKUP(AG245,AH239:AU245,6,FALSE)))</f>
        <v/>
      </c>
      <c r="AW245" s="299" t="str">
        <f t="shared" si="206"/>
        <v/>
      </c>
      <c r="AX245" s="287" t="str">
        <f>IF(AG245="","",INDEX(AD239:AD245,MATCH(AG245,AH239:AH245,0)))</f>
        <v/>
      </c>
      <c r="AY245" s="288" t="str">
        <f>IF(AG245="","",VLOOKUP(AG245,AH239:AU245,COLUMN()-COLUMN(AR238),FALSE))</f>
        <v/>
      </c>
      <c r="AZ245" s="288" t="str">
        <f>IF(AG245="","",VLOOKUP(AG245,AH239:AU245,COLUMN()-COLUMN(AR238),FALSE))</f>
        <v/>
      </c>
      <c r="BA245" s="288" t="str">
        <f>IF(AG245="","",VLOOKUP(AG245,AH239:AU245,COLUMN()-COLUMN(AR238),FALSE))</f>
        <v/>
      </c>
      <c r="BB245" s="288" t="str">
        <f>IF(AG245="","",VLOOKUP(AG245,AH239:AU245,COLUMN()-COLUMN(AR238),FALSE))</f>
        <v/>
      </c>
      <c r="BC245" s="288" t="str">
        <f>IF(AG245="","",VLOOKUP(AG245,AH239:AU245,COLUMN()-COLUMN(AR238),FALSE))</f>
        <v/>
      </c>
      <c r="BD245" s="288" t="str">
        <f>IF(AG245="","",VLOOKUP(AG245,AH239:AU245,COLUMN()-COLUMN(AR238),FALSE))</f>
        <v/>
      </c>
      <c r="BE245" s="288" t="str">
        <f>IF(AG245="","",VLOOKUP(AG245,AH239:AU245,COLUMN()-COLUMN(AR238),FALSE))</f>
        <v/>
      </c>
      <c r="BF245" s="302" t="str">
        <f>IF(AG245="","",VLOOKUP(AG245,AH239:AU245,COLUMN()-COLUMN(AR238),FALSE))</f>
        <v/>
      </c>
    </row>
    <row r="246" spans="1:58" ht="13.5" thickBot="1" x14ac:dyDescent="0.25">
      <c r="A246" s="62"/>
      <c r="B246" s="62"/>
      <c r="C246" s="62"/>
      <c r="D246" s="62"/>
      <c r="E246" s="345"/>
      <c r="F246" s="345"/>
      <c r="G246" s="113"/>
      <c r="H246" s="113"/>
      <c r="I246" s="114"/>
      <c r="J246" s="114"/>
      <c r="K246" s="114"/>
      <c r="L246" s="81"/>
      <c r="M246" s="265" t="b">
        <f>NOT(ISERROR(ResultsInd[[#This Row],[Goal-A]]+ResultsInd[[#This Row],[Goal-B]]))</f>
        <v>1</v>
      </c>
      <c r="N246" s="265">
        <f>VALUE(ResultsInd[[#This Row],[Score-A]])</f>
        <v>0</v>
      </c>
      <c r="O246" s="265">
        <f>VALUE(ResultsInd[[#This Row],[Score-B]])</f>
        <v>0</v>
      </c>
      <c r="P246" s="265" t="str">
        <f ca="1">IF(AND(ResultsInd[[#This Row],[Category]]&lt;&gt;"",ResultsInd[[#This Row],[Player A]]&lt;&gt;""),COUNTIF(INDIRECT(ResultsInd[[#This Row],[Category]]&amp;"List[Retained Player Name]"),ResultsInd[[#This Row],[Player A]]),"")</f>
        <v/>
      </c>
      <c r="Q246" s="265" t="str">
        <f ca="1">IF(AND(ResultsInd[[#This Row],[Category]]&lt;&gt;"",ResultsInd[[#This Row],[Player B]]&lt;&gt;""),COUNTIF(INDIRECT(ResultsInd[[#This Row],[Category]]&amp;"List[Retained Player Name]"),ResultsInd[[#This Row],[Player B]]),"")</f>
        <v/>
      </c>
      <c r="R2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6" s="265" t="str">
        <f>IF(ResultsInd[[#This Row],[Score_OK]],IF(ResultsInd[[#This Row],[Stage]]="Groups",ResultsInd[[#This Row],[Category]]&amp;"-"&amp;IF(ResultsInd[[#This Row],[Player B]]="","",IF(ResultsInd[[#This Row],[Score-A]]=ResultsInd[[#This Row],[Score-B]],ResultsInd[[#This Row],[Player A]],"")),""),"")</f>
        <v/>
      </c>
      <c r="T246" s="265" t="str">
        <f>IF(ResultsInd[[#This Row],[Score_OK]],IF(ResultsInd[[#This Row],[Stage]]="Groups",ResultsInd[[#This Row],[Category]]&amp;"-"&amp;IF(ResultsInd[[#This Row],[Player B]]="","",IF(ResultsInd[[#This Row],[Score-A]]=ResultsInd[[#This Row],[Score-B]],ResultsInd[[#This Row],[Player B]],"")),""),"")</f>
        <v/>
      </c>
      <c r="U2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6" s="264" t="str">
        <f>IF(ResultsInd[[#This Row],[Category]]="","",VLOOKUP(ResultsInd[[#This Row],[Stage]],$P$1:$V$9,MATCH(ResultsInd[[#This Row],[Category]],$Q$1:$V$1,0)+1,FALSE))</f>
        <v/>
      </c>
      <c r="Z246" s="264" t="str">
        <f>IF(ResultsInd[[#This Row],[Score_OK]],IF(ResultsInd[[#This Row],[Level]]="R",ResultsInd[[#This Row],[Category]]&amp;"-"&amp;IF(ResultsInd[[#This Row],[LoseInKO]]=ResultsInd[[#This Row],[Category]]&amp;"-"&amp;ResultsInd[[#This Row],[Player A]],ResultsInd[[#This Row],[Player B]],ResultsInd[[#This Row],[Player A]]),""),"")</f>
        <v/>
      </c>
      <c r="AB246" s="8"/>
      <c r="AC246" s="8"/>
      <c r="AF246" s="170"/>
      <c r="AG246" s="101"/>
      <c r="AH246" s="101"/>
      <c r="AN246" s="170"/>
      <c r="AO246" s="170"/>
      <c r="AP246" s="170"/>
      <c r="AQ246" s="172"/>
      <c r="AR246" s="173"/>
      <c r="AS246" s="173"/>
      <c r="AT246" s="173"/>
      <c r="AU246" s="101"/>
      <c r="AV246" s="101"/>
      <c r="AW246" s="101"/>
      <c r="AX246" s="101"/>
      <c r="AY246" s="101"/>
      <c r="AZ246" s="101"/>
    </row>
    <row r="247" spans="1:58" ht="12" thickBot="1" x14ac:dyDescent="0.25">
      <c r="A247" s="62"/>
      <c r="B247" s="62"/>
      <c r="C247" s="62"/>
      <c r="D247" s="62"/>
      <c r="E247" s="345"/>
      <c r="F247" s="345"/>
      <c r="G247" s="113"/>
      <c r="H247" s="113"/>
      <c r="I247" s="114"/>
      <c r="J247" s="114"/>
      <c r="K247" s="114"/>
      <c r="L247" s="81"/>
      <c r="M247" s="265" t="b">
        <f>NOT(ISERROR(ResultsInd[[#This Row],[Goal-A]]+ResultsInd[[#This Row],[Goal-B]]))</f>
        <v>1</v>
      </c>
      <c r="N247" s="265">
        <f>VALUE(ResultsInd[[#This Row],[Score-A]])</f>
        <v>0</v>
      </c>
      <c r="O247" s="265">
        <f>VALUE(ResultsInd[[#This Row],[Score-B]])</f>
        <v>0</v>
      </c>
      <c r="P247" s="265" t="str">
        <f ca="1">IF(AND(ResultsInd[[#This Row],[Category]]&lt;&gt;"",ResultsInd[[#This Row],[Player A]]&lt;&gt;""),COUNTIF(INDIRECT(ResultsInd[[#This Row],[Category]]&amp;"List[Retained Player Name]"),ResultsInd[[#This Row],[Player A]]),"")</f>
        <v/>
      </c>
      <c r="Q247" s="265" t="str">
        <f ca="1">IF(AND(ResultsInd[[#This Row],[Category]]&lt;&gt;"",ResultsInd[[#This Row],[Player B]]&lt;&gt;""),COUNTIF(INDIRECT(ResultsInd[[#This Row],[Category]]&amp;"List[Retained Player Name]"),ResultsInd[[#This Row],[Player B]]),"")</f>
        <v/>
      </c>
      <c r="R2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7" s="265" t="str">
        <f>IF(ResultsInd[[#This Row],[Score_OK]],IF(ResultsInd[[#This Row],[Stage]]="Groups",ResultsInd[[#This Row],[Category]]&amp;"-"&amp;IF(ResultsInd[[#This Row],[Player B]]="","",IF(ResultsInd[[#This Row],[Score-A]]=ResultsInd[[#This Row],[Score-B]],ResultsInd[[#This Row],[Player A]],"")),""),"")</f>
        <v/>
      </c>
      <c r="T247" s="265" t="str">
        <f>IF(ResultsInd[[#This Row],[Score_OK]],IF(ResultsInd[[#This Row],[Stage]]="Groups",ResultsInd[[#This Row],[Category]]&amp;"-"&amp;IF(ResultsInd[[#This Row],[Player B]]="","",IF(ResultsInd[[#This Row],[Score-A]]=ResultsInd[[#This Row],[Score-B]],ResultsInd[[#This Row],[Player B]],"")),""),"")</f>
        <v/>
      </c>
      <c r="U2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7" s="264" t="str">
        <f>IF(ResultsInd[[#This Row],[Category]]="","",VLOOKUP(ResultsInd[[#This Row],[Stage]],$P$1:$V$9,MATCH(ResultsInd[[#This Row],[Category]],$Q$1:$V$1,0)+1,FALSE))</f>
        <v/>
      </c>
      <c r="Z247" s="264" t="str">
        <f>IF(ResultsInd[[#This Row],[Score_OK]],IF(ResultsInd[[#This Row],[Level]]="R",ResultsInd[[#This Row],[Category]]&amp;"-"&amp;IF(ResultsInd[[#This Row],[LoseInKO]]=ResultsInd[[#This Row],[Category]]&amp;"-"&amp;ResultsInd[[#This Row],[Player A]],ResultsInd[[#This Row],[Player B]],ResultsInd[[#This Row],[Player A]]),""),"")</f>
        <v/>
      </c>
      <c r="AB247" s="281">
        <v>26</v>
      </c>
      <c r="AC247" s="315" t="s">
        <v>890</v>
      </c>
      <c r="AD247" s="289" t="s">
        <v>14439</v>
      </c>
      <c r="AE247" s="290" t="s">
        <v>12279</v>
      </c>
      <c r="AF247" s="284" t="s">
        <v>12275</v>
      </c>
      <c r="AG247" s="296" t="s">
        <v>12276</v>
      </c>
      <c r="AH247" s="291" t="s">
        <v>12271</v>
      </c>
      <c r="AI247" s="291" t="s">
        <v>12272</v>
      </c>
      <c r="AJ247" s="414" t="s">
        <v>13154</v>
      </c>
      <c r="AK247" s="291" t="s">
        <v>12273</v>
      </c>
      <c r="AL247" s="297" t="s">
        <v>12274</v>
      </c>
      <c r="AM247" s="414" t="s">
        <v>13154</v>
      </c>
      <c r="AN247" s="303" t="s">
        <v>12199</v>
      </c>
      <c r="AO247" s="304" t="s">
        <v>12200</v>
      </c>
      <c r="AP247" s="304" t="s">
        <v>12201</v>
      </c>
      <c r="AQ247" s="304" t="s">
        <v>12202</v>
      </c>
      <c r="AR247" s="304" t="s">
        <v>12203</v>
      </c>
      <c r="AS247" s="304" t="s">
        <v>12204</v>
      </c>
      <c r="AT247" s="304" t="s">
        <v>12205</v>
      </c>
      <c r="AU247" s="305" t="s">
        <v>12206</v>
      </c>
      <c r="AV247" s="468"/>
      <c r="AW247" s="282" t="s">
        <v>12276</v>
      </c>
      <c r="AX247" s="282" t="s">
        <v>12280</v>
      </c>
      <c r="AY247" s="283" t="s">
        <v>12199</v>
      </c>
      <c r="AZ247" s="283" t="s">
        <v>12200</v>
      </c>
      <c r="BA247" s="283" t="s">
        <v>12201</v>
      </c>
      <c r="BB247" s="283" t="s">
        <v>12202</v>
      </c>
      <c r="BC247" s="283" t="s">
        <v>12203</v>
      </c>
      <c r="BD247" s="283" t="s">
        <v>12204</v>
      </c>
      <c r="BE247" s="283" t="s">
        <v>12205</v>
      </c>
      <c r="BF247" s="300" t="s">
        <v>12206</v>
      </c>
    </row>
    <row r="248" spans="1:58" ht="12" thickBot="1" x14ac:dyDescent="0.25">
      <c r="A248" s="62"/>
      <c r="B248" s="62"/>
      <c r="C248" s="62"/>
      <c r="D248" s="62"/>
      <c r="E248" s="345"/>
      <c r="F248" s="345"/>
      <c r="G248" s="113"/>
      <c r="H248" s="113"/>
      <c r="I248" s="114"/>
      <c r="J248" s="114"/>
      <c r="K248" s="114"/>
      <c r="L248" s="81"/>
      <c r="M248" s="265" t="b">
        <f>NOT(ISERROR(ResultsInd[[#This Row],[Goal-A]]+ResultsInd[[#This Row],[Goal-B]]))</f>
        <v>1</v>
      </c>
      <c r="N248" s="265">
        <f>VALUE(ResultsInd[[#This Row],[Score-A]])</f>
        <v>0</v>
      </c>
      <c r="O248" s="265">
        <f>VALUE(ResultsInd[[#This Row],[Score-B]])</f>
        <v>0</v>
      </c>
      <c r="P248" s="265" t="str">
        <f ca="1">IF(AND(ResultsInd[[#This Row],[Category]]&lt;&gt;"",ResultsInd[[#This Row],[Player A]]&lt;&gt;""),COUNTIF(INDIRECT(ResultsInd[[#This Row],[Category]]&amp;"List[Retained Player Name]"),ResultsInd[[#This Row],[Player A]]),"")</f>
        <v/>
      </c>
      <c r="Q248" s="265" t="str">
        <f ca="1">IF(AND(ResultsInd[[#This Row],[Category]]&lt;&gt;"",ResultsInd[[#This Row],[Player B]]&lt;&gt;""),COUNTIF(INDIRECT(ResultsInd[[#This Row],[Category]]&amp;"List[Retained Player Name]"),ResultsInd[[#This Row],[Player B]]),"")</f>
        <v/>
      </c>
      <c r="R2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8" s="265" t="str">
        <f>IF(ResultsInd[[#This Row],[Score_OK]],IF(ResultsInd[[#This Row],[Stage]]="Groups",ResultsInd[[#This Row],[Category]]&amp;"-"&amp;IF(ResultsInd[[#This Row],[Player B]]="","",IF(ResultsInd[[#This Row],[Score-A]]=ResultsInd[[#This Row],[Score-B]],ResultsInd[[#This Row],[Player A]],"")),""),"")</f>
        <v/>
      </c>
      <c r="T248" s="265" t="str">
        <f>IF(ResultsInd[[#This Row],[Score_OK]],IF(ResultsInd[[#This Row],[Stage]]="Groups",ResultsInd[[#This Row],[Category]]&amp;"-"&amp;IF(ResultsInd[[#This Row],[Player B]]="","",IF(ResultsInd[[#This Row],[Score-A]]=ResultsInd[[#This Row],[Score-B]],ResultsInd[[#This Row],[Player B]],"")),""),"")</f>
        <v/>
      </c>
      <c r="U2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8" s="264" t="str">
        <f>IF(ResultsInd[[#This Row],[Category]]="","",VLOOKUP(ResultsInd[[#This Row],[Stage]],$P$1:$V$9,MATCH(ResultsInd[[#This Row],[Category]],$Q$1:$V$1,0)+1,FALSE))</f>
        <v/>
      </c>
      <c r="Z248" s="264" t="str">
        <f>IF(ResultsInd[[#This Row],[Score_OK]],IF(ResultsInd[[#This Row],[Level]]="R",ResultsInd[[#This Row],[Category]]&amp;"-"&amp;IF(ResultsInd[[#This Row],[LoseInKO]]=ResultsInd[[#This Row],[Category]]&amp;"-"&amp;ResultsInd[[#This Row],[Player A]],ResultsInd[[#This Row],[Player B]],ResultsInd[[#This Row],[Player A]]),""),"")</f>
        <v/>
      </c>
      <c r="AB248" s="8"/>
      <c r="AC248" s="12" t="str">
        <f>IF(AC247="","",AC247)</f>
        <v>OPEN</v>
      </c>
      <c r="AD248" s="309" t="s">
        <v>8123</v>
      </c>
      <c r="AE248" s="320"/>
      <c r="AF248" s="311"/>
      <c r="AG248" s="292">
        <f>IF(AP248="","",SMALL(AH248:AH254,ROWS(AG248:AG248)))</f>
        <v>1001</v>
      </c>
      <c r="AH248" s="293">
        <f>IF(AP248="","",RANK(AL248,AL248:AL254)*1000+ROWS(AH248:AH248))</f>
        <v>1001</v>
      </c>
      <c r="AI248" s="316">
        <f t="shared" ref="AI248:AI254" si="209">IF(AP248="","",CritClassInd1_Points*AN248+CritClassInd1_Matches*AP248+CritClassInd1_Attaque*AS248+CritClassInd1_DiffButs*AU248)</f>
        <v>9000000000000</v>
      </c>
      <c r="AJ248" s="415" t="b">
        <f>AND(AO248&lt;&gt;"",AO248&gt;0,COUNTIF(AI248:AI254,AI248)&gt;1)</f>
        <v>0</v>
      </c>
      <c r="AK248" s="316">
        <f t="shared" ref="AK248:AK254" si="210">IF(AP248="","",CritClassInd_ScorePart*AE248)</f>
        <v>0</v>
      </c>
      <c r="AL248" s="317">
        <f t="shared" ref="AL248:AL254" si="211">IF(AP248="","",AI248+AK248+CritClassInd2_Points*AN248+CritClassInd2_Matches*AP248+CritClassInd2_Attaque*AS248+CritClassInd2_DiffButs*AU248+AF248)</f>
        <v>9000000050700</v>
      </c>
      <c r="AM248" s="415" t="b">
        <f>AND(AO248&lt;&gt;"",AO248&gt;0,COUNTIF(AL248:AL254,AL248)&gt;1)</f>
        <v>0</v>
      </c>
      <c r="AN248" s="306">
        <f t="shared" ref="AN248:AN254" si="212">IF(AP248="","",(AP248*Points_Victoire)+AQ248*Points_Null)</f>
        <v>9</v>
      </c>
      <c r="AO248" s="307">
        <f t="shared" ref="AO248:AO254" si="213">IF(AP248="","",SUM(AP248:AR248))</f>
        <v>3</v>
      </c>
      <c r="AP248" s="307">
        <f>IF(OR(AC247="",AD248=""),"",COUNTIF(ResultsInd[Win],AC247&amp;"-"&amp;AD248))</f>
        <v>3</v>
      </c>
      <c r="AQ248" s="307">
        <f>IF(OR(AC247="",AD248=""),"",COUNTIF(ResultsInd[Draw1],AC247&amp;"-"&amp;AD248)+COUNTIF(ResultsInd[Draw2],AC247&amp;"-"&amp;AD248))</f>
        <v>0</v>
      </c>
      <c r="AR248" s="307">
        <f>IF(OR(AC247="",AD248=""),"",COUNTIF(ResultsInd[Lose],AC247&amp;"-"&amp;AD248))</f>
        <v>0</v>
      </c>
      <c r="AS248" s="307">
        <f>IF(OR(AC247="",AD248=""),"",SUMIFS(ResultsInd[Goal-A],ResultsInd[Category],AC247,ResultsInd[Stage],"Groups",ResultsInd[Player A],AD248)+SUMIFS(ResultsInd[Goal-B],ResultsInd[Category],AC247,ResultsInd[Stage],"Groups",ResultsInd[Player B],AD248))</f>
        <v>7</v>
      </c>
      <c r="AT248" s="307">
        <f>IF(OR(AC247="",AD248=""),"",SUMIFS(ResultsInd[Goal-B],ResultsInd[Category],AC247,ResultsInd[Stage],"Groups",ResultsInd[Player A],AD248)+SUMIFS(ResultsInd[Goal-A],ResultsInd[Category],AC247,ResultsInd[Stage],"Groups",ResultsInd[Player B],AD248))</f>
        <v>2</v>
      </c>
      <c r="AU248" s="308">
        <f>IF(AP248="","",AS248-AT248)</f>
        <v>5</v>
      </c>
      <c r="AV248" s="469" t="b">
        <f>IF(AG248="","",OR(VLOOKUP(AG248,AH248:AU254,3,FALSE),VLOOKUP(AG248,AH248:AU254,6,FALSE)))</f>
        <v>0</v>
      </c>
      <c r="AW248" s="298">
        <f t="shared" ref="AW248:AW254" si="214">IF(AG248="","",INT(AG248/1000))</f>
        <v>1</v>
      </c>
      <c r="AX248" s="285" t="str">
        <f>IF(AG248="","",INDEX(AD248:AD254,MATCH(AG248,AH248:AH254,0)))</f>
        <v>Maxime Rairoux</v>
      </c>
      <c r="AY248" s="286">
        <f>IF(AG248="","",VLOOKUP(AG248,AH248:AU254,COLUMN()-COLUMN(AR247),FALSE))</f>
        <v>9</v>
      </c>
      <c r="AZ248" s="286">
        <f>IF(AG248="","",VLOOKUP(AG248,AH248:AU254,COLUMN()-COLUMN(AR247),FALSE))</f>
        <v>3</v>
      </c>
      <c r="BA248" s="286">
        <f>IF(AG248="","",VLOOKUP(AG248,AH248:AU254,COLUMN()-COLUMN(AR247),FALSE))</f>
        <v>3</v>
      </c>
      <c r="BB248" s="286">
        <f>IF(AG248="","",VLOOKUP(AG248,AH248:AU254,COLUMN()-COLUMN(AR247),FALSE))</f>
        <v>0</v>
      </c>
      <c r="BC248" s="286">
        <f>IF(AG248="","",VLOOKUP(AG248,AH248:AU254,COLUMN()-COLUMN(AR247),FALSE))</f>
        <v>0</v>
      </c>
      <c r="BD248" s="286">
        <f>IF(AG248="","",VLOOKUP(AG248,AH248:AU254,COLUMN()-COLUMN(AR247),FALSE))</f>
        <v>7</v>
      </c>
      <c r="BE248" s="286">
        <f>IF(AG248="","",VLOOKUP(AG248,AH248:AU254,COLUMN()-COLUMN(AR247),FALSE))</f>
        <v>2</v>
      </c>
      <c r="BF248" s="301">
        <f>IF(AG248="","",VLOOKUP(AG248,AH248:AU254,COLUMN()-COLUMN(AR247),FALSE))</f>
        <v>5</v>
      </c>
    </row>
    <row r="249" spans="1:58" ht="12" thickBot="1" x14ac:dyDescent="0.25">
      <c r="A249" s="62"/>
      <c r="B249" s="62"/>
      <c r="C249" s="62"/>
      <c r="D249" s="62"/>
      <c r="E249" s="345"/>
      <c r="F249" s="345"/>
      <c r="G249" s="113"/>
      <c r="H249" s="113"/>
      <c r="I249" s="114"/>
      <c r="J249" s="114"/>
      <c r="K249" s="114"/>
      <c r="L249" s="81"/>
      <c r="M249" s="265" t="b">
        <f>NOT(ISERROR(ResultsInd[[#This Row],[Goal-A]]+ResultsInd[[#This Row],[Goal-B]]))</f>
        <v>1</v>
      </c>
      <c r="N249" s="265">
        <f>VALUE(ResultsInd[[#This Row],[Score-A]])</f>
        <v>0</v>
      </c>
      <c r="O249" s="265">
        <f>VALUE(ResultsInd[[#This Row],[Score-B]])</f>
        <v>0</v>
      </c>
      <c r="P249" s="265" t="str">
        <f ca="1">IF(AND(ResultsInd[[#This Row],[Category]]&lt;&gt;"",ResultsInd[[#This Row],[Player A]]&lt;&gt;""),COUNTIF(INDIRECT(ResultsInd[[#This Row],[Category]]&amp;"List[Retained Player Name]"),ResultsInd[[#This Row],[Player A]]),"")</f>
        <v/>
      </c>
      <c r="Q249" s="265" t="str">
        <f ca="1">IF(AND(ResultsInd[[#This Row],[Category]]&lt;&gt;"",ResultsInd[[#This Row],[Player B]]&lt;&gt;""),COUNTIF(INDIRECT(ResultsInd[[#This Row],[Category]]&amp;"List[Retained Player Name]"),ResultsInd[[#This Row],[Player B]]),"")</f>
        <v/>
      </c>
      <c r="R2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9" s="265" t="str">
        <f>IF(ResultsInd[[#This Row],[Score_OK]],IF(ResultsInd[[#This Row],[Stage]]="Groups",ResultsInd[[#This Row],[Category]]&amp;"-"&amp;IF(ResultsInd[[#This Row],[Player B]]="","",IF(ResultsInd[[#This Row],[Score-A]]=ResultsInd[[#This Row],[Score-B]],ResultsInd[[#This Row],[Player A]],"")),""),"")</f>
        <v/>
      </c>
      <c r="T249" s="265" t="str">
        <f>IF(ResultsInd[[#This Row],[Score_OK]],IF(ResultsInd[[#This Row],[Stage]]="Groups",ResultsInd[[#This Row],[Category]]&amp;"-"&amp;IF(ResultsInd[[#This Row],[Player B]]="","",IF(ResultsInd[[#This Row],[Score-A]]=ResultsInd[[#This Row],[Score-B]],ResultsInd[[#This Row],[Player B]],"")),""),"")</f>
        <v/>
      </c>
      <c r="U2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49" s="264" t="str">
        <f>IF(ResultsInd[[#This Row],[Category]]="","",VLOOKUP(ResultsInd[[#This Row],[Stage]],$P$1:$V$9,MATCH(ResultsInd[[#This Row],[Category]],$Q$1:$V$1,0)+1,FALSE))</f>
        <v/>
      </c>
      <c r="Z249" s="264" t="str">
        <f>IF(ResultsInd[[#This Row],[Score_OK]],IF(ResultsInd[[#This Row],[Level]]="R",ResultsInd[[#This Row],[Category]]&amp;"-"&amp;IF(ResultsInd[[#This Row],[LoseInKO]]=ResultsInd[[#This Row],[Category]]&amp;"-"&amp;ResultsInd[[#This Row],[Player A]],ResultsInd[[#This Row],[Player B]],ResultsInd[[#This Row],[Player A]]),""),"")</f>
        <v/>
      </c>
      <c r="AB249" s="8"/>
      <c r="AC249" s="12" t="str">
        <f t="shared" ref="AC249:AC254" si="215">IF(AC248="","",AC248)</f>
        <v>OPEN</v>
      </c>
      <c r="AD249" s="309" t="s">
        <v>8151</v>
      </c>
      <c r="AE249" s="320"/>
      <c r="AF249" s="311"/>
      <c r="AG249" s="292">
        <f>IF(AP249="","",SMALL(AH248:AH254,ROWS(AG248:AG249)))</f>
        <v>2003</v>
      </c>
      <c r="AH249" s="293">
        <f>IF(AP249="","",RANK(AL249,AL248:AL254)*1000+ROWS(AH248:AH249))</f>
        <v>3002</v>
      </c>
      <c r="AI249" s="316">
        <f t="shared" si="209"/>
        <v>3000000000000</v>
      </c>
      <c r="AJ249" s="415" t="b">
        <f>AND(AO249&lt;&gt;"",AO249&gt;0,COUNTIF(AI248:AI254,AI249)&gt;1)</f>
        <v>0</v>
      </c>
      <c r="AK249" s="316">
        <f t="shared" si="210"/>
        <v>0</v>
      </c>
      <c r="AL249" s="317">
        <f t="shared" si="211"/>
        <v>2999999900400</v>
      </c>
      <c r="AM249" s="415" t="b">
        <f>AND(AO249&lt;&gt;"",AO249&gt;0,COUNTIF(AL248:AL254,AL249)&gt;1)</f>
        <v>0</v>
      </c>
      <c r="AN249" s="306">
        <f t="shared" si="212"/>
        <v>3</v>
      </c>
      <c r="AO249" s="307">
        <f t="shared" si="213"/>
        <v>3</v>
      </c>
      <c r="AP249" s="307">
        <f>IF(OR(AC247="",AD249=""),"",COUNTIF(ResultsInd[Win],AC247&amp;"-"&amp;AD249))</f>
        <v>1</v>
      </c>
      <c r="AQ249" s="307">
        <f>IF(OR(AC247="",AD249=""),"",COUNTIF(ResultsInd[Draw1],AC247&amp;"-"&amp;AD249)+COUNTIF(ResultsInd[Draw2],AC247&amp;"-"&amp;AD249))</f>
        <v>0</v>
      </c>
      <c r="AR249" s="307">
        <f>IF(OR(AC247="",AD249=""),"",COUNTIF(ResultsInd[Lose],AC247&amp;"-"&amp;AD249))</f>
        <v>2</v>
      </c>
      <c r="AS249" s="307">
        <f>IF(OR(AC247="",AD249=""),"",SUMIFS(ResultsInd[Goal-A],ResultsInd[Category],AC247,ResultsInd[Stage],"Groups",ResultsInd[Player A],AD249)+SUMIFS(ResultsInd[Goal-B],ResultsInd[Category],AC247,ResultsInd[Stage],"Groups",ResultsInd[Player B],AD249))</f>
        <v>4</v>
      </c>
      <c r="AT249" s="307">
        <f>IF(OR(AC247="",AD249=""),"",SUMIFS(ResultsInd[Goal-B],ResultsInd[Category],AC247,ResultsInd[Stage],"Groups",ResultsInd[Player A],AD249)+SUMIFS(ResultsInd[Goal-A],ResultsInd[Category],AC247,ResultsInd[Stage],"Groups",ResultsInd[Player B],AD249))</f>
        <v>14</v>
      </c>
      <c r="AU249" s="308">
        <f t="shared" ref="AU249:AU254" si="216">IF(AP249="","",AS249-AT249)</f>
        <v>-10</v>
      </c>
      <c r="AV249" s="469" t="b">
        <f>IF(AG249="","",OR(VLOOKUP(AG249,AH248:AU254,3,FALSE),VLOOKUP(AG249,AH248:AU254,6,FALSE)))</f>
        <v>0</v>
      </c>
      <c r="AW249" s="298">
        <f t="shared" si="214"/>
        <v>2</v>
      </c>
      <c r="AX249" s="285" t="str">
        <f>IF(AG249="","",INDEX(AD248:AD254,MATCH(AG249,AH248:AH254,0)))</f>
        <v>Georgios Genitsaropoulos</v>
      </c>
      <c r="AY249" s="286">
        <f>IF(AG249="","",VLOOKUP(AG249,AH248:AU254,COLUMN()-COLUMN(AR247),FALSE))</f>
        <v>6</v>
      </c>
      <c r="AZ249" s="286">
        <f>IF(AG249="","",VLOOKUP(AG249,AH248:AU254,COLUMN()-COLUMN(AR247),FALSE))</f>
        <v>3</v>
      </c>
      <c r="BA249" s="286">
        <f>IF(AG249="","",VLOOKUP(AG249,AH248:AU254,COLUMN()-COLUMN(AR247),FALSE))</f>
        <v>2</v>
      </c>
      <c r="BB249" s="286">
        <f>IF(AG249="","",VLOOKUP(AG249,AH248:AU254,COLUMN()-COLUMN(AR247),FALSE))</f>
        <v>0</v>
      </c>
      <c r="BC249" s="286">
        <f>IF(AG249="","",VLOOKUP(AG249,AH248:AU254,COLUMN()-COLUMN(AR247),FALSE))</f>
        <v>1</v>
      </c>
      <c r="BD249" s="286">
        <f>IF(AG249="","",VLOOKUP(AG249,AH248:AU254,COLUMN()-COLUMN(AR247),FALSE))</f>
        <v>22</v>
      </c>
      <c r="BE249" s="286">
        <f>IF(AG249="","",VLOOKUP(AG249,AH248:AU254,COLUMN()-COLUMN(AR247),FALSE))</f>
        <v>3</v>
      </c>
      <c r="BF249" s="301">
        <f>IF(AG249="","",VLOOKUP(AG249,AH248:AU254,COLUMN()-COLUMN(AR247),FALSE))</f>
        <v>19</v>
      </c>
    </row>
    <row r="250" spans="1:58" ht="12" thickBot="1" x14ac:dyDescent="0.25">
      <c r="A250" s="62"/>
      <c r="B250" s="62"/>
      <c r="C250" s="62"/>
      <c r="D250" s="62"/>
      <c r="E250" s="345"/>
      <c r="F250" s="345"/>
      <c r="G250" s="113"/>
      <c r="H250" s="113"/>
      <c r="I250" s="114"/>
      <c r="J250" s="114"/>
      <c r="K250" s="114"/>
      <c r="L250" s="81"/>
      <c r="M250" s="265" t="b">
        <f>NOT(ISERROR(ResultsInd[[#This Row],[Goal-A]]+ResultsInd[[#This Row],[Goal-B]]))</f>
        <v>1</v>
      </c>
      <c r="N250" s="265">
        <f>VALUE(ResultsInd[[#This Row],[Score-A]])</f>
        <v>0</v>
      </c>
      <c r="O250" s="265">
        <f>VALUE(ResultsInd[[#This Row],[Score-B]])</f>
        <v>0</v>
      </c>
      <c r="P250" s="265" t="str">
        <f ca="1">IF(AND(ResultsInd[[#This Row],[Category]]&lt;&gt;"",ResultsInd[[#This Row],[Player A]]&lt;&gt;""),COUNTIF(INDIRECT(ResultsInd[[#This Row],[Category]]&amp;"List[Retained Player Name]"),ResultsInd[[#This Row],[Player A]]),"")</f>
        <v/>
      </c>
      <c r="Q250" s="265" t="str">
        <f ca="1">IF(AND(ResultsInd[[#This Row],[Category]]&lt;&gt;"",ResultsInd[[#This Row],[Player B]]&lt;&gt;""),COUNTIF(INDIRECT(ResultsInd[[#This Row],[Category]]&amp;"List[Retained Player Name]"),ResultsInd[[#This Row],[Player B]]),"")</f>
        <v/>
      </c>
      <c r="R2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0" s="265" t="str">
        <f>IF(ResultsInd[[#This Row],[Score_OK]],IF(ResultsInd[[#This Row],[Stage]]="Groups",ResultsInd[[#This Row],[Category]]&amp;"-"&amp;IF(ResultsInd[[#This Row],[Player B]]="","",IF(ResultsInd[[#This Row],[Score-A]]=ResultsInd[[#This Row],[Score-B]],ResultsInd[[#This Row],[Player A]],"")),""),"")</f>
        <v/>
      </c>
      <c r="T250" s="265" t="str">
        <f>IF(ResultsInd[[#This Row],[Score_OK]],IF(ResultsInd[[#This Row],[Stage]]="Groups",ResultsInd[[#This Row],[Category]]&amp;"-"&amp;IF(ResultsInd[[#This Row],[Player B]]="","",IF(ResultsInd[[#This Row],[Score-A]]=ResultsInd[[#This Row],[Score-B]],ResultsInd[[#This Row],[Player B]],"")),""),"")</f>
        <v/>
      </c>
      <c r="U2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0" s="264" t="str">
        <f>IF(ResultsInd[[#This Row],[Category]]="","",VLOOKUP(ResultsInd[[#This Row],[Stage]],$P$1:$V$9,MATCH(ResultsInd[[#This Row],[Category]],$Q$1:$V$1,0)+1,FALSE))</f>
        <v/>
      </c>
      <c r="Z250" s="264" t="str">
        <f>IF(ResultsInd[[#This Row],[Score_OK]],IF(ResultsInd[[#This Row],[Level]]="R",ResultsInd[[#This Row],[Category]]&amp;"-"&amp;IF(ResultsInd[[#This Row],[LoseInKO]]=ResultsInd[[#This Row],[Category]]&amp;"-"&amp;ResultsInd[[#This Row],[Player A]],ResultsInd[[#This Row],[Player B]],ResultsInd[[#This Row],[Player A]]),""),"")</f>
        <v/>
      </c>
      <c r="AB250" s="8"/>
      <c r="AC250" s="12" t="str">
        <f t="shared" si="215"/>
        <v>OPEN</v>
      </c>
      <c r="AD250" s="309" t="s">
        <v>8922</v>
      </c>
      <c r="AE250" s="320"/>
      <c r="AF250" s="311"/>
      <c r="AG250" s="292">
        <f>IF(AP250="","",SMALL(AH248:AH254,ROWS(AG248:AG250)))</f>
        <v>3002</v>
      </c>
      <c r="AH250" s="293">
        <f>IF(AP250="","",RANK(AL250,AL248:AL254)*1000+ROWS(AH248:AH250))</f>
        <v>2003</v>
      </c>
      <c r="AI250" s="316">
        <f t="shared" si="209"/>
        <v>6000000000000</v>
      </c>
      <c r="AJ250" s="415" t="b">
        <f>AND(AO250&lt;&gt;"",AO250&gt;0,COUNTIF(AI248:AI254,AI250)&gt;1)</f>
        <v>0</v>
      </c>
      <c r="AK250" s="316">
        <f t="shared" si="210"/>
        <v>0</v>
      </c>
      <c r="AL250" s="317">
        <f t="shared" si="211"/>
        <v>6000000192200</v>
      </c>
      <c r="AM250" s="415" t="b">
        <f>AND(AO250&lt;&gt;"",AO250&gt;0,COUNTIF(AL248:AL254,AL250)&gt;1)</f>
        <v>0</v>
      </c>
      <c r="AN250" s="306">
        <f t="shared" si="212"/>
        <v>6</v>
      </c>
      <c r="AO250" s="307">
        <f t="shared" si="213"/>
        <v>3</v>
      </c>
      <c r="AP250" s="307">
        <f>IF(OR(AC247="",AD250=""),"",COUNTIF(ResultsInd[Win],AC247&amp;"-"&amp;AD250))</f>
        <v>2</v>
      </c>
      <c r="AQ250" s="307">
        <f>IF(OR(AC247="",AD250=""),"",COUNTIF(ResultsInd[Draw1],AC247&amp;"-"&amp;AD250)+COUNTIF(ResultsInd[Draw2],AC247&amp;"-"&amp;AD250))</f>
        <v>0</v>
      </c>
      <c r="AR250" s="307">
        <f>IF(OR(AC247="",AD250=""),"",COUNTIF(ResultsInd[Lose],AC247&amp;"-"&amp;AD250))</f>
        <v>1</v>
      </c>
      <c r="AS250" s="307">
        <f>IF(OR(AC247="",AD250=""),"",SUMIFS(ResultsInd[Goal-A],ResultsInd[Category],AC247,ResultsInd[Stage],"Groups",ResultsInd[Player A],AD250)+SUMIFS(ResultsInd[Goal-B],ResultsInd[Category],AC247,ResultsInd[Stage],"Groups",ResultsInd[Player B],AD250))</f>
        <v>22</v>
      </c>
      <c r="AT250" s="307">
        <f>IF(OR(AC247="",AD250=""),"",SUMIFS(ResultsInd[Goal-B],ResultsInd[Category],AC247,ResultsInd[Stage],"Groups",ResultsInd[Player A],AD250)+SUMIFS(ResultsInd[Goal-A],ResultsInd[Category],AC247,ResultsInd[Stage],"Groups",ResultsInd[Player B],AD250))</f>
        <v>3</v>
      </c>
      <c r="AU250" s="308">
        <f t="shared" si="216"/>
        <v>19</v>
      </c>
      <c r="AV250" s="469" t="b">
        <f>IF(AG250="","",OR(VLOOKUP(AG250,AH248:AU254,3,FALSE),VLOOKUP(AG250,AH248:AU254,6,FALSE)))</f>
        <v>0</v>
      </c>
      <c r="AW250" s="298">
        <f t="shared" si="214"/>
        <v>3</v>
      </c>
      <c r="AX250" s="285" t="str">
        <f>IF(AG250="","",INDEX(AD248:AD254,MATCH(AG250,AH248:AH254,0)))</f>
        <v>Benoit Lagneau</v>
      </c>
      <c r="AY250" s="286">
        <f>IF(AG250="","",VLOOKUP(AG250,AH248:AU254,COLUMN()-COLUMN(AR247),FALSE))</f>
        <v>3</v>
      </c>
      <c r="AZ250" s="286">
        <f>IF(AG250="","",VLOOKUP(AG250,AH248:AU254,COLUMN()-COLUMN(AR247),FALSE))</f>
        <v>3</v>
      </c>
      <c r="BA250" s="286">
        <f>IF(AG250="","",VLOOKUP(AG250,AH248:AU254,COLUMN()-COLUMN(AR247),FALSE))</f>
        <v>1</v>
      </c>
      <c r="BB250" s="286">
        <f>IF(AG250="","",VLOOKUP(AG250,AH248:AU254,COLUMN()-COLUMN(AR247),FALSE))</f>
        <v>0</v>
      </c>
      <c r="BC250" s="286">
        <f>IF(AG250="","",VLOOKUP(AG250,AH248:AU254,COLUMN()-COLUMN(AR247),FALSE))</f>
        <v>2</v>
      </c>
      <c r="BD250" s="286">
        <f>IF(AG250="","",VLOOKUP(AG250,AH248:AU254,COLUMN()-COLUMN(AR247),FALSE))</f>
        <v>4</v>
      </c>
      <c r="BE250" s="286">
        <f>IF(AG250="","",VLOOKUP(AG250,AH248:AU254,COLUMN()-COLUMN(AR247),FALSE))</f>
        <v>14</v>
      </c>
      <c r="BF250" s="301">
        <f>IF(AG250="","",VLOOKUP(AG250,AH248:AU254,COLUMN()-COLUMN(AR247),FALSE))</f>
        <v>-10</v>
      </c>
    </row>
    <row r="251" spans="1:58" ht="12" thickBot="1" x14ac:dyDescent="0.25">
      <c r="A251" s="62"/>
      <c r="B251" s="62"/>
      <c r="C251" s="62"/>
      <c r="D251" s="62"/>
      <c r="E251" s="345"/>
      <c r="F251" s="345"/>
      <c r="G251" s="113"/>
      <c r="H251" s="113"/>
      <c r="I251" s="114"/>
      <c r="J251" s="114"/>
      <c r="K251" s="114"/>
      <c r="L251" s="81"/>
      <c r="M251" s="265" t="b">
        <f>NOT(ISERROR(ResultsInd[[#This Row],[Goal-A]]+ResultsInd[[#This Row],[Goal-B]]))</f>
        <v>1</v>
      </c>
      <c r="N251" s="265">
        <f>VALUE(ResultsInd[[#This Row],[Score-A]])</f>
        <v>0</v>
      </c>
      <c r="O251" s="265">
        <f>VALUE(ResultsInd[[#This Row],[Score-B]])</f>
        <v>0</v>
      </c>
      <c r="P251" s="265" t="str">
        <f ca="1">IF(AND(ResultsInd[[#This Row],[Category]]&lt;&gt;"",ResultsInd[[#This Row],[Player A]]&lt;&gt;""),COUNTIF(INDIRECT(ResultsInd[[#This Row],[Category]]&amp;"List[Retained Player Name]"),ResultsInd[[#This Row],[Player A]]),"")</f>
        <v/>
      </c>
      <c r="Q251" s="265" t="str">
        <f ca="1">IF(AND(ResultsInd[[#This Row],[Category]]&lt;&gt;"",ResultsInd[[#This Row],[Player B]]&lt;&gt;""),COUNTIF(INDIRECT(ResultsInd[[#This Row],[Category]]&amp;"List[Retained Player Name]"),ResultsInd[[#This Row],[Player B]]),"")</f>
        <v/>
      </c>
      <c r="R2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1" s="265" t="str">
        <f>IF(ResultsInd[[#This Row],[Score_OK]],IF(ResultsInd[[#This Row],[Stage]]="Groups",ResultsInd[[#This Row],[Category]]&amp;"-"&amp;IF(ResultsInd[[#This Row],[Player B]]="","",IF(ResultsInd[[#This Row],[Score-A]]=ResultsInd[[#This Row],[Score-B]],ResultsInd[[#This Row],[Player A]],"")),""),"")</f>
        <v/>
      </c>
      <c r="T251" s="265" t="str">
        <f>IF(ResultsInd[[#This Row],[Score_OK]],IF(ResultsInd[[#This Row],[Stage]]="Groups",ResultsInd[[#This Row],[Category]]&amp;"-"&amp;IF(ResultsInd[[#This Row],[Player B]]="","",IF(ResultsInd[[#This Row],[Score-A]]=ResultsInd[[#This Row],[Score-B]],ResultsInd[[#This Row],[Player B]],"")),""),"")</f>
        <v/>
      </c>
      <c r="U2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1" s="264" t="str">
        <f>IF(ResultsInd[[#This Row],[Category]]="","",VLOOKUP(ResultsInd[[#This Row],[Stage]],$P$1:$V$9,MATCH(ResultsInd[[#This Row],[Category]],$Q$1:$V$1,0)+1,FALSE))</f>
        <v/>
      </c>
      <c r="Z251" s="264" t="str">
        <f>IF(ResultsInd[[#This Row],[Score_OK]],IF(ResultsInd[[#This Row],[Level]]="R",ResultsInd[[#This Row],[Category]]&amp;"-"&amp;IF(ResultsInd[[#This Row],[LoseInKO]]=ResultsInd[[#This Row],[Category]]&amp;"-"&amp;ResultsInd[[#This Row],[Player A]],ResultsInd[[#This Row],[Player B]],ResultsInd[[#This Row],[Player A]]),""),"")</f>
        <v/>
      </c>
      <c r="AB251" s="91"/>
      <c r="AC251" s="12" t="str">
        <f t="shared" si="215"/>
        <v>OPEN</v>
      </c>
      <c r="AD251" s="309" t="s">
        <v>11459</v>
      </c>
      <c r="AE251" s="310"/>
      <c r="AF251" s="311"/>
      <c r="AG251" s="292">
        <f>IF(AP251="","",SMALL(AH248:AH254,ROWS(AG248:AG251)))</f>
        <v>4004</v>
      </c>
      <c r="AH251" s="293">
        <f>IF(AP251="","",RANK(AL251,AL248:AL254)*1000+ROWS(AH248:AH251))</f>
        <v>4004</v>
      </c>
      <c r="AI251" s="316">
        <f t="shared" si="209"/>
        <v>0</v>
      </c>
      <c r="AJ251" s="415" t="b">
        <f>AND(AO251&lt;&gt;"",AO251&gt;0,COUNTIF(AI248:AI254,AI251)&gt;1)</f>
        <v>0</v>
      </c>
      <c r="AK251" s="316">
        <f t="shared" si="210"/>
        <v>0</v>
      </c>
      <c r="AL251" s="317">
        <f t="shared" si="211"/>
        <v>-139900</v>
      </c>
      <c r="AM251" s="415" t="b">
        <f>AND(AO251&lt;&gt;"",AO251&gt;0,COUNTIF(AL248:AL254,AL251)&gt;1)</f>
        <v>0</v>
      </c>
      <c r="AN251" s="306">
        <f t="shared" si="212"/>
        <v>0</v>
      </c>
      <c r="AO251" s="307">
        <f t="shared" si="213"/>
        <v>3</v>
      </c>
      <c r="AP251" s="307">
        <f>IF(OR(AC247="",AD251=""),"",COUNTIF(ResultsInd[Win],AC247&amp;"-"&amp;AD251))</f>
        <v>0</v>
      </c>
      <c r="AQ251" s="307">
        <f>IF(OR(AC247="",AD251=""),"",COUNTIF(ResultsInd[Draw1],AC247&amp;"-"&amp;AD251)+COUNTIF(ResultsInd[Draw2],AC247&amp;"-"&amp;AD251))</f>
        <v>0</v>
      </c>
      <c r="AR251" s="307">
        <f>IF(OR(AC247="",AD251=""),"",COUNTIF(ResultsInd[Lose],AC247&amp;"-"&amp;AD251))</f>
        <v>3</v>
      </c>
      <c r="AS251" s="307">
        <f>IF(OR(AC247="",AD251=""),"",SUMIFS(ResultsInd[Goal-A],ResultsInd[Category],AC247,ResultsInd[Stage],"Groups",ResultsInd[Player A],AD251)+SUMIFS(ResultsInd[Goal-B],ResultsInd[Category],AC247,ResultsInd[Stage],"Groups",ResultsInd[Player B],AD251))</f>
        <v>1</v>
      </c>
      <c r="AT251" s="307">
        <f>IF(OR(AC247="",AD251=""),"",SUMIFS(ResultsInd[Goal-B],ResultsInd[Category],AC247,ResultsInd[Stage],"Groups",ResultsInd[Player A],AD251)+SUMIFS(ResultsInd[Goal-A],ResultsInd[Category],AC247,ResultsInd[Stage],"Groups",ResultsInd[Player B],AD251))</f>
        <v>15</v>
      </c>
      <c r="AU251" s="308">
        <f t="shared" si="216"/>
        <v>-14</v>
      </c>
      <c r="AV251" s="469" t="b">
        <f>IF(AG251="","",OR(VLOOKUP(AG251,AH248:AU254,3,FALSE),VLOOKUP(AG251,AH248:AU254,6,FALSE)))</f>
        <v>0</v>
      </c>
      <c r="AW251" s="298">
        <f t="shared" si="214"/>
        <v>4</v>
      </c>
      <c r="AX251" s="285" t="str">
        <f>IF(AG251="","",INDEX(AD248:AD254,MATCH(AG251,AH248:AH254,0)))</f>
        <v>Cailim Marks</v>
      </c>
      <c r="AY251" s="286">
        <f>IF(AG251="","",VLOOKUP(AG251,AH248:AU254,COLUMN()-COLUMN(AR247),FALSE))</f>
        <v>0</v>
      </c>
      <c r="AZ251" s="286">
        <f>IF(AG251="","",VLOOKUP(AG251,AH248:AU254,COLUMN()-COLUMN(AR247),FALSE))</f>
        <v>3</v>
      </c>
      <c r="BA251" s="286">
        <f>IF(AG251="","",VLOOKUP(AG251,AH248:AU254,COLUMN()-COLUMN(AR247),FALSE))</f>
        <v>0</v>
      </c>
      <c r="BB251" s="286">
        <f>IF(AG251="","",VLOOKUP(AG251,AH248:AU254,COLUMN()-COLUMN(AR247),FALSE))</f>
        <v>0</v>
      </c>
      <c r="BC251" s="286">
        <f>IF(AG251="","",VLOOKUP(AG251,AH248:AU254,COLUMN()-COLUMN(AR247),FALSE))</f>
        <v>3</v>
      </c>
      <c r="BD251" s="286">
        <f>IF(AG251="","",VLOOKUP(AG251,AH248:AU254,COLUMN()-COLUMN(AR247),FALSE))</f>
        <v>1</v>
      </c>
      <c r="BE251" s="286">
        <f>IF(AG251="","",VLOOKUP(AG251,AH248:AU254,COLUMN()-COLUMN(AR247),FALSE))</f>
        <v>15</v>
      </c>
      <c r="BF251" s="301">
        <f>IF(AG251="","",VLOOKUP(AG251,AH248:AU254,COLUMN()-COLUMN(AR247),FALSE))</f>
        <v>-14</v>
      </c>
    </row>
    <row r="252" spans="1:58" ht="12" thickBot="1" x14ac:dyDescent="0.25">
      <c r="A252" s="62"/>
      <c r="B252" s="62"/>
      <c r="C252" s="62"/>
      <c r="D252" s="62"/>
      <c r="E252" s="345"/>
      <c r="F252" s="345"/>
      <c r="G252" s="113"/>
      <c r="H252" s="113"/>
      <c r="I252" s="114"/>
      <c r="J252" s="114"/>
      <c r="K252" s="114"/>
      <c r="L252" s="81"/>
      <c r="M252" s="265" t="b">
        <f>NOT(ISERROR(ResultsInd[[#This Row],[Goal-A]]+ResultsInd[[#This Row],[Goal-B]]))</f>
        <v>1</v>
      </c>
      <c r="N252" s="265">
        <f>VALUE(ResultsInd[[#This Row],[Score-A]])</f>
        <v>0</v>
      </c>
      <c r="O252" s="265">
        <f>VALUE(ResultsInd[[#This Row],[Score-B]])</f>
        <v>0</v>
      </c>
      <c r="P252" s="265" t="str">
        <f ca="1">IF(AND(ResultsInd[[#This Row],[Category]]&lt;&gt;"",ResultsInd[[#This Row],[Player A]]&lt;&gt;""),COUNTIF(INDIRECT(ResultsInd[[#This Row],[Category]]&amp;"List[Retained Player Name]"),ResultsInd[[#This Row],[Player A]]),"")</f>
        <v/>
      </c>
      <c r="Q252" s="265" t="str">
        <f ca="1">IF(AND(ResultsInd[[#This Row],[Category]]&lt;&gt;"",ResultsInd[[#This Row],[Player B]]&lt;&gt;""),COUNTIF(INDIRECT(ResultsInd[[#This Row],[Category]]&amp;"List[Retained Player Name]"),ResultsInd[[#This Row],[Player B]]),"")</f>
        <v/>
      </c>
      <c r="R2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2" s="265" t="str">
        <f>IF(ResultsInd[[#This Row],[Score_OK]],IF(ResultsInd[[#This Row],[Stage]]="Groups",ResultsInd[[#This Row],[Category]]&amp;"-"&amp;IF(ResultsInd[[#This Row],[Player B]]="","",IF(ResultsInd[[#This Row],[Score-A]]=ResultsInd[[#This Row],[Score-B]],ResultsInd[[#This Row],[Player A]],"")),""),"")</f>
        <v/>
      </c>
      <c r="T252" s="265" t="str">
        <f>IF(ResultsInd[[#This Row],[Score_OK]],IF(ResultsInd[[#This Row],[Stage]]="Groups",ResultsInd[[#This Row],[Category]]&amp;"-"&amp;IF(ResultsInd[[#This Row],[Player B]]="","",IF(ResultsInd[[#This Row],[Score-A]]=ResultsInd[[#This Row],[Score-B]],ResultsInd[[#This Row],[Player B]],"")),""),"")</f>
        <v/>
      </c>
      <c r="U2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2" s="264" t="str">
        <f>IF(ResultsInd[[#This Row],[Category]]="","",VLOOKUP(ResultsInd[[#This Row],[Stage]],$P$1:$V$9,MATCH(ResultsInd[[#This Row],[Category]],$Q$1:$V$1,0)+1,FALSE))</f>
        <v/>
      </c>
      <c r="Z252" s="264" t="str">
        <f>IF(ResultsInd[[#This Row],[Score_OK]],IF(ResultsInd[[#This Row],[Level]]="R",ResultsInd[[#This Row],[Category]]&amp;"-"&amp;IF(ResultsInd[[#This Row],[LoseInKO]]=ResultsInd[[#This Row],[Category]]&amp;"-"&amp;ResultsInd[[#This Row],[Player A]],ResultsInd[[#This Row],[Player B]],ResultsInd[[#This Row],[Player A]]),""),"")</f>
        <v/>
      </c>
      <c r="AB252" s="91"/>
      <c r="AC252" s="12" t="str">
        <f t="shared" si="215"/>
        <v>OPEN</v>
      </c>
      <c r="AD252" s="309"/>
      <c r="AE252" s="310"/>
      <c r="AF252" s="311"/>
      <c r="AG252" s="292" t="str">
        <f>IF(AP252="","",SMALL(AH248:AH254,ROWS(AG248:AG252)))</f>
        <v/>
      </c>
      <c r="AH252" s="293" t="str">
        <f>IF(AP252="","",RANK(AL252,AL248:AL254)*1000+ROWS(AH248:AH252))</f>
        <v/>
      </c>
      <c r="AI252" s="316" t="str">
        <f t="shared" si="209"/>
        <v/>
      </c>
      <c r="AJ252" s="415" t="b">
        <f>AND(AO252&lt;&gt;"",AO252&gt;0,COUNTIF(AI248:AI254,AI252)&gt;1)</f>
        <v>0</v>
      </c>
      <c r="AK252" s="316" t="str">
        <f t="shared" si="210"/>
        <v/>
      </c>
      <c r="AL252" s="317" t="str">
        <f t="shared" si="211"/>
        <v/>
      </c>
      <c r="AM252" s="415" t="b">
        <f>AND(AO252&lt;&gt;"",AO252&gt;0,COUNTIF(AL248:AL254,AL252)&gt;1)</f>
        <v>0</v>
      </c>
      <c r="AN252" s="306" t="str">
        <f t="shared" si="212"/>
        <v/>
      </c>
      <c r="AO252" s="307" t="str">
        <f t="shared" si="213"/>
        <v/>
      </c>
      <c r="AP252" s="307" t="str">
        <f>IF(OR(AC247="",AD252=""),"",COUNTIF(ResultsInd[Win],AC247&amp;"-"&amp;AD252))</f>
        <v/>
      </c>
      <c r="AQ252" s="307" t="str">
        <f>IF(OR(AC247="",AD252=""),"",COUNTIF(ResultsInd[Draw1],AC247&amp;"-"&amp;AD252)+COUNTIF(ResultsInd[Draw2],AC247&amp;"-"&amp;AD252))</f>
        <v/>
      </c>
      <c r="AR252" s="307" t="str">
        <f>IF(OR(AC247="",AD252=""),"",COUNTIF(ResultsInd[Lose],AC247&amp;"-"&amp;AD252))</f>
        <v/>
      </c>
      <c r="AS252" s="307" t="str">
        <f>IF(OR(AC247="",AD252=""),"",SUMIFS(ResultsInd[Goal-A],ResultsInd[Category],AC247,ResultsInd[Stage],"Groups",ResultsInd[Player A],AD252)+SUMIFS(ResultsInd[Goal-B],ResultsInd[Category],AC247,ResultsInd[Stage],"Groups",ResultsInd[Player B],AD252))</f>
        <v/>
      </c>
      <c r="AT252" s="307" t="str">
        <f>IF(OR(AC247="",AD252=""),"",SUMIFS(ResultsInd[Goal-B],ResultsInd[Category],AC247,ResultsInd[Stage],"Groups",ResultsInd[Player A],AD252)+SUMIFS(ResultsInd[Goal-A],ResultsInd[Category],AC247,ResultsInd[Stage],"Groups",ResultsInd[Player B],AD252))</f>
        <v/>
      </c>
      <c r="AU252" s="308" t="str">
        <f t="shared" si="216"/>
        <v/>
      </c>
      <c r="AV252" s="469" t="str">
        <f>IF(AG252="","",OR(VLOOKUP(AG252,AH248:AU254,3,FALSE),VLOOKUP(AG252,AH248:AU254,6,FALSE)))</f>
        <v/>
      </c>
      <c r="AW252" s="298" t="str">
        <f t="shared" si="214"/>
        <v/>
      </c>
      <c r="AX252" s="285" t="str">
        <f>IF(AG252="","",INDEX(AD248:AD254,MATCH(AG252,AH248:AH254,0)))</f>
        <v/>
      </c>
      <c r="AY252" s="286" t="str">
        <f>IF(AG252="","",VLOOKUP(AG252,AH248:AU254,COLUMN()-COLUMN(AR247),FALSE))</f>
        <v/>
      </c>
      <c r="AZ252" s="286" t="str">
        <f>IF(AG252="","",VLOOKUP(AG252,AH248:AU254,COLUMN()-COLUMN(AR247),FALSE))</f>
        <v/>
      </c>
      <c r="BA252" s="286" t="str">
        <f>IF(AG252="","",VLOOKUP(AG252,AH248:AU254,COLUMN()-COLUMN(AR247),FALSE))</f>
        <v/>
      </c>
      <c r="BB252" s="286" t="str">
        <f>IF(AG252="","",VLOOKUP(AG252,AH248:AU254,COLUMN()-COLUMN(AR247),FALSE))</f>
        <v/>
      </c>
      <c r="BC252" s="286" t="str">
        <f>IF(AG252="","",VLOOKUP(AG252,AH248:AU254,COLUMN()-COLUMN(AR247),FALSE))</f>
        <v/>
      </c>
      <c r="BD252" s="286" t="str">
        <f>IF(AG252="","",VLOOKUP(AG252,AH248:AU254,COLUMN()-COLUMN(AR247),FALSE))</f>
        <v/>
      </c>
      <c r="BE252" s="286" t="str">
        <f>IF(AG252="","",VLOOKUP(AG252,AH248:AU254,COLUMN()-COLUMN(AR247),FALSE))</f>
        <v/>
      </c>
      <c r="BF252" s="301" t="str">
        <f>IF(AG252="","",VLOOKUP(AG252,AH248:AU254,COLUMN()-COLUMN(AR247),FALSE))</f>
        <v/>
      </c>
    </row>
    <row r="253" spans="1:58" ht="12" thickBot="1" x14ac:dyDescent="0.25">
      <c r="A253" s="62"/>
      <c r="B253" s="62"/>
      <c r="C253" s="62"/>
      <c r="D253" s="62"/>
      <c r="E253" s="345"/>
      <c r="F253" s="345"/>
      <c r="G253" s="113"/>
      <c r="H253" s="113"/>
      <c r="I253" s="114"/>
      <c r="J253" s="114"/>
      <c r="K253" s="114"/>
      <c r="L253" s="81"/>
      <c r="M253" s="265" t="b">
        <f>NOT(ISERROR(ResultsInd[[#This Row],[Goal-A]]+ResultsInd[[#This Row],[Goal-B]]))</f>
        <v>1</v>
      </c>
      <c r="N253" s="265">
        <f>VALUE(ResultsInd[[#This Row],[Score-A]])</f>
        <v>0</v>
      </c>
      <c r="O253" s="265">
        <f>VALUE(ResultsInd[[#This Row],[Score-B]])</f>
        <v>0</v>
      </c>
      <c r="P253" s="265" t="str">
        <f ca="1">IF(AND(ResultsInd[[#This Row],[Category]]&lt;&gt;"",ResultsInd[[#This Row],[Player A]]&lt;&gt;""),COUNTIF(INDIRECT(ResultsInd[[#This Row],[Category]]&amp;"List[Retained Player Name]"),ResultsInd[[#This Row],[Player A]]),"")</f>
        <v/>
      </c>
      <c r="Q253" s="265" t="str">
        <f ca="1">IF(AND(ResultsInd[[#This Row],[Category]]&lt;&gt;"",ResultsInd[[#This Row],[Player B]]&lt;&gt;""),COUNTIF(INDIRECT(ResultsInd[[#This Row],[Category]]&amp;"List[Retained Player Name]"),ResultsInd[[#This Row],[Player B]]),"")</f>
        <v/>
      </c>
      <c r="R2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3" s="265" t="str">
        <f>IF(ResultsInd[[#This Row],[Score_OK]],IF(ResultsInd[[#This Row],[Stage]]="Groups",ResultsInd[[#This Row],[Category]]&amp;"-"&amp;IF(ResultsInd[[#This Row],[Player B]]="","",IF(ResultsInd[[#This Row],[Score-A]]=ResultsInd[[#This Row],[Score-B]],ResultsInd[[#This Row],[Player A]],"")),""),"")</f>
        <v/>
      </c>
      <c r="T253" s="265" t="str">
        <f>IF(ResultsInd[[#This Row],[Score_OK]],IF(ResultsInd[[#This Row],[Stage]]="Groups",ResultsInd[[#This Row],[Category]]&amp;"-"&amp;IF(ResultsInd[[#This Row],[Player B]]="","",IF(ResultsInd[[#This Row],[Score-A]]=ResultsInd[[#This Row],[Score-B]],ResultsInd[[#This Row],[Player B]],"")),""),"")</f>
        <v/>
      </c>
      <c r="U2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3" s="264" t="str">
        <f>IF(ResultsInd[[#This Row],[Category]]="","",VLOOKUP(ResultsInd[[#This Row],[Stage]],$P$1:$V$9,MATCH(ResultsInd[[#This Row],[Category]],$Q$1:$V$1,0)+1,FALSE))</f>
        <v/>
      </c>
      <c r="Z253" s="264" t="str">
        <f>IF(ResultsInd[[#This Row],[Score_OK]],IF(ResultsInd[[#This Row],[Level]]="R",ResultsInd[[#This Row],[Category]]&amp;"-"&amp;IF(ResultsInd[[#This Row],[LoseInKO]]=ResultsInd[[#This Row],[Category]]&amp;"-"&amp;ResultsInd[[#This Row],[Player A]],ResultsInd[[#This Row],[Player B]],ResultsInd[[#This Row],[Player A]]),""),"")</f>
        <v/>
      </c>
      <c r="AB253" s="8"/>
      <c r="AC253" s="12" t="str">
        <f t="shared" si="215"/>
        <v>OPEN</v>
      </c>
      <c r="AD253" s="309"/>
      <c r="AE253" s="310"/>
      <c r="AF253" s="311"/>
      <c r="AG253" s="292" t="str">
        <f>IF(AP253="","",SMALL(AH248:AH254,ROWS(AG248:AG253)))</f>
        <v/>
      </c>
      <c r="AH253" s="293" t="str">
        <f>IF(AP253="","",RANK(AL253,AL248:AL254)*1000+ROWS(AH248:AH253))</f>
        <v/>
      </c>
      <c r="AI253" s="316" t="str">
        <f t="shared" si="209"/>
        <v/>
      </c>
      <c r="AJ253" s="415" t="b">
        <f>AND(AO253&lt;&gt;"",AO253&gt;0,COUNTIF(AI248:AI254,AI253)&gt;1)</f>
        <v>0</v>
      </c>
      <c r="AK253" s="316" t="str">
        <f t="shared" si="210"/>
        <v/>
      </c>
      <c r="AL253" s="317" t="str">
        <f t="shared" si="211"/>
        <v/>
      </c>
      <c r="AM253" s="415" t="b">
        <f>AND(AO253&lt;&gt;"",AO253&gt;0,COUNTIF(AL248:AL254,AL253)&gt;1)</f>
        <v>0</v>
      </c>
      <c r="AN253" s="306" t="str">
        <f t="shared" si="212"/>
        <v/>
      </c>
      <c r="AO253" s="307" t="str">
        <f t="shared" si="213"/>
        <v/>
      </c>
      <c r="AP253" s="307" t="str">
        <f>IF(OR(AC247="",AD253=""),"",COUNTIF(ResultsInd[Win],AC247&amp;"-"&amp;AD253))</f>
        <v/>
      </c>
      <c r="AQ253" s="307" t="str">
        <f>IF(OR(AC247="",AD253=""),"",COUNTIF(ResultsInd[Draw1],AC247&amp;"-"&amp;AD253)+COUNTIF(ResultsInd[Draw2],AC247&amp;"-"&amp;AD253))</f>
        <v/>
      </c>
      <c r="AR253" s="307" t="str">
        <f>IF(OR(AC247="",AD253=""),"",COUNTIF(ResultsInd[Lose],AC247&amp;"-"&amp;AD253))</f>
        <v/>
      </c>
      <c r="AS253" s="307" t="str">
        <f>IF(OR(AC247="",AD253=""),"",SUMIFS(ResultsInd[Goal-A],ResultsInd[Category],AC247,ResultsInd[Stage],"Groups",ResultsInd[Player A],AD253)+SUMIFS(ResultsInd[Goal-B],ResultsInd[Category],AC247,ResultsInd[Stage],"Groups",ResultsInd[Player B],AD253))</f>
        <v/>
      </c>
      <c r="AT253" s="307" t="str">
        <f>IF(OR(AC247="",AD253=""),"",SUMIFS(ResultsInd[Goal-B],ResultsInd[Category],AC247,ResultsInd[Stage],"Groups",ResultsInd[Player A],AD253)+SUMIFS(ResultsInd[Goal-A],ResultsInd[Category],AC247,ResultsInd[Stage],"Groups",ResultsInd[Player B],AD253))</f>
        <v/>
      </c>
      <c r="AU253" s="308" t="str">
        <f t="shared" si="216"/>
        <v/>
      </c>
      <c r="AV253" s="469" t="str">
        <f>IF(AG253="","",OR(VLOOKUP(AG253,AH248:AU254,3,FALSE),VLOOKUP(AG253,AH248:AU254,6,FALSE)))</f>
        <v/>
      </c>
      <c r="AW253" s="298" t="str">
        <f t="shared" si="214"/>
        <v/>
      </c>
      <c r="AX253" s="285" t="str">
        <f>IF(AG253="","",INDEX(AD248:AD254,MATCH(AG253,AH248:AH254,0)))</f>
        <v/>
      </c>
      <c r="AY253" s="286" t="str">
        <f>IF(AG253="","",VLOOKUP(AG253,AH248:AU254,COLUMN()-COLUMN(AR247),FALSE))</f>
        <v/>
      </c>
      <c r="AZ253" s="286" t="str">
        <f>IF(AG253="","",VLOOKUP(AG253,AH248:AU254,COLUMN()-COLUMN(AR247),FALSE))</f>
        <v/>
      </c>
      <c r="BA253" s="286" t="str">
        <f>IF(AG253="","",VLOOKUP(AG253,AH248:AU254,COLUMN()-COLUMN(AR247),FALSE))</f>
        <v/>
      </c>
      <c r="BB253" s="286" t="str">
        <f>IF(AG253="","",VLOOKUP(AG253,AH248:AU254,COLUMN()-COLUMN(AR247),FALSE))</f>
        <v/>
      </c>
      <c r="BC253" s="286" t="str">
        <f>IF(AG253="","",VLOOKUP(AG253,AH248:AU254,COLUMN()-COLUMN(AR247),FALSE))</f>
        <v/>
      </c>
      <c r="BD253" s="286" t="str">
        <f>IF(AG253="","",VLOOKUP(AG253,AH248:AU254,COLUMN()-COLUMN(AR247),FALSE))</f>
        <v/>
      </c>
      <c r="BE253" s="286" t="str">
        <f>IF(AG253="","",VLOOKUP(AG253,AH248:AU254,COLUMN()-COLUMN(AR247),FALSE))</f>
        <v/>
      </c>
      <c r="BF253" s="301" t="str">
        <f>IF(AG253="","",VLOOKUP(AG253,AH248:AU254,COLUMN()-COLUMN(AR247),FALSE))</f>
        <v/>
      </c>
    </row>
    <row r="254" spans="1:58" ht="12" thickBot="1" x14ac:dyDescent="0.25">
      <c r="A254" s="62"/>
      <c r="B254" s="62"/>
      <c r="C254" s="62"/>
      <c r="D254" s="62"/>
      <c r="E254" s="345"/>
      <c r="F254" s="345"/>
      <c r="G254" s="113"/>
      <c r="H254" s="113"/>
      <c r="I254" s="114"/>
      <c r="J254" s="114"/>
      <c r="K254" s="114"/>
      <c r="L254" s="81"/>
      <c r="M254" s="265" t="b">
        <f>NOT(ISERROR(ResultsInd[[#This Row],[Goal-A]]+ResultsInd[[#This Row],[Goal-B]]))</f>
        <v>1</v>
      </c>
      <c r="N254" s="265">
        <f>VALUE(ResultsInd[[#This Row],[Score-A]])</f>
        <v>0</v>
      </c>
      <c r="O254" s="265">
        <f>VALUE(ResultsInd[[#This Row],[Score-B]])</f>
        <v>0</v>
      </c>
      <c r="P254" s="265" t="str">
        <f ca="1">IF(AND(ResultsInd[[#This Row],[Category]]&lt;&gt;"",ResultsInd[[#This Row],[Player A]]&lt;&gt;""),COUNTIF(INDIRECT(ResultsInd[[#This Row],[Category]]&amp;"List[Retained Player Name]"),ResultsInd[[#This Row],[Player A]]),"")</f>
        <v/>
      </c>
      <c r="Q254" s="265" t="str">
        <f ca="1">IF(AND(ResultsInd[[#This Row],[Category]]&lt;&gt;"",ResultsInd[[#This Row],[Player B]]&lt;&gt;""),COUNTIF(INDIRECT(ResultsInd[[#This Row],[Category]]&amp;"List[Retained Player Name]"),ResultsInd[[#This Row],[Player B]]),"")</f>
        <v/>
      </c>
      <c r="R2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4" s="265" t="str">
        <f>IF(ResultsInd[[#This Row],[Score_OK]],IF(ResultsInd[[#This Row],[Stage]]="Groups",ResultsInd[[#This Row],[Category]]&amp;"-"&amp;IF(ResultsInd[[#This Row],[Player B]]="","",IF(ResultsInd[[#This Row],[Score-A]]=ResultsInd[[#This Row],[Score-B]],ResultsInd[[#This Row],[Player A]],"")),""),"")</f>
        <v/>
      </c>
      <c r="T254" s="265" t="str">
        <f>IF(ResultsInd[[#This Row],[Score_OK]],IF(ResultsInd[[#This Row],[Stage]]="Groups",ResultsInd[[#This Row],[Category]]&amp;"-"&amp;IF(ResultsInd[[#This Row],[Player B]]="","",IF(ResultsInd[[#This Row],[Score-A]]=ResultsInd[[#This Row],[Score-B]],ResultsInd[[#This Row],[Player B]],"")),""),"")</f>
        <v/>
      </c>
      <c r="U2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4" s="264" t="str">
        <f>IF(ResultsInd[[#This Row],[Category]]="","",VLOOKUP(ResultsInd[[#This Row],[Stage]],$P$1:$V$9,MATCH(ResultsInd[[#This Row],[Category]],$Q$1:$V$1,0)+1,FALSE))</f>
        <v/>
      </c>
      <c r="Z254" s="264" t="str">
        <f>IF(ResultsInd[[#This Row],[Score_OK]],IF(ResultsInd[[#This Row],[Level]]="R",ResultsInd[[#This Row],[Category]]&amp;"-"&amp;IF(ResultsInd[[#This Row],[LoseInKO]]=ResultsInd[[#This Row],[Category]]&amp;"-"&amp;ResultsInd[[#This Row],[Player A]],ResultsInd[[#This Row],[Player B]],ResultsInd[[#This Row],[Player A]]),""),"")</f>
        <v/>
      </c>
      <c r="AB254" s="8"/>
      <c r="AC254" s="12" t="str">
        <f t="shared" si="215"/>
        <v>OPEN</v>
      </c>
      <c r="AD254" s="312"/>
      <c r="AE254" s="313"/>
      <c r="AF254" s="314"/>
      <c r="AG254" s="294" t="str">
        <f>IF(AP254="","",SMALL(AH248:AH254,ROWS(AG248:AG254)))</f>
        <v/>
      </c>
      <c r="AH254" s="295" t="str">
        <f>IF(AP254="","",RANK(AL254,AL248:AL254)*1000+ROWS(AH248:AH254))</f>
        <v/>
      </c>
      <c r="AI254" s="318" t="str">
        <f t="shared" si="209"/>
        <v/>
      </c>
      <c r="AJ254" s="416" t="b">
        <f>AND(AO254&lt;&gt;"",AO254&gt;0,COUNTIF(AI248:AI254,AI254)&gt;1)</f>
        <v>0</v>
      </c>
      <c r="AK254" s="318" t="str">
        <f t="shared" si="210"/>
        <v/>
      </c>
      <c r="AL254" s="319" t="str">
        <f t="shared" si="211"/>
        <v/>
      </c>
      <c r="AM254" s="416" t="b">
        <f>AND(AO254&lt;&gt;"",AO254&gt;0,COUNTIF(AL248:AL254,AL254)&gt;1)</f>
        <v>0</v>
      </c>
      <c r="AN254" s="306" t="str">
        <f t="shared" si="212"/>
        <v/>
      </c>
      <c r="AO254" s="307" t="str">
        <f t="shared" si="213"/>
        <v/>
      </c>
      <c r="AP254" s="307" t="str">
        <f>IF(OR(AC247="",AD254=""),"",COUNTIF(ResultsInd[Win],AC247&amp;"-"&amp;AD254))</f>
        <v/>
      </c>
      <c r="AQ254" s="307" t="str">
        <f>IF(OR(AC247="",AD254=""),"",COUNTIF(ResultsInd[Draw1],AC247&amp;"-"&amp;AD254)+COUNTIF(ResultsInd[Draw2],AC247&amp;"-"&amp;AD254))</f>
        <v/>
      </c>
      <c r="AR254" s="307" t="str">
        <f>IF(OR(AC247="",AD254=""),"",COUNTIF(ResultsInd[Lose],AC247&amp;"-"&amp;AD254))</f>
        <v/>
      </c>
      <c r="AS254" s="307" t="str">
        <f>IF(OR(AC247="",AD254=""),"",SUMIFS(ResultsInd[Goal-A],ResultsInd[Category],AC247,ResultsInd[Stage],"Groups",ResultsInd[Player A],AD254)+SUMIFS(ResultsInd[Goal-B],ResultsInd[Category],AC247,ResultsInd[Stage],"Groups",ResultsInd[Player B],AD254))</f>
        <v/>
      </c>
      <c r="AT254" s="307" t="str">
        <f>IF(OR(AC247="",AD254=""),"",SUMIFS(ResultsInd[Goal-B],ResultsInd[Category],AC247,ResultsInd[Stage],"Groups",ResultsInd[Player A],AD254)+SUMIFS(ResultsInd[Goal-A],ResultsInd[Category],AC247,ResultsInd[Stage],"Groups",ResultsInd[Player B],AD254))</f>
        <v/>
      </c>
      <c r="AU254" s="308" t="str">
        <f t="shared" si="216"/>
        <v/>
      </c>
      <c r="AV254" s="469" t="str">
        <f>IF(AG254="","",OR(VLOOKUP(AG254,AH248:AU254,3,FALSE),VLOOKUP(AG254,AH248:AU254,6,FALSE)))</f>
        <v/>
      </c>
      <c r="AW254" s="299" t="str">
        <f t="shared" si="214"/>
        <v/>
      </c>
      <c r="AX254" s="287" t="str">
        <f>IF(AG254="","",INDEX(AD248:AD254,MATCH(AG254,AH248:AH254,0)))</f>
        <v/>
      </c>
      <c r="AY254" s="288" t="str">
        <f>IF(AG254="","",VLOOKUP(AG254,AH248:AU254,COLUMN()-COLUMN(AR247),FALSE))</f>
        <v/>
      </c>
      <c r="AZ254" s="288" t="str">
        <f>IF(AG254="","",VLOOKUP(AG254,AH248:AU254,COLUMN()-COLUMN(AR247),FALSE))</f>
        <v/>
      </c>
      <c r="BA254" s="288" t="str">
        <f>IF(AG254="","",VLOOKUP(AG254,AH248:AU254,COLUMN()-COLUMN(AR247),FALSE))</f>
        <v/>
      </c>
      <c r="BB254" s="288" t="str">
        <f>IF(AG254="","",VLOOKUP(AG254,AH248:AU254,COLUMN()-COLUMN(AR247),FALSE))</f>
        <v/>
      </c>
      <c r="BC254" s="288" t="str">
        <f>IF(AG254="","",VLOOKUP(AG254,AH248:AU254,COLUMN()-COLUMN(AR247),FALSE))</f>
        <v/>
      </c>
      <c r="BD254" s="288" t="str">
        <f>IF(AG254="","",VLOOKUP(AG254,AH248:AU254,COLUMN()-COLUMN(AR247),FALSE))</f>
        <v/>
      </c>
      <c r="BE254" s="288" t="str">
        <f>IF(AG254="","",VLOOKUP(AG254,AH248:AU254,COLUMN()-COLUMN(AR247),FALSE))</f>
        <v/>
      </c>
      <c r="BF254" s="302" t="str">
        <f>IF(AG254="","",VLOOKUP(AG254,AH248:AU254,COLUMN()-COLUMN(AR247),FALSE))</f>
        <v/>
      </c>
    </row>
    <row r="255" spans="1:58" ht="13.5" thickBot="1" x14ac:dyDescent="0.25">
      <c r="A255" s="62"/>
      <c r="B255" s="62"/>
      <c r="C255" s="62"/>
      <c r="D255" s="62"/>
      <c r="E255" s="345"/>
      <c r="F255" s="345"/>
      <c r="G255" s="113"/>
      <c r="H255" s="113"/>
      <c r="I255" s="114"/>
      <c r="J255" s="114"/>
      <c r="K255" s="114"/>
      <c r="L255" s="81"/>
      <c r="M255" s="265" t="b">
        <f>NOT(ISERROR(ResultsInd[[#This Row],[Goal-A]]+ResultsInd[[#This Row],[Goal-B]]))</f>
        <v>1</v>
      </c>
      <c r="N255" s="265">
        <f>VALUE(ResultsInd[[#This Row],[Score-A]])</f>
        <v>0</v>
      </c>
      <c r="O255" s="265">
        <f>VALUE(ResultsInd[[#This Row],[Score-B]])</f>
        <v>0</v>
      </c>
      <c r="P255" s="265" t="str">
        <f ca="1">IF(AND(ResultsInd[[#This Row],[Category]]&lt;&gt;"",ResultsInd[[#This Row],[Player A]]&lt;&gt;""),COUNTIF(INDIRECT(ResultsInd[[#This Row],[Category]]&amp;"List[Retained Player Name]"),ResultsInd[[#This Row],[Player A]]),"")</f>
        <v/>
      </c>
      <c r="Q255" s="265" t="str">
        <f ca="1">IF(AND(ResultsInd[[#This Row],[Category]]&lt;&gt;"",ResultsInd[[#This Row],[Player B]]&lt;&gt;""),COUNTIF(INDIRECT(ResultsInd[[#This Row],[Category]]&amp;"List[Retained Player Name]"),ResultsInd[[#This Row],[Player B]]),"")</f>
        <v/>
      </c>
      <c r="R2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5" s="265" t="str">
        <f>IF(ResultsInd[[#This Row],[Score_OK]],IF(ResultsInd[[#This Row],[Stage]]="Groups",ResultsInd[[#This Row],[Category]]&amp;"-"&amp;IF(ResultsInd[[#This Row],[Player B]]="","",IF(ResultsInd[[#This Row],[Score-A]]=ResultsInd[[#This Row],[Score-B]],ResultsInd[[#This Row],[Player A]],"")),""),"")</f>
        <v/>
      </c>
      <c r="T255" s="265" t="str">
        <f>IF(ResultsInd[[#This Row],[Score_OK]],IF(ResultsInd[[#This Row],[Stage]]="Groups",ResultsInd[[#This Row],[Category]]&amp;"-"&amp;IF(ResultsInd[[#This Row],[Player B]]="","",IF(ResultsInd[[#This Row],[Score-A]]=ResultsInd[[#This Row],[Score-B]],ResultsInd[[#This Row],[Player B]],"")),""),"")</f>
        <v/>
      </c>
      <c r="U2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5" s="264" t="str">
        <f>IF(ResultsInd[[#This Row],[Category]]="","",VLOOKUP(ResultsInd[[#This Row],[Stage]],$P$1:$V$9,MATCH(ResultsInd[[#This Row],[Category]],$Q$1:$V$1,0)+1,FALSE))</f>
        <v/>
      </c>
      <c r="Z255" s="264" t="str">
        <f>IF(ResultsInd[[#This Row],[Score_OK]],IF(ResultsInd[[#This Row],[Level]]="R",ResultsInd[[#This Row],[Category]]&amp;"-"&amp;IF(ResultsInd[[#This Row],[LoseInKO]]=ResultsInd[[#This Row],[Category]]&amp;"-"&amp;ResultsInd[[#This Row],[Player A]],ResultsInd[[#This Row],[Player B]],ResultsInd[[#This Row],[Player A]]),""),"")</f>
        <v/>
      </c>
      <c r="AB255" s="8"/>
      <c r="AC255" s="8"/>
      <c r="AF255" s="170"/>
      <c r="AG255" s="101"/>
      <c r="AH255" s="101"/>
      <c r="AN255" s="170"/>
      <c r="AO255" s="170"/>
      <c r="AP255" s="170"/>
      <c r="AQ255" s="172"/>
      <c r="AR255" s="173"/>
      <c r="AS255" s="173"/>
      <c r="AT255" s="173"/>
      <c r="AU255" s="101"/>
      <c r="AV255" s="101"/>
      <c r="AW255" s="101"/>
      <c r="AX255" s="101"/>
      <c r="AY255" s="101"/>
      <c r="AZ255" s="101"/>
    </row>
    <row r="256" spans="1:58" ht="12" thickBot="1" x14ac:dyDescent="0.25">
      <c r="A256" s="62"/>
      <c r="B256" s="62"/>
      <c r="C256" s="62"/>
      <c r="D256" s="62"/>
      <c r="E256" s="345"/>
      <c r="F256" s="345"/>
      <c r="G256" s="113"/>
      <c r="H256" s="113"/>
      <c r="I256" s="114"/>
      <c r="J256" s="114"/>
      <c r="K256" s="114"/>
      <c r="L256" s="81"/>
      <c r="M256" s="265" t="b">
        <f>NOT(ISERROR(ResultsInd[[#This Row],[Goal-A]]+ResultsInd[[#This Row],[Goal-B]]))</f>
        <v>1</v>
      </c>
      <c r="N256" s="265">
        <f>VALUE(ResultsInd[[#This Row],[Score-A]])</f>
        <v>0</v>
      </c>
      <c r="O256" s="265">
        <f>VALUE(ResultsInd[[#This Row],[Score-B]])</f>
        <v>0</v>
      </c>
      <c r="P256" s="265" t="str">
        <f ca="1">IF(AND(ResultsInd[[#This Row],[Category]]&lt;&gt;"",ResultsInd[[#This Row],[Player A]]&lt;&gt;""),COUNTIF(INDIRECT(ResultsInd[[#This Row],[Category]]&amp;"List[Retained Player Name]"),ResultsInd[[#This Row],[Player A]]),"")</f>
        <v/>
      </c>
      <c r="Q256" s="265" t="str">
        <f ca="1">IF(AND(ResultsInd[[#This Row],[Category]]&lt;&gt;"",ResultsInd[[#This Row],[Player B]]&lt;&gt;""),COUNTIF(INDIRECT(ResultsInd[[#This Row],[Category]]&amp;"List[Retained Player Name]"),ResultsInd[[#This Row],[Player B]]),"")</f>
        <v/>
      </c>
      <c r="R2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6" s="265" t="str">
        <f>IF(ResultsInd[[#This Row],[Score_OK]],IF(ResultsInd[[#This Row],[Stage]]="Groups",ResultsInd[[#This Row],[Category]]&amp;"-"&amp;IF(ResultsInd[[#This Row],[Player B]]="","",IF(ResultsInd[[#This Row],[Score-A]]=ResultsInd[[#This Row],[Score-B]],ResultsInd[[#This Row],[Player A]],"")),""),"")</f>
        <v/>
      </c>
      <c r="T256" s="265" t="str">
        <f>IF(ResultsInd[[#This Row],[Score_OK]],IF(ResultsInd[[#This Row],[Stage]]="Groups",ResultsInd[[#This Row],[Category]]&amp;"-"&amp;IF(ResultsInd[[#This Row],[Player B]]="","",IF(ResultsInd[[#This Row],[Score-A]]=ResultsInd[[#This Row],[Score-B]],ResultsInd[[#This Row],[Player B]],"")),""),"")</f>
        <v/>
      </c>
      <c r="U2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6" s="264" t="str">
        <f>IF(ResultsInd[[#This Row],[Category]]="","",VLOOKUP(ResultsInd[[#This Row],[Stage]],$P$1:$V$9,MATCH(ResultsInd[[#This Row],[Category]],$Q$1:$V$1,0)+1,FALSE))</f>
        <v/>
      </c>
      <c r="Z256" s="264" t="str">
        <f>IF(ResultsInd[[#This Row],[Score_OK]],IF(ResultsInd[[#This Row],[Level]]="R",ResultsInd[[#This Row],[Category]]&amp;"-"&amp;IF(ResultsInd[[#This Row],[LoseInKO]]=ResultsInd[[#This Row],[Category]]&amp;"-"&amp;ResultsInd[[#This Row],[Player A]],ResultsInd[[#This Row],[Player B]],ResultsInd[[#This Row],[Player A]]),""),"")</f>
        <v/>
      </c>
      <c r="AB256" s="281">
        <v>27</v>
      </c>
      <c r="AC256" s="315" t="s">
        <v>890</v>
      </c>
      <c r="AD256" s="289" t="s">
        <v>14439</v>
      </c>
      <c r="AE256" s="290" t="s">
        <v>12279</v>
      </c>
      <c r="AF256" s="284" t="s">
        <v>12275</v>
      </c>
      <c r="AG256" s="296" t="s">
        <v>12276</v>
      </c>
      <c r="AH256" s="291" t="s">
        <v>12271</v>
      </c>
      <c r="AI256" s="291" t="s">
        <v>12272</v>
      </c>
      <c r="AJ256" s="414" t="s">
        <v>13154</v>
      </c>
      <c r="AK256" s="291" t="s">
        <v>12273</v>
      </c>
      <c r="AL256" s="297" t="s">
        <v>12274</v>
      </c>
      <c r="AM256" s="414" t="s">
        <v>13154</v>
      </c>
      <c r="AN256" s="303" t="s">
        <v>12199</v>
      </c>
      <c r="AO256" s="304" t="s">
        <v>12200</v>
      </c>
      <c r="AP256" s="304" t="s">
        <v>12201</v>
      </c>
      <c r="AQ256" s="304" t="s">
        <v>12202</v>
      </c>
      <c r="AR256" s="304" t="s">
        <v>12203</v>
      </c>
      <c r="AS256" s="304" t="s">
        <v>12204</v>
      </c>
      <c r="AT256" s="304" t="s">
        <v>12205</v>
      </c>
      <c r="AU256" s="305" t="s">
        <v>12206</v>
      </c>
      <c r="AV256" s="468"/>
      <c r="AW256" s="282" t="s">
        <v>12276</v>
      </c>
      <c r="AX256" s="282" t="s">
        <v>12280</v>
      </c>
      <c r="AY256" s="283" t="s">
        <v>12199</v>
      </c>
      <c r="AZ256" s="283" t="s">
        <v>12200</v>
      </c>
      <c r="BA256" s="283" t="s">
        <v>12201</v>
      </c>
      <c r="BB256" s="283" t="s">
        <v>12202</v>
      </c>
      <c r="BC256" s="283" t="s">
        <v>12203</v>
      </c>
      <c r="BD256" s="283" t="s">
        <v>12204</v>
      </c>
      <c r="BE256" s="283" t="s">
        <v>12205</v>
      </c>
      <c r="BF256" s="300" t="s">
        <v>12206</v>
      </c>
    </row>
    <row r="257" spans="1:58" ht="12" thickBot="1" x14ac:dyDescent="0.25">
      <c r="A257" s="62"/>
      <c r="B257" s="62"/>
      <c r="C257" s="62"/>
      <c r="D257" s="62"/>
      <c r="E257" s="345"/>
      <c r="F257" s="345"/>
      <c r="G257" s="113"/>
      <c r="H257" s="113"/>
      <c r="I257" s="114"/>
      <c r="J257" s="114"/>
      <c r="K257" s="114"/>
      <c r="L257" s="81"/>
      <c r="M257" s="265" t="b">
        <f>NOT(ISERROR(ResultsInd[[#This Row],[Goal-A]]+ResultsInd[[#This Row],[Goal-B]]))</f>
        <v>1</v>
      </c>
      <c r="N257" s="265">
        <f>VALUE(ResultsInd[[#This Row],[Score-A]])</f>
        <v>0</v>
      </c>
      <c r="O257" s="265">
        <f>VALUE(ResultsInd[[#This Row],[Score-B]])</f>
        <v>0</v>
      </c>
      <c r="P257" s="265" t="str">
        <f ca="1">IF(AND(ResultsInd[[#This Row],[Category]]&lt;&gt;"",ResultsInd[[#This Row],[Player A]]&lt;&gt;""),COUNTIF(INDIRECT(ResultsInd[[#This Row],[Category]]&amp;"List[Retained Player Name]"),ResultsInd[[#This Row],[Player A]]),"")</f>
        <v/>
      </c>
      <c r="Q257" s="265" t="str">
        <f ca="1">IF(AND(ResultsInd[[#This Row],[Category]]&lt;&gt;"",ResultsInd[[#This Row],[Player B]]&lt;&gt;""),COUNTIF(INDIRECT(ResultsInd[[#This Row],[Category]]&amp;"List[Retained Player Name]"),ResultsInd[[#This Row],[Player B]]),"")</f>
        <v/>
      </c>
      <c r="R2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7" s="265" t="str">
        <f>IF(ResultsInd[[#This Row],[Score_OK]],IF(ResultsInd[[#This Row],[Stage]]="Groups",ResultsInd[[#This Row],[Category]]&amp;"-"&amp;IF(ResultsInd[[#This Row],[Player B]]="","",IF(ResultsInd[[#This Row],[Score-A]]=ResultsInd[[#This Row],[Score-B]],ResultsInd[[#This Row],[Player A]],"")),""),"")</f>
        <v/>
      </c>
      <c r="T257" s="265" t="str">
        <f>IF(ResultsInd[[#This Row],[Score_OK]],IF(ResultsInd[[#This Row],[Stage]]="Groups",ResultsInd[[#This Row],[Category]]&amp;"-"&amp;IF(ResultsInd[[#This Row],[Player B]]="","",IF(ResultsInd[[#This Row],[Score-A]]=ResultsInd[[#This Row],[Score-B]],ResultsInd[[#This Row],[Player B]],"")),""),"")</f>
        <v/>
      </c>
      <c r="U2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7" s="264" t="str">
        <f>IF(ResultsInd[[#This Row],[Category]]="","",VLOOKUP(ResultsInd[[#This Row],[Stage]],$P$1:$V$9,MATCH(ResultsInd[[#This Row],[Category]],$Q$1:$V$1,0)+1,FALSE))</f>
        <v/>
      </c>
      <c r="Z257" s="264" t="str">
        <f>IF(ResultsInd[[#This Row],[Score_OK]],IF(ResultsInd[[#This Row],[Level]]="R",ResultsInd[[#This Row],[Category]]&amp;"-"&amp;IF(ResultsInd[[#This Row],[LoseInKO]]=ResultsInd[[#This Row],[Category]]&amp;"-"&amp;ResultsInd[[#This Row],[Player A]],ResultsInd[[#This Row],[Player B]],ResultsInd[[#This Row],[Player A]]),""),"")</f>
        <v/>
      </c>
      <c r="AB257" s="8"/>
      <c r="AC257" s="12" t="str">
        <f>IF(AC256="","",AC256)</f>
        <v>OPEN</v>
      </c>
      <c r="AD257" s="309" t="s">
        <v>10090</v>
      </c>
      <c r="AE257" s="320"/>
      <c r="AF257" s="311"/>
      <c r="AG257" s="292">
        <f>IF(AP257="","",SMALL(AH257:AH263,ROWS(AG257:AG257)))</f>
        <v>1001</v>
      </c>
      <c r="AH257" s="293">
        <f>IF(AP257="","",RANK(AL257,AL257:AL263)*1000+ROWS(AH257:AH257))</f>
        <v>1001</v>
      </c>
      <c r="AI257" s="316">
        <f t="shared" ref="AI257:AI263" si="217">IF(AP257="","",CritClassInd1_Points*AN257+CritClassInd1_Matches*AP257+CritClassInd1_Attaque*AS257+CritClassInd1_DiffButs*AU257)</f>
        <v>9000000000000</v>
      </c>
      <c r="AJ257" s="415" t="b">
        <f>AND(AO257&lt;&gt;"",AO257&gt;0,COUNTIF(AI257:AI263,AI257)&gt;1)</f>
        <v>0</v>
      </c>
      <c r="AK257" s="316">
        <f t="shared" ref="AK257:AK263" si="218">IF(AP257="","",CritClassInd_ScorePart*AE257)</f>
        <v>0</v>
      </c>
      <c r="AL257" s="317">
        <f t="shared" ref="AL257:AL263" si="219">IF(AP257="","",AI257+AK257+CritClassInd2_Points*AN257+CritClassInd2_Matches*AP257+CritClassInd2_Attaque*AS257+CritClassInd2_DiffButs*AU257+AF257)</f>
        <v>9000000161800</v>
      </c>
      <c r="AM257" s="415" t="b">
        <f>AND(AO257&lt;&gt;"",AO257&gt;0,COUNTIF(AL257:AL263,AL257)&gt;1)</f>
        <v>0</v>
      </c>
      <c r="AN257" s="306">
        <f t="shared" ref="AN257:AN263" si="220">IF(AP257="","",(AP257*Points_Victoire)+AQ257*Points_Null)</f>
        <v>9</v>
      </c>
      <c r="AO257" s="307">
        <f t="shared" ref="AO257:AO263" si="221">IF(AP257="","",SUM(AP257:AR257))</f>
        <v>3</v>
      </c>
      <c r="AP257" s="307">
        <f>IF(OR(AC256="",AD257=""),"",COUNTIF(ResultsInd[Win],AC256&amp;"-"&amp;AD257))</f>
        <v>3</v>
      </c>
      <c r="AQ257" s="307">
        <f>IF(OR(AC256="",AD257=""),"",COUNTIF(ResultsInd[Draw1],AC256&amp;"-"&amp;AD257)+COUNTIF(ResultsInd[Draw2],AC256&amp;"-"&amp;AD257))</f>
        <v>0</v>
      </c>
      <c r="AR257" s="307">
        <f>IF(OR(AC256="",AD257=""),"",COUNTIF(ResultsInd[Lose],AC256&amp;"-"&amp;AD257))</f>
        <v>0</v>
      </c>
      <c r="AS257" s="307">
        <f>IF(OR(AC256="",AD257=""),"",SUMIFS(ResultsInd[Goal-A],ResultsInd[Category],AC256,ResultsInd[Stage],"Groups",ResultsInd[Player A],AD257)+SUMIFS(ResultsInd[Goal-B],ResultsInd[Category],AC256,ResultsInd[Stage],"Groups",ResultsInd[Player B],AD257))</f>
        <v>18</v>
      </c>
      <c r="AT257" s="307">
        <f>IF(OR(AC256="",AD257=""),"",SUMIFS(ResultsInd[Goal-B],ResultsInd[Category],AC256,ResultsInd[Stage],"Groups",ResultsInd[Player A],AD257)+SUMIFS(ResultsInd[Goal-A],ResultsInd[Category],AC256,ResultsInd[Stage],"Groups",ResultsInd[Player B],AD257))</f>
        <v>2</v>
      </c>
      <c r="AU257" s="308">
        <f>IF(AP257="","",AS257-AT257)</f>
        <v>16</v>
      </c>
      <c r="AV257" s="469" t="b">
        <f>IF(AG257="","",OR(VLOOKUP(AG257,AH257:AU263,3,FALSE),VLOOKUP(AG257,AH257:AU263,6,FALSE)))</f>
        <v>0</v>
      </c>
      <c r="AW257" s="298">
        <f t="shared" ref="AW257:AW263" si="222">IF(AG257="","",INT(AG257/1000))</f>
        <v>1</v>
      </c>
      <c r="AX257" s="285" t="str">
        <f>IF(AG257="","",INDEX(AD257:AD263,MATCH(AG257,AH257:AH263,0)))</f>
        <v>Andrea Di Vincenzo</v>
      </c>
      <c r="AY257" s="286">
        <f>IF(AG257="","",VLOOKUP(AG257,AH257:AU263,COLUMN()-COLUMN(AR256),FALSE))</f>
        <v>9</v>
      </c>
      <c r="AZ257" s="286">
        <f>IF(AG257="","",VLOOKUP(AG257,AH257:AU263,COLUMN()-COLUMN(AR256),FALSE))</f>
        <v>3</v>
      </c>
      <c r="BA257" s="286">
        <f>IF(AG257="","",VLOOKUP(AG257,AH257:AU263,COLUMN()-COLUMN(AR256),FALSE))</f>
        <v>3</v>
      </c>
      <c r="BB257" s="286">
        <f>IF(AG257="","",VLOOKUP(AG257,AH257:AU263,COLUMN()-COLUMN(AR256),FALSE))</f>
        <v>0</v>
      </c>
      <c r="BC257" s="286">
        <f>IF(AG257="","",VLOOKUP(AG257,AH257:AU263,COLUMN()-COLUMN(AR256),FALSE))</f>
        <v>0</v>
      </c>
      <c r="BD257" s="286">
        <f>IF(AG257="","",VLOOKUP(AG257,AH257:AU263,COLUMN()-COLUMN(AR256),FALSE))</f>
        <v>18</v>
      </c>
      <c r="BE257" s="286">
        <f>IF(AG257="","",VLOOKUP(AG257,AH257:AU263,COLUMN()-COLUMN(AR256),FALSE))</f>
        <v>2</v>
      </c>
      <c r="BF257" s="301">
        <f>IF(AG257="","",VLOOKUP(AG257,AH257:AU263,COLUMN()-COLUMN(AR256),FALSE))</f>
        <v>16</v>
      </c>
    </row>
    <row r="258" spans="1:58" ht="12" thickBot="1" x14ac:dyDescent="0.25">
      <c r="A258" s="62"/>
      <c r="B258" s="62"/>
      <c r="C258" s="62"/>
      <c r="D258" s="62"/>
      <c r="E258" s="345"/>
      <c r="F258" s="345"/>
      <c r="G258" s="113"/>
      <c r="H258" s="113"/>
      <c r="I258" s="114"/>
      <c r="J258" s="114"/>
      <c r="K258" s="114"/>
      <c r="L258" s="81"/>
      <c r="M258" s="265" t="b">
        <f>NOT(ISERROR(ResultsInd[[#This Row],[Goal-A]]+ResultsInd[[#This Row],[Goal-B]]))</f>
        <v>1</v>
      </c>
      <c r="N258" s="265">
        <f>VALUE(ResultsInd[[#This Row],[Score-A]])</f>
        <v>0</v>
      </c>
      <c r="O258" s="265">
        <f>VALUE(ResultsInd[[#This Row],[Score-B]])</f>
        <v>0</v>
      </c>
      <c r="P258" s="265" t="str">
        <f ca="1">IF(AND(ResultsInd[[#This Row],[Category]]&lt;&gt;"",ResultsInd[[#This Row],[Player A]]&lt;&gt;""),COUNTIF(INDIRECT(ResultsInd[[#This Row],[Category]]&amp;"List[Retained Player Name]"),ResultsInd[[#This Row],[Player A]]),"")</f>
        <v/>
      </c>
      <c r="Q258" s="265" t="str">
        <f ca="1">IF(AND(ResultsInd[[#This Row],[Category]]&lt;&gt;"",ResultsInd[[#This Row],[Player B]]&lt;&gt;""),COUNTIF(INDIRECT(ResultsInd[[#This Row],[Category]]&amp;"List[Retained Player Name]"),ResultsInd[[#This Row],[Player B]]),"")</f>
        <v/>
      </c>
      <c r="R2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8" s="265" t="str">
        <f>IF(ResultsInd[[#This Row],[Score_OK]],IF(ResultsInd[[#This Row],[Stage]]="Groups",ResultsInd[[#This Row],[Category]]&amp;"-"&amp;IF(ResultsInd[[#This Row],[Player B]]="","",IF(ResultsInd[[#This Row],[Score-A]]=ResultsInd[[#This Row],[Score-B]],ResultsInd[[#This Row],[Player A]],"")),""),"")</f>
        <v/>
      </c>
      <c r="T258" s="265" t="str">
        <f>IF(ResultsInd[[#This Row],[Score_OK]],IF(ResultsInd[[#This Row],[Stage]]="Groups",ResultsInd[[#This Row],[Category]]&amp;"-"&amp;IF(ResultsInd[[#This Row],[Player B]]="","",IF(ResultsInd[[#This Row],[Score-A]]=ResultsInd[[#This Row],[Score-B]],ResultsInd[[#This Row],[Player B]],"")),""),"")</f>
        <v/>
      </c>
      <c r="U2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8" s="264" t="str">
        <f>IF(ResultsInd[[#This Row],[Category]]="","",VLOOKUP(ResultsInd[[#This Row],[Stage]],$P$1:$V$9,MATCH(ResultsInd[[#This Row],[Category]],$Q$1:$V$1,0)+1,FALSE))</f>
        <v/>
      </c>
      <c r="Z258" s="264" t="str">
        <f>IF(ResultsInd[[#This Row],[Score_OK]],IF(ResultsInd[[#This Row],[Level]]="R",ResultsInd[[#This Row],[Category]]&amp;"-"&amp;IF(ResultsInd[[#This Row],[LoseInKO]]=ResultsInd[[#This Row],[Category]]&amp;"-"&amp;ResultsInd[[#This Row],[Player A]],ResultsInd[[#This Row],[Player B]],ResultsInd[[#This Row],[Player A]]),""),"")</f>
        <v/>
      </c>
      <c r="AB258" s="8"/>
      <c r="AC258" s="12" t="str">
        <f t="shared" ref="AC258:AC263" si="223">IF(AC257="","",AC257)</f>
        <v>OPEN</v>
      </c>
      <c r="AD258" s="309" t="s">
        <v>13246</v>
      </c>
      <c r="AE258" s="320"/>
      <c r="AF258" s="311"/>
      <c r="AG258" s="292">
        <f>IF(AP258="","",SMALL(AH257:AH263,ROWS(AG257:AG258)))</f>
        <v>2003</v>
      </c>
      <c r="AH258" s="293">
        <f>IF(AP258="","",RANK(AL258,AL257:AL263)*1000+ROWS(AH257:AH258))</f>
        <v>4002</v>
      </c>
      <c r="AI258" s="316">
        <f t="shared" si="217"/>
        <v>0</v>
      </c>
      <c r="AJ258" s="415" t="b">
        <f>AND(AO258&lt;&gt;"",AO258&gt;0,COUNTIF(AI257:AI263,AI258)&gt;1)</f>
        <v>0</v>
      </c>
      <c r="AK258" s="316">
        <f t="shared" si="218"/>
        <v>0</v>
      </c>
      <c r="AL258" s="317">
        <f t="shared" si="219"/>
        <v>-219800</v>
      </c>
      <c r="AM258" s="415" t="b">
        <f>AND(AO258&lt;&gt;"",AO258&gt;0,COUNTIF(AL257:AL263,AL258)&gt;1)</f>
        <v>0</v>
      </c>
      <c r="AN258" s="306">
        <f t="shared" si="220"/>
        <v>0</v>
      </c>
      <c r="AO258" s="307">
        <f t="shared" si="221"/>
        <v>3</v>
      </c>
      <c r="AP258" s="307">
        <f>IF(OR(AC256="",AD258=""),"",COUNTIF(ResultsInd[Win],AC256&amp;"-"&amp;AD258))</f>
        <v>0</v>
      </c>
      <c r="AQ258" s="307">
        <f>IF(OR(AC256="",AD258=""),"",COUNTIF(ResultsInd[Draw1],AC256&amp;"-"&amp;AD258)+COUNTIF(ResultsInd[Draw2],AC256&amp;"-"&amp;AD258))</f>
        <v>0</v>
      </c>
      <c r="AR258" s="307">
        <f>IF(OR(AC256="",AD258=""),"",COUNTIF(ResultsInd[Lose],AC256&amp;"-"&amp;AD258))</f>
        <v>3</v>
      </c>
      <c r="AS258" s="307">
        <f>IF(OR(AC256="",AD258=""),"",SUMIFS(ResultsInd[Goal-A],ResultsInd[Category],AC256,ResultsInd[Stage],"Groups",ResultsInd[Player A],AD258)+SUMIFS(ResultsInd[Goal-B],ResultsInd[Category],AC256,ResultsInd[Stage],"Groups",ResultsInd[Player B],AD258))</f>
        <v>2</v>
      </c>
      <c r="AT258" s="307">
        <f>IF(OR(AC256="",AD258=""),"",SUMIFS(ResultsInd[Goal-B],ResultsInd[Category],AC256,ResultsInd[Stage],"Groups",ResultsInd[Player A],AD258)+SUMIFS(ResultsInd[Goal-A],ResultsInd[Category],AC256,ResultsInd[Stage],"Groups",ResultsInd[Player B],AD258))</f>
        <v>24</v>
      </c>
      <c r="AU258" s="308">
        <f t="shared" ref="AU258:AU263" si="224">IF(AP258="","",AS258-AT258)</f>
        <v>-22</v>
      </c>
      <c r="AV258" s="469" t="b">
        <f>IF(AG258="","",OR(VLOOKUP(AG258,AH257:AU263,3,FALSE),VLOOKUP(AG258,AH257:AU263,6,FALSE)))</f>
        <v>0</v>
      </c>
      <c r="AW258" s="298">
        <f t="shared" si="222"/>
        <v>2</v>
      </c>
      <c r="AX258" s="285" t="str">
        <f>IF(AG258="","",INDEX(AD257:AD263,MATCH(AG258,AH257:AH263,0)))</f>
        <v>Antonio Timpano</v>
      </c>
      <c r="AY258" s="286">
        <f>IF(AG258="","",VLOOKUP(AG258,AH257:AU263,COLUMN()-COLUMN(AR256),FALSE))</f>
        <v>6</v>
      </c>
      <c r="AZ258" s="286">
        <f>IF(AG258="","",VLOOKUP(AG258,AH257:AU263,COLUMN()-COLUMN(AR256),FALSE))</f>
        <v>3</v>
      </c>
      <c r="BA258" s="286">
        <f>IF(AG258="","",VLOOKUP(AG258,AH257:AU263,COLUMN()-COLUMN(AR256),FALSE))</f>
        <v>2</v>
      </c>
      <c r="BB258" s="286">
        <f>IF(AG258="","",VLOOKUP(AG258,AH257:AU263,COLUMN()-COLUMN(AR256),FALSE))</f>
        <v>0</v>
      </c>
      <c r="BC258" s="286">
        <f>IF(AG258="","",VLOOKUP(AG258,AH257:AU263,COLUMN()-COLUMN(AR256),FALSE))</f>
        <v>1</v>
      </c>
      <c r="BD258" s="286">
        <f>IF(AG258="","",VLOOKUP(AG258,AH257:AU263,COLUMN()-COLUMN(AR256),FALSE))</f>
        <v>16</v>
      </c>
      <c r="BE258" s="286">
        <f>IF(AG258="","",VLOOKUP(AG258,AH257:AU263,COLUMN()-COLUMN(AR256),FALSE))</f>
        <v>7</v>
      </c>
      <c r="BF258" s="301">
        <f>IF(AG258="","",VLOOKUP(AG258,AH257:AU263,COLUMN()-COLUMN(AR256),FALSE))</f>
        <v>9</v>
      </c>
    </row>
    <row r="259" spans="1:58" ht="12" thickBot="1" x14ac:dyDescent="0.25">
      <c r="A259" s="62"/>
      <c r="B259" s="62"/>
      <c r="C259" s="62"/>
      <c r="D259" s="62"/>
      <c r="E259" s="345"/>
      <c r="F259" s="345"/>
      <c r="G259" s="113"/>
      <c r="H259" s="113"/>
      <c r="I259" s="114"/>
      <c r="J259" s="114"/>
      <c r="K259" s="114"/>
      <c r="L259" s="81"/>
      <c r="M259" s="265" t="b">
        <f>NOT(ISERROR(ResultsInd[[#This Row],[Goal-A]]+ResultsInd[[#This Row],[Goal-B]]))</f>
        <v>1</v>
      </c>
      <c r="N259" s="265">
        <f>VALUE(ResultsInd[[#This Row],[Score-A]])</f>
        <v>0</v>
      </c>
      <c r="O259" s="265">
        <f>VALUE(ResultsInd[[#This Row],[Score-B]])</f>
        <v>0</v>
      </c>
      <c r="P259" s="265" t="str">
        <f ca="1">IF(AND(ResultsInd[[#This Row],[Category]]&lt;&gt;"",ResultsInd[[#This Row],[Player A]]&lt;&gt;""),COUNTIF(INDIRECT(ResultsInd[[#This Row],[Category]]&amp;"List[Retained Player Name]"),ResultsInd[[#This Row],[Player A]]),"")</f>
        <v/>
      </c>
      <c r="Q259" s="265" t="str">
        <f ca="1">IF(AND(ResultsInd[[#This Row],[Category]]&lt;&gt;"",ResultsInd[[#This Row],[Player B]]&lt;&gt;""),COUNTIF(INDIRECT(ResultsInd[[#This Row],[Category]]&amp;"List[Retained Player Name]"),ResultsInd[[#This Row],[Player B]]),"")</f>
        <v/>
      </c>
      <c r="R2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9" s="265" t="str">
        <f>IF(ResultsInd[[#This Row],[Score_OK]],IF(ResultsInd[[#This Row],[Stage]]="Groups",ResultsInd[[#This Row],[Category]]&amp;"-"&amp;IF(ResultsInd[[#This Row],[Player B]]="","",IF(ResultsInd[[#This Row],[Score-A]]=ResultsInd[[#This Row],[Score-B]],ResultsInd[[#This Row],[Player A]],"")),""),"")</f>
        <v/>
      </c>
      <c r="T259" s="265" t="str">
        <f>IF(ResultsInd[[#This Row],[Score_OK]],IF(ResultsInd[[#This Row],[Stage]]="Groups",ResultsInd[[#This Row],[Category]]&amp;"-"&amp;IF(ResultsInd[[#This Row],[Player B]]="","",IF(ResultsInd[[#This Row],[Score-A]]=ResultsInd[[#This Row],[Score-B]],ResultsInd[[#This Row],[Player B]],"")),""),"")</f>
        <v/>
      </c>
      <c r="U2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9" s="264" t="str">
        <f>IF(ResultsInd[[#This Row],[Category]]="","",VLOOKUP(ResultsInd[[#This Row],[Stage]],$P$1:$V$9,MATCH(ResultsInd[[#This Row],[Category]],$Q$1:$V$1,0)+1,FALSE))</f>
        <v/>
      </c>
      <c r="Z259" s="264" t="str">
        <f>IF(ResultsInd[[#This Row],[Score_OK]],IF(ResultsInd[[#This Row],[Level]]="R",ResultsInd[[#This Row],[Category]]&amp;"-"&amp;IF(ResultsInd[[#This Row],[LoseInKO]]=ResultsInd[[#This Row],[Category]]&amp;"-"&amp;ResultsInd[[#This Row],[Player A]],ResultsInd[[#This Row],[Player B]],ResultsInd[[#This Row],[Player A]]),""),"")</f>
        <v/>
      </c>
      <c r="AB259" s="8"/>
      <c r="AC259" s="12" t="str">
        <f t="shared" si="223"/>
        <v>OPEN</v>
      </c>
      <c r="AD259" s="309" t="s">
        <v>8166</v>
      </c>
      <c r="AE259" s="320"/>
      <c r="AF259" s="311"/>
      <c r="AG259" s="292">
        <f>IF(AP259="","",SMALL(AH257:AH263,ROWS(AG257:AG259)))</f>
        <v>3004</v>
      </c>
      <c r="AH259" s="293">
        <f>IF(AP259="","",RANK(AL259,AL257:AL263)*1000+ROWS(AH257:AH259))</f>
        <v>2003</v>
      </c>
      <c r="AI259" s="316">
        <f t="shared" si="217"/>
        <v>6000000000000</v>
      </c>
      <c r="AJ259" s="415" t="b">
        <f>AND(AO259&lt;&gt;"",AO259&gt;0,COUNTIF(AI257:AI263,AI259)&gt;1)</f>
        <v>0</v>
      </c>
      <c r="AK259" s="316">
        <f t="shared" si="218"/>
        <v>0</v>
      </c>
      <c r="AL259" s="317">
        <f t="shared" si="219"/>
        <v>6000000091600</v>
      </c>
      <c r="AM259" s="415" t="b">
        <f>AND(AO259&lt;&gt;"",AO259&gt;0,COUNTIF(AL257:AL263,AL259)&gt;1)</f>
        <v>0</v>
      </c>
      <c r="AN259" s="306">
        <f t="shared" si="220"/>
        <v>6</v>
      </c>
      <c r="AO259" s="307">
        <f t="shared" si="221"/>
        <v>3</v>
      </c>
      <c r="AP259" s="307">
        <f>IF(OR(AC256="",AD259=""),"",COUNTIF(ResultsInd[Win],AC256&amp;"-"&amp;AD259))</f>
        <v>2</v>
      </c>
      <c r="AQ259" s="307">
        <f>IF(OR(AC256="",AD259=""),"",COUNTIF(ResultsInd[Draw1],AC256&amp;"-"&amp;AD259)+COUNTIF(ResultsInd[Draw2],AC256&amp;"-"&amp;AD259))</f>
        <v>0</v>
      </c>
      <c r="AR259" s="307">
        <f>IF(OR(AC256="",AD259=""),"",COUNTIF(ResultsInd[Lose],AC256&amp;"-"&amp;AD259))</f>
        <v>1</v>
      </c>
      <c r="AS259" s="307">
        <f>IF(OR(AC256="",AD259=""),"",SUMIFS(ResultsInd[Goal-A],ResultsInd[Category],AC256,ResultsInd[Stage],"Groups",ResultsInd[Player A],AD259)+SUMIFS(ResultsInd[Goal-B],ResultsInd[Category],AC256,ResultsInd[Stage],"Groups",ResultsInd[Player B],AD259))</f>
        <v>16</v>
      </c>
      <c r="AT259" s="307">
        <f>IF(OR(AC256="",AD259=""),"",SUMIFS(ResultsInd[Goal-B],ResultsInd[Category],AC256,ResultsInd[Stage],"Groups",ResultsInd[Player A],AD259)+SUMIFS(ResultsInd[Goal-A],ResultsInd[Category],AC256,ResultsInd[Stage],"Groups",ResultsInd[Player B],AD259))</f>
        <v>7</v>
      </c>
      <c r="AU259" s="308">
        <f t="shared" si="224"/>
        <v>9</v>
      </c>
      <c r="AV259" s="469" t="b">
        <f>IF(AG259="","",OR(VLOOKUP(AG259,AH257:AU263,3,FALSE),VLOOKUP(AG259,AH257:AU263,6,FALSE)))</f>
        <v>0</v>
      </c>
      <c r="AW259" s="298">
        <f t="shared" si="222"/>
        <v>3</v>
      </c>
      <c r="AX259" s="285" t="str">
        <f>IF(AG259="","",INDEX(AD257:AD263,MATCH(AG259,AH257:AH263,0)))</f>
        <v>Philippe Mairesse</v>
      </c>
      <c r="AY259" s="286">
        <f>IF(AG259="","",VLOOKUP(AG259,AH257:AU263,COLUMN()-COLUMN(AR256),FALSE))</f>
        <v>3</v>
      </c>
      <c r="AZ259" s="286">
        <f>IF(AG259="","",VLOOKUP(AG259,AH257:AU263,COLUMN()-COLUMN(AR256),FALSE))</f>
        <v>3</v>
      </c>
      <c r="BA259" s="286">
        <f>IF(AG259="","",VLOOKUP(AG259,AH257:AU263,COLUMN()-COLUMN(AR256),FALSE))</f>
        <v>1</v>
      </c>
      <c r="BB259" s="286">
        <f>IF(AG259="","",VLOOKUP(AG259,AH257:AU263,COLUMN()-COLUMN(AR256),FALSE))</f>
        <v>0</v>
      </c>
      <c r="BC259" s="286">
        <f>IF(AG259="","",VLOOKUP(AG259,AH257:AU263,COLUMN()-COLUMN(AR256),FALSE))</f>
        <v>2</v>
      </c>
      <c r="BD259" s="286">
        <f>IF(AG259="","",VLOOKUP(AG259,AH257:AU263,COLUMN()-COLUMN(AR256),FALSE))</f>
        <v>5</v>
      </c>
      <c r="BE259" s="286">
        <f>IF(AG259="","",VLOOKUP(AG259,AH257:AU263,COLUMN()-COLUMN(AR256),FALSE))</f>
        <v>8</v>
      </c>
      <c r="BF259" s="301">
        <f>IF(AG259="","",VLOOKUP(AG259,AH257:AU263,COLUMN()-COLUMN(AR256),FALSE))</f>
        <v>-3</v>
      </c>
    </row>
    <row r="260" spans="1:58" ht="12" thickBot="1" x14ac:dyDescent="0.25">
      <c r="A260" s="62"/>
      <c r="B260" s="62"/>
      <c r="C260" s="62"/>
      <c r="D260" s="62"/>
      <c r="E260" s="345"/>
      <c r="F260" s="345"/>
      <c r="G260" s="113"/>
      <c r="H260" s="113"/>
      <c r="I260" s="114"/>
      <c r="J260" s="114"/>
      <c r="K260" s="114"/>
      <c r="L260" s="81"/>
      <c r="M260" s="265" t="b">
        <f>NOT(ISERROR(ResultsInd[[#This Row],[Goal-A]]+ResultsInd[[#This Row],[Goal-B]]))</f>
        <v>1</v>
      </c>
      <c r="N260" s="265">
        <f>VALUE(ResultsInd[[#This Row],[Score-A]])</f>
        <v>0</v>
      </c>
      <c r="O260" s="265">
        <f>VALUE(ResultsInd[[#This Row],[Score-B]])</f>
        <v>0</v>
      </c>
      <c r="P260" s="265" t="str">
        <f ca="1">IF(AND(ResultsInd[[#This Row],[Category]]&lt;&gt;"",ResultsInd[[#This Row],[Player A]]&lt;&gt;""),COUNTIF(INDIRECT(ResultsInd[[#This Row],[Category]]&amp;"List[Retained Player Name]"),ResultsInd[[#This Row],[Player A]]),"")</f>
        <v/>
      </c>
      <c r="Q260" s="265" t="str">
        <f ca="1">IF(AND(ResultsInd[[#This Row],[Category]]&lt;&gt;"",ResultsInd[[#This Row],[Player B]]&lt;&gt;""),COUNTIF(INDIRECT(ResultsInd[[#This Row],[Category]]&amp;"List[Retained Player Name]"),ResultsInd[[#This Row],[Player B]]),"")</f>
        <v/>
      </c>
      <c r="R2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0" s="265" t="str">
        <f>IF(ResultsInd[[#This Row],[Score_OK]],IF(ResultsInd[[#This Row],[Stage]]="Groups",ResultsInd[[#This Row],[Category]]&amp;"-"&amp;IF(ResultsInd[[#This Row],[Player B]]="","",IF(ResultsInd[[#This Row],[Score-A]]=ResultsInd[[#This Row],[Score-B]],ResultsInd[[#This Row],[Player A]],"")),""),"")</f>
        <v/>
      </c>
      <c r="T260" s="265" t="str">
        <f>IF(ResultsInd[[#This Row],[Score_OK]],IF(ResultsInd[[#This Row],[Stage]]="Groups",ResultsInd[[#This Row],[Category]]&amp;"-"&amp;IF(ResultsInd[[#This Row],[Player B]]="","",IF(ResultsInd[[#This Row],[Score-A]]=ResultsInd[[#This Row],[Score-B]],ResultsInd[[#This Row],[Player B]],"")),""),"")</f>
        <v/>
      </c>
      <c r="U2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0" s="264" t="str">
        <f>IF(ResultsInd[[#This Row],[Category]]="","",VLOOKUP(ResultsInd[[#This Row],[Stage]],$P$1:$V$9,MATCH(ResultsInd[[#This Row],[Category]],$Q$1:$V$1,0)+1,FALSE))</f>
        <v/>
      </c>
      <c r="Z260" s="264" t="str">
        <f>IF(ResultsInd[[#This Row],[Score_OK]],IF(ResultsInd[[#This Row],[Level]]="R",ResultsInd[[#This Row],[Category]]&amp;"-"&amp;IF(ResultsInd[[#This Row],[LoseInKO]]=ResultsInd[[#This Row],[Category]]&amp;"-"&amp;ResultsInd[[#This Row],[Player A]],ResultsInd[[#This Row],[Player B]],ResultsInd[[#This Row],[Player A]]),""),"")</f>
        <v/>
      </c>
      <c r="AB260" s="91"/>
      <c r="AC260" s="12" t="str">
        <f t="shared" si="223"/>
        <v>OPEN</v>
      </c>
      <c r="AD260" s="309" t="s">
        <v>14521</v>
      </c>
      <c r="AE260" s="310"/>
      <c r="AF260" s="311"/>
      <c r="AG260" s="292">
        <f>IF(AP260="","",SMALL(AH257:AH263,ROWS(AG257:AG260)))</f>
        <v>4002</v>
      </c>
      <c r="AH260" s="293">
        <f>IF(AP260="","",RANK(AL260,AL257:AL263)*1000+ROWS(AH257:AH260))</f>
        <v>3004</v>
      </c>
      <c r="AI260" s="316">
        <f t="shared" si="217"/>
        <v>3000000000000</v>
      </c>
      <c r="AJ260" s="415" t="b">
        <f>AND(AO260&lt;&gt;"",AO260&gt;0,COUNTIF(AI257:AI263,AI260)&gt;1)</f>
        <v>0</v>
      </c>
      <c r="AK260" s="316">
        <f t="shared" si="218"/>
        <v>0</v>
      </c>
      <c r="AL260" s="317">
        <f t="shared" si="219"/>
        <v>2999999970500</v>
      </c>
      <c r="AM260" s="415" t="b">
        <f>AND(AO260&lt;&gt;"",AO260&gt;0,COUNTIF(AL257:AL263,AL260)&gt;1)</f>
        <v>0</v>
      </c>
      <c r="AN260" s="306">
        <f t="shared" si="220"/>
        <v>3</v>
      </c>
      <c r="AO260" s="307">
        <f t="shared" si="221"/>
        <v>3</v>
      </c>
      <c r="AP260" s="307">
        <f>IF(OR(AC256="",AD260=""),"",COUNTIF(ResultsInd[Win],AC256&amp;"-"&amp;AD260))</f>
        <v>1</v>
      </c>
      <c r="AQ260" s="307">
        <f>IF(OR(AC256="",AD260=""),"",COUNTIF(ResultsInd[Draw1],AC256&amp;"-"&amp;AD260)+COUNTIF(ResultsInd[Draw2],AC256&amp;"-"&amp;AD260))</f>
        <v>0</v>
      </c>
      <c r="AR260" s="307">
        <f>IF(OR(AC256="",AD260=""),"",COUNTIF(ResultsInd[Lose],AC256&amp;"-"&amp;AD260))</f>
        <v>2</v>
      </c>
      <c r="AS260" s="307">
        <f>IF(OR(AC256="",AD260=""),"",SUMIFS(ResultsInd[Goal-A],ResultsInd[Category],AC256,ResultsInd[Stage],"Groups",ResultsInd[Player A],AD260)+SUMIFS(ResultsInd[Goal-B],ResultsInd[Category],AC256,ResultsInd[Stage],"Groups",ResultsInd[Player B],AD260))</f>
        <v>5</v>
      </c>
      <c r="AT260" s="307">
        <f>IF(OR(AC256="",AD260=""),"",SUMIFS(ResultsInd[Goal-B],ResultsInd[Category],AC256,ResultsInd[Stage],"Groups",ResultsInd[Player A],AD260)+SUMIFS(ResultsInd[Goal-A],ResultsInd[Category],AC256,ResultsInd[Stage],"Groups",ResultsInd[Player B],AD260))</f>
        <v>8</v>
      </c>
      <c r="AU260" s="308">
        <f t="shared" si="224"/>
        <v>-3</v>
      </c>
      <c r="AV260" s="469" t="b">
        <f>IF(AG260="","",OR(VLOOKUP(AG260,AH257:AU263,3,FALSE),VLOOKUP(AG260,AH257:AU263,6,FALSE)))</f>
        <v>0</v>
      </c>
      <c r="AW260" s="298">
        <f t="shared" si="222"/>
        <v>4</v>
      </c>
      <c r="AX260" s="285" t="str">
        <f>IF(AG260="","",INDEX(AD257:AD263,MATCH(AG260,AH257:AH263,0)))</f>
        <v>Kyle Jamieson</v>
      </c>
      <c r="AY260" s="286">
        <f>IF(AG260="","",VLOOKUP(AG260,AH257:AU263,COLUMN()-COLUMN(AR256),FALSE))</f>
        <v>0</v>
      </c>
      <c r="AZ260" s="286">
        <f>IF(AG260="","",VLOOKUP(AG260,AH257:AU263,COLUMN()-COLUMN(AR256),FALSE))</f>
        <v>3</v>
      </c>
      <c r="BA260" s="286">
        <f>IF(AG260="","",VLOOKUP(AG260,AH257:AU263,COLUMN()-COLUMN(AR256),FALSE))</f>
        <v>0</v>
      </c>
      <c r="BB260" s="286">
        <f>IF(AG260="","",VLOOKUP(AG260,AH257:AU263,COLUMN()-COLUMN(AR256),FALSE))</f>
        <v>0</v>
      </c>
      <c r="BC260" s="286">
        <f>IF(AG260="","",VLOOKUP(AG260,AH257:AU263,COLUMN()-COLUMN(AR256),FALSE))</f>
        <v>3</v>
      </c>
      <c r="BD260" s="286">
        <f>IF(AG260="","",VLOOKUP(AG260,AH257:AU263,COLUMN()-COLUMN(AR256),FALSE))</f>
        <v>2</v>
      </c>
      <c r="BE260" s="286">
        <f>IF(AG260="","",VLOOKUP(AG260,AH257:AU263,COLUMN()-COLUMN(AR256),FALSE))</f>
        <v>24</v>
      </c>
      <c r="BF260" s="301">
        <f>IF(AG260="","",VLOOKUP(AG260,AH257:AU263,COLUMN()-COLUMN(AR256),FALSE))</f>
        <v>-22</v>
      </c>
    </row>
    <row r="261" spans="1:58" ht="12" thickBot="1" x14ac:dyDescent="0.25">
      <c r="A261" s="62"/>
      <c r="B261" s="62"/>
      <c r="C261" s="62"/>
      <c r="D261" s="62"/>
      <c r="E261" s="345"/>
      <c r="F261" s="345"/>
      <c r="G261" s="113"/>
      <c r="H261" s="113"/>
      <c r="I261" s="114"/>
      <c r="J261" s="114"/>
      <c r="K261" s="114"/>
      <c r="L261" s="81"/>
      <c r="M261" s="265" t="b">
        <f>NOT(ISERROR(ResultsInd[[#This Row],[Goal-A]]+ResultsInd[[#This Row],[Goal-B]]))</f>
        <v>1</v>
      </c>
      <c r="N261" s="265">
        <f>VALUE(ResultsInd[[#This Row],[Score-A]])</f>
        <v>0</v>
      </c>
      <c r="O261" s="265">
        <f>VALUE(ResultsInd[[#This Row],[Score-B]])</f>
        <v>0</v>
      </c>
      <c r="P261" s="265" t="str">
        <f ca="1">IF(AND(ResultsInd[[#This Row],[Category]]&lt;&gt;"",ResultsInd[[#This Row],[Player A]]&lt;&gt;""),COUNTIF(INDIRECT(ResultsInd[[#This Row],[Category]]&amp;"List[Retained Player Name]"),ResultsInd[[#This Row],[Player A]]),"")</f>
        <v/>
      </c>
      <c r="Q261" s="265" t="str">
        <f ca="1">IF(AND(ResultsInd[[#This Row],[Category]]&lt;&gt;"",ResultsInd[[#This Row],[Player B]]&lt;&gt;""),COUNTIF(INDIRECT(ResultsInd[[#This Row],[Category]]&amp;"List[Retained Player Name]"),ResultsInd[[#This Row],[Player B]]),"")</f>
        <v/>
      </c>
      <c r="R2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1" s="265" t="str">
        <f>IF(ResultsInd[[#This Row],[Score_OK]],IF(ResultsInd[[#This Row],[Stage]]="Groups",ResultsInd[[#This Row],[Category]]&amp;"-"&amp;IF(ResultsInd[[#This Row],[Player B]]="","",IF(ResultsInd[[#This Row],[Score-A]]=ResultsInd[[#This Row],[Score-B]],ResultsInd[[#This Row],[Player A]],"")),""),"")</f>
        <v/>
      </c>
      <c r="T261" s="265" t="str">
        <f>IF(ResultsInd[[#This Row],[Score_OK]],IF(ResultsInd[[#This Row],[Stage]]="Groups",ResultsInd[[#This Row],[Category]]&amp;"-"&amp;IF(ResultsInd[[#This Row],[Player B]]="","",IF(ResultsInd[[#This Row],[Score-A]]=ResultsInd[[#This Row],[Score-B]],ResultsInd[[#This Row],[Player B]],"")),""),"")</f>
        <v/>
      </c>
      <c r="U2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1" s="264" t="str">
        <f>IF(ResultsInd[[#This Row],[Category]]="","",VLOOKUP(ResultsInd[[#This Row],[Stage]],$P$1:$V$9,MATCH(ResultsInd[[#This Row],[Category]],$Q$1:$V$1,0)+1,FALSE))</f>
        <v/>
      </c>
      <c r="Z261" s="264" t="str">
        <f>IF(ResultsInd[[#This Row],[Score_OK]],IF(ResultsInd[[#This Row],[Level]]="R",ResultsInd[[#This Row],[Category]]&amp;"-"&amp;IF(ResultsInd[[#This Row],[LoseInKO]]=ResultsInd[[#This Row],[Category]]&amp;"-"&amp;ResultsInd[[#This Row],[Player A]],ResultsInd[[#This Row],[Player B]],ResultsInd[[#This Row],[Player A]]),""),"")</f>
        <v/>
      </c>
      <c r="AB261" s="91"/>
      <c r="AC261" s="12" t="str">
        <f t="shared" si="223"/>
        <v>OPEN</v>
      </c>
      <c r="AD261" s="309"/>
      <c r="AE261" s="310"/>
      <c r="AF261" s="311"/>
      <c r="AG261" s="292" t="str">
        <f>IF(AP261="","",SMALL(AH257:AH263,ROWS(AG257:AG261)))</f>
        <v/>
      </c>
      <c r="AH261" s="293" t="str">
        <f>IF(AP261="","",RANK(AL261,AL257:AL263)*1000+ROWS(AH257:AH261))</f>
        <v/>
      </c>
      <c r="AI261" s="316" t="str">
        <f t="shared" si="217"/>
        <v/>
      </c>
      <c r="AJ261" s="415" t="b">
        <f>AND(AO261&lt;&gt;"",AO261&gt;0,COUNTIF(AI257:AI263,AI261)&gt;1)</f>
        <v>0</v>
      </c>
      <c r="AK261" s="316" t="str">
        <f t="shared" si="218"/>
        <v/>
      </c>
      <c r="AL261" s="317" t="str">
        <f t="shared" si="219"/>
        <v/>
      </c>
      <c r="AM261" s="415" t="b">
        <f>AND(AO261&lt;&gt;"",AO261&gt;0,COUNTIF(AL257:AL263,AL261)&gt;1)</f>
        <v>0</v>
      </c>
      <c r="AN261" s="306" t="str">
        <f t="shared" si="220"/>
        <v/>
      </c>
      <c r="AO261" s="307" t="str">
        <f t="shared" si="221"/>
        <v/>
      </c>
      <c r="AP261" s="307" t="str">
        <f>IF(OR(AC256="",AD261=""),"",COUNTIF(ResultsInd[Win],AC256&amp;"-"&amp;AD261))</f>
        <v/>
      </c>
      <c r="AQ261" s="307" t="str">
        <f>IF(OR(AC256="",AD261=""),"",COUNTIF(ResultsInd[Draw1],AC256&amp;"-"&amp;AD261)+COUNTIF(ResultsInd[Draw2],AC256&amp;"-"&amp;AD261))</f>
        <v/>
      </c>
      <c r="AR261" s="307" t="str">
        <f>IF(OR(AC256="",AD261=""),"",COUNTIF(ResultsInd[Lose],AC256&amp;"-"&amp;AD261))</f>
        <v/>
      </c>
      <c r="AS261" s="307" t="str">
        <f>IF(OR(AC256="",AD261=""),"",SUMIFS(ResultsInd[Goal-A],ResultsInd[Category],AC256,ResultsInd[Stage],"Groups",ResultsInd[Player A],AD261)+SUMIFS(ResultsInd[Goal-B],ResultsInd[Category],AC256,ResultsInd[Stage],"Groups",ResultsInd[Player B],AD261))</f>
        <v/>
      </c>
      <c r="AT261" s="307" t="str">
        <f>IF(OR(AC256="",AD261=""),"",SUMIFS(ResultsInd[Goal-B],ResultsInd[Category],AC256,ResultsInd[Stage],"Groups",ResultsInd[Player A],AD261)+SUMIFS(ResultsInd[Goal-A],ResultsInd[Category],AC256,ResultsInd[Stage],"Groups",ResultsInd[Player B],AD261))</f>
        <v/>
      </c>
      <c r="AU261" s="308" t="str">
        <f t="shared" si="224"/>
        <v/>
      </c>
      <c r="AV261" s="469" t="str">
        <f>IF(AG261="","",OR(VLOOKUP(AG261,AH257:AU263,3,FALSE),VLOOKUP(AG261,AH257:AU263,6,FALSE)))</f>
        <v/>
      </c>
      <c r="AW261" s="298" t="str">
        <f t="shared" si="222"/>
        <v/>
      </c>
      <c r="AX261" s="285" t="str">
        <f>IF(AG261="","",INDEX(AD257:AD263,MATCH(AG261,AH257:AH263,0)))</f>
        <v/>
      </c>
      <c r="AY261" s="286" t="str">
        <f>IF(AG261="","",VLOOKUP(AG261,AH257:AU263,COLUMN()-COLUMN(AR256),FALSE))</f>
        <v/>
      </c>
      <c r="AZ261" s="286" t="str">
        <f>IF(AG261="","",VLOOKUP(AG261,AH257:AU263,COLUMN()-COLUMN(AR256),FALSE))</f>
        <v/>
      </c>
      <c r="BA261" s="286" t="str">
        <f>IF(AG261="","",VLOOKUP(AG261,AH257:AU263,COLUMN()-COLUMN(AR256),FALSE))</f>
        <v/>
      </c>
      <c r="BB261" s="286" t="str">
        <f>IF(AG261="","",VLOOKUP(AG261,AH257:AU263,COLUMN()-COLUMN(AR256),FALSE))</f>
        <v/>
      </c>
      <c r="BC261" s="286" t="str">
        <f>IF(AG261="","",VLOOKUP(AG261,AH257:AU263,COLUMN()-COLUMN(AR256),FALSE))</f>
        <v/>
      </c>
      <c r="BD261" s="286" t="str">
        <f>IF(AG261="","",VLOOKUP(AG261,AH257:AU263,COLUMN()-COLUMN(AR256),FALSE))</f>
        <v/>
      </c>
      <c r="BE261" s="286" t="str">
        <f>IF(AG261="","",VLOOKUP(AG261,AH257:AU263,COLUMN()-COLUMN(AR256),FALSE))</f>
        <v/>
      </c>
      <c r="BF261" s="301" t="str">
        <f>IF(AG261="","",VLOOKUP(AG261,AH257:AU263,COLUMN()-COLUMN(AR256),FALSE))</f>
        <v/>
      </c>
    </row>
    <row r="262" spans="1:58" ht="12" thickBot="1" x14ac:dyDescent="0.25">
      <c r="A262" s="62"/>
      <c r="B262" s="62"/>
      <c r="C262" s="62"/>
      <c r="D262" s="62"/>
      <c r="E262" s="345"/>
      <c r="F262" s="345"/>
      <c r="G262" s="113"/>
      <c r="H262" s="113"/>
      <c r="I262" s="114"/>
      <c r="J262" s="114"/>
      <c r="K262" s="114"/>
      <c r="L262" s="81"/>
      <c r="M262" s="265" t="b">
        <f>NOT(ISERROR(ResultsInd[[#This Row],[Goal-A]]+ResultsInd[[#This Row],[Goal-B]]))</f>
        <v>1</v>
      </c>
      <c r="N262" s="265">
        <f>VALUE(ResultsInd[[#This Row],[Score-A]])</f>
        <v>0</v>
      </c>
      <c r="O262" s="265">
        <f>VALUE(ResultsInd[[#This Row],[Score-B]])</f>
        <v>0</v>
      </c>
      <c r="P262" s="265" t="str">
        <f ca="1">IF(AND(ResultsInd[[#This Row],[Category]]&lt;&gt;"",ResultsInd[[#This Row],[Player A]]&lt;&gt;""),COUNTIF(INDIRECT(ResultsInd[[#This Row],[Category]]&amp;"List[Retained Player Name]"),ResultsInd[[#This Row],[Player A]]),"")</f>
        <v/>
      </c>
      <c r="Q262" s="265" t="str">
        <f ca="1">IF(AND(ResultsInd[[#This Row],[Category]]&lt;&gt;"",ResultsInd[[#This Row],[Player B]]&lt;&gt;""),COUNTIF(INDIRECT(ResultsInd[[#This Row],[Category]]&amp;"List[Retained Player Name]"),ResultsInd[[#This Row],[Player B]]),"")</f>
        <v/>
      </c>
      <c r="R2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2" s="265" t="str">
        <f>IF(ResultsInd[[#This Row],[Score_OK]],IF(ResultsInd[[#This Row],[Stage]]="Groups",ResultsInd[[#This Row],[Category]]&amp;"-"&amp;IF(ResultsInd[[#This Row],[Player B]]="","",IF(ResultsInd[[#This Row],[Score-A]]=ResultsInd[[#This Row],[Score-B]],ResultsInd[[#This Row],[Player A]],"")),""),"")</f>
        <v/>
      </c>
      <c r="T262" s="265" t="str">
        <f>IF(ResultsInd[[#This Row],[Score_OK]],IF(ResultsInd[[#This Row],[Stage]]="Groups",ResultsInd[[#This Row],[Category]]&amp;"-"&amp;IF(ResultsInd[[#This Row],[Player B]]="","",IF(ResultsInd[[#This Row],[Score-A]]=ResultsInd[[#This Row],[Score-B]],ResultsInd[[#This Row],[Player B]],"")),""),"")</f>
        <v/>
      </c>
      <c r="U2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2" s="264" t="str">
        <f>IF(ResultsInd[[#This Row],[Category]]="","",VLOOKUP(ResultsInd[[#This Row],[Stage]],$P$1:$V$9,MATCH(ResultsInd[[#This Row],[Category]],$Q$1:$V$1,0)+1,FALSE))</f>
        <v/>
      </c>
      <c r="Z262" s="264" t="str">
        <f>IF(ResultsInd[[#This Row],[Score_OK]],IF(ResultsInd[[#This Row],[Level]]="R",ResultsInd[[#This Row],[Category]]&amp;"-"&amp;IF(ResultsInd[[#This Row],[LoseInKO]]=ResultsInd[[#This Row],[Category]]&amp;"-"&amp;ResultsInd[[#This Row],[Player A]],ResultsInd[[#This Row],[Player B]],ResultsInd[[#This Row],[Player A]]),""),"")</f>
        <v/>
      </c>
      <c r="AB262" s="8"/>
      <c r="AC262" s="12" t="str">
        <f t="shared" si="223"/>
        <v>OPEN</v>
      </c>
      <c r="AD262" s="309"/>
      <c r="AE262" s="310"/>
      <c r="AF262" s="311"/>
      <c r="AG262" s="292" t="str">
        <f>IF(AP262="","",SMALL(AH257:AH263,ROWS(AG257:AG262)))</f>
        <v/>
      </c>
      <c r="AH262" s="293" t="str">
        <f>IF(AP262="","",RANK(AL262,AL257:AL263)*1000+ROWS(AH257:AH262))</f>
        <v/>
      </c>
      <c r="AI262" s="316" t="str">
        <f t="shared" si="217"/>
        <v/>
      </c>
      <c r="AJ262" s="415" t="b">
        <f>AND(AO262&lt;&gt;"",AO262&gt;0,COUNTIF(AI257:AI263,AI262)&gt;1)</f>
        <v>0</v>
      </c>
      <c r="AK262" s="316" t="str">
        <f t="shared" si="218"/>
        <v/>
      </c>
      <c r="AL262" s="317" t="str">
        <f t="shared" si="219"/>
        <v/>
      </c>
      <c r="AM262" s="415" t="b">
        <f>AND(AO262&lt;&gt;"",AO262&gt;0,COUNTIF(AL257:AL263,AL262)&gt;1)</f>
        <v>0</v>
      </c>
      <c r="AN262" s="306" t="str">
        <f t="shared" si="220"/>
        <v/>
      </c>
      <c r="AO262" s="307" t="str">
        <f t="shared" si="221"/>
        <v/>
      </c>
      <c r="AP262" s="307" t="str">
        <f>IF(OR(AC256="",AD262=""),"",COUNTIF(ResultsInd[Win],AC256&amp;"-"&amp;AD262))</f>
        <v/>
      </c>
      <c r="AQ262" s="307" t="str">
        <f>IF(OR(AC256="",AD262=""),"",COUNTIF(ResultsInd[Draw1],AC256&amp;"-"&amp;AD262)+COUNTIF(ResultsInd[Draw2],AC256&amp;"-"&amp;AD262))</f>
        <v/>
      </c>
      <c r="AR262" s="307" t="str">
        <f>IF(OR(AC256="",AD262=""),"",COUNTIF(ResultsInd[Lose],AC256&amp;"-"&amp;AD262))</f>
        <v/>
      </c>
      <c r="AS262" s="307" t="str">
        <f>IF(OR(AC256="",AD262=""),"",SUMIFS(ResultsInd[Goal-A],ResultsInd[Category],AC256,ResultsInd[Stage],"Groups",ResultsInd[Player A],AD262)+SUMIFS(ResultsInd[Goal-B],ResultsInd[Category],AC256,ResultsInd[Stage],"Groups",ResultsInd[Player B],AD262))</f>
        <v/>
      </c>
      <c r="AT262" s="307" t="str">
        <f>IF(OR(AC256="",AD262=""),"",SUMIFS(ResultsInd[Goal-B],ResultsInd[Category],AC256,ResultsInd[Stage],"Groups",ResultsInd[Player A],AD262)+SUMIFS(ResultsInd[Goal-A],ResultsInd[Category],AC256,ResultsInd[Stage],"Groups",ResultsInd[Player B],AD262))</f>
        <v/>
      </c>
      <c r="AU262" s="308" t="str">
        <f t="shared" si="224"/>
        <v/>
      </c>
      <c r="AV262" s="469" t="str">
        <f>IF(AG262="","",OR(VLOOKUP(AG262,AH257:AU263,3,FALSE),VLOOKUP(AG262,AH257:AU263,6,FALSE)))</f>
        <v/>
      </c>
      <c r="AW262" s="298" t="str">
        <f t="shared" si="222"/>
        <v/>
      </c>
      <c r="AX262" s="285" t="str">
        <f>IF(AG262="","",INDEX(AD257:AD263,MATCH(AG262,AH257:AH263,0)))</f>
        <v/>
      </c>
      <c r="AY262" s="286" t="str">
        <f>IF(AG262="","",VLOOKUP(AG262,AH257:AU263,COLUMN()-COLUMN(AR256),FALSE))</f>
        <v/>
      </c>
      <c r="AZ262" s="286" t="str">
        <f>IF(AG262="","",VLOOKUP(AG262,AH257:AU263,COLUMN()-COLUMN(AR256),FALSE))</f>
        <v/>
      </c>
      <c r="BA262" s="286" t="str">
        <f>IF(AG262="","",VLOOKUP(AG262,AH257:AU263,COLUMN()-COLUMN(AR256),FALSE))</f>
        <v/>
      </c>
      <c r="BB262" s="286" t="str">
        <f>IF(AG262="","",VLOOKUP(AG262,AH257:AU263,COLUMN()-COLUMN(AR256),FALSE))</f>
        <v/>
      </c>
      <c r="BC262" s="286" t="str">
        <f>IF(AG262="","",VLOOKUP(AG262,AH257:AU263,COLUMN()-COLUMN(AR256),FALSE))</f>
        <v/>
      </c>
      <c r="BD262" s="286" t="str">
        <f>IF(AG262="","",VLOOKUP(AG262,AH257:AU263,COLUMN()-COLUMN(AR256),FALSE))</f>
        <v/>
      </c>
      <c r="BE262" s="286" t="str">
        <f>IF(AG262="","",VLOOKUP(AG262,AH257:AU263,COLUMN()-COLUMN(AR256),FALSE))</f>
        <v/>
      </c>
      <c r="BF262" s="301" t="str">
        <f>IF(AG262="","",VLOOKUP(AG262,AH257:AU263,COLUMN()-COLUMN(AR256),FALSE))</f>
        <v/>
      </c>
    </row>
    <row r="263" spans="1:58" ht="12" thickBot="1" x14ac:dyDescent="0.25">
      <c r="A263" s="62"/>
      <c r="B263" s="62"/>
      <c r="C263" s="62"/>
      <c r="D263" s="62"/>
      <c r="E263" s="345"/>
      <c r="F263" s="345"/>
      <c r="G263" s="113"/>
      <c r="H263" s="113"/>
      <c r="I263" s="114"/>
      <c r="J263" s="114"/>
      <c r="K263" s="114"/>
      <c r="L263" s="81"/>
      <c r="M263" s="265" t="b">
        <f>NOT(ISERROR(ResultsInd[[#This Row],[Goal-A]]+ResultsInd[[#This Row],[Goal-B]]))</f>
        <v>1</v>
      </c>
      <c r="N263" s="265">
        <f>VALUE(ResultsInd[[#This Row],[Score-A]])</f>
        <v>0</v>
      </c>
      <c r="O263" s="265">
        <f>VALUE(ResultsInd[[#This Row],[Score-B]])</f>
        <v>0</v>
      </c>
      <c r="P263" s="265" t="str">
        <f ca="1">IF(AND(ResultsInd[[#This Row],[Category]]&lt;&gt;"",ResultsInd[[#This Row],[Player A]]&lt;&gt;""),COUNTIF(INDIRECT(ResultsInd[[#This Row],[Category]]&amp;"List[Retained Player Name]"),ResultsInd[[#This Row],[Player A]]),"")</f>
        <v/>
      </c>
      <c r="Q263" s="265" t="str">
        <f ca="1">IF(AND(ResultsInd[[#This Row],[Category]]&lt;&gt;"",ResultsInd[[#This Row],[Player B]]&lt;&gt;""),COUNTIF(INDIRECT(ResultsInd[[#This Row],[Category]]&amp;"List[Retained Player Name]"),ResultsInd[[#This Row],[Player B]]),"")</f>
        <v/>
      </c>
      <c r="R2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3" s="265" t="str">
        <f>IF(ResultsInd[[#This Row],[Score_OK]],IF(ResultsInd[[#This Row],[Stage]]="Groups",ResultsInd[[#This Row],[Category]]&amp;"-"&amp;IF(ResultsInd[[#This Row],[Player B]]="","",IF(ResultsInd[[#This Row],[Score-A]]=ResultsInd[[#This Row],[Score-B]],ResultsInd[[#This Row],[Player A]],"")),""),"")</f>
        <v/>
      </c>
      <c r="T263" s="265" t="str">
        <f>IF(ResultsInd[[#This Row],[Score_OK]],IF(ResultsInd[[#This Row],[Stage]]="Groups",ResultsInd[[#This Row],[Category]]&amp;"-"&amp;IF(ResultsInd[[#This Row],[Player B]]="","",IF(ResultsInd[[#This Row],[Score-A]]=ResultsInd[[#This Row],[Score-B]],ResultsInd[[#This Row],[Player B]],"")),""),"")</f>
        <v/>
      </c>
      <c r="U2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3" s="264" t="str">
        <f>IF(ResultsInd[[#This Row],[Category]]="","",VLOOKUP(ResultsInd[[#This Row],[Stage]],$P$1:$V$9,MATCH(ResultsInd[[#This Row],[Category]],$Q$1:$V$1,0)+1,FALSE))</f>
        <v/>
      </c>
      <c r="Z263" s="264" t="str">
        <f>IF(ResultsInd[[#This Row],[Score_OK]],IF(ResultsInd[[#This Row],[Level]]="R",ResultsInd[[#This Row],[Category]]&amp;"-"&amp;IF(ResultsInd[[#This Row],[LoseInKO]]=ResultsInd[[#This Row],[Category]]&amp;"-"&amp;ResultsInd[[#This Row],[Player A]],ResultsInd[[#This Row],[Player B]],ResultsInd[[#This Row],[Player A]]),""),"")</f>
        <v/>
      </c>
      <c r="AB263" s="8"/>
      <c r="AC263" s="12" t="str">
        <f t="shared" si="223"/>
        <v>OPEN</v>
      </c>
      <c r="AD263" s="312"/>
      <c r="AE263" s="313"/>
      <c r="AF263" s="314"/>
      <c r="AG263" s="294" t="str">
        <f>IF(AP263="","",SMALL(AH257:AH263,ROWS(AG257:AG263)))</f>
        <v/>
      </c>
      <c r="AH263" s="295" t="str">
        <f>IF(AP263="","",RANK(AL263,AL257:AL263)*1000+ROWS(AH257:AH263))</f>
        <v/>
      </c>
      <c r="AI263" s="318" t="str">
        <f t="shared" si="217"/>
        <v/>
      </c>
      <c r="AJ263" s="416" t="b">
        <f>AND(AO263&lt;&gt;"",AO263&gt;0,COUNTIF(AI257:AI263,AI263)&gt;1)</f>
        <v>0</v>
      </c>
      <c r="AK263" s="318" t="str">
        <f t="shared" si="218"/>
        <v/>
      </c>
      <c r="AL263" s="319" t="str">
        <f t="shared" si="219"/>
        <v/>
      </c>
      <c r="AM263" s="416" t="b">
        <f>AND(AO263&lt;&gt;"",AO263&gt;0,COUNTIF(AL257:AL263,AL263)&gt;1)</f>
        <v>0</v>
      </c>
      <c r="AN263" s="306" t="str">
        <f t="shared" si="220"/>
        <v/>
      </c>
      <c r="AO263" s="307" t="str">
        <f t="shared" si="221"/>
        <v/>
      </c>
      <c r="AP263" s="307" t="str">
        <f>IF(OR(AC256="",AD263=""),"",COUNTIF(ResultsInd[Win],AC256&amp;"-"&amp;AD263))</f>
        <v/>
      </c>
      <c r="AQ263" s="307" t="str">
        <f>IF(OR(AC256="",AD263=""),"",COUNTIF(ResultsInd[Draw1],AC256&amp;"-"&amp;AD263)+COUNTIF(ResultsInd[Draw2],AC256&amp;"-"&amp;AD263))</f>
        <v/>
      </c>
      <c r="AR263" s="307" t="str">
        <f>IF(OR(AC256="",AD263=""),"",COUNTIF(ResultsInd[Lose],AC256&amp;"-"&amp;AD263))</f>
        <v/>
      </c>
      <c r="AS263" s="307" t="str">
        <f>IF(OR(AC256="",AD263=""),"",SUMIFS(ResultsInd[Goal-A],ResultsInd[Category],AC256,ResultsInd[Stage],"Groups",ResultsInd[Player A],AD263)+SUMIFS(ResultsInd[Goal-B],ResultsInd[Category],AC256,ResultsInd[Stage],"Groups",ResultsInd[Player B],AD263))</f>
        <v/>
      </c>
      <c r="AT263" s="307" t="str">
        <f>IF(OR(AC256="",AD263=""),"",SUMIFS(ResultsInd[Goal-B],ResultsInd[Category],AC256,ResultsInd[Stage],"Groups",ResultsInd[Player A],AD263)+SUMIFS(ResultsInd[Goal-A],ResultsInd[Category],AC256,ResultsInd[Stage],"Groups",ResultsInd[Player B],AD263))</f>
        <v/>
      </c>
      <c r="AU263" s="308" t="str">
        <f t="shared" si="224"/>
        <v/>
      </c>
      <c r="AV263" s="469" t="str">
        <f>IF(AG263="","",OR(VLOOKUP(AG263,AH257:AU263,3,FALSE),VLOOKUP(AG263,AH257:AU263,6,FALSE)))</f>
        <v/>
      </c>
      <c r="AW263" s="299" t="str">
        <f t="shared" si="222"/>
        <v/>
      </c>
      <c r="AX263" s="287" t="str">
        <f>IF(AG263="","",INDEX(AD257:AD263,MATCH(AG263,AH257:AH263,0)))</f>
        <v/>
      </c>
      <c r="AY263" s="288" t="str">
        <f>IF(AG263="","",VLOOKUP(AG263,AH257:AU263,COLUMN()-COLUMN(AR256),FALSE))</f>
        <v/>
      </c>
      <c r="AZ263" s="288" t="str">
        <f>IF(AG263="","",VLOOKUP(AG263,AH257:AU263,COLUMN()-COLUMN(AR256),FALSE))</f>
        <v/>
      </c>
      <c r="BA263" s="288" t="str">
        <f>IF(AG263="","",VLOOKUP(AG263,AH257:AU263,COLUMN()-COLUMN(AR256),FALSE))</f>
        <v/>
      </c>
      <c r="BB263" s="288" t="str">
        <f>IF(AG263="","",VLOOKUP(AG263,AH257:AU263,COLUMN()-COLUMN(AR256),FALSE))</f>
        <v/>
      </c>
      <c r="BC263" s="288" t="str">
        <f>IF(AG263="","",VLOOKUP(AG263,AH257:AU263,COLUMN()-COLUMN(AR256),FALSE))</f>
        <v/>
      </c>
      <c r="BD263" s="288" t="str">
        <f>IF(AG263="","",VLOOKUP(AG263,AH257:AU263,COLUMN()-COLUMN(AR256),FALSE))</f>
        <v/>
      </c>
      <c r="BE263" s="288" t="str">
        <f>IF(AG263="","",VLOOKUP(AG263,AH257:AU263,COLUMN()-COLUMN(AR256),FALSE))</f>
        <v/>
      </c>
      <c r="BF263" s="302" t="str">
        <f>IF(AG263="","",VLOOKUP(AG263,AH257:AU263,COLUMN()-COLUMN(AR256),FALSE))</f>
        <v/>
      </c>
    </row>
    <row r="264" spans="1:58" ht="13.5" thickBot="1" x14ac:dyDescent="0.25">
      <c r="A264" s="62"/>
      <c r="B264" s="62"/>
      <c r="C264" s="62"/>
      <c r="D264" s="62"/>
      <c r="E264" s="345"/>
      <c r="F264" s="345"/>
      <c r="G264" s="113"/>
      <c r="H264" s="113"/>
      <c r="I264" s="114"/>
      <c r="J264" s="114"/>
      <c r="K264" s="114"/>
      <c r="L264" s="81"/>
      <c r="M264" s="265" t="b">
        <f>NOT(ISERROR(ResultsInd[[#This Row],[Goal-A]]+ResultsInd[[#This Row],[Goal-B]]))</f>
        <v>1</v>
      </c>
      <c r="N264" s="265">
        <f>VALUE(ResultsInd[[#This Row],[Score-A]])</f>
        <v>0</v>
      </c>
      <c r="O264" s="265">
        <f>VALUE(ResultsInd[[#This Row],[Score-B]])</f>
        <v>0</v>
      </c>
      <c r="P264" s="265" t="str">
        <f ca="1">IF(AND(ResultsInd[[#This Row],[Category]]&lt;&gt;"",ResultsInd[[#This Row],[Player A]]&lt;&gt;""),COUNTIF(INDIRECT(ResultsInd[[#This Row],[Category]]&amp;"List[Retained Player Name]"),ResultsInd[[#This Row],[Player A]]),"")</f>
        <v/>
      </c>
      <c r="Q264" s="265" t="str">
        <f ca="1">IF(AND(ResultsInd[[#This Row],[Category]]&lt;&gt;"",ResultsInd[[#This Row],[Player B]]&lt;&gt;""),COUNTIF(INDIRECT(ResultsInd[[#This Row],[Category]]&amp;"List[Retained Player Name]"),ResultsInd[[#This Row],[Player B]]),"")</f>
        <v/>
      </c>
      <c r="R2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4" s="265" t="str">
        <f>IF(ResultsInd[[#This Row],[Score_OK]],IF(ResultsInd[[#This Row],[Stage]]="Groups",ResultsInd[[#This Row],[Category]]&amp;"-"&amp;IF(ResultsInd[[#This Row],[Player B]]="","",IF(ResultsInd[[#This Row],[Score-A]]=ResultsInd[[#This Row],[Score-B]],ResultsInd[[#This Row],[Player A]],"")),""),"")</f>
        <v/>
      </c>
      <c r="T264" s="265" t="str">
        <f>IF(ResultsInd[[#This Row],[Score_OK]],IF(ResultsInd[[#This Row],[Stage]]="Groups",ResultsInd[[#This Row],[Category]]&amp;"-"&amp;IF(ResultsInd[[#This Row],[Player B]]="","",IF(ResultsInd[[#This Row],[Score-A]]=ResultsInd[[#This Row],[Score-B]],ResultsInd[[#This Row],[Player B]],"")),""),"")</f>
        <v/>
      </c>
      <c r="U2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4" s="264" t="str">
        <f>IF(ResultsInd[[#This Row],[Category]]="","",VLOOKUP(ResultsInd[[#This Row],[Stage]],$P$1:$V$9,MATCH(ResultsInd[[#This Row],[Category]],$Q$1:$V$1,0)+1,FALSE))</f>
        <v/>
      </c>
      <c r="Z264" s="264" t="str">
        <f>IF(ResultsInd[[#This Row],[Score_OK]],IF(ResultsInd[[#This Row],[Level]]="R",ResultsInd[[#This Row],[Category]]&amp;"-"&amp;IF(ResultsInd[[#This Row],[LoseInKO]]=ResultsInd[[#This Row],[Category]]&amp;"-"&amp;ResultsInd[[#This Row],[Player A]],ResultsInd[[#This Row],[Player B]],ResultsInd[[#This Row],[Player A]]),""),"")</f>
        <v/>
      </c>
      <c r="AB264" s="8"/>
      <c r="AC264" s="8"/>
      <c r="AF264" s="170"/>
      <c r="AG264" s="101"/>
      <c r="AH264" s="101"/>
      <c r="AN264" s="170"/>
      <c r="AO264" s="170"/>
      <c r="AP264" s="170"/>
      <c r="AQ264" s="172"/>
      <c r="AR264" s="173"/>
      <c r="AS264" s="173"/>
      <c r="AT264" s="173"/>
      <c r="AU264" s="101"/>
      <c r="AV264" s="101"/>
      <c r="AW264" s="101"/>
      <c r="AX264" s="101"/>
      <c r="AY264" s="101"/>
      <c r="AZ264" s="101"/>
    </row>
    <row r="265" spans="1:58" ht="12" thickBot="1" x14ac:dyDescent="0.25">
      <c r="A265" s="62"/>
      <c r="B265" s="62"/>
      <c r="C265" s="62"/>
      <c r="D265" s="62"/>
      <c r="E265" s="345"/>
      <c r="F265" s="345"/>
      <c r="G265" s="113"/>
      <c r="H265" s="113"/>
      <c r="I265" s="114"/>
      <c r="J265" s="114"/>
      <c r="K265" s="114"/>
      <c r="L265" s="81"/>
      <c r="M265" s="265" t="b">
        <f>NOT(ISERROR(ResultsInd[[#This Row],[Goal-A]]+ResultsInd[[#This Row],[Goal-B]]))</f>
        <v>1</v>
      </c>
      <c r="N265" s="265">
        <f>VALUE(ResultsInd[[#This Row],[Score-A]])</f>
        <v>0</v>
      </c>
      <c r="O265" s="265">
        <f>VALUE(ResultsInd[[#This Row],[Score-B]])</f>
        <v>0</v>
      </c>
      <c r="P265" s="265" t="str">
        <f ca="1">IF(AND(ResultsInd[[#This Row],[Category]]&lt;&gt;"",ResultsInd[[#This Row],[Player A]]&lt;&gt;""),COUNTIF(INDIRECT(ResultsInd[[#This Row],[Category]]&amp;"List[Retained Player Name]"),ResultsInd[[#This Row],[Player A]]),"")</f>
        <v/>
      </c>
      <c r="Q265" s="265" t="str">
        <f ca="1">IF(AND(ResultsInd[[#This Row],[Category]]&lt;&gt;"",ResultsInd[[#This Row],[Player B]]&lt;&gt;""),COUNTIF(INDIRECT(ResultsInd[[#This Row],[Category]]&amp;"List[Retained Player Name]"),ResultsInd[[#This Row],[Player B]]),"")</f>
        <v/>
      </c>
      <c r="R2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5" s="265" t="str">
        <f>IF(ResultsInd[[#This Row],[Score_OK]],IF(ResultsInd[[#This Row],[Stage]]="Groups",ResultsInd[[#This Row],[Category]]&amp;"-"&amp;IF(ResultsInd[[#This Row],[Player B]]="","",IF(ResultsInd[[#This Row],[Score-A]]=ResultsInd[[#This Row],[Score-B]],ResultsInd[[#This Row],[Player A]],"")),""),"")</f>
        <v/>
      </c>
      <c r="T265" s="265" t="str">
        <f>IF(ResultsInd[[#This Row],[Score_OK]],IF(ResultsInd[[#This Row],[Stage]]="Groups",ResultsInd[[#This Row],[Category]]&amp;"-"&amp;IF(ResultsInd[[#This Row],[Player B]]="","",IF(ResultsInd[[#This Row],[Score-A]]=ResultsInd[[#This Row],[Score-B]],ResultsInd[[#This Row],[Player B]],"")),""),"")</f>
        <v/>
      </c>
      <c r="U2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5" s="264" t="str">
        <f>IF(ResultsInd[[#This Row],[Category]]="","",VLOOKUP(ResultsInd[[#This Row],[Stage]],$P$1:$V$9,MATCH(ResultsInd[[#This Row],[Category]],$Q$1:$V$1,0)+1,FALSE))</f>
        <v/>
      </c>
      <c r="Z265" s="264" t="str">
        <f>IF(ResultsInd[[#This Row],[Score_OK]],IF(ResultsInd[[#This Row],[Level]]="R",ResultsInd[[#This Row],[Category]]&amp;"-"&amp;IF(ResultsInd[[#This Row],[LoseInKO]]=ResultsInd[[#This Row],[Category]]&amp;"-"&amp;ResultsInd[[#This Row],[Player A]],ResultsInd[[#This Row],[Player B]],ResultsInd[[#This Row],[Player A]]),""),"")</f>
        <v/>
      </c>
      <c r="AB265" s="281">
        <v>28</v>
      </c>
      <c r="AC265" s="315" t="s">
        <v>890</v>
      </c>
      <c r="AD265" s="289" t="s">
        <v>14439</v>
      </c>
      <c r="AE265" s="290" t="s">
        <v>12279</v>
      </c>
      <c r="AF265" s="284" t="s">
        <v>12275</v>
      </c>
      <c r="AG265" s="296" t="s">
        <v>12276</v>
      </c>
      <c r="AH265" s="291" t="s">
        <v>12271</v>
      </c>
      <c r="AI265" s="291" t="s">
        <v>12272</v>
      </c>
      <c r="AJ265" s="414" t="s">
        <v>13154</v>
      </c>
      <c r="AK265" s="291" t="s">
        <v>12273</v>
      </c>
      <c r="AL265" s="297" t="s">
        <v>12274</v>
      </c>
      <c r="AM265" s="414" t="s">
        <v>13154</v>
      </c>
      <c r="AN265" s="303" t="s">
        <v>12199</v>
      </c>
      <c r="AO265" s="304" t="s">
        <v>12200</v>
      </c>
      <c r="AP265" s="304" t="s">
        <v>12201</v>
      </c>
      <c r="AQ265" s="304" t="s">
        <v>12202</v>
      </c>
      <c r="AR265" s="304" t="s">
        <v>12203</v>
      </c>
      <c r="AS265" s="304" t="s">
        <v>12204</v>
      </c>
      <c r="AT265" s="304" t="s">
        <v>12205</v>
      </c>
      <c r="AU265" s="305" t="s">
        <v>12206</v>
      </c>
      <c r="AV265" s="468"/>
      <c r="AW265" s="282" t="s">
        <v>12276</v>
      </c>
      <c r="AX265" s="282" t="s">
        <v>12280</v>
      </c>
      <c r="AY265" s="283" t="s">
        <v>12199</v>
      </c>
      <c r="AZ265" s="283" t="s">
        <v>12200</v>
      </c>
      <c r="BA265" s="283" t="s">
        <v>12201</v>
      </c>
      <c r="BB265" s="283" t="s">
        <v>12202</v>
      </c>
      <c r="BC265" s="283" t="s">
        <v>12203</v>
      </c>
      <c r="BD265" s="283" t="s">
        <v>12204</v>
      </c>
      <c r="BE265" s="283" t="s">
        <v>12205</v>
      </c>
      <c r="BF265" s="300" t="s">
        <v>12206</v>
      </c>
    </row>
    <row r="266" spans="1:58" ht="12" thickBot="1" x14ac:dyDescent="0.25">
      <c r="A266" s="62"/>
      <c r="B266" s="62"/>
      <c r="C266" s="62"/>
      <c r="D266" s="62"/>
      <c r="E266" s="345"/>
      <c r="F266" s="345"/>
      <c r="G266" s="113"/>
      <c r="H266" s="113"/>
      <c r="I266" s="114"/>
      <c r="J266" s="114"/>
      <c r="K266" s="114"/>
      <c r="L266" s="81"/>
      <c r="M266" s="265" t="b">
        <f>NOT(ISERROR(ResultsInd[[#This Row],[Goal-A]]+ResultsInd[[#This Row],[Goal-B]]))</f>
        <v>1</v>
      </c>
      <c r="N266" s="265">
        <f>VALUE(ResultsInd[[#This Row],[Score-A]])</f>
        <v>0</v>
      </c>
      <c r="O266" s="265">
        <f>VALUE(ResultsInd[[#This Row],[Score-B]])</f>
        <v>0</v>
      </c>
      <c r="P266" s="265" t="str">
        <f ca="1">IF(AND(ResultsInd[[#This Row],[Category]]&lt;&gt;"",ResultsInd[[#This Row],[Player A]]&lt;&gt;""),COUNTIF(INDIRECT(ResultsInd[[#This Row],[Category]]&amp;"List[Retained Player Name]"),ResultsInd[[#This Row],[Player A]]),"")</f>
        <v/>
      </c>
      <c r="Q266" s="265" t="str">
        <f ca="1">IF(AND(ResultsInd[[#This Row],[Category]]&lt;&gt;"",ResultsInd[[#This Row],[Player B]]&lt;&gt;""),COUNTIF(INDIRECT(ResultsInd[[#This Row],[Category]]&amp;"List[Retained Player Name]"),ResultsInd[[#This Row],[Player B]]),"")</f>
        <v/>
      </c>
      <c r="R2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6" s="265" t="str">
        <f>IF(ResultsInd[[#This Row],[Score_OK]],IF(ResultsInd[[#This Row],[Stage]]="Groups",ResultsInd[[#This Row],[Category]]&amp;"-"&amp;IF(ResultsInd[[#This Row],[Player B]]="","",IF(ResultsInd[[#This Row],[Score-A]]=ResultsInd[[#This Row],[Score-B]],ResultsInd[[#This Row],[Player A]],"")),""),"")</f>
        <v/>
      </c>
      <c r="T266" s="265" t="str">
        <f>IF(ResultsInd[[#This Row],[Score_OK]],IF(ResultsInd[[#This Row],[Stage]]="Groups",ResultsInd[[#This Row],[Category]]&amp;"-"&amp;IF(ResultsInd[[#This Row],[Player B]]="","",IF(ResultsInd[[#This Row],[Score-A]]=ResultsInd[[#This Row],[Score-B]],ResultsInd[[#This Row],[Player B]],"")),""),"")</f>
        <v/>
      </c>
      <c r="U2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6" s="264" t="str">
        <f>IF(ResultsInd[[#This Row],[Category]]="","",VLOOKUP(ResultsInd[[#This Row],[Stage]],$P$1:$V$9,MATCH(ResultsInd[[#This Row],[Category]],$Q$1:$V$1,0)+1,FALSE))</f>
        <v/>
      </c>
      <c r="Z266" s="264" t="str">
        <f>IF(ResultsInd[[#This Row],[Score_OK]],IF(ResultsInd[[#This Row],[Level]]="R",ResultsInd[[#This Row],[Category]]&amp;"-"&amp;IF(ResultsInd[[#This Row],[LoseInKO]]=ResultsInd[[#This Row],[Category]]&amp;"-"&amp;ResultsInd[[#This Row],[Player A]],ResultsInd[[#This Row],[Player B]],ResultsInd[[#This Row],[Player A]]),""),"")</f>
        <v/>
      </c>
      <c r="AB266" s="8"/>
      <c r="AC266" s="12" t="str">
        <f>IF(AC265="","",AC265)</f>
        <v>OPEN</v>
      </c>
      <c r="AD266" s="309" t="s">
        <v>8541</v>
      </c>
      <c r="AE266" s="320"/>
      <c r="AF266" s="311"/>
      <c r="AG266" s="292">
        <f>IF(AP266="","",SMALL(AH266:AH272,ROWS(AG266:AG266)))</f>
        <v>1004</v>
      </c>
      <c r="AH266" s="293">
        <f>IF(AP266="","",RANK(AL266,AL266:AL272)*1000+ROWS(AH266:AH266))</f>
        <v>2001</v>
      </c>
      <c r="AI266" s="316">
        <f t="shared" ref="AI266:AI272" si="225">IF(AP266="","",CritClassInd1_Points*AN266+CritClassInd1_Matches*AP266+CritClassInd1_Attaque*AS266+CritClassInd1_DiffButs*AU266)</f>
        <v>6000000000000</v>
      </c>
      <c r="AJ266" s="415" t="b">
        <f>AND(AO266&lt;&gt;"",AO266&gt;0,COUNTIF(AI266:AI272,AI266)&gt;1)</f>
        <v>0</v>
      </c>
      <c r="AK266" s="316">
        <f t="shared" ref="AK266:AK272" si="226">IF(AP266="","",CritClassInd_ScorePart*AE266)</f>
        <v>0</v>
      </c>
      <c r="AL266" s="317">
        <f t="shared" ref="AL266:AL272" si="227">IF(AP266="","",AI266+AK266+CritClassInd2_Points*AN266+CritClassInd2_Matches*AP266+CritClassInd2_Attaque*AS266+CritClassInd2_DiffButs*AU266+AF266)</f>
        <v>5999999990500</v>
      </c>
      <c r="AM266" s="415" t="b">
        <f>AND(AO266&lt;&gt;"",AO266&gt;0,COUNTIF(AL266:AL272,AL266)&gt;1)</f>
        <v>0</v>
      </c>
      <c r="AN266" s="306">
        <f t="shared" ref="AN266:AN272" si="228">IF(AP266="","",(AP266*Points_Victoire)+AQ266*Points_Null)</f>
        <v>6</v>
      </c>
      <c r="AO266" s="307">
        <f t="shared" ref="AO266:AO272" si="229">IF(AP266="","",SUM(AP266:AR266))</f>
        <v>3</v>
      </c>
      <c r="AP266" s="307">
        <f>IF(OR(AC265="",AD266=""),"",COUNTIF(ResultsInd[Win],AC265&amp;"-"&amp;AD266))</f>
        <v>2</v>
      </c>
      <c r="AQ266" s="307">
        <f>IF(OR(AC265="",AD266=""),"",COUNTIF(ResultsInd[Draw1],AC265&amp;"-"&amp;AD266)+COUNTIF(ResultsInd[Draw2],AC265&amp;"-"&amp;AD266))</f>
        <v>0</v>
      </c>
      <c r="AR266" s="307">
        <f>IF(OR(AC265="",AD266=""),"",COUNTIF(ResultsInd[Lose],AC265&amp;"-"&amp;AD266))</f>
        <v>1</v>
      </c>
      <c r="AS266" s="307">
        <f>IF(OR(AC265="",AD266=""),"",SUMIFS(ResultsInd[Goal-A],ResultsInd[Category],AC265,ResultsInd[Stage],"Groups",ResultsInd[Player A],AD266)+SUMIFS(ResultsInd[Goal-B],ResultsInd[Category],AC265,ResultsInd[Stage],"Groups",ResultsInd[Player B],AD266))</f>
        <v>5</v>
      </c>
      <c r="AT266" s="307">
        <f>IF(OR(AC265="",AD266=""),"",SUMIFS(ResultsInd[Goal-B],ResultsInd[Category],AC265,ResultsInd[Stage],"Groups",ResultsInd[Player A],AD266)+SUMIFS(ResultsInd[Goal-A],ResultsInd[Category],AC265,ResultsInd[Stage],"Groups",ResultsInd[Player B],AD266))</f>
        <v>6</v>
      </c>
      <c r="AU266" s="308">
        <f>IF(AP266="","",AS266-AT266)</f>
        <v>-1</v>
      </c>
      <c r="AV266" s="469" t="b">
        <f>IF(AG266="","",OR(VLOOKUP(AG266,AH266:AU272,3,FALSE),VLOOKUP(AG266,AH266:AU272,6,FALSE)))</f>
        <v>0</v>
      </c>
      <c r="AW266" s="298">
        <f t="shared" ref="AW266:AW272" si="230">IF(AG266="","",INT(AG266/1000))</f>
        <v>1</v>
      </c>
      <c r="AX266" s="285" t="str">
        <f>IF(AG266="","",INDEX(AD266:AD272,MATCH(AG266,AH266:AH272,0)))</f>
        <v>Francesco Borgo</v>
      </c>
      <c r="AY266" s="286">
        <f>IF(AG266="","",VLOOKUP(AG266,AH266:AU272,COLUMN()-COLUMN(AR265),FALSE))</f>
        <v>9</v>
      </c>
      <c r="AZ266" s="286">
        <f>IF(AG266="","",VLOOKUP(AG266,AH266:AU272,COLUMN()-COLUMN(AR265),FALSE))</f>
        <v>3</v>
      </c>
      <c r="BA266" s="286">
        <f>IF(AG266="","",VLOOKUP(AG266,AH266:AU272,COLUMN()-COLUMN(AR265),FALSE))</f>
        <v>3</v>
      </c>
      <c r="BB266" s="286">
        <f>IF(AG266="","",VLOOKUP(AG266,AH266:AU272,COLUMN()-COLUMN(AR265),FALSE))</f>
        <v>0</v>
      </c>
      <c r="BC266" s="286">
        <f>IF(AG266="","",VLOOKUP(AG266,AH266:AU272,COLUMN()-COLUMN(AR265),FALSE))</f>
        <v>0</v>
      </c>
      <c r="BD266" s="286">
        <f>IF(AG266="","",VLOOKUP(AG266,AH266:AU272,COLUMN()-COLUMN(AR265),FALSE))</f>
        <v>21</v>
      </c>
      <c r="BE266" s="286">
        <f>IF(AG266="","",VLOOKUP(AG266,AH266:AU272,COLUMN()-COLUMN(AR265),FALSE))</f>
        <v>3</v>
      </c>
      <c r="BF266" s="301">
        <f>IF(AG266="","",VLOOKUP(AG266,AH266:AU272,COLUMN()-COLUMN(AR265),FALSE))</f>
        <v>18</v>
      </c>
    </row>
    <row r="267" spans="1:58" ht="12" thickBot="1" x14ac:dyDescent="0.25">
      <c r="A267" s="62"/>
      <c r="B267" s="62"/>
      <c r="C267" s="62"/>
      <c r="D267" s="62"/>
      <c r="E267" s="345"/>
      <c r="F267" s="345"/>
      <c r="G267" s="113"/>
      <c r="H267" s="113"/>
      <c r="I267" s="114"/>
      <c r="J267" s="114"/>
      <c r="K267" s="114"/>
      <c r="L267" s="81"/>
      <c r="M267" s="265" t="b">
        <f>NOT(ISERROR(ResultsInd[[#This Row],[Goal-A]]+ResultsInd[[#This Row],[Goal-B]]))</f>
        <v>1</v>
      </c>
      <c r="N267" s="265">
        <f>VALUE(ResultsInd[[#This Row],[Score-A]])</f>
        <v>0</v>
      </c>
      <c r="O267" s="265">
        <f>VALUE(ResultsInd[[#This Row],[Score-B]])</f>
        <v>0</v>
      </c>
      <c r="P267" s="265" t="str">
        <f ca="1">IF(AND(ResultsInd[[#This Row],[Category]]&lt;&gt;"",ResultsInd[[#This Row],[Player A]]&lt;&gt;""),COUNTIF(INDIRECT(ResultsInd[[#This Row],[Category]]&amp;"List[Retained Player Name]"),ResultsInd[[#This Row],[Player A]]),"")</f>
        <v/>
      </c>
      <c r="Q267" s="265" t="str">
        <f ca="1">IF(AND(ResultsInd[[#This Row],[Category]]&lt;&gt;"",ResultsInd[[#This Row],[Player B]]&lt;&gt;""),COUNTIF(INDIRECT(ResultsInd[[#This Row],[Category]]&amp;"List[Retained Player Name]"),ResultsInd[[#This Row],[Player B]]),"")</f>
        <v/>
      </c>
      <c r="R2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7" s="265" t="str">
        <f>IF(ResultsInd[[#This Row],[Score_OK]],IF(ResultsInd[[#This Row],[Stage]]="Groups",ResultsInd[[#This Row],[Category]]&amp;"-"&amp;IF(ResultsInd[[#This Row],[Player B]]="","",IF(ResultsInd[[#This Row],[Score-A]]=ResultsInd[[#This Row],[Score-B]],ResultsInd[[#This Row],[Player A]],"")),""),"")</f>
        <v/>
      </c>
      <c r="T267" s="265" t="str">
        <f>IF(ResultsInd[[#This Row],[Score_OK]],IF(ResultsInd[[#This Row],[Stage]]="Groups",ResultsInd[[#This Row],[Category]]&amp;"-"&amp;IF(ResultsInd[[#This Row],[Player B]]="","",IF(ResultsInd[[#This Row],[Score-A]]=ResultsInd[[#This Row],[Score-B]],ResultsInd[[#This Row],[Player B]],"")),""),"")</f>
        <v/>
      </c>
      <c r="U2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7" s="264" t="str">
        <f>IF(ResultsInd[[#This Row],[Category]]="","",VLOOKUP(ResultsInd[[#This Row],[Stage]],$P$1:$V$9,MATCH(ResultsInd[[#This Row],[Category]],$Q$1:$V$1,0)+1,FALSE))</f>
        <v/>
      </c>
      <c r="Z267" s="264" t="str">
        <f>IF(ResultsInd[[#This Row],[Score_OK]],IF(ResultsInd[[#This Row],[Level]]="R",ResultsInd[[#This Row],[Category]]&amp;"-"&amp;IF(ResultsInd[[#This Row],[LoseInKO]]=ResultsInd[[#This Row],[Category]]&amp;"-"&amp;ResultsInd[[#This Row],[Player A]],ResultsInd[[#This Row],[Player B]],ResultsInd[[#This Row],[Player A]]),""),"")</f>
        <v/>
      </c>
      <c r="AB267" s="8"/>
      <c r="AC267" s="12" t="str">
        <f t="shared" ref="AC267:AC272" si="231">IF(AC266="","",AC266)</f>
        <v>OPEN</v>
      </c>
      <c r="AD267" s="309" t="s">
        <v>8713</v>
      </c>
      <c r="AE267" s="320"/>
      <c r="AF267" s="311"/>
      <c r="AG267" s="292">
        <f>IF(AP267="","",SMALL(AH266:AH272,ROWS(AG266:AG267)))</f>
        <v>2001</v>
      </c>
      <c r="AH267" s="293">
        <f>IF(AP267="","",RANK(AL267,AL266:AL272)*1000+ROWS(AH266:AH267))</f>
        <v>4002</v>
      </c>
      <c r="AI267" s="316">
        <f t="shared" si="225"/>
        <v>0</v>
      </c>
      <c r="AJ267" s="415" t="b">
        <f>AND(AO267&lt;&gt;"",AO267&gt;0,COUNTIF(AI266:AI272,AI267)&gt;1)</f>
        <v>0</v>
      </c>
      <c r="AK267" s="316">
        <f t="shared" si="226"/>
        <v>0</v>
      </c>
      <c r="AL267" s="317">
        <f t="shared" si="227"/>
        <v>-89400</v>
      </c>
      <c r="AM267" s="415" t="b">
        <f>AND(AO267&lt;&gt;"",AO267&gt;0,COUNTIF(AL266:AL272,AL267)&gt;1)</f>
        <v>0</v>
      </c>
      <c r="AN267" s="306">
        <f t="shared" si="228"/>
        <v>0</v>
      </c>
      <c r="AO267" s="307">
        <f t="shared" si="229"/>
        <v>3</v>
      </c>
      <c r="AP267" s="307">
        <f>IF(OR(AC265="",AD267=""),"",COUNTIF(ResultsInd[Win],AC265&amp;"-"&amp;AD267))</f>
        <v>0</v>
      </c>
      <c r="AQ267" s="307">
        <f>IF(OR(AC265="",AD267=""),"",COUNTIF(ResultsInd[Draw1],AC265&amp;"-"&amp;AD267)+COUNTIF(ResultsInd[Draw2],AC265&amp;"-"&amp;AD267))</f>
        <v>0</v>
      </c>
      <c r="AR267" s="307">
        <f>IF(OR(AC265="",AD267=""),"",COUNTIF(ResultsInd[Lose],AC265&amp;"-"&amp;AD267))</f>
        <v>3</v>
      </c>
      <c r="AS267" s="307">
        <f>IF(OR(AC265="",AD267=""),"",SUMIFS(ResultsInd[Goal-A],ResultsInd[Category],AC265,ResultsInd[Stage],"Groups",ResultsInd[Player A],AD267)+SUMIFS(ResultsInd[Goal-B],ResultsInd[Category],AC265,ResultsInd[Stage],"Groups",ResultsInd[Player B],AD267))</f>
        <v>6</v>
      </c>
      <c r="AT267" s="307">
        <f>IF(OR(AC265="",AD267=""),"",SUMIFS(ResultsInd[Goal-B],ResultsInd[Category],AC265,ResultsInd[Stage],"Groups",ResultsInd[Player A],AD267)+SUMIFS(ResultsInd[Goal-A],ResultsInd[Category],AC265,ResultsInd[Stage],"Groups",ResultsInd[Player B],AD267))</f>
        <v>15</v>
      </c>
      <c r="AU267" s="308">
        <f t="shared" ref="AU267:AU272" si="232">IF(AP267="","",AS267-AT267)</f>
        <v>-9</v>
      </c>
      <c r="AV267" s="469" t="b">
        <f>IF(AG267="","",OR(VLOOKUP(AG267,AH266:AU272,3,FALSE),VLOOKUP(AG267,AH266:AU272,6,FALSE)))</f>
        <v>0</v>
      </c>
      <c r="AW267" s="298">
        <f t="shared" si="230"/>
        <v>2</v>
      </c>
      <c r="AX267" s="285" t="str">
        <f>IF(AG267="","",INDEX(AD266:AD272,MATCH(AG267,AH266:AH272,0)))</f>
        <v>Kevin Cordell</v>
      </c>
      <c r="AY267" s="286">
        <f>IF(AG267="","",VLOOKUP(AG267,AH266:AU272,COLUMN()-COLUMN(AR265),FALSE))</f>
        <v>6</v>
      </c>
      <c r="AZ267" s="286">
        <f>IF(AG267="","",VLOOKUP(AG267,AH266:AU272,COLUMN()-COLUMN(AR265),FALSE))</f>
        <v>3</v>
      </c>
      <c r="BA267" s="286">
        <f>IF(AG267="","",VLOOKUP(AG267,AH266:AU272,COLUMN()-COLUMN(AR265),FALSE))</f>
        <v>2</v>
      </c>
      <c r="BB267" s="286">
        <f>IF(AG267="","",VLOOKUP(AG267,AH266:AU272,COLUMN()-COLUMN(AR265),FALSE))</f>
        <v>0</v>
      </c>
      <c r="BC267" s="286">
        <f>IF(AG267="","",VLOOKUP(AG267,AH266:AU272,COLUMN()-COLUMN(AR265),FALSE))</f>
        <v>1</v>
      </c>
      <c r="BD267" s="286">
        <f>IF(AG267="","",VLOOKUP(AG267,AH266:AU272,COLUMN()-COLUMN(AR265),FALSE))</f>
        <v>5</v>
      </c>
      <c r="BE267" s="286">
        <f>IF(AG267="","",VLOOKUP(AG267,AH266:AU272,COLUMN()-COLUMN(AR265),FALSE))</f>
        <v>6</v>
      </c>
      <c r="BF267" s="301">
        <f>IF(AG267="","",VLOOKUP(AG267,AH266:AU272,COLUMN()-COLUMN(AR265),FALSE))</f>
        <v>-1</v>
      </c>
    </row>
    <row r="268" spans="1:58" ht="12" thickBot="1" x14ac:dyDescent="0.25">
      <c r="A268" s="62"/>
      <c r="B268" s="62"/>
      <c r="C268" s="62"/>
      <c r="D268" s="62"/>
      <c r="E268" s="345"/>
      <c r="F268" s="345"/>
      <c r="G268" s="113"/>
      <c r="H268" s="113"/>
      <c r="I268" s="114"/>
      <c r="J268" s="114"/>
      <c r="K268" s="114"/>
      <c r="L268" s="81"/>
      <c r="M268" s="265" t="b">
        <f>NOT(ISERROR(ResultsInd[[#This Row],[Goal-A]]+ResultsInd[[#This Row],[Goal-B]]))</f>
        <v>1</v>
      </c>
      <c r="N268" s="265">
        <f>VALUE(ResultsInd[[#This Row],[Score-A]])</f>
        <v>0</v>
      </c>
      <c r="O268" s="265">
        <f>VALUE(ResultsInd[[#This Row],[Score-B]])</f>
        <v>0</v>
      </c>
      <c r="P268" s="265" t="str">
        <f ca="1">IF(AND(ResultsInd[[#This Row],[Category]]&lt;&gt;"",ResultsInd[[#This Row],[Player A]]&lt;&gt;""),COUNTIF(INDIRECT(ResultsInd[[#This Row],[Category]]&amp;"List[Retained Player Name]"),ResultsInd[[#This Row],[Player A]]),"")</f>
        <v/>
      </c>
      <c r="Q268" s="265" t="str">
        <f ca="1">IF(AND(ResultsInd[[#This Row],[Category]]&lt;&gt;"",ResultsInd[[#This Row],[Player B]]&lt;&gt;""),COUNTIF(INDIRECT(ResultsInd[[#This Row],[Category]]&amp;"List[Retained Player Name]"),ResultsInd[[#This Row],[Player B]]),"")</f>
        <v/>
      </c>
      <c r="R2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8" s="265" t="str">
        <f>IF(ResultsInd[[#This Row],[Score_OK]],IF(ResultsInd[[#This Row],[Stage]]="Groups",ResultsInd[[#This Row],[Category]]&amp;"-"&amp;IF(ResultsInd[[#This Row],[Player B]]="","",IF(ResultsInd[[#This Row],[Score-A]]=ResultsInd[[#This Row],[Score-B]],ResultsInd[[#This Row],[Player A]],"")),""),"")</f>
        <v/>
      </c>
      <c r="T268" s="265" t="str">
        <f>IF(ResultsInd[[#This Row],[Score_OK]],IF(ResultsInd[[#This Row],[Stage]]="Groups",ResultsInd[[#This Row],[Category]]&amp;"-"&amp;IF(ResultsInd[[#This Row],[Player B]]="","",IF(ResultsInd[[#This Row],[Score-A]]=ResultsInd[[#This Row],[Score-B]],ResultsInd[[#This Row],[Player B]],"")),""),"")</f>
        <v/>
      </c>
      <c r="U2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8" s="264" t="str">
        <f>IF(ResultsInd[[#This Row],[Category]]="","",VLOOKUP(ResultsInd[[#This Row],[Stage]],$P$1:$V$9,MATCH(ResultsInd[[#This Row],[Category]],$Q$1:$V$1,0)+1,FALSE))</f>
        <v/>
      </c>
      <c r="Z268" s="264" t="str">
        <f>IF(ResultsInd[[#This Row],[Score_OK]],IF(ResultsInd[[#This Row],[Level]]="R",ResultsInd[[#This Row],[Category]]&amp;"-"&amp;IF(ResultsInd[[#This Row],[LoseInKO]]=ResultsInd[[#This Row],[Category]]&amp;"-"&amp;ResultsInd[[#This Row],[Player A]],ResultsInd[[#This Row],[Player B]],ResultsInd[[#This Row],[Player A]]),""),"")</f>
        <v/>
      </c>
      <c r="AB268" s="8"/>
      <c r="AC268" s="12" t="str">
        <f t="shared" si="231"/>
        <v>OPEN</v>
      </c>
      <c r="AD268" s="309" t="s">
        <v>8083</v>
      </c>
      <c r="AE268" s="320"/>
      <c r="AF268" s="311"/>
      <c r="AG268" s="292">
        <f>IF(AP268="","",SMALL(AH266:AH272,ROWS(AG266:AG268)))</f>
        <v>3003</v>
      </c>
      <c r="AH268" s="293">
        <f>IF(AP268="","",RANK(AL268,AL266:AL272)*1000+ROWS(AH266:AH268))</f>
        <v>3003</v>
      </c>
      <c r="AI268" s="316">
        <f t="shared" si="225"/>
        <v>3000000000000</v>
      </c>
      <c r="AJ268" s="415" t="b">
        <f>AND(AO268&lt;&gt;"",AO268&gt;0,COUNTIF(AI266:AI272,AI268)&gt;1)</f>
        <v>0</v>
      </c>
      <c r="AK268" s="316">
        <f t="shared" si="226"/>
        <v>0</v>
      </c>
      <c r="AL268" s="317">
        <f t="shared" si="227"/>
        <v>2999999920600</v>
      </c>
      <c r="AM268" s="415" t="b">
        <f>AND(AO268&lt;&gt;"",AO268&gt;0,COUNTIF(AL266:AL272,AL268)&gt;1)</f>
        <v>0</v>
      </c>
      <c r="AN268" s="306">
        <f t="shared" si="228"/>
        <v>3</v>
      </c>
      <c r="AO268" s="307">
        <f t="shared" si="229"/>
        <v>3</v>
      </c>
      <c r="AP268" s="307">
        <f>IF(OR(AC265="",AD268=""),"",COUNTIF(ResultsInd[Win],AC265&amp;"-"&amp;AD268))</f>
        <v>1</v>
      </c>
      <c r="AQ268" s="307">
        <f>IF(OR(AC265="",AD268=""),"",COUNTIF(ResultsInd[Draw1],AC265&amp;"-"&amp;AD268)+COUNTIF(ResultsInd[Draw2],AC265&amp;"-"&amp;AD268))</f>
        <v>0</v>
      </c>
      <c r="AR268" s="307">
        <f>IF(OR(AC265="",AD268=""),"",COUNTIF(ResultsInd[Lose],AC265&amp;"-"&amp;AD268))</f>
        <v>2</v>
      </c>
      <c r="AS268" s="307">
        <f>IF(OR(AC265="",AD268=""),"",SUMIFS(ResultsInd[Goal-A],ResultsInd[Category],AC265,ResultsInd[Stage],"Groups",ResultsInd[Player A],AD268)+SUMIFS(ResultsInd[Goal-B],ResultsInd[Category],AC265,ResultsInd[Stage],"Groups",ResultsInd[Player B],AD268))</f>
        <v>6</v>
      </c>
      <c r="AT268" s="307">
        <f>IF(OR(AC265="",AD268=""),"",SUMIFS(ResultsInd[Goal-B],ResultsInd[Category],AC265,ResultsInd[Stage],"Groups",ResultsInd[Player A],AD268)+SUMIFS(ResultsInd[Goal-A],ResultsInd[Category],AC265,ResultsInd[Stage],"Groups",ResultsInd[Player B],AD268))</f>
        <v>14</v>
      </c>
      <c r="AU268" s="308">
        <f t="shared" si="232"/>
        <v>-8</v>
      </c>
      <c r="AV268" s="469" t="b">
        <f>IF(AG268="","",OR(VLOOKUP(AG268,AH266:AU272,3,FALSE),VLOOKUP(AG268,AH266:AU272,6,FALSE)))</f>
        <v>0</v>
      </c>
      <c r="AW268" s="298">
        <f t="shared" si="230"/>
        <v>3</v>
      </c>
      <c r="AX268" s="285" t="str">
        <f>IF(AG268="","",INDEX(AD266:AD272,MATCH(AG268,AH266:AH272,0)))</f>
        <v>Kenny De Schuyteneer</v>
      </c>
      <c r="AY268" s="286">
        <f>IF(AG268="","",VLOOKUP(AG268,AH266:AU272,COLUMN()-COLUMN(AR265),FALSE))</f>
        <v>3</v>
      </c>
      <c r="AZ268" s="286">
        <f>IF(AG268="","",VLOOKUP(AG268,AH266:AU272,COLUMN()-COLUMN(AR265),FALSE))</f>
        <v>3</v>
      </c>
      <c r="BA268" s="286">
        <f>IF(AG268="","",VLOOKUP(AG268,AH266:AU272,COLUMN()-COLUMN(AR265),FALSE))</f>
        <v>1</v>
      </c>
      <c r="BB268" s="286">
        <f>IF(AG268="","",VLOOKUP(AG268,AH266:AU272,COLUMN()-COLUMN(AR265),FALSE))</f>
        <v>0</v>
      </c>
      <c r="BC268" s="286">
        <f>IF(AG268="","",VLOOKUP(AG268,AH266:AU272,COLUMN()-COLUMN(AR265),FALSE))</f>
        <v>2</v>
      </c>
      <c r="BD268" s="286">
        <f>IF(AG268="","",VLOOKUP(AG268,AH266:AU272,COLUMN()-COLUMN(AR265),FALSE))</f>
        <v>6</v>
      </c>
      <c r="BE268" s="286">
        <f>IF(AG268="","",VLOOKUP(AG268,AH266:AU272,COLUMN()-COLUMN(AR265),FALSE))</f>
        <v>14</v>
      </c>
      <c r="BF268" s="301">
        <f>IF(AG268="","",VLOOKUP(AG268,AH266:AU272,COLUMN()-COLUMN(AR265),FALSE))</f>
        <v>-8</v>
      </c>
    </row>
    <row r="269" spans="1:58" ht="12" thickBot="1" x14ac:dyDescent="0.25">
      <c r="A269" s="62"/>
      <c r="B269" s="62"/>
      <c r="C269" s="62"/>
      <c r="D269" s="62"/>
      <c r="E269" s="345"/>
      <c r="F269" s="345"/>
      <c r="G269" s="113"/>
      <c r="H269" s="113"/>
      <c r="I269" s="114"/>
      <c r="J269" s="114"/>
      <c r="K269" s="114"/>
      <c r="L269" s="81"/>
      <c r="M269" s="265" t="b">
        <f>NOT(ISERROR(ResultsInd[[#This Row],[Goal-A]]+ResultsInd[[#This Row],[Goal-B]]))</f>
        <v>1</v>
      </c>
      <c r="N269" s="265">
        <f>VALUE(ResultsInd[[#This Row],[Score-A]])</f>
        <v>0</v>
      </c>
      <c r="O269" s="265">
        <f>VALUE(ResultsInd[[#This Row],[Score-B]])</f>
        <v>0</v>
      </c>
      <c r="P269" s="265" t="str">
        <f ca="1">IF(AND(ResultsInd[[#This Row],[Category]]&lt;&gt;"",ResultsInd[[#This Row],[Player A]]&lt;&gt;""),COUNTIF(INDIRECT(ResultsInd[[#This Row],[Category]]&amp;"List[Retained Player Name]"),ResultsInd[[#This Row],[Player A]]),"")</f>
        <v/>
      </c>
      <c r="Q269" s="265" t="str">
        <f ca="1">IF(AND(ResultsInd[[#This Row],[Category]]&lt;&gt;"",ResultsInd[[#This Row],[Player B]]&lt;&gt;""),COUNTIF(INDIRECT(ResultsInd[[#This Row],[Category]]&amp;"List[Retained Player Name]"),ResultsInd[[#This Row],[Player B]]),"")</f>
        <v/>
      </c>
      <c r="R2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9" s="265" t="str">
        <f>IF(ResultsInd[[#This Row],[Score_OK]],IF(ResultsInd[[#This Row],[Stage]]="Groups",ResultsInd[[#This Row],[Category]]&amp;"-"&amp;IF(ResultsInd[[#This Row],[Player B]]="","",IF(ResultsInd[[#This Row],[Score-A]]=ResultsInd[[#This Row],[Score-B]],ResultsInd[[#This Row],[Player A]],"")),""),"")</f>
        <v/>
      </c>
      <c r="T269" s="265" t="str">
        <f>IF(ResultsInd[[#This Row],[Score_OK]],IF(ResultsInd[[#This Row],[Stage]]="Groups",ResultsInd[[#This Row],[Category]]&amp;"-"&amp;IF(ResultsInd[[#This Row],[Player B]]="","",IF(ResultsInd[[#This Row],[Score-A]]=ResultsInd[[#This Row],[Score-B]],ResultsInd[[#This Row],[Player B]],"")),""),"")</f>
        <v/>
      </c>
      <c r="U2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9" s="264" t="str">
        <f>IF(ResultsInd[[#This Row],[Category]]="","",VLOOKUP(ResultsInd[[#This Row],[Stage]],$P$1:$V$9,MATCH(ResultsInd[[#This Row],[Category]],$Q$1:$V$1,0)+1,FALSE))</f>
        <v/>
      </c>
      <c r="Z269" s="264" t="str">
        <f>IF(ResultsInd[[#This Row],[Score_OK]],IF(ResultsInd[[#This Row],[Level]]="R",ResultsInd[[#This Row],[Category]]&amp;"-"&amp;IF(ResultsInd[[#This Row],[LoseInKO]]=ResultsInd[[#This Row],[Category]]&amp;"-"&amp;ResultsInd[[#This Row],[Player A]],ResultsInd[[#This Row],[Player B]],ResultsInd[[#This Row],[Player A]]),""),"")</f>
        <v/>
      </c>
      <c r="AB269" s="91"/>
      <c r="AC269" s="12" t="str">
        <f t="shared" si="231"/>
        <v>OPEN</v>
      </c>
      <c r="AD269" s="309" t="s">
        <v>10272</v>
      </c>
      <c r="AE269" s="310"/>
      <c r="AF269" s="311"/>
      <c r="AG269" s="292">
        <f>IF(AP269="","",SMALL(AH266:AH272,ROWS(AG266:AG269)))</f>
        <v>4002</v>
      </c>
      <c r="AH269" s="293">
        <f>IF(AP269="","",RANK(AL269,AL266:AL272)*1000+ROWS(AH266:AH269))</f>
        <v>1004</v>
      </c>
      <c r="AI269" s="316">
        <f t="shared" si="225"/>
        <v>9000000000000</v>
      </c>
      <c r="AJ269" s="415" t="b">
        <f>AND(AO269&lt;&gt;"",AO269&gt;0,COUNTIF(AI266:AI272,AI269)&gt;1)</f>
        <v>0</v>
      </c>
      <c r="AK269" s="316">
        <f t="shared" si="226"/>
        <v>0</v>
      </c>
      <c r="AL269" s="317">
        <f t="shared" si="227"/>
        <v>9000000182100</v>
      </c>
      <c r="AM269" s="415" t="b">
        <f>AND(AO269&lt;&gt;"",AO269&gt;0,COUNTIF(AL266:AL272,AL269)&gt;1)</f>
        <v>0</v>
      </c>
      <c r="AN269" s="306">
        <f t="shared" si="228"/>
        <v>9</v>
      </c>
      <c r="AO269" s="307">
        <f t="shared" si="229"/>
        <v>3</v>
      </c>
      <c r="AP269" s="307">
        <f>IF(OR(AC265="",AD269=""),"",COUNTIF(ResultsInd[Win],AC265&amp;"-"&amp;AD269))</f>
        <v>3</v>
      </c>
      <c r="AQ269" s="307">
        <f>IF(OR(AC265="",AD269=""),"",COUNTIF(ResultsInd[Draw1],AC265&amp;"-"&amp;AD269)+COUNTIF(ResultsInd[Draw2],AC265&amp;"-"&amp;AD269))</f>
        <v>0</v>
      </c>
      <c r="AR269" s="307">
        <f>IF(OR(AC265="",AD269=""),"",COUNTIF(ResultsInd[Lose],AC265&amp;"-"&amp;AD269))</f>
        <v>0</v>
      </c>
      <c r="AS269" s="307">
        <f>IF(OR(AC265="",AD269=""),"",SUMIFS(ResultsInd[Goal-A],ResultsInd[Category],AC265,ResultsInd[Stage],"Groups",ResultsInd[Player A],AD269)+SUMIFS(ResultsInd[Goal-B],ResultsInd[Category],AC265,ResultsInd[Stage],"Groups",ResultsInd[Player B],AD269))</f>
        <v>21</v>
      </c>
      <c r="AT269" s="307">
        <f>IF(OR(AC265="",AD269=""),"",SUMIFS(ResultsInd[Goal-B],ResultsInd[Category],AC265,ResultsInd[Stage],"Groups",ResultsInd[Player A],AD269)+SUMIFS(ResultsInd[Goal-A],ResultsInd[Category],AC265,ResultsInd[Stage],"Groups",ResultsInd[Player B],AD269))</f>
        <v>3</v>
      </c>
      <c r="AU269" s="308">
        <f t="shared" si="232"/>
        <v>18</v>
      </c>
      <c r="AV269" s="469" t="b">
        <f>IF(AG269="","",OR(VLOOKUP(AG269,AH266:AU272,3,FALSE),VLOOKUP(AG269,AH266:AU272,6,FALSE)))</f>
        <v>0</v>
      </c>
      <c r="AW269" s="298">
        <f t="shared" si="230"/>
        <v>4</v>
      </c>
      <c r="AX269" s="285" t="str">
        <f>IF(AG269="","",INDEX(AD266:AD272,MATCH(AG269,AH266:AH272,0)))</f>
        <v>Ludovic Midoux</v>
      </c>
      <c r="AY269" s="286">
        <f>IF(AG269="","",VLOOKUP(AG269,AH266:AU272,COLUMN()-COLUMN(AR265),FALSE))</f>
        <v>0</v>
      </c>
      <c r="AZ269" s="286">
        <f>IF(AG269="","",VLOOKUP(AG269,AH266:AU272,COLUMN()-COLUMN(AR265),FALSE))</f>
        <v>3</v>
      </c>
      <c r="BA269" s="286">
        <f>IF(AG269="","",VLOOKUP(AG269,AH266:AU272,COLUMN()-COLUMN(AR265),FALSE))</f>
        <v>0</v>
      </c>
      <c r="BB269" s="286">
        <f>IF(AG269="","",VLOOKUP(AG269,AH266:AU272,COLUMN()-COLUMN(AR265),FALSE))</f>
        <v>0</v>
      </c>
      <c r="BC269" s="286">
        <f>IF(AG269="","",VLOOKUP(AG269,AH266:AU272,COLUMN()-COLUMN(AR265),FALSE))</f>
        <v>3</v>
      </c>
      <c r="BD269" s="286">
        <f>IF(AG269="","",VLOOKUP(AG269,AH266:AU272,COLUMN()-COLUMN(AR265),FALSE))</f>
        <v>6</v>
      </c>
      <c r="BE269" s="286">
        <f>IF(AG269="","",VLOOKUP(AG269,AH266:AU272,COLUMN()-COLUMN(AR265),FALSE))</f>
        <v>15</v>
      </c>
      <c r="BF269" s="301">
        <f>IF(AG269="","",VLOOKUP(AG269,AH266:AU272,COLUMN()-COLUMN(AR265),FALSE))</f>
        <v>-9</v>
      </c>
    </row>
    <row r="270" spans="1:58" ht="12" thickBot="1" x14ac:dyDescent="0.25">
      <c r="A270" s="62"/>
      <c r="B270" s="62"/>
      <c r="C270" s="62"/>
      <c r="D270" s="62"/>
      <c r="E270" s="345"/>
      <c r="F270" s="345"/>
      <c r="G270" s="113"/>
      <c r="H270" s="113"/>
      <c r="I270" s="114"/>
      <c r="J270" s="114"/>
      <c r="K270" s="114"/>
      <c r="L270" s="81"/>
      <c r="M270" s="265" t="b">
        <f>NOT(ISERROR(ResultsInd[[#This Row],[Goal-A]]+ResultsInd[[#This Row],[Goal-B]]))</f>
        <v>1</v>
      </c>
      <c r="N270" s="265">
        <f>VALUE(ResultsInd[[#This Row],[Score-A]])</f>
        <v>0</v>
      </c>
      <c r="O270" s="265">
        <f>VALUE(ResultsInd[[#This Row],[Score-B]])</f>
        <v>0</v>
      </c>
      <c r="P270" s="265" t="str">
        <f ca="1">IF(AND(ResultsInd[[#This Row],[Category]]&lt;&gt;"",ResultsInd[[#This Row],[Player A]]&lt;&gt;""),COUNTIF(INDIRECT(ResultsInd[[#This Row],[Category]]&amp;"List[Retained Player Name]"),ResultsInd[[#This Row],[Player A]]),"")</f>
        <v/>
      </c>
      <c r="Q270" s="265" t="str">
        <f ca="1">IF(AND(ResultsInd[[#This Row],[Category]]&lt;&gt;"",ResultsInd[[#This Row],[Player B]]&lt;&gt;""),COUNTIF(INDIRECT(ResultsInd[[#This Row],[Category]]&amp;"List[Retained Player Name]"),ResultsInd[[#This Row],[Player B]]),"")</f>
        <v/>
      </c>
      <c r="R2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0" s="265" t="str">
        <f>IF(ResultsInd[[#This Row],[Score_OK]],IF(ResultsInd[[#This Row],[Stage]]="Groups",ResultsInd[[#This Row],[Category]]&amp;"-"&amp;IF(ResultsInd[[#This Row],[Player B]]="","",IF(ResultsInd[[#This Row],[Score-A]]=ResultsInd[[#This Row],[Score-B]],ResultsInd[[#This Row],[Player A]],"")),""),"")</f>
        <v/>
      </c>
      <c r="T270" s="265" t="str">
        <f>IF(ResultsInd[[#This Row],[Score_OK]],IF(ResultsInd[[#This Row],[Stage]]="Groups",ResultsInd[[#This Row],[Category]]&amp;"-"&amp;IF(ResultsInd[[#This Row],[Player B]]="","",IF(ResultsInd[[#This Row],[Score-A]]=ResultsInd[[#This Row],[Score-B]],ResultsInd[[#This Row],[Player B]],"")),""),"")</f>
        <v/>
      </c>
      <c r="U2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0" s="264" t="str">
        <f>IF(ResultsInd[[#This Row],[Category]]="","",VLOOKUP(ResultsInd[[#This Row],[Stage]],$P$1:$V$9,MATCH(ResultsInd[[#This Row],[Category]],$Q$1:$V$1,0)+1,FALSE))</f>
        <v/>
      </c>
      <c r="Z270" s="264" t="str">
        <f>IF(ResultsInd[[#This Row],[Score_OK]],IF(ResultsInd[[#This Row],[Level]]="R",ResultsInd[[#This Row],[Category]]&amp;"-"&amp;IF(ResultsInd[[#This Row],[LoseInKO]]=ResultsInd[[#This Row],[Category]]&amp;"-"&amp;ResultsInd[[#This Row],[Player A]],ResultsInd[[#This Row],[Player B]],ResultsInd[[#This Row],[Player A]]),""),"")</f>
        <v/>
      </c>
      <c r="AB270" s="91"/>
      <c r="AC270" s="12" t="str">
        <f t="shared" si="231"/>
        <v>OPEN</v>
      </c>
      <c r="AD270" s="309"/>
      <c r="AE270" s="310"/>
      <c r="AF270" s="311"/>
      <c r="AG270" s="292" t="str">
        <f>IF(AP270="","",SMALL(AH266:AH272,ROWS(AG266:AG270)))</f>
        <v/>
      </c>
      <c r="AH270" s="293" t="str">
        <f>IF(AP270="","",RANK(AL270,AL266:AL272)*1000+ROWS(AH266:AH270))</f>
        <v/>
      </c>
      <c r="AI270" s="316" t="str">
        <f t="shared" si="225"/>
        <v/>
      </c>
      <c r="AJ270" s="415" t="b">
        <f>AND(AO270&lt;&gt;"",AO270&gt;0,COUNTIF(AI266:AI272,AI270)&gt;1)</f>
        <v>0</v>
      </c>
      <c r="AK270" s="316" t="str">
        <f t="shared" si="226"/>
        <v/>
      </c>
      <c r="AL270" s="317" t="str">
        <f t="shared" si="227"/>
        <v/>
      </c>
      <c r="AM270" s="415" t="b">
        <f>AND(AO270&lt;&gt;"",AO270&gt;0,COUNTIF(AL266:AL272,AL270)&gt;1)</f>
        <v>0</v>
      </c>
      <c r="AN270" s="306" t="str">
        <f t="shared" si="228"/>
        <v/>
      </c>
      <c r="AO270" s="307" t="str">
        <f t="shared" si="229"/>
        <v/>
      </c>
      <c r="AP270" s="307" t="str">
        <f>IF(OR(AC265="",AD270=""),"",COUNTIF(ResultsInd[Win],AC265&amp;"-"&amp;AD270))</f>
        <v/>
      </c>
      <c r="AQ270" s="307" t="str">
        <f>IF(OR(AC265="",AD270=""),"",COUNTIF(ResultsInd[Draw1],AC265&amp;"-"&amp;AD270)+COUNTIF(ResultsInd[Draw2],AC265&amp;"-"&amp;AD270))</f>
        <v/>
      </c>
      <c r="AR270" s="307" t="str">
        <f>IF(OR(AC265="",AD270=""),"",COUNTIF(ResultsInd[Lose],AC265&amp;"-"&amp;AD270))</f>
        <v/>
      </c>
      <c r="AS270" s="307" t="str">
        <f>IF(OR(AC265="",AD270=""),"",SUMIFS(ResultsInd[Goal-A],ResultsInd[Category],AC265,ResultsInd[Stage],"Groups",ResultsInd[Player A],AD270)+SUMIFS(ResultsInd[Goal-B],ResultsInd[Category],AC265,ResultsInd[Stage],"Groups",ResultsInd[Player B],AD270))</f>
        <v/>
      </c>
      <c r="AT270" s="307" t="str">
        <f>IF(OR(AC265="",AD270=""),"",SUMIFS(ResultsInd[Goal-B],ResultsInd[Category],AC265,ResultsInd[Stage],"Groups",ResultsInd[Player A],AD270)+SUMIFS(ResultsInd[Goal-A],ResultsInd[Category],AC265,ResultsInd[Stage],"Groups",ResultsInd[Player B],AD270))</f>
        <v/>
      </c>
      <c r="AU270" s="308" t="str">
        <f t="shared" si="232"/>
        <v/>
      </c>
      <c r="AV270" s="469" t="str">
        <f>IF(AG270="","",OR(VLOOKUP(AG270,AH266:AU272,3,FALSE),VLOOKUP(AG270,AH266:AU272,6,FALSE)))</f>
        <v/>
      </c>
      <c r="AW270" s="298" t="str">
        <f t="shared" si="230"/>
        <v/>
      </c>
      <c r="AX270" s="285" t="str">
        <f>IF(AG270="","",INDEX(AD266:AD272,MATCH(AG270,AH266:AH272,0)))</f>
        <v/>
      </c>
      <c r="AY270" s="286" t="str">
        <f>IF(AG270="","",VLOOKUP(AG270,AH266:AU272,COLUMN()-COLUMN(AR265),FALSE))</f>
        <v/>
      </c>
      <c r="AZ270" s="286" t="str">
        <f>IF(AG270="","",VLOOKUP(AG270,AH266:AU272,COLUMN()-COLUMN(AR265),FALSE))</f>
        <v/>
      </c>
      <c r="BA270" s="286" t="str">
        <f>IF(AG270="","",VLOOKUP(AG270,AH266:AU272,COLUMN()-COLUMN(AR265),FALSE))</f>
        <v/>
      </c>
      <c r="BB270" s="286" t="str">
        <f>IF(AG270="","",VLOOKUP(AG270,AH266:AU272,COLUMN()-COLUMN(AR265),FALSE))</f>
        <v/>
      </c>
      <c r="BC270" s="286" t="str">
        <f>IF(AG270="","",VLOOKUP(AG270,AH266:AU272,COLUMN()-COLUMN(AR265),FALSE))</f>
        <v/>
      </c>
      <c r="BD270" s="286" t="str">
        <f>IF(AG270="","",VLOOKUP(AG270,AH266:AU272,COLUMN()-COLUMN(AR265),FALSE))</f>
        <v/>
      </c>
      <c r="BE270" s="286" t="str">
        <f>IF(AG270="","",VLOOKUP(AG270,AH266:AU272,COLUMN()-COLUMN(AR265),FALSE))</f>
        <v/>
      </c>
      <c r="BF270" s="301" t="str">
        <f>IF(AG270="","",VLOOKUP(AG270,AH266:AU272,COLUMN()-COLUMN(AR265),FALSE))</f>
        <v/>
      </c>
    </row>
    <row r="271" spans="1:58" ht="12" thickBot="1" x14ac:dyDescent="0.25">
      <c r="A271" s="62"/>
      <c r="B271" s="62"/>
      <c r="C271" s="62"/>
      <c r="D271" s="62"/>
      <c r="E271" s="345"/>
      <c r="F271" s="345"/>
      <c r="G271" s="113"/>
      <c r="H271" s="113"/>
      <c r="I271" s="114"/>
      <c r="J271" s="114"/>
      <c r="K271" s="114"/>
      <c r="L271" s="81"/>
      <c r="M271" s="265" t="b">
        <f>NOT(ISERROR(ResultsInd[[#This Row],[Goal-A]]+ResultsInd[[#This Row],[Goal-B]]))</f>
        <v>1</v>
      </c>
      <c r="N271" s="265">
        <f>VALUE(ResultsInd[[#This Row],[Score-A]])</f>
        <v>0</v>
      </c>
      <c r="O271" s="265">
        <f>VALUE(ResultsInd[[#This Row],[Score-B]])</f>
        <v>0</v>
      </c>
      <c r="P271" s="265" t="str">
        <f ca="1">IF(AND(ResultsInd[[#This Row],[Category]]&lt;&gt;"",ResultsInd[[#This Row],[Player A]]&lt;&gt;""),COUNTIF(INDIRECT(ResultsInd[[#This Row],[Category]]&amp;"List[Retained Player Name]"),ResultsInd[[#This Row],[Player A]]),"")</f>
        <v/>
      </c>
      <c r="Q271" s="265" t="str">
        <f ca="1">IF(AND(ResultsInd[[#This Row],[Category]]&lt;&gt;"",ResultsInd[[#This Row],[Player B]]&lt;&gt;""),COUNTIF(INDIRECT(ResultsInd[[#This Row],[Category]]&amp;"List[Retained Player Name]"),ResultsInd[[#This Row],[Player B]]),"")</f>
        <v/>
      </c>
      <c r="R2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1" s="265" t="str">
        <f>IF(ResultsInd[[#This Row],[Score_OK]],IF(ResultsInd[[#This Row],[Stage]]="Groups",ResultsInd[[#This Row],[Category]]&amp;"-"&amp;IF(ResultsInd[[#This Row],[Player B]]="","",IF(ResultsInd[[#This Row],[Score-A]]=ResultsInd[[#This Row],[Score-B]],ResultsInd[[#This Row],[Player A]],"")),""),"")</f>
        <v/>
      </c>
      <c r="T271" s="265" t="str">
        <f>IF(ResultsInd[[#This Row],[Score_OK]],IF(ResultsInd[[#This Row],[Stage]]="Groups",ResultsInd[[#This Row],[Category]]&amp;"-"&amp;IF(ResultsInd[[#This Row],[Player B]]="","",IF(ResultsInd[[#This Row],[Score-A]]=ResultsInd[[#This Row],[Score-B]],ResultsInd[[#This Row],[Player B]],"")),""),"")</f>
        <v/>
      </c>
      <c r="U2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1" s="264" t="str">
        <f>IF(ResultsInd[[#This Row],[Category]]="","",VLOOKUP(ResultsInd[[#This Row],[Stage]],$P$1:$V$9,MATCH(ResultsInd[[#This Row],[Category]],$Q$1:$V$1,0)+1,FALSE))</f>
        <v/>
      </c>
      <c r="Z271" s="264" t="str">
        <f>IF(ResultsInd[[#This Row],[Score_OK]],IF(ResultsInd[[#This Row],[Level]]="R",ResultsInd[[#This Row],[Category]]&amp;"-"&amp;IF(ResultsInd[[#This Row],[LoseInKO]]=ResultsInd[[#This Row],[Category]]&amp;"-"&amp;ResultsInd[[#This Row],[Player A]],ResultsInd[[#This Row],[Player B]],ResultsInd[[#This Row],[Player A]]),""),"")</f>
        <v/>
      </c>
      <c r="AB271" s="8"/>
      <c r="AC271" s="12" t="str">
        <f t="shared" si="231"/>
        <v>OPEN</v>
      </c>
      <c r="AD271" s="309"/>
      <c r="AE271" s="310"/>
      <c r="AF271" s="311"/>
      <c r="AG271" s="292" t="str">
        <f>IF(AP271="","",SMALL(AH266:AH272,ROWS(AG266:AG271)))</f>
        <v/>
      </c>
      <c r="AH271" s="293" t="str">
        <f>IF(AP271="","",RANK(AL271,AL266:AL272)*1000+ROWS(AH266:AH271))</f>
        <v/>
      </c>
      <c r="AI271" s="316" t="str">
        <f t="shared" si="225"/>
        <v/>
      </c>
      <c r="AJ271" s="415" t="b">
        <f>AND(AO271&lt;&gt;"",AO271&gt;0,COUNTIF(AI266:AI272,AI271)&gt;1)</f>
        <v>0</v>
      </c>
      <c r="AK271" s="316" t="str">
        <f t="shared" si="226"/>
        <v/>
      </c>
      <c r="AL271" s="317" t="str">
        <f t="shared" si="227"/>
        <v/>
      </c>
      <c r="AM271" s="415" t="b">
        <f>AND(AO271&lt;&gt;"",AO271&gt;0,COUNTIF(AL266:AL272,AL271)&gt;1)</f>
        <v>0</v>
      </c>
      <c r="AN271" s="306" t="str">
        <f t="shared" si="228"/>
        <v/>
      </c>
      <c r="AO271" s="307" t="str">
        <f t="shared" si="229"/>
        <v/>
      </c>
      <c r="AP271" s="307" t="str">
        <f>IF(OR(AC265="",AD271=""),"",COUNTIF(ResultsInd[Win],AC265&amp;"-"&amp;AD271))</f>
        <v/>
      </c>
      <c r="AQ271" s="307" t="str">
        <f>IF(OR(AC265="",AD271=""),"",COUNTIF(ResultsInd[Draw1],AC265&amp;"-"&amp;AD271)+COUNTIF(ResultsInd[Draw2],AC265&amp;"-"&amp;AD271))</f>
        <v/>
      </c>
      <c r="AR271" s="307" t="str">
        <f>IF(OR(AC265="",AD271=""),"",COUNTIF(ResultsInd[Lose],AC265&amp;"-"&amp;AD271))</f>
        <v/>
      </c>
      <c r="AS271" s="307" t="str">
        <f>IF(OR(AC265="",AD271=""),"",SUMIFS(ResultsInd[Goal-A],ResultsInd[Category],AC265,ResultsInd[Stage],"Groups",ResultsInd[Player A],AD271)+SUMIFS(ResultsInd[Goal-B],ResultsInd[Category],AC265,ResultsInd[Stage],"Groups",ResultsInd[Player B],AD271))</f>
        <v/>
      </c>
      <c r="AT271" s="307" t="str">
        <f>IF(OR(AC265="",AD271=""),"",SUMIFS(ResultsInd[Goal-B],ResultsInd[Category],AC265,ResultsInd[Stage],"Groups",ResultsInd[Player A],AD271)+SUMIFS(ResultsInd[Goal-A],ResultsInd[Category],AC265,ResultsInd[Stage],"Groups",ResultsInd[Player B],AD271))</f>
        <v/>
      </c>
      <c r="AU271" s="308" t="str">
        <f t="shared" si="232"/>
        <v/>
      </c>
      <c r="AV271" s="469" t="str">
        <f>IF(AG271="","",OR(VLOOKUP(AG271,AH266:AU272,3,FALSE),VLOOKUP(AG271,AH266:AU272,6,FALSE)))</f>
        <v/>
      </c>
      <c r="AW271" s="298" t="str">
        <f t="shared" si="230"/>
        <v/>
      </c>
      <c r="AX271" s="285" t="str">
        <f>IF(AG271="","",INDEX(AD266:AD272,MATCH(AG271,AH266:AH272,0)))</f>
        <v/>
      </c>
      <c r="AY271" s="286" t="str">
        <f>IF(AG271="","",VLOOKUP(AG271,AH266:AU272,COLUMN()-COLUMN(AR265),FALSE))</f>
        <v/>
      </c>
      <c r="AZ271" s="286" t="str">
        <f>IF(AG271="","",VLOOKUP(AG271,AH266:AU272,COLUMN()-COLUMN(AR265),FALSE))</f>
        <v/>
      </c>
      <c r="BA271" s="286" t="str">
        <f>IF(AG271="","",VLOOKUP(AG271,AH266:AU272,COLUMN()-COLUMN(AR265),FALSE))</f>
        <v/>
      </c>
      <c r="BB271" s="286" t="str">
        <f>IF(AG271="","",VLOOKUP(AG271,AH266:AU272,COLUMN()-COLUMN(AR265),FALSE))</f>
        <v/>
      </c>
      <c r="BC271" s="286" t="str">
        <f>IF(AG271="","",VLOOKUP(AG271,AH266:AU272,COLUMN()-COLUMN(AR265),FALSE))</f>
        <v/>
      </c>
      <c r="BD271" s="286" t="str">
        <f>IF(AG271="","",VLOOKUP(AG271,AH266:AU272,COLUMN()-COLUMN(AR265),FALSE))</f>
        <v/>
      </c>
      <c r="BE271" s="286" t="str">
        <f>IF(AG271="","",VLOOKUP(AG271,AH266:AU272,COLUMN()-COLUMN(AR265),FALSE))</f>
        <v/>
      </c>
      <c r="BF271" s="301" t="str">
        <f>IF(AG271="","",VLOOKUP(AG271,AH266:AU272,COLUMN()-COLUMN(AR265),FALSE))</f>
        <v/>
      </c>
    </row>
    <row r="272" spans="1:58" ht="12" thickBot="1" x14ac:dyDescent="0.25">
      <c r="A272" s="62"/>
      <c r="B272" s="62"/>
      <c r="C272" s="62"/>
      <c r="D272" s="62"/>
      <c r="E272" s="345"/>
      <c r="F272" s="345"/>
      <c r="G272" s="113"/>
      <c r="H272" s="113"/>
      <c r="I272" s="114"/>
      <c r="J272" s="114"/>
      <c r="K272" s="114"/>
      <c r="L272" s="81"/>
      <c r="M272" s="265" t="b">
        <f>NOT(ISERROR(ResultsInd[[#This Row],[Goal-A]]+ResultsInd[[#This Row],[Goal-B]]))</f>
        <v>1</v>
      </c>
      <c r="N272" s="265">
        <f>VALUE(ResultsInd[[#This Row],[Score-A]])</f>
        <v>0</v>
      </c>
      <c r="O272" s="265">
        <f>VALUE(ResultsInd[[#This Row],[Score-B]])</f>
        <v>0</v>
      </c>
      <c r="P272" s="265" t="str">
        <f ca="1">IF(AND(ResultsInd[[#This Row],[Category]]&lt;&gt;"",ResultsInd[[#This Row],[Player A]]&lt;&gt;""),COUNTIF(INDIRECT(ResultsInd[[#This Row],[Category]]&amp;"List[Retained Player Name]"),ResultsInd[[#This Row],[Player A]]),"")</f>
        <v/>
      </c>
      <c r="Q272" s="265" t="str">
        <f ca="1">IF(AND(ResultsInd[[#This Row],[Category]]&lt;&gt;"",ResultsInd[[#This Row],[Player B]]&lt;&gt;""),COUNTIF(INDIRECT(ResultsInd[[#This Row],[Category]]&amp;"List[Retained Player Name]"),ResultsInd[[#This Row],[Player B]]),"")</f>
        <v/>
      </c>
      <c r="R2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2" s="265" t="str">
        <f>IF(ResultsInd[[#This Row],[Score_OK]],IF(ResultsInd[[#This Row],[Stage]]="Groups",ResultsInd[[#This Row],[Category]]&amp;"-"&amp;IF(ResultsInd[[#This Row],[Player B]]="","",IF(ResultsInd[[#This Row],[Score-A]]=ResultsInd[[#This Row],[Score-B]],ResultsInd[[#This Row],[Player A]],"")),""),"")</f>
        <v/>
      </c>
      <c r="T272" s="265" t="str">
        <f>IF(ResultsInd[[#This Row],[Score_OK]],IF(ResultsInd[[#This Row],[Stage]]="Groups",ResultsInd[[#This Row],[Category]]&amp;"-"&amp;IF(ResultsInd[[#This Row],[Player B]]="","",IF(ResultsInd[[#This Row],[Score-A]]=ResultsInd[[#This Row],[Score-B]],ResultsInd[[#This Row],[Player B]],"")),""),"")</f>
        <v/>
      </c>
      <c r="U2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2" s="264" t="str">
        <f>IF(ResultsInd[[#This Row],[Category]]="","",VLOOKUP(ResultsInd[[#This Row],[Stage]],$P$1:$V$9,MATCH(ResultsInd[[#This Row],[Category]],$Q$1:$V$1,0)+1,FALSE))</f>
        <v/>
      </c>
      <c r="Z272" s="264" t="str">
        <f>IF(ResultsInd[[#This Row],[Score_OK]],IF(ResultsInd[[#This Row],[Level]]="R",ResultsInd[[#This Row],[Category]]&amp;"-"&amp;IF(ResultsInd[[#This Row],[LoseInKO]]=ResultsInd[[#This Row],[Category]]&amp;"-"&amp;ResultsInd[[#This Row],[Player A]],ResultsInd[[#This Row],[Player B]],ResultsInd[[#This Row],[Player A]]),""),"")</f>
        <v/>
      </c>
      <c r="AB272" s="8"/>
      <c r="AC272" s="12" t="str">
        <f t="shared" si="231"/>
        <v>OPEN</v>
      </c>
      <c r="AD272" s="312"/>
      <c r="AE272" s="313"/>
      <c r="AF272" s="314"/>
      <c r="AG272" s="294" t="str">
        <f>IF(AP272="","",SMALL(AH266:AH272,ROWS(AG266:AG272)))</f>
        <v/>
      </c>
      <c r="AH272" s="295" t="str">
        <f>IF(AP272="","",RANK(AL272,AL266:AL272)*1000+ROWS(AH266:AH272))</f>
        <v/>
      </c>
      <c r="AI272" s="318" t="str">
        <f t="shared" si="225"/>
        <v/>
      </c>
      <c r="AJ272" s="416" t="b">
        <f>AND(AO272&lt;&gt;"",AO272&gt;0,COUNTIF(AI266:AI272,AI272)&gt;1)</f>
        <v>0</v>
      </c>
      <c r="AK272" s="318" t="str">
        <f t="shared" si="226"/>
        <v/>
      </c>
      <c r="AL272" s="319" t="str">
        <f t="shared" si="227"/>
        <v/>
      </c>
      <c r="AM272" s="416" t="b">
        <f>AND(AO272&lt;&gt;"",AO272&gt;0,COUNTIF(AL266:AL272,AL272)&gt;1)</f>
        <v>0</v>
      </c>
      <c r="AN272" s="306" t="str">
        <f t="shared" si="228"/>
        <v/>
      </c>
      <c r="AO272" s="307" t="str">
        <f t="shared" si="229"/>
        <v/>
      </c>
      <c r="AP272" s="307" t="str">
        <f>IF(OR(AC265="",AD272=""),"",COUNTIF(ResultsInd[Win],AC265&amp;"-"&amp;AD272))</f>
        <v/>
      </c>
      <c r="AQ272" s="307" t="str">
        <f>IF(OR(AC265="",AD272=""),"",COUNTIF(ResultsInd[Draw1],AC265&amp;"-"&amp;AD272)+COUNTIF(ResultsInd[Draw2],AC265&amp;"-"&amp;AD272))</f>
        <v/>
      </c>
      <c r="AR272" s="307" t="str">
        <f>IF(OR(AC265="",AD272=""),"",COUNTIF(ResultsInd[Lose],AC265&amp;"-"&amp;AD272))</f>
        <v/>
      </c>
      <c r="AS272" s="307" t="str">
        <f>IF(OR(AC265="",AD272=""),"",SUMIFS(ResultsInd[Goal-A],ResultsInd[Category],AC265,ResultsInd[Stage],"Groups",ResultsInd[Player A],AD272)+SUMIFS(ResultsInd[Goal-B],ResultsInd[Category],AC265,ResultsInd[Stage],"Groups",ResultsInd[Player B],AD272))</f>
        <v/>
      </c>
      <c r="AT272" s="307" t="str">
        <f>IF(OR(AC265="",AD272=""),"",SUMIFS(ResultsInd[Goal-B],ResultsInd[Category],AC265,ResultsInd[Stage],"Groups",ResultsInd[Player A],AD272)+SUMIFS(ResultsInd[Goal-A],ResultsInd[Category],AC265,ResultsInd[Stage],"Groups",ResultsInd[Player B],AD272))</f>
        <v/>
      </c>
      <c r="AU272" s="308" t="str">
        <f t="shared" si="232"/>
        <v/>
      </c>
      <c r="AV272" s="469" t="str">
        <f>IF(AG272="","",OR(VLOOKUP(AG272,AH266:AU272,3,FALSE),VLOOKUP(AG272,AH266:AU272,6,FALSE)))</f>
        <v/>
      </c>
      <c r="AW272" s="299" t="str">
        <f t="shared" si="230"/>
        <v/>
      </c>
      <c r="AX272" s="287" t="str">
        <f>IF(AG272="","",INDEX(AD266:AD272,MATCH(AG272,AH266:AH272,0)))</f>
        <v/>
      </c>
      <c r="AY272" s="288" t="str">
        <f>IF(AG272="","",VLOOKUP(AG272,AH266:AU272,COLUMN()-COLUMN(AR265),FALSE))</f>
        <v/>
      </c>
      <c r="AZ272" s="288" t="str">
        <f>IF(AG272="","",VLOOKUP(AG272,AH266:AU272,COLUMN()-COLUMN(AR265),FALSE))</f>
        <v/>
      </c>
      <c r="BA272" s="288" t="str">
        <f>IF(AG272="","",VLOOKUP(AG272,AH266:AU272,COLUMN()-COLUMN(AR265),FALSE))</f>
        <v/>
      </c>
      <c r="BB272" s="288" t="str">
        <f>IF(AG272="","",VLOOKUP(AG272,AH266:AU272,COLUMN()-COLUMN(AR265),FALSE))</f>
        <v/>
      </c>
      <c r="BC272" s="288" t="str">
        <f>IF(AG272="","",VLOOKUP(AG272,AH266:AU272,COLUMN()-COLUMN(AR265),FALSE))</f>
        <v/>
      </c>
      <c r="BD272" s="288" t="str">
        <f>IF(AG272="","",VLOOKUP(AG272,AH266:AU272,COLUMN()-COLUMN(AR265),FALSE))</f>
        <v/>
      </c>
      <c r="BE272" s="288" t="str">
        <f>IF(AG272="","",VLOOKUP(AG272,AH266:AU272,COLUMN()-COLUMN(AR265),FALSE))</f>
        <v/>
      </c>
      <c r="BF272" s="302" t="str">
        <f>IF(AG272="","",VLOOKUP(AG272,AH266:AU272,COLUMN()-COLUMN(AR265),FALSE))</f>
        <v/>
      </c>
    </row>
    <row r="273" spans="1:58" ht="13.5" thickBot="1" x14ac:dyDescent="0.25">
      <c r="A273" s="62"/>
      <c r="B273" s="62"/>
      <c r="C273" s="62"/>
      <c r="D273" s="62"/>
      <c r="E273" s="345"/>
      <c r="F273" s="345"/>
      <c r="G273" s="113"/>
      <c r="H273" s="113"/>
      <c r="I273" s="114"/>
      <c r="J273" s="114"/>
      <c r="K273" s="114"/>
      <c r="L273" s="81"/>
      <c r="M273" s="265" t="b">
        <f>NOT(ISERROR(ResultsInd[[#This Row],[Goal-A]]+ResultsInd[[#This Row],[Goal-B]]))</f>
        <v>1</v>
      </c>
      <c r="N273" s="265">
        <f>VALUE(ResultsInd[[#This Row],[Score-A]])</f>
        <v>0</v>
      </c>
      <c r="O273" s="265">
        <f>VALUE(ResultsInd[[#This Row],[Score-B]])</f>
        <v>0</v>
      </c>
      <c r="P273" s="265" t="str">
        <f ca="1">IF(AND(ResultsInd[[#This Row],[Category]]&lt;&gt;"",ResultsInd[[#This Row],[Player A]]&lt;&gt;""),COUNTIF(INDIRECT(ResultsInd[[#This Row],[Category]]&amp;"List[Retained Player Name]"),ResultsInd[[#This Row],[Player A]]),"")</f>
        <v/>
      </c>
      <c r="Q273" s="265" t="str">
        <f ca="1">IF(AND(ResultsInd[[#This Row],[Category]]&lt;&gt;"",ResultsInd[[#This Row],[Player B]]&lt;&gt;""),COUNTIF(INDIRECT(ResultsInd[[#This Row],[Category]]&amp;"List[Retained Player Name]"),ResultsInd[[#This Row],[Player B]]),"")</f>
        <v/>
      </c>
      <c r="R2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3" s="265" t="str">
        <f>IF(ResultsInd[[#This Row],[Score_OK]],IF(ResultsInd[[#This Row],[Stage]]="Groups",ResultsInd[[#This Row],[Category]]&amp;"-"&amp;IF(ResultsInd[[#This Row],[Player B]]="","",IF(ResultsInd[[#This Row],[Score-A]]=ResultsInd[[#This Row],[Score-B]],ResultsInd[[#This Row],[Player A]],"")),""),"")</f>
        <v/>
      </c>
      <c r="T273" s="265" t="str">
        <f>IF(ResultsInd[[#This Row],[Score_OK]],IF(ResultsInd[[#This Row],[Stage]]="Groups",ResultsInd[[#This Row],[Category]]&amp;"-"&amp;IF(ResultsInd[[#This Row],[Player B]]="","",IF(ResultsInd[[#This Row],[Score-A]]=ResultsInd[[#This Row],[Score-B]],ResultsInd[[#This Row],[Player B]],"")),""),"")</f>
        <v/>
      </c>
      <c r="U2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3" s="264" t="str">
        <f>IF(ResultsInd[[#This Row],[Category]]="","",VLOOKUP(ResultsInd[[#This Row],[Stage]],$P$1:$V$9,MATCH(ResultsInd[[#This Row],[Category]],$Q$1:$V$1,0)+1,FALSE))</f>
        <v/>
      </c>
      <c r="Z273" s="264" t="str">
        <f>IF(ResultsInd[[#This Row],[Score_OK]],IF(ResultsInd[[#This Row],[Level]]="R",ResultsInd[[#This Row],[Category]]&amp;"-"&amp;IF(ResultsInd[[#This Row],[LoseInKO]]=ResultsInd[[#This Row],[Category]]&amp;"-"&amp;ResultsInd[[#This Row],[Player A]],ResultsInd[[#This Row],[Player B]],ResultsInd[[#This Row],[Player A]]),""),"")</f>
        <v/>
      </c>
      <c r="AB273" s="8"/>
      <c r="AC273" s="8"/>
      <c r="AF273" s="170"/>
      <c r="AG273" s="101"/>
      <c r="AH273" s="101"/>
      <c r="AN273" s="170"/>
      <c r="AO273" s="170"/>
      <c r="AP273" s="170"/>
      <c r="AQ273" s="172"/>
      <c r="AR273" s="173"/>
      <c r="AS273" s="173"/>
      <c r="AT273" s="173"/>
      <c r="AU273" s="101"/>
      <c r="AV273" s="101"/>
      <c r="AW273" s="101"/>
      <c r="AX273" s="101"/>
      <c r="AY273" s="101"/>
      <c r="AZ273" s="101"/>
    </row>
    <row r="274" spans="1:58" ht="12" thickBot="1" x14ac:dyDescent="0.25">
      <c r="A274" s="62"/>
      <c r="B274" s="62"/>
      <c r="C274" s="62"/>
      <c r="D274" s="62"/>
      <c r="E274" s="345"/>
      <c r="F274" s="345"/>
      <c r="G274" s="113"/>
      <c r="H274" s="113"/>
      <c r="I274" s="114"/>
      <c r="J274" s="114"/>
      <c r="K274" s="114"/>
      <c r="L274" s="81"/>
      <c r="M274" s="265" t="b">
        <f>NOT(ISERROR(ResultsInd[[#This Row],[Goal-A]]+ResultsInd[[#This Row],[Goal-B]]))</f>
        <v>1</v>
      </c>
      <c r="N274" s="265">
        <f>VALUE(ResultsInd[[#This Row],[Score-A]])</f>
        <v>0</v>
      </c>
      <c r="O274" s="265">
        <f>VALUE(ResultsInd[[#This Row],[Score-B]])</f>
        <v>0</v>
      </c>
      <c r="P274" s="265" t="str">
        <f ca="1">IF(AND(ResultsInd[[#This Row],[Category]]&lt;&gt;"",ResultsInd[[#This Row],[Player A]]&lt;&gt;""),COUNTIF(INDIRECT(ResultsInd[[#This Row],[Category]]&amp;"List[Retained Player Name]"),ResultsInd[[#This Row],[Player A]]),"")</f>
        <v/>
      </c>
      <c r="Q274" s="265" t="str">
        <f ca="1">IF(AND(ResultsInd[[#This Row],[Category]]&lt;&gt;"",ResultsInd[[#This Row],[Player B]]&lt;&gt;""),COUNTIF(INDIRECT(ResultsInd[[#This Row],[Category]]&amp;"List[Retained Player Name]"),ResultsInd[[#This Row],[Player B]]),"")</f>
        <v/>
      </c>
      <c r="R2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4" s="265" t="str">
        <f>IF(ResultsInd[[#This Row],[Score_OK]],IF(ResultsInd[[#This Row],[Stage]]="Groups",ResultsInd[[#This Row],[Category]]&amp;"-"&amp;IF(ResultsInd[[#This Row],[Player B]]="","",IF(ResultsInd[[#This Row],[Score-A]]=ResultsInd[[#This Row],[Score-B]],ResultsInd[[#This Row],[Player A]],"")),""),"")</f>
        <v/>
      </c>
      <c r="T274" s="265" t="str">
        <f>IF(ResultsInd[[#This Row],[Score_OK]],IF(ResultsInd[[#This Row],[Stage]]="Groups",ResultsInd[[#This Row],[Category]]&amp;"-"&amp;IF(ResultsInd[[#This Row],[Player B]]="","",IF(ResultsInd[[#This Row],[Score-A]]=ResultsInd[[#This Row],[Score-B]],ResultsInd[[#This Row],[Player B]],"")),""),"")</f>
        <v/>
      </c>
      <c r="U2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4" s="264" t="str">
        <f>IF(ResultsInd[[#This Row],[Category]]="","",VLOOKUP(ResultsInd[[#This Row],[Stage]],$P$1:$V$9,MATCH(ResultsInd[[#This Row],[Category]],$Q$1:$V$1,0)+1,FALSE))</f>
        <v/>
      </c>
      <c r="Z274" s="264" t="str">
        <f>IF(ResultsInd[[#This Row],[Score_OK]],IF(ResultsInd[[#This Row],[Level]]="R",ResultsInd[[#This Row],[Category]]&amp;"-"&amp;IF(ResultsInd[[#This Row],[LoseInKO]]=ResultsInd[[#This Row],[Category]]&amp;"-"&amp;ResultsInd[[#This Row],[Player A]],ResultsInd[[#This Row],[Player B]],ResultsInd[[#This Row],[Player A]]),""),"")</f>
        <v/>
      </c>
      <c r="AB274" s="281">
        <v>29</v>
      </c>
      <c r="AC274" s="315" t="s">
        <v>890</v>
      </c>
      <c r="AD274" s="289" t="s">
        <v>14439</v>
      </c>
      <c r="AE274" s="290" t="s">
        <v>12279</v>
      </c>
      <c r="AF274" s="284" t="s">
        <v>12275</v>
      </c>
      <c r="AG274" s="296" t="s">
        <v>12276</v>
      </c>
      <c r="AH274" s="291" t="s">
        <v>12271</v>
      </c>
      <c r="AI274" s="291" t="s">
        <v>12272</v>
      </c>
      <c r="AJ274" s="414" t="s">
        <v>13154</v>
      </c>
      <c r="AK274" s="291" t="s">
        <v>12273</v>
      </c>
      <c r="AL274" s="297" t="s">
        <v>12274</v>
      </c>
      <c r="AM274" s="414" t="s">
        <v>13154</v>
      </c>
      <c r="AN274" s="303" t="s">
        <v>12199</v>
      </c>
      <c r="AO274" s="304" t="s">
        <v>12200</v>
      </c>
      <c r="AP274" s="304" t="s">
        <v>12201</v>
      </c>
      <c r="AQ274" s="304" t="s">
        <v>12202</v>
      </c>
      <c r="AR274" s="304" t="s">
        <v>12203</v>
      </c>
      <c r="AS274" s="304" t="s">
        <v>12204</v>
      </c>
      <c r="AT274" s="304" t="s">
        <v>12205</v>
      </c>
      <c r="AU274" s="305" t="s">
        <v>12206</v>
      </c>
      <c r="AV274" s="468"/>
      <c r="AW274" s="282" t="s">
        <v>12276</v>
      </c>
      <c r="AX274" s="282" t="s">
        <v>12280</v>
      </c>
      <c r="AY274" s="283" t="s">
        <v>12199</v>
      </c>
      <c r="AZ274" s="283" t="s">
        <v>12200</v>
      </c>
      <c r="BA274" s="283" t="s">
        <v>12201</v>
      </c>
      <c r="BB274" s="283" t="s">
        <v>12202</v>
      </c>
      <c r="BC274" s="283" t="s">
        <v>12203</v>
      </c>
      <c r="BD274" s="283" t="s">
        <v>12204</v>
      </c>
      <c r="BE274" s="283" t="s">
        <v>12205</v>
      </c>
      <c r="BF274" s="300" t="s">
        <v>12206</v>
      </c>
    </row>
    <row r="275" spans="1:58" ht="12" thickBot="1" x14ac:dyDescent="0.25">
      <c r="A275" s="62"/>
      <c r="B275" s="62"/>
      <c r="C275" s="62"/>
      <c r="D275" s="62"/>
      <c r="E275" s="345"/>
      <c r="F275" s="345"/>
      <c r="G275" s="113"/>
      <c r="H275" s="113"/>
      <c r="I275" s="114"/>
      <c r="J275" s="114"/>
      <c r="K275" s="114"/>
      <c r="L275" s="81"/>
      <c r="M275" s="265" t="b">
        <f>NOT(ISERROR(ResultsInd[[#This Row],[Goal-A]]+ResultsInd[[#This Row],[Goal-B]]))</f>
        <v>1</v>
      </c>
      <c r="N275" s="265">
        <f>VALUE(ResultsInd[[#This Row],[Score-A]])</f>
        <v>0</v>
      </c>
      <c r="O275" s="265">
        <f>VALUE(ResultsInd[[#This Row],[Score-B]])</f>
        <v>0</v>
      </c>
      <c r="P275" s="265" t="str">
        <f ca="1">IF(AND(ResultsInd[[#This Row],[Category]]&lt;&gt;"",ResultsInd[[#This Row],[Player A]]&lt;&gt;""),COUNTIF(INDIRECT(ResultsInd[[#This Row],[Category]]&amp;"List[Retained Player Name]"),ResultsInd[[#This Row],[Player A]]),"")</f>
        <v/>
      </c>
      <c r="Q275" s="265" t="str">
        <f ca="1">IF(AND(ResultsInd[[#This Row],[Category]]&lt;&gt;"",ResultsInd[[#This Row],[Player B]]&lt;&gt;""),COUNTIF(INDIRECT(ResultsInd[[#This Row],[Category]]&amp;"List[Retained Player Name]"),ResultsInd[[#This Row],[Player B]]),"")</f>
        <v/>
      </c>
      <c r="R2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5" s="265" t="str">
        <f>IF(ResultsInd[[#This Row],[Score_OK]],IF(ResultsInd[[#This Row],[Stage]]="Groups",ResultsInd[[#This Row],[Category]]&amp;"-"&amp;IF(ResultsInd[[#This Row],[Player B]]="","",IF(ResultsInd[[#This Row],[Score-A]]=ResultsInd[[#This Row],[Score-B]],ResultsInd[[#This Row],[Player A]],"")),""),"")</f>
        <v/>
      </c>
      <c r="T275" s="265" t="str">
        <f>IF(ResultsInd[[#This Row],[Score_OK]],IF(ResultsInd[[#This Row],[Stage]]="Groups",ResultsInd[[#This Row],[Category]]&amp;"-"&amp;IF(ResultsInd[[#This Row],[Player B]]="","",IF(ResultsInd[[#This Row],[Score-A]]=ResultsInd[[#This Row],[Score-B]],ResultsInd[[#This Row],[Player B]],"")),""),"")</f>
        <v/>
      </c>
      <c r="U2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5" s="264" t="str">
        <f>IF(ResultsInd[[#This Row],[Category]]="","",VLOOKUP(ResultsInd[[#This Row],[Stage]],$P$1:$V$9,MATCH(ResultsInd[[#This Row],[Category]],$Q$1:$V$1,0)+1,FALSE))</f>
        <v/>
      </c>
      <c r="Z275" s="264" t="str">
        <f>IF(ResultsInd[[#This Row],[Score_OK]],IF(ResultsInd[[#This Row],[Level]]="R",ResultsInd[[#This Row],[Category]]&amp;"-"&amp;IF(ResultsInd[[#This Row],[LoseInKO]]=ResultsInd[[#This Row],[Category]]&amp;"-"&amp;ResultsInd[[#This Row],[Player A]],ResultsInd[[#This Row],[Player B]],ResultsInd[[#This Row],[Player A]]),""),"")</f>
        <v/>
      </c>
      <c r="AB275" s="8"/>
      <c r="AC275" s="12" t="str">
        <f>IF(AC274="","",AC274)</f>
        <v>OPEN</v>
      </c>
      <c r="AD275" s="309" t="s">
        <v>8697</v>
      </c>
      <c r="AE275" s="320"/>
      <c r="AF275" s="311"/>
      <c r="AG275" s="292">
        <f>IF(AP275="","",SMALL(AH275:AH281,ROWS(AG275:AG275)))</f>
        <v>1001</v>
      </c>
      <c r="AH275" s="293">
        <f>IF(AP275="","",RANK(AL275,AL275:AL281)*1000+ROWS(AH275:AH275))</f>
        <v>1001</v>
      </c>
      <c r="AI275" s="316">
        <f t="shared" ref="AI275:AI281" si="233">IF(AP275="","",CritClassInd1_Points*AN275+CritClassInd1_Matches*AP275+CritClassInd1_Attaque*AS275+CritClassInd1_DiffButs*AU275)</f>
        <v>7000000000000</v>
      </c>
      <c r="AJ275" s="415" t="b">
        <f>AND(AO275&lt;&gt;"",AO275&gt;0,COUNTIF(AI275:AI281,AI275)&gt;1)</f>
        <v>0</v>
      </c>
      <c r="AK275" s="316">
        <f t="shared" ref="AK275:AK281" si="234">IF(AP275="","",CritClassInd_ScorePart*AE275)</f>
        <v>0</v>
      </c>
      <c r="AL275" s="317">
        <f t="shared" ref="AL275:AL281" si="235">IF(AP275="","",AI275+AK275+CritClassInd2_Points*AN275+CritClassInd2_Matches*AP275+CritClassInd2_Attaque*AS275+CritClassInd2_DiffButs*AU275+AF275)</f>
        <v>7000000101100</v>
      </c>
      <c r="AM275" s="415" t="b">
        <f>AND(AO275&lt;&gt;"",AO275&gt;0,COUNTIF(AL275:AL281,AL275)&gt;1)</f>
        <v>0</v>
      </c>
      <c r="AN275" s="306">
        <f t="shared" ref="AN275:AN281" si="236">IF(AP275="","",(AP275*Points_Victoire)+AQ275*Points_Null)</f>
        <v>7</v>
      </c>
      <c r="AO275" s="307">
        <f t="shared" ref="AO275:AO281" si="237">IF(AP275="","",SUM(AP275:AR275))</f>
        <v>3</v>
      </c>
      <c r="AP275" s="307">
        <f>IF(OR(AC274="",AD275=""),"",COUNTIF(ResultsInd[Win],AC274&amp;"-"&amp;AD275))</f>
        <v>2</v>
      </c>
      <c r="AQ275" s="307">
        <f>IF(OR(AC274="",AD275=""),"",COUNTIF(ResultsInd[Draw1],AC274&amp;"-"&amp;AD275)+COUNTIF(ResultsInd[Draw2],AC274&amp;"-"&amp;AD275))</f>
        <v>1</v>
      </c>
      <c r="AR275" s="307">
        <f>IF(OR(AC274="",AD275=""),"",COUNTIF(ResultsInd[Lose],AC274&amp;"-"&amp;AD275))</f>
        <v>0</v>
      </c>
      <c r="AS275" s="307">
        <f>IF(OR(AC274="",AD275=""),"",SUMIFS(ResultsInd[Goal-A],ResultsInd[Category],AC274,ResultsInd[Stage],"Groups",ResultsInd[Player A],AD275)+SUMIFS(ResultsInd[Goal-B],ResultsInd[Category],AC274,ResultsInd[Stage],"Groups",ResultsInd[Player B],AD275))</f>
        <v>11</v>
      </c>
      <c r="AT275" s="307">
        <f>IF(OR(AC274="",AD275=""),"",SUMIFS(ResultsInd[Goal-B],ResultsInd[Category],AC274,ResultsInd[Stage],"Groups",ResultsInd[Player A],AD275)+SUMIFS(ResultsInd[Goal-A],ResultsInd[Category],AC274,ResultsInd[Stage],"Groups",ResultsInd[Player B],AD275))</f>
        <v>1</v>
      </c>
      <c r="AU275" s="308">
        <f>IF(AP275="","",AS275-AT275)</f>
        <v>10</v>
      </c>
      <c r="AV275" s="469" t="b">
        <f>IF(AG275="","",OR(VLOOKUP(AG275,AH275:AU281,3,FALSE),VLOOKUP(AG275,AH275:AU281,6,FALSE)))</f>
        <v>0</v>
      </c>
      <c r="AW275" s="298">
        <f t="shared" ref="AW275:AW281" si="238">IF(AG275="","",INT(AG275/1000))</f>
        <v>1</v>
      </c>
      <c r="AX275" s="285" t="str">
        <f>IF(AG275="","",INDEX(AD275:AD281,MATCH(AG275,AH275:AH281,0)))</f>
        <v>Axel Donval</v>
      </c>
      <c r="AY275" s="286">
        <f>IF(AG275="","",VLOOKUP(AG275,AH275:AU281,COLUMN()-COLUMN(AR274),FALSE))</f>
        <v>7</v>
      </c>
      <c r="AZ275" s="286">
        <f>IF(AG275="","",VLOOKUP(AG275,AH275:AU281,COLUMN()-COLUMN(AR274),FALSE))</f>
        <v>3</v>
      </c>
      <c r="BA275" s="286">
        <f>IF(AG275="","",VLOOKUP(AG275,AH275:AU281,COLUMN()-COLUMN(AR274),FALSE))</f>
        <v>2</v>
      </c>
      <c r="BB275" s="286">
        <f>IF(AG275="","",VLOOKUP(AG275,AH275:AU281,COLUMN()-COLUMN(AR274),FALSE))</f>
        <v>1</v>
      </c>
      <c r="BC275" s="286">
        <f>IF(AG275="","",VLOOKUP(AG275,AH275:AU281,COLUMN()-COLUMN(AR274),FALSE))</f>
        <v>0</v>
      </c>
      <c r="BD275" s="286">
        <f>IF(AG275="","",VLOOKUP(AG275,AH275:AU281,COLUMN()-COLUMN(AR274),FALSE))</f>
        <v>11</v>
      </c>
      <c r="BE275" s="286">
        <f>IF(AG275="","",VLOOKUP(AG275,AH275:AU281,COLUMN()-COLUMN(AR274),FALSE))</f>
        <v>1</v>
      </c>
      <c r="BF275" s="301">
        <f>IF(AG275="","",VLOOKUP(AG275,AH275:AU281,COLUMN()-COLUMN(AR274),FALSE))</f>
        <v>10</v>
      </c>
    </row>
    <row r="276" spans="1:58" ht="12" thickBot="1" x14ac:dyDescent="0.25">
      <c r="A276" s="62"/>
      <c r="B276" s="62"/>
      <c r="C276" s="62"/>
      <c r="D276" s="62"/>
      <c r="E276" s="345"/>
      <c r="F276" s="345"/>
      <c r="G276" s="113"/>
      <c r="H276" s="113"/>
      <c r="I276" s="114"/>
      <c r="J276" s="114"/>
      <c r="K276" s="114"/>
      <c r="L276" s="81"/>
      <c r="M276" s="265" t="b">
        <f>NOT(ISERROR(ResultsInd[[#This Row],[Goal-A]]+ResultsInd[[#This Row],[Goal-B]]))</f>
        <v>1</v>
      </c>
      <c r="N276" s="265">
        <f>VALUE(ResultsInd[[#This Row],[Score-A]])</f>
        <v>0</v>
      </c>
      <c r="O276" s="265">
        <f>VALUE(ResultsInd[[#This Row],[Score-B]])</f>
        <v>0</v>
      </c>
      <c r="P276" s="265" t="str">
        <f ca="1">IF(AND(ResultsInd[[#This Row],[Category]]&lt;&gt;"",ResultsInd[[#This Row],[Player A]]&lt;&gt;""),COUNTIF(INDIRECT(ResultsInd[[#This Row],[Category]]&amp;"List[Retained Player Name]"),ResultsInd[[#This Row],[Player A]]),"")</f>
        <v/>
      </c>
      <c r="Q276" s="265" t="str">
        <f ca="1">IF(AND(ResultsInd[[#This Row],[Category]]&lt;&gt;"",ResultsInd[[#This Row],[Player B]]&lt;&gt;""),COUNTIF(INDIRECT(ResultsInd[[#This Row],[Category]]&amp;"List[Retained Player Name]"),ResultsInd[[#This Row],[Player B]]),"")</f>
        <v/>
      </c>
      <c r="R2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6" s="265" t="str">
        <f>IF(ResultsInd[[#This Row],[Score_OK]],IF(ResultsInd[[#This Row],[Stage]]="Groups",ResultsInd[[#This Row],[Category]]&amp;"-"&amp;IF(ResultsInd[[#This Row],[Player B]]="","",IF(ResultsInd[[#This Row],[Score-A]]=ResultsInd[[#This Row],[Score-B]],ResultsInd[[#This Row],[Player A]],"")),""),"")</f>
        <v/>
      </c>
      <c r="T276" s="265" t="str">
        <f>IF(ResultsInd[[#This Row],[Score_OK]],IF(ResultsInd[[#This Row],[Stage]]="Groups",ResultsInd[[#This Row],[Category]]&amp;"-"&amp;IF(ResultsInd[[#This Row],[Player B]]="","",IF(ResultsInd[[#This Row],[Score-A]]=ResultsInd[[#This Row],[Score-B]],ResultsInd[[#This Row],[Player B]],"")),""),"")</f>
        <v/>
      </c>
      <c r="U2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6" s="264" t="str">
        <f>IF(ResultsInd[[#This Row],[Category]]="","",VLOOKUP(ResultsInd[[#This Row],[Stage]],$P$1:$V$9,MATCH(ResultsInd[[#This Row],[Category]],$Q$1:$V$1,0)+1,FALSE))</f>
        <v/>
      </c>
      <c r="Z276" s="264" t="str">
        <f>IF(ResultsInd[[#This Row],[Score_OK]],IF(ResultsInd[[#This Row],[Level]]="R",ResultsInd[[#This Row],[Category]]&amp;"-"&amp;IF(ResultsInd[[#This Row],[LoseInKO]]=ResultsInd[[#This Row],[Category]]&amp;"-"&amp;ResultsInd[[#This Row],[Player A]],ResultsInd[[#This Row],[Player B]],ResultsInd[[#This Row],[Player A]]),""),"")</f>
        <v/>
      </c>
      <c r="AB276" s="8"/>
      <c r="AC276" s="12" t="str">
        <f t="shared" ref="AC276:AC281" si="239">IF(AC275="","",AC275)</f>
        <v>OPEN</v>
      </c>
      <c r="AD276" s="309" t="s">
        <v>8538</v>
      </c>
      <c r="AE276" s="320"/>
      <c r="AF276" s="311"/>
      <c r="AG276" s="292">
        <f>IF(AP276="","",SMALL(AH275:AH281,ROWS(AG275:AG276)))</f>
        <v>2004</v>
      </c>
      <c r="AH276" s="293">
        <f>IF(AP276="","",RANK(AL276,AL275:AL281)*1000+ROWS(AH275:AH276))</f>
        <v>4002</v>
      </c>
      <c r="AI276" s="316">
        <f t="shared" si="233"/>
        <v>1000000000000</v>
      </c>
      <c r="AJ276" s="415" t="b">
        <f>AND(AO276&lt;&gt;"",AO276&gt;0,COUNTIF(AI275:AI281,AI276)&gt;1)</f>
        <v>0</v>
      </c>
      <c r="AK276" s="316">
        <f t="shared" si="234"/>
        <v>0</v>
      </c>
      <c r="AL276" s="317">
        <f t="shared" si="235"/>
        <v>999999910400</v>
      </c>
      <c r="AM276" s="415" t="b">
        <f>AND(AO276&lt;&gt;"",AO276&gt;0,COUNTIF(AL275:AL281,AL276)&gt;1)</f>
        <v>0</v>
      </c>
      <c r="AN276" s="306">
        <f t="shared" si="236"/>
        <v>1</v>
      </c>
      <c r="AO276" s="307">
        <f t="shared" si="237"/>
        <v>3</v>
      </c>
      <c r="AP276" s="307">
        <f>IF(OR(AC274="",AD276=""),"",COUNTIF(ResultsInd[Win],AC274&amp;"-"&amp;AD276))</f>
        <v>0</v>
      </c>
      <c r="AQ276" s="307">
        <f>IF(OR(AC274="",AD276=""),"",COUNTIF(ResultsInd[Draw1],AC274&amp;"-"&amp;AD276)+COUNTIF(ResultsInd[Draw2],AC274&amp;"-"&amp;AD276))</f>
        <v>1</v>
      </c>
      <c r="AR276" s="307">
        <f>IF(OR(AC274="",AD276=""),"",COUNTIF(ResultsInd[Lose],AC274&amp;"-"&amp;AD276))</f>
        <v>2</v>
      </c>
      <c r="AS276" s="307">
        <f>IF(OR(AC274="",AD276=""),"",SUMIFS(ResultsInd[Goal-A],ResultsInd[Category],AC274,ResultsInd[Stage],"Groups",ResultsInd[Player A],AD276)+SUMIFS(ResultsInd[Goal-B],ResultsInd[Category],AC274,ResultsInd[Stage],"Groups",ResultsInd[Player B],AD276))</f>
        <v>4</v>
      </c>
      <c r="AT276" s="307">
        <f>IF(OR(AC274="",AD276=""),"",SUMIFS(ResultsInd[Goal-B],ResultsInd[Category],AC274,ResultsInd[Stage],"Groups",ResultsInd[Player A],AD276)+SUMIFS(ResultsInd[Goal-A],ResultsInd[Category],AC274,ResultsInd[Stage],"Groups",ResultsInd[Player B],AD276))</f>
        <v>13</v>
      </c>
      <c r="AU276" s="308">
        <f t="shared" ref="AU276:AU281" si="240">IF(AP276="","",AS276-AT276)</f>
        <v>-9</v>
      </c>
      <c r="AV276" s="469" t="b">
        <f>IF(AG276="","",OR(VLOOKUP(AG276,AH275:AU281,3,FALSE),VLOOKUP(AG276,AH275:AU281,6,FALSE)))</f>
        <v>0</v>
      </c>
      <c r="AW276" s="298">
        <f t="shared" si="238"/>
        <v>2</v>
      </c>
      <c r="AX276" s="285" t="str">
        <f>IF(AG276="","",INDEX(AD275:AD281,MATCH(AG276,AH275:AH281,0)))</f>
        <v>Denis Bouchez</v>
      </c>
      <c r="AY276" s="286">
        <f>IF(AG276="","",VLOOKUP(AG276,AH275:AU281,COLUMN()-COLUMN(AR274),FALSE))</f>
        <v>6</v>
      </c>
      <c r="AZ276" s="286">
        <f>IF(AG276="","",VLOOKUP(AG276,AH275:AU281,COLUMN()-COLUMN(AR274),FALSE))</f>
        <v>3</v>
      </c>
      <c r="BA276" s="286">
        <f>IF(AG276="","",VLOOKUP(AG276,AH275:AU281,COLUMN()-COLUMN(AR274),FALSE))</f>
        <v>2</v>
      </c>
      <c r="BB276" s="286">
        <f>IF(AG276="","",VLOOKUP(AG276,AH275:AU281,COLUMN()-COLUMN(AR274),FALSE))</f>
        <v>0</v>
      </c>
      <c r="BC276" s="286">
        <f>IF(AG276="","",VLOOKUP(AG276,AH275:AU281,COLUMN()-COLUMN(AR274),FALSE))</f>
        <v>1</v>
      </c>
      <c r="BD276" s="286">
        <f>IF(AG276="","",VLOOKUP(AG276,AH275:AU281,COLUMN()-COLUMN(AR274),FALSE))</f>
        <v>6</v>
      </c>
      <c r="BE276" s="286">
        <f>IF(AG276="","",VLOOKUP(AG276,AH275:AU281,COLUMN()-COLUMN(AR274),FALSE))</f>
        <v>5</v>
      </c>
      <c r="BF276" s="301">
        <f>IF(AG276="","",VLOOKUP(AG276,AH275:AU281,COLUMN()-COLUMN(AR274),FALSE))</f>
        <v>1</v>
      </c>
    </row>
    <row r="277" spans="1:58" ht="12" thickBot="1" x14ac:dyDescent="0.25">
      <c r="A277" s="62"/>
      <c r="B277" s="62"/>
      <c r="C277" s="62"/>
      <c r="D277" s="62"/>
      <c r="E277" s="345"/>
      <c r="F277" s="345"/>
      <c r="G277" s="113"/>
      <c r="H277" s="113"/>
      <c r="I277" s="114"/>
      <c r="J277" s="114"/>
      <c r="K277" s="114"/>
      <c r="L277" s="81"/>
      <c r="M277" s="265" t="b">
        <f>NOT(ISERROR(ResultsInd[[#This Row],[Goal-A]]+ResultsInd[[#This Row],[Goal-B]]))</f>
        <v>1</v>
      </c>
      <c r="N277" s="265">
        <f>VALUE(ResultsInd[[#This Row],[Score-A]])</f>
        <v>0</v>
      </c>
      <c r="O277" s="265">
        <f>VALUE(ResultsInd[[#This Row],[Score-B]])</f>
        <v>0</v>
      </c>
      <c r="P277" s="265" t="str">
        <f ca="1">IF(AND(ResultsInd[[#This Row],[Category]]&lt;&gt;"",ResultsInd[[#This Row],[Player A]]&lt;&gt;""),COUNTIF(INDIRECT(ResultsInd[[#This Row],[Category]]&amp;"List[Retained Player Name]"),ResultsInd[[#This Row],[Player A]]),"")</f>
        <v/>
      </c>
      <c r="Q277" s="265" t="str">
        <f ca="1">IF(AND(ResultsInd[[#This Row],[Category]]&lt;&gt;"",ResultsInd[[#This Row],[Player B]]&lt;&gt;""),COUNTIF(INDIRECT(ResultsInd[[#This Row],[Category]]&amp;"List[Retained Player Name]"),ResultsInd[[#This Row],[Player B]]),"")</f>
        <v/>
      </c>
      <c r="R2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7" s="265" t="str">
        <f>IF(ResultsInd[[#This Row],[Score_OK]],IF(ResultsInd[[#This Row],[Stage]]="Groups",ResultsInd[[#This Row],[Category]]&amp;"-"&amp;IF(ResultsInd[[#This Row],[Player B]]="","",IF(ResultsInd[[#This Row],[Score-A]]=ResultsInd[[#This Row],[Score-B]],ResultsInd[[#This Row],[Player A]],"")),""),"")</f>
        <v/>
      </c>
      <c r="T277" s="265" t="str">
        <f>IF(ResultsInd[[#This Row],[Score_OK]],IF(ResultsInd[[#This Row],[Stage]]="Groups",ResultsInd[[#This Row],[Category]]&amp;"-"&amp;IF(ResultsInd[[#This Row],[Player B]]="","",IF(ResultsInd[[#This Row],[Score-A]]=ResultsInd[[#This Row],[Score-B]],ResultsInd[[#This Row],[Player B]],"")),""),"")</f>
        <v/>
      </c>
      <c r="U2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7" s="264" t="str">
        <f>IF(ResultsInd[[#This Row],[Category]]="","",VLOOKUP(ResultsInd[[#This Row],[Stage]],$P$1:$V$9,MATCH(ResultsInd[[#This Row],[Category]],$Q$1:$V$1,0)+1,FALSE))</f>
        <v/>
      </c>
      <c r="Z277" s="264" t="str">
        <f>IF(ResultsInd[[#This Row],[Score_OK]],IF(ResultsInd[[#This Row],[Level]]="R",ResultsInd[[#This Row],[Category]]&amp;"-"&amp;IF(ResultsInd[[#This Row],[LoseInKO]]=ResultsInd[[#This Row],[Category]]&amp;"-"&amp;ResultsInd[[#This Row],[Player A]],ResultsInd[[#This Row],[Player B]],ResultsInd[[#This Row],[Player A]]),""),"")</f>
        <v/>
      </c>
      <c r="AB277" s="8"/>
      <c r="AC277" s="12" t="str">
        <f t="shared" si="239"/>
        <v>OPEN</v>
      </c>
      <c r="AD277" s="309" t="s">
        <v>8100</v>
      </c>
      <c r="AE277" s="320"/>
      <c r="AF277" s="311"/>
      <c r="AG277" s="292">
        <f>IF(AP277="","",SMALL(AH275:AH281,ROWS(AG275:AG277)))</f>
        <v>3003</v>
      </c>
      <c r="AH277" s="293">
        <f>IF(AP277="","",RANK(AL277,AL275:AL281)*1000+ROWS(AH275:AH277))</f>
        <v>3003</v>
      </c>
      <c r="AI277" s="316">
        <f t="shared" si="233"/>
        <v>2000000000000</v>
      </c>
      <c r="AJ277" s="415" t="b">
        <f>AND(AO277&lt;&gt;"",AO277&gt;0,COUNTIF(AI275:AI281,AI277)&gt;1)</f>
        <v>0</v>
      </c>
      <c r="AK277" s="316">
        <f t="shared" si="234"/>
        <v>0</v>
      </c>
      <c r="AL277" s="317">
        <f t="shared" si="235"/>
        <v>1999999980600</v>
      </c>
      <c r="AM277" s="415" t="b">
        <f>AND(AO277&lt;&gt;"",AO277&gt;0,COUNTIF(AL275:AL281,AL277)&gt;1)</f>
        <v>0</v>
      </c>
      <c r="AN277" s="306">
        <f t="shared" si="236"/>
        <v>2</v>
      </c>
      <c r="AO277" s="307">
        <f t="shared" si="237"/>
        <v>3</v>
      </c>
      <c r="AP277" s="307">
        <f>IF(OR(AC274="",AD277=""),"",COUNTIF(ResultsInd[Win],AC274&amp;"-"&amp;AD277))</f>
        <v>0</v>
      </c>
      <c r="AQ277" s="307">
        <f>IF(OR(AC274="",AD277=""),"",COUNTIF(ResultsInd[Draw1],AC274&amp;"-"&amp;AD277)+COUNTIF(ResultsInd[Draw2],AC274&amp;"-"&amp;AD277))</f>
        <v>2</v>
      </c>
      <c r="AR277" s="307">
        <f>IF(OR(AC274="",AD277=""),"",COUNTIF(ResultsInd[Lose],AC274&amp;"-"&amp;AD277))</f>
        <v>1</v>
      </c>
      <c r="AS277" s="307">
        <f>IF(OR(AC274="",AD277=""),"",SUMIFS(ResultsInd[Goal-A],ResultsInd[Category],AC274,ResultsInd[Stage],"Groups",ResultsInd[Player A],AD277)+SUMIFS(ResultsInd[Goal-B],ResultsInd[Category],AC274,ResultsInd[Stage],"Groups",ResultsInd[Player B],AD277))</f>
        <v>6</v>
      </c>
      <c r="AT277" s="307">
        <f>IF(OR(AC274="",AD277=""),"",SUMIFS(ResultsInd[Goal-B],ResultsInd[Category],AC274,ResultsInd[Stage],"Groups",ResultsInd[Player A],AD277)+SUMIFS(ResultsInd[Goal-A],ResultsInd[Category],AC274,ResultsInd[Stage],"Groups",ResultsInd[Player B],AD277))</f>
        <v>8</v>
      </c>
      <c r="AU277" s="308">
        <f t="shared" si="240"/>
        <v>-2</v>
      </c>
      <c r="AV277" s="469" t="b">
        <f>IF(AG277="","",OR(VLOOKUP(AG277,AH275:AU281,3,FALSE),VLOOKUP(AG277,AH275:AU281,6,FALSE)))</f>
        <v>0</v>
      </c>
      <c r="AW277" s="298">
        <f t="shared" si="238"/>
        <v>3</v>
      </c>
      <c r="AX277" s="285" t="str">
        <f>IF(AG277="","",INDEX(AD275:AD281,MATCH(AG277,AH275:AH281,0)))</f>
        <v>Ralf Gregoire</v>
      </c>
      <c r="AY277" s="286">
        <f>IF(AG277="","",VLOOKUP(AG277,AH275:AU281,COLUMN()-COLUMN(AR274),FALSE))</f>
        <v>2</v>
      </c>
      <c r="AZ277" s="286">
        <f>IF(AG277="","",VLOOKUP(AG277,AH275:AU281,COLUMN()-COLUMN(AR274),FALSE))</f>
        <v>3</v>
      </c>
      <c r="BA277" s="286">
        <f>IF(AG277="","",VLOOKUP(AG277,AH275:AU281,COLUMN()-COLUMN(AR274),FALSE))</f>
        <v>0</v>
      </c>
      <c r="BB277" s="286">
        <f>IF(AG277="","",VLOOKUP(AG277,AH275:AU281,COLUMN()-COLUMN(AR274),FALSE))</f>
        <v>2</v>
      </c>
      <c r="BC277" s="286">
        <f>IF(AG277="","",VLOOKUP(AG277,AH275:AU281,COLUMN()-COLUMN(AR274),FALSE))</f>
        <v>1</v>
      </c>
      <c r="BD277" s="286">
        <f>IF(AG277="","",VLOOKUP(AG277,AH275:AU281,COLUMN()-COLUMN(AR274),FALSE))</f>
        <v>6</v>
      </c>
      <c r="BE277" s="286">
        <f>IF(AG277="","",VLOOKUP(AG277,AH275:AU281,COLUMN()-COLUMN(AR274),FALSE))</f>
        <v>8</v>
      </c>
      <c r="BF277" s="301">
        <f>IF(AG277="","",VLOOKUP(AG277,AH275:AU281,COLUMN()-COLUMN(AR274),FALSE))</f>
        <v>-2</v>
      </c>
    </row>
    <row r="278" spans="1:58" ht="12" thickBot="1" x14ac:dyDescent="0.25">
      <c r="A278" s="62"/>
      <c r="B278" s="62"/>
      <c r="C278" s="62"/>
      <c r="D278" s="62"/>
      <c r="E278" s="345"/>
      <c r="F278" s="345"/>
      <c r="G278" s="113"/>
      <c r="H278" s="113"/>
      <c r="I278" s="114"/>
      <c r="J278" s="114"/>
      <c r="K278" s="114"/>
      <c r="L278" s="81"/>
      <c r="M278" s="265" t="b">
        <f>NOT(ISERROR(ResultsInd[[#This Row],[Goal-A]]+ResultsInd[[#This Row],[Goal-B]]))</f>
        <v>1</v>
      </c>
      <c r="N278" s="265">
        <f>VALUE(ResultsInd[[#This Row],[Score-A]])</f>
        <v>0</v>
      </c>
      <c r="O278" s="265">
        <f>VALUE(ResultsInd[[#This Row],[Score-B]])</f>
        <v>0</v>
      </c>
      <c r="P278" s="265" t="str">
        <f ca="1">IF(AND(ResultsInd[[#This Row],[Category]]&lt;&gt;"",ResultsInd[[#This Row],[Player A]]&lt;&gt;""),COUNTIF(INDIRECT(ResultsInd[[#This Row],[Category]]&amp;"List[Retained Player Name]"),ResultsInd[[#This Row],[Player A]]),"")</f>
        <v/>
      </c>
      <c r="Q278" s="265" t="str">
        <f ca="1">IF(AND(ResultsInd[[#This Row],[Category]]&lt;&gt;"",ResultsInd[[#This Row],[Player B]]&lt;&gt;""),COUNTIF(INDIRECT(ResultsInd[[#This Row],[Category]]&amp;"List[Retained Player Name]"),ResultsInd[[#This Row],[Player B]]),"")</f>
        <v/>
      </c>
      <c r="R2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8" s="265" t="str">
        <f>IF(ResultsInd[[#This Row],[Score_OK]],IF(ResultsInd[[#This Row],[Stage]]="Groups",ResultsInd[[#This Row],[Category]]&amp;"-"&amp;IF(ResultsInd[[#This Row],[Player B]]="","",IF(ResultsInd[[#This Row],[Score-A]]=ResultsInd[[#This Row],[Score-B]],ResultsInd[[#This Row],[Player A]],"")),""),"")</f>
        <v/>
      </c>
      <c r="T278" s="265" t="str">
        <f>IF(ResultsInd[[#This Row],[Score_OK]],IF(ResultsInd[[#This Row],[Stage]]="Groups",ResultsInd[[#This Row],[Category]]&amp;"-"&amp;IF(ResultsInd[[#This Row],[Player B]]="","",IF(ResultsInd[[#This Row],[Score-A]]=ResultsInd[[#This Row],[Score-B]],ResultsInd[[#This Row],[Player B]],"")),""),"")</f>
        <v/>
      </c>
      <c r="U2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8" s="264" t="str">
        <f>IF(ResultsInd[[#This Row],[Category]]="","",VLOOKUP(ResultsInd[[#This Row],[Stage]],$P$1:$V$9,MATCH(ResultsInd[[#This Row],[Category]],$Q$1:$V$1,0)+1,FALSE))</f>
        <v/>
      </c>
      <c r="Z278" s="264" t="str">
        <f>IF(ResultsInd[[#This Row],[Score_OK]],IF(ResultsInd[[#This Row],[Level]]="R",ResultsInd[[#This Row],[Category]]&amp;"-"&amp;IF(ResultsInd[[#This Row],[LoseInKO]]=ResultsInd[[#This Row],[Category]]&amp;"-"&amp;ResultsInd[[#This Row],[Player A]],ResultsInd[[#This Row],[Player B]],ResultsInd[[#This Row],[Player A]]),""),"")</f>
        <v/>
      </c>
      <c r="AB278" s="91"/>
      <c r="AC278" s="12" t="str">
        <f t="shared" si="239"/>
        <v>OPEN</v>
      </c>
      <c r="AD278" s="309" t="s">
        <v>8076</v>
      </c>
      <c r="AE278" s="310"/>
      <c r="AF278" s="311"/>
      <c r="AG278" s="292">
        <f>IF(AP278="","",SMALL(AH275:AH281,ROWS(AG275:AG278)))</f>
        <v>4002</v>
      </c>
      <c r="AH278" s="293">
        <f>IF(AP278="","",RANK(AL278,AL275:AL281)*1000+ROWS(AH275:AH278))</f>
        <v>2004</v>
      </c>
      <c r="AI278" s="316">
        <f t="shared" si="233"/>
        <v>6000000000000</v>
      </c>
      <c r="AJ278" s="415" t="b">
        <f>AND(AO278&lt;&gt;"",AO278&gt;0,COUNTIF(AI275:AI281,AI278)&gt;1)</f>
        <v>0</v>
      </c>
      <c r="AK278" s="316">
        <f t="shared" si="234"/>
        <v>0</v>
      </c>
      <c r="AL278" s="317">
        <f t="shared" si="235"/>
        <v>6000000010600</v>
      </c>
      <c r="AM278" s="415" t="b">
        <f>AND(AO278&lt;&gt;"",AO278&gt;0,COUNTIF(AL275:AL281,AL278)&gt;1)</f>
        <v>0</v>
      </c>
      <c r="AN278" s="306">
        <f t="shared" si="236"/>
        <v>6</v>
      </c>
      <c r="AO278" s="307">
        <f t="shared" si="237"/>
        <v>3</v>
      </c>
      <c r="AP278" s="307">
        <f>IF(OR(AC274="",AD278=""),"",COUNTIF(ResultsInd[Win],AC274&amp;"-"&amp;AD278))</f>
        <v>2</v>
      </c>
      <c r="AQ278" s="307">
        <f>IF(OR(AC274="",AD278=""),"",COUNTIF(ResultsInd[Draw1],AC274&amp;"-"&amp;AD278)+COUNTIF(ResultsInd[Draw2],AC274&amp;"-"&amp;AD278))</f>
        <v>0</v>
      </c>
      <c r="AR278" s="307">
        <f>IF(OR(AC274="",AD278=""),"",COUNTIF(ResultsInd[Lose],AC274&amp;"-"&amp;AD278))</f>
        <v>1</v>
      </c>
      <c r="AS278" s="307">
        <f>IF(OR(AC274="",AD278=""),"",SUMIFS(ResultsInd[Goal-A],ResultsInd[Category],AC274,ResultsInd[Stage],"Groups",ResultsInd[Player A],AD278)+SUMIFS(ResultsInd[Goal-B],ResultsInd[Category],AC274,ResultsInd[Stage],"Groups",ResultsInd[Player B],AD278))</f>
        <v>6</v>
      </c>
      <c r="AT278" s="307">
        <f>IF(OR(AC274="",AD278=""),"",SUMIFS(ResultsInd[Goal-B],ResultsInd[Category],AC274,ResultsInd[Stage],"Groups",ResultsInd[Player A],AD278)+SUMIFS(ResultsInd[Goal-A],ResultsInd[Category],AC274,ResultsInd[Stage],"Groups",ResultsInd[Player B],AD278))</f>
        <v>5</v>
      </c>
      <c r="AU278" s="308">
        <f t="shared" si="240"/>
        <v>1</v>
      </c>
      <c r="AV278" s="469" t="b">
        <f>IF(AG278="","",OR(VLOOKUP(AG278,AH275:AU281,3,FALSE),VLOOKUP(AG278,AH275:AU281,6,FALSE)))</f>
        <v>0</v>
      </c>
      <c r="AW278" s="298">
        <f t="shared" si="238"/>
        <v>4</v>
      </c>
      <c r="AX278" s="285" t="str">
        <f>IF(AG278="","",INDEX(AD275:AD281,MATCH(AG278,AH275:AH281,0)))</f>
        <v>Brandon Lavender</v>
      </c>
      <c r="AY278" s="286">
        <f>IF(AG278="","",VLOOKUP(AG278,AH275:AU281,COLUMN()-COLUMN(AR274),FALSE))</f>
        <v>1</v>
      </c>
      <c r="AZ278" s="286">
        <f>IF(AG278="","",VLOOKUP(AG278,AH275:AU281,COLUMN()-COLUMN(AR274),FALSE))</f>
        <v>3</v>
      </c>
      <c r="BA278" s="286">
        <f>IF(AG278="","",VLOOKUP(AG278,AH275:AU281,COLUMN()-COLUMN(AR274),FALSE))</f>
        <v>0</v>
      </c>
      <c r="BB278" s="286">
        <f>IF(AG278="","",VLOOKUP(AG278,AH275:AU281,COLUMN()-COLUMN(AR274),FALSE))</f>
        <v>1</v>
      </c>
      <c r="BC278" s="286">
        <f>IF(AG278="","",VLOOKUP(AG278,AH275:AU281,COLUMN()-COLUMN(AR274),FALSE))</f>
        <v>2</v>
      </c>
      <c r="BD278" s="286">
        <f>IF(AG278="","",VLOOKUP(AG278,AH275:AU281,COLUMN()-COLUMN(AR274),FALSE))</f>
        <v>4</v>
      </c>
      <c r="BE278" s="286">
        <f>IF(AG278="","",VLOOKUP(AG278,AH275:AU281,COLUMN()-COLUMN(AR274),FALSE))</f>
        <v>13</v>
      </c>
      <c r="BF278" s="301">
        <f>IF(AG278="","",VLOOKUP(AG278,AH275:AU281,COLUMN()-COLUMN(AR274),FALSE))</f>
        <v>-9</v>
      </c>
    </row>
    <row r="279" spans="1:58" ht="12" thickBot="1" x14ac:dyDescent="0.25">
      <c r="A279" s="62"/>
      <c r="B279" s="62"/>
      <c r="C279" s="62"/>
      <c r="D279" s="62"/>
      <c r="E279" s="345"/>
      <c r="F279" s="345"/>
      <c r="G279" s="113"/>
      <c r="H279" s="113"/>
      <c r="I279" s="114"/>
      <c r="J279" s="114"/>
      <c r="K279" s="114"/>
      <c r="L279" s="81"/>
      <c r="M279" s="265" t="b">
        <f>NOT(ISERROR(ResultsInd[[#This Row],[Goal-A]]+ResultsInd[[#This Row],[Goal-B]]))</f>
        <v>1</v>
      </c>
      <c r="N279" s="265">
        <f>VALUE(ResultsInd[[#This Row],[Score-A]])</f>
        <v>0</v>
      </c>
      <c r="O279" s="265">
        <f>VALUE(ResultsInd[[#This Row],[Score-B]])</f>
        <v>0</v>
      </c>
      <c r="P279" s="265" t="str">
        <f ca="1">IF(AND(ResultsInd[[#This Row],[Category]]&lt;&gt;"",ResultsInd[[#This Row],[Player A]]&lt;&gt;""),COUNTIF(INDIRECT(ResultsInd[[#This Row],[Category]]&amp;"List[Retained Player Name]"),ResultsInd[[#This Row],[Player A]]),"")</f>
        <v/>
      </c>
      <c r="Q279" s="265" t="str">
        <f ca="1">IF(AND(ResultsInd[[#This Row],[Category]]&lt;&gt;"",ResultsInd[[#This Row],[Player B]]&lt;&gt;""),COUNTIF(INDIRECT(ResultsInd[[#This Row],[Category]]&amp;"List[Retained Player Name]"),ResultsInd[[#This Row],[Player B]]),"")</f>
        <v/>
      </c>
      <c r="R2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9" s="265" t="str">
        <f>IF(ResultsInd[[#This Row],[Score_OK]],IF(ResultsInd[[#This Row],[Stage]]="Groups",ResultsInd[[#This Row],[Category]]&amp;"-"&amp;IF(ResultsInd[[#This Row],[Player B]]="","",IF(ResultsInd[[#This Row],[Score-A]]=ResultsInd[[#This Row],[Score-B]],ResultsInd[[#This Row],[Player A]],"")),""),"")</f>
        <v/>
      </c>
      <c r="T279" s="265" t="str">
        <f>IF(ResultsInd[[#This Row],[Score_OK]],IF(ResultsInd[[#This Row],[Stage]]="Groups",ResultsInd[[#This Row],[Category]]&amp;"-"&amp;IF(ResultsInd[[#This Row],[Player B]]="","",IF(ResultsInd[[#This Row],[Score-A]]=ResultsInd[[#This Row],[Score-B]],ResultsInd[[#This Row],[Player B]],"")),""),"")</f>
        <v/>
      </c>
      <c r="U2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9" s="264" t="str">
        <f>IF(ResultsInd[[#This Row],[Category]]="","",VLOOKUP(ResultsInd[[#This Row],[Stage]],$P$1:$V$9,MATCH(ResultsInd[[#This Row],[Category]],$Q$1:$V$1,0)+1,FALSE))</f>
        <v/>
      </c>
      <c r="Z279" s="264" t="str">
        <f>IF(ResultsInd[[#This Row],[Score_OK]],IF(ResultsInd[[#This Row],[Level]]="R",ResultsInd[[#This Row],[Category]]&amp;"-"&amp;IF(ResultsInd[[#This Row],[LoseInKO]]=ResultsInd[[#This Row],[Category]]&amp;"-"&amp;ResultsInd[[#This Row],[Player A]],ResultsInd[[#This Row],[Player B]],ResultsInd[[#This Row],[Player A]]),""),"")</f>
        <v/>
      </c>
      <c r="AB279" s="91"/>
      <c r="AC279" s="12" t="str">
        <f t="shared" si="239"/>
        <v>OPEN</v>
      </c>
      <c r="AD279" s="309"/>
      <c r="AE279" s="310"/>
      <c r="AF279" s="311"/>
      <c r="AG279" s="292" t="str">
        <f>IF(AP279="","",SMALL(AH275:AH281,ROWS(AG275:AG279)))</f>
        <v/>
      </c>
      <c r="AH279" s="293" t="str">
        <f>IF(AP279="","",RANK(AL279,AL275:AL281)*1000+ROWS(AH275:AH279))</f>
        <v/>
      </c>
      <c r="AI279" s="316" t="str">
        <f t="shared" si="233"/>
        <v/>
      </c>
      <c r="AJ279" s="415" t="b">
        <f>AND(AO279&lt;&gt;"",AO279&gt;0,COUNTIF(AI275:AI281,AI279)&gt;1)</f>
        <v>0</v>
      </c>
      <c r="AK279" s="316" t="str">
        <f t="shared" si="234"/>
        <v/>
      </c>
      <c r="AL279" s="317" t="str">
        <f t="shared" si="235"/>
        <v/>
      </c>
      <c r="AM279" s="415" t="b">
        <f>AND(AO279&lt;&gt;"",AO279&gt;0,COUNTIF(AL275:AL281,AL279)&gt;1)</f>
        <v>0</v>
      </c>
      <c r="AN279" s="306" t="str">
        <f t="shared" si="236"/>
        <v/>
      </c>
      <c r="AO279" s="307" t="str">
        <f t="shared" si="237"/>
        <v/>
      </c>
      <c r="AP279" s="307" t="str">
        <f>IF(OR(AC274="",AD279=""),"",COUNTIF(ResultsInd[Win],AC274&amp;"-"&amp;AD279))</f>
        <v/>
      </c>
      <c r="AQ279" s="307" t="str">
        <f>IF(OR(AC274="",AD279=""),"",COUNTIF(ResultsInd[Draw1],AC274&amp;"-"&amp;AD279)+COUNTIF(ResultsInd[Draw2],AC274&amp;"-"&amp;AD279))</f>
        <v/>
      </c>
      <c r="AR279" s="307" t="str">
        <f>IF(OR(AC274="",AD279=""),"",COUNTIF(ResultsInd[Lose],AC274&amp;"-"&amp;AD279))</f>
        <v/>
      </c>
      <c r="AS279" s="307" t="str">
        <f>IF(OR(AC274="",AD279=""),"",SUMIFS(ResultsInd[Goal-A],ResultsInd[Category],AC274,ResultsInd[Stage],"Groups",ResultsInd[Player A],AD279)+SUMIFS(ResultsInd[Goal-B],ResultsInd[Category],AC274,ResultsInd[Stage],"Groups",ResultsInd[Player B],AD279))</f>
        <v/>
      </c>
      <c r="AT279" s="307" t="str">
        <f>IF(OR(AC274="",AD279=""),"",SUMIFS(ResultsInd[Goal-B],ResultsInd[Category],AC274,ResultsInd[Stage],"Groups",ResultsInd[Player A],AD279)+SUMIFS(ResultsInd[Goal-A],ResultsInd[Category],AC274,ResultsInd[Stage],"Groups",ResultsInd[Player B],AD279))</f>
        <v/>
      </c>
      <c r="AU279" s="308" t="str">
        <f t="shared" si="240"/>
        <v/>
      </c>
      <c r="AV279" s="469" t="str">
        <f>IF(AG279="","",OR(VLOOKUP(AG279,AH275:AU281,3,FALSE),VLOOKUP(AG279,AH275:AU281,6,FALSE)))</f>
        <v/>
      </c>
      <c r="AW279" s="298" t="str">
        <f t="shared" si="238"/>
        <v/>
      </c>
      <c r="AX279" s="285" t="str">
        <f>IF(AG279="","",INDEX(AD275:AD281,MATCH(AG279,AH275:AH281,0)))</f>
        <v/>
      </c>
      <c r="AY279" s="286" t="str">
        <f>IF(AG279="","",VLOOKUP(AG279,AH275:AU281,COLUMN()-COLUMN(AR274),FALSE))</f>
        <v/>
      </c>
      <c r="AZ279" s="286" t="str">
        <f>IF(AG279="","",VLOOKUP(AG279,AH275:AU281,COLUMN()-COLUMN(AR274),FALSE))</f>
        <v/>
      </c>
      <c r="BA279" s="286" t="str">
        <f>IF(AG279="","",VLOOKUP(AG279,AH275:AU281,COLUMN()-COLUMN(AR274),FALSE))</f>
        <v/>
      </c>
      <c r="BB279" s="286" t="str">
        <f>IF(AG279="","",VLOOKUP(AG279,AH275:AU281,COLUMN()-COLUMN(AR274),FALSE))</f>
        <v/>
      </c>
      <c r="BC279" s="286" t="str">
        <f>IF(AG279="","",VLOOKUP(AG279,AH275:AU281,COLUMN()-COLUMN(AR274),FALSE))</f>
        <v/>
      </c>
      <c r="BD279" s="286" t="str">
        <f>IF(AG279="","",VLOOKUP(AG279,AH275:AU281,COLUMN()-COLUMN(AR274),FALSE))</f>
        <v/>
      </c>
      <c r="BE279" s="286" t="str">
        <f>IF(AG279="","",VLOOKUP(AG279,AH275:AU281,COLUMN()-COLUMN(AR274),FALSE))</f>
        <v/>
      </c>
      <c r="BF279" s="301" t="str">
        <f>IF(AG279="","",VLOOKUP(AG279,AH275:AU281,COLUMN()-COLUMN(AR274),FALSE))</f>
        <v/>
      </c>
    </row>
    <row r="280" spans="1:58" ht="12" thickBot="1" x14ac:dyDescent="0.25">
      <c r="A280" s="62"/>
      <c r="B280" s="62"/>
      <c r="C280" s="62"/>
      <c r="D280" s="62"/>
      <c r="E280" s="345"/>
      <c r="F280" s="345"/>
      <c r="G280" s="113"/>
      <c r="H280" s="113"/>
      <c r="I280" s="114"/>
      <c r="J280" s="114"/>
      <c r="K280" s="114"/>
      <c r="L280" s="81"/>
      <c r="M280" s="265" t="b">
        <f>NOT(ISERROR(ResultsInd[[#This Row],[Goal-A]]+ResultsInd[[#This Row],[Goal-B]]))</f>
        <v>1</v>
      </c>
      <c r="N280" s="265">
        <f>VALUE(ResultsInd[[#This Row],[Score-A]])</f>
        <v>0</v>
      </c>
      <c r="O280" s="265">
        <f>VALUE(ResultsInd[[#This Row],[Score-B]])</f>
        <v>0</v>
      </c>
      <c r="P280" s="265" t="str">
        <f ca="1">IF(AND(ResultsInd[[#This Row],[Category]]&lt;&gt;"",ResultsInd[[#This Row],[Player A]]&lt;&gt;""),COUNTIF(INDIRECT(ResultsInd[[#This Row],[Category]]&amp;"List[Retained Player Name]"),ResultsInd[[#This Row],[Player A]]),"")</f>
        <v/>
      </c>
      <c r="Q280" s="265" t="str">
        <f ca="1">IF(AND(ResultsInd[[#This Row],[Category]]&lt;&gt;"",ResultsInd[[#This Row],[Player B]]&lt;&gt;""),COUNTIF(INDIRECT(ResultsInd[[#This Row],[Category]]&amp;"List[Retained Player Name]"),ResultsInd[[#This Row],[Player B]]),"")</f>
        <v/>
      </c>
      <c r="R2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0" s="265" t="str">
        <f>IF(ResultsInd[[#This Row],[Score_OK]],IF(ResultsInd[[#This Row],[Stage]]="Groups",ResultsInd[[#This Row],[Category]]&amp;"-"&amp;IF(ResultsInd[[#This Row],[Player B]]="","",IF(ResultsInd[[#This Row],[Score-A]]=ResultsInd[[#This Row],[Score-B]],ResultsInd[[#This Row],[Player A]],"")),""),"")</f>
        <v/>
      </c>
      <c r="T280" s="265" t="str">
        <f>IF(ResultsInd[[#This Row],[Score_OK]],IF(ResultsInd[[#This Row],[Stage]]="Groups",ResultsInd[[#This Row],[Category]]&amp;"-"&amp;IF(ResultsInd[[#This Row],[Player B]]="","",IF(ResultsInd[[#This Row],[Score-A]]=ResultsInd[[#This Row],[Score-B]],ResultsInd[[#This Row],[Player B]],"")),""),"")</f>
        <v/>
      </c>
      <c r="U2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0" s="264" t="str">
        <f>IF(ResultsInd[[#This Row],[Category]]="","",VLOOKUP(ResultsInd[[#This Row],[Stage]],$P$1:$V$9,MATCH(ResultsInd[[#This Row],[Category]],$Q$1:$V$1,0)+1,FALSE))</f>
        <v/>
      </c>
      <c r="Z280" s="264" t="str">
        <f>IF(ResultsInd[[#This Row],[Score_OK]],IF(ResultsInd[[#This Row],[Level]]="R",ResultsInd[[#This Row],[Category]]&amp;"-"&amp;IF(ResultsInd[[#This Row],[LoseInKO]]=ResultsInd[[#This Row],[Category]]&amp;"-"&amp;ResultsInd[[#This Row],[Player A]],ResultsInd[[#This Row],[Player B]],ResultsInd[[#This Row],[Player A]]),""),"")</f>
        <v/>
      </c>
      <c r="AB280" s="8"/>
      <c r="AC280" s="12" t="str">
        <f t="shared" si="239"/>
        <v>OPEN</v>
      </c>
      <c r="AD280" s="309"/>
      <c r="AE280" s="310"/>
      <c r="AF280" s="311"/>
      <c r="AG280" s="292" t="str">
        <f>IF(AP280="","",SMALL(AH275:AH281,ROWS(AG275:AG280)))</f>
        <v/>
      </c>
      <c r="AH280" s="293" t="str">
        <f>IF(AP280="","",RANK(AL280,AL275:AL281)*1000+ROWS(AH275:AH280))</f>
        <v/>
      </c>
      <c r="AI280" s="316" t="str">
        <f t="shared" si="233"/>
        <v/>
      </c>
      <c r="AJ280" s="415" t="b">
        <f>AND(AO280&lt;&gt;"",AO280&gt;0,COUNTIF(AI275:AI281,AI280)&gt;1)</f>
        <v>0</v>
      </c>
      <c r="AK280" s="316" t="str">
        <f t="shared" si="234"/>
        <v/>
      </c>
      <c r="AL280" s="317" t="str">
        <f t="shared" si="235"/>
        <v/>
      </c>
      <c r="AM280" s="415" t="b">
        <f>AND(AO280&lt;&gt;"",AO280&gt;0,COUNTIF(AL275:AL281,AL280)&gt;1)</f>
        <v>0</v>
      </c>
      <c r="AN280" s="306" t="str">
        <f t="shared" si="236"/>
        <v/>
      </c>
      <c r="AO280" s="307" t="str">
        <f t="shared" si="237"/>
        <v/>
      </c>
      <c r="AP280" s="307" t="str">
        <f>IF(OR(AC274="",AD280=""),"",COUNTIF(ResultsInd[Win],AC274&amp;"-"&amp;AD280))</f>
        <v/>
      </c>
      <c r="AQ280" s="307" t="str">
        <f>IF(OR(AC274="",AD280=""),"",COUNTIF(ResultsInd[Draw1],AC274&amp;"-"&amp;AD280)+COUNTIF(ResultsInd[Draw2],AC274&amp;"-"&amp;AD280))</f>
        <v/>
      </c>
      <c r="AR280" s="307" t="str">
        <f>IF(OR(AC274="",AD280=""),"",COUNTIF(ResultsInd[Lose],AC274&amp;"-"&amp;AD280))</f>
        <v/>
      </c>
      <c r="AS280" s="307" t="str">
        <f>IF(OR(AC274="",AD280=""),"",SUMIFS(ResultsInd[Goal-A],ResultsInd[Category],AC274,ResultsInd[Stage],"Groups",ResultsInd[Player A],AD280)+SUMIFS(ResultsInd[Goal-B],ResultsInd[Category],AC274,ResultsInd[Stage],"Groups",ResultsInd[Player B],AD280))</f>
        <v/>
      </c>
      <c r="AT280" s="307" t="str">
        <f>IF(OR(AC274="",AD280=""),"",SUMIFS(ResultsInd[Goal-B],ResultsInd[Category],AC274,ResultsInd[Stage],"Groups",ResultsInd[Player A],AD280)+SUMIFS(ResultsInd[Goal-A],ResultsInd[Category],AC274,ResultsInd[Stage],"Groups",ResultsInd[Player B],AD280))</f>
        <v/>
      </c>
      <c r="AU280" s="308" t="str">
        <f t="shared" si="240"/>
        <v/>
      </c>
      <c r="AV280" s="469" t="str">
        <f>IF(AG280="","",OR(VLOOKUP(AG280,AH275:AU281,3,FALSE),VLOOKUP(AG280,AH275:AU281,6,FALSE)))</f>
        <v/>
      </c>
      <c r="AW280" s="298" t="str">
        <f t="shared" si="238"/>
        <v/>
      </c>
      <c r="AX280" s="285" t="str">
        <f>IF(AG280="","",INDEX(AD275:AD281,MATCH(AG280,AH275:AH281,0)))</f>
        <v/>
      </c>
      <c r="AY280" s="286" t="str">
        <f>IF(AG280="","",VLOOKUP(AG280,AH275:AU281,COLUMN()-COLUMN(AR274),FALSE))</f>
        <v/>
      </c>
      <c r="AZ280" s="286" t="str">
        <f>IF(AG280="","",VLOOKUP(AG280,AH275:AU281,COLUMN()-COLUMN(AR274),FALSE))</f>
        <v/>
      </c>
      <c r="BA280" s="286" t="str">
        <f>IF(AG280="","",VLOOKUP(AG280,AH275:AU281,COLUMN()-COLUMN(AR274),FALSE))</f>
        <v/>
      </c>
      <c r="BB280" s="286" t="str">
        <f>IF(AG280="","",VLOOKUP(AG280,AH275:AU281,COLUMN()-COLUMN(AR274),FALSE))</f>
        <v/>
      </c>
      <c r="BC280" s="286" t="str">
        <f>IF(AG280="","",VLOOKUP(AG280,AH275:AU281,COLUMN()-COLUMN(AR274),FALSE))</f>
        <v/>
      </c>
      <c r="BD280" s="286" t="str">
        <f>IF(AG280="","",VLOOKUP(AG280,AH275:AU281,COLUMN()-COLUMN(AR274),FALSE))</f>
        <v/>
      </c>
      <c r="BE280" s="286" t="str">
        <f>IF(AG280="","",VLOOKUP(AG280,AH275:AU281,COLUMN()-COLUMN(AR274),FALSE))</f>
        <v/>
      </c>
      <c r="BF280" s="301" t="str">
        <f>IF(AG280="","",VLOOKUP(AG280,AH275:AU281,COLUMN()-COLUMN(AR274),FALSE))</f>
        <v/>
      </c>
    </row>
    <row r="281" spans="1:58" ht="12" thickBot="1" x14ac:dyDescent="0.25">
      <c r="A281" s="62"/>
      <c r="B281" s="62"/>
      <c r="C281" s="62"/>
      <c r="D281" s="62"/>
      <c r="E281" s="345"/>
      <c r="F281" s="345"/>
      <c r="G281" s="113"/>
      <c r="H281" s="113"/>
      <c r="I281" s="114"/>
      <c r="J281" s="114"/>
      <c r="K281" s="114"/>
      <c r="L281" s="81"/>
      <c r="M281" s="265" t="b">
        <f>NOT(ISERROR(ResultsInd[[#This Row],[Goal-A]]+ResultsInd[[#This Row],[Goal-B]]))</f>
        <v>1</v>
      </c>
      <c r="N281" s="265">
        <f>VALUE(ResultsInd[[#This Row],[Score-A]])</f>
        <v>0</v>
      </c>
      <c r="O281" s="265">
        <f>VALUE(ResultsInd[[#This Row],[Score-B]])</f>
        <v>0</v>
      </c>
      <c r="P281" s="265" t="str">
        <f ca="1">IF(AND(ResultsInd[[#This Row],[Category]]&lt;&gt;"",ResultsInd[[#This Row],[Player A]]&lt;&gt;""),COUNTIF(INDIRECT(ResultsInd[[#This Row],[Category]]&amp;"List[Retained Player Name]"),ResultsInd[[#This Row],[Player A]]),"")</f>
        <v/>
      </c>
      <c r="Q281" s="265" t="str">
        <f ca="1">IF(AND(ResultsInd[[#This Row],[Category]]&lt;&gt;"",ResultsInd[[#This Row],[Player B]]&lt;&gt;""),COUNTIF(INDIRECT(ResultsInd[[#This Row],[Category]]&amp;"List[Retained Player Name]"),ResultsInd[[#This Row],[Player B]]),"")</f>
        <v/>
      </c>
      <c r="R2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1" s="265" t="str">
        <f>IF(ResultsInd[[#This Row],[Score_OK]],IF(ResultsInd[[#This Row],[Stage]]="Groups",ResultsInd[[#This Row],[Category]]&amp;"-"&amp;IF(ResultsInd[[#This Row],[Player B]]="","",IF(ResultsInd[[#This Row],[Score-A]]=ResultsInd[[#This Row],[Score-B]],ResultsInd[[#This Row],[Player A]],"")),""),"")</f>
        <v/>
      </c>
      <c r="T281" s="265" t="str">
        <f>IF(ResultsInd[[#This Row],[Score_OK]],IF(ResultsInd[[#This Row],[Stage]]="Groups",ResultsInd[[#This Row],[Category]]&amp;"-"&amp;IF(ResultsInd[[#This Row],[Player B]]="","",IF(ResultsInd[[#This Row],[Score-A]]=ResultsInd[[#This Row],[Score-B]],ResultsInd[[#This Row],[Player B]],"")),""),"")</f>
        <v/>
      </c>
      <c r="U2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1" s="264" t="str">
        <f>IF(ResultsInd[[#This Row],[Category]]="","",VLOOKUP(ResultsInd[[#This Row],[Stage]],$P$1:$V$9,MATCH(ResultsInd[[#This Row],[Category]],$Q$1:$V$1,0)+1,FALSE))</f>
        <v/>
      </c>
      <c r="Z281" s="264" t="str">
        <f>IF(ResultsInd[[#This Row],[Score_OK]],IF(ResultsInd[[#This Row],[Level]]="R",ResultsInd[[#This Row],[Category]]&amp;"-"&amp;IF(ResultsInd[[#This Row],[LoseInKO]]=ResultsInd[[#This Row],[Category]]&amp;"-"&amp;ResultsInd[[#This Row],[Player A]],ResultsInd[[#This Row],[Player B]],ResultsInd[[#This Row],[Player A]]),""),"")</f>
        <v/>
      </c>
      <c r="AB281" s="8"/>
      <c r="AC281" s="12" t="str">
        <f t="shared" si="239"/>
        <v>OPEN</v>
      </c>
      <c r="AD281" s="312"/>
      <c r="AE281" s="313"/>
      <c r="AF281" s="314"/>
      <c r="AG281" s="294" t="str">
        <f>IF(AP281="","",SMALL(AH275:AH281,ROWS(AG275:AG281)))</f>
        <v/>
      </c>
      <c r="AH281" s="295" t="str">
        <f>IF(AP281="","",RANK(AL281,AL275:AL281)*1000+ROWS(AH275:AH281))</f>
        <v/>
      </c>
      <c r="AI281" s="318" t="str">
        <f t="shared" si="233"/>
        <v/>
      </c>
      <c r="AJ281" s="416" t="b">
        <f>AND(AO281&lt;&gt;"",AO281&gt;0,COUNTIF(AI275:AI281,AI281)&gt;1)</f>
        <v>0</v>
      </c>
      <c r="AK281" s="318" t="str">
        <f t="shared" si="234"/>
        <v/>
      </c>
      <c r="AL281" s="319" t="str">
        <f t="shared" si="235"/>
        <v/>
      </c>
      <c r="AM281" s="416" t="b">
        <f>AND(AO281&lt;&gt;"",AO281&gt;0,COUNTIF(AL275:AL281,AL281)&gt;1)</f>
        <v>0</v>
      </c>
      <c r="AN281" s="306" t="str">
        <f t="shared" si="236"/>
        <v/>
      </c>
      <c r="AO281" s="307" t="str">
        <f t="shared" si="237"/>
        <v/>
      </c>
      <c r="AP281" s="307" t="str">
        <f>IF(OR(AC274="",AD281=""),"",COUNTIF(ResultsInd[Win],AC274&amp;"-"&amp;AD281))</f>
        <v/>
      </c>
      <c r="AQ281" s="307" t="str">
        <f>IF(OR(AC274="",AD281=""),"",COUNTIF(ResultsInd[Draw1],AC274&amp;"-"&amp;AD281)+COUNTIF(ResultsInd[Draw2],AC274&amp;"-"&amp;AD281))</f>
        <v/>
      </c>
      <c r="AR281" s="307" t="str">
        <f>IF(OR(AC274="",AD281=""),"",COUNTIF(ResultsInd[Lose],AC274&amp;"-"&amp;AD281))</f>
        <v/>
      </c>
      <c r="AS281" s="307" t="str">
        <f>IF(OR(AC274="",AD281=""),"",SUMIFS(ResultsInd[Goal-A],ResultsInd[Category],AC274,ResultsInd[Stage],"Groups",ResultsInd[Player A],AD281)+SUMIFS(ResultsInd[Goal-B],ResultsInd[Category],AC274,ResultsInd[Stage],"Groups",ResultsInd[Player B],AD281))</f>
        <v/>
      </c>
      <c r="AT281" s="307" t="str">
        <f>IF(OR(AC274="",AD281=""),"",SUMIFS(ResultsInd[Goal-B],ResultsInd[Category],AC274,ResultsInd[Stage],"Groups",ResultsInd[Player A],AD281)+SUMIFS(ResultsInd[Goal-A],ResultsInd[Category],AC274,ResultsInd[Stage],"Groups",ResultsInd[Player B],AD281))</f>
        <v/>
      </c>
      <c r="AU281" s="308" t="str">
        <f t="shared" si="240"/>
        <v/>
      </c>
      <c r="AV281" s="469" t="str">
        <f>IF(AG281="","",OR(VLOOKUP(AG281,AH275:AU281,3,FALSE),VLOOKUP(AG281,AH275:AU281,6,FALSE)))</f>
        <v/>
      </c>
      <c r="AW281" s="299" t="str">
        <f t="shared" si="238"/>
        <v/>
      </c>
      <c r="AX281" s="287" t="str">
        <f>IF(AG281="","",INDEX(AD275:AD281,MATCH(AG281,AH275:AH281,0)))</f>
        <v/>
      </c>
      <c r="AY281" s="288" t="str">
        <f>IF(AG281="","",VLOOKUP(AG281,AH275:AU281,COLUMN()-COLUMN(AR274),FALSE))</f>
        <v/>
      </c>
      <c r="AZ281" s="288" t="str">
        <f>IF(AG281="","",VLOOKUP(AG281,AH275:AU281,COLUMN()-COLUMN(AR274),FALSE))</f>
        <v/>
      </c>
      <c r="BA281" s="288" t="str">
        <f>IF(AG281="","",VLOOKUP(AG281,AH275:AU281,COLUMN()-COLUMN(AR274),FALSE))</f>
        <v/>
      </c>
      <c r="BB281" s="288" t="str">
        <f>IF(AG281="","",VLOOKUP(AG281,AH275:AU281,COLUMN()-COLUMN(AR274),FALSE))</f>
        <v/>
      </c>
      <c r="BC281" s="288" t="str">
        <f>IF(AG281="","",VLOOKUP(AG281,AH275:AU281,COLUMN()-COLUMN(AR274),FALSE))</f>
        <v/>
      </c>
      <c r="BD281" s="288" t="str">
        <f>IF(AG281="","",VLOOKUP(AG281,AH275:AU281,COLUMN()-COLUMN(AR274),FALSE))</f>
        <v/>
      </c>
      <c r="BE281" s="288" t="str">
        <f>IF(AG281="","",VLOOKUP(AG281,AH275:AU281,COLUMN()-COLUMN(AR274),FALSE))</f>
        <v/>
      </c>
      <c r="BF281" s="302" t="str">
        <f>IF(AG281="","",VLOOKUP(AG281,AH275:AU281,COLUMN()-COLUMN(AR274),FALSE))</f>
        <v/>
      </c>
    </row>
    <row r="282" spans="1:58" ht="13.5" thickBot="1" x14ac:dyDescent="0.25">
      <c r="A282" s="62"/>
      <c r="B282" s="62"/>
      <c r="C282" s="62"/>
      <c r="D282" s="62"/>
      <c r="E282" s="345"/>
      <c r="F282" s="345"/>
      <c r="G282" s="113"/>
      <c r="H282" s="113"/>
      <c r="I282" s="114"/>
      <c r="J282" s="114"/>
      <c r="K282" s="114"/>
      <c r="L282" s="81"/>
      <c r="M282" s="265" t="b">
        <f>NOT(ISERROR(ResultsInd[[#This Row],[Goal-A]]+ResultsInd[[#This Row],[Goal-B]]))</f>
        <v>1</v>
      </c>
      <c r="N282" s="265">
        <f>VALUE(ResultsInd[[#This Row],[Score-A]])</f>
        <v>0</v>
      </c>
      <c r="O282" s="265">
        <f>VALUE(ResultsInd[[#This Row],[Score-B]])</f>
        <v>0</v>
      </c>
      <c r="P282" s="265" t="str">
        <f ca="1">IF(AND(ResultsInd[[#This Row],[Category]]&lt;&gt;"",ResultsInd[[#This Row],[Player A]]&lt;&gt;""),COUNTIF(INDIRECT(ResultsInd[[#This Row],[Category]]&amp;"List[Retained Player Name]"),ResultsInd[[#This Row],[Player A]]),"")</f>
        <v/>
      </c>
      <c r="Q282" s="265" t="str">
        <f ca="1">IF(AND(ResultsInd[[#This Row],[Category]]&lt;&gt;"",ResultsInd[[#This Row],[Player B]]&lt;&gt;""),COUNTIF(INDIRECT(ResultsInd[[#This Row],[Category]]&amp;"List[Retained Player Name]"),ResultsInd[[#This Row],[Player B]]),"")</f>
        <v/>
      </c>
      <c r="R2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2" s="265" t="str">
        <f>IF(ResultsInd[[#This Row],[Score_OK]],IF(ResultsInd[[#This Row],[Stage]]="Groups",ResultsInd[[#This Row],[Category]]&amp;"-"&amp;IF(ResultsInd[[#This Row],[Player B]]="","",IF(ResultsInd[[#This Row],[Score-A]]=ResultsInd[[#This Row],[Score-B]],ResultsInd[[#This Row],[Player A]],"")),""),"")</f>
        <v/>
      </c>
      <c r="T282" s="265" t="str">
        <f>IF(ResultsInd[[#This Row],[Score_OK]],IF(ResultsInd[[#This Row],[Stage]]="Groups",ResultsInd[[#This Row],[Category]]&amp;"-"&amp;IF(ResultsInd[[#This Row],[Player B]]="","",IF(ResultsInd[[#This Row],[Score-A]]=ResultsInd[[#This Row],[Score-B]],ResultsInd[[#This Row],[Player B]],"")),""),"")</f>
        <v/>
      </c>
      <c r="U2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2" s="264" t="str">
        <f>IF(ResultsInd[[#This Row],[Category]]="","",VLOOKUP(ResultsInd[[#This Row],[Stage]],$P$1:$V$9,MATCH(ResultsInd[[#This Row],[Category]],$Q$1:$V$1,0)+1,FALSE))</f>
        <v/>
      </c>
      <c r="Z282" s="264" t="str">
        <f>IF(ResultsInd[[#This Row],[Score_OK]],IF(ResultsInd[[#This Row],[Level]]="R",ResultsInd[[#This Row],[Category]]&amp;"-"&amp;IF(ResultsInd[[#This Row],[LoseInKO]]=ResultsInd[[#This Row],[Category]]&amp;"-"&amp;ResultsInd[[#This Row],[Player A]],ResultsInd[[#This Row],[Player B]],ResultsInd[[#This Row],[Player A]]),""),"")</f>
        <v/>
      </c>
      <c r="AB282" s="8"/>
      <c r="AC282" s="8"/>
      <c r="AF282" s="170"/>
      <c r="AG282" s="101"/>
      <c r="AH282" s="101"/>
      <c r="AN282" s="170"/>
      <c r="AO282" s="170"/>
      <c r="AP282" s="170"/>
      <c r="AQ282" s="172"/>
      <c r="AR282" s="173"/>
      <c r="AS282" s="173"/>
      <c r="AT282" s="173"/>
      <c r="AU282" s="101"/>
      <c r="AV282" s="101"/>
      <c r="AW282" s="101"/>
      <c r="AX282" s="101"/>
      <c r="AY282" s="101"/>
      <c r="AZ282" s="101"/>
    </row>
    <row r="283" spans="1:58" ht="12" thickBot="1" x14ac:dyDescent="0.25">
      <c r="A283" s="62"/>
      <c r="B283" s="62"/>
      <c r="C283" s="62"/>
      <c r="D283" s="62"/>
      <c r="E283" s="345"/>
      <c r="F283" s="345"/>
      <c r="G283" s="113"/>
      <c r="H283" s="113"/>
      <c r="I283" s="114"/>
      <c r="J283" s="114"/>
      <c r="K283" s="114"/>
      <c r="L283" s="81"/>
      <c r="M283" s="265" t="b">
        <f>NOT(ISERROR(ResultsInd[[#This Row],[Goal-A]]+ResultsInd[[#This Row],[Goal-B]]))</f>
        <v>1</v>
      </c>
      <c r="N283" s="265">
        <f>VALUE(ResultsInd[[#This Row],[Score-A]])</f>
        <v>0</v>
      </c>
      <c r="O283" s="265">
        <f>VALUE(ResultsInd[[#This Row],[Score-B]])</f>
        <v>0</v>
      </c>
      <c r="P283" s="265" t="str">
        <f ca="1">IF(AND(ResultsInd[[#This Row],[Category]]&lt;&gt;"",ResultsInd[[#This Row],[Player A]]&lt;&gt;""),COUNTIF(INDIRECT(ResultsInd[[#This Row],[Category]]&amp;"List[Retained Player Name]"),ResultsInd[[#This Row],[Player A]]),"")</f>
        <v/>
      </c>
      <c r="Q283" s="265" t="str">
        <f ca="1">IF(AND(ResultsInd[[#This Row],[Category]]&lt;&gt;"",ResultsInd[[#This Row],[Player B]]&lt;&gt;""),COUNTIF(INDIRECT(ResultsInd[[#This Row],[Category]]&amp;"List[Retained Player Name]"),ResultsInd[[#This Row],[Player B]]),"")</f>
        <v/>
      </c>
      <c r="R2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3" s="265" t="str">
        <f>IF(ResultsInd[[#This Row],[Score_OK]],IF(ResultsInd[[#This Row],[Stage]]="Groups",ResultsInd[[#This Row],[Category]]&amp;"-"&amp;IF(ResultsInd[[#This Row],[Player B]]="","",IF(ResultsInd[[#This Row],[Score-A]]=ResultsInd[[#This Row],[Score-B]],ResultsInd[[#This Row],[Player A]],"")),""),"")</f>
        <v/>
      </c>
      <c r="T283" s="265" t="str">
        <f>IF(ResultsInd[[#This Row],[Score_OK]],IF(ResultsInd[[#This Row],[Stage]]="Groups",ResultsInd[[#This Row],[Category]]&amp;"-"&amp;IF(ResultsInd[[#This Row],[Player B]]="","",IF(ResultsInd[[#This Row],[Score-A]]=ResultsInd[[#This Row],[Score-B]],ResultsInd[[#This Row],[Player B]],"")),""),"")</f>
        <v/>
      </c>
      <c r="U2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3" s="264" t="str">
        <f>IF(ResultsInd[[#This Row],[Category]]="","",VLOOKUP(ResultsInd[[#This Row],[Stage]],$P$1:$V$9,MATCH(ResultsInd[[#This Row],[Category]],$Q$1:$V$1,0)+1,FALSE))</f>
        <v/>
      </c>
      <c r="Z283" s="264" t="str">
        <f>IF(ResultsInd[[#This Row],[Score_OK]],IF(ResultsInd[[#This Row],[Level]]="R",ResultsInd[[#This Row],[Category]]&amp;"-"&amp;IF(ResultsInd[[#This Row],[LoseInKO]]=ResultsInd[[#This Row],[Category]]&amp;"-"&amp;ResultsInd[[#This Row],[Player A]],ResultsInd[[#This Row],[Player B]],ResultsInd[[#This Row],[Player A]]),""),"")</f>
        <v/>
      </c>
      <c r="AB283" s="281">
        <v>1</v>
      </c>
      <c r="AC283" s="315" t="s">
        <v>12261</v>
      </c>
      <c r="AD283" s="289" t="s">
        <v>14439</v>
      </c>
      <c r="AE283" s="290" t="s">
        <v>12279</v>
      </c>
      <c r="AF283" s="284" t="s">
        <v>12275</v>
      </c>
      <c r="AG283" s="296" t="s">
        <v>12276</v>
      </c>
      <c r="AH283" s="291" t="s">
        <v>12271</v>
      </c>
      <c r="AI283" s="291" t="s">
        <v>12272</v>
      </c>
      <c r="AJ283" s="414" t="s">
        <v>13154</v>
      </c>
      <c r="AK283" s="291" t="s">
        <v>12273</v>
      </c>
      <c r="AL283" s="297" t="s">
        <v>12274</v>
      </c>
      <c r="AM283" s="414" t="s">
        <v>13154</v>
      </c>
      <c r="AN283" s="303" t="s">
        <v>12199</v>
      </c>
      <c r="AO283" s="304" t="s">
        <v>12200</v>
      </c>
      <c r="AP283" s="304" t="s">
        <v>12201</v>
      </c>
      <c r="AQ283" s="304" t="s">
        <v>12202</v>
      </c>
      <c r="AR283" s="304" t="s">
        <v>12203</v>
      </c>
      <c r="AS283" s="304" t="s">
        <v>12204</v>
      </c>
      <c r="AT283" s="304" t="s">
        <v>12205</v>
      </c>
      <c r="AU283" s="305" t="s">
        <v>12206</v>
      </c>
      <c r="AV283" s="468"/>
      <c r="AW283" s="282" t="s">
        <v>12276</v>
      </c>
      <c r="AX283" s="282" t="s">
        <v>12280</v>
      </c>
      <c r="AY283" s="283" t="s">
        <v>12199</v>
      </c>
      <c r="AZ283" s="283" t="s">
        <v>12200</v>
      </c>
      <c r="BA283" s="283" t="s">
        <v>12201</v>
      </c>
      <c r="BB283" s="283" t="s">
        <v>12202</v>
      </c>
      <c r="BC283" s="283" t="s">
        <v>12203</v>
      </c>
      <c r="BD283" s="283" t="s">
        <v>12204</v>
      </c>
      <c r="BE283" s="283" t="s">
        <v>12205</v>
      </c>
      <c r="BF283" s="300" t="s">
        <v>12206</v>
      </c>
    </row>
    <row r="284" spans="1:58" ht="12" thickBot="1" x14ac:dyDescent="0.25">
      <c r="A284" s="62" t="s">
        <v>12261</v>
      </c>
      <c r="B284" s="62" t="s">
        <v>12207</v>
      </c>
      <c r="C284" s="62">
        <v>1</v>
      </c>
      <c r="D284" s="62"/>
      <c r="E284" s="345" t="s">
        <v>8126</v>
      </c>
      <c r="F284" s="345" t="s">
        <v>9229</v>
      </c>
      <c r="G284" s="113">
        <v>5</v>
      </c>
      <c r="H284" s="113">
        <v>1</v>
      </c>
      <c r="I284" s="114"/>
      <c r="J284" s="114"/>
      <c r="K284" s="114"/>
      <c r="L284" s="81"/>
      <c r="M284" s="265" t="b">
        <f>NOT(ISERROR(ResultsInd[[#This Row],[Goal-A]]+ResultsInd[[#This Row],[Goal-B]]))</f>
        <v>1</v>
      </c>
      <c r="N284" s="265">
        <f>VALUE(ResultsInd[[#This Row],[Score-A]])</f>
        <v>5</v>
      </c>
      <c r="O284" s="265">
        <f>VALUE(ResultsInd[[#This Row],[Score-B]])</f>
        <v>1</v>
      </c>
      <c r="P284" s="265">
        <f ca="1">IF(AND(ResultsInd[[#This Row],[Category]]&lt;&gt;"",ResultsInd[[#This Row],[Player A]]&lt;&gt;""),COUNTIF(INDIRECT(ResultsInd[[#This Row],[Category]]&amp;"List[Retained Player Name]"),ResultsInd[[#This Row],[Player A]]),"")</f>
        <v>1</v>
      </c>
      <c r="Q284" s="265">
        <f ca="1">IF(AND(ResultsInd[[#This Row],[Category]]&lt;&gt;"",ResultsInd[[#This Row],[Player B]]&lt;&gt;""),COUNTIF(INDIRECT(ResultsInd[[#This Row],[Category]]&amp;"List[Retained Player Name]"),ResultsInd[[#This Row],[Player B]]),"")</f>
        <v>1</v>
      </c>
      <c r="R2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VETERANS-Daniel Scheen</v>
      </c>
      <c r="S284" s="265" t="str">
        <f>IF(ResultsInd[[#This Row],[Score_OK]],IF(ResultsInd[[#This Row],[Stage]]="Groups",ResultsInd[[#This Row],[Category]]&amp;"-"&amp;IF(ResultsInd[[#This Row],[Player B]]="","",IF(ResultsInd[[#This Row],[Score-A]]=ResultsInd[[#This Row],[Score-B]],ResultsInd[[#This Row],[Player A]],"")),""),"")</f>
        <v>VETERANS-</v>
      </c>
      <c r="T284" s="265" t="str">
        <f>IF(ResultsInd[[#This Row],[Score_OK]],IF(ResultsInd[[#This Row],[Stage]]="Groups",ResultsInd[[#This Row],[Category]]&amp;"-"&amp;IF(ResultsInd[[#This Row],[Player B]]="","",IF(ResultsInd[[#This Row],[Score-A]]=ResultsInd[[#This Row],[Score-B]],ResultsInd[[#This Row],[Player B]],"")),""),"")</f>
        <v>VETERANS-</v>
      </c>
      <c r="U2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VETERANS-Manolis Papadakis</v>
      </c>
      <c r="V2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VETERANS-Manolis Papadakis</v>
      </c>
      <c r="X2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VETERANS-Manolis Papadakis</v>
      </c>
      <c r="Y284" s="264" t="str">
        <f>IF(ResultsInd[[#This Row],[Category]]="","",VLOOKUP(ResultsInd[[#This Row],[Stage]],$P$1:$V$9,MATCH(ResultsInd[[#This Row],[Category]],$Q$1:$V$1,0)+1,FALSE))</f>
        <v>PR1</v>
      </c>
      <c r="Z284" s="264" t="str">
        <f>IF(ResultsInd[[#This Row],[Score_OK]],IF(ResultsInd[[#This Row],[Level]]="R",ResultsInd[[#This Row],[Category]]&amp;"-"&amp;IF(ResultsInd[[#This Row],[LoseInKO]]=ResultsInd[[#This Row],[Category]]&amp;"-"&amp;ResultsInd[[#This Row],[Player A]],ResultsInd[[#This Row],[Player B]],ResultsInd[[#This Row],[Player A]]),""),"")</f>
        <v/>
      </c>
      <c r="AB284" s="8"/>
      <c r="AC284" s="12" t="str">
        <f>IF(AC283="","",AC283)</f>
        <v>VETERANS</v>
      </c>
      <c r="AD284" s="309" t="s">
        <v>8126</v>
      </c>
      <c r="AE284" s="320"/>
      <c r="AF284" s="311"/>
      <c r="AG284" s="292">
        <f>IF(AP284="","",SMALL(AH284:AH290,ROWS(AG284:AG284)))</f>
        <v>1001</v>
      </c>
      <c r="AH284" s="293">
        <f>IF(AP284="","",RANK(AL284,AL284:AL290)*1000+ROWS(AH284:AH284))</f>
        <v>1001</v>
      </c>
      <c r="AI284" s="316">
        <f t="shared" ref="AI284:AI290" si="241">IF(AP284="","",CritClassInd1_Points*AN284+CritClassInd1_Matches*AP284+CritClassInd1_Attaque*AS284+CritClassInd1_DiffButs*AU284)</f>
        <v>9000000000000</v>
      </c>
      <c r="AJ284" s="415" t="b">
        <f>AND(AO284&lt;&gt;"",AO284&gt;0,COUNTIF(AI284:AI290,AI284)&gt;1)</f>
        <v>0</v>
      </c>
      <c r="AK284" s="316">
        <f t="shared" ref="AK284:AK290" si="242">IF(AP284="","",CritClassInd_ScorePart*AE284)</f>
        <v>0</v>
      </c>
      <c r="AL284" s="317">
        <f t="shared" ref="AL284:AL290" si="243">IF(AP284="","",AI284+AK284+CritClassInd2_Points*AN284+CritClassInd2_Matches*AP284+CritClassInd2_Attaque*AS284+CritClassInd2_DiffButs*AU284+AF284)</f>
        <v>9000000111200</v>
      </c>
      <c r="AM284" s="415" t="b">
        <f>AND(AO284&lt;&gt;"",AO284&gt;0,COUNTIF(AL284:AL290,AL284)&gt;1)</f>
        <v>0</v>
      </c>
      <c r="AN284" s="306">
        <f t="shared" ref="AN284:AN290" si="244">IF(AP284="","",(AP284*Points_Victoire)+AQ284*Points_Null)</f>
        <v>9</v>
      </c>
      <c r="AO284" s="307">
        <f t="shared" ref="AO284:AO290" si="245">IF(AP284="","",SUM(AP284:AR284))</f>
        <v>3</v>
      </c>
      <c r="AP284" s="307">
        <f>IF(OR(AC283="",AD284=""),"",COUNTIF(ResultsInd[Win],AC283&amp;"-"&amp;AD284))</f>
        <v>3</v>
      </c>
      <c r="AQ284" s="307">
        <f>IF(OR(AC283="",AD284=""),"",COUNTIF(ResultsInd[Draw1],AC283&amp;"-"&amp;AD284)+COUNTIF(ResultsInd[Draw2],AC283&amp;"-"&amp;AD284))</f>
        <v>0</v>
      </c>
      <c r="AR284" s="307">
        <f>IF(OR(AC283="",AD284=""),"",COUNTIF(ResultsInd[Lose],AC283&amp;"-"&amp;AD284))</f>
        <v>0</v>
      </c>
      <c r="AS284" s="307">
        <f>IF(OR(AC283="",AD284=""),"",SUMIFS(ResultsInd[Goal-A],ResultsInd[Category],AC283,ResultsInd[Stage],"Groups",ResultsInd[Player A],AD284)+SUMIFS(ResultsInd[Goal-B],ResultsInd[Category],AC283,ResultsInd[Stage],"Groups",ResultsInd[Player B],AD284))</f>
        <v>12</v>
      </c>
      <c r="AT284" s="307">
        <f>IF(OR(AC283="",AD284=""),"",SUMIFS(ResultsInd[Goal-B],ResultsInd[Category],AC283,ResultsInd[Stage],"Groups",ResultsInd[Player A],AD284)+SUMIFS(ResultsInd[Goal-A],ResultsInd[Category],AC283,ResultsInd[Stage],"Groups",ResultsInd[Player B],AD284))</f>
        <v>1</v>
      </c>
      <c r="AU284" s="308">
        <f>IF(AP284="","",AS284-AT284)</f>
        <v>11</v>
      </c>
      <c r="AV284" s="469" t="b">
        <f>IF(AG284="","",OR(VLOOKUP(AG284,AH284:AU290,3,FALSE),VLOOKUP(AG284,AH284:AU290,6,FALSE)))</f>
        <v>0</v>
      </c>
      <c r="AW284" s="298">
        <f t="shared" ref="AW284:AW290" si="246">IF(AG284="","",INT(AG284/1000))</f>
        <v>1</v>
      </c>
      <c r="AX284" s="285" t="str">
        <f>IF(AG284="","",INDEX(AD284:AD290,MATCH(AG284,AH284:AH290,0)))</f>
        <v>Daniel Scheen</v>
      </c>
      <c r="AY284" s="286">
        <f>IF(AG284="","",VLOOKUP(AG284,AH284:AU290,COLUMN()-COLUMN(AR283),FALSE))</f>
        <v>9</v>
      </c>
      <c r="AZ284" s="286">
        <f>IF(AG284="","",VLOOKUP(AG284,AH284:AU290,COLUMN()-COLUMN(AR283),FALSE))</f>
        <v>3</v>
      </c>
      <c r="BA284" s="286">
        <f>IF(AG284="","",VLOOKUP(AG284,AH284:AU290,COLUMN()-COLUMN(AR283),FALSE))</f>
        <v>3</v>
      </c>
      <c r="BB284" s="286">
        <f>IF(AG284="","",VLOOKUP(AG284,AH284:AU290,COLUMN()-COLUMN(AR283),FALSE))</f>
        <v>0</v>
      </c>
      <c r="BC284" s="286">
        <f>IF(AG284="","",VLOOKUP(AG284,AH284:AU290,COLUMN()-COLUMN(AR283),FALSE))</f>
        <v>0</v>
      </c>
      <c r="BD284" s="286">
        <f>IF(AG284="","",VLOOKUP(AG284,AH284:AU290,COLUMN()-COLUMN(AR283),FALSE))</f>
        <v>12</v>
      </c>
      <c r="BE284" s="286">
        <f>IF(AG284="","",VLOOKUP(AG284,AH284:AU290,COLUMN()-COLUMN(AR283),FALSE))</f>
        <v>1</v>
      </c>
      <c r="BF284" s="301">
        <f>IF(AG284="","",VLOOKUP(AG284,AH284:AU290,COLUMN()-COLUMN(AR283),FALSE))</f>
        <v>11</v>
      </c>
    </row>
    <row r="285" spans="1:58" ht="12" thickBot="1" x14ac:dyDescent="0.25">
      <c r="A285" s="62" t="s">
        <v>12261</v>
      </c>
      <c r="B285" s="62" t="s">
        <v>12207</v>
      </c>
      <c r="C285" s="62">
        <v>1</v>
      </c>
      <c r="D285" s="62"/>
      <c r="E285" s="345" t="s">
        <v>10149</v>
      </c>
      <c r="F285" s="345" t="s">
        <v>10459</v>
      </c>
      <c r="G285" s="113">
        <v>4</v>
      </c>
      <c r="H285" s="113">
        <v>0</v>
      </c>
      <c r="I285" s="114"/>
      <c r="J285" s="114"/>
      <c r="K285" s="114"/>
      <c r="L285" s="81"/>
      <c r="M285" s="265" t="b">
        <f>NOT(ISERROR(ResultsInd[[#This Row],[Goal-A]]+ResultsInd[[#This Row],[Goal-B]]))</f>
        <v>1</v>
      </c>
      <c r="N285" s="265">
        <f>VALUE(ResultsInd[[#This Row],[Score-A]])</f>
        <v>4</v>
      </c>
      <c r="O285" s="265">
        <f>VALUE(ResultsInd[[#This Row],[Score-B]])</f>
        <v>0</v>
      </c>
      <c r="P285" s="265">
        <f ca="1">IF(AND(ResultsInd[[#This Row],[Category]]&lt;&gt;"",ResultsInd[[#This Row],[Player A]]&lt;&gt;""),COUNTIF(INDIRECT(ResultsInd[[#This Row],[Category]]&amp;"List[Retained Player Name]"),ResultsInd[[#This Row],[Player A]]),"")</f>
        <v>1</v>
      </c>
      <c r="Q285" s="265">
        <f ca="1">IF(AND(ResultsInd[[#This Row],[Category]]&lt;&gt;"",ResultsInd[[#This Row],[Player B]]&lt;&gt;""),COUNTIF(INDIRECT(ResultsInd[[#This Row],[Category]]&amp;"List[Retained Player Name]"),ResultsInd[[#This Row],[Player B]]),"")</f>
        <v>1</v>
      </c>
      <c r="R2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VETERANS-Massimiliano Croatti</v>
      </c>
      <c r="S285" s="265" t="str">
        <f>IF(ResultsInd[[#This Row],[Score_OK]],IF(ResultsInd[[#This Row],[Stage]]="Groups",ResultsInd[[#This Row],[Category]]&amp;"-"&amp;IF(ResultsInd[[#This Row],[Player B]]="","",IF(ResultsInd[[#This Row],[Score-A]]=ResultsInd[[#This Row],[Score-B]],ResultsInd[[#This Row],[Player A]],"")),""),"")</f>
        <v>VETERANS-</v>
      </c>
      <c r="T285" s="265" t="str">
        <f>IF(ResultsInd[[#This Row],[Score_OK]],IF(ResultsInd[[#This Row],[Stage]]="Groups",ResultsInd[[#This Row],[Category]]&amp;"-"&amp;IF(ResultsInd[[#This Row],[Player B]]="","",IF(ResultsInd[[#This Row],[Score-A]]=ResultsInd[[#This Row],[Score-B]],ResultsInd[[#This Row],[Player B]],"")),""),"")</f>
        <v>VETERANS-</v>
      </c>
      <c r="U2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VETERANS-Nico Marks</v>
      </c>
      <c r="V2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VETERANS-Nico Marks</v>
      </c>
      <c r="X2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VETERANS-Nico Marks</v>
      </c>
      <c r="Y285" s="264" t="str">
        <f>IF(ResultsInd[[#This Row],[Category]]="","",VLOOKUP(ResultsInd[[#This Row],[Stage]],$P$1:$V$9,MATCH(ResultsInd[[#This Row],[Category]],$Q$1:$V$1,0)+1,FALSE))</f>
        <v>PR1</v>
      </c>
      <c r="Z285" s="264" t="str">
        <f>IF(ResultsInd[[#This Row],[Score_OK]],IF(ResultsInd[[#This Row],[Level]]="R",ResultsInd[[#This Row],[Category]]&amp;"-"&amp;IF(ResultsInd[[#This Row],[LoseInKO]]=ResultsInd[[#This Row],[Category]]&amp;"-"&amp;ResultsInd[[#This Row],[Player A]],ResultsInd[[#This Row],[Player B]],ResultsInd[[#This Row],[Player A]]),""),"")</f>
        <v/>
      </c>
      <c r="AB285" s="8"/>
      <c r="AC285" s="12" t="str">
        <f t="shared" ref="AC285:AC290" si="247">IF(AC284="","",AC284)</f>
        <v>VETERANS</v>
      </c>
      <c r="AD285" s="309" t="s">
        <v>10149</v>
      </c>
      <c r="AE285" s="320"/>
      <c r="AF285" s="311"/>
      <c r="AG285" s="292">
        <f>IF(AP285="","",SMALL(AH284:AH290,ROWS(AG284:AG285)))</f>
        <v>2002</v>
      </c>
      <c r="AH285" s="293">
        <f>IF(AP285="","",RANK(AL285,AL284:AL290)*1000+ROWS(AH284:AH285))</f>
        <v>2002</v>
      </c>
      <c r="AI285" s="316">
        <f t="shared" si="241"/>
        <v>6000000000000</v>
      </c>
      <c r="AJ285" s="415" t="b">
        <f>AND(AO285&lt;&gt;"",AO285&gt;0,COUNTIF(AI284:AI290,AI285)&gt;1)</f>
        <v>0</v>
      </c>
      <c r="AK285" s="316">
        <f t="shared" si="242"/>
        <v>0</v>
      </c>
      <c r="AL285" s="317">
        <f t="shared" si="243"/>
        <v>6000000020500</v>
      </c>
      <c r="AM285" s="415" t="b">
        <f>AND(AO285&lt;&gt;"",AO285&gt;0,COUNTIF(AL284:AL290,AL285)&gt;1)</f>
        <v>0</v>
      </c>
      <c r="AN285" s="306">
        <f t="shared" si="244"/>
        <v>6</v>
      </c>
      <c r="AO285" s="307">
        <f t="shared" si="245"/>
        <v>3</v>
      </c>
      <c r="AP285" s="307">
        <f>IF(OR(AC283="",AD285=""),"",COUNTIF(ResultsInd[Win],AC283&amp;"-"&amp;AD285))</f>
        <v>2</v>
      </c>
      <c r="AQ285" s="307">
        <f>IF(OR(AC283="",AD285=""),"",COUNTIF(ResultsInd[Draw1],AC283&amp;"-"&amp;AD285)+COUNTIF(ResultsInd[Draw2],AC283&amp;"-"&amp;AD285))</f>
        <v>0</v>
      </c>
      <c r="AR285" s="307">
        <f>IF(OR(AC283="",AD285=""),"",COUNTIF(ResultsInd[Lose],AC283&amp;"-"&amp;AD285))</f>
        <v>1</v>
      </c>
      <c r="AS285" s="307">
        <f>IF(OR(AC283="",AD285=""),"",SUMIFS(ResultsInd[Goal-A],ResultsInd[Category],AC283,ResultsInd[Stage],"Groups",ResultsInd[Player A],AD285)+SUMIFS(ResultsInd[Goal-B],ResultsInd[Category],AC283,ResultsInd[Stage],"Groups",ResultsInd[Player B],AD285))</f>
        <v>5</v>
      </c>
      <c r="AT285" s="307">
        <f>IF(OR(AC283="",AD285=""),"",SUMIFS(ResultsInd[Goal-B],ResultsInd[Category],AC283,ResultsInd[Stage],"Groups",ResultsInd[Player A],AD285)+SUMIFS(ResultsInd[Goal-A],ResultsInd[Category],AC283,ResultsInd[Stage],"Groups",ResultsInd[Player B],AD285))</f>
        <v>3</v>
      </c>
      <c r="AU285" s="308">
        <f t="shared" ref="AU285:AU290" si="248">IF(AP285="","",AS285-AT285)</f>
        <v>2</v>
      </c>
      <c r="AV285" s="469" t="b">
        <f>IF(AG285="","",OR(VLOOKUP(AG285,AH284:AU290,3,FALSE),VLOOKUP(AG285,AH284:AU290,6,FALSE)))</f>
        <v>0</v>
      </c>
      <c r="AW285" s="298">
        <f t="shared" si="246"/>
        <v>2</v>
      </c>
      <c r="AX285" s="285" t="str">
        <f>IF(AG285="","",INDEX(AD284:AD290,MATCH(AG285,AH284:AH290,0)))</f>
        <v>Massimiliano Croatti</v>
      </c>
      <c r="AY285" s="286">
        <f>IF(AG285="","",VLOOKUP(AG285,AH284:AU290,COLUMN()-COLUMN(AR283),FALSE))</f>
        <v>6</v>
      </c>
      <c r="AZ285" s="286">
        <f>IF(AG285="","",VLOOKUP(AG285,AH284:AU290,COLUMN()-COLUMN(AR283),FALSE))</f>
        <v>3</v>
      </c>
      <c r="BA285" s="286">
        <f>IF(AG285="","",VLOOKUP(AG285,AH284:AU290,COLUMN()-COLUMN(AR283),FALSE))</f>
        <v>2</v>
      </c>
      <c r="BB285" s="286">
        <f>IF(AG285="","",VLOOKUP(AG285,AH284:AU290,COLUMN()-COLUMN(AR283),FALSE))</f>
        <v>0</v>
      </c>
      <c r="BC285" s="286">
        <f>IF(AG285="","",VLOOKUP(AG285,AH284:AU290,COLUMN()-COLUMN(AR283),FALSE))</f>
        <v>1</v>
      </c>
      <c r="BD285" s="286">
        <f>IF(AG285="","",VLOOKUP(AG285,AH284:AU290,COLUMN()-COLUMN(AR283),FALSE))</f>
        <v>5</v>
      </c>
      <c r="BE285" s="286">
        <f>IF(AG285="","",VLOOKUP(AG285,AH284:AU290,COLUMN()-COLUMN(AR283),FALSE))</f>
        <v>3</v>
      </c>
      <c r="BF285" s="301">
        <f>IF(AG285="","",VLOOKUP(AG285,AH284:AU290,COLUMN()-COLUMN(AR283),FALSE))</f>
        <v>2</v>
      </c>
    </row>
    <row r="286" spans="1:58" ht="12" thickBot="1" x14ac:dyDescent="0.25">
      <c r="A286" s="62" t="s">
        <v>12261</v>
      </c>
      <c r="B286" s="62" t="s">
        <v>12207</v>
      </c>
      <c r="C286" s="62">
        <v>1</v>
      </c>
      <c r="D286" s="62"/>
      <c r="E286" s="345" t="s">
        <v>8126</v>
      </c>
      <c r="F286" s="345" t="s">
        <v>10149</v>
      </c>
      <c r="G286" s="113">
        <v>3</v>
      </c>
      <c r="H286" s="113">
        <v>0</v>
      </c>
      <c r="I286" s="114"/>
      <c r="J286" s="114"/>
      <c r="K286" s="114"/>
      <c r="L286" s="81"/>
      <c r="M286" s="265" t="b">
        <f>NOT(ISERROR(ResultsInd[[#This Row],[Goal-A]]+ResultsInd[[#This Row],[Goal-B]]))</f>
        <v>1</v>
      </c>
      <c r="N286" s="265">
        <f>VALUE(ResultsInd[[#This Row],[Score-A]])</f>
        <v>3</v>
      </c>
      <c r="O286" s="265">
        <f>VALUE(ResultsInd[[#This Row],[Score-B]])</f>
        <v>0</v>
      </c>
      <c r="P286" s="265">
        <f ca="1">IF(AND(ResultsInd[[#This Row],[Category]]&lt;&gt;"",ResultsInd[[#This Row],[Player A]]&lt;&gt;""),COUNTIF(INDIRECT(ResultsInd[[#This Row],[Category]]&amp;"List[Retained Player Name]"),ResultsInd[[#This Row],[Player A]]),"")</f>
        <v>1</v>
      </c>
      <c r="Q286" s="265">
        <f ca="1">IF(AND(ResultsInd[[#This Row],[Category]]&lt;&gt;"",ResultsInd[[#This Row],[Player B]]&lt;&gt;""),COUNTIF(INDIRECT(ResultsInd[[#This Row],[Category]]&amp;"List[Retained Player Name]"),ResultsInd[[#This Row],[Player B]]),"")</f>
        <v>1</v>
      </c>
      <c r="R2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VETERANS-Daniel Scheen</v>
      </c>
      <c r="S286" s="265" t="str">
        <f>IF(ResultsInd[[#This Row],[Score_OK]],IF(ResultsInd[[#This Row],[Stage]]="Groups",ResultsInd[[#This Row],[Category]]&amp;"-"&amp;IF(ResultsInd[[#This Row],[Player B]]="","",IF(ResultsInd[[#This Row],[Score-A]]=ResultsInd[[#This Row],[Score-B]],ResultsInd[[#This Row],[Player A]],"")),""),"")</f>
        <v>VETERANS-</v>
      </c>
      <c r="T286" s="265" t="str">
        <f>IF(ResultsInd[[#This Row],[Score_OK]],IF(ResultsInd[[#This Row],[Stage]]="Groups",ResultsInd[[#This Row],[Category]]&amp;"-"&amp;IF(ResultsInd[[#This Row],[Player B]]="","",IF(ResultsInd[[#This Row],[Score-A]]=ResultsInd[[#This Row],[Score-B]],ResultsInd[[#This Row],[Player B]],"")),""),"")</f>
        <v>VETERANS-</v>
      </c>
      <c r="U2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VETERANS-Massimiliano Croatti</v>
      </c>
      <c r="V2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VETERANS-Massimiliano Croatti</v>
      </c>
      <c r="X2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VETERANS-Massimiliano Croatti</v>
      </c>
      <c r="Y286" s="264" t="str">
        <f>IF(ResultsInd[[#This Row],[Category]]="","",VLOOKUP(ResultsInd[[#This Row],[Stage]],$P$1:$V$9,MATCH(ResultsInd[[#This Row],[Category]],$Q$1:$V$1,0)+1,FALSE))</f>
        <v>PR1</v>
      </c>
      <c r="Z286" s="264" t="str">
        <f>IF(ResultsInd[[#This Row],[Score_OK]],IF(ResultsInd[[#This Row],[Level]]="R",ResultsInd[[#This Row],[Category]]&amp;"-"&amp;IF(ResultsInd[[#This Row],[LoseInKO]]=ResultsInd[[#This Row],[Category]]&amp;"-"&amp;ResultsInd[[#This Row],[Player A]],ResultsInd[[#This Row],[Player B]],ResultsInd[[#This Row],[Player A]]),""),"")</f>
        <v/>
      </c>
      <c r="AB286" s="8"/>
      <c r="AC286" s="12" t="str">
        <f t="shared" si="247"/>
        <v>VETERANS</v>
      </c>
      <c r="AD286" s="309" t="s">
        <v>10459</v>
      </c>
      <c r="AE286" s="320"/>
      <c r="AF286" s="311"/>
      <c r="AG286" s="292">
        <f>IF(AP286="","",SMALL(AH284:AH290,ROWS(AG284:AG286)))</f>
        <v>3003</v>
      </c>
      <c r="AH286" s="293">
        <f>IF(AP286="","",RANK(AL286,AL284:AL290)*1000+ROWS(AH284:AH286))</f>
        <v>3003</v>
      </c>
      <c r="AI286" s="316">
        <f t="shared" si="241"/>
        <v>3000000000000</v>
      </c>
      <c r="AJ286" s="415" t="b">
        <f>AND(AO286&lt;&gt;"",AO286&gt;0,COUNTIF(AI284:AI290,AI286)&gt;1)</f>
        <v>0</v>
      </c>
      <c r="AK286" s="316">
        <f t="shared" si="242"/>
        <v>0</v>
      </c>
      <c r="AL286" s="317">
        <f t="shared" si="243"/>
        <v>2999999940300</v>
      </c>
      <c r="AM286" s="415" t="b">
        <f>AND(AO286&lt;&gt;"",AO286&gt;0,COUNTIF(AL284:AL290,AL286)&gt;1)</f>
        <v>0</v>
      </c>
      <c r="AN286" s="306">
        <f t="shared" si="244"/>
        <v>3</v>
      </c>
      <c r="AO286" s="307">
        <f t="shared" si="245"/>
        <v>3</v>
      </c>
      <c r="AP286" s="307">
        <f>IF(OR(AC283="",AD286=""),"",COUNTIF(ResultsInd[Win],AC283&amp;"-"&amp;AD286))</f>
        <v>1</v>
      </c>
      <c r="AQ286" s="307">
        <f>IF(OR(AC283="",AD286=""),"",COUNTIF(ResultsInd[Draw1],AC283&amp;"-"&amp;AD286)+COUNTIF(ResultsInd[Draw2],AC283&amp;"-"&amp;AD286))</f>
        <v>0</v>
      </c>
      <c r="AR286" s="307">
        <f>IF(OR(AC283="",AD286=""),"",COUNTIF(ResultsInd[Lose],AC283&amp;"-"&amp;AD286))</f>
        <v>2</v>
      </c>
      <c r="AS286" s="307">
        <f>IF(OR(AC283="",AD286=""),"",SUMIFS(ResultsInd[Goal-A],ResultsInd[Category],AC283,ResultsInd[Stage],"Groups",ResultsInd[Player A],AD286)+SUMIFS(ResultsInd[Goal-B],ResultsInd[Category],AC283,ResultsInd[Stage],"Groups",ResultsInd[Player B],AD286))</f>
        <v>3</v>
      </c>
      <c r="AT286" s="307">
        <f>IF(OR(AC283="",AD286=""),"",SUMIFS(ResultsInd[Goal-B],ResultsInd[Category],AC283,ResultsInd[Stage],"Groups",ResultsInd[Player A],AD286)+SUMIFS(ResultsInd[Goal-A],ResultsInd[Category],AC283,ResultsInd[Stage],"Groups",ResultsInd[Player B],AD286))</f>
        <v>9</v>
      </c>
      <c r="AU286" s="308">
        <f t="shared" si="248"/>
        <v>-6</v>
      </c>
      <c r="AV286" s="469" t="b">
        <f>IF(AG286="","",OR(VLOOKUP(AG286,AH284:AU290,3,FALSE),VLOOKUP(AG286,AH284:AU290,6,FALSE)))</f>
        <v>0</v>
      </c>
      <c r="AW286" s="298">
        <f t="shared" si="246"/>
        <v>3</v>
      </c>
      <c r="AX286" s="285" t="str">
        <f>IF(AG286="","",INDEX(AD284:AD290,MATCH(AG286,AH284:AH290,0)))</f>
        <v>Nico Marks</v>
      </c>
      <c r="AY286" s="286">
        <f>IF(AG286="","",VLOOKUP(AG286,AH284:AU290,COLUMN()-COLUMN(AR283),FALSE))</f>
        <v>3</v>
      </c>
      <c r="AZ286" s="286">
        <f>IF(AG286="","",VLOOKUP(AG286,AH284:AU290,COLUMN()-COLUMN(AR283),FALSE))</f>
        <v>3</v>
      </c>
      <c r="BA286" s="286">
        <f>IF(AG286="","",VLOOKUP(AG286,AH284:AU290,COLUMN()-COLUMN(AR283),FALSE))</f>
        <v>1</v>
      </c>
      <c r="BB286" s="286">
        <f>IF(AG286="","",VLOOKUP(AG286,AH284:AU290,COLUMN()-COLUMN(AR283),FALSE))</f>
        <v>0</v>
      </c>
      <c r="BC286" s="286">
        <f>IF(AG286="","",VLOOKUP(AG286,AH284:AU290,COLUMN()-COLUMN(AR283),FALSE))</f>
        <v>2</v>
      </c>
      <c r="BD286" s="286">
        <f>IF(AG286="","",VLOOKUP(AG286,AH284:AU290,COLUMN()-COLUMN(AR283),FALSE))</f>
        <v>3</v>
      </c>
      <c r="BE286" s="286">
        <f>IF(AG286="","",VLOOKUP(AG286,AH284:AU290,COLUMN()-COLUMN(AR283),FALSE))</f>
        <v>9</v>
      </c>
      <c r="BF286" s="301">
        <f>IF(AG286="","",VLOOKUP(AG286,AH284:AU290,COLUMN()-COLUMN(AR283),FALSE))</f>
        <v>-6</v>
      </c>
    </row>
    <row r="287" spans="1:58" ht="12" thickBot="1" x14ac:dyDescent="0.25">
      <c r="A287" s="62" t="s">
        <v>12261</v>
      </c>
      <c r="B287" s="62" t="s">
        <v>12207</v>
      </c>
      <c r="C287" s="62">
        <v>1</v>
      </c>
      <c r="D287" s="62"/>
      <c r="E287" s="345" t="s">
        <v>9229</v>
      </c>
      <c r="F287" s="345" t="s">
        <v>10459</v>
      </c>
      <c r="G287" s="113">
        <v>1</v>
      </c>
      <c r="H287" s="113">
        <v>3</v>
      </c>
      <c r="I287" s="114"/>
      <c r="J287" s="114"/>
      <c r="K287" s="114"/>
      <c r="L287" s="81"/>
      <c r="M287" s="265" t="b">
        <f>NOT(ISERROR(ResultsInd[[#This Row],[Goal-A]]+ResultsInd[[#This Row],[Goal-B]]))</f>
        <v>1</v>
      </c>
      <c r="N287" s="265">
        <f>VALUE(ResultsInd[[#This Row],[Score-A]])</f>
        <v>1</v>
      </c>
      <c r="O287" s="265">
        <f>VALUE(ResultsInd[[#This Row],[Score-B]])</f>
        <v>3</v>
      </c>
      <c r="P287" s="265">
        <f ca="1">IF(AND(ResultsInd[[#This Row],[Category]]&lt;&gt;"",ResultsInd[[#This Row],[Player A]]&lt;&gt;""),COUNTIF(INDIRECT(ResultsInd[[#This Row],[Category]]&amp;"List[Retained Player Name]"),ResultsInd[[#This Row],[Player A]]),"")</f>
        <v>1</v>
      </c>
      <c r="Q287" s="265">
        <f ca="1">IF(AND(ResultsInd[[#This Row],[Category]]&lt;&gt;"",ResultsInd[[#This Row],[Player B]]&lt;&gt;""),COUNTIF(INDIRECT(ResultsInd[[#This Row],[Category]]&amp;"List[Retained Player Name]"),ResultsInd[[#This Row],[Player B]]),"")</f>
        <v>1</v>
      </c>
      <c r="R2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VETERANS-Nico Marks</v>
      </c>
      <c r="S287" s="265" t="str">
        <f>IF(ResultsInd[[#This Row],[Score_OK]],IF(ResultsInd[[#This Row],[Stage]]="Groups",ResultsInd[[#This Row],[Category]]&amp;"-"&amp;IF(ResultsInd[[#This Row],[Player B]]="","",IF(ResultsInd[[#This Row],[Score-A]]=ResultsInd[[#This Row],[Score-B]],ResultsInd[[#This Row],[Player A]],"")),""),"")</f>
        <v>VETERANS-</v>
      </c>
      <c r="T287" s="265" t="str">
        <f>IF(ResultsInd[[#This Row],[Score_OK]],IF(ResultsInd[[#This Row],[Stage]]="Groups",ResultsInd[[#This Row],[Category]]&amp;"-"&amp;IF(ResultsInd[[#This Row],[Player B]]="","",IF(ResultsInd[[#This Row],[Score-A]]=ResultsInd[[#This Row],[Score-B]],ResultsInd[[#This Row],[Player B]],"")),""),"")</f>
        <v>VETERANS-</v>
      </c>
      <c r="U2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VETERANS-Manolis Papadakis</v>
      </c>
      <c r="V2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VETERANS-Manolis Papadakis</v>
      </c>
      <c r="X2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VETERANS-Manolis Papadakis</v>
      </c>
      <c r="Y287" s="264" t="str">
        <f>IF(ResultsInd[[#This Row],[Category]]="","",VLOOKUP(ResultsInd[[#This Row],[Stage]],$P$1:$V$9,MATCH(ResultsInd[[#This Row],[Category]],$Q$1:$V$1,0)+1,FALSE))</f>
        <v>PR1</v>
      </c>
      <c r="Z287" s="264" t="str">
        <f>IF(ResultsInd[[#This Row],[Score_OK]],IF(ResultsInd[[#This Row],[Level]]="R",ResultsInd[[#This Row],[Category]]&amp;"-"&amp;IF(ResultsInd[[#This Row],[LoseInKO]]=ResultsInd[[#This Row],[Category]]&amp;"-"&amp;ResultsInd[[#This Row],[Player A]],ResultsInd[[#This Row],[Player B]],ResultsInd[[#This Row],[Player A]]),""),"")</f>
        <v/>
      </c>
      <c r="AB287" s="91"/>
      <c r="AC287" s="12" t="str">
        <f t="shared" si="247"/>
        <v>VETERANS</v>
      </c>
      <c r="AD287" s="309" t="s">
        <v>9229</v>
      </c>
      <c r="AE287" s="310"/>
      <c r="AF287" s="311"/>
      <c r="AG287" s="292">
        <f>IF(AP287="","",SMALL(AH284:AH290,ROWS(AG284:AG287)))</f>
        <v>4004</v>
      </c>
      <c r="AH287" s="293">
        <f>IF(AP287="","",RANK(AL287,AL284:AL290)*1000+ROWS(AH284:AH287))</f>
        <v>4004</v>
      </c>
      <c r="AI287" s="316">
        <f t="shared" si="241"/>
        <v>0</v>
      </c>
      <c r="AJ287" s="415" t="b">
        <f>AND(AO287&lt;&gt;"",AO287&gt;0,COUNTIF(AI284:AI290,AI287)&gt;1)</f>
        <v>0</v>
      </c>
      <c r="AK287" s="316">
        <f t="shared" si="242"/>
        <v>0</v>
      </c>
      <c r="AL287" s="317">
        <f t="shared" si="243"/>
        <v>-69800</v>
      </c>
      <c r="AM287" s="415" t="b">
        <f>AND(AO287&lt;&gt;"",AO287&gt;0,COUNTIF(AL284:AL290,AL287)&gt;1)</f>
        <v>0</v>
      </c>
      <c r="AN287" s="306">
        <f t="shared" si="244"/>
        <v>0</v>
      </c>
      <c r="AO287" s="307">
        <f t="shared" si="245"/>
        <v>3</v>
      </c>
      <c r="AP287" s="307">
        <f>IF(OR(AC283="",AD287=""),"",COUNTIF(ResultsInd[Win],AC283&amp;"-"&amp;AD287))</f>
        <v>0</v>
      </c>
      <c r="AQ287" s="307">
        <f>IF(OR(AC283="",AD287=""),"",COUNTIF(ResultsInd[Draw1],AC283&amp;"-"&amp;AD287)+COUNTIF(ResultsInd[Draw2],AC283&amp;"-"&amp;AD287))</f>
        <v>0</v>
      </c>
      <c r="AR287" s="307">
        <f>IF(OR(AC283="",AD287=""),"",COUNTIF(ResultsInd[Lose],AC283&amp;"-"&amp;AD287))</f>
        <v>3</v>
      </c>
      <c r="AS287" s="307">
        <f>IF(OR(AC283="",AD287=""),"",SUMIFS(ResultsInd[Goal-A],ResultsInd[Category],AC283,ResultsInd[Stage],"Groups",ResultsInd[Player A],AD287)+SUMIFS(ResultsInd[Goal-B],ResultsInd[Category],AC283,ResultsInd[Stage],"Groups",ResultsInd[Player B],AD287))</f>
        <v>2</v>
      </c>
      <c r="AT287" s="307">
        <f>IF(OR(AC283="",AD287=""),"",SUMIFS(ResultsInd[Goal-B],ResultsInd[Category],AC283,ResultsInd[Stage],"Groups",ResultsInd[Player A],AD287)+SUMIFS(ResultsInd[Goal-A],ResultsInd[Category],AC283,ResultsInd[Stage],"Groups",ResultsInd[Player B],AD287))</f>
        <v>9</v>
      </c>
      <c r="AU287" s="308">
        <f t="shared" si="248"/>
        <v>-7</v>
      </c>
      <c r="AV287" s="469" t="b">
        <f>IF(AG287="","",OR(VLOOKUP(AG287,AH284:AU290,3,FALSE),VLOOKUP(AG287,AH284:AU290,6,FALSE)))</f>
        <v>0</v>
      </c>
      <c r="AW287" s="298">
        <f t="shared" si="246"/>
        <v>4</v>
      </c>
      <c r="AX287" s="285" t="str">
        <f>IF(AG287="","",INDEX(AD284:AD290,MATCH(AG287,AH284:AH290,0)))</f>
        <v>Manolis Papadakis</v>
      </c>
      <c r="AY287" s="286">
        <f>IF(AG287="","",VLOOKUP(AG287,AH284:AU290,COLUMN()-COLUMN(AR283),FALSE))</f>
        <v>0</v>
      </c>
      <c r="AZ287" s="286">
        <f>IF(AG287="","",VLOOKUP(AG287,AH284:AU290,COLUMN()-COLUMN(AR283),FALSE))</f>
        <v>3</v>
      </c>
      <c r="BA287" s="286">
        <f>IF(AG287="","",VLOOKUP(AG287,AH284:AU290,COLUMN()-COLUMN(AR283),FALSE))</f>
        <v>0</v>
      </c>
      <c r="BB287" s="286">
        <f>IF(AG287="","",VLOOKUP(AG287,AH284:AU290,COLUMN()-COLUMN(AR283),FALSE))</f>
        <v>0</v>
      </c>
      <c r="BC287" s="286">
        <f>IF(AG287="","",VLOOKUP(AG287,AH284:AU290,COLUMN()-COLUMN(AR283),FALSE))</f>
        <v>3</v>
      </c>
      <c r="BD287" s="286">
        <f>IF(AG287="","",VLOOKUP(AG287,AH284:AU290,COLUMN()-COLUMN(AR283),FALSE))</f>
        <v>2</v>
      </c>
      <c r="BE287" s="286">
        <f>IF(AG287="","",VLOOKUP(AG287,AH284:AU290,COLUMN()-COLUMN(AR283),FALSE))</f>
        <v>9</v>
      </c>
      <c r="BF287" s="301">
        <f>IF(AG287="","",VLOOKUP(AG287,AH284:AU290,COLUMN()-COLUMN(AR283),FALSE))</f>
        <v>-7</v>
      </c>
    </row>
    <row r="288" spans="1:58" ht="12" thickBot="1" x14ac:dyDescent="0.25">
      <c r="A288" s="62" t="s">
        <v>12261</v>
      </c>
      <c r="B288" s="62" t="s">
        <v>12207</v>
      </c>
      <c r="C288" s="62">
        <v>1</v>
      </c>
      <c r="D288" s="62"/>
      <c r="E288" s="345" t="s">
        <v>10459</v>
      </c>
      <c r="F288" s="345" t="s">
        <v>8126</v>
      </c>
      <c r="G288" s="113">
        <v>0</v>
      </c>
      <c r="H288" s="113">
        <v>4</v>
      </c>
      <c r="I288" s="114"/>
      <c r="J288" s="114"/>
      <c r="K288" s="114"/>
      <c r="L288" s="81"/>
      <c r="M288" s="265" t="b">
        <f>NOT(ISERROR(ResultsInd[[#This Row],[Goal-A]]+ResultsInd[[#This Row],[Goal-B]]))</f>
        <v>1</v>
      </c>
      <c r="N288" s="265">
        <f>VALUE(ResultsInd[[#This Row],[Score-A]])</f>
        <v>0</v>
      </c>
      <c r="O288" s="265">
        <f>VALUE(ResultsInd[[#This Row],[Score-B]])</f>
        <v>4</v>
      </c>
      <c r="P288" s="265">
        <f ca="1">IF(AND(ResultsInd[[#This Row],[Category]]&lt;&gt;"",ResultsInd[[#This Row],[Player A]]&lt;&gt;""),COUNTIF(INDIRECT(ResultsInd[[#This Row],[Category]]&amp;"List[Retained Player Name]"),ResultsInd[[#This Row],[Player A]]),"")</f>
        <v>1</v>
      </c>
      <c r="Q288" s="265">
        <f ca="1">IF(AND(ResultsInd[[#This Row],[Category]]&lt;&gt;"",ResultsInd[[#This Row],[Player B]]&lt;&gt;""),COUNTIF(INDIRECT(ResultsInd[[#This Row],[Category]]&amp;"List[Retained Player Name]"),ResultsInd[[#This Row],[Player B]]),"")</f>
        <v>1</v>
      </c>
      <c r="R2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VETERANS-Daniel Scheen</v>
      </c>
      <c r="S288" s="265" t="str">
        <f>IF(ResultsInd[[#This Row],[Score_OK]],IF(ResultsInd[[#This Row],[Stage]]="Groups",ResultsInd[[#This Row],[Category]]&amp;"-"&amp;IF(ResultsInd[[#This Row],[Player B]]="","",IF(ResultsInd[[#This Row],[Score-A]]=ResultsInd[[#This Row],[Score-B]],ResultsInd[[#This Row],[Player A]],"")),""),"")</f>
        <v>VETERANS-</v>
      </c>
      <c r="T288" s="265" t="str">
        <f>IF(ResultsInd[[#This Row],[Score_OK]],IF(ResultsInd[[#This Row],[Stage]]="Groups",ResultsInd[[#This Row],[Category]]&amp;"-"&amp;IF(ResultsInd[[#This Row],[Player B]]="","",IF(ResultsInd[[#This Row],[Score-A]]=ResultsInd[[#This Row],[Score-B]],ResultsInd[[#This Row],[Player B]],"")),""),"")</f>
        <v>VETERANS-</v>
      </c>
      <c r="U2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VETERANS-Nico Marks</v>
      </c>
      <c r="V2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VETERANS-Nico Marks</v>
      </c>
      <c r="X2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VETERANS-Nico Marks</v>
      </c>
      <c r="Y288" s="264" t="str">
        <f>IF(ResultsInd[[#This Row],[Category]]="","",VLOOKUP(ResultsInd[[#This Row],[Stage]],$P$1:$V$9,MATCH(ResultsInd[[#This Row],[Category]],$Q$1:$V$1,0)+1,FALSE))</f>
        <v>PR1</v>
      </c>
      <c r="Z288" s="264" t="str">
        <f>IF(ResultsInd[[#This Row],[Score_OK]],IF(ResultsInd[[#This Row],[Level]]="R",ResultsInd[[#This Row],[Category]]&amp;"-"&amp;IF(ResultsInd[[#This Row],[LoseInKO]]=ResultsInd[[#This Row],[Category]]&amp;"-"&amp;ResultsInd[[#This Row],[Player A]],ResultsInd[[#This Row],[Player B]],ResultsInd[[#This Row],[Player A]]),""),"")</f>
        <v/>
      </c>
      <c r="AB288" s="91"/>
      <c r="AC288" s="12" t="str">
        <f t="shared" si="247"/>
        <v>VETERANS</v>
      </c>
      <c r="AD288" s="309"/>
      <c r="AE288" s="310"/>
      <c r="AF288" s="311"/>
      <c r="AG288" s="292" t="str">
        <f>IF(AP288="","",SMALL(AH284:AH290,ROWS(AG284:AG288)))</f>
        <v/>
      </c>
      <c r="AH288" s="293" t="str">
        <f>IF(AP288="","",RANK(AL288,AL284:AL290)*1000+ROWS(AH284:AH288))</f>
        <v/>
      </c>
      <c r="AI288" s="316" t="str">
        <f t="shared" si="241"/>
        <v/>
      </c>
      <c r="AJ288" s="415" t="b">
        <f>AND(AO288&lt;&gt;"",AO288&gt;0,COUNTIF(AI284:AI290,AI288)&gt;1)</f>
        <v>0</v>
      </c>
      <c r="AK288" s="316" t="str">
        <f t="shared" si="242"/>
        <v/>
      </c>
      <c r="AL288" s="317" t="str">
        <f t="shared" si="243"/>
        <v/>
      </c>
      <c r="AM288" s="415" t="b">
        <f>AND(AO288&lt;&gt;"",AO288&gt;0,COUNTIF(AL284:AL290,AL288)&gt;1)</f>
        <v>0</v>
      </c>
      <c r="AN288" s="306" t="str">
        <f t="shared" si="244"/>
        <v/>
      </c>
      <c r="AO288" s="307" t="str">
        <f t="shared" si="245"/>
        <v/>
      </c>
      <c r="AP288" s="307" t="str">
        <f>IF(OR(AC283="",AD288=""),"",COUNTIF(ResultsInd[Win],AC283&amp;"-"&amp;AD288))</f>
        <v/>
      </c>
      <c r="AQ288" s="307" t="str">
        <f>IF(OR(AC283="",AD288=""),"",COUNTIF(ResultsInd[Draw1],AC283&amp;"-"&amp;AD288)+COUNTIF(ResultsInd[Draw2],AC283&amp;"-"&amp;AD288))</f>
        <v/>
      </c>
      <c r="AR288" s="307" t="str">
        <f>IF(OR(AC283="",AD288=""),"",COUNTIF(ResultsInd[Lose],AC283&amp;"-"&amp;AD288))</f>
        <v/>
      </c>
      <c r="AS288" s="307" t="str">
        <f>IF(OR(AC283="",AD288=""),"",SUMIFS(ResultsInd[Goal-A],ResultsInd[Category],AC283,ResultsInd[Stage],"Groups",ResultsInd[Player A],AD288)+SUMIFS(ResultsInd[Goal-B],ResultsInd[Category],AC283,ResultsInd[Stage],"Groups",ResultsInd[Player B],AD288))</f>
        <v/>
      </c>
      <c r="AT288" s="307" t="str">
        <f>IF(OR(AC283="",AD288=""),"",SUMIFS(ResultsInd[Goal-B],ResultsInd[Category],AC283,ResultsInd[Stage],"Groups",ResultsInd[Player A],AD288)+SUMIFS(ResultsInd[Goal-A],ResultsInd[Category],AC283,ResultsInd[Stage],"Groups",ResultsInd[Player B],AD288))</f>
        <v/>
      </c>
      <c r="AU288" s="308" t="str">
        <f t="shared" si="248"/>
        <v/>
      </c>
      <c r="AV288" s="469" t="str">
        <f>IF(AG288="","",OR(VLOOKUP(AG288,AH284:AU290,3,FALSE),VLOOKUP(AG288,AH284:AU290,6,FALSE)))</f>
        <v/>
      </c>
      <c r="AW288" s="298" t="str">
        <f t="shared" si="246"/>
        <v/>
      </c>
      <c r="AX288" s="285" t="str">
        <f>IF(AG288="","",INDEX(AD284:AD290,MATCH(AG288,AH284:AH290,0)))</f>
        <v/>
      </c>
      <c r="AY288" s="286" t="str">
        <f>IF(AG288="","",VLOOKUP(AG288,AH284:AU290,COLUMN()-COLUMN(AR283),FALSE))</f>
        <v/>
      </c>
      <c r="AZ288" s="286" t="str">
        <f>IF(AG288="","",VLOOKUP(AG288,AH284:AU290,COLUMN()-COLUMN(AR283),FALSE))</f>
        <v/>
      </c>
      <c r="BA288" s="286" t="str">
        <f>IF(AG288="","",VLOOKUP(AG288,AH284:AU290,COLUMN()-COLUMN(AR283),FALSE))</f>
        <v/>
      </c>
      <c r="BB288" s="286" t="str">
        <f>IF(AG288="","",VLOOKUP(AG288,AH284:AU290,COLUMN()-COLUMN(AR283),FALSE))</f>
        <v/>
      </c>
      <c r="BC288" s="286" t="str">
        <f>IF(AG288="","",VLOOKUP(AG288,AH284:AU290,COLUMN()-COLUMN(AR283),FALSE))</f>
        <v/>
      </c>
      <c r="BD288" s="286" t="str">
        <f>IF(AG288="","",VLOOKUP(AG288,AH284:AU290,COLUMN()-COLUMN(AR283),FALSE))</f>
        <v/>
      </c>
      <c r="BE288" s="286" t="str">
        <f>IF(AG288="","",VLOOKUP(AG288,AH284:AU290,COLUMN()-COLUMN(AR283),FALSE))</f>
        <v/>
      </c>
      <c r="BF288" s="301" t="str">
        <f>IF(AG288="","",VLOOKUP(AG288,AH284:AU290,COLUMN()-COLUMN(AR283),FALSE))</f>
        <v/>
      </c>
    </row>
    <row r="289" spans="1:58" ht="12" thickBot="1" x14ac:dyDescent="0.25">
      <c r="A289" s="62" t="s">
        <v>12261</v>
      </c>
      <c r="B289" s="62" t="s">
        <v>12207</v>
      </c>
      <c r="C289" s="62">
        <v>1</v>
      </c>
      <c r="D289" s="62"/>
      <c r="E289" s="345" t="s">
        <v>9229</v>
      </c>
      <c r="F289" s="345" t="s">
        <v>10149</v>
      </c>
      <c r="G289" s="113">
        <v>0</v>
      </c>
      <c r="H289" s="113">
        <v>1</v>
      </c>
      <c r="I289" s="114"/>
      <c r="J289" s="114"/>
      <c r="K289" s="114"/>
      <c r="L289" s="81"/>
      <c r="M289" s="265" t="b">
        <f>NOT(ISERROR(ResultsInd[[#This Row],[Goal-A]]+ResultsInd[[#This Row],[Goal-B]]))</f>
        <v>1</v>
      </c>
      <c r="N289" s="265">
        <f>VALUE(ResultsInd[[#This Row],[Score-A]])</f>
        <v>0</v>
      </c>
      <c r="O289" s="265">
        <f>VALUE(ResultsInd[[#This Row],[Score-B]])</f>
        <v>1</v>
      </c>
      <c r="P289" s="265">
        <f ca="1">IF(AND(ResultsInd[[#This Row],[Category]]&lt;&gt;"",ResultsInd[[#This Row],[Player A]]&lt;&gt;""),COUNTIF(INDIRECT(ResultsInd[[#This Row],[Category]]&amp;"List[Retained Player Name]"),ResultsInd[[#This Row],[Player A]]),"")</f>
        <v>1</v>
      </c>
      <c r="Q289" s="265">
        <f ca="1">IF(AND(ResultsInd[[#This Row],[Category]]&lt;&gt;"",ResultsInd[[#This Row],[Player B]]&lt;&gt;""),COUNTIF(INDIRECT(ResultsInd[[#This Row],[Category]]&amp;"List[Retained Player Name]"),ResultsInd[[#This Row],[Player B]]),"")</f>
        <v>1</v>
      </c>
      <c r="R2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VETERANS-Massimiliano Croatti</v>
      </c>
      <c r="S289" s="265" t="str">
        <f>IF(ResultsInd[[#This Row],[Score_OK]],IF(ResultsInd[[#This Row],[Stage]]="Groups",ResultsInd[[#This Row],[Category]]&amp;"-"&amp;IF(ResultsInd[[#This Row],[Player B]]="","",IF(ResultsInd[[#This Row],[Score-A]]=ResultsInd[[#This Row],[Score-B]],ResultsInd[[#This Row],[Player A]],"")),""),"")</f>
        <v>VETERANS-</v>
      </c>
      <c r="T289" s="265" t="str">
        <f>IF(ResultsInd[[#This Row],[Score_OK]],IF(ResultsInd[[#This Row],[Stage]]="Groups",ResultsInd[[#This Row],[Category]]&amp;"-"&amp;IF(ResultsInd[[#This Row],[Player B]]="","",IF(ResultsInd[[#This Row],[Score-A]]=ResultsInd[[#This Row],[Score-B]],ResultsInd[[#This Row],[Player B]],"")),""),"")</f>
        <v>VETERANS-</v>
      </c>
      <c r="U2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VETERANS-Manolis Papadakis</v>
      </c>
      <c r="V2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VETERANS-Manolis Papadakis</v>
      </c>
      <c r="X2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VETERANS-Manolis Papadakis</v>
      </c>
      <c r="Y289" s="264" t="str">
        <f>IF(ResultsInd[[#This Row],[Category]]="","",VLOOKUP(ResultsInd[[#This Row],[Stage]],$P$1:$V$9,MATCH(ResultsInd[[#This Row],[Category]],$Q$1:$V$1,0)+1,FALSE))</f>
        <v>PR1</v>
      </c>
      <c r="Z289" s="264" t="str">
        <f>IF(ResultsInd[[#This Row],[Score_OK]],IF(ResultsInd[[#This Row],[Level]]="R",ResultsInd[[#This Row],[Category]]&amp;"-"&amp;IF(ResultsInd[[#This Row],[LoseInKO]]=ResultsInd[[#This Row],[Category]]&amp;"-"&amp;ResultsInd[[#This Row],[Player A]],ResultsInd[[#This Row],[Player B]],ResultsInd[[#This Row],[Player A]]),""),"")</f>
        <v/>
      </c>
      <c r="AB289" s="8"/>
      <c r="AC289" s="12" t="str">
        <f t="shared" si="247"/>
        <v>VETERANS</v>
      </c>
      <c r="AD289" s="309"/>
      <c r="AE289" s="310"/>
      <c r="AF289" s="311"/>
      <c r="AG289" s="292" t="str">
        <f>IF(AP289="","",SMALL(AH284:AH290,ROWS(AG284:AG289)))</f>
        <v/>
      </c>
      <c r="AH289" s="293" t="str">
        <f>IF(AP289="","",RANK(AL289,AL284:AL290)*1000+ROWS(AH284:AH289))</f>
        <v/>
      </c>
      <c r="AI289" s="316" t="str">
        <f t="shared" si="241"/>
        <v/>
      </c>
      <c r="AJ289" s="415" t="b">
        <f>AND(AO289&lt;&gt;"",AO289&gt;0,COUNTIF(AI284:AI290,AI289)&gt;1)</f>
        <v>0</v>
      </c>
      <c r="AK289" s="316" t="str">
        <f t="shared" si="242"/>
        <v/>
      </c>
      <c r="AL289" s="317" t="str">
        <f t="shared" si="243"/>
        <v/>
      </c>
      <c r="AM289" s="415" t="b">
        <f>AND(AO289&lt;&gt;"",AO289&gt;0,COUNTIF(AL284:AL290,AL289)&gt;1)</f>
        <v>0</v>
      </c>
      <c r="AN289" s="306" t="str">
        <f t="shared" si="244"/>
        <v/>
      </c>
      <c r="AO289" s="307" t="str">
        <f t="shared" si="245"/>
        <v/>
      </c>
      <c r="AP289" s="307" t="str">
        <f>IF(OR(AC283="",AD289=""),"",COUNTIF(ResultsInd[Win],AC283&amp;"-"&amp;AD289))</f>
        <v/>
      </c>
      <c r="AQ289" s="307" t="str">
        <f>IF(OR(AC283="",AD289=""),"",COUNTIF(ResultsInd[Draw1],AC283&amp;"-"&amp;AD289)+COUNTIF(ResultsInd[Draw2],AC283&amp;"-"&amp;AD289))</f>
        <v/>
      </c>
      <c r="AR289" s="307" t="str">
        <f>IF(OR(AC283="",AD289=""),"",COUNTIF(ResultsInd[Lose],AC283&amp;"-"&amp;AD289))</f>
        <v/>
      </c>
      <c r="AS289" s="307" t="str">
        <f>IF(OR(AC283="",AD289=""),"",SUMIFS(ResultsInd[Goal-A],ResultsInd[Category],AC283,ResultsInd[Stage],"Groups",ResultsInd[Player A],AD289)+SUMIFS(ResultsInd[Goal-B],ResultsInd[Category],AC283,ResultsInd[Stage],"Groups",ResultsInd[Player B],AD289))</f>
        <v/>
      </c>
      <c r="AT289" s="307" t="str">
        <f>IF(OR(AC283="",AD289=""),"",SUMIFS(ResultsInd[Goal-B],ResultsInd[Category],AC283,ResultsInd[Stage],"Groups",ResultsInd[Player A],AD289)+SUMIFS(ResultsInd[Goal-A],ResultsInd[Category],AC283,ResultsInd[Stage],"Groups",ResultsInd[Player B],AD289))</f>
        <v/>
      </c>
      <c r="AU289" s="308" t="str">
        <f t="shared" si="248"/>
        <v/>
      </c>
      <c r="AV289" s="469" t="str">
        <f>IF(AG289="","",OR(VLOOKUP(AG289,AH284:AU290,3,FALSE),VLOOKUP(AG289,AH284:AU290,6,FALSE)))</f>
        <v/>
      </c>
      <c r="AW289" s="298" t="str">
        <f t="shared" si="246"/>
        <v/>
      </c>
      <c r="AX289" s="285" t="str">
        <f>IF(AG289="","",INDEX(AD284:AD290,MATCH(AG289,AH284:AH290,0)))</f>
        <v/>
      </c>
      <c r="AY289" s="286" t="str">
        <f>IF(AG289="","",VLOOKUP(AG289,AH284:AU290,COLUMN()-COLUMN(AR283),FALSE))</f>
        <v/>
      </c>
      <c r="AZ289" s="286" t="str">
        <f>IF(AG289="","",VLOOKUP(AG289,AH284:AU290,COLUMN()-COLUMN(AR283),FALSE))</f>
        <v/>
      </c>
      <c r="BA289" s="286" t="str">
        <f>IF(AG289="","",VLOOKUP(AG289,AH284:AU290,COLUMN()-COLUMN(AR283),FALSE))</f>
        <v/>
      </c>
      <c r="BB289" s="286" t="str">
        <f>IF(AG289="","",VLOOKUP(AG289,AH284:AU290,COLUMN()-COLUMN(AR283),FALSE))</f>
        <v/>
      </c>
      <c r="BC289" s="286" t="str">
        <f>IF(AG289="","",VLOOKUP(AG289,AH284:AU290,COLUMN()-COLUMN(AR283),FALSE))</f>
        <v/>
      </c>
      <c r="BD289" s="286" t="str">
        <f>IF(AG289="","",VLOOKUP(AG289,AH284:AU290,COLUMN()-COLUMN(AR283),FALSE))</f>
        <v/>
      </c>
      <c r="BE289" s="286" t="str">
        <f>IF(AG289="","",VLOOKUP(AG289,AH284:AU290,COLUMN()-COLUMN(AR283),FALSE))</f>
        <v/>
      </c>
      <c r="BF289" s="301" t="str">
        <f>IF(AG289="","",VLOOKUP(AG289,AH284:AU290,COLUMN()-COLUMN(AR283),FALSE))</f>
        <v/>
      </c>
    </row>
    <row r="290" spans="1:58" ht="12" thickBot="1" x14ac:dyDescent="0.25">
      <c r="A290" s="62"/>
      <c r="B290" s="62"/>
      <c r="C290" s="62"/>
      <c r="D290" s="62"/>
      <c r="E290" s="345"/>
      <c r="F290" s="345"/>
      <c r="G290" s="113"/>
      <c r="H290" s="113"/>
      <c r="I290" s="114"/>
      <c r="J290" s="114"/>
      <c r="K290" s="114"/>
      <c r="L290" s="81"/>
      <c r="M290" s="265" t="b">
        <f>NOT(ISERROR(ResultsInd[[#This Row],[Goal-A]]+ResultsInd[[#This Row],[Goal-B]]))</f>
        <v>1</v>
      </c>
      <c r="N290" s="265">
        <f>VALUE(ResultsInd[[#This Row],[Score-A]])</f>
        <v>0</v>
      </c>
      <c r="O290" s="265">
        <f>VALUE(ResultsInd[[#This Row],[Score-B]])</f>
        <v>0</v>
      </c>
      <c r="P290" s="265" t="str">
        <f ca="1">IF(AND(ResultsInd[[#This Row],[Category]]&lt;&gt;"",ResultsInd[[#This Row],[Player A]]&lt;&gt;""),COUNTIF(INDIRECT(ResultsInd[[#This Row],[Category]]&amp;"List[Retained Player Name]"),ResultsInd[[#This Row],[Player A]]),"")</f>
        <v/>
      </c>
      <c r="Q290" s="265" t="str">
        <f ca="1">IF(AND(ResultsInd[[#This Row],[Category]]&lt;&gt;"",ResultsInd[[#This Row],[Player B]]&lt;&gt;""),COUNTIF(INDIRECT(ResultsInd[[#This Row],[Category]]&amp;"List[Retained Player Name]"),ResultsInd[[#This Row],[Player B]]),"")</f>
        <v/>
      </c>
      <c r="R2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0" s="265" t="str">
        <f>IF(ResultsInd[[#This Row],[Score_OK]],IF(ResultsInd[[#This Row],[Stage]]="Groups",ResultsInd[[#This Row],[Category]]&amp;"-"&amp;IF(ResultsInd[[#This Row],[Player B]]="","",IF(ResultsInd[[#This Row],[Score-A]]=ResultsInd[[#This Row],[Score-B]],ResultsInd[[#This Row],[Player A]],"")),""),"")</f>
        <v/>
      </c>
      <c r="T290" s="265" t="str">
        <f>IF(ResultsInd[[#This Row],[Score_OK]],IF(ResultsInd[[#This Row],[Stage]]="Groups",ResultsInd[[#This Row],[Category]]&amp;"-"&amp;IF(ResultsInd[[#This Row],[Player B]]="","",IF(ResultsInd[[#This Row],[Score-A]]=ResultsInd[[#This Row],[Score-B]],ResultsInd[[#This Row],[Player B]],"")),""),"")</f>
        <v/>
      </c>
      <c r="U2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0" s="264" t="str">
        <f>IF(ResultsInd[[#This Row],[Category]]="","",VLOOKUP(ResultsInd[[#This Row],[Stage]],$P$1:$V$9,MATCH(ResultsInd[[#This Row],[Category]],$Q$1:$V$1,0)+1,FALSE))</f>
        <v/>
      </c>
      <c r="Z290" s="264" t="str">
        <f>IF(ResultsInd[[#This Row],[Score_OK]],IF(ResultsInd[[#This Row],[Level]]="R",ResultsInd[[#This Row],[Category]]&amp;"-"&amp;IF(ResultsInd[[#This Row],[LoseInKO]]=ResultsInd[[#This Row],[Category]]&amp;"-"&amp;ResultsInd[[#This Row],[Player A]],ResultsInd[[#This Row],[Player B]],ResultsInd[[#This Row],[Player A]]),""),"")</f>
        <v/>
      </c>
      <c r="AB290" s="8"/>
      <c r="AC290" s="12" t="str">
        <f t="shared" si="247"/>
        <v>VETERANS</v>
      </c>
      <c r="AD290" s="312"/>
      <c r="AE290" s="313"/>
      <c r="AF290" s="314"/>
      <c r="AG290" s="294" t="str">
        <f>IF(AP290="","",SMALL(AH284:AH290,ROWS(AG284:AG290)))</f>
        <v/>
      </c>
      <c r="AH290" s="295" t="str">
        <f>IF(AP290="","",RANK(AL290,AL284:AL290)*1000+ROWS(AH284:AH290))</f>
        <v/>
      </c>
      <c r="AI290" s="318" t="str">
        <f t="shared" si="241"/>
        <v/>
      </c>
      <c r="AJ290" s="416" t="b">
        <f>AND(AO290&lt;&gt;"",AO290&gt;0,COUNTIF(AI284:AI290,AI290)&gt;1)</f>
        <v>0</v>
      </c>
      <c r="AK290" s="318" t="str">
        <f t="shared" si="242"/>
        <v/>
      </c>
      <c r="AL290" s="319" t="str">
        <f t="shared" si="243"/>
        <v/>
      </c>
      <c r="AM290" s="416" t="b">
        <f>AND(AO290&lt;&gt;"",AO290&gt;0,COUNTIF(AL284:AL290,AL290)&gt;1)</f>
        <v>0</v>
      </c>
      <c r="AN290" s="306" t="str">
        <f t="shared" si="244"/>
        <v/>
      </c>
      <c r="AO290" s="307" t="str">
        <f t="shared" si="245"/>
        <v/>
      </c>
      <c r="AP290" s="307" t="str">
        <f>IF(OR(AC283="",AD290=""),"",COUNTIF(ResultsInd[Win],AC283&amp;"-"&amp;AD290))</f>
        <v/>
      </c>
      <c r="AQ290" s="307" t="str">
        <f>IF(OR(AC283="",AD290=""),"",COUNTIF(ResultsInd[Draw1],AC283&amp;"-"&amp;AD290)+COUNTIF(ResultsInd[Draw2],AC283&amp;"-"&amp;AD290))</f>
        <v/>
      </c>
      <c r="AR290" s="307" t="str">
        <f>IF(OR(AC283="",AD290=""),"",COUNTIF(ResultsInd[Lose],AC283&amp;"-"&amp;AD290))</f>
        <v/>
      </c>
      <c r="AS290" s="307" t="str">
        <f>IF(OR(AC283="",AD290=""),"",SUMIFS(ResultsInd[Goal-A],ResultsInd[Category],AC283,ResultsInd[Stage],"Groups",ResultsInd[Player A],AD290)+SUMIFS(ResultsInd[Goal-B],ResultsInd[Category],AC283,ResultsInd[Stage],"Groups",ResultsInd[Player B],AD290))</f>
        <v/>
      </c>
      <c r="AT290" s="307" t="str">
        <f>IF(OR(AC283="",AD290=""),"",SUMIFS(ResultsInd[Goal-B],ResultsInd[Category],AC283,ResultsInd[Stage],"Groups",ResultsInd[Player A],AD290)+SUMIFS(ResultsInd[Goal-A],ResultsInd[Category],AC283,ResultsInd[Stage],"Groups",ResultsInd[Player B],AD290))</f>
        <v/>
      </c>
      <c r="AU290" s="308" t="str">
        <f t="shared" si="248"/>
        <v/>
      </c>
      <c r="AV290" s="469" t="str">
        <f>IF(AG290="","",OR(VLOOKUP(AG290,AH284:AU290,3,FALSE),VLOOKUP(AG290,AH284:AU290,6,FALSE)))</f>
        <v/>
      </c>
      <c r="AW290" s="299" t="str">
        <f t="shared" si="246"/>
        <v/>
      </c>
      <c r="AX290" s="287" t="str">
        <f>IF(AG290="","",INDEX(AD284:AD290,MATCH(AG290,AH284:AH290,0)))</f>
        <v/>
      </c>
      <c r="AY290" s="288" t="str">
        <f>IF(AG290="","",VLOOKUP(AG290,AH284:AU290,COLUMN()-COLUMN(AR283),FALSE))</f>
        <v/>
      </c>
      <c r="AZ290" s="288" t="str">
        <f>IF(AG290="","",VLOOKUP(AG290,AH284:AU290,COLUMN()-COLUMN(AR283),FALSE))</f>
        <v/>
      </c>
      <c r="BA290" s="288" t="str">
        <f>IF(AG290="","",VLOOKUP(AG290,AH284:AU290,COLUMN()-COLUMN(AR283),FALSE))</f>
        <v/>
      </c>
      <c r="BB290" s="288" t="str">
        <f>IF(AG290="","",VLOOKUP(AG290,AH284:AU290,COLUMN()-COLUMN(AR283),FALSE))</f>
        <v/>
      </c>
      <c r="BC290" s="288" t="str">
        <f>IF(AG290="","",VLOOKUP(AG290,AH284:AU290,COLUMN()-COLUMN(AR283),FALSE))</f>
        <v/>
      </c>
      <c r="BD290" s="288" t="str">
        <f>IF(AG290="","",VLOOKUP(AG290,AH284:AU290,COLUMN()-COLUMN(AR283),FALSE))</f>
        <v/>
      </c>
      <c r="BE290" s="288" t="str">
        <f>IF(AG290="","",VLOOKUP(AG290,AH284:AU290,COLUMN()-COLUMN(AR283),FALSE))</f>
        <v/>
      </c>
      <c r="BF290" s="302" t="str">
        <f>IF(AG290="","",VLOOKUP(AG290,AH284:AU290,COLUMN()-COLUMN(AR283),FALSE))</f>
        <v/>
      </c>
    </row>
    <row r="291" spans="1:58" ht="13.5" thickBot="1" x14ac:dyDescent="0.25">
      <c r="A291" s="62"/>
      <c r="B291" s="62"/>
      <c r="C291" s="62"/>
      <c r="D291" s="62"/>
      <c r="E291" s="345"/>
      <c r="F291" s="345"/>
      <c r="G291" s="113"/>
      <c r="H291" s="113"/>
      <c r="I291" s="114"/>
      <c r="J291" s="114"/>
      <c r="K291" s="114"/>
      <c r="L291" s="81"/>
      <c r="M291" s="265" t="b">
        <f>NOT(ISERROR(ResultsInd[[#This Row],[Goal-A]]+ResultsInd[[#This Row],[Goal-B]]))</f>
        <v>1</v>
      </c>
      <c r="N291" s="265">
        <f>VALUE(ResultsInd[[#This Row],[Score-A]])</f>
        <v>0</v>
      </c>
      <c r="O291" s="265">
        <f>VALUE(ResultsInd[[#This Row],[Score-B]])</f>
        <v>0</v>
      </c>
      <c r="P291" s="265" t="str">
        <f ca="1">IF(AND(ResultsInd[[#This Row],[Category]]&lt;&gt;"",ResultsInd[[#This Row],[Player A]]&lt;&gt;""),COUNTIF(INDIRECT(ResultsInd[[#This Row],[Category]]&amp;"List[Retained Player Name]"),ResultsInd[[#This Row],[Player A]]),"")</f>
        <v/>
      </c>
      <c r="Q291" s="265" t="str">
        <f ca="1">IF(AND(ResultsInd[[#This Row],[Category]]&lt;&gt;"",ResultsInd[[#This Row],[Player B]]&lt;&gt;""),COUNTIF(INDIRECT(ResultsInd[[#This Row],[Category]]&amp;"List[Retained Player Name]"),ResultsInd[[#This Row],[Player B]]),"")</f>
        <v/>
      </c>
      <c r="R2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1" s="265" t="str">
        <f>IF(ResultsInd[[#This Row],[Score_OK]],IF(ResultsInd[[#This Row],[Stage]]="Groups",ResultsInd[[#This Row],[Category]]&amp;"-"&amp;IF(ResultsInd[[#This Row],[Player B]]="","",IF(ResultsInd[[#This Row],[Score-A]]=ResultsInd[[#This Row],[Score-B]],ResultsInd[[#This Row],[Player A]],"")),""),"")</f>
        <v/>
      </c>
      <c r="T291" s="265" t="str">
        <f>IF(ResultsInd[[#This Row],[Score_OK]],IF(ResultsInd[[#This Row],[Stage]]="Groups",ResultsInd[[#This Row],[Category]]&amp;"-"&amp;IF(ResultsInd[[#This Row],[Player B]]="","",IF(ResultsInd[[#This Row],[Score-A]]=ResultsInd[[#This Row],[Score-B]],ResultsInd[[#This Row],[Player B]],"")),""),"")</f>
        <v/>
      </c>
      <c r="U2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1" s="264" t="str">
        <f>IF(ResultsInd[[#This Row],[Category]]="","",VLOOKUP(ResultsInd[[#This Row],[Stage]],$P$1:$V$9,MATCH(ResultsInd[[#This Row],[Category]],$Q$1:$V$1,0)+1,FALSE))</f>
        <v/>
      </c>
      <c r="Z291" s="264" t="str">
        <f>IF(ResultsInd[[#This Row],[Score_OK]],IF(ResultsInd[[#This Row],[Level]]="R",ResultsInd[[#This Row],[Category]]&amp;"-"&amp;IF(ResultsInd[[#This Row],[LoseInKO]]=ResultsInd[[#This Row],[Category]]&amp;"-"&amp;ResultsInd[[#This Row],[Player A]],ResultsInd[[#This Row],[Player B]],ResultsInd[[#This Row],[Player A]]),""),"")</f>
        <v/>
      </c>
      <c r="AB291" s="8"/>
      <c r="AC291" s="8"/>
      <c r="AF291" s="170"/>
      <c r="AG291" s="101"/>
      <c r="AH291" s="101"/>
      <c r="AN291" s="170"/>
      <c r="AO291" s="170"/>
      <c r="AP291" s="170"/>
      <c r="AQ291" s="172"/>
      <c r="AR291" s="173"/>
      <c r="AS291" s="173"/>
      <c r="AT291" s="173"/>
      <c r="AU291" s="101"/>
      <c r="AV291" s="101"/>
      <c r="AW291" s="101"/>
      <c r="AX291" s="101"/>
      <c r="AY291" s="101"/>
      <c r="AZ291" s="101"/>
    </row>
    <row r="292" spans="1:58" ht="12" thickBot="1" x14ac:dyDescent="0.25">
      <c r="A292" s="62" t="s">
        <v>12261</v>
      </c>
      <c r="B292" s="62" t="s">
        <v>12207</v>
      </c>
      <c r="C292" s="62">
        <v>2</v>
      </c>
      <c r="D292" s="62"/>
      <c r="E292" s="345" t="s">
        <v>10253</v>
      </c>
      <c r="F292" s="345" t="s">
        <v>8588</v>
      </c>
      <c r="G292" s="113">
        <v>7</v>
      </c>
      <c r="H292" s="113">
        <v>1</v>
      </c>
      <c r="I292" s="114"/>
      <c r="J292" s="114"/>
      <c r="K292" s="114"/>
      <c r="L292" s="81"/>
      <c r="M292" s="265" t="b">
        <f>NOT(ISERROR(ResultsInd[[#This Row],[Goal-A]]+ResultsInd[[#This Row],[Goal-B]]))</f>
        <v>1</v>
      </c>
      <c r="N292" s="265">
        <f>VALUE(ResultsInd[[#This Row],[Score-A]])</f>
        <v>7</v>
      </c>
      <c r="O292" s="265">
        <f>VALUE(ResultsInd[[#This Row],[Score-B]])</f>
        <v>1</v>
      </c>
      <c r="P292" s="265">
        <f ca="1">IF(AND(ResultsInd[[#This Row],[Category]]&lt;&gt;"",ResultsInd[[#This Row],[Player A]]&lt;&gt;""),COUNTIF(INDIRECT(ResultsInd[[#This Row],[Category]]&amp;"List[Retained Player Name]"),ResultsInd[[#This Row],[Player A]]),"")</f>
        <v>1</v>
      </c>
      <c r="Q292" s="265">
        <f ca="1">IF(AND(ResultsInd[[#This Row],[Category]]&lt;&gt;"",ResultsInd[[#This Row],[Player B]]&lt;&gt;""),COUNTIF(INDIRECT(ResultsInd[[#This Row],[Category]]&amp;"List[Retained Player Name]"),ResultsInd[[#This Row],[Player B]]),"")</f>
        <v>1</v>
      </c>
      <c r="R2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VETERANS-Gianfranco Calonico</v>
      </c>
      <c r="S292" s="265" t="str">
        <f>IF(ResultsInd[[#This Row],[Score_OK]],IF(ResultsInd[[#This Row],[Stage]]="Groups",ResultsInd[[#This Row],[Category]]&amp;"-"&amp;IF(ResultsInd[[#This Row],[Player B]]="","",IF(ResultsInd[[#This Row],[Score-A]]=ResultsInd[[#This Row],[Score-B]],ResultsInd[[#This Row],[Player A]],"")),""),"")</f>
        <v>VETERANS-</v>
      </c>
      <c r="T292" s="265" t="str">
        <f>IF(ResultsInd[[#This Row],[Score_OK]],IF(ResultsInd[[#This Row],[Stage]]="Groups",ResultsInd[[#This Row],[Category]]&amp;"-"&amp;IF(ResultsInd[[#This Row],[Player B]]="","",IF(ResultsInd[[#This Row],[Score-A]]=ResultsInd[[#This Row],[Score-B]],ResultsInd[[#This Row],[Player B]],"")),""),"")</f>
        <v>VETERANS-</v>
      </c>
      <c r="U2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VETERANS-Cayne Matthews</v>
      </c>
      <c r="V2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VETERANS-Cayne Matthews</v>
      </c>
      <c r="X2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VETERANS-Cayne Matthews</v>
      </c>
      <c r="Y292" s="264" t="str">
        <f>IF(ResultsInd[[#This Row],[Category]]="","",VLOOKUP(ResultsInd[[#This Row],[Stage]],$P$1:$V$9,MATCH(ResultsInd[[#This Row],[Category]],$Q$1:$V$1,0)+1,FALSE))</f>
        <v>PR1</v>
      </c>
      <c r="Z292" s="264" t="str">
        <f>IF(ResultsInd[[#This Row],[Score_OK]],IF(ResultsInd[[#This Row],[Level]]="R",ResultsInd[[#This Row],[Category]]&amp;"-"&amp;IF(ResultsInd[[#This Row],[LoseInKO]]=ResultsInd[[#This Row],[Category]]&amp;"-"&amp;ResultsInd[[#This Row],[Player A]],ResultsInd[[#This Row],[Player B]],ResultsInd[[#This Row],[Player A]]),""),"")</f>
        <v/>
      </c>
      <c r="AB292" s="281">
        <v>2</v>
      </c>
      <c r="AC292" s="315" t="s">
        <v>12261</v>
      </c>
      <c r="AD292" s="289" t="s">
        <v>14439</v>
      </c>
      <c r="AE292" s="290" t="s">
        <v>12279</v>
      </c>
      <c r="AF292" s="284" t="s">
        <v>12275</v>
      </c>
      <c r="AG292" s="296" t="s">
        <v>12276</v>
      </c>
      <c r="AH292" s="291" t="s">
        <v>12271</v>
      </c>
      <c r="AI292" s="291" t="s">
        <v>12272</v>
      </c>
      <c r="AJ292" s="414" t="s">
        <v>13154</v>
      </c>
      <c r="AK292" s="291" t="s">
        <v>12273</v>
      </c>
      <c r="AL292" s="297" t="s">
        <v>12274</v>
      </c>
      <c r="AM292" s="414" t="s">
        <v>13154</v>
      </c>
      <c r="AN292" s="303" t="s">
        <v>12199</v>
      </c>
      <c r="AO292" s="304" t="s">
        <v>12200</v>
      </c>
      <c r="AP292" s="304" t="s">
        <v>12201</v>
      </c>
      <c r="AQ292" s="304" t="s">
        <v>12202</v>
      </c>
      <c r="AR292" s="304" t="s">
        <v>12203</v>
      </c>
      <c r="AS292" s="304" t="s">
        <v>12204</v>
      </c>
      <c r="AT292" s="304" t="s">
        <v>12205</v>
      </c>
      <c r="AU292" s="305" t="s">
        <v>12206</v>
      </c>
      <c r="AV292" s="468"/>
      <c r="AW292" s="282" t="s">
        <v>12276</v>
      </c>
      <c r="AX292" s="282" t="s">
        <v>12280</v>
      </c>
      <c r="AY292" s="283" t="s">
        <v>12199</v>
      </c>
      <c r="AZ292" s="283" t="s">
        <v>12200</v>
      </c>
      <c r="BA292" s="283" t="s">
        <v>12201</v>
      </c>
      <c r="BB292" s="283" t="s">
        <v>12202</v>
      </c>
      <c r="BC292" s="283" t="s">
        <v>12203</v>
      </c>
      <c r="BD292" s="283" t="s">
        <v>12204</v>
      </c>
      <c r="BE292" s="283" t="s">
        <v>12205</v>
      </c>
      <c r="BF292" s="300" t="s">
        <v>12206</v>
      </c>
    </row>
    <row r="293" spans="1:58" ht="12" thickBot="1" x14ac:dyDescent="0.25">
      <c r="A293" s="62" t="s">
        <v>12261</v>
      </c>
      <c r="B293" s="62" t="s">
        <v>12207</v>
      </c>
      <c r="C293" s="62">
        <v>2</v>
      </c>
      <c r="D293" s="62"/>
      <c r="E293" s="345" t="s">
        <v>8174</v>
      </c>
      <c r="F293" s="345" t="s">
        <v>12619</v>
      </c>
      <c r="G293" s="113">
        <v>4</v>
      </c>
      <c r="H293" s="113">
        <v>0</v>
      </c>
      <c r="I293" s="114"/>
      <c r="J293" s="114"/>
      <c r="K293" s="114"/>
      <c r="L293" s="81"/>
      <c r="M293" s="265" t="b">
        <f>NOT(ISERROR(ResultsInd[[#This Row],[Goal-A]]+ResultsInd[[#This Row],[Goal-B]]))</f>
        <v>1</v>
      </c>
      <c r="N293" s="265">
        <f>VALUE(ResultsInd[[#This Row],[Score-A]])</f>
        <v>4</v>
      </c>
      <c r="O293" s="265">
        <f>VALUE(ResultsInd[[#This Row],[Score-B]])</f>
        <v>0</v>
      </c>
      <c r="P293" s="265">
        <f ca="1">IF(AND(ResultsInd[[#This Row],[Category]]&lt;&gt;"",ResultsInd[[#This Row],[Player A]]&lt;&gt;""),COUNTIF(INDIRECT(ResultsInd[[#This Row],[Category]]&amp;"List[Retained Player Name]"),ResultsInd[[#This Row],[Player A]]),"")</f>
        <v>1</v>
      </c>
      <c r="Q293" s="265">
        <f ca="1">IF(AND(ResultsInd[[#This Row],[Category]]&lt;&gt;"",ResultsInd[[#This Row],[Player B]]&lt;&gt;""),COUNTIF(INDIRECT(ResultsInd[[#This Row],[Category]]&amp;"List[Retained Player Name]"),ResultsInd[[#This Row],[Player B]]),"")</f>
        <v>1</v>
      </c>
      <c r="R2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VETERANS-David Wouters</v>
      </c>
      <c r="S293" s="265" t="str">
        <f>IF(ResultsInd[[#This Row],[Score_OK]],IF(ResultsInd[[#This Row],[Stage]]="Groups",ResultsInd[[#This Row],[Category]]&amp;"-"&amp;IF(ResultsInd[[#This Row],[Player B]]="","",IF(ResultsInd[[#This Row],[Score-A]]=ResultsInd[[#This Row],[Score-B]],ResultsInd[[#This Row],[Player A]],"")),""),"")</f>
        <v>VETERANS-</v>
      </c>
      <c r="T293" s="265" t="str">
        <f>IF(ResultsInd[[#This Row],[Score_OK]],IF(ResultsInd[[#This Row],[Stage]]="Groups",ResultsInd[[#This Row],[Category]]&amp;"-"&amp;IF(ResultsInd[[#This Row],[Player B]]="","",IF(ResultsInd[[#This Row],[Score-A]]=ResultsInd[[#This Row],[Score-B]],ResultsInd[[#This Row],[Player B]],"")),""),"")</f>
        <v>VETERANS-</v>
      </c>
      <c r="U2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VETERANS-Richard Oranje</v>
      </c>
      <c r="V2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X2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Y293" s="264" t="str">
        <f>IF(ResultsInd[[#This Row],[Category]]="","",VLOOKUP(ResultsInd[[#This Row],[Stage]],$P$1:$V$9,MATCH(ResultsInd[[#This Row],[Category]],$Q$1:$V$1,0)+1,FALSE))</f>
        <v>PR1</v>
      </c>
      <c r="Z293" s="264" t="str">
        <f>IF(ResultsInd[[#This Row],[Score_OK]],IF(ResultsInd[[#This Row],[Level]]="R",ResultsInd[[#This Row],[Category]]&amp;"-"&amp;IF(ResultsInd[[#This Row],[LoseInKO]]=ResultsInd[[#This Row],[Category]]&amp;"-"&amp;ResultsInd[[#This Row],[Player A]],ResultsInd[[#This Row],[Player B]],ResultsInd[[#This Row],[Player A]]),""),"")</f>
        <v/>
      </c>
      <c r="AB293" s="8"/>
      <c r="AC293" s="12" t="str">
        <f>IF(AC292="","",AC292)</f>
        <v>VETERANS</v>
      </c>
      <c r="AD293" s="309" t="s">
        <v>10253</v>
      </c>
      <c r="AE293" s="320"/>
      <c r="AF293" s="311"/>
      <c r="AG293" s="292">
        <f>IF(AP293="","",SMALL(AH293:AH299,ROWS(AG293:AG293)))</f>
        <v>1001</v>
      </c>
      <c r="AH293" s="293">
        <f>IF(AP293="","",RANK(AL293,AL293:AL299)*1000+ROWS(AH293:AH293))</f>
        <v>1001</v>
      </c>
      <c r="AI293" s="316">
        <f t="shared" ref="AI293:AI299" si="249">IF(AP293="","",CritClassInd1_Points*AN293+CritClassInd1_Matches*AP293+CritClassInd1_Attaque*AS293+CritClassInd1_DiffButs*AU293)</f>
        <v>9000000000000</v>
      </c>
      <c r="AJ293" s="415" t="b">
        <f>AND(AO293&lt;&gt;"",AO293&gt;0,COUNTIF(AI293:AI299,AI293)&gt;1)</f>
        <v>0</v>
      </c>
      <c r="AK293" s="316">
        <f t="shared" ref="AK293:AK299" si="250">IF(AP293="","",CritClassInd_ScorePart*AE293)</f>
        <v>0</v>
      </c>
      <c r="AL293" s="317">
        <f t="shared" ref="AL293:AL299" si="251">IF(AP293="","",AI293+AK293+CritClassInd2_Points*AN293+CritClassInd2_Matches*AP293+CritClassInd2_Attaque*AS293+CritClassInd2_DiffButs*AU293+AF293)</f>
        <v>9000000141600</v>
      </c>
      <c r="AM293" s="415" t="b">
        <f>AND(AO293&lt;&gt;"",AO293&gt;0,COUNTIF(AL293:AL299,AL293)&gt;1)</f>
        <v>0</v>
      </c>
      <c r="AN293" s="306">
        <f t="shared" ref="AN293:AN299" si="252">IF(AP293="","",(AP293*Points_Victoire)+AQ293*Points_Null)</f>
        <v>9</v>
      </c>
      <c r="AO293" s="307">
        <f t="shared" ref="AO293:AO299" si="253">IF(AP293="","",SUM(AP293:AR293))</f>
        <v>3</v>
      </c>
      <c r="AP293" s="307">
        <f>IF(OR(AC292="",AD293=""),"",COUNTIF(ResultsInd[Win],AC292&amp;"-"&amp;AD293))</f>
        <v>3</v>
      </c>
      <c r="AQ293" s="307">
        <f>IF(OR(AC292="",AD293=""),"",COUNTIF(ResultsInd[Draw1],AC292&amp;"-"&amp;AD293)+COUNTIF(ResultsInd[Draw2],AC292&amp;"-"&amp;AD293))</f>
        <v>0</v>
      </c>
      <c r="AR293" s="307">
        <f>IF(OR(AC292="",AD293=""),"",COUNTIF(ResultsInd[Lose],AC292&amp;"-"&amp;AD293))</f>
        <v>0</v>
      </c>
      <c r="AS293" s="307">
        <f>IF(OR(AC292="",AD293=""),"",SUMIFS(ResultsInd[Goal-A],ResultsInd[Category],AC292,ResultsInd[Stage],"Groups",ResultsInd[Player A],AD293)+SUMIFS(ResultsInd[Goal-B],ResultsInd[Category],AC292,ResultsInd[Stage],"Groups",ResultsInd[Player B],AD293))</f>
        <v>16</v>
      </c>
      <c r="AT293" s="307">
        <f>IF(OR(AC292="",AD293=""),"",SUMIFS(ResultsInd[Goal-B],ResultsInd[Category],AC292,ResultsInd[Stage],"Groups",ResultsInd[Player A],AD293)+SUMIFS(ResultsInd[Goal-A],ResultsInd[Category],AC292,ResultsInd[Stage],"Groups",ResultsInd[Player B],AD293))</f>
        <v>2</v>
      </c>
      <c r="AU293" s="308">
        <f>IF(AP293="","",AS293-AT293)</f>
        <v>14</v>
      </c>
      <c r="AV293" s="469" t="b">
        <f>IF(AG293="","",OR(VLOOKUP(AG293,AH293:AU299,3,FALSE),VLOOKUP(AG293,AH293:AU299,6,FALSE)))</f>
        <v>0</v>
      </c>
      <c r="AW293" s="298">
        <f t="shared" ref="AW293:AW299" si="254">IF(AG293="","",INT(AG293/1000))</f>
        <v>1</v>
      </c>
      <c r="AX293" s="285" t="str">
        <f>IF(AG293="","",INDEX(AD293:AD299,MATCH(AG293,AH293:AH299,0)))</f>
        <v>Gianfranco Calonico</v>
      </c>
      <c r="AY293" s="286">
        <f>IF(AG293="","",VLOOKUP(AG293,AH293:AU299,COLUMN()-COLUMN(AR292),FALSE))</f>
        <v>9</v>
      </c>
      <c r="AZ293" s="286">
        <f>IF(AG293="","",VLOOKUP(AG293,AH293:AU299,COLUMN()-COLUMN(AR292),FALSE))</f>
        <v>3</v>
      </c>
      <c r="BA293" s="286">
        <f>IF(AG293="","",VLOOKUP(AG293,AH293:AU299,COLUMN()-COLUMN(AR292),FALSE))</f>
        <v>3</v>
      </c>
      <c r="BB293" s="286">
        <f>IF(AG293="","",VLOOKUP(AG293,AH293:AU299,COLUMN()-COLUMN(AR292),FALSE))</f>
        <v>0</v>
      </c>
      <c r="BC293" s="286">
        <f>IF(AG293="","",VLOOKUP(AG293,AH293:AU299,COLUMN()-COLUMN(AR292),FALSE))</f>
        <v>0</v>
      </c>
      <c r="BD293" s="286">
        <f>IF(AG293="","",VLOOKUP(AG293,AH293:AU299,COLUMN()-COLUMN(AR292),FALSE))</f>
        <v>16</v>
      </c>
      <c r="BE293" s="286">
        <f>IF(AG293="","",VLOOKUP(AG293,AH293:AU299,COLUMN()-COLUMN(AR292),FALSE))</f>
        <v>2</v>
      </c>
      <c r="BF293" s="301">
        <f>IF(AG293="","",VLOOKUP(AG293,AH293:AU299,COLUMN()-COLUMN(AR292),FALSE))</f>
        <v>14</v>
      </c>
    </row>
    <row r="294" spans="1:58" ht="12" thickBot="1" x14ac:dyDescent="0.25">
      <c r="A294" s="62" t="s">
        <v>12261</v>
      </c>
      <c r="B294" s="62" t="s">
        <v>12207</v>
      </c>
      <c r="C294" s="62">
        <v>2</v>
      </c>
      <c r="D294" s="62"/>
      <c r="E294" s="345" t="s">
        <v>10253</v>
      </c>
      <c r="F294" s="345" t="s">
        <v>8174</v>
      </c>
      <c r="G294" s="113">
        <v>6</v>
      </c>
      <c r="H294" s="113">
        <v>1</v>
      </c>
      <c r="I294" s="114"/>
      <c r="J294" s="114"/>
      <c r="K294" s="114"/>
      <c r="L294" s="81"/>
      <c r="M294" s="265" t="b">
        <f>NOT(ISERROR(ResultsInd[[#This Row],[Goal-A]]+ResultsInd[[#This Row],[Goal-B]]))</f>
        <v>1</v>
      </c>
      <c r="N294" s="265">
        <f>VALUE(ResultsInd[[#This Row],[Score-A]])</f>
        <v>6</v>
      </c>
      <c r="O294" s="265">
        <f>VALUE(ResultsInd[[#This Row],[Score-B]])</f>
        <v>1</v>
      </c>
      <c r="P294" s="265">
        <f ca="1">IF(AND(ResultsInd[[#This Row],[Category]]&lt;&gt;"",ResultsInd[[#This Row],[Player A]]&lt;&gt;""),COUNTIF(INDIRECT(ResultsInd[[#This Row],[Category]]&amp;"List[Retained Player Name]"),ResultsInd[[#This Row],[Player A]]),"")</f>
        <v>1</v>
      </c>
      <c r="Q294" s="265">
        <f ca="1">IF(AND(ResultsInd[[#This Row],[Category]]&lt;&gt;"",ResultsInd[[#This Row],[Player B]]&lt;&gt;""),COUNTIF(INDIRECT(ResultsInd[[#This Row],[Category]]&amp;"List[Retained Player Name]"),ResultsInd[[#This Row],[Player B]]),"")</f>
        <v>1</v>
      </c>
      <c r="R2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VETERANS-Gianfranco Calonico</v>
      </c>
      <c r="S294" s="265" t="str">
        <f>IF(ResultsInd[[#This Row],[Score_OK]],IF(ResultsInd[[#This Row],[Stage]]="Groups",ResultsInd[[#This Row],[Category]]&amp;"-"&amp;IF(ResultsInd[[#This Row],[Player B]]="","",IF(ResultsInd[[#This Row],[Score-A]]=ResultsInd[[#This Row],[Score-B]],ResultsInd[[#This Row],[Player A]],"")),""),"")</f>
        <v>VETERANS-</v>
      </c>
      <c r="T294" s="265" t="str">
        <f>IF(ResultsInd[[#This Row],[Score_OK]],IF(ResultsInd[[#This Row],[Stage]]="Groups",ResultsInd[[#This Row],[Category]]&amp;"-"&amp;IF(ResultsInd[[#This Row],[Player B]]="","",IF(ResultsInd[[#This Row],[Score-A]]=ResultsInd[[#This Row],[Score-B]],ResultsInd[[#This Row],[Player B]],"")),""),"")</f>
        <v>VETERANS-</v>
      </c>
      <c r="U2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VETERANS-David Wouters</v>
      </c>
      <c r="V2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VETERANS-David Wouters</v>
      </c>
      <c r="X2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VETERANS-David Wouters</v>
      </c>
      <c r="Y294" s="264" t="str">
        <f>IF(ResultsInd[[#This Row],[Category]]="","",VLOOKUP(ResultsInd[[#This Row],[Stage]],$P$1:$V$9,MATCH(ResultsInd[[#This Row],[Category]],$Q$1:$V$1,0)+1,FALSE))</f>
        <v>PR1</v>
      </c>
      <c r="Z294" s="264" t="str">
        <f>IF(ResultsInd[[#This Row],[Score_OK]],IF(ResultsInd[[#This Row],[Level]]="R",ResultsInd[[#This Row],[Category]]&amp;"-"&amp;IF(ResultsInd[[#This Row],[LoseInKO]]=ResultsInd[[#This Row],[Category]]&amp;"-"&amp;ResultsInd[[#This Row],[Player A]],ResultsInd[[#This Row],[Player B]],ResultsInd[[#This Row],[Player A]]),""),"")</f>
        <v/>
      </c>
      <c r="AB294" s="8"/>
      <c r="AC294" s="12" t="str">
        <f t="shared" ref="AC294:AC299" si="255">IF(AC293="","",AC293)</f>
        <v>VETERANS</v>
      </c>
      <c r="AD294" s="309" t="s">
        <v>8174</v>
      </c>
      <c r="AE294" s="320"/>
      <c r="AF294" s="311"/>
      <c r="AG294" s="292">
        <f>IF(AP294="","",SMALL(AH293:AH299,ROWS(AG293:AG294)))</f>
        <v>2002</v>
      </c>
      <c r="AH294" s="293">
        <f>IF(AP294="","",RANK(AL294,AL293:AL299)*1000+ROWS(AH293:AH294))</f>
        <v>2002</v>
      </c>
      <c r="AI294" s="316">
        <f t="shared" si="249"/>
        <v>4000000000000</v>
      </c>
      <c r="AJ294" s="415" t="b">
        <f>AND(AO294&lt;&gt;"",AO294&gt;0,COUNTIF(AI293:AI299,AI294)&gt;1)</f>
        <v>1</v>
      </c>
      <c r="AK294" s="316">
        <f t="shared" si="250"/>
        <v>0</v>
      </c>
      <c r="AL294" s="317">
        <f t="shared" si="251"/>
        <v>3999999990700</v>
      </c>
      <c r="AM294" s="415" t="b">
        <f>AND(AO294&lt;&gt;"",AO294&gt;0,COUNTIF(AL293:AL299,AL294)&gt;1)</f>
        <v>0</v>
      </c>
      <c r="AN294" s="306">
        <f t="shared" si="252"/>
        <v>4</v>
      </c>
      <c r="AO294" s="307">
        <f t="shared" si="253"/>
        <v>3</v>
      </c>
      <c r="AP294" s="307">
        <f>IF(OR(AC292="",AD294=""),"",COUNTIF(ResultsInd[Win],AC292&amp;"-"&amp;AD294))</f>
        <v>1</v>
      </c>
      <c r="AQ294" s="307">
        <f>IF(OR(AC292="",AD294=""),"",COUNTIF(ResultsInd[Draw1],AC292&amp;"-"&amp;AD294)+COUNTIF(ResultsInd[Draw2],AC292&amp;"-"&amp;AD294))</f>
        <v>1</v>
      </c>
      <c r="AR294" s="307">
        <f>IF(OR(AC292="",AD294=""),"",COUNTIF(ResultsInd[Lose],AC292&amp;"-"&amp;AD294))</f>
        <v>1</v>
      </c>
      <c r="AS294" s="307">
        <f>IF(OR(AC292="",AD294=""),"",SUMIFS(ResultsInd[Goal-A],ResultsInd[Category],AC292,ResultsInd[Stage],"Groups",ResultsInd[Player A],AD294)+SUMIFS(ResultsInd[Goal-B],ResultsInd[Category],AC292,ResultsInd[Stage],"Groups",ResultsInd[Player B],AD294))</f>
        <v>7</v>
      </c>
      <c r="AT294" s="307">
        <f>IF(OR(AC292="",AD294=""),"",SUMIFS(ResultsInd[Goal-B],ResultsInd[Category],AC292,ResultsInd[Stage],"Groups",ResultsInd[Player A],AD294)+SUMIFS(ResultsInd[Goal-A],ResultsInd[Category],AC292,ResultsInd[Stage],"Groups",ResultsInd[Player B],AD294))</f>
        <v>8</v>
      </c>
      <c r="AU294" s="308">
        <f t="shared" ref="AU294:AU299" si="256">IF(AP294="","",AS294-AT294)</f>
        <v>-1</v>
      </c>
      <c r="AV294" s="469" t="b">
        <f>IF(AG294="","",OR(VLOOKUP(AG294,AH293:AU299,3,FALSE),VLOOKUP(AG294,AH293:AU299,6,FALSE)))</f>
        <v>1</v>
      </c>
      <c r="AW294" s="298">
        <f t="shared" si="254"/>
        <v>2</v>
      </c>
      <c r="AX294" s="285" t="str">
        <f>IF(AG294="","",INDEX(AD293:AD299,MATCH(AG294,AH293:AH299,0)))</f>
        <v>David Wouters</v>
      </c>
      <c r="AY294" s="286">
        <f>IF(AG294="","",VLOOKUP(AG294,AH293:AU299,COLUMN()-COLUMN(AR292),FALSE))</f>
        <v>4</v>
      </c>
      <c r="AZ294" s="286">
        <f>IF(AG294="","",VLOOKUP(AG294,AH293:AU299,COLUMN()-COLUMN(AR292),FALSE))</f>
        <v>3</v>
      </c>
      <c r="BA294" s="286">
        <f>IF(AG294="","",VLOOKUP(AG294,AH293:AU299,COLUMN()-COLUMN(AR292),FALSE))</f>
        <v>1</v>
      </c>
      <c r="BB294" s="286">
        <f>IF(AG294="","",VLOOKUP(AG294,AH293:AU299,COLUMN()-COLUMN(AR292),FALSE))</f>
        <v>1</v>
      </c>
      <c r="BC294" s="286">
        <f>IF(AG294="","",VLOOKUP(AG294,AH293:AU299,COLUMN()-COLUMN(AR292),FALSE))</f>
        <v>1</v>
      </c>
      <c r="BD294" s="286">
        <f>IF(AG294="","",VLOOKUP(AG294,AH293:AU299,COLUMN()-COLUMN(AR292),FALSE))</f>
        <v>7</v>
      </c>
      <c r="BE294" s="286">
        <f>IF(AG294="","",VLOOKUP(AG294,AH293:AU299,COLUMN()-COLUMN(AR292),FALSE))</f>
        <v>8</v>
      </c>
      <c r="BF294" s="301">
        <f>IF(AG294="","",VLOOKUP(AG294,AH293:AU299,COLUMN()-COLUMN(AR292),FALSE))</f>
        <v>-1</v>
      </c>
    </row>
    <row r="295" spans="1:58" ht="12" thickBot="1" x14ac:dyDescent="0.25">
      <c r="A295" s="62" t="s">
        <v>12261</v>
      </c>
      <c r="B295" s="62" t="s">
        <v>12207</v>
      </c>
      <c r="C295" s="62">
        <v>2</v>
      </c>
      <c r="D295" s="62"/>
      <c r="E295" s="345" t="s">
        <v>8588</v>
      </c>
      <c r="F295" s="345" t="s">
        <v>12619</v>
      </c>
      <c r="G295" s="113">
        <v>2</v>
      </c>
      <c r="H295" s="113">
        <v>1</v>
      </c>
      <c r="I295" s="114"/>
      <c r="J295" s="114"/>
      <c r="K295" s="114"/>
      <c r="L295" s="81"/>
      <c r="M295" s="265" t="b">
        <f>NOT(ISERROR(ResultsInd[[#This Row],[Goal-A]]+ResultsInd[[#This Row],[Goal-B]]))</f>
        <v>1</v>
      </c>
      <c r="N295" s="265">
        <f>VALUE(ResultsInd[[#This Row],[Score-A]])</f>
        <v>2</v>
      </c>
      <c r="O295" s="265">
        <f>VALUE(ResultsInd[[#This Row],[Score-B]])</f>
        <v>1</v>
      </c>
      <c r="P295" s="265">
        <f ca="1">IF(AND(ResultsInd[[#This Row],[Category]]&lt;&gt;"",ResultsInd[[#This Row],[Player A]]&lt;&gt;""),COUNTIF(INDIRECT(ResultsInd[[#This Row],[Category]]&amp;"List[Retained Player Name]"),ResultsInd[[#This Row],[Player A]]),"")</f>
        <v>1</v>
      </c>
      <c r="Q295" s="265">
        <f ca="1">IF(AND(ResultsInd[[#This Row],[Category]]&lt;&gt;"",ResultsInd[[#This Row],[Player B]]&lt;&gt;""),COUNTIF(INDIRECT(ResultsInd[[#This Row],[Category]]&amp;"List[Retained Player Name]"),ResultsInd[[#This Row],[Player B]]),"")</f>
        <v>1</v>
      </c>
      <c r="R2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VETERANS-Cayne Matthews</v>
      </c>
      <c r="S295" s="265" t="str">
        <f>IF(ResultsInd[[#This Row],[Score_OK]],IF(ResultsInd[[#This Row],[Stage]]="Groups",ResultsInd[[#This Row],[Category]]&amp;"-"&amp;IF(ResultsInd[[#This Row],[Player B]]="","",IF(ResultsInd[[#This Row],[Score-A]]=ResultsInd[[#This Row],[Score-B]],ResultsInd[[#This Row],[Player A]],"")),""),"")</f>
        <v>VETERANS-</v>
      </c>
      <c r="T295" s="265" t="str">
        <f>IF(ResultsInd[[#This Row],[Score_OK]],IF(ResultsInd[[#This Row],[Stage]]="Groups",ResultsInd[[#This Row],[Category]]&amp;"-"&amp;IF(ResultsInd[[#This Row],[Player B]]="","",IF(ResultsInd[[#This Row],[Score-A]]=ResultsInd[[#This Row],[Score-B]],ResultsInd[[#This Row],[Player B]],"")),""),"")</f>
        <v>VETERANS-</v>
      </c>
      <c r="U2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VETERANS-Richard Oranje</v>
      </c>
      <c r="V2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X2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Y295" s="264" t="str">
        <f>IF(ResultsInd[[#This Row],[Category]]="","",VLOOKUP(ResultsInd[[#This Row],[Stage]],$P$1:$V$9,MATCH(ResultsInd[[#This Row],[Category]],$Q$1:$V$1,0)+1,FALSE))</f>
        <v>PR1</v>
      </c>
      <c r="Z295" s="264" t="str">
        <f>IF(ResultsInd[[#This Row],[Score_OK]],IF(ResultsInd[[#This Row],[Level]]="R",ResultsInd[[#This Row],[Category]]&amp;"-"&amp;IF(ResultsInd[[#This Row],[LoseInKO]]=ResultsInd[[#This Row],[Category]]&amp;"-"&amp;ResultsInd[[#This Row],[Player A]],ResultsInd[[#This Row],[Player B]],ResultsInd[[#This Row],[Player A]]),""),"")</f>
        <v/>
      </c>
      <c r="AB295" s="8"/>
      <c r="AC295" s="12" t="str">
        <f t="shared" si="255"/>
        <v>VETERANS</v>
      </c>
      <c r="AD295" s="309" t="s">
        <v>8588</v>
      </c>
      <c r="AE295" s="320"/>
      <c r="AF295" s="311"/>
      <c r="AG295" s="292">
        <f>IF(AP295="","",SMALL(AH293:AH299,ROWS(AG293:AG295)))</f>
        <v>3003</v>
      </c>
      <c r="AH295" s="293">
        <f>IF(AP295="","",RANK(AL295,AL293:AL299)*1000+ROWS(AH293:AH295))</f>
        <v>3003</v>
      </c>
      <c r="AI295" s="316">
        <f t="shared" si="249"/>
        <v>4000000000000</v>
      </c>
      <c r="AJ295" s="415" t="b">
        <f>AND(AO295&lt;&gt;"",AO295&gt;0,COUNTIF(AI293:AI299,AI295)&gt;1)</f>
        <v>1</v>
      </c>
      <c r="AK295" s="316">
        <f t="shared" si="250"/>
        <v>0</v>
      </c>
      <c r="AL295" s="317">
        <f t="shared" si="251"/>
        <v>3999999950500</v>
      </c>
      <c r="AM295" s="415" t="b">
        <f>AND(AO295&lt;&gt;"",AO295&gt;0,COUNTIF(AL293:AL299,AL295)&gt;1)</f>
        <v>0</v>
      </c>
      <c r="AN295" s="306">
        <f t="shared" si="252"/>
        <v>4</v>
      </c>
      <c r="AO295" s="307">
        <f t="shared" si="253"/>
        <v>3</v>
      </c>
      <c r="AP295" s="307">
        <f>IF(OR(AC292="",AD295=""),"",COUNTIF(ResultsInd[Win],AC292&amp;"-"&amp;AD295))</f>
        <v>1</v>
      </c>
      <c r="AQ295" s="307">
        <f>IF(OR(AC292="",AD295=""),"",COUNTIF(ResultsInd[Draw1],AC292&amp;"-"&amp;AD295)+COUNTIF(ResultsInd[Draw2],AC292&amp;"-"&amp;AD295))</f>
        <v>1</v>
      </c>
      <c r="AR295" s="307">
        <f>IF(OR(AC292="",AD295=""),"",COUNTIF(ResultsInd[Lose],AC292&amp;"-"&amp;AD295))</f>
        <v>1</v>
      </c>
      <c r="AS295" s="307">
        <f>IF(OR(AC292="",AD295=""),"",SUMIFS(ResultsInd[Goal-A],ResultsInd[Category],AC292,ResultsInd[Stage],"Groups",ResultsInd[Player A],AD295)+SUMIFS(ResultsInd[Goal-B],ResultsInd[Category],AC292,ResultsInd[Stage],"Groups",ResultsInd[Player B],AD295))</f>
        <v>5</v>
      </c>
      <c r="AT295" s="307">
        <f>IF(OR(AC292="",AD295=""),"",SUMIFS(ResultsInd[Goal-B],ResultsInd[Category],AC292,ResultsInd[Stage],"Groups",ResultsInd[Player A],AD295)+SUMIFS(ResultsInd[Goal-A],ResultsInd[Category],AC292,ResultsInd[Stage],"Groups",ResultsInd[Player B],AD295))</f>
        <v>10</v>
      </c>
      <c r="AU295" s="308">
        <f t="shared" si="256"/>
        <v>-5</v>
      </c>
      <c r="AV295" s="469" t="b">
        <f>IF(AG295="","",OR(VLOOKUP(AG295,AH293:AU299,3,FALSE),VLOOKUP(AG295,AH293:AU299,6,FALSE)))</f>
        <v>1</v>
      </c>
      <c r="AW295" s="298">
        <f t="shared" si="254"/>
        <v>3</v>
      </c>
      <c r="AX295" s="285" t="str">
        <f>IF(AG295="","",INDEX(AD293:AD299,MATCH(AG295,AH293:AH299,0)))</f>
        <v>Cayne Matthews</v>
      </c>
      <c r="AY295" s="286">
        <f>IF(AG295="","",VLOOKUP(AG295,AH293:AU299,COLUMN()-COLUMN(AR292),FALSE))</f>
        <v>4</v>
      </c>
      <c r="AZ295" s="286">
        <f>IF(AG295="","",VLOOKUP(AG295,AH293:AU299,COLUMN()-COLUMN(AR292),FALSE))</f>
        <v>3</v>
      </c>
      <c r="BA295" s="286">
        <f>IF(AG295="","",VLOOKUP(AG295,AH293:AU299,COLUMN()-COLUMN(AR292),FALSE))</f>
        <v>1</v>
      </c>
      <c r="BB295" s="286">
        <f>IF(AG295="","",VLOOKUP(AG295,AH293:AU299,COLUMN()-COLUMN(AR292),FALSE))</f>
        <v>1</v>
      </c>
      <c r="BC295" s="286">
        <f>IF(AG295="","",VLOOKUP(AG295,AH293:AU299,COLUMN()-COLUMN(AR292),FALSE))</f>
        <v>1</v>
      </c>
      <c r="BD295" s="286">
        <f>IF(AG295="","",VLOOKUP(AG295,AH293:AU299,COLUMN()-COLUMN(AR292),FALSE))</f>
        <v>5</v>
      </c>
      <c r="BE295" s="286">
        <f>IF(AG295="","",VLOOKUP(AG295,AH293:AU299,COLUMN()-COLUMN(AR292),FALSE))</f>
        <v>10</v>
      </c>
      <c r="BF295" s="301">
        <f>IF(AG295="","",VLOOKUP(AG295,AH293:AU299,COLUMN()-COLUMN(AR292),FALSE))</f>
        <v>-5</v>
      </c>
    </row>
    <row r="296" spans="1:58" ht="12" thickBot="1" x14ac:dyDescent="0.25">
      <c r="A296" s="62" t="s">
        <v>12261</v>
      </c>
      <c r="B296" s="62" t="s">
        <v>12207</v>
      </c>
      <c r="C296" s="62">
        <v>2</v>
      </c>
      <c r="D296" s="62"/>
      <c r="E296" s="345" t="s">
        <v>12619</v>
      </c>
      <c r="F296" s="345" t="s">
        <v>10253</v>
      </c>
      <c r="G296" s="113">
        <v>0</v>
      </c>
      <c r="H296" s="113">
        <v>3</v>
      </c>
      <c r="I296" s="114"/>
      <c r="J296" s="114"/>
      <c r="K296" s="114"/>
      <c r="L296" s="81"/>
      <c r="M296" s="265" t="b">
        <f>NOT(ISERROR(ResultsInd[[#This Row],[Goal-A]]+ResultsInd[[#This Row],[Goal-B]]))</f>
        <v>1</v>
      </c>
      <c r="N296" s="265">
        <f>VALUE(ResultsInd[[#This Row],[Score-A]])</f>
        <v>0</v>
      </c>
      <c r="O296" s="265">
        <f>VALUE(ResultsInd[[#This Row],[Score-B]])</f>
        <v>3</v>
      </c>
      <c r="P296" s="265">
        <f ca="1">IF(AND(ResultsInd[[#This Row],[Category]]&lt;&gt;"",ResultsInd[[#This Row],[Player A]]&lt;&gt;""),COUNTIF(INDIRECT(ResultsInd[[#This Row],[Category]]&amp;"List[Retained Player Name]"),ResultsInd[[#This Row],[Player A]]),"")</f>
        <v>1</v>
      </c>
      <c r="Q296" s="265">
        <f ca="1">IF(AND(ResultsInd[[#This Row],[Category]]&lt;&gt;"",ResultsInd[[#This Row],[Player B]]&lt;&gt;""),COUNTIF(INDIRECT(ResultsInd[[#This Row],[Category]]&amp;"List[Retained Player Name]"),ResultsInd[[#This Row],[Player B]]),"")</f>
        <v>1</v>
      </c>
      <c r="R2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VETERANS-Gianfranco Calonico</v>
      </c>
      <c r="S296" s="265" t="str">
        <f>IF(ResultsInd[[#This Row],[Score_OK]],IF(ResultsInd[[#This Row],[Stage]]="Groups",ResultsInd[[#This Row],[Category]]&amp;"-"&amp;IF(ResultsInd[[#This Row],[Player B]]="","",IF(ResultsInd[[#This Row],[Score-A]]=ResultsInd[[#This Row],[Score-B]],ResultsInd[[#This Row],[Player A]],"")),""),"")</f>
        <v>VETERANS-</v>
      </c>
      <c r="T296" s="265" t="str">
        <f>IF(ResultsInd[[#This Row],[Score_OK]],IF(ResultsInd[[#This Row],[Stage]]="Groups",ResultsInd[[#This Row],[Category]]&amp;"-"&amp;IF(ResultsInd[[#This Row],[Player B]]="","",IF(ResultsInd[[#This Row],[Score-A]]=ResultsInd[[#This Row],[Score-B]],ResultsInd[[#This Row],[Player B]],"")),""),"")</f>
        <v>VETERANS-</v>
      </c>
      <c r="U2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VETERANS-Richard Oranje</v>
      </c>
      <c r="V2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X2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Y296" s="264" t="str">
        <f>IF(ResultsInd[[#This Row],[Category]]="","",VLOOKUP(ResultsInd[[#This Row],[Stage]],$P$1:$V$9,MATCH(ResultsInd[[#This Row],[Category]],$Q$1:$V$1,0)+1,FALSE))</f>
        <v>PR1</v>
      </c>
      <c r="Z296" s="264" t="str">
        <f>IF(ResultsInd[[#This Row],[Score_OK]],IF(ResultsInd[[#This Row],[Level]]="R",ResultsInd[[#This Row],[Category]]&amp;"-"&amp;IF(ResultsInd[[#This Row],[LoseInKO]]=ResultsInd[[#This Row],[Category]]&amp;"-"&amp;ResultsInd[[#This Row],[Player A]],ResultsInd[[#This Row],[Player B]],ResultsInd[[#This Row],[Player A]]),""),"")</f>
        <v/>
      </c>
      <c r="AB296" s="91"/>
      <c r="AC296" s="12" t="str">
        <f t="shared" si="255"/>
        <v>VETERANS</v>
      </c>
      <c r="AD296" s="309" t="s">
        <v>12619</v>
      </c>
      <c r="AE296" s="310"/>
      <c r="AF296" s="311"/>
      <c r="AG296" s="292">
        <f>IF(AP296="","",SMALL(AH293:AH299,ROWS(AG293:AG296)))</f>
        <v>4004</v>
      </c>
      <c r="AH296" s="293">
        <f>IF(AP296="","",RANK(AL296,AL293:AL299)*1000+ROWS(AH293:AH296))</f>
        <v>4004</v>
      </c>
      <c r="AI296" s="316">
        <f t="shared" si="249"/>
        <v>0</v>
      </c>
      <c r="AJ296" s="415" t="b">
        <f>AND(AO296&lt;&gt;"",AO296&gt;0,COUNTIF(AI293:AI299,AI296)&gt;1)</f>
        <v>0</v>
      </c>
      <c r="AK296" s="316">
        <f t="shared" si="250"/>
        <v>0</v>
      </c>
      <c r="AL296" s="317">
        <f t="shared" si="251"/>
        <v>-79900</v>
      </c>
      <c r="AM296" s="415" t="b">
        <f>AND(AO296&lt;&gt;"",AO296&gt;0,COUNTIF(AL293:AL299,AL296)&gt;1)</f>
        <v>0</v>
      </c>
      <c r="AN296" s="306">
        <f t="shared" si="252"/>
        <v>0</v>
      </c>
      <c r="AO296" s="307">
        <f t="shared" si="253"/>
        <v>3</v>
      </c>
      <c r="AP296" s="307">
        <f>IF(OR(AC292="",AD296=""),"",COUNTIF(ResultsInd[Win],AC292&amp;"-"&amp;AD296))</f>
        <v>0</v>
      </c>
      <c r="AQ296" s="307">
        <f>IF(OR(AC292="",AD296=""),"",COUNTIF(ResultsInd[Draw1],AC292&amp;"-"&amp;AD296)+COUNTIF(ResultsInd[Draw2],AC292&amp;"-"&amp;AD296))</f>
        <v>0</v>
      </c>
      <c r="AR296" s="307">
        <f>IF(OR(AC292="",AD296=""),"",COUNTIF(ResultsInd[Lose],AC292&amp;"-"&amp;AD296))</f>
        <v>3</v>
      </c>
      <c r="AS296" s="307">
        <f>IF(OR(AC292="",AD296=""),"",SUMIFS(ResultsInd[Goal-A],ResultsInd[Category],AC292,ResultsInd[Stage],"Groups",ResultsInd[Player A],AD296)+SUMIFS(ResultsInd[Goal-B],ResultsInd[Category],AC292,ResultsInd[Stage],"Groups",ResultsInd[Player B],AD296))</f>
        <v>1</v>
      </c>
      <c r="AT296" s="307">
        <f>IF(OR(AC292="",AD296=""),"",SUMIFS(ResultsInd[Goal-B],ResultsInd[Category],AC292,ResultsInd[Stage],"Groups",ResultsInd[Player A],AD296)+SUMIFS(ResultsInd[Goal-A],ResultsInd[Category],AC292,ResultsInd[Stage],"Groups",ResultsInd[Player B],AD296))</f>
        <v>9</v>
      </c>
      <c r="AU296" s="308">
        <f t="shared" si="256"/>
        <v>-8</v>
      </c>
      <c r="AV296" s="469" t="b">
        <f>IF(AG296="","",OR(VLOOKUP(AG296,AH293:AU299,3,FALSE),VLOOKUP(AG296,AH293:AU299,6,FALSE)))</f>
        <v>0</v>
      </c>
      <c r="AW296" s="298">
        <f t="shared" si="254"/>
        <v>4</v>
      </c>
      <c r="AX296" s="285" t="str">
        <f>IF(AG296="","",INDEX(AD293:AD299,MATCH(AG296,AH293:AH299,0)))</f>
        <v>Richard Oranje</v>
      </c>
      <c r="AY296" s="286">
        <f>IF(AG296="","",VLOOKUP(AG296,AH293:AU299,COLUMN()-COLUMN(AR292),FALSE))</f>
        <v>0</v>
      </c>
      <c r="AZ296" s="286">
        <f>IF(AG296="","",VLOOKUP(AG296,AH293:AU299,COLUMN()-COLUMN(AR292),FALSE))</f>
        <v>3</v>
      </c>
      <c r="BA296" s="286">
        <f>IF(AG296="","",VLOOKUP(AG296,AH293:AU299,COLUMN()-COLUMN(AR292),FALSE))</f>
        <v>0</v>
      </c>
      <c r="BB296" s="286">
        <f>IF(AG296="","",VLOOKUP(AG296,AH293:AU299,COLUMN()-COLUMN(AR292),FALSE))</f>
        <v>0</v>
      </c>
      <c r="BC296" s="286">
        <f>IF(AG296="","",VLOOKUP(AG296,AH293:AU299,COLUMN()-COLUMN(AR292),FALSE))</f>
        <v>3</v>
      </c>
      <c r="BD296" s="286">
        <f>IF(AG296="","",VLOOKUP(AG296,AH293:AU299,COLUMN()-COLUMN(AR292),FALSE))</f>
        <v>1</v>
      </c>
      <c r="BE296" s="286">
        <f>IF(AG296="","",VLOOKUP(AG296,AH293:AU299,COLUMN()-COLUMN(AR292),FALSE))</f>
        <v>9</v>
      </c>
      <c r="BF296" s="301">
        <f>IF(AG296="","",VLOOKUP(AG296,AH293:AU299,COLUMN()-COLUMN(AR292),FALSE))</f>
        <v>-8</v>
      </c>
    </row>
    <row r="297" spans="1:58" ht="12" thickBot="1" x14ac:dyDescent="0.25">
      <c r="A297" s="62" t="s">
        <v>12261</v>
      </c>
      <c r="B297" s="62" t="s">
        <v>12207</v>
      </c>
      <c r="C297" s="62">
        <v>2</v>
      </c>
      <c r="D297" s="62"/>
      <c r="E297" s="345" t="s">
        <v>8588</v>
      </c>
      <c r="F297" s="345" t="s">
        <v>8174</v>
      </c>
      <c r="G297" s="113">
        <v>2</v>
      </c>
      <c r="H297" s="113">
        <v>2</v>
      </c>
      <c r="I297" s="114"/>
      <c r="J297" s="114"/>
      <c r="K297" s="114"/>
      <c r="L297" s="81"/>
      <c r="M297" s="265" t="b">
        <f>NOT(ISERROR(ResultsInd[[#This Row],[Goal-A]]+ResultsInd[[#This Row],[Goal-B]]))</f>
        <v>1</v>
      </c>
      <c r="N297" s="265">
        <f>VALUE(ResultsInd[[#This Row],[Score-A]])</f>
        <v>2</v>
      </c>
      <c r="O297" s="265">
        <f>VALUE(ResultsInd[[#This Row],[Score-B]])</f>
        <v>2</v>
      </c>
      <c r="P297" s="265">
        <f ca="1">IF(AND(ResultsInd[[#This Row],[Category]]&lt;&gt;"",ResultsInd[[#This Row],[Player A]]&lt;&gt;""),COUNTIF(INDIRECT(ResultsInd[[#This Row],[Category]]&amp;"List[Retained Player Name]"),ResultsInd[[#This Row],[Player A]]),"")</f>
        <v>1</v>
      </c>
      <c r="Q297" s="265">
        <f ca="1">IF(AND(ResultsInd[[#This Row],[Category]]&lt;&gt;"",ResultsInd[[#This Row],[Player B]]&lt;&gt;""),COUNTIF(INDIRECT(ResultsInd[[#This Row],[Category]]&amp;"List[Retained Player Name]"),ResultsInd[[#This Row],[Player B]]),"")</f>
        <v>1</v>
      </c>
      <c r="R2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297" s="265" t="str">
        <f>IF(ResultsInd[[#This Row],[Score_OK]],IF(ResultsInd[[#This Row],[Stage]]="Groups",ResultsInd[[#This Row],[Category]]&amp;"-"&amp;IF(ResultsInd[[#This Row],[Player B]]="","",IF(ResultsInd[[#This Row],[Score-A]]=ResultsInd[[#This Row],[Score-B]],ResultsInd[[#This Row],[Player A]],"")),""),"")</f>
        <v>VETERANS-Cayne Matthews</v>
      </c>
      <c r="T297" s="265" t="str">
        <f>IF(ResultsInd[[#This Row],[Score_OK]],IF(ResultsInd[[#This Row],[Stage]]="Groups",ResultsInd[[#This Row],[Category]]&amp;"-"&amp;IF(ResultsInd[[#This Row],[Player B]]="","",IF(ResultsInd[[#This Row],[Score-A]]=ResultsInd[[#This Row],[Score-B]],ResultsInd[[#This Row],[Player B]],"")),""),"")</f>
        <v>VETERANS-David Wouters</v>
      </c>
      <c r="U2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2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VETERANS-Cayne Matthews</v>
      </c>
      <c r="X2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VETERANS-David Wouters</v>
      </c>
      <c r="Y297" s="264" t="str">
        <f>IF(ResultsInd[[#This Row],[Category]]="","",VLOOKUP(ResultsInd[[#This Row],[Stage]],$P$1:$V$9,MATCH(ResultsInd[[#This Row],[Category]],$Q$1:$V$1,0)+1,FALSE))</f>
        <v>PR1</v>
      </c>
      <c r="Z297" s="264" t="str">
        <f>IF(ResultsInd[[#This Row],[Score_OK]],IF(ResultsInd[[#This Row],[Level]]="R",ResultsInd[[#This Row],[Category]]&amp;"-"&amp;IF(ResultsInd[[#This Row],[LoseInKO]]=ResultsInd[[#This Row],[Category]]&amp;"-"&amp;ResultsInd[[#This Row],[Player A]],ResultsInd[[#This Row],[Player B]],ResultsInd[[#This Row],[Player A]]),""),"")</f>
        <v/>
      </c>
      <c r="AB297" s="91"/>
      <c r="AC297" s="12" t="str">
        <f t="shared" si="255"/>
        <v>VETERANS</v>
      </c>
      <c r="AD297" s="309"/>
      <c r="AE297" s="310"/>
      <c r="AF297" s="311"/>
      <c r="AG297" s="292" t="str">
        <f>IF(AP297="","",SMALL(AH293:AH299,ROWS(AG293:AG297)))</f>
        <v/>
      </c>
      <c r="AH297" s="293" t="str">
        <f>IF(AP297="","",RANK(AL297,AL293:AL299)*1000+ROWS(AH293:AH297))</f>
        <v/>
      </c>
      <c r="AI297" s="316" t="str">
        <f t="shared" si="249"/>
        <v/>
      </c>
      <c r="AJ297" s="415" t="b">
        <f>AND(AO297&lt;&gt;"",AO297&gt;0,COUNTIF(AI293:AI299,AI297)&gt;1)</f>
        <v>0</v>
      </c>
      <c r="AK297" s="316" t="str">
        <f t="shared" si="250"/>
        <v/>
      </c>
      <c r="AL297" s="317" t="str">
        <f t="shared" si="251"/>
        <v/>
      </c>
      <c r="AM297" s="415" t="b">
        <f>AND(AO297&lt;&gt;"",AO297&gt;0,COUNTIF(AL293:AL299,AL297)&gt;1)</f>
        <v>0</v>
      </c>
      <c r="AN297" s="306" t="str">
        <f t="shared" si="252"/>
        <v/>
      </c>
      <c r="AO297" s="307" t="str">
        <f t="shared" si="253"/>
        <v/>
      </c>
      <c r="AP297" s="307" t="str">
        <f>IF(OR(AC292="",AD297=""),"",COUNTIF(ResultsInd[Win],AC292&amp;"-"&amp;AD297))</f>
        <v/>
      </c>
      <c r="AQ297" s="307" t="str">
        <f>IF(OR(AC292="",AD297=""),"",COUNTIF(ResultsInd[Draw1],AC292&amp;"-"&amp;AD297)+COUNTIF(ResultsInd[Draw2],AC292&amp;"-"&amp;AD297))</f>
        <v/>
      </c>
      <c r="AR297" s="307" t="str">
        <f>IF(OR(AC292="",AD297=""),"",COUNTIF(ResultsInd[Lose],AC292&amp;"-"&amp;AD297))</f>
        <v/>
      </c>
      <c r="AS297" s="307" t="str">
        <f>IF(OR(AC292="",AD297=""),"",SUMIFS(ResultsInd[Goal-A],ResultsInd[Category],AC292,ResultsInd[Stage],"Groups",ResultsInd[Player A],AD297)+SUMIFS(ResultsInd[Goal-B],ResultsInd[Category],AC292,ResultsInd[Stage],"Groups",ResultsInd[Player B],AD297))</f>
        <v/>
      </c>
      <c r="AT297" s="307" t="str">
        <f>IF(OR(AC292="",AD297=""),"",SUMIFS(ResultsInd[Goal-B],ResultsInd[Category],AC292,ResultsInd[Stage],"Groups",ResultsInd[Player A],AD297)+SUMIFS(ResultsInd[Goal-A],ResultsInd[Category],AC292,ResultsInd[Stage],"Groups",ResultsInd[Player B],AD297))</f>
        <v/>
      </c>
      <c r="AU297" s="308" t="str">
        <f t="shared" si="256"/>
        <v/>
      </c>
      <c r="AV297" s="469" t="str">
        <f>IF(AG297="","",OR(VLOOKUP(AG297,AH293:AU299,3,FALSE),VLOOKUP(AG297,AH293:AU299,6,FALSE)))</f>
        <v/>
      </c>
      <c r="AW297" s="298" t="str">
        <f t="shared" si="254"/>
        <v/>
      </c>
      <c r="AX297" s="285" t="str">
        <f>IF(AG297="","",INDEX(AD293:AD299,MATCH(AG297,AH293:AH299,0)))</f>
        <v/>
      </c>
      <c r="AY297" s="286" t="str">
        <f>IF(AG297="","",VLOOKUP(AG297,AH293:AU299,COLUMN()-COLUMN(AR292),FALSE))</f>
        <v/>
      </c>
      <c r="AZ297" s="286" t="str">
        <f>IF(AG297="","",VLOOKUP(AG297,AH293:AU299,COLUMN()-COLUMN(AR292),FALSE))</f>
        <v/>
      </c>
      <c r="BA297" s="286" t="str">
        <f>IF(AG297="","",VLOOKUP(AG297,AH293:AU299,COLUMN()-COLUMN(AR292),FALSE))</f>
        <v/>
      </c>
      <c r="BB297" s="286" t="str">
        <f>IF(AG297="","",VLOOKUP(AG297,AH293:AU299,COLUMN()-COLUMN(AR292),FALSE))</f>
        <v/>
      </c>
      <c r="BC297" s="286" t="str">
        <f>IF(AG297="","",VLOOKUP(AG297,AH293:AU299,COLUMN()-COLUMN(AR292),FALSE))</f>
        <v/>
      </c>
      <c r="BD297" s="286" t="str">
        <f>IF(AG297="","",VLOOKUP(AG297,AH293:AU299,COLUMN()-COLUMN(AR292),FALSE))</f>
        <v/>
      </c>
      <c r="BE297" s="286" t="str">
        <f>IF(AG297="","",VLOOKUP(AG297,AH293:AU299,COLUMN()-COLUMN(AR292),FALSE))</f>
        <v/>
      </c>
      <c r="BF297" s="301" t="str">
        <f>IF(AG297="","",VLOOKUP(AG297,AH293:AU299,COLUMN()-COLUMN(AR292),FALSE))</f>
        <v/>
      </c>
    </row>
    <row r="298" spans="1:58" ht="12" thickBot="1" x14ac:dyDescent="0.25">
      <c r="A298" s="62"/>
      <c r="B298" s="62"/>
      <c r="C298" s="62"/>
      <c r="D298" s="62"/>
      <c r="E298" s="345"/>
      <c r="F298" s="345"/>
      <c r="G298" s="113"/>
      <c r="H298" s="113"/>
      <c r="I298" s="114"/>
      <c r="J298" s="114"/>
      <c r="K298" s="114"/>
      <c r="L298" s="81"/>
      <c r="M298" s="265" t="b">
        <f>NOT(ISERROR(ResultsInd[[#This Row],[Goal-A]]+ResultsInd[[#This Row],[Goal-B]]))</f>
        <v>1</v>
      </c>
      <c r="N298" s="265">
        <f>VALUE(ResultsInd[[#This Row],[Score-A]])</f>
        <v>0</v>
      </c>
      <c r="O298" s="265">
        <f>VALUE(ResultsInd[[#This Row],[Score-B]])</f>
        <v>0</v>
      </c>
      <c r="P298" s="265" t="str">
        <f ca="1">IF(AND(ResultsInd[[#This Row],[Category]]&lt;&gt;"",ResultsInd[[#This Row],[Player A]]&lt;&gt;""),COUNTIF(INDIRECT(ResultsInd[[#This Row],[Category]]&amp;"List[Retained Player Name]"),ResultsInd[[#This Row],[Player A]]),"")</f>
        <v/>
      </c>
      <c r="Q298" s="265" t="str">
        <f ca="1">IF(AND(ResultsInd[[#This Row],[Category]]&lt;&gt;"",ResultsInd[[#This Row],[Player B]]&lt;&gt;""),COUNTIF(INDIRECT(ResultsInd[[#This Row],[Category]]&amp;"List[Retained Player Name]"),ResultsInd[[#This Row],[Player B]]),"")</f>
        <v/>
      </c>
      <c r="R2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8" s="265" t="str">
        <f>IF(ResultsInd[[#This Row],[Score_OK]],IF(ResultsInd[[#This Row],[Stage]]="Groups",ResultsInd[[#This Row],[Category]]&amp;"-"&amp;IF(ResultsInd[[#This Row],[Player B]]="","",IF(ResultsInd[[#This Row],[Score-A]]=ResultsInd[[#This Row],[Score-B]],ResultsInd[[#This Row],[Player A]],"")),""),"")</f>
        <v/>
      </c>
      <c r="T298" s="265" t="str">
        <f>IF(ResultsInd[[#This Row],[Score_OK]],IF(ResultsInd[[#This Row],[Stage]]="Groups",ResultsInd[[#This Row],[Category]]&amp;"-"&amp;IF(ResultsInd[[#This Row],[Player B]]="","",IF(ResultsInd[[#This Row],[Score-A]]=ResultsInd[[#This Row],[Score-B]],ResultsInd[[#This Row],[Player B]],"")),""),"")</f>
        <v/>
      </c>
      <c r="U2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8" s="264" t="str">
        <f>IF(ResultsInd[[#This Row],[Category]]="","",VLOOKUP(ResultsInd[[#This Row],[Stage]],$P$1:$V$9,MATCH(ResultsInd[[#This Row],[Category]],$Q$1:$V$1,0)+1,FALSE))</f>
        <v/>
      </c>
      <c r="Z298" s="264" t="str">
        <f>IF(ResultsInd[[#This Row],[Score_OK]],IF(ResultsInd[[#This Row],[Level]]="R",ResultsInd[[#This Row],[Category]]&amp;"-"&amp;IF(ResultsInd[[#This Row],[LoseInKO]]=ResultsInd[[#This Row],[Category]]&amp;"-"&amp;ResultsInd[[#This Row],[Player A]],ResultsInd[[#This Row],[Player B]],ResultsInd[[#This Row],[Player A]]),""),"")</f>
        <v/>
      </c>
      <c r="AB298" s="8"/>
      <c r="AC298" s="12" t="str">
        <f t="shared" si="255"/>
        <v>VETERANS</v>
      </c>
      <c r="AD298" s="309"/>
      <c r="AE298" s="310"/>
      <c r="AF298" s="311"/>
      <c r="AG298" s="292" t="str">
        <f>IF(AP298="","",SMALL(AH293:AH299,ROWS(AG293:AG298)))</f>
        <v/>
      </c>
      <c r="AH298" s="293" t="str">
        <f>IF(AP298="","",RANK(AL298,AL293:AL299)*1000+ROWS(AH293:AH298))</f>
        <v/>
      </c>
      <c r="AI298" s="316" t="str">
        <f t="shared" si="249"/>
        <v/>
      </c>
      <c r="AJ298" s="415" t="b">
        <f>AND(AO298&lt;&gt;"",AO298&gt;0,COUNTIF(AI293:AI299,AI298)&gt;1)</f>
        <v>0</v>
      </c>
      <c r="AK298" s="316" t="str">
        <f t="shared" si="250"/>
        <v/>
      </c>
      <c r="AL298" s="317" t="str">
        <f t="shared" si="251"/>
        <v/>
      </c>
      <c r="AM298" s="415" t="b">
        <f>AND(AO298&lt;&gt;"",AO298&gt;0,COUNTIF(AL293:AL299,AL298)&gt;1)</f>
        <v>0</v>
      </c>
      <c r="AN298" s="306" t="str">
        <f t="shared" si="252"/>
        <v/>
      </c>
      <c r="AO298" s="307" t="str">
        <f t="shared" si="253"/>
        <v/>
      </c>
      <c r="AP298" s="307" t="str">
        <f>IF(OR(AC292="",AD298=""),"",COUNTIF(ResultsInd[Win],AC292&amp;"-"&amp;AD298))</f>
        <v/>
      </c>
      <c r="AQ298" s="307" t="str">
        <f>IF(OR(AC292="",AD298=""),"",COUNTIF(ResultsInd[Draw1],AC292&amp;"-"&amp;AD298)+COUNTIF(ResultsInd[Draw2],AC292&amp;"-"&amp;AD298))</f>
        <v/>
      </c>
      <c r="AR298" s="307" t="str">
        <f>IF(OR(AC292="",AD298=""),"",COUNTIF(ResultsInd[Lose],AC292&amp;"-"&amp;AD298))</f>
        <v/>
      </c>
      <c r="AS298" s="307" t="str">
        <f>IF(OR(AC292="",AD298=""),"",SUMIFS(ResultsInd[Goal-A],ResultsInd[Category],AC292,ResultsInd[Stage],"Groups",ResultsInd[Player A],AD298)+SUMIFS(ResultsInd[Goal-B],ResultsInd[Category],AC292,ResultsInd[Stage],"Groups",ResultsInd[Player B],AD298))</f>
        <v/>
      </c>
      <c r="AT298" s="307" t="str">
        <f>IF(OR(AC292="",AD298=""),"",SUMIFS(ResultsInd[Goal-B],ResultsInd[Category],AC292,ResultsInd[Stage],"Groups",ResultsInd[Player A],AD298)+SUMIFS(ResultsInd[Goal-A],ResultsInd[Category],AC292,ResultsInd[Stage],"Groups",ResultsInd[Player B],AD298))</f>
        <v/>
      </c>
      <c r="AU298" s="308" t="str">
        <f t="shared" si="256"/>
        <v/>
      </c>
      <c r="AV298" s="469" t="str">
        <f>IF(AG298="","",OR(VLOOKUP(AG298,AH293:AU299,3,FALSE),VLOOKUP(AG298,AH293:AU299,6,FALSE)))</f>
        <v/>
      </c>
      <c r="AW298" s="298" t="str">
        <f t="shared" si="254"/>
        <v/>
      </c>
      <c r="AX298" s="285" t="str">
        <f>IF(AG298="","",INDEX(AD293:AD299,MATCH(AG298,AH293:AH299,0)))</f>
        <v/>
      </c>
      <c r="AY298" s="286" t="str">
        <f>IF(AG298="","",VLOOKUP(AG298,AH293:AU299,COLUMN()-COLUMN(AR292),FALSE))</f>
        <v/>
      </c>
      <c r="AZ298" s="286" t="str">
        <f>IF(AG298="","",VLOOKUP(AG298,AH293:AU299,COLUMN()-COLUMN(AR292),FALSE))</f>
        <v/>
      </c>
      <c r="BA298" s="286" t="str">
        <f>IF(AG298="","",VLOOKUP(AG298,AH293:AU299,COLUMN()-COLUMN(AR292),FALSE))</f>
        <v/>
      </c>
      <c r="BB298" s="286" t="str">
        <f>IF(AG298="","",VLOOKUP(AG298,AH293:AU299,COLUMN()-COLUMN(AR292),FALSE))</f>
        <v/>
      </c>
      <c r="BC298" s="286" t="str">
        <f>IF(AG298="","",VLOOKUP(AG298,AH293:AU299,COLUMN()-COLUMN(AR292),FALSE))</f>
        <v/>
      </c>
      <c r="BD298" s="286" t="str">
        <f>IF(AG298="","",VLOOKUP(AG298,AH293:AU299,COLUMN()-COLUMN(AR292),FALSE))</f>
        <v/>
      </c>
      <c r="BE298" s="286" t="str">
        <f>IF(AG298="","",VLOOKUP(AG298,AH293:AU299,COLUMN()-COLUMN(AR292),FALSE))</f>
        <v/>
      </c>
      <c r="BF298" s="301" t="str">
        <f>IF(AG298="","",VLOOKUP(AG298,AH293:AU299,COLUMN()-COLUMN(AR292),FALSE))</f>
        <v/>
      </c>
    </row>
    <row r="299" spans="1:58" ht="12" thickBot="1" x14ac:dyDescent="0.25">
      <c r="A299" s="62"/>
      <c r="B299" s="62"/>
      <c r="C299" s="62"/>
      <c r="D299" s="62"/>
      <c r="E299" s="345"/>
      <c r="F299" s="345"/>
      <c r="G299" s="113"/>
      <c r="H299" s="113"/>
      <c r="I299" s="114"/>
      <c r="J299" s="114"/>
      <c r="K299" s="114"/>
      <c r="L299" s="81"/>
      <c r="M299" s="265" t="b">
        <f>NOT(ISERROR(ResultsInd[[#This Row],[Goal-A]]+ResultsInd[[#This Row],[Goal-B]]))</f>
        <v>1</v>
      </c>
      <c r="N299" s="265">
        <f>VALUE(ResultsInd[[#This Row],[Score-A]])</f>
        <v>0</v>
      </c>
      <c r="O299" s="265">
        <f>VALUE(ResultsInd[[#This Row],[Score-B]])</f>
        <v>0</v>
      </c>
      <c r="P299" s="265" t="str">
        <f ca="1">IF(AND(ResultsInd[[#This Row],[Category]]&lt;&gt;"",ResultsInd[[#This Row],[Player A]]&lt;&gt;""),COUNTIF(INDIRECT(ResultsInd[[#This Row],[Category]]&amp;"List[Retained Player Name]"),ResultsInd[[#This Row],[Player A]]),"")</f>
        <v/>
      </c>
      <c r="Q299" s="265" t="str">
        <f ca="1">IF(AND(ResultsInd[[#This Row],[Category]]&lt;&gt;"",ResultsInd[[#This Row],[Player B]]&lt;&gt;""),COUNTIF(INDIRECT(ResultsInd[[#This Row],[Category]]&amp;"List[Retained Player Name]"),ResultsInd[[#This Row],[Player B]]),"")</f>
        <v/>
      </c>
      <c r="R2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9" s="265" t="str">
        <f>IF(ResultsInd[[#This Row],[Score_OK]],IF(ResultsInd[[#This Row],[Stage]]="Groups",ResultsInd[[#This Row],[Category]]&amp;"-"&amp;IF(ResultsInd[[#This Row],[Player B]]="","",IF(ResultsInd[[#This Row],[Score-A]]=ResultsInd[[#This Row],[Score-B]],ResultsInd[[#This Row],[Player A]],"")),""),"")</f>
        <v/>
      </c>
      <c r="T299" s="265" t="str">
        <f>IF(ResultsInd[[#This Row],[Score_OK]],IF(ResultsInd[[#This Row],[Stage]]="Groups",ResultsInd[[#This Row],[Category]]&amp;"-"&amp;IF(ResultsInd[[#This Row],[Player B]]="","",IF(ResultsInd[[#This Row],[Score-A]]=ResultsInd[[#This Row],[Score-B]],ResultsInd[[#This Row],[Player B]],"")),""),"")</f>
        <v/>
      </c>
      <c r="U2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9" s="264" t="str">
        <f>IF(ResultsInd[[#This Row],[Category]]="","",VLOOKUP(ResultsInd[[#This Row],[Stage]],$P$1:$V$9,MATCH(ResultsInd[[#This Row],[Category]],$Q$1:$V$1,0)+1,FALSE))</f>
        <v/>
      </c>
      <c r="Z299" s="264" t="str">
        <f>IF(ResultsInd[[#This Row],[Score_OK]],IF(ResultsInd[[#This Row],[Level]]="R",ResultsInd[[#This Row],[Category]]&amp;"-"&amp;IF(ResultsInd[[#This Row],[LoseInKO]]=ResultsInd[[#This Row],[Category]]&amp;"-"&amp;ResultsInd[[#This Row],[Player A]],ResultsInd[[#This Row],[Player B]],ResultsInd[[#This Row],[Player A]]),""),"")</f>
        <v/>
      </c>
      <c r="AB299" s="8"/>
      <c r="AC299" s="12" t="str">
        <f t="shared" si="255"/>
        <v>VETERANS</v>
      </c>
      <c r="AD299" s="312"/>
      <c r="AE299" s="313"/>
      <c r="AF299" s="314"/>
      <c r="AG299" s="294" t="str">
        <f>IF(AP299="","",SMALL(AH293:AH299,ROWS(AG293:AG299)))</f>
        <v/>
      </c>
      <c r="AH299" s="295" t="str">
        <f>IF(AP299="","",RANK(AL299,AL293:AL299)*1000+ROWS(AH293:AH299))</f>
        <v/>
      </c>
      <c r="AI299" s="318" t="str">
        <f t="shared" si="249"/>
        <v/>
      </c>
      <c r="AJ299" s="416" t="b">
        <f>AND(AO299&lt;&gt;"",AO299&gt;0,COUNTIF(AI293:AI299,AI299)&gt;1)</f>
        <v>0</v>
      </c>
      <c r="AK299" s="318" t="str">
        <f t="shared" si="250"/>
        <v/>
      </c>
      <c r="AL299" s="319" t="str">
        <f t="shared" si="251"/>
        <v/>
      </c>
      <c r="AM299" s="416" t="b">
        <f>AND(AO299&lt;&gt;"",AO299&gt;0,COUNTIF(AL293:AL299,AL299)&gt;1)</f>
        <v>0</v>
      </c>
      <c r="AN299" s="306" t="str">
        <f t="shared" si="252"/>
        <v/>
      </c>
      <c r="AO299" s="307" t="str">
        <f t="shared" si="253"/>
        <v/>
      </c>
      <c r="AP299" s="307" t="str">
        <f>IF(OR(AC292="",AD299=""),"",COUNTIF(ResultsInd[Win],AC292&amp;"-"&amp;AD299))</f>
        <v/>
      </c>
      <c r="AQ299" s="307" t="str">
        <f>IF(OR(AC292="",AD299=""),"",COUNTIF(ResultsInd[Draw1],AC292&amp;"-"&amp;AD299)+COUNTIF(ResultsInd[Draw2],AC292&amp;"-"&amp;AD299))</f>
        <v/>
      </c>
      <c r="AR299" s="307" t="str">
        <f>IF(OR(AC292="",AD299=""),"",COUNTIF(ResultsInd[Lose],AC292&amp;"-"&amp;AD299))</f>
        <v/>
      </c>
      <c r="AS299" s="307" t="str">
        <f>IF(OR(AC292="",AD299=""),"",SUMIFS(ResultsInd[Goal-A],ResultsInd[Category],AC292,ResultsInd[Stage],"Groups",ResultsInd[Player A],AD299)+SUMIFS(ResultsInd[Goal-B],ResultsInd[Category],AC292,ResultsInd[Stage],"Groups",ResultsInd[Player B],AD299))</f>
        <v/>
      </c>
      <c r="AT299" s="307" t="str">
        <f>IF(OR(AC292="",AD299=""),"",SUMIFS(ResultsInd[Goal-B],ResultsInd[Category],AC292,ResultsInd[Stage],"Groups",ResultsInd[Player A],AD299)+SUMIFS(ResultsInd[Goal-A],ResultsInd[Category],AC292,ResultsInd[Stage],"Groups",ResultsInd[Player B],AD299))</f>
        <v/>
      </c>
      <c r="AU299" s="308" t="str">
        <f t="shared" si="256"/>
        <v/>
      </c>
      <c r="AV299" s="469" t="str">
        <f>IF(AG299="","",OR(VLOOKUP(AG299,AH293:AU299,3,FALSE),VLOOKUP(AG299,AH293:AU299,6,FALSE)))</f>
        <v/>
      </c>
      <c r="AW299" s="299" t="str">
        <f t="shared" si="254"/>
        <v/>
      </c>
      <c r="AX299" s="287" t="str">
        <f>IF(AG299="","",INDEX(AD293:AD299,MATCH(AG299,AH293:AH299,0)))</f>
        <v/>
      </c>
      <c r="AY299" s="288" t="str">
        <f>IF(AG299="","",VLOOKUP(AG299,AH293:AU299,COLUMN()-COLUMN(AR292),FALSE))</f>
        <v/>
      </c>
      <c r="AZ299" s="288" t="str">
        <f>IF(AG299="","",VLOOKUP(AG299,AH293:AU299,COLUMN()-COLUMN(AR292),FALSE))</f>
        <v/>
      </c>
      <c r="BA299" s="288" t="str">
        <f>IF(AG299="","",VLOOKUP(AG299,AH293:AU299,COLUMN()-COLUMN(AR292),FALSE))</f>
        <v/>
      </c>
      <c r="BB299" s="288" t="str">
        <f>IF(AG299="","",VLOOKUP(AG299,AH293:AU299,COLUMN()-COLUMN(AR292),FALSE))</f>
        <v/>
      </c>
      <c r="BC299" s="288" t="str">
        <f>IF(AG299="","",VLOOKUP(AG299,AH293:AU299,COLUMN()-COLUMN(AR292),FALSE))</f>
        <v/>
      </c>
      <c r="BD299" s="288" t="str">
        <f>IF(AG299="","",VLOOKUP(AG299,AH293:AU299,COLUMN()-COLUMN(AR292),FALSE))</f>
        <v/>
      </c>
      <c r="BE299" s="288" t="str">
        <f>IF(AG299="","",VLOOKUP(AG299,AH293:AU299,COLUMN()-COLUMN(AR292),FALSE))</f>
        <v/>
      </c>
      <c r="BF299" s="302" t="str">
        <f>IF(AG299="","",VLOOKUP(AG299,AH293:AU299,COLUMN()-COLUMN(AR292),FALSE))</f>
        <v/>
      </c>
    </row>
    <row r="300" spans="1:58" ht="13.5" thickBot="1" x14ac:dyDescent="0.25">
      <c r="A300" s="62" t="s">
        <v>12261</v>
      </c>
      <c r="B300" s="62" t="s">
        <v>12207</v>
      </c>
      <c r="C300" s="62">
        <v>3</v>
      </c>
      <c r="D300" s="62"/>
      <c r="E300" s="345" t="s">
        <v>10431</v>
      </c>
      <c r="F300" s="345" t="s">
        <v>8093</v>
      </c>
      <c r="G300" s="113">
        <v>2</v>
      </c>
      <c r="H300" s="113">
        <v>0</v>
      </c>
      <c r="I300" s="114"/>
      <c r="J300" s="114"/>
      <c r="K300" s="114"/>
      <c r="L300" s="81"/>
      <c r="M300" s="265" t="b">
        <f>NOT(ISERROR(ResultsInd[[#This Row],[Goal-A]]+ResultsInd[[#This Row],[Goal-B]]))</f>
        <v>1</v>
      </c>
      <c r="N300" s="265">
        <f>VALUE(ResultsInd[[#This Row],[Score-A]])</f>
        <v>2</v>
      </c>
      <c r="O300" s="265">
        <f>VALUE(ResultsInd[[#This Row],[Score-B]])</f>
        <v>0</v>
      </c>
      <c r="P300" s="265">
        <f ca="1">IF(AND(ResultsInd[[#This Row],[Category]]&lt;&gt;"",ResultsInd[[#This Row],[Player A]]&lt;&gt;""),COUNTIF(INDIRECT(ResultsInd[[#This Row],[Category]]&amp;"List[Retained Player Name]"),ResultsInd[[#This Row],[Player A]]),"")</f>
        <v>1</v>
      </c>
      <c r="Q300" s="265">
        <f ca="1">IF(AND(ResultsInd[[#This Row],[Category]]&lt;&gt;"",ResultsInd[[#This Row],[Player B]]&lt;&gt;""),COUNTIF(INDIRECT(ResultsInd[[#This Row],[Category]]&amp;"List[Retained Player Name]"),ResultsInd[[#This Row],[Player B]]),"")</f>
        <v>1</v>
      </c>
      <c r="R3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VETERANS-Jason Pisani</v>
      </c>
      <c r="S300" s="265" t="str">
        <f>IF(ResultsInd[[#This Row],[Score_OK]],IF(ResultsInd[[#This Row],[Stage]]="Groups",ResultsInd[[#This Row],[Category]]&amp;"-"&amp;IF(ResultsInd[[#This Row],[Player B]]="","",IF(ResultsInd[[#This Row],[Score-A]]=ResultsInd[[#This Row],[Score-B]],ResultsInd[[#This Row],[Player A]],"")),""),"")</f>
        <v>VETERANS-</v>
      </c>
      <c r="T300" s="265" t="str">
        <f>IF(ResultsInd[[#This Row],[Score_OK]],IF(ResultsInd[[#This Row],[Stage]]="Groups",ResultsInd[[#This Row],[Category]]&amp;"-"&amp;IF(ResultsInd[[#This Row],[Player B]]="","",IF(ResultsInd[[#This Row],[Score-A]]=ResultsInd[[#This Row],[Score-B]],ResultsInd[[#This Row],[Player B]],"")),""),"")</f>
        <v>VETERANS-</v>
      </c>
      <c r="U3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VETERANS-Olivier Dubois</v>
      </c>
      <c r="V3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X3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Y300" s="264" t="str">
        <f>IF(ResultsInd[[#This Row],[Category]]="","",VLOOKUP(ResultsInd[[#This Row],[Stage]],$P$1:$V$9,MATCH(ResultsInd[[#This Row],[Category]],$Q$1:$V$1,0)+1,FALSE))</f>
        <v>PR1</v>
      </c>
      <c r="Z300" s="264" t="str">
        <f>IF(ResultsInd[[#This Row],[Score_OK]],IF(ResultsInd[[#This Row],[Level]]="R",ResultsInd[[#This Row],[Category]]&amp;"-"&amp;IF(ResultsInd[[#This Row],[LoseInKO]]=ResultsInd[[#This Row],[Category]]&amp;"-"&amp;ResultsInd[[#This Row],[Player A]],ResultsInd[[#This Row],[Player B]],ResultsInd[[#This Row],[Player A]]),""),"")</f>
        <v/>
      </c>
      <c r="AB300" s="8"/>
      <c r="AC300" s="8"/>
      <c r="AF300" s="170"/>
      <c r="AG300" s="101"/>
      <c r="AH300" s="101"/>
      <c r="AN300" s="170"/>
      <c r="AO300" s="170"/>
      <c r="AP300" s="170"/>
      <c r="AQ300" s="172"/>
      <c r="AR300" s="173"/>
      <c r="AS300" s="173"/>
      <c r="AT300" s="173"/>
      <c r="AU300" s="101"/>
      <c r="AV300" s="101"/>
      <c r="AW300" s="101"/>
      <c r="AX300" s="101"/>
      <c r="AY300" s="101"/>
      <c r="AZ300" s="101"/>
    </row>
    <row r="301" spans="1:58" ht="12" thickBot="1" x14ac:dyDescent="0.25">
      <c r="A301" s="62" t="s">
        <v>12261</v>
      </c>
      <c r="B301" s="62" t="s">
        <v>12207</v>
      </c>
      <c r="C301" s="62">
        <v>3</v>
      </c>
      <c r="D301" s="62"/>
      <c r="E301" s="345" t="s">
        <v>8777</v>
      </c>
      <c r="F301" s="345" t="s">
        <v>10452</v>
      </c>
      <c r="G301" s="113">
        <v>3</v>
      </c>
      <c r="H301" s="113">
        <v>1</v>
      </c>
      <c r="I301" s="114"/>
      <c r="J301" s="114"/>
      <c r="K301" s="114"/>
      <c r="L301" s="81"/>
      <c r="M301" s="265" t="b">
        <f>NOT(ISERROR(ResultsInd[[#This Row],[Goal-A]]+ResultsInd[[#This Row],[Goal-B]]))</f>
        <v>1</v>
      </c>
      <c r="N301" s="265">
        <f>VALUE(ResultsInd[[#This Row],[Score-A]])</f>
        <v>3</v>
      </c>
      <c r="O301" s="265">
        <f>VALUE(ResultsInd[[#This Row],[Score-B]])</f>
        <v>1</v>
      </c>
      <c r="P301" s="265">
        <f ca="1">IF(AND(ResultsInd[[#This Row],[Category]]&lt;&gt;"",ResultsInd[[#This Row],[Player A]]&lt;&gt;""),COUNTIF(INDIRECT(ResultsInd[[#This Row],[Category]]&amp;"List[Retained Player Name]"),ResultsInd[[#This Row],[Player A]]),"")</f>
        <v>1</v>
      </c>
      <c r="Q301" s="265">
        <f ca="1">IF(AND(ResultsInd[[#This Row],[Category]]&lt;&gt;"",ResultsInd[[#This Row],[Player B]]&lt;&gt;""),COUNTIF(INDIRECT(ResultsInd[[#This Row],[Category]]&amp;"List[Retained Player Name]"),ResultsInd[[#This Row],[Player B]]),"")</f>
        <v>1</v>
      </c>
      <c r="R3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VETERANS-Christos Angelinas</v>
      </c>
      <c r="S301" s="265" t="str">
        <f>IF(ResultsInd[[#This Row],[Score_OK]],IF(ResultsInd[[#This Row],[Stage]]="Groups",ResultsInd[[#This Row],[Category]]&amp;"-"&amp;IF(ResultsInd[[#This Row],[Player B]]="","",IF(ResultsInd[[#This Row],[Score-A]]=ResultsInd[[#This Row],[Score-B]],ResultsInd[[#This Row],[Player A]],"")),""),"")</f>
        <v>VETERANS-</v>
      </c>
      <c r="T301" s="265" t="str">
        <f>IF(ResultsInd[[#This Row],[Score_OK]],IF(ResultsInd[[#This Row],[Stage]]="Groups",ResultsInd[[#This Row],[Category]]&amp;"-"&amp;IF(ResultsInd[[#This Row],[Player B]]="","",IF(ResultsInd[[#This Row],[Score-A]]=ResultsInd[[#This Row],[Score-B]],ResultsInd[[#This Row],[Player B]],"")),""),"")</f>
        <v>VETERANS-</v>
      </c>
      <c r="U3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VETERANS-Marco De Bruin</v>
      </c>
      <c r="V3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X3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Y301" s="264" t="str">
        <f>IF(ResultsInd[[#This Row],[Category]]="","",VLOOKUP(ResultsInd[[#This Row],[Stage]],$P$1:$V$9,MATCH(ResultsInd[[#This Row],[Category]],$Q$1:$V$1,0)+1,FALSE))</f>
        <v>PR1</v>
      </c>
      <c r="Z301" s="264" t="str">
        <f>IF(ResultsInd[[#This Row],[Score_OK]],IF(ResultsInd[[#This Row],[Level]]="R",ResultsInd[[#This Row],[Category]]&amp;"-"&amp;IF(ResultsInd[[#This Row],[LoseInKO]]=ResultsInd[[#This Row],[Category]]&amp;"-"&amp;ResultsInd[[#This Row],[Player A]],ResultsInd[[#This Row],[Player B]],ResultsInd[[#This Row],[Player A]]),""),"")</f>
        <v/>
      </c>
      <c r="AB301" s="281">
        <v>3</v>
      </c>
      <c r="AC301" s="315" t="s">
        <v>12261</v>
      </c>
      <c r="AD301" s="289" t="s">
        <v>14439</v>
      </c>
      <c r="AE301" s="290" t="s">
        <v>12279</v>
      </c>
      <c r="AF301" s="284" t="s">
        <v>12275</v>
      </c>
      <c r="AG301" s="296" t="s">
        <v>12276</v>
      </c>
      <c r="AH301" s="291" t="s">
        <v>12271</v>
      </c>
      <c r="AI301" s="291" t="s">
        <v>12272</v>
      </c>
      <c r="AJ301" s="414" t="s">
        <v>13154</v>
      </c>
      <c r="AK301" s="291" t="s">
        <v>12273</v>
      </c>
      <c r="AL301" s="297" t="s">
        <v>12274</v>
      </c>
      <c r="AM301" s="414" t="s">
        <v>13154</v>
      </c>
      <c r="AN301" s="303" t="s">
        <v>12199</v>
      </c>
      <c r="AO301" s="304" t="s">
        <v>12200</v>
      </c>
      <c r="AP301" s="304" t="s">
        <v>12201</v>
      </c>
      <c r="AQ301" s="304" t="s">
        <v>12202</v>
      </c>
      <c r="AR301" s="304" t="s">
        <v>12203</v>
      </c>
      <c r="AS301" s="304" t="s">
        <v>12204</v>
      </c>
      <c r="AT301" s="304" t="s">
        <v>12205</v>
      </c>
      <c r="AU301" s="305" t="s">
        <v>12206</v>
      </c>
      <c r="AV301" s="468"/>
      <c r="AW301" s="282" t="s">
        <v>12276</v>
      </c>
      <c r="AX301" s="282" t="s">
        <v>12280</v>
      </c>
      <c r="AY301" s="283" t="s">
        <v>12199</v>
      </c>
      <c r="AZ301" s="283" t="s">
        <v>12200</v>
      </c>
      <c r="BA301" s="283" t="s">
        <v>12201</v>
      </c>
      <c r="BB301" s="283" t="s">
        <v>12202</v>
      </c>
      <c r="BC301" s="283" t="s">
        <v>12203</v>
      </c>
      <c r="BD301" s="283" t="s">
        <v>12204</v>
      </c>
      <c r="BE301" s="283" t="s">
        <v>12205</v>
      </c>
      <c r="BF301" s="300" t="s">
        <v>12206</v>
      </c>
    </row>
    <row r="302" spans="1:58" ht="12" thickBot="1" x14ac:dyDescent="0.25">
      <c r="A302" s="62" t="s">
        <v>12261</v>
      </c>
      <c r="B302" s="62" t="s">
        <v>12207</v>
      </c>
      <c r="C302" s="62">
        <v>3</v>
      </c>
      <c r="D302" s="62"/>
      <c r="E302" s="345" t="s">
        <v>10431</v>
      </c>
      <c r="F302" s="345" t="s">
        <v>8777</v>
      </c>
      <c r="G302" s="113">
        <v>1</v>
      </c>
      <c r="H302" s="113">
        <v>1</v>
      </c>
      <c r="I302" s="114"/>
      <c r="J302" s="114"/>
      <c r="K302" s="114"/>
      <c r="L302" s="81"/>
      <c r="M302" s="265" t="b">
        <f>NOT(ISERROR(ResultsInd[[#This Row],[Goal-A]]+ResultsInd[[#This Row],[Goal-B]]))</f>
        <v>1</v>
      </c>
      <c r="N302" s="265">
        <f>VALUE(ResultsInd[[#This Row],[Score-A]])</f>
        <v>1</v>
      </c>
      <c r="O302" s="265">
        <f>VALUE(ResultsInd[[#This Row],[Score-B]])</f>
        <v>1</v>
      </c>
      <c r="P302" s="265">
        <f ca="1">IF(AND(ResultsInd[[#This Row],[Category]]&lt;&gt;"",ResultsInd[[#This Row],[Player A]]&lt;&gt;""),COUNTIF(INDIRECT(ResultsInd[[#This Row],[Category]]&amp;"List[Retained Player Name]"),ResultsInd[[#This Row],[Player A]]),"")</f>
        <v>1</v>
      </c>
      <c r="Q302" s="265">
        <f ca="1">IF(AND(ResultsInd[[#This Row],[Category]]&lt;&gt;"",ResultsInd[[#This Row],[Player B]]&lt;&gt;""),COUNTIF(INDIRECT(ResultsInd[[#This Row],[Category]]&amp;"List[Retained Player Name]"),ResultsInd[[#This Row],[Player B]]),"")</f>
        <v>1</v>
      </c>
      <c r="R3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02" s="265" t="str">
        <f>IF(ResultsInd[[#This Row],[Score_OK]],IF(ResultsInd[[#This Row],[Stage]]="Groups",ResultsInd[[#This Row],[Category]]&amp;"-"&amp;IF(ResultsInd[[#This Row],[Player B]]="","",IF(ResultsInd[[#This Row],[Score-A]]=ResultsInd[[#This Row],[Score-B]],ResultsInd[[#This Row],[Player A]],"")),""),"")</f>
        <v>VETERANS-Jason Pisani</v>
      </c>
      <c r="T302" s="265" t="str">
        <f>IF(ResultsInd[[#This Row],[Score_OK]],IF(ResultsInd[[#This Row],[Stage]]="Groups",ResultsInd[[#This Row],[Category]]&amp;"-"&amp;IF(ResultsInd[[#This Row],[Player B]]="","",IF(ResultsInd[[#This Row],[Score-A]]=ResultsInd[[#This Row],[Score-B]],ResultsInd[[#This Row],[Player B]],"")),""),"")</f>
        <v>VETERANS-Christos Angelinas</v>
      </c>
      <c r="U3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VETERANS-Jason Pisani</v>
      </c>
      <c r="X3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VETERANS-Christos Angelinas</v>
      </c>
      <c r="Y302" s="264" t="str">
        <f>IF(ResultsInd[[#This Row],[Category]]="","",VLOOKUP(ResultsInd[[#This Row],[Stage]],$P$1:$V$9,MATCH(ResultsInd[[#This Row],[Category]],$Q$1:$V$1,0)+1,FALSE))</f>
        <v>PR1</v>
      </c>
      <c r="Z302" s="264" t="str">
        <f>IF(ResultsInd[[#This Row],[Score_OK]],IF(ResultsInd[[#This Row],[Level]]="R",ResultsInd[[#This Row],[Category]]&amp;"-"&amp;IF(ResultsInd[[#This Row],[LoseInKO]]=ResultsInd[[#This Row],[Category]]&amp;"-"&amp;ResultsInd[[#This Row],[Player A]],ResultsInd[[#This Row],[Player B]],ResultsInd[[#This Row],[Player A]]),""),"")</f>
        <v/>
      </c>
      <c r="AB302" s="8"/>
      <c r="AC302" s="12" t="str">
        <f>IF(AC301="","",AC301)</f>
        <v>VETERANS</v>
      </c>
      <c r="AD302" s="309" t="s">
        <v>10431</v>
      </c>
      <c r="AE302" s="320"/>
      <c r="AF302" s="311"/>
      <c r="AG302" s="292">
        <f>IF(AP302="","",SMALL(AH302:AH308,ROWS(AG302:AG302)))</f>
        <v>1001</v>
      </c>
      <c r="AH302" s="293">
        <f>IF(AP302="","",RANK(AL302,AL302:AL308)*1000+ROWS(AH302:AH302))</f>
        <v>1001</v>
      </c>
      <c r="AI302" s="316">
        <f t="shared" ref="AI302:AI308" si="257">IF(AP302="","",CritClassInd1_Points*AN302+CritClassInd1_Matches*AP302+CritClassInd1_Attaque*AS302+CritClassInd1_DiffButs*AU302)</f>
        <v>7000000000000</v>
      </c>
      <c r="AJ302" s="415" t="b">
        <f>AND(AO302&lt;&gt;"",AO302&gt;0,COUNTIF(AI302:AI308,AI302)&gt;1)</f>
        <v>0</v>
      </c>
      <c r="AK302" s="316">
        <f t="shared" ref="AK302:AK308" si="258">IF(AP302="","",CritClassInd_ScorePart*AE302)</f>
        <v>0</v>
      </c>
      <c r="AL302" s="317">
        <f t="shared" ref="AL302:AL308" si="259">IF(AP302="","",AI302+AK302+CritClassInd2_Points*AN302+CritClassInd2_Matches*AP302+CritClassInd2_Attaque*AS302+CritClassInd2_DiffButs*AU302+AF302)</f>
        <v>7000000050600</v>
      </c>
      <c r="AM302" s="415" t="b">
        <f>AND(AO302&lt;&gt;"",AO302&gt;0,COUNTIF(AL302:AL308,AL302)&gt;1)</f>
        <v>0</v>
      </c>
      <c r="AN302" s="306">
        <f t="shared" ref="AN302:AN308" si="260">IF(AP302="","",(AP302*Points_Victoire)+AQ302*Points_Null)</f>
        <v>7</v>
      </c>
      <c r="AO302" s="307">
        <f t="shared" ref="AO302:AO308" si="261">IF(AP302="","",SUM(AP302:AR302))</f>
        <v>3</v>
      </c>
      <c r="AP302" s="307">
        <f>IF(OR(AC301="",AD302=""),"",COUNTIF(ResultsInd[Win],AC301&amp;"-"&amp;AD302))</f>
        <v>2</v>
      </c>
      <c r="AQ302" s="307">
        <f>IF(OR(AC301="",AD302=""),"",COUNTIF(ResultsInd[Draw1],AC301&amp;"-"&amp;AD302)+COUNTIF(ResultsInd[Draw2],AC301&amp;"-"&amp;AD302))</f>
        <v>1</v>
      </c>
      <c r="AR302" s="307">
        <f>IF(OR(AC301="",AD302=""),"",COUNTIF(ResultsInd[Lose],AC301&amp;"-"&amp;AD302))</f>
        <v>0</v>
      </c>
      <c r="AS302" s="307">
        <f>IF(OR(AC301="",AD302=""),"",SUMIFS(ResultsInd[Goal-A],ResultsInd[Category],AC301,ResultsInd[Stage],"Groups",ResultsInd[Player A],AD302)+SUMIFS(ResultsInd[Goal-B],ResultsInd[Category],AC301,ResultsInd[Stage],"Groups",ResultsInd[Player B],AD302))</f>
        <v>6</v>
      </c>
      <c r="AT302" s="307">
        <f>IF(OR(AC301="",AD302=""),"",SUMIFS(ResultsInd[Goal-B],ResultsInd[Category],AC301,ResultsInd[Stage],"Groups",ResultsInd[Player A],AD302)+SUMIFS(ResultsInd[Goal-A],ResultsInd[Category],AC301,ResultsInd[Stage],"Groups",ResultsInd[Player B],AD302))</f>
        <v>1</v>
      </c>
      <c r="AU302" s="308">
        <f>IF(AP302="","",AS302-AT302)</f>
        <v>5</v>
      </c>
      <c r="AV302" s="469" t="b">
        <f>IF(AG302="","",OR(VLOOKUP(AG302,AH302:AU308,3,FALSE),VLOOKUP(AG302,AH302:AU308,6,FALSE)))</f>
        <v>0</v>
      </c>
      <c r="AW302" s="298">
        <f t="shared" ref="AW302:AW308" si="262">IF(AG302="","",INT(AG302/1000))</f>
        <v>1</v>
      </c>
      <c r="AX302" s="285" t="str">
        <f>IF(AG302="","",INDEX(AD302:AD308,MATCH(AG302,AH302:AH308,0)))</f>
        <v>Jason Pisani</v>
      </c>
      <c r="AY302" s="286">
        <f>IF(AG302="","",VLOOKUP(AG302,AH302:AU308,COLUMN()-COLUMN(AR301),FALSE))</f>
        <v>7</v>
      </c>
      <c r="AZ302" s="286">
        <f>IF(AG302="","",VLOOKUP(AG302,AH302:AU308,COLUMN()-COLUMN(AR301),FALSE))</f>
        <v>3</v>
      </c>
      <c r="BA302" s="286">
        <f>IF(AG302="","",VLOOKUP(AG302,AH302:AU308,COLUMN()-COLUMN(AR301),FALSE))</f>
        <v>2</v>
      </c>
      <c r="BB302" s="286">
        <f>IF(AG302="","",VLOOKUP(AG302,AH302:AU308,COLUMN()-COLUMN(AR301),FALSE))</f>
        <v>1</v>
      </c>
      <c r="BC302" s="286">
        <f>IF(AG302="","",VLOOKUP(AG302,AH302:AU308,COLUMN()-COLUMN(AR301),FALSE))</f>
        <v>0</v>
      </c>
      <c r="BD302" s="286">
        <f>IF(AG302="","",VLOOKUP(AG302,AH302:AU308,COLUMN()-COLUMN(AR301),FALSE))</f>
        <v>6</v>
      </c>
      <c r="BE302" s="286">
        <f>IF(AG302="","",VLOOKUP(AG302,AH302:AU308,COLUMN()-COLUMN(AR301),FALSE))</f>
        <v>1</v>
      </c>
      <c r="BF302" s="301">
        <f>IF(AG302="","",VLOOKUP(AG302,AH302:AU308,COLUMN()-COLUMN(AR301),FALSE))</f>
        <v>5</v>
      </c>
    </row>
    <row r="303" spans="1:58" ht="12" thickBot="1" x14ac:dyDescent="0.25">
      <c r="A303" s="62" t="s">
        <v>12261</v>
      </c>
      <c r="B303" s="62" t="s">
        <v>12207</v>
      </c>
      <c r="C303" s="62">
        <v>3</v>
      </c>
      <c r="D303" s="62"/>
      <c r="E303" s="345" t="s">
        <v>8093</v>
      </c>
      <c r="F303" s="345" t="s">
        <v>10452</v>
      </c>
      <c r="G303" s="113">
        <v>2</v>
      </c>
      <c r="H303" s="113">
        <v>1</v>
      </c>
      <c r="I303" s="114"/>
      <c r="J303" s="114"/>
      <c r="K303" s="114"/>
      <c r="L303" s="81"/>
      <c r="M303" s="265" t="b">
        <f>NOT(ISERROR(ResultsInd[[#This Row],[Goal-A]]+ResultsInd[[#This Row],[Goal-B]]))</f>
        <v>1</v>
      </c>
      <c r="N303" s="265">
        <f>VALUE(ResultsInd[[#This Row],[Score-A]])</f>
        <v>2</v>
      </c>
      <c r="O303" s="265">
        <f>VALUE(ResultsInd[[#This Row],[Score-B]])</f>
        <v>1</v>
      </c>
      <c r="P303" s="265">
        <f ca="1">IF(AND(ResultsInd[[#This Row],[Category]]&lt;&gt;"",ResultsInd[[#This Row],[Player A]]&lt;&gt;""),COUNTIF(INDIRECT(ResultsInd[[#This Row],[Category]]&amp;"List[Retained Player Name]"),ResultsInd[[#This Row],[Player A]]),"")</f>
        <v>1</v>
      </c>
      <c r="Q303" s="265">
        <f ca="1">IF(AND(ResultsInd[[#This Row],[Category]]&lt;&gt;"",ResultsInd[[#This Row],[Player B]]&lt;&gt;""),COUNTIF(INDIRECT(ResultsInd[[#This Row],[Category]]&amp;"List[Retained Player Name]"),ResultsInd[[#This Row],[Player B]]),"")</f>
        <v>1</v>
      </c>
      <c r="R3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VETERANS-Olivier Dubois</v>
      </c>
      <c r="S303" s="265" t="str">
        <f>IF(ResultsInd[[#This Row],[Score_OK]],IF(ResultsInd[[#This Row],[Stage]]="Groups",ResultsInd[[#This Row],[Category]]&amp;"-"&amp;IF(ResultsInd[[#This Row],[Player B]]="","",IF(ResultsInd[[#This Row],[Score-A]]=ResultsInd[[#This Row],[Score-B]],ResultsInd[[#This Row],[Player A]],"")),""),"")</f>
        <v>VETERANS-</v>
      </c>
      <c r="T303" s="265" t="str">
        <f>IF(ResultsInd[[#This Row],[Score_OK]],IF(ResultsInd[[#This Row],[Stage]]="Groups",ResultsInd[[#This Row],[Category]]&amp;"-"&amp;IF(ResultsInd[[#This Row],[Player B]]="","",IF(ResultsInd[[#This Row],[Score-A]]=ResultsInd[[#This Row],[Score-B]],ResultsInd[[#This Row],[Player B]],"")),""),"")</f>
        <v>VETERANS-</v>
      </c>
      <c r="U3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VETERANS-Marco De Bruin</v>
      </c>
      <c r="V3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X3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Y303" s="264" t="str">
        <f>IF(ResultsInd[[#This Row],[Category]]="","",VLOOKUP(ResultsInd[[#This Row],[Stage]],$P$1:$V$9,MATCH(ResultsInd[[#This Row],[Category]],$Q$1:$V$1,0)+1,FALSE))</f>
        <v>PR1</v>
      </c>
      <c r="Z303" s="264" t="str">
        <f>IF(ResultsInd[[#This Row],[Score_OK]],IF(ResultsInd[[#This Row],[Level]]="R",ResultsInd[[#This Row],[Category]]&amp;"-"&amp;IF(ResultsInd[[#This Row],[LoseInKO]]=ResultsInd[[#This Row],[Category]]&amp;"-"&amp;ResultsInd[[#This Row],[Player A]],ResultsInd[[#This Row],[Player B]],ResultsInd[[#This Row],[Player A]]),""),"")</f>
        <v/>
      </c>
      <c r="AB303" s="8"/>
      <c r="AC303" s="12" t="str">
        <f t="shared" ref="AC303:AC308" si="263">IF(AC302="","",AC302)</f>
        <v>VETERANS</v>
      </c>
      <c r="AD303" s="309" t="s">
        <v>8777</v>
      </c>
      <c r="AE303" s="320"/>
      <c r="AF303" s="311"/>
      <c r="AG303" s="292">
        <f>IF(AP303="","",SMALL(AH302:AH308,ROWS(AG302:AG303)))</f>
        <v>2002</v>
      </c>
      <c r="AH303" s="293">
        <f>IF(AP303="","",RANK(AL303,AL302:AL308)*1000+ROWS(AH302:AH303))</f>
        <v>2002</v>
      </c>
      <c r="AI303" s="316">
        <f t="shared" si="257"/>
        <v>5000000000000</v>
      </c>
      <c r="AJ303" s="415" t="b">
        <f>AND(AO303&lt;&gt;"",AO303&gt;0,COUNTIF(AI302:AI308,AI303)&gt;1)</f>
        <v>0</v>
      </c>
      <c r="AK303" s="316">
        <f t="shared" si="258"/>
        <v>0</v>
      </c>
      <c r="AL303" s="317">
        <f t="shared" si="259"/>
        <v>5000000020500</v>
      </c>
      <c r="AM303" s="415" t="b">
        <f>AND(AO303&lt;&gt;"",AO303&gt;0,COUNTIF(AL302:AL308,AL303)&gt;1)</f>
        <v>0</v>
      </c>
      <c r="AN303" s="306">
        <f t="shared" si="260"/>
        <v>5</v>
      </c>
      <c r="AO303" s="307">
        <f t="shared" si="261"/>
        <v>3</v>
      </c>
      <c r="AP303" s="307">
        <f>IF(OR(AC301="",AD303=""),"",COUNTIF(ResultsInd[Win],AC301&amp;"-"&amp;AD303))</f>
        <v>1</v>
      </c>
      <c r="AQ303" s="307">
        <f>IF(OR(AC301="",AD303=""),"",COUNTIF(ResultsInd[Draw1],AC301&amp;"-"&amp;AD303)+COUNTIF(ResultsInd[Draw2],AC301&amp;"-"&amp;AD303))</f>
        <v>2</v>
      </c>
      <c r="AR303" s="307">
        <f>IF(OR(AC301="",AD303=""),"",COUNTIF(ResultsInd[Lose],AC301&amp;"-"&amp;AD303))</f>
        <v>0</v>
      </c>
      <c r="AS303" s="307">
        <f>IF(OR(AC301="",AD303=""),"",SUMIFS(ResultsInd[Goal-A],ResultsInd[Category],AC301,ResultsInd[Stage],"Groups",ResultsInd[Player A],AD303)+SUMIFS(ResultsInd[Goal-B],ResultsInd[Category],AC301,ResultsInd[Stage],"Groups",ResultsInd[Player B],AD303))</f>
        <v>5</v>
      </c>
      <c r="AT303" s="307">
        <f>IF(OR(AC301="",AD303=""),"",SUMIFS(ResultsInd[Goal-B],ResultsInd[Category],AC301,ResultsInd[Stage],"Groups",ResultsInd[Player A],AD303)+SUMIFS(ResultsInd[Goal-A],ResultsInd[Category],AC301,ResultsInd[Stage],"Groups",ResultsInd[Player B],AD303))</f>
        <v>3</v>
      </c>
      <c r="AU303" s="308">
        <f t="shared" ref="AU303:AU308" si="264">IF(AP303="","",AS303-AT303)</f>
        <v>2</v>
      </c>
      <c r="AV303" s="469" t="b">
        <f>IF(AG303="","",OR(VLOOKUP(AG303,AH302:AU308,3,FALSE),VLOOKUP(AG303,AH302:AU308,6,FALSE)))</f>
        <v>0</v>
      </c>
      <c r="AW303" s="298">
        <f t="shared" si="262"/>
        <v>2</v>
      </c>
      <c r="AX303" s="285" t="str">
        <f>IF(AG303="","",INDEX(AD302:AD308,MATCH(AG303,AH302:AH308,0)))</f>
        <v>Christos Angelinas</v>
      </c>
      <c r="AY303" s="286">
        <f>IF(AG303="","",VLOOKUP(AG303,AH302:AU308,COLUMN()-COLUMN(AR301),FALSE))</f>
        <v>5</v>
      </c>
      <c r="AZ303" s="286">
        <f>IF(AG303="","",VLOOKUP(AG303,AH302:AU308,COLUMN()-COLUMN(AR301),FALSE))</f>
        <v>3</v>
      </c>
      <c r="BA303" s="286">
        <f>IF(AG303="","",VLOOKUP(AG303,AH302:AU308,COLUMN()-COLUMN(AR301),FALSE))</f>
        <v>1</v>
      </c>
      <c r="BB303" s="286">
        <f>IF(AG303="","",VLOOKUP(AG303,AH302:AU308,COLUMN()-COLUMN(AR301),FALSE))</f>
        <v>2</v>
      </c>
      <c r="BC303" s="286">
        <f>IF(AG303="","",VLOOKUP(AG303,AH302:AU308,COLUMN()-COLUMN(AR301),FALSE))</f>
        <v>0</v>
      </c>
      <c r="BD303" s="286">
        <f>IF(AG303="","",VLOOKUP(AG303,AH302:AU308,COLUMN()-COLUMN(AR301),FALSE))</f>
        <v>5</v>
      </c>
      <c r="BE303" s="286">
        <f>IF(AG303="","",VLOOKUP(AG303,AH302:AU308,COLUMN()-COLUMN(AR301),FALSE))</f>
        <v>3</v>
      </c>
      <c r="BF303" s="301">
        <f>IF(AG303="","",VLOOKUP(AG303,AH302:AU308,COLUMN()-COLUMN(AR301),FALSE))</f>
        <v>2</v>
      </c>
    </row>
    <row r="304" spans="1:58" ht="12" thickBot="1" x14ac:dyDescent="0.25">
      <c r="A304" s="62" t="s">
        <v>12261</v>
      </c>
      <c r="B304" s="62" t="s">
        <v>12207</v>
      </c>
      <c r="C304" s="62">
        <v>3</v>
      </c>
      <c r="D304" s="62"/>
      <c r="E304" s="345" t="s">
        <v>10452</v>
      </c>
      <c r="F304" s="345" t="s">
        <v>10431</v>
      </c>
      <c r="G304" s="113">
        <v>0</v>
      </c>
      <c r="H304" s="113">
        <v>3</v>
      </c>
      <c r="I304" s="114"/>
      <c r="J304" s="114"/>
      <c r="K304" s="114"/>
      <c r="L304" s="81"/>
      <c r="M304" s="265" t="b">
        <f>NOT(ISERROR(ResultsInd[[#This Row],[Goal-A]]+ResultsInd[[#This Row],[Goal-B]]))</f>
        <v>1</v>
      </c>
      <c r="N304" s="265">
        <f>VALUE(ResultsInd[[#This Row],[Score-A]])</f>
        <v>0</v>
      </c>
      <c r="O304" s="265">
        <f>VALUE(ResultsInd[[#This Row],[Score-B]])</f>
        <v>3</v>
      </c>
      <c r="P304" s="265">
        <f ca="1">IF(AND(ResultsInd[[#This Row],[Category]]&lt;&gt;"",ResultsInd[[#This Row],[Player A]]&lt;&gt;""),COUNTIF(INDIRECT(ResultsInd[[#This Row],[Category]]&amp;"List[Retained Player Name]"),ResultsInd[[#This Row],[Player A]]),"")</f>
        <v>1</v>
      </c>
      <c r="Q304" s="265">
        <f ca="1">IF(AND(ResultsInd[[#This Row],[Category]]&lt;&gt;"",ResultsInd[[#This Row],[Player B]]&lt;&gt;""),COUNTIF(INDIRECT(ResultsInd[[#This Row],[Category]]&amp;"List[Retained Player Name]"),ResultsInd[[#This Row],[Player B]]),"")</f>
        <v>1</v>
      </c>
      <c r="R3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VETERANS-Jason Pisani</v>
      </c>
      <c r="S304" s="265" t="str">
        <f>IF(ResultsInd[[#This Row],[Score_OK]],IF(ResultsInd[[#This Row],[Stage]]="Groups",ResultsInd[[#This Row],[Category]]&amp;"-"&amp;IF(ResultsInd[[#This Row],[Player B]]="","",IF(ResultsInd[[#This Row],[Score-A]]=ResultsInd[[#This Row],[Score-B]],ResultsInd[[#This Row],[Player A]],"")),""),"")</f>
        <v>VETERANS-</v>
      </c>
      <c r="T304" s="265" t="str">
        <f>IF(ResultsInd[[#This Row],[Score_OK]],IF(ResultsInd[[#This Row],[Stage]]="Groups",ResultsInd[[#This Row],[Category]]&amp;"-"&amp;IF(ResultsInd[[#This Row],[Player B]]="","",IF(ResultsInd[[#This Row],[Score-A]]=ResultsInd[[#This Row],[Score-B]],ResultsInd[[#This Row],[Player B]],"")),""),"")</f>
        <v>VETERANS-</v>
      </c>
      <c r="U3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VETERANS-Marco De Bruin</v>
      </c>
      <c r="V3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X3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Y304" s="264" t="str">
        <f>IF(ResultsInd[[#This Row],[Category]]="","",VLOOKUP(ResultsInd[[#This Row],[Stage]],$P$1:$V$9,MATCH(ResultsInd[[#This Row],[Category]],$Q$1:$V$1,0)+1,FALSE))</f>
        <v>PR1</v>
      </c>
      <c r="Z304" s="264" t="str">
        <f>IF(ResultsInd[[#This Row],[Score_OK]],IF(ResultsInd[[#This Row],[Level]]="R",ResultsInd[[#This Row],[Category]]&amp;"-"&amp;IF(ResultsInd[[#This Row],[LoseInKO]]=ResultsInd[[#This Row],[Category]]&amp;"-"&amp;ResultsInd[[#This Row],[Player A]],ResultsInd[[#This Row],[Player B]],ResultsInd[[#This Row],[Player A]]),""),"")</f>
        <v/>
      </c>
      <c r="AB304" s="8"/>
      <c r="AC304" s="12" t="str">
        <f t="shared" si="263"/>
        <v>VETERANS</v>
      </c>
      <c r="AD304" s="309" t="s">
        <v>8093</v>
      </c>
      <c r="AE304" s="320"/>
      <c r="AF304" s="311"/>
      <c r="AG304" s="292">
        <f>IF(AP304="","",SMALL(AH302:AH308,ROWS(AG302:AG304)))</f>
        <v>3003</v>
      </c>
      <c r="AH304" s="293">
        <f>IF(AP304="","",RANK(AL304,AL302:AL308)*1000+ROWS(AH302:AH304))</f>
        <v>3003</v>
      </c>
      <c r="AI304" s="316">
        <f t="shared" si="257"/>
        <v>4000000000000</v>
      </c>
      <c r="AJ304" s="415" t="b">
        <f>AND(AO304&lt;&gt;"",AO304&gt;0,COUNTIF(AI302:AI308,AI304)&gt;1)</f>
        <v>0</v>
      </c>
      <c r="AK304" s="316">
        <f t="shared" si="258"/>
        <v>0</v>
      </c>
      <c r="AL304" s="317">
        <f t="shared" si="259"/>
        <v>3999999990300</v>
      </c>
      <c r="AM304" s="415" t="b">
        <f>AND(AO304&lt;&gt;"",AO304&gt;0,COUNTIF(AL302:AL308,AL304)&gt;1)</f>
        <v>0</v>
      </c>
      <c r="AN304" s="306">
        <f t="shared" si="260"/>
        <v>4</v>
      </c>
      <c r="AO304" s="307">
        <f t="shared" si="261"/>
        <v>3</v>
      </c>
      <c r="AP304" s="307">
        <f>IF(OR(AC301="",AD304=""),"",COUNTIF(ResultsInd[Win],AC301&amp;"-"&amp;AD304))</f>
        <v>1</v>
      </c>
      <c r="AQ304" s="307">
        <f>IF(OR(AC301="",AD304=""),"",COUNTIF(ResultsInd[Draw1],AC301&amp;"-"&amp;AD304)+COUNTIF(ResultsInd[Draw2],AC301&amp;"-"&amp;AD304))</f>
        <v>1</v>
      </c>
      <c r="AR304" s="307">
        <f>IF(OR(AC301="",AD304=""),"",COUNTIF(ResultsInd[Lose],AC301&amp;"-"&amp;AD304))</f>
        <v>1</v>
      </c>
      <c r="AS304" s="307">
        <f>IF(OR(AC301="",AD304=""),"",SUMIFS(ResultsInd[Goal-A],ResultsInd[Category],AC301,ResultsInd[Stage],"Groups",ResultsInd[Player A],AD304)+SUMIFS(ResultsInd[Goal-B],ResultsInd[Category],AC301,ResultsInd[Stage],"Groups",ResultsInd[Player B],AD304))</f>
        <v>3</v>
      </c>
      <c r="AT304" s="307">
        <f>IF(OR(AC301="",AD304=""),"",SUMIFS(ResultsInd[Goal-B],ResultsInd[Category],AC301,ResultsInd[Stage],"Groups",ResultsInd[Player A],AD304)+SUMIFS(ResultsInd[Goal-A],ResultsInd[Category],AC301,ResultsInd[Stage],"Groups",ResultsInd[Player B],AD304))</f>
        <v>4</v>
      </c>
      <c r="AU304" s="308">
        <f t="shared" si="264"/>
        <v>-1</v>
      </c>
      <c r="AV304" s="469" t="b">
        <f>IF(AG304="","",OR(VLOOKUP(AG304,AH302:AU308,3,FALSE),VLOOKUP(AG304,AH302:AU308,6,FALSE)))</f>
        <v>0</v>
      </c>
      <c r="AW304" s="298">
        <f t="shared" si="262"/>
        <v>3</v>
      </c>
      <c r="AX304" s="285" t="str">
        <f>IF(AG304="","",INDEX(AD302:AD308,MATCH(AG304,AH302:AH308,0)))</f>
        <v>Olivier Dubois</v>
      </c>
      <c r="AY304" s="286">
        <f>IF(AG304="","",VLOOKUP(AG304,AH302:AU308,COLUMN()-COLUMN(AR301),FALSE))</f>
        <v>4</v>
      </c>
      <c r="AZ304" s="286">
        <f>IF(AG304="","",VLOOKUP(AG304,AH302:AU308,COLUMN()-COLUMN(AR301),FALSE))</f>
        <v>3</v>
      </c>
      <c r="BA304" s="286">
        <f>IF(AG304="","",VLOOKUP(AG304,AH302:AU308,COLUMN()-COLUMN(AR301),FALSE))</f>
        <v>1</v>
      </c>
      <c r="BB304" s="286">
        <f>IF(AG304="","",VLOOKUP(AG304,AH302:AU308,COLUMN()-COLUMN(AR301),FALSE))</f>
        <v>1</v>
      </c>
      <c r="BC304" s="286">
        <f>IF(AG304="","",VLOOKUP(AG304,AH302:AU308,COLUMN()-COLUMN(AR301),FALSE))</f>
        <v>1</v>
      </c>
      <c r="BD304" s="286">
        <f>IF(AG304="","",VLOOKUP(AG304,AH302:AU308,COLUMN()-COLUMN(AR301),FALSE))</f>
        <v>3</v>
      </c>
      <c r="BE304" s="286">
        <f>IF(AG304="","",VLOOKUP(AG304,AH302:AU308,COLUMN()-COLUMN(AR301),FALSE))</f>
        <v>4</v>
      </c>
      <c r="BF304" s="301">
        <f>IF(AG304="","",VLOOKUP(AG304,AH302:AU308,COLUMN()-COLUMN(AR301),FALSE))</f>
        <v>-1</v>
      </c>
    </row>
    <row r="305" spans="1:58" ht="12" thickBot="1" x14ac:dyDescent="0.25">
      <c r="A305" s="62" t="s">
        <v>12261</v>
      </c>
      <c r="B305" s="62" t="s">
        <v>12207</v>
      </c>
      <c r="C305" s="62">
        <v>3</v>
      </c>
      <c r="D305" s="62"/>
      <c r="E305" s="345" t="s">
        <v>8093</v>
      </c>
      <c r="F305" s="345" t="s">
        <v>8777</v>
      </c>
      <c r="G305" s="113">
        <v>1</v>
      </c>
      <c r="H305" s="113">
        <v>1</v>
      </c>
      <c r="I305" s="114"/>
      <c r="J305" s="114"/>
      <c r="K305" s="114"/>
      <c r="L305" s="81"/>
      <c r="M305" s="265" t="b">
        <f>NOT(ISERROR(ResultsInd[[#This Row],[Goal-A]]+ResultsInd[[#This Row],[Goal-B]]))</f>
        <v>1</v>
      </c>
      <c r="N305" s="265">
        <f>VALUE(ResultsInd[[#This Row],[Score-A]])</f>
        <v>1</v>
      </c>
      <c r="O305" s="265">
        <f>VALUE(ResultsInd[[#This Row],[Score-B]])</f>
        <v>1</v>
      </c>
      <c r="P305" s="265">
        <f ca="1">IF(AND(ResultsInd[[#This Row],[Category]]&lt;&gt;"",ResultsInd[[#This Row],[Player A]]&lt;&gt;""),COUNTIF(INDIRECT(ResultsInd[[#This Row],[Category]]&amp;"List[Retained Player Name]"),ResultsInd[[#This Row],[Player A]]),"")</f>
        <v>1</v>
      </c>
      <c r="Q305" s="265">
        <f ca="1">IF(AND(ResultsInd[[#This Row],[Category]]&lt;&gt;"",ResultsInd[[#This Row],[Player B]]&lt;&gt;""),COUNTIF(INDIRECT(ResultsInd[[#This Row],[Category]]&amp;"List[Retained Player Name]"),ResultsInd[[#This Row],[Player B]]),"")</f>
        <v>1</v>
      </c>
      <c r="R3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05" s="265" t="str">
        <f>IF(ResultsInd[[#This Row],[Score_OK]],IF(ResultsInd[[#This Row],[Stage]]="Groups",ResultsInd[[#This Row],[Category]]&amp;"-"&amp;IF(ResultsInd[[#This Row],[Player B]]="","",IF(ResultsInd[[#This Row],[Score-A]]=ResultsInd[[#This Row],[Score-B]],ResultsInd[[#This Row],[Player A]],"")),""),"")</f>
        <v>VETERANS-Olivier Dubois</v>
      </c>
      <c r="T305" s="265" t="str">
        <f>IF(ResultsInd[[#This Row],[Score_OK]],IF(ResultsInd[[#This Row],[Stage]]="Groups",ResultsInd[[#This Row],[Category]]&amp;"-"&amp;IF(ResultsInd[[#This Row],[Player B]]="","",IF(ResultsInd[[#This Row],[Score-A]]=ResultsInd[[#This Row],[Score-B]],ResultsInd[[#This Row],[Player B]],"")),""),"")</f>
        <v>VETERANS-Christos Angelinas</v>
      </c>
      <c r="U3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X3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VETERANS-Christos Angelinas</v>
      </c>
      <c r="Y305" s="264" t="str">
        <f>IF(ResultsInd[[#This Row],[Category]]="","",VLOOKUP(ResultsInd[[#This Row],[Stage]],$P$1:$V$9,MATCH(ResultsInd[[#This Row],[Category]],$Q$1:$V$1,0)+1,FALSE))</f>
        <v>PR1</v>
      </c>
      <c r="Z305" s="264" t="str">
        <f>IF(ResultsInd[[#This Row],[Score_OK]],IF(ResultsInd[[#This Row],[Level]]="R",ResultsInd[[#This Row],[Category]]&amp;"-"&amp;IF(ResultsInd[[#This Row],[LoseInKO]]=ResultsInd[[#This Row],[Category]]&amp;"-"&amp;ResultsInd[[#This Row],[Player A]],ResultsInd[[#This Row],[Player B]],ResultsInd[[#This Row],[Player A]]),""),"")</f>
        <v/>
      </c>
      <c r="AB305" s="91"/>
      <c r="AC305" s="12" t="str">
        <f t="shared" si="263"/>
        <v>VETERANS</v>
      </c>
      <c r="AD305" s="309" t="s">
        <v>10452</v>
      </c>
      <c r="AE305" s="310"/>
      <c r="AF305" s="311"/>
      <c r="AG305" s="292">
        <f>IF(AP305="","",SMALL(AH302:AH308,ROWS(AG302:AG305)))</f>
        <v>4004</v>
      </c>
      <c r="AH305" s="293">
        <f>IF(AP305="","",RANK(AL305,AL302:AL308)*1000+ROWS(AH302:AH305))</f>
        <v>4004</v>
      </c>
      <c r="AI305" s="316">
        <f t="shared" si="257"/>
        <v>0</v>
      </c>
      <c r="AJ305" s="415" t="b">
        <f>AND(AO305&lt;&gt;"",AO305&gt;0,COUNTIF(AI302:AI308,AI305)&gt;1)</f>
        <v>0</v>
      </c>
      <c r="AK305" s="316">
        <f t="shared" si="258"/>
        <v>0</v>
      </c>
      <c r="AL305" s="317">
        <f t="shared" si="259"/>
        <v>-59800</v>
      </c>
      <c r="AM305" s="415" t="b">
        <f>AND(AO305&lt;&gt;"",AO305&gt;0,COUNTIF(AL302:AL308,AL305)&gt;1)</f>
        <v>0</v>
      </c>
      <c r="AN305" s="306">
        <f t="shared" si="260"/>
        <v>0</v>
      </c>
      <c r="AO305" s="307">
        <f t="shared" si="261"/>
        <v>3</v>
      </c>
      <c r="AP305" s="307">
        <f>IF(OR(AC301="",AD305=""),"",COUNTIF(ResultsInd[Win],AC301&amp;"-"&amp;AD305))</f>
        <v>0</v>
      </c>
      <c r="AQ305" s="307">
        <f>IF(OR(AC301="",AD305=""),"",COUNTIF(ResultsInd[Draw1],AC301&amp;"-"&amp;AD305)+COUNTIF(ResultsInd[Draw2],AC301&amp;"-"&amp;AD305))</f>
        <v>0</v>
      </c>
      <c r="AR305" s="307">
        <f>IF(OR(AC301="",AD305=""),"",COUNTIF(ResultsInd[Lose],AC301&amp;"-"&amp;AD305))</f>
        <v>3</v>
      </c>
      <c r="AS305" s="307">
        <f>IF(OR(AC301="",AD305=""),"",SUMIFS(ResultsInd[Goal-A],ResultsInd[Category],AC301,ResultsInd[Stage],"Groups",ResultsInd[Player A],AD305)+SUMIFS(ResultsInd[Goal-B],ResultsInd[Category],AC301,ResultsInd[Stage],"Groups",ResultsInd[Player B],AD305))</f>
        <v>2</v>
      </c>
      <c r="AT305" s="307">
        <f>IF(OR(AC301="",AD305=""),"",SUMIFS(ResultsInd[Goal-B],ResultsInd[Category],AC301,ResultsInd[Stage],"Groups",ResultsInd[Player A],AD305)+SUMIFS(ResultsInd[Goal-A],ResultsInd[Category],AC301,ResultsInd[Stage],"Groups",ResultsInd[Player B],AD305))</f>
        <v>8</v>
      </c>
      <c r="AU305" s="308">
        <f t="shared" si="264"/>
        <v>-6</v>
      </c>
      <c r="AV305" s="469" t="b">
        <f>IF(AG305="","",OR(VLOOKUP(AG305,AH302:AU308,3,FALSE),VLOOKUP(AG305,AH302:AU308,6,FALSE)))</f>
        <v>0</v>
      </c>
      <c r="AW305" s="298">
        <f t="shared" si="262"/>
        <v>4</v>
      </c>
      <c r="AX305" s="285" t="str">
        <f>IF(AG305="","",INDEX(AD302:AD308,MATCH(AG305,AH302:AH308,0)))</f>
        <v>Marco De Bruin</v>
      </c>
      <c r="AY305" s="286">
        <f>IF(AG305="","",VLOOKUP(AG305,AH302:AU308,COLUMN()-COLUMN(AR301),FALSE))</f>
        <v>0</v>
      </c>
      <c r="AZ305" s="286">
        <f>IF(AG305="","",VLOOKUP(AG305,AH302:AU308,COLUMN()-COLUMN(AR301),FALSE))</f>
        <v>3</v>
      </c>
      <c r="BA305" s="286">
        <f>IF(AG305="","",VLOOKUP(AG305,AH302:AU308,COLUMN()-COLUMN(AR301),FALSE))</f>
        <v>0</v>
      </c>
      <c r="BB305" s="286">
        <f>IF(AG305="","",VLOOKUP(AG305,AH302:AU308,COLUMN()-COLUMN(AR301),FALSE))</f>
        <v>0</v>
      </c>
      <c r="BC305" s="286">
        <f>IF(AG305="","",VLOOKUP(AG305,AH302:AU308,COLUMN()-COLUMN(AR301),FALSE))</f>
        <v>3</v>
      </c>
      <c r="BD305" s="286">
        <f>IF(AG305="","",VLOOKUP(AG305,AH302:AU308,COLUMN()-COLUMN(AR301),FALSE))</f>
        <v>2</v>
      </c>
      <c r="BE305" s="286">
        <f>IF(AG305="","",VLOOKUP(AG305,AH302:AU308,COLUMN()-COLUMN(AR301),FALSE))</f>
        <v>8</v>
      </c>
      <c r="BF305" s="301">
        <f>IF(AG305="","",VLOOKUP(AG305,AH302:AU308,COLUMN()-COLUMN(AR301),FALSE))</f>
        <v>-6</v>
      </c>
    </row>
    <row r="306" spans="1:58" ht="12" thickBot="1" x14ac:dyDescent="0.25">
      <c r="A306" s="62"/>
      <c r="B306" s="62"/>
      <c r="C306" s="62"/>
      <c r="D306" s="62"/>
      <c r="E306" s="345"/>
      <c r="F306" s="345"/>
      <c r="G306" s="113"/>
      <c r="H306" s="113"/>
      <c r="I306" s="114"/>
      <c r="J306" s="114"/>
      <c r="K306" s="114"/>
      <c r="L306" s="81"/>
      <c r="M306" s="265" t="b">
        <f>NOT(ISERROR(ResultsInd[[#This Row],[Goal-A]]+ResultsInd[[#This Row],[Goal-B]]))</f>
        <v>1</v>
      </c>
      <c r="N306" s="265">
        <f>VALUE(ResultsInd[[#This Row],[Score-A]])</f>
        <v>0</v>
      </c>
      <c r="O306" s="265">
        <f>VALUE(ResultsInd[[#This Row],[Score-B]])</f>
        <v>0</v>
      </c>
      <c r="P306" s="265" t="str">
        <f ca="1">IF(AND(ResultsInd[[#This Row],[Category]]&lt;&gt;"",ResultsInd[[#This Row],[Player A]]&lt;&gt;""),COUNTIF(INDIRECT(ResultsInd[[#This Row],[Category]]&amp;"List[Retained Player Name]"),ResultsInd[[#This Row],[Player A]]),"")</f>
        <v/>
      </c>
      <c r="Q306" s="265" t="str">
        <f ca="1">IF(AND(ResultsInd[[#This Row],[Category]]&lt;&gt;"",ResultsInd[[#This Row],[Player B]]&lt;&gt;""),COUNTIF(INDIRECT(ResultsInd[[#This Row],[Category]]&amp;"List[Retained Player Name]"),ResultsInd[[#This Row],[Player B]]),"")</f>
        <v/>
      </c>
      <c r="R3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6" s="265" t="str">
        <f>IF(ResultsInd[[#This Row],[Score_OK]],IF(ResultsInd[[#This Row],[Stage]]="Groups",ResultsInd[[#This Row],[Category]]&amp;"-"&amp;IF(ResultsInd[[#This Row],[Player B]]="","",IF(ResultsInd[[#This Row],[Score-A]]=ResultsInd[[#This Row],[Score-B]],ResultsInd[[#This Row],[Player A]],"")),""),"")</f>
        <v/>
      </c>
      <c r="T306" s="265" t="str">
        <f>IF(ResultsInd[[#This Row],[Score_OK]],IF(ResultsInd[[#This Row],[Stage]]="Groups",ResultsInd[[#This Row],[Category]]&amp;"-"&amp;IF(ResultsInd[[#This Row],[Player B]]="","",IF(ResultsInd[[#This Row],[Score-A]]=ResultsInd[[#This Row],[Score-B]],ResultsInd[[#This Row],[Player B]],"")),""),"")</f>
        <v/>
      </c>
      <c r="U3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6" s="264" t="str">
        <f>IF(ResultsInd[[#This Row],[Category]]="","",VLOOKUP(ResultsInd[[#This Row],[Stage]],$P$1:$V$9,MATCH(ResultsInd[[#This Row],[Category]],$Q$1:$V$1,0)+1,FALSE))</f>
        <v/>
      </c>
      <c r="Z306" s="264" t="str">
        <f>IF(ResultsInd[[#This Row],[Score_OK]],IF(ResultsInd[[#This Row],[Level]]="R",ResultsInd[[#This Row],[Category]]&amp;"-"&amp;IF(ResultsInd[[#This Row],[LoseInKO]]=ResultsInd[[#This Row],[Category]]&amp;"-"&amp;ResultsInd[[#This Row],[Player A]],ResultsInd[[#This Row],[Player B]],ResultsInd[[#This Row],[Player A]]),""),"")</f>
        <v/>
      </c>
      <c r="AB306" s="91"/>
      <c r="AC306" s="12" t="str">
        <f t="shared" si="263"/>
        <v>VETERANS</v>
      </c>
      <c r="AD306" s="309"/>
      <c r="AE306" s="310"/>
      <c r="AF306" s="311"/>
      <c r="AG306" s="292" t="str">
        <f>IF(AP306="","",SMALL(AH302:AH308,ROWS(AG302:AG306)))</f>
        <v/>
      </c>
      <c r="AH306" s="293" t="str">
        <f>IF(AP306="","",RANK(AL306,AL302:AL308)*1000+ROWS(AH302:AH306))</f>
        <v/>
      </c>
      <c r="AI306" s="316" t="str">
        <f t="shared" si="257"/>
        <v/>
      </c>
      <c r="AJ306" s="415" t="b">
        <f>AND(AO306&lt;&gt;"",AO306&gt;0,COUNTIF(AI302:AI308,AI306)&gt;1)</f>
        <v>0</v>
      </c>
      <c r="AK306" s="316" t="str">
        <f t="shared" si="258"/>
        <v/>
      </c>
      <c r="AL306" s="317" t="str">
        <f t="shared" si="259"/>
        <v/>
      </c>
      <c r="AM306" s="415" t="b">
        <f>AND(AO306&lt;&gt;"",AO306&gt;0,COUNTIF(AL302:AL308,AL306)&gt;1)</f>
        <v>0</v>
      </c>
      <c r="AN306" s="306" t="str">
        <f t="shared" si="260"/>
        <v/>
      </c>
      <c r="AO306" s="307" t="str">
        <f t="shared" si="261"/>
        <v/>
      </c>
      <c r="AP306" s="307" t="str">
        <f>IF(OR(AC301="",AD306=""),"",COUNTIF(ResultsInd[Win],AC301&amp;"-"&amp;AD306))</f>
        <v/>
      </c>
      <c r="AQ306" s="307" t="str">
        <f>IF(OR(AC301="",AD306=""),"",COUNTIF(ResultsInd[Draw1],AC301&amp;"-"&amp;AD306)+COUNTIF(ResultsInd[Draw2],AC301&amp;"-"&amp;AD306))</f>
        <v/>
      </c>
      <c r="AR306" s="307" t="str">
        <f>IF(OR(AC301="",AD306=""),"",COUNTIF(ResultsInd[Lose],AC301&amp;"-"&amp;AD306))</f>
        <v/>
      </c>
      <c r="AS306" s="307" t="str">
        <f>IF(OR(AC301="",AD306=""),"",SUMIFS(ResultsInd[Goal-A],ResultsInd[Category],AC301,ResultsInd[Stage],"Groups",ResultsInd[Player A],AD306)+SUMIFS(ResultsInd[Goal-B],ResultsInd[Category],AC301,ResultsInd[Stage],"Groups",ResultsInd[Player B],AD306))</f>
        <v/>
      </c>
      <c r="AT306" s="307" t="str">
        <f>IF(OR(AC301="",AD306=""),"",SUMIFS(ResultsInd[Goal-B],ResultsInd[Category],AC301,ResultsInd[Stage],"Groups",ResultsInd[Player A],AD306)+SUMIFS(ResultsInd[Goal-A],ResultsInd[Category],AC301,ResultsInd[Stage],"Groups",ResultsInd[Player B],AD306))</f>
        <v/>
      </c>
      <c r="AU306" s="308" t="str">
        <f t="shared" si="264"/>
        <v/>
      </c>
      <c r="AV306" s="469" t="str">
        <f>IF(AG306="","",OR(VLOOKUP(AG306,AH302:AU308,3,FALSE),VLOOKUP(AG306,AH302:AU308,6,FALSE)))</f>
        <v/>
      </c>
      <c r="AW306" s="298" t="str">
        <f t="shared" si="262"/>
        <v/>
      </c>
      <c r="AX306" s="285" t="str">
        <f>IF(AG306="","",INDEX(AD302:AD308,MATCH(AG306,AH302:AH308,0)))</f>
        <v/>
      </c>
      <c r="AY306" s="286" t="str">
        <f>IF(AG306="","",VLOOKUP(AG306,AH302:AU308,COLUMN()-COLUMN(AR301),FALSE))</f>
        <v/>
      </c>
      <c r="AZ306" s="286" t="str">
        <f>IF(AG306="","",VLOOKUP(AG306,AH302:AU308,COLUMN()-COLUMN(AR301),FALSE))</f>
        <v/>
      </c>
      <c r="BA306" s="286" t="str">
        <f>IF(AG306="","",VLOOKUP(AG306,AH302:AU308,COLUMN()-COLUMN(AR301),FALSE))</f>
        <v/>
      </c>
      <c r="BB306" s="286" t="str">
        <f>IF(AG306="","",VLOOKUP(AG306,AH302:AU308,COLUMN()-COLUMN(AR301),FALSE))</f>
        <v/>
      </c>
      <c r="BC306" s="286" t="str">
        <f>IF(AG306="","",VLOOKUP(AG306,AH302:AU308,COLUMN()-COLUMN(AR301),FALSE))</f>
        <v/>
      </c>
      <c r="BD306" s="286" t="str">
        <f>IF(AG306="","",VLOOKUP(AG306,AH302:AU308,COLUMN()-COLUMN(AR301),FALSE))</f>
        <v/>
      </c>
      <c r="BE306" s="286" t="str">
        <f>IF(AG306="","",VLOOKUP(AG306,AH302:AU308,COLUMN()-COLUMN(AR301),FALSE))</f>
        <v/>
      </c>
      <c r="BF306" s="301" t="str">
        <f>IF(AG306="","",VLOOKUP(AG306,AH302:AU308,COLUMN()-COLUMN(AR301),FALSE))</f>
        <v/>
      </c>
    </row>
    <row r="307" spans="1:58" ht="12" thickBot="1" x14ac:dyDescent="0.25">
      <c r="A307" s="62"/>
      <c r="B307" s="62"/>
      <c r="C307" s="62"/>
      <c r="D307" s="62"/>
      <c r="E307" s="345"/>
      <c r="F307" s="345"/>
      <c r="G307" s="113"/>
      <c r="H307" s="113"/>
      <c r="I307" s="114"/>
      <c r="J307" s="114"/>
      <c r="K307" s="114"/>
      <c r="L307" s="81"/>
      <c r="M307" s="265" t="b">
        <f>NOT(ISERROR(ResultsInd[[#This Row],[Goal-A]]+ResultsInd[[#This Row],[Goal-B]]))</f>
        <v>1</v>
      </c>
      <c r="N307" s="265">
        <f>VALUE(ResultsInd[[#This Row],[Score-A]])</f>
        <v>0</v>
      </c>
      <c r="O307" s="265">
        <f>VALUE(ResultsInd[[#This Row],[Score-B]])</f>
        <v>0</v>
      </c>
      <c r="P307" s="265" t="str">
        <f ca="1">IF(AND(ResultsInd[[#This Row],[Category]]&lt;&gt;"",ResultsInd[[#This Row],[Player A]]&lt;&gt;""),COUNTIF(INDIRECT(ResultsInd[[#This Row],[Category]]&amp;"List[Retained Player Name]"),ResultsInd[[#This Row],[Player A]]),"")</f>
        <v/>
      </c>
      <c r="Q307" s="265" t="str">
        <f ca="1">IF(AND(ResultsInd[[#This Row],[Category]]&lt;&gt;"",ResultsInd[[#This Row],[Player B]]&lt;&gt;""),COUNTIF(INDIRECT(ResultsInd[[#This Row],[Category]]&amp;"List[Retained Player Name]"),ResultsInd[[#This Row],[Player B]]),"")</f>
        <v/>
      </c>
      <c r="R3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7" s="265" t="str">
        <f>IF(ResultsInd[[#This Row],[Score_OK]],IF(ResultsInd[[#This Row],[Stage]]="Groups",ResultsInd[[#This Row],[Category]]&amp;"-"&amp;IF(ResultsInd[[#This Row],[Player B]]="","",IF(ResultsInd[[#This Row],[Score-A]]=ResultsInd[[#This Row],[Score-B]],ResultsInd[[#This Row],[Player A]],"")),""),"")</f>
        <v/>
      </c>
      <c r="T307" s="265" t="str">
        <f>IF(ResultsInd[[#This Row],[Score_OK]],IF(ResultsInd[[#This Row],[Stage]]="Groups",ResultsInd[[#This Row],[Category]]&amp;"-"&amp;IF(ResultsInd[[#This Row],[Player B]]="","",IF(ResultsInd[[#This Row],[Score-A]]=ResultsInd[[#This Row],[Score-B]],ResultsInd[[#This Row],[Player B]],"")),""),"")</f>
        <v/>
      </c>
      <c r="U3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7" s="264" t="str">
        <f>IF(ResultsInd[[#This Row],[Category]]="","",VLOOKUP(ResultsInd[[#This Row],[Stage]],$P$1:$V$9,MATCH(ResultsInd[[#This Row],[Category]],$Q$1:$V$1,0)+1,FALSE))</f>
        <v/>
      </c>
      <c r="Z307" s="264" t="str">
        <f>IF(ResultsInd[[#This Row],[Score_OK]],IF(ResultsInd[[#This Row],[Level]]="R",ResultsInd[[#This Row],[Category]]&amp;"-"&amp;IF(ResultsInd[[#This Row],[LoseInKO]]=ResultsInd[[#This Row],[Category]]&amp;"-"&amp;ResultsInd[[#This Row],[Player A]],ResultsInd[[#This Row],[Player B]],ResultsInd[[#This Row],[Player A]]),""),"")</f>
        <v/>
      </c>
      <c r="AB307" s="8"/>
      <c r="AC307" s="12" t="str">
        <f t="shared" si="263"/>
        <v>VETERANS</v>
      </c>
      <c r="AD307" s="309"/>
      <c r="AE307" s="310"/>
      <c r="AF307" s="311"/>
      <c r="AG307" s="292" t="str">
        <f>IF(AP307="","",SMALL(AH302:AH308,ROWS(AG302:AG307)))</f>
        <v/>
      </c>
      <c r="AH307" s="293" t="str">
        <f>IF(AP307="","",RANK(AL307,AL302:AL308)*1000+ROWS(AH302:AH307))</f>
        <v/>
      </c>
      <c r="AI307" s="316" t="str">
        <f t="shared" si="257"/>
        <v/>
      </c>
      <c r="AJ307" s="415" t="b">
        <f>AND(AO307&lt;&gt;"",AO307&gt;0,COUNTIF(AI302:AI308,AI307)&gt;1)</f>
        <v>0</v>
      </c>
      <c r="AK307" s="316" t="str">
        <f t="shared" si="258"/>
        <v/>
      </c>
      <c r="AL307" s="317" t="str">
        <f t="shared" si="259"/>
        <v/>
      </c>
      <c r="AM307" s="415" t="b">
        <f>AND(AO307&lt;&gt;"",AO307&gt;0,COUNTIF(AL302:AL308,AL307)&gt;1)</f>
        <v>0</v>
      </c>
      <c r="AN307" s="306" t="str">
        <f t="shared" si="260"/>
        <v/>
      </c>
      <c r="AO307" s="307" t="str">
        <f t="shared" si="261"/>
        <v/>
      </c>
      <c r="AP307" s="307" t="str">
        <f>IF(OR(AC301="",AD307=""),"",COUNTIF(ResultsInd[Win],AC301&amp;"-"&amp;AD307))</f>
        <v/>
      </c>
      <c r="AQ307" s="307" t="str">
        <f>IF(OR(AC301="",AD307=""),"",COUNTIF(ResultsInd[Draw1],AC301&amp;"-"&amp;AD307)+COUNTIF(ResultsInd[Draw2],AC301&amp;"-"&amp;AD307))</f>
        <v/>
      </c>
      <c r="AR307" s="307" t="str">
        <f>IF(OR(AC301="",AD307=""),"",COUNTIF(ResultsInd[Lose],AC301&amp;"-"&amp;AD307))</f>
        <v/>
      </c>
      <c r="AS307" s="307" t="str">
        <f>IF(OR(AC301="",AD307=""),"",SUMIFS(ResultsInd[Goal-A],ResultsInd[Category],AC301,ResultsInd[Stage],"Groups",ResultsInd[Player A],AD307)+SUMIFS(ResultsInd[Goal-B],ResultsInd[Category],AC301,ResultsInd[Stage],"Groups",ResultsInd[Player B],AD307))</f>
        <v/>
      </c>
      <c r="AT307" s="307" t="str">
        <f>IF(OR(AC301="",AD307=""),"",SUMIFS(ResultsInd[Goal-B],ResultsInd[Category],AC301,ResultsInd[Stage],"Groups",ResultsInd[Player A],AD307)+SUMIFS(ResultsInd[Goal-A],ResultsInd[Category],AC301,ResultsInd[Stage],"Groups",ResultsInd[Player B],AD307))</f>
        <v/>
      </c>
      <c r="AU307" s="308" t="str">
        <f t="shared" si="264"/>
        <v/>
      </c>
      <c r="AV307" s="469" t="str">
        <f>IF(AG307="","",OR(VLOOKUP(AG307,AH302:AU308,3,FALSE),VLOOKUP(AG307,AH302:AU308,6,FALSE)))</f>
        <v/>
      </c>
      <c r="AW307" s="298" t="str">
        <f t="shared" si="262"/>
        <v/>
      </c>
      <c r="AX307" s="285" t="str">
        <f>IF(AG307="","",INDEX(AD302:AD308,MATCH(AG307,AH302:AH308,0)))</f>
        <v/>
      </c>
      <c r="AY307" s="286" t="str">
        <f>IF(AG307="","",VLOOKUP(AG307,AH302:AU308,COLUMN()-COLUMN(AR301),FALSE))</f>
        <v/>
      </c>
      <c r="AZ307" s="286" t="str">
        <f>IF(AG307="","",VLOOKUP(AG307,AH302:AU308,COLUMN()-COLUMN(AR301),FALSE))</f>
        <v/>
      </c>
      <c r="BA307" s="286" t="str">
        <f>IF(AG307="","",VLOOKUP(AG307,AH302:AU308,COLUMN()-COLUMN(AR301),FALSE))</f>
        <v/>
      </c>
      <c r="BB307" s="286" t="str">
        <f>IF(AG307="","",VLOOKUP(AG307,AH302:AU308,COLUMN()-COLUMN(AR301),FALSE))</f>
        <v/>
      </c>
      <c r="BC307" s="286" t="str">
        <f>IF(AG307="","",VLOOKUP(AG307,AH302:AU308,COLUMN()-COLUMN(AR301),FALSE))</f>
        <v/>
      </c>
      <c r="BD307" s="286" t="str">
        <f>IF(AG307="","",VLOOKUP(AG307,AH302:AU308,COLUMN()-COLUMN(AR301),FALSE))</f>
        <v/>
      </c>
      <c r="BE307" s="286" t="str">
        <f>IF(AG307="","",VLOOKUP(AG307,AH302:AU308,COLUMN()-COLUMN(AR301),FALSE))</f>
        <v/>
      </c>
      <c r="BF307" s="301" t="str">
        <f>IF(AG307="","",VLOOKUP(AG307,AH302:AU308,COLUMN()-COLUMN(AR301),FALSE))</f>
        <v/>
      </c>
    </row>
    <row r="308" spans="1:58" ht="12" thickBot="1" x14ac:dyDescent="0.25">
      <c r="A308" s="62"/>
      <c r="B308" s="62"/>
      <c r="C308" s="62"/>
      <c r="D308" s="62"/>
      <c r="E308" s="345"/>
      <c r="F308" s="345"/>
      <c r="G308" s="113"/>
      <c r="H308" s="113"/>
      <c r="I308" s="114"/>
      <c r="J308" s="114"/>
      <c r="K308" s="114"/>
      <c r="L308" s="81"/>
      <c r="M308" s="265" t="b">
        <f>NOT(ISERROR(ResultsInd[[#This Row],[Goal-A]]+ResultsInd[[#This Row],[Goal-B]]))</f>
        <v>1</v>
      </c>
      <c r="N308" s="265">
        <f>VALUE(ResultsInd[[#This Row],[Score-A]])</f>
        <v>0</v>
      </c>
      <c r="O308" s="265">
        <f>VALUE(ResultsInd[[#This Row],[Score-B]])</f>
        <v>0</v>
      </c>
      <c r="P308" s="265" t="str">
        <f ca="1">IF(AND(ResultsInd[[#This Row],[Category]]&lt;&gt;"",ResultsInd[[#This Row],[Player A]]&lt;&gt;""),COUNTIF(INDIRECT(ResultsInd[[#This Row],[Category]]&amp;"List[Retained Player Name]"),ResultsInd[[#This Row],[Player A]]),"")</f>
        <v/>
      </c>
      <c r="Q308" s="265" t="str">
        <f ca="1">IF(AND(ResultsInd[[#This Row],[Category]]&lt;&gt;"",ResultsInd[[#This Row],[Player B]]&lt;&gt;""),COUNTIF(INDIRECT(ResultsInd[[#This Row],[Category]]&amp;"List[Retained Player Name]"),ResultsInd[[#This Row],[Player B]]),"")</f>
        <v/>
      </c>
      <c r="R3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8" s="265" t="str">
        <f>IF(ResultsInd[[#This Row],[Score_OK]],IF(ResultsInd[[#This Row],[Stage]]="Groups",ResultsInd[[#This Row],[Category]]&amp;"-"&amp;IF(ResultsInd[[#This Row],[Player B]]="","",IF(ResultsInd[[#This Row],[Score-A]]=ResultsInd[[#This Row],[Score-B]],ResultsInd[[#This Row],[Player A]],"")),""),"")</f>
        <v/>
      </c>
      <c r="T308" s="265" t="str">
        <f>IF(ResultsInd[[#This Row],[Score_OK]],IF(ResultsInd[[#This Row],[Stage]]="Groups",ResultsInd[[#This Row],[Category]]&amp;"-"&amp;IF(ResultsInd[[#This Row],[Player B]]="","",IF(ResultsInd[[#This Row],[Score-A]]=ResultsInd[[#This Row],[Score-B]],ResultsInd[[#This Row],[Player B]],"")),""),"")</f>
        <v/>
      </c>
      <c r="U3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8" s="264" t="str">
        <f>IF(ResultsInd[[#This Row],[Category]]="","",VLOOKUP(ResultsInd[[#This Row],[Stage]],$P$1:$V$9,MATCH(ResultsInd[[#This Row],[Category]],$Q$1:$V$1,0)+1,FALSE))</f>
        <v/>
      </c>
      <c r="Z308" s="264" t="str">
        <f>IF(ResultsInd[[#This Row],[Score_OK]],IF(ResultsInd[[#This Row],[Level]]="R",ResultsInd[[#This Row],[Category]]&amp;"-"&amp;IF(ResultsInd[[#This Row],[LoseInKO]]=ResultsInd[[#This Row],[Category]]&amp;"-"&amp;ResultsInd[[#This Row],[Player A]],ResultsInd[[#This Row],[Player B]],ResultsInd[[#This Row],[Player A]]),""),"")</f>
        <v/>
      </c>
      <c r="AB308" s="8"/>
      <c r="AC308" s="12" t="str">
        <f t="shared" si="263"/>
        <v>VETERANS</v>
      </c>
      <c r="AD308" s="312"/>
      <c r="AE308" s="313"/>
      <c r="AF308" s="314"/>
      <c r="AG308" s="294" t="str">
        <f>IF(AP308="","",SMALL(AH302:AH308,ROWS(AG302:AG308)))</f>
        <v/>
      </c>
      <c r="AH308" s="295" t="str">
        <f>IF(AP308="","",RANK(AL308,AL302:AL308)*1000+ROWS(AH302:AH308))</f>
        <v/>
      </c>
      <c r="AI308" s="318" t="str">
        <f t="shared" si="257"/>
        <v/>
      </c>
      <c r="AJ308" s="416" t="b">
        <f>AND(AO308&lt;&gt;"",AO308&gt;0,COUNTIF(AI302:AI308,AI308)&gt;1)</f>
        <v>0</v>
      </c>
      <c r="AK308" s="318" t="str">
        <f t="shared" si="258"/>
        <v/>
      </c>
      <c r="AL308" s="319" t="str">
        <f t="shared" si="259"/>
        <v/>
      </c>
      <c r="AM308" s="416" t="b">
        <f>AND(AO308&lt;&gt;"",AO308&gt;0,COUNTIF(AL302:AL308,AL308)&gt;1)</f>
        <v>0</v>
      </c>
      <c r="AN308" s="306" t="str">
        <f t="shared" si="260"/>
        <v/>
      </c>
      <c r="AO308" s="307" t="str">
        <f t="shared" si="261"/>
        <v/>
      </c>
      <c r="AP308" s="307" t="str">
        <f>IF(OR(AC301="",AD308=""),"",COUNTIF(ResultsInd[Win],AC301&amp;"-"&amp;AD308))</f>
        <v/>
      </c>
      <c r="AQ308" s="307" t="str">
        <f>IF(OR(AC301="",AD308=""),"",COUNTIF(ResultsInd[Draw1],AC301&amp;"-"&amp;AD308)+COUNTIF(ResultsInd[Draw2],AC301&amp;"-"&amp;AD308))</f>
        <v/>
      </c>
      <c r="AR308" s="307" t="str">
        <f>IF(OR(AC301="",AD308=""),"",COUNTIF(ResultsInd[Lose],AC301&amp;"-"&amp;AD308))</f>
        <v/>
      </c>
      <c r="AS308" s="307" t="str">
        <f>IF(OR(AC301="",AD308=""),"",SUMIFS(ResultsInd[Goal-A],ResultsInd[Category],AC301,ResultsInd[Stage],"Groups",ResultsInd[Player A],AD308)+SUMIFS(ResultsInd[Goal-B],ResultsInd[Category],AC301,ResultsInd[Stage],"Groups",ResultsInd[Player B],AD308))</f>
        <v/>
      </c>
      <c r="AT308" s="307" t="str">
        <f>IF(OR(AC301="",AD308=""),"",SUMIFS(ResultsInd[Goal-B],ResultsInd[Category],AC301,ResultsInd[Stage],"Groups",ResultsInd[Player A],AD308)+SUMIFS(ResultsInd[Goal-A],ResultsInd[Category],AC301,ResultsInd[Stage],"Groups",ResultsInd[Player B],AD308))</f>
        <v/>
      </c>
      <c r="AU308" s="308" t="str">
        <f t="shared" si="264"/>
        <v/>
      </c>
      <c r="AV308" s="469" t="str">
        <f>IF(AG308="","",OR(VLOOKUP(AG308,AH302:AU308,3,FALSE),VLOOKUP(AG308,AH302:AU308,6,FALSE)))</f>
        <v/>
      </c>
      <c r="AW308" s="299" t="str">
        <f t="shared" si="262"/>
        <v/>
      </c>
      <c r="AX308" s="287" t="str">
        <f>IF(AG308="","",INDEX(AD302:AD308,MATCH(AG308,AH302:AH308,0)))</f>
        <v/>
      </c>
      <c r="AY308" s="288" t="str">
        <f>IF(AG308="","",VLOOKUP(AG308,AH302:AU308,COLUMN()-COLUMN(AR301),FALSE))</f>
        <v/>
      </c>
      <c r="AZ308" s="288" t="str">
        <f>IF(AG308="","",VLOOKUP(AG308,AH302:AU308,COLUMN()-COLUMN(AR301),FALSE))</f>
        <v/>
      </c>
      <c r="BA308" s="288" t="str">
        <f>IF(AG308="","",VLOOKUP(AG308,AH302:AU308,COLUMN()-COLUMN(AR301),FALSE))</f>
        <v/>
      </c>
      <c r="BB308" s="288" t="str">
        <f>IF(AG308="","",VLOOKUP(AG308,AH302:AU308,COLUMN()-COLUMN(AR301),FALSE))</f>
        <v/>
      </c>
      <c r="BC308" s="288" t="str">
        <f>IF(AG308="","",VLOOKUP(AG308,AH302:AU308,COLUMN()-COLUMN(AR301),FALSE))</f>
        <v/>
      </c>
      <c r="BD308" s="288" t="str">
        <f>IF(AG308="","",VLOOKUP(AG308,AH302:AU308,COLUMN()-COLUMN(AR301),FALSE))</f>
        <v/>
      </c>
      <c r="BE308" s="288" t="str">
        <f>IF(AG308="","",VLOOKUP(AG308,AH302:AU308,COLUMN()-COLUMN(AR301),FALSE))</f>
        <v/>
      </c>
      <c r="BF308" s="302" t="str">
        <f>IF(AG308="","",VLOOKUP(AG308,AH302:AU308,COLUMN()-COLUMN(AR301),FALSE))</f>
        <v/>
      </c>
    </row>
    <row r="309" spans="1:58" ht="13.5" thickBot="1" x14ac:dyDescent="0.25">
      <c r="A309" s="62"/>
      <c r="B309" s="62"/>
      <c r="C309" s="62"/>
      <c r="D309" s="62"/>
      <c r="E309" s="345"/>
      <c r="F309" s="345"/>
      <c r="G309" s="113"/>
      <c r="H309" s="113"/>
      <c r="I309" s="114"/>
      <c r="J309" s="114"/>
      <c r="K309" s="114"/>
      <c r="L309" s="81"/>
      <c r="M309" s="265" t="b">
        <f>NOT(ISERROR(ResultsInd[[#This Row],[Goal-A]]+ResultsInd[[#This Row],[Goal-B]]))</f>
        <v>1</v>
      </c>
      <c r="N309" s="265">
        <f>VALUE(ResultsInd[[#This Row],[Score-A]])</f>
        <v>0</v>
      </c>
      <c r="O309" s="265">
        <f>VALUE(ResultsInd[[#This Row],[Score-B]])</f>
        <v>0</v>
      </c>
      <c r="P309" s="265" t="str">
        <f ca="1">IF(AND(ResultsInd[[#This Row],[Category]]&lt;&gt;"",ResultsInd[[#This Row],[Player A]]&lt;&gt;""),COUNTIF(INDIRECT(ResultsInd[[#This Row],[Category]]&amp;"List[Retained Player Name]"),ResultsInd[[#This Row],[Player A]]),"")</f>
        <v/>
      </c>
      <c r="Q309" s="265" t="str">
        <f ca="1">IF(AND(ResultsInd[[#This Row],[Category]]&lt;&gt;"",ResultsInd[[#This Row],[Player B]]&lt;&gt;""),COUNTIF(INDIRECT(ResultsInd[[#This Row],[Category]]&amp;"List[Retained Player Name]"),ResultsInd[[#This Row],[Player B]]),"")</f>
        <v/>
      </c>
      <c r="R3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9" s="265" t="str">
        <f>IF(ResultsInd[[#This Row],[Score_OK]],IF(ResultsInd[[#This Row],[Stage]]="Groups",ResultsInd[[#This Row],[Category]]&amp;"-"&amp;IF(ResultsInd[[#This Row],[Player B]]="","",IF(ResultsInd[[#This Row],[Score-A]]=ResultsInd[[#This Row],[Score-B]],ResultsInd[[#This Row],[Player A]],"")),""),"")</f>
        <v/>
      </c>
      <c r="T309" s="265" t="str">
        <f>IF(ResultsInd[[#This Row],[Score_OK]],IF(ResultsInd[[#This Row],[Stage]]="Groups",ResultsInd[[#This Row],[Category]]&amp;"-"&amp;IF(ResultsInd[[#This Row],[Player B]]="","",IF(ResultsInd[[#This Row],[Score-A]]=ResultsInd[[#This Row],[Score-B]],ResultsInd[[#This Row],[Player B]],"")),""),"")</f>
        <v/>
      </c>
      <c r="U3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9" s="264" t="str">
        <f>IF(ResultsInd[[#This Row],[Category]]="","",VLOOKUP(ResultsInd[[#This Row],[Stage]],$P$1:$V$9,MATCH(ResultsInd[[#This Row],[Category]],$Q$1:$V$1,0)+1,FALSE))</f>
        <v/>
      </c>
      <c r="Z309" s="264" t="str">
        <f>IF(ResultsInd[[#This Row],[Score_OK]],IF(ResultsInd[[#This Row],[Level]]="R",ResultsInd[[#This Row],[Category]]&amp;"-"&amp;IF(ResultsInd[[#This Row],[LoseInKO]]=ResultsInd[[#This Row],[Category]]&amp;"-"&amp;ResultsInd[[#This Row],[Player A]],ResultsInd[[#This Row],[Player B]],ResultsInd[[#This Row],[Player A]]),""),"")</f>
        <v/>
      </c>
      <c r="AB309" s="8"/>
      <c r="AC309" s="8"/>
      <c r="AF309" s="170"/>
      <c r="AG309" s="101"/>
      <c r="AH309" s="101"/>
      <c r="AN309" s="170"/>
      <c r="AO309" s="170"/>
      <c r="AP309" s="170"/>
      <c r="AQ309" s="172"/>
      <c r="AR309" s="173"/>
      <c r="AS309" s="173"/>
      <c r="AT309" s="173"/>
      <c r="AU309" s="101"/>
      <c r="AV309" s="101"/>
      <c r="AW309" s="101"/>
      <c r="AX309" s="101"/>
      <c r="AY309" s="101"/>
      <c r="AZ309" s="101"/>
    </row>
    <row r="310" spans="1:58" ht="12" thickBot="1" x14ac:dyDescent="0.25">
      <c r="A310" s="62" t="s">
        <v>12261</v>
      </c>
      <c r="B310" s="62" t="s">
        <v>12207</v>
      </c>
      <c r="C310" s="62">
        <v>4</v>
      </c>
      <c r="D310" s="62"/>
      <c r="E310" s="345" t="s">
        <v>10414</v>
      </c>
      <c r="F310" s="345" t="s">
        <v>8090</v>
      </c>
      <c r="G310" s="113">
        <v>3</v>
      </c>
      <c r="H310" s="113">
        <v>2</v>
      </c>
      <c r="I310" s="114"/>
      <c r="J310" s="114"/>
      <c r="K310" s="114"/>
      <c r="L310" s="81"/>
      <c r="M310" s="265" t="b">
        <f>NOT(ISERROR(ResultsInd[[#This Row],[Goal-A]]+ResultsInd[[#This Row],[Goal-B]]))</f>
        <v>1</v>
      </c>
      <c r="N310" s="265">
        <f>VALUE(ResultsInd[[#This Row],[Score-A]])</f>
        <v>3</v>
      </c>
      <c r="O310" s="265">
        <f>VALUE(ResultsInd[[#This Row],[Score-B]])</f>
        <v>2</v>
      </c>
      <c r="P310" s="265">
        <f ca="1">IF(AND(ResultsInd[[#This Row],[Category]]&lt;&gt;"",ResultsInd[[#This Row],[Player A]]&lt;&gt;""),COUNTIF(INDIRECT(ResultsInd[[#This Row],[Category]]&amp;"List[Retained Player Name]"),ResultsInd[[#This Row],[Player A]]),"")</f>
        <v>1</v>
      </c>
      <c r="Q310" s="265">
        <f ca="1">IF(AND(ResultsInd[[#This Row],[Category]]&lt;&gt;"",ResultsInd[[#This Row],[Player B]]&lt;&gt;""),COUNTIF(INDIRECT(ResultsInd[[#This Row],[Category]]&amp;"List[Retained Player Name]"),ResultsInd[[#This Row],[Player B]]),"")</f>
        <v>1</v>
      </c>
      <c r="R3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VETERANS-Charles Aquilina</v>
      </c>
      <c r="S310" s="265" t="str">
        <f>IF(ResultsInd[[#This Row],[Score_OK]],IF(ResultsInd[[#This Row],[Stage]]="Groups",ResultsInd[[#This Row],[Category]]&amp;"-"&amp;IF(ResultsInd[[#This Row],[Player B]]="","",IF(ResultsInd[[#This Row],[Score-A]]=ResultsInd[[#This Row],[Score-B]],ResultsInd[[#This Row],[Player A]],"")),""),"")</f>
        <v>VETERANS-</v>
      </c>
      <c r="T310" s="265" t="str">
        <f>IF(ResultsInd[[#This Row],[Score_OK]],IF(ResultsInd[[#This Row],[Stage]]="Groups",ResultsInd[[#This Row],[Category]]&amp;"-"&amp;IF(ResultsInd[[#This Row],[Player B]]="","",IF(ResultsInd[[#This Row],[Score-A]]=ResultsInd[[#This Row],[Score-B]],ResultsInd[[#This Row],[Player B]],"")),""),"")</f>
        <v>VETERANS-</v>
      </c>
      <c r="U3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VETERANS-Vito Di Ruggiero</v>
      </c>
      <c r="V3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VETERANS-Vito Di Ruggiero</v>
      </c>
      <c r="X3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VETERANS-Vito Di Ruggiero</v>
      </c>
      <c r="Y310" s="264" t="str">
        <f>IF(ResultsInd[[#This Row],[Category]]="","",VLOOKUP(ResultsInd[[#This Row],[Stage]],$P$1:$V$9,MATCH(ResultsInd[[#This Row],[Category]],$Q$1:$V$1,0)+1,FALSE))</f>
        <v>PR1</v>
      </c>
      <c r="Z310" s="264" t="str">
        <f>IF(ResultsInd[[#This Row],[Score_OK]],IF(ResultsInd[[#This Row],[Level]]="R",ResultsInd[[#This Row],[Category]]&amp;"-"&amp;IF(ResultsInd[[#This Row],[LoseInKO]]=ResultsInd[[#This Row],[Category]]&amp;"-"&amp;ResultsInd[[#This Row],[Player A]],ResultsInd[[#This Row],[Player B]],ResultsInd[[#This Row],[Player A]]),""),"")</f>
        <v/>
      </c>
      <c r="AB310" s="281">
        <v>4</v>
      </c>
      <c r="AC310" s="315" t="s">
        <v>12261</v>
      </c>
      <c r="AD310" s="289" t="s">
        <v>14439</v>
      </c>
      <c r="AE310" s="290" t="s">
        <v>12279</v>
      </c>
      <c r="AF310" s="284" t="s">
        <v>12275</v>
      </c>
      <c r="AG310" s="296" t="s">
        <v>12276</v>
      </c>
      <c r="AH310" s="291" t="s">
        <v>12271</v>
      </c>
      <c r="AI310" s="291" t="s">
        <v>12272</v>
      </c>
      <c r="AJ310" s="414" t="s">
        <v>13154</v>
      </c>
      <c r="AK310" s="291" t="s">
        <v>12273</v>
      </c>
      <c r="AL310" s="297" t="s">
        <v>12274</v>
      </c>
      <c r="AM310" s="414" t="s">
        <v>13154</v>
      </c>
      <c r="AN310" s="303" t="s">
        <v>12199</v>
      </c>
      <c r="AO310" s="304" t="s">
        <v>12200</v>
      </c>
      <c r="AP310" s="304" t="s">
        <v>12201</v>
      </c>
      <c r="AQ310" s="304" t="s">
        <v>12202</v>
      </c>
      <c r="AR310" s="304" t="s">
        <v>12203</v>
      </c>
      <c r="AS310" s="304" t="s">
        <v>12204</v>
      </c>
      <c r="AT310" s="304" t="s">
        <v>12205</v>
      </c>
      <c r="AU310" s="305" t="s">
        <v>12206</v>
      </c>
      <c r="AV310" s="468"/>
      <c r="AW310" s="282" t="s">
        <v>12276</v>
      </c>
      <c r="AX310" s="282" t="s">
        <v>12280</v>
      </c>
      <c r="AY310" s="283" t="s">
        <v>12199</v>
      </c>
      <c r="AZ310" s="283" t="s">
        <v>12200</v>
      </c>
      <c r="BA310" s="283" t="s">
        <v>12201</v>
      </c>
      <c r="BB310" s="283" t="s">
        <v>12202</v>
      </c>
      <c r="BC310" s="283" t="s">
        <v>12203</v>
      </c>
      <c r="BD310" s="283" t="s">
        <v>12204</v>
      </c>
      <c r="BE310" s="283" t="s">
        <v>12205</v>
      </c>
      <c r="BF310" s="300" t="s">
        <v>12206</v>
      </c>
    </row>
    <row r="311" spans="1:58" ht="12" thickBot="1" x14ac:dyDescent="0.25">
      <c r="A311" s="62" t="s">
        <v>12261</v>
      </c>
      <c r="B311" s="62" t="s">
        <v>12207</v>
      </c>
      <c r="C311" s="62">
        <v>4</v>
      </c>
      <c r="D311" s="62"/>
      <c r="E311" s="345" t="s">
        <v>11659</v>
      </c>
      <c r="F311" s="345" t="s">
        <v>10451</v>
      </c>
      <c r="G311" s="113">
        <v>3</v>
      </c>
      <c r="H311" s="113">
        <v>1</v>
      </c>
      <c r="I311" s="114"/>
      <c r="J311" s="114"/>
      <c r="K311" s="114"/>
      <c r="L311" s="81"/>
      <c r="M311" s="265" t="b">
        <f>NOT(ISERROR(ResultsInd[[#This Row],[Goal-A]]+ResultsInd[[#This Row],[Goal-B]]))</f>
        <v>1</v>
      </c>
      <c r="N311" s="265">
        <f>VALUE(ResultsInd[[#This Row],[Score-A]])</f>
        <v>3</v>
      </c>
      <c r="O311" s="265">
        <f>VALUE(ResultsInd[[#This Row],[Score-B]])</f>
        <v>1</v>
      </c>
      <c r="P311" s="265">
        <f ca="1">IF(AND(ResultsInd[[#This Row],[Category]]&lt;&gt;"",ResultsInd[[#This Row],[Player A]]&lt;&gt;""),COUNTIF(INDIRECT(ResultsInd[[#This Row],[Category]]&amp;"List[Retained Player Name]"),ResultsInd[[#This Row],[Player A]]),"")</f>
        <v>1</v>
      </c>
      <c r="Q311" s="265">
        <f ca="1">IF(AND(ResultsInd[[#This Row],[Category]]&lt;&gt;"",ResultsInd[[#This Row],[Player B]]&lt;&gt;""),COUNTIF(INDIRECT(ResultsInd[[#This Row],[Category]]&amp;"List[Retained Player Name]"),ResultsInd[[#This Row],[Player B]]),"")</f>
        <v>1</v>
      </c>
      <c r="R3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VETERANS-Jean Michel Cuenca</v>
      </c>
      <c r="S311" s="265" t="str">
        <f>IF(ResultsInd[[#This Row],[Score_OK]],IF(ResultsInd[[#This Row],[Stage]]="Groups",ResultsInd[[#This Row],[Category]]&amp;"-"&amp;IF(ResultsInd[[#This Row],[Player B]]="","",IF(ResultsInd[[#This Row],[Score-A]]=ResultsInd[[#This Row],[Score-B]],ResultsInd[[#This Row],[Player A]],"")),""),"")</f>
        <v>VETERANS-</v>
      </c>
      <c r="T311" s="265" t="str">
        <f>IF(ResultsInd[[#This Row],[Score_OK]],IF(ResultsInd[[#This Row],[Stage]]="Groups",ResultsInd[[#This Row],[Category]]&amp;"-"&amp;IF(ResultsInd[[#This Row],[Player B]]="","",IF(ResultsInd[[#This Row],[Score-A]]=ResultsInd[[#This Row],[Score-B]],ResultsInd[[#This Row],[Player B]],"")),""),"")</f>
        <v>VETERANS-</v>
      </c>
      <c r="U3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VETERANS-René Bolte</v>
      </c>
      <c r="V3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VETERANS-René Bolte</v>
      </c>
      <c r="X3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VETERANS-René Bolte</v>
      </c>
      <c r="Y311" s="264" t="str">
        <f>IF(ResultsInd[[#This Row],[Category]]="","",VLOOKUP(ResultsInd[[#This Row],[Stage]],$P$1:$V$9,MATCH(ResultsInd[[#This Row],[Category]],$Q$1:$V$1,0)+1,FALSE))</f>
        <v>PR1</v>
      </c>
      <c r="Z311" s="264" t="str">
        <f>IF(ResultsInd[[#This Row],[Score_OK]],IF(ResultsInd[[#This Row],[Level]]="R",ResultsInd[[#This Row],[Category]]&amp;"-"&amp;IF(ResultsInd[[#This Row],[LoseInKO]]=ResultsInd[[#This Row],[Category]]&amp;"-"&amp;ResultsInd[[#This Row],[Player A]],ResultsInd[[#This Row],[Player B]],ResultsInd[[#This Row],[Player A]]),""),"")</f>
        <v/>
      </c>
      <c r="AB311" s="8"/>
      <c r="AC311" s="12" t="str">
        <f>IF(AC310="","",AC310)</f>
        <v>VETERANS</v>
      </c>
      <c r="AD311" s="309" t="s">
        <v>10414</v>
      </c>
      <c r="AE311" s="320"/>
      <c r="AF311" s="311"/>
      <c r="AG311" s="292">
        <f>IF(AP311="","",SMALL(AH311:AH317,ROWS(AG311:AG311)))</f>
        <v>1001</v>
      </c>
      <c r="AH311" s="293">
        <f>IF(AP311="","",RANK(AL311,AL311:AL317)*1000+ROWS(AH311:AH311))</f>
        <v>1001</v>
      </c>
      <c r="AI311" s="316">
        <f t="shared" ref="AI311:AI317" si="265">IF(AP311="","",CritClassInd1_Points*AN311+CritClassInd1_Matches*AP311+CritClassInd1_Attaque*AS311+CritClassInd1_DiffButs*AU311)</f>
        <v>9000000000000</v>
      </c>
      <c r="AJ311" s="415" t="b">
        <f>AND(AO311&lt;&gt;"",AO311&gt;0,COUNTIF(AI311:AI317,AI311)&gt;1)</f>
        <v>0</v>
      </c>
      <c r="AK311" s="316">
        <f t="shared" ref="AK311:AK317" si="266">IF(AP311="","",CritClassInd_ScorePart*AE311)</f>
        <v>0</v>
      </c>
      <c r="AL311" s="317">
        <f t="shared" ref="AL311:AL317" si="267">IF(AP311="","",AI311+AK311+CritClassInd2_Points*AN311+CritClassInd2_Matches*AP311+CritClassInd2_Attaque*AS311+CritClassInd2_DiffButs*AU311+AF311)</f>
        <v>9000000071100</v>
      </c>
      <c r="AM311" s="415" t="b">
        <f>AND(AO311&lt;&gt;"",AO311&gt;0,COUNTIF(AL311:AL317,AL311)&gt;1)</f>
        <v>0</v>
      </c>
      <c r="AN311" s="306">
        <f t="shared" ref="AN311:AN317" si="268">IF(AP311="","",(AP311*Points_Victoire)+AQ311*Points_Null)</f>
        <v>9</v>
      </c>
      <c r="AO311" s="307">
        <f t="shared" ref="AO311:AO317" si="269">IF(AP311="","",SUM(AP311:AR311))</f>
        <v>3</v>
      </c>
      <c r="AP311" s="307">
        <f>IF(OR(AC310="",AD311=""),"",COUNTIF(ResultsInd[Win],AC310&amp;"-"&amp;AD311))</f>
        <v>3</v>
      </c>
      <c r="AQ311" s="307">
        <f>IF(OR(AC310="",AD311=""),"",COUNTIF(ResultsInd[Draw1],AC310&amp;"-"&amp;AD311)+COUNTIF(ResultsInd[Draw2],AC310&amp;"-"&amp;AD311))</f>
        <v>0</v>
      </c>
      <c r="AR311" s="307">
        <f>IF(OR(AC310="",AD311=""),"",COUNTIF(ResultsInd[Lose],AC310&amp;"-"&amp;AD311))</f>
        <v>0</v>
      </c>
      <c r="AS311" s="307">
        <f>IF(OR(AC310="",AD311=""),"",SUMIFS(ResultsInd[Goal-A],ResultsInd[Category],AC310,ResultsInd[Stage],"Groups",ResultsInd[Player A],AD311)+SUMIFS(ResultsInd[Goal-B],ResultsInd[Category],AC310,ResultsInd[Stage],"Groups",ResultsInd[Player B],AD311))</f>
        <v>11</v>
      </c>
      <c r="AT311" s="307">
        <f>IF(OR(AC310="",AD311=""),"",SUMIFS(ResultsInd[Goal-B],ResultsInd[Category],AC310,ResultsInd[Stage],"Groups",ResultsInd[Player A],AD311)+SUMIFS(ResultsInd[Goal-A],ResultsInd[Category],AC310,ResultsInd[Stage],"Groups",ResultsInd[Player B],AD311))</f>
        <v>4</v>
      </c>
      <c r="AU311" s="308">
        <f>IF(AP311="","",AS311-AT311)</f>
        <v>7</v>
      </c>
      <c r="AV311" s="469" t="b">
        <f>IF(AG311="","",OR(VLOOKUP(AG311,AH311:AU317,3,FALSE),VLOOKUP(AG311,AH311:AU317,6,FALSE)))</f>
        <v>0</v>
      </c>
      <c r="AW311" s="298">
        <f t="shared" ref="AW311:AW317" si="270">IF(AG311="","",INT(AG311/1000))</f>
        <v>1</v>
      </c>
      <c r="AX311" s="285" t="str">
        <f>IF(AG311="","",INDEX(AD311:AD317,MATCH(AG311,AH311:AH317,0)))</f>
        <v>Charles Aquilina</v>
      </c>
      <c r="AY311" s="286">
        <f>IF(AG311="","",VLOOKUP(AG311,AH311:AU317,COLUMN()-COLUMN(AR310),FALSE))</f>
        <v>9</v>
      </c>
      <c r="AZ311" s="286">
        <f>IF(AG311="","",VLOOKUP(AG311,AH311:AU317,COLUMN()-COLUMN(AR310),FALSE))</f>
        <v>3</v>
      </c>
      <c r="BA311" s="286">
        <f>IF(AG311="","",VLOOKUP(AG311,AH311:AU317,COLUMN()-COLUMN(AR310),FALSE))</f>
        <v>3</v>
      </c>
      <c r="BB311" s="286">
        <f>IF(AG311="","",VLOOKUP(AG311,AH311:AU317,COLUMN()-COLUMN(AR310),FALSE))</f>
        <v>0</v>
      </c>
      <c r="BC311" s="286">
        <f>IF(AG311="","",VLOOKUP(AG311,AH311:AU317,COLUMN()-COLUMN(AR310),FALSE))</f>
        <v>0</v>
      </c>
      <c r="BD311" s="286">
        <f>IF(AG311="","",VLOOKUP(AG311,AH311:AU317,COLUMN()-COLUMN(AR310),FALSE))</f>
        <v>11</v>
      </c>
      <c r="BE311" s="286">
        <f>IF(AG311="","",VLOOKUP(AG311,AH311:AU317,COLUMN()-COLUMN(AR310),FALSE))</f>
        <v>4</v>
      </c>
      <c r="BF311" s="301">
        <f>IF(AG311="","",VLOOKUP(AG311,AH311:AU317,COLUMN()-COLUMN(AR310),FALSE))</f>
        <v>7</v>
      </c>
    </row>
    <row r="312" spans="1:58" ht="12" thickBot="1" x14ac:dyDescent="0.25">
      <c r="A312" s="62" t="s">
        <v>12261</v>
      </c>
      <c r="B312" s="62" t="s">
        <v>12207</v>
      </c>
      <c r="C312" s="62">
        <v>4</v>
      </c>
      <c r="D312" s="62"/>
      <c r="E312" s="345" t="s">
        <v>10414</v>
      </c>
      <c r="F312" s="345" t="s">
        <v>11659</v>
      </c>
      <c r="G312" s="113">
        <v>3</v>
      </c>
      <c r="H312" s="113">
        <v>2</v>
      </c>
      <c r="I312" s="114"/>
      <c r="J312" s="114"/>
      <c r="K312" s="114"/>
      <c r="L312" s="81"/>
      <c r="M312" s="265" t="b">
        <f>NOT(ISERROR(ResultsInd[[#This Row],[Goal-A]]+ResultsInd[[#This Row],[Goal-B]]))</f>
        <v>1</v>
      </c>
      <c r="N312" s="265">
        <f>VALUE(ResultsInd[[#This Row],[Score-A]])</f>
        <v>3</v>
      </c>
      <c r="O312" s="265">
        <f>VALUE(ResultsInd[[#This Row],[Score-B]])</f>
        <v>2</v>
      </c>
      <c r="P312" s="265">
        <f ca="1">IF(AND(ResultsInd[[#This Row],[Category]]&lt;&gt;"",ResultsInd[[#This Row],[Player A]]&lt;&gt;""),COUNTIF(INDIRECT(ResultsInd[[#This Row],[Category]]&amp;"List[Retained Player Name]"),ResultsInd[[#This Row],[Player A]]),"")</f>
        <v>1</v>
      </c>
      <c r="Q312" s="265">
        <f ca="1">IF(AND(ResultsInd[[#This Row],[Category]]&lt;&gt;"",ResultsInd[[#This Row],[Player B]]&lt;&gt;""),COUNTIF(INDIRECT(ResultsInd[[#This Row],[Category]]&amp;"List[Retained Player Name]"),ResultsInd[[#This Row],[Player B]]),"")</f>
        <v>1</v>
      </c>
      <c r="R3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VETERANS-Charles Aquilina</v>
      </c>
      <c r="S312" s="265" t="str">
        <f>IF(ResultsInd[[#This Row],[Score_OK]],IF(ResultsInd[[#This Row],[Stage]]="Groups",ResultsInd[[#This Row],[Category]]&amp;"-"&amp;IF(ResultsInd[[#This Row],[Player B]]="","",IF(ResultsInd[[#This Row],[Score-A]]=ResultsInd[[#This Row],[Score-B]],ResultsInd[[#This Row],[Player A]],"")),""),"")</f>
        <v>VETERANS-</v>
      </c>
      <c r="T312" s="265" t="str">
        <f>IF(ResultsInd[[#This Row],[Score_OK]],IF(ResultsInd[[#This Row],[Stage]]="Groups",ResultsInd[[#This Row],[Category]]&amp;"-"&amp;IF(ResultsInd[[#This Row],[Player B]]="","",IF(ResultsInd[[#This Row],[Score-A]]=ResultsInd[[#This Row],[Score-B]],ResultsInd[[#This Row],[Player B]],"")),""),"")</f>
        <v>VETERANS-</v>
      </c>
      <c r="U3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VETERANS-Jean Michel Cuenca</v>
      </c>
      <c r="V3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VETERANS-Jean Michel Cuenca</v>
      </c>
      <c r="X3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VETERANS-Jean Michel Cuenca</v>
      </c>
      <c r="Y312" s="264" t="str">
        <f>IF(ResultsInd[[#This Row],[Category]]="","",VLOOKUP(ResultsInd[[#This Row],[Stage]],$P$1:$V$9,MATCH(ResultsInd[[#This Row],[Category]],$Q$1:$V$1,0)+1,FALSE))</f>
        <v>PR1</v>
      </c>
      <c r="Z312" s="264" t="str">
        <f>IF(ResultsInd[[#This Row],[Score_OK]],IF(ResultsInd[[#This Row],[Level]]="R",ResultsInd[[#This Row],[Category]]&amp;"-"&amp;IF(ResultsInd[[#This Row],[LoseInKO]]=ResultsInd[[#This Row],[Category]]&amp;"-"&amp;ResultsInd[[#This Row],[Player A]],ResultsInd[[#This Row],[Player B]],ResultsInd[[#This Row],[Player A]]),""),"")</f>
        <v/>
      </c>
      <c r="AB312" s="8"/>
      <c r="AC312" s="12" t="str">
        <f t="shared" ref="AC312:AC317" si="271">IF(AC311="","",AC311)</f>
        <v>VETERANS</v>
      </c>
      <c r="AD312" s="309" t="s">
        <v>11659</v>
      </c>
      <c r="AE312" s="320"/>
      <c r="AF312" s="311"/>
      <c r="AG312" s="292">
        <f>IF(AP312="","",SMALL(AH311:AH317,ROWS(AG311:AG312)))</f>
        <v>2002</v>
      </c>
      <c r="AH312" s="293">
        <f>IF(AP312="","",RANK(AL312,AL311:AL317)*1000+ROWS(AH311:AH312))</f>
        <v>2002</v>
      </c>
      <c r="AI312" s="316">
        <f t="shared" si="265"/>
        <v>6000000000000</v>
      </c>
      <c r="AJ312" s="415" t="b">
        <f>AND(AO312&lt;&gt;"",AO312&gt;0,COUNTIF(AI311:AI317,AI312)&gt;1)</f>
        <v>0</v>
      </c>
      <c r="AK312" s="316">
        <f t="shared" si="266"/>
        <v>0</v>
      </c>
      <c r="AL312" s="317">
        <f t="shared" si="267"/>
        <v>6000000030700</v>
      </c>
      <c r="AM312" s="415" t="b">
        <f>AND(AO312&lt;&gt;"",AO312&gt;0,COUNTIF(AL311:AL317,AL312)&gt;1)</f>
        <v>0</v>
      </c>
      <c r="AN312" s="306">
        <f t="shared" si="268"/>
        <v>6</v>
      </c>
      <c r="AO312" s="307">
        <f t="shared" si="269"/>
        <v>3</v>
      </c>
      <c r="AP312" s="307">
        <f>IF(OR(AC310="",AD312=""),"",COUNTIF(ResultsInd[Win],AC310&amp;"-"&amp;AD312))</f>
        <v>2</v>
      </c>
      <c r="AQ312" s="307">
        <f>IF(OR(AC310="",AD312=""),"",COUNTIF(ResultsInd[Draw1],AC310&amp;"-"&amp;AD312)+COUNTIF(ResultsInd[Draw2],AC310&amp;"-"&amp;AD312))</f>
        <v>0</v>
      </c>
      <c r="AR312" s="307">
        <f>IF(OR(AC310="",AD312=""),"",COUNTIF(ResultsInd[Lose],AC310&amp;"-"&amp;AD312))</f>
        <v>1</v>
      </c>
      <c r="AS312" s="307">
        <f>IF(OR(AC310="",AD312=""),"",SUMIFS(ResultsInd[Goal-A],ResultsInd[Category],AC310,ResultsInd[Stage],"Groups",ResultsInd[Player A],AD312)+SUMIFS(ResultsInd[Goal-B],ResultsInd[Category],AC310,ResultsInd[Stage],"Groups",ResultsInd[Player B],AD312))</f>
        <v>7</v>
      </c>
      <c r="AT312" s="307">
        <f>IF(OR(AC310="",AD312=""),"",SUMIFS(ResultsInd[Goal-B],ResultsInd[Category],AC310,ResultsInd[Stage],"Groups",ResultsInd[Player A],AD312)+SUMIFS(ResultsInd[Goal-A],ResultsInd[Category],AC310,ResultsInd[Stage],"Groups",ResultsInd[Player B],AD312))</f>
        <v>4</v>
      </c>
      <c r="AU312" s="308">
        <f t="shared" ref="AU312:AU317" si="272">IF(AP312="","",AS312-AT312)</f>
        <v>3</v>
      </c>
      <c r="AV312" s="469" t="b">
        <f>IF(AG312="","",OR(VLOOKUP(AG312,AH311:AU317,3,FALSE),VLOOKUP(AG312,AH311:AU317,6,FALSE)))</f>
        <v>0</v>
      </c>
      <c r="AW312" s="298">
        <f t="shared" si="270"/>
        <v>2</v>
      </c>
      <c r="AX312" s="285" t="str">
        <f>IF(AG312="","",INDEX(AD311:AD317,MATCH(AG312,AH311:AH317,0)))</f>
        <v>Jean Michel Cuenca</v>
      </c>
      <c r="AY312" s="286">
        <f>IF(AG312="","",VLOOKUP(AG312,AH311:AU317,COLUMN()-COLUMN(AR310),FALSE))</f>
        <v>6</v>
      </c>
      <c r="AZ312" s="286">
        <f>IF(AG312="","",VLOOKUP(AG312,AH311:AU317,COLUMN()-COLUMN(AR310),FALSE))</f>
        <v>3</v>
      </c>
      <c r="BA312" s="286">
        <f>IF(AG312="","",VLOOKUP(AG312,AH311:AU317,COLUMN()-COLUMN(AR310),FALSE))</f>
        <v>2</v>
      </c>
      <c r="BB312" s="286">
        <f>IF(AG312="","",VLOOKUP(AG312,AH311:AU317,COLUMN()-COLUMN(AR310),FALSE))</f>
        <v>0</v>
      </c>
      <c r="BC312" s="286">
        <f>IF(AG312="","",VLOOKUP(AG312,AH311:AU317,COLUMN()-COLUMN(AR310),FALSE))</f>
        <v>1</v>
      </c>
      <c r="BD312" s="286">
        <f>IF(AG312="","",VLOOKUP(AG312,AH311:AU317,COLUMN()-COLUMN(AR310),FALSE))</f>
        <v>7</v>
      </c>
      <c r="BE312" s="286">
        <f>IF(AG312="","",VLOOKUP(AG312,AH311:AU317,COLUMN()-COLUMN(AR310),FALSE))</f>
        <v>4</v>
      </c>
      <c r="BF312" s="301">
        <f>IF(AG312="","",VLOOKUP(AG312,AH311:AU317,COLUMN()-COLUMN(AR310),FALSE))</f>
        <v>3</v>
      </c>
    </row>
    <row r="313" spans="1:58" ht="12" thickBot="1" x14ac:dyDescent="0.25">
      <c r="A313" s="62" t="s">
        <v>12261</v>
      </c>
      <c r="B313" s="62" t="s">
        <v>12207</v>
      </c>
      <c r="C313" s="62">
        <v>4</v>
      </c>
      <c r="D313" s="62"/>
      <c r="E313" s="345" t="s">
        <v>8090</v>
      </c>
      <c r="F313" s="345" t="s">
        <v>10451</v>
      </c>
      <c r="G313" s="113">
        <v>0</v>
      </c>
      <c r="H313" s="113">
        <v>2</v>
      </c>
      <c r="I313" s="114"/>
      <c r="J313" s="114"/>
      <c r="K313" s="114"/>
      <c r="L313" s="81"/>
      <c r="M313" s="265" t="b">
        <f>NOT(ISERROR(ResultsInd[[#This Row],[Goal-A]]+ResultsInd[[#This Row],[Goal-B]]))</f>
        <v>1</v>
      </c>
      <c r="N313" s="265">
        <f>VALUE(ResultsInd[[#This Row],[Score-A]])</f>
        <v>0</v>
      </c>
      <c r="O313" s="265">
        <f>VALUE(ResultsInd[[#This Row],[Score-B]])</f>
        <v>2</v>
      </c>
      <c r="P313" s="265">
        <f ca="1">IF(AND(ResultsInd[[#This Row],[Category]]&lt;&gt;"",ResultsInd[[#This Row],[Player A]]&lt;&gt;""),COUNTIF(INDIRECT(ResultsInd[[#This Row],[Category]]&amp;"List[Retained Player Name]"),ResultsInd[[#This Row],[Player A]]),"")</f>
        <v>1</v>
      </c>
      <c r="Q313" s="265">
        <f ca="1">IF(AND(ResultsInd[[#This Row],[Category]]&lt;&gt;"",ResultsInd[[#This Row],[Player B]]&lt;&gt;""),COUNTIF(INDIRECT(ResultsInd[[#This Row],[Category]]&amp;"List[Retained Player Name]"),ResultsInd[[#This Row],[Player B]]),"")</f>
        <v>1</v>
      </c>
      <c r="R3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VETERANS-René Bolte</v>
      </c>
      <c r="S313" s="265" t="str">
        <f>IF(ResultsInd[[#This Row],[Score_OK]],IF(ResultsInd[[#This Row],[Stage]]="Groups",ResultsInd[[#This Row],[Category]]&amp;"-"&amp;IF(ResultsInd[[#This Row],[Player B]]="","",IF(ResultsInd[[#This Row],[Score-A]]=ResultsInd[[#This Row],[Score-B]],ResultsInd[[#This Row],[Player A]],"")),""),"")</f>
        <v>VETERANS-</v>
      </c>
      <c r="T313" s="265" t="str">
        <f>IF(ResultsInd[[#This Row],[Score_OK]],IF(ResultsInd[[#This Row],[Stage]]="Groups",ResultsInd[[#This Row],[Category]]&amp;"-"&amp;IF(ResultsInd[[#This Row],[Player B]]="","",IF(ResultsInd[[#This Row],[Score-A]]=ResultsInd[[#This Row],[Score-B]],ResultsInd[[#This Row],[Player B]],"")),""),"")</f>
        <v>VETERANS-</v>
      </c>
      <c r="U3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VETERANS-Vito Di Ruggiero</v>
      </c>
      <c r="V3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VETERANS-Vito Di Ruggiero</v>
      </c>
      <c r="X3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VETERANS-Vito Di Ruggiero</v>
      </c>
      <c r="Y313" s="264" t="str">
        <f>IF(ResultsInd[[#This Row],[Category]]="","",VLOOKUP(ResultsInd[[#This Row],[Stage]],$P$1:$V$9,MATCH(ResultsInd[[#This Row],[Category]],$Q$1:$V$1,0)+1,FALSE))</f>
        <v>PR1</v>
      </c>
      <c r="Z313" s="264" t="str">
        <f>IF(ResultsInd[[#This Row],[Score_OK]],IF(ResultsInd[[#This Row],[Level]]="R",ResultsInd[[#This Row],[Category]]&amp;"-"&amp;IF(ResultsInd[[#This Row],[LoseInKO]]=ResultsInd[[#This Row],[Category]]&amp;"-"&amp;ResultsInd[[#This Row],[Player A]],ResultsInd[[#This Row],[Player B]],ResultsInd[[#This Row],[Player A]]),""),"")</f>
        <v/>
      </c>
      <c r="AB313" s="8"/>
      <c r="AC313" s="12" t="str">
        <f t="shared" si="271"/>
        <v>VETERANS</v>
      </c>
      <c r="AD313" s="309" t="s">
        <v>10451</v>
      </c>
      <c r="AE313" s="320"/>
      <c r="AF313" s="311"/>
      <c r="AG313" s="292">
        <f>IF(AP313="","",SMALL(AH311:AH317,ROWS(AG311:AG313)))</f>
        <v>3003</v>
      </c>
      <c r="AH313" s="293">
        <f>IF(AP313="","",RANK(AL313,AL311:AL317)*1000+ROWS(AH311:AH313))</f>
        <v>3003</v>
      </c>
      <c r="AI313" s="316">
        <f t="shared" si="265"/>
        <v>3000000000000</v>
      </c>
      <c r="AJ313" s="415" t="b">
        <f>AND(AO313&lt;&gt;"",AO313&gt;0,COUNTIF(AI311:AI317,AI313)&gt;1)</f>
        <v>0</v>
      </c>
      <c r="AK313" s="316">
        <f t="shared" si="266"/>
        <v>0</v>
      </c>
      <c r="AL313" s="317">
        <f t="shared" si="267"/>
        <v>2999999950300</v>
      </c>
      <c r="AM313" s="415" t="b">
        <f>AND(AO313&lt;&gt;"",AO313&gt;0,COUNTIF(AL311:AL317,AL313)&gt;1)</f>
        <v>0</v>
      </c>
      <c r="AN313" s="306">
        <f t="shared" si="268"/>
        <v>3</v>
      </c>
      <c r="AO313" s="307">
        <f t="shared" si="269"/>
        <v>3</v>
      </c>
      <c r="AP313" s="307">
        <f>IF(OR(AC310="",AD313=""),"",COUNTIF(ResultsInd[Win],AC310&amp;"-"&amp;AD313))</f>
        <v>1</v>
      </c>
      <c r="AQ313" s="307">
        <f>IF(OR(AC310="",AD313=""),"",COUNTIF(ResultsInd[Draw1],AC310&amp;"-"&amp;AD313)+COUNTIF(ResultsInd[Draw2],AC310&amp;"-"&amp;AD313))</f>
        <v>0</v>
      </c>
      <c r="AR313" s="307">
        <f>IF(OR(AC310="",AD313=""),"",COUNTIF(ResultsInd[Lose],AC310&amp;"-"&amp;AD313))</f>
        <v>2</v>
      </c>
      <c r="AS313" s="307">
        <f>IF(OR(AC310="",AD313=""),"",SUMIFS(ResultsInd[Goal-A],ResultsInd[Category],AC310,ResultsInd[Stage],"Groups",ResultsInd[Player A],AD313)+SUMIFS(ResultsInd[Goal-B],ResultsInd[Category],AC310,ResultsInd[Stage],"Groups",ResultsInd[Player B],AD313))</f>
        <v>3</v>
      </c>
      <c r="AT313" s="307">
        <f>IF(OR(AC310="",AD313=""),"",SUMIFS(ResultsInd[Goal-B],ResultsInd[Category],AC310,ResultsInd[Stage],"Groups",ResultsInd[Player A],AD313)+SUMIFS(ResultsInd[Goal-A],ResultsInd[Category],AC310,ResultsInd[Stage],"Groups",ResultsInd[Player B],AD313))</f>
        <v>8</v>
      </c>
      <c r="AU313" s="308">
        <f t="shared" si="272"/>
        <v>-5</v>
      </c>
      <c r="AV313" s="469" t="b">
        <f>IF(AG313="","",OR(VLOOKUP(AG313,AH311:AU317,3,FALSE),VLOOKUP(AG313,AH311:AU317,6,FALSE)))</f>
        <v>0</v>
      </c>
      <c r="AW313" s="298">
        <f t="shared" si="270"/>
        <v>3</v>
      </c>
      <c r="AX313" s="285" t="str">
        <f>IF(AG313="","",INDEX(AD311:AD317,MATCH(AG313,AH311:AH317,0)))</f>
        <v>René Bolte</v>
      </c>
      <c r="AY313" s="286">
        <f>IF(AG313="","",VLOOKUP(AG313,AH311:AU317,COLUMN()-COLUMN(AR310),FALSE))</f>
        <v>3</v>
      </c>
      <c r="AZ313" s="286">
        <f>IF(AG313="","",VLOOKUP(AG313,AH311:AU317,COLUMN()-COLUMN(AR310),FALSE))</f>
        <v>3</v>
      </c>
      <c r="BA313" s="286">
        <f>IF(AG313="","",VLOOKUP(AG313,AH311:AU317,COLUMN()-COLUMN(AR310),FALSE))</f>
        <v>1</v>
      </c>
      <c r="BB313" s="286">
        <f>IF(AG313="","",VLOOKUP(AG313,AH311:AU317,COLUMN()-COLUMN(AR310),FALSE))</f>
        <v>0</v>
      </c>
      <c r="BC313" s="286">
        <f>IF(AG313="","",VLOOKUP(AG313,AH311:AU317,COLUMN()-COLUMN(AR310),FALSE))</f>
        <v>2</v>
      </c>
      <c r="BD313" s="286">
        <f>IF(AG313="","",VLOOKUP(AG313,AH311:AU317,COLUMN()-COLUMN(AR310),FALSE))</f>
        <v>3</v>
      </c>
      <c r="BE313" s="286">
        <f>IF(AG313="","",VLOOKUP(AG313,AH311:AU317,COLUMN()-COLUMN(AR310),FALSE))</f>
        <v>8</v>
      </c>
      <c r="BF313" s="301">
        <f>IF(AG313="","",VLOOKUP(AG313,AH311:AU317,COLUMN()-COLUMN(AR310),FALSE))</f>
        <v>-5</v>
      </c>
    </row>
    <row r="314" spans="1:58" ht="12" thickBot="1" x14ac:dyDescent="0.25">
      <c r="A314" s="62" t="s">
        <v>12261</v>
      </c>
      <c r="B314" s="62" t="s">
        <v>12207</v>
      </c>
      <c r="C314" s="62">
        <v>4</v>
      </c>
      <c r="D314" s="62"/>
      <c r="E314" s="345" t="s">
        <v>10451</v>
      </c>
      <c r="F314" s="345" t="s">
        <v>10414</v>
      </c>
      <c r="G314" s="113">
        <v>0</v>
      </c>
      <c r="H314" s="113">
        <v>5</v>
      </c>
      <c r="I314" s="114"/>
      <c r="J314" s="114"/>
      <c r="K314" s="114"/>
      <c r="L314" s="81"/>
      <c r="M314" s="265" t="b">
        <f>NOT(ISERROR(ResultsInd[[#This Row],[Goal-A]]+ResultsInd[[#This Row],[Goal-B]]))</f>
        <v>1</v>
      </c>
      <c r="N314" s="265">
        <f>VALUE(ResultsInd[[#This Row],[Score-A]])</f>
        <v>0</v>
      </c>
      <c r="O314" s="265">
        <f>VALUE(ResultsInd[[#This Row],[Score-B]])</f>
        <v>5</v>
      </c>
      <c r="P314" s="265">
        <f ca="1">IF(AND(ResultsInd[[#This Row],[Category]]&lt;&gt;"",ResultsInd[[#This Row],[Player A]]&lt;&gt;""),COUNTIF(INDIRECT(ResultsInd[[#This Row],[Category]]&amp;"List[Retained Player Name]"),ResultsInd[[#This Row],[Player A]]),"")</f>
        <v>1</v>
      </c>
      <c r="Q314" s="265">
        <f ca="1">IF(AND(ResultsInd[[#This Row],[Category]]&lt;&gt;"",ResultsInd[[#This Row],[Player B]]&lt;&gt;""),COUNTIF(INDIRECT(ResultsInd[[#This Row],[Category]]&amp;"List[Retained Player Name]"),ResultsInd[[#This Row],[Player B]]),"")</f>
        <v>1</v>
      </c>
      <c r="R3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VETERANS-Charles Aquilina</v>
      </c>
      <c r="S314" s="265" t="str">
        <f>IF(ResultsInd[[#This Row],[Score_OK]],IF(ResultsInd[[#This Row],[Stage]]="Groups",ResultsInd[[#This Row],[Category]]&amp;"-"&amp;IF(ResultsInd[[#This Row],[Player B]]="","",IF(ResultsInd[[#This Row],[Score-A]]=ResultsInd[[#This Row],[Score-B]],ResultsInd[[#This Row],[Player A]],"")),""),"")</f>
        <v>VETERANS-</v>
      </c>
      <c r="T314" s="265" t="str">
        <f>IF(ResultsInd[[#This Row],[Score_OK]],IF(ResultsInd[[#This Row],[Stage]]="Groups",ResultsInd[[#This Row],[Category]]&amp;"-"&amp;IF(ResultsInd[[#This Row],[Player B]]="","",IF(ResultsInd[[#This Row],[Score-A]]=ResultsInd[[#This Row],[Score-B]],ResultsInd[[#This Row],[Player B]],"")),""),"")</f>
        <v>VETERANS-</v>
      </c>
      <c r="U3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VETERANS-René Bolte</v>
      </c>
      <c r="V3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VETERANS-René Bolte</v>
      </c>
      <c r="X3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VETERANS-René Bolte</v>
      </c>
      <c r="Y314" s="264" t="str">
        <f>IF(ResultsInd[[#This Row],[Category]]="","",VLOOKUP(ResultsInd[[#This Row],[Stage]],$P$1:$V$9,MATCH(ResultsInd[[#This Row],[Category]],$Q$1:$V$1,0)+1,FALSE))</f>
        <v>PR1</v>
      </c>
      <c r="Z314" s="264" t="str">
        <f>IF(ResultsInd[[#This Row],[Score_OK]],IF(ResultsInd[[#This Row],[Level]]="R",ResultsInd[[#This Row],[Category]]&amp;"-"&amp;IF(ResultsInd[[#This Row],[LoseInKO]]=ResultsInd[[#This Row],[Category]]&amp;"-"&amp;ResultsInd[[#This Row],[Player A]],ResultsInd[[#This Row],[Player B]],ResultsInd[[#This Row],[Player A]]),""),"")</f>
        <v/>
      </c>
      <c r="AB314" s="91"/>
      <c r="AC314" s="12" t="str">
        <f t="shared" si="271"/>
        <v>VETERANS</v>
      </c>
      <c r="AD314" s="309" t="s">
        <v>8090</v>
      </c>
      <c r="AE314" s="310"/>
      <c r="AF314" s="311"/>
      <c r="AG314" s="292">
        <f>IF(AP314="","",SMALL(AH311:AH317,ROWS(AG311:AG314)))</f>
        <v>4004</v>
      </c>
      <c r="AH314" s="293">
        <f>IF(AP314="","",RANK(AL314,AL311:AL317)*1000+ROWS(AH311:AH314))</f>
        <v>4004</v>
      </c>
      <c r="AI314" s="316">
        <f t="shared" si="265"/>
        <v>0</v>
      </c>
      <c r="AJ314" s="415" t="b">
        <f>AND(AO314&lt;&gt;"",AO314&gt;0,COUNTIF(AI311:AI317,AI314)&gt;1)</f>
        <v>0</v>
      </c>
      <c r="AK314" s="316">
        <f t="shared" si="266"/>
        <v>0</v>
      </c>
      <c r="AL314" s="317">
        <f t="shared" si="267"/>
        <v>-49800</v>
      </c>
      <c r="AM314" s="415" t="b">
        <f>AND(AO314&lt;&gt;"",AO314&gt;0,COUNTIF(AL311:AL317,AL314)&gt;1)</f>
        <v>0</v>
      </c>
      <c r="AN314" s="306">
        <f t="shared" si="268"/>
        <v>0</v>
      </c>
      <c r="AO314" s="307">
        <f t="shared" si="269"/>
        <v>3</v>
      </c>
      <c r="AP314" s="307">
        <f>IF(OR(AC310="",AD314=""),"",COUNTIF(ResultsInd[Win],AC310&amp;"-"&amp;AD314))</f>
        <v>0</v>
      </c>
      <c r="AQ314" s="307">
        <f>IF(OR(AC310="",AD314=""),"",COUNTIF(ResultsInd[Draw1],AC310&amp;"-"&amp;AD314)+COUNTIF(ResultsInd[Draw2],AC310&amp;"-"&amp;AD314))</f>
        <v>0</v>
      </c>
      <c r="AR314" s="307">
        <f>IF(OR(AC310="",AD314=""),"",COUNTIF(ResultsInd[Lose],AC310&amp;"-"&amp;AD314))</f>
        <v>3</v>
      </c>
      <c r="AS314" s="307">
        <f>IF(OR(AC310="",AD314=""),"",SUMIFS(ResultsInd[Goal-A],ResultsInd[Category],AC310,ResultsInd[Stage],"Groups",ResultsInd[Player A],AD314)+SUMIFS(ResultsInd[Goal-B],ResultsInd[Category],AC310,ResultsInd[Stage],"Groups",ResultsInd[Player B],AD314))</f>
        <v>2</v>
      </c>
      <c r="AT314" s="307">
        <f>IF(OR(AC310="",AD314=""),"",SUMIFS(ResultsInd[Goal-B],ResultsInd[Category],AC310,ResultsInd[Stage],"Groups",ResultsInd[Player A],AD314)+SUMIFS(ResultsInd[Goal-A],ResultsInd[Category],AC310,ResultsInd[Stage],"Groups",ResultsInd[Player B],AD314))</f>
        <v>7</v>
      </c>
      <c r="AU314" s="308">
        <f t="shared" si="272"/>
        <v>-5</v>
      </c>
      <c r="AV314" s="469" t="b">
        <f>IF(AG314="","",OR(VLOOKUP(AG314,AH311:AU317,3,FALSE),VLOOKUP(AG314,AH311:AU317,6,FALSE)))</f>
        <v>0</v>
      </c>
      <c r="AW314" s="298">
        <f t="shared" si="270"/>
        <v>4</v>
      </c>
      <c r="AX314" s="285" t="str">
        <f>IF(AG314="","",INDEX(AD311:AD317,MATCH(AG314,AH311:AH317,0)))</f>
        <v>Vito Di Ruggiero</v>
      </c>
      <c r="AY314" s="286">
        <f>IF(AG314="","",VLOOKUP(AG314,AH311:AU317,COLUMN()-COLUMN(AR310),FALSE))</f>
        <v>0</v>
      </c>
      <c r="AZ314" s="286">
        <f>IF(AG314="","",VLOOKUP(AG314,AH311:AU317,COLUMN()-COLUMN(AR310),FALSE))</f>
        <v>3</v>
      </c>
      <c r="BA314" s="286">
        <f>IF(AG314="","",VLOOKUP(AG314,AH311:AU317,COLUMN()-COLUMN(AR310),FALSE))</f>
        <v>0</v>
      </c>
      <c r="BB314" s="286">
        <f>IF(AG314="","",VLOOKUP(AG314,AH311:AU317,COLUMN()-COLUMN(AR310),FALSE))</f>
        <v>0</v>
      </c>
      <c r="BC314" s="286">
        <f>IF(AG314="","",VLOOKUP(AG314,AH311:AU317,COLUMN()-COLUMN(AR310),FALSE))</f>
        <v>3</v>
      </c>
      <c r="BD314" s="286">
        <f>IF(AG314="","",VLOOKUP(AG314,AH311:AU317,COLUMN()-COLUMN(AR310),FALSE))</f>
        <v>2</v>
      </c>
      <c r="BE314" s="286">
        <f>IF(AG314="","",VLOOKUP(AG314,AH311:AU317,COLUMN()-COLUMN(AR310),FALSE))</f>
        <v>7</v>
      </c>
      <c r="BF314" s="301">
        <f>IF(AG314="","",VLOOKUP(AG314,AH311:AU317,COLUMN()-COLUMN(AR310),FALSE))</f>
        <v>-5</v>
      </c>
    </row>
    <row r="315" spans="1:58" ht="12" thickBot="1" x14ac:dyDescent="0.25">
      <c r="A315" s="62" t="s">
        <v>12261</v>
      </c>
      <c r="B315" s="62" t="s">
        <v>12207</v>
      </c>
      <c r="C315" s="62">
        <v>4</v>
      </c>
      <c r="D315" s="62"/>
      <c r="E315" s="345" t="s">
        <v>8090</v>
      </c>
      <c r="F315" s="345" t="s">
        <v>11659</v>
      </c>
      <c r="G315" s="113">
        <v>0</v>
      </c>
      <c r="H315" s="113">
        <v>2</v>
      </c>
      <c r="I315" s="114"/>
      <c r="J315" s="114"/>
      <c r="K315" s="114"/>
      <c r="L315" s="81"/>
      <c r="M315" s="265" t="b">
        <f>NOT(ISERROR(ResultsInd[[#This Row],[Goal-A]]+ResultsInd[[#This Row],[Goal-B]]))</f>
        <v>1</v>
      </c>
      <c r="N315" s="265">
        <f>VALUE(ResultsInd[[#This Row],[Score-A]])</f>
        <v>0</v>
      </c>
      <c r="O315" s="265">
        <f>VALUE(ResultsInd[[#This Row],[Score-B]])</f>
        <v>2</v>
      </c>
      <c r="P315" s="265">
        <f ca="1">IF(AND(ResultsInd[[#This Row],[Category]]&lt;&gt;"",ResultsInd[[#This Row],[Player A]]&lt;&gt;""),COUNTIF(INDIRECT(ResultsInd[[#This Row],[Category]]&amp;"List[Retained Player Name]"),ResultsInd[[#This Row],[Player A]]),"")</f>
        <v>1</v>
      </c>
      <c r="Q315" s="265">
        <f ca="1">IF(AND(ResultsInd[[#This Row],[Category]]&lt;&gt;"",ResultsInd[[#This Row],[Player B]]&lt;&gt;""),COUNTIF(INDIRECT(ResultsInd[[#This Row],[Category]]&amp;"List[Retained Player Name]"),ResultsInd[[#This Row],[Player B]]),"")</f>
        <v>1</v>
      </c>
      <c r="R3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VETERANS-Jean Michel Cuenca</v>
      </c>
      <c r="S315" s="265" t="str">
        <f>IF(ResultsInd[[#This Row],[Score_OK]],IF(ResultsInd[[#This Row],[Stage]]="Groups",ResultsInd[[#This Row],[Category]]&amp;"-"&amp;IF(ResultsInd[[#This Row],[Player B]]="","",IF(ResultsInd[[#This Row],[Score-A]]=ResultsInd[[#This Row],[Score-B]],ResultsInd[[#This Row],[Player A]],"")),""),"")</f>
        <v>VETERANS-</v>
      </c>
      <c r="T315" s="265" t="str">
        <f>IF(ResultsInd[[#This Row],[Score_OK]],IF(ResultsInd[[#This Row],[Stage]]="Groups",ResultsInd[[#This Row],[Category]]&amp;"-"&amp;IF(ResultsInd[[#This Row],[Player B]]="","",IF(ResultsInd[[#This Row],[Score-A]]=ResultsInd[[#This Row],[Score-B]],ResultsInd[[#This Row],[Player B]],"")),""),"")</f>
        <v>VETERANS-</v>
      </c>
      <c r="U3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VETERANS-Vito Di Ruggiero</v>
      </c>
      <c r="V3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VETERANS-Vito Di Ruggiero</v>
      </c>
      <c r="X3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VETERANS-Vito Di Ruggiero</v>
      </c>
      <c r="Y315" s="264" t="str">
        <f>IF(ResultsInd[[#This Row],[Category]]="","",VLOOKUP(ResultsInd[[#This Row],[Stage]],$P$1:$V$9,MATCH(ResultsInd[[#This Row],[Category]],$Q$1:$V$1,0)+1,FALSE))</f>
        <v>PR1</v>
      </c>
      <c r="Z315" s="264" t="str">
        <f>IF(ResultsInd[[#This Row],[Score_OK]],IF(ResultsInd[[#This Row],[Level]]="R",ResultsInd[[#This Row],[Category]]&amp;"-"&amp;IF(ResultsInd[[#This Row],[LoseInKO]]=ResultsInd[[#This Row],[Category]]&amp;"-"&amp;ResultsInd[[#This Row],[Player A]],ResultsInd[[#This Row],[Player B]],ResultsInd[[#This Row],[Player A]]),""),"")</f>
        <v/>
      </c>
      <c r="AB315" s="91"/>
      <c r="AC315" s="12" t="str">
        <f t="shared" si="271"/>
        <v>VETERANS</v>
      </c>
      <c r="AD315" s="309"/>
      <c r="AE315" s="310"/>
      <c r="AF315" s="311"/>
      <c r="AG315" s="292" t="str">
        <f>IF(AP315="","",SMALL(AH311:AH317,ROWS(AG311:AG315)))</f>
        <v/>
      </c>
      <c r="AH315" s="293" t="str">
        <f>IF(AP315="","",RANK(AL315,AL311:AL317)*1000+ROWS(AH311:AH315))</f>
        <v/>
      </c>
      <c r="AI315" s="316" t="str">
        <f t="shared" si="265"/>
        <v/>
      </c>
      <c r="AJ315" s="415" t="b">
        <f>AND(AO315&lt;&gt;"",AO315&gt;0,COUNTIF(AI311:AI317,AI315)&gt;1)</f>
        <v>0</v>
      </c>
      <c r="AK315" s="316" t="str">
        <f t="shared" si="266"/>
        <v/>
      </c>
      <c r="AL315" s="317" t="str">
        <f t="shared" si="267"/>
        <v/>
      </c>
      <c r="AM315" s="415" t="b">
        <f>AND(AO315&lt;&gt;"",AO315&gt;0,COUNTIF(AL311:AL317,AL315)&gt;1)</f>
        <v>0</v>
      </c>
      <c r="AN315" s="306" t="str">
        <f t="shared" si="268"/>
        <v/>
      </c>
      <c r="AO315" s="307" t="str">
        <f t="shared" si="269"/>
        <v/>
      </c>
      <c r="AP315" s="307" t="str">
        <f>IF(OR(AC310="",AD315=""),"",COUNTIF(ResultsInd[Win],AC310&amp;"-"&amp;AD315))</f>
        <v/>
      </c>
      <c r="AQ315" s="307" t="str">
        <f>IF(OR(AC310="",AD315=""),"",COUNTIF(ResultsInd[Draw1],AC310&amp;"-"&amp;AD315)+COUNTIF(ResultsInd[Draw2],AC310&amp;"-"&amp;AD315))</f>
        <v/>
      </c>
      <c r="AR315" s="307" t="str">
        <f>IF(OR(AC310="",AD315=""),"",COUNTIF(ResultsInd[Lose],AC310&amp;"-"&amp;AD315))</f>
        <v/>
      </c>
      <c r="AS315" s="307" t="str">
        <f>IF(OR(AC310="",AD315=""),"",SUMIFS(ResultsInd[Goal-A],ResultsInd[Category],AC310,ResultsInd[Stage],"Groups",ResultsInd[Player A],AD315)+SUMIFS(ResultsInd[Goal-B],ResultsInd[Category],AC310,ResultsInd[Stage],"Groups",ResultsInd[Player B],AD315))</f>
        <v/>
      </c>
      <c r="AT315" s="307" t="str">
        <f>IF(OR(AC310="",AD315=""),"",SUMIFS(ResultsInd[Goal-B],ResultsInd[Category],AC310,ResultsInd[Stage],"Groups",ResultsInd[Player A],AD315)+SUMIFS(ResultsInd[Goal-A],ResultsInd[Category],AC310,ResultsInd[Stage],"Groups",ResultsInd[Player B],AD315))</f>
        <v/>
      </c>
      <c r="AU315" s="308" t="str">
        <f t="shared" si="272"/>
        <v/>
      </c>
      <c r="AV315" s="469" t="str">
        <f>IF(AG315="","",OR(VLOOKUP(AG315,AH311:AU317,3,FALSE),VLOOKUP(AG315,AH311:AU317,6,FALSE)))</f>
        <v/>
      </c>
      <c r="AW315" s="298" t="str">
        <f t="shared" si="270"/>
        <v/>
      </c>
      <c r="AX315" s="285" t="str">
        <f>IF(AG315="","",INDEX(AD311:AD317,MATCH(AG315,AH311:AH317,0)))</f>
        <v/>
      </c>
      <c r="AY315" s="286" t="str">
        <f>IF(AG315="","",VLOOKUP(AG315,AH311:AU317,COLUMN()-COLUMN(AR310),FALSE))</f>
        <v/>
      </c>
      <c r="AZ315" s="286" t="str">
        <f>IF(AG315="","",VLOOKUP(AG315,AH311:AU317,COLUMN()-COLUMN(AR310),FALSE))</f>
        <v/>
      </c>
      <c r="BA315" s="286" t="str">
        <f>IF(AG315="","",VLOOKUP(AG315,AH311:AU317,COLUMN()-COLUMN(AR310),FALSE))</f>
        <v/>
      </c>
      <c r="BB315" s="286" t="str">
        <f>IF(AG315="","",VLOOKUP(AG315,AH311:AU317,COLUMN()-COLUMN(AR310),FALSE))</f>
        <v/>
      </c>
      <c r="BC315" s="286" t="str">
        <f>IF(AG315="","",VLOOKUP(AG315,AH311:AU317,COLUMN()-COLUMN(AR310),FALSE))</f>
        <v/>
      </c>
      <c r="BD315" s="286" t="str">
        <f>IF(AG315="","",VLOOKUP(AG315,AH311:AU317,COLUMN()-COLUMN(AR310),FALSE))</f>
        <v/>
      </c>
      <c r="BE315" s="286" t="str">
        <f>IF(AG315="","",VLOOKUP(AG315,AH311:AU317,COLUMN()-COLUMN(AR310),FALSE))</f>
        <v/>
      </c>
      <c r="BF315" s="301" t="str">
        <f>IF(AG315="","",VLOOKUP(AG315,AH311:AU317,COLUMN()-COLUMN(AR310),FALSE))</f>
        <v/>
      </c>
    </row>
    <row r="316" spans="1:58" ht="12" thickBot="1" x14ac:dyDescent="0.25">
      <c r="A316" s="62"/>
      <c r="B316" s="62"/>
      <c r="C316" s="62"/>
      <c r="D316" s="62"/>
      <c r="E316" s="345"/>
      <c r="F316" s="345"/>
      <c r="G316" s="113"/>
      <c r="H316" s="113"/>
      <c r="I316" s="114"/>
      <c r="J316" s="114"/>
      <c r="K316" s="114"/>
      <c r="L316" s="81"/>
      <c r="M316" s="265" t="b">
        <f>NOT(ISERROR(ResultsInd[[#This Row],[Goal-A]]+ResultsInd[[#This Row],[Goal-B]]))</f>
        <v>1</v>
      </c>
      <c r="N316" s="265">
        <f>VALUE(ResultsInd[[#This Row],[Score-A]])</f>
        <v>0</v>
      </c>
      <c r="O316" s="265">
        <f>VALUE(ResultsInd[[#This Row],[Score-B]])</f>
        <v>0</v>
      </c>
      <c r="P316" s="265" t="str">
        <f ca="1">IF(AND(ResultsInd[[#This Row],[Category]]&lt;&gt;"",ResultsInd[[#This Row],[Player A]]&lt;&gt;""),COUNTIF(INDIRECT(ResultsInd[[#This Row],[Category]]&amp;"List[Retained Player Name]"),ResultsInd[[#This Row],[Player A]]),"")</f>
        <v/>
      </c>
      <c r="Q316" s="265" t="str">
        <f ca="1">IF(AND(ResultsInd[[#This Row],[Category]]&lt;&gt;"",ResultsInd[[#This Row],[Player B]]&lt;&gt;""),COUNTIF(INDIRECT(ResultsInd[[#This Row],[Category]]&amp;"List[Retained Player Name]"),ResultsInd[[#This Row],[Player B]]),"")</f>
        <v/>
      </c>
      <c r="R3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6" s="265" t="str">
        <f>IF(ResultsInd[[#This Row],[Score_OK]],IF(ResultsInd[[#This Row],[Stage]]="Groups",ResultsInd[[#This Row],[Category]]&amp;"-"&amp;IF(ResultsInd[[#This Row],[Player B]]="","",IF(ResultsInd[[#This Row],[Score-A]]=ResultsInd[[#This Row],[Score-B]],ResultsInd[[#This Row],[Player A]],"")),""),"")</f>
        <v/>
      </c>
      <c r="T316" s="265" t="str">
        <f>IF(ResultsInd[[#This Row],[Score_OK]],IF(ResultsInd[[#This Row],[Stage]]="Groups",ResultsInd[[#This Row],[Category]]&amp;"-"&amp;IF(ResultsInd[[#This Row],[Player B]]="","",IF(ResultsInd[[#This Row],[Score-A]]=ResultsInd[[#This Row],[Score-B]],ResultsInd[[#This Row],[Player B]],"")),""),"")</f>
        <v/>
      </c>
      <c r="U3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6" s="264" t="str">
        <f>IF(ResultsInd[[#This Row],[Category]]="","",VLOOKUP(ResultsInd[[#This Row],[Stage]],$P$1:$V$9,MATCH(ResultsInd[[#This Row],[Category]],$Q$1:$V$1,0)+1,FALSE))</f>
        <v/>
      </c>
      <c r="Z316" s="264" t="str">
        <f>IF(ResultsInd[[#This Row],[Score_OK]],IF(ResultsInd[[#This Row],[Level]]="R",ResultsInd[[#This Row],[Category]]&amp;"-"&amp;IF(ResultsInd[[#This Row],[LoseInKO]]=ResultsInd[[#This Row],[Category]]&amp;"-"&amp;ResultsInd[[#This Row],[Player A]],ResultsInd[[#This Row],[Player B]],ResultsInd[[#This Row],[Player A]]),""),"")</f>
        <v/>
      </c>
      <c r="AB316" s="8"/>
      <c r="AC316" s="12" t="str">
        <f t="shared" si="271"/>
        <v>VETERANS</v>
      </c>
      <c r="AD316" s="309"/>
      <c r="AE316" s="310"/>
      <c r="AF316" s="311"/>
      <c r="AG316" s="292" t="str">
        <f>IF(AP316="","",SMALL(AH311:AH317,ROWS(AG311:AG316)))</f>
        <v/>
      </c>
      <c r="AH316" s="293" t="str">
        <f>IF(AP316="","",RANK(AL316,AL311:AL317)*1000+ROWS(AH311:AH316))</f>
        <v/>
      </c>
      <c r="AI316" s="316" t="str">
        <f t="shared" si="265"/>
        <v/>
      </c>
      <c r="AJ316" s="415" t="b">
        <f>AND(AO316&lt;&gt;"",AO316&gt;0,COUNTIF(AI311:AI317,AI316)&gt;1)</f>
        <v>0</v>
      </c>
      <c r="AK316" s="316" t="str">
        <f t="shared" si="266"/>
        <v/>
      </c>
      <c r="AL316" s="317" t="str">
        <f t="shared" si="267"/>
        <v/>
      </c>
      <c r="AM316" s="415" t="b">
        <f>AND(AO316&lt;&gt;"",AO316&gt;0,COUNTIF(AL311:AL317,AL316)&gt;1)</f>
        <v>0</v>
      </c>
      <c r="AN316" s="306" t="str">
        <f t="shared" si="268"/>
        <v/>
      </c>
      <c r="AO316" s="307" t="str">
        <f t="shared" si="269"/>
        <v/>
      </c>
      <c r="AP316" s="307" t="str">
        <f>IF(OR(AC310="",AD316=""),"",COUNTIF(ResultsInd[Win],AC310&amp;"-"&amp;AD316))</f>
        <v/>
      </c>
      <c r="AQ316" s="307" t="str">
        <f>IF(OR(AC310="",AD316=""),"",COUNTIF(ResultsInd[Draw1],AC310&amp;"-"&amp;AD316)+COUNTIF(ResultsInd[Draw2],AC310&amp;"-"&amp;AD316))</f>
        <v/>
      </c>
      <c r="AR316" s="307" t="str">
        <f>IF(OR(AC310="",AD316=""),"",COUNTIF(ResultsInd[Lose],AC310&amp;"-"&amp;AD316))</f>
        <v/>
      </c>
      <c r="AS316" s="307" t="str">
        <f>IF(OR(AC310="",AD316=""),"",SUMIFS(ResultsInd[Goal-A],ResultsInd[Category],AC310,ResultsInd[Stage],"Groups",ResultsInd[Player A],AD316)+SUMIFS(ResultsInd[Goal-B],ResultsInd[Category],AC310,ResultsInd[Stage],"Groups",ResultsInd[Player B],AD316))</f>
        <v/>
      </c>
      <c r="AT316" s="307" t="str">
        <f>IF(OR(AC310="",AD316=""),"",SUMIFS(ResultsInd[Goal-B],ResultsInd[Category],AC310,ResultsInd[Stage],"Groups",ResultsInd[Player A],AD316)+SUMIFS(ResultsInd[Goal-A],ResultsInd[Category],AC310,ResultsInd[Stage],"Groups",ResultsInd[Player B],AD316))</f>
        <v/>
      </c>
      <c r="AU316" s="308" t="str">
        <f t="shared" si="272"/>
        <v/>
      </c>
      <c r="AV316" s="469" t="str">
        <f>IF(AG316="","",OR(VLOOKUP(AG316,AH311:AU317,3,FALSE),VLOOKUP(AG316,AH311:AU317,6,FALSE)))</f>
        <v/>
      </c>
      <c r="AW316" s="298" t="str">
        <f t="shared" si="270"/>
        <v/>
      </c>
      <c r="AX316" s="285" t="str">
        <f>IF(AG316="","",INDEX(AD311:AD317,MATCH(AG316,AH311:AH317,0)))</f>
        <v/>
      </c>
      <c r="AY316" s="286" t="str">
        <f>IF(AG316="","",VLOOKUP(AG316,AH311:AU317,COLUMN()-COLUMN(AR310),FALSE))</f>
        <v/>
      </c>
      <c r="AZ316" s="286" t="str">
        <f>IF(AG316="","",VLOOKUP(AG316,AH311:AU317,COLUMN()-COLUMN(AR310),FALSE))</f>
        <v/>
      </c>
      <c r="BA316" s="286" t="str">
        <f>IF(AG316="","",VLOOKUP(AG316,AH311:AU317,COLUMN()-COLUMN(AR310),FALSE))</f>
        <v/>
      </c>
      <c r="BB316" s="286" t="str">
        <f>IF(AG316="","",VLOOKUP(AG316,AH311:AU317,COLUMN()-COLUMN(AR310),FALSE))</f>
        <v/>
      </c>
      <c r="BC316" s="286" t="str">
        <f>IF(AG316="","",VLOOKUP(AG316,AH311:AU317,COLUMN()-COLUMN(AR310),FALSE))</f>
        <v/>
      </c>
      <c r="BD316" s="286" t="str">
        <f>IF(AG316="","",VLOOKUP(AG316,AH311:AU317,COLUMN()-COLUMN(AR310),FALSE))</f>
        <v/>
      </c>
      <c r="BE316" s="286" t="str">
        <f>IF(AG316="","",VLOOKUP(AG316,AH311:AU317,COLUMN()-COLUMN(AR310),FALSE))</f>
        <v/>
      </c>
      <c r="BF316" s="301" t="str">
        <f>IF(AG316="","",VLOOKUP(AG316,AH311:AU317,COLUMN()-COLUMN(AR310),FALSE))</f>
        <v/>
      </c>
    </row>
    <row r="317" spans="1:58" ht="12" thickBot="1" x14ac:dyDescent="0.25">
      <c r="A317" s="62"/>
      <c r="B317" s="62"/>
      <c r="C317" s="62"/>
      <c r="D317" s="62"/>
      <c r="E317" s="345"/>
      <c r="F317" s="345"/>
      <c r="G317" s="113"/>
      <c r="H317" s="113"/>
      <c r="I317" s="114"/>
      <c r="J317" s="114"/>
      <c r="K317" s="114"/>
      <c r="L317" s="81"/>
      <c r="M317" s="265" t="b">
        <f>NOT(ISERROR(ResultsInd[[#This Row],[Goal-A]]+ResultsInd[[#This Row],[Goal-B]]))</f>
        <v>1</v>
      </c>
      <c r="N317" s="265">
        <f>VALUE(ResultsInd[[#This Row],[Score-A]])</f>
        <v>0</v>
      </c>
      <c r="O317" s="265">
        <f>VALUE(ResultsInd[[#This Row],[Score-B]])</f>
        <v>0</v>
      </c>
      <c r="P317" s="265" t="str">
        <f ca="1">IF(AND(ResultsInd[[#This Row],[Category]]&lt;&gt;"",ResultsInd[[#This Row],[Player A]]&lt;&gt;""),COUNTIF(INDIRECT(ResultsInd[[#This Row],[Category]]&amp;"List[Retained Player Name]"),ResultsInd[[#This Row],[Player A]]),"")</f>
        <v/>
      </c>
      <c r="Q317" s="265" t="str">
        <f ca="1">IF(AND(ResultsInd[[#This Row],[Category]]&lt;&gt;"",ResultsInd[[#This Row],[Player B]]&lt;&gt;""),COUNTIF(INDIRECT(ResultsInd[[#This Row],[Category]]&amp;"List[Retained Player Name]"),ResultsInd[[#This Row],[Player B]]),"")</f>
        <v/>
      </c>
      <c r="R3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7" s="265" t="str">
        <f>IF(ResultsInd[[#This Row],[Score_OK]],IF(ResultsInd[[#This Row],[Stage]]="Groups",ResultsInd[[#This Row],[Category]]&amp;"-"&amp;IF(ResultsInd[[#This Row],[Player B]]="","",IF(ResultsInd[[#This Row],[Score-A]]=ResultsInd[[#This Row],[Score-B]],ResultsInd[[#This Row],[Player A]],"")),""),"")</f>
        <v/>
      </c>
      <c r="T317" s="265" t="str">
        <f>IF(ResultsInd[[#This Row],[Score_OK]],IF(ResultsInd[[#This Row],[Stage]]="Groups",ResultsInd[[#This Row],[Category]]&amp;"-"&amp;IF(ResultsInd[[#This Row],[Player B]]="","",IF(ResultsInd[[#This Row],[Score-A]]=ResultsInd[[#This Row],[Score-B]],ResultsInd[[#This Row],[Player B]],"")),""),"")</f>
        <v/>
      </c>
      <c r="U3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7" s="264" t="str">
        <f>IF(ResultsInd[[#This Row],[Category]]="","",VLOOKUP(ResultsInd[[#This Row],[Stage]],$P$1:$V$9,MATCH(ResultsInd[[#This Row],[Category]],$Q$1:$V$1,0)+1,FALSE))</f>
        <v/>
      </c>
      <c r="Z317" s="264" t="str">
        <f>IF(ResultsInd[[#This Row],[Score_OK]],IF(ResultsInd[[#This Row],[Level]]="R",ResultsInd[[#This Row],[Category]]&amp;"-"&amp;IF(ResultsInd[[#This Row],[LoseInKO]]=ResultsInd[[#This Row],[Category]]&amp;"-"&amp;ResultsInd[[#This Row],[Player A]],ResultsInd[[#This Row],[Player B]],ResultsInd[[#This Row],[Player A]]),""),"")</f>
        <v/>
      </c>
      <c r="AB317" s="8"/>
      <c r="AC317" s="12" t="str">
        <f t="shared" si="271"/>
        <v>VETERANS</v>
      </c>
      <c r="AD317" s="312"/>
      <c r="AE317" s="313"/>
      <c r="AF317" s="314"/>
      <c r="AG317" s="294" t="str">
        <f>IF(AP317="","",SMALL(AH311:AH317,ROWS(AG311:AG317)))</f>
        <v/>
      </c>
      <c r="AH317" s="295" t="str">
        <f>IF(AP317="","",RANK(AL317,AL311:AL317)*1000+ROWS(AH311:AH317))</f>
        <v/>
      </c>
      <c r="AI317" s="318" t="str">
        <f t="shared" si="265"/>
        <v/>
      </c>
      <c r="AJ317" s="416" t="b">
        <f>AND(AO317&lt;&gt;"",AO317&gt;0,COUNTIF(AI311:AI317,AI317)&gt;1)</f>
        <v>0</v>
      </c>
      <c r="AK317" s="318" t="str">
        <f t="shared" si="266"/>
        <v/>
      </c>
      <c r="AL317" s="319" t="str">
        <f t="shared" si="267"/>
        <v/>
      </c>
      <c r="AM317" s="416" t="b">
        <f>AND(AO317&lt;&gt;"",AO317&gt;0,COUNTIF(AL311:AL317,AL317)&gt;1)</f>
        <v>0</v>
      </c>
      <c r="AN317" s="306" t="str">
        <f t="shared" si="268"/>
        <v/>
      </c>
      <c r="AO317" s="307" t="str">
        <f t="shared" si="269"/>
        <v/>
      </c>
      <c r="AP317" s="307" t="str">
        <f>IF(OR(AC310="",AD317=""),"",COUNTIF(ResultsInd[Win],AC310&amp;"-"&amp;AD317))</f>
        <v/>
      </c>
      <c r="AQ317" s="307" t="str">
        <f>IF(OR(AC310="",AD317=""),"",COUNTIF(ResultsInd[Draw1],AC310&amp;"-"&amp;AD317)+COUNTIF(ResultsInd[Draw2],AC310&amp;"-"&amp;AD317))</f>
        <v/>
      </c>
      <c r="AR317" s="307" t="str">
        <f>IF(OR(AC310="",AD317=""),"",COUNTIF(ResultsInd[Lose],AC310&amp;"-"&amp;AD317))</f>
        <v/>
      </c>
      <c r="AS317" s="307" t="str">
        <f>IF(OR(AC310="",AD317=""),"",SUMIFS(ResultsInd[Goal-A],ResultsInd[Category],AC310,ResultsInd[Stage],"Groups",ResultsInd[Player A],AD317)+SUMIFS(ResultsInd[Goal-B],ResultsInd[Category],AC310,ResultsInd[Stage],"Groups",ResultsInd[Player B],AD317))</f>
        <v/>
      </c>
      <c r="AT317" s="307" t="str">
        <f>IF(OR(AC310="",AD317=""),"",SUMIFS(ResultsInd[Goal-B],ResultsInd[Category],AC310,ResultsInd[Stage],"Groups",ResultsInd[Player A],AD317)+SUMIFS(ResultsInd[Goal-A],ResultsInd[Category],AC310,ResultsInd[Stage],"Groups",ResultsInd[Player B],AD317))</f>
        <v/>
      </c>
      <c r="AU317" s="308" t="str">
        <f t="shared" si="272"/>
        <v/>
      </c>
      <c r="AV317" s="469" t="str">
        <f>IF(AG317="","",OR(VLOOKUP(AG317,AH311:AU317,3,FALSE),VLOOKUP(AG317,AH311:AU317,6,FALSE)))</f>
        <v/>
      </c>
      <c r="AW317" s="299" t="str">
        <f t="shared" si="270"/>
        <v/>
      </c>
      <c r="AX317" s="287" t="str">
        <f>IF(AG317="","",INDEX(AD311:AD317,MATCH(AG317,AH311:AH317,0)))</f>
        <v/>
      </c>
      <c r="AY317" s="288" t="str">
        <f>IF(AG317="","",VLOOKUP(AG317,AH311:AU317,COLUMN()-COLUMN(AR310),FALSE))</f>
        <v/>
      </c>
      <c r="AZ317" s="288" t="str">
        <f>IF(AG317="","",VLOOKUP(AG317,AH311:AU317,COLUMN()-COLUMN(AR310),FALSE))</f>
        <v/>
      </c>
      <c r="BA317" s="288" t="str">
        <f>IF(AG317="","",VLOOKUP(AG317,AH311:AU317,COLUMN()-COLUMN(AR310),FALSE))</f>
        <v/>
      </c>
      <c r="BB317" s="288" t="str">
        <f>IF(AG317="","",VLOOKUP(AG317,AH311:AU317,COLUMN()-COLUMN(AR310),FALSE))</f>
        <v/>
      </c>
      <c r="BC317" s="288" t="str">
        <f>IF(AG317="","",VLOOKUP(AG317,AH311:AU317,COLUMN()-COLUMN(AR310),FALSE))</f>
        <v/>
      </c>
      <c r="BD317" s="288" t="str">
        <f>IF(AG317="","",VLOOKUP(AG317,AH311:AU317,COLUMN()-COLUMN(AR310),FALSE))</f>
        <v/>
      </c>
      <c r="BE317" s="288" t="str">
        <f>IF(AG317="","",VLOOKUP(AG317,AH311:AU317,COLUMN()-COLUMN(AR310),FALSE))</f>
        <v/>
      </c>
      <c r="BF317" s="302" t="str">
        <f>IF(AG317="","",VLOOKUP(AG317,AH311:AU317,COLUMN()-COLUMN(AR310),FALSE))</f>
        <v/>
      </c>
    </row>
    <row r="318" spans="1:58" ht="13.5" thickBot="1" x14ac:dyDescent="0.25">
      <c r="A318" s="62"/>
      <c r="B318" s="62"/>
      <c r="C318" s="62"/>
      <c r="D318" s="62"/>
      <c r="E318" s="345"/>
      <c r="F318" s="345"/>
      <c r="G318" s="113"/>
      <c r="H318" s="113"/>
      <c r="I318" s="114"/>
      <c r="J318" s="114"/>
      <c r="K318" s="114"/>
      <c r="L318" s="81"/>
      <c r="M318" s="265" t="b">
        <f>NOT(ISERROR(ResultsInd[[#This Row],[Goal-A]]+ResultsInd[[#This Row],[Goal-B]]))</f>
        <v>1</v>
      </c>
      <c r="N318" s="265">
        <f>VALUE(ResultsInd[[#This Row],[Score-A]])</f>
        <v>0</v>
      </c>
      <c r="O318" s="265">
        <f>VALUE(ResultsInd[[#This Row],[Score-B]])</f>
        <v>0</v>
      </c>
      <c r="P318" s="265" t="str">
        <f ca="1">IF(AND(ResultsInd[[#This Row],[Category]]&lt;&gt;"",ResultsInd[[#This Row],[Player A]]&lt;&gt;""),COUNTIF(INDIRECT(ResultsInd[[#This Row],[Category]]&amp;"List[Retained Player Name]"),ResultsInd[[#This Row],[Player A]]),"")</f>
        <v/>
      </c>
      <c r="Q318" s="265" t="str">
        <f ca="1">IF(AND(ResultsInd[[#This Row],[Category]]&lt;&gt;"",ResultsInd[[#This Row],[Player B]]&lt;&gt;""),COUNTIF(INDIRECT(ResultsInd[[#This Row],[Category]]&amp;"List[Retained Player Name]"),ResultsInd[[#This Row],[Player B]]),"")</f>
        <v/>
      </c>
      <c r="R3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8" s="265" t="str">
        <f>IF(ResultsInd[[#This Row],[Score_OK]],IF(ResultsInd[[#This Row],[Stage]]="Groups",ResultsInd[[#This Row],[Category]]&amp;"-"&amp;IF(ResultsInd[[#This Row],[Player B]]="","",IF(ResultsInd[[#This Row],[Score-A]]=ResultsInd[[#This Row],[Score-B]],ResultsInd[[#This Row],[Player A]],"")),""),"")</f>
        <v/>
      </c>
      <c r="T318" s="265" t="str">
        <f>IF(ResultsInd[[#This Row],[Score_OK]],IF(ResultsInd[[#This Row],[Stage]]="Groups",ResultsInd[[#This Row],[Category]]&amp;"-"&amp;IF(ResultsInd[[#This Row],[Player B]]="","",IF(ResultsInd[[#This Row],[Score-A]]=ResultsInd[[#This Row],[Score-B]],ResultsInd[[#This Row],[Player B]],"")),""),"")</f>
        <v/>
      </c>
      <c r="U3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8" s="264" t="str">
        <f>IF(ResultsInd[[#This Row],[Category]]="","",VLOOKUP(ResultsInd[[#This Row],[Stage]],$P$1:$V$9,MATCH(ResultsInd[[#This Row],[Category]],$Q$1:$V$1,0)+1,FALSE))</f>
        <v/>
      </c>
      <c r="Z318" s="264" t="str">
        <f>IF(ResultsInd[[#This Row],[Score_OK]],IF(ResultsInd[[#This Row],[Level]]="R",ResultsInd[[#This Row],[Category]]&amp;"-"&amp;IF(ResultsInd[[#This Row],[LoseInKO]]=ResultsInd[[#This Row],[Category]]&amp;"-"&amp;ResultsInd[[#This Row],[Player A]],ResultsInd[[#This Row],[Player B]],ResultsInd[[#This Row],[Player A]]),""),"")</f>
        <v/>
      </c>
      <c r="AB318" s="8"/>
      <c r="AC318" s="8"/>
      <c r="AF318" s="170"/>
      <c r="AG318" s="101"/>
      <c r="AH318" s="101"/>
      <c r="AN318" s="170"/>
      <c r="AO318" s="170"/>
      <c r="AP318" s="170"/>
      <c r="AQ318" s="172"/>
      <c r="AR318" s="173"/>
      <c r="AS318" s="173"/>
      <c r="AT318" s="173"/>
      <c r="AU318" s="101"/>
      <c r="AV318" s="101"/>
      <c r="AW318" s="101"/>
      <c r="AX318" s="101"/>
      <c r="AY318" s="101"/>
      <c r="AZ318" s="101"/>
    </row>
    <row r="319" spans="1:58" ht="12" thickBot="1" x14ac:dyDescent="0.25">
      <c r="A319" s="62" t="s">
        <v>12261</v>
      </c>
      <c r="B319" s="62" t="s">
        <v>12207</v>
      </c>
      <c r="C319" s="62">
        <v>5</v>
      </c>
      <c r="D319" s="62"/>
      <c r="E319" s="345" t="s">
        <v>8752</v>
      </c>
      <c r="F319" s="345" t="s">
        <v>10792</v>
      </c>
      <c r="G319" s="113">
        <v>6</v>
      </c>
      <c r="H319" s="113">
        <v>1</v>
      </c>
      <c r="I319" s="114"/>
      <c r="J319" s="114"/>
      <c r="K319" s="114"/>
      <c r="L319" s="81"/>
      <c r="M319" s="265" t="b">
        <f>NOT(ISERROR(ResultsInd[[#This Row],[Goal-A]]+ResultsInd[[#This Row],[Goal-B]]))</f>
        <v>1</v>
      </c>
      <c r="N319" s="265">
        <f>VALUE(ResultsInd[[#This Row],[Score-A]])</f>
        <v>6</v>
      </c>
      <c r="O319" s="265">
        <f>VALUE(ResultsInd[[#This Row],[Score-B]])</f>
        <v>1</v>
      </c>
      <c r="P319" s="265">
        <f ca="1">IF(AND(ResultsInd[[#This Row],[Category]]&lt;&gt;"",ResultsInd[[#This Row],[Player A]]&lt;&gt;""),COUNTIF(INDIRECT(ResultsInd[[#This Row],[Category]]&amp;"List[Retained Player Name]"),ResultsInd[[#This Row],[Player A]]),"")</f>
        <v>1</v>
      </c>
      <c r="Q319" s="265">
        <f ca="1">IF(AND(ResultsInd[[#This Row],[Category]]&lt;&gt;"",ResultsInd[[#This Row],[Player B]]&lt;&gt;""),COUNTIF(INDIRECT(ResultsInd[[#This Row],[Category]]&amp;"List[Retained Player Name]"),ResultsInd[[#This Row],[Player B]]),"")</f>
        <v>1</v>
      </c>
      <c r="R3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Field</v>
      </c>
      <c r="S319" s="265" t="str">
        <f>IF(ResultsInd[[#This Row],[Score_OK]],IF(ResultsInd[[#This Row],[Stage]]="Groups",ResultsInd[[#This Row],[Category]]&amp;"-"&amp;IF(ResultsInd[[#This Row],[Player B]]="","",IF(ResultsInd[[#This Row],[Score-A]]=ResultsInd[[#This Row],[Score-B]],ResultsInd[[#This Row],[Player A]],"")),""),"")</f>
        <v>VETERANS-</v>
      </c>
      <c r="T319" s="265" t="str">
        <f>IF(ResultsInd[[#This Row],[Score_OK]],IF(ResultsInd[[#This Row],[Stage]]="Groups",ResultsInd[[#This Row],[Category]]&amp;"-"&amp;IF(ResultsInd[[#This Row],[Player B]]="","",IF(ResultsInd[[#This Row],[Score-A]]=ResultsInd[[#This Row],[Score-B]],ResultsInd[[#This Row],[Player B]],"")),""),"")</f>
        <v>VETERANS-</v>
      </c>
      <c r="U3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VETERANS-Peter Alegi</v>
      </c>
      <c r="V3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VETERANS-Peter Alegi</v>
      </c>
      <c r="X3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VETERANS-Peter Alegi</v>
      </c>
      <c r="Y319" s="264" t="str">
        <f>IF(ResultsInd[[#This Row],[Category]]="","",VLOOKUP(ResultsInd[[#This Row],[Stage]],$P$1:$V$9,MATCH(ResultsInd[[#This Row],[Category]],$Q$1:$V$1,0)+1,FALSE))</f>
        <v>PR1</v>
      </c>
      <c r="Z319" s="264" t="str">
        <f>IF(ResultsInd[[#This Row],[Score_OK]],IF(ResultsInd[[#This Row],[Level]]="R",ResultsInd[[#This Row],[Category]]&amp;"-"&amp;IF(ResultsInd[[#This Row],[LoseInKO]]=ResultsInd[[#This Row],[Category]]&amp;"-"&amp;ResultsInd[[#This Row],[Player A]],ResultsInd[[#This Row],[Player B]],ResultsInd[[#This Row],[Player A]]),""),"")</f>
        <v/>
      </c>
      <c r="AB319" s="281">
        <v>5</v>
      </c>
      <c r="AC319" s="315" t="s">
        <v>12261</v>
      </c>
      <c r="AD319" s="289" t="s">
        <v>14439</v>
      </c>
      <c r="AE319" s="290" t="s">
        <v>12279</v>
      </c>
      <c r="AF319" s="284" t="s">
        <v>12275</v>
      </c>
      <c r="AG319" s="296" t="s">
        <v>12276</v>
      </c>
      <c r="AH319" s="291" t="s">
        <v>12271</v>
      </c>
      <c r="AI319" s="291" t="s">
        <v>12272</v>
      </c>
      <c r="AJ319" s="414" t="s">
        <v>13154</v>
      </c>
      <c r="AK319" s="291" t="s">
        <v>12273</v>
      </c>
      <c r="AL319" s="297" t="s">
        <v>12274</v>
      </c>
      <c r="AM319" s="414" t="s">
        <v>13154</v>
      </c>
      <c r="AN319" s="303" t="s">
        <v>12199</v>
      </c>
      <c r="AO319" s="304" t="s">
        <v>12200</v>
      </c>
      <c r="AP319" s="304" t="s">
        <v>12201</v>
      </c>
      <c r="AQ319" s="304" t="s">
        <v>12202</v>
      </c>
      <c r="AR319" s="304" t="s">
        <v>12203</v>
      </c>
      <c r="AS319" s="304" t="s">
        <v>12204</v>
      </c>
      <c r="AT319" s="304" t="s">
        <v>12205</v>
      </c>
      <c r="AU319" s="305" t="s">
        <v>12206</v>
      </c>
      <c r="AV319" s="468"/>
      <c r="AW319" s="282" t="s">
        <v>12276</v>
      </c>
      <c r="AX319" s="282" t="s">
        <v>12280</v>
      </c>
      <c r="AY319" s="283" t="s">
        <v>12199</v>
      </c>
      <c r="AZ319" s="283" t="s">
        <v>12200</v>
      </c>
      <c r="BA319" s="283" t="s">
        <v>12201</v>
      </c>
      <c r="BB319" s="283" t="s">
        <v>12202</v>
      </c>
      <c r="BC319" s="283" t="s">
        <v>12203</v>
      </c>
      <c r="BD319" s="283" t="s">
        <v>12204</v>
      </c>
      <c r="BE319" s="283" t="s">
        <v>12205</v>
      </c>
      <c r="BF319" s="300" t="s">
        <v>12206</v>
      </c>
    </row>
    <row r="320" spans="1:58" ht="12" thickBot="1" x14ac:dyDescent="0.25">
      <c r="A320" s="62" t="s">
        <v>12261</v>
      </c>
      <c r="B320" s="62" t="s">
        <v>12207</v>
      </c>
      <c r="C320" s="62">
        <v>5</v>
      </c>
      <c r="D320" s="62"/>
      <c r="E320" s="345" t="s">
        <v>8121</v>
      </c>
      <c r="F320" s="345" t="s">
        <v>8546</v>
      </c>
      <c r="G320" s="113">
        <v>4</v>
      </c>
      <c r="H320" s="113">
        <v>0</v>
      </c>
      <c r="I320" s="114"/>
      <c r="J320" s="114"/>
      <c r="K320" s="114"/>
      <c r="L320" s="81"/>
      <c r="M320" s="265" t="b">
        <f>NOT(ISERROR(ResultsInd[[#This Row],[Goal-A]]+ResultsInd[[#This Row],[Goal-B]]))</f>
        <v>1</v>
      </c>
      <c r="N320" s="265">
        <f>VALUE(ResultsInd[[#This Row],[Score-A]])</f>
        <v>4</v>
      </c>
      <c r="O320" s="265">
        <f>VALUE(ResultsInd[[#This Row],[Score-B]])</f>
        <v>0</v>
      </c>
      <c r="P320" s="265">
        <f ca="1">IF(AND(ResultsInd[[#This Row],[Category]]&lt;&gt;"",ResultsInd[[#This Row],[Player A]]&lt;&gt;""),COUNTIF(INDIRECT(ResultsInd[[#This Row],[Category]]&amp;"List[Retained Player Name]"),ResultsInd[[#This Row],[Player A]]),"")</f>
        <v>1</v>
      </c>
      <c r="Q320" s="265">
        <f ca="1">IF(AND(ResultsInd[[#This Row],[Category]]&lt;&gt;"",ResultsInd[[#This Row],[Player B]]&lt;&gt;""),COUNTIF(INDIRECT(ResultsInd[[#This Row],[Category]]&amp;"List[Retained Player Name]"),ResultsInd[[#This Row],[Player B]]),"")</f>
        <v>1</v>
      </c>
      <c r="R3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VETERANS-Olivier Pere</v>
      </c>
      <c r="S320" s="265" t="str">
        <f>IF(ResultsInd[[#This Row],[Score_OK]],IF(ResultsInd[[#This Row],[Stage]]="Groups",ResultsInd[[#This Row],[Category]]&amp;"-"&amp;IF(ResultsInd[[#This Row],[Player B]]="","",IF(ResultsInd[[#This Row],[Score-A]]=ResultsInd[[#This Row],[Score-B]],ResultsInd[[#This Row],[Player A]],"")),""),"")</f>
        <v>VETERANS-</v>
      </c>
      <c r="T320" s="265" t="str">
        <f>IF(ResultsInd[[#This Row],[Score_OK]],IF(ResultsInd[[#This Row],[Stage]]="Groups",ResultsInd[[#This Row],[Category]]&amp;"-"&amp;IF(ResultsInd[[#This Row],[Player B]]="","",IF(ResultsInd[[#This Row],[Score-A]]=ResultsInd[[#This Row],[Score-B]],ResultsInd[[#This Row],[Player B]],"")),""),"")</f>
        <v>VETERANS-</v>
      </c>
      <c r="U3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VETERANS-Malcolm Jamieson</v>
      </c>
      <c r="V3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X3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Y320" s="264" t="str">
        <f>IF(ResultsInd[[#This Row],[Category]]="","",VLOOKUP(ResultsInd[[#This Row],[Stage]],$P$1:$V$9,MATCH(ResultsInd[[#This Row],[Category]],$Q$1:$V$1,0)+1,FALSE))</f>
        <v>PR1</v>
      </c>
      <c r="Z320" s="264" t="str">
        <f>IF(ResultsInd[[#This Row],[Score_OK]],IF(ResultsInd[[#This Row],[Level]]="R",ResultsInd[[#This Row],[Category]]&amp;"-"&amp;IF(ResultsInd[[#This Row],[LoseInKO]]=ResultsInd[[#This Row],[Category]]&amp;"-"&amp;ResultsInd[[#This Row],[Player A]],ResultsInd[[#This Row],[Player B]],ResultsInd[[#This Row],[Player A]]),""),"")</f>
        <v/>
      </c>
      <c r="AB320" s="8"/>
      <c r="AC320" s="12" t="str">
        <f>IF(AC319="","",AC319)</f>
        <v>VETERANS</v>
      </c>
      <c r="AD320" s="309" t="s">
        <v>8752</v>
      </c>
      <c r="AE320" s="320"/>
      <c r="AF320" s="311"/>
      <c r="AG320" s="292">
        <f>IF(AP320="","",SMALL(AH320:AH326,ROWS(AG320:AG320)))</f>
        <v>1001</v>
      </c>
      <c r="AH320" s="293">
        <f>IF(AP320="","",RANK(AL320,AL320:AL326)*1000+ROWS(AH320:AH320))</f>
        <v>1001</v>
      </c>
      <c r="AI320" s="316">
        <f t="shared" ref="AI320:AI326" si="273">IF(AP320="","",CritClassInd1_Points*AN320+CritClassInd1_Matches*AP320+CritClassInd1_Attaque*AS320+CritClassInd1_DiffButs*AU320)</f>
        <v>9000000000000</v>
      </c>
      <c r="AJ320" s="415" t="b">
        <f>AND(AO320&lt;&gt;"",AO320&gt;0,COUNTIF(AI320:AI326,AI320)&gt;1)</f>
        <v>0</v>
      </c>
      <c r="AK320" s="316">
        <f t="shared" ref="AK320:AK326" si="274">IF(AP320="","",CritClassInd_ScorePart*AE320)</f>
        <v>0</v>
      </c>
      <c r="AL320" s="317">
        <f t="shared" ref="AL320:AL326" si="275">IF(AP320="","",AI320+AK320+CritClassInd2_Points*AN320+CritClassInd2_Matches*AP320+CritClassInd2_Attaque*AS320+CritClassInd2_DiffButs*AU320+AF320)</f>
        <v>9000000192100</v>
      </c>
      <c r="AM320" s="415" t="b">
        <f>AND(AO320&lt;&gt;"",AO320&gt;0,COUNTIF(AL320:AL326,AL320)&gt;1)</f>
        <v>0</v>
      </c>
      <c r="AN320" s="306">
        <f t="shared" ref="AN320:AN326" si="276">IF(AP320="","",(AP320*Points_Victoire)+AQ320*Points_Null)</f>
        <v>9</v>
      </c>
      <c r="AO320" s="307">
        <f t="shared" ref="AO320:AO326" si="277">IF(AP320="","",SUM(AP320:AR320))</f>
        <v>3</v>
      </c>
      <c r="AP320" s="307">
        <f>IF(OR(AC319="",AD320=""),"",COUNTIF(ResultsInd[Win],AC319&amp;"-"&amp;AD320))</f>
        <v>3</v>
      </c>
      <c r="AQ320" s="307">
        <f>IF(OR(AC319="",AD320=""),"",COUNTIF(ResultsInd[Draw1],AC319&amp;"-"&amp;AD320)+COUNTIF(ResultsInd[Draw2],AC319&amp;"-"&amp;AD320))</f>
        <v>0</v>
      </c>
      <c r="AR320" s="307">
        <f>IF(OR(AC319="",AD320=""),"",COUNTIF(ResultsInd[Lose],AC319&amp;"-"&amp;AD320))</f>
        <v>0</v>
      </c>
      <c r="AS320" s="307">
        <f>IF(OR(AC319="",AD320=""),"",SUMIFS(ResultsInd[Goal-A],ResultsInd[Category],AC319,ResultsInd[Stage],"Groups",ResultsInd[Player A],AD320)+SUMIFS(ResultsInd[Goal-B],ResultsInd[Category],AC319,ResultsInd[Stage],"Groups",ResultsInd[Player B],AD320))</f>
        <v>21</v>
      </c>
      <c r="AT320" s="307">
        <f>IF(OR(AC319="",AD320=""),"",SUMIFS(ResultsInd[Goal-B],ResultsInd[Category],AC319,ResultsInd[Stage],"Groups",ResultsInd[Player A],AD320)+SUMIFS(ResultsInd[Goal-A],ResultsInd[Category],AC319,ResultsInd[Stage],"Groups",ResultsInd[Player B],AD320))</f>
        <v>2</v>
      </c>
      <c r="AU320" s="308">
        <f>IF(AP320="","",AS320-AT320)</f>
        <v>19</v>
      </c>
      <c r="AV320" s="469" t="b">
        <f>IF(AG320="","",OR(VLOOKUP(AG320,AH320:AU326,3,FALSE),VLOOKUP(AG320,AH320:AU326,6,FALSE)))</f>
        <v>0</v>
      </c>
      <c r="AW320" s="298">
        <f t="shared" ref="AW320:AW326" si="278">IF(AG320="","",INT(AG320/1000))</f>
        <v>1</v>
      </c>
      <c r="AX320" s="285" t="str">
        <f>IF(AG320="","",INDEX(AD320:AD326,MATCH(AG320,AH320:AH326,0)))</f>
        <v>John Field</v>
      </c>
      <c r="AY320" s="286">
        <f>IF(AG320="","",VLOOKUP(AG320,AH320:AU326,COLUMN()-COLUMN(AR319),FALSE))</f>
        <v>9</v>
      </c>
      <c r="AZ320" s="286">
        <f>IF(AG320="","",VLOOKUP(AG320,AH320:AU326,COLUMN()-COLUMN(AR319),FALSE))</f>
        <v>3</v>
      </c>
      <c r="BA320" s="286">
        <f>IF(AG320="","",VLOOKUP(AG320,AH320:AU326,COLUMN()-COLUMN(AR319),FALSE))</f>
        <v>3</v>
      </c>
      <c r="BB320" s="286">
        <f>IF(AG320="","",VLOOKUP(AG320,AH320:AU326,COLUMN()-COLUMN(AR319),FALSE))</f>
        <v>0</v>
      </c>
      <c r="BC320" s="286">
        <f>IF(AG320="","",VLOOKUP(AG320,AH320:AU326,COLUMN()-COLUMN(AR319),FALSE))</f>
        <v>0</v>
      </c>
      <c r="BD320" s="286">
        <f>IF(AG320="","",VLOOKUP(AG320,AH320:AU326,COLUMN()-COLUMN(AR319),FALSE))</f>
        <v>21</v>
      </c>
      <c r="BE320" s="286">
        <f>IF(AG320="","",VLOOKUP(AG320,AH320:AU326,COLUMN()-COLUMN(AR319),FALSE))</f>
        <v>2</v>
      </c>
      <c r="BF320" s="301">
        <f>IF(AG320="","",VLOOKUP(AG320,AH320:AU326,COLUMN()-COLUMN(AR319),FALSE))</f>
        <v>19</v>
      </c>
    </row>
    <row r="321" spans="1:58" ht="12" thickBot="1" x14ac:dyDescent="0.25">
      <c r="A321" s="62" t="s">
        <v>12261</v>
      </c>
      <c r="B321" s="62" t="s">
        <v>12207</v>
      </c>
      <c r="C321" s="62">
        <v>5</v>
      </c>
      <c r="D321" s="62"/>
      <c r="E321" s="345" t="s">
        <v>8752</v>
      </c>
      <c r="F321" s="345" t="s">
        <v>8121</v>
      </c>
      <c r="G321" s="113">
        <v>3</v>
      </c>
      <c r="H321" s="113">
        <v>1</v>
      </c>
      <c r="I321" s="114"/>
      <c r="J321" s="114"/>
      <c r="K321" s="114"/>
      <c r="L321" s="81"/>
      <c r="M321" s="265" t="b">
        <f>NOT(ISERROR(ResultsInd[[#This Row],[Goal-A]]+ResultsInd[[#This Row],[Goal-B]]))</f>
        <v>1</v>
      </c>
      <c r="N321" s="265">
        <f>VALUE(ResultsInd[[#This Row],[Score-A]])</f>
        <v>3</v>
      </c>
      <c r="O321" s="265">
        <f>VALUE(ResultsInd[[#This Row],[Score-B]])</f>
        <v>1</v>
      </c>
      <c r="P321" s="265">
        <f ca="1">IF(AND(ResultsInd[[#This Row],[Category]]&lt;&gt;"",ResultsInd[[#This Row],[Player A]]&lt;&gt;""),COUNTIF(INDIRECT(ResultsInd[[#This Row],[Category]]&amp;"List[Retained Player Name]"),ResultsInd[[#This Row],[Player A]]),"")</f>
        <v>1</v>
      </c>
      <c r="Q321" s="265">
        <f ca="1">IF(AND(ResultsInd[[#This Row],[Category]]&lt;&gt;"",ResultsInd[[#This Row],[Player B]]&lt;&gt;""),COUNTIF(INDIRECT(ResultsInd[[#This Row],[Category]]&amp;"List[Retained Player Name]"),ResultsInd[[#This Row],[Player B]]),"")</f>
        <v>1</v>
      </c>
      <c r="R3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Field</v>
      </c>
      <c r="S321" s="265" t="str">
        <f>IF(ResultsInd[[#This Row],[Score_OK]],IF(ResultsInd[[#This Row],[Stage]]="Groups",ResultsInd[[#This Row],[Category]]&amp;"-"&amp;IF(ResultsInd[[#This Row],[Player B]]="","",IF(ResultsInd[[#This Row],[Score-A]]=ResultsInd[[#This Row],[Score-B]],ResultsInd[[#This Row],[Player A]],"")),""),"")</f>
        <v>VETERANS-</v>
      </c>
      <c r="T321" s="265" t="str">
        <f>IF(ResultsInd[[#This Row],[Score_OK]],IF(ResultsInd[[#This Row],[Stage]]="Groups",ResultsInd[[#This Row],[Category]]&amp;"-"&amp;IF(ResultsInd[[#This Row],[Player B]]="","",IF(ResultsInd[[#This Row],[Score-A]]=ResultsInd[[#This Row],[Score-B]],ResultsInd[[#This Row],[Player B]],"")),""),"")</f>
        <v>VETERANS-</v>
      </c>
      <c r="U3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VETERANS-Olivier Pere</v>
      </c>
      <c r="V3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Pere</v>
      </c>
      <c r="X3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Pere</v>
      </c>
      <c r="Y321" s="264" t="str">
        <f>IF(ResultsInd[[#This Row],[Category]]="","",VLOOKUP(ResultsInd[[#This Row],[Stage]],$P$1:$V$9,MATCH(ResultsInd[[#This Row],[Category]],$Q$1:$V$1,0)+1,FALSE))</f>
        <v>PR1</v>
      </c>
      <c r="Z321" s="264" t="str">
        <f>IF(ResultsInd[[#This Row],[Score_OK]],IF(ResultsInd[[#This Row],[Level]]="R",ResultsInd[[#This Row],[Category]]&amp;"-"&amp;IF(ResultsInd[[#This Row],[LoseInKO]]=ResultsInd[[#This Row],[Category]]&amp;"-"&amp;ResultsInd[[#This Row],[Player A]],ResultsInd[[#This Row],[Player B]],ResultsInd[[#This Row],[Player A]]),""),"")</f>
        <v/>
      </c>
      <c r="AB321" s="8"/>
      <c r="AC321" s="12" t="str">
        <f t="shared" ref="AC321:AC326" si="279">IF(AC320="","",AC320)</f>
        <v>VETERANS</v>
      </c>
      <c r="AD321" s="309" t="s">
        <v>8121</v>
      </c>
      <c r="AE321" s="320"/>
      <c r="AF321" s="311"/>
      <c r="AG321" s="292">
        <f>IF(AP321="","",SMALL(AH320:AH326,ROWS(AG320:AG321)))</f>
        <v>2002</v>
      </c>
      <c r="AH321" s="293">
        <f>IF(AP321="","",RANK(AL321,AL320:AL326)*1000+ROWS(AH320:AH321))</f>
        <v>2002</v>
      </c>
      <c r="AI321" s="316">
        <f t="shared" si="273"/>
        <v>4000000000000</v>
      </c>
      <c r="AJ321" s="415" t="b">
        <f>AND(AO321&lt;&gt;"",AO321&gt;0,COUNTIF(AI320:AI326,AI321)&gt;1)</f>
        <v>1</v>
      </c>
      <c r="AK321" s="316">
        <f t="shared" si="274"/>
        <v>0</v>
      </c>
      <c r="AL321" s="317">
        <f t="shared" si="275"/>
        <v>4000000020600</v>
      </c>
      <c r="AM321" s="415" t="b">
        <f>AND(AO321&lt;&gt;"",AO321&gt;0,COUNTIF(AL320:AL326,AL321)&gt;1)</f>
        <v>0</v>
      </c>
      <c r="AN321" s="306">
        <f t="shared" si="276"/>
        <v>4</v>
      </c>
      <c r="AO321" s="307">
        <f t="shared" si="277"/>
        <v>3</v>
      </c>
      <c r="AP321" s="307">
        <f>IF(OR(AC319="",AD321=""),"",COUNTIF(ResultsInd[Win],AC319&amp;"-"&amp;AD321))</f>
        <v>1</v>
      </c>
      <c r="AQ321" s="307">
        <f>IF(OR(AC319="",AD321=""),"",COUNTIF(ResultsInd[Draw1],AC319&amp;"-"&amp;AD321)+COUNTIF(ResultsInd[Draw2],AC319&amp;"-"&amp;AD321))</f>
        <v>1</v>
      </c>
      <c r="AR321" s="307">
        <f>IF(OR(AC319="",AD321=""),"",COUNTIF(ResultsInd[Lose],AC319&amp;"-"&amp;AD321))</f>
        <v>1</v>
      </c>
      <c r="AS321" s="307">
        <f>IF(OR(AC319="",AD321=""),"",SUMIFS(ResultsInd[Goal-A],ResultsInd[Category],AC319,ResultsInd[Stage],"Groups",ResultsInd[Player A],AD321)+SUMIFS(ResultsInd[Goal-B],ResultsInd[Category],AC319,ResultsInd[Stage],"Groups",ResultsInd[Player B],AD321))</f>
        <v>6</v>
      </c>
      <c r="AT321" s="307">
        <f>IF(OR(AC319="",AD321=""),"",SUMIFS(ResultsInd[Goal-B],ResultsInd[Category],AC319,ResultsInd[Stage],"Groups",ResultsInd[Player A],AD321)+SUMIFS(ResultsInd[Goal-A],ResultsInd[Category],AC319,ResultsInd[Stage],"Groups",ResultsInd[Player B],AD321))</f>
        <v>4</v>
      </c>
      <c r="AU321" s="308">
        <f t="shared" ref="AU321:AU326" si="280">IF(AP321="","",AS321-AT321)</f>
        <v>2</v>
      </c>
      <c r="AV321" s="469" t="b">
        <f>IF(AG321="","",OR(VLOOKUP(AG321,AH320:AU326,3,FALSE),VLOOKUP(AG321,AH320:AU326,6,FALSE)))</f>
        <v>1</v>
      </c>
      <c r="AW321" s="298">
        <f t="shared" si="278"/>
        <v>2</v>
      </c>
      <c r="AX321" s="285" t="str">
        <f>IF(AG321="","",INDEX(AD320:AD326,MATCH(AG321,AH320:AH326,0)))</f>
        <v>Olivier Pere</v>
      </c>
      <c r="AY321" s="286">
        <f>IF(AG321="","",VLOOKUP(AG321,AH320:AU326,COLUMN()-COLUMN(AR319),FALSE))</f>
        <v>4</v>
      </c>
      <c r="AZ321" s="286">
        <f>IF(AG321="","",VLOOKUP(AG321,AH320:AU326,COLUMN()-COLUMN(AR319),FALSE))</f>
        <v>3</v>
      </c>
      <c r="BA321" s="286">
        <f>IF(AG321="","",VLOOKUP(AG321,AH320:AU326,COLUMN()-COLUMN(AR319),FALSE))</f>
        <v>1</v>
      </c>
      <c r="BB321" s="286">
        <f>IF(AG321="","",VLOOKUP(AG321,AH320:AU326,COLUMN()-COLUMN(AR319),FALSE))</f>
        <v>1</v>
      </c>
      <c r="BC321" s="286">
        <f>IF(AG321="","",VLOOKUP(AG321,AH320:AU326,COLUMN()-COLUMN(AR319),FALSE))</f>
        <v>1</v>
      </c>
      <c r="BD321" s="286">
        <f>IF(AG321="","",VLOOKUP(AG321,AH320:AU326,COLUMN()-COLUMN(AR319),FALSE))</f>
        <v>6</v>
      </c>
      <c r="BE321" s="286">
        <f>IF(AG321="","",VLOOKUP(AG321,AH320:AU326,COLUMN()-COLUMN(AR319),FALSE))</f>
        <v>4</v>
      </c>
      <c r="BF321" s="301">
        <f>IF(AG321="","",VLOOKUP(AG321,AH320:AU326,COLUMN()-COLUMN(AR319),FALSE))</f>
        <v>2</v>
      </c>
    </row>
    <row r="322" spans="1:58" ht="12" thickBot="1" x14ac:dyDescent="0.25">
      <c r="A322" s="62" t="s">
        <v>12261</v>
      </c>
      <c r="B322" s="62" t="s">
        <v>12207</v>
      </c>
      <c r="C322" s="62">
        <v>5</v>
      </c>
      <c r="D322" s="62"/>
      <c r="E322" s="345" t="s">
        <v>10792</v>
      </c>
      <c r="F322" s="345" t="s">
        <v>8546</v>
      </c>
      <c r="G322" s="113">
        <v>4</v>
      </c>
      <c r="H322" s="113">
        <v>0</v>
      </c>
      <c r="I322" s="114"/>
      <c r="J322" s="114"/>
      <c r="K322" s="114"/>
      <c r="L322" s="81"/>
      <c r="M322" s="265" t="b">
        <f>NOT(ISERROR(ResultsInd[[#This Row],[Goal-A]]+ResultsInd[[#This Row],[Goal-B]]))</f>
        <v>1</v>
      </c>
      <c r="N322" s="265">
        <f>VALUE(ResultsInd[[#This Row],[Score-A]])</f>
        <v>4</v>
      </c>
      <c r="O322" s="265">
        <f>VALUE(ResultsInd[[#This Row],[Score-B]])</f>
        <v>0</v>
      </c>
      <c r="P322" s="265">
        <f ca="1">IF(AND(ResultsInd[[#This Row],[Category]]&lt;&gt;"",ResultsInd[[#This Row],[Player A]]&lt;&gt;""),COUNTIF(INDIRECT(ResultsInd[[#This Row],[Category]]&amp;"List[Retained Player Name]"),ResultsInd[[#This Row],[Player A]]),"")</f>
        <v>1</v>
      </c>
      <c r="Q322" s="265">
        <f ca="1">IF(AND(ResultsInd[[#This Row],[Category]]&lt;&gt;"",ResultsInd[[#This Row],[Player B]]&lt;&gt;""),COUNTIF(INDIRECT(ResultsInd[[#This Row],[Category]]&amp;"List[Retained Player Name]"),ResultsInd[[#This Row],[Player B]]),"")</f>
        <v>1</v>
      </c>
      <c r="R3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VETERANS-Peter Alegi</v>
      </c>
      <c r="S322" s="265" t="str">
        <f>IF(ResultsInd[[#This Row],[Score_OK]],IF(ResultsInd[[#This Row],[Stage]]="Groups",ResultsInd[[#This Row],[Category]]&amp;"-"&amp;IF(ResultsInd[[#This Row],[Player B]]="","",IF(ResultsInd[[#This Row],[Score-A]]=ResultsInd[[#This Row],[Score-B]],ResultsInd[[#This Row],[Player A]],"")),""),"")</f>
        <v>VETERANS-</v>
      </c>
      <c r="T322" s="265" t="str">
        <f>IF(ResultsInd[[#This Row],[Score_OK]],IF(ResultsInd[[#This Row],[Stage]]="Groups",ResultsInd[[#This Row],[Category]]&amp;"-"&amp;IF(ResultsInd[[#This Row],[Player B]]="","",IF(ResultsInd[[#This Row],[Score-A]]=ResultsInd[[#This Row],[Score-B]],ResultsInd[[#This Row],[Player B]],"")),""),"")</f>
        <v>VETERANS-</v>
      </c>
      <c r="U3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VETERANS-Malcolm Jamieson</v>
      </c>
      <c r="V3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X3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Y322" s="264" t="str">
        <f>IF(ResultsInd[[#This Row],[Category]]="","",VLOOKUP(ResultsInd[[#This Row],[Stage]],$P$1:$V$9,MATCH(ResultsInd[[#This Row],[Category]],$Q$1:$V$1,0)+1,FALSE))</f>
        <v>PR1</v>
      </c>
      <c r="Z322" s="264" t="str">
        <f>IF(ResultsInd[[#This Row],[Score_OK]],IF(ResultsInd[[#This Row],[Level]]="R",ResultsInd[[#This Row],[Category]]&amp;"-"&amp;IF(ResultsInd[[#This Row],[LoseInKO]]=ResultsInd[[#This Row],[Category]]&amp;"-"&amp;ResultsInd[[#This Row],[Player A]],ResultsInd[[#This Row],[Player B]],ResultsInd[[#This Row],[Player A]]),""),"")</f>
        <v/>
      </c>
      <c r="AB322" s="8"/>
      <c r="AC322" s="12" t="str">
        <f t="shared" si="279"/>
        <v>VETERANS</v>
      </c>
      <c r="AD322" s="309" t="s">
        <v>10792</v>
      </c>
      <c r="AE322" s="320"/>
      <c r="AF322" s="311"/>
      <c r="AG322" s="292">
        <f>IF(AP322="","",SMALL(AH320:AH326,ROWS(AG320:AG322)))</f>
        <v>3003</v>
      </c>
      <c r="AH322" s="293">
        <f>IF(AP322="","",RANK(AL322,AL320:AL326)*1000+ROWS(AH320:AH322))</f>
        <v>3003</v>
      </c>
      <c r="AI322" s="316">
        <f t="shared" si="273"/>
        <v>4000000000000</v>
      </c>
      <c r="AJ322" s="415" t="b">
        <f>AND(AO322&lt;&gt;"",AO322&gt;0,COUNTIF(AI320:AI326,AI322)&gt;1)</f>
        <v>1</v>
      </c>
      <c r="AK322" s="316">
        <f t="shared" si="274"/>
        <v>0</v>
      </c>
      <c r="AL322" s="317">
        <f t="shared" si="275"/>
        <v>3999999990600</v>
      </c>
      <c r="AM322" s="415" t="b">
        <f>AND(AO322&lt;&gt;"",AO322&gt;0,COUNTIF(AL320:AL326,AL322)&gt;1)</f>
        <v>0</v>
      </c>
      <c r="AN322" s="306">
        <f t="shared" si="276"/>
        <v>4</v>
      </c>
      <c r="AO322" s="307">
        <f t="shared" si="277"/>
        <v>3</v>
      </c>
      <c r="AP322" s="307">
        <f>IF(OR(AC319="",AD322=""),"",COUNTIF(ResultsInd[Win],AC319&amp;"-"&amp;AD322))</f>
        <v>1</v>
      </c>
      <c r="AQ322" s="307">
        <f>IF(OR(AC319="",AD322=""),"",COUNTIF(ResultsInd[Draw1],AC319&amp;"-"&amp;AD322)+COUNTIF(ResultsInd[Draw2],AC319&amp;"-"&amp;AD322))</f>
        <v>1</v>
      </c>
      <c r="AR322" s="307">
        <f>IF(OR(AC319="",AD322=""),"",COUNTIF(ResultsInd[Lose],AC319&amp;"-"&amp;AD322))</f>
        <v>1</v>
      </c>
      <c r="AS322" s="307">
        <f>IF(OR(AC319="",AD322=""),"",SUMIFS(ResultsInd[Goal-A],ResultsInd[Category],AC319,ResultsInd[Stage],"Groups",ResultsInd[Player A],AD322)+SUMIFS(ResultsInd[Goal-B],ResultsInd[Category],AC319,ResultsInd[Stage],"Groups",ResultsInd[Player B],AD322))</f>
        <v>6</v>
      </c>
      <c r="AT322" s="307">
        <f>IF(OR(AC319="",AD322=""),"",SUMIFS(ResultsInd[Goal-B],ResultsInd[Category],AC319,ResultsInd[Stage],"Groups",ResultsInd[Player A],AD322)+SUMIFS(ResultsInd[Goal-A],ResultsInd[Category],AC319,ResultsInd[Stage],"Groups",ResultsInd[Player B],AD322))</f>
        <v>7</v>
      </c>
      <c r="AU322" s="308">
        <f t="shared" si="280"/>
        <v>-1</v>
      </c>
      <c r="AV322" s="469" t="b">
        <f>IF(AG322="","",OR(VLOOKUP(AG322,AH320:AU326,3,FALSE),VLOOKUP(AG322,AH320:AU326,6,FALSE)))</f>
        <v>1</v>
      </c>
      <c r="AW322" s="298">
        <f t="shared" si="278"/>
        <v>3</v>
      </c>
      <c r="AX322" s="285" t="str">
        <f>IF(AG322="","",INDEX(AD320:AD326,MATCH(AG322,AH320:AH326,0)))</f>
        <v>Peter Alegi</v>
      </c>
      <c r="AY322" s="286">
        <f>IF(AG322="","",VLOOKUP(AG322,AH320:AU326,COLUMN()-COLUMN(AR319),FALSE))</f>
        <v>4</v>
      </c>
      <c r="AZ322" s="286">
        <f>IF(AG322="","",VLOOKUP(AG322,AH320:AU326,COLUMN()-COLUMN(AR319),FALSE))</f>
        <v>3</v>
      </c>
      <c r="BA322" s="286">
        <f>IF(AG322="","",VLOOKUP(AG322,AH320:AU326,COLUMN()-COLUMN(AR319),FALSE))</f>
        <v>1</v>
      </c>
      <c r="BB322" s="286">
        <f>IF(AG322="","",VLOOKUP(AG322,AH320:AU326,COLUMN()-COLUMN(AR319),FALSE))</f>
        <v>1</v>
      </c>
      <c r="BC322" s="286">
        <f>IF(AG322="","",VLOOKUP(AG322,AH320:AU326,COLUMN()-COLUMN(AR319),FALSE))</f>
        <v>1</v>
      </c>
      <c r="BD322" s="286">
        <f>IF(AG322="","",VLOOKUP(AG322,AH320:AU326,COLUMN()-COLUMN(AR319),FALSE))</f>
        <v>6</v>
      </c>
      <c r="BE322" s="286">
        <f>IF(AG322="","",VLOOKUP(AG322,AH320:AU326,COLUMN()-COLUMN(AR319),FALSE))</f>
        <v>7</v>
      </c>
      <c r="BF322" s="301">
        <f>IF(AG322="","",VLOOKUP(AG322,AH320:AU326,COLUMN()-COLUMN(AR319),FALSE))</f>
        <v>-1</v>
      </c>
    </row>
    <row r="323" spans="1:58" ht="12" thickBot="1" x14ac:dyDescent="0.25">
      <c r="A323" s="62" t="s">
        <v>12261</v>
      </c>
      <c r="B323" s="62" t="s">
        <v>12207</v>
      </c>
      <c r="C323" s="62">
        <v>5</v>
      </c>
      <c r="D323" s="62"/>
      <c r="E323" s="345" t="s">
        <v>8546</v>
      </c>
      <c r="F323" s="345" t="s">
        <v>8752</v>
      </c>
      <c r="G323" s="113">
        <v>0</v>
      </c>
      <c r="H323" s="113">
        <v>12</v>
      </c>
      <c r="I323" s="114"/>
      <c r="J323" s="114"/>
      <c r="K323" s="114"/>
      <c r="L323" s="81"/>
      <c r="M323" s="265" t="b">
        <f>NOT(ISERROR(ResultsInd[[#This Row],[Goal-A]]+ResultsInd[[#This Row],[Goal-B]]))</f>
        <v>1</v>
      </c>
      <c r="N323" s="265">
        <f>VALUE(ResultsInd[[#This Row],[Score-A]])</f>
        <v>0</v>
      </c>
      <c r="O323" s="265">
        <f>VALUE(ResultsInd[[#This Row],[Score-B]])</f>
        <v>12</v>
      </c>
      <c r="P323" s="265">
        <f ca="1">IF(AND(ResultsInd[[#This Row],[Category]]&lt;&gt;"",ResultsInd[[#This Row],[Player A]]&lt;&gt;""),COUNTIF(INDIRECT(ResultsInd[[#This Row],[Category]]&amp;"List[Retained Player Name]"),ResultsInd[[#This Row],[Player A]]),"")</f>
        <v>1</v>
      </c>
      <c r="Q323" s="265">
        <f ca="1">IF(AND(ResultsInd[[#This Row],[Category]]&lt;&gt;"",ResultsInd[[#This Row],[Player B]]&lt;&gt;""),COUNTIF(INDIRECT(ResultsInd[[#This Row],[Category]]&amp;"List[Retained Player Name]"),ResultsInd[[#This Row],[Player B]]),"")</f>
        <v>1</v>
      </c>
      <c r="R3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Field</v>
      </c>
      <c r="S323" s="265" t="str">
        <f>IF(ResultsInd[[#This Row],[Score_OK]],IF(ResultsInd[[#This Row],[Stage]]="Groups",ResultsInd[[#This Row],[Category]]&amp;"-"&amp;IF(ResultsInd[[#This Row],[Player B]]="","",IF(ResultsInd[[#This Row],[Score-A]]=ResultsInd[[#This Row],[Score-B]],ResultsInd[[#This Row],[Player A]],"")),""),"")</f>
        <v>VETERANS-</v>
      </c>
      <c r="T323" s="265" t="str">
        <f>IF(ResultsInd[[#This Row],[Score_OK]],IF(ResultsInd[[#This Row],[Stage]]="Groups",ResultsInd[[#This Row],[Category]]&amp;"-"&amp;IF(ResultsInd[[#This Row],[Player B]]="","",IF(ResultsInd[[#This Row],[Score-A]]=ResultsInd[[#This Row],[Score-B]],ResultsInd[[#This Row],[Player B]],"")),""),"")</f>
        <v>VETERANS-</v>
      </c>
      <c r="U3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VETERANS-Malcolm Jamieson</v>
      </c>
      <c r="V3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X3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Y323" s="264" t="str">
        <f>IF(ResultsInd[[#This Row],[Category]]="","",VLOOKUP(ResultsInd[[#This Row],[Stage]],$P$1:$V$9,MATCH(ResultsInd[[#This Row],[Category]],$Q$1:$V$1,0)+1,FALSE))</f>
        <v>PR1</v>
      </c>
      <c r="Z323" s="264" t="str">
        <f>IF(ResultsInd[[#This Row],[Score_OK]],IF(ResultsInd[[#This Row],[Level]]="R",ResultsInd[[#This Row],[Category]]&amp;"-"&amp;IF(ResultsInd[[#This Row],[LoseInKO]]=ResultsInd[[#This Row],[Category]]&amp;"-"&amp;ResultsInd[[#This Row],[Player A]],ResultsInd[[#This Row],[Player B]],ResultsInd[[#This Row],[Player A]]),""),"")</f>
        <v/>
      </c>
      <c r="AB323" s="91"/>
      <c r="AC323" s="12" t="str">
        <f t="shared" si="279"/>
        <v>VETERANS</v>
      </c>
      <c r="AD323" s="309" t="s">
        <v>8546</v>
      </c>
      <c r="AE323" s="310"/>
      <c r="AF323" s="311"/>
      <c r="AG323" s="292">
        <f>IF(AP323="","",SMALL(AH320:AH326,ROWS(AG320:AG323)))</f>
        <v>4004</v>
      </c>
      <c r="AH323" s="293">
        <f>IF(AP323="","",RANK(AL323,AL320:AL326)*1000+ROWS(AH320:AH323))</f>
        <v>4004</v>
      </c>
      <c r="AI323" s="316">
        <f t="shared" si="273"/>
        <v>0</v>
      </c>
      <c r="AJ323" s="415" t="b">
        <f>AND(AO323&lt;&gt;"",AO323&gt;0,COUNTIF(AI320:AI326,AI323)&gt;1)</f>
        <v>0</v>
      </c>
      <c r="AK323" s="316">
        <f t="shared" si="274"/>
        <v>0</v>
      </c>
      <c r="AL323" s="317">
        <f t="shared" si="275"/>
        <v>-200000</v>
      </c>
      <c r="AM323" s="415" t="b">
        <f>AND(AO323&lt;&gt;"",AO323&gt;0,COUNTIF(AL320:AL326,AL323)&gt;1)</f>
        <v>0</v>
      </c>
      <c r="AN323" s="306">
        <f t="shared" si="276"/>
        <v>0</v>
      </c>
      <c r="AO323" s="307">
        <f t="shared" si="277"/>
        <v>3</v>
      </c>
      <c r="AP323" s="307">
        <f>IF(OR(AC319="",AD323=""),"",COUNTIF(ResultsInd[Win],AC319&amp;"-"&amp;AD323))</f>
        <v>0</v>
      </c>
      <c r="AQ323" s="307">
        <f>IF(OR(AC319="",AD323=""),"",COUNTIF(ResultsInd[Draw1],AC319&amp;"-"&amp;AD323)+COUNTIF(ResultsInd[Draw2],AC319&amp;"-"&amp;AD323))</f>
        <v>0</v>
      </c>
      <c r="AR323" s="307">
        <f>IF(OR(AC319="",AD323=""),"",COUNTIF(ResultsInd[Lose],AC319&amp;"-"&amp;AD323))</f>
        <v>3</v>
      </c>
      <c r="AS323" s="307">
        <f>IF(OR(AC319="",AD323=""),"",SUMIFS(ResultsInd[Goal-A],ResultsInd[Category],AC319,ResultsInd[Stage],"Groups",ResultsInd[Player A],AD323)+SUMIFS(ResultsInd[Goal-B],ResultsInd[Category],AC319,ResultsInd[Stage],"Groups",ResultsInd[Player B],AD323))</f>
        <v>0</v>
      </c>
      <c r="AT323" s="307">
        <f>IF(OR(AC319="",AD323=""),"",SUMIFS(ResultsInd[Goal-B],ResultsInd[Category],AC319,ResultsInd[Stage],"Groups",ResultsInd[Player A],AD323)+SUMIFS(ResultsInd[Goal-A],ResultsInd[Category],AC319,ResultsInd[Stage],"Groups",ResultsInd[Player B],AD323))</f>
        <v>20</v>
      </c>
      <c r="AU323" s="308">
        <f t="shared" si="280"/>
        <v>-20</v>
      </c>
      <c r="AV323" s="469" t="b">
        <f>IF(AG323="","",OR(VLOOKUP(AG323,AH320:AU326,3,FALSE),VLOOKUP(AG323,AH320:AU326,6,FALSE)))</f>
        <v>0</v>
      </c>
      <c r="AW323" s="298">
        <f t="shared" si="278"/>
        <v>4</v>
      </c>
      <c r="AX323" s="285" t="str">
        <f>IF(AG323="","",INDEX(AD320:AD326,MATCH(AG323,AH320:AH326,0)))</f>
        <v>Malcolm Jamieson</v>
      </c>
      <c r="AY323" s="286">
        <f>IF(AG323="","",VLOOKUP(AG323,AH320:AU326,COLUMN()-COLUMN(AR319),FALSE))</f>
        <v>0</v>
      </c>
      <c r="AZ323" s="286">
        <f>IF(AG323="","",VLOOKUP(AG323,AH320:AU326,COLUMN()-COLUMN(AR319),FALSE))</f>
        <v>3</v>
      </c>
      <c r="BA323" s="286">
        <f>IF(AG323="","",VLOOKUP(AG323,AH320:AU326,COLUMN()-COLUMN(AR319),FALSE))</f>
        <v>0</v>
      </c>
      <c r="BB323" s="286">
        <f>IF(AG323="","",VLOOKUP(AG323,AH320:AU326,COLUMN()-COLUMN(AR319),FALSE))</f>
        <v>0</v>
      </c>
      <c r="BC323" s="286">
        <f>IF(AG323="","",VLOOKUP(AG323,AH320:AU326,COLUMN()-COLUMN(AR319),FALSE))</f>
        <v>3</v>
      </c>
      <c r="BD323" s="286">
        <f>IF(AG323="","",VLOOKUP(AG323,AH320:AU326,COLUMN()-COLUMN(AR319),FALSE))</f>
        <v>0</v>
      </c>
      <c r="BE323" s="286">
        <f>IF(AG323="","",VLOOKUP(AG323,AH320:AU326,COLUMN()-COLUMN(AR319),FALSE))</f>
        <v>20</v>
      </c>
      <c r="BF323" s="301">
        <f>IF(AG323="","",VLOOKUP(AG323,AH320:AU326,COLUMN()-COLUMN(AR319),FALSE))</f>
        <v>-20</v>
      </c>
    </row>
    <row r="324" spans="1:58" ht="12" thickBot="1" x14ac:dyDescent="0.25">
      <c r="A324" s="62" t="s">
        <v>12261</v>
      </c>
      <c r="B324" s="62" t="s">
        <v>12207</v>
      </c>
      <c r="C324" s="62">
        <v>5</v>
      </c>
      <c r="D324" s="62"/>
      <c r="E324" s="345" t="s">
        <v>10792</v>
      </c>
      <c r="F324" s="345" t="s">
        <v>8121</v>
      </c>
      <c r="G324" s="113">
        <v>1</v>
      </c>
      <c r="H324" s="113">
        <v>1</v>
      </c>
      <c r="I324" s="114"/>
      <c r="J324" s="114"/>
      <c r="K324" s="114"/>
      <c r="L324" s="81"/>
      <c r="M324" s="265" t="b">
        <f>NOT(ISERROR(ResultsInd[[#This Row],[Goal-A]]+ResultsInd[[#This Row],[Goal-B]]))</f>
        <v>1</v>
      </c>
      <c r="N324" s="265">
        <f>VALUE(ResultsInd[[#This Row],[Score-A]])</f>
        <v>1</v>
      </c>
      <c r="O324" s="265">
        <f>VALUE(ResultsInd[[#This Row],[Score-B]])</f>
        <v>1</v>
      </c>
      <c r="P324" s="265">
        <f ca="1">IF(AND(ResultsInd[[#This Row],[Category]]&lt;&gt;"",ResultsInd[[#This Row],[Player A]]&lt;&gt;""),COUNTIF(INDIRECT(ResultsInd[[#This Row],[Category]]&amp;"List[Retained Player Name]"),ResultsInd[[#This Row],[Player A]]),"")</f>
        <v>1</v>
      </c>
      <c r="Q324" s="265">
        <f ca="1">IF(AND(ResultsInd[[#This Row],[Category]]&lt;&gt;"",ResultsInd[[#This Row],[Player B]]&lt;&gt;""),COUNTIF(INDIRECT(ResultsInd[[#This Row],[Category]]&amp;"List[Retained Player Name]"),ResultsInd[[#This Row],[Player B]]),"")</f>
        <v>1</v>
      </c>
      <c r="R3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24" s="265" t="str">
        <f>IF(ResultsInd[[#This Row],[Score_OK]],IF(ResultsInd[[#This Row],[Stage]]="Groups",ResultsInd[[#This Row],[Category]]&amp;"-"&amp;IF(ResultsInd[[#This Row],[Player B]]="","",IF(ResultsInd[[#This Row],[Score-A]]=ResultsInd[[#This Row],[Score-B]],ResultsInd[[#This Row],[Player A]],"")),""),"")</f>
        <v>VETERANS-Peter Alegi</v>
      </c>
      <c r="T324" s="265" t="str">
        <f>IF(ResultsInd[[#This Row],[Score_OK]],IF(ResultsInd[[#This Row],[Stage]]="Groups",ResultsInd[[#This Row],[Category]]&amp;"-"&amp;IF(ResultsInd[[#This Row],[Player B]]="","",IF(ResultsInd[[#This Row],[Score-A]]=ResultsInd[[#This Row],[Score-B]],ResultsInd[[#This Row],[Player B]],"")),""),"")</f>
        <v>VETERANS-Olivier Pere</v>
      </c>
      <c r="U3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VETERANS-Peter Alegi</v>
      </c>
      <c r="X3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Pere</v>
      </c>
      <c r="Y324" s="264" t="str">
        <f>IF(ResultsInd[[#This Row],[Category]]="","",VLOOKUP(ResultsInd[[#This Row],[Stage]],$P$1:$V$9,MATCH(ResultsInd[[#This Row],[Category]],$Q$1:$V$1,0)+1,FALSE))</f>
        <v>PR1</v>
      </c>
      <c r="Z324" s="264" t="str">
        <f>IF(ResultsInd[[#This Row],[Score_OK]],IF(ResultsInd[[#This Row],[Level]]="R",ResultsInd[[#This Row],[Category]]&amp;"-"&amp;IF(ResultsInd[[#This Row],[LoseInKO]]=ResultsInd[[#This Row],[Category]]&amp;"-"&amp;ResultsInd[[#This Row],[Player A]],ResultsInd[[#This Row],[Player B]],ResultsInd[[#This Row],[Player A]]),""),"")</f>
        <v/>
      </c>
      <c r="AB324" s="91"/>
      <c r="AC324" s="12" t="str">
        <f t="shared" si="279"/>
        <v>VETERANS</v>
      </c>
      <c r="AD324" s="309"/>
      <c r="AE324" s="310"/>
      <c r="AF324" s="311"/>
      <c r="AG324" s="292" t="str">
        <f>IF(AP324="","",SMALL(AH320:AH326,ROWS(AG320:AG324)))</f>
        <v/>
      </c>
      <c r="AH324" s="293" t="str">
        <f>IF(AP324="","",RANK(AL324,AL320:AL326)*1000+ROWS(AH320:AH324))</f>
        <v/>
      </c>
      <c r="AI324" s="316" t="str">
        <f t="shared" si="273"/>
        <v/>
      </c>
      <c r="AJ324" s="415" t="b">
        <f>AND(AO324&lt;&gt;"",AO324&gt;0,COUNTIF(AI320:AI326,AI324)&gt;1)</f>
        <v>0</v>
      </c>
      <c r="AK324" s="316" t="str">
        <f t="shared" si="274"/>
        <v/>
      </c>
      <c r="AL324" s="317" t="str">
        <f t="shared" si="275"/>
        <v/>
      </c>
      <c r="AM324" s="415" t="b">
        <f>AND(AO324&lt;&gt;"",AO324&gt;0,COUNTIF(AL320:AL326,AL324)&gt;1)</f>
        <v>0</v>
      </c>
      <c r="AN324" s="306" t="str">
        <f t="shared" si="276"/>
        <v/>
      </c>
      <c r="AO324" s="307" t="str">
        <f t="shared" si="277"/>
        <v/>
      </c>
      <c r="AP324" s="307" t="str">
        <f>IF(OR(AC319="",AD324=""),"",COUNTIF(ResultsInd[Win],AC319&amp;"-"&amp;AD324))</f>
        <v/>
      </c>
      <c r="AQ324" s="307" t="str">
        <f>IF(OR(AC319="",AD324=""),"",COUNTIF(ResultsInd[Draw1],AC319&amp;"-"&amp;AD324)+COUNTIF(ResultsInd[Draw2],AC319&amp;"-"&amp;AD324))</f>
        <v/>
      </c>
      <c r="AR324" s="307" t="str">
        <f>IF(OR(AC319="",AD324=""),"",COUNTIF(ResultsInd[Lose],AC319&amp;"-"&amp;AD324))</f>
        <v/>
      </c>
      <c r="AS324" s="307" t="str">
        <f>IF(OR(AC319="",AD324=""),"",SUMIFS(ResultsInd[Goal-A],ResultsInd[Category],AC319,ResultsInd[Stage],"Groups",ResultsInd[Player A],AD324)+SUMIFS(ResultsInd[Goal-B],ResultsInd[Category],AC319,ResultsInd[Stage],"Groups",ResultsInd[Player B],AD324))</f>
        <v/>
      </c>
      <c r="AT324" s="307" t="str">
        <f>IF(OR(AC319="",AD324=""),"",SUMIFS(ResultsInd[Goal-B],ResultsInd[Category],AC319,ResultsInd[Stage],"Groups",ResultsInd[Player A],AD324)+SUMIFS(ResultsInd[Goal-A],ResultsInd[Category],AC319,ResultsInd[Stage],"Groups",ResultsInd[Player B],AD324))</f>
        <v/>
      </c>
      <c r="AU324" s="308" t="str">
        <f t="shared" si="280"/>
        <v/>
      </c>
      <c r="AV324" s="469" t="str">
        <f>IF(AG324="","",OR(VLOOKUP(AG324,AH320:AU326,3,FALSE),VLOOKUP(AG324,AH320:AU326,6,FALSE)))</f>
        <v/>
      </c>
      <c r="AW324" s="298" t="str">
        <f t="shared" si="278"/>
        <v/>
      </c>
      <c r="AX324" s="285" t="str">
        <f>IF(AG324="","",INDEX(AD320:AD326,MATCH(AG324,AH320:AH326,0)))</f>
        <v/>
      </c>
      <c r="AY324" s="286" t="str">
        <f>IF(AG324="","",VLOOKUP(AG324,AH320:AU326,COLUMN()-COLUMN(AR319),FALSE))</f>
        <v/>
      </c>
      <c r="AZ324" s="286" t="str">
        <f>IF(AG324="","",VLOOKUP(AG324,AH320:AU326,COLUMN()-COLUMN(AR319),FALSE))</f>
        <v/>
      </c>
      <c r="BA324" s="286" t="str">
        <f>IF(AG324="","",VLOOKUP(AG324,AH320:AU326,COLUMN()-COLUMN(AR319),FALSE))</f>
        <v/>
      </c>
      <c r="BB324" s="286" t="str">
        <f>IF(AG324="","",VLOOKUP(AG324,AH320:AU326,COLUMN()-COLUMN(AR319),FALSE))</f>
        <v/>
      </c>
      <c r="BC324" s="286" t="str">
        <f>IF(AG324="","",VLOOKUP(AG324,AH320:AU326,COLUMN()-COLUMN(AR319),FALSE))</f>
        <v/>
      </c>
      <c r="BD324" s="286" t="str">
        <f>IF(AG324="","",VLOOKUP(AG324,AH320:AU326,COLUMN()-COLUMN(AR319),FALSE))</f>
        <v/>
      </c>
      <c r="BE324" s="286" t="str">
        <f>IF(AG324="","",VLOOKUP(AG324,AH320:AU326,COLUMN()-COLUMN(AR319),FALSE))</f>
        <v/>
      </c>
      <c r="BF324" s="301" t="str">
        <f>IF(AG324="","",VLOOKUP(AG324,AH320:AU326,COLUMN()-COLUMN(AR319),FALSE))</f>
        <v/>
      </c>
    </row>
    <row r="325" spans="1:58" ht="12" thickBot="1" x14ac:dyDescent="0.25">
      <c r="A325" s="62"/>
      <c r="B325" s="62"/>
      <c r="C325" s="62"/>
      <c r="D325" s="62"/>
      <c r="E325" s="345"/>
      <c r="F325" s="345"/>
      <c r="G325" s="113"/>
      <c r="H325" s="113"/>
      <c r="I325" s="114"/>
      <c r="J325" s="114"/>
      <c r="K325" s="114"/>
      <c r="L325" s="81"/>
      <c r="M325" s="265" t="b">
        <f>NOT(ISERROR(ResultsInd[[#This Row],[Goal-A]]+ResultsInd[[#This Row],[Goal-B]]))</f>
        <v>1</v>
      </c>
      <c r="N325" s="265">
        <f>VALUE(ResultsInd[[#This Row],[Score-A]])</f>
        <v>0</v>
      </c>
      <c r="O325" s="265">
        <f>VALUE(ResultsInd[[#This Row],[Score-B]])</f>
        <v>0</v>
      </c>
      <c r="P325" s="265" t="str">
        <f ca="1">IF(AND(ResultsInd[[#This Row],[Category]]&lt;&gt;"",ResultsInd[[#This Row],[Player A]]&lt;&gt;""),COUNTIF(INDIRECT(ResultsInd[[#This Row],[Category]]&amp;"List[Retained Player Name]"),ResultsInd[[#This Row],[Player A]]),"")</f>
        <v/>
      </c>
      <c r="Q325" s="265" t="str">
        <f ca="1">IF(AND(ResultsInd[[#This Row],[Category]]&lt;&gt;"",ResultsInd[[#This Row],[Player B]]&lt;&gt;""),COUNTIF(INDIRECT(ResultsInd[[#This Row],[Category]]&amp;"List[Retained Player Name]"),ResultsInd[[#This Row],[Player B]]),"")</f>
        <v/>
      </c>
      <c r="R3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5" s="265" t="str">
        <f>IF(ResultsInd[[#This Row],[Score_OK]],IF(ResultsInd[[#This Row],[Stage]]="Groups",ResultsInd[[#This Row],[Category]]&amp;"-"&amp;IF(ResultsInd[[#This Row],[Player B]]="","",IF(ResultsInd[[#This Row],[Score-A]]=ResultsInd[[#This Row],[Score-B]],ResultsInd[[#This Row],[Player A]],"")),""),"")</f>
        <v/>
      </c>
      <c r="T325" s="265" t="str">
        <f>IF(ResultsInd[[#This Row],[Score_OK]],IF(ResultsInd[[#This Row],[Stage]]="Groups",ResultsInd[[#This Row],[Category]]&amp;"-"&amp;IF(ResultsInd[[#This Row],[Player B]]="","",IF(ResultsInd[[#This Row],[Score-A]]=ResultsInd[[#This Row],[Score-B]],ResultsInd[[#This Row],[Player B]],"")),""),"")</f>
        <v/>
      </c>
      <c r="U3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5" s="264" t="str">
        <f>IF(ResultsInd[[#This Row],[Category]]="","",VLOOKUP(ResultsInd[[#This Row],[Stage]],$P$1:$V$9,MATCH(ResultsInd[[#This Row],[Category]],$Q$1:$V$1,0)+1,FALSE))</f>
        <v/>
      </c>
      <c r="Z325" s="264" t="str">
        <f>IF(ResultsInd[[#This Row],[Score_OK]],IF(ResultsInd[[#This Row],[Level]]="R",ResultsInd[[#This Row],[Category]]&amp;"-"&amp;IF(ResultsInd[[#This Row],[LoseInKO]]=ResultsInd[[#This Row],[Category]]&amp;"-"&amp;ResultsInd[[#This Row],[Player A]],ResultsInd[[#This Row],[Player B]],ResultsInd[[#This Row],[Player A]]),""),"")</f>
        <v/>
      </c>
      <c r="AB325" s="8"/>
      <c r="AC325" s="12" t="str">
        <f t="shared" si="279"/>
        <v>VETERANS</v>
      </c>
      <c r="AD325" s="309"/>
      <c r="AE325" s="310"/>
      <c r="AF325" s="311"/>
      <c r="AG325" s="292" t="str">
        <f>IF(AP325="","",SMALL(AH320:AH326,ROWS(AG320:AG325)))</f>
        <v/>
      </c>
      <c r="AH325" s="293" t="str">
        <f>IF(AP325="","",RANK(AL325,AL320:AL326)*1000+ROWS(AH320:AH325))</f>
        <v/>
      </c>
      <c r="AI325" s="316" t="str">
        <f t="shared" si="273"/>
        <v/>
      </c>
      <c r="AJ325" s="415" t="b">
        <f>AND(AO325&lt;&gt;"",AO325&gt;0,COUNTIF(AI320:AI326,AI325)&gt;1)</f>
        <v>0</v>
      </c>
      <c r="AK325" s="316" t="str">
        <f t="shared" si="274"/>
        <v/>
      </c>
      <c r="AL325" s="317" t="str">
        <f t="shared" si="275"/>
        <v/>
      </c>
      <c r="AM325" s="415" t="b">
        <f>AND(AO325&lt;&gt;"",AO325&gt;0,COUNTIF(AL320:AL326,AL325)&gt;1)</f>
        <v>0</v>
      </c>
      <c r="AN325" s="306" t="str">
        <f t="shared" si="276"/>
        <v/>
      </c>
      <c r="AO325" s="307" t="str">
        <f t="shared" si="277"/>
        <v/>
      </c>
      <c r="AP325" s="307" t="str">
        <f>IF(OR(AC319="",AD325=""),"",COUNTIF(ResultsInd[Win],AC319&amp;"-"&amp;AD325))</f>
        <v/>
      </c>
      <c r="AQ325" s="307" t="str">
        <f>IF(OR(AC319="",AD325=""),"",COUNTIF(ResultsInd[Draw1],AC319&amp;"-"&amp;AD325)+COUNTIF(ResultsInd[Draw2],AC319&amp;"-"&amp;AD325))</f>
        <v/>
      </c>
      <c r="AR325" s="307" t="str">
        <f>IF(OR(AC319="",AD325=""),"",COUNTIF(ResultsInd[Lose],AC319&amp;"-"&amp;AD325))</f>
        <v/>
      </c>
      <c r="AS325" s="307" t="str">
        <f>IF(OR(AC319="",AD325=""),"",SUMIFS(ResultsInd[Goal-A],ResultsInd[Category],AC319,ResultsInd[Stage],"Groups",ResultsInd[Player A],AD325)+SUMIFS(ResultsInd[Goal-B],ResultsInd[Category],AC319,ResultsInd[Stage],"Groups",ResultsInd[Player B],AD325))</f>
        <v/>
      </c>
      <c r="AT325" s="307" t="str">
        <f>IF(OR(AC319="",AD325=""),"",SUMIFS(ResultsInd[Goal-B],ResultsInd[Category],AC319,ResultsInd[Stage],"Groups",ResultsInd[Player A],AD325)+SUMIFS(ResultsInd[Goal-A],ResultsInd[Category],AC319,ResultsInd[Stage],"Groups",ResultsInd[Player B],AD325))</f>
        <v/>
      </c>
      <c r="AU325" s="308" t="str">
        <f t="shared" si="280"/>
        <v/>
      </c>
      <c r="AV325" s="469" t="str">
        <f>IF(AG325="","",OR(VLOOKUP(AG325,AH320:AU326,3,FALSE),VLOOKUP(AG325,AH320:AU326,6,FALSE)))</f>
        <v/>
      </c>
      <c r="AW325" s="298" t="str">
        <f t="shared" si="278"/>
        <v/>
      </c>
      <c r="AX325" s="285" t="str">
        <f>IF(AG325="","",INDEX(AD320:AD326,MATCH(AG325,AH320:AH326,0)))</f>
        <v/>
      </c>
      <c r="AY325" s="286" t="str">
        <f>IF(AG325="","",VLOOKUP(AG325,AH320:AU326,COLUMN()-COLUMN(AR319),FALSE))</f>
        <v/>
      </c>
      <c r="AZ325" s="286" t="str">
        <f>IF(AG325="","",VLOOKUP(AG325,AH320:AU326,COLUMN()-COLUMN(AR319),FALSE))</f>
        <v/>
      </c>
      <c r="BA325" s="286" t="str">
        <f>IF(AG325="","",VLOOKUP(AG325,AH320:AU326,COLUMN()-COLUMN(AR319),FALSE))</f>
        <v/>
      </c>
      <c r="BB325" s="286" t="str">
        <f>IF(AG325="","",VLOOKUP(AG325,AH320:AU326,COLUMN()-COLUMN(AR319),FALSE))</f>
        <v/>
      </c>
      <c r="BC325" s="286" t="str">
        <f>IF(AG325="","",VLOOKUP(AG325,AH320:AU326,COLUMN()-COLUMN(AR319),FALSE))</f>
        <v/>
      </c>
      <c r="BD325" s="286" t="str">
        <f>IF(AG325="","",VLOOKUP(AG325,AH320:AU326,COLUMN()-COLUMN(AR319),FALSE))</f>
        <v/>
      </c>
      <c r="BE325" s="286" t="str">
        <f>IF(AG325="","",VLOOKUP(AG325,AH320:AU326,COLUMN()-COLUMN(AR319),FALSE))</f>
        <v/>
      </c>
      <c r="BF325" s="301" t="str">
        <f>IF(AG325="","",VLOOKUP(AG325,AH320:AU326,COLUMN()-COLUMN(AR319),FALSE))</f>
        <v/>
      </c>
    </row>
    <row r="326" spans="1:58" ht="12" thickBot="1" x14ac:dyDescent="0.25">
      <c r="A326" s="62"/>
      <c r="B326" s="62"/>
      <c r="C326" s="62"/>
      <c r="D326" s="62"/>
      <c r="E326" s="345"/>
      <c r="F326" s="345"/>
      <c r="G326" s="113"/>
      <c r="H326" s="113"/>
      <c r="I326" s="114"/>
      <c r="J326" s="114"/>
      <c r="K326" s="114"/>
      <c r="L326" s="81"/>
      <c r="M326" s="265" t="b">
        <f>NOT(ISERROR(ResultsInd[[#This Row],[Goal-A]]+ResultsInd[[#This Row],[Goal-B]]))</f>
        <v>1</v>
      </c>
      <c r="N326" s="265">
        <f>VALUE(ResultsInd[[#This Row],[Score-A]])</f>
        <v>0</v>
      </c>
      <c r="O326" s="265">
        <f>VALUE(ResultsInd[[#This Row],[Score-B]])</f>
        <v>0</v>
      </c>
      <c r="P326" s="265" t="str">
        <f ca="1">IF(AND(ResultsInd[[#This Row],[Category]]&lt;&gt;"",ResultsInd[[#This Row],[Player A]]&lt;&gt;""),COUNTIF(INDIRECT(ResultsInd[[#This Row],[Category]]&amp;"List[Retained Player Name]"),ResultsInd[[#This Row],[Player A]]),"")</f>
        <v/>
      </c>
      <c r="Q326" s="265" t="str">
        <f ca="1">IF(AND(ResultsInd[[#This Row],[Category]]&lt;&gt;"",ResultsInd[[#This Row],[Player B]]&lt;&gt;""),COUNTIF(INDIRECT(ResultsInd[[#This Row],[Category]]&amp;"List[Retained Player Name]"),ResultsInd[[#This Row],[Player B]]),"")</f>
        <v/>
      </c>
      <c r="R3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6" s="265" t="str">
        <f>IF(ResultsInd[[#This Row],[Score_OK]],IF(ResultsInd[[#This Row],[Stage]]="Groups",ResultsInd[[#This Row],[Category]]&amp;"-"&amp;IF(ResultsInd[[#This Row],[Player B]]="","",IF(ResultsInd[[#This Row],[Score-A]]=ResultsInd[[#This Row],[Score-B]],ResultsInd[[#This Row],[Player A]],"")),""),"")</f>
        <v/>
      </c>
      <c r="T326" s="265" t="str">
        <f>IF(ResultsInd[[#This Row],[Score_OK]],IF(ResultsInd[[#This Row],[Stage]]="Groups",ResultsInd[[#This Row],[Category]]&amp;"-"&amp;IF(ResultsInd[[#This Row],[Player B]]="","",IF(ResultsInd[[#This Row],[Score-A]]=ResultsInd[[#This Row],[Score-B]],ResultsInd[[#This Row],[Player B]],"")),""),"")</f>
        <v/>
      </c>
      <c r="U3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6" s="264" t="str">
        <f>IF(ResultsInd[[#This Row],[Category]]="","",VLOOKUP(ResultsInd[[#This Row],[Stage]],$P$1:$V$9,MATCH(ResultsInd[[#This Row],[Category]],$Q$1:$V$1,0)+1,FALSE))</f>
        <v/>
      </c>
      <c r="Z326" s="264" t="str">
        <f>IF(ResultsInd[[#This Row],[Score_OK]],IF(ResultsInd[[#This Row],[Level]]="R",ResultsInd[[#This Row],[Category]]&amp;"-"&amp;IF(ResultsInd[[#This Row],[LoseInKO]]=ResultsInd[[#This Row],[Category]]&amp;"-"&amp;ResultsInd[[#This Row],[Player A]],ResultsInd[[#This Row],[Player B]],ResultsInd[[#This Row],[Player A]]),""),"")</f>
        <v/>
      </c>
      <c r="AB326" s="8"/>
      <c r="AC326" s="12" t="str">
        <f t="shared" si="279"/>
        <v>VETERANS</v>
      </c>
      <c r="AD326" s="312"/>
      <c r="AE326" s="313"/>
      <c r="AF326" s="314"/>
      <c r="AG326" s="294" t="str">
        <f>IF(AP326="","",SMALL(AH320:AH326,ROWS(AG320:AG326)))</f>
        <v/>
      </c>
      <c r="AH326" s="295" t="str">
        <f>IF(AP326="","",RANK(AL326,AL320:AL326)*1000+ROWS(AH320:AH326))</f>
        <v/>
      </c>
      <c r="AI326" s="318" t="str">
        <f t="shared" si="273"/>
        <v/>
      </c>
      <c r="AJ326" s="416" t="b">
        <f>AND(AO326&lt;&gt;"",AO326&gt;0,COUNTIF(AI320:AI326,AI326)&gt;1)</f>
        <v>0</v>
      </c>
      <c r="AK326" s="318" t="str">
        <f t="shared" si="274"/>
        <v/>
      </c>
      <c r="AL326" s="319" t="str">
        <f t="shared" si="275"/>
        <v/>
      </c>
      <c r="AM326" s="416" t="b">
        <f>AND(AO326&lt;&gt;"",AO326&gt;0,COUNTIF(AL320:AL326,AL326)&gt;1)</f>
        <v>0</v>
      </c>
      <c r="AN326" s="306" t="str">
        <f t="shared" si="276"/>
        <v/>
      </c>
      <c r="AO326" s="307" t="str">
        <f t="shared" si="277"/>
        <v/>
      </c>
      <c r="AP326" s="307" t="str">
        <f>IF(OR(AC319="",AD326=""),"",COUNTIF(ResultsInd[Win],AC319&amp;"-"&amp;AD326))</f>
        <v/>
      </c>
      <c r="AQ326" s="307" t="str">
        <f>IF(OR(AC319="",AD326=""),"",COUNTIF(ResultsInd[Draw1],AC319&amp;"-"&amp;AD326)+COUNTIF(ResultsInd[Draw2],AC319&amp;"-"&amp;AD326))</f>
        <v/>
      </c>
      <c r="AR326" s="307" t="str">
        <f>IF(OR(AC319="",AD326=""),"",COUNTIF(ResultsInd[Lose],AC319&amp;"-"&amp;AD326))</f>
        <v/>
      </c>
      <c r="AS326" s="307" t="str">
        <f>IF(OR(AC319="",AD326=""),"",SUMIFS(ResultsInd[Goal-A],ResultsInd[Category],AC319,ResultsInd[Stage],"Groups",ResultsInd[Player A],AD326)+SUMIFS(ResultsInd[Goal-B],ResultsInd[Category],AC319,ResultsInd[Stage],"Groups",ResultsInd[Player B],AD326))</f>
        <v/>
      </c>
      <c r="AT326" s="307" t="str">
        <f>IF(OR(AC319="",AD326=""),"",SUMIFS(ResultsInd[Goal-B],ResultsInd[Category],AC319,ResultsInd[Stage],"Groups",ResultsInd[Player A],AD326)+SUMIFS(ResultsInd[Goal-A],ResultsInd[Category],AC319,ResultsInd[Stage],"Groups",ResultsInd[Player B],AD326))</f>
        <v/>
      </c>
      <c r="AU326" s="308" t="str">
        <f t="shared" si="280"/>
        <v/>
      </c>
      <c r="AV326" s="469" t="str">
        <f>IF(AG326="","",OR(VLOOKUP(AG326,AH320:AU326,3,FALSE),VLOOKUP(AG326,AH320:AU326,6,FALSE)))</f>
        <v/>
      </c>
      <c r="AW326" s="299" t="str">
        <f t="shared" si="278"/>
        <v/>
      </c>
      <c r="AX326" s="287" t="str">
        <f>IF(AG326="","",INDEX(AD320:AD326,MATCH(AG326,AH320:AH326,0)))</f>
        <v/>
      </c>
      <c r="AY326" s="288" t="str">
        <f>IF(AG326="","",VLOOKUP(AG326,AH320:AU326,COLUMN()-COLUMN(AR319),FALSE))</f>
        <v/>
      </c>
      <c r="AZ326" s="288" t="str">
        <f>IF(AG326="","",VLOOKUP(AG326,AH320:AU326,COLUMN()-COLUMN(AR319),FALSE))</f>
        <v/>
      </c>
      <c r="BA326" s="288" t="str">
        <f>IF(AG326="","",VLOOKUP(AG326,AH320:AU326,COLUMN()-COLUMN(AR319),FALSE))</f>
        <v/>
      </c>
      <c r="BB326" s="288" t="str">
        <f>IF(AG326="","",VLOOKUP(AG326,AH320:AU326,COLUMN()-COLUMN(AR319),FALSE))</f>
        <v/>
      </c>
      <c r="BC326" s="288" t="str">
        <f>IF(AG326="","",VLOOKUP(AG326,AH320:AU326,COLUMN()-COLUMN(AR319),FALSE))</f>
        <v/>
      </c>
      <c r="BD326" s="288" t="str">
        <f>IF(AG326="","",VLOOKUP(AG326,AH320:AU326,COLUMN()-COLUMN(AR319),FALSE))</f>
        <v/>
      </c>
      <c r="BE326" s="288" t="str">
        <f>IF(AG326="","",VLOOKUP(AG326,AH320:AU326,COLUMN()-COLUMN(AR319),FALSE))</f>
        <v/>
      </c>
      <c r="BF326" s="302" t="str">
        <f>IF(AG326="","",VLOOKUP(AG326,AH320:AU326,COLUMN()-COLUMN(AR319),FALSE))</f>
        <v/>
      </c>
    </row>
    <row r="327" spans="1:58" ht="13.5" thickBot="1" x14ac:dyDescent="0.25">
      <c r="A327" s="62"/>
      <c r="B327" s="62"/>
      <c r="C327" s="62"/>
      <c r="D327" s="62"/>
      <c r="E327" s="345"/>
      <c r="F327" s="345"/>
      <c r="G327" s="113"/>
      <c r="H327" s="113"/>
      <c r="I327" s="114"/>
      <c r="J327" s="114"/>
      <c r="K327" s="114"/>
      <c r="L327" s="81"/>
      <c r="M327" s="265" t="b">
        <f>NOT(ISERROR(ResultsInd[[#This Row],[Goal-A]]+ResultsInd[[#This Row],[Goal-B]]))</f>
        <v>1</v>
      </c>
      <c r="N327" s="265">
        <f>VALUE(ResultsInd[[#This Row],[Score-A]])</f>
        <v>0</v>
      </c>
      <c r="O327" s="265">
        <f>VALUE(ResultsInd[[#This Row],[Score-B]])</f>
        <v>0</v>
      </c>
      <c r="P327" s="265" t="str">
        <f ca="1">IF(AND(ResultsInd[[#This Row],[Category]]&lt;&gt;"",ResultsInd[[#This Row],[Player A]]&lt;&gt;""),COUNTIF(INDIRECT(ResultsInd[[#This Row],[Category]]&amp;"List[Retained Player Name]"),ResultsInd[[#This Row],[Player A]]),"")</f>
        <v/>
      </c>
      <c r="Q327" s="265" t="str">
        <f ca="1">IF(AND(ResultsInd[[#This Row],[Category]]&lt;&gt;"",ResultsInd[[#This Row],[Player B]]&lt;&gt;""),COUNTIF(INDIRECT(ResultsInd[[#This Row],[Category]]&amp;"List[Retained Player Name]"),ResultsInd[[#This Row],[Player B]]),"")</f>
        <v/>
      </c>
      <c r="R3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7" s="265" t="str">
        <f>IF(ResultsInd[[#This Row],[Score_OK]],IF(ResultsInd[[#This Row],[Stage]]="Groups",ResultsInd[[#This Row],[Category]]&amp;"-"&amp;IF(ResultsInd[[#This Row],[Player B]]="","",IF(ResultsInd[[#This Row],[Score-A]]=ResultsInd[[#This Row],[Score-B]],ResultsInd[[#This Row],[Player A]],"")),""),"")</f>
        <v/>
      </c>
      <c r="T327" s="265" t="str">
        <f>IF(ResultsInd[[#This Row],[Score_OK]],IF(ResultsInd[[#This Row],[Stage]]="Groups",ResultsInd[[#This Row],[Category]]&amp;"-"&amp;IF(ResultsInd[[#This Row],[Player B]]="","",IF(ResultsInd[[#This Row],[Score-A]]=ResultsInd[[#This Row],[Score-B]],ResultsInd[[#This Row],[Player B]],"")),""),"")</f>
        <v/>
      </c>
      <c r="U3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7" s="264" t="str">
        <f>IF(ResultsInd[[#This Row],[Category]]="","",VLOOKUP(ResultsInd[[#This Row],[Stage]],$P$1:$V$9,MATCH(ResultsInd[[#This Row],[Category]],$Q$1:$V$1,0)+1,FALSE))</f>
        <v/>
      </c>
      <c r="Z327" s="264" t="str">
        <f>IF(ResultsInd[[#This Row],[Score_OK]],IF(ResultsInd[[#This Row],[Level]]="R",ResultsInd[[#This Row],[Category]]&amp;"-"&amp;IF(ResultsInd[[#This Row],[LoseInKO]]=ResultsInd[[#This Row],[Category]]&amp;"-"&amp;ResultsInd[[#This Row],[Player A]],ResultsInd[[#This Row],[Player B]],ResultsInd[[#This Row],[Player A]]),""),"")</f>
        <v/>
      </c>
      <c r="AB327" s="8"/>
      <c r="AC327" s="8"/>
      <c r="AF327" s="170"/>
      <c r="AG327" s="101"/>
      <c r="AH327" s="101"/>
      <c r="AN327" s="170"/>
      <c r="AO327" s="170"/>
      <c r="AP327" s="170"/>
      <c r="AQ327" s="172"/>
      <c r="AR327" s="173"/>
      <c r="AS327" s="173"/>
      <c r="AT327" s="173"/>
      <c r="AU327" s="101"/>
      <c r="AV327" s="101"/>
      <c r="AW327" s="101"/>
      <c r="AX327" s="101"/>
      <c r="AY327" s="101"/>
      <c r="AZ327" s="101"/>
    </row>
    <row r="328" spans="1:58" ht="12" thickBot="1" x14ac:dyDescent="0.25">
      <c r="A328" s="62" t="s">
        <v>12261</v>
      </c>
      <c r="B328" s="62" t="s">
        <v>12207</v>
      </c>
      <c r="C328" s="62">
        <v>6</v>
      </c>
      <c r="D328" s="62"/>
      <c r="E328" s="345" t="s">
        <v>9577</v>
      </c>
      <c r="F328" s="345" t="s">
        <v>8081</v>
      </c>
      <c r="G328" s="113">
        <v>5</v>
      </c>
      <c r="H328" s="113">
        <v>1</v>
      </c>
      <c r="I328" s="114"/>
      <c r="J328" s="114"/>
      <c r="K328" s="114"/>
      <c r="L328" s="81"/>
      <c r="M328" s="265" t="b">
        <f>NOT(ISERROR(ResultsInd[[#This Row],[Goal-A]]+ResultsInd[[#This Row],[Goal-B]]))</f>
        <v>1</v>
      </c>
      <c r="N328" s="265">
        <f>VALUE(ResultsInd[[#This Row],[Score-A]])</f>
        <v>5</v>
      </c>
      <c r="O328" s="265">
        <f>VALUE(ResultsInd[[#This Row],[Score-B]])</f>
        <v>1</v>
      </c>
      <c r="P328" s="265">
        <f ca="1">IF(AND(ResultsInd[[#This Row],[Category]]&lt;&gt;"",ResultsInd[[#This Row],[Player A]]&lt;&gt;""),COUNTIF(INDIRECT(ResultsInd[[#This Row],[Category]]&amp;"List[Retained Player Name]"),ResultsInd[[#This Row],[Player A]]),"")</f>
        <v>1</v>
      </c>
      <c r="Q328" s="265">
        <f ca="1">IF(AND(ResultsInd[[#This Row],[Category]]&lt;&gt;"",ResultsInd[[#This Row],[Player B]]&lt;&gt;""),COUNTIF(INDIRECT(ResultsInd[[#This Row],[Category]]&amp;"List[Retained Player Name]"),ResultsInd[[#This Row],[Player B]]),"")</f>
        <v>1</v>
      </c>
      <c r="R3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VETERANS-Pasquale Torano</v>
      </c>
      <c r="S328" s="265" t="str">
        <f>IF(ResultsInd[[#This Row],[Score_OK]],IF(ResultsInd[[#This Row],[Stage]]="Groups",ResultsInd[[#This Row],[Category]]&amp;"-"&amp;IF(ResultsInd[[#This Row],[Player B]]="","",IF(ResultsInd[[#This Row],[Score-A]]=ResultsInd[[#This Row],[Score-B]],ResultsInd[[#This Row],[Player A]],"")),""),"")</f>
        <v>VETERANS-</v>
      </c>
      <c r="T328" s="265" t="str">
        <f>IF(ResultsInd[[#This Row],[Score_OK]],IF(ResultsInd[[#This Row],[Stage]]="Groups",ResultsInd[[#This Row],[Category]]&amp;"-"&amp;IF(ResultsInd[[#This Row],[Player B]]="","",IF(ResultsInd[[#This Row],[Score-A]]=ResultsInd[[#This Row],[Score-B]],ResultsInd[[#This Row],[Player B]],"")),""),"")</f>
        <v>VETERANS-</v>
      </c>
      <c r="U3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VETERANS-Jos Ceulemans</v>
      </c>
      <c r="V3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X3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Y328" s="264" t="str">
        <f>IF(ResultsInd[[#This Row],[Category]]="","",VLOOKUP(ResultsInd[[#This Row],[Stage]],$P$1:$V$9,MATCH(ResultsInd[[#This Row],[Category]],$Q$1:$V$1,0)+1,FALSE))</f>
        <v>PR1</v>
      </c>
      <c r="Z328" s="264" t="str">
        <f>IF(ResultsInd[[#This Row],[Score_OK]],IF(ResultsInd[[#This Row],[Level]]="R",ResultsInd[[#This Row],[Category]]&amp;"-"&amp;IF(ResultsInd[[#This Row],[LoseInKO]]=ResultsInd[[#This Row],[Category]]&amp;"-"&amp;ResultsInd[[#This Row],[Player A]],ResultsInd[[#This Row],[Player B]],ResultsInd[[#This Row],[Player A]]),""),"")</f>
        <v/>
      </c>
      <c r="AB328" s="281">
        <v>6</v>
      </c>
      <c r="AC328" s="315" t="s">
        <v>12261</v>
      </c>
      <c r="AD328" s="289" t="s">
        <v>14439</v>
      </c>
      <c r="AE328" s="290" t="s">
        <v>12279</v>
      </c>
      <c r="AF328" s="284" t="s">
        <v>12275</v>
      </c>
      <c r="AG328" s="296" t="s">
        <v>12276</v>
      </c>
      <c r="AH328" s="291" t="s">
        <v>12271</v>
      </c>
      <c r="AI328" s="291" t="s">
        <v>12272</v>
      </c>
      <c r="AJ328" s="414" t="s">
        <v>13154</v>
      </c>
      <c r="AK328" s="291" t="s">
        <v>12273</v>
      </c>
      <c r="AL328" s="297" t="s">
        <v>12274</v>
      </c>
      <c r="AM328" s="414" t="s">
        <v>13154</v>
      </c>
      <c r="AN328" s="303" t="s">
        <v>12199</v>
      </c>
      <c r="AO328" s="304" t="s">
        <v>12200</v>
      </c>
      <c r="AP328" s="304" t="s">
        <v>12201</v>
      </c>
      <c r="AQ328" s="304" t="s">
        <v>12202</v>
      </c>
      <c r="AR328" s="304" t="s">
        <v>12203</v>
      </c>
      <c r="AS328" s="304" t="s">
        <v>12204</v>
      </c>
      <c r="AT328" s="304" t="s">
        <v>12205</v>
      </c>
      <c r="AU328" s="305" t="s">
        <v>12206</v>
      </c>
      <c r="AV328" s="468"/>
      <c r="AW328" s="282" t="s">
        <v>12276</v>
      </c>
      <c r="AX328" s="282" t="s">
        <v>12280</v>
      </c>
      <c r="AY328" s="283" t="s">
        <v>12199</v>
      </c>
      <c r="AZ328" s="283" t="s">
        <v>12200</v>
      </c>
      <c r="BA328" s="283" t="s">
        <v>12201</v>
      </c>
      <c r="BB328" s="283" t="s">
        <v>12202</v>
      </c>
      <c r="BC328" s="283" t="s">
        <v>12203</v>
      </c>
      <c r="BD328" s="283" t="s">
        <v>12204</v>
      </c>
      <c r="BE328" s="283" t="s">
        <v>12205</v>
      </c>
      <c r="BF328" s="300" t="s">
        <v>12206</v>
      </c>
    </row>
    <row r="329" spans="1:58" ht="12" thickBot="1" x14ac:dyDescent="0.25">
      <c r="A329" s="62" t="s">
        <v>12261</v>
      </c>
      <c r="B329" s="62" t="s">
        <v>12207</v>
      </c>
      <c r="C329" s="62">
        <v>6</v>
      </c>
      <c r="D329" s="62"/>
      <c r="E329" s="345" t="s">
        <v>9104</v>
      </c>
      <c r="F329" s="345" t="s">
        <v>10449</v>
      </c>
      <c r="G329" s="113">
        <v>1</v>
      </c>
      <c r="H329" s="113">
        <v>0</v>
      </c>
      <c r="I329" s="114"/>
      <c r="J329" s="114"/>
      <c r="K329" s="114"/>
      <c r="L329" s="81"/>
      <c r="M329" s="265" t="b">
        <f>NOT(ISERROR(ResultsInd[[#This Row],[Goal-A]]+ResultsInd[[#This Row],[Goal-B]]))</f>
        <v>1</v>
      </c>
      <c r="N329" s="265">
        <f>VALUE(ResultsInd[[#This Row],[Score-A]])</f>
        <v>1</v>
      </c>
      <c r="O329" s="265">
        <f>VALUE(ResultsInd[[#This Row],[Score-B]])</f>
        <v>0</v>
      </c>
      <c r="P329" s="265">
        <f ca="1">IF(AND(ResultsInd[[#This Row],[Category]]&lt;&gt;"",ResultsInd[[#This Row],[Player A]]&lt;&gt;""),COUNTIF(INDIRECT(ResultsInd[[#This Row],[Category]]&amp;"List[Retained Player Name]"),ResultsInd[[#This Row],[Player A]]),"")</f>
        <v>1</v>
      </c>
      <c r="Q329" s="265">
        <f ca="1">IF(AND(ResultsInd[[#This Row],[Category]]&lt;&gt;"",ResultsInd[[#This Row],[Player B]]&lt;&gt;""),COUNTIF(INDIRECT(ResultsInd[[#This Row],[Category]]&amp;"List[Retained Player Name]"),ResultsInd[[#This Row],[Player B]]),"")</f>
        <v>1</v>
      </c>
      <c r="R3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VETERANS-Panagiotis Krommydas</v>
      </c>
      <c r="S329" s="265" t="str">
        <f>IF(ResultsInd[[#This Row],[Score_OK]],IF(ResultsInd[[#This Row],[Stage]]="Groups",ResultsInd[[#This Row],[Category]]&amp;"-"&amp;IF(ResultsInd[[#This Row],[Player B]]="","",IF(ResultsInd[[#This Row],[Score-A]]=ResultsInd[[#This Row],[Score-B]],ResultsInd[[#This Row],[Player A]],"")),""),"")</f>
        <v>VETERANS-</v>
      </c>
      <c r="T329" s="265" t="str">
        <f>IF(ResultsInd[[#This Row],[Score_OK]],IF(ResultsInd[[#This Row],[Stage]]="Groups",ResultsInd[[#This Row],[Category]]&amp;"-"&amp;IF(ResultsInd[[#This Row],[Player B]]="","",IF(ResultsInd[[#This Row],[Score-A]]=ResultsInd[[#This Row],[Score-B]],ResultsInd[[#This Row],[Player B]],"")),""),"")</f>
        <v>VETERANS-</v>
      </c>
      <c r="U3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VETERANS-Valentino Zamara</v>
      </c>
      <c r="V3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VETERANS-Valentino Zamara</v>
      </c>
      <c r="X3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VETERANS-Valentino Zamara</v>
      </c>
      <c r="Y329" s="264" t="str">
        <f>IF(ResultsInd[[#This Row],[Category]]="","",VLOOKUP(ResultsInd[[#This Row],[Stage]],$P$1:$V$9,MATCH(ResultsInd[[#This Row],[Category]],$Q$1:$V$1,0)+1,FALSE))</f>
        <v>PR1</v>
      </c>
      <c r="Z329" s="264" t="str">
        <f>IF(ResultsInd[[#This Row],[Score_OK]],IF(ResultsInd[[#This Row],[Level]]="R",ResultsInd[[#This Row],[Category]]&amp;"-"&amp;IF(ResultsInd[[#This Row],[LoseInKO]]=ResultsInd[[#This Row],[Category]]&amp;"-"&amp;ResultsInd[[#This Row],[Player A]],ResultsInd[[#This Row],[Player B]],ResultsInd[[#This Row],[Player A]]),""),"")</f>
        <v/>
      </c>
      <c r="AB329" s="8"/>
      <c r="AC329" s="12" t="str">
        <f>IF(AC328="","",AC328)</f>
        <v>VETERANS</v>
      </c>
      <c r="AD329" s="309" t="s">
        <v>9577</v>
      </c>
      <c r="AE329" s="320"/>
      <c r="AF329" s="311"/>
      <c r="AG329" s="292">
        <f>IF(AP329="","",SMALL(AH329:AH335,ROWS(AG329:AG329)))</f>
        <v>1001</v>
      </c>
      <c r="AH329" s="293">
        <f>IF(AP329="","",RANK(AL329,AL329:AL335)*1000+ROWS(AH329:AH329))</f>
        <v>1001</v>
      </c>
      <c r="AI329" s="316">
        <f t="shared" ref="AI329:AI335" si="281">IF(AP329="","",CritClassInd1_Points*AN329+CritClassInd1_Matches*AP329+CritClassInd1_Attaque*AS329+CritClassInd1_DiffButs*AU329)</f>
        <v>9000000000000</v>
      </c>
      <c r="AJ329" s="415" t="b">
        <f>AND(AO329&lt;&gt;"",AO329&gt;0,COUNTIF(AI329:AI335,AI329)&gt;1)</f>
        <v>0</v>
      </c>
      <c r="AK329" s="316">
        <f t="shared" ref="AK329:AK335" si="282">IF(AP329="","",CritClassInd_ScorePart*AE329)</f>
        <v>0</v>
      </c>
      <c r="AL329" s="317">
        <f t="shared" ref="AL329:AL335" si="283">IF(AP329="","",AI329+AK329+CritClassInd2_Points*AN329+CritClassInd2_Matches*AP329+CritClassInd2_Attaque*AS329+CritClassInd2_DiffButs*AU329+AF329)</f>
        <v>9000000111200</v>
      </c>
      <c r="AM329" s="415" t="b">
        <f>AND(AO329&lt;&gt;"",AO329&gt;0,COUNTIF(AL329:AL335,AL329)&gt;1)</f>
        <v>0</v>
      </c>
      <c r="AN329" s="306">
        <f t="shared" ref="AN329:AN335" si="284">IF(AP329="","",(AP329*Points_Victoire)+AQ329*Points_Null)</f>
        <v>9</v>
      </c>
      <c r="AO329" s="307">
        <f t="shared" ref="AO329:AO335" si="285">IF(AP329="","",SUM(AP329:AR329))</f>
        <v>3</v>
      </c>
      <c r="AP329" s="307">
        <f>IF(OR(AC328="",AD329=""),"",COUNTIF(ResultsInd[Win],AC328&amp;"-"&amp;AD329))</f>
        <v>3</v>
      </c>
      <c r="AQ329" s="307">
        <f>IF(OR(AC328="",AD329=""),"",COUNTIF(ResultsInd[Draw1],AC328&amp;"-"&amp;AD329)+COUNTIF(ResultsInd[Draw2],AC328&amp;"-"&amp;AD329))</f>
        <v>0</v>
      </c>
      <c r="AR329" s="307">
        <f>IF(OR(AC328="",AD329=""),"",COUNTIF(ResultsInd[Lose],AC328&amp;"-"&amp;AD329))</f>
        <v>0</v>
      </c>
      <c r="AS329" s="307">
        <f>IF(OR(AC328="",AD329=""),"",SUMIFS(ResultsInd[Goal-A],ResultsInd[Category],AC328,ResultsInd[Stage],"Groups",ResultsInd[Player A],AD329)+SUMIFS(ResultsInd[Goal-B],ResultsInd[Category],AC328,ResultsInd[Stage],"Groups",ResultsInd[Player B],AD329))</f>
        <v>12</v>
      </c>
      <c r="AT329" s="307">
        <f>IF(OR(AC328="",AD329=""),"",SUMIFS(ResultsInd[Goal-B],ResultsInd[Category],AC328,ResultsInd[Stage],"Groups",ResultsInd[Player A],AD329)+SUMIFS(ResultsInd[Goal-A],ResultsInd[Category],AC328,ResultsInd[Stage],"Groups",ResultsInd[Player B],AD329))</f>
        <v>1</v>
      </c>
      <c r="AU329" s="308">
        <f>IF(AP329="","",AS329-AT329)</f>
        <v>11</v>
      </c>
      <c r="AV329" s="469" t="b">
        <f>IF(AG329="","",OR(VLOOKUP(AG329,AH329:AU335,3,FALSE),VLOOKUP(AG329,AH329:AU335,6,FALSE)))</f>
        <v>0</v>
      </c>
      <c r="AW329" s="298">
        <f t="shared" ref="AW329:AW335" si="286">IF(AG329="","",INT(AG329/1000))</f>
        <v>1</v>
      </c>
      <c r="AX329" s="285" t="str">
        <f>IF(AG329="","",INDEX(AD329:AD335,MATCH(AG329,AH329:AH335,0)))</f>
        <v>Pasquale Torano</v>
      </c>
      <c r="AY329" s="286">
        <f>IF(AG329="","",VLOOKUP(AG329,AH329:AU335,COLUMN()-COLUMN(AR328),FALSE))</f>
        <v>9</v>
      </c>
      <c r="AZ329" s="286">
        <f>IF(AG329="","",VLOOKUP(AG329,AH329:AU335,COLUMN()-COLUMN(AR328),FALSE))</f>
        <v>3</v>
      </c>
      <c r="BA329" s="286">
        <f>IF(AG329="","",VLOOKUP(AG329,AH329:AU335,COLUMN()-COLUMN(AR328),FALSE))</f>
        <v>3</v>
      </c>
      <c r="BB329" s="286">
        <f>IF(AG329="","",VLOOKUP(AG329,AH329:AU335,COLUMN()-COLUMN(AR328),FALSE))</f>
        <v>0</v>
      </c>
      <c r="BC329" s="286">
        <f>IF(AG329="","",VLOOKUP(AG329,AH329:AU335,COLUMN()-COLUMN(AR328),FALSE))</f>
        <v>0</v>
      </c>
      <c r="BD329" s="286">
        <f>IF(AG329="","",VLOOKUP(AG329,AH329:AU335,COLUMN()-COLUMN(AR328),FALSE))</f>
        <v>12</v>
      </c>
      <c r="BE329" s="286">
        <f>IF(AG329="","",VLOOKUP(AG329,AH329:AU335,COLUMN()-COLUMN(AR328),FALSE))</f>
        <v>1</v>
      </c>
      <c r="BF329" s="301">
        <f>IF(AG329="","",VLOOKUP(AG329,AH329:AU335,COLUMN()-COLUMN(AR328),FALSE))</f>
        <v>11</v>
      </c>
    </row>
    <row r="330" spans="1:58" ht="12" thickBot="1" x14ac:dyDescent="0.25">
      <c r="A330" s="62" t="s">
        <v>12261</v>
      </c>
      <c r="B330" s="62" t="s">
        <v>12207</v>
      </c>
      <c r="C330" s="62">
        <v>6</v>
      </c>
      <c r="D330" s="62"/>
      <c r="E330" s="345" t="s">
        <v>9577</v>
      </c>
      <c r="F330" s="345" t="s">
        <v>9104</v>
      </c>
      <c r="G330" s="113">
        <v>2</v>
      </c>
      <c r="H330" s="113">
        <v>0</v>
      </c>
      <c r="I330" s="114"/>
      <c r="J330" s="114"/>
      <c r="K330" s="114"/>
      <c r="L330" s="81"/>
      <c r="M330" s="265" t="b">
        <f>NOT(ISERROR(ResultsInd[[#This Row],[Goal-A]]+ResultsInd[[#This Row],[Goal-B]]))</f>
        <v>1</v>
      </c>
      <c r="N330" s="265">
        <f>VALUE(ResultsInd[[#This Row],[Score-A]])</f>
        <v>2</v>
      </c>
      <c r="O330" s="265">
        <f>VALUE(ResultsInd[[#This Row],[Score-B]])</f>
        <v>0</v>
      </c>
      <c r="P330" s="265">
        <f ca="1">IF(AND(ResultsInd[[#This Row],[Category]]&lt;&gt;"",ResultsInd[[#This Row],[Player A]]&lt;&gt;""),COUNTIF(INDIRECT(ResultsInd[[#This Row],[Category]]&amp;"List[Retained Player Name]"),ResultsInd[[#This Row],[Player A]]),"")</f>
        <v>1</v>
      </c>
      <c r="Q330" s="265">
        <f ca="1">IF(AND(ResultsInd[[#This Row],[Category]]&lt;&gt;"",ResultsInd[[#This Row],[Player B]]&lt;&gt;""),COUNTIF(INDIRECT(ResultsInd[[#This Row],[Category]]&amp;"List[Retained Player Name]"),ResultsInd[[#This Row],[Player B]]),"")</f>
        <v>1</v>
      </c>
      <c r="R3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VETERANS-Pasquale Torano</v>
      </c>
      <c r="S330" s="265" t="str">
        <f>IF(ResultsInd[[#This Row],[Score_OK]],IF(ResultsInd[[#This Row],[Stage]]="Groups",ResultsInd[[#This Row],[Category]]&amp;"-"&amp;IF(ResultsInd[[#This Row],[Player B]]="","",IF(ResultsInd[[#This Row],[Score-A]]=ResultsInd[[#This Row],[Score-B]],ResultsInd[[#This Row],[Player A]],"")),""),"")</f>
        <v>VETERANS-</v>
      </c>
      <c r="T330" s="265" t="str">
        <f>IF(ResultsInd[[#This Row],[Score_OK]],IF(ResultsInd[[#This Row],[Stage]]="Groups",ResultsInd[[#This Row],[Category]]&amp;"-"&amp;IF(ResultsInd[[#This Row],[Player B]]="","",IF(ResultsInd[[#This Row],[Score-A]]=ResultsInd[[#This Row],[Score-B]],ResultsInd[[#This Row],[Player B]],"")),""),"")</f>
        <v>VETERANS-</v>
      </c>
      <c r="U3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VETERANS-Panagiotis Krommydas</v>
      </c>
      <c r="V3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X3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Y330" s="264" t="str">
        <f>IF(ResultsInd[[#This Row],[Category]]="","",VLOOKUP(ResultsInd[[#This Row],[Stage]],$P$1:$V$9,MATCH(ResultsInd[[#This Row],[Category]],$Q$1:$V$1,0)+1,FALSE))</f>
        <v>PR1</v>
      </c>
      <c r="Z330" s="264" t="str">
        <f>IF(ResultsInd[[#This Row],[Score_OK]],IF(ResultsInd[[#This Row],[Level]]="R",ResultsInd[[#This Row],[Category]]&amp;"-"&amp;IF(ResultsInd[[#This Row],[LoseInKO]]=ResultsInd[[#This Row],[Category]]&amp;"-"&amp;ResultsInd[[#This Row],[Player A]],ResultsInd[[#This Row],[Player B]],ResultsInd[[#This Row],[Player A]]),""),"")</f>
        <v/>
      </c>
      <c r="AB330" s="8"/>
      <c r="AC330" s="12" t="str">
        <f t="shared" ref="AC330:AC335" si="287">IF(AC329="","",AC329)</f>
        <v>VETERANS</v>
      </c>
      <c r="AD330" s="309" t="s">
        <v>9104</v>
      </c>
      <c r="AE330" s="320"/>
      <c r="AF330" s="311"/>
      <c r="AG330" s="292">
        <f>IF(AP330="","",SMALL(AH329:AH335,ROWS(AG329:AG330)))</f>
        <v>2002</v>
      </c>
      <c r="AH330" s="293">
        <f>IF(AP330="","",RANK(AL330,AL329:AL335)*1000+ROWS(AH329:AH330))</f>
        <v>2002</v>
      </c>
      <c r="AI330" s="316">
        <f t="shared" si="281"/>
        <v>4000000000000</v>
      </c>
      <c r="AJ330" s="415" t="b">
        <f>AND(AO330&lt;&gt;"",AO330&gt;0,COUNTIF(AI329:AI335,AI330)&gt;1)</f>
        <v>0</v>
      </c>
      <c r="AK330" s="316">
        <f t="shared" si="282"/>
        <v>0</v>
      </c>
      <c r="AL330" s="317">
        <f t="shared" si="283"/>
        <v>3999999990200</v>
      </c>
      <c r="AM330" s="415" t="b">
        <f>AND(AO330&lt;&gt;"",AO330&gt;0,COUNTIF(AL329:AL335,AL330)&gt;1)</f>
        <v>0</v>
      </c>
      <c r="AN330" s="306">
        <f t="shared" si="284"/>
        <v>4</v>
      </c>
      <c r="AO330" s="307">
        <f t="shared" si="285"/>
        <v>3</v>
      </c>
      <c r="AP330" s="307">
        <f>IF(OR(AC328="",AD330=""),"",COUNTIF(ResultsInd[Win],AC328&amp;"-"&amp;AD330))</f>
        <v>1</v>
      </c>
      <c r="AQ330" s="307">
        <f>IF(OR(AC328="",AD330=""),"",COUNTIF(ResultsInd[Draw1],AC328&amp;"-"&amp;AD330)+COUNTIF(ResultsInd[Draw2],AC328&amp;"-"&amp;AD330))</f>
        <v>1</v>
      </c>
      <c r="AR330" s="307">
        <f>IF(OR(AC328="",AD330=""),"",COUNTIF(ResultsInd[Lose],AC328&amp;"-"&amp;AD330))</f>
        <v>1</v>
      </c>
      <c r="AS330" s="307">
        <f>IF(OR(AC328="",AD330=""),"",SUMIFS(ResultsInd[Goal-A],ResultsInd[Category],AC328,ResultsInd[Stage],"Groups",ResultsInd[Player A],AD330)+SUMIFS(ResultsInd[Goal-B],ResultsInd[Category],AC328,ResultsInd[Stage],"Groups",ResultsInd[Player B],AD330))</f>
        <v>2</v>
      </c>
      <c r="AT330" s="307">
        <f>IF(OR(AC328="",AD330=""),"",SUMIFS(ResultsInd[Goal-B],ResultsInd[Category],AC328,ResultsInd[Stage],"Groups",ResultsInd[Player A],AD330)+SUMIFS(ResultsInd[Goal-A],ResultsInd[Category],AC328,ResultsInd[Stage],"Groups",ResultsInd[Player B],AD330))</f>
        <v>3</v>
      </c>
      <c r="AU330" s="308">
        <f t="shared" ref="AU330:AU335" si="288">IF(AP330="","",AS330-AT330)</f>
        <v>-1</v>
      </c>
      <c r="AV330" s="469" t="b">
        <f>IF(AG330="","",OR(VLOOKUP(AG330,AH329:AU335,3,FALSE),VLOOKUP(AG330,AH329:AU335,6,FALSE)))</f>
        <v>0</v>
      </c>
      <c r="AW330" s="298">
        <f t="shared" si="286"/>
        <v>2</v>
      </c>
      <c r="AX330" s="285" t="str">
        <f>IF(AG330="","",INDEX(AD329:AD335,MATCH(AG330,AH329:AH335,0)))</f>
        <v>Panagiotis Krommydas</v>
      </c>
      <c r="AY330" s="286">
        <f>IF(AG330="","",VLOOKUP(AG330,AH329:AU335,COLUMN()-COLUMN(AR328),FALSE))</f>
        <v>4</v>
      </c>
      <c r="AZ330" s="286">
        <f>IF(AG330="","",VLOOKUP(AG330,AH329:AU335,COLUMN()-COLUMN(AR328),FALSE))</f>
        <v>3</v>
      </c>
      <c r="BA330" s="286">
        <f>IF(AG330="","",VLOOKUP(AG330,AH329:AU335,COLUMN()-COLUMN(AR328),FALSE))</f>
        <v>1</v>
      </c>
      <c r="BB330" s="286">
        <f>IF(AG330="","",VLOOKUP(AG330,AH329:AU335,COLUMN()-COLUMN(AR328),FALSE))</f>
        <v>1</v>
      </c>
      <c r="BC330" s="286">
        <f>IF(AG330="","",VLOOKUP(AG330,AH329:AU335,COLUMN()-COLUMN(AR328),FALSE))</f>
        <v>1</v>
      </c>
      <c r="BD330" s="286">
        <f>IF(AG330="","",VLOOKUP(AG330,AH329:AU335,COLUMN()-COLUMN(AR328),FALSE))</f>
        <v>2</v>
      </c>
      <c r="BE330" s="286">
        <f>IF(AG330="","",VLOOKUP(AG330,AH329:AU335,COLUMN()-COLUMN(AR328),FALSE))</f>
        <v>3</v>
      </c>
      <c r="BF330" s="301">
        <f>IF(AG330="","",VLOOKUP(AG330,AH329:AU335,COLUMN()-COLUMN(AR328),FALSE))</f>
        <v>-1</v>
      </c>
    </row>
    <row r="331" spans="1:58" ht="12" thickBot="1" x14ac:dyDescent="0.25">
      <c r="A331" s="62" t="s">
        <v>12261</v>
      </c>
      <c r="B331" s="62" t="s">
        <v>12207</v>
      </c>
      <c r="C331" s="62">
        <v>6</v>
      </c>
      <c r="D331" s="62"/>
      <c r="E331" s="345" t="s">
        <v>8081</v>
      </c>
      <c r="F331" s="345" t="s">
        <v>10449</v>
      </c>
      <c r="G331" s="113">
        <v>1</v>
      </c>
      <c r="H331" s="113">
        <v>1</v>
      </c>
      <c r="I331" s="114"/>
      <c r="J331" s="114"/>
      <c r="K331" s="114"/>
      <c r="L331" s="81"/>
      <c r="M331" s="265" t="b">
        <f>NOT(ISERROR(ResultsInd[[#This Row],[Goal-A]]+ResultsInd[[#This Row],[Goal-B]]))</f>
        <v>1</v>
      </c>
      <c r="N331" s="265">
        <f>VALUE(ResultsInd[[#This Row],[Score-A]])</f>
        <v>1</v>
      </c>
      <c r="O331" s="265">
        <f>VALUE(ResultsInd[[#This Row],[Score-B]])</f>
        <v>1</v>
      </c>
      <c r="P331" s="265">
        <f ca="1">IF(AND(ResultsInd[[#This Row],[Category]]&lt;&gt;"",ResultsInd[[#This Row],[Player A]]&lt;&gt;""),COUNTIF(INDIRECT(ResultsInd[[#This Row],[Category]]&amp;"List[Retained Player Name]"),ResultsInd[[#This Row],[Player A]]),"")</f>
        <v>1</v>
      </c>
      <c r="Q331" s="265">
        <f ca="1">IF(AND(ResultsInd[[#This Row],[Category]]&lt;&gt;"",ResultsInd[[#This Row],[Player B]]&lt;&gt;""),COUNTIF(INDIRECT(ResultsInd[[#This Row],[Category]]&amp;"List[Retained Player Name]"),ResultsInd[[#This Row],[Player B]]),"")</f>
        <v>1</v>
      </c>
      <c r="R3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31" s="265" t="str">
        <f>IF(ResultsInd[[#This Row],[Score_OK]],IF(ResultsInd[[#This Row],[Stage]]="Groups",ResultsInd[[#This Row],[Category]]&amp;"-"&amp;IF(ResultsInd[[#This Row],[Player B]]="","",IF(ResultsInd[[#This Row],[Score-A]]=ResultsInd[[#This Row],[Score-B]],ResultsInd[[#This Row],[Player A]],"")),""),"")</f>
        <v>VETERANS-Jos Ceulemans</v>
      </c>
      <c r="T331" s="265" t="str">
        <f>IF(ResultsInd[[#This Row],[Score_OK]],IF(ResultsInd[[#This Row],[Stage]]="Groups",ResultsInd[[#This Row],[Category]]&amp;"-"&amp;IF(ResultsInd[[#This Row],[Player B]]="","",IF(ResultsInd[[#This Row],[Score-A]]=ResultsInd[[#This Row],[Score-B]],ResultsInd[[#This Row],[Player B]],"")),""),"")</f>
        <v>VETERANS-Valentino Zamara</v>
      </c>
      <c r="U3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X3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VETERANS-Valentino Zamara</v>
      </c>
      <c r="Y331" s="264" t="str">
        <f>IF(ResultsInd[[#This Row],[Category]]="","",VLOOKUP(ResultsInd[[#This Row],[Stage]],$P$1:$V$9,MATCH(ResultsInd[[#This Row],[Category]],$Q$1:$V$1,0)+1,FALSE))</f>
        <v>PR1</v>
      </c>
      <c r="Z331" s="264" t="str">
        <f>IF(ResultsInd[[#This Row],[Score_OK]],IF(ResultsInd[[#This Row],[Level]]="R",ResultsInd[[#This Row],[Category]]&amp;"-"&amp;IF(ResultsInd[[#This Row],[LoseInKO]]=ResultsInd[[#This Row],[Category]]&amp;"-"&amp;ResultsInd[[#This Row],[Player A]],ResultsInd[[#This Row],[Player B]],ResultsInd[[#This Row],[Player A]]),""),"")</f>
        <v/>
      </c>
      <c r="AB331" s="8"/>
      <c r="AC331" s="12" t="str">
        <f t="shared" si="287"/>
        <v>VETERANS</v>
      </c>
      <c r="AD331" s="309" t="s">
        <v>8081</v>
      </c>
      <c r="AE331" s="320"/>
      <c r="AF331" s="311"/>
      <c r="AG331" s="292">
        <f>IF(AP331="","",SMALL(AH329:AH335,ROWS(AG329:AG331)))</f>
        <v>3003</v>
      </c>
      <c r="AH331" s="293">
        <f>IF(AP331="","",RANK(AL331,AL329:AL335)*1000+ROWS(AH329:AH331))</f>
        <v>3003</v>
      </c>
      <c r="AI331" s="316">
        <f t="shared" si="281"/>
        <v>2000000000000</v>
      </c>
      <c r="AJ331" s="415" t="b">
        <f>AND(AO331&lt;&gt;"",AO331&gt;0,COUNTIF(AI329:AI335,AI331)&gt;1)</f>
        <v>0</v>
      </c>
      <c r="AK331" s="316">
        <f t="shared" si="282"/>
        <v>0</v>
      </c>
      <c r="AL331" s="317">
        <f t="shared" si="283"/>
        <v>1999999960300</v>
      </c>
      <c r="AM331" s="415" t="b">
        <f>AND(AO331&lt;&gt;"",AO331&gt;0,COUNTIF(AL329:AL335,AL331)&gt;1)</f>
        <v>0</v>
      </c>
      <c r="AN331" s="306">
        <f t="shared" si="284"/>
        <v>2</v>
      </c>
      <c r="AO331" s="307">
        <f t="shared" si="285"/>
        <v>3</v>
      </c>
      <c r="AP331" s="307">
        <f>IF(OR(AC328="",AD331=""),"",COUNTIF(ResultsInd[Win],AC328&amp;"-"&amp;AD331))</f>
        <v>0</v>
      </c>
      <c r="AQ331" s="307">
        <f>IF(OR(AC328="",AD331=""),"",COUNTIF(ResultsInd[Draw1],AC328&amp;"-"&amp;AD331)+COUNTIF(ResultsInd[Draw2],AC328&amp;"-"&amp;AD331))</f>
        <v>2</v>
      </c>
      <c r="AR331" s="307">
        <f>IF(OR(AC328="",AD331=""),"",COUNTIF(ResultsInd[Lose],AC328&amp;"-"&amp;AD331))</f>
        <v>1</v>
      </c>
      <c r="AS331" s="307">
        <f>IF(OR(AC328="",AD331=""),"",SUMIFS(ResultsInd[Goal-A],ResultsInd[Category],AC328,ResultsInd[Stage],"Groups",ResultsInd[Player A],AD331)+SUMIFS(ResultsInd[Goal-B],ResultsInd[Category],AC328,ResultsInd[Stage],"Groups",ResultsInd[Player B],AD331))</f>
        <v>3</v>
      </c>
      <c r="AT331" s="307">
        <f>IF(OR(AC328="",AD331=""),"",SUMIFS(ResultsInd[Goal-B],ResultsInd[Category],AC328,ResultsInd[Stage],"Groups",ResultsInd[Player A],AD331)+SUMIFS(ResultsInd[Goal-A],ResultsInd[Category],AC328,ResultsInd[Stage],"Groups",ResultsInd[Player B],AD331))</f>
        <v>7</v>
      </c>
      <c r="AU331" s="308">
        <f t="shared" si="288"/>
        <v>-4</v>
      </c>
      <c r="AV331" s="469" t="b">
        <f>IF(AG331="","",OR(VLOOKUP(AG331,AH329:AU335,3,FALSE),VLOOKUP(AG331,AH329:AU335,6,FALSE)))</f>
        <v>0</v>
      </c>
      <c r="AW331" s="298">
        <f t="shared" si="286"/>
        <v>3</v>
      </c>
      <c r="AX331" s="285" t="str">
        <f>IF(AG331="","",INDEX(AD329:AD335,MATCH(AG331,AH329:AH335,0)))</f>
        <v>Jos Ceulemans</v>
      </c>
      <c r="AY331" s="286">
        <f>IF(AG331="","",VLOOKUP(AG331,AH329:AU335,COLUMN()-COLUMN(AR328),FALSE))</f>
        <v>2</v>
      </c>
      <c r="AZ331" s="286">
        <f>IF(AG331="","",VLOOKUP(AG331,AH329:AU335,COLUMN()-COLUMN(AR328),FALSE))</f>
        <v>3</v>
      </c>
      <c r="BA331" s="286">
        <f>IF(AG331="","",VLOOKUP(AG331,AH329:AU335,COLUMN()-COLUMN(AR328),FALSE))</f>
        <v>0</v>
      </c>
      <c r="BB331" s="286">
        <f>IF(AG331="","",VLOOKUP(AG331,AH329:AU335,COLUMN()-COLUMN(AR328),FALSE))</f>
        <v>2</v>
      </c>
      <c r="BC331" s="286">
        <f>IF(AG331="","",VLOOKUP(AG331,AH329:AU335,COLUMN()-COLUMN(AR328),FALSE))</f>
        <v>1</v>
      </c>
      <c r="BD331" s="286">
        <f>IF(AG331="","",VLOOKUP(AG331,AH329:AU335,COLUMN()-COLUMN(AR328),FALSE))</f>
        <v>3</v>
      </c>
      <c r="BE331" s="286">
        <f>IF(AG331="","",VLOOKUP(AG331,AH329:AU335,COLUMN()-COLUMN(AR328),FALSE))</f>
        <v>7</v>
      </c>
      <c r="BF331" s="301">
        <f>IF(AG331="","",VLOOKUP(AG331,AH329:AU335,COLUMN()-COLUMN(AR328),FALSE))</f>
        <v>-4</v>
      </c>
    </row>
    <row r="332" spans="1:58" ht="12" thickBot="1" x14ac:dyDescent="0.25">
      <c r="A332" s="62" t="s">
        <v>12261</v>
      </c>
      <c r="B332" s="62" t="s">
        <v>12207</v>
      </c>
      <c r="C332" s="62">
        <v>6</v>
      </c>
      <c r="D332" s="62"/>
      <c r="E332" s="345" t="s">
        <v>10449</v>
      </c>
      <c r="F332" s="345" t="s">
        <v>9577</v>
      </c>
      <c r="G332" s="113">
        <v>0</v>
      </c>
      <c r="H332" s="113">
        <v>5</v>
      </c>
      <c r="I332" s="114"/>
      <c r="J332" s="114"/>
      <c r="K332" s="114"/>
      <c r="L332" s="81"/>
      <c r="M332" s="265" t="b">
        <f>NOT(ISERROR(ResultsInd[[#This Row],[Goal-A]]+ResultsInd[[#This Row],[Goal-B]]))</f>
        <v>1</v>
      </c>
      <c r="N332" s="265">
        <f>VALUE(ResultsInd[[#This Row],[Score-A]])</f>
        <v>0</v>
      </c>
      <c r="O332" s="265">
        <f>VALUE(ResultsInd[[#This Row],[Score-B]])</f>
        <v>5</v>
      </c>
      <c r="P332" s="265">
        <f ca="1">IF(AND(ResultsInd[[#This Row],[Category]]&lt;&gt;"",ResultsInd[[#This Row],[Player A]]&lt;&gt;""),COUNTIF(INDIRECT(ResultsInd[[#This Row],[Category]]&amp;"List[Retained Player Name]"),ResultsInd[[#This Row],[Player A]]),"")</f>
        <v>1</v>
      </c>
      <c r="Q332" s="265">
        <f ca="1">IF(AND(ResultsInd[[#This Row],[Category]]&lt;&gt;"",ResultsInd[[#This Row],[Player B]]&lt;&gt;""),COUNTIF(INDIRECT(ResultsInd[[#This Row],[Category]]&amp;"List[Retained Player Name]"),ResultsInd[[#This Row],[Player B]]),"")</f>
        <v>1</v>
      </c>
      <c r="R3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VETERANS-Pasquale Torano</v>
      </c>
      <c r="S332" s="265" t="str">
        <f>IF(ResultsInd[[#This Row],[Score_OK]],IF(ResultsInd[[#This Row],[Stage]]="Groups",ResultsInd[[#This Row],[Category]]&amp;"-"&amp;IF(ResultsInd[[#This Row],[Player B]]="","",IF(ResultsInd[[#This Row],[Score-A]]=ResultsInd[[#This Row],[Score-B]],ResultsInd[[#This Row],[Player A]],"")),""),"")</f>
        <v>VETERANS-</v>
      </c>
      <c r="T332" s="265" t="str">
        <f>IF(ResultsInd[[#This Row],[Score_OK]],IF(ResultsInd[[#This Row],[Stage]]="Groups",ResultsInd[[#This Row],[Category]]&amp;"-"&amp;IF(ResultsInd[[#This Row],[Player B]]="","",IF(ResultsInd[[#This Row],[Score-A]]=ResultsInd[[#This Row],[Score-B]],ResultsInd[[#This Row],[Player B]],"")),""),"")</f>
        <v>VETERANS-</v>
      </c>
      <c r="U3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VETERANS-Valentino Zamara</v>
      </c>
      <c r="V3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VETERANS-Valentino Zamara</v>
      </c>
      <c r="X3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VETERANS-Valentino Zamara</v>
      </c>
      <c r="Y332" s="264" t="str">
        <f>IF(ResultsInd[[#This Row],[Category]]="","",VLOOKUP(ResultsInd[[#This Row],[Stage]],$P$1:$V$9,MATCH(ResultsInd[[#This Row],[Category]],$Q$1:$V$1,0)+1,FALSE))</f>
        <v>PR1</v>
      </c>
      <c r="Z332" s="264" t="str">
        <f>IF(ResultsInd[[#This Row],[Score_OK]],IF(ResultsInd[[#This Row],[Level]]="R",ResultsInd[[#This Row],[Category]]&amp;"-"&amp;IF(ResultsInd[[#This Row],[LoseInKO]]=ResultsInd[[#This Row],[Category]]&amp;"-"&amp;ResultsInd[[#This Row],[Player A]],ResultsInd[[#This Row],[Player B]],ResultsInd[[#This Row],[Player A]]),""),"")</f>
        <v/>
      </c>
      <c r="AB332" s="91"/>
      <c r="AC332" s="12" t="str">
        <f t="shared" si="287"/>
        <v>VETERANS</v>
      </c>
      <c r="AD332" s="309" t="s">
        <v>10449</v>
      </c>
      <c r="AE332" s="310"/>
      <c r="AF332" s="311"/>
      <c r="AG332" s="292">
        <f>IF(AP332="","",SMALL(AH329:AH335,ROWS(AG329:AG332)))</f>
        <v>4004</v>
      </c>
      <c r="AH332" s="293">
        <f>IF(AP332="","",RANK(AL332,AL329:AL335)*1000+ROWS(AH329:AH332))</f>
        <v>4004</v>
      </c>
      <c r="AI332" s="316">
        <f t="shared" si="281"/>
        <v>1000000000000</v>
      </c>
      <c r="AJ332" s="415" t="b">
        <f>AND(AO332&lt;&gt;"",AO332&gt;0,COUNTIF(AI329:AI335,AI332)&gt;1)</f>
        <v>0</v>
      </c>
      <c r="AK332" s="316">
        <f t="shared" si="282"/>
        <v>0</v>
      </c>
      <c r="AL332" s="317">
        <f t="shared" si="283"/>
        <v>999999940100</v>
      </c>
      <c r="AM332" s="415" t="b">
        <f>AND(AO332&lt;&gt;"",AO332&gt;0,COUNTIF(AL329:AL335,AL332)&gt;1)</f>
        <v>0</v>
      </c>
      <c r="AN332" s="306">
        <f t="shared" si="284"/>
        <v>1</v>
      </c>
      <c r="AO332" s="307">
        <f t="shared" si="285"/>
        <v>3</v>
      </c>
      <c r="AP332" s="307">
        <f>IF(OR(AC328="",AD332=""),"",COUNTIF(ResultsInd[Win],AC328&amp;"-"&amp;AD332))</f>
        <v>0</v>
      </c>
      <c r="AQ332" s="307">
        <f>IF(OR(AC328="",AD332=""),"",COUNTIF(ResultsInd[Draw1],AC328&amp;"-"&amp;AD332)+COUNTIF(ResultsInd[Draw2],AC328&amp;"-"&amp;AD332))</f>
        <v>1</v>
      </c>
      <c r="AR332" s="307">
        <f>IF(OR(AC328="",AD332=""),"",COUNTIF(ResultsInd[Lose],AC328&amp;"-"&amp;AD332))</f>
        <v>2</v>
      </c>
      <c r="AS332" s="307">
        <f>IF(OR(AC328="",AD332=""),"",SUMIFS(ResultsInd[Goal-A],ResultsInd[Category],AC328,ResultsInd[Stage],"Groups",ResultsInd[Player A],AD332)+SUMIFS(ResultsInd[Goal-B],ResultsInd[Category],AC328,ResultsInd[Stage],"Groups",ResultsInd[Player B],AD332))</f>
        <v>1</v>
      </c>
      <c r="AT332" s="307">
        <f>IF(OR(AC328="",AD332=""),"",SUMIFS(ResultsInd[Goal-B],ResultsInd[Category],AC328,ResultsInd[Stage],"Groups",ResultsInd[Player A],AD332)+SUMIFS(ResultsInd[Goal-A],ResultsInd[Category],AC328,ResultsInd[Stage],"Groups",ResultsInd[Player B],AD332))</f>
        <v>7</v>
      </c>
      <c r="AU332" s="308">
        <f t="shared" si="288"/>
        <v>-6</v>
      </c>
      <c r="AV332" s="469" t="b">
        <f>IF(AG332="","",OR(VLOOKUP(AG332,AH329:AU335,3,FALSE),VLOOKUP(AG332,AH329:AU335,6,FALSE)))</f>
        <v>0</v>
      </c>
      <c r="AW332" s="298">
        <f t="shared" si="286"/>
        <v>4</v>
      </c>
      <c r="AX332" s="285" t="str">
        <f>IF(AG332="","",INDEX(AD329:AD335,MATCH(AG332,AH329:AH335,0)))</f>
        <v>Valentino Zamara</v>
      </c>
      <c r="AY332" s="286">
        <f>IF(AG332="","",VLOOKUP(AG332,AH329:AU335,COLUMN()-COLUMN(AR328),FALSE))</f>
        <v>1</v>
      </c>
      <c r="AZ332" s="286">
        <f>IF(AG332="","",VLOOKUP(AG332,AH329:AU335,COLUMN()-COLUMN(AR328),FALSE))</f>
        <v>3</v>
      </c>
      <c r="BA332" s="286">
        <f>IF(AG332="","",VLOOKUP(AG332,AH329:AU335,COLUMN()-COLUMN(AR328),FALSE))</f>
        <v>0</v>
      </c>
      <c r="BB332" s="286">
        <f>IF(AG332="","",VLOOKUP(AG332,AH329:AU335,COLUMN()-COLUMN(AR328),FALSE))</f>
        <v>1</v>
      </c>
      <c r="BC332" s="286">
        <f>IF(AG332="","",VLOOKUP(AG332,AH329:AU335,COLUMN()-COLUMN(AR328),FALSE))</f>
        <v>2</v>
      </c>
      <c r="BD332" s="286">
        <f>IF(AG332="","",VLOOKUP(AG332,AH329:AU335,COLUMN()-COLUMN(AR328),FALSE))</f>
        <v>1</v>
      </c>
      <c r="BE332" s="286">
        <f>IF(AG332="","",VLOOKUP(AG332,AH329:AU335,COLUMN()-COLUMN(AR328),FALSE))</f>
        <v>7</v>
      </c>
      <c r="BF332" s="301">
        <f>IF(AG332="","",VLOOKUP(AG332,AH329:AU335,COLUMN()-COLUMN(AR328),FALSE))</f>
        <v>-6</v>
      </c>
    </row>
    <row r="333" spans="1:58" ht="12" thickBot="1" x14ac:dyDescent="0.25">
      <c r="A333" s="62" t="s">
        <v>12261</v>
      </c>
      <c r="B333" s="62" t="s">
        <v>12207</v>
      </c>
      <c r="C333" s="62">
        <v>6</v>
      </c>
      <c r="D333" s="62"/>
      <c r="E333" s="345" t="s">
        <v>8081</v>
      </c>
      <c r="F333" s="345" t="s">
        <v>9104</v>
      </c>
      <c r="G333" s="113">
        <v>1</v>
      </c>
      <c r="H333" s="113">
        <v>1</v>
      </c>
      <c r="I333" s="114"/>
      <c r="J333" s="114"/>
      <c r="K333" s="114"/>
      <c r="L333" s="81"/>
      <c r="M333" s="265" t="b">
        <f>NOT(ISERROR(ResultsInd[[#This Row],[Goal-A]]+ResultsInd[[#This Row],[Goal-B]]))</f>
        <v>1</v>
      </c>
      <c r="N333" s="265">
        <f>VALUE(ResultsInd[[#This Row],[Score-A]])</f>
        <v>1</v>
      </c>
      <c r="O333" s="265">
        <f>VALUE(ResultsInd[[#This Row],[Score-B]])</f>
        <v>1</v>
      </c>
      <c r="P333" s="265">
        <f ca="1">IF(AND(ResultsInd[[#This Row],[Category]]&lt;&gt;"",ResultsInd[[#This Row],[Player A]]&lt;&gt;""),COUNTIF(INDIRECT(ResultsInd[[#This Row],[Category]]&amp;"List[Retained Player Name]"),ResultsInd[[#This Row],[Player A]]),"")</f>
        <v>1</v>
      </c>
      <c r="Q333" s="265">
        <f ca="1">IF(AND(ResultsInd[[#This Row],[Category]]&lt;&gt;"",ResultsInd[[#This Row],[Player B]]&lt;&gt;""),COUNTIF(INDIRECT(ResultsInd[[#This Row],[Category]]&amp;"List[Retained Player Name]"),ResultsInd[[#This Row],[Player B]]),"")</f>
        <v>1</v>
      </c>
      <c r="R3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33" s="265" t="str">
        <f>IF(ResultsInd[[#This Row],[Score_OK]],IF(ResultsInd[[#This Row],[Stage]]="Groups",ResultsInd[[#This Row],[Category]]&amp;"-"&amp;IF(ResultsInd[[#This Row],[Player B]]="","",IF(ResultsInd[[#This Row],[Score-A]]=ResultsInd[[#This Row],[Score-B]],ResultsInd[[#This Row],[Player A]],"")),""),"")</f>
        <v>VETERANS-Jos Ceulemans</v>
      </c>
      <c r="T333" s="265" t="str">
        <f>IF(ResultsInd[[#This Row],[Score_OK]],IF(ResultsInd[[#This Row],[Stage]]="Groups",ResultsInd[[#This Row],[Category]]&amp;"-"&amp;IF(ResultsInd[[#This Row],[Player B]]="","",IF(ResultsInd[[#This Row],[Score-A]]=ResultsInd[[#This Row],[Score-B]],ResultsInd[[#This Row],[Player B]],"")),""),"")</f>
        <v>VETERANS-Panagiotis Krommydas</v>
      </c>
      <c r="U3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X3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Y333" s="264" t="str">
        <f>IF(ResultsInd[[#This Row],[Category]]="","",VLOOKUP(ResultsInd[[#This Row],[Stage]],$P$1:$V$9,MATCH(ResultsInd[[#This Row],[Category]],$Q$1:$V$1,0)+1,FALSE))</f>
        <v>PR1</v>
      </c>
      <c r="Z333" s="264" t="str">
        <f>IF(ResultsInd[[#This Row],[Score_OK]],IF(ResultsInd[[#This Row],[Level]]="R",ResultsInd[[#This Row],[Category]]&amp;"-"&amp;IF(ResultsInd[[#This Row],[LoseInKO]]=ResultsInd[[#This Row],[Category]]&amp;"-"&amp;ResultsInd[[#This Row],[Player A]],ResultsInd[[#This Row],[Player B]],ResultsInd[[#This Row],[Player A]]),""),"")</f>
        <v/>
      </c>
      <c r="AB333" s="91"/>
      <c r="AC333" s="12" t="str">
        <f t="shared" si="287"/>
        <v>VETERANS</v>
      </c>
      <c r="AD333" s="309"/>
      <c r="AE333" s="310"/>
      <c r="AF333" s="311"/>
      <c r="AG333" s="292" t="str">
        <f>IF(AP333="","",SMALL(AH329:AH335,ROWS(AG329:AG333)))</f>
        <v/>
      </c>
      <c r="AH333" s="293" t="str">
        <f>IF(AP333="","",RANK(AL333,AL329:AL335)*1000+ROWS(AH329:AH333))</f>
        <v/>
      </c>
      <c r="AI333" s="316" t="str">
        <f t="shared" si="281"/>
        <v/>
      </c>
      <c r="AJ333" s="415" t="b">
        <f>AND(AO333&lt;&gt;"",AO333&gt;0,COUNTIF(AI329:AI335,AI333)&gt;1)</f>
        <v>0</v>
      </c>
      <c r="AK333" s="316" t="str">
        <f t="shared" si="282"/>
        <v/>
      </c>
      <c r="AL333" s="317" t="str">
        <f t="shared" si="283"/>
        <v/>
      </c>
      <c r="AM333" s="415" t="b">
        <f>AND(AO333&lt;&gt;"",AO333&gt;0,COUNTIF(AL329:AL335,AL333)&gt;1)</f>
        <v>0</v>
      </c>
      <c r="AN333" s="306" t="str">
        <f t="shared" si="284"/>
        <v/>
      </c>
      <c r="AO333" s="307" t="str">
        <f t="shared" si="285"/>
        <v/>
      </c>
      <c r="AP333" s="307" t="str">
        <f>IF(OR(AC328="",AD333=""),"",COUNTIF(ResultsInd[Win],AC328&amp;"-"&amp;AD333))</f>
        <v/>
      </c>
      <c r="AQ333" s="307" t="str">
        <f>IF(OR(AC328="",AD333=""),"",COUNTIF(ResultsInd[Draw1],AC328&amp;"-"&amp;AD333)+COUNTIF(ResultsInd[Draw2],AC328&amp;"-"&amp;AD333))</f>
        <v/>
      </c>
      <c r="AR333" s="307" t="str">
        <f>IF(OR(AC328="",AD333=""),"",COUNTIF(ResultsInd[Lose],AC328&amp;"-"&amp;AD333))</f>
        <v/>
      </c>
      <c r="AS333" s="307" t="str">
        <f>IF(OR(AC328="",AD333=""),"",SUMIFS(ResultsInd[Goal-A],ResultsInd[Category],AC328,ResultsInd[Stage],"Groups",ResultsInd[Player A],AD333)+SUMIFS(ResultsInd[Goal-B],ResultsInd[Category],AC328,ResultsInd[Stage],"Groups",ResultsInd[Player B],AD333))</f>
        <v/>
      </c>
      <c r="AT333" s="307" t="str">
        <f>IF(OR(AC328="",AD333=""),"",SUMIFS(ResultsInd[Goal-B],ResultsInd[Category],AC328,ResultsInd[Stage],"Groups",ResultsInd[Player A],AD333)+SUMIFS(ResultsInd[Goal-A],ResultsInd[Category],AC328,ResultsInd[Stage],"Groups",ResultsInd[Player B],AD333))</f>
        <v/>
      </c>
      <c r="AU333" s="308" t="str">
        <f t="shared" si="288"/>
        <v/>
      </c>
      <c r="AV333" s="469" t="str">
        <f>IF(AG333="","",OR(VLOOKUP(AG333,AH329:AU335,3,FALSE),VLOOKUP(AG333,AH329:AU335,6,FALSE)))</f>
        <v/>
      </c>
      <c r="AW333" s="298" t="str">
        <f t="shared" si="286"/>
        <v/>
      </c>
      <c r="AX333" s="285" t="str">
        <f>IF(AG333="","",INDEX(AD329:AD335,MATCH(AG333,AH329:AH335,0)))</f>
        <v/>
      </c>
      <c r="AY333" s="286" t="str">
        <f>IF(AG333="","",VLOOKUP(AG333,AH329:AU335,COLUMN()-COLUMN(AR328),FALSE))</f>
        <v/>
      </c>
      <c r="AZ333" s="286" t="str">
        <f>IF(AG333="","",VLOOKUP(AG333,AH329:AU335,COLUMN()-COLUMN(AR328),FALSE))</f>
        <v/>
      </c>
      <c r="BA333" s="286" t="str">
        <f>IF(AG333="","",VLOOKUP(AG333,AH329:AU335,COLUMN()-COLUMN(AR328),FALSE))</f>
        <v/>
      </c>
      <c r="BB333" s="286" t="str">
        <f>IF(AG333="","",VLOOKUP(AG333,AH329:AU335,COLUMN()-COLUMN(AR328),FALSE))</f>
        <v/>
      </c>
      <c r="BC333" s="286" t="str">
        <f>IF(AG333="","",VLOOKUP(AG333,AH329:AU335,COLUMN()-COLUMN(AR328),FALSE))</f>
        <v/>
      </c>
      <c r="BD333" s="286" t="str">
        <f>IF(AG333="","",VLOOKUP(AG333,AH329:AU335,COLUMN()-COLUMN(AR328),FALSE))</f>
        <v/>
      </c>
      <c r="BE333" s="286" t="str">
        <f>IF(AG333="","",VLOOKUP(AG333,AH329:AU335,COLUMN()-COLUMN(AR328),FALSE))</f>
        <v/>
      </c>
      <c r="BF333" s="301" t="str">
        <f>IF(AG333="","",VLOOKUP(AG333,AH329:AU335,COLUMN()-COLUMN(AR328),FALSE))</f>
        <v/>
      </c>
    </row>
    <row r="334" spans="1:58" ht="12" thickBot="1" x14ac:dyDescent="0.25">
      <c r="A334" s="62"/>
      <c r="B334" s="62"/>
      <c r="C334" s="62"/>
      <c r="D334" s="62"/>
      <c r="E334" s="345"/>
      <c r="F334" s="345"/>
      <c r="G334" s="113"/>
      <c r="H334" s="113"/>
      <c r="I334" s="114"/>
      <c r="J334" s="114"/>
      <c r="K334" s="114"/>
      <c r="L334" s="81"/>
      <c r="U334" s="264"/>
      <c r="V334" s="264"/>
      <c r="W334" s="264"/>
      <c r="X334" s="264"/>
      <c r="Y334" s="264"/>
      <c r="Z334" s="264"/>
      <c r="AB334" s="8"/>
      <c r="AC334" s="12" t="str">
        <f t="shared" si="287"/>
        <v>VETERANS</v>
      </c>
      <c r="AD334" s="309"/>
      <c r="AE334" s="310"/>
      <c r="AF334" s="311"/>
      <c r="AG334" s="292" t="str">
        <f>IF(AP334="","",SMALL(AH329:AH335,ROWS(AG329:AG334)))</f>
        <v/>
      </c>
      <c r="AH334" s="293" t="str">
        <f>IF(AP334="","",RANK(AL334,AL329:AL335)*1000+ROWS(AH329:AH334))</f>
        <v/>
      </c>
      <c r="AI334" s="316" t="str">
        <f t="shared" si="281"/>
        <v/>
      </c>
      <c r="AJ334" s="415" t="b">
        <f>AND(AO334&lt;&gt;"",AO334&gt;0,COUNTIF(AI329:AI335,AI334)&gt;1)</f>
        <v>0</v>
      </c>
      <c r="AK334" s="316" t="str">
        <f t="shared" si="282"/>
        <v/>
      </c>
      <c r="AL334" s="317" t="str">
        <f t="shared" si="283"/>
        <v/>
      </c>
      <c r="AM334" s="415" t="b">
        <f>AND(AO334&lt;&gt;"",AO334&gt;0,COUNTIF(AL329:AL335,AL334)&gt;1)</f>
        <v>0</v>
      </c>
      <c r="AN334" s="306" t="str">
        <f t="shared" si="284"/>
        <v/>
      </c>
      <c r="AO334" s="307" t="str">
        <f t="shared" si="285"/>
        <v/>
      </c>
      <c r="AP334" s="307" t="str">
        <f>IF(OR(AC328="",AD334=""),"",COUNTIF(ResultsInd[Win],AC328&amp;"-"&amp;AD334))</f>
        <v/>
      </c>
      <c r="AQ334" s="307" t="str">
        <f>IF(OR(AC328="",AD334=""),"",COUNTIF(ResultsInd[Draw1],AC328&amp;"-"&amp;AD334)+COUNTIF(ResultsInd[Draw2],AC328&amp;"-"&amp;AD334))</f>
        <v/>
      </c>
      <c r="AR334" s="307" t="str">
        <f>IF(OR(AC328="",AD334=""),"",COUNTIF(ResultsInd[Lose],AC328&amp;"-"&amp;AD334))</f>
        <v/>
      </c>
      <c r="AS334" s="307" t="str">
        <f>IF(OR(AC328="",AD334=""),"",SUMIFS(ResultsInd[Goal-A],ResultsInd[Category],AC328,ResultsInd[Stage],"Groups",ResultsInd[Player A],AD334)+SUMIFS(ResultsInd[Goal-B],ResultsInd[Category],AC328,ResultsInd[Stage],"Groups",ResultsInd[Player B],AD334))</f>
        <v/>
      </c>
      <c r="AT334" s="307" t="str">
        <f>IF(OR(AC328="",AD334=""),"",SUMIFS(ResultsInd[Goal-B],ResultsInd[Category],AC328,ResultsInd[Stage],"Groups",ResultsInd[Player A],AD334)+SUMIFS(ResultsInd[Goal-A],ResultsInd[Category],AC328,ResultsInd[Stage],"Groups",ResultsInd[Player B],AD334))</f>
        <v/>
      </c>
      <c r="AU334" s="308" t="str">
        <f t="shared" si="288"/>
        <v/>
      </c>
      <c r="AV334" s="469" t="str">
        <f>IF(AG334="","",OR(VLOOKUP(AG334,AH329:AU335,3,FALSE),VLOOKUP(AG334,AH329:AU335,6,FALSE)))</f>
        <v/>
      </c>
      <c r="AW334" s="298" t="str">
        <f t="shared" si="286"/>
        <v/>
      </c>
      <c r="AX334" s="285" t="str">
        <f>IF(AG334="","",INDEX(AD329:AD335,MATCH(AG334,AH329:AH335,0)))</f>
        <v/>
      </c>
      <c r="AY334" s="286" t="str">
        <f>IF(AG334="","",VLOOKUP(AG334,AH329:AU335,COLUMN()-COLUMN(AR328),FALSE))</f>
        <v/>
      </c>
      <c r="AZ334" s="286" t="str">
        <f>IF(AG334="","",VLOOKUP(AG334,AH329:AU335,COLUMN()-COLUMN(AR328),FALSE))</f>
        <v/>
      </c>
      <c r="BA334" s="286" t="str">
        <f>IF(AG334="","",VLOOKUP(AG334,AH329:AU335,COLUMN()-COLUMN(AR328),FALSE))</f>
        <v/>
      </c>
      <c r="BB334" s="286" t="str">
        <f>IF(AG334="","",VLOOKUP(AG334,AH329:AU335,COLUMN()-COLUMN(AR328),FALSE))</f>
        <v/>
      </c>
      <c r="BC334" s="286" t="str">
        <f>IF(AG334="","",VLOOKUP(AG334,AH329:AU335,COLUMN()-COLUMN(AR328),FALSE))</f>
        <v/>
      </c>
      <c r="BD334" s="286" t="str">
        <f>IF(AG334="","",VLOOKUP(AG334,AH329:AU335,COLUMN()-COLUMN(AR328),FALSE))</f>
        <v/>
      </c>
      <c r="BE334" s="286" t="str">
        <f>IF(AG334="","",VLOOKUP(AG334,AH329:AU335,COLUMN()-COLUMN(AR328),FALSE))</f>
        <v/>
      </c>
      <c r="BF334" s="301" t="str">
        <f>IF(AG334="","",VLOOKUP(AG334,AH329:AU335,COLUMN()-COLUMN(AR328),FALSE))</f>
        <v/>
      </c>
    </row>
    <row r="335" spans="1:58" ht="12" thickBot="1" x14ac:dyDescent="0.25">
      <c r="A335" s="62"/>
      <c r="B335" s="62"/>
      <c r="C335" s="62"/>
      <c r="D335" s="62"/>
      <c r="E335" s="345"/>
      <c r="F335" s="345"/>
      <c r="G335" s="113"/>
      <c r="H335" s="113"/>
      <c r="I335" s="114"/>
      <c r="J335" s="114"/>
      <c r="K335" s="114"/>
      <c r="L335" s="81"/>
      <c r="M335" s="265" t="b">
        <f>NOT(ISERROR(ResultsInd[[#This Row],[Goal-A]]+ResultsInd[[#This Row],[Goal-B]]))</f>
        <v>1</v>
      </c>
      <c r="N335" s="265">
        <f>VALUE(ResultsInd[[#This Row],[Score-A]])</f>
        <v>0</v>
      </c>
      <c r="O335" s="265">
        <f>VALUE(ResultsInd[[#This Row],[Score-B]])</f>
        <v>0</v>
      </c>
      <c r="P335" s="265" t="str">
        <f ca="1">IF(AND(ResultsInd[[#This Row],[Category]]&lt;&gt;"",ResultsInd[[#This Row],[Player A]]&lt;&gt;""),COUNTIF(INDIRECT(ResultsInd[[#This Row],[Category]]&amp;"List[Retained Player Name]"),ResultsInd[[#This Row],[Player A]]),"")</f>
        <v/>
      </c>
      <c r="Q335" s="265" t="str">
        <f ca="1">IF(AND(ResultsInd[[#This Row],[Category]]&lt;&gt;"",ResultsInd[[#This Row],[Player B]]&lt;&gt;""),COUNTIF(INDIRECT(ResultsInd[[#This Row],[Category]]&amp;"List[Retained Player Name]"),ResultsInd[[#This Row],[Player B]]),"")</f>
        <v/>
      </c>
      <c r="R3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5" s="265" t="str">
        <f>IF(ResultsInd[[#This Row],[Score_OK]],IF(ResultsInd[[#This Row],[Stage]]="Groups",ResultsInd[[#This Row],[Category]]&amp;"-"&amp;IF(ResultsInd[[#This Row],[Player B]]="","",IF(ResultsInd[[#This Row],[Score-A]]=ResultsInd[[#This Row],[Score-B]],ResultsInd[[#This Row],[Player A]],"")),""),"")</f>
        <v/>
      </c>
      <c r="T335" s="265" t="str">
        <f>IF(ResultsInd[[#This Row],[Score_OK]],IF(ResultsInd[[#This Row],[Stage]]="Groups",ResultsInd[[#This Row],[Category]]&amp;"-"&amp;IF(ResultsInd[[#This Row],[Player B]]="","",IF(ResultsInd[[#This Row],[Score-A]]=ResultsInd[[#This Row],[Score-B]],ResultsInd[[#This Row],[Player B]],"")),""),"")</f>
        <v/>
      </c>
      <c r="U3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5" s="264" t="str">
        <f>IF(ResultsInd[[#This Row],[Category]]="","",VLOOKUP(ResultsInd[[#This Row],[Stage]],$P$1:$V$9,MATCH(ResultsInd[[#This Row],[Category]],$Q$1:$V$1,0)+1,FALSE))</f>
        <v/>
      </c>
      <c r="Z335" s="264" t="str">
        <f>IF(ResultsInd[[#This Row],[Score_OK]],IF(ResultsInd[[#This Row],[Level]]="R",ResultsInd[[#This Row],[Category]]&amp;"-"&amp;IF(ResultsInd[[#This Row],[LoseInKO]]=ResultsInd[[#This Row],[Category]]&amp;"-"&amp;ResultsInd[[#This Row],[Player A]],ResultsInd[[#This Row],[Player B]],ResultsInd[[#This Row],[Player A]]),""),"")</f>
        <v/>
      </c>
      <c r="AB335" s="8"/>
      <c r="AC335" s="12" t="str">
        <f t="shared" si="287"/>
        <v>VETERANS</v>
      </c>
      <c r="AD335" s="312"/>
      <c r="AE335" s="313"/>
      <c r="AF335" s="314"/>
      <c r="AG335" s="294" t="str">
        <f>IF(AP335="","",SMALL(AH329:AH335,ROWS(AG329:AG335)))</f>
        <v/>
      </c>
      <c r="AH335" s="295" t="str">
        <f>IF(AP335="","",RANK(AL335,AL329:AL335)*1000+ROWS(AH329:AH335))</f>
        <v/>
      </c>
      <c r="AI335" s="318" t="str">
        <f t="shared" si="281"/>
        <v/>
      </c>
      <c r="AJ335" s="416" t="b">
        <f>AND(AO335&lt;&gt;"",AO335&gt;0,COUNTIF(AI329:AI335,AI335)&gt;1)</f>
        <v>0</v>
      </c>
      <c r="AK335" s="318" t="str">
        <f t="shared" si="282"/>
        <v/>
      </c>
      <c r="AL335" s="319" t="str">
        <f t="shared" si="283"/>
        <v/>
      </c>
      <c r="AM335" s="416" t="b">
        <f>AND(AO335&lt;&gt;"",AO335&gt;0,COUNTIF(AL329:AL335,AL335)&gt;1)</f>
        <v>0</v>
      </c>
      <c r="AN335" s="306" t="str">
        <f t="shared" si="284"/>
        <v/>
      </c>
      <c r="AO335" s="307" t="str">
        <f t="shared" si="285"/>
        <v/>
      </c>
      <c r="AP335" s="307" t="str">
        <f>IF(OR(AC328="",AD335=""),"",COUNTIF(ResultsInd[Win],AC328&amp;"-"&amp;AD335))</f>
        <v/>
      </c>
      <c r="AQ335" s="307" t="str">
        <f>IF(OR(AC328="",AD335=""),"",COUNTIF(ResultsInd[Draw1],AC328&amp;"-"&amp;AD335)+COUNTIF(ResultsInd[Draw2],AC328&amp;"-"&amp;AD335))</f>
        <v/>
      </c>
      <c r="AR335" s="307" t="str">
        <f>IF(OR(AC328="",AD335=""),"",COUNTIF(ResultsInd[Lose],AC328&amp;"-"&amp;AD335))</f>
        <v/>
      </c>
      <c r="AS335" s="307" t="str">
        <f>IF(OR(AC328="",AD335=""),"",SUMIFS(ResultsInd[Goal-A],ResultsInd[Category],AC328,ResultsInd[Stage],"Groups",ResultsInd[Player A],AD335)+SUMIFS(ResultsInd[Goal-B],ResultsInd[Category],AC328,ResultsInd[Stage],"Groups",ResultsInd[Player B],AD335))</f>
        <v/>
      </c>
      <c r="AT335" s="307" t="str">
        <f>IF(OR(AC328="",AD335=""),"",SUMIFS(ResultsInd[Goal-B],ResultsInd[Category],AC328,ResultsInd[Stage],"Groups",ResultsInd[Player A],AD335)+SUMIFS(ResultsInd[Goal-A],ResultsInd[Category],AC328,ResultsInd[Stage],"Groups",ResultsInd[Player B],AD335))</f>
        <v/>
      </c>
      <c r="AU335" s="308" t="str">
        <f t="shared" si="288"/>
        <v/>
      </c>
      <c r="AV335" s="469" t="str">
        <f>IF(AG335="","",OR(VLOOKUP(AG335,AH329:AU335,3,FALSE),VLOOKUP(AG335,AH329:AU335,6,FALSE)))</f>
        <v/>
      </c>
      <c r="AW335" s="299" t="str">
        <f t="shared" si="286"/>
        <v/>
      </c>
      <c r="AX335" s="287" t="str">
        <f>IF(AG335="","",INDEX(AD329:AD335,MATCH(AG335,AH329:AH335,0)))</f>
        <v/>
      </c>
      <c r="AY335" s="288" t="str">
        <f>IF(AG335="","",VLOOKUP(AG335,AH329:AU335,COLUMN()-COLUMN(AR328),FALSE))</f>
        <v/>
      </c>
      <c r="AZ335" s="288" t="str">
        <f>IF(AG335="","",VLOOKUP(AG335,AH329:AU335,COLUMN()-COLUMN(AR328),FALSE))</f>
        <v/>
      </c>
      <c r="BA335" s="288" t="str">
        <f>IF(AG335="","",VLOOKUP(AG335,AH329:AU335,COLUMN()-COLUMN(AR328),FALSE))</f>
        <v/>
      </c>
      <c r="BB335" s="288" t="str">
        <f>IF(AG335="","",VLOOKUP(AG335,AH329:AU335,COLUMN()-COLUMN(AR328),FALSE))</f>
        <v/>
      </c>
      <c r="BC335" s="288" t="str">
        <f>IF(AG335="","",VLOOKUP(AG335,AH329:AU335,COLUMN()-COLUMN(AR328),FALSE))</f>
        <v/>
      </c>
      <c r="BD335" s="288" t="str">
        <f>IF(AG335="","",VLOOKUP(AG335,AH329:AU335,COLUMN()-COLUMN(AR328),FALSE))</f>
        <v/>
      </c>
      <c r="BE335" s="288" t="str">
        <f>IF(AG335="","",VLOOKUP(AG335,AH329:AU335,COLUMN()-COLUMN(AR328),FALSE))</f>
        <v/>
      </c>
      <c r="BF335" s="302" t="str">
        <f>IF(AG335="","",VLOOKUP(AG335,AH329:AU335,COLUMN()-COLUMN(AR328),FALSE))</f>
        <v/>
      </c>
    </row>
    <row r="336" spans="1:58" ht="13.5" thickBot="1" x14ac:dyDescent="0.25">
      <c r="A336" s="62"/>
      <c r="B336" s="62"/>
      <c r="C336" s="62"/>
      <c r="D336" s="62"/>
      <c r="E336" s="345"/>
      <c r="F336" s="345"/>
      <c r="G336" s="113"/>
      <c r="H336" s="113"/>
      <c r="I336" s="114"/>
      <c r="J336" s="114"/>
      <c r="K336" s="114"/>
      <c r="L336" s="81"/>
      <c r="M336" s="265" t="b">
        <f>NOT(ISERROR(ResultsInd[[#This Row],[Goal-A]]+ResultsInd[[#This Row],[Goal-B]]))</f>
        <v>1</v>
      </c>
      <c r="N336" s="265">
        <f>VALUE(ResultsInd[[#This Row],[Score-A]])</f>
        <v>0</v>
      </c>
      <c r="O336" s="265">
        <f>VALUE(ResultsInd[[#This Row],[Score-B]])</f>
        <v>0</v>
      </c>
      <c r="P336" s="265" t="str">
        <f ca="1">IF(AND(ResultsInd[[#This Row],[Category]]&lt;&gt;"",ResultsInd[[#This Row],[Player A]]&lt;&gt;""),COUNTIF(INDIRECT(ResultsInd[[#This Row],[Category]]&amp;"List[Retained Player Name]"),ResultsInd[[#This Row],[Player A]]),"")</f>
        <v/>
      </c>
      <c r="Q336" s="265" t="str">
        <f ca="1">IF(AND(ResultsInd[[#This Row],[Category]]&lt;&gt;"",ResultsInd[[#This Row],[Player B]]&lt;&gt;""),COUNTIF(INDIRECT(ResultsInd[[#This Row],[Category]]&amp;"List[Retained Player Name]"),ResultsInd[[#This Row],[Player B]]),"")</f>
        <v/>
      </c>
      <c r="R3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6" s="265" t="str">
        <f>IF(ResultsInd[[#This Row],[Score_OK]],IF(ResultsInd[[#This Row],[Stage]]="Groups",ResultsInd[[#This Row],[Category]]&amp;"-"&amp;IF(ResultsInd[[#This Row],[Player B]]="","",IF(ResultsInd[[#This Row],[Score-A]]=ResultsInd[[#This Row],[Score-B]],ResultsInd[[#This Row],[Player A]],"")),""),"")</f>
        <v/>
      </c>
      <c r="T336" s="265" t="str">
        <f>IF(ResultsInd[[#This Row],[Score_OK]],IF(ResultsInd[[#This Row],[Stage]]="Groups",ResultsInd[[#This Row],[Category]]&amp;"-"&amp;IF(ResultsInd[[#This Row],[Player B]]="","",IF(ResultsInd[[#This Row],[Score-A]]=ResultsInd[[#This Row],[Score-B]],ResultsInd[[#This Row],[Player B]],"")),""),"")</f>
        <v/>
      </c>
      <c r="U3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6" s="264" t="str">
        <f>IF(ResultsInd[[#This Row],[Category]]="","",VLOOKUP(ResultsInd[[#This Row],[Stage]],$P$1:$V$9,MATCH(ResultsInd[[#This Row],[Category]],$Q$1:$V$1,0)+1,FALSE))</f>
        <v/>
      </c>
      <c r="Z336" s="264" t="str">
        <f>IF(ResultsInd[[#This Row],[Score_OK]],IF(ResultsInd[[#This Row],[Level]]="R",ResultsInd[[#This Row],[Category]]&amp;"-"&amp;IF(ResultsInd[[#This Row],[LoseInKO]]=ResultsInd[[#This Row],[Category]]&amp;"-"&amp;ResultsInd[[#This Row],[Player A]],ResultsInd[[#This Row],[Player B]],ResultsInd[[#This Row],[Player A]]),""),"")</f>
        <v/>
      </c>
      <c r="AB336" s="8"/>
      <c r="AC336" s="8"/>
      <c r="AF336" s="170"/>
      <c r="AG336" s="101"/>
      <c r="AH336" s="101"/>
      <c r="AN336" s="170"/>
      <c r="AO336" s="170"/>
      <c r="AP336" s="170"/>
      <c r="AQ336" s="172"/>
      <c r="AR336" s="173"/>
      <c r="AS336" s="173"/>
      <c r="AT336" s="173"/>
      <c r="AU336" s="101"/>
      <c r="AV336" s="101"/>
      <c r="AW336" s="101"/>
      <c r="AX336" s="101"/>
      <c r="AY336" s="101"/>
      <c r="AZ336" s="101"/>
    </row>
    <row r="337" spans="1:58" ht="12" thickBot="1" x14ac:dyDescent="0.25">
      <c r="A337" s="62"/>
      <c r="B337" s="62"/>
      <c r="C337" s="62"/>
      <c r="D337" s="62"/>
      <c r="E337" s="345"/>
      <c r="F337" s="345"/>
      <c r="G337" s="113"/>
      <c r="H337" s="113"/>
      <c r="I337" s="114"/>
      <c r="J337" s="114"/>
      <c r="K337" s="114"/>
      <c r="L337" s="81"/>
      <c r="M337" s="265" t="b">
        <f>NOT(ISERROR(ResultsInd[[#This Row],[Goal-A]]+ResultsInd[[#This Row],[Goal-B]]))</f>
        <v>1</v>
      </c>
      <c r="N337" s="265">
        <f>VALUE(ResultsInd[[#This Row],[Score-A]])</f>
        <v>0</v>
      </c>
      <c r="O337" s="265">
        <f>VALUE(ResultsInd[[#This Row],[Score-B]])</f>
        <v>0</v>
      </c>
      <c r="P337" s="265" t="str">
        <f ca="1">IF(AND(ResultsInd[[#This Row],[Category]]&lt;&gt;"",ResultsInd[[#This Row],[Player A]]&lt;&gt;""),COUNTIF(INDIRECT(ResultsInd[[#This Row],[Category]]&amp;"List[Retained Player Name]"),ResultsInd[[#This Row],[Player A]]),"")</f>
        <v/>
      </c>
      <c r="Q337" s="265" t="str">
        <f ca="1">IF(AND(ResultsInd[[#This Row],[Category]]&lt;&gt;"",ResultsInd[[#This Row],[Player B]]&lt;&gt;""),COUNTIF(INDIRECT(ResultsInd[[#This Row],[Category]]&amp;"List[Retained Player Name]"),ResultsInd[[#This Row],[Player B]]),"")</f>
        <v/>
      </c>
      <c r="R3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7" s="265" t="str">
        <f>IF(ResultsInd[[#This Row],[Score_OK]],IF(ResultsInd[[#This Row],[Stage]]="Groups",ResultsInd[[#This Row],[Category]]&amp;"-"&amp;IF(ResultsInd[[#This Row],[Player B]]="","",IF(ResultsInd[[#This Row],[Score-A]]=ResultsInd[[#This Row],[Score-B]],ResultsInd[[#This Row],[Player A]],"")),""),"")</f>
        <v/>
      </c>
      <c r="T337" s="265" t="str">
        <f>IF(ResultsInd[[#This Row],[Score_OK]],IF(ResultsInd[[#This Row],[Stage]]="Groups",ResultsInd[[#This Row],[Category]]&amp;"-"&amp;IF(ResultsInd[[#This Row],[Player B]]="","",IF(ResultsInd[[#This Row],[Score-A]]=ResultsInd[[#This Row],[Score-B]],ResultsInd[[#This Row],[Player B]],"")),""),"")</f>
        <v/>
      </c>
      <c r="U3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7" s="264" t="str">
        <f>IF(ResultsInd[[#This Row],[Category]]="","",VLOOKUP(ResultsInd[[#This Row],[Stage]],$P$1:$V$9,MATCH(ResultsInd[[#This Row],[Category]],$Q$1:$V$1,0)+1,FALSE))</f>
        <v/>
      </c>
      <c r="Z337" s="264" t="str">
        <f>IF(ResultsInd[[#This Row],[Score_OK]],IF(ResultsInd[[#This Row],[Level]]="R",ResultsInd[[#This Row],[Category]]&amp;"-"&amp;IF(ResultsInd[[#This Row],[LoseInKO]]=ResultsInd[[#This Row],[Category]]&amp;"-"&amp;ResultsInd[[#This Row],[Player A]],ResultsInd[[#This Row],[Player B]],ResultsInd[[#This Row],[Player A]]),""),"")</f>
        <v/>
      </c>
      <c r="AB337" s="281">
        <v>7</v>
      </c>
      <c r="AC337" s="315" t="s">
        <v>12261</v>
      </c>
      <c r="AD337" s="289" t="s">
        <v>14439</v>
      </c>
      <c r="AE337" s="290" t="s">
        <v>12279</v>
      </c>
      <c r="AF337" s="284" t="s">
        <v>12275</v>
      </c>
      <c r="AG337" s="296" t="s">
        <v>12276</v>
      </c>
      <c r="AH337" s="291" t="s">
        <v>12271</v>
      </c>
      <c r="AI337" s="291" t="s">
        <v>12272</v>
      </c>
      <c r="AJ337" s="414" t="s">
        <v>13154</v>
      </c>
      <c r="AK337" s="291" t="s">
        <v>12273</v>
      </c>
      <c r="AL337" s="297" t="s">
        <v>12274</v>
      </c>
      <c r="AM337" s="414" t="s">
        <v>13154</v>
      </c>
      <c r="AN337" s="303" t="s">
        <v>12199</v>
      </c>
      <c r="AO337" s="304" t="s">
        <v>12200</v>
      </c>
      <c r="AP337" s="304" t="s">
        <v>12201</v>
      </c>
      <c r="AQ337" s="304" t="s">
        <v>12202</v>
      </c>
      <c r="AR337" s="304" t="s">
        <v>12203</v>
      </c>
      <c r="AS337" s="304" t="s">
        <v>12204</v>
      </c>
      <c r="AT337" s="304" t="s">
        <v>12205</v>
      </c>
      <c r="AU337" s="305" t="s">
        <v>12206</v>
      </c>
      <c r="AV337" s="468"/>
      <c r="AW337" s="282" t="s">
        <v>12276</v>
      </c>
      <c r="AX337" s="282" t="s">
        <v>12280</v>
      </c>
      <c r="AY337" s="283" t="s">
        <v>12199</v>
      </c>
      <c r="AZ337" s="283" t="s">
        <v>12200</v>
      </c>
      <c r="BA337" s="283" t="s">
        <v>12201</v>
      </c>
      <c r="BB337" s="283" t="s">
        <v>12202</v>
      </c>
      <c r="BC337" s="283" t="s">
        <v>12203</v>
      </c>
      <c r="BD337" s="283" t="s">
        <v>12204</v>
      </c>
      <c r="BE337" s="283" t="s">
        <v>12205</v>
      </c>
      <c r="BF337" s="300" t="s">
        <v>12206</v>
      </c>
    </row>
    <row r="338" spans="1:58" ht="12" thickBot="1" x14ac:dyDescent="0.25">
      <c r="A338" s="62" t="s">
        <v>12261</v>
      </c>
      <c r="B338" s="62" t="s">
        <v>12207</v>
      </c>
      <c r="C338" s="62">
        <v>7</v>
      </c>
      <c r="D338" s="62"/>
      <c r="E338" s="345" t="s">
        <v>8600</v>
      </c>
      <c r="F338" s="345" t="s">
        <v>10087</v>
      </c>
      <c r="G338" s="113">
        <v>2</v>
      </c>
      <c r="H338" s="113">
        <v>1</v>
      </c>
      <c r="I338" s="114"/>
      <c r="J338" s="114"/>
      <c r="K338" s="114"/>
      <c r="L338" s="81"/>
      <c r="M338" s="265" t="b">
        <f>NOT(ISERROR(ResultsInd[[#This Row],[Goal-A]]+ResultsInd[[#This Row],[Goal-B]]))</f>
        <v>1</v>
      </c>
      <c r="N338" s="265">
        <f>VALUE(ResultsInd[[#This Row],[Score-A]])</f>
        <v>2</v>
      </c>
      <c r="O338" s="265">
        <f>VALUE(ResultsInd[[#This Row],[Score-B]])</f>
        <v>1</v>
      </c>
      <c r="P338" s="265">
        <f ca="1">IF(AND(ResultsInd[[#This Row],[Category]]&lt;&gt;"",ResultsInd[[#This Row],[Player A]]&lt;&gt;""),COUNTIF(INDIRECT(ResultsInd[[#This Row],[Category]]&amp;"List[Retained Player Name]"),ResultsInd[[#This Row],[Player A]]),"")</f>
        <v>1</v>
      </c>
      <c r="Q338" s="265">
        <f ca="1">IF(AND(ResultsInd[[#This Row],[Category]]&lt;&gt;"",ResultsInd[[#This Row],[Player B]]&lt;&gt;""),COUNTIF(INDIRECT(ResultsInd[[#This Row],[Category]]&amp;"List[Retained Player Name]"),ResultsInd[[#This Row],[Player B]]),"")</f>
        <v>1</v>
      </c>
      <c r="R3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VETERANS-Vicenç Prats</v>
      </c>
      <c r="S338" s="265" t="str">
        <f>IF(ResultsInd[[#This Row],[Score_OK]],IF(ResultsInd[[#This Row],[Stage]]="Groups",ResultsInd[[#This Row],[Category]]&amp;"-"&amp;IF(ResultsInd[[#This Row],[Player B]]="","",IF(ResultsInd[[#This Row],[Score-A]]=ResultsInd[[#This Row],[Score-B]],ResultsInd[[#This Row],[Player A]],"")),""),"")</f>
        <v>VETERANS-</v>
      </c>
      <c r="T338" s="265" t="str">
        <f>IF(ResultsInd[[#This Row],[Score_OK]],IF(ResultsInd[[#This Row],[Stage]]="Groups",ResultsInd[[#This Row],[Category]]&amp;"-"&amp;IF(ResultsInd[[#This Row],[Player B]]="","",IF(ResultsInd[[#This Row],[Score-A]]=ResultsInd[[#This Row],[Score-B]],ResultsInd[[#This Row],[Player B]],"")),""),"")</f>
        <v>VETERANS-</v>
      </c>
      <c r="U3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VETERANS-Raffaele Di Vito</v>
      </c>
      <c r="V3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VETERANS-Raffaele Di Vito</v>
      </c>
      <c r="X3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VETERANS-Raffaele Di Vito</v>
      </c>
      <c r="Y338" s="264" t="str">
        <f>IF(ResultsInd[[#This Row],[Category]]="","",VLOOKUP(ResultsInd[[#This Row],[Stage]],$P$1:$V$9,MATCH(ResultsInd[[#This Row],[Category]],$Q$1:$V$1,0)+1,FALSE))</f>
        <v>PR1</v>
      </c>
      <c r="Z338" s="264" t="str">
        <f>IF(ResultsInd[[#This Row],[Score_OK]],IF(ResultsInd[[#This Row],[Level]]="R",ResultsInd[[#This Row],[Category]]&amp;"-"&amp;IF(ResultsInd[[#This Row],[LoseInKO]]=ResultsInd[[#This Row],[Category]]&amp;"-"&amp;ResultsInd[[#This Row],[Player A]],ResultsInd[[#This Row],[Player B]],ResultsInd[[#This Row],[Player A]]),""),"")</f>
        <v/>
      </c>
      <c r="AB338" s="8"/>
      <c r="AC338" s="12" t="str">
        <f>IF(AC337="","",AC337)</f>
        <v>VETERANS</v>
      </c>
      <c r="AD338" s="309" t="s">
        <v>8600</v>
      </c>
      <c r="AE338" s="320"/>
      <c r="AF338" s="311"/>
      <c r="AG338" s="292">
        <f>IF(AP338="","",SMALL(AH338:AH344,ROWS(AG338:AG338)))</f>
        <v>1001</v>
      </c>
      <c r="AH338" s="293">
        <f>IF(AP338="","",RANK(AL338,AL338:AL344)*1000+ROWS(AH338:AH338))</f>
        <v>1001</v>
      </c>
      <c r="AI338" s="316">
        <f t="shared" ref="AI338:AI344" si="289">IF(AP338="","",CritClassInd1_Points*AN338+CritClassInd1_Matches*AP338+CritClassInd1_Attaque*AS338+CritClassInd1_DiffButs*AU338)</f>
        <v>7000000000000</v>
      </c>
      <c r="AJ338" s="415" t="b">
        <f>AND(AO338&lt;&gt;"",AO338&gt;0,COUNTIF(AI338:AI344,AI338)&gt;1)</f>
        <v>0</v>
      </c>
      <c r="AK338" s="316">
        <f t="shared" ref="AK338:AK344" si="290">IF(AP338="","",CritClassInd_ScorePart*AE338)</f>
        <v>0</v>
      </c>
      <c r="AL338" s="317">
        <f t="shared" ref="AL338:AL344" si="291">IF(AP338="","",AI338+AK338+CritClassInd2_Points*AN338+CritClassInd2_Matches*AP338+CritClassInd2_Attaque*AS338+CritClassInd2_DiffButs*AU338+AF338)</f>
        <v>7000000061000</v>
      </c>
      <c r="AM338" s="415" t="b">
        <f>AND(AO338&lt;&gt;"",AO338&gt;0,COUNTIF(AL338:AL344,AL338)&gt;1)</f>
        <v>0</v>
      </c>
      <c r="AN338" s="306">
        <f t="shared" ref="AN338:AN344" si="292">IF(AP338="","",(AP338*Points_Victoire)+AQ338*Points_Null)</f>
        <v>7</v>
      </c>
      <c r="AO338" s="307">
        <f t="shared" ref="AO338:AO344" si="293">IF(AP338="","",SUM(AP338:AR338))</f>
        <v>3</v>
      </c>
      <c r="AP338" s="307">
        <f>IF(OR(AC337="",AD338=""),"",COUNTIF(ResultsInd[Win],AC337&amp;"-"&amp;AD338))</f>
        <v>2</v>
      </c>
      <c r="AQ338" s="307">
        <f>IF(OR(AC337="",AD338=""),"",COUNTIF(ResultsInd[Draw1],AC337&amp;"-"&amp;AD338)+COUNTIF(ResultsInd[Draw2],AC337&amp;"-"&amp;AD338))</f>
        <v>1</v>
      </c>
      <c r="AR338" s="307">
        <f>IF(OR(AC337="",AD338=""),"",COUNTIF(ResultsInd[Lose],AC337&amp;"-"&amp;AD338))</f>
        <v>0</v>
      </c>
      <c r="AS338" s="307">
        <f>IF(OR(AC337="",AD338=""),"",SUMIFS(ResultsInd[Goal-A],ResultsInd[Category],AC337,ResultsInd[Stage],"Groups",ResultsInd[Player A],AD338)+SUMIFS(ResultsInd[Goal-B],ResultsInd[Category],AC337,ResultsInd[Stage],"Groups",ResultsInd[Player B],AD338))</f>
        <v>10</v>
      </c>
      <c r="AT338" s="307">
        <f>IF(OR(AC337="",AD338=""),"",SUMIFS(ResultsInd[Goal-B],ResultsInd[Category],AC337,ResultsInd[Stage],"Groups",ResultsInd[Player A],AD338)+SUMIFS(ResultsInd[Goal-A],ResultsInd[Category],AC337,ResultsInd[Stage],"Groups",ResultsInd[Player B],AD338))</f>
        <v>4</v>
      </c>
      <c r="AU338" s="308">
        <f>IF(AP338="","",AS338-AT338)</f>
        <v>6</v>
      </c>
      <c r="AV338" s="469" t="b">
        <f>IF(AG338="","",OR(VLOOKUP(AG338,AH338:AU344,3,FALSE),VLOOKUP(AG338,AH338:AU344,6,FALSE)))</f>
        <v>0</v>
      </c>
      <c r="AW338" s="298">
        <f t="shared" ref="AW338:AW344" si="294">IF(AG338="","",INT(AG338/1000))</f>
        <v>1</v>
      </c>
      <c r="AX338" s="285" t="str">
        <f>IF(AG338="","",INDEX(AD338:AD344,MATCH(AG338,AH338:AH344,0)))</f>
        <v>Vicenç Prats</v>
      </c>
      <c r="AY338" s="286">
        <f>IF(AG338="","",VLOOKUP(AG338,AH338:AU344,COLUMN()-COLUMN(AR337),FALSE))</f>
        <v>7</v>
      </c>
      <c r="AZ338" s="286">
        <f>IF(AG338="","",VLOOKUP(AG338,AH338:AU344,COLUMN()-COLUMN(AR337),FALSE))</f>
        <v>3</v>
      </c>
      <c r="BA338" s="286">
        <f>IF(AG338="","",VLOOKUP(AG338,AH338:AU344,COLUMN()-COLUMN(AR337),FALSE))</f>
        <v>2</v>
      </c>
      <c r="BB338" s="286">
        <f>IF(AG338="","",VLOOKUP(AG338,AH338:AU344,COLUMN()-COLUMN(AR337),FALSE))</f>
        <v>1</v>
      </c>
      <c r="BC338" s="286">
        <f>IF(AG338="","",VLOOKUP(AG338,AH338:AU344,COLUMN()-COLUMN(AR337),FALSE))</f>
        <v>0</v>
      </c>
      <c r="BD338" s="286">
        <f>IF(AG338="","",VLOOKUP(AG338,AH338:AU344,COLUMN()-COLUMN(AR337),FALSE))</f>
        <v>10</v>
      </c>
      <c r="BE338" s="286">
        <f>IF(AG338="","",VLOOKUP(AG338,AH338:AU344,COLUMN()-COLUMN(AR337),FALSE))</f>
        <v>4</v>
      </c>
      <c r="BF338" s="301">
        <f>IF(AG338="","",VLOOKUP(AG338,AH338:AU344,COLUMN()-COLUMN(AR337),FALSE))</f>
        <v>6</v>
      </c>
    </row>
    <row r="339" spans="1:58" ht="12" thickBot="1" x14ac:dyDescent="0.25">
      <c r="A339" s="62" t="s">
        <v>12261</v>
      </c>
      <c r="B339" s="62" t="s">
        <v>12207</v>
      </c>
      <c r="C339" s="62">
        <v>7</v>
      </c>
      <c r="D339" s="62"/>
      <c r="E339" s="345" t="s">
        <v>8554</v>
      </c>
      <c r="F339" s="345" t="s">
        <v>8131</v>
      </c>
      <c r="G339" s="113">
        <v>3</v>
      </c>
      <c r="H339" s="113">
        <v>3</v>
      </c>
      <c r="I339" s="114"/>
      <c r="J339" s="114"/>
      <c r="K339" s="114"/>
      <c r="L339" s="81"/>
      <c r="M339" s="265" t="b">
        <f>NOT(ISERROR(ResultsInd[[#This Row],[Goal-A]]+ResultsInd[[#This Row],[Goal-B]]))</f>
        <v>1</v>
      </c>
      <c r="N339" s="265">
        <f>VALUE(ResultsInd[[#This Row],[Score-A]])</f>
        <v>3</v>
      </c>
      <c r="O339" s="265">
        <f>VALUE(ResultsInd[[#This Row],[Score-B]])</f>
        <v>3</v>
      </c>
      <c r="P339" s="265">
        <f ca="1">IF(AND(ResultsInd[[#This Row],[Category]]&lt;&gt;"",ResultsInd[[#This Row],[Player A]]&lt;&gt;""),COUNTIF(INDIRECT(ResultsInd[[#This Row],[Category]]&amp;"List[Retained Player Name]"),ResultsInd[[#This Row],[Player A]]),"")</f>
        <v>1</v>
      </c>
      <c r="Q339" s="265">
        <f ca="1">IF(AND(ResultsInd[[#This Row],[Category]]&lt;&gt;"",ResultsInd[[#This Row],[Player B]]&lt;&gt;""),COUNTIF(INDIRECT(ResultsInd[[#This Row],[Category]]&amp;"List[Retained Player Name]"),ResultsInd[[#This Row],[Player B]]),"")</f>
        <v>1</v>
      </c>
      <c r="R3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39" s="265" t="str">
        <f>IF(ResultsInd[[#This Row],[Score_OK]],IF(ResultsInd[[#This Row],[Stage]]="Groups",ResultsInd[[#This Row],[Category]]&amp;"-"&amp;IF(ResultsInd[[#This Row],[Player B]]="","",IF(ResultsInd[[#This Row],[Score-A]]=ResultsInd[[#This Row],[Score-B]],ResultsInd[[#This Row],[Player A]],"")),""),"")</f>
        <v>VETERANS-Alan Lee</v>
      </c>
      <c r="T339" s="265" t="str">
        <f>IF(ResultsInd[[#This Row],[Score_OK]],IF(ResultsInd[[#This Row],[Stage]]="Groups",ResultsInd[[#This Row],[Category]]&amp;"-"&amp;IF(ResultsInd[[#This Row],[Player B]]="","",IF(ResultsInd[[#This Row],[Score-A]]=ResultsInd[[#This Row],[Score-B]],ResultsInd[[#This Row],[Player B]],"")),""),"")</f>
        <v>VETERANS-Pol Serwy</v>
      </c>
      <c r="U3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VETERANS-Alan Lee</v>
      </c>
      <c r="X3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Y339" s="264" t="str">
        <f>IF(ResultsInd[[#This Row],[Category]]="","",VLOOKUP(ResultsInd[[#This Row],[Stage]],$P$1:$V$9,MATCH(ResultsInd[[#This Row],[Category]],$Q$1:$V$1,0)+1,FALSE))</f>
        <v>PR1</v>
      </c>
      <c r="Z339" s="264" t="str">
        <f>IF(ResultsInd[[#This Row],[Score_OK]],IF(ResultsInd[[#This Row],[Level]]="R",ResultsInd[[#This Row],[Category]]&amp;"-"&amp;IF(ResultsInd[[#This Row],[LoseInKO]]=ResultsInd[[#This Row],[Category]]&amp;"-"&amp;ResultsInd[[#This Row],[Player A]],ResultsInd[[#This Row],[Player B]],ResultsInd[[#This Row],[Player A]]),""),"")</f>
        <v/>
      </c>
      <c r="AB339" s="8"/>
      <c r="AC339" s="12" t="str">
        <f t="shared" ref="AC339:AC344" si="295">IF(AC338="","",AC338)</f>
        <v>VETERANS</v>
      </c>
      <c r="AD339" s="309" t="s">
        <v>10087</v>
      </c>
      <c r="AE339" s="320"/>
      <c r="AF339" s="311"/>
      <c r="AG339" s="292">
        <f>IF(AP339="","",SMALL(AH338:AH344,ROWS(AG338:AG339)))</f>
        <v>2002</v>
      </c>
      <c r="AH339" s="293">
        <f>IF(AP339="","",RANK(AL339,AL338:AL344)*1000+ROWS(AH338:AH339))</f>
        <v>2002</v>
      </c>
      <c r="AI339" s="316">
        <f t="shared" si="289"/>
        <v>4000000000000</v>
      </c>
      <c r="AJ339" s="415" t="b">
        <f>AND(AO339&lt;&gt;"",AO339&gt;0,COUNTIF(AI338:AI344,AI339)&gt;1)</f>
        <v>0</v>
      </c>
      <c r="AK339" s="316">
        <f t="shared" si="290"/>
        <v>0</v>
      </c>
      <c r="AL339" s="317">
        <f t="shared" si="291"/>
        <v>4000000020700</v>
      </c>
      <c r="AM339" s="415" t="b">
        <f>AND(AO339&lt;&gt;"",AO339&gt;0,COUNTIF(AL338:AL344,AL339)&gt;1)</f>
        <v>0</v>
      </c>
      <c r="AN339" s="306">
        <f t="shared" si="292"/>
        <v>4</v>
      </c>
      <c r="AO339" s="307">
        <f t="shared" si="293"/>
        <v>3</v>
      </c>
      <c r="AP339" s="307">
        <f>IF(OR(AC337="",AD339=""),"",COUNTIF(ResultsInd[Win],AC337&amp;"-"&amp;AD339))</f>
        <v>1</v>
      </c>
      <c r="AQ339" s="307">
        <f>IF(OR(AC337="",AD339=""),"",COUNTIF(ResultsInd[Draw1],AC337&amp;"-"&amp;AD339)+COUNTIF(ResultsInd[Draw2],AC337&amp;"-"&amp;AD339))</f>
        <v>1</v>
      </c>
      <c r="AR339" s="307">
        <f>IF(OR(AC337="",AD339=""),"",COUNTIF(ResultsInd[Lose],AC337&amp;"-"&amp;AD339))</f>
        <v>1</v>
      </c>
      <c r="AS339" s="307">
        <f>IF(OR(AC337="",AD339=""),"",SUMIFS(ResultsInd[Goal-A],ResultsInd[Category],AC337,ResultsInd[Stage],"Groups",ResultsInd[Player A],AD339)+SUMIFS(ResultsInd[Goal-B],ResultsInd[Category],AC337,ResultsInd[Stage],"Groups",ResultsInd[Player B],AD339))</f>
        <v>7</v>
      </c>
      <c r="AT339" s="307">
        <f>IF(OR(AC337="",AD339=""),"",SUMIFS(ResultsInd[Goal-B],ResultsInd[Category],AC337,ResultsInd[Stage],"Groups",ResultsInd[Player A],AD339)+SUMIFS(ResultsInd[Goal-A],ResultsInd[Category],AC337,ResultsInd[Stage],"Groups",ResultsInd[Player B],AD339))</f>
        <v>5</v>
      </c>
      <c r="AU339" s="308">
        <f t="shared" ref="AU339:AU344" si="296">IF(AP339="","",AS339-AT339)</f>
        <v>2</v>
      </c>
      <c r="AV339" s="469" t="b">
        <f>IF(AG339="","",OR(VLOOKUP(AG339,AH338:AU344,3,FALSE),VLOOKUP(AG339,AH338:AU344,6,FALSE)))</f>
        <v>0</v>
      </c>
      <c r="AW339" s="298">
        <f t="shared" si="294"/>
        <v>2</v>
      </c>
      <c r="AX339" s="285" t="str">
        <f>IF(AG339="","",INDEX(AD338:AD344,MATCH(AG339,AH338:AH344,0)))</f>
        <v>Raffaele Di Vito</v>
      </c>
      <c r="AY339" s="286">
        <f>IF(AG339="","",VLOOKUP(AG339,AH338:AU344,COLUMN()-COLUMN(AR337),FALSE))</f>
        <v>4</v>
      </c>
      <c r="AZ339" s="286">
        <f>IF(AG339="","",VLOOKUP(AG339,AH338:AU344,COLUMN()-COLUMN(AR337),FALSE))</f>
        <v>3</v>
      </c>
      <c r="BA339" s="286">
        <f>IF(AG339="","",VLOOKUP(AG339,AH338:AU344,COLUMN()-COLUMN(AR337),FALSE))</f>
        <v>1</v>
      </c>
      <c r="BB339" s="286">
        <f>IF(AG339="","",VLOOKUP(AG339,AH338:AU344,COLUMN()-COLUMN(AR337),FALSE))</f>
        <v>1</v>
      </c>
      <c r="BC339" s="286">
        <f>IF(AG339="","",VLOOKUP(AG339,AH338:AU344,COLUMN()-COLUMN(AR337),FALSE))</f>
        <v>1</v>
      </c>
      <c r="BD339" s="286">
        <f>IF(AG339="","",VLOOKUP(AG339,AH338:AU344,COLUMN()-COLUMN(AR337),FALSE))</f>
        <v>7</v>
      </c>
      <c r="BE339" s="286">
        <f>IF(AG339="","",VLOOKUP(AG339,AH338:AU344,COLUMN()-COLUMN(AR337),FALSE))</f>
        <v>5</v>
      </c>
      <c r="BF339" s="301">
        <f>IF(AG339="","",VLOOKUP(AG339,AH338:AU344,COLUMN()-COLUMN(AR337),FALSE))</f>
        <v>2</v>
      </c>
    </row>
    <row r="340" spans="1:58" ht="12" thickBot="1" x14ac:dyDescent="0.25">
      <c r="A340" s="62" t="s">
        <v>12261</v>
      </c>
      <c r="B340" s="62" t="s">
        <v>12207</v>
      </c>
      <c r="C340" s="62">
        <v>7</v>
      </c>
      <c r="D340" s="62"/>
      <c r="E340" s="345" t="s">
        <v>8600</v>
      </c>
      <c r="F340" s="345" t="s">
        <v>8554</v>
      </c>
      <c r="G340" s="113">
        <v>2</v>
      </c>
      <c r="H340" s="113">
        <v>2</v>
      </c>
      <c r="I340" s="114"/>
      <c r="J340" s="114"/>
      <c r="K340" s="114"/>
      <c r="L340" s="81"/>
      <c r="M340" s="265" t="b">
        <f>NOT(ISERROR(ResultsInd[[#This Row],[Goal-A]]+ResultsInd[[#This Row],[Goal-B]]))</f>
        <v>1</v>
      </c>
      <c r="N340" s="265">
        <f>VALUE(ResultsInd[[#This Row],[Score-A]])</f>
        <v>2</v>
      </c>
      <c r="O340" s="265">
        <f>VALUE(ResultsInd[[#This Row],[Score-B]])</f>
        <v>2</v>
      </c>
      <c r="P340" s="265">
        <f ca="1">IF(AND(ResultsInd[[#This Row],[Category]]&lt;&gt;"",ResultsInd[[#This Row],[Player A]]&lt;&gt;""),COUNTIF(INDIRECT(ResultsInd[[#This Row],[Category]]&amp;"List[Retained Player Name]"),ResultsInd[[#This Row],[Player A]]),"")</f>
        <v>1</v>
      </c>
      <c r="Q340" s="265">
        <f ca="1">IF(AND(ResultsInd[[#This Row],[Category]]&lt;&gt;"",ResultsInd[[#This Row],[Player B]]&lt;&gt;""),COUNTIF(INDIRECT(ResultsInd[[#This Row],[Category]]&amp;"List[Retained Player Name]"),ResultsInd[[#This Row],[Player B]]),"")</f>
        <v>1</v>
      </c>
      <c r="R3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40" s="265" t="str">
        <f>IF(ResultsInd[[#This Row],[Score_OK]],IF(ResultsInd[[#This Row],[Stage]]="Groups",ResultsInd[[#This Row],[Category]]&amp;"-"&amp;IF(ResultsInd[[#This Row],[Player B]]="","",IF(ResultsInd[[#This Row],[Score-A]]=ResultsInd[[#This Row],[Score-B]],ResultsInd[[#This Row],[Player A]],"")),""),"")</f>
        <v>VETERANS-Vicenç Prats</v>
      </c>
      <c r="T340" s="265" t="str">
        <f>IF(ResultsInd[[#This Row],[Score_OK]],IF(ResultsInd[[#This Row],[Stage]]="Groups",ResultsInd[[#This Row],[Category]]&amp;"-"&amp;IF(ResultsInd[[#This Row],[Player B]]="","",IF(ResultsInd[[#This Row],[Score-A]]=ResultsInd[[#This Row],[Score-B]],ResultsInd[[#This Row],[Player B]],"")),""),"")</f>
        <v>VETERANS-Alan Lee</v>
      </c>
      <c r="U3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VETERANS-Vicenç Prats</v>
      </c>
      <c r="X3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VETERANS-Alan Lee</v>
      </c>
      <c r="Y340" s="264" t="str">
        <f>IF(ResultsInd[[#This Row],[Category]]="","",VLOOKUP(ResultsInd[[#This Row],[Stage]],$P$1:$V$9,MATCH(ResultsInd[[#This Row],[Category]],$Q$1:$V$1,0)+1,FALSE))</f>
        <v>PR1</v>
      </c>
      <c r="Z340" s="264" t="str">
        <f>IF(ResultsInd[[#This Row],[Score_OK]],IF(ResultsInd[[#This Row],[Level]]="R",ResultsInd[[#This Row],[Category]]&amp;"-"&amp;IF(ResultsInd[[#This Row],[LoseInKO]]=ResultsInd[[#This Row],[Category]]&amp;"-"&amp;ResultsInd[[#This Row],[Player A]],ResultsInd[[#This Row],[Player B]],ResultsInd[[#This Row],[Player A]]),""),"")</f>
        <v/>
      </c>
      <c r="AB340" s="8"/>
      <c r="AC340" s="12" t="str">
        <f t="shared" si="295"/>
        <v>VETERANS</v>
      </c>
      <c r="AD340" s="309" t="s">
        <v>8554</v>
      </c>
      <c r="AE340" s="320"/>
      <c r="AF340" s="311"/>
      <c r="AG340" s="292">
        <f>IF(AP340="","",SMALL(AH338:AH344,ROWS(AG338:AG340)))</f>
        <v>3003</v>
      </c>
      <c r="AH340" s="293">
        <f>IF(AP340="","",RANK(AL340,AL338:AL344)*1000+ROWS(AH338:AH340))</f>
        <v>3003</v>
      </c>
      <c r="AI340" s="316">
        <f t="shared" si="289"/>
        <v>3000000000000</v>
      </c>
      <c r="AJ340" s="415" t="b">
        <f>AND(AO340&lt;&gt;"",AO340&gt;0,COUNTIF(AI338:AI344,AI340)&gt;1)</f>
        <v>0</v>
      </c>
      <c r="AK340" s="316">
        <f t="shared" si="290"/>
        <v>0</v>
      </c>
      <c r="AL340" s="317">
        <f t="shared" si="291"/>
        <v>3000000000700</v>
      </c>
      <c r="AM340" s="415" t="b">
        <f>AND(AO340&lt;&gt;"",AO340&gt;0,COUNTIF(AL338:AL344,AL340)&gt;1)</f>
        <v>0</v>
      </c>
      <c r="AN340" s="306">
        <f t="shared" si="292"/>
        <v>3</v>
      </c>
      <c r="AO340" s="307">
        <f t="shared" si="293"/>
        <v>3</v>
      </c>
      <c r="AP340" s="307">
        <f>IF(OR(AC337="",AD340=""),"",COUNTIF(ResultsInd[Win],AC337&amp;"-"&amp;AD340))</f>
        <v>0</v>
      </c>
      <c r="AQ340" s="307">
        <f>IF(OR(AC337="",AD340=""),"",COUNTIF(ResultsInd[Draw1],AC337&amp;"-"&amp;AD340)+COUNTIF(ResultsInd[Draw2],AC337&amp;"-"&amp;AD340))</f>
        <v>3</v>
      </c>
      <c r="AR340" s="307">
        <f>IF(OR(AC337="",AD340=""),"",COUNTIF(ResultsInd[Lose],AC337&amp;"-"&amp;AD340))</f>
        <v>0</v>
      </c>
      <c r="AS340" s="307">
        <f>IF(OR(AC337="",AD340=""),"",SUMIFS(ResultsInd[Goal-A],ResultsInd[Category],AC337,ResultsInd[Stage],"Groups",ResultsInd[Player A],AD340)+SUMIFS(ResultsInd[Goal-B],ResultsInd[Category],AC337,ResultsInd[Stage],"Groups",ResultsInd[Player B],AD340))</f>
        <v>7</v>
      </c>
      <c r="AT340" s="307">
        <f>IF(OR(AC337="",AD340=""),"",SUMIFS(ResultsInd[Goal-B],ResultsInd[Category],AC337,ResultsInd[Stage],"Groups",ResultsInd[Player A],AD340)+SUMIFS(ResultsInd[Goal-A],ResultsInd[Category],AC337,ResultsInd[Stage],"Groups",ResultsInd[Player B],AD340))</f>
        <v>7</v>
      </c>
      <c r="AU340" s="308">
        <f t="shared" si="296"/>
        <v>0</v>
      </c>
      <c r="AV340" s="469" t="b">
        <f>IF(AG340="","",OR(VLOOKUP(AG340,AH338:AU344,3,FALSE),VLOOKUP(AG340,AH338:AU344,6,FALSE)))</f>
        <v>0</v>
      </c>
      <c r="AW340" s="298">
        <f t="shared" si="294"/>
        <v>3</v>
      </c>
      <c r="AX340" s="285" t="str">
        <f>IF(AG340="","",INDEX(AD338:AD344,MATCH(AG340,AH338:AH344,0)))</f>
        <v>Alan Lee</v>
      </c>
      <c r="AY340" s="286">
        <f>IF(AG340="","",VLOOKUP(AG340,AH338:AU344,COLUMN()-COLUMN(AR337),FALSE))</f>
        <v>3</v>
      </c>
      <c r="AZ340" s="286">
        <f>IF(AG340="","",VLOOKUP(AG340,AH338:AU344,COLUMN()-COLUMN(AR337),FALSE))</f>
        <v>3</v>
      </c>
      <c r="BA340" s="286">
        <f>IF(AG340="","",VLOOKUP(AG340,AH338:AU344,COLUMN()-COLUMN(AR337),FALSE))</f>
        <v>0</v>
      </c>
      <c r="BB340" s="286">
        <f>IF(AG340="","",VLOOKUP(AG340,AH338:AU344,COLUMN()-COLUMN(AR337),FALSE))</f>
        <v>3</v>
      </c>
      <c r="BC340" s="286">
        <f>IF(AG340="","",VLOOKUP(AG340,AH338:AU344,COLUMN()-COLUMN(AR337),FALSE))</f>
        <v>0</v>
      </c>
      <c r="BD340" s="286">
        <f>IF(AG340="","",VLOOKUP(AG340,AH338:AU344,COLUMN()-COLUMN(AR337),FALSE))</f>
        <v>7</v>
      </c>
      <c r="BE340" s="286">
        <f>IF(AG340="","",VLOOKUP(AG340,AH338:AU344,COLUMN()-COLUMN(AR337),FALSE))</f>
        <v>7</v>
      </c>
      <c r="BF340" s="301">
        <f>IF(AG340="","",VLOOKUP(AG340,AH338:AU344,COLUMN()-COLUMN(AR337),FALSE))</f>
        <v>0</v>
      </c>
    </row>
    <row r="341" spans="1:58" ht="12" thickBot="1" x14ac:dyDescent="0.25">
      <c r="A341" s="62" t="s">
        <v>12261</v>
      </c>
      <c r="B341" s="62" t="s">
        <v>12207</v>
      </c>
      <c r="C341" s="62">
        <v>7</v>
      </c>
      <c r="D341" s="62"/>
      <c r="E341" s="345" t="s">
        <v>10087</v>
      </c>
      <c r="F341" s="345" t="s">
        <v>8131</v>
      </c>
      <c r="G341" s="113">
        <v>4</v>
      </c>
      <c r="H341" s="113">
        <v>1</v>
      </c>
      <c r="I341" s="114"/>
      <c r="J341" s="114"/>
      <c r="K341" s="114"/>
      <c r="L341" s="81"/>
      <c r="M341" s="265" t="b">
        <f>NOT(ISERROR(ResultsInd[[#This Row],[Goal-A]]+ResultsInd[[#This Row],[Goal-B]]))</f>
        <v>1</v>
      </c>
      <c r="N341" s="265">
        <f>VALUE(ResultsInd[[#This Row],[Score-A]])</f>
        <v>4</v>
      </c>
      <c r="O341" s="265">
        <f>VALUE(ResultsInd[[#This Row],[Score-B]])</f>
        <v>1</v>
      </c>
      <c r="P341" s="265">
        <f ca="1">IF(AND(ResultsInd[[#This Row],[Category]]&lt;&gt;"",ResultsInd[[#This Row],[Player A]]&lt;&gt;""),COUNTIF(INDIRECT(ResultsInd[[#This Row],[Category]]&amp;"List[Retained Player Name]"),ResultsInd[[#This Row],[Player A]]),"")</f>
        <v>1</v>
      </c>
      <c r="Q341" s="265">
        <f ca="1">IF(AND(ResultsInd[[#This Row],[Category]]&lt;&gt;"",ResultsInd[[#This Row],[Player B]]&lt;&gt;""),COUNTIF(INDIRECT(ResultsInd[[#This Row],[Category]]&amp;"List[Retained Player Name]"),ResultsInd[[#This Row],[Player B]]),"")</f>
        <v>1</v>
      </c>
      <c r="R3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VETERANS-Raffaele Di Vito</v>
      </c>
      <c r="S341" s="265" t="str">
        <f>IF(ResultsInd[[#This Row],[Score_OK]],IF(ResultsInd[[#This Row],[Stage]]="Groups",ResultsInd[[#This Row],[Category]]&amp;"-"&amp;IF(ResultsInd[[#This Row],[Player B]]="","",IF(ResultsInd[[#This Row],[Score-A]]=ResultsInd[[#This Row],[Score-B]],ResultsInd[[#This Row],[Player A]],"")),""),"")</f>
        <v>VETERANS-</v>
      </c>
      <c r="T341" s="265" t="str">
        <f>IF(ResultsInd[[#This Row],[Score_OK]],IF(ResultsInd[[#This Row],[Stage]]="Groups",ResultsInd[[#This Row],[Category]]&amp;"-"&amp;IF(ResultsInd[[#This Row],[Player B]]="","",IF(ResultsInd[[#This Row],[Score-A]]=ResultsInd[[#This Row],[Score-B]],ResultsInd[[#This Row],[Player B]],"")),""),"")</f>
        <v>VETERANS-</v>
      </c>
      <c r="U3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VETERANS-Pol Serwy</v>
      </c>
      <c r="V3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X3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Y341" s="264" t="str">
        <f>IF(ResultsInd[[#This Row],[Category]]="","",VLOOKUP(ResultsInd[[#This Row],[Stage]],$P$1:$V$9,MATCH(ResultsInd[[#This Row],[Category]],$Q$1:$V$1,0)+1,FALSE))</f>
        <v>PR1</v>
      </c>
      <c r="Z341" s="264" t="str">
        <f>IF(ResultsInd[[#This Row],[Score_OK]],IF(ResultsInd[[#This Row],[Level]]="R",ResultsInd[[#This Row],[Category]]&amp;"-"&amp;IF(ResultsInd[[#This Row],[LoseInKO]]=ResultsInd[[#This Row],[Category]]&amp;"-"&amp;ResultsInd[[#This Row],[Player A]],ResultsInd[[#This Row],[Player B]],ResultsInd[[#This Row],[Player A]]),""),"")</f>
        <v/>
      </c>
      <c r="AB341" s="91"/>
      <c r="AC341" s="12" t="str">
        <f t="shared" si="295"/>
        <v>VETERANS</v>
      </c>
      <c r="AD341" s="309" t="s">
        <v>8131</v>
      </c>
      <c r="AE341" s="310"/>
      <c r="AF341" s="311"/>
      <c r="AG341" s="292">
        <f>IF(AP341="","",SMALL(AH338:AH344,ROWS(AG338:AG341)))</f>
        <v>4004</v>
      </c>
      <c r="AH341" s="293">
        <f>IF(AP341="","",RANK(AL341,AL338:AL344)*1000+ROWS(AH338:AH341))</f>
        <v>4004</v>
      </c>
      <c r="AI341" s="316">
        <f t="shared" si="289"/>
        <v>1000000000000</v>
      </c>
      <c r="AJ341" s="415" t="b">
        <f>AND(AO341&lt;&gt;"",AO341&gt;0,COUNTIF(AI338:AI344,AI341)&gt;1)</f>
        <v>0</v>
      </c>
      <c r="AK341" s="316">
        <f t="shared" si="290"/>
        <v>0</v>
      </c>
      <c r="AL341" s="317">
        <f t="shared" si="291"/>
        <v>999999920500</v>
      </c>
      <c r="AM341" s="415" t="b">
        <f>AND(AO341&lt;&gt;"",AO341&gt;0,COUNTIF(AL338:AL344,AL341)&gt;1)</f>
        <v>0</v>
      </c>
      <c r="AN341" s="306">
        <f t="shared" si="292"/>
        <v>1</v>
      </c>
      <c r="AO341" s="307">
        <f t="shared" si="293"/>
        <v>3</v>
      </c>
      <c r="AP341" s="307">
        <f>IF(OR(AC337="",AD341=""),"",COUNTIF(ResultsInd[Win],AC337&amp;"-"&amp;AD341))</f>
        <v>0</v>
      </c>
      <c r="AQ341" s="307">
        <f>IF(OR(AC337="",AD341=""),"",COUNTIF(ResultsInd[Draw1],AC337&amp;"-"&amp;AD341)+COUNTIF(ResultsInd[Draw2],AC337&amp;"-"&amp;AD341))</f>
        <v>1</v>
      </c>
      <c r="AR341" s="307">
        <f>IF(OR(AC337="",AD341=""),"",COUNTIF(ResultsInd[Lose],AC337&amp;"-"&amp;AD341))</f>
        <v>2</v>
      </c>
      <c r="AS341" s="307">
        <f>IF(OR(AC337="",AD341=""),"",SUMIFS(ResultsInd[Goal-A],ResultsInd[Category],AC337,ResultsInd[Stage],"Groups",ResultsInd[Player A],AD341)+SUMIFS(ResultsInd[Goal-B],ResultsInd[Category],AC337,ResultsInd[Stage],"Groups",ResultsInd[Player B],AD341))</f>
        <v>5</v>
      </c>
      <c r="AT341" s="307">
        <f>IF(OR(AC337="",AD341=""),"",SUMIFS(ResultsInd[Goal-B],ResultsInd[Category],AC337,ResultsInd[Stage],"Groups",ResultsInd[Player A],AD341)+SUMIFS(ResultsInd[Goal-A],ResultsInd[Category],AC337,ResultsInd[Stage],"Groups",ResultsInd[Player B],AD341))</f>
        <v>13</v>
      </c>
      <c r="AU341" s="308">
        <f t="shared" si="296"/>
        <v>-8</v>
      </c>
      <c r="AV341" s="469" t="b">
        <f>IF(AG341="","",OR(VLOOKUP(AG341,AH338:AU344,3,FALSE),VLOOKUP(AG341,AH338:AU344,6,FALSE)))</f>
        <v>0</v>
      </c>
      <c r="AW341" s="298">
        <f t="shared" si="294"/>
        <v>4</v>
      </c>
      <c r="AX341" s="285" t="str">
        <f>IF(AG341="","",INDEX(AD338:AD344,MATCH(AG341,AH338:AH344,0)))</f>
        <v>Pol Serwy</v>
      </c>
      <c r="AY341" s="286">
        <f>IF(AG341="","",VLOOKUP(AG341,AH338:AU344,COLUMN()-COLUMN(AR337),FALSE))</f>
        <v>1</v>
      </c>
      <c r="AZ341" s="286">
        <f>IF(AG341="","",VLOOKUP(AG341,AH338:AU344,COLUMN()-COLUMN(AR337),FALSE))</f>
        <v>3</v>
      </c>
      <c r="BA341" s="286">
        <f>IF(AG341="","",VLOOKUP(AG341,AH338:AU344,COLUMN()-COLUMN(AR337),FALSE))</f>
        <v>0</v>
      </c>
      <c r="BB341" s="286">
        <f>IF(AG341="","",VLOOKUP(AG341,AH338:AU344,COLUMN()-COLUMN(AR337),FALSE))</f>
        <v>1</v>
      </c>
      <c r="BC341" s="286">
        <f>IF(AG341="","",VLOOKUP(AG341,AH338:AU344,COLUMN()-COLUMN(AR337),FALSE))</f>
        <v>2</v>
      </c>
      <c r="BD341" s="286">
        <f>IF(AG341="","",VLOOKUP(AG341,AH338:AU344,COLUMN()-COLUMN(AR337),FALSE))</f>
        <v>5</v>
      </c>
      <c r="BE341" s="286">
        <f>IF(AG341="","",VLOOKUP(AG341,AH338:AU344,COLUMN()-COLUMN(AR337),FALSE))</f>
        <v>13</v>
      </c>
      <c r="BF341" s="301">
        <f>IF(AG341="","",VLOOKUP(AG341,AH338:AU344,COLUMN()-COLUMN(AR337),FALSE))</f>
        <v>-8</v>
      </c>
    </row>
    <row r="342" spans="1:58" ht="12" thickBot="1" x14ac:dyDescent="0.25">
      <c r="A342" s="62" t="s">
        <v>12261</v>
      </c>
      <c r="B342" s="62" t="s">
        <v>12207</v>
      </c>
      <c r="C342" s="62">
        <v>7</v>
      </c>
      <c r="D342" s="62"/>
      <c r="E342" s="345" t="s">
        <v>8131</v>
      </c>
      <c r="F342" s="345" t="s">
        <v>8600</v>
      </c>
      <c r="G342" s="113">
        <v>1</v>
      </c>
      <c r="H342" s="113">
        <v>6</v>
      </c>
      <c r="I342" s="114"/>
      <c r="J342" s="114"/>
      <c r="K342" s="114"/>
      <c r="L342" s="81"/>
      <c r="M342" s="265" t="b">
        <f>NOT(ISERROR(ResultsInd[[#This Row],[Goal-A]]+ResultsInd[[#This Row],[Goal-B]]))</f>
        <v>1</v>
      </c>
      <c r="N342" s="265">
        <f>VALUE(ResultsInd[[#This Row],[Score-A]])</f>
        <v>1</v>
      </c>
      <c r="O342" s="265">
        <f>VALUE(ResultsInd[[#This Row],[Score-B]])</f>
        <v>6</v>
      </c>
      <c r="P342" s="265">
        <f ca="1">IF(AND(ResultsInd[[#This Row],[Category]]&lt;&gt;"",ResultsInd[[#This Row],[Player A]]&lt;&gt;""),COUNTIF(INDIRECT(ResultsInd[[#This Row],[Category]]&amp;"List[Retained Player Name]"),ResultsInd[[#This Row],[Player A]]),"")</f>
        <v>1</v>
      </c>
      <c r="Q342" s="265">
        <f ca="1">IF(AND(ResultsInd[[#This Row],[Category]]&lt;&gt;"",ResultsInd[[#This Row],[Player B]]&lt;&gt;""),COUNTIF(INDIRECT(ResultsInd[[#This Row],[Category]]&amp;"List[Retained Player Name]"),ResultsInd[[#This Row],[Player B]]),"")</f>
        <v>1</v>
      </c>
      <c r="R3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VETERANS-Vicenç Prats</v>
      </c>
      <c r="S342" s="265" t="str">
        <f>IF(ResultsInd[[#This Row],[Score_OK]],IF(ResultsInd[[#This Row],[Stage]]="Groups",ResultsInd[[#This Row],[Category]]&amp;"-"&amp;IF(ResultsInd[[#This Row],[Player B]]="","",IF(ResultsInd[[#This Row],[Score-A]]=ResultsInd[[#This Row],[Score-B]],ResultsInd[[#This Row],[Player A]],"")),""),"")</f>
        <v>VETERANS-</v>
      </c>
      <c r="T342" s="265" t="str">
        <f>IF(ResultsInd[[#This Row],[Score_OK]],IF(ResultsInd[[#This Row],[Stage]]="Groups",ResultsInd[[#This Row],[Category]]&amp;"-"&amp;IF(ResultsInd[[#This Row],[Player B]]="","",IF(ResultsInd[[#This Row],[Score-A]]=ResultsInd[[#This Row],[Score-B]],ResultsInd[[#This Row],[Player B]],"")),""),"")</f>
        <v>VETERANS-</v>
      </c>
      <c r="U3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VETERANS-Pol Serwy</v>
      </c>
      <c r="V3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X3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Y342" s="264" t="str">
        <f>IF(ResultsInd[[#This Row],[Category]]="","",VLOOKUP(ResultsInd[[#This Row],[Stage]],$P$1:$V$9,MATCH(ResultsInd[[#This Row],[Category]],$Q$1:$V$1,0)+1,FALSE))</f>
        <v>PR1</v>
      </c>
      <c r="Z342" s="264" t="str">
        <f>IF(ResultsInd[[#This Row],[Score_OK]],IF(ResultsInd[[#This Row],[Level]]="R",ResultsInd[[#This Row],[Category]]&amp;"-"&amp;IF(ResultsInd[[#This Row],[LoseInKO]]=ResultsInd[[#This Row],[Category]]&amp;"-"&amp;ResultsInd[[#This Row],[Player A]],ResultsInd[[#This Row],[Player B]],ResultsInd[[#This Row],[Player A]]),""),"")</f>
        <v/>
      </c>
      <c r="AB342" s="91"/>
      <c r="AC342" s="12" t="str">
        <f t="shared" si="295"/>
        <v>VETERANS</v>
      </c>
      <c r="AD342" s="309"/>
      <c r="AE342" s="310"/>
      <c r="AF342" s="311"/>
      <c r="AG342" s="292" t="str">
        <f>IF(AP342="","",SMALL(AH338:AH344,ROWS(AG338:AG342)))</f>
        <v/>
      </c>
      <c r="AH342" s="293" t="str">
        <f>IF(AP342="","",RANK(AL342,AL338:AL344)*1000+ROWS(AH338:AH342))</f>
        <v/>
      </c>
      <c r="AI342" s="316" t="str">
        <f t="shared" si="289"/>
        <v/>
      </c>
      <c r="AJ342" s="415" t="b">
        <f>AND(AO342&lt;&gt;"",AO342&gt;0,COUNTIF(AI338:AI344,AI342)&gt;1)</f>
        <v>0</v>
      </c>
      <c r="AK342" s="316" t="str">
        <f t="shared" si="290"/>
        <v/>
      </c>
      <c r="AL342" s="317" t="str">
        <f t="shared" si="291"/>
        <v/>
      </c>
      <c r="AM342" s="415" t="b">
        <f>AND(AO342&lt;&gt;"",AO342&gt;0,COUNTIF(AL338:AL344,AL342)&gt;1)</f>
        <v>0</v>
      </c>
      <c r="AN342" s="306" t="str">
        <f t="shared" si="292"/>
        <v/>
      </c>
      <c r="AO342" s="307" t="str">
        <f t="shared" si="293"/>
        <v/>
      </c>
      <c r="AP342" s="307" t="str">
        <f>IF(OR(AC337="",AD342=""),"",COUNTIF(ResultsInd[Win],AC337&amp;"-"&amp;AD342))</f>
        <v/>
      </c>
      <c r="AQ342" s="307" t="str">
        <f>IF(OR(AC337="",AD342=""),"",COUNTIF(ResultsInd[Draw1],AC337&amp;"-"&amp;AD342)+COUNTIF(ResultsInd[Draw2],AC337&amp;"-"&amp;AD342))</f>
        <v/>
      </c>
      <c r="AR342" s="307" t="str">
        <f>IF(OR(AC337="",AD342=""),"",COUNTIF(ResultsInd[Lose],AC337&amp;"-"&amp;AD342))</f>
        <v/>
      </c>
      <c r="AS342" s="307" t="str">
        <f>IF(OR(AC337="",AD342=""),"",SUMIFS(ResultsInd[Goal-A],ResultsInd[Category],AC337,ResultsInd[Stage],"Groups",ResultsInd[Player A],AD342)+SUMIFS(ResultsInd[Goal-B],ResultsInd[Category],AC337,ResultsInd[Stage],"Groups",ResultsInd[Player B],AD342))</f>
        <v/>
      </c>
      <c r="AT342" s="307" t="str">
        <f>IF(OR(AC337="",AD342=""),"",SUMIFS(ResultsInd[Goal-B],ResultsInd[Category],AC337,ResultsInd[Stage],"Groups",ResultsInd[Player A],AD342)+SUMIFS(ResultsInd[Goal-A],ResultsInd[Category],AC337,ResultsInd[Stage],"Groups",ResultsInd[Player B],AD342))</f>
        <v/>
      </c>
      <c r="AU342" s="308" t="str">
        <f t="shared" si="296"/>
        <v/>
      </c>
      <c r="AV342" s="469" t="str">
        <f>IF(AG342="","",OR(VLOOKUP(AG342,AH338:AU344,3,FALSE),VLOOKUP(AG342,AH338:AU344,6,FALSE)))</f>
        <v/>
      </c>
      <c r="AW342" s="298" t="str">
        <f t="shared" si="294"/>
        <v/>
      </c>
      <c r="AX342" s="285" t="str">
        <f>IF(AG342="","",INDEX(AD338:AD344,MATCH(AG342,AH338:AH344,0)))</f>
        <v/>
      </c>
      <c r="AY342" s="286" t="str">
        <f>IF(AG342="","",VLOOKUP(AG342,AH338:AU344,COLUMN()-COLUMN(AR337),FALSE))</f>
        <v/>
      </c>
      <c r="AZ342" s="286" t="str">
        <f>IF(AG342="","",VLOOKUP(AG342,AH338:AU344,COLUMN()-COLUMN(AR337),FALSE))</f>
        <v/>
      </c>
      <c r="BA342" s="286" t="str">
        <f>IF(AG342="","",VLOOKUP(AG342,AH338:AU344,COLUMN()-COLUMN(AR337),FALSE))</f>
        <v/>
      </c>
      <c r="BB342" s="286" t="str">
        <f>IF(AG342="","",VLOOKUP(AG342,AH338:AU344,COLUMN()-COLUMN(AR337),FALSE))</f>
        <v/>
      </c>
      <c r="BC342" s="286" t="str">
        <f>IF(AG342="","",VLOOKUP(AG342,AH338:AU344,COLUMN()-COLUMN(AR337),FALSE))</f>
        <v/>
      </c>
      <c r="BD342" s="286" t="str">
        <f>IF(AG342="","",VLOOKUP(AG342,AH338:AU344,COLUMN()-COLUMN(AR337),FALSE))</f>
        <v/>
      </c>
      <c r="BE342" s="286" t="str">
        <f>IF(AG342="","",VLOOKUP(AG342,AH338:AU344,COLUMN()-COLUMN(AR337),FALSE))</f>
        <v/>
      </c>
      <c r="BF342" s="301" t="str">
        <f>IF(AG342="","",VLOOKUP(AG342,AH338:AU344,COLUMN()-COLUMN(AR337),FALSE))</f>
        <v/>
      </c>
    </row>
    <row r="343" spans="1:58" ht="12" thickBot="1" x14ac:dyDescent="0.25">
      <c r="A343" s="62" t="s">
        <v>12261</v>
      </c>
      <c r="B343" s="62" t="s">
        <v>12207</v>
      </c>
      <c r="C343" s="62">
        <v>7</v>
      </c>
      <c r="D343" s="62"/>
      <c r="E343" s="345" t="s">
        <v>10087</v>
      </c>
      <c r="F343" s="345" t="s">
        <v>8554</v>
      </c>
      <c r="G343" s="113">
        <v>2</v>
      </c>
      <c r="H343" s="113">
        <v>2</v>
      </c>
      <c r="I343" s="114"/>
      <c r="J343" s="114"/>
      <c r="K343" s="114"/>
      <c r="L343" s="81"/>
      <c r="M343" s="265" t="b">
        <f>NOT(ISERROR(ResultsInd[[#This Row],[Goal-A]]+ResultsInd[[#This Row],[Goal-B]]))</f>
        <v>1</v>
      </c>
      <c r="N343" s="265">
        <f>VALUE(ResultsInd[[#This Row],[Score-A]])</f>
        <v>2</v>
      </c>
      <c r="O343" s="265">
        <f>VALUE(ResultsInd[[#This Row],[Score-B]])</f>
        <v>2</v>
      </c>
      <c r="P343" s="265">
        <f ca="1">IF(AND(ResultsInd[[#This Row],[Category]]&lt;&gt;"",ResultsInd[[#This Row],[Player A]]&lt;&gt;""),COUNTIF(INDIRECT(ResultsInd[[#This Row],[Category]]&amp;"List[Retained Player Name]"),ResultsInd[[#This Row],[Player A]]),"")</f>
        <v>1</v>
      </c>
      <c r="Q343" s="265">
        <f ca="1">IF(AND(ResultsInd[[#This Row],[Category]]&lt;&gt;"",ResultsInd[[#This Row],[Player B]]&lt;&gt;""),COUNTIF(INDIRECT(ResultsInd[[#This Row],[Category]]&amp;"List[Retained Player Name]"),ResultsInd[[#This Row],[Player B]]),"")</f>
        <v>1</v>
      </c>
      <c r="R3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43" s="265" t="str">
        <f>IF(ResultsInd[[#This Row],[Score_OK]],IF(ResultsInd[[#This Row],[Stage]]="Groups",ResultsInd[[#This Row],[Category]]&amp;"-"&amp;IF(ResultsInd[[#This Row],[Player B]]="","",IF(ResultsInd[[#This Row],[Score-A]]=ResultsInd[[#This Row],[Score-B]],ResultsInd[[#This Row],[Player A]],"")),""),"")</f>
        <v>VETERANS-Raffaele Di Vito</v>
      </c>
      <c r="T343" s="265" t="str">
        <f>IF(ResultsInd[[#This Row],[Score_OK]],IF(ResultsInd[[#This Row],[Stage]]="Groups",ResultsInd[[#This Row],[Category]]&amp;"-"&amp;IF(ResultsInd[[#This Row],[Player B]]="","",IF(ResultsInd[[#This Row],[Score-A]]=ResultsInd[[#This Row],[Score-B]],ResultsInd[[#This Row],[Player B]],"")),""),"")</f>
        <v>VETERANS-Alan Lee</v>
      </c>
      <c r="U3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VETERANS-Raffaele Di Vito</v>
      </c>
      <c r="X3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VETERANS-Alan Lee</v>
      </c>
      <c r="Y343" s="264" t="str">
        <f>IF(ResultsInd[[#This Row],[Category]]="","",VLOOKUP(ResultsInd[[#This Row],[Stage]],$P$1:$V$9,MATCH(ResultsInd[[#This Row],[Category]],$Q$1:$V$1,0)+1,FALSE))</f>
        <v>PR1</v>
      </c>
      <c r="Z343" s="264" t="str">
        <f>IF(ResultsInd[[#This Row],[Score_OK]],IF(ResultsInd[[#This Row],[Level]]="R",ResultsInd[[#This Row],[Category]]&amp;"-"&amp;IF(ResultsInd[[#This Row],[LoseInKO]]=ResultsInd[[#This Row],[Category]]&amp;"-"&amp;ResultsInd[[#This Row],[Player A]],ResultsInd[[#This Row],[Player B]],ResultsInd[[#This Row],[Player A]]),""),"")</f>
        <v/>
      </c>
      <c r="AB343" s="8"/>
      <c r="AC343" s="12" t="str">
        <f t="shared" si="295"/>
        <v>VETERANS</v>
      </c>
      <c r="AD343" s="309"/>
      <c r="AE343" s="310"/>
      <c r="AF343" s="311"/>
      <c r="AG343" s="292" t="str">
        <f>IF(AP343="","",SMALL(AH338:AH344,ROWS(AG338:AG343)))</f>
        <v/>
      </c>
      <c r="AH343" s="293" t="str">
        <f>IF(AP343="","",RANK(AL343,AL338:AL344)*1000+ROWS(AH338:AH343))</f>
        <v/>
      </c>
      <c r="AI343" s="316" t="str">
        <f t="shared" si="289"/>
        <v/>
      </c>
      <c r="AJ343" s="415" t="b">
        <f>AND(AO343&lt;&gt;"",AO343&gt;0,COUNTIF(AI338:AI344,AI343)&gt;1)</f>
        <v>0</v>
      </c>
      <c r="AK343" s="316" t="str">
        <f t="shared" si="290"/>
        <v/>
      </c>
      <c r="AL343" s="317" t="str">
        <f t="shared" si="291"/>
        <v/>
      </c>
      <c r="AM343" s="415" t="b">
        <f>AND(AO343&lt;&gt;"",AO343&gt;0,COUNTIF(AL338:AL344,AL343)&gt;1)</f>
        <v>0</v>
      </c>
      <c r="AN343" s="306" t="str">
        <f t="shared" si="292"/>
        <v/>
      </c>
      <c r="AO343" s="307" t="str">
        <f t="shared" si="293"/>
        <v/>
      </c>
      <c r="AP343" s="307" t="str">
        <f>IF(OR(AC337="",AD343=""),"",COUNTIF(ResultsInd[Win],AC337&amp;"-"&amp;AD343))</f>
        <v/>
      </c>
      <c r="AQ343" s="307" t="str">
        <f>IF(OR(AC337="",AD343=""),"",COUNTIF(ResultsInd[Draw1],AC337&amp;"-"&amp;AD343)+COUNTIF(ResultsInd[Draw2],AC337&amp;"-"&amp;AD343))</f>
        <v/>
      </c>
      <c r="AR343" s="307" t="str">
        <f>IF(OR(AC337="",AD343=""),"",COUNTIF(ResultsInd[Lose],AC337&amp;"-"&amp;AD343))</f>
        <v/>
      </c>
      <c r="AS343" s="307" t="str">
        <f>IF(OR(AC337="",AD343=""),"",SUMIFS(ResultsInd[Goal-A],ResultsInd[Category],AC337,ResultsInd[Stage],"Groups",ResultsInd[Player A],AD343)+SUMIFS(ResultsInd[Goal-B],ResultsInd[Category],AC337,ResultsInd[Stage],"Groups",ResultsInd[Player B],AD343))</f>
        <v/>
      </c>
      <c r="AT343" s="307" t="str">
        <f>IF(OR(AC337="",AD343=""),"",SUMIFS(ResultsInd[Goal-B],ResultsInd[Category],AC337,ResultsInd[Stage],"Groups",ResultsInd[Player A],AD343)+SUMIFS(ResultsInd[Goal-A],ResultsInd[Category],AC337,ResultsInd[Stage],"Groups",ResultsInd[Player B],AD343))</f>
        <v/>
      </c>
      <c r="AU343" s="308" t="str">
        <f t="shared" si="296"/>
        <v/>
      </c>
      <c r="AV343" s="469" t="str">
        <f>IF(AG343="","",OR(VLOOKUP(AG343,AH338:AU344,3,FALSE),VLOOKUP(AG343,AH338:AU344,6,FALSE)))</f>
        <v/>
      </c>
      <c r="AW343" s="298" t="str">
        <f t="shared" si="294"/>
        <v/>
      </c>
      <c r="AX343" s="285" t="str">
        <f>IF(AG343="","",INDEX(AD338:AD344,MATCH(AG343,AH338:AH344,0)))</f>
        <v/>
      </c>
      <c r="AY343" s="286" t="str">
        <f>IF(AG343="","",VLOOKUP(AG343,AH338:AU344,COLUMN()-COLUMN(AR337),FALSE))</f>
        <v/>
      </c>
      <c r="AZ343" s="286" t="str">
        <f>IF(AG343="","",VLOOKUP(AG343,AH338:AU344,COLUMN()-COLUMN(AR337),FALSE))</f>
        <v/>
      </c>
      <c r="BA343" s="286" t="str">
        <f>IF(AG343="","",VLOOKUP(AG343,AH338:AU344,COLUMN()-COLUMN(AR337),FALSE))</f>
        <v/>
      </c>
      <c r="BB343" s="286" t="str">
        <f>IF(AG343="","",VLOOKUP(AG343,AH338:AU344,COLUMN()-COLUMN(AR337),FALSE))</f>
        <v/>
      </c>
      <c r="BC343" s="286" t="str">
        <f>IF(AG343="","",VLOOKUP(AG343,AH338:AU344,COLUMN()-COLUMN(AR337),FALSE))</f>
        <v/>
      </c>
      <c r="BD343" s="286" t="str">
        <f>IF(AG343="","",VLOOKUP(AG343,AH338:AU344,COLUMN()-COLUMN(AR337),FALSE))</f>
        <v/>
      </c>
      <c r="BE343" s="286" t="str">
        <f>IF(AG343="","",VLOOKUP(AG343,AH338:AU344,COLUMN()-COLUMN(AR337),FALSE))</f>
        <v/>
      </c>
      <c r="BF343" s="301" t="str">
        <f>IF(AG343="","",VLOOKUP(AG343,AH338:AU344,COLUMN()-COLUMN(AR337),FALSE))</f>
        <v/>
      </c>
    </row>
    <row r="344" spans="1:58" ht="12" thickBot="1" x14ac:dyDescent="0.25">
      <c r="A344" s="62"/>
      <c r="B344" s="62"/>
      <c r="C344" s="62"/>
      <c r="D344" s="62"/>
      <c r="E344" s="345"/>
      <c r="F344" s="345"/>
      <c r="G344" s="113"/>
      <c r="H344" s="113"/>
      <c r="I344" s="114"/>
      <c r="J344" s="114"/>
      <c r="K344" s="114"/>
      <c r="L344" s="81"/>
      <c r="M344" s="265" t="b">
        <f>NOT(ISERROR(ResultsInd[[#This Row],[Goal-A]]+ResultsInd[[#This Row],[Goal-B]]))</f>
        <v>1</v>
      </c>
      <c r="N344" s="265">
        <f>VALUE(ResultsInd[[#This Row],[Score-A]])</f>
        <v>0</v>
      </c>
      <c r="O344" s="265">
        <f>VALUE(ResultsInd[[#This Row],[Score-B]])</f>
        <v>0</v>
      </c>
      <c r="P344" s="265" t="str">
        <f ca="1">IF(AND(ResultsInd[[#This Row],[Category]]&lt;&gt;"",ResultsInd[[#This Row],[Player A]]&lt;&gt;""),COUNTIF(INDIRECT(ResultsInd[[#This Row],[Category]]&amp;"List[Retained Player Name]"),ResultsInd[[#This Row],[Player A]]),"")</f>
        <v/>
      </c>
      <c r="Q344" s="265" t="str">
        <f ca="1">IF(AND(ResultsInd[[#This Row],[Category]]&lt;&gt;"",ResultsInd[[#This Row],[Player B]]&lt;&gt;""),COUNTIF(INDIRECT(ResultsInd[[#This Row],[Category]]&amp;"List[Retained Player Name]"),ResultsInd[[#This Row],[Player B]]),"")</f>
        <v/>
      </c>
      <c r="R3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4" s="265" t="str">
        <f>IF(ResultsInd[[#This Row],[Score_OK]],IF(ResultsInd[[#This Row],[Stage]]="Groups",ResultsInd[[#This Row],[Category]]&amp;"-"&amp;IF(ResultsInd[[#This Row],[Player B]]="","",IF(ResultsInd[[#This Row],[Score-A]]=ResultsInd[[#This Row],[Score-B]],ResultsInd[[#This Row],[Player A]],"")),""),"")</f>
        <v/>
      </c>
      <c r="T344" s="265" t="str">
        <f>IF(ResultsInd[[#This Row],[Score_OK]],IF(ResultsInd[[#This Row],[Stage]]="Groups",ResultsInd[[#This Row],[Category]]&amp;"-"&amp;IF(ResultsInd[[#This Row],[Player B]]="","",IF(ResultsInd[[#This Row],[Score-A]]=ResultsInd[[#This Row],[Score-B]],ResultsInd[[#This Row],[Player B]],"")),""),"")</f>
        <v/>
      </c>
      <c r="U3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4" s="264" t="str">
        <f>IF(ResultsInd[[#This Row],[Category]]="","",VLOOKUP(ResultsInd[[#This Row],[Stage]],$P$1:$V$9,MATCH(ResultsInd[[#This Row],[Category]],$Q$1:$V$1,0)+1,FALSE))</f>
        <v/>
      </c>
      <c r="Z344" s="264" t="str">
        <f>IF(ResultsInd[[#This Row],[Score_OK]],IF(ResultsInd[[#This Row],[Level]]="R",ResultsInd[[#This Row],[Category]]&amp;"-"&amp;IF(ResultsInd[[#This Row],[LoseInKO]]=ResultsInd[[#This Row],[Category]]&amp;"-"&amp;ResultsInd[[#This Row],[Player A]],ResultsInd[[#This Row],[Player B]],ResultsInd[[#This Row],[Player A]]),""),"")</f>
        <v/>
      </c>
      <c r="AB344" s="8"/>
      <c r="AC344" s="12" t="str">
        <f t="shared" si="295"/>
        <v>VETERANS</v>
      </c>
      <c r="AD344" s="312"/>
      <c r="AE344" s="313"/>
      <c r="AF344" s="314"/>
      <c r="AG344" s="294" t="str">
        <f>IF(AP344="","",SMALL(AH338:AH344,ROWS(AG338:AG344)))</f>
        <v/>
      </c>
      <c r="AH344" s="295" t="str">
        <f>IF(AP344="","",RANK(AL344,AL338:AL344)*1000+ROWS(AH338:AH344))</f>
        <v/>
      </c>
      <c r="AI344" s="318" t="str">
        <f t="shared" si="289"/>
        <v/>
      </c>
      <c r="AJ344" s="416" t="b">
        <f>AND(AO344&lt;&gt;"",AO344&gt;0,COUNTIF(AI338:AI344,AI344)&gt;1)</f>
        <v>0</v>
      </c>
      <c r="AK344" s="318" t="str">
        <f t="shared" si="290"/>
        <v/>
      </c>
      <c r="AL344" s="319" t="str">
        <f t="shared" si="291"/>
        <v/>
      </c>
      <c r="AM344" s="416" t="b">
        <f>AND(AO344&lt;&gt;"",AO344&gt;0,COUNTIF(AL338:AL344,AL344)&gt;1)</f>
        <v>0</v>
      </c>
      <c r="AN344" s="306" t="str">
        <f t="shared" si="292"/>
        <v/>
      </c>
      <c r="AO344" s="307" t="str">
        <f t="shared" si="293"/>
        <v/>
      </c>
      <c r="AP344" s="307" t="str">
        <f>IF(OR(AC337="",AD344=""),"",COUNTIF(ResultsInd[Win],AC337&amp;"-"&amp;AD344))</f>
        <v/>
      </c>
      <c r="AQ344" s="307" t="str">
        <f>IF(OR(AC337="",AD344=""),"",COUNTIF(ResultsInd[Draw1],AC337&amp;"-"&amp;AD344)+COUNTIF(ResultsInd[Draw2],AC337&amp;"-"&amp;AD344))</f>
        <v/>
      </c>
      <c r="AR344" s="307" t="str">
        <f>IF(OR(AC337="",AD344=""),"",COUNTIF(ResultsInd[Lose],AC337&amp;"-"&amp;AD344))</f>
        <v/>
      </c>
      <c r="AS344" s="307" t="str">
        <f>IF(OR(AC337="",AD344=""),"",SUMIFS(ResultsInd[Goal-A],ResultsInd[Category],AC337,ResultsInd[Stage],"Groups",ResultsInd[Player A],AD344)+SUMIFS(ResultsInd[Goal-B],ResultsInd[Category],AC337,ResultsInd[Stage],"Groups",ResultsInd[Player B],AD344))</f>
        <v/>
      </c>
      <c r="AT344" s="307" t="str">
        <f>IF(OR(AC337="",AD344=""),"",SUMIFS(ResultsInd[Goal-B],ResultsInd[Category],AC337,ResultsInd[Stage],"Groups",ResultsInd[Player A],AD344)+SUMIFS(ResultsInd[Goal-A],ResultsInd[Category],AC337,ResultsInd[Stage],"Groups",ResultsInd[Player B],AD344))</f>
        <v/>
      </c>
      <c r="AU344" s="308" t="str">
        <f t="shared" si="296"/>
        <v/>
      </c>
      <c r="AV344" s="469" t="str">
        <f>IF(AG344="","",OR(VLOOKUP(AG344,AH338:AU344,3,FALSE),VLOOKUP(AG344,AH338:AU344,6,FALSE)))</f>
        <v/>
      </c>
      <c r="AW344" s="299" t="str">
        <f t="shared" si="294"/>
        <v/>
      </c>
      <c r="AX344" s="287" t="str">
        <f>IF(AG344="","",INDEX(AD338:AD344,MATCH(AG344,AH338:AH344,0)))</f>
        <v/>
      </c>
      <c r="AY344" s="288" t="str">
        <f>IF(AG344="","",VLOOKUP(AG344,AH338:AU344,COLUMN()-COLUMN(AR337),FALSE))</f>
        <v/>
      </c>
      <c r="AZ344" s="288" t="str">
        <f>IF(AG344="","",VLOOKUP(AG344,AH338:AU344,COLUMN()-COLUMN(AR337),FALSE))</f>
        <v/>
      </c>
      <c r="BA344" s="288" t="str">
        <f>IF(AG344="","",VLOOKUP(AG344,AH338:AU344,COLUMN()-COLUMN(AR337),FALSE))</f>
        <v/>
      </c>
      <c r="BB344" s="288" t="str">
        <f>IF(AG344="","",VLOOKUP(AG344,AH338:AU344,COLUMN()-COLUMN(AR337),FALSE))</f>
        <v/>
      </c>
      <c r="BC344" s="288" t="str">
        <f>IF(AG344="","",VLOOKUP(AG344,AH338:AU344,COLUMN()-COLUMN(AR337),FALSE))</f>
        <v/>
      </c>
      <c r="BD344" s="288" t="str">
        <f>IF(AG344="","",VLOOKUP(AG344,AH338:AU344,COLUMN()-COLUMN(AR337),FALSE))</f>
        <v/>
      </c>
      <c r="BE344" s="288" t="str">
        <f>IF(AG344="","",VLOOKUP(AG344,AH338:AU344,COLUMN()-COLUMN(AR337),FALSE))</f>
        <v/>
      </c>
      <c r="BF344" s="302" t="str">
        <f>IF(AG344="","",VLOOKUP(AG344,AH338:AU344,COLUMN()-COLUMN(AR337),FALSE))</f>
        <v/>
      </c>
    </row>
    <row r="345" spans="1:58" ht="13.5" thickBot="1" x14ac:dyDescent="0.25">
      <c r="A345" s="62"/>
      <c r="B345" s="62"/>
      <c r="C345" s="62"/>
      <c r="D345" s="62"/>
      <c r="E345" s="345"/>
      <c r="F345" s="345"/>
      <c r="G345" s="113"/>
      <c r="H345" s="113"/>
      <c r="I345" s="114"/>
      <c r="J345" s="114"/>
      <c r="K345" s="114"/>
      <c r="L345" s="81"/>
      <c r="M345" s="265" t="b">
        <f>NOT(ISERROR(ResultsInd[[#This Row],[Goal-A]]+ResultsInd[[#This Row],[Goal-B]]))</f>
        <v>1</v>
      </c>
      <c r="N345" s="265">
        <f>VALUE(ResultsInd[[#This Row],[Score-A]])</f>
        <v>0</v>
      </c>
      <c r="O345" s="265">
        <f>VALUE(ResultsInd[[#This Row],[Score-B]])</f>
        <v>0</v>
      </c>
      <c r="P345" s="265" t="str">
        <f ca="1">IF(AND(ResultsInd[[#This Row],[Category]]&lt;&gt;"",ResultsInd[[#This Row],[Player A]]&lt;&gt;""),COUNTIF(INDIRECT(ResultsInd[[#This Row],[Category]]&amp;"List[Retained Player Name]"),ResultsInd[[#This Row],[Player A]]),"")</f>
        <v/>
      </c>
      <c r="Q345" s="265" t="str">
        <f ca="1">IF(AND(ResultsInd[[#This Row],[Category]]&lt;&gt;"",ResultsInd[[#This Row],[Player B]]&lt;&gt;""),COUNTIF(INDIRECT(ResultsInd[[#This Row],[Category]]&amp;"List[Retained Player Name]"),ResultsInd[[#This Row],[Player B]]),"")</f>
        <v/>
      </c>
      <c r="R3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5" s="265" t="str">
        <f>IF(ResultsInd[[#This Row],[Score_OK]],IF(ResultsInd[[#This Row],[Stage]]="Groups",ResultsInd[[#This Row],[Category]]&amp;"-"&amp;IF(ResultsInd[[#This Row],[Player B]]="","",IF(ResultsInd[[#This Row],[Score-A]]=ResultsInd[[#This Row],[Score-B]],ResultsInd[[#This Row],[Player A]],"")),""),"")</f>
        <v/>
      </c>
      <c r="T345" s="265" t="str">
        <f>IF(ResultsInd[[#This Row],[Score_OK]],IF(ResultsInd[[#This Row],[Stage]]="Groups",ResultsInd[[#This Row],[Category]]&amp;"-"&amp;IF(ResultsInd[[#This Row],[Player B]]="","",IF(ResultsInd[[#This Row],[Score-A]]=ResultsInd[[#This Row],[Score-B]],ResultsInd[[#This Row],[Player B]],"")),""),"")</f>
        <v/>
      </c>
      <c r="U3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5" s="264" t="str">
        <f>IF(ResultsInd[[#This Row],[Category]]="","",VLOOKUP(ResultsInd[[#This Row],[Stage]],$P$1:$V$9,MATCH(ResultsInd[[#This Row],[Category]],$Q$1:$V$1,0)+1,FALSE))</f>
        <v/>
      </c>
      <c r="Z345" s="264" t="str">
        <f>IF(ResultsInd[[#This Row],[Score_OK]],IF(ResultsInd[[#This Row],[Level]]="R",ResultsInd[[#This Row],[Category]]&amp;"-"&amp;IF(ResultsInd[[#This Row],[LoseInKO]]=ResultsInd[[#This Row],[Category]]&amp;"-"&amp;ResultsInd[[#This Row],[Player A]],ResultsInd[[#This Row],[Player B]],ResultsInd[[#This Row],[Player A]]),""),"")</f>
        <v/>
      </c>
      <c r="AB345" s="8"/>
      <c r="AC345" s="8"/>
      <c r="AF345" s="170"/>
      <c r="AG345" s="101"/>
      <c r="AH345" s="101"/>
      <c r="AN345" s="170"/>
      <c r="AO345" s="170"/>
      <c r="AP345" s="170"/>
      <c r="AQ345" s="172"/>
      <c r="AR345" s="173"/>
      <c r="AS345" s="173"/>
      <c r="AT345" s="173"/>
      <c r="AU345" s="101"/>
      <c r="AV345" s="101"/>
      <c r="AW345" s="101"/>
      <c r="AX345" s="101"/>
      <c r="AY345" s="101"/>
      <c r="AZ345" s="101"/>
    </row>
    <row r="346" spans="1:58" ht="12" thickBot="1" x14ac:dyDescent="0.25">
      <c r="A346" s="62"/>
      <c r="B346" s="62"/>
      <c r="C346" s="62"/>
      <c r="D346" s="62"/>
      <c r="E346" s="345"/>
      <c r="F346" s="345"/>
      <c r="G346" s="113"/>
      <c r="H346" s="113"/>
      <c r="I346" s="114"/>
      <c r="J346" s="114"/>
      <c r="K346" s="114"/>
      <c r="L346" s="81"/>
      <c r="M346" s="265" t="b">
        <f>NOT(ISERROR(ResultsInd[[#This Row],[Goal-A]]+ResultsInd[[#This Row],[Goal-B]]))</f>
        <v>1</v>
      </c>
      <c r="N346" s="265">
        <f>VALUE(ResultsInd[[#This Row],[Score-A]])</f>
        <v>0</v>
      </c>
      <c r="O346" s="265">
        <f>VALUE(ResultsInd[[#This Row],[Score-B]])</f>
        <v>0</v>
      </c>
      <c r="P346" s="265" t="str">
        <f ca="1">IF(AND(ResultsInd[[#This Row],[Category]]&lt;&gt;"",ResultsInd[[#This Row],[Player A]]&lt;&gt;""),COUNTIF(INDIRECT(ResultsInd[[#This Row],[Category]]&amp;"List[Retained Player Name]"),ResultsInd[[#This Row],[Player A]]),"")</f>
        <v/>
      </c>
      <c r="Q346" s="265" t="str">
        <f ca="1">IF(AND(ResultsInd[[#This Row],[Category]]&lt;&gt;"",ResultsInd[[#This Row],[Player B]]&lt;&gt;""),COUNTIF(INDIRECT(ResultsInd[[#This Row],[Category]]&amp;"List[Retained Player Name]"),ResultsInd[[#This Row],[Player B]]),"")</f>
        <v/>
      </c>
      <c r="R3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6" s="265" t="str">
        <f>IF(ResultsInd[[#This Row],[Score_OK]],IF(ResultsInd[[#This Row],[Stage]]="Groups",ResultsInd[[#This Row],[Category]]&amp;"-"&amp;IF(ResultsInd[[#This Row],[Player B]]="","",IF(ResultsInd[[#This Row],[Score-A]]=ResultsInd[[#This Row],[Score-B]],ResultsInd[[#This Row],[Player A]],"")),""),"")</f>
        <v/>
      </c>
      <c r="T346" s="265" t="str">
        <f>IF(ResultsInd[[#This Row],[Score_OK]],IF(ResultsInd[[#This Row],[Stage]]="Groups",ResultsInd[[#This Row],[Category]]&amp;"-"&amp;IF(ResultsInd[[#This Row],[Player B]]="","",IF(ResultsInd[[#This Row],[Score-A]]=ResultsInd[[#This Row],[Score-B]],ResultsInd[[#This Row],[Player B]],"")),""),"")</f>
        <v/>
      </c>
      <c r="U3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6" s="264" t="str">
        <f>IF(ResultsInd[[#This Row],[Category]]="","",VLOOKUP(ResultsInd[[#This Row],[Stage]],$P$1:$V$9,MATCH(ResultsInd[[#This Row],[Category]],$Q$1:$V$1,0)+1,FALSE))</f>
        <v/>
      </c>
      <c r="Z346" s="264" t="str">
        <f>IF(ResultsInd[[#This Row],[Score_OK]],IF(ResultsInd[[#This Row],[Level]]="R",ResultsInd[[#This Row],[Category]]&amp;"-"&amp;IF(ResultsInd[[#This Row],[LoseInKO]]=ResultsInd[[#This Row],[Category]]&amp;"-"&amp;ResultsInd[[#This Row],[Player A]],ResultsInd[[#This Row],[Player B]],ResultsInd[[#This Row],[Player A]]),""),"")</f>
        <v/>
      </c>
      <c r="AB346" s="281">
        <v>8</v>
      </c>
      <c r="AC346" s="315" t="s">
        <v>12261</v>
      </c>
      <c r="AD346" s="289" t="s">
        <v>14439</v>
      </c>
      <c r="AE346" s="290" t="s">
        <v>12279</v>
      </c>
      <c r="AF346" s="284" t="s">
        <v>12275</v>
      </c>
      <c r="AG346" s="296" t="s">
        <v>12276</v>
      </c>
      <c r="AH346" s="291" t="s">
        <v>12271</v>
      </c>
      <c r="AI346" s="291" t="s">
        <v>12272</v>
      </c>
      <c r="AJ346" s="414" t="s">
        <v>13154</v>
      </c>
      <c r="AK346" s="291" t="s">
        <v>12273</v>
      </c>
      <c r="AL346" s="297" t="s">
        <v>12274</v>
      </c>
      <c r="AM346" s="414" t="s">
        <v>13154</v>
      </c>
      <c r="AN346" s="303" t="s">
        <v>12199</v>
      </c>
      <c r="AO346" s="304" t="s">
        <v>12200</v>
      </c>
      <c r="AP346" s="304" t="s">
        <v>12201</v>
      </c>
      <c r="AQ346" s="304" t="s">
        <v>12202</v>
      </c>
      <c r="AR346" s="304" t="s">
        <v>12203</v>
      </c>
      <c r="AS346" s="304" t="s">
        <v>12204</v>
      </c>
      <c r="AT346" s="304" t="s">
        <v>12205</v>
      </c>
      <c r="AU346" s="305" t="s">
        <v>12206</v>
      </c>
      <c r="AV346" s="468"/>
      <c r="AW346" s="282" t="s">
        <v>12276</v>
      </c>
      <c r="AX346" s="282" t="s">
        <v>12280</v>
      </c>
      <c r="AY346" s="283" t="s">
        <v>12199</v>
      </c>
      <c r="AZ346" s="283" t="s">
        <v>12200</v>
      </c>
      <c r="BA346" s="283" t="s">
        <v>12201</v>
      </c>
      <c r="BB346" s="283" t="s">
        <v>12202</v>
      </c>
      <c r="BC346" s="283" t="s">
        <v>12203</v>
      </c>
      <c r="BD346" s="283" t="s">
        <v>12204</v>
      </c>
      <c r="BE346" s="283" t="s">
        <v>12205</v>
      </c>
      <c r="BF346" s="300" t="s">
        <v>12206</v>
      </c>
    </row>
    <row r="347" spans="1:58" ht="12" thickBot="1" x14ac:dyDescent="0.25">
      <c r="A347" s="62" t="s">
        <v>12261</v>
      </c>
      <c r="B347" s="62" t="s">
        <v>12207</v>
      </c>
      <c r="C347" s="62">
        <v>8</v>
      </c>
      <c r="D347" s="62"/>
      <c r="E347" s="345" t="s">
        <v>9744</v>
      </c>
      <c r="F347" s="345" t="s">
        <v>11908</v>
      </c>
      <c r="G347" s="113">
        <v>8</v>
      </c>
      <c r="H347" s="113">
        <v>0</v>
      </c>
      <c r="I347" s="114"/>
      <c r="J347" s="114"/>
      <c r="K347" s="114"/>
      <c r="L347" s="81"/>
      <c r="M347" s="265" t="b">
        <f>NOT(ISERROR(ResultsInd[[#This Row],[Goal-A]]+ResultsInd[[#This Row],[Goal-B]]))</f>
        <v>1</v>
      </c>
      <c r="N347" s="265">
        <f>VALUE(ResultsInd[[#This Row],[Score-A]])</f>
        <v>8</v>
      </c>
      <c r="O347" s="265">
        <f>VALUE(ResultsInd[[#This Row],[Score-B]])</f>
        <v>0</v>
      </c>
      <c r="P347" s="265">
        <f ca="1">IF(AND(ResultsInd[[#This Row],[Category]]&lt;&gt;"",ResultsInd[[#This Row],[Player A]]&lt;&gt;""),COUNTIF(INDIRECT(ResultsInd[[#This Row],[Category]]&amp;"List[Retained Player Name]"),ResultsInd[[#This Row],[Player A]]),"")</f>
        <v>1</v>
      </c>
      <c r="Q347" s="265">
        <f ca="1">IF(AND(ResultsInd[[#This Row],[Category]]&lt;&gt;"",ResultsInd[[#This Row],[Player B]]&lt;&gt;""),COUNTIF(INDIRECT(ResultsInd[[#This Row],[Category]]&amp;"List[Retained Player Name]"),ResultsInd[[#This Row],[Player B]]),"")</f>
        <v>1</v>
      </c>
      <c r="R3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VETERANS-Gerardo Patruno</v>
      </c>
      <c r="S347" s="265" t="str">
        <f>IF(ResultsInd[[#This Row],[Score_OK]],IF(ResultsInd[[#This Row],[Stage]]="Groups",ResultsInd[[#This Row],[Category]]&amp;"-"&amp;IF(ResultsInd[[#This Row],[Player B]]="","",IF(ResultsInd[[#This Row],[Score-A]]=ResultsInd[[#This Row],[Score-B]],ResultsInd[[#This Row],[Player A]],"")),""),"")</f>
        <v>VETERANS-</v>
      </c>
      <c r="T347" s="265" t="str">
        <f>IF(ResultsInd[[#This Row],[Score_OK]],IF(ResultsInd[[#This Row],[Stage]]="Groups",ResultsInd[[#This Row],[Category]]&amp;"-"&amp;IF(ResultsInd[[#This Row],[Player B]]="","",IF(ResultsInd[[#This Row],[Score-A]]=ResultsInd[[#This Row],[Score-B]],ResultsInd[[#This Row],[Player B]],"")),""),"")</f>
        <v>VETERANS-</v>
      </c>
      <c r="U3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VETERANS-Steve Austin</v>
      </c>
      <c r="V3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VETERANS-Steve Austin</v>
      </c>
      <c r="X3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VETERANS-Steve Austin</v>
      </c>
      <c r="Y347" s="264" t="str">
        <f>IF(ResultsInd[[#This Row],[Category]]="","",VLOOKUP(ResultsInd[[#This Row],[Stage]],$P$1:$V$9,MATCH(ResultsInd[[#This Row],[Category]],$Q$1:$V$1,0)+1,FALSE))</f>
        <v>PR1</v>
      </c>
      <c r="Z347" s="264" t="str">
        <f>IF(ResultsInd[[#This Row],[Score_OK]],IF(ResultsInd[[#This Row],[Level]]="R",ResultsInd[[#This Row],[Category]]&amp;"-"&amp;IF(ResultsInd[[#This Row],[LoseInKO]]=ResultsInd[[#This Row],[Category]]&amp;"-"&amp;ResultsInd[[#This Row],[Player A]],ResultsInd[[#This Row],[Player B]],ResultsInd[[#This Row],[Player A]]),""),"")</f>
        <v/>
      </c>
      <c r="AB347" s="8"/>
      <c r="AC347" s="12" t="str">
        <f>IF(AC346="","",AC346)</f>
        <v>VETERANS</v>
      </c>
      <c r="AD347" s="309" t="s">
        <v>8519</v>
      </c>
      <c r="AE347" s="320"/>
      <c r="AF347" s="311"/>
      <c r="AG347" s="292">
        <f>IF(AP347="","",SMALL(AH347:AH353,ROWS(AG347:AG347)))</f>
        <v>1001</v>
      </c>
      <c r="AH347" s="293">
        <f>IF(AP347="","",RANK(AL347,AL347:AL353)*1000+ROWS(AH347:AH347))</f>
        <v>1001</v>
      </c>
      <c r="AI347" s="316">
        <f t="shared" ref="AI347:AI353" si="297">IF(AP347="","",CritClassInd1_Points*AN347+CritClassInd1_Matches*AP347+CritClassInd1_Attaque*AS347+CritClassInd1_DiffButs*AU347)</f>
        <v>9000000000000</v>
      </c>
      <c r="AJ347" s="415" t="b">
        <f>AND(AO347&lt;&gt;"",AO347&gt;0,COUNTIF(AI347:AI353,AI347)&gt;1)</f>
        <v>0</v>
      </c>
      <c r="AK347" s="316">
        <f t="shared" ref="AK347:AK353" si="298">IF(AP347="","",CritClassInd_ScorePart*AE347)</f>
        <v>0</v>
      </c>
      <c r="AL347" s="317">
        <f t="shared" ref="AL347:AL353" si="299">IF(AP347="","",AI347+AK347+CritClassInd2_Points*AN347+CritClassInd2_Matches*AP347+CritClassInd2_Attaque*AS347+CritClassInd2_DiffButs*AU347+AF347)</f>
        <v>9000000040600</v>
      </c>
      <c r="AM347" s="415" t="b">
        <f>AND(AO347&lt;&gt;"",AO347&gt;0,COUNTIF(AL347:AL353,AL347)&gt;1)</f>
        <v>0</v>
      </c>
      <c r="AN347" s="306">
        <f t="shared" ref="AN347:AN353" si="300">IF(AP347="","",(AP347*Points_Victoire)+AQ347*Points_Null)</f>
        <v>9</v>
      </c>
      <c r="AO347" s="307">
        <f t="shared" ref="AO347:AO353" si="301">IF(AP347="","",SUM(AP347:AR347))</f>
        <v>3</v>
      </c>
      <c r="AP347" s="307">
        <f>IF(OR(AC346="",AD347=""),"",COUNTIF(ResultsInd[Win],AC346&amp;"-"&amp;AD347))</f>
        <v>3</v>
      </c>
      <c r="AQ347" s="307">
        <f>IF(OR(AC346="",AD347=""),"",COUNTIF(ResultsInd[Draw1],AC346&amp;"-"&amp;AD347)+COUNTIF(ResultsInd[Draw2],AC346&amp;"-"&amp;AD347))</f>
        <v>0</v>
      </c>
      <c r="AR347" s="307">
        <f>IF(OR(AC346="",AD347=""),"",COUNTIF(ResultsInd[Lose],AC346&amp;"-"&amp;AD347))</f>
        <v>0</v>
      </c>
      <c r="AS347" s="307">
        <f>IF(OR(AC346="",AD347=""),"",SUMIFS(ResultsInd[Goal-A],ResultsInd[Category],AC346,ResultsInd[Stage],"Groups",ResultsInd[Player A],AD347)+SUMIFS(ResultsInd[Goal-B],ResultsInd[Category],AC346,ResultsInd[Stage],"Groups",ResultsInd[Player B],AD347))</f>
        <v>6</v>
      </c>
      <c r="AT347" s="307">
        <f>IF(OR(AC346="",AD347=""),"",SUMIFS(ResultsInd[Goal-B],ResultsInd[Category],AC346,ResultsInd[Stage],"Groups",ResultsInd[Player A],AD347)+SUMIFS(ResultsInd[Goal-A],ResultsInd[Category],AC346,ResultsInd[Stage],"Groups",ResultsInd[Player B],AD347))</f>
        <v>2</v>
      </c>
      <c r="AU347" s="308">
        <f>IF(AP347="","",AS347-AT347)</f>
        <v>4</v>
      </c>
      <c r="AV347" s="469" t="b">
        <f>IF(AG347="","",OR(VLOOKUP(AG347,AH347:AU353,3,FALSE),VLOOKUP(AG347,AH347:AU353,6,FALSE)))</f>
        <v>0</v>
      </c>
      <c r="AW347" s="298">
        <f t="shared" ref="AW347:AW353" si="302">IF(AG347="","",INT(AG347/1000))</f>
        <v>1</v>
      </c>
      <c r="AX347" s="285" t="str">
        <f>IF(AG347="","",INDEX(AD347:AD353,MATCH(AG347,AH347:AH353,0)))</f>
        <v>Darren Clark</v>
      </c>
      <c r="AY347" s="286">
        <f>IF(AG347="","",VLOOKUP(AG347,AH347:AU353,COLUMN()-COLUMN(AR346),FALSE))</f>
        <v>9</v>
      </c>
      <c r="AZ347" s="286">
        <f>IF(AG347="","",VLOOKUP(AG347,AH347:AU353,COLUMN()-COLUMN(AR346),FALSE))</f>
        <v>3</v>
      </c>
      <c r="BA347" s="286">
        <f>IF(AG347="","",VLOOKUP(AG347,AH347:AU353,COLUMN()-COLUMN(AR346),FALSE))</f>
        <v>3</v>
      </c>
      <c r="BB347" s="286">
        <f>IF(AG347="","",VLOOKUP(AG347,AH347:AU353,COLUMN()-COLUMN(AR346),FALSE))</f>
        <v>0</v>
      </c>
      <c r="BC347" s="286">
        <f>IF(AG347="","",VLOOKUP(AG347,AH347:AU353,COLUMN()-COLUMN(AR346),FALSE))</f>
        <v>0</v>
      </c>
      <c r="BD347" s="286">
        <f>IF(AG347="","",VLOOKUP(AG347,AH347:AU353,COLUMN()-COLUMN(AR346),FALSE))</f>
        <v>6</v>
      </c>
      <c r="BE347" s="286">
        <f>IF(AG347="","",VLOOKUP(AG347,AH347:AU353,COLUMN()-COLUMN(AR346),FALSE))</f>
        <v>2</v>
      </c>
      <c r="BF347" s="301">
        <f>IF(AG347="","",VLOOKUP(AG347,AH347:AU353,COLUMN()-COLUMN(AR346),FALSE))</f>
        <v>4</v>
      </c>
    </row>
    <row r="348" spans="1:58" ht="12" thickBot="1" x14ac:dyDescent="0.25">
      <c r="A348" s="62" t="s">
        <v>12261</v>
      </c>
      <c r="B348" s="62" t="s">
        <v>12207</v>
      </c>
      <c r="C348" s="62">
        <v>8</v>
      </c>
      <c r="D348" s="62"/>
      <c r="E348" s="345" t="s">
        <v>8519</v>
      </c>
      <c r="F348" s="345" t="s">
        <v>8107</v>
      </c>
      <c r="G348" s="113">
        <v>1</v>
      </c>
      <c r="H348" s="113">
        <v>0</v>
      </c>
      <c r="I348" s="114"/>
      <c r="J348" s="114"/>
      <c r="K348" s="114"/>
      <c r="L348" s="81"/>
      <c r="M348" s="265" t="b">
        <f>NOT(ISERROR(ResultsInd[[#This Row],[Goal-A]]+ResultsInd[[#This Row],[Goal-B]]))</f>
        <v>1</v>
      </c>
      <c r="N348" s="265">
        <f>VALUE(ResultsInd[[#This Row],[Score-A]])</f>
        <v>1</v>
      </c>
      <c r="O348" s="265">
        <f>VALUE(ResultsInd[[#This Row],[Score-B]])</f>
        <v>0</v>
      </c>
      <c r="P348" s="265">
        <f ca="1">IF(AND(ResultsInd[[#This Row],[Category]]&lt;&gt;"",ResultsInd[[#This Row],[Player A]]&lt;&gt;""),COUNTIF(INDIRECT(ResultsInd[[#This Row],[Category]]&amp;"List[Retained Player Name]"),ResultsInd[[#This Row],[Player A]]),"")</f>
        <v>1</v>
      </c>
      <c r="Q348" s="265">
        <f ca="1">IF(AND(ResultsInd[[#This Row],[Category]]&lt;&gt;"",ResultsInd[[#This Row],[Player B]]&lt;&gt;""),COUNTIF(INDIRECT(ResultsInd[[#This Row],[Category]]&amp;"List[Retained Player Name]"),ResultsInd[[#This Row],[Player B]]),"")</f>
        <v>1</v>
      </c>
      <c r="R3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VETERANS-Darren Clark</v>
      </c>
      <c r="S348" s="265" t="str">
        <f>IF(ResultsInd[[#This Row],[Score_OK]],IF(ResultsInd[[#This Row],[Stage]]="Groups",ResultsInd[[#This Row],[Category]]&amp;"-"&amp;IF(ResultsInd[[#This Row],[Player B]]="","",IF(ResultsInd[[#This Row],[Score-A]]=ResultsInd[[#This Row],[Score-B]],ResultsInd[[#This Row],[Player A]],"")),""),"")</f>
        <v>VETERANS-</v>
      </c>
      <c r="T348" s="265" t="str">
        <f>IF(ResultsInd[[#This Row],[Score_OK]],IF(ResultsInd[[#This Row],[Stage]]="Groups",ResultsInd[[#This Row],[Category]]&amp;"-"&amp;IF(ResultsInd[[#This Row],[Player B]]="","",IF(ResultsInd[[#This Row],[Score-A]]=ResultsInd[[#This Row],[Score-B]],ResultsInd[[#This Row],[Player B]],"")),""),"")</f>
        <v>VETERANS-</v>
      </c>
      <c r="U3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VETERANS-Stéphane Lambert</v>
      </c>
      <c r="V3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X3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Y348" s="264" t="str">
        <f>IF(ResultsInd[[#This Row],[Category]]="","",VLOOKUP(ResultsInd[[#This Row],[Stage]],$P$1:$V$9,MATCH(ResultsInd[[#This Row],[Category]],$Q$1:$V$1,0)+1,FALSE))</f>
        <v>PR1</v>
      </c>
      <c r="Z348" s="264" t="str">
        <f>IF(ResultsInd[[#This Row],[Score_OK]],IF(ResultsInd[[#This Row],[Level]]="R",ResultsInd[[#This Row],[Category]]&amp;"-"&amp;IF(ResultsInd[[#This Row],[LoseInKO]]=ResultsInd[[#This Row],[Category]]&amp;"-"&amp;ResultsInd[[#This Row],[Player A]],ResultsInd[[#This Row],[Player B]],ResultsInd[[#This Row],[Player A]]),""),"")</f>
        <v/>
      </c>
      <c r="AB348" s="8"/>
      <c r="AC348" s="12" t="str">
        <f t="shared" ref="AC348:AC353" si="303">IF(AC347="","",AC347)</f>
        <v>VETERANS</v>
      </c>
      <c r="AD348" s="309" t="s">
        <v>9744</v>
      </c>
      <c r="AE348" s="320"/>
      <c r="AF348" s="311"/>
      <c r="AG348" s="292">
        <f>IF(AP348="","",SMALL(AH347:AH353,ROWS(AG347:AG348)))</f>
        <v>2002</v>
      </c>
      <c r="AH348" s="293">
        <f>IF(AP348="","",RANK(AL348,AL347:AL353)*1000+ROWS(AH347:AH348))</f>
        <v>2002</v>
      </c>
      <c r="AI348" s="316">
        <f t="shared" si="297"/>
        <v>6000000000000</v>
      </c>
      <c r="AJ348" s="415" t="b">
        <f>AND(AO348&lt;&gt;"",AO348&gt;0,COUNTIF(AI347:AI353,AI348)&gt;1)</f>
        <v>0</v>
      </c>
      <c r="AK348" s="316">
        <f t="shared" si="298"/>
        <v>0</v>
      </c>
      <c r="AL348" s="317">
        <f t="shared" si="299"/>
        <v>6000000131500</v>
      </c>
      <c r="AM348" s="415" t="b">
        <f>AND(AO348&lt;&gt;"",AO348&gt;0,COUNTIF(AL347:AL353,AL348)&gt;1)</f>
        <v>0</v>
      </c>
      <c r="AN348" s="306">
        <f t="shared" si="300"/>
        <v>6</v>
      </c>
      <c r="AO348" s="307">
        <f t="shared" si="301"/>
        <v>3</v>
      </c>
      <c r="AP348" s="307">
        <f>IF(OR(AC346="",AD348=""),"",COUNTIF(ResultsInd[Win],AC346&amp;"-"&amp;AD348))</f>
        <v>2</v>
      </c>
      <c r="AQ348" s="307">
        <f>IF(OR(AC346="",AD348=""),"",COUNTIF(ResultsInd[Draw1],AC346&amp;"-"&amp;AD348)+COUNTIF(ResultsInd[Draw2],AC346&amp;"-"&amp;AD348))</f>
        <v>0</v>
      </c>
      <c r="AR348" s="307">
        <f>IF(OR(AC346="",AD348=""),"",COUNTIF(ResultsInd[Lose],AC346&amp;"-"&amp;AD348))</f>
        <v>1</v>
      </c>
      <c r="AS348" s="307">
        <f>IF(OR(AC346="",AD348=""),"",SUMIFS(ResultsInd[Goal-A],ResultsInd[Category],AC346,ResultsInd[Stage],"Groups",ResultsInd[Player A],AD348)+SUMIFS(ResultsInd[Goal-B],ResultsInd[Category],AC346,ResultsInd[Stage],"Groups",ResultsInd[Player B],AD348))</f>
        <v>15</v>
      </c>
      <c r="AT348" s="307">
        <f>IF(OR(AC346="",AD348=""),"",SUMIFS(ResultsInd[Goal-B],ResultsInd[Category],AC346,ResultsInd[Stage],"Groups",ResultsInd[Player A],AD348)+SUMIFS(ResultsInd[Goal-A],ResultsInd[Category],AC346,ResultsInd[Stage],"Groups",ResultsInd[Player B],AD348))</f>
        <v>2</v>
      </c>
      <c r="AU348" s="308">
        <f t="shared" ref="AU348:AU353" si="304">IF(AP348="","",AS348-AT348)</f>
        <v>13</v>
      </c>
      <c r="AV348" s="469" t="b">
        <f>IF(AG348="","",OR(VLOOKUP(AG348,AH347:AU353,3,FALSE),VLOOKUP(AG348,AH347:AU353,6,FALSE)))</f>
        <v>0</v>
      </c>
      <c r="AW348" s="298">
        <f t="shared" si="302"/>
        <v>2</v>
      </c>
      <c r="AX348" s="285" t="str">
        <f>IF(AG348="","",INDEX(AD347:AD353,MATCH(AG348,AH347:AH353,0)))</f>
        <v>Gerardo Patruno</v>
      </c>
      <c r="AY348" s="286">
        <f>IF(AG348="","",VLOOKUP(AG348,AH347:AU353,COLUMN()-COLUMN(AR346),FALSE))</f>
        <v>6</v>
      </c>
      <c r="AZ348" s="286">
        <f>IF(AG348="","",VLOOKUP(AG348,AH347:AU353,COLUMN()-COLUMN(AR346),FALSE))</f>
        <v>3</v>
      </c>
      <c r="BA348" s="286">
        <f>IF(AG348="","",VLOOKUP(AG348,AH347:AU353,COLUMN()-COLUMN(AR346),FALSE))</f>
        <v>2</v>
      </c>
      <c r="BB348" s="286">
        <f>IF(AG348="","",VLOOKUP(AG348,AH347:AU353,COLUMN()-COLUMN(AR346),FALSE))</f>
        <v>0</v>
      </c>
      <c r="BC348" s="286">
        <f>IF(AG348="","",VLOOKUP(AG348,AH347:AU353,COLUMN()-COLUMN(AR346),FALSE))</f>
        <v>1</v>
      </c>
      <c r="BD348" s="286">
        <f>IF(AG348="","",VLOOKUP(AG348,AH347:AU353,COLUMN()-COLUMN(AR346),FALSE))</f>
        <v>15</v>
      </c>
      <c r="BE348" s="286">
        <f>IF(AG348="","",VLOOKUP(AG348,AH347:AU353,COLUMN()-COLUMN(AR346),FALSE))</f>
        <v>2</v>
      </c>
      <c r="BF348" s="301">
        <f>IF(AG348="","",VLOOKUP(AG348,AH347:AU353,COLUMN()-COLUMN(AR346),FALSE))</f>
        <v>13</v>
      </c>
    </row>
    <row r="349" spans="1:58" ht="12" thickBot="1" x14ac:dyDescent="0.25">
      <c r="A349" s="62" t="s">
        <v>12261</v>
      </c>
      <c r="B349" s="62" t="s">
        <v>12207</v>
      </c>
      <c r="C349" s="62">
        <v>8</v>
      </c>
      <c r="D349" s="62"/>
      <c r="E349" s="345" t="s">
        <v>9744</v>
      </c>
      <c r="F349" s="345" t="s">
        <v>8519</v>
      </c>
      <c r="G349" s="113">
        <v>1</v>
      </c>
      <c r="H349" s="113">
        <v>2</v>
      </c>
      <c r="I349" s="114"/>
      <c r="J349" s="114"/>
      <c r="K349" s="114"/>
      <c r="L349" s="81"/>
      <c r="M349" s="265" t="b">
        <f>NOT(ISERROR(ResultsInd[[#This Row],[Goal-A]]+ResultsInd[[#This Row],[Goal-B]]))</f>
        <v>1</v>
      </c>
      <c r="N349" s="265">
        <f>VALUE(ResultsInd[[#This Row],[Score-A]])</f>
        <v>1</v>
      </c>
      <c r="O349" s="265">
        <f>VALUE(ResultsInd[[#This Row],[Score-B]])</f>
        <v>2</v>
      </c>
      <c r="P349" s="265">
        <f ca="1">IF(AND(ResultsInd[[#This Row],[Category]]&lt;&gt;"",ResultsInd[[#This Row],[Player A]]&lt;&gt;""),COUNTIF(INDIRECT(ResultsInd[[#This Row],[Category]]&amp;"List[Retained Player Name]"),ResultsInd[[#This Row],[Player A]]),"")</f>
        <v>1</v>
      </c>
      <c r="Q349" s="265">
        <f ca="1">IF(AND(ResultsInd[[#This Row],[Category]]&lt;&gt;"",ResultsInd[[#This Row],[Player B]]&lt;&gt;""),COUNTIF(INDIRECT(ResultsInd[[#This Row],[Category]]&amp;"List[Retained Player Name]"),ResultsInd[[#This Row],[Player B]]),"")</f>
        <v>1</v>
      </c>
      <c r="R3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VETERANS-Darren Clark</v>
      </c>
      <c r="S349" s="265" t="str">
        <f>IF(ResultsInd[[#This Row],[Score_OK]],IF(ResultsInd[[#This Row],[Stage]]="Groups",ResultsInd[[#This Row],[Category]]&amp;"-"&amp;IF(ResultsInd[[#This Row],[Player B]]="","",IF(ResultsInd[[#This Row],[Score-A]]=ResultsInd[[#This Row],[Score-B]],ResultsInd[[#This Row],[Player A]],"")),""),"")</f>
        <v>VETERANS-</v>
      </c>
      <c r="T349" s="265" t="str">
        <f>IF(ResultsInd[[#This Row],[Score_OK]],IF(ResultsInd[[#This Row],[Stage]]="Groups",ResultsInd[[#This Row],[Category]]&amp;"-"&amp;IF(ResultsInd[[#This Row],[Player B]]="","",IF(ResultsInd[[#This Row],[Score-A]]=ResultsInd[[#This Row],[Score-B]],ResultsInd[[#This Row],[Player B]],"")),""),"")</f>
        <v>VETERANS-</v>
      </c>
      <c r="U3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VETERANS-Gerardo Patruno</v>
      </c>
      <c r="V3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VETERANS-Gerardo Patruno</v>
      </c>
      <c r="X3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VETERANS-Gerardo Patruno</v>
      </c>
      <c r="Y349" s="264" t="str">
        <f>IF(ResultsInd[[#This Row],[Category]]="","",VLOOKUP(ResultsInd[[#This Row],[Stage]],$P$1:$V$9,MATCH(ResultsInd[[#This Row],[Category]],$Q$1:$V$1,0)+1,FALSE))</f>
        <v>PR1</v>
      </c>
      <c r="Z349" s="264" t="str">
        <f>IF(ResultsInd[[#This Row],[Score_OK]],IF(ResultsInd[[#This Row],[Level]]="R",ResultsInd[[#This Row],[Category]]&amp;"-"&amp;IF(ResultsInd[[#This Row],[LoseInKO]]=ResultsInd[[#This Row],[Category]]&amp;"-"&amp;ResultsInd[[#This Row],[Player A]],ResultsInd[[#This Row],[Player B]],ResultsInd[[#This Row],[Player A]]),""),"")</f>
        <v/>
      </c>
      <c r="AB349" s="8"/>
      <c r="AC349" s="12" t="str">
        <f t="shared" si="303"/>
        <v>VETERANS</v>
      </c>
      <c r="AD349" s="309" t="s">
        <v>8107</v>
      </c>
      <c r="AE349" s="320"/>
      <c r="AF349" s="311"/>
      <c r="AG349" s="292">
        <f>IF(AP349="","",SMALL(AH347:AH353,ROWS(AG347:AG349)))</f>
        <v>3003</v>
      </c>
      <c r="AH349" s="293">
        <f>IF(AP349="","",RANK(AL349,AL347:AL353)*1000+ROWS(AH347:AH349))</f>
        <v>3003</v>
      </c>
      <c r="AI349" s="316">
        <f t="shared" si="297"/>
        <v>1000000000000</v>
      </c>
      <c r="AJ349" s="415" t="b">
        <f>AND(AO349&lt;&gt;"",AO349&gt;0,COUNTIF(AI347:AI353,AI349)&gt;1)</f>
        <v>1</v>
      </c>
      <c r="AK349" s="316">
        <f t="shared" si="298"/>
        <v>0</v>
      </c>
      <c r="AL349" s="317">
        <f t="shared" si="299"/>
        <v>999999930000</v>
      </c>
      <c r="AM349" s="415" t="b">
        <f>AND(AO349&lt;&gt;"",AO349&gt;0,COUNTIF(AL347:AL353,AL349)&gt;1)</f>
        <v>0</v>
      </c>
      <c r="AN349" s="306">
        <f t="shared" si="300"/>
        <v>1</v>
      </c>
      <c r="AO349" s="307">
        <f t="shared" si="301"/>
        <v>3</v>
      </c>
      <c r="AP349" s="307">
        <f>IF(OR(AC346="",AD349=""),"",COUNTIF(ResultsInd[Win],AC346&amp;"-"&amp;AD349))</f>
        <v>0</v>
      </c>
      <c r="AQ349" s="307">
        <f>IF(OR(AC346="",AD349=""),"",COUNTIF(ResultsInd[Draw1],AC346&amp;"-"&amp;AD349)+COUNTIF(ResultsInd[Draw2],AC346&amp;"-"&amp;AD349))</f>
        <v>1</v>
      </c>
      <c r="AR349" s="307">
        <f>IF(OR(AC346="",AD349=""),"",COUNTIF(ResultsInd[Lose],AC346&amp;"-"&amp;AD349))</f>
        <v>2</v>
      </c>
      <c r="AS349" s="307">
        <f>IF(OR(AC346="",AD349=""),"",SUMIFS(ResultsInd[Goal-A],ResultsInd[Category],AC346,ResultsInd[Stage],"Groups",ResultsInd[Player A],AD349)+SUMIFS(ResultsInd[Goal-B],ResultsInd[Category],AC346,ResultsInd[Stage],"Groups",ResultsInd[Player B],AD349))</f>
        <v>0</v>
      </c>
      <c r="AT349" s="307">
        <f>IF(OR(AC346="",AD349=""),"",SUMIFS(ResultsInd[Goal-B],ResultsInd[Category],AC346,ResultsInd[Stage],"Groups",ResultsInd[Player A],AD349)+SUMIFS(ResultsInd[Goal-A],ResultsInd[Category],AC346,ResultsInd[Stage],"Groups",ResultsInd[Player B],AD349))</f>
        <v>7</v>
      </c>
      <c r="AU349" s="308">
        <f t="shared" si="304"/>
        <v>-7</v>
      </c>
      <c r="AV349" s="469" t="b">
        <f>IF(AG349="","",OR(VLOOKUP(AG349,AH347:AU353,3,FALSE),VLOOKUP(AG349,AH347:AU353,6,FALSE)))</f>
        <v>1</v>
      </c>
      <c r="AW349" s="298">
        <f t="shared" si="302"/>
        <v>3</v>
      </c>
      <c r="AX349" s="285" t="str">
        <f>IF(AG349="","",INDEX(AD347:AD353,MATCH(AG349,AH347:AH353,0)))</f>
        <v>Stéphane Lambert</v>
      </c>
      <c r="AY349" s="286">
        <f>IF(AG349="","",VLOOKUP(AG349,AH347:AU353,COLUMN()-COLUMN(AR346),FALSE))</f>
        <v>1</v>
      </c>
      <c r="AZ349" s="286">
        <f>IF(AG349="","",VLOOKUP(AG349,AH347:AU353,COLUMN()-COLUMN(AR346),FALSE))</f>
        <v>3</v>
      </c>
      <c r="BA349" s="286">
        <f>IF(AG349="","",VLOOKUP(AG349,AH347:AU353,COLUMN()-COLUMN(AR346),FALSE))</f>
        <v>0</v>
      </c>
      <c r="BB349" s="286">
        <f>IF(AG349="","",VLOOKUP(AG349,AH347:AU353,COLUMN()-COLUMN(AR346),FALSE))</f>
        <v>1</v>
      </c>
      <c r="BC349" s="286">
        <f>IF(AG349="","",VLOOKUP(AG349,AH347:AU353,COLUMN()-COLUMN(AR346),FALSE))</f>
        <v>2</v>
      </c>
      <c r="BD349" s="286">
        <f>IF(AG349="","",VLOOKUP(AG349,AH347:AU353,COLUMN()-COLUMN(AR346),FALSE))</f>
        <v>0</v>
      </c>
      <c r="BE349" s="286">
        <f>IF(AG349="","",VLOOKUP(AG349,AH347:AU353,COLUMN()-COLUMN(AR346),FALSE))</f>
        <v>7</v>
      </c>
      <c r="BF349" s="301">
        <f>IF(AG349="","",VLOOKUP(AG349,AH347:AU353,COLUMN()-COLUMN(AR346),FALSE))</f>
        <v>-7</v>
      </c>
    </row>
    <row r="350" spans="1:58" ht="12" thickBot="1" x14ac:dyDescent="0.25">
      <c r="A350" s="62" t="s">
        <v>12261</v>
      </c>
      <c r="B350" s="62" t="s">
        <v>12207</v>
      </c>
      <c r="C350" s="62">
        <v>8</v>
      </c>
      <c r="D350" s="62"/>
      <c r="E350" s="345" t="s">
        <v>11908</v>
      </c>
      <c r="F350" s="345" t="s">
        <v>8107</v>
      </c>
      <c r="G350" s="113">
        <v>0</v>
      </c>
      <c r="H350" s="113">
        <v>0</v>
      </c>
      <c r="I350" s="114"/>
      <c r="J350" s="114"/>
      <c r="K350" s="114"/>
      <c r="L350" s="81"/>
      <c r="M350" s="265" t="b">
        <f>NOT(ISERROR(ResultsInd[[#This Row],[Goal-A]]+ResultsInd[[#This Row],[Goal-B]]))</f>
        <v>1</v>
      </c>
      <c r="N350" s="265">
        <f>VALUE(ResultsInd[[#This Row],[Score-A]])</f>
        <v>0</v>
      </c>
      <c r="O350" s="265">
        <f>VALUE(ResultsInd[[#This Row],[Score-B]])</f>
        <v>0</v>
      </c>
      <c r="P350" s="265">
        <f ca="1">IF(AND(ResultsInd[[#This Row],[Category]]&lt;&gt;"",ResultsInd[[#This Row],[Player A]]&lt;&gt;""),COUNTIF(INDIRECT(ResultsInd[[#This Row],[Category]]&amp;"List[Retained Player Name]"),ResultsInd[[#This Row],[Player A]]),"")</f>
        <v>1</v>
      </c>
      <c r="Q350" s="265">
        <f ca="1">IF(AND(ResultsInd[[#This Row],[Category]]&lt;&gt;"",ResultsInd[[#This Row],[Player B]]&lt;&gt;""),COUNTIF(INDIRECT(ResultsInd[[#This Row],[Category]]&amp;"List[Retained Player Name]"),ResultsInd[[#This Row],[Player B]]),"")</f>
        <v>1</v>
      </c>
      <c r="R3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50" s="265" t="str">
        <f>IF(ResultsInd[[#This Row],[Score_OK]],IF(ResultsInd[[#This Row],[Stage]]="Groups",ResultsInd[[#This Row],[Category]]&amp;"-"&amp;IF(ResultsInd[[#This Row],[Player B]]="","",IF(ResultsInd[[#This Row],[Score-A]]=ResultsInd[[#This Row],[Score-B]],ResultsInd[[#This Row],[Player A]],"")),""),"")</f>
        <v>VETERANS-Steve Austin</v>
      </c>
      <c r="T350" s="265" t="str">
        <f>IF(ResultsInd[[#This Row],[Score_OK]],IF(ResultsInd[[#This Row],[Stage]]="Groups",ResultsInd[[#This Row],[Category]]&amp;"-"&amp;IF(ResultsInd[[#This Row],[Player B]]="","",IF(ResultsInd[[#This Row],[Score-A]]=ResultsInd[[#This Row],[Score-B]],ResultsInd[[#This Row],[Player B]],"")),""),"")</f>
        <v>VETERANS-Stéphane Lambert</v>
      </c>
      <c r="U3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VETERANS-Steve Austin</v>
      </c>
      <c r="X3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Y350" s="264" t="str">
        <f>IF(ResultsInd[[#This Row],[Category]]="","",VLOOKUP(ResultsInd[[#This Row],[Stage]],$P$1:$V$9,MATCH(ResultsInd[[#This Row],[Category]],$Q$1:$V$1,0)+1,FALSE))</f>
        <v>PR1</v>
      </c>
      <c r="Z350" s="264" t="str">
        <f>IF(ResultsInd[[#This Row],[Score_OK]],IF(ResultsInd[[#This Row],[Level]]="R",ResultsInd[[#This Row],[Category]]&amp;"-"&amp;IF(ResultsInd[[#This Row],[LoseInKO]]=ResultsInd[[#This Row],[Category]]&amp;"-"&amp;ResultsInd[[#This Row],[Player A]],ResultsInd[[#This Row],[Player B]],ResultsInd[[#This Row],[Player A]]),""),"")</f>
        <v/>
      </c>
      <c r="AB350" s="91"/>
      <c r="AC350" s="12" t="str">
        <f t="shared" si="303"/>
        <v>VETERANS</v>
      </c>
      <c r="AD350" s="309" t="s">
        <v>11908</v>
      </c>
      <c r="AE350" s="310"/>
      <c r="AF350" s="311"/>
      <c r="AG350" s="292">
        <f>IF(AP350="","",SMALL(AH347:AH353,ROWS(AG347:AG350)))</f>
        <v>4004</v>
      </c>
      <c r="AH350" s="293">
        <f>IF(AP350="","",RANK(AL350,AL347:AL353)*1000+ROWS(AH347:AH350))</f>
        <v>4004</v>
      </c>
      <c r="AI350" s="316">
        <f t="shared" si="297"/>
        <v>1000000000000</v>
      </c>
      <c r="AJ350" s="415" t="b">
        <f>AND(AO350&lt;&gt;"",AO350&gt;0,COUNTIF(AI347:AI353,AI350)&gt;1)</f>
        <v>1</v>
      </c>
      <c r="AK350" s="316">
        <f t="shared" si="298"/>
        <v>0</v>
      </c>
      <c r="AL350" s="317">
        <f t="shared" si="299"/>
        <v>999999900100</v>
      </c>
      <c r="AM350" s="415" t="b">
        <f>AND(AO350&lt;&gt;"",AO350&gt;0,COUNTIF(AL347:AL353,AL350)&gt;1)</f>
        <v>0</v>
      </c>
      <c r="AN350" s="306">
        <f t="shared" si="300"/>
        <v>1</v>
      </c>
      <c r="AO350" s="307">
        <f t="shared" si="301"/>
        <v>3</v>
      </c>
      <c r="AP350" s="307">
        <f>IF(OR(AC346="",AD350=""),"",COUNTIF(ResultsInd[Win],AC346&amp;"-"&amp;AD350))</f>
        <v>0</v>
      </c>
      <c r="AQ350" s="307">
        <f>IF(OR(AC346="",AD350=""),"",COUNTIF(ResultsInd[Draw1],AC346&amp;"-"&amp;AD350)+COUNTIF(ResultsInd[Draw2],AC346&amp;"-"&amp;AD350))</f>
        <v>1</v>
      </c>
      <c r="AR350" s="307">
        <f>IF(OR(AC346="",AD350=""),"",COUNTIF(ResultsInd[Lose],AC346&amp;"-"&amp;AD350))</f>
        <v>2</v>
      </c>
      <c r="AS350" s="307">
        <f>IF(OR(AC346="",AD350=""),"",SUMIFS(ResultsInd[Goal-A],ResultsInd[Category],AC346,ResultsInd[Stage],"Groups",ResultsInd[Player A],AD350)+SUMIFS(ResultsInd[Goal-B],ResultsInd[Category],AC346,ResultsInd[Stage],"Groups",ResultsInd[Player B],AD350))</f>
        <v>1</v>
      </c>
      <c r="AT350" s="307">
        <f>IF(OR(AC346="",AD350=""),"",SUMIFS(ResultsInd[Goal-B],ResultsInd[Category],AC346,ResultsInd[Stage],"Groups",ResultsInd[Player A],AD350)+SUMIFS(ResultsInd[Goal-A],ResultsInd[Category],AC346,ResultsInd[Stage],"Groups",ResultsInd[Player B],AD350))</f>
        <v>11</v>
      </c>
      <c r="AU350" s="308">
        <f t="shared" si="304"/>
        <v>-10</v>
      </c>
      <c r="AV350" s="469" t="b">
        <f>IF(AG350="","",OR(VLOOKUP(AG350,AH347:AU353,3,FALSE),VLOOKUP(AG350,AH347:AU353,6,FALSE)))</f>
        <v>1</v>
      </c>
      <c r="AW350" s="298">
        <f t="shared" si="302"/>
        <v>4</v>
      </c>
      <c r="AX350" s="285" t="str">
        <f>IF(AG350="","",INDEX(AD347:AD353,MATCH(AG350,AH347:AH353,0)))</f>
        <v>Steve Austin</v>
      </c>
      <c r="AY350" s="286">
        <f>IF(AG350="","",VLOOKUP(AG350,AH347:AU353,COLUMN()-COLUMN(AR346),FALSE))</f>
        <v>1</v>
      </c>
      <c r="AZ350" s="286">
        <f>IF(AG350="","",VLOOKUP(AG350,AH347:AU353,COLUMN()-COLUMN(AR346),FALSE))</f>
        <v>3</v>
      </c>
      <c r="BA350" s="286">
        <f>IF(AG350="","",VLOOKUP(AG350,AH347:AU353,COLUMN()-COLUMN(AR346),FALSE))</f>
        <v>0</v>
      </c>
      <c r="BB350" s="286">
        <f>IF(AG350="","",VLOOKUP(AG350,AH347:AU353,COLUMN()-COLUMN(AR346),FALSE))</f>
        <v>1</v>
      </c>
      <c r="BC350" s="286">
        <f>IF(AG350="","",VLOOKUP(AG350,AH347:AU353,COLUMN()-COLUMN(AR346),FALSE))</f>
        <v>2</v>
      </c>
      <c r="BD350" s="286">
        <f>IF(AG350="","",VLOOKUP(AG350,AH347:AU353,COLUMN()-COLUMN(AR346),FALSE))</f>
        <v>1</v>
      </c>
      <c r="BE350" s="286">
        <f>IF(AG350="","",VLOOKUP(AG350,AH347:AU353,COLUMN()-COLUMN(AR346),FALSE))</f>
        <v>11</v>
      </c>
      <c r="BF350" s="301">
        <f>IF(AG350="","",VLOOKUP(AG350,AH347:AU353,COLUMN()-COLUMN(AR346),FALSE))</f>
        <v>-10</v>
      </c>
    </row>
    <row r="351" spans="1:58" ht="12" thickBot="1" x14ac:dyDescent="0.25">
      <c r="A351" s="62" t="s">
        <v>12261</v>
      </c>
      <c r="B351" s="62" t="s">
        <v>12207</v>
      </c>
      <c r="C351" s="62">
        <v>8</v>
      </c>
      <c r="D351" s="62"/>
      <c r="E351" s="345" t="s">
        <v>8107</v>
      </c>
      <c r="F351" s="345" t="s">
        <v>9744</v>
      </c>
      <c r="G351" s="113">
        <v>0</v>
      </c>
      <c r="H351" s="113">
        <v>6</v>
      </c>
      <c r="I351" s="114"/>
      <c r="J351" s="114"/>
      <c r="K351" s="114"/>
      <c r="L351" s="81"/>
      <c r="M351" s="265" t="b">
        <f>NOT(ISERROR(ResultsInd[[#This Row],[Goal-A]]+ResultsInd[[#This Row],[Goal-B]]))</f>
        <v>1</v>
      </c>
      <c r="N351" s="265">
        <f>VALUE(ResultsInd[[#This Row],[Score-A]])</f>
        <v>0</v>
      </c>
      <c r="O351" s="265">
        <f>VALUE(ResultsInd[[#This Row],[Score-B]])</f>
        <v>6</v>
      </c>
      <c r="P351" s="265">
        <f ca="1">IF(AND(ResultsInd[[#This Row],[Category]]&lt;&gt;"",ResultsInd[[#This Row],[Player A]]&lt;&gt;""),COUNTIF(INDIRECT(ResultsInd[[#This Row],[Category]]&amp;"List[Retained Player Name]"),ResultsInd[[#This Row],[Player A]]),"")</f>
        <v>1</v>
      </c>
      <c r="Q351" s="265">
        <f ca="1">IF(AND(ResultsInd[[#This Row],[Category]]&lt;&gt;"",ResultsInd[[#This Row],[Player B]]&lt;&gt;""),COUNTIF(INDIRECT(ResultsInd[[#This Row],[Category]]&amp;"List[Retained Player Name]"),ResultsInd[[#This Row],[Player B]]),"")</f>
        <v>1</v>
      </c>
      <c r="R3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VETERANS-Gerardo Patruno</v>
      </c>
      <c r="S351" s="265" t="str">
        <f>IF(ResultsInd[[#This Row],[Score_OK]],IF(ResultsInd[[#This Row],[Stage]]="Groups",ResultsInd[[#This Row],[Category]]&amp;"-"&amp;IF(ResultsInd[[#This Row],[Player B]]="","",IF(ResultsInd[[#This Row],[Score-A]]=ResultsInd[[#This Row],[Score-B]],ResultsInd[[#This Row],[Player A]],"")),""),"")</f>
        <v>VETERANS-</v>
      </c>
      <c r="T351" s="265" t="str">
        <f>IF(ResultsInd[[#This Row],[Score_OK]],IF(ResultsInd[[#This Row],[Stage]]="Groups",ResultsInd[[#This Row],[Category]]&amp;"-"&amp;IF(ResultsInd[[#This Row],[Player B]]="","",IF(ResultsInd[[#This Row],[Score-A]]=ResultsInd[[#This Row],[Score-B]],ResultsInd[[#This Row],[Player B]],"")),""),"")</f>
        <v>VETERANS-</v>
      </c>
      <c r="U3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VETERANS-Stéphane Lambert</v>
      </c>
      <c r="V3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X3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Y351" s="264" t="str">
        <f>IF(ResultsInd[[#This Row],[Category]]="","",VLOOKUP(ResultsInd[[#This Row],[Stage]],$P$1:$V$9,MATCH(ResultsInd[[#This Row],[Category]],$Q$1:$V$1,0)+1,FALSE))</f>
        <v>PR1</v>
      </c>
      <c r="Z351" s="264" t="str">
        <f>IF(ResultsInd[[#This Row],[Score_OK]],IF(ResultsInd[[#This Row],[Level]]="R",ResultsInd[[#This Row],[Category]]&amp;"-"&amp;IF(ResultsInd[[#This Row],[LoseInKO]]=ResultsInd[[#This Row],[Category]]&amp;"-"&amp;ResultsInd[[#This Row],[Player A]],ResultsInd[[#This Row],[Player B]],ResultsInd[[#This Row],[Player A]]),""),"")</f>
        <v/>
      </c>
      <c r="AB351" s="91"/>
      <c r="AC351" s="12" t="str">
        <f t="shared" si="303"/>
        <v>VETERANS</v>
      </c>
      <c r="AD351" s="309"/>
      <c r="AE351" s="310"/>
      <c r="AF351" s="311"/>
      <c r="AG351" s="292" t="str">
        <f>IF(AP351="","",SMALL(AH347:AH353,ROWS(AG347:AG351)))</f>
        <v/>
      </c>
      <c r="AH351" s="293" t="str">
        <f>IF(AP351="","",RANK(AL351,AL347:AL353)*1000+ROWS(AH347:AH351))</f>
        <v/>
      </c>
      <c r="AI351" s="316" t="str">
        <f t="shared" si="297"/>
        <v/>
      </c>
      <c r="AJ351" s="415" t="b">
        <f>AND(AO351&lt;&gt;"",AO351&gt;0,COUNTIF(AI347:AI353,AI351)&gt;1)</f>
        <v>0</v>
      </c>
      <c r="AK351" s="316" t="str">
        <f t="shared" si="298"/>
        <v/>
      </c>
      <c r="AL351" s="317" t="str">
        <f t="shared" si="299"/>
        <v/>
      </c>
      <c r="AM351" s="415" t="b">
        <f>AND(AO351&lt;&gt;"",AO351&gt;0,COUNTIF(AL347:AL353,AL351)&gt;1)</f>
        <v>0</v>
      </c>
      <c r="AN351" s="306" t="str">
        <f t="shared" si="300"/>
        <v/>
      </c>
      <c r="AO351" s="307" t="str">
        <f t="shared" si="301"/>
        <v/>
      </c>
      <c r="AP351" s="307" t="str">
        <f>IF(OR(AC346="",AD351=""),"",COUNTIF(ResultsInd[Win],AC346&amp;"-"&amp;AD351))</f>
        <v/>
      </c>
      <c r="AQ351" s="307" t="str">
        <f>IF(OR(AC346="",AD351=""),"",COUNTIF(ResultsInd[Draw1],AC346&amp;"-"&amp;AD351)+COUNTIF(ResultsInd[Draw2],AC346&amp;"-"&amp;AD351))</f>
        <v/>
      </c>
      <c r="AR351" s="307" t="str">
        <f>IF(OR(AC346="",AD351=""),"",COUNTIF(ResultsInd[Lose],AC346&amp;"-"&amp;AD351))</f>
        <v/>
      </c>
      <c r="AS351" s="307" t="str">
        <f>IF(OR(AC346="",AD351=""),"",SUMIFS(ResultsInd[Goal-A],ResultsInd[Category],AC346,ResultsInd[Stage],"Groups",ResultsInd[Player A],AD351)+SUMIFS(ResultsInd[Goal-B],ResultsInd[Category],AC346,ResultsInd[Stage],"Groups",ResultsInd[Player B],AD351))</f>
        <v/>
      </c>
      <c r="AT351" s="307" t="str">
        <f>IF(OR(AC346="",AD351=""),"",SUMIFS(ResultsInd[Goal-B],ResultsInd[Category],AC346,ResultsInd[Stage],"Groups",ResultsInd[Player A],AD351)+SUMIFS(ResultsInd[Goal-A],ResultsInd[Category],AC346,ResultsInd[Stage],"Groups",ResultsInd[Player B],AD351))</f>
        <v/>
      </c>
      <c r="AU351" s="308" t="str">
        <f t="shared" si="304"/>
        <v/>
      </c>
      <c r="AV351" s="469" t="str">
        <f>IF(AG351="","",OR(VLOOKUP(AG351,AH347:AU353,3,FALSE),VLOOKUP(AG351,AH347:AU353,6,FALSE)))</f>
        <v/>
      </c>
      <c r="AW351" s="298" t="str">
        <f t="shared" si="302"/>
        <v/>
      </c>
      <c r="AX351" s="285" t="str">
        <f>IF(AG351="","",INDEX(AD347:AD353,MATCH(AG351,AH347:AH353,0)))</f>
        <v/>
      </c>
      <c r="AY351" s="286" t="str">
        <f>IF(AG351="","",VLOOKUP(AG351,AH347:AU353,COLUMN()-COLUMN(AR346),FALSE))</f>
        <v/>
      </c>
      <c r="AZ351" s="286" t="str">
        <f>IF(AG351="","",VLOOKUP(AG351,AH347:AU353,COLUMN()-COLUMN(AR346),FALSE))</f>
        <v/>
      </c>
      <c r="BA351" s="286" t="str">
        <f>IF(AG351="","",VLOOKUP(AG351,AH347:AU353,COLUMN()-COLUMN(AR346),FALSE))</f>
        <v/>
      </c>
      <c r="BB351" s="286" t="str">
        <f>IF(AG351="","",VLOOKUP(AG351,AH347:AU353,COLUMN()-COLUMN(AR346),FALSE))</f>
        <v/>
      </c>
      <c r="BC351" s="286" t="str">
        <f>IF(AG351="","",VLOOKUP(AG351,AH347:AU353,COLUMN()-COLUMN(AR346),FALSE))</f>
        <v/>
      </c>
      <c r="BD351" s="286" t="str">
        <f>IF(AG351="","",VLOOKUP(AG351,AH347:AU353,COLUMN()-COLUMN(AR346),FALSE))</f>
        <v/>
      </c>
      <c r="BE351" s="286" t="str">
        <f>IF(AG351="","",VLOOKUP(AG351,AH347:AU353,COLUMN()-COLUMN(AR346),FALSE))</f>
        <v/>
      </c>
      <c r="BF351" s="301" t="str">
        <f>IF(AG351="","",VLOOKUP(AG351,AH347:AU353,COLUMN()-COLUMN(AR346),FALSE))</f>
        <v/>
      </c>
    </row>
    <row r="352" spans="1:58" ht="12" thickBot="1" x14ac:dyDescent="0.25">
      <c r="A352" s="62" t="s">
        <v>12261</v>
      </c>
      <c r="B352" s="62" t="s">
        <v>12207</v>
      </c>
      <c r="C352" s="62">
        <v>8</v>
      </c>
      <c r="D352" s="62"/>
      <c r="E352" s="345" t="s">
        <v>11908</v>
      </c>
      <c r="F352" s="345" t="s">
        <v>8519</v>
      </c>
      <c r="G352" s="113">
        <v>1</v>
      </c>
      <c r="H352" s="113">
        <v>3</v>
      </c>
      <c r="I352" s="114"/>
      <c r="J352" s="114"/>
      <c r="K352" s="114"/>
      <c r="L352" s="81"/>
      <c r="M352" s="265" t="b">
        <f>NOT(ISERROR(ResultsInd[[#This Row],[Goal-A]]+ResultsInd[[#This Row],[Goal-B]]))</f>
        <v>1</v>
      </c>
      <c r="N352" s="265">
        <f>VALUE(ResultsInd[[#This Row],[Score-A]])</f>
        <v>1</v>
      </c>
      <c r="O352" s="265">
        <f>VALUE(ResultsInd[[#This Row],[Score-B]])</f>
        <v>3</v>
      </c>
      <c r="P352" s="265">
        <f ca="1">IF(AND(ResultsInd[[#This Row],[Category]]&lt;&gt;"",ResultsInd[[#This Row],[Player A]]&lt;&gt;""),COUNTIF(INDIRECT(ResultsInd[[#This Row],[Category]]&amp;"List[Retained Player Name]"),ResultsInd[[#This Row],[Player A]]),"")</f>
        <v>1</v>
      </c>
      <c r="Q352" s="265">
        <f ca="1">IF(AND(ResultsInd[[#This Row],[Category]]&lt;&gt;"",ResultsInd[[#This Row],[Player B]]&lt;&gt;""),COUNTIF(INDIRECT(ResultsInd[[#This Row],[Category]]&amp;"List[Retained Player Name]"),ResultsInd[[#This Row],[Player B]]),"")</f>
        <v>1</v>
      </c>
      <c r="R3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VETERANS-Darren Clark</v>
      </c>
      <c r="S352" s="265" t="str">
        <f>IF(ResultsInd[[#This Row],[Score_OK]],IF(ResultsInd[[#This Row],[Stage]]="Groups",ResultsInd[[#This Row],[Category]]&amp;"-"&amp;IF(ResultsInd[[#This Row],[Player B]]="","",IF(ResultsInd[[#This Row],[Score-A]]=ResultsInd[[#This Row],[Score-B]],ResultsInd[[#This Row],[Player A]],"")),""),"")</f>
        <v>VETERANS-</v>
      </c>
      <c r="T352" s="265" t="str">
        <f>IF(ResultsInd[[#This Row],[Score_OK]],IF(ResultsInd[[#This Row],[Stage]]="Groups",ResultsInd[[#This Row],[Category]]&amp;"-"&amp;IF(ResultsInd[[#This Row],[Player B]]="","",IF(ResultsInd[[#This Row],[Score-A]]=ResultsInd[[#This Row],[Score-B]],ResultsInd[[#This Row],[Player B]],"")),""),"")</f>
        <v>VETERANS-</v>
      </c>
      <c r="U3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VETERANS-Steve Austin</v>
      </c>
      <c r="V3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VETERANS-Steve Austin</v>
      </c>
      <c r="X3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VETERANS-Steve Austin</v>
      </c>
      <c r="Y352" s="264" t="str">
        <f>IF(ResultsInd[[#This Row],[Category]]="","",VLOOKUP(ResultsInd[[#This Row],[Stage]],$P$1:$V$9,MATCH(ResultsInd[[#This Row],[Category]],$Q$1:$V$1,0)+1,FALSE))</f>
        <v>PR1</v>
      </c>
      <c r="Z352" s="264" t="str">
        <f>IF(ResultsInd[[#This Row],[Score_OK]],IF(ResultsInd[[#This Row],[Level]]="R",ResultsInd[[#This Row],[Category]]&amp;"-"&amp;IF(ResultsInd[[#This Row],[LoseInKO]]=ResultsInd[[#This Row],[Category]]&amp;"-"&amp;ResultsInd[[#This Row],[Player A]],ResultsInd[[#This Row],[Player B]],ResultsInd[[#This Row],[Player A]]),""),"")</f>
        <v/>
      </c>
      <c r="AB352" s="8"/>
      <c r="AC352" s="12" t="str">
        <f t="shared" si="303"/>
        <v>VETERANS</v>
      </c>
      <c r="AD352" s="309"/>
      <c r="AE352" s="310"/>
      <c r="AF352" s="311"/>
      <c r="AG352" s="292" t="str">
        <f>IF(AP352="","",SMALL(AH347:AH353,ROWS(AG347:AG352)))</f>
        <v/>
      </c>
      <c r="AH352" s="293" t="str">
        <f>IF(AP352="","",RANK(AL352,AL347:AL353)*1000+ROWS(AH347:AH352))</f>
        <v/>
      </c>
      <c r="AI352" s="316" t="str">
        <f t="shared" si="297"/>
        <v/>
      </c>
      <c r="AJ352" s="415" t="b">
        <f>AND(AO352&lt;&gt;"",AO352&gt;0,COUNTIF(AI347:AI353,AI352)&gt;1)</f>
        <v>0</v>
      </c>
      <c r="AK352" s="316" t="str">
        <f t="shared" si="298"/>
        <v/>
      </c>
      <c r="AL352" s="317" t="str">
        <f t="shared" si="299"/>
        <v/>
      </c>
      <c r="AM352" s="415" t="b">
        <f>AND(AO352&lt;&gt;"",AO352&gt;0,COUNTIF(AL347:AL353,AL352)&gt;1)</f>
        <v>0</v>
      </c>
      <c r="AN352" s="306" t="str">
        <f t="shared" si="300"/>
        <v/>
      </c>
      <c r="AO352" s="307" t="str">
        <f t="shared" si="301"/>
        <v/>
      </c>
      <c r="AP352" s="307" t="str">
        <f>IF(OR(AC346="",AD352=""),"",COUNTIF(ResultsInd[Win],AC346&amp;"-"&amp;AD352))</f>
        <v/>
      </c>
      <c r="AQ352" s="307" t="str">
        <f>IF(OR(AC346="",AD352=""),"",COUNTIF(ResultsInd[Draw1],AC346&amp;"-"&amp;AD352)+COUNTIF(ResultsInd[Draw2],AC346&amp;"-"&amp;AD352))</f>
        <v/>
      </c>
      <c r="AR352" s="307" t="str">
        <f>IF(OR(AC346="",AD352=""),"",COUNTIF(ResultsInd[Lose],AC346&amp;"-"&amp;AD352))</f>
        <v/>
      </c>
      <c r="AS352" s="307" t="str">
        <f>IF(OR(AC346="",AD352=""),"",SUMIFS(ResultsInd[Goal-A],ResultsInd[Category],AC346,ResultsInd[Stage],"Groups",ResultsInd[Player A],AD352)+SUMIFS(ResultsInd[Goal-B],ResultsInd[Category],AC346,ResultsInd[Stage],"Groups",ResultsInd[Player B],AD352))</f>
        <v/>
      </c>
      <c r="AT352" s="307" t="str">
        <f>IF(OR(AC346="",AD352=""),"",SUMIFS(ResultsInd[Goal-B],ResultsInd[Category],AC346,ResultsInd[Stage],"Groups",ResultsInd[Player A],AD352)+SUMIFS(ResultsInd[Goal-A],ResultsInd[Category],AC346,ResultsInd[Stage],"Groups",ResultsInd[Player B],AD352))</f>
        <v/>
      </c>
      <c r="AU352" s="308" t="str">
        <f t="shared" si="304"/>
        <v/>
      </c>
      <c r="AV352" s="469" t="str">
        <f>IF(AG352="","",OR(VLOOKUP(AG352,AH347:AU353,3,FALSE),VLOOKUP(AG352,AH347:AU353,6,FALSE)))</f>
        <v/>
      </c>
      <c r="AW352" s="298" t="str">
        <f t="shared" si="302"/>
        <v/>
      </c>
      <c r="AX352" s="285" t="str">
        <f>IF(AG352="","",INDEX(AD347:AD353,MATCH(AG352,AH347:AH353,0)))</f>
        <v/>
      </c>
      <c r="AY352" s="286" t="str">
        <f>IF(AG352="","",VLOOKUP(AG352,AH347:AU353,COLUMN()-COLUMN(AR346),FALSE))</f>
        <v/>
      </c>
      <c r="AZ352" s="286" t="str">
        <f>IF(AG352="","",VLOOKUP(AG352,AH347:AU353,COLUMN()-COLUMN(AR346),FALSE))</f>
        <v/>
      </c>
      <c r="BA352" s="286" t="str">
        <f>IF(AG352="","",VLOOKUP(AG352,AH347:AU353,COLUMN()-COLUMN(AR346),FALSE))</f>
        <v/>
      </c>
      <c r="BB352" s="286" t="str">
        <f>IF(AG352="","",VLOOKUP(AG352,AH347:AU353,COLUMN()-COLUMN(AR346),FALSE))</f>
        <v/>
      </c>
      <c r="BC352" s="286" t="str">
        <f>IF(AG352="","",VLOOKUP(AG352,AH347:AU353,COLUMN()-COLUMN(AR346),FALSE))</f>
        <v/>
      </c>
      <c r="BD352" s="286" t="str">
        <f>IF(AG352="","",VLOOKUP(AG352,AH347:AU353,COLUMN()-COLUMN(AR346),FALSE))</f>
        <v/>
      </c>
      <c r="BE352" s="286" t="str">
        <f>IF(AG352="","",VLOOKUP(AG352,AH347:AU353,COLUMN()-COLUMN(AR346),FALSE))</f>
        <v/>
      </c>
      <c r="BF352" s="301" t="str">
        <f>IF(AG352="","",VLOOKUP(AG352,AH347:AU353,COLUMN()-COLUMN(AR346),FALSE))</f>
        <v/>
      </c>
    </row>
    <row r="353" spans="1:58" ht="12" thickBot="1" x14ac:dyDescent="0.25">
      <c r="A353" s="62"/>
      <c r="B353" s="62"/>
      <c r="C353" s="62"/>
      <c r="D353" s="62"/>
      <c r="E353" s="345"/>
      <c r="F353" s="345"/>
      <c r="G353" s="113"/>
      <c r="H353" s="113"/>
      <c r="I353" s="114"/>
      <c r="J353" s="114"/>
      <c r="K353" s="114"/>
      <c r="L353" s="81"/>
      <c r="M353" s="265" t="b">
        <f>NOT(ISERROR(ResultsInd[[#This Row],[Goal-A]]+ResultsInd[[#This Row],[Goal-B]]))</f>
        <v>1</v>
      </c>
      <c r="N353" s="265">
        <f>VALUE(ResultsInd[[#This Row],[Score-A]])</f>
        <v>0</v>
      </c>
      <c r="O353" s="265">
        <f>VALUE(ResultsInd[[#This Row],[Score-B]])</f>
        <v>0</v>
      </c>
      <c r="P353" s="265" t="str">
        <f ca="1">IF(AND(ResultsInd[[#This Row],[Category]]&lt;&gt;"",ResultsInd[[#This Row],[Player A]]&lt;&gt;""),COUNTIF(INDIRECT(ResultsInd[[#This Row],[Category]]&amp;"List[Retained Player Name]"),ResultsInd[[#This Row],[Player A]]),"")</f>
        <v/>
      </c>
      <c r="Q353" s="265" t="str">
        <f ca="1">IF(AND(ResultsInd[[#This Row],[Category]]&lt;&gt;"",ResultsInd[[#This Row],[Player B]]&lt;&gt;""),COUNTIF(INDIRECT(ResultsInd[[#This Row],[Category]]&amp;"List[Retained Player Name]"),ResultsInd[[#This Row],[Player B]]),"")</f>
        <v/>
      </c>
      <c r="R3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3" s="265" t="str">
        <f>IF(ResultsInd[[#This Row],[Score_OK]],IF(ResultsInd[[#This Row],[Stage]]="Groups",ResultsInd[[#This Row],[Category]]&amp;"-"&amp;IF(ResultsInd[[#This Row],[Player B]]="","",IF(ResultsInd[[#This Row],[Score-A]]=ResultsInd[[#This Row],[Score-B]],ResultsInd[[#This Row],[Player A]],"")),""),"")</f>
        <v/>
      </c>
      <c r="T353" s="265" t="str">
        <f>IF(ResultsInd[[#This Row],[Score_OK]],IF(ResultsInd[[#This Row],[Stage]]="Groups",ResultsInd[[#This Row],[Category]]&amp;"-"&amp;IF(ResultsInd[[#This Row],[Player B]]="","",IF(ResultsInd[[#This Row],[Score-A]]=ResultsInd[[#This Row],[Score-B]],ResultsInd[[#This Row],[Player B]],"")),""),"")</f>
        <v/>
      </c>
      <c r="U3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3" s="264" t="str">
        <f>IF(ResultsInd[[#This Row],[Category]]="","",VLOOKUP(ResultsInd[[#This Row],[Stage]],$P$1:$V$9,MATCH(ResultsInd[[#This Row],[Category]],$Q$1:$V$1,0)+1,FALSE))</f>
        <v/>
      </c>
      <c r="Z353" s="264" t="str">
        <f>IF(ResultsInd[[#This Row],[Score_OK]],IF(ResultsInd[[#This Row],[Level]]="R",ResultsInd[[#This Row],[Category]]&amp;"-"&amp;IF(ResultsInd[[#This Row],[LoseInKO]]=ResultsInd[[#This Row],[Category]]&amp;"-"&amp;ResultsInd[[#This Row],[Player A]],ResultsInd[[#This Row],[Player B]],ResultsInd[[#This Row],[Player A]]),""),"")</f>
        <v/>
      </c>
      <c r="AB353" s="8"/>
      <c r="AC353" s="12" t="str">
        <f t="shared" si="303"/>
        <v>VETERANS</v>
      </c>
      <c r="AD353" s="312"/>
      <c r="AE353" s="313"/>
      <c r="AF353" s="314"/>
      <c r="AG353" s="294" t="str">
        <f>IF(AP353="","",SMALL(AH347:AH353,ROWS(AG347:AG353)))</f>
        <v/>
      </c>
      <c r="AH353" s="295" t="str">
        <f>IF(AP353="","",RANK(AL353,AL347:AL353)*1000+ROWS(AH347:AH353))</f>
        <v/>
      </c>
      <c r="AI353" s="318" t="str">
        <f t="shared" si="297"/>
        <v/>
      </c>
      <c r="AJ353" s="416" t="b">
        <f>AND(AO353&lt;&gt;"",AO353&gt;0,COUNTIF(AI347:AI353,AI353)&gt;1)</f>
        <v>0</v>
      </c>
      <c r="AK353" s="318" t="str">
        <f t="shared" si="298"/>
        <v/>
      </c>
      <c r="AL353" s="319" t="str">
        <f t="shared" si="299"/>
        <v/>
      </c>
      <c r="AM353" s="416" t="b">
        <f>AND(AO353&lt;&gt;"",AO353&gt;0,COUNTIF(AL347:AL353,AL353)&gt;1)</f>
        <v>0</v>
      </c>
      <c r="AN353" s="306" t="str">
        <f t="shared" si="300"/>
        <v/>
      </c>
      <c r="AO353" s="307" t="str">
        <f t="shared" si="301"/>
        <v/>
      </c>
      <c r="AP353" s="307" t="str">
        <f>IF(OR(AC346="",AD353=""),"",COUNTIF(ResultsInd[Win],AC346&amp;"-"&amp;AD353))</f>
        <v/>
      </c>
      <c r="AQ353" s="307" t="str">
        <f>IF(OR(AC346="",AD353=""),"",COUNTIF(ResultsInd[Draw1],AC346&amp;"-"&amp;AD353)+COUNTIF(ResultsInd[Draw2],AC346&amp;"-"&amp;AD353))</f>
        <v/>
      </c>
      <c r="AR353" s="307" t="str">
        <f>IF(OR(AC346="",AD353=""),"",COUNTIF(ResultsInd[Lose],AC346&amp;"-"&amp;AD353))</f>
        <v/>
      </c>
      <c r="AS353" s="307" t="str">
        <f>IF(OR(AC346="",AD353=""),"",SUMIFS(ResultsInd[Goal-A],ResultsInd[Category],AC346,ResultsInd[Stage],"Groups",ResultsInd[Player A],AD353)+SUMIFS(ResultsInd[Goal-B],ResultsInd[Category],AC346,ResultsInd[Stage],"Groups",ResultsInd[Player B],AD353))</f>
        <v/>
      </c>
      <c r="AT353" s="307" t="str">
        <f>IF(OR(AC346="",AD353=""),"",SUMIFS(ResultsInd[Goal-B],ResultsInd[Category],AC346,ResultsInd[Stage],"Groups",ResultsInd[Player A],AD353)+SUMIFS(ResultsInd[Goal-A],ResultsInd[Category],AC346,ResultsInd[Stage],"Groups",ResultsInd[Player B],AD353))</f>
        <v/>
      </c>
      <c r="AU353" s="308" t="str">
        <f t="shared" si="304"/>
        <v/>
      </c>
      <c r="AV353" s="469" t="str">
        <f>IF(AG353="","",OR(VLOOKUP(AG353,AH347:AU353,3,FALSE),VLOOKUP(AG353,AH347:AU353,6,FALSE)))</f>
        <v/>
      </c>
      <c r="AW353" s="299" t="str">
        <f t="shared" si="302"/>
        <v/>
      </c>
      <c r="AX353" s="287" t="str">
        <f>IF(AG353="","",INDEX(AD347:AD353,MATCH(AG353,AH347:AH353,0)))</f>
        <v/>
      </c>
      <c r="AY353" s="288" t="str">
        <f>IF(AG353="","",VLOOKUP(AG353,AH347:AU353,COLUMN()-COLUMN(AR346),FALSE))</f>
        <v/>
      </c>
      <c r="AZ353" s="288" t="str">
        <f>IF(AG353="","",VLOOKUP(AG353,AH347:AU353,COLUMN()-COLUMN(AR346),FALSE))</f>
        <v/>
      </c>
      <c r="BA353" s="288" t="str">
        <f>IF(AG353="","",VLOOKUP(AG353,AH347:AU353,COLUMN()-COLUMN(AR346),FALSE))</f>
        <v/>
      </c>
      <c r="BB353" s="288" t="str">
        <f>IF(AG353="","",VLOOKUP(AG353,AH347:AU353,COLUMN()-COLUMN(AR346),FALSE))</f>
        <v/>
      </c>
      <c r="BC353" s="288" t="str">
        <f>IF(AG353="","",VLOOKUP(AG353,AH347:AU353,COLUMN()-COLUMN(AR346),FALSE))</f>
        <v/>
      </c>
      <c r="BD353" s="288" t="str">
        <f>IF(AG353="","",VLOOKUP(AG353,AH347:AU353,COLUMN()-COLUMN(AR346),FALSE))</f>
        <v/>
      </c>
      <c r="BE353" s="288" t="str">
        <f>IF(AG353="","",VLOOKUP(AG353,AH347:AU353,COLUMN()-COLUMN(AR346),FALSE))</f>
        <v/>
      </c>
      <c r="BF353" s="302" t="str">
        <f>IF(AG353="","",VLOOKUP(AG353,AH347:AU353,COLUMN()-COLUMN(AR346),FALSE))</f>
        <v/>
      </c>
    </row>
    <row r="354" spans="1:58" ht="13.5" thickBot="1" x14ac:dyDescent="0.25">
      <c r="A354" s="62"/>
      <c r="B354" s="62"/>
      <c r="C354" s="62"/>
      <c r="D354" s="62"/>
      <c r="E354" s="345"/>
      <c r="F354" s="345"/>
      <c r="G354" s="113"/>
      <c r="H354" s="113"/>
      <c r="I354" s="114"/>
      <c r="J354" s="114"/>
      <c r="K354" s="114"/>
      <c r="L354" s="81"/>
      <c r="M354" s="265" t="b">
        <f>NOT(ISERROR(ResultsInd[[#This Row],[Goal-A]]+ResultsInd[[#This Row],[Goal-B]]))</f>
        <v>1</v>
      </c>
      <c r="N354" s="265">
        <f>VALUE(ResultsInd[[#This Row],[Score-A]])</f>
        <v>0</v>
      </c>
      <c r="O354" s="265">
        <f>VALUE(ResultsInd[[#This Row],[Score-B]])</f>
        <v>0</v>
      </c>
      <c r="P354" s="265" t="str">
        <f ca="1">IF(AND(ResultsInd[[#This Row],[Category]]&lt;&gt;"",ResultsInd[[#This Row],[Player A]]&lt;&gt;""),COUNTIF(INDIRECT(ResultsInd[[#This Row],[Category]]&amp;"List[Retained Player Name]"),ResultsInd[[#This Row],[Player A]]),"")</f>
        <v/>
      </c>
      <c r="Q354" s="265" t="str">
        <f ca="1">IF(AND(ResultsInd[[#This Row],[Category]]&lt;&gt;"",ResultsInd[[#This Row],[Player B]]&lt;&gt;""),COUNTIF(INDIRECT(ResultsInd[[#This Row],[Category]]&amp;"List[Retained Player Name]"),ResultsInd[[#This Row],[Player B]]),"")</f>
        <v/>
      </c>
      <c r="R3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4" s="265" t="str">
        <f>IF(ResultsInd[[#This Row],[Score_OK]],IF(ResultsInd[[#This Row],[Stage]]="Groups",ResultsInd[[#This Row],[Category]]&amp;"-"&amp;IF(ResultsInd[[#This Row],[Player B]]="","",IF(ResultsInd[[#This Row],[Score-A]]=ResultsInd[[#This Row],[Score-B]],ResultsInd[[#This Row],[Player A]],"")),""),"")</f>
        <v/>
      </c>
      <c r="T354" s="265" t="str">
        <f>IF(ResultsInd[[#This Row],[Score_OK]],IF(ResultsInd[[#This Row],[Stage]]="Groups",ResultsInd[[#This Row],[Category]]&amp;"-"&amp;IF(ResultsInd[[#This Row],[Player B]]="","",IF(ResultsInd[[#This Row],[Score-A]]=ResultsInd[[#This Row],[Score-B]],ResultsInd[[#This Row],[Player B]],"")),""),"")</f>
        <v/>
      </c>
      <c r="U3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4" s="264" t="str">
        <f>IF(ResultsInd[[#This Row],[Category]]="","",VLOOKUP(ResultsInd[[#This Row],[Stage]],$P$1:$V$9,MATCH(ResultsInd[[#This Row],[Category]],$Q$1:$V$1,0)+1,FALSE))</f>
        <v/>
      </c>
      <c r="Z354" s="264" t="str">
        <f>IF(ResultsInd[[#This Row],[Score_OK]],IF(ResultsInd[[#This Row],[Level]]="R",ResultsInd[[#This Row],[Category]]&amp;"-"&amp;IF(ResultsInd[[#This Row],[LoseInKO]]=ResultsInd[[#This Row],[Category]]&amp;"-"&amp;ResultsInd[[#This Row],[Player A]],ResultsInd[[#This Row],[Player B]],ResultsInd[[#This Row],[Player A]]),""),"")</f>
        <v/>
      </c>
      <c r="AB354" s="8"/>
      <c r="AC354" s="8"/>
      <c r="AF354" s="170"/>
      <c r="AG354" s="101"/>
      <c r="AH354" s="101"/>
      <c r="AN354" s="170"/>
      <c r="AO354" s="170"/>
      <c r="AP354" s="170"/>
      <c r="AQ354" s="172"/>
      <c r="AR354" s="173"/>
      <c r="AS354" s="173"/>
      <c r="AT354" s="173"/>
      <c r="AU354" s="101"/>
      <c r="AV354" s="101"/>
      <c r="AW354" s="101"/>
      <c r="AX354" s="101"/>
      <c r="AY354" s="101"/>
      <c r="AZ354" s="101"/>
    </row>
    <row r="355" spans="1:58" ht="12" thickBot="1" x14ac:dyDescent="0.25">
      <c r="A355" s="62"/>
      <c r="B355" s="62"/>
      <c r="C355" s="62"/>
      <c r="D355" s="62"/>
      <c r="E355" s="345"/>
      <c r="F355" s="345"/>
      <c r="G355" s="113"/>
      <c r="H355" s="113"/>
      <c r="I355" s="114"/>
      <c r="J355" s="114"/>
      <c r="K355" s="114"/>
      <c r="L355" s="81"/>
      <c r="M355" s="265" t="b">
        <f>NOT(ISERROR(ResultsInd[[#This Row],[Goal-A]]+ResultsInd[[#This Row],[Goal-B]]))</f>
        <v>1</v>
      </c>
      <c r="N355" s="265">
        <f>VALUE(ResultsInd[[#This Row],[Score-A]])</f>
        <v>0</v>
      </c>
      <c r="O355" s="265">
        <f>VALUE(ResultsInd[[#This Row],[Score-B]])</f>
        <v>0</v>
      </c>
      <c r="P355" s="265" t="str">
        <f ca="1">IF(AND(ResultsInd[[#This Row],[Category]]&lt;&gt;"",ResultsInd[[#This Row],[Player A]]&lt;&gt;""),COUNTIF(INDIRECT(ResultsInd[[#This Row],[Category]]&amp;"List[Retained Player Name]"),ResultsInd[[#This Row],[Player A]]),"")</f>
        <v/>
      </c>
      <c r="Q355" s="265" t="str">
        <f ca="1">IF(AND(ResultsInd[[#This Row],[Category]]&lt;&gt;"",ResultsInd[[#This Row],[Player B]]&lt;&gt;""),COUNTIF(INDIRECT(ResultsInd[[#This Row],[Category]]&amp;"List[Retained Player Name]"),ResultsInd[[#This Row],[Player B]]),"")</f>
        <v/>
      </c>
      <c r="R3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5" s="265" t="str">
        <f>IF(ResultsInd[[#This Row],[Score_OK]],IF(ResultsInd[[#This Row],[Stage]]="Groups",ResultsInd[[#This Row],[Category]]&amp;"-"&amp;IF(ResultsInd[[#This Row],[Player B]]="","",IF(ResultsInd[[#This Row],[Score-A]]=ResultsInd[[#This Row],[Score-B]],ResultsInd[[#This Row],[Player A]],"")),""),"")</f>
        <v/>
      </c>
      <c r="T355" s="265" t="str">
        <f>IF(ResultsInd[[#This Row],[Score_OK]],IF(ResultsInd[[#This Row],[Stage]]="Groups",ResultsInd[[#This Row],[Category]]&amp;"-"&amp;IF(ResultsInd[[#This Row],[Player B]]="","",IF(ResultsInd[[#This Row],[Score-A]]=ResultsInd[[#This Row],[Score-B]],ResultsInd[[#This Row],[Player B]],"")),""),"")</f>
        <v/>
      </c>
      <c r="U3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5" s="264" t="str">
        <f>IF(ResultsInd[[#This Row],[Category]]="","",VLOOKUP(ResultsInd[[#This Row],[Stage]],$P$1:$V$9,MATCH(ResultsInd[[#This Row],[Category]],$Q$1:$V$1,0)+1,FALSE))</f>
        <v/>
      </c>
      <c r="Z355" s="264" t="str">
        <f>IF(ResultsInd[[#This Row],[Score_OK]],IF(ResultsInd[[#This Row],[Level]]="R",ResultsInd[[#This Row],[Category]]&amp;"-"&amp;IF(ResultsInd[[#This Row],[LoseInKO]]=ResultsInd[[#This Row],[Category]]&amp;"-"&amp;ResultsInd[[#This Row],[Player A]],ResultsInd[[#This Row],[Player B]],ResultsInd[[#This Row],[Player A]]),""),"")</f>
        <v/>
      </c>
      <c r="AB355" s="281">
        <v>9</v>
      </c>
      <c r="AC355" s="315" t="s">
        <v>12261</v>
      </c>
      <c r="AD355" s="289" t="s">
        <v>14439</v>
      </c>
      <c r="AE355" s="290" t="s">
        <v>12279</v>
      </c>
      <c r="AF355" s="284" t="s">
        <v>12275</v>
      </c>
      <c r="AG355" s="296" t="s">
        <v>12276</v>
      </c>
      <c r="AH355" s="291" t="s">
        <v>12271</v>
      </c>
      <c r="AI355" s="291" t="s">
        <v>12272</v>
      </c>
      <c r="AJ355" s="414" t="s">
        <v>13154</v>
      </c>
      <c r="AK355" s="291" t="s">
        <v>12273</v>
      </c>
      <c r="AL355" s="297" t="s">
        <v>12274</v>
      </c>
      <c r="AM355" s="414" t="s">
        <v>13154</v>
      </c>
      <c r="AN355" s="303" t="s">
        <v>12199</v>
      </c>
      <c r="AO355" s="304" t="s">
        <v>12200</v>
      </c>
      <c r="AP355" s="304" t="s">
        <v>12201</v>
      </c>
      <c r="AQ355" s="304" t="s">
        <v>12202</v>
      </c>
      <c r="AR355" s="304" t="s">
        <v>12203</v>
      </c>
      <c r="AS355" s="304" t="s">
        <v>12204</v>
      </c>
      <c r="AT355" s="304" t="s">
        <v>12205</v>
      </c>
      <c r="AU355" s="305" t="s">
        <v>12206</v>
      </c>
      <c r="AV355" s="468"/>
      <c r="AW355" s="282" t="s">
        <v>12276</v>
      </c>
      <c r="AX355" s="282" t="s">
        <v>12280</v>
      </c>
      <c r="AY355" s="283" t="s">
        <v>12199</v>
      </c>
      <c r="AZ355" s="283" t="s">
        <v>12200</v>
      </c>
      <c r="BA355" s="283" t="s">
        <v>12201</v>
      </c>
      <c r="BB355" s="283" t="s">
        <v>12202</v>
      </c>
      <c r="BC355" s="283" t="s">
        <v>12203</v>
      </c>
      <c r="BD355" s="283" t="s">
        <v>12204</v>
      </c>
      <c r="BE355" s="283" t="s">
        <v>12205</v>
      </c>
      <c r="BF355" s="300" t="s">
        <v>12206</v>
      </c>
    </row>
    <row r="356" spans="1:58" ht="12" thickBot="1" x14ac:dyDescent="0.25">
      <c r="A356" s="62" t="s">
        <v>12261</v>
      </c>
      <c r="B356" s="62" t="s">
        <v>12207</v>
      </c>
      <c r="C356" s="62">
        <v>9</v>
      </c>
      <c r="D356" s="62"/>
      <c r="E356" s="345" t="s">
        <v>9838</v>
      </c>
      <c r="F356" s="345" t="s">
        <v>8542</v>
      </c>
      <c r="G356" s="113">
        <v>1</v>
      </c>
      <c r="H356" s="113">
        <v>1</v>
      </c>
      <c r="I356" s="114"/>
      <c r="J356" s="114"/>
      <c r="K356" s="114"/>
      <c r="L356" s="81"/>
      <c r="M356" s="265" t="b">
        <f>NOT(ISERROR(ResultsInd[[#This Row],[Goal-A]]+ResultsInd[[#This Row],[Goal-B]]))</f>
        <v>1</v>
      </c>
      <c r="N356" s="265">
        <f>VALUE(ResultsInd[[#This Row],[Score-A]])</f>
        <v>1</v>
      </c>
      <c r="O356" s="265">
        <f>VALUE(ResultsInd[[#This Row],[Score-B]])</f>
        <v>1</v>
      </c>
      <c r="P356" s="265">
        <f ca="1">IF(AND(ResultsInd[[#This Row],[Category]]&lt;&gt;"",ResultsInd[[#This Row],[Player A]]&lt;&gt;""),COUNTIF(INDIRECT(ResultsInd[[#This Row],[Category]]&amp;"List[Retained Player Name]"),ResultsInd[[#This Row],[Player A]]),"")</f>
        <v>1</v>
      </c>
      <c r="Q356" s="265">
        <f ca="1">IF(AND(ResultsInd[[#This Row],[Category]]&lt;&gt;"",ResultsInd[[#This Row],[Player B]]&lt;&gt;""),COUNTIF(INDIRECT(ResultsInd[[#This Row],[Category]]&amp;"List[Retained Player Name]"),ResultsInd[[#This Row],[Player B]]),"")</f>
        <v>1</v>
      </c>
      <c r="R3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56" s="265" t="str">
        <f>IF(ResultsInd[[#This Row],[Score_OK]],IF(ResultsInd[[#This Row],[Stage]]="Groups",ResultsInd[[#This Row],[Category]]&amp;"-"&amp;IF(ResultsInd[[#This Row],[Player B]]="","",IF(ResultsInd[[#This Row],[Score-A]]=ResultsInd[[#This Row],[Score-B]],ResultsInd[[#This Row],[Player A]],"")),""),"")</f>
        <v>VETERANS-Francesco Mattiangeli</v>
      </c>
      <c r="T356" s="265" t="str">
        <f>IF(ResultsInd[[#This Row],[Score_OK]],IF(ResultsInd[[#This Row],[Stage]]="Groups",ResultsInd[[#This Row],[Category]]&amp;"-"&amp;IF(ResultsInd[[#This Row],[Player B]]="","",IF(ResultsInd[[#This Row],[Score-A]]=ResultsInd[[#This Row],[Score-B]],ResultsInd[[#This Row],[Player B]],"")),""),"")</f>
        <v>VETERANS-Aaron Skinner</v>
      </c>
      <c r="U3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VETERANS-Francesco Mattiangeli</v>
      </c>
      <c r="X3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VETERANS-Aaron Skinner</v>
      </c>
      <c r="Y356" s="264" t="str">
        <f>IF(ResultsInd[[#This Row],[Category]]="","",VLOOKUP(ResultsInd[[#This Row],[Stage]],$P$1:$V$9,MATCH(ResultsInd[[#This Row],[Category]],$Q$1:$V$1,0)+1,FALSE))</f>
        <v>PR1</v>
      </c>
      <c r="Z356" s="264" t="str">
        <f>IF(ResultsInd[[#This Row],[Score_OK]],IF(ResultsInd[[#This Row],[Level]]="R",ResultsInd[[#This Row],[Category]]&amp;"-"&amp;IF(ResultsInd[[#This Row],[LoseInKO]]=ResultsInd[[#This Row],[Category]]&amp;"-"&amp;ResultsInd[[#This Row],[Player A]],ResultsInd[[#This Row],[Player B]],ResultsInd[[#This Row],[Player A]]),""),"")</f>
        <v/>
      </c>
      <c r="AB356" s="8"/>
      <c r="AC356" s="12" t="str">
        <f>IF(AC355="","",AC355)</f>
        <v>VETERANS</v>
      </c>
      <c r="AD356" s="309" t="s">
        <v>9838</v>
      </c>
      <c r="AE356" s="320"/>
      <c r="AF356" s="311"/>
      <c r="AG356" s="292">
        <f>IF(AP356="","",SMALL(AH356:AH362,ROWS(AG356:AG356)))</f>
        <v>1001</v>
      </c>
      <c r="AH356" s="293">
        <f>IF(AP356="","",RANK(AL356,AL356:AL362)*1000+ROWS(AH356:AH356))</f>
        <v>1001</v>
      </c>
      <c r="AI356" s="316">
        <f t="shared" ref="AI356:AI362" si="305">IF(AP356="","",CritClassInd1_Points*AN356+CritClassInd1_Matches*AP356+CritClassInd1_Attaque*AS356+CritClassInd1_DiffButs*AU356)</f>
        <v>7000000000000</v>
      </c>
      <c r="AJ356" s="415" t="b">
        <f>AND(AO356&lt;&gt;"",AO356&gt;0,COUNTIF(AI356:AI362,AI356)&gt;1)</f>
        <v>0</v>
      </c>
      <c r="AK356" s="316">
        <f t="shared" ref="AK356:AK362" si="306">IF(AP356="","",CritClassInd_ScorePart*AE356)</f>
        <v>0</v>
      </c>
      <c r="AL356" s="317">
        <f t="shared" ref="AL356:AL362" si="307">IF(AP356="","",AI356+AK356+CritClassInd2_Points*AN356+CritClassInd2_Matches*AP356+CritClassInd2_Attaque*AS356+CritClassInd2_DiffButs*AU356+AF356)</f>
        <v>7000000040500</v>
      </c>
      <c r="AM356" s="415" t="b">
        <f>AND(AO356&lt;&gt;"",AO356&gt;0,COUNTIF(AL356:AL362,AL356)&gt;1)</f>
        <v>0</v>
      </c>
      <c r="AN356" s="306">
        <f t="shared" ref="AN356:AN362" si="308">IF(AP356="","",(AP356*Points_Victoire)+AQ356*Points_Null)</f>
        <v>7</v>
      </c>
      <c r="AO356" s="307">
        <f t="shared" ref="AO356:AO362" si="309">IF(AP356="","",SUM(AP356:AR356))</f>
        <v>3</v>
      </c>
      <c r="AP356" s="307">
        <f>IF(OR(AC355="",AD356=""),"",COUNTIF(ResultsInd[Win],AC355&amp;"-"&amp;AD356))</f>
        <v>2</v>
      </c>
      <c r="AQ356" s="307">
        <f>IF(OR(AC355="",AD356=""),"",COUNTIF(ResultsInd[Draw1],AC355&amp;"-"&amp;AD356)+COUNTIF(ResultsInd[Draw2],AC355&amp;"-"&amp;AD356))</f>
        <v>1</v>
      </c>
      <c r="AR356" s="307">
        <f>IF(OR(AC355="",AD356=""),"",COUNTIF(ResultsInd[Lose],AC355&amp;"-"&amp;AD356))</f>
        <v>0</v>
      </c>
      <c r="AS356" s="307">
        <f>IF(OR(AC355="",AD356=""),"",SUMIFS(ResultsInd[Goal-A],ResultsInd[Category],AC355,ResultsInd[Stage],"Groups",ResultsInd[Player A],AD356)+SUMIFS(ResultsInd[Goal-B],ResultsInd[Category],AC355,ResultsInd[Stage],"Groups",ResultsInd[Player B],AD356))</f>
        <v>5</v>
      </c>
      <c r="AT356" s="307">
        <f>IF(OR(AC355="",AD356=""),"",SUMIFS(ResultsInd[Goal-B],ResultsInd[Category],AC355,ResultsInd[Stage],"Groups",ResultsInd[Player A],AD356)+SUMIFS(ResultsInd[Goal-A],ResultsInd[Category],AC355,ResultsInd[Stage],"Groups",ResultsInd[Player B],AD356))</f>
        <v>1</v>
      </c>
      <c r="AU356" s="308">
        <f>IF(AP356="","",AS356-AT356)</f>
        <v>4</v>
      </c>
      <c r="AV356" s="469" t="b">
        <f>IF(AG356="","",OR(VLOOKUP(AG356,AH356:AU362,3,FALSE),VLOOKUP(AG356,AH356:AU362,6,FALSE)))</f>
        <v>0</v>
      </c>
      <c r="AW356" s="298">
        <f t="shared" ref="AW356:AW362" si="310">IF(AG356="","",INT(AG356/1000))</f>
        <v>1</v>
      </c>
      <c r="AX356" s="285" t="str">
        <f>IF(AG356="","",INDEX(AD356:AD362,MATCH(AG356,AH356:AH362,0)))</f>
        <v>Francesco Mattiangeli</v>
      </c>
      <c r="AY356" s="286">
        <f>IF(AG356="","",VLOOKUP(AG356,AH356:AU362,COLUMN()-COLUMN(AR355),FALSE))</f>
        <v>7</v>
      </c>
      <c r="AZ356" s="286">
        <f>IF(AG356="","",VLOOKUP(AG356,AH356:AU362,COLUMN()-COLUMN(AR355),FALSE))</f>
        <v>3</v>
      </c>
      <c r="BA356" s="286">
        <f>IF(AG356="","",VLOOKUP(AG356,AH356:AU362,COLUMN()-COLUMN(AR355),FALSE))</f>
        <v>2</v>
      </c>
      <c r="BB356" s="286">
        <f>IF(AG356="","",VLOOKUP(AG356,AH356:AU362,COLUMN()-COLUMN(AR355),FALSE))</f>
        <v>1</v>
      </c>
      <c r="BC356" s="286">
        <f>IF(AG356="","",VLOOKUP(AG356,AH356:AU362,COLUMN()-COLUMN(AR355),FALSE))</f>
        <v>0</v>
      </c>
      <c r="BD356" s="286">
        <f>IF(AG356="","",VLOOKUP(AG356,AH356:AU362,COLUMN()-COLUMN(AR355),FALSE))</f>
        <v>5</v>
      </c>
      <c r="BE356" s="286">
        <f>IF(AG356="","",VLOOKUP(AG356,AH356:AU362,COLUMN()-COLUMN(AR355),FALSE))</f>
        <v>1</v>
      </c>
      <c r="BF356" s="301">
        <f>IF(AG356="","",VLOOKUP(AG356,AH356:AU362,COLUMN()-COLUMN(AR355),FALSE))</f>
        <v>4</v>
      </c>
    </row>
    <row r="357" spans="1:58" ht="12" thickBot="1" x14ac:dyDescent="0.25">
      <c r="A357" s="62" t="s">
        <v>12261</v>
      </c>
      <c r="B357" s="62" t="s">
        <v>12207</v>
      </c>
      <c r="C357" s="62">
        <v>9</v>
      </c>
      <c r="D357" s="62"/>
      <c r="E357" s="345" t="s">
        <v>11270</v>
      </c>
      <c r="F357" s="345" t="s">
        <v>8133</v>
      </c>
      <c r="G357" s="113">
        <v>2</v>
      </c>
      <c r="H357" s="113">
        <v>1</v>
      </c>
      <c r="I357" s="114"/>
      <c r="J357" s="114"/>
      <c r="K357" s="114"/>
      <c r="L357" s="81"/>
      <c r="M357" s="265" t="b">
        <f>NOT(ISERROR(ResultsInd[[#This Row],[Goal-A]]+ResultsInd[[#This Row],[Goal-B]]))</f>
        <v>1</v>
      </c>
      <c r="N357" s="265">
        <f>VALUE(ResultsInd[[#This Row],[Score-A]])</f>
        <v>2</v>
      </c>
      <c r="O357" s="265">
        <f>VALUE(ResultsInd[[#This Row],[Score-B]])</f>
        <v>1</v>
      </c>
      <c r="P357" s="265">
        <f ca="1">IF(AND(ResultsInd[[#This Row],[Category]]&lt;&gt;"",ResultsInd[[#This Row],[Player A]]&lt;&gt;""),COUNTIF(INDIRECT(ResultsInd[[#This Row],[Category]]&amp;"List[Retained Player Name]"),ResultsInd[[#This Row],[Player A]]),"")</f>
        <v>1</v>
      </c>
      <c r="Q357" s="265">
        <f ca="1">IF(AND(ResultsInd[[#This Row],[Category]]&lt;&gt;"",ResultsInd[[#This Row],[Player B]]&lt;&gt;""),COUNTIF(INDIRECT(ResultsInd[[#This Row],[Category]]&amp;"List[Retained Player Name]"),ResultsInd[[#This Row],[Player B]]),"")</f>
        <v>1</v>
      </c>
      <c r="R3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Stiller</v>
      </c>
      <c r="S357" s="265" t="str">
        <f>IF(ResultsInd[[#This Row],[Score_OK]],IF(ResultsInd[[#This Row],[Stage]]="Groups",ResultsInd[[#This Row],[Category]]&amp;"-"&amp;IF(ResultsInd[[#This Row],[Player B]]="","",IF(ResultsInd[[#This Row],[Score-A]]=ResultsInd[[#This Row],[Score-B]],ResultsInd[[#This Row],[Player A]],"")),""),"")</f>
        <v>VETERANS-</v>
      </c>
      <c r="T357" s="265" t="str">
        <f>IF(ResultsInd[[#This Row],[Score_OK]],IF(ResultsInd[[#This Row],[Stage]]="Groups",ResultsInd[[#This Row],[Category]]&amp;"-"&amp;IF(ResultsInd[[#This Row],[Player B]]="","",IF(ResultsInd[[#This Row],[Score-A]]=ResultsInd[[#This Row],[Score-B]],ResultsInd[[#This Row],[Player B]],"")),""),"")</f>
        <v>VETERANS-</v>
      </c>
      <c r="U3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VETERANS-Didier Stevenot</v>
      </c>
      <c r="V3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VETERANS-Didier Stevenot</v>
      </c>
      <c r="X3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VETERANS-Didier Stevenot</v>
      </c>
      <c r="Y357" s="264" t="str">
        <f>IF(ResultsInd[[#This Row],[Category]]="","",VLOOKUP(ResultsInd[[#This Row],[Stage]],$P$1:$V$9,MATCH(ResultsInd[[#This Row],[Category]],$Q$1:$V$1,0)+1,FALSE))</f>
        <v>PR1</v>
      </c>
      <c r="Z357" s="264" t="str">
        <f>IF(ResultsInd[[#This Row],[Score_OK]],IF(ResultsInd[[#This Row],[Level]]="R",ResultsInd[[#This Row],[Category]]&amp;"-"&amp;IF(ResultsInd[[#This Row],[LoseInKO]]=ResultsInd[[#This Row],[Category]]&amp;"-"&amp;ResultsInd[[#This Row],[Player A]],ResultsInd[[#This Row],[Player B]],ResultsInd[[#This Row],[Player A]]),""),"")</f>
        <v/>
      </c>
      <c r="AB357" s="8"/>
      <c r="AC357" s="12" t="str">
        <f t="shared" ref="AC357:AC362" si="311">IF(AC356="","",AC356)</f>
        <v>VETERANS</v>
      </c>
      <c r="AD357" s="309" t="s">
        <v>8542</v>
      </c>
      <c r="AE357" s="320"/>
      <c r="AF357" s="311"/>
      <c r="AG357" s="292">
        <f>IF(AP357="","",SMALL(AH356:AH362,ROWS(AG356:AG357)))</f>
        <v>2002</v>
      </c>
      <c r="AH357" s="293">
        <f>IF(AP357="","",RANK(AL357,AL356:AL362)*1000+ROWS(AH356:AH357))</f>
        <v>2002</v>
      </c>
      <c r="AI357" s="316">
        <f t="shared" si="305"/>
        <v>5000000000000</v>
      </c>
      <c r="AJ357" s="415" t="b">
        <f>AND(AO357&lt;&gt;"",AO357&gt;0,COUNTIF(AI356:AI362,AI357)&gt;1)</f>
        <v>0</v>
      </c>
      <c r="AK357" s="316">
        <f t="shared" si="306"/>
        <v>0</v>
      </c>
      <c r="AL357" s="317">
        <f t="shared" si="307"/>
        <v>5000000010200</v>
      </c>
      <c r="AM357" s="415" t="b">
        <f>AND(AO357&lt;&gt;"",AO357&gt;0,COUNTIF(AL356:AL362,AL357)&gt;1)</f>
        <v>0</v>
      </c>
      <c r="AN357" s="306">
        <f t="shared" si="308"/>
        <v>5</v>
      </c>
      <c r="AO357" s="307">
        <f t="shared" si="309"/>
        <v>3</v>
      </c>
      <c r="AP357" s="307">
        <f>IF(OR(AC355="",AD357=""),"",COUNTIF(ResultsInd[Win],AC355&amp;"-"&amp;AD357))</f>
        <v>1</v>
      </c>
      <c r="AQ357" s="307">
        <f>IF(OR(AC355="",AD357=""),"",COUNTIF(ResultsInd[Draw1],AC355&amp;"-"&amp;AD357)+COUNTIF(ResultsInd[Draw2],AC355&amp;"-"&amp;AD357))</f>
        <v>2</v>
      </c>
      <c r="AR357" s="307">
        <f>IF(OR(AC355="",AD357=""),"",COUNTIF(ResultsInd[Lose],AC355&amp;"-"&amp;AD357))</f>
        <v>0</v>
      </c>
      <c r="AS357" s="307">
        <f>IF(OR(AC355="",AD357=""),"",SUMIFS(ResultsInd[Goal-A],ResultsInd[Category],AC355,ResultsInd[Stage],"Groups",ResultsInd[Player A],AD357)+SUMIFS(ResultsInd[Goal-B],ResultsInd[Category],AC355,ResultsInd[Stage],"Groups",ResultsInd[Player B],AD357))</f>
        <v>2</v>
      </c>
      <c r="AT357" s="307">
        <f>IF(OR(AC355="",AD357=""),"",SUMIFS(ResultsInd[Goal-B],ResultsInd[Category],AC355,ResultsInd[Stage],"Groups",ResultsInd[Player A],AD357)+SUMIFS(ResultsInd[Goal-A],ResultsInd[Category],AC355,ResultsInd[Stage],"Groups",ResultsInd[Player B],AD357))</f>
        <v>1</v>
      </c>
      <c r="AU357" s="308">
        <f t="shared" ref="AU357:AU362" si="312">IF(AP357="","",AS357-AT357)</f>
        <v>1</v>
      </c>
      <c r="AV357" s="469" t="b">
        <f>IF(AG357="","",OR(VLOOKUP(AG357,AH356:AU362,3,FALSE),VLOOKUP(AG357,AH356:AU362,6,FALSE)))</f>
        <v>0</v>
      </c>
      <c r="AW357" s="298">
        <f t="shared" si="310"/>
        <v>2</v>
      </c>
      <c r="AX357" s="285" t="str">
        <f>IF(AG357="","",INDEX(AD356:AD362,MATCH(AG357,AH356:AH362,0)))</f>
        <v>Aaron Skinner</v>
      </c>
      <c r="AY357" s="286">
        <f>IF(AG357="","",VLOOKUP(AG357,AH356:AU362,COLUMN()-COLUMN(AR355),FALSE))</f>
        <v>5</v>
      </c>
      <c r="AZ357" s="286">
        <f>IF(AG357="","",VLOOKUP(AG357,AH356:AU362,COLUMN()-COLUMN(AR355),FALSE))</f>
        <v>3</v>
      </c>
      <c r="BA357" s="286">
        <f>IF(AG357="","",VLOOKUP(AG357,AH356:AU362,COLUMN()-COLUMN(AR355),FALSE))</f>
        <v>1</v>
      </c>
      <c r="BB357" s="286">
        <f>IF(AG357="","",VLOOKUP(AG357,AH356:AU362,COLUMN()-COLUMN(AR355),FALSE))</f>
        <v>2</v>
      </c>
      <c r="BC357" s="286">
        <f>IF(AG357="","",VLOOKUP(AG357,AH356:AU362,COLUMN()-COLUMN(AR355),FALSE))</f>
        <v>0</v>
      </c>
      <c r="BD357" s="286">
        <f>IF(AG357="","",VLOOKUP(AG357,AH356:AU362,COLUMN()-COLUMN(AR355),FALSE))</f>
        <v>2</v>
      </c>
      <c r="BE357" s="286">
        <f>IF(AG357="","",VLOOKUP(AG357,AH356:AU362,COLUMN()-COLUMN(AR355),FALSE))</f>
        <v>1</v>
      </c>
      <c r="BF357" s="301">
        <f>IF(AG357="","",VLOOKUP(AG357,AH356:AU362,COLUMN()-COLUMN(AR355),FALSE))</f>
        <v>1</v>
      </c>
    </row>
    <row r="358" spans="1:58" ht="12" thickBot="1" x14ac:dyDescent="0.25">
      <c r="A358" s="62" t="s">
        <v>12261</v>
      </c>
      <c r="B358" s="62" t="s">
        <v>12207</v>
      </c>
      <c r="C358" s="62">
        <v>9</v>
      </c>
      <c r="D358" s="62"/>
      <c r="E358" s="345" t="s">
        <v>9838</v>
      </c>
      <c r="F358" s="345" t="s">
        <v>11270</v>
      </c>
      <c r="G358" s="113">
        <v>3</v>
      </c>
      <c r="H358" s="113">
        <v>0</v>
      </c>
      <c r="I358" s="114"/>
      <c r="J358" s="114"/>
      <c r="K358" s="114"/>
      <c r="L358" s="81"/>
      <c r="M358" s="265" t="b">
        <f>NOT(ISERROR(ResultsInd[[#This Row],[Goal-A]]+ResultsInd[[#This Row],[Goal-B]]))</f>
        <v>1</v>
      </c>
      <c r="N358" s="265">
        <f>VALUE(ResultsInd[[#This Row],[Score-A]])</f>
        <v>3</v>
      </c>
      <c r="O358" s="265">
        <f>VALUE(ResultsInd[[#This Row],[Score-B]])</f>
        <v>0</v>
      </c>
      <c r="P358" s="265">
        <f ca="1">IF(AND(ResultsInd[[#This Row],[Category]]&lt;&gt;"",ResultsInd[[#This Row],[Player A]]&lt;&gt;""),COUNTIF(INDIRECT(ResultsInd[[#This Row],[Category]]&amp;"List[Retained Player Name]"),ResultsInd[[#This Row],[Player A]]),"")</f>
        <v>1</v>
      </c>
      <c r="Q358" s="265">
        <f ca="1">IF(AND(ResultsInd[[#This Row],[Category]]&lt;&gt;"",ResultsInd[[#This Row],[Player B]]&lt;&gt;""),COUNTIF(INDIRECT(ResultsInd[[#This Row],[Category]]&amp;"List[Retained Player Name]"),ResultsInd[[#This Row],[Player B]]),"")</f>
        <v>1</v>
      </c>
      <c r="R3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VETERANS-Francesco Mattiangeli</v>
      </c>
      <c r="S358" s="265" t="str">
        <f>IF(ResultsInd[[#This Row],[Score_OK]],IF(ResultsInd[[#This Row],[Stage]]="Groups",ResultsInd[[#This Row],[Category]]&amp;"-"&amp;IF(ResultsInd[[#This Row],[Player B]]="","",IF(ResultsInd[[#This Row],[Score-A]]=ResultsInd[[#This Row],[Score-B]],ResultsInd[[#This Row],[Player A]],"")),""),"")</f>
        <v>VETERANS-</v>
      </c>
      <c r="T358" s="265" t="str">
        <f>IF(ResultsInd[[#This Row],[Score_OK]],IF(ResultsInd[[#This Row],[Stage]]="Groups",ResultsInd[[#This Row],[Category]]&amp;"-"&amp;IF(ResultsInd[[#This Row],[Player B]]="","",IF(ResultsInd[[#This Row],[Score-A]]=ResultsInd[[#This Row],[Score-B]],ResultsInd[[#This Row],[Player B]],"")),""),"")</f>
        <v>VETERANS-</v>
      </c>
      <c r="U3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VETERANS-Frank Stiller</v>
      </c>
      <c r="V3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VETERANS-Frank Stiller</v>
      </c>
      <c r="X3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VETERANS-Frank Stiller</v>
      </c>
      <c r="Y358" s="264" t="str">
        <f>IF(ResultsInd[[#This Row],[Category]]="","",VLOOKUP(ResultsInd[[#This Row],[Stage]],$P$1:$V$9,MATCH(ResultsInd[[#This Row],[Category]],$Q$1:$V$1,0)+1,FALSE))</f>
        <v>PR1</v>
      </c>
      <c r="Z358" s="264" t="str">
        <f>IF(ResultsInd[[#This Row],[Score_OK]],IF(ResultsInd[[#This Row],[Level]]="R",ResultsInd[[#This Row],[Category]]&amp;"-"&amp;IF(ResultsInd[[#This Row],[LoseInKO]]=ResultsInd[[#This Row],[Category]]&amp;"-"&amp;ResultsInd[[#This Row],[Player A]],ResultsInd[[#This Row],[Player B]],ResultsInd[[#This Row],[Player A]]),""),"")</f>
        <v/>
      </c>
      <c r="AB358" s="8"/>
      <c r="AC358" s="12" t="str">
        <f t="shared" si="311"/>
        <v>VETERANS</v>
      </c>
      <c r="AD358" s="309" t="s">
        <v>11270</v>
      </c>
      <c r="AE358" s="320"/>
      <c r="AF358" s="311"/>
      <c r="AG358" s="292">
        <f>IF(AP358="","",SMALL(AH356:AH362,ROWS(AG356:AG358)))</f>
        <v>3003</v>
      </c>
      <c r="AH358" s="293">
        <f>IF(AP358="","",RANK(AL358,AL356:AL362)*1000+ROWS(AH356:AH358))</f>
        <v>3003</v>
      </c>
      <c r="AI358" s="316">
        <f t="shared" si="305"/>
        <v>4000000000000</v>
      </c>
      <c r="AJ358" s="415" t="b">
        <f>AND(AO358&lt;&gt;"",AO358&gt;0,COUNTIF(AI356:AI362,AI358)&gt;1)</f>
        <v>0</v>
      </c>
      <c r="AK358" s="316">
        <f t="shared" si="306"/>
        <v>0</v>
      </c>
      <c r="AL358" s="317">
        <f t="shared" si="307"/>
        <v>3999999980200</v>
      </c>
      <c r="AM358" s="415" t="b">
        <f>AND(AO358&lt;&gt;"",AO358&gt;0,COUNTIF(AL356:AL362,AL358)&gt;1)</f>
        <v>0</v>
      </c>
      <c r="AN358" s="306">
        <f t="shared" si="308"/>
        <v>4</v>
      </c>
      <c r="AO358" s="307">
        <f t="shared" si="309"/>
        <v>3</v>
      </c>
      <c r="AP358" s="307">
        <f>IF(OR(AC355="",AD358=""),"",COUNTIF(ResultsInd[Win],AC355&amp;"-"&amp;AD358))</f>
        <v>1</v>
      </c>
      <c r="AQ358" s="307">
        <f>IF(OR(AC355="",AD358=""),"",COUNTIF(ResultsInd[Draw1],AC355&amp;"-"&amp;AD358)+COUNTIF(ResultsInd[Draw2],AC355&amp;"-"&amp;AD358))</f>
        <v>1</v>
      </c>
      <c r="AR358" s="307">
        <f>IF(OR(AC355="",AD358=""),"",COUNTIF(ResultsInd[Lose],AC355&amp;"-"&amp;AD358))</f>
        <v>1</v>
      </c>
      <c r="AS358" s="307">
        <f>IF(OR(AC355="",AD358=""),"",SUMIFS(ResultsInd[Goal-A],ResultsInd[Category],AC355,ResultsInd[Stage],"Groups",ResultsInd[Player A],AD358)+SUMIFS(ResultsInd[Goal-B],ResultsInd[Category],AC355,ResultsInd[Stage],"Groups",ResultsInd[Player B],AD358))</f>
        <v>2</v>
      </c>
      <c r="AT358" s="307">
        <f>IF(OR(AC355="",AD358=""),"",SUMIFS(ResultsInd[Goal-B],ResultsInd[Category],AC355,ResultsInd[Stage],"Groups",ResultsInd[Player A],AD358)+SUMIFS(ResultsInd[Goal-A],ResultsInd[Category],AC355,ResultsInd[Stage],"Groups",ResultsInd[Player B],AD358))</f>
        <v>4</v>
      </c>
      <c r="AU358" s="308">
        <f t="shared" si="312"/>
        <v>-2</v>
      </c>
      <c r="AV358" s="469" t="b">
        <f>IF(AG358="","",OR(VLOOKUP(AG358,AH356:AU362,3,FALSE),VLOOKUP(AG358,AH356:AU362,6,FALSE)))</f>
        <v>0</v>
      </c>
      <c r="AW358" s="298">
        <f t="shared" si="310"/>
        <v>3</v>
      </c>
      <c r="AX358" s="285" t="str">
        <f>IF(AG358="","",INDEX(AD356:AD362,MATCH(AG358,AH356:AH362,0)))</f>
        <v>Frank Stiller</v>
      </c>
      <c r="AY358" s="286">
        <f>IF(AG358="","",VLOOKUP(AG358,AH356:AU362,COLUMN()-COLUMN(AR355),FALSE))</f>
        <v>4</v>
      </c>
      <c r="AZ358" s="286">
        <f>IF(AG358="","",VLOOKUP(AG358,AH356:AU362,COLUMN()-COLUMN(AR355),FALSE))</f>
        <v>3</v>
      </c>
      <c r="BA358" s="286">
        <f>IF(AG358="","",VLOOKUP(AG358,AH356:AU362,COLUMN()-COLUMN(AR355),FALSE))</f>
        <v>1</v>
      </c>
      <c r="BB358" s="286">
        <f>IF(AG358="","",VLOOKUP(AG358,AH356:AU362,COLUMN()-COLUMN(AR355),FALSE))</f>
        <v>1</v>
      </c>
      <c r="BC358" s="286">
        <f>IF(AG358="","",VLOOKUP(AG358,AH356:AU362,COLUMN()-COLUMN(AR355),FALSE))</f>
        <v>1</v>
      </c>
      <c r="BD358" s="286">
        <f>IF(AG358="","",VLOOKUP(AG358,AH356:AU362,COLUMN()-COLUMN(AR355),FALSE))</f>
        <v>2</v>
      </c>
      <c r="BE358" s="286">
        <f>IF(AG358="","",VLOOKUP(AG358,AH356:AU362,COLUMN()-COLUMN(AR355),FALSE))</f>
        <v>4</v>
      </c>
      <c r="BF358" s="301">
        <f>IF(AG358="","",VLOOKUP(AG358,AH356:AU362,COLUMN()-COLUMN(AR355),FALSE))</f>
        <v>-2</v>
      </c>
    </row>
    <row r="359" spans="1:58" ht="12" thickBot="1" x14ac:dyDescent="0.25">
      <c r="A359" s="62" t="s">
        <v>12261</v>
      </c>
      <c r="B359" s="62" t="s">
        <v>12207</v>
      </c>
      <c r="C359" s="62">
        <v>9</v>
      </c>
      <c r="D359" s="62"/>
      <c r="E359" s="345" t="s">
        <v>8542</v>
      </c>
      <c r="F359" s="345" t="s">
        <v>8133</v>
      </c>
      <c r="G359" s="113">
        <v>1</v>
      </c>
      <c r="H359" s="113">
        <v>0</v>
      </c>
      <c r="I359" s="114"/>
      <c r="J359" s="114"/>
      <c r="K359" s="114"/>
      <c r="L359" s="81"/>
      <c r="M359" s="265" t="b">
        <f>NOT(ISERROR(ResultsInd[[#This Row],[Goal-A]]+ResultsInd[[#This Row],[Goal-B]]))</f>
        <v>1</v>
      </c>
      <c r="N359" s="265">
        <f>VALUE(ResultsInd[[#This Row],[Score-A]])</f>
        <v>1</v>
      </c>
      <c r="O359" s="265">
        <f>VALUE(ResultsInd[[#This Row],[Score-B]])</f>
        <v>0</v>
      </c>
      <c r="P359" s="265">
        <f ca="1">IF(AND(ResultsInd[[#This Row],[Category]]&lt;&gt;"",ResultsInd[[#This Row],[Player A]]&lt;&gt;""),COUNTIF(INDIRECT(ResultsInd[[#This Row],[Category]]&amp;"List[Retained Player Name]"),ResultsInd[[#This Row],[Player A]]),"")</f>
        <v>1</v>
      </c>
      <c r="Q359" s="265">
        <f ca="1">IF(AND(ResultsInd[[#This Row],[Category]]&lt;&gt;"",ResultsInd[[#This Row],[Player B]]&lt;&gt;""),COUNTIF(INDIRECT(ResultsInd[[#This Row],[Category]]&amp;"List[Retained Player Name]"),ResultsInd[[#This Row],[Player B]]),"")</f>
        <v>1</v>
      </c>
      <c r="R3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VETERANS-Aaron Skinner</v>
      </c>
      <c r="S359" s="265" t="str">
        <f>IF(ResultsInd[[#This Row],[Score_OK]],IF(ResultsInd[[#This Row],[Stage]]="Groups",ResultsInd[[#This Row],[Category]]&amp;"-"&amp;IF(ResultsInd[[#This Row],[Player B]]="","",IF(ResultsInd[[#This Row],[Score-A]]=ResultsInd[[#This Row],[Score-B]],ResultsInd[[#This Row],[Player A]],"")),""),"")</f>
        <v>VETERANS-</v>
      </c>
      <c r="T359" s="265" t="str">
        <f>IF(ResultsInd[[#This Row],[Score_OK]],IF(ResultsInd[[#This Row],[Stage]]="Groups",ResultsInd[[#This Row],[Category]]&amp;"-"&amp;IF(ResultsInd[[#This Row],[Player B]]="","",IF(ResultsInd[[#This Row],[Score-A]]=ResultsInd[[#This Row],[Score-B]],ResultsInd[[#This Row],[Player B]],"")),""),"")</f>
        <v>VETERANS-</v>
      </c>
      <c r="U3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VETERANS-Didier Stevenot</v>
      </c>
      <c r="V3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VETERANS-Didier Stevenot</v>
      </c>
      <c r="X3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VETERANS-Didier Stevenot</v>
      </c>
      <c r="Y359" s="264" t="str">
        <f>IF(ResultsInd[[#This Row],[Category]]="","",VLOOKUP(ResultsInd[[#This Row],[Stage]],$P$1:$V$9,MATCH(ResultsInd[[#This Row],[Category]],$Q$1:$V$1,0)+1,FALSE))</f>
        <v>PR1</v>
      </c>
      <c r="Z359" s="264" t="str">
        <f>IF(ResultsInd[[#This Row],[Score_OK]],IF(ResultsInd[[#This Row],[Level]]="R",ResultsInd[[#This Row],[Category]]&amp;"-"&amp;IF(ResultsInd[[#This Row],[LoseInKO]]=ResultsInd[[#This Row],[Category]]&amp;"-"&amp;ResultsInd[[#This Row],[Player A]],ResultsInd[[#This Row],[Player B]],ResultsInd[[#This Row],[Player A]]),""),"")</f>
        <v/>
      </c>
      <c r="AB359" s="91"/>
      <c r="AC359" s="12" t="str">
        <f t="shared" si="311"/>
        <v>VETERANS</v>
      </c>
      <c r="AD359" s="309" t="s">
        <v>8133</v>
      </c>
      <c r="AE359" s="310"/>
      <c r="AF359" s="311"/>
      <c r="AG359" s="292">
        <f>IF(AP359="","",SMALL(AH356:AH362,ROWS(AG356:AG359)))</f>
        <v>4004</v>
      </c>
      <c r="AH359" s="293">
        <f>IF(AP359="","",RANK(AL359,AL356:AL362)*1000+ROWS(AH356:AH359))</f>
        <v>4004</v>
      </c>
      <c r="AI359" s="316">
        <f t="shared" si="305"/>
        <v>0</v>
      </c>
      <c r="AJ359" s="415" t="b">
        <f>AND(AO359&lt;&gt;"",AO359&gt;0,COUNTIF(AI356:AI362,AI359)&gt;1)</f>
        <v>0</v>
      </c>
      <c r="AK359" s="316">
        <f t="shared" si="306"/>
        <v>0</v>
      </c>
      <c r="AL359" s="317">
        <f t="shared" si="307"/>
        <v>-29900</v>
      </c>
      <c r="AM359" s="415" t="b">
        <f>AND(AO359&lt;&gt;"",AO359&gt;0,COUNTIF(AL356:AL362,AL359)&gt;1)</f>
        <v>0</v>
      </c>
      <c r="AN359" s="306">
        <f t="shared" si="308"/>
        <v>0</v>
      </c>
      <c r="AO359" s="307">
        <f t="shared" si="309"/>
        <v>3</v>
      </c>
      <c r="AP359" s="307">
        <f>IF(OR(AC355="",AD359=""),"",COUNTIF(ResultsInd[Win],AC355&amp;"-"&amp;AD359))</f>
        <v>0</v>
      </c>
      <c r="AQ359" s="307">
        <f>IF(OR(AC355="",AD359=""),"",COUNTIF(ResultsInd[Draw1],AC355&amp;"-"&amp;AD359)+COUNTIF(ResultsInd[Draw2],AC355&amp;"-"&amp;AD359))</f>
        <v>0</v>
      </c>
      <c r="AR359" s="307">
        <f>IF(OR(AC355="",AD359=""),"",COUNTIF(ResultsInd[Lose],AC355&amp;"-"&amp;AD359))</f>
        <v>3</v>
      </c>
      <c r="AS359" s="307">
        <f>IF(OR(AC355="",AD359=""),"",SUMIFS(ResultsInd[Goal-A],ResultsInd[Category],AC355,ResultsInd[Stage],"Groups",ResultsInd[Player A],AD359)+SUMIFS(ResultsInd[Goal-B],ResultsInd[Category],AC355,ResultsInd[Stage],"Groups",ResultsInd[Player B],AD359))</f>
        <v>1</v>
      </c>
      <c r="AT359" s="307">
        <f>IF(OR(AC355="",AD359=""),"",SUMIFS(ResultsInd[Goal-B],ResultsInd[Category],AC355,ResultsInd[Stage],"Groups",ResultsInd[Player A],AD359)+SUMIFS(ResultsInd[Goal-A],ResultsInd[Category],AC355,ResultsInd[Stage],"Groups",ResultsInd[Player B],AD359))</f>
        <v>4</v>
      </c>
      <c r="AU359" s="308">
        <f t="shared" si="312"/>
        <v>-3</v>
      </c>
      <c r="AV359" s="469" t="b">
        <f>IF(AG359="","",OR(VLOOKUP(AG359,AH356:AU362,3,FALSE),VLOOKUP(AG359,AH356:AU362,6,FALSE)))</f>
        <v>0</v>
      </c>
      <c r="AW359" s="298">
        <f t="shared" si="310"/>
        <v>4</v>
      </c>
      <c r="AX359" s="285" t="str">
        <f>IF(AG359="","",INDEX(AD356:AD362,MATCH(AG359,AH356:AH362,0)))</f>
        <v>Didier Stevenot</v>
      </c>
      <c r="AY359" s="286">
        <f>IF(AG359="","",VLOOKUP(AG359,AH356:AU362,COLUMN()-COLUMN(AR355),FALSE))</f>
        <v>0</v>
      </c>
      <c r="AZ359" s="286">
        <f>IF(AG359="","",VLOOKUP(AG359,AH356:AU362,COLUMN()-COLUMN(AR355),FALSE))</f>
        <v>3</v>
      </c>
      <c r="BA359" s="286">
        <f>IF(AG359="","",VLOOKUP(AG359,AH356:AU362,COLUMN()-COLUMN(AR355),FALSE))</f>
        <v>0</v>
      </c>
      <c r="BB359" s="286">
        <f>IF(AG359="","",VLOOKUP(AG359,AH356:AU362,COLUMN()-COLUMN(AR355),FALSE))</f>
        <v>0</v>
      </c>
      <c r="BC359" s="286">
        <f>IF(AG359="","",VLOOKUP(AG359,AH356:AU362,COLUMN()-COLUMN(AR355),FALSE))</f>
        <v>3</v>
      </c>
      <c r="BD359" s="286">
        <f>IF(AG359="","",VLOOKUP(AG359,AH356:AU362,COLUMN()-COLUMN(AR355),FALSE))</f>
        <v>1</v>
      </c>
      <c r="BE359" s="286">
        <f>IF(AG359="","",VLOOKUP(AG359,AH356:AU362,COLUMN()-COLUMN(AR355),FALSE))</f>
        <v>4</v>
      </c>
      <c r="BF359" s="301">
        <f>IF(AG359="","",VLOOKUP(AG359,AH356:AU362,COLUMN()-COLUMN(AR355),FALSE))</f>
        <v>-3</v>
      </c>
    </row>
    <row r="360" spans="1:58" ht="12" thickBot="1" x14ac:dyDescent="0.25">
      <c r="A360" s="62" t="s">
        <v>12261</v>
      </c>
      <c r="B360" s="62" t="s">
        <v>12207</v>
      </c>
      <c r="C360" s="62">
        <v>9</v>
      </c>
      <c r="D360" s="62"/>
      <c r="E360" s="345" t="s">
        <v>8133</v>
      </c>
      <c r="F360" s="345" t="s">
        <v>9838</v>
      </c>
      <c r="G360" s="113">
        <v>0</v>
      </c>
      <c r="H360" s="113">
        <v>1</v>
      </c>
      <c r="I360" s="114"/>
      <c r="J360" s="114"/>
      <c r="K360" s="114"/>
      <c r="L360" s="81"/>
      <c r="M360" s="265" t="b">
        <f>NOT(ISERROR(ResultsInd[[#This Row],[Goal-A]]+ResultsInd[[#This Row],[Goal-B]]))</f>
        <v>1</v>
      </c>
      <c r="N360" s="265">
        <f>VALUE(ResultsInd[[#This Row],[Score-A]])</f>
        <v>0</v>
      </c>
      <c r="O360" s="265">
        <f>VALUE(ResultsInd[[#This Row],[Score-B]])</f>
        <v>1</v>
      </c>
      <c r="P360" s="265">
        <f ca="1">IF(AND(ResultsInd[[#This Row],[Category]]&lt;&gt;"",ResultsInd[[#This Row],[Player A]]&lt;&gt;""),COUNTIF(INDIRECT(ResultsInd[[#This Row],[Category]]&amp;"List[Retained Player Name]"),ResultsInd[[#This Row],[Player A]]),"")</f>
        <v>1</v>
      </c>
      <c r="Q360" s="265">
        <f ca="1">IF(AND(ResultsInd[[#This Row],[Category]]&lt;&gt;"",ResultsInd[[#This Row],[Player B]]&lt;&gt;""),COUNTIF(INDIRECT(ResultsInd[[#This Row],[Category]]&amp;"List[Retained Player Name]"),ResultsInd[[#This Row],[Player B]]),"")</f>
        <v>1</v>
      </c>
      <c r="R3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VETERANS-Francesco Mattiangeli</v>
      </c>
      <c r="S360" s="265" t="str">
        <f>IF(ResultsInd[[#This Row],[Score_OK]],IF(ResultsInd[[#This Row],[Stage]]="Groups",ResultsInd[[#This Row],[Category]]&amp;"-"&amp;IF(ResultsInd[[#This Row],[Player B]]="","",IF(ResultsInd[[#This Row],[Score-A]]=ResultsInd[[#This Row],[Score-B]],ResultsInd[[#This Row],[Player A]],"")),""),"")</f>
        <v>VETERANS-</v>
      </c>
      <c r="T360" s="265" t="str">
        <f>IF(ResultsInd[[#This Row],[Score_OK]],IF(ResultsInd[[#This Row],[Stage]]="Groups",ResultsInd[[#This Row],[Category]]&amp;"-"&amp;IF(ResultsInd[[#This Row],[Player B]]="","",IF(ResultsInd[[#This Row],[Score-A]]=ResultsInd[[#This Row],[Score-B]],ResultsInd[[#This Row],[Player B]],"")),""),"")</f>
        <v>VETERANS-</v>
      </c>
      <c r="U3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VETERANS-Didier Stevenot</v>
      </c>
      <c r="V3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VETERANS-Didier Stevenot</v>
      </c>
      <c r="X3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VETERANS-Didier Stevenot</v>
      </c>
      <c r="Y360" s="264" t="str">
        <f>IF(ResultsInd[[#This Row],[Category]]="","",VLOOKUP(ResultsInd[[#This Row],[Stage]],$P$1:$V$9,MATCH(ResultsInd[[#This Row],[Category]],$Q$1:$V$1,0)+1,FALSE))</f>
        <v>PR1</v>
      </c>
      <c r="Z360" s="264" t="str">
        <f>IF(ResultsInd[[#This Row],[Score_OK]],IF(ResultsInd[[#This Row],[Level]]="R",ResultsInd[[#This Row],[Category]]&amp;"-"&amp;IF(ResultsInd[[#This Row],[LoseInKO]]=ResultsInd[[#This Row],[Category]]&amp;"-"&amp;ResultsInd[[#This Row],[Player A]],ResultsInd[[#This Row],[Player B]],ResultsInd[[#This Row],[Player A]]),""),"")</f>
        <v/>
      </c>
      <c r="AB360" s="91"/>
      <c r="AC360" s="12" t="str">
        <f t="shared" si="311"/>
        <v>VETERANS</v>
      </c>
      <c r="AD360" s="309"/>
      <c r="AE360" s="310"/>
      <c r="AF360" s="311"/>
      <c r="AG360" s="292" t="str">
        <f>IF(AP360="","",SMALL(AH356:AH362,ROWS(AG356:AG360)))</f>
        <v/>
      </c>
      <c r="AH360" s="293" t="str">
        <f>IF(AP360="","",RANK(AL360,AL356:AL362)*1000+ROWS(AH356:AH360))</f>
        <v/>
      </c>
      <c r="AI360" s="316" t="str">
        <f t="shared" si="305"/>
        <v/>
      </c>
      <c r="AJ360" s="415" t="b">
        <f>AND(AO360&lt;&gt;"",AO360&gt;0,COUNTIF(AI356:AI362,AI360)&gt;1)</f>
        <v>0</v>
      </c>
      <c r="AK360" s="316" t="str">
        <f t="shared" si="306"/>
        <v/>
      </c>
      <c r="AL360" s="317" t="str">
        <f t="shared" si="307"/>
        <v/>
      </c>
      <c r="AM360" s="415" t="b">
        <f>AND(AO360&lt;&gt;"",AO360&gt;0,COUNTIF(AL356:AL362,AL360)&gt;1)</f>
        <v>0</v>
      </c>
      <c r="AN360" s="306" t="str">
        <f t="shared" si="308"/>
        <v/>
      </c>
      <c r="AO360" s="307" t="str">
        <f t="shared" si="309"/>
        <v/>
      </c>
      <c r="AP360" s="307" t="str">
        <f>IF(OR(AC355="",AD360=""),"",COUNTIF(ResultsInd[Win],AC355&amp;"-"&amp;AD360))</f>
        <v/>
      </c>
      <c r="AQ360" s="307" t="str">
        <f>IF(OR(AC355="",AD360=""),"",COUNTIF(ResultsInd[Draw1],AC355&amp;"-"&amp;AD360)+COUNTIF(ResultsInd[Draw2],AC355&amp;"-"&amp;AD360))</f>
        <v/>
      </c>
      <c r="AR360" s="307" t="str">
        <f>IF(OR(AC355="",AD360=""),"",COUNTIF(ResultsInd[Lose],AC355&amp;"-"&amp;AD360))</f>
        <v/>
      </c>
      <c r="AS360" s="307" t="str">
        <f>IF(OR(AC355="",AD360=""),"",SUMIFS(ResultsInd[Goal-A],ResultsInd[Category],AC355,ResultsInd[Stage],"Groups",ResultsInd[Player A],AD360)+SUMIFS(ResultsInd[Goal-B],ResultsInd[Category],AC355,ResultsInd[Stage],"Groups",ResultsInd[Player B],AD360))</f>
        <v/>
      </c>
      <c r="AT360" s="307" t="str">
        <f>IF(OR(AC355="",AD360=""),"",SUMIFS(ResultsInd[Goal-B],ResultsInd[Category],AC355,ResultsInd[Stage],"Groups",ResultsInd[Player A],AD360)+SUMIFS(ResultsInd[Goal-A],ResultsInd[Category],AC355,ResultsInd[Stage],"Groups",ResultsInd[Player B],AD360))</f>
        <v/>
      </c>
      <c r="AU360" s="308" t="str">
        <f t="shared" si="312"/>
        <v/>
      </c>
      <c r="AV360" s="469" t="str">
        <f>IF(AG360="","",OR(VLOOKUP(AG360,AH356:AU362,3,FALSE),VLOOKUP(AG360,AH356:AU362,6,FALSE)))</f>
        <v/>
      </c>
      <c r="AW360" s="298" t="str">
        <f t="shared" si="310"/>
        <v/>
      </c>
      <c r="AX360" s="285" t="str">
        <f>IF(AG360="","",INDEX(AD356:AD362,MATCH(AG360,AH356:AH362,0)))</f>
        <v/>
      </c>
      <c r="AY360" s="286" t="str">
        <f>IF(AG360="","",VLOOKUP(AG360,AH356:AU362,COLUMN()-COLUMN(AR355),FALSE))</f>
        <v/>
      </c>
      <c r="AZ360" s="286" t="str">
        <f>IF(AG360="","",VLOOKUP(AG360,AH356:AU362,COLUMN()-COLUMN(AR355),FALSE))</f>
        <v/>
      </c>
      <c r="BA360" s="286" t="str">
        <f>IF(AG360="","",VLOOKUP(AG360,AH356:AU362,COLUMN()-COLUMN(AR355),FALSE))</f>
        <v/>
      </c>
      <c r="BB360" s="286" t="str">
        <f>IF(AG360="","",VLOOKUP(AG360,AH356:AU362,COLUMN()-COLUMN(AR355),FALSE))</f>
        <v/>
      </c>
      <c r="BC360" s="286" t="str">
        <f>IF(AG360="","",VLOOKUP(AG360,AH356:AU362,COLUMN()-COLUMN(AR355),FALSE))</f>
        <v/>
      </c>
      <c r="BD360" s="286" t="str">
        <f>IF(AG360="","",VLOOKUP(AG360,AH356:AU362,COLUMN()-COLUMN(AR355),FALSE))</f>
        <v/>
      </c>
      <c r="BE360" s="286" t="str">
        <f>IF(AG360="","",VLOOKUP(AG360,AH356:AU362,COLUMN()-COLUMN(AR355),FALSE))</f>
        <v/>
      </c>
      <c r="BF360" s="301" t="str">
        <f>IF(AG360="","",VLOOKUP(AG360,AH356:AU362,COLUMN()-COLUMN(AR355),FALSE))</f>
        <v/>
      </c>
    </row>
    <row r="361" spans="1:58" ht="12" thickBot="1" x14ac:dyDescent="0.25">
      <c r="A361" s="62" t="s">
        <v>12261</v>
      </c>
      <c r="B361" s="62" t="s">
        <v>12207</v>
      </c>
      <c r="C361" s="62">
        <v>9</v>
      </c>
      <c r="D361" s="62"/>
      <c r="E361" s="345" t="s">
        <v>8542</v>
      </c>
      <c r="F361" s="345" t="s">
        <v>11270</v>
      </c>
      <c r="G361" s="113">
        <v>0</v>
      </c>
      <c r="H361" s="113">
        <v>0</v>
      </c>
      <c r="I361" s="114"/>
      <c r="J361" s="114"/>
      <c r="K361" s="114"/>
      <c r="L361" s="81"/>
      <c r="M361" s="265" t="b">
        <f>NOT(ISERROR(ResultsInd[[#This Row],[Goal-A]]+ResultsInd[[#This Row],[Goal-B]]))</f>
        <v>1</v>
      </c>
      <c r="N361" s="265">
        <f>VALUE(ResultsInd[[#This Row],[Score-A]])</f>
        <v>0</v>
      </c>
      <c r="O361" s="265">
        <f>VALUE(ResultsInd[[#This Row],[Score-B]])</f>
        <v>0</v>
      </c>
      <c r="P361" s="265">
        <f ca="1">IF(AND(ResultsInd[[#This Row],[Category]]&lt;&gt;"",ResultsInd[[#This Row],[Player A]]&lt;&gt;""),COUNTIF(INDIRECT(ResultsInd[[#This Row],[Category]]&amp;"List[Retained Player Name]"),ResultsInd[[#This Row],[Player A]]),"")</f>
        <v>1</v>
      </c>
      <c r="Q361" s="265">
        <f ca="1">IF(AND(ResultsInd[[#This Row],[Category]]&lt;&gt;"",ResultsInd[[#This Row],[Player B]]&lt;&gt;""),COUNTIF(INDIRECT(ResultsInd[[#This Row],[Category]]&amp;"List[Retained Player Name]"),ResultsInd[[#This Row],[Player B]]),"")</f>
        <v>1</v>
      </c>
      <c r="R3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61" s="265" t="str">
        <f>IF(ResultsInd[[#This Row],[Score_OK]],IF(ResultsInd[[#This Row],[Stage]]="Groups",ResultsInd[[#This Row],[Category]]&amp;"-"&amp;IF(ResultsInd[[#This Row],[Player B]]="","",IF(ResultsInd[[#This Row],[Score-A]]=ResultsInd[[#This Row],[Score-B]],ResultsInd[[#This Row],[Player A]],"")),""),"")</f>
        <v>VETERANS-Aaron Skinner</v>
      </c>
      <c r="T361" s="265" t="str">
        <f>IF(ResultsInd[[#This Row],[Score_OK]],IF(ResultsInd[[#This Row],[Stage]]="Groups",ResultsInd[[#This Row],[Category]]&amp;"-"&amp;IF(ResultsInd[[#This Row],[Player B]]="","",IF(ResultsInd[[#This Row],[Score-A]]=ResultsInd[[#This Row],[Score-B]],ResultsInd[[#This Row],[Player B]],"")),""),"")</f>
        <v>VETERANS-Frank Stiller</v>
      </c>
      <c r="U3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VETERANS-Aaron Skinner</v>
      </c>
      <c r="X3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VETERANS-Frank Stiller</v>
      </c>
      <c r="Y361" s="264" t="str">
        <f>IF(ResultsInd[[#This Row],[Category]]="","",VLOOKUP(ResultsInd[[#This Row],[Stage]],$P$1:$V$9,MATCH(ResultsInd[[#This Row],[Category]],$Q$1:$V$1,0)+1,FALSE))</f>
        <v>PR1</v>
      </c>
      <c r="Z361" s="264" t="str">
        <f>IF(ResultsInd[[#This Row],[Score_OK]],IF(ResultsInd[[#This Row],[Level]]="R",ResultsInd[[#This Row],[Category]]&amp;"-"&amp;IF(ResultsInd[[#This Row],[LoseInKO]]=ResultsInd[[#This Row],[Category]]&amp;"-"&amp;ResultsInd[[#This Row],[Player A]],ResultsInd[[#This Row],[Player B]],ResultsInd[[#This Row],[Player A]]),""),"")</f>
        <v/>
      </c>
      <c r="AB361" s="8"/>
      <c r="AC361" s="12" t="str">
        <f t="shared" si="311"/>
        <v>VETERANS</v>
      </c>
      <c r="AD361" s="309"/>
      <c r="AE361" s="310"/>
      <c r="AF361" s="311"/>
      <c r="AG361" s="292" t="str">
        <f>IF(AP361="","",SMALL(AH356:AH362,ROWS(AG356:AG361)))</f>
        <v/>
      </c>
      <c r="AH361" s="293" t="str">
        <f>IF(AP361="","",RANK(AL361,AL356:AL362)*1000+ROWS(AH356:AH361))</f>
        <v/>
      </c>
      <c r="AI361" s="316" t="str">
        <f t="shared" si="305"/>
        <v/>
      </c>
      <c r="AJ361" s="415" t="b">
        <f>AND(AO361&lt;&gt;"",AO361&gt;0,COUNTIF(AI356:AI362,AI361)&gt;1)</f>
        <v>0</v>
      </c>
      <c r="AK361" s="316" t="str">
        <f t="shared" si="306"/>
        <v/>
      </c>
      <c r="AL361" s="317" t="str">
        <f t="shared" si="307"/>
        <v/>
      </c>
      <c r="AM361" s="415" t="b">
        <f>AND(AO361&lt;&gt;"",AO361&gt;0,COUNTIF(AL356:AL362,AL361)&gt;1)</f>
        <v>0</v>
      </c>
      <c r="AN361" s="306" t="str">
        <f t="shared" si="308"/>
        <v/>
      </c>
      <c r="AO361" s="307" t="str">
        <f t="shared" si="309"/>
        <v/>
      </c>
      <c r="AP361" s="307" t="str">
        <f>IF(OR(AC355="",AD361=""),"",COUNTIF(ResultsInd[Win],AC355&amp;"-"&amp;AD361))</f>
        <v/>
      </c>
      <c r="AQ361" s="307" t="str">
        <f>IF(OR(AC355="",AD361=""),"",COUNTIF(ResultsInd[Draw1],AC355&amp;"-"&amp;AD361)+COUNTIF(ResultsInd[Draw2],AC355&amp;"-"&amp;AD361))</f>
        <v/>
      </c>
      <c r="AR361" s="307" t="str">
        <f>IF(OR(AC355="",AD361=""),"",COUNTIF(ResultsInd[Lose],AC355&amp;"-"&amp;AD361))</f>
        <v/>
      </c>
      <c r="AS361" s="307" t="str">
        <f>IF(OR(AC355="",AD361=""),"",SUMIFS(ResultsInd[Goal-A],ResultsInd[Category],AC355,ResultsInd[Stage],"Groups",ResultsInd[Player A],AD361)+SUMIFS(ResultsInd[Goal-B],ResultsInd[Category],AC355,ResultsInd[Stage],"Groups",ResultsInd[Player B],AD361))</f>
        <v/>
      </c>
      <c r="AT361" s="307" t="str">
        <f>IF(OR(AC355="",AD361=""),"",SUMIFS(ResultsInd[Goal-B],ResultsInd[Category],AC355,ResultsInd[Stage],"Groups",ResultsInd[Player A],AD361)+SUMIFS(ResultsInd[Goal-A],ResultsInd[Category],AC355,ResultsInd[Stage],"Groups",ResultsInd[Player B],AD361))</f>
        <v/>
      </c>
      <c r="AU361" s="308" t="str">
        <f t="shared" si="312"/>
        <v/>
      </c>
      <c r="AV361" s="469" t="str">
        <f>IF(AG361="","",OR(VLOOKUP(AG361,AH356:AU362,3,FALSE),VLOOKUP(AG361,AH356:AU362,6,FALSE)))</f>
        <v/>
      </c>
      <c r="AW361" s="298" t="str">
        <f t="shared" si="310"/>
        <v/>
      </c>
      <c r="AX361" s="285" t="str">
        <f>IF(AG361="","",INDEX(AD356:AD362,MATCH(AG361,AH356:AH362,0)))</f>
        <v/>
      </c>
      <c r="AY361" s="286" t="str">
        <f>IF(AG361="","",VLOOKUP(AG361,AH356:AU362,COLUMN()-COLUMN(AR355),FALSE))</f>
        <v/>
      </c>
      <c r="AZ361" s="286" t="str">
        <f>IF(AG361="","",VLOOKUP(AG361,AH356:AU362,COLUMN()-COLUMN(AR355),FALSE))</f>
        <v/>
      </c>
      <c r="BA361" s="286" t="str">
        <f>IF(AG361="","",VLOOKUP(AG361,AH356:AU362,COLUMN()-COLUMN(AR355),FALSE))</f>
        <v/>
      </c>
      <c r="BB361" s="286" t="str">
        <f>IF(AG361="","",VLOOKUP(AG361,AH356:AU362,COLUMN()-COLUMN(AR355),FALSE))</f>
        <v/>
      </c>
      <c r="BC361" s="286" t="str">
        <f>IF(AG361="","",VLOOKUP(AG361,AH356:AU362,COLUMN()-COLUMN(AR355),FALSE))</f>
        <v/>
      </c>
      <c r="BD361" s="286" t="str">
        <f>IF(AG361="","",VLOOKUP(AG361,AH356:AU362,COLUMN()-COLUMN(AR355),FALSE))</f>
        <v/>
      </c>
      <c r="BE361" s="286" t="str">
        <f>IF(AG361="","",VLOOKUP(AG361,AH356:AU362,COLUMN()-COLUMN(AR355),FALSE))</f>
        <v/>
      </c>
      <c r="BF361" s="301" t="str">
        <f>IF(AG361="","",VLOOKUP(AG361,AH356:AU362,COLUMN()-COLUMN(AR355),FALSE))</f>
        <v/>
      </c>
    </row>
    <row r="362" spans="1:58" ht="12" thickBot="1" x14ac:dyDescent="0.25">
      <c r="A362" s="62" t="s">
        <v>12261</v>
      </c>
      <c r="B362" s="62" t="s">
        <v>12207</v>
      </c>
      <c r="C362" s="62">
        <v>10</v>
      </c>
      <c r="D362" s="62"/>
      <c r="E362" s="345" t="s">
        <v>8062</v>
      </c>
      <c r="F362" s="345" t="s">
        <v>9853</v>
      </c>
      <c r="G362" s="113">
        <v>4</v>
      </c>
      <c r="H362" s="113">
        <v>1</v>
      </c>
      <c r="I362" s="114"/>
      <c r="J362" s="114"/>
      <c r="K362" s="114"/>
      <c r="L362" s="81"/>
      <c r="M362" s="265" t="b">
        <f>NOT(ISERROR(ResultsInd[[#This Row],[Goal-A]]+ResultsInd[[#This Row],[Goal-B]]))</f>
        <v>1</v>
      </c>
      <c r="N362" s="265">
        <f>VALUE(ResultsInd[[#This Row],[Score-A]])</f>
        <v>4</v>
      </c>
      <c r="O362" s="265">
        <f>VALUE(ResultsInd[[#This Row],[Score-B]])</f>
        <v>1</v>
      </c>
      <c r="P362" s="265">
        <f ca="1">IF(AND(ResultsInd[[#This Row],[Category]]&lt;&gt;"",ResultsInd[[#This Row],[Player A]]&lt;&gt;""),COUNTIF(INDIRECT(ResultsInd[[#This Row],[Category]]&amp;"List[Retained Player Name]"),ResultsInd[[#This Row],[Player A]]),"")</f>
        <v>1</v>
      </c>
      <c r="Q362" s="265">
        <f ca="1">IF(AND(ResultsInd[[#This Row],[Category]]&lt;&gt;"",ResultsInd[[#This Row],[Player B]]&lt;&gt;""),COUNTIF(INDIRECT(ResultsInd[[#This Row],[Category]]&amp;"List[Retained Player Name]"),ResultsInd[[#This Row],[Player B]]),"")</f>
        <v>1</v>
      </c>
      <c r="R3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VETERANS-David Busch</v>
      </c>
      <c r="S362" s="265" t="str">
        <f>IF(ResultsInd[[#This Row],[Score_OK]],IF(ResultsInd[[#This Row],[Stage]]="Groups",ResultsInd[[#This Row],[Category]]&amp;"-"&amp;IF(ResultsInd[[#This Row],[Player B]]="","",IF(ResultsInd[[#This Row],[Score-A]]=ResultsInd[[#This Row],[Score-B]],ResultsInd[[#This Row],[Player A]],"")),""),"")</f>
        <v>VETERANS-</v>
      </c>
      <c r="T362" s="265" t="str">
        <f>IF(ResultsInd[[#This Row],[Score_OK]],IF(ResultsInd[[#This Row],[Stage]]="Groups",ResultsInd[[#This Row],[Category]]&amp;"-"&amp;IF(ResultsInd[[#This Row],[Player B]]="","",IF(ResultsInd[[#This Row],[Score-A]]=ResultsInd[[#This Row],[Score-B]],ResultsInd[[#This Row],[Player B]],"")),""),"")</f>
        <v>VETERANS-</v>
      </c>
      <c r="U3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VETERANS-Riccardo Marinucci</v>
      </c>
      <c r="V3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VETERANS-Riccardo Marinucci</v>
      </c>
      <c r="X3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VETERANS-Riccardo Marinucci</v>
      </c>
      <c r="Y362" s="264" t="str">
        <f>IF(ResultsInd[[#This Row],[Category]]="","",VLOOKUP(ResultsInd[[#This Row],[Stage]],$P$1:$V$9,MATCH(ResultsInd[[#This Row],[Category]],$Q$1:$V$1,0)+1,FALSE))</f>
        <v>PR1</v>
      </c>
      <c r="Z362" s="264" t="str">
        <f>IF(ResultsInd[[#This Row],[Score_OK]],IF(ResultsInd[[#This Row],[Level]]="R",ResultsInd[[#This Row],[Category]]&amp;"-"&amp;IF(ResultsInd[[#This Row],[LoseInKO]]=ResultsInd[[#This Row],[Category]]&amp;"-"&amp;ResultsInd[[#This Row],[Player A]],ResultsInd[[#This Row],[Player B]],ResultsInd[[#This Row],[Player A]]),""),"")</f>
        <v/>
      </c>
      <c r="AB362" s="8"/>
      <c r="AC362" s="12" t="str">
        <f t="shared" si="311"/>
        <v>VETERANS</v>
      </c>
      <c r="AD362" s="312"/>
      <c r="AE362" s="313"/>
      <c r="AF362" s="314"/>
      <c r="AG362" s="294" t="str">
        <f>IF(AP362="","",SMALL(AH356:AH362,ROWS(AG356:AG362)))</f>
        <v/>
      </c>
      <c r="AH362" s="295" t="str">
        <f>IF(AP362="","",RANK(AL362,AL356:AL362)*1000+ROWS(AH356:AH362))</f>
        <v/>
      </c>
      <c r="AI362" s="318" t="str">
        <f t="shared" si="305"/>
        <v/>
      </c>
      <c r="AJ362" s="416" t="b">
        <f>AND(AO362&lt;&gt;"",AO362&gt;0,COUNTIF(AI356:AI362,AI362)&gt;1)</f>
        <v>0</v>
      </c>
      <c r="AK362" s="318" t="str">
        <f t="shared" si="306"/>
        <v/>
      </c>
      <c r="AL362" s="319" t="str">
        <f t="shared" si="307"/>
        <v/>
      </c>
      <c r="AM362" s="416" t="b">
        <f>AND(AO362&lt;&gt;"",AO362&gt;0,COUNTIF(AL356:AL362,AL362)&gt;1)</f>
        <v>0</v>
      </c>
      <c r="AN362" s="306" t="str">
        <f t="shared" si="308"/>
        <v/>
      </c>
      <c r="AO362" s="307" t="str">
        <f t="shared" si="309"/>
        <v/>
      </c>
      <c r="AP362" s="307" t="str">
        <f>IF(OR(AC355="",AD362=""),"",COUNTIF(ResultsInd[Win],AC355&amp;"-"&amp;AD362))</f>
        <v/>
      </c>
      <c r="AQ362" s="307" t="str">
        <f>IF(OR(AC355="",AD362=""),"",COUNTIF(ResultsInd[Draw1],AC355&amp;"-"&amp;AD362)+COUNTIF(ResultsInd[Draw2],AC355&amp;"-"&amp;AD362))</f>
        <v/>
      </c>
      <c r="AR362" s="307" t="str">
        <f>IF(OR(AC355="",AD362=""),"",COUNTIF(ResultsInd[Lose],AC355&amp;"-"&amp;AD362))</f>
        <v/>
      </c>
      <c r="AS362" s="307" t="str">
        <f>IF(OR(AC355="",AD362=""),"",SUMIFS(ResultsInd[Goal-A],ResultsInd[Category],AC355,ResultsInd[Stage],"Groups",ResultsInd[Player A],AD362)+SUMIFS(ResultsInd[Goal-B],ResultsInd[Category],AC355,ResultsInd[Stage],"Groups",ResultsInd[Player B],AD362))</f>
        <v/>
      </c>
      <c r="AT362" s="307" t="str">
        <f>IF(OR(AC355="",AD362=""),"",SUMIFS(ResultsInd[Goal-B],ResultsInd[Category],AC355,ResultsInd[Stage],"Groups",ResultsInd[Player A],AD362)+SUMIFS(ResultsInd[Goal-A],ResultsInd[Category],AC355,ResultsInd[Stage],"Groups",ResultsInd[Player B],AD362))</f>
        <v/>
      </c>
      <c r="AU362" s="308" t="str">
        <f t="shared" si="312"/>
        <v/>
      </c>
      <c r="AV362" s="469" t="str">
        <f>IF(AG362="","",OR(VLOOKUP(AG362,AH356:AU362,3,FALSE),VLOOKUP(AG362,AH356:AU362,6,FALSE)))</f>
        <v/>
      </c>
      <c r="AW362" s="299" t="str">
        <f t="shared" si="310"/>
        <v/>
      </c>
      <c r="AX362" s="287" t="str">
        <f>IF(AG362="","",INDEX(AD356:AD362,MATCH(AG362,AH356:AH362,0)))</f>
        <v/>
      </c>
      <c r="AY362" s="288" t="str">
        <f>IF(AG362="","",VLOOKUP(AG362,AH356:AU362,COLUMN()-COLUMN(AR355),FALSE))</f>
        <v/>
      </c>
      <c r="AZ362" s="288" t="str">
        <f>IF(AG362="","",VLOOKUP(AG362,AH356:AU362,COLUMN()-COLUMN(AR355),FALSE))</f>
        <v/>
      </c>
      <c r="BA362" s="288" t="str">
        <f>IF(AG362="","",VLOOKUP(AG362,AH356:AU362,COLUMN()-COLUMN(AR355),FALSE))</f>
        <v/>
      </c>
      <c r="BB362" s="288" t="str">
        <f>IF(AG362="","",VLOOKUP(AG362,AH356:AU362,COLUMN()-COLUMN(AR355),FALSE))</f>
        <v/>
      </c>
      <c r="BC362" s="288" t="str">
        <f>IF(AG362="","",VLOOKUP(AG362,AH356:AU362,COLUMN()-COLUMN(AR355),FALSE))</f>
        <v/>
      </c>
      <c r="BD362" s="288" t="str">
        <f>IF(AG362="","",VLOOKUP(AG362,AH356:AU362,COLUMN()-COLUMN(AR355),FALSE))</f>
        <v/>
      </c>
      <c r="BE362" s="288" t="str">
        <f>IF(AG362="","",VLOOKUP(AG362,AH356:AU362,COLUMN()-COLUMN(AR355),FALSE))</f>
        <v/>
      </c>
      <c r="BF362" s="302" t="str">
        <f>IF(AG362="","",VLOOKUP(AG362,AH356:AU362,COLUMN()-COLUMN(AR355),FALSE))</f>
        <v/>
      </c>
    </row>
    <row r="363" spans="1:58" ht="13.5" thickBot="1" x14ac:dyDescent="0.25">
      <c r="A363" s="62" t="s">
        <v>12261</v>
      </c>
      <c r="B363" s="62" t="s">
        <v>12207</v>
      </c>
      <c r="C363" s="62">
        <v>10</v>
      </c>
      <c r="D363" s="62"/>
      <c r="E363" s="345" t="s">
        <v>8163</v>
      </c>
      <c r="F363" s="345" t="s">
        <v>13262</v>
      </c>
      <c r="G363" s="113">
        <v>6</v>
      </c>
      <c r="H363" s="113">
        <v>0</v>
      </c>
      <c r="I363" s="114"/>
      <c r="J363" s="114"/>
      <c r="K363" s="114"/>
      <c r="L363" s="81"/>
      <c r="M363" s="265" t="b">
        <f>NOT(ISERROR(ResultsInd[[#This Row],[Goal-A]]+ResultsInd[[#This Row],[Goal-B]]))</f>
        <v>1</v>
      </c>
      <c r="N363" s="265">
        <f>VALUE(ResultsInd[[#This Row],[Score-A]])</f>
        <v>6</v>
      </c>
      <c r="O363" s="265">
        <f>VALUE(ResultsInd[[#This Row],[Score-B]])</f>
        <v>0</v>
      </c>
      <c r="P363" s="265">
        <f ca="1">IF(AND(ResultsInd[[#This Row],[Category]]&lt;&gt;"",ResultsInd[[#This Row],[Player A]]&lt;&gt;""),COUNTIF(INDIRECT(ResultsInd[[#This Row],[Category]]&amp;"List[Retained Player Name]"),ResultsInd[[#This Row],[Player A]]),"")</f>
        <v>1</v>
      </c>
      <c r="Q363" s="265">
        <f ca="1">IF(AND(ResultsInd[[#This Row],[Category]]&lt;&gt;"",ResultsInd[[#This Row],[Player B]]&lt;&gt;""),COUNTIF(INDIRECT(ResultsInd[[#This Row],[Category]]&amp;"List[Retained Player Name]"),ResultsInd[[#This Row],[Player B]]),"")</f>
        <v>1</v>
      </c>
      <c r="R3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VETERANS-Yves Peremans</v>
      </c>
      <c r="S363" s="265" t="str">
        <f>IF(ResultsInd[[#This Row],[Score_OK]],IF(ResultsInd[[#This Row],[Stage]]="Groups",ResultsInd[[#This Row],[Category]]&amp;"-"&amp;IF(ResultsInd[[#This Row],[Player B]]="","",IF(ResultsInd[[#This Row],[Score-A]]=ResultsInd[[#This Row],[Score-B]],ResultsInd[[#This Row],[Player A]],"")),""),"")</f>
        <v>VETERANS-</v>
      </c>
      <c r="T363" s="265" t="str">
        <f>IF(ResultsInd[[#This Row],[Score_OK]],IF(ResultsInd[[#This Row],[Stage]]="Groups",ResultsInd[[#This Row],[Category]]&amp;"-"&amp;IF(ResultsInd[[#This Row],[Player B]]="","",IF(ResultsInd[[#This Row],[Score-A]]=ResultsInd[[#This Row],[Score-B]],ResultsInd[[#This Row],[Player B]],"")),""),"")</f>
        <v>VETERANS-</v>
      </c>
      <c r="U3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VETERANS-Martin Colwell</v>
      </c>
      <c r="V3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VETERANS-Martin Colwell</v>
      </c>
      <c r="X3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VETERANS-Martin Colwell</v>
      </c>
      <c r="Y363" s="264" t="str">
        <f>IF(ResultsInd[[#This Row],[Category]]="","",VLOOKUP(ResultsInd[[#This Row],[Stage]],$P$1:$V$9,MATCH(ResultsInd[[#This Row],[Category]],$Q$1:$V$1,0)+1,FALSE))</f>
        <v>PR1</v>
      </c>
      <c r="Z363" s="264" t="str">
        <f>IF(ResultsInd[[#This Row],[Score_OK]],IF(ResultsInd[[#This Row],[Level]]="R",ResultsInd[[#This Row],[Category]]&amp;"-"&amp;IF(ResultsInd[[#This Row],[LoseInKO]]=ResultsInd[[#This Row],[Category]]&amp;"-"&amp;ResultsInd[[#This Row],[Player A]],ResultsInd[[#This Row],[Player B]],ResultsInd[[#This Row],[Player A]]),""),"")</f>
        <v/>
      </c>
      <c r="AB363" s="8"/>
      <c r="AC363" s="8"/>
      <c r="AF363" s="170"/>
      <c r="AG363" s="101"/>
      <c r="AH363" s="101"/>
      <c r="AN363" s="170"/>
      <c r="AO363" s="170"/>
      <c r="AP363" s="170"/>
      <c r="AQ363" s="172"/>
      <c r="AR363" s="173"/>
      <c r="AS363" s="173"/>
      <c r="AT363" s="173"/>
      <c r="AU363" s="101"/>
      <c r="AV363" s="101"/>
      <c r="AW363" s="101"/>
      <c r="AX363" s="101"/>
      <c r="AY363" s="101"/>
      <c r="AZ363" s="101"/>
    </row>
    <row r="364" spans="1:58" ht="12" thickBot="1" x14ac:dyDescent="0.25">
      <c r="A364" s="62" t="s">
        <v>12261</v>
      </c>
      <c r="B364" s="62" t="s">
        <v>12207</v>
      </c>
      <c r="C364" s="62">
        <v>10</v>
      </c>
      <c r="D364" s="62"/>
      <c r="E364" s="345" t="s">
        <v>8062</v>
      </c>
      <c r="F364" s="345" t="s">
        <v>8163</v>
      </c>
      <c r="G364" s="113">
        <v>2</v>
      </c>
      <c r="H364" s="113">
        <v>1</v>
      </c>
      <c r="I364" s="114"/>
      <c r="J364" s="114"/>
      <c r="K364" s="114"/>
      <c r="L364" s="81"/>
      <c r="M364" s="265" t="b">
        <f>NOT(ISERROR(ResultsInd[[#This Row],[Goal-A]]+ResultsInd[[#This Row],[Goal-B]]))</f>
        <v>1</v>
      </c>
      <c r="N364" s="265">
        <f>VALUE(ResultsInd[[#This Row],[Score-A]])</f>
        <v>2</v>
      </c>
      <c r="O364" s="265">
        <f>VALUE(ResultsInd[[#This Row],[Score-B]])</f>
        <v>1</v>
      </c>
      <c r="P364" s="265">
        <f ca="1">IF(AND(ResultsInd[[#This Row],[Category]]&lt;&gt;"",ResultsInd[[#This Row],[Player A]]&lt;&gt;""),COUNTIF(INDIRECT(ResultsInd[[#This Row],[Category]]&amp;"List[Retained Player Name]"),ResultsInd[[#This Row],[Player A]]),"")</f>
        <v>1</v>
      </c>
      <c r="Q364" s="265">
        <f ca="1">IF(AND(ResultsInd[[#This Row],[Category]]&lt;&gt;"",ResultsInd[[#This Row],[Player B]]&lt;&gt;""),COUNTIF(INDIRECT(ResultsInd[[#This Row],[Category]]&amp;"List[Retained Player Name]"),ResultsInd[[#This Row],[Player B]]),"")</f>
        <v>1</v>
      </c>
      <c r="R3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VETERANS-David Busch</v>
      </c>
      <c r="S364" s="265" t="str">
        <f>IF(ResultsInd[[#This Row],[Score_OK]],IF(ResultsInd[[#This Row],[Stage]]="Groups",ResultsInd[[#This Row],[Category]]&amp;"-"&amp;IF(ResultsInd[[#This Row],[Player B]]="","",IF(ResultsInd[[#This Row],[Score-A]]=ResultsInd[[#This Row],[Score-B]],ResultsInd[[#This Row],[Player A]],"")),""),"")</f>
        <v>VETERANS-</v>
      </c>
      <c r="T364" s="265" t="str">
        <f>IF(ResultsInd[[#This Row],[Score_OK]],IF(ResultsInd[[#This Row],[Stage]]="Groups",ResultsInd[[#This Row],[Category]]&amp;"-"&amp;IF(ResultsInd[[#This Row],[Player B]]="","",IF(ResultsInd[[#This Row],[Score-A]]=ResultsInd[[#This Row],[Score-B]],ResultsInd[[#This Row],[Player B]],"")),""),"")</f>
        <v>VETERANS-</v>
      </c>
      <c r="U3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VETERANS-Yves Peremans</v>
      </c>
      <c r="V3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VETERANS-Yves Peremans</v>
      </c>
      <c r="X3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VETERANS-Yves Peremans</v>
      </c>
      <c r="Y364" s="264" t="str">
        <f>IF(ResultsInd[[#This Row],[Category]]="","",VLOOKUP(ResultsInd[[#This Row],[Stage]],$P$1:$V$9,MATCH(ResultsInd[[#This Row],[Category]],$Q$1:$V$1,0)+1,FALSE))</f>
        <v>PR1</v>
      </c>
      <c r="Z364" s="264" t="str">
        <f>IF(ResultsInd[[#This Row],[Score_OK]],IF(ResultsInd[[#This Row],[Level]]="R",ResultsInd[[#This Row],[Category]]&amp;"-"&amp;IF(ResultsInd[[#This Row],[LoseInKO]]=ResultsInd[[#This Row],[Category]]&amp;"-"&amp;ResultsInd[[#This Row],[Player A]],ResultsInd[[#This Row],[Player B]],ResultsInd[[#This Row],[Player A]]),""),"")</f>
        <v/>
      </c>
      <c r="AB364" s="281">
        <v>10</v>
      </c>
      <c r="AC364" s="315" t="s">
        <v>12261</v>
      </c>
      <c r="AD364" s="289" t="s">
        <v>14439</v>
      </c>
      <c r="AE364" s="290" t="s">
        <v>12279</v>
      </c>
      <c r="AF364" s="284" t="s">
        <v>12275</v>
      </c>
      <c r="AG364" s="296" t="s">
        <v>12276</v>
      </c>
      <c r="AH364" s="291" t="s">
        <v>12271</v>
      </c>
      <c r="AI364" s="291" t="s">
        <v>12272</v>
      </c>
      <c r="AJ364" s="414" t="s">
        <v>13154</v>
      </c>
      <c r="AK364" s="291" t="s">
        <v>12273</v>
      </c>
      <c r="AL364" s="297" t="s">
        <v>12274</v>
      </c>
      <c r="AM364" s="414" t="s">
        <v>13154</v>
      </c>
      <c r="AN364" s="303" t="s">
        <v>12199</v>
      </c>
      <c r="AO364" s="304" t="s">
        <v>12200</v>
      </c>
      <c r="AP364" s="304" t="s">
        <v>12201</v>
      </c>
      <c r="AQ364" s="304" t="s">
        <v>12202</v>
      </c>
      <c r="AR364" s="304" t="s">
        <v>12203</v>
      </c>
      <c r="AS364" s="304" t="s">
        <v>12204</v>
      </c>
      <c r="AT364" s="304" t="s">
        <v>12205</v>
      </c>
      <c r="AU364" s="305" t="s">
        <v>12206</v>
      </c>
      <c r="AV364" s="468"/>
      <c r="AW364" s="282" t="s">
        <v>12276</v>
      </c>
      <c r="AX364" s="282" t="s">
        <v>12280</v>
      </c>
      <c r="AY364" s="283" t="s">
        <v>12199</v>
      </c>
      <c r="AZ364" s="283" t="s">
        <v>12200</v>
      </c>
      <c r="BA364" s="283" t="s">
        <v>12201</v>
      </c>
      <c r="BB364" s="283" t="s">
        <v>12202</v>
      </c>
      <c r="BC364" s="283" t="s">
        <v>12203</v>
      </c>
      <c r="BD364" s="283" t="s">
        <v>12204</v>
      </c>
      <c r="BE364" s="283" t="s">
        <v>12205</v>
      </c>
      <c r="BF364" s="300" t="s">
        <v>12206</v>
      </c>
    </row>
    <row r="365" spans="1:58" ht="12" thickBot="1" x14ac:dyDescent="0.25">
      <c r="A365" s="62" t="s">
        <v>12261</v>
      </c>
      <c r="B365" s="62" t="s">
        <v>12207</v>
      </c>
      <c r="C365" s="62">
        <v>10</v>
      </c>
      <c r="D365" s="62"/>
      <c r="E365" s="345" t="s">
        <v>9853</v>
      </c>
      <c r="F365" s="345" t="s">
        <v>13262</v>
      </c>
      <c r="G365" s="113">
        <v>8</v>
      </c>
      <c r="H365" s="113">
        <v>0</v>
      </c>
      <c r="I365" s="114"/>
      <c r="J365" s="114"/>
      <c r="K365" s="114"/>
      <c r="L365" s="81"/>
      <c r="M365" s="265" t="b">
        <f>NOT(ISERROR(ResultsInd[[#This Row],[Goal-A]]+ResultsInd[[#This Row],[Goal-B]]))</f>
        <v>1</v>
      </c>
      <c r="N365" s="265">
        <f>VALUE(ResultsInd[[#This Row],[Score-A]])</f>
        <v>8</v>
      </c>
      <c r="O365" s="265">
        <f>VALUE(ResultsInd[[#This Row],[Score-B]])</f>
        <v>0</v>
      </c>
      <c r="P365" s="265">
        <f ca="1">IF(AND(ResultsInd[[#This Row],[Category]]&lt;&gt;"",ResultsInd[[#This Row],[Player A]]&lt;&gt;""),COUNTIF(INDIRECT(ResultsInd[[#This Row],[Category]]&amp;"List[Retained Player Name]"),ResultsInd[[#This Row],[Player A]]),"")</f>
        <v>1</v>
      </c>
      <c r="Q365" s="265">
        <f ca="1">IF(AND(ResultsInd[[#This Row],[Category]]&lt;&gt;"",ResultsInd[[#This Row],[Player B]]&lt;&gt;""),COUNTIF(INDIRECT(ResultsInd[[#This Row],[Category]]&amp;"List[Retained Player Name]"),ResultsInd[[#This Row],[Player B]]),"")</f>
        <v>1</v>
      </c>
      <c r="R3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VETERANS-Riccardo Marinucci</v>
      </c>
      <c r="S365" s="265" t="str">
        <f>IF(ResultsInd[[#This Row],[Score_OK]],IF(ResultsInd[[#This Row],[Stage]]="Groups",ResultsInd[[#This Row],[Category]]&amp;"-"&amp;IF(ResultsInd[[#This Row],[Player B]]="","",IF(ResultsInd[[#This Row],[Score-A]]=ResultsInd[[#This Row],[Score-B]],ResultsInd[[#This Row],[Player A]],"")),""),"")</f>
        <v>VETERANS-</v>
      </c>
      <c r="T365" s="265" t="str">
        <f>IF(ResultsInd[[#This Row],[Score_OK]],IF(ResultsInd[[#This Row],[Stage]]="Groups",ResultsInd[[#This Row],[Category]]&amp;"-"&amp;IF(ResultsInd[[#This Row],[Player B]]="","",IF(ResultsInd[[#This Row],[Score-A]]=ResultsInd[[#This Row],[Score-B]],ResultsInd[[#This Row],[Player B]],"")),""),"")</f>
        <v>VETERANS-</v>
      </c>
      <c r="U3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VETERANS-Martin Colwell</v>
      </c>
      <c r="V3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VETERANS-Martin Colwell</v>
      </c>
      <c r="X3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VETERANS-Martin Colwell</v>
      </c>
      <c r="Y365" s="264" t="str">
        <f>IF(ResultsInd[[#This Row],[Category]]="","",VLOOKUP(ResultsInd[[#This Row],[Stage]],$P$1:$V$9,MATCH(ResultsInd[[#This Row],[Category]],$Q$1:$V$1,0)+1,FALSE))</f>
        <v>PR1</v>
      </c>
      <c r="Z365" s="264" t="str">
        <f>IF(ResultsInd[[#This Row],[Score_OK]],IF(ResultsInd[[#This Row],[Level]]="R",ResultsInd[[#This Row],[Category]]&amp;"-"&amp;IF(ResultsInd[[#This Row],[LoseInKO]]=ResultsInd[[#This Row],[Category]]&amp;"-"&amp;ResultsInd[[#This Row],[Player A]],ResultsInd[[#This Row],[Player B]],ResultsInd[[#This Row],[Player A]]),""),"")</f>
        <v/>
      </c>
      <c r="AB365" s="8"/>
      <c r="AC365" s="12" t="str">
        <f>IF(AC364="","",AC364)</f>
        <v>VETERANS</v>
      </c>
      <c r="AD365" s="309" t="s">
        <v>8062</v>
      </c>
      <c r="AE365" s="320"/>
      <c r="AF365" s="311"/>
      <c r="AG365" s="292">
        <f>IF(AP365="","",SMALL(AH365:AH371,ROWS(AG365:AG365)))</f>
        <v>1001</v>
      </c>
      <c r="AH365" s="293">
        <f>IF(AP365="","",RANK(AL365,AL365:AL371)*1000+ROWS(AH365:AH365))</f>
        <v>1001</v>
      </c>
      <c r="AI365" s="316">
        <f t="shared" ref="AI365:AI371" si="313">IF(AP365="","",CritClassInd1_Points*AN365+CritClassInd1_Matches*AP365+CritClassInd1_Attaque*AS365+CritClassInd1_DiffButs*AU365)</f>
        <v>9000000000000</v>
      </c>
      <c r="AJ365" s="415" t="b">
        <f>AND(AO365&lt;&gt;"",AO365&gt;0,COUNTIF(AI365:AI371,AI365)&gt;1)</f>
        <v>0</v>
      </c>
      <c r="AK365" s="316">
        <f t="shared" ref="AK365:AK371" si="314">IF(AP365="","",CritClassInd_ScorePart*AE365)</f>
        <v>0</v>
      </c>
      <c r="AL365" s="317">
        <f t="shared" ref="AL365:AL371" si="315">IF(AP365="","",AI365+AK365+CritClassInd2_Points*AN365+CritClassInd2_Matches*AP365+CritClassInd2_Attaque*AS365+CritClassInd2_DiffButs*AU365+AF365)</f>
        <v>9000000111500</v>
      </c>
      <c r="AM365" s="415" t="b">
        <f>AND(AO365&lt;&gt;"",AO365&gt;0,COUNTIF(AL365:AL371,AL365)&gt;1)</f>
        <v>0</v>
      </c>
      <c r="AN365" s="306">
        <f t="shared" ref="AN365:AN371" si="316">IF(AP365="","",(AP365*Points_Victoire)+AQ365*Points_Null)</f>
        <v>9</v>
      </c>
      <c r="AO365" s="307">
        <f t="shared" ref="AO365:AO371" si="317">IF(AP365="","",SUM(AP365:AR365))</f>
        <v>3</v>
      </c>
      <c r="AP365" s="307">
        <f>IF(OR(AC364="",AD365=""),"",COUNTIF(ResultsInd[Win],AC364&amp;"-"&amp;AD365))</f>
        <v>3</v>
      </c>
      <c r="AQ365" s="307">
        <f>IF(OR(AC364="",AD365=""),"",COUNTIF(ResultsInd[Draw1],AC364&amp;"-"&amp;AD365)+COUNTIF(ResultsInd[Draw2],AC364&amp;"-"&amp;AD365))</f>
        <v>0</v>
      </c>
      <c r="AR365" s="307">
        <f>IF(OR(AC364="",AD365=""),"",COUNTIF(ResultsInd[Lose],AC364&amp;"-"&amp;AD365))</f>
        <v>0</v>
      </c>
      <c r="AS365" s="307">
        <f>IF(OR(AC364="",AD365=""),"",SUMIFS(ResultsInd[Goal-A],ResultsInd[Category],AC364,ResultsInd[Stage],"Groups",ResultsInd[Player A],AD365)+SUMIFS(ResultsInd[Goal-B],ResultsInd[Category],AC364,ResultsInd[Stage],"Groups",ResultsInd[Player B],AD365))</f>
        <v>15</v>
      </c>
      <c r="AT365" s="307">
        <f>IF(OR(AC364="",AD365=""),"",SUMIFS(ResultsInd[Goal-B],ResultsInd[Category],AC364,ResultsInd[Stage],"Groups",ResultsInd[Player A],AD365)+SUMIFS(ResultsInd[Goal-A],ResultsInd[Category],AC364,ResultsInd[Stage],"Groups",ResultsInd[Player B],AD365))</f>
        <v>4</v>
      </c>
      <c r="AU365" s="308">
        <f>IF(AP365="","",AS365-AT365)</f>
        <v>11</v>
      </c>
      <c r="AV365" s="469" t="b">
        <f>IF(AG365="","",OR(VLOOKUP(AG365,AH365:AU371,3,FALSE),VLOOKUP(AG365,AH365:AU371,6,FALSE)))</f>
        <v>0</v>
      </c>
      <c r="AW365" s="298">
        <f t="shared" ref="AW365:AW371" si="318">IF(AG365="","",INT(AG365/1000))</f>
        <v>1</v>
      </c>
      <c r="AX365" s="285" t="str">
        <f>IF(AG365="","",INDEX(AD365:AD371,MATCH(AG365,AH365:AH371,0)))</f>
        <v>David Busch</v>
      </c>
      <c r="AY365" s="286">
        <f>IF(AG365="","",VLOOKUP(AG365,AH365:AU371,COLUMN()-COLUMN(AR364),FALSE))</f>
        <v>9</v>
      </c>
      <c r="AZ365" s="286">
        <f>IF(AG365="","",VLOOKUP(AG365,AH365:AU371,COLUMN()-COLUMN(AR364),FALSE))</f>
        <v>3</v>
      </c>
      <c r="BA365" s="286">
        <f>IF(AG365="","",VLOOKUP(AG365,AH365:AU371,COLUMN()-COLUMN(AR364),FALSE))</f>
        <v>3</v>
      </c>
      <c r="BB365" s="286">
        <f>IF(AG365="","",VLOOKUP(AG365,AH365:AU371,COLUMN()-COLUMN(AR364),FALSE))</f>
        <v>0</v>
      </c>
      <c r="BC365" s="286">
        <f>IF(AG365="","",VLOOKUP(AG365,AH365:AU371,COLUMN()-COLUMN(AR364),FALSE))</f>
        <v>0</v>
      </c>
      <c r="BD365" s="286">
        <f>IF(AG365="","",VLOOKUP(AG365,AH365:AU371,COLUMN()-COLUMN(AR364),FALSE))</f>
        <v>15</v>
      </c>
      <c r="BE365" s="286">
        <f>IF(AG365="","",VLOOKUP(AG365,AH365:AU371,COLUMN()-COLUMN(AR364),FALSE))</f>
        <v>4</v>
      </c>
      <c r="BF365" s="301">
        <f>IF(AG365="","",VLOOKUP(AG365,AH365:AU371,COLUMN()-COLUMN(AR364),FALSE))</f>
        <v>11</v>
      </c>
    </row>
    <row r="366" spans="1:58" ht="12" thickBot="1" x14ac:dyDescent="0.25">
      <c r="A366" s="62" t="s">
        <v>12261</v>
      </c>
      <c r="B366" s="62" t="s">
        <v>12207</v>
      </c>
      <c r="C366" s="62">
        <v>10</v>
      </c>
      <c r="D366" s="62"/>
      <c r="E366" s="345" t="s">
        <v>13262</v>
      </c>
      <c r="F366" s="345" t="s">
        <v>8062</v>
      </c>
      <c r="G366" s="113">
        <v>2</v>
      </c>
      <c r="H366" s="113">
        <v>9</v>
      </c>
      <c r="I366" s="114"/>
      <c r="J366" s="114"/>
      <c r="K366" s="114"/>
      <c r="L366" s="81"/>
      <c r="M366" s="265" t="b">
        <f>NOT(ISERROR(ResultsInd[[#This Row],[Goal-A]]+ResultsInd[[#This Row],[Goal-B]]))</f>
        <v>1</v>
      </c>
      <c r="N366" s="265">
        <f>VALUE(ResultsInd[[#This Row],[Score-A]])</f>
        <v>2</v>
      </c>
      <c r="O366" s="265">
        <f>VALUE(ResultsInd[[#This Row],[Score-B]])</f>
        <v>9</v>
      </c>
      <c r="P366" s="265">
        <f ca="1">IF(AND(ResultsInd[[#This Row],[Category]]&lt;&gt;"",ResultsInd[[#This Row],[Player A]]&lt;&gt;""),COUNTIF(INDIRECT(ResultsInd[[#This Row],[Category]]&amp;"List[Retained Player Name]"),ResultsInd[[#This Row],[Player A]]),"")</f>
        <v>1</v>
      </c>
      <c r="Q366" s="265">
        <f ca="1">IF(AND(ResultsInd[[#This Row],[Category]]&lt;&gt;"",ResultsInd[[#This Row],[Player B]]&lt;&gt;""),COUNTIF(INDIRECT(ResultsInd[[#This Row],[Category]]&amp;"List[Retained Player Name]"),ResultsInd[[#This Row],[Player B]]),"")</f>
        <v>1</v>
      </c>
      <c r="R3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VETERANS-David Busch</v>
      </c>
      <c r="S366" s="265" t="str">
        <f>IF(ResultsInd[[#This Row],[Score_OK]],IF(ResultsInd[[#This Row],[Stage]]="Groups",ResultsInd[[#This Row],[Category]]&amp;"-"&amp;IF(ResultsInd[[#This Row],[Player B]]="","",IF(ResultsInd[[#This Row],[Score-A]]=ResultsInd[[#This Row],[Score-B]],ResultsInd[[#This Row],[Player A]],"")),""),"")</f>
        <v>VETERANS-</v>
      </c>
      <c r="T366" s="265" t="str">
        <f>IF(ResultsInd[[#This Row],[Score_OK]],IF(ResultsInd[[#This Row],[Stage]]="Groups",ResultsInd[[#This Row],[Category]]&amp;"-"&amp;IF(ResultsInd[[#This Row],[Player B]]="","",IF(ResultsInd[[#This Row],[Score-A]]=ResultsInd[[#This Row],[Score-B]],ResultsInd[[#This Row],[Player B]],"")),""),"")</f>
        <v>VETERANS-</v>
      </c>
      <c r="U3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VETERANS-Martin Colwell</v>
      </c>
      <c r="V3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VETERANS-Martin Colwell</v>
      </c>
      <c r="X3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VETERANS-Martin Colwell</v>
      </c>
      <c r="Y366" s="264" t="str">
        <f>IF(ResultsInd[[#This Row],[Category]]="","",VLOOKUP(ResultsInd[[#This Row],[Stage]],$P$1:$V$9,MATCH(ResultsInd[[#This Row],[Category]],$Q$1:$V$1,0)+1,FALSE))</f>
        <v>PR1</v>
      </c>
      <c r="Z366" s="264" t="str">
        <f>IF(ResultsInd[[#This Row],[Score_OK]],IF(ResultsInd[[#This Row],[Level]]="R",ResultsInd[[#This Row],[Category]]&amp;"-"&amp;IF(ResultsInd[[#This Row],[LoseInKO]]=ResultsInd[[#This Row],[Category]]&amp;"-"&amp;ResultsInd[[#This Row],[Player A]],ResultsInd[[#This Row],[Player B]],ResultsInd[[#This Row],[Player A]]),""),"")</f>
        <v/>
      </c>
      <c r="AB366" s="8"/>
      <c r="AC366" s="12" t="str">
        <f t="shared" ref="AC366:AC371" si="319">IF(AC365="","",AC365)</f>
        <v>VETERANS</v>
      </c>
      <c r="AD366" s="309" t="s">
        <v>8163</v>
      </c>
      <c r="AE366" s="320"/>
      <c r="AF366" s="311"/>
      <c r="AG366" s="292">
        <f>IF(AP366="","",SMALL(AH365:AH371,ROWS(AG365:AG366)))</f>
        <v>2002</v>
      </c>
      <c r="AH366" s="293">
        <f>IF(AP366="","",RANK(AL366,AL365:AL371)*1000+ROWS(AH365:AH366))</f>
        <v>2002</v>
      </c>
      <c r="AI366" s="316">
        <f t="shared" si="313"/>
        <v>6000000000000</v>
      </c>
      <c r="AJ366" s="415" t="b">
        <f>AND(AO366&lt;&gt;"",AO366&gt;0,COUNTIF(AI365:AI371,AI366)&gt;1)</f>
        <v>0</v>
      </c>
      <c r="AK366" s="316">
        <f t="shared" si="314"/>
        <v>0</v>
      </c>
      <c r="AL366" s="317">
        <f t="shared" si="315"/>
        <v>6000000081100</v>
      </c>
      <c r="AM366" s="415" t="b">
        <f>AND(AO366&lt;&gt;"",AO366&gt;0,COUNTIF(AL365:AL371,AL366)&gt;1)</f>
        <v>0</v>
      </c>
      <c r="AN366" s="306">
        <f t="shared" si="316"/>
        <v>6</v>
      </c>
      <c r="AO366" s="307">
        <f t="shared" si="317"/>
        <v>3</v>
      </c>
      <c r="AP366" s="307">
        <f>IF(OR(AC364="",AD366=""),"",COUNTIF(ResultsInd[Win],AC364&amp;"-"&amp;AD366))</f>
        <v>2</v>
      </c>
      <c r="AQ366" s="307">
        <f>IF(OR(AC364="",AD366=""),"",COUNTIF(ResultsInd[Draw1],AC364&amp;"-"&amp;AD366)+COUNTIF(ResultsInd[Draw2],AC364&amp;"-"&amp;AD366))</f>
        <v>0</v>
      </c>
      <c r="AR366" s="307">
        <f>IF(OR(AC364="",AD366=""),"",COUNTIF(ResultsInd[Lose],AC364&amp;"-"&amp;AD366))</f>
        <v>1</v>
      </c>
      <c r="AS366" s="307">
        <f>IF(OR(AC364="",AD366=""),"",SUMIFS(ResultsInd[Goal-A],ResultsInd[Category],AC364,ResultsInd[Stage],"Groups",ResultsInd[Player A],AD366)+SUMIFS(ResultsInd[Goal-B],ResultsInd[Category],AC364,ResultsInd[Stage],"Groups",ResultsInd[Player B],AD366))</f>
        <v>11</v>
      </c>
      <c r="AT366" s="307">
        <f>IF(OR(AC364="",AD366=""),"",SUMIFS(ResultsInd[Goal-B],ResultsInd[Category],AC364,ResultsInd[Stage],"Groups",ResultsInd[Player A],AD366)+SUMIFS(ResultsInd[Goal-A],ResultsInd[Category],AC364,ResultsInd[Stage],"Groups",ResultsInd[Player B],AD366))</f>
        <v>3</v>
      </c>
      <c r="AU366" s="308">
        <f t="shared" ref="AU366:AU371" si="320">IF(AP366="","",AS366-AT366)</f>
        <v>8</v>
      </c>
      <c r="AV366" s="469" t="b">
        <f>IF(AG366="","",OR(VLOOKUP(AG366,AH365:AU371,3,FALSE),VLOOKUP(AG366,AH365:AU371,6,FALSE)))</f>
        <v>0</v>
      </c>
      <c r="AW366" s="298">
        <f t="shared" si="318"/>
        <v>2</v>
      </c>
      <c r="AX366" s="285" t="str">
        <f>IF(AG366="","",INDEX(AD365:AD371,MATCH(AG366,AH365:AH371,0)))</f>
        <v>Yves Peremans</v>
      </c>
      <c r="AY366" s="286">
        <f>IF(AG366="","",VLOOKUP(AG366,AH365:AU371,COLUMN()-COLUMN(AR364),FALSE))</f>
        <v>6</v>
      </c>
      <c r="AZ366" s="286">
        <f>IF(AG366="","",VLOOKUP(AG366,AH365:AU371,COLUMN()-COLUMN(AR364),FALSE))</f>
        <v>3</v>
      </c>
      <c r="BA366" s="286">
        <f>IF(AG366="","",VLOOKUP(AG366,AH365:AU371,COLUMN()-COLUMN(AR364),FALSE))</f>
        <v>2</v>
      </c>
      <c r="BB366" s="286">
        <f>IF(AG366="","",VLOOKUP(AG366,AH365:AU371,COLUMN()-COLUMN(AR364),FALSE))</f>
        <v>0</v>
      </c>
      <c r="BC366" s="286">
        <f>IF(AG366="","",VLOOKUP(AG366,AH365:AU371,COLUMN()-COLUMN(AR364),FALSE))</f>
        <v>1</v>
      </c>
      <c r="BD366" s="286">
        <f>IF(AG366="","",VLOOKUP(AG366,AH365:AU371,COLUMN()-COLUMN(AR364),FALSE))</f>
        <v>11</v>
      </c>
      <c r="BE366" s="286">
        <f>IF(AG366="","",VLOOKUP(AG366,AH365:AU371,COLUMN()-COLUMN(AR364),FALSE))</f>
        <v>3</v>
      </c>
      <c r="BF366" s="301">
        <f>IF(AG366="","",VLOOKUP(AG366,AH365:AU371,COLUMN()-COLUMN(AR364),FALSE))</f>
        <v>8</v>
      </c>
    </row>
    <row r="367" spans="1:58" ht="12" thickBot="1" x14ac:dyDescent="0.25">
      <c r="A367" s="62" t="s">
        <v>12261</v>
      </c>
      <c r="B367" s="62" t="s">
        <v>12207</v>
      </c>
      <c r="C367" s="62">
        <v>10</v>
      </c>
      <c r="D367" s="62"/>
      <c r="E367" s="345" t="s">
        <v>9853</v>
      </c>
      <c r="F367" s="345" t="s">
        <v>8163</v>
      </c>
      <c r="G367" s="113">
        <v>1</v>
      </c>
      <c r="H367" s="113">
        <v>4</v>
      </c>
      <c r="I367" s="114"/>
      <c r="J367" s="114"/>
      <c r="K367" s="114"/>
      <c r="L367" s="81"/>
      <c r="M367" s="265" t="b">
        <f>NOT(ISERROR(ResultsInd[[#This Row],[Goal-A]]+ResultsInd[[#This Row],[Goal-B]]))</f>
        <v>1</v>
      </c>
      <c r="N367" s="265">
        <f>VALUE(ResultsInd[[#This Row],[Score-A]])</f>
        <v>1</v>
      </c>
      <c r="O367" s="265">
        <f>VALUE(ResultsInd[[#This Row],[Score-B]])</f>
        <v>4</v>
      </c>
      <c r="P367" s="265">
        <f ca="1">IF(AND(ResultsInd[[#This Row],[Category]]&lt;&gt;"",ResultsInd[[#This Row],[Player A]]&lt;&gt;""),COUNTIF(INDIRECT(ResultsInd[[#This Row],[Category]]&amp;"List[Retained Player Name]"),ResultsInd[[#This Row],[Player A]]),"")</f>
        <v>1</v>
      </c>
      <c r="Q367" s="265">
        <f ca="1">IF(AND(ResultsInd[[#This Row],[Category]]&lt;&gt;"",ResultsInd[[#This Row],[Player B]]&lt;&gt;""),COUNTIF(INDIRECT(ResultsInd[[#This Row],[Category]]&amp;"List[Retained Player Name]"),ResultsInd[[#This Row],[Player B]]),"")</f>
        <v>1</v>
      </c>
      <c r="R3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VETERANS-Yves Peremans</v>
      </c>
      <c r="S367" s="265" t="str">
        <f>IF(ResultsInd[[#This Row],[Score_OK]],IF(ResultsInd[[#This Row],[Stage]]="Groups",ResultsInd[[#This Row],[Category]]&amp;"-"&amp;IF(ResultsInd[[#This Row],[Player B]]="","",IF(ResultsInd[[#This Row],[Score-A]]=ResultsInd[[#This Row],[Score-B]],ResultsInd[[#This Row],[Player A]],"")),""),"")</f>
        <v>VETERANS-</v>
      </c>
      <c r="T367" s="265" t="str">
        <f>IF(ResultsInd[[#This Row],[Score_OK]],IF(ResultsInd[[#This Row],[Stage]]="Groups",ResultsInd[[#This Row],[Category]]&amp;"-"&amp;IF(ResultsInd[[#This Row],[Player B]]="","",IF(ResultsInd[[#This Row],[Score-A]]=ResultsInd[[#This Row],[Score-B]],ResultsInd[[#This Row],[Player B]],"")),""),"")</f>
        <v>VETERANS-</v>
      </c>
      <c r="U3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VETERANS-Riccardo Marinucci</v>
      </c>
      <c r="V3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VETERANS-Riccardo Marinucci</v>
      </c>
      <c r="X3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VETERANS-Riccardo Marinucci</v>
      </c>
      <c r="Y367" s="264" t="str">
        <f>IF(ResultsInd[[#This Row],[Category]]="","",VLOOKUP(ResultsInd[[#This Row],[Stage]],$P$1:$V$9,MATCH(ResultsInd[[#This Row],[Category]],$Q$1:$V$1,0)+1,FALSE))</f>
        <v>PR1</v>
      </c>
      <c r="Z367" s="264" t="str">
        <f>IF(ResultsInd[[#This Row],[Score_OK]],IF(ResultsInd[[#This Row],[Level]]="R",ResultsInd[[#This Row],[Category]]&amp;"-"&amp;IF(ResultsInd[[#This Row],[LoseInKO]]=ResultsInd[[#This Row],[Category]]&amp;"-"&amp;ResultsInd[[#This Row],[Player A]],ResultsInd[[#This Row],[Player B]],ResultsInd[[#This Row],[Player A]]),""),"")</f>
        <v/>
      </c>
      <c r="AB367" s="8"/>
      <c r="AC367" s="12" t="str">
        <f t="shared" si="319"/>
        <v>VETERANS</v>
      </c>
      <c r="AD367" s="309" t="s">
        <v>9853</v>
      </c>
      <c r="AE367" s="320"/>
      <c r="AF367" s="311"/>
      <c r="AG367" s="292">
        <f>IF(AP367="","",SMALL(AH365:AH371,ROWS(AG365:AG367)))</f>
        <v>3003</v>
      </c>
      <c r="AH367" s="293">
        <f>IF(AP367="","",RANK(AL367,AL365:AL371)*1000+ROWS(AH365:AH367))</f>
        <v>3003</v>
      </c>
      <c r="AI367" s="316">
        <f t="shared" si="313"/>
        <v>3000000000000</v>
      </c>
      <c r="AJ367" s="415" t="b">
        <f>AND(AO367&lt;&gt;"",AO367&gt;0,COUNTIF(AI365:AI371,AI367)&gt;1)</f>
        <v>0</v>
      </c>
      <c r="AK367" s="316">
        <f t="shared" si="314"/>
        <v>0</v>
      </c>
      <c r="AL367" s="317">
        <f t="shared" si="315"/>
        <v>3000000021000</v>
      </c>
      <c r="AM367" s="415" t="b">
        <f>AND(AO367&lt;&gt;"",AO367&gt;0,COUNTIF(AL365:AL371,AL367)&gt;1)</f>
        <v>0</v>
      </c>
      <c r="AN367" s="306">
        <f t="shared" si="316"/>
        <v>3</v>
      </c>
      <c r="AO367" s="307">
        <f t="shared" si="317"/>
        <v>3</v>
      </c>
      <c r="AP367" s="307">
        <f>IF(OR(AC364="",AD367=""),"",COUNTIF(ResultsInd[Win],AC364&amp;"-"&amp;AD367))</f>
        <v>1</v>
      </c>
      <c r="AQ367" s="307">
        <f>IF(OR(AC364="",AD367=""),"",COUNTIF(ResultsInd[Draw1],AC364&amp;"-"&amp;AD367)+COUNTIF(ResultsInd[Draw2],AC364&amp;"-"&amp;AD367))</f>
        <v>0</v>
      </c>
      <c r="AR367" s="307">
        <f>IF(OR(AC364="",AD367=""),"",COUNTIF(ResultsInd[Lose],AC364&amp;"-"&amp;AD367))</f>
        <v>2</v>
      </c>
      <c r="AS367" s="307">
        <f>IF(OR(AC364="",AD367=""),"",SUMIFS(ResultsInd[Goal-A],ResultsInd[Category],AC364,ResultsInd[Stage],"Groups",ResultsInd[Player A],AD367)+SUMIFS(ResultsInd[Goal-B],ResultsInd[Category],AC364,ResultsInd[Stage],"Groups",ResultsInd[Player B],AD367))</f>
        <v>10</v>
      </c>
      <c r="AT367" s="307">
        <f>IF(OR(AC364="",AD367=""),"",SUMIFS(ResultsInd[Goal-B],ResultsInd[Category],AC364,ResultsInd[Stage],"Groups",ResultsInd[Player A],AD367)+SUMIFS(ResultsInd[Goal-A],ResultsInd[Category],AC364,ResultsInd[Stage],"Groups",ResultsInd[Player B],AD367))</f>
        <v>8</v>
      </c>
      <c r="AU367" s="308">
        <f t="shared" si="320"/>
        <v>2</v>
      </c>
      <c r="AV367" s="469" t="b">
        <f>IF(AG367="","",OR(VLOOKUP(AG367,AH365:AU371,3,FALSE),VLOOKUP(AG367,AH365:AU371,6,FALSE)))</f>
        <v>0</v>
      </c>
      <c r="AW367" s="298">
        <f t="shared" si="318"/>
        <v>3</v>
      </c>
      <c r="AX367" s="285" t="str">
        <f>IF(AG367="","",INDEX(AD365:AD371,MATCH(AG367,AH365:AH371,0)))</f>
        <v>Riccardo Marinucci</v>
      </c>
      <c r="AY367" s="286">
        <f>IF(AG367="","",VLOOKUP(AG367,AH365:AU371,COLUMN()-COLUMN(AR364),FALSE))</f>
        <v>3</v>
      </c>
      <c r="AZ367" s="286">
        <f>IF(AG367="","",VLOOKUP(AG367,AH365:AU371,COLUMN()-COLUMN(AR364),FALSE))</f>
        <v>3</v>
      </c>
      <c r="BA367" s="286">
        <f>IF(AG367="","",VLOOKUP(AG367,AH365:AU371,COLUMN()-COLUMN(AR364),FALSE))</f>
        <v>1</v>
      </c>
      <c r="BB367" s="286">
        <f>IF(AG367="","",VLOOKUP(AG367,AH365:AU371,COLUMN()-COLUMN(AR364),FALSE))</f>
        <v>0</v>
      </c>
      <c r="BC367" s="286">
        <f>IF(AG367="","",VLOOKUP(AG367,AH365:AU371,COLUMN()-COLUMN(AR364),FALSE))</f>
        <v>2</v>
      </c>
      <c r="BD367" s="286">
        <f>IF(AG367="","",VLOOKUP(AG367,AH365:AU371,COLUMN()-COLUMN(AR364),FALSE))</f>
        <v>10</v>
      </c>
      <c r="BE367" s="286">
        <f>IF(AG367="","",VLOOKUP(AG367,AH365:AU371,COLUMN()-COLUMN(AR364),FALSE))</f>
        <v>8</v>
      </c>
      <c r="BF367" s="301">
        <f>IF(AG367="","",VLOOKUP(AG367,AH365:AU371,COLUMN()-COLUMN(AR364),FALSE))</f>
        <v>2</v>
      </c>
    </row>
    <row r="368" spans="1:58" ht="12" thickBot="1" x14ac:dyDescent="0.25">
      <c r="A368" s="62" t="s">
        <v>12261</v>
      </c>
      <c r="B368" s="62" t="s">
        <v>12207</v>
      </c>
      <c r="C368" s="62">
        <v>11</v>
      </c>
      <c r="D368" s="62"/>
      <c r="E368" s="345" t="s">
        <v>10085</v>
      </c>
      <c r="F368" s="345" t="s">
        <v>8113</v>
      </c>
      <c r="G368" s="113">
        <v>2</v>
      </c>
      <c r="H368" s="113">
        <v>0</v>
      </c>
      <c r="I368" s="114"/>
      <c r="J368" s="114"/>
      <c r="K368" s="114"/>
      <c r="L368" s="81"/>
      <c r="M368" s="265" t="b">
        <f>NOT(ISERROR(ResultsInd[[#This Row],[Goal-A]]+ResultsInd[[#This Row],[Goal-B]]))</f>
        <v>1</v>
      </c>
      <c r="N368" s="265">
        <f>VALUE(ResultsInd[[#This Row],[Score-A]])</f>
        <v>2</v>
      </c>
      <c r="O368" s="265">
        <f>VALUE(ResultsInd[[#This Row],[Score-B]])</f>
        <v>0</v>
      </c>
      <c r="P368" s="265">
        <f ca="1">IF(AND(ResultsInd[[#This Row],[Category]]&lt;&gt;"",ResultsInd[[#This Row],[Player A]]&lt;&gt;""),COUNTIF(INDIRECT(ResultsInd[[#This Row],[Category]]&amp;"List[Retained Player Name]"),ResultsInd[[#This Row],[Player A]]),"")</f>
        <v>1</v>
      </c>
      <c r="Q368" s="265">
        <f ca="1">IF(AND(ResultsInd[[#This Row],[Category]]&lt;&gt;"",ResultsInd[[#This Row],[Player B]]&lt;&gt;""),COUNTIF(INDIRECT(ResultsInd[[#This Row],[Category]]&amp;"List[Retained Player Name]"),ResultsInd[[#This Row],[Player B]]),"")</f>
        <v>1</v>
      </c>
      <c r="R3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VETERANS-Claudio Dogali</v>
      </c>
      <c r="S368" s="265" t="str">
        <f>IF(ResultsInd[[#This Row],[Score_OK]],IF(ResultsInd[[#This Row],[Stage]]="Groups",ResultsInd[[#This Row],[Category]]&amp;"-"&amp;IF(ResultsInd[[#This Row],[Player B]]="","",IF(ResultsInd[[#This Row],[Score-A]]=ResultsInd[[#This Row],[Score-B]],ResultsInd[[#This Row],[Player A]],"")),""),"")</f>
        <v>VETERANS-</v>
      </c>
      <c r="T368" s="265" t="str">
        <f>IF(ResultsInd[[#This Row],[Score_OK]],IF(ResultsInd[[#This Row],[Stage]]="Groups",ResultsInd[[#This Row],[Category]]&amp;"-"&amp;IF(ResultsInd[[#This Row],[Player B]]="","",IF(ResultsInd[[#This Row],[Score-A]]=ResultsInd[[#This Row],[Score-B]],ResultsInd[[#This Row],[Player B]],"")),""),"")</f>
        <v>VETERANS-</v>
      </c>
      <c r="U3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VETERANS-Geert Leys</v>
      </c>
      <c r="V3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VETERANS-Geert Leys</v>
      </c>
      <c r="X3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VETERANS-Geert Leys</v>
      </c>
      <c r="Y368" s="264" t="str">
        <f>IF(ResultsInd[[#This Row],[Category]]="","",VLOOKUP(ResultsInd[[#This Row],[Stage]],$P$1:$V$9,MATCH(ResultsInd[[#This Row],[Category]],$Q$1:$V$1,0)+1,FALSE))</f>
        <v>PR1</v>
      </c>
      <c r="Z368" s="264" t="str">
        <f>IF(ResultsInd[[#This Row],[Score_OK]],IF(ResultsInd[[#This Row],[Level]]="R",ResultsInd[[#This Row],[Category]]&amp;"-"&amp;IF(ResultsInd[[#This Row],[LoseInKO]]=ResultsInd[[#This Row],[Category]]&amp;"-"&amp;ResultsInd[[#This Row],[Player A]],ResultsInd[[#This Row],[Player B]],ResultsInd[[#This Row],[Player A]]),""),"")</f>
        <v/>
      </c>
      <c r="AB368" s="91"/>
      <c r="AC368" s="12" t="str">
        <f t="shared" si="319"/>
        <v>VETERANS</v>
      </c>
      <c r="AD368" s="309" t="s">
        <v>13262</v>
      </c>
      <c r="AE368" s="310"/>
      <c r="AF368" s="311"/>
      <c r="AG368" s="292">
        <f>IF(AP368="","",SMALL(AH365:AH371,ROWS(AG365:AG368)))</f>
        <v>4004</v>
      </c>
      <c r="AH368" s="293">
        <f>IF(AP368="","",RANK(AL368,AL365:AL371)*1000+ROWS(AH365:AH368))</f>
        <v>4004</v>
      </c>
      <c r="AI368" s="316">
        <f t="shared" si="313"/>
        <v>0</v>
      </c>
      <c r="AJ368" s="415" t="b">
        <f>AND(AO368&lt;&gt;"",AO368&gt;0,COUNTIF(AI365:AI371,AI368)&gt;1)</f>
        <v>0</v>
      </c>
      <c r="AK368" s="316">
        <f t="shared" si="314"/>
        <v>0</v>
      </c>
      <c r="AL368" s="317">
        <f t="shared" si="315"/>
        <v>-209800</v>
      </c>
      <c r="AM368" s="415" t="b">
        <f>AND(AO368&lt;&gt;"",AO368&gt;0,COUNTIF(AL365:AL371,AL368)&gt;1)</f>
        <v>0</v>
      </c>
      <c r="AN368" s="306">
        <f t="shared" si="316"/>
        <v>0</v>
      </c>
      <c r="AO368" s="307">
        <f t="shared" si="317"/>
        <v>3</v>
      </c>
      <c r="AP368" s="307">
        <f>IF(OR(AC364="",AD368=""),"",COUNTIF(ResultsInd[Win],AC364&amp;"-"&amp;AD368))</f>
        <v>0</v>
      </c>
      <c r="AQ368" s="307">
        <f>IF(OR(AC364="",AD368=""),"",COUNTIF(ResultsInd[Draw1],AC364&amp;"-"&amp;AD368)+COUNTIF(ResultsInd[Draw2],AC364&amp;"-"&amp;AD368))</f>
        <v>0</v>
      </c>
      <c r="AR368" s="307">
        <f>IF(OR(AC364="",AD368=""),"",COUNTIF(ResultsInd[Lose],AC364&amp;"-"&amp;AD368))</f>
        <v>3</v>
      </c>
      <c r="AS368" s="307">
        <f>IF(OR(AC364="",AD368=""),"",SUMIFS(ResultsInd[Goal-A],ResultsInd[Category],AC364,ResultsInd[Stage],"Groups",ResultsInd[Player A],AD368)+SUMIFS(ResultsInd[Goal-B],ResultsInd[Category],AC364,ResultsInd[Stage],"Groups",ResultsInd[Player B],AD368))</f>
        <v>2</v>
      </c>
      <c r="AT368" s="307">
        <f>IF(OR(AC364="",AD368=""),"",SUMIFS(ResultsInd[Goal-B],ResultsInd[Category],AC364,ResultsInd[Stage],"Groups",ResultsInd[Player A],AD368)+SUMIFS(ResultsInd[Goal-A],ResultsInd[Category],AC364,ResultsInd[Stage],"Groups",ResultsInd[Player B],AD368))</f>
        <v>23</v>
      </c>
      <c r="AU368" s="308">
        <f t="shared" si="320"/>
        <v>-21</v>
      </c>
      <c r="AV368" s="469" t="b">
        <f>IF(AG368="","",OR(VLOOKUP(AG368,AH365:AU371,3,FALSE),VLOOKUP(AG368,AH365:AU371,6,FALSE)))</f>
        <v>0</v>
      </c>
      <c r="AW368" s="298">
        <f t="shared" si="318"/>
        <v>4</v>
      </c>
      <c r="AX368" s="285" t="str">
        <f>IF(AG368="","",INDEX(AD365:AD371,MATCH(AG368,AH365:AH371,0)))</f>
        <v>Martin Colwell</v>
      </c>
      <c r="AY368" s="286">
        <f>IF(AG368="","",VLOOKUP(AG368,AH365:AU371,COLUMN()-COLUMN(AR364),FALSE))</f>
        <v>0</v>
      </c>
      <c r="AZ368" s="286">
        <f>IF(AG368="","",VLOOKUP(AG368,AH365:AU371,COLUMN()-COLUMN(AR364),FALSE))</f>
        <v>3</v>
      </c>
      <c r="BA368" s="286">
        <f>IF(AG368="","",VLOOKUP(AG368,AH365:AU371,COLUMN()-COLUMN(AR364),FALSE))</f>
        <v>0</v>
      </c>
      <c r="BB368" s="286">
        <f>IF(AG368="","",VLOOKUP(AG368,AH365:AU371,COLUMN()-COLUMN(AR364),FALSE))</f>
        <v>0</v>
      </c>
      <c r="BC368" s="286">
        <f>IF(AG368="","",VLOOKUP(AG368,AH365:AU371,COLUMN()-COLUMN(AR364),FALSE))</f>
        <v>3</v>
      </c>
      <c r="BD368" s="286">
        <f>IF(AG368="","",VLOOKUP(AG368,AH365:AU371,COLUMN()-COLUMN(AR364),FALSE))</f>
        <v>2</v>
      </c>
      <c r="BE368" s="286">
        <f>IF(AG368="","",VLOOKUP(AG368,AH365:AU371,COLUMN()-COLUMN(AR364),FALSE))</f>
        <v>23</v>
      </c>
      <c r="BF368" s="301">
        <f>IF(AG368="","",VLOOKUP(AG368,AH365:AU371,COLUMN()-COLUMN(AR364),FALSE))</f>
        <v>-21</v>
      </c>
    </row>
    <row r="369" spans="1:58" ht="12" thickBot="1" x14ac:dyDescent="0.25">
      <c r="A369" s="62" t="s">
        <v>12261</v>
      </c>
      <c r="B369" s="62" t="s">
        <v>12207</v>
      </c>
      <c r="C369" s="62">
        <v>11</v>
      </c>
      <c r="D369" s="62"/>
      <c r="E369" s="345" t="s">
        <v>8617</v>
      </c>
      <c r="F369" s="345" t="s">
        <v>10886</v>
      </c>
      <c r="G369" s="113">
        <v>4</v>
      </c>
      <c r="H369" s="113">
        <v>1</v>
      </c>
      <c r="I369" s="114"/>
      <c r="J369" s="114"/>
      <c r="K369" s="114"/>
      <c r="L369" s="81"/>
      <c r="M369" s="265" t="b">
        <f>NOT(ISERROR(ResultsInd[[#This Row],[Goal-A]]+ResultsInd[[#This Row],[Goal-B]]))</f>
        <v>1</v>
      </c>
      <c r="N369" s="265">
        <f>VALUE(ResultsInd[[#This Row],[Score-A]])</f>
        <v>4</v>
      </c>
      <c r="O369" s="265">
        <f>VALUE(ResultsInd[[#This Row],[Score-B]])</f>
        <v>1</v>
      </c>
      <c r="P369" s="265">
        <f ca="1">IF(AND(ResultsInd[[#This Row],[Category]]&lt;&gt;"",ResultsInd[[#This Row],[Player A]]&lt;&gt;""),COUNTIF(INDIRECT(ResultsInd[[#This Row],[Category]]&amp;"List[Retained Player Name]"),ResultsInd[[#This Row],[Player A]]),"")</f>
        <v>1</v>
      </c>
      <c r="Q369" s="265">
        <f ca="1">IF(AND(ResultsInd[[#This Row],[Category]]&lt;&gt;"",ResultsInd[[#This Row],[Player B]]&lt;&gt;""),COUNTIF(INDIRECT(ResultsInd[[#This Row],[Category]]&amp;"List[Retained Player Name]"),ResultsInd[[#This Row],[Player B]]),"")</f>
        <v>1</v>
      </c>
      <c r="R3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VETERANS-Ferran Coll</v>
      </c>
      <c r="S369" s="265" t="str">
        <f>IF(ResultsInd[[#This Row],[Score_OK]],IF(ResultsInd[[#This Row],[Stage]]="Groups",ResultsInd[[#This Row],[Category]]&amp;"-"&amp;IF(ResultsInd[[#This Row],[Player B]]="","",IF(ResultsInd[[#This Row],[Score-A]]=ResultsInd[[#This Row],[Score-B]],ResultsInd[[#This Row],[Player A]],"")),""),"")</f>
        <v>VETERANS-</v>
      </c>
      <c r="T369" s="265" t="str">
        <f>IF(ResultsInd[[#This Row],[Score_OK]],IF(ResultsInd[[#This Row],[Stage]]="Groups",ResultsInd[[#This Row],[Category]]&amp;"-"&amp;IF(ResultsInd[[#This Row],[Player B]]="","",IF(ResultsInd[[#This Row],[Score-A]]=ResultsInd[[#This Row],[Score-B]],ResultsInd[[#This Row],[Player B]],"")),""),"")</f>
        <v>VETERANS-</v>
      </c>
      <c r="U3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VETERANS-Darren Barnes</v>
      </c>
      <c r="V3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VETERANS-Darren Barnes</v>
      </c>
      <c r="X3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VETERANS-Darren Barnes</v>
      </c>
      <c r="Y369" s="264" t="str">
        <f>IF(ResultsInd[[#This Row],[Category]]="","",VLOOKUP(ResultsInd[[#This Row],[Stage]],$P$1:$V$9,MATCH(ResultsInd[[#This Row],[Category]],$Q$1:$V$1,0)+1,FALSE))</f>
        <v>PR1</v>
      </c>
      <c r="Z369" s="264" t="str">
        <f>IF(ResultsInd[[#This Row],[Score_OK]],IF(ResultsInd[[#This Row],[Level]]="R",ResultsInd[[#This Row],[Category]]&amp;"-"&amp;IF(ResultsInd[[#This Row],[LoseInKO]]=ResultsInd[[#This Row],[Category]]&amp;"-"&amp;ResultsInd[[#This Row],[Player A]],ResultsInd[[#This Row],[Player B]],ResultsInd[[#This Row],[Player A]]),""),"")</f>
        <v/>
      </c>
      <c r="AB369" s="91"/>
      <c r="AC369" s="12" t="str">
        <f t="shared" si="319"/>
        <v>VETERANS</v>
      </c>
      <c r="AD369" s="309"/>
      <c r="AE369" s="310"/>
      <c r="AF369" s="311"/>
      <c r="AG369" s="292" t="str">
        <f>IF(AP369="","",SMALL(AH365:AH371,ROWS(AG365:AG369)))</f>
        <v/>
      </c>
      <c r="AH369" s="293" t="str">
        <f>IF(AP369="","",RANK(AL369,AL365:AL371)*1000+ROWS(AH365:AH369))</f>
        <v/>
      </c>
      <c r="AI369" s="316" t="str">
        <f t="shared" si="313"/>
        <v/>
      </c>
      <c r="AJ369" s="415" t="b">
        <f>AND(AO369&lt;&gt;"",AO369&gt;0,COUNTIF(AI365:AI371,AI369)&gt;1)</f>
        <v>0</v>
      </c>
      <c r="AK369" s="316" t="str">
        <f t="shared" si="314"/>
        <v/>
      </c>
      <c r="AL369" s="317" t="str">
        <f t="shared" si="315"/>
        <v/>
      </c>
      <c r="AM369" s="415" t="b">
        <f>AND(AO369&lt;&gt;"",AO369&gt;0,COUNTIF(AL365:AL371,AL369)&gt;1)</f>
        <v>0</v>
      </c>
      <c r="AN369" s="306" t="str">
        <f t="shared" si="316"/>
        <v/>
      </c>
      <c r="AO369" s="307" t="str">
        <f t="shared" si="317"/>
        <v/>
      </c>
      <c r="AP369" s="307" t="str">
        <f>IF(OR(AC364="",AD369=""),"",COUNTIF(ResultsInd[Win],AC364&amp;"-"&amp;AD369))</f>
        <v/>
      </c>
      <c r="AQ369" s="307" t="str">
        <f>IF(OR(AC364="",AD369=""),"",COUNTIF(ResultsInd[Draw1],AC364&amp;"-"&amp;AD369)+COUNTIF(ResultsInd[Draw2],AC364&amp;"-"&amp;AD369))</f>
        <v/>
      </c>
      <c r="AR369" s="307" t="str">
        <f>IF(OR(AC364="",AD369=""),"",COUNTIF(ResultsInd[Lose],AC364&amp;"-"&amp;AD369))</f>
        <v/>
      </c>
      <c r="AS369" s="307" t="str">
        <f>IF(OR(AC364="",AD369=""),"",SUMIFS(ResultsInd[Goal-A],ResultsInd[Category],AC364,ResultsInd[Stage],"Groups",ResultsInd[Player A],AD369)+SUMIFS(ResultsInd[Goal-B],ResultsInd[Category],AC364,ResultsInd[Stage],"Groups",ResultsInd[Player B],AD369))</f>
        <v/>
      </c>
      <c r="AT369" s="307" t="str">
        <f>IF(OR(AC364="",AD369=""),"",SUMIFS(ResultsInd[Goal-B],ResultsInd[Category],AC364,ResultsInd[Stage],"Groups",ResultsInd[Player A],AD369)+SUMIFS(ResultsInd[Goal-A],ResultsInd[Category],AC364,ResultsInd[Stage],"Groups",ResultsInd[Player B],AD369))</f>
        <v/>
      </c>
      <c r="AU369" s="308" t="str">
        <f t="shared" si="320"/>
        <v/>
      </c>
      <c r="AV369" s="469" t="str">
        <f>IF(AG369="","",OR(VLOOKUP(AG369,AH365:AU371,3,FALSE),VLOOKUP(AG369,AH365:AU371,6,FALSE)))</f>
        <v/>
      </c>
      <c r="AW369" s="298" t="str">
        <f t="shared" si="318"/>
        <v/>
      </c>
      <c r="AX369" s="285" t="str">
        <f>IF(AG369="","",INDEX(AD365:AD371,MATCH(AG369,AH365:AH371,0)))</f>
        <v/>
      </c>
      <c r="AY369" s="286" t="str">
        <f>IF(AG369="","",VLOOKUP(AG369,AH365:AU371,COLUMN()-COLUMN(AR364),FALSE))</f>
        <v/>
      </c>
      <c r="AZ369" s="286" t="str">
        <f>IF(AG369="","",VLOOKUP(AG369,AH365:AU371,COLUMN()-COLUMN(AR364),FALSE))</f>
        <v/>
      </c>
      <c r="BA369" s="286" t="str">
        <f>IF(AG369="","",VLOOKUP(AG369,AH365:AU371,COLUMN()-COLUMN(AR364),FALSE))</f>
        <v/>
      </c>
      <c r="BB369" s="286" t="str">
        <f>IF(AG369="","",VLOOKUP(AG369,AH365:AU371,COLUMN()-COLUMN(AR364),FALSE))</f>
        <v/>
      </c>
      <c r="BC369" s="286" t="str">
        <f>IF(AG369="","",VLOOKUP(AG369,AH365:AU371,COLUMN()-COLUMN(AR364),FALSE))</f>
        <v/>
      </c>
      <c r="BD369" s="286" t="str">
        <f>IF(AG369="","",VLOOKUP(AG369,AH365:AU371,COLUMN()-COLUMN(AR364),FALSE))</f>
        <v/>
      </c>
      <c r="BE369" s="286" t="str">
        <f>IF(AG369="","",VLOOKUP(AG369,AH365:AU371,COLUMN()-COLUMN(AR364),FALSE))</f>
        <v/>
      </c>
      <c r="BF369" s="301" t="str">
        <f>IF(AG369="","",VLOOKUP(AG369,AH365:AU371,COLUMN()-COLUMN(AR364),FALSE))</f>
        <v/>
      </c>
    </row>
    <row r="370" spans="1:58" ht="12" thickBot="1" x14ac:dyDescent="0.25">
      <c r="A370" s="62" t="s">
        <v>12261</v>
      </c>
      <c r="B370" s="62" t="s">
        <v>12207</v>
      </c>
      <c r="C370" s="62">
        <v>11</v>
      </c>
      <c r="D370" s="62"/>
      <c r="E370" s="345" t="s">
        <v>10886</v>
      </c>
      <c r="F370" s="345" t="s">
        <v>10085</v>
      </c>
      <c r="G370" s="113">
        <v>0</v>
      </c>
      <c r="H370" s="113">
        <v>7</v>
      </c>
      <c r="I370" s="114"/>
      <c r="J370" s="114"/>
      <c r="K370" s="114"/>
      <c r="L370" s="81"/>
      <c r="M370" s="265" t="b">
        <f>NOT(ISERROR(ResultsInd[[#This Row],[Goal-A]]+ResultsInd[[#This Row],[Goal-B]]))</f>
        <v>1</v>
      </c>
      <c r="N370" s="265">
        <f>VALUE(ResultsInd[[#This Row],[Score-A]])</f>
        <v>0</v>
      </c>
      <c r="O370" s="265">
        <f>VALUE(ResultsInd[[#This Row],[Score-B]])</f>
        <v>7</v>
      </c>
      <c r="P370" s="265">
        <f ca="1">IF(AND(ResultsInd[[#This Row],[Category]]&lt;&gt;"",ResultsInd[[#This Row],[Player A]]&lt;&gt;""),COUNTIF(INDIRECT(ResultsInd[[#This Row],[Category]]&amp;"List[Retained Player Name]"),ResultsInd[[#This Row],[Player A]]),"")</f>
        <v>1</v>
      </c>
      <c r="Q370" s="265">
        <f ca="1">IF(AND(ResultsInd[[#This Row],[Category]]&lt;&gt;"",ResultsInd[[#This Row],[Player B]]&lt;&gt;""),COUNTIF(INDIRECT(ResultsInd[[#This Row],[Category]]&amp;"List[Retained Player Name]"),ResultsInd[[#This Row],[Player B]]),"")</f>
        <v>1</v>
      </c>
      <c r="R3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VETERANS-Claudio Dogali</v>
      </c>
      <c r="S370" s="265" t="str">
        <f>IF(ResultsInd[[#This Row],[Score_OK]],IF(ResultsInd[[#This Row],[Stage]]="Groups",ResultsInd[[#This Row],[Category]]&amp;"-"&amp;IF(ResultsInd[[#This Row],[Player B]]="","",IF(ResultsInd[[#This Row],[Score-A]]=ResultsInd[[#This Row],[Score-B]],ResultsInd[[#This Row],[Player A]],"")),""),"")</f>
        <v>VETERANS-</v>
      </c>
      <c r="T370" s="265" t="str">
        <f>IF(ResultsInd[[#This Row],[Score_OK]],IF(ResultsInd[[#This Row],[Stage]]="Groups",ResultsInd[[#This Row],[Category]]&amp;"-"&amp;IF(ResultsInd[[#This Row],[Player B]]="","",IF(ResultsInd[[#This Row],[Score-A]]=ResultsInd[[#This Row],[Score-B]],ResultsInd[[#This Row],[Player B]],"")),""),"")</f>
        <v>VETERANS-</v>
      </c>
      <c r="U3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VETERANS-Darren Barnes</v>
      </c>
      <c r="V3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VETERANS-Darren Barnes</v>
      </c>
      <c r="X3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VETERANS-Darren Barnes</v>
      </c>
      <c r="Y370" s="264" t="str">
        <f>IF(ResultsInd[[#This Row],[Category]]="","",VLOOKUP(ResultsInd[[#This Row],[Stage]],$P$1:$V$9,MATCH(ResultsInd[[#This Row],[Category]],$Q$1:$V$1,0)+1,FALSE))</f>
        <v>PR1</v>
      </c>
      <c r="Z370" s="264" t="str">
        <f>IF(ResultsInd[[#This Row],[Score_OK]],IF(ResultsInd[[#This Row],[Level]]="R",ResultsInd[[#This Row],[Category]]&amp;"-"&amp;IF(ResultsInd[[#This Row],[LoseInKO]]=ResultsInd[[#This Row],[Category]]&amp;"-"&amp;ResultsInd[[#This Row],[Player A]],ResultsInd[[#This Row],[Player B]],ResultsInd[[#This Row],[Player A]]),""),"")</f>
        <v/>
      </c>
      <c r="AB370" s="8"/>
      <c r="AC370" s="12" t="str">
        <f t="shared" si="319"/>
        <v>VETERANS</v>
      </c>
      <c r="AD370" s="309"/>
      <c r="AE370" s="310"/>
      <c r="AF370" s="311"/>
      <c r="AG370" s="292" t="str">
        <f>IF(AP370="","",SMALL(AH365:AH371,ROWS(AG365:AG370)))</f>
        <v/>
      </c>
      <c r="AH370" s="293" t="str">
        <f>IF(AP370="","",RANK(AL370,AL365:AL371)*1000+ROWS(AH365:AH370))</f>
        <v/>
      </c>
      <c r="AI370" s="316" t="str">
        <f t="shared" si="313"/>
        <v/>
      </c>
      <c r="AJ370" s="415" t="b">
        <f>AND(AO370&lt;&gt;"",AO370&gt;0,COUNTIF(AI365:AI371,AI370)&gt;1)</f>
        <v>0</v>
      </c>
      <c r="AK370" s="316" t="str">
        <f t="shared" si="314"/>
        <v/>
      </c>
      <c r="AL370" s="317" t="str">
        <f t="shared" si="315"/>
        <v/>
      </c>
      <c r="AM370" s="415" t="b">
        <f>AND(AO370&lt;&gt;"",AO370&gt;0,COUNTIF(AL365:AL371,AL370)&gt;1)</f>
        <v>0</v>
      </c>
      <c r="AN370" s="306" t="str">
        <f t="shared" si="316"/>
        <v/>
      </c>
      <c r="AO370" s="307" t="str">
        <f t="shared" si="317"/>
        <v/>
      </c>
      <c r="AP370" s="307" t="str">
        <f>IF(OR(AC364="",AD370=""),"",COUNTIF(ResultsInd[Win],AC364&amp;"-"&amp;AD370))</f>
        <v/>
      </c>
      <c r="AQ370" s="307" t="str">
        <f>IF(OR(AC364="",AD370=""),"",COUNTIF(ResultsInd[Draw1],AC364&amp;"-"&amp;AD370)+COUNTIF(ResultsInd[Draw2],AC364&amp;"-"&amp;AD370))</f>
        <v/>
      </c>
      <c r="AR370" s="307" t="str">
        <f>IF(OR(AC364="",AD370=""),"",COUNTIF(ResultsInd[Lose],AC364&amp;"-"&amp;AD370))</f>
        <v/>
      </c>
      <c r="AS370" s="307" t="str">
        <f>IF(OR(AC364="",AD370=""),"",SUMIFS(ResultsInd[Goal-A],ResultsInd[Category],AC364,ResultsInd[Stage],"Groups",ResultsInd[Player A],AD370)+SUMIFS(ResultsInd[Goal-B],ResultsInd[Category],AC364,ResultsInd[Stage],"Groups",ResultsInd[Player B],AD370))</f>
        <v/>
      </c>
      <c r="AT370" s="307" t="str">
        <f>IF(OR(AC364="",AD370=""),"",SUMIFS(ResultsInd[Goal-B],ResultsInd[Category],AC364,ResultsInd[Stage],"Groups",ResultsInd[Player A],AD370)+SUMIFS(ResultsInd[Goal-A],ResultsInd[Category],AC364,ResultsInd[Stage],"Groups",ResultsInd[Player B],AD370))</f>
        <v/>
      </c>
      <c r="AU370" s="308" t="str">
        <f t="shared" si="320"/>
        <v/>
      </c>
      <c r="AV370" s="469" t="str">
        <f>IF(AG370="","",OR(VLOOKUP(AG370,AH365:AU371,3,FALSE),VLOOKUP(AG370,AH365:AU371,6,FALSE)))</f>
        <v/>
      </c>
      <c r="AW370" s="298" t="str">
        <f t="shared" si="318"/>
        <v/>
      </c>
      <c r="AX370" s="285" t="str">
        <f>IF(AG370="","",INDEX(AD365:AD371,MATCH(AG370,AH365:AH371,0)))</f>
        <v/>
      </c>
      <c r="AY370" s="286" t="str">
        <f>IF(AG370="","",VLOOKUP(AG370,AH365:AU371,COLUMN()-COLUMN(AR364),FALSE))</f>
        <v/>
      </c>
      <c r="AZ370" s="286" t="str">
        <f>IF(AG370="","",VLOOKUP(AG370,AH365:AU371,COLUMN()-COLUMN(AR364),FALSE))</f>
        <v/>
      </c>
      <c r="BA370" s="286" t="str">
        <f>IF(AG370="","",VLOOKUP(AG370,AH365:AU371,COLUMN()-COLUMN(AR364),FALSE))</f>
        <v/>
      </c>
      <c r="BB370" s="286" t="str">
        <f>IF(AG370="","",VLOOKUP(AG370,AH365:AU371,COLUMN()-COLUMN(AR364),FALSE))</f>
        <v/>
      </c>
      <c r="BC370" s="286" t="str">
        <f>IF(AG370="","",VLOOKUP(AG370,AH365:AU371,COLUMN()-COLUMN(AR364),FALSE))</f>
        <v/>
      </c>
      <c r="BD370" s="286" t="str">
        <f>IF(AG370="","",VLOOKUP(AG370,AH365:AU371,COLUMN()-COLUMN(AR364),FALSE))</f>
        <v/>
      </c>
      <c r="BE370" s="286" t="str">
        <f>IF(AG370="","",VLOOKUP(AG370,AH365:AU371,COLUMN()-COLUMN(AR364),FALSE))</f>
        <v/>
      </c>
      <c r="BF370" s="301" t="str">
        <f>IF(AG370="","",VLOOKUP(AG370,AH365:AU371,COLUMN()-COLUMN(AR364),FALSE))</f>
        <v/>
      </c>
    </row>
    <row r="371" spans="1:58" ht="12" thickBot="1" x14ac:dyDescent="0.25">
      <c r="A371" s="62" t="s">
        <v>12261</v>
      </c>
      <c r="B371" s="62" t="s">
        <v>12207</v>
      </c>
      <c r="C371" s="62">
        <v>11</v>
      </c>
      <c r="D371" s="62"/>
      <c r="E371" s="345" t="s">
        <v>11473</v>
      </c>
      <c r="F371" s="345" t="s">
        <v>8113</v>
      </c>
      <c r="G371" s="113">
        <v>1</v>
      </c>
      <c r="H371" s="113">
        <v>2</v>
      </c>
      <c r="I371" s="114"/>
      <c r="J371" s="114"/>
      <c r="K371" s="114"/>
      <c r="L371" s="81"/>
      <c r="M371" s="265" t="b">
        <f>NOT(ISERROR(ResultsInd[[#This Row],[Goal-A]]+ResultsInd[[#This Row],[Goal-B]]))</f>
        <v>1</v>
      </c>
      <c r="N371" s="265">
        <f>VALUE(ResultsInd[[#This Row],[Score-A]])</f>
        <v>1</v>
      </c>
      <c r="O371" s="265">
        <f>VALUE(ResultsInd[[#This Row],[Score-B]])</f>
        <v>2</v>
      </c>
      <c r="P371" s="265">
        <f ca="1">IF(AND(ResultsInd[[#This Row],[Category]]&lt;&gt;"",ResultsInd[[#This Row],[Player A]]&lt;&gt;""),COUNTIF(INDIRECT(ResultsInd[[#This Row],[Category]]&amp;"List[Retained Player Name]"),ResultsInd[[#This Row],[Player A]]),"")</f>
        <v>1</v>
      </c>
      <c r="Q371" s="265">
        <f ca="1">IF(AND(ResultsInd[[#This Row],[Category]]&lt;&gt;"",ResultsInd[[#This Row],[Player B]]&lt;&gt;""),COUNTIF(INDIRECT(ResultsInd[[#This Row],[Category]]&amp;"List[Retained Player Name]"),ResultsInd[[#This Row],[Player B]]),"")</f>
        <v>1</v>
      </c>
      <c r="R3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VETERANS-Geert Leys</v>
      </c>
      <c r="S371" s="265" t="str">
        <f>IF(ResultsInd[[#This Row],[Score_OK]],IF(ResultsInd[[#This Row],[Stage]]="Groups",ResultsInd[[#This Row],[Category]]&amp;"-"&amp;IF(ResultsInd[[#This Row],[Player B]]="","",IF(ResultsInd[[#This Row],[Score-A]]=ResultsInd[[#This Row],[Score-B]],ResultsInd[[#This Row],[Player A]],"")),""),"")</f>
        <v>VETERANS-</v>
      </c>
      <c r="T371" s="265" t="str">
        <f>IF(ResultsInd[[#This Row],[Score_OK]],IF(ResultsInd[[#This Row],[Stage]]="Groups",ResultsInd[[#This Row],[Category]]&amp;"-"&amp;IF(ResultsInd[[#This Row],[Player B]]="","",IF(ResultsInd[[#This Row],[Score-A]]=ResultsInd[[#This Row],[Score-B]],ResultsInd[[#This Row],[Player B]],"")),""),"")</f>
        <v>VETERANS-</v>
      </c>
      <c r="U3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VETERANS-Xavier Aret</v>
      </c>
      <c r="V3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X3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Y371" s="264" t="str">
        <f>IF(ResultsInd[[#This Row],[Category]]="","",VLOOKUP(ResultsInd[[#This Row],[Stage]],$P$1:$V$9,MATCH(ResultsInd[[#This Row],[Category]],$Q$1:$V$1,0)+1,FALSE))</f>
        <v>PR1</v>
      </c>
      <c r="Z371" s="264" t="str">
        <f>IF(ResultsInd[[#This Row],[Score_OK]],IF(ResultsInd[[#This Row],[Level]]="R",ResultsInd[[#This Row],[Category]]&amp;"-"&amp;IF(ResultsInd[[#This Row],[LoseInKO]]=ResultsInd[[#This Row],[Category]]&amp;"-"&amp;ResultsInd[[#This Row],[Player A]],ResultsInd[[#This Row],[Player B]],ResultsInd[[#This Row],[Player A]]),""),"")</f>
        <v/>
      </c>
      <c r="AB371" s="8"/>
      <c r="AC371" s="12" t="str">
        <f t="shared" si="319"/>
        <v>VETERANS</v>
      </c>
      <c r="AD371" s="312"/>
      <c r="AE371" s="313"/>
      <c r="AF371" s="314"/>
      <c r="AG371" s="294" t="str">
        <f>IF(AP371="","",SMALL(AH365:AH371,ROWS(AG365:AG371)))</f>
        <v/>
      </c>
      <c r="AH371" s="295" t="str">
        <f>IF(AP371="","",RANK(AL371,AL365:AL371)*1000+ROWS(AH365:AH371))</f>
        <v/>
      </c>
      <c r="AI371" s="318" t="str">
        <f t="shared" si="313"/>
        <v/>
      </c>
      <c r="AJ371" s="416" t="b">
        <f>AND(AO371&lt;&gt;"",AO371&gt;0,COUNTIF(AI365:AI371,AI371)&gt;1)</f>
        <v>0</v>
      </c>
      <c r="AK371" s="318" t="str">
        <f t="shared" si="314"/>
        <v/>
      </c>
      <c r="AL371" s="319" t="str">
        <f t="shared" si="315"/>
        <v/>
      </c>
      <c r="AM371" s="416" t="b">
        <f>AND(AO371&lt;&gt;"",AO371&gt;0,COUNTIF(AL365:AL371,AL371)&gt;1)</f>
        <v>0</v>
      </c>
      <c r="AN371" s="306" t="str">
        <f t="shared" si="316"/>
        <v/>
      </c>
      <c r="AO371" s="307" t="str">
        <f t="shared" si="317"/>
        <v/>
      </c>
      <c r="AP371" s="307" t="str">
        <f>IF(OR(AC364="",AD371=""),"",COUNTIF(ResultsInd[Win],AC364&amp;"-"&amp;AD371))</f>
        <v/>
      </c>
      <c r="AQ371" s="307" t="str">
        <f>IF(OR(AC364="",AD371=""),"",COUNTIF(ResultsInd[Draw1],AC364&amp;"-"&amp;AD371)+COUNTIF(ResultsInd[Draw2],AC364&amp;"-"&amp;AD371))</f>
        <v/>
      </c>
      <c r="AR371" s="307" t="str">
        <f>IF(OR(AC364="",AD371=""),"",COUNTIF(ResultsInd[Lose],AC364&amp;"-"&amp;AD371))</f>
        <v/>
      </c>
      <c r="AS371" s="307" t="str">
        <f>IF(OR(AC364="",AD371=""),"",SUMIFS(ResultsInd[Goal-A],ResultsInd[Category],AC364,ResultsInd[Stage],"Groups",ResultsInd[Player A],AD371)+SUMIFS(ResultsInd[Goal-B],ResultsInd[Category],AC364,ResultsInd[Stage],"Groups",ResultsInd[Player B],AD371))</f>
        <v/>
      </c>
      <c r="AT371" s="307" t="str">
        <f>IF(OR(AC364="",AD371=""),"",SUMIFS(ResultsInd[Goal-B],ResultsInd[Category],AC364,ResultsInd[Stage],"Groups",ResultsInd[Player A],AD371)+SUMIFS(ResultsInd[Goal-A],ResultsInd[Category],AC364,ResultsInd[Stage],"Groups",ResultsInd[Player B],AD371))</f>
        <v/>
      </c>
      <c r="AU371" s="308" t="str">
        <f t="shared" si="320"/>
        <v/>
      </c>
      <c r="AV371" s="469" t="str">
        <f>IF(AG371="","",OR(VLOOKUP(AG371,AH365:AU371,3,FALSE),VLOOKUP(AG371,AH365:AU371,6,FALSE)))</f>
        <v/>
      </c>
      <c r="AW371" s="299" t="str">
        <f t="shared" si="318"/>
        <v/>
      </c>
      <c r="AX371" s="287" t="str">
        <f>IF(AG371="","",INDEX(AD365:AD371,MATCH(AG371,AH365:AH371,0)))</f>
        <v/>
      </c>
      <c r="AY371" s="288" t="str">
        <f>IF(AG371="","",VLOOKUP(AG371,AH365:AU371,COLUMN()-COLUMN(AR364),FALSE))</f>
        <v/>
      </c>
      <c r="AZ371" s="288" t="str">
        <f>IF(AG371="","",VLOOKUP(AG371,AH365:AU371,COLUMN()-COLUMN(AR364),FALSE))</f>
        <v/>
      </c>
      <c r="BA371" s="288" t="str">
        <f>IF(AG371="","",VLOOKUP(AG371,AH365:AU371,COLUMN()-COLUMN(AR364),FALSE))</f>
        <v/>
      </c>
      <c r="BB371" s="288" t="str">
        <f>IF(AG371="","",VLOOKUP(AG371,AH365:AU371,COLUMN()-COLUMN(AR364),FALSE))</f>
        <v/>
      </c>
      <c r="BC371" s="288" t="str">
        <f>IF(AG371="","",VLOOKUP(AG371,AH365:AU371,COLUMN()-COLUMN(AR364),FALSE))</f>
        <v/>
      </c>
      <c r="BD371" s="288" t="str">
        <f>IF(AG371="","",VLOOKUP(AG371,AH365:AU371,COLUMN()-COLUMN(AR364),FALSE))</f>
        <v/>
      </c>
      <c r="BE371" s="288" t="str">
        <f>IF(AG371="","",VLOOKUP(AG371,AH365:AU371,COLUMN()-COLUMN(AR364),FALSE))</f>
        <v/>
      </c>
      <c r="BF371" s="302" t="str">
        <f>IF(AG371="","",VLOOKUP(AG371,AH365:AU371,COLUMN()-COLUMN(AR364),FALSE))</f>
        <v/>
      </c>
    </row>
    <row r="372" spans="1:58" ht="13.5" thickBot="1" x14ac:dyDescent="0.25">
      <c r="A372" s="62" t="s">
        <v>12261</v>
      </c>
      <c r="B372" s="62" t="s">
        <v>12207</v>
      </c>
      <c r="C372" s="62">
        <v>11</v>
      </c>
      <c r="D372" s="62"/>
      <c r="E372" s="345" t="s">
        <v>8113</v>
      </c>
      <c r="F372" s="345" t="s">
        <v>10886</v>
      </c>
      <c r="G372" s="113">
        <v>2</v>
      </c>
      <c r="H372" s="113">
        <v>0</v>
      </c>
      <c r="I372" s="114"/>
      <c r="J372" s="114"/>
      <c r="K372" s="114"/>
      <c r="L372" s="81"/>
      <c r="M372" s="265" t="b">
        <f>NOT(ISERROR(ResultsInd[[#This Row],[Goal-A]]+ResultsInd[[#This Row],[Goal-B]]))</f>
        <v>1</v>
      </c>
      <c r="N372" s="265">
        <f>VALUE(ResultsInd[[#This Row],[Score-A]])</f>
        <v>2</v>
      </c>
      <c r="O372" s="265">
        <f>VALUE(ResultsInd[[#This Row],[Score-B]])</f>
        <v>0</v>
      </c>
      <c r="P372" s="265">
        <f ca="1">IF(AND(ResultsInd[[#This Row],[Category]]&lt;&gt;"",ResultsInd[[#This Row],[Player A]]&lt;&gt;""),COUNTIF(INDIRECT(ResultsInd[[#This Row],[Category]]&amp;"List[Retained Player Name]"),ResultsInd[[#This Row],[Player A]]),"")</f>
        <v>1</v>
      </c>
      <c r="Q372" s="265">
        <f ca="1">IF(AND(ResultsInd[[#This Row],[Category]]&lt;&gt;"",ResultsInd[[#This Row],[Player B]]&lt;&gt;""),COUNTIF(INDIRECT(ResultsInd[[#This Row],[Category]]&amp;"List[Retained Player Name]"),ResultsInd[[#This Row],[Player B]]),"")</f>
        <v>1</v>
      </c>
      <c r="R3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VETERANS-Geert Leys</v>
      </c>
      <c r="S372" s="265" t="str">
        <f>IF(ResultsInd[[#This Row],[Score_OK]],IF(ResultsInd[[#This Row],[Stage]]="Groups",ResultsInd[[#This Row],[Category]]&amp;"-"&amp;IF(ResultsInd[[#This Row],[Player B]]="","",IF(ResultsInd[[#This Row],[Score-A]]=ResultsInd[[#This Row],[Score-B]],ResultsInd[[#This Row],[Player A]],"")),""),"")</f>
        <v>VETERANS-</v>
      </c>
      <c r="T372" s="265" t="str">
        <f>IF(ResultsInd[[#This Row],[Score_OK]],IF(ResultsInd[[#This Row],[Stage]]="Groups",ResultsInd[[#This Row],[Category]]&amp;"-"&amp;IF(ResultsInd[[#This Row],[Player B]]="","",IF(ResultsInd[[#This Row],[Score-A]]=ResultsInd[[#This Row],[Score-B]],ResultsInd[[#This Row],[Player B]],"")),""),"")</f>
        <v>VETERANS-</v>
      </c>
      <c r="U3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VETERANS-Darren Barnes</v>
      </c>
      <c r="V3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VETERANS-Darren Barnes</v>
      </c>
      <c r="X3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VETERANS-Darren Barnes</v>
      </c>
      <c r="Y372" s="264" t="str">
        <f>IF(ResultsInd[[#This Row],[Category]]="","",VLOOKUP(ResultsInd[[#This Row],[Stage]],$P$1:$V$9,MATCH(ResultsInd[[#This Row],[Category]],$Q$1:$V$1,0)+1,FALSE))</f>
        <v>PR1</v>
      </c>
      <c r="Z372" s="264" t="str">
        <f>IF(ResultsInd[[#This Row],[Score_OK]],IF(ResultsInd[[#This Row],[Level]]="R",ResultsInd[[#This Row],[Category]]&amp;"-"&amp;IF(ResultsInd[[#This Row],[LoseInKO]]=ResultsInd[[#This Row],[Category]]&amp;"-"&amp;ResultsInd[[#This Row],[Player A]],ResultsInd[[#This Row],[Player B]],ResultsInd[[#This Row],[Player A]]),""),"")</f>
        <v/>
      </c>
      <c r="AB372" s="8"/>
      <c r="AC372" s="8"/>
      <c r="AF372" s="170"/>
      <c r="AG372" s="101"/>
      <c r="AH372" s="101"/>
      <c r="AN372" s="170"/>
      <c r="AO372" s="170"/>
      <c r="AP372" s="170"/>
      <c r="AQ372" s="172"/>
      <c r="AR372" s="173"/>
      <c r="AS372" s="173"/>
      <c r="AT372" s="173"/>
      <c r="AU372" s="101"/>
      <c r="AV372" s="101"/>
      <c r="AW372" s="101"/>
      <c r="AX372" s="101"/>
      <c r="AY372" s="101"/>
      <c r="AZ372" s="101"/>
    </row>
    <row r="373" spans="1:58" ht="12" thickBot="1" x14ac:dyDescent="0.25">
      <c r="A373" s="62" t="s">
        <v>12261</v>
      </c>
      <c r="B373" s="62" t="s">
        <v>12207</v>
      </c>
      <c r="C373" s="62">
        <v>11</v>
      </c>
      <c r="D373" s="62"/>
      <c r="E373" s="345" t="s">
        <v>8617</v>
      </c>
      <c r="F373" s="345" t="s">
        <v>11473</v>
      </c>
      <c r="G373" s="113">
        <v>8</v>
      </c>
      <c r="H373" s="113">
        <v>0</v>
      </c>
      <c r="I373" s="114"/>
      <c r="J373" s="114"/>
      <c r="K373" s="114"/>
      <c r="L373" s="81"/>
      <c r="M373" s="265" t="b">
        <f>NOT(ISERROR(ResultsInd[[#This Row],[Goal-A]]+ResultsInd[[#This Row],[Goal-B]]))</f>
        <v>1</v>
      </c>
      <c r="N373" s="265">
        <f>VALUE(ResultsInd[[#This Row],[Score-A]])</f>
        <v>8</v>
      </c>
      <c r="O373" s="265">
        <f>VALUE(ResultsInd[[#This Row],[Score-B]])</f>
        <v>0</v>
      </c>
      <c r="P373" s="265">
        <f ca="1">IF(AND(ResultsInd[[#This Row],[Category]]&lt;&gt;"",ResultsInd[[#This Row],[Player A]]&lt;&gt;""),COUNTIF(INDIRECT(ResultsInd[[#This Row],[Category]]&amp;"List[Retained Player Name]"),ResultsInd[[#This Row],[Player A]]),"")</f>
        <v>1</v>
      </c>
      <c r="Q373" s="265">
        <f ca="1">IF(AND(ResultsInd[[#This Row],[Category]]&lt;&gt;"",ResultsInd[[#This Row],[Player B]]&lt;&gt;""),COUNTIF(INDIRECT(ResultsInd[[#This Row],[Category]]&amp;"List[Retained Player Name]"),ResultsInd[[#This Row],[Player B]]),"")</f>
        <v>1</v>
      </c>
      <c r="R3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VETERANS-Ferran Coll</v>
      </c>
      <c r="S373" s="265" t="str">
        <f>IF(ResultsInd[[#This Row],[Score_OK]],IF(ResultsInd[[#This Row],[Stage]]="Groups",ResultsInd[[#This Row],[Category]]&amp;"-"&amp;IF(ResultsInd[[#This Row],[Player B]]="","",IF(ResultsInd[[#This Row],[Score-A]]=ResultsInd[[#This Row],[Score-B]],ResultsInd[[#This Row],[Player A]],"")),""),"")</f>
        <v>VETERANS-</v>
      </c>
      <c r="T373" s="265" t="str">
        <f>IF(ResultsInd[[#This Row],[Score_OK]],IF(ResultsInd[[#This Row],[Stage]]="Groups",ResultsInd[[#This Row],[Category]]&amp;"-"&amp;IF(ResultsInd[[#This Row],[Player B]]="","",IF(ResultsInd[[#This Row],[Score-A]]=ResultsInd[[#This Row],[Score-B]],ResultsInd[[#This Row],[Player B]],"")),""),"")</f>
        <v>VETERANS-</v>
      </c>
      <c r="U3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VETERANS-Xavier Aret</v>
      </c>
      <c r="V3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X3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Y373" s="264" t="str">
        <f>IF(ResultsInd[[#This Row],[Category]]="","",VLOOKUP(ResultsInd[[#This Row],[Stage]],$P$1:$V$9,MATCH(ResultsInd[[#This Row],[Category]],$Q$1:$V$1,0)+1,FALSE))</f>
        <v>PR1</v>
      </c>
      <c r="Z373" s="264" t="str">
        <f>IF(ResultsInd[[#This Row],[Score_OK]],IF(ResultsInd[[#This Row],[Level]]="R",ResultsInd[[#This Row],[Category]]&amp;"-"&amp;IF(ResultsInd[[#This Row],[LoseInKO]]=ResultsInd[[#This Row],[Category]]&amp;"-"&amp;ResultsInd[[#This Row],[Player A]],ResultsInd[[#This Row],[Player B]],ResultsInd[[#This Row],[Player A]]),""),"")</f>
        <v/>
      </c>
      <c r="AB373" s="281">
        <v>11</v>
      </c>
      <c r="AC373" s="315" t="s">
        <v>12261</v>
      </c>
      <c r="AD373" s="289" t="s">
        <v>14439</v>
      </c>
      <c r="AE373" s="290" t="s">
        <v>12279</v>
      </c>
      <c r="AF373" s="284" t="s">
        <v>12275</v>
      </c>
      <c r="AG373" s="296" t="s">
        <v>12276</v>
      </c>
      <c r="AH373" s="291" t="s">
        <v>12271</v>
      </c>
      <c r="AI373" s="291" t="s">
        <v>12272</v>
      </c>
      <c r="AJ373" s="414" t="s">
        <v>13154</v>
      </c>
      <c r="AK373" s="291" t="s">
        <v>12273</v>
      </c>
      <c r="AL373" s="297" t="s">
        <v>12274</v>
      </c>
      <c r="AM373" s="414" t="s">
        <v>13154</v>
      </c>
      <c r="AN373" s="303" t="s">
        <v>12199</v>
      </c>
      <c r="AO373" s="304" t="s">
        <v>12200</v>
      </c>
      <c r="AP373" s="304" t="s">
        <v>12201</v>
      </c>
      <c r="AQ373" s="304" t="s">
        <v>12202</v>
      </c>
      <c r="AR373" s="304" t="s">
        <v>12203</v>
      </c>
      <c r="AS373" s="304" t="s">
        <v>12204</v>
      </c>
      <c r="AT373" s="304" t="s">
        <v>12205</v>
      </c>
      <c r="AU373" s="305" t="s">
        <v>12206</v>
      </c>
      <c r="AV373" s="468"/>
      <c r="AW373" s="282" t="s">
        <v>12276</v>
      </c>
      <c r="AX373" s="282" t="s">
        <v>12280</v>
      </c>
      <c r="AY373" s="283" t="s">
        <v>12199</v>
      </c>
      <c r="AZ373" s="283" t="s">
        <v>12200</v>
      </c>
      <c r="BA373" s="283" t="s">
        <v>12201</v>
      </c>
      <c r="BB373" s="283" t="s">
        <v>12202</v>
      </c>
      <c r="BC373" s="283" t="s">
        <v>12203</v>
      </c>
      <c r="BD373" s="283" t="s">
        <v>12204</v>
      </c>
      <c r="BE373" s="283" t="s">
        <v>12205</v>
      </c>
      <c r="BF373" s="300" t="s">
        <v>12206</v>
      </c>
    </row>
    <row r="374" spans="1:58" ht="12" thickBot="1" x14ac:dyDescent="0.25">
      <c r="A374" s="62" t="s">
        <v>12261</v>
      </c>
      <c r="B374" s="62" t="s">
        <v>12207</v>
      </c>
      <c r="C374" s="62">
        <v>11</v>
      </c>
      <c r="D374" s="62"/>
      <c r="E374" s="345" t="s">
        <v>10085</v>
      </c>
      <c r="F374" s="345" t="s">
        <v>11473</v>
      </c>
      <c r="G374" s="113">
        <v>3</v>
      </c>
      <c r="H374" s="113">
        <v>2</v>
      </c>
      <c r="I374" s="114"/>
      <c r="J374" s="114"/>
      <c r="K374" s="114"/>
      <c r="L374" s="81"/>
      <c r="M374" s="265" t="b">
        <f>NOT(ISERROR(ResultsInd[[#This Row],[Goal-A]]+ResultsInd[[#This Row],[Goal-B]]))</f>
        <v>1</v>
      </c>
      <c r="N374" s="265">
        <f>VALUE(ResultsInd[[#This Row],[Score-A]])</f>
        <v>3</v>
      </c>
      <c r="O374" s="265">
        <f>VALUE(ResultsInd[[#This Row],[Score-B]])</f>
        <v>2</v>
      </c>
      <c r="P374" s="265">
        <f ca="1">IF(AND(ResultsInd[[#This Row],[Category]]&lt;&gt;"",ResultsInd[[#This Row],[Player A]]&lt;&gt;""),COUNTIF(INDIRECT(ResultsInd[[#This Row],[Category]]&amp;"List[Retained Player Name]"),ResultsInd[[#This Row],[Player A]]),"")</f>
        <v>1</v>
      </c>
      <c r="Q374" s="265">
        <f ca="1">IF(AND(ResultsInd[[#This Row],[Category]]&lt;&gt;"",ResultsInd[[#This Row],[Player B]]&lt;&gt;""),COUNTIF(INDIRECT(ResultsInd[[#This Row],[Category]]&amp;"List[Retained Player Name]"),ResultsInd[[#This Row],[Player B]]),"")</f>
        <v>1</v>
      </c>
      <c r="R3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VETERANS-Claudio Dogali</v>
      </c>
      <c r="S374" s="265" t="str">
        <f>IF(ResultsInd[[#This Row],[Score_OK]],IF(ResultsInd[[#This Row],[Stage]]="Groups",ResultsInd[[#This Row],[Category]]&amp;"-"&amp;IF(ResultsInd[[#This Row],[Player B]]="","",IF(ResultsInd[[#This Row],[Score-A]]=ResultsInd[[#This Row],[Score-B]],ResultsInd[[#This Row],[Player A]],"")),""),"")</f>
        <v>VETERANS-</v>
      </c>
      <c r="T374" s="265" t="str">
        <f>IF(ResultsInd[[#This Row],[Score_OK]],IF(ResultsInd[[#This Row],[Stage]]="Groups",ResultsInd[[#This Row],[Category]]&amp;"-"&amp;IF(ResultsInd[[#This Row],[Player B]]="","",IF(ResultsInd[[#This Row],[Score-A]]=ResultsInd[[#This Row],[Score-B]],ResultsInd[[#This Row],[Player B]],"")),""),"")</f>
        <v>VETERANS-</v>
      </c>
      <c r="U3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VETERANS-Xavier Aret</v>
      </c>
      <c r="V3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X3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Y374" s="264" t="str">
        <f>IF(ResultsInd[[#This Row],[Category]]="","",VLOOKUP(ResultsInd[[#This Row],[Stage]],$P$1:$V$9,MATCH(ResultsInd[[#This Row],[Category]],$Q$1:$V$1,0)+1,FALSE))</f>
        <v>PR1</v>
      </c>
      <c r="Z374" s="264" t="str">
        <f>IF(ResultsInd[[#This Row],[Score_OK]],IF(ResultsInd[[#This Row],[Level]]="R",ResultsInd[[#This Row],[Category]]&amp;"-"&amp;IF(ResultsInd[[#This Row],[LoseInKO]]=ResultsInd[[#This Row],[Category]]&amp;"-"&amp;ResultsInd[[#This Row],[Player A]],ResultsInd[[#This Row],[Player B]],ResultsInd[[#This Row],[Player A]]),""),"")</f>
        <v/>
      </c>
      <c r="AB374" s="8"/>
      <c r="AC374" s="12" t="str">
        <f>IF(AC373="","",AC373)</f>
        <v>VETERANS</v>
      </c>
      <c r="AD374" s="309" t="s">
        <v>10085</v>
      </c>
      <c r="AE374" s="320"/>
      <c r="AF374" s="311"/>
      <c r="AG374" s="292">
        <f>IF(AP374="","",SMALL(AH374:AH380,ROWS(AG374:AG374)))</f>
        <v>1001</v>
      </c>
      <c r="AH374" s="293">
        <f>IF(AP374="","",RANK(AL374,AL374:AL380)*1000+ROWS(AH374:AH374))</f>
        <v>1001</v>
      </c>
      <c r="AI374" s="316">
        <f t="shared" ref="AI374:AI380" si="321">IF(AP374="","",CritClassInd1_Points*AN374+CritClassInd1_Matches*AP374+CritClassInd1_Attaque*AS374+CritClassInd1_DiffButs*AU374)</f>
        <v>12000000000000</v>
      </c>
      <c r="AJ374" s="415" t="b">
        <f>AND(AO374&lt;&gt;"",AO374&gt;0,COUNTIF(AI374:AI380,AI374)&gt;1)</f>
        <v>0</v>
      </c>
      <c r="AK374" s="316">
        <f t="shared" ref="AK374:AK380" si="322">IF(AP374="","",CritClassInd_ScorePart*AE374)</f>
        <v>0</v>
      </c>
      <c r="AL374" s="317">
        <f t="shared" ref="AL374:AL380" si="323">IF(AP374="","",AI374+AK374+CritClassInd2_Points*AN374+CritClassInd2_Matches*AP374+CritClassInd2_Attaque*AS374+CritClassInd2_DiffButs*AU374+AF374)</f>
        <v>12000000111300</v>
      </c>
      <c r="AM374" s="415" t="b">
        <f>AND(AO374&lt;&gt;"",AO374&gt;0,COUNTIF(AL374:AL380,AL374)&gt;1)</f>
        <v>0</v>
      </c>
      <c r="AN374" s="306">
        <f t="shared" ref="AN374:AN380" si="324">IF(AP374="","",(AP374*Points_Victoire)+AQ374*Points_Null)</f>
        <v>12</v>
      </c>
      <c r="AO374" s="307">
        <f t="shared" ref="AO374:AO380" si="325">IF(AP374="","",SUM(AP374:AR374))</f>
        <v>4</v>
      </c>
      <c r="AP374" s="307">
        <f>IF(OR(AC373="",AD374=""),"",COUNTIF(ResultsInd[Win],AC373&amp;"-"&amp;AD374))</f>
        <v>4</v>
      </c>
      <c r="AQ374" s="307">
        <f>IF(OR(AC373="",AD374=""),"",COUNTIF(ResultsInd[Draw1],AC373&amp;"-"&amp;AD374)+COUNTIF(ResultsInd[Draw2],AC373&amp;"-"&amp;AD374))</f>
        <v>0</v>
      </c>
      <c r="AR374" s="307">
        <f>IF(OR(AC373="",AD374=""),"",COUNTIF(ResultsInd[Lose],AC373&amp;"-"&amp;AD374))</f>
        <v>0</v>
      </c>
      <c r="AS374" s="307">
        <f>IF(OR(AC373="",AD374=""),"",SUMIFS(ResultsInd[Goal-A],ResultsInd[Category],AC373,ResultsInd[Stage],"Groups",ResultsInd[Player A],AD374)+SUMIFS(ResultsInd[Goal-B],ResultsInd[Category],AC373,ResultsInd[Stage],"Groups",ResultsInd[Player B],AD374))</f>
        <v>13</v>
      </c>
      <c r="AT374" s="307">
        <f>IF(OR(AC373="",AD374=""),"",SUMIFS(ResultsInd[Goal-B],ResultsInd[Category],AC373,ResultsInd[Stage],"Groups",ResultsInd[Player A],AD374)+SUMIFS(ResultsInd[Goal-A],ResultsInd[Category],AC373,ResultsInd[Stage],"Groups",ResultsInd[Player B],AD374))</f>
        <v>2</v>
      </c>
      <c r="AU374" s="308">
        <f>IF(AP374="","",AS374-AT374)</f>
        <v>11</v>
      </c>
      <c r="AV374" s="469" t="b">
        <f>IF(AG374="","",OR(VLOOKUP(AG374,AH374:AU380,3,FALSE),VLOOKUP(AG374,AH374:AU380,6,FALSE)))</f>
        <v>0</v>
      </c>
      <c r="AW374" s="298">
        <f t="shared" ref="AW374:AW380" si="326">IF(AG374="","",INT(AG374/1000))</f>
        <v>1</v>
      </c>
      <c r="AX374" s="285" t="str">
        <f>IF(AG374="","",INDEX(AD374:AD380,MATCH(AG374,AH374:AH380,0)))</f>
        <v>Claudio Dogali</v>
      </c>
      <c r="AY374" s="286">
        <f>IF(AG374="","",VLOOKUP(AG374,AH374:AU380,COLUMN()-COLUMN(AR373),FALSE))</f>
        <v>12</v>
      </c>
      <c r="AZ374" s="286">
        <f>IF(AG374="","",VLOOKUP(AG374,AH374:AU380,COLUMN()-COLUMN(AR373),FALSE))</f>
        <v>4</v>
      </c>
      <c r="BA374" s="286">
        <f>IF(AG374="","",VLOOKUP(AG374,AH374:AU380,COLUMN()-COLUMN(AR373),FALSE))</f>
        <v>4</v>
      </c>
      <c r="BB374" s="286">
        <f>IF(AG374="","",VLOOKUP(AG374,AH374:AU380,COLUMN()-COLUMN(AR373),FALSE))</f>
        <v>0</v>
      </c>
      <c r="BC374" s="286">
        <f>IF(AG374="","",VLOOKUP(AG374,AH374:AU380,COLUMN()-COLUMN(AR373),FALSE))</f>
        <v>0</v>
      </c>
      <c r="BD374" s="286">
        <f>IF(AG374="","",VLOOKUP(AG374,AH374:AU380,COLUMN()-COLUMN(AR373),FALSE))</f>
        <v>13</v>
      </c>
      <c r="BE374" s="286">
        <f>IF(AG374="","",VLOOKUP(AG374,AH374:AU380,COLUMN()-COLUMN(AR373),FALSE))</f>
        <v>2</v>
      </c>
      <c r="BF374" s="301">
        <f>IF(AG374="","",VLOOKUP(AG374,AH374:AU380,COLUMN()-COLUMN(AR373),FALSE))</f>
        <v>11</v>
      </c>
    </row>
    <row r="375" spans="1:58" ht="12" thickBot="1" x14ac:dyDescent="0.25">
      <c r="A375" s="62" t="s">
        <v>12261</v>
      </c>
      <c r="B375" s="62" t="s">
        <v>12207</v>
      </c>
      <c r="C375" s="62">
        <v>11</v>
      </c>
      <c r="D375" s="62"/>
      <c r="E375" s="345" t="s">
        <v>8113</v>
      </c>
      <c r="F375" s="345" t="s">
        <v>8617</v>
      </c>
      <c r="G375" s="113">
        <v>1</v>
      </c>
      <c r="H375" s="113">
        <v>3</v>
      </c>
      <c r="I375" s="114"/>
      <c r="J375" s="114"/>
      <c r="K375" s="114"/>
      <c r="L375" s="81"/>
      <c r="M375" s="265" t="b">
        <f>NOT(ISERROR(ResultsInd[[#This Row],[Goal-A]]+ResultsInd[[#This Row],[Goal-B]]))</f>
        <v>1</v>
      </c>
      <c r="N375" s="265">
        <f>VALUE(ResultsInd[[#This Row],[Score-A]])</f>
        <v>1</v>
      </c>
      <c r="O375" s="265">
        <f>VALUE(ResultsInd[[#This Row],[Score-B]])</f>
        <v>3</v>
      </c>
      <c r="P375" s="265">
        <f ca="1">IF(AND(ResultsInd[[#This Row],[Category]]&lt;&gt;"",ResultsInd[[#This Row],[Player A]]&lt;&gt;""),COUNTIF(INDIRECT(ResultsInd[[#This Row],[Category]]&amp;"List[Retained Player Name]"),ResultsInd[[#This Row],[Player A]]),"")</f>
        <v>1</v>
      </c>
      <c r="Q375" s="265">
        <f ca="1">IF(AND(ResultsInd[[#This Row],[Category]]&lt;&gt;"",ResultsInd[[#This Row],[Player B]]&lt;&gt;""),COUNTIF(INDIRECT(ResultsInd[[#This Row],[Category]]&amp;"List[Retained Player Name]"),ResultsInd[[#This Row],[Player B]]),"")</f>
        <v>1</v>
      </c>
      <c r="R3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VETERANS-Ferran Coll</v>
      </c>
      <c r="S375" s="265" t="str">
        <f>IF(ResultsInd[[#This Row],[Score_OK]],IF(ResultsInd[[#This Row],[Stage]]="Groups",ResultsInd[[#This Row],[Category]]&amp;"-"&amp;IF(ResultsInd[[#This Row],[Player B]]="","",IF(ResultsInd[[#This Row],[Score-A]]=ResultsInd[[#This Row],[Score-B]],ResultsInd[[#This Row],[Player A]],"")),""),"")</f>
        <v>VETERANS-</v>
      </c>
      <c r="T375" s="265" t="str">
        <f>IF(ResultsInd[[#This Row],[Score_OK]],IF(ResultsInd[[#This Row],[Stage]]="Groups",ResultsInd[[#This Row],[Category]]&amp;"-"&amp;IF(ResultsInd[[#This Row],[Player B]]="","",IF(ResultsInd[[#This Row],[Score-A]]=ResultsInd[[#This Row],[Score-B]],ResultsInd[[#This Row],[Player B]],"")),""),"")</f>
        <v>VETERANS-</v>
      </c>
      <c r="U3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VETERANS-Geert Leys</v>
      </c>
      <c r="V3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VETERANS-Geert Leys</v>
      </c>
      <c r="X3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VETERANS-Geert Leys</v>
      </c>
      <c r="Y375" s="264" t="str">
        <f>IF(ResultsInd[[#This Row],[Category]]="","",VLOOKUP(ResultsInd[[#This Row],[Stage]],$P$1:$V$9,MATCH(ResultsInd[[#This Row],[Category]],$Q$1:$V$1,0)+1,FALSE))</f>
        <v>PR1</v>
      </c>
      <c r="Z375" s="264" t="str">
        <f>IF(ResultsInd[[#This Row],[Score_OK]],IF(ResultsInd[[#This Row],[Level]]="R",ResultsInd[[#This Row],[Category]]&amp;"-"&amp;IF(ResultsInd[[#This Row],[LoseInKO]]=ResultsInd[[#This Row],[Category]]&amp;"-"&amp;ResultsInd[[#This Row],[Player A]],ResultsInd[[#This Row],[Player B]],ResultsInd[[#This Row],[Player A]]),""),"")</f>
        <v/>
      </c>
      <c r="AB375" s="8"/>
      <c r="AC375" s="12" t="str">
        <f t="shared" ref="AC375:AC380" si="327">IF(AC374="","",AC374)</f>
        <v>VETERANS</v>
      </c>
      <c r="AD375" s="309" t="s">
        <v>8617</v>
      </c>
      <c r="AE375" s="320"/>
      <c r="AF375" s="311"/>
      <c r="AG375" s="292">
        <f>IF(AP375="","",SMALL(AH374:AH380,ROWS(AG374:AG375)))</f>
        <v>2002</v>
      </c>
      <c r="AH375" s="293">
        <f>IF(AP375="","",RANK(AL375,AL374:AL380)*1000+ROWS(AH374:AH375))</f>
        <v>2002</v>
      </c>
      <c r="AI375" s="316">
        <f t="shared" si="321"/>
        <v>9000000000000</v>
      </c>
      <c r="AJ375" s="415" t="b">
        <f>AND(AO375&lt;&gt;"",AO375&gt;0,COUNTIF(AI374:AI380,AI375)&gt;1)</f>
        <v>0</v>
      </c>
      <c r="AK375" s="316">
        <f t="shared" si="322"/>
        <v>0</v>
      </c>
      <c r="AL375" s="317">
        <f t="shared" si="323"/>
        <v>9000000121500</v>
      </c>
      <c r="AM375" s="415" t="b">
        <f>AND(AO375&lt;&gt;"",AO375&gt;0,COUNTIF(AL374:AL380,AL375)&gt;1)</f>
        <v>0</v>
      </c>
      <c r="AN375" s="306">
        <f t="shared" si="324"/>
        <v>9</v>
      </c>
      <c r="AO375" s="307">
        <f t="shared" si="325"/>
        <v>4</v>
      </c>
      <c r="AP375" s="307">
        <f>IF(OR(AC373="",AD375=""),"",COUNTIF(ResultsInd[Win],AC373&amp;"-"&amp;AD375))</f>
        <v>3</v>
      </c>
      <c r="AQ375" s="307">
        <f>IF(OR(AC373="",AD375=""),"",COUNTIF(ResultsInd[Draw1],AC373&amp;"-"&amp;AD375)+COUNTIF(ResultsInd[Draw2],AC373&amp;"-"&amp;AD375))</f>
        <v>0</v>
      </c>
      <c r="AR375" s="307">
        <f>IF(OR(AC373="",AD375=""),"",COUNTIF(ResultsInd[Lose],AC373&amp;"-"&amp;AD375))</f>
        <v>1</v>
      </c>
      <c r="AS375" s="307">
        <f>IF(OR(AC373="",AD375=""),"",SUMIFS(ResultsInd[Goal-A],ResultsInd[Category],AC373,ResultsInd[Stage],"Groups",ResultsInd[Player A],AD375)+SUMIFS(ResultsInd[Goal-B],ResultsInd[Category],AC373,ResultsInd[Stage],"Groups",ResultsInd[Player B],AD375))</f>
        <v>15</v>
      </c>
      <c r="AT375" s="307">
        <f>IF(OR(AC373="",AD375=""),"",SUMIFS(ResultsInd[Goal-B],ResultsInd[Category],AC373,ResultsInd[Stage],"Groups",ResultsInd[Player A],AD375)+SUMIFS(ResultsInd[Goal-A],ResultsInd[Category],AC373,ResultsInd[Stage],"Groups",ResultsInd[Player B],AD375))</f>
        <v>3</v>
      </c>
      <c r="AU375" s="308">
        <f t="shared" ref="AU375:AU380" si="328">IF(AP375="","",AS375-AT375)</f>
        <v>12</v>
      </c>
      <c r="AV375" s="469" t="b">
        <f>IF(AG375="","",OR(VLOOKUP(AG375,AH374:AU380,3,FALSE),VLOOKUP(AG375,AH374:AU380,6,FALSE)))</f>
        <v>0</v>
      </c>
      <c r="AW375" s="298">
        <f t="shared" si="326"/>
        <v>2</v>
      </c>
      <c r="AX375" s="285" t="str">
        <f>IF(AG375="","",INDEX(AD374:AD380,MATCH(AG375,AH374:AH380,0)))</f>
        <v>Ferran Coll</v>
      </c>
      <c r="AY375" s="286">
        <f>IF(AG375="","",VLOOKUP(AG375,AH374:AU380,COLUMN()-COLUMN(AR373),FALSE))</f>
        <v>9</v>
      </c>
      <c r="AZ375" s="286">
        <f>IF(AG375="","",VLOOKUP(AG375,AH374:AU380,COLUMN()-COLUMN(AR373),FALSE))</f>
        <v>4</v>
      </c>
      <c r="BA375" s="286">
        <f>IF(AG375="","",VLOOKUP(AG375,AH374:AU380,COLUMN()-COLUMN(AR373),FALSE))</f>
        <v>3</v>
      </c>
      <c r="BB375" s="286">
        <f>IF(AG375="","",VLOOKUP(AG375,AH374:AU380,COLUMN()-COLUMN(AR373),FALSE))</f>
        <v>0</v>
      </c>
      <c r="BC375" s="286">
        <f>IF(AG375="","",VLOOKUP(AG375,AH374:AU380,COLUMN()-COLUMN(AR373),FALSE))</f>
        <v>1</v>
      </c>
      <c r="BD375" s="286">
        <f>IF(AG375="","",VLOOKUP(AG375,AH374:AU380,COLUMN()-COLUMN(AR373),FALSE))</f>
        <v>15</v>
      </c>
      <c r="BE375" s="286">
        <f>IF(AG375="","",VLOOKUP(AG375,AH374:AU380,COLUMN()-COLUMN(AR373),FALSE))</f>
        <v>3</v>
      </c>
      <c r="BF375" s="301">
        <f>IF(AG375="","",VLOOKUP(AG375,AH374:AU380,COLUMN()-COLUMN(AR373),FALSE))</f>
        <v>12</v>
      </c>
    </row>
    <row r="376" spans="1:58" ht="12" thickBot="1" x14ac:dyDescent="0.25">
      <c r="A376" s="62" t="s">
        <v>12261</v>
      </c>
      <c r="B376" s="62" t="s">
        <v>12207</v>
      </c>
      <c r="C376" s="62">
        <v>11</v>
      </c>
      <c r="D376" s="62"/>
      <c r="E376" s="345" t="s">
        <v>8617</v>
      </c>
      <c r="F376" s="345" t="s">
        <v>10085</v>
      </c>
      <c r="G376" s="113">
        <v>0</v>
      </c>
      <c r="H376" s="113">
        <v>1</v>
      </c>
      <c r="I376" s="114"/>
      <c r="J376" s="114"/>
      <c r="K376" s="114"/>
      <c r="L376" s="81"/>
      <c r="M376" s="265" t="b">
        <f>NOT(ISERROR(ResultsInd[[#This Row],[Goal-A]]+ResultsInd[[#This Row],[Goal-B]]))</f>
        <v>1</v>
      </c>
      <c r="N376" s="265">
        <f>VALUE(ResultsInd[[#This Row],[Score-A]])</f>
        <v>0</v>
      </c>
      <c r="O376" s="265">
        <f>VALUE(ResultsInd[[#This Row],[Score-B]])</f>
        <v>1</v>
      </c>
      <c r="P376" s="265">
        <f ca="1">IF(AND(ResultsInd[[#This Row],[Category]]&lt;&gt;"",ResultsInd[[#This Row],[Player A]]&lt;&gt;""),COUNTIF(INDIRECT(ResultsInd[[#This Row],[Category]]&amp;"List[Retained Player Name]"),ResultsInd[[#This Row],[Player A]]),"")</f>
        <v>1</v>
      </c>
      <c r="Q376" s="265">
        <f ca="1">IF(AND(ResultsInd[[#This Row],[Category]]&lt;&gt;"",ResultsInd[[#This Row],[Player B]]&lt;&gt;""),COUNTIF(INDIRECT(ResultsInd[[#This Row],[Category]]&amp;"List[Retained Player Name]"),ResultsInd[[#This Row],[Player B]]),"")</f>
        <v>1</v>
      </c>
      <c r="R3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VETERANS-Claudio Dogali</v>
      </c>
      <c r="S376" s="265" t="str">
        <f>IF(ResultsInd[[#This Row],[Score_OK]],IF(ResultsInd[[#This Row],[Stage]]="Groups",ResultsInd[[#This Row],[Category]]&amp;"-"&amp;IF(ResultsInd[[#This Row],[Player B]]="","",IF(ResultsInd[[#This Row],[Score-A]]=ResultsInd[[#This Row],[Score-B]],ResultsInd[[#This Row],[Player A]],"")),""),"")</f>
        <v>VETERANS-</v>
      </c>
      <c r="T376" s="265" t="str">
        <f>IF(ResultsInd[[#This Row],[Score_OK]],IF(ResultsInd[[#This Row],[Stage]]="Groups",ResultsInd[[#This Row],[Category]]&amp;"-"&amp;IF(ResultsInd[[#This Row],[Player B]]="","",IF(ResultsInd[[#This Row],[Score-A]]=ResultsInd[[#This Row],[Score-B]],ResultsInd[[#This Row],[Player B]],"")),""),"")</f>
        <v>VETERANS-</v>
      </c>
      <c r="U3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VETERANS-Ferran Coll</v>
      </c>
      <c r="V3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VETERANS-Ferran Coll</v>
      </c>
      <c r="X3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VETERANS-Ferran Coll</v>
      </c>
      <c r="Y376" s="264" t="str">
        <f>IF(ResultsInd[[#This Row],[Category]]="","",VLOOKUP(ResultsInd[[#This Row],[Stage]],$P$1:$V$9,MATCH(ResultsInd[[#This Row],[Category]],$Q$1:$V$1,0)+1,FALSE))</f>
        <v>PR1</v>
      </c>
      <c r="Z376" s="264" t="str">
        <f>IF(ResultsInd[[#This Row],[Score_OK]],IF(ResultsInd[[#This Row],[Level]]="R",ResultsInd[[#This Row],[Category]]&amp;"-"&amp;IF(ResultsInd[[#This Row],[LoseInKO]]=ResultsInd[[#This Row],[Category]]&amp;"-"&amp;ResultsInd[[#This Row],[Player A]],ResultsInd[[#This Row],[Player B]],ResultsInd[[#This Row],[Player A]]),""),"")</f>
        <v/>
      </c>
      <c r="AB376" s="8"/>
      <c r="AC376" s="12" t="str">
        <f t="shared" si="327"/>
        <v>VETERANS</v>
      </c>
      <c r="AD376" s="309" t="s">
        <v>8113</v>
      </c>
      <c r="AE376" s="320"/>
      <c r="AF376" s="311"/>
      <c r="AG376" s="292">
        <f>IF(AP376="","",SMALL(AH374:AH380,ROWS(AG374:AG376)))</f>
        <v>3003</v>
      </c>
      <c r="AH376" s="293">
        <f>IF(AP376="","",RANK(AL376,AL374:AL380)*1000+ROWS(AH374:AH376))</f>
        <v>3003</v>
      </c>
      <c r="AI376" s="316">
        <f t="shared" si="321"/>
        <v>6000000000000</v>
      </c>
      <c r="AJ376" s="415" t="b">
        <f>AND(AO376&lt;&gt;"",AO376&gt;0,COUNTIF(AI374:AI380,AI376)&gt;1)</f>
        <v>0</v>
      </c>
      <c r="AK376" s="316">
        <f t="shared" si="322"/>
        <v>0</v>
      </c>
      <c r="AL376" s="317">
        <f t="shared" si="323"/>
        <v>5999999990500</v>
      </c>
      <c r="AM376" s="415" t="b">
        <f>AND(AO376&lt;&gt;"",AO376&gt;0,COUNTIF(AL374:AL380,AL376)&gt;1)</f>
        <v>0</v>
      </c>
      <c r="AN376" s="306">
        <f t="shared" si="324"/>
        <v>6</v>
      </c>
      <c r="AO376" s="307">
        <f t="shared" si="325"/>
        <v>4</v>
      </c>
      <c r="AP376" s="307">
        <f>IF(OR(AC373="",AD376=""),"",COUNTIF(ResultsInd[Win],AC373&amp;"-"&amp;AD376))</f>
        <v>2</v>
      </c>
      <c r="AQ376" s="307">
        <f>IF(OR(AC373="",AD376=""),"",COUNTIF(ResultsInd[Draw1],AC373&amp;"-"&amp;AD376)+COUNTIF(ResultsInd[Draw2],AC373&amp;"-"&amp;AD376))</f>
        <v>0</v>
      </c>
      <c r="AR376" s="307">
        <f>IF(OR(AC373="",AD376=""),"",COUNTIF(ResultsInd[Lose],AC373&amp;"-"&amp;AD376))</f>
        <v>2</v>
      </c>
      <c r="AS376" s="307">
        <f>IF(OR(AC373="",AD376=""),"",SUMIFS(ResultsInd[Goal-A],ResultsInd[Category],AC373,ResultsInd[Stage],"Groups",ResultsInd[Player A],AD376)+SUMIFS(ResultsInd[Goal-B],ResultsInd[Category],AC373,ResultsInd[Stage],"Groups",ResultsInd[Player B],AD376))</f>
        <v>5</v>
      </c>
      <c r="AT376" s="307">
        <f>IF(OR(AC373="",AD376=""),"",SUMIFS(ResultsInd[Goal-B],ResultsInd[Category],AC373,ResultsInd[Stage],"Groups",ResultsInd[Player A],AD376)+SUMIFS(ResultsInd[Goal-A],ResultsInd[Category],AC373,ResultsInd[Stage],"Groups",ResultsInd[Player B],AD376))</f>
        <v>6</v>
      </c>
      <c r="AU376" s="308">
        <f t="shared" si="328"/>
        <v>-1</v>
      </c>
      <c r="AV376" s="469" t="b">
        <f>IF(AG376="","",OR(VLOOKUP(AG376,AH374:AU380,3,FALSE),VLOOKUP(AG376,AH374:AU380,6,FALSE)))</f>
        <v>0</v>
      </c>
      <c r="AW376" s="298">
        <f t="shared" si="326"/>
        <v>3</v>
      </c>
      <c r="AX376" s="285" t="str">
        <f>IF(AG376="","",INDEX(AD374:AD380,MATCH(AG376,AH374:AH380,0)))</f>
        <v>Geert Leys</v>
      </c>
      <c r="AY376" s="286">
        <f>IF(AG376="","",VLOOKUP(AG376,AH374:AU380,COLUMN()-COLUMN(AR373),FALSE))</f>
        <v>6</v>
      </c>
      <c r="AZ376" s="286">
        <f>IF(AG376="","",VLOOKUP(AG376,AH374:AU380,COLUMN()-COLUMN(AR373),FALSE))</f>
        <v>4</v>
      </c>
      <c r="BA376" s="286">
        <f>IF(AG376="","",VLOOKUP(AG376,AH374:AU380,COLUMN()-COLUMN(AR373),FALSE))</f>
        <v>2</v>
      </c>
      <c r="BB376" s="286">
        <f>IF(AG376="","",VLOOKUP(AG376,AH374:AU380,COLUMN()-COLUMN(AR373),FALSE))</f>
        <v>0</v>
      </c>
      <c r="BC376" s="286">
        <f>IF(AG376="","",VLOOKUP(AG376,AH374:AU380,COLUMN()-COLUMN(AR373),FALSE))</f>
        <v>2</v>
      </c>
      <c r="BD376" s="286">
        <f>IF(AG376="","",VLOOKUP(AG376,AH374:AU380,COLUMN()-COLUMN(AR373),FALSE))</f>
        <v>5</v>
      </c>
      <c r="BE376" s="286">
        <f>IF(AG376="","",VLOOKUP(AG376,AH374:AU380,COLUMN()-COLUMN(AR373),FALSE))</f>
        <v>6</v>
      </c>
      <c r="BF376" s="301">
        <f>IF(AG376="","",VLOOKUP(AG376,AH374:AU380,COLUMN()-COLUMN(AR373),FALSE))</f>
        <v>-1</v>
      </c>
    </row>
    <row r="377" spans="1:58" ht="12" thickBot="1" x14ac:dyDescent="0.25">
      <c r="A377" s="62" t="s">
        <v>12261</v>
      </c>
      <c r="B377" s="62" t="s">
        <v>12207</v>
      </c>
      <c r="C377" s="62">
        <v>11</v>
      </c>
      <c r="D377" s="62"/>
      <c r="E377" s="345" t="s">
        <v>10886</v>
      </c>
      <c r="F377" s="345" t="s">
        <v>11473</v>
      </c>
      <c r="G377" s="113">
        <v>2</v>
      </c>
      <c r="H377" s="113">
        <v>1</v>
      </c>
      <c r="I377" s="114"/>
      <c r="J377" s="114"/>
      <c r="K377" s="114"/>
      <c r="L377" s="81"/>
      <c r="M377" s="265" t="b">
        <f>NOT(ISERROR(ResultsInd[[#This Row],[Goal-A]]+ResultsInd[[#This Row],[Goal-B]]))</f>
        <v>1</v>
      </c>
      <c r="N377" s="265">
        <f>VALUE(ResultsInd[[#This Row],[Score-A]])</f>
        <v>2</v>
      </c>
      <c r="O377" s="265">
        <f>VALUE(ResultsInd[[#This Row],[Score-B]])</f>
        <v>1</v>
      </c>
      <c r="P377" s="265">
        <f ca="1">IF(AND(ResultsInd[[#This Row],[Category]]&lt;&gt;"",ResultsInd[[#This Row],[Player A]]&lt;&gt;""),COUNTIF(INDIRECT(ResultsInd[[#This Row],[Category]]&amp;"List[Retained Player Name]"),ResultsInd[[#This Row],[Player A]]),"")</f>
        <v>1</v>
      </c>
      <c r="Q377" s="265">
        <f ca="1">IF(AND(ResultsInd[[#This Row],[Category]]&lt;&gt;"",ResultsInd[[#This Row],[Player B]]&lt;&gt;""),COUNTIF(INDIRECT(ResultsInd[[#This Row],[Category]]&amp;"List[Retained Player Name]"),ResultsInd[[#This Row],[Player B]]),"")</f>
        <v>1</v>
      </c>
      <c r="R3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VETERANS-Darren Barnes</v>
      </c>
      <c r="S377" s="265" t="str">
        <f>IF(ResultsInd[[#This Row],[Score_OK]],IF(ResultsInd[[#This Row],[Stage]]="Groups",ResultsInd[[#This Row],[Category]]&amp;"-"&amp;IF(ResultsInd[[#This Row],[Player B]]="","",IF(ResultsInd[[#This Row],[Score-A]]=ResultsInd[[#This Row],[Score-B]],ResultsInd[[#This Row],[Player A]],"")),""),"")</f>
        <v>VETERANS-</v>
      </c>
      <c r="T377" s="265" t="str">
        <f>IF(ResultsInd[[#This Row],[Score_OK]],IF(ResultsInd[[#This Row],[Stage]]="Groups",ResultsInd[[#This Row],[Category]]&amp;"-"&amp;IF(ResultsInd[[#This Row],[Player B]]="","",IF(ResultsInd[[#This Row],[Score-A]]=ResultsInd[[#This Row],[Score-B]],ResultsInd[[#This Row],[Player B]],"")),""),"")</f>
        <v>VETERANS-</v>
      </c>
      <c r="U3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VETERANS-Xavier Aret</v>
      </c>
      <c r="V3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X3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Aret</v>
      </c>
      <c r="Y377" s="264" t="str">
        <f>IF(ResultsInd[[#This Row],[Category]]="","",VLOOKUP(ResultsInd[[#This Row],[Stage]],$P$1:$V$9,MATCH(ResultsInd[[#This Row],[Category]],$Q$1:$V$1,0)+1,FALSE))</f>
        <v>PR1</v>
      </c>
      <c r="Z377" s="264" t="str">
        <f>IF(ResultsInd[[#This Row],[Score_OK]],IF(ResultsInd[[#This Row],[Level]]="R",ResultsInd[[#This Row],[Category]]&amp;"-"&amp;IF(ResultsInd[[#This Row],[LoseInKO]]=ResultsInd[[#This Row],[Category]]&amp;"-"&amp;ResultsInd[[#This Row],[Player A]],ResultsInd[[#This Row],[Player B]],ResultsInd[[#This Row],[Player A]]),""),"")</f>
        <v/>
      </c>
      <c r="AB377" s="91"/>
      <c r="AC377" s="12" t="str">
        <f t="shared" si="327"/>
        <v>VETERANS</v>
      </c>
      <c r="AD377" s="309" t="s">
        <v>10886</v>
      </c>
      <c r="AE377" s="310"/>
      <c r="AF377" s="311"/>
      <c r="AG377" s="292">
        <f>IF(AP377="","",SMALL(AH374:AH380,ROWS(AG374:AG377)))</f>
        <v>4004</v>
      </c>
      <c r="AH377" s="293">
        <f>IF(AP377="","",RANK(AL377,AL374:AL380)*1000+ROWS(AH374:AH377))</f>
        <v>4004</v>
      </c>
      <c r="AI377" s="316">
        <f t="shared" si="321"/>
        <v>3000000000000</v>
      </c>
      <c r="AJ377" s="415" t="b">
        <f>AND(AO377&lt;&gt;"",AO377&gt;0,COUNTIF(AI374:AI380,AI377)&gt;1)</f>
        <v>0</v>
      </c>
      <c r="AK377" s="316">
        <f t="shared" si="322"/>
        <v>0</v>
      </c>
      <c r="AL377" s="317">
        <f t="shared" si="323"/>
        <v>2999999890300</v>
      </c>
      <c r="AM377" s="415" t="b">
        <f>AND(AO377&lt;&gt;"",AO377&gt;0,COUNTIF(AL374:AL380,AL377)&gt;1)</f>
        <v>0</v>
      </c>
      <c r="AN377" s="306">
        <f t="shared" si="324"/>
        <v>3</v>
      </c>
      <c r="AO377" s="307">
        <f t="shared" si="325"/>
        <v>4</v>
      </c>
      <c r="AP377" s="307">
        <f>IF(OR(AC373="",AD377=""),"",COUNTIF(ResultsInd[Win],AC373&amp;"-"&amp;AD377))</f>
        <v>1</v>
      </c>
      <c r="AQ377" s="307">
        <f>IF(OR(AC373="",AD377=""),"",COUNTIF(ResultsInd[Draw1],AC373&amp;"-"&amp;AD377)+COUNTIF(ResultsInd[Draw2],AC373&amp;"-"&amp;AD377))</f>
        <v>0</v>
      </c>
      <c r="AR377" s="307">
        <f>IF(OR(AC373="",AD377=""),"",COUNTIF(ResultsInd[Lose],AC373&amp;"-"&amp;AD377))</f>
        <v>3</v>
      </c>
      <c r="AS377" s="307">
        <f>IF(OR(AC373="",AD377=""),"",SUMIFS(ResultsInd[Goal-A],ResultsInd[Category],AC373,ResultsInd[Stage],"Groups",ResultsInd[Player A],AD377)+SUMIFS(ResultsInd[Goal-B],ResultsInd[Category],AC373,ResultsInd[Stage],"Groups",ResultsInd[Player B],AD377))</f>
        <v>3</v>
      </c>
      <c r="AT377" s="307">
        <f>IF(OR(AC373="",AD377=""),"",SUMIFS(ResultsInd[Goal-B],ResultsInd[Category],AC373,ResultsInd[Stage],"Groups",ResultsInd[Player A],AD377)+SUMIFS(ResultsInd[Goal-A],ResultsInd[Category],AC373,ResultsInd[Stage],"Groups",ResultsInd[Player B],AD377))</f>
        <v>14</v>
      </c>
      <c r="AU377" s="308">
        <f t="shared" si="328"/>
        <v>-11</v>
      </c>
      <c r="AV377" s="469" t="b">
        <f>IF(AG377="","",OR(VLOOKUP(AG377,AH374:AU380,3,FALSE),VLOOKUP(AG377,AH374:AU380,6,FALSE)))</f>
        <v>0</v>
      </c>
      <c r="AW377" s="298">
        <f t="shared" si="326"/>
        <v>4</v>
      </c>
      <c r="AX377" s="285" t="str">
        <f>IF(AG377="","",INDEX(AD374:AD380,MATCH(AG377,AH374:AH380,0)))</f>
        <v>Darren Barnes</v>
      </c>
      <c r="AY377" s="286">
        <f>IF(AG377="","",VLOOKUP(AG377,AH374:AU380,COLUMN()-COLUMN(AR373),FALSE))</f>
        <v>3</v>
      </c>
      <c r="AZ377" s="286">
        <f>IF(AG377="","",VLOOKUP(AG377,AH374:AU380,COLUMN()-COLUMN(AR373),FALSE))</f>
        <v>4</v>
      </c>
      <c r="BA377" s="286">
        <f>IF(AG377="","",VLOOKUP(AG377,AH374:AU380,COLUMN()-COLUMN(AR373),FALSE))</f>
        <v>1</v>
      </c>
      <c r="BB377" s="286">
        <f>IF(AG377="","",VLOOKUP(AG377,AH374:AU380,COLUMN()-COLUMN(AR373),FALSE))</f>
        <v>0</v>
      </c>
      <c r="BC377" s="286">
        <f>IF(AG377="","",VLOOKUP(AG377,AH374:AU380,COLUMN()-COLUMN(AR373),FALSE))</f>
        <v>3</v>
      </c>
      <c r="BD377" s="286">
        <f>IF(AG377="","",VLOOKUP(AG377,AH374:AU380,COLUMN()-COLUMN(AR373),FALSE))</f>
        <v>3</v>
      </c>
      <c r="BE377" s="286">
        <f>IF(AG377="","",VLOOKUP(AG377,AH374:AU380,COLUMN()-COLUMN(AR373),FALSE))</f>
        <v>14</v>
      </c>
      <c r="BF377" s="301">
        <f>IF(AG377="","",VLOOKUP(AG377,AH374:AU380,COLUMN()-COLUMN(AR373),FALSE))</f>
        <v>-11</v>
      </c>
    </row>
    <row r="378" spans="1:58" ht="12" thickBot="1" x14ac:dyDescent="0.25">
      <c r="A378" s="62" t="s">
        <v>12261</v>
      </c>
      <c r="B378" s="62" t="s">
        <v>12207</v>
      </c>
      <c r="C378" s="62">
        <v>12</v>
      </c>
      <c r="D378" s="62"/>
      <c r="E378" s="345" t="s">
        <v>9576</v>
      </c>
      <c r="F378" s="345" t="s">
        <v>8598</v>
      </c>
      <c r="G378" s="113">
        <v>1</v>
      </c>
      <c r="H378" s="113">
        <v>0</v>
      </c>
      <c r="I378" s="114"/>
      <c r="J378" s="114"/>
      <c r="K378" s="114"/>
      <c r="L378" s="81"/>
      <c r="M378" s="265" t="b">
        <f>NOT(ISERROR(ResultsInd[[#This Row],[Goal-A]]+ResultsInd[[#This Row],[Goal-B]]))</f>
        <v>1</v>
      </c>
      <c r="N378" s="265">
        <f>VALUE(ResultsInd[[#This Row],[Score-A]])</f>
        <v>1</v>
      </c>
      <c r="O378" s="265">
        <f>VALUE(ResultsInd[[#This Row],[Score-B]])</f>
        <v>0</v>
      </c>
      <c r="P378" s="265">
        <f ca="1">IF(AND(ResultsInd[[#This Row],[Category]]&lt;&gt;"",ResultsInd[[#This Row],[Player A]]&lt;&gt;""),COUNTIF(INDIRECT(ResultsInd[[#This Row],[Category]]&amp;"List[Retained Player Name]"),ResultsInd[[#This Row],[Player A]]),"")</f>
        <v>1</v>
      </c>
      <c r="Q378" s="265">
        <f ca="1">IF(AND(ResultsInd[[#This Row],[Category]]&lt;&gt;"",ResultsInd[[#This Row],[Player B]]&lt;&gt;""),COUNTIF(INDIRECT(ResultsInd[[#This Row],[Category]]&amp;"List[Retained Player Name]"),ResultsInd[[#This Row],[Player B]]),"")</f>
        <v>1</v>
      </c>
      <c r="R3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VETERANS-Francesco Torano</v>
      </c>
      <c r="S378" s="265" t="str">
        <f>IF(ResultsInd[[#This Row],[Score_OK]],IF(ResultsInd[[#This Row],[Stage]]="Groups",ResultsInd[[#This Row],[Category]]&amp;"-"&amp;IF(ResultsInd[[#This Row],[Player B]]="","",IF(ResultsInd[[#This Row],[Score-A]]=ResultsInd[[#This Row],[Score-B]],ResultsInd[[#This Row],[Player A]],"")),""),"")</f>
        <v>VETERANS-</v>
      </c>
      <c r="T378" s="265" t="str">
        <f>IF(ResultsInd[[#This Row],[Score_OK]],IF(ResultsInd[[#This Row],[Stage]]="Groups",ResultsInd[[#This Row],[Category]]&amp;"-"&amp;IF(ResultsInd[[#This Row],[Player B]]="","",IF(ResultsInd[[#This Row],[Score-A]]=ResultsInd[[#This Row],[Score-B]],ResultsInd[[#This Row],[Player B]],"")),""),"")</f>
        <v>VETERANS-</v>
      </c>
      <c r="U3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VETERANS-Arturo Martínez</v>
      </c>
      <c r="V3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VETERANS-Arturo Martínez</v>
      </c>
      <c r="X3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VETERANS-Arturo Martínez</v>
      </c>
      <c r="Y378" s="264" t="str">
        <f>IF(ResultsInd[[#This Row],[Category]]="","",VLOOKUP(ResultsInd[[#This Row],[Stage]],$P$1:$V$9,MATCH(ResultsInd[[#This Row],[Category]],$Q$1:$V$1,0)+1,FALSE))</f>
        <v>PR1</v>
      </c>
      <c r="Z378" s="264" t="str">
        <f>IF(ResultsInd[[#This Row],[Score_OK]],IF(ResultsInd[[#This Row],[Level]]="R",ResultsInd[[#This Row],[Category]]&amp;"-"&amp;IF(ResultsInd[[#This Row],[LoseInKO]]=ResultsInd[[#This Row],[Category]]&amp;"-"&amp;ResultsInd[[#This Row],[Player A]],ResultsInd[[#This Row],[Player B]],ResultsInd[[#This Row],[Player A]]),""),"")</f>
        <v/>
      </c>
      <c r="AB378" s="91"/>
      <c r="AC378" s="12" t="str">
        <f t="shared" si="327"/>
        <v>VETERANS</v>
      </c>
      <c r="AD378" s="309" t="s">
        <v>11473</v>
      </c>
      <c r="AE378" s="310"/>
      <c r="AF378" s="311"/>
      <c r="AG378" s="292">
        <f>IF(AP378="","",SMALL(AH374:AH380,ROWS(AG374:AG378)))</f>
        <v>5005</v>
      </c>
      <c r="AH378" s="293">
        <f>IF(AP378="","",RANK(AL378,AL374:AL380)*1000+ROWS(AH374:AH378))</f>
        <v>5005</v>
      </c>
      <c r="AI378" s="316">
        <f t="shared" si="321"/>
        <v>0</v>
      </c>
      <c r="AJ378" s="415" t="b">
        <f>AND(AO378&lt;&gt;"",AO378&gt;0,COUNTIF(AI374:AI380,AI378)&gt;1)</f>
        <v>0</v>
      </c>
      <c r="AK378" s="316">
        <f t="shared" si="322"/>
        <v>0</v>
      </c>
      <c r="AL378" s="317">
        <f t="shared" si="323"/>
        <v>-109600</v>
      </c>
      <c r="AM378" s="415" t="b">
        <f>AND(AO378&lt;&gt;"",AO378&gt;0,COUNTIF(AL374:AL380,AL378)&gt;1)</f>
        <v>0</v>
      </c>
      <c r="AN378" s="306">
        <f t="shared" si="324"/>
        <v>0</v>
      </c>
      <c r="AO378" s="307">
        <f t="shared" si="325"/>
        <v>4</v>
      </c>
      <c r="AP378" s="307">
        <f>IF(OR(AC373="",AD378=""),"",COUNTIF(ResultsInd[Win],AC373&amp;"-"&amp;AD378))</f>
        <v>0</v>
      </c>
      <c r="AQ378" s="307">
        <f>IF(OR(AC373="",AD378=""),"",COUNTIF(ResultsInd[Draw1],AC373&amp;"-"&amp;AD378)+COUNTIF(ResultsInd[Draw2],AC373&amp;"-"&amp;AD378))</f>
        <v>0</v>
      </c>
      <c r="AR378" s="307">
        <f>IF(OR(AC373="",AD378=""),"",COUNTIF(ResultsInd[Lose],AC373&amp;"-"&amp;AD378))</f>
        <v>4</v>
      </c>
      <c r="AS378" s="307">
        <f>IF(OR(AC373="",AD378=""),"",SUMIFS(ResultsInd[Goal-A],ResultsInd[Category],AC373,ResultsInd[Stage],"Groups",ResultsInd[Player A],AD378)+SUMIFS(ResultsInd[Goal-B],ResultsInd[Category],AC373,ResultsInd[Stage],"Groups",ResultsInd[Player B],AD378))</f>
        <v>4</v>
      </c>
      <c r="AT378" s="307">
        <f>IF(OR(AC373="",AD378=""),"",SUMIFS(ResultsInd[Goal-B],ResultsInd[Category],AC373,ResultsInd[Stage],"Groups",ResultsInd[Player A],AD378)+SUMIFS(ResultsInd[Goal-A],ResultsInd[Category],AC373,ResultsInd[Stage],"Groups",ResultsInd[Player B],AD378))</f>
        <v>15</v>
      </c>
      <c r="AU378" s="308">
        <f t="shared" si="328"/>
        <v>-11</v>
      </c>
      <c r="AV378" s="469" t="b">
        <f>IF(AG378="","",OR(VLOOKUP(AG378,AH374:AU380,3,FALSE),VLOOKUP(AG378,AH374:AU380,6,FALSE)))</f>
        <v>0</v>
      </c>
      <c r="AW378" s="298">
        <f t="shared" si="326"/>
        <v>5</v>
      </c>
      <c r="AX378" s="285" t="str">
        <f>IF(AG378="","",INDEX(AD374:AD380,MATCH(AG378,AH374:AH380,0)))</f>
        <v>Xavier Aret</v>
      </c>
      <c r="AY378" s="286">
        <f>IF(AG378="","",VLOOKUP(AG378,AH374:AU380,COLUMN()-COLUMN(AR373),FALSE))</f>
        <v>0</v>
      </c>
      <c r="AZ378" s="286">
        <f>IF(AG378="","",VLOOKUP(AG378,AH374:AU380,COLUMN()-COLUMN(AR373),FALSE))</f>
        <v>4</v>
      </c>
      <c r="BA378" s="286">
        <f>IF(AG378="","",VLOOKUP(AG378,AH374:AU380,COLUMN()-COLUMN(AR373),FALSE))</f>
        <v>0</v>
      </c>
      <c r="BB378" s="286">
        <f>IF(AG378="","",VLOOKUP(AG378,AH374:AU380,COLUMN()-COLUMN(AR373),FALSE))</f>
        <v>0</v>
      </c>
      <c r="BC378" s="286">
        <f>IF(AG378="","",VLOOKUP(AG378,AH374:AU380,COLUMN()-COLUMN(AR373),FALSE))</f>
        <v>4</v>
      </c>
      <c r="BD378" s="286">
        <f>IF(AG378="","",VLOOKUP(AG378,AH374:AU380,COLUMN()-COLUMN(AR373),FALSE))</f>
        <v>4</v>
      </c>
      <c r="BE378" s="286">
        <f>IF(AG378="","",VLOOKUP(AG378,AH374:AU380,COLUMN()-COLUMN(AR373),FALSE))</f>
        <v>15</v>
      </c>
      <c r="BF378" s="301">
        <f>IF(AG378="","",VLOOKUP(AG378,AH374:AU380,COLUMN()-COLUMN(AR373),FALSE))</f>
        <v>-11</v>
      </c>
    </row>
    <row r="379" spans="1:58" ht="12" thickBot="1" x14ac:dyDescent="0.25">
      <c r="A379" s="62" t="s">
        <v>12261</v>
      </c>
      <c r="B379" s="62" t="s">
        <v>12207</v>
      </c>
      <c r="C379" s="62">
        <v>12</v>
      </c>
      <c r="D379" s="62"/>
      <c r="E379" s="345" t="s">
        <v>10441</v>
      </c>
      <c r="F379" s="345" t="s">
        <v>8514</v>
      </c>
      <c r="G379" s="113">
        <v>6</v>
      </c>
      <c r="H379" s="113">
        <v>1</v>
      </c>
      <c r="I379" s="114"/>
      <c r="J379" s="114"/>
      <c r="K379" s="114"/>
      <c r="L379" s="81"/>
      <c r="M379" s="265" t="b">
        <f>NOT(ISERROR(ResultsInd[[#This Row],[Goal-A]]+ResultsInd[[#This Row],[Goal-B]]))</f>
        <v>1</v>
      </c>
      <c r="N379" s="265">
        <f>VALUE(ResultsInd[[#This Row],[Score-A]])</f>
        <v>6</v>
      </c>
      <c r="O379" s="265">
        <f>VALUE(ResultsInd[[#This Row],[Score-B]])</f>
        <v>1</v>
      </c>
      <c r="P379" s="265">
        <f ca="1">IF(AND(ResultsInd[[#This Row],[Category]]&lt;&gt;"",ResultsInd[[#This Row],[Player A]]&lt;&gt;""),COUNTIF(INDIRECT(ResultsInd[[#This Row],[Category]]&amp;"List[Retained Player Name]"),ResultsInd[[#This Row],[Player A]]),"")</f>
        <v>1</v>
      </c>
      <c r="Q379" s="265">
        <f ca="1">IF(AND(ResultsInd[[#This Row],[Category]]&lt;&gt;"",ResultsInd[[#This Row],[Player B]]&lt;&gt;""),COUNTIF(INDIRECT(ResultsInd[[#This Row],[Category]]&amp;"List[Retained Player Name]"),ResultsInd[[#This Row],[Player B]]),"")</f>
        <v>1</v>
      </c>
      <c r="R3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Chetcuti Dimech</v>
      </c>
      <c r="S379" s="265" t="str">
        <f>IF(ResultsInd[[#This Row],[Score_OK]],IF(ResultsInd[[#This Row],[Stage]]="Groups",ResultsInd[[#This Row],[Category]]&amp;"-"&amp;IF(ResultsInd[[#This Row],[Player B]]="","",IF(ResultsInd[[#This Row],[Score-A]]=ResultsInd[[#This Row],[Score-B]],ResultsInd[[#This Row],[Player A]],"")),""),"")</f>
        <v>VETERANS-</v>
      </c>
      <c r="T379" s="265" t="str">
        <f>IF(ResultsInd[[#This Row],[Score_OK]],IF(ResultsInd[[#This Row],[Stage]]="Groups",ResultsInd[[#This Row],[Category]]&amp;"-"&amp;IF(ResultsInd[[#This Row],[Player B]]="","",IF(ResultsInd[[#This Row],[Score-A]]=ResultsInd[[#This Row],[Score-B]],ResultsInd[[#This Row],[Player B]],"")),""),"")</f>
        <v>VETERANS-</v>
      </c>
      <c r="U3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VETERANS-Terry Arnold</v>
      </c>
      <c r="V3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VETERANS-Terry Arnold</v>
      </c>
      <c r="X3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VETERANS-Terry Arnold</v>
      </c>
      <c r="Y379" s="264" t="str">
        <f>IF(ResultsInd[[#This Row],[Category]]="","",VLOOKUP(ResultsInd[[#This Row],[Stage]],$P$1:$V$9,MATCH(ResultsInd[[#This Row],[Category]],$Q$1:$V$1,0)+1,FALSE))</f>
        <v>PR1</v>
      </c>
      <c r="Z379" s="264" t="str">
        <f>IF(ResultsInd[[#This Row],[Score_OK]],IF(ResultsInd[[#This Row],[Level]]="R",ResultsInd[[#This Row],[Category]]&amp;"-"&amp;IF(ResultsInd[[#This Row],[LoseInKO]]=ResultsInd[[#This Row],[Category]]&amp;"-"&amp;ResultsInd[[#This Row],[Player A]],ResultsInd[[#This Row],[Player B]],ResultsInd[[#This Row],[Player A]]),""),"")</f>
        <v/>
      </c>
      <c r="AB379" s="8"/>
      <c r="AC379" s="12" t="str">
        <f t="shared" si="327"/>
        <v>VETERANS</v>
      </c>
      <c r="AD379" s="309"/>
      <c r="AE379" s="310"/>
      <c r="AF379" s="311"/>
      <c r="AG379" s="292" t="str">
        <f>IF(AP379="","",SMALL(AH374:AH380,ROWS(AG374:AG379)))</f>
        <v/>
      </c>
      <c r="AH379" s="293" t="str">
        <f>IF(AP379="","",RANK(AL379,AL374:AL380)*1000+ROWS(AH374:AH379))</f>
        <v/>
      </c>
      <c r="AI379" s="316" t="str">
        <f t="shared" si="321"/>
        <v/>
      </c>
      <c r="AJ379" s="415" t="b">
        <f>AND(AO379&lt;&gt;"",AO379&gt;0,COUNTIF(AI374:AI380,AI379)&gt;1)</f>
        <v>0</v>
      </c>
      <c r="AK379" s="316" t="str">
        <f t="shared" si="322"/>
        <v/>
      </c>
      <c r="AL379" s="317" t="str">
        <f t="shared" si="323"/>
        <v/>
      </c>
      <c r="AM379" s="415" t="b">
        <f>AND(AO379&lt;&gt;"",AO379&gt;0,COUNTIF(AL374:AL380,AL379)&gt;1)</f>
        <v>0</v>
      </c>
      <c r="AN379" s="306" t="str">
        <f t="shared" si="324"/>
        <v/>
      </c>
      <c r="AO379" s="307" t="str">
        <f t="shared" si="325"/>
        <v/>
      </c>
      <c r="AP379" s="307" t="str">
        <f>IF(OR(AC373="",AD379=""),"",COUNTIF(ResultsInd[Win],AC373&amp;"-"&amp;AD379))</f>
        <v/>
      </c>
      <c r="AQ379" s="307" t="str">
        <f>IF(OR(AC373="",AD379=""),"",COUNTIF(ResultsInd[Draw1],AC373&amp;"-"&amp;AD379)+COUNTIF(ResultsInd[Draw2],AC373&amp;"-"&amp;AD379))</f>
        <v/>
      </c>
      <c r="AR379" s="307" t="str">
        <f>IF(OR(AC373="",AD379=""),"",COUNTIF(ResultsInd[Lose],AC373&amp;"-"&amp;AD379))</f>
        <v/>
      </c>
      <c r="AS379" s="307" t="str">
        <f>IF(OR(AC373="",AD379=""),"",SUMIFS(ResultsInd[Goal-A],ResultsInd[Category],AC373,ResultsInd[Stage],"Groups",ResultsInd[Player A],AD379)+SUMIFS(ResultsInd[Goal-B],ResultsInd[Category],AC373,ResultsInd[Stage],"Groups",ResultsInd[Player B],AD379))</f>
        <v/>
      </c>
      <c r="AT379" s="307" t="str">
        <f>IF(OR(AC373="",AD379=""),"",SUMIFS(ResultsInd[Goal-B],ResultsInd[Category],AC373,ResultsInd[Stage],"Groups",ResultsInd[Player A],AD379)+SUMIFS(ResultsInd[Goal-A],ResultsInd[Category],AC373,ResultsInd[Stage],"Groups",ResultsInd[Player B],AD379))</f>
        <v/>
      </c>
      <c r="AU379" s="308" t="str">
        <f t="shared" si="328"/>
        <v/>
      </c>
      <c r="AV379" s="469" t="str">
        <f>IF(AG379="","",OR(VLOOKUP(AG379,AH374:AU380,3,FALSE),VLOOKUP(AG379,AH374:AU380,6,FALSE)))</f>
        <v/>
      </c>
      <c r="AW379" s="298" t="str">
        <f t="shared" si="326"/>
        <v/>
      </c>
      <c r="AX379" s="285" t="str">
        <f>IF(AG379="","",INDEX(AD374:AD380,MATCH(AG379,AH374:AH380,0)))</f>
        <v/>
      </c>
      <c r="AY379" s="286" t="str">
        <f>IF(AG379="","",VLOOKUP(AG379,AH374:AU380,COLUMN()-COLUMN(AR373),FALSE))</f>
        <v/>
      </c>
      <c r="AZ379" s="286" t="str">
        <f>IF(AG379="","",VLOOKUP(AG379,AH374:AU380,COLUMN()-COLUMN(AR373),FALSE))</f>
        <v/>
      </c>
      <c r="BA379" s="286" t="str">
        <f>IF(AG379="","",VLOOKUP(AG379,AH374:AU380,COLUMN()-COLUMN(AR373),FALSE))</f>
        <v/>
      </c>
      <c r="BB379" s="286" t="str">
        <f>IF(AG379="","",VLOOKUP(AG379,AH374:AU380,COLUMN()-COLUMN(AR373),FALSE))</f>
        <v/>
      </c>
      <c r="BC379" s="286" t="str">
        <f>IF(AG379="","",VLOOKUP(AG379,AH374:AU380,COLUMN()-COLUMN(AR373),FALSE))</f>
        <v/>
      </c>
      <c r="BD379" s="286" t="str">
        <f>IF(AG379="","",VLOOKUP(AG379,AH374:AU380,COLUMN()-COLUMN(AR373),FALSE))</f>
        <v/>
      </c>
      <c r="BE379" s="286" t="str">
        <f>IF(AG379="","",VLOOKUP(AG379,AH374:AU380,COLUMN()-COLUMN(AR373),FALSE))</f>
        <v/>
      </c>
      <c r="BF379" s="301" t="str">
        <f>IF(AG379="","",VLOOKUP(AG379,AH374:AU380,COLUMN()-COLUMN(AR373),FALSE))</f>
        <v/>
      </c>
    </row>
    <row r="380" spans="1:58" ht="12" thickBot="1" x14ac:dyDescent="0.25">
      <c r="A380" s="62" t="s">
        <v>12261</v>
      </c>
      <c r="B380" s="62" t="s">
        <v>12207</v>
      </c>
      <c r="C380" s="62">
        <v>12</v>
      </c>
      <c r="D380" s="62"/>
      <c r="E380" s="345" t="s">
        <v>8514</v>
      </c>
      <c r="F380" s="345" t="s">
        <v>9576</v>
      </c>
      <c r="G380" s="113">
        <v>0</v>
      </c>
      <c r="H380" s="113">
        <v>7</v>
      </c>
      <c r="I380" s="114"/>
      <c r="J380" s="114"/>
      <c r="K380" s="114"/>
      <c r="L380" s="81"/>
      <c r="M380" s="265" t="b">
        <f>NOT(ISERROR(ResultsInd[[#This Row],[Goal-A]]+ResultsInd[[#This Row],[Goal-B]]))</f>
        <v>1</v>
      </c>
      <c r="N380" s="265">
        <f>VALUE(ResultsInd[[#This Row],[Score-A]])</f>
        <v>0</v>
      </c>
      <c r="O380" s="265">
        <f>VALUE(ResultsInd[[#This Row],[Score-B]])</f>
        <v>7</v>
      </c>
      <c r="P380" s="265">
        <f ca="1">IF(AND(ResultsInd[[#This Row],[Category]]&lt;&gt;"",ResultsInd[[#This Row],[Player A]]&lt;&gt;""),COUNTIF(INDIRECT(ResultsInd[[#This Row],[Category]]&amp;"List[Retained Player Name]"),ResultsInd[[#This Row],[Player A]]),"")</f>
        <v>1</v>
      </c>
      <c r="Q380" s="265">
        <f ca="1">IF(AND(ResultsInd[[#This Row],[Category]]&lt;&gt;"",ResultsInd[[#This Row],[Player B]]&lt;&gt;""),COUNTIF(INDIRECT(ResultsInd[[#This Row],[Category]]&amp;"List[Retained Player Name]"),ResultsInd[[#This Row],[Player B]]),"")</f>
        <v>1</v>
      </c>
      <c r="R3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VETERANS-Francesco Torano</v>
      </c>
      <c r="S380" s="265" t="str">
        <f>IF(ResultsInd[[#This Row],[Score_OK]],IF(ResultsInd[[#This Row],[Stage]]="Groups",ResultsInd[[#This Row],[Category]]&amp;"-"&amp;IF(ResultsInd[[#This Row],[Player B]]="","",IF(ResultsInd[[#This Row],[Score-A]]=ResultsInd[[#This Row],[Score-B]],ResultsInd[[#This Row],[Player A]],"")),""),"")</f>
        <v>VETERANS-</v>
      </c>
      <c r="T380" s="265" t="str">
        <f>IF(ResultsInd[[#This Row],[Score_OK]],IF(ResultsInd[[#This Row],[Stage]]="Groups",ResultsInd[[#This Row],[Category]]&amp;"-"&amp;IF(ResultsInd[[#This Row],[Player B]]="","",IF(ResultsInd[[#This Row],[Score-A]]=ResultsInd[[#This Row],[Score-B]],ResultsInd[[#This Row],[Player B]],"")),""),"")</f>
        <v>VETERANS-</v>
      </c>
      <c r="U3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VETERANS-Terry Arnold</v>
      </c>
      <c r="V3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VETERANS-Terry Arnold</v>
      </c>
      <c r="X3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VETERANS-Terry Arnold</v>
      </c>
      <c r="Y380" s="264" t="str">
        <f>IF(ResultsInd[[#This Row],[Category]]="","",VLOOKUP(ResultsInd[[#This Row],[Stage]],$P$1:$V$9,MATCH(ResultsInd[[#This Row],[Category]],$Q$1:$V$1,0)+1,FALSE))</f>
        <v>PR1</v>
      </c>
      <c r="Z380" s="264" t="str">
        <f>IF(ResultsInd[[#This Row],[Score_OK]],IF(ResultsInd[[#This Row],[Level]]="R",ResultsInd[[#This Row],[Category]]&amp;"-"&amp;IF(ResultsInd[[#This Row],[LoseInKO]]=ResultsInd[[#This Row],[Category]]&amp;"-"&amp;ResultsInd[[#This Row],[Player A]],ResultsInd[[#This Row],[Player B]],ResultsInd[[#This Row],[Player A]]),""),"")</f>
        <v/>
      </c>
      <c r="AB380" s="8"/>
      <c r="AC380" s="12" t="str">
        <f t="shared" si="327"/>
        <v>VETERANS</v>
      </c>
      <c r="AD380" s="312"/>
      <c r="AE380" s="313"/>
      <c r="AF380" s="314"/>
      <c r="AG380" s="294" t="str">
        <f>IF(AP380="","",SMALL(AH374:AH380,ROWS(AG374:AG380)))</f>
        <v/>
      </c>
      <c r="AH380" s="295" t="str">
        <f>IF(AP380="","",RANK(AL380,AL374:AL380)*1000+ROWS(AH374:AH380))</f>
        <v/>
      </c>
      <c r="AI380" s="318" t="str">
        <f t="shared" si="321"/>
        <v/>
      </c>
      <c r="AJ380" s="416" t="b">
        <f>AND(AO380&lt;&gt;"",AO380&gt;0,COUNTIF(AI374:AI380,AI380)&gt;1)</f>
        <v>0</v>
      </c>
      <c r="AK380" s="318" t="str">
        <f t="shared" si="322"/>
        <v/>
      </c>
      <c r="AL380" s="319" t="str">
        <f t="shared" si="323"/>
        <v/>
      </c>
      <c r="AM380" s="416" t="b">
        <f>AND(AO380&lt;&gt;"",AO380&gt;0,COUNTIF(AL374:AL380,AL380)&gt;1)</f>
        <v>0</v>
      </c>
      <c r="AN380" s="306" t="str">
        <f t="shared" si="324"/>
        <v/>
      </c>
      <c r="AO380" s="307" t="str">
        <f t="shared" si="325"/>
        <v/>
      </c>
      <c r="AP380" s="307" t="str">
        <f>IF(OR(AC373="",AD380=""),"",COUNTIF(ResultsInd[Win],AC373&amp;"-"&amp;AD380))</f>
        <v/>
      </c>
      <c r="AQ380" s="307" t="str">
        <f>IF(OR(AC373="",AD380=""),"",COUNTIF(ResultsInd[Draw1],AC373&amp;"-"&amp;AD380)+COUNTIF(ResultsInd[Draw2],AC373&amp;"-"&amp;AD380))</f>
        <v/>
      </c>
      <c r="AR380" s="307" t="str">
        <f>IF(OR(AC373="",AD380=""),"",COUNTIF(ResultsInd[Lose],AC373&amp;"-"&amp;AD380))</f>
        <v/>
      </c>
      <c r="AS380" s="307" t="str">
        <f>IF(OR(AC373="",AD380=""),"",SUMIFS(ResultsInd[Goal-A],ResultsInd[Category],AC373,ResultsInd[Stage],"Groups",ResultsInd[Player A],AD380)+SUMIFS(ResultsInd[Goal-B],ResultsInd[Category],AC373,ResultsInd[Stage],"Groups",ResultsInd[Player B],AD380))</f>
        <v/>
      </c>
      <c r="AT380" s="307" t="str">
        <f>IF(OR(AC373="",AD380=""),"",SUMIFS(ResultsInd[Goal-B],ResultsInd[Category],AC373,ResultsInd[Stage],"Groups",ResultsInd[Player A],AD380)+SUMIFS(ResultsInd[Goal-A],ResultsInd[Category],AC373,ResultsInd[Stage],"Groups",ResultsInd[Player B],AD380))</f>
        <v/>
      </c>
      <c r="AU380" s="308" t="str">
        <f t="shared" si="328"/>
        <v/>
      </c>
      <c r="AV380" s="469" t="str">
        <f>IF(AG380="","",OR(VLOOKUP(AG380,AH374:AU380,3,FALSE),VLOOKUP(AG380,AH374:AU380,6,FALSE)))</f>
        <v/>
      </c>
      <c r="AW380" s="299" t="str">
        <f t="shared" si="326"/>
        <v/>
      </c>
      <c r="AX380" s="287" t="str">
        <f>IF(AG380="","",INDEX(AD374:AD380,MATCH(AG380,AH374:AH380,0)))</f>
        <v/>
      </c>
      <c r="AY380" s="288" t="str">
        <f>IF(AG380="","",VLOOKUP(AG380,AH374:AU380,COLUMN()-COLUMN(AR373),FALSE))</f>
        <v/>
      </c>
      <c r="AZ380" s="288" t="str">
        <f>IF(AG380="","",VLOOKUP(AG380,AH374:AU380,COLUMN()-COLUMN(AR373),FALSE))</f>
        <v/>
      </c>
      <c r="BA380" s="288" t="str">
        <f>IF(AG380="","",VLOOKUP(AG380,AH374:AU380,COLUMN()-COLUMN(AR373),FALSE))</f>
        <v/>
      </c>
      <c r="BB380" s="288" t="str">
        <f>IF(AG380="","",VLOOKUP(AG380,AH374:AU380,COLUMN()-COLUMN(AR373),FALSE))</f>
        <v/>
      </c>
      <c r="BC380" s="288" t="str">
        <f>IF(AG380="","",VLOOKUP(AG380,AH374:AU380,COLUMN()-COLUMN(AR373),FALSE))</f>
        <v/>
      </c>
      <c r="BD380" s="288" t="str">
        <f>IF(AG380="","",VLOOKUP(AG380,AH374:AU380,COLUMN()-COLUMN(AR373),FALSE))</f>
        <v/>
      </c>
      <c r="BE380" s="288" t="str">
        <f>IF(AG380="","",VLOOKUP(AG380,AH374:AU380,COLUMN()-COLUMN(AR373),FALSE))</f>
        <v/>
      </c>
      <c r="BF380" s="302" t="str">
        <f>IF(AG380="","",VLOOKUP(AG380,AH374:AU380,COLUMN()-COLUMN(AR373),FALSE))</f>
        <v/>
      </c>
    </row>
    <row r="381" spans="1:58" ht="13.5" thickBot="1" x14ac:dyDescent="0.25">
      <c r="A381" s="62" t="s">
        <v>12261</v>
      </c>
      <c r="B381" s="62" t="s">
        <v>12207</v>
      </c>
      <c r="C381" s="62">
        <v>12</v>
      </c>
      <c r="D381" s="62"/>
      <c r="E381" s="345" t="s">
        <v>14514</v>
      </c>
      <c r="F381" s="345" t="s">
        <v>8598</v>
      </c>
      <c r="G381" s="113">
        <v>0</v>
      </c>
      <c r="H381" s="113">
        <v>4</v>
      </c>
      <c r="I381" s="114"/>
      <c r="J381" s="114"/>
      <c r="K381" s="114"/>
      <c r="L381" s="81"/>
      <c r="M381" s="265" t="b">
        <f>NOT(ISERROR(ResultsInd[[#This Row],[Goal-A]]+ResultsInd[[#This Row],[Goal-B]]))</f>
        <v>1</v>
      </c>
      <c r="N381" s="265">
        <f>VALUE(ResultsInd[[#This Row],[Score-A]])</f>
        <v>0</v>
      </c>
      <c r="O381" s="265">
        <f>VALUE(ResultsInd[[#This Row],[Score-B]])</f>
        <v>4</v>
      </c>
      <c r="P381" s="265">
        <f ca="1">IF(AND(ResultsInd[[#This Row],[Category]]&lt;&gt;"",ResultsInd[[#This Row],[Player A]]&lt;&gt;""),COUNTIF(INDIRECT(ResultsInd[[#This Row],[Category]]&amp;"List[Retained Player Name]"),ResultsInd[[#This Row],[Player A]]),"")</f>
        <v>1</v>
      </c>
      <c r="Q381" s="265">
        <f ca="1">IF(AND(ResultsInd[[#This Row],[Category]]&lt;&gt;"",ResultsInd[[#This Row],[Player B]]&lt;&gt;""),COUNTIF(INDIRECT(ResultsInd[[#This Row],[Category]]&amp;"List[Retained Player Name]"),ResultsInd[[#This Row],[Player B]]),"")</f>
        <v>1</v>
      </c>
      <c r="R3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VETERANS-Arturo Martínez</v>
      </c>
      <c r="S381" s="265" t="str">
        <f>IF(ResultsInd[[#This Row],[Score_OK]],IF(ResultsInd[[#This Row],[Stage]]="Groups",ResultsInd[[#This Row],[Category]]&amp;"-"&amp;IF(ResultsInd[[#This Row],[Player B]]="","",IF(ResultsInd[[#This Row],[Score-A]]=ResultsInd[[#This Row],[Score-B]],ResultsInd[[#This Row],[Player A]],"")),""),"")</f>
        <v>VETERANS-</v>
      </c>
      <c r="T381" s="265" t="str">
        <f>IF(ResultsInd[[#This Row],[Score_OK]],IF(ResultsInd[[#This Row],[Stage]]="Groups",ResultsInd[[#This Row],[Category]]&amp;"-"&amp;IF(ResultsInd[[#This Row],[Player B]]="","",IF(ResultsInd[[#This Row],[Score-A]]=ResultsInd[[#This Row],[Score-B]],ResultsInd[[#This Row],[Player B]],"")),""),"")</f>
        <v>VETERANS-</v>
      </c>
      <c r="U3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3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3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381" s="264" t="str">
        <f>IF(ResultsInd[[#This Row],[Category]]="","",VLOOKUP(ResultsInd[[#This Row],[Stage]],$P$1:$V$9,MATCH(ResultsInd[[#This Row],[Category]],$Q$1:$V$1,0)+1,FALSE))</f>
        <v>PR1</v>
      </c>
      <c r="Z381" s="264" t="str">
        <f>IF(ResultsInd[[#This Row],[Score_OK]],IF(ResultsInd[[#This Row],[Level]]="R",ResultsInd[[#This Row],[Category]]&amp;"-"&amp;IF(ResultsInd[[#This Row],[LoseInKO]]=ResultsInd[[#This Row],[Category]]&amp;"-"&amp;ResultsInd[[#This Row],[Player A]],ResultsInd[[#This Row],[Player B]],ResultsInd[[#This Row],[Player A]]),""),"")</f>
        <v/>
      </c>
      <c r="AB381" s="8"/>
      <c r="AC381" s="8"/>
      <c r="AF381" s="170"/>
      <c r="AG381" s="101"/>
      <c r="AH381" s="101"/>
      <c r="AN381" s="170"/>
      <c r="AO381" s="170"/>
      <c r="AP381" s="170"/>
      <c r="AQ381" s="172"/>
      <c r="AR381" s="173"/>
      <c r="AS381" s="173"/>
      <c r="AT381" s="173"/>
      <c r="AU381" s="101"/>
      <c r="AV381" s="101"/>
      <c r="AW381" s="101"/>
      <c r="AX381" s="101"/>
      <c r="AY381" s="101"/>
      <c r="AZ381" s="101"/>
    </row>
    <row r="382" spans="1:58" ht="12" thickBot="1" x14ac:dyDescent="0.25">
      <c r="A382" s="62" t="s">
        <v>12261</v>
      </c>
      <c r="B382" s="62" t="s">
        <v>12207</v>
      </c>
      <c r="C382" s="62">
        <v>12</v>
      </c>
      <c r="D382" s="62"/>
      <c r="E382" s="345" t="s">
        <v>8598</v>
      </c>
      <c r="F382" s="345" t="s">
        <v>8514</v>
      </c>
      <c r="G382" s="113">
        <v>2</v>
      </c>
      <c r="H382" s="113">
        <v>0</v>
      </c>
      <c r="I382" s="114"/>
      <c r="J382" s="114"/>
      <c r="K382" s="114"/>
      <c r="L382" s="81"/>
      <c r="M382" s="265" t="b">
        <f>NOT(ISERROR(ResultsInd[[#This Row],[Goal-A]]+ResultsInd[[#This Row],[Goal-B]]))</f>
        <v>1</v>
      </c>
      <c r="N382" s="265">
        <f>VALUE(ResultsInd[[#This Row],[Score-A]])</f>
        <v>2</v>
      </c>
      <c r="O382" s="265">
        <f>VALUE(ResultsInd[[#This Row],[Score-B]])</f>
        <v>0</v>
      </c>
      <c r="P382" s="265">
        <f ca="1">IF(AND(ResultsInd[[#This Row],[Category]]&lt;&gt;"",ResultsInd[[#This Row],[Player A]]&lt;&gt;""),COUNTIF(INDIRECT(ResultsInd[[#This Row],[Category]]&amp;"List[Retained Player Name]"),ResultsInd[[#This Row],[Player A]]),"")</f>
        <v>1</v>
      </c>
      <c r="Q382" s="265">
        <f ca="1">IF(AND(ResultsInd[[#This Row],[Category]]&lt;&gt;"",ResultsInd[[#This Row],[Player B]]&lt;&gt;""),COUNTIF(INDIRECT(ResultsInd[[#This Row],[Category]]&amp;"List[Retained Player Name]"),ResultsInd[[#This Row],[Player B]]),"")</f>
        <v>1</v>
      </c>
      <c r="R3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VETERANS-Arturo Martínez</v>
      </c>
      <c r="S382" s="265" t="str">
        <f>IF(ResultsInd[[#This Row],[Score_OK]],IF(ResultsInd[[#This Row],[Stage]]="Groups",ResultsInd[[#This Row],[Category]]&amp;"-"&amp;IF(ResultsInd[[#This Row],[Player B]]="","",IF(ResultsInd[[#This Row],[Score-A]]=ResultsInd[[#This Row],[Score-B]],ResultsInd[[#This Row],[Player A]],"")),""),"")</f>
        <v>VETERANS-</v>
      </c>
      <c r="T382" s="265" t="str">
        <f>IF(ResultsInd[[#This Row],[Score_OK]],IF(ResultsInd[[#This Row],[Stage]]="Groups",ResultsInd[[#This Row],[Category]]&amp;"-"&amp;IF(ResultsInd[[#This Row],[Player B]]="","",IF(ResultsInd[[#This Row],[Score-A]]=ResultsInd[[#This Row],[Score-B]],ResultsInd[[#This Row],[Player B]],"")),""),"")</f>
        <v>VETERANS-</v>
      </c>
      <c r="U3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VETERANS-Terry Arnold</v>
      </c>
      <c r="V3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VETERANS-Terry Arnold</v>
      </c>
      <c r="X3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VETERANS-Terry Arnold</v>
      </c>
      <c r="Y382" s="264" t="str">
        <f>IF(ResultsInd[[#This Row],[Category]]="","",VLOOKUP(ResultsInd[[#This Row],[Stage]],$P$1:$V$9,MATCH(ResultsInd[[#This Row],[Category]],$Q$1:$V$1,0)+1,FALSE))</f>
        <v>PR1</v>
      </c>
      <c r="Z382" s="264" t="str">
        <f>IF(ResultsInd[[#This Row],[Score_OK]],IF(ResultsInd[[#This Row],[Level]]="R",ResultsInd[[#This Row],[Category]]&amp;"-"&amp;IF(ResultsInd[[#This Row],[LoseInKO]]=ResultsInd[[#This Row],[Category]]&amp;"-"&amp;ResultsInd[[#This Row],[Player A]],ResultsInd[[#This Row],[Player B]],ResultsInd[[#This Row],[Player A]]),""),"")</f>
        <v/>
      </c>
      <c r="AB382" s="281">
        <v>12</v>
      </c>
      <c r="AC382" s="315" t="s">
        <v>12261</v>
      </c>
      <c r="AD382" s="289" t="s">
        <v>14439</v>
      </c>
      <c r="AE382" s="290" t="s">
        <v>12279</v>
      </c>
      <c r="AF382" s="284" t="s">
        <v>12275</v>
      </c>
      <c r="AG382" s="296" t="s">
        <v>12276</v>
      </c>
      <c r="AH382" s="291" t="s">
        <v>12271</v>
      </c>
      <c r="AI382" s="291" t="s">
        <v>12272</v>
      </c>
      <c r="AJ382" s="414" t="s">
        <v>13154</v>
      </c>
      <c r="AK382" s="291" t="s">
        <v>12273</v>
      </c>
      <c r="AL382" s="297" t="s">
        <v>12274</v>
      </c>
      <c r="AM382" s="414" t="s">
        <v>13154</v>
      </c>
      <c r="AN382" s="303" t="s">
        <v>12199</v>
      </c>
      <c r="AO382" s="304" t="s">
        <v>12200</v>
      </c>
      <c r="AP382" s="304" t="s">
        <v>12201</v>
      </c>
      <c r="AQ382" s="304" t="s">
        <v>12202</v>
      </c>
      <c r="AR382" s="304" t="s">
        <v>12203</v>
      </c>
      <c r="AS382" s="304" t="s">
        <v>12204</v>
      </c>
      <c r="AT382" s="304" t="s">
        <v>12205</v>
      </c>
      <c r="AU382" s="305" t="s">
        <v>12206</v>
      </c>
      <c r="AV382" s="468"/>
      <c r="AW382" s="282" t="s">
        <v>12276</v>
      </c>
      <c r="AX382" s="282" t="s">
        <v>12280</v>
      </c>
      <c r="AY382" s="283" t="s">
        <v>12199</v>
      </c>
      <c r="AZ382" s="283" t="s">
        <v>12200</v>
      </c>
      <c r="BA382" s="283" t="s">
        <v>12201</v>
      </c>
      <c r="BB382" s="283" t="s">
        <v>12202</v>
      </c>
      <c r="BC382" s="283" t="s">
        <v>12203</v>
      </c>
      <c r="BD382" s="283" t="s">
        <v>12204</v>
      </c>
      <c r="BE382" s="283" t="s">
        <v>12205</v>
      </c>
      <c r="BF382" s="300" t="s">
        <v>12206</v>
      </c>
    </row>
    <row r="383" spans="1:58" ht="12" thickBot="1" x14ac:dyDescent="0.25">
      <c r="A383" s="62" t="s">
        <v>12261</v>
      </c>
      <c r="B383" s="62" t="s">
        <v>12207</v>
      </c>
      <c r="C383" s="62">
        <v>12</v>
      </c>
      <c r="D383" s="62"/>
      <c r="E383" s="345" t="s">
        <v>10441</v>
      </c>
      <c r="F383" s="345" t="s">
        <v>14514</v>
      </c>
      <c r="G383" s="113">
        <v>2</v>
      </c>
      <c r="H383" s="113">
        <v>1</v>
      </c>
      <c r="I383" s="114"/>
      <c r="J383" s="114"/>
      <c r="K383" s="114"/>
      <c r="L383" s="81"/>
      <c r="M383" s="265" t="b">
        <f>NOT(ISERROR(ResultsInd[[#This Row],[Goal-A]]+ResultsInd[[#This Row],[Goal-B]]))</f>
        <v>1</v>
      </c>
      <c r="N383" s="265">
        <f>VALUE(ResultsInd[[#This Row],[Score-A]])</f>
        <v>2</v>
      </c>
      <c r="O383" s="265">
        <f>VALUE(ResultsInd[[#This Row],[Score-B]])</f>
        <v>1</v>
      </c>
      <c r="P383" s="265">
        <f ca="1">IF(AND(ResultsInd[[#This Row],[Category]]&lt;&gt;"",ResultsInd[[#This Row],[Player A]]&lt;&gt;""),COUNTIF(INDIRECT(ResultsInd[[#This Row],[Category]]&amp;"List[Retained Player Name]"),ResultsInd[[#This Row],[Player A]]),"")</f>
        <v>1</v>
      </c>
      <c r="Q383" s="265">
        <f ca="1">IF(AND(ResultsInd[[#This Row],[Category]]&lt;&gt;"",ResultsInd[[#This Row],[Player B]]&lt;&gt;""),COUNTIF(INDIRECT(ResultsInd[[#This Row],[Category]]&amp;"List[Retained Player Name]"),ResultsInd[[#This Row],[Player B]]),"")</f>
        <v>1</v>
      </c>
      <c r="R3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Chetcuti Dimech</v>
      </c>
      <c r="S383" s="265" t="str">
        <f>IF(ResultsInd[[#This Row],[Score_OK]],IF(ResultsInd[[#This Row],[Stage]]="Groups",ResultsInd[[#This Row],[Category]]&amp;"-"&amp;IF(ResultsInd[[#This Row],[Player B]]="","",IF(ResultsInd[[#This Row],[Score-A]]=ResultsInd[[#This Row],[Score-B]],ResultsInd[[#This Row],[Player A]],"")),""),"")</f>
        <v>VETERANS-</v>
      </c>
      <c r="T383" s="265" t="str">
        <f>IF(ResultsInd[[#This Row],[Score_OK]],IF(ResultsInd[[#This Row],[Stage]]="Groups",ResultsInd[[#This Row],[Category]]&amp;"-"&amp;IF(ResultsInd[[#This Row],[Player B]]="","",IF(ResultsInd[[#This Row],[Score-A]]=ResultsInd[[#This Row],[Score-B]],ResultsInd[[#This Row],[Player B]],"")),""),"")</f>
        <v>VETERANS-</v>
      </c>
      <c r="U3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3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3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383" s="264" t="str">
        <f>IF(ResultsInd[[#This Row],[Category]]="","",VLOOKUP(ResultsInd[[#This Row],[Stage]],$P$1:$V$9,MATCH(ResultsInd[[#This Row],[Category]],$Q$1:$V$1,0)+1,FALSE))</f>
        <v>PR1</v>
      </c>
      <c r="Z383" s="264" t="str">
        <f>IF(ResultsInd[[#This Row],[Score_OK]],IF(ResultsInd[[#This Row],[Level]]="R",ResultsInd[[#This Row],[Category]]&amp;"-"&amp;IF(ResultsInd[[#This Row],[LoseInKO]]=ResultsInd[[#This Row],[Category]]&amp;"-"&amp;ResultsInd[[#This Row],[Player A]],ResultsInd[[#This Row],[Player B]],ResultsInd[[#This Row],[Player A]]),""),"")</f>
        <v/>
      </c>
      <c r="AB383" s="8"/>
      <c r="AC383" s="12" t="str">
        <f>IF(AC382="","",AC382)</f>
        <v>VETERANS</v>
      </c>
      <c r="AD383" s="309" t="s">
        <v>9576</v>
      </c>
      <c r="AE383" s="320"/>
      <c r="AF383" s="311"/>
      <c r="AG383" s="292">
        <f>IF(AP383="","",SMALL(AH383:AH389,ROWS(AG383:AG383)))</f>
        <v>1001</v>
      </c>
      <c r="AH383" s="293">
        <f>IF(AP383="","",RANK(AL383,AL383:AL389)*1000+ROWS(AH383:AH383))</f>
        <v>1001</v>
      </c>
      <c r="AI383" s="316">
        <f t="shared" ref="AI383:AI389" si="329">IF(AP383="","",CritClassInd1_Points*AN383+CritClassInd1_Matches*AP383+CritClassInd1_Attaque*AS383+CritClassInd1_DiffButs*AU383)</f>
        <v>12000000000000</v>
      </c>
      <c r="AJ383" s="415" t="b">
        <f>AND(AO383&lt;&gt;"",AO383&gt;0,COUNTIF(AI383:AI389,AI383)&gt;1)</f>
        <v>0</v>
      </c>
      <c r="AK383" s="316">
        <f t="shared" ref="AK383:AK389" si="330">IF(AP383="","",CritClassInd_ScorePart*AE383)</f>
        <v>0</v>
      </c>
      <c r="AL383" s="317">
        <f t="shared" ref="AL383:AL389" si="331">IF(AP383="","",AI383+AK383+CritClassInd2_Points*AN383+CritClassInd2_Matches*AP383+CritClassInd2_Attaque*AS383+CritClassInd2_DiffButs*AU383+AF383)</f>
        <v>12000000171700</v>
      </c>
      <c r="AM383" s="415" t="b">
        <f>AND(AO383&lt;&gt;"",AO383&gt;0,COUNTIF(AL383:AL389,AL383)&gt;1)</f>
        <v>0</v>
      </c>
      <c r="AN383" s="306">
        <f t="shared" ref="AN383:AN389" si="332">IF(AP383="","",(AP383*Points_Victoire)+AQ383*Points_Null)</f>
        <v>12</v>
      </c>
      <c r="AO383" s="307">
        <f t="shared" ref="AO383:AO389" si="333">IF(AP383="","",SUM(AP383:AR383))</f>
        <v>4</v>
      </c>
      <c r="AP383" s="307">
        <f>IF(OR(AC382="",AD383=""),"",COUNTIF(ResultsInd[Win],AC382&amp;"-"&amp;AD383))</f>
        <v>4</v>
      </c>
      <c r="AQ383" s="307">
        <f>IF(OR(AC382="",AD383=""),"",COUNTIF(ResultsInd[Draw1],AC382&amp;"-"&amp;AD383)+COUNTIF(ResultsInd[Draw2],AC382&amp;"-"&amp;AD383))</f>
        <v>0</v>
      </c>
      <c r="AR383" s="307">
        <f>IF(OR(AC382="",AD383=""),"",COUNTIF(ResultsInd[Lose],AC382&amp;"-"&amp;AD383))</f>
        <v>0</v>
      </c>
      <c r="AS383" s="307">
        <f>IF(OR(AC382="",AD383=""),"",SUMIFS(ResultsInd[Goal-A],ResultsInd[Category],AC382,ResultsInd[Stage],"Groups",ResultsInd[Player A],AD383)+SUMIFS(ResultsInd[Goal-B],ResultsInd[Category],AC382,ResultsInd[Stage],"Groups",ResultsInd[Player B],AD383))</f>
        <v>17</v>
      </c>
      <c r="AT383" s="307">
        <f>IF(OR(AC382="",AD383=""),"",SUMIFS(ResultsInd[Goal-B],ResultsInd[Category],AC382,ResultsInd[Stage],"Groups",ResultsInd[Player A],AD383)+SUMIFS(ResultsInd[Goal-A],ResultsInd[Category],AC382,ResultsInd[Stage],"Groups",ResultsInd[Player B],AD383))</f>
        <v>0</v>
      </c>
      <c r="AU383" s="308">
        <f>IF(AP383="","",AS383-AT383)</f>
        <v>17</v>
      </c>
      <c r="AV383" s="469" t="b">
        <f>IF(AG383="","",OR(VLOOKUP(AG383,AH383:AU389,3,FALSE),VLOOKUP(AG383,AH383:AU389,6,FALSE)))</f>
        <v>0</v>
      </c>
      <c r="AW383" s="298">
        <f t="shared" ref="AW383:AW389" si="334">IF(AG383="","",INT(AG383/1000))</f>
        <v>1</v>
      </c>
      <c r="AX383" s="285" t="str">
        <f>IF(AG383="","",INDEX(AD383:AD389,MATCH(AG383,AH383:AH389,0)))</f>
        <v>Francesco Torano</v>
      </c>
      <c r="AY383" s="286">
        <f>IF(AG383="","",VLOOKUP(AG383,AH383:AU389,COLUMN()-COLUMN(AR382),FALSE))</f>
        <v>12</v>
      </c>
      <c r="AZ383" s="286">
        <f>IF(AG383="","",VLOOKUP(AG383,AH383:AU389,COLUMN()-COLUMN(AR382),FALSE))</f>
        <v>4</v>
      </c>
      <c r="BA383" s="286">
        <f>IF(AG383="","",VLOOKUP(AG383,AH383:AU389,COLUMN()-COLUMN(AR382),FALSE))</f>
        <v>4</v>
      </c>
      <c r="BB383" s="286">
        <f>IF(AG383="","",VLOOKUP(AG383,AH383:AU389,COLUMN()-COLUMN(AR382),FALSE))</f>
        <v>0</v>
      </c>
      <c r="BC383" s="286">
        <f>IF(AG383="","",VLOOKUP(AG383,AH383:AU389,COLUMN()-COLUMN(AR382),FALSE))</f>
        <v>0</v>
      </c>
      <c r="BD383" s="286">
        <f>IF(AG383="","",VLOOKUP(AG383,AH383:AU389,COLUMN()-COLUMN(AR382),FALSE))</f>
        <v>17</v>
      </c>
      <c r="BE383" s="286">
        <f>IF(AG383="","",VLOOKUP(AG383,AH383:AU389,COLUMN()-COLUMN(AR382),FALSE))</f>
        <v>0</v>
      </c>
      <c r="BF383" s="301">
        <f>IF(AG383="","",VLOOKUP(AG383,AH383:AU389,COLUMN()-COLUMN(AR382),FALSE))</f>
        <v>17</v>
      </c>
    </row>
    <row r="384" spans="1:58" ht="12" thickBot="1" x14ac:dyDescent="0.25">
      <c r="A384" s="62" t="s">
        <v>12261</v>
      </c>
      <c r="B384" s="62" t="s">
        <v>12207</v>
      </c>
      <c r="C384" s="62">
        <v>12</v>
      </c>
      <c r="D384" s="62"/>
      <c r="E384" s="345" t="s">
        <v>9576</v>
      </c>
      <c r="F384" s="345" t="s">
        <v>14514</v>
      </c>
      <c r="G384" s="113">
        <v>6</v>
      </c>
      <c r="H384" s="113">
        <v>0</v>
      </c>
      <c r="I384" s="114"/>
      <c r="J384" s="114"/>
      <c r="K384" s="114"/>
      <c r="L384" s="81"/>
      <c r="M384" s="265" t="b">
        <f>NOT(ISERROR(ResultsInd[[#This Row],[Goal-A]]+ResultsInd[[#This Row],[Goal-B]]))</f>
        <v>1</v>
      </c>
      <c r="N384" s="265">
        <f>VALUE(ResultsInd[[#This Row],[Score-A]])</f>
        <v>6</v>
      </c>
      <c r="O384" s="265">
        <f>VALUE(ResultsInd[[#This Row],[Score-B]])</f>
        <v>0</v>
      </c>
      <c r="P384" s="265">
        <f ca="1">IF(AND(ResultsInd[[#This Row],[Category]]&lt;&gt;"",ResultsInd[[#This Row],[Player A]]&lt;&gt;""),COUNTIF(INDIRECT(ResultsInd[[#This Row],[Category]]&amp;"List[Retained Player Name]"),ResultsInd[[#This Row],[Player A]]),"")</f>
        <v>1</v>
      </c>
      <c r="Q384" s="265">
        <f ca="1">IF(AND(ResultsInd[[#This Row],[Category]]&lt;&gt;"",ResultsInd[[#This Row],[Player B]]&lt;&gt;""),COUNTIF(INDIRECT(ResultsInd[[#This Row],[Category]]&amp;"List[Retained Player Name]"),ResultsInd[[#This Row],[Player B]]),"")</f>
        <v>1</v>
      </c>
      <c r="R3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VETERANS-Francesco Torano</v>
      </c>
      <c r="S384" s="265" t="str">
        <f>IF(ResultsInd[[#This Row],[Score_OK]],IF(ResultsInd[[#This Row],[Stage]]="Groups",ResultsInd[[#This Row],[Category]]&amp;"-"&amp;IF(ResultsInd[[#This Row],[Player B]]="","",IF(ResultsInd[[#This Row],[Score-A]]=ResultsInd[[#This Row],[Score-B]],ResultsInd[[#This Row],[Player A]],"")),""),"")</f>
        <v>VETERANS-</v>
      </c>
      <c r="T384" s="265" t="str">
        <f>IF(ResultsInd[[#This Row],[Score_OK]],IF(ResultsInd[[#This Row],[Stage]]="Groups",ResultsInd[[#This Row],[Category]]&amp;"-"&amp;IF(ResultsInd[[#This Row],[Player B]]="","",IF(ResultsInd[[#This Row],[Score-A]]=ResultsInd[[#This Row],[Score-B]],ResultsInd[[#This Row],[Player B]],"")),""),"")</f>
        <v>VETERANS-</v>
      </c>
      <c r="U3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3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3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384" s="264" t="str">
        <f>IF(ResultsInd[[#This Row],[Category]]="","",VLOOKUP(ResultsInd[[#This Row],[Stage]],$P$1:$V$9,MATCH(ResultsInd[[#This Row],[Category]],$Q$1:$V$1,0)+1,FALSE))</f>
        <v>PR1</v>
      </c>
      <c r="Z384" s="264" t="str">
        <f>IF(ResultsInd[[#This Row],[Score_OK]],IF(ResultsInd[[#This Row],[Level]]="R",ResultsInd[[#This Row],[Category]]&amp;"-"&amp;IF(ResultsInd[[#This Row],[LoseInKO]]=ResultsInd[[#This Row],[Category]]&amp;"-"&amp;ResultsInd[[#This Row],[Player A]],ResultsInd[[#This Row],[Player B]],ResultsInd[[#This Row],[Player A]]),""),"")</f>
        <v/>
      </c>
      <c r="AB384" s="8"/>
      <c r="AC384" s="12" t="str">
        <f t="shared" ref="AC384:AC389" si="335">IF(AC383="","",AC383)</f>
        <v>VETERANS</v>
      </c>
      <c r="AD384" s="309" t="s">
        <v>10441</v>
      </c>
      <c r="AE384" s="320"/>
      <c r="AF384" s="311"/>
      <c r="AG384" s="292">
        <f>IF(AP384="","",SMALL(AH383:AH389,ROWS(AG383:AG384)))</f>
        <v>2002</v>
      </c>
      <c r="AH384" s="293">
        <f>IF(AP384="","",RANK(AL384,AL383:AL389)*1000+ROWS(AH383:AH384))</f>
        <v>2002</v>
      </c>
      <c r="AI384" s="316">
        <f t="shared" si="329"/>
        <v>9000000000000</v>
      </c>
      <c r="AJ384" s="415" t="b">
        <f>AND(AO384&lt;&gt;"",AO384&gt;0,COUNTIF(AI383:AI389,AI384)&gt;1)</f>
        <v>0</v>
      </c>
      <c r="AK384" s="316">
        <f t="shared" si="330"/>
        <v>0</v>
      </c>
      <c r="AL384" s="317">
        <f t="shared" si="331"/>
        <v>9000000040900</v>
      </c>
      <c r="AM384" s="415" t="b">
        <f>AND(AO384&lt;&gt;"",AO384&gt;0,COUNTIF(AL383:AL389,AL384)&gt;1)</f>
        <v>0</v>
      </c>
      <c r="AN384" s="306">
        <f t="shared" si="332"/>
        <v>9</v>
      </c>
      <c r="AO384" s="307">
        <f t="shared" si="333"/>
        <v>4</v>
      </c>
      <c r="AP384" s="307">
        <f>IF(OR(AC382="",AD384=""),"",COUNTIF(ResultsInd[Win],AC382&amp;"-"&amp;AD384))</f>
        <v>3</v>
      </c>
      <c r="AQ384" s="307">
        <f>IF(OR(AC382="",AD384=""),"",COUNTIF(ResultsInd[Draw1],AC382&amp;"-"&amp;AD384)+COUNTIF(ResultsInd[Draw2],AC382&amp;"-"&amp;AD384))</f>
        <v>0</v>
      </c>
      <c r="AR384" s="307">
        <f>IF(OR(AC382="",AD384=""),"",COUNTIF(ResultsInd[Lose],AC382&amp;"-"&amp;AD384))</f>
        <v>1</v>
      </c>
      <c r="AS384" s="307">
        <f>IF(OR(AC382="",AD384=""),"",SUMIFS(ResultsInd[Goal-A],ResultsInd[Category],AC382,ResultsInd[Stage],"Groups",ResultsInd[Player A],AD384)+SUMIFS(ResultsInd[Goal-B],ResultsInd[Category],AC382,ResultsInd[Stage],"Groups",ResultsInd[Player B],AD384))</f>
        <v>9</v>
      </c>
      <c r="AT384" s="307">
        <f>IF(OR(AC382="",AD384=""),"",SUMIFS(ResultsInd[Goal-B],ResultsInd[Category],AC382,ResultsInd[Stage],"Groups",ResultsInd[Player A],AD384)+SUMIFS(ResultsInd[Goal-A],ResultsInd[Category],AC382,ResultsInd[Stage],"Groups",ResultsInd[Player B],AD384))</f>
        <v>5</v>
      </c>
      <c r="AU384" s="308">
        <f t="shared" ref="AU384:AU389" si="336">IF(AP384="","",AS384-AT384)</f>
        <v>4</v>
      </c>
      <c r="AV384" s="469" t="b">
        <f>IF(AG384="","",OR(VLOOKUP(AG384,AH383:AU389,3,FALSE),VLOOKUP(AG384,AH383:AU389,6,FALSE)))</f>
        <v>0</v>
      </c>
      <c r="AW384" s="298">
        <f t="shared" si="334"/>
        <v>2</v>
      </c>
      <c r="AX384" s="285" t="str">
        <f>IF(AG384="","",INDEX(AD383:AD389,MATCH(AG384,AH383:AH389,0)))</f>
        <v>Frank Chetcuti Dimech</v>
      </c>
      <c r="AY384" s="286">
        <f>IF(AG384="","",VLOOKUP(AG384,AH383:AU389,COLUMN()-COLUMN(AR382),FALSE))</f>
        <v>9</v>
      </c>
      <c r="AZ384" s="286">
        <f>IF(AG384="","",VLOOKUP(AG384,AH383:AU389,COLUMN()-COLUMN(AR382),FALSE))</f>
        <v>4</v>
      </c>
      <c r="BA384" s="286">
        <f>IF(AG384="","",VLOOKUP(AG384,AH383:AU389,COLUMN()-COLUMN(AR382),FALSE))</f>
        <v>3</v>
      </c>
      <c r="BB384" s="286">
        <f>IF(AG384="","",VLOOKUP(AG384,AH383:AU389,COLUMN()-COLUMN(AR382),FALSE))</f>
        <v>0</v>
      </c>
      <c r="BC384" s="286">
        <f>IF(AG384="","",VLOOKUP(AG384,AH383:AU389,COLUMN()-COLUMN(AR382),FALSE))</f>
        <v>1</v>
      </c>
      <c r="BD384" s="286">
        <f>IF(AG384="","",VLOOKUP(AG384,AH383:AU389,COLUMN()-COLUMN(AR382),FALSE))</f>
        <v>9</v>
      </c>
      <c r="BE384" s="286">
        <f>IF(AG384="","",VLOOKUP(AG384,AH383:AU389,COLUMN()-COLUMN(AR382),FALSE))</f>
        <v>5</v>
      </c>
      <c r="BF384" s="301">
        <f>IF(AG384="","",VLOOKUP(AG384,AH383:AU389,COLUMN()-COLUMN(AR382),FALSE))</f>
        <v>4</v>
      </c>
    </row>
    <row r="385" spans="1:58" ht="12" thickBot="1" x14ac:dyDescent="0.25">
      <c r="A385" s="62" t="s">
        <v>12261</v>
      </c>
      <c r="B385" s="62" t="s">
        <v>12207</v>
      </c>
      <c r="C385" s="62">
        <v>12</v>
      </c>
      <c r="D385" s="62"/>
      <c r="E385" s="345" t="s">
        <v>8598</v>
      </c>
      <c r="F385" s="345" t="s">
        <v>10441</v>
      </c>
      <c r="G385" s="113">
        <v>0</v>
      </c>
      <c r="H385" s="113">
        <v>1</v>
      </c>
      <c r="I385" s="114"/>
      <c r="J385" s="114"/>
      <c r="K385" s="114"/>
      <c r="L385" s="81"/>
      <c r="M385" s="265" t="b">
        <f>NOT(ISERROR(ResultsInd[[#This Row],[Goal-A]]+ResultsInd[[#This Row],[Goal-B]]))</f>
        <v>1</v>
      </c>
      <c r="N385" s="265">
        <f>VALUE(ResultsInd[[#This Row],[Score-A]])</f>
        <v>0</v>
      </c>
      <c r="O385" s="265">
        <f>VALUE(ResultsInd[[#This Row],[Score-B]])</f>
        <v>1</v>
      </c>
      <c r="P385" s="265">
        <f ca="1">IF(AND(ResultsInd[[#This Row],[Category]]&lt;&gt;"",ResultsInd[[#This Row],[Player A]]&lt;&gt;""),COUNTIF(INDIRECT(ResultsInd[[#This Row],[Category]]&amp;"List[Retained Player Name]"),ResultsInd[[#This Row],[Player A]]),"")</f>
        <v>1</v>
      </c>
      <c r="Q385" s="265">
        <f ca="1">IF(AND(ResultsInd[[#This Row],[Category]]&lt;&gt;"",ResultsInd[[#This Row],[Player B]]&lt;&gt;""),COUNTIF(INDIRECT(ResultsInd[[#This Row],[Category]]&amp;"List[Retained Player Name]"),ResultsInd[[#This Row],[Player B]]),"")</f>
        <v>1</v>
      </c>
      <c r="R3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Chetcuti Dimech</v>
      </c>
      <c r="S385" s="265" t="str">
        <f>IF(ResultsInd[[#This Row],[Score_OK]],IF(ResultsInd[[#This Row],[Stage]]="Groups",ResultsInd[[#This Row],[Category]]&amp;"-"&amp;IF(ResultsInd[[#This Row],[Player B]]="","",IF(ResultsInd[[#This Row],[Score-A]]=ResultsInd[[#This Row],[Score-B]],ResultsInd[[#This Row],[Player A]],"")),""),"")</f>
        <v>VETERANS-</v>
      </c>
      <c r="T385" s="265" t="str">
        <f>IF(ResultsInd[[#This Row],[Score_OK]],IF(ResultsInd[[#This Row],[Stage]]="Groups",ResultsInd[[#This Row],[Category]]&amp;"-"&amp;IF(ResultsInd[[#This Row],[Player B]]="","",IF(ResultsInd[[#This Row],[Score-A]]=ResultsInd[[#This Row],[Score-B]],ResultsInd[[#This Row],[Player B]],"")),""),"")</f>
        <v>VETERANS-</v>
      </c>
      <c r="U3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VETERANS-Arturo Martínez</v>
      </c>
      <c r="V3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VETERANS-Arturo Martínez</v>
      </c>
      <c r="X3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VETERANS-Arturo Martínez</v>
      </c>
      <c r="Y385" s="264" t="str">
        <f>IF(ResultsInd[[#This Row],[Category]]="","",VLOOKUP(ResultsInd[[#This Row],[Stage]],$P$1:$V$9,MATCH(ResultsInd[[#This Row],[Category]],$Q$1:$V$1,0)+1,FALSE))</f>
        <v>PR1</v>
      </c>
      <c r="Z385" s="264" t="str">
        <f>IF(ResultsInd[[#This Row],[Score_OK]],IF(ResultsInd[[#This Row],[Level]]="R",ResultsInd[[#This Row],[Category]]&amp;"-"&amp;IF(ResultsInd[[#This Row],[LoseInKO]]=ResultsInd[[#This Row],[Category]]&amp;"-"&amp;ResultsInd[[#This Row],[Player A]],ResultsInd[[#This Row],[Player B]],ResultsInd[[#This Row],[Player A]]),""),"")</f>
        <v/>
      </c>
      <c r="AB385" s="8"/>
      <c r="AC385" s="12" t="str">
        <f t="shared" si="335"/>
        <v>VETERANS</v>
      </c>
      <c r="AD385" s="309" t="s">
        <v>8598</v>
      </c>
      <c r="AE385" s="320"/>
      <c r="AF385" s="311"/>
      <c r="AG385" s="292">
        <f>IF(AP385="","",SMALL(AH383:AH389,ROWS(AG383:AG385)))</f>
        <v>3003</v>
      </c>
      <c r="AH385" s="293">
        <f>IF(AP385="","",RANK(AL385,AL383:AL389)*1000+ROWS(AH383:AH385))</f>
        <v>3003</v>
      </c>
      <c r="AI385" s="316">
        <f t="shared" si="329"/>
        <v>6000000000000</v>
      </c>
      <c r="AJ385" s="415" t="b">
        <f>AND(AO385&lt;&gt;"",AO385&gt;0,COUNTIF(AI383:AI389,AI385)&gt;1)</f>
        <v>0</v>
      </c>
      <c r="AK385" s="316">
        <f t="shared" si="330"/>
        <v>0</v>
      </c>
      <c r="AL385" s="317">
        <f t="shared" si="331"/>
        <v>6000000040600</v>
      </c>
      <c r="AM385" s="415" t="b">
        <f>AND(AO385&lt;&gt;"",AO385&gt;0,COUNTIF(AL383:AL389,AL385)&gt;1)</f>
        <v>0</v>
      </c>
      <c r="AN385" s="306">
        <f t="shared" si="332"/>
        <v>6</v>
      </c>
      <c r="AO385" s="307">
        <f t="shared" si="333"/>
        <v>4</v>
      </c>
      <c r="AP385" s="307">
        <f>IF(OR(AC382="",AD385=""),"",COUNTIF(ResultsInd[Win],AC382&amp;"-"&amp;AD385))</f>
        <v>2</v>
      </c>
      <c r="AQ385" s="307">
        <f>IF(OR(AC382="",AD385=""),"",COUNTIF(ResultsInd[Draw1],AC382&amp;"-"&amp;AD385)+COUNTIF(ResultsInd[Draw2],AC382&amp;"-"&amp;AD385))</f>
        <v>0</v>
      </c>
      <c r="AR385" s="307">
        <f>IF(OR(AC382="",AD385=""),"",COUNTIF(ResultsInd[Lose],AC382&amp;"-"&amp;AD385))</f>
        <v>2</v>
      </c>
      <c r="AS385" s="307">
        <f>IF(OR(AC382="",AD385=""),"",SUMIFS(ResultsInd[Goal-A],ResultsInd[Category],AC382,ResultsInd[Stage],"Groups",ResultsInd[Player A],AD385)+SUMIFS(ResultsInd[Goal-B],ResultsInd[Category],AC382,ResultsInd[Stage],"Groups",ResultsInd[Player B],AD385))</f>
        <v>6</v>
      </c>
      <c r="AT385" s="307">
        <f>IF(OR(AC382="",AD385=""),"",SUMIFS(ResultsInd[Goal-B],ResultsInd[Category],AC382,ResultsInd[Stage],"Groups",ResultsInd[Player A],AD385)+SUMIFS(ResultsInd[Goal-A],ResultsInd[Category],AC382,ResultsInd[Stage],"Groups",ResultsInd[Player B],AD385))</f>
        <v>2</v>
      </c>
      <c r="AU385" s="308">
        <f t="shared" si="336"/>
        <v>4</v>
      </c>
      <c r="AV385" s="469" t="b">
        <f>IF(AG385="","",OR(VLOOKUP(AG385,AH383:AU389,3,FALSE),VLOOKUP(AG385,AH383:AU389,6,FALSE)))</f>
        <v>0</v>
      </c>
      <c r="AW385" s="298">
        <f t="shared" si="334"/>
        <v>3</v>
      </c>
      <c r="AX385" s="285" t="str">
        <f>IF(AG385="","",INDEX(AD383:AD389,MATCH(AG385,AH383:AH389,0)))</f>
        <v>Arturo Martínez</v>
      </c>
      <c r="AY385" s="286">
        <f>IF(AG385="","",VLOOKUP(AG385,AH383:AU389,COLUMN()-COLUMN(AR382),FALSE))</f>
        <v>6</v>
      </c>
      <c r="AZ385" s="286">
        <f>IF(AG385="","",VLOOKUP(AG385,AH383:AU389,COLUMN()-COLUMN(AR382),FALSE))</f>
        <v>4</v>
      </c>
      <c r="BA385" s="286">
        <f>IF(AG385="","",VLOOKUP(AG385,AH383:AU389,COLUMN()-COLUMN(AR382),FALSE))</f>
        <v>2</v>
      </c>
      <c r="BB385" s="286">
        <f>IF(AG385="","",VLOOKUP(AG385,AH383:AU389,COLUMN()-COLUMN(AR382),FALSE))</f>
        <v>0</v>
      </c>
      <c r="BC385" s="286">
        <f>IF(AG385="","",VLOOKUP(AG385,AH383:AU389,COLUMN()-COLUMN(AR382),FALSE))</f>
        <v>2</v>
      </c>
      <c r="BD385" s="286">
        <f>IF(AG385="","",VLOOKUP(AG385,AH383:AU389,COLUMN()-COLUMN(AR382),FALSE))</f>
        <v>6</v>
      </c>
      <c r="BE385" s="286">
        <f>IF(AG385="","",VLOOKUP(AG385,AH383:AU389,COLUMN()-COLUMN(AR382),FALSE))</f>
        <v>2</v>
      </c>
      <c r="BF385" s="301">
        <f>IF(AG385="","",VLOOKUP(AG385,AH383:AU389,COLUMN()-COLUMN(AR382),FALSE))</f>
        <v>4</v>
      </c>
    </row>
    <row r="386" spans="1:58" ht="12" thickBot="1" x14ac:dyDescent="0.25">
      <c r="A386" s="62" t="s">
        <v>12261</v>
      </c>
      <c r="B386" s="62" t="s">
        <v>12207</v>
      </c>
      <c r="C386" s="62">
        <v>12</v>
      </c>
      <c r="D386" s="62"/>
      <c r="E386" s="345" t="s">
        <v>10441</v>
      </c>
      <c r="F386" s="345" t="s">
        <v>9576</v>
      </c>
      <c r="G386" s="113">
        <v>0</v>
      </c>
      <c r="H386" s="113">
        <v>3</v>
      </c>
      <c r="I386" s="114"/>
      <c r="J386" s="114"/>
      <c r="K386" s="114"/>
      <c r="L386" s="81"/>
      <c r="M386" s="265" t="b">
        <f>NOT(ISERROR(ResultsInd[[#This Row],[Goal-A]]+ResultsInd[[#This Row],[Goal-B]]))</f>
        <v>1</v>
      </c>
      <c r="N386" s="265">
        <f>VALUE(ResultsInd[[#This Row],[Score-A]])</f>
        <v>0</v>
      </c>
      <c r="O386" s="265">
        <f>VALUE(ResultsInd[[#This Row],[Score-B]])</f>
        <v>3</v>
      </c>
      <c r="P386" s="265">
        <f ca="1">IF(AND(ResultsInd[[#This Row],[Category]]&lt;&gt;"",ResultsInd[[#This Row],[Player A]]&lt;&gt;""),COUNTIF(INDIRECT(ResultsInd[[#This Row],[Category]]&amp;"List[Retained Player Name]"),ResultsInd[[#This Row],[Player A]]),"")</f>
        <v>1</v>
      </c>
      <c r="Q386" s="265">
        <f ca="1">IF(AND(ResultsInd[[#This Row],[Category]]&lt;&gt;"",ResultsInd[[#This Row],[Player B]]&lt;&gt;""),COUNTIF(INDIRECT(ResultsInd[[#This Row],[Category]]&amp;"List[Retained Player Name]"),ResultsInd[[#This Row],[Player B]]),"")</f>
        <v>1</v>
      </c>
      <c r="R3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VETERANS-Francesco Torano</v>
      </c>
      <c r="S386" s="265" t="str">
        <f>IF(ResultsInd[[#This Row],[Score_OK]],IF(ResultsInd[[#This Row],[Stage]]="Groups",ResultsInd[[#This Row],[Category]]&amp;"-"&amp;IF(ResultsInd[[#This Row],[Player B]]="","",IF(ResultsInd[[#This Row],[Score-A]]=ResultsInd[[#This Row],[Score-B]],ResultsInd[[#This Row],[Player A]],"")),""),"")</f>
        <v>VETERANS-</v>
      </c>
      <c r="T386" s="265" t="str">
        <f>IF(ResultsInd[[#This Row],[Score_OK]],IF(ResultsInd[[#This Row],[Stage]]="Groups",ResultsInd[[#This Row],[Category]]&amp;"-"&amp;IF(ResultsInd[[#This Row],[Player B]]="","",IF(ResultsInd[[#This Row],[Score-A]]=ResultsInd[[#This Row],[Score-B]],ResultsInd[[#This Row],[Player B]],"")),""),"")</f>
        <v>VETERANS-</v>
      </c>
      <c r="U3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VETERANS-Frank Chetcuti Dimech</v>
      </c>
      <c r="V3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VETERANS-Frank Chetcuti Dimech</v>
      </c>
      <c r="X3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VETERANS-Frank Chetcuti Dimech</v>
      </c>
      <c r="Y386" s="264" t="str">
        <f>IF(ResultsInd[[#This Row],[Category]]="","",VLOOKUP(ResultsInd[[#This Row],[Stage]],$P$1:$V$9,MATCH(ResultsInd[[#This Row],[Category]],$Q$1:$V$1,0)+1,FALSE))</f>
        <v>PR1</v>
      </c>
      <c r="Z386" s="264" t="str">
        <f>IF(ResultsInd[[#This Row],[Score_OK]],IF(ResultsInd[[#This Row],[Level]]="R",ResultsInd[[#This Row],[Category]]&amp;"-"&amp;IF(ResultsInd[[#This Row],[LoseInKO]]=ResultsInd[[#This Row],[Category]]&amp;"-"&amp;ResultsInd[[#This Row],[Player A]],ResultsInd[[#This Row],[Player B]],ResultsInd[[#This Row],[Player A]]),""),"")</f>
        <v/>
      </c>
      <c r="AB386" s="91"/>
      <c r="AC386" s="12" t="str">
        <f t="shared" si="335"/>
        <v>VETERANS</v>
      </c>
      <c r="AD386" s="309" t="s">
        <v>8514</v>
      </c>
      <c r="AE386" s="310"/>
      <c r="AF386" s="311"/>
      <c r="AG386" s="292">
        <f>IF(AP386="","",SMALL(AH383:AH389,ROWS(AG383:AG386)))</f>
        <v>4004</v>
      </c>
      <c r="AH386" s="293">
        <f>IF(AP386="","",RANK(AL386,AL383:AL389)*1000+ROWS(AH383:AH386))</f>
        <v>4004</v>
      </c>
      <c r="AI386" s="316">
        <f t="shared" si="329"/>
        <v>3000000000000</v>
      </c>
      <c r="AJ386" s="415" t="b">
        <f>AND(AO386&lt;&gt;"",AO386&gt;0,COUNTIF(AI383:AI389,AI386)&gt;1)</f>
        <v>0</v>
      </c>
      <c r="AK386" s="316">
        <f t="shared" si="330"/>
        <v>0</v>
      </c>
      <c r="AL386" s="317">
        <f t="shared" si="331"/>
        <v>2999999880400</v>
      </c>
      <c r="AM386" s="415" t="b">
        <f>AND(AO386&lt;&gt;"",AO386&gt;0,COUNTIF(AL383:AL389,AL386)&gt;1)</f>
        <v>0</v>
      </c>
      <c r="AN386" s="306">
        <f t="shared" si="332"/>
        <v>3</v>
      </c>
      <c r="AO386" s="307">
        <f t="shared" si="333"/>
        <v>4</v>
      </c>
      <c r="AP386" s="307">
        <f>IF(OR(AC382="",AD386=""),"",COUNTIF(ResultsInd[Win],AC382&amp;"-"&amp;AD386))</f>
        <v>1</v>
      </c>
      <c r="AQ386" s="307">
        <f>IF(OR(AC382="",AD386=""),"",COUNTIF(ResultsInd[Draw1],AC382&amp;"-"&amp;AD386)+COUNTIF(ResultsInd[Draw2],AC382&amp;"-"&amp;AD386))</f>
        <v>0</v>
      </c>
      <c r="AR386" s="307">
        <f>IF(OR(AC382="",AD386=""),"",COUNTIF(ResultsInd[Lose],AC382&amp;"-"&amp;AD386))</f>
        <v>3</v>
      </c>
      <c r="AS386" s="307">
        <f>IF(OR(AC382="",AD386=""),"",SUMIFS(ResultsInd[Goal-A],ResultsInd[Category],AC382,ResultsInd[Stage],"Groups",ResultsInd[Player A],AD386)+SUMIFS(ResultsInd[Goal-B],ResultsInd[Category],AC382,ResultsInd[Stage],"Groups",ResultsInd[Player B],AD386))</f>
        <v>4</v>
      </c>
      <c r="AT386" s="307">
        <f>IF(OR(AC382="",AD386=""),"",SUMIFS(ResultsInd[Goal-B],ResultsInd[Category],AC382,ResultsInd[Stage],"Groups",ResultsInd[Player A],AD386)+SUMIFS(ResultsInd[Goal-A],ResultsInd[Category],AC382,ResultsInd[Stage],"Groups",ResultsInd[Player B],AD386))</f>
        <v>16</v>
      </c>
      <c r="AU386" s="308">
        <f t="shared" si="336"/>
        <v>-12</v>
      </c>
      <c r="AV386" s="469" t="b">
        <f>IF(AG386="","",OR(VLOOKUP(AG386,AH383:AU389,3,FALSE),VLOOKUP(AG386,AH383:AU389,6,FALSE)))</f>
        <v>0</v>
      </c>
      <c r="AW386" s="298">
        <f t="shared" si="334"/>
        <v>4</v>
      </c>
      <c r="AX386" s="285" t="str">
        <f>IF(AG386="","",INDEX(AD383:AD389,MATCH(AG386,AH383:AH389,0)))</f>
        <v>Terry Arnold</v>
      </c>
      <c r="AY386" s="286">
        <f>IF(AG386="","",VLOOKUP(AG386,AH383:AU389,COLUMN()-COLUMN(AR382),FALSE))</f>
        <v>3</v>
      </c>
      <c r="AZ386" s="286">
        <f>IF(AG386="","",VLOOKUP(AG386,AH383:AU389,COLUMN()-COLUMN(AR382),FALSE))</f>
        <v>4</v>
      </c>
      <c r="BA386" s="286">
        <f>IF(AG386="","",VLOOKUP(AG386,AH383:AU389,COLUMN()-COLUMN(AR382),FALSE))</f>
        <v>1</v>
      </c>
      <c r="BB386" s="286">
        <f>IF(AG386="","",VLOOKUP(AG386,AH383:AU389,COLUMN()-COLUMN(AR382),FALSE))</f>
        <v>0</v>
      </c>
      <c r="BC386" s="286">
        <f>IF(AG386="","",VLOOKUP(AG386,AH383:AU389,COLUMN()-COLUMN(AR382),FALSE))</f>
        <v>3</v>
      </c>
      <c r="BD386" s="286">
        <f>IF(AG386="","",VLOOKUP(AG386,AH383:AU389,COLUMN()-COLUMN(AR382),FALSE))</f>
        <v>4</v>
      </c>
      <c r="BE386" s="286">
        <f>IF(AG386="","",VLOOKUP(AG386,AH383:AU389,COLUMN()-COLUMN(AR382),FALSE))</f>
        <v>16</v>
      </c>
      <c r="BF386" s="301">
        <f>IF(AG386="","",VLOOKUP(AG386,AH383:AU389,COLUMN()-COLUMN(AR382),FALSE))</f>
        <v>-12</v>
      </c>
    </row>
    <row r="387" spans="1:58" ht="12" thickBot="1" x14ac:dyDescent="0.25">
      <c r="A387" s="62" t="s">
        <v>12261</v>
      </c>
      <c r="B387" s="62" t="s">
        <v>12207</v>
      </c>
      <c r="C387" s="62">
        <v>12</v>
      </c>
      <c r="D387" s="62"/>
      <c r="E387" s="345" t="s">
        <v>8514</v>
      </c>
      <c r="F387" s="345" t="s">
        <v>14514</v>
      </c>
      <c r="G387" s="113">
        <v>3</v>
      </c>
      <c r="H387" s="113">
        <v>1</v>
      </c>
      <c r="I387" s="114"/>
      <c r="J387" s="114"/>
      <c r="K387" s="114"/>
      <c r="L387" s="81"/>
      <c r="M387" s="265" t="b">
        <f>NOT(ISERROR(ResultsInd[[#This Row],[Goal-A]]+ResultsInd[[#This Row],[Goal-B]]))</f>
        <v>1</v>
      </c>
      <c r="N387" s="265">
        <f>VALUE(ResultsInd[[#This Row],[Score-A]])</f>
        <v>3</v>
      </c>
      <c r="O387" s="265">
        <f>VALUE(ResultsInd[[#This Row],[Score-B]])</f>
        <v>1</v>
      </c>
      <c r="P387" s="265">
        <f ca="1">IF(AND(ResultsInd[[#This Row],[Category]]&lt;&gt;"",ResultsInd[[#This Row],[Player A]]&lt;&gt;""),COUNTIF(INDIRECT(ResultsInd[[#This Row],[Category]]&amp;"List[Retained Player Name]"),ResultsInd[[#This Row],[Player A]]),"")</f>
        <v>1</v>
      </c>
      <c r="Q387" s="265">
        <f ca="1">IF(AND(ResultsInd[[#This Row],[Category]]&lt;&gt;"",ResultsInd[[#This Row],[Player B]]&lt;&gt;""),COUNTIF(INDIRECT(ResultsInd[[#This Row],[Category]]&amp;"List[Retained Player Name]"),ResultsInd[[#This Row],[Player B]]),"")</f>
        <v>1</v>
      </c>
      <c r="R3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VETERANS-Terry Arnold</v>
      </c>
      <c r="S387" s="265" t="str">
        <f>IF(ResultsInd[[#This Row],[Score_OK]],IF(ResultsInd[[#This Row],[Stage]]="Groups",ResultsInd[[#This Row],[Category]]&amp;"-"&amp;IF(ResultsInd[[#This Row],[Player B]]="","",IF(ResultsInd[[#This Row],[Score-A]]=ResultsInd[[#This Row],[Score-B]],ResultsInd[[#This Row],[Player A]],"")),""),"")</f>
        <v>VETERANS-</v>
      </c>
      <c r="T387" s="265" t="str">
        <f>IF(ResultsInd[[#This Row],[Score_OK]],IF(ResultsInd[[#This Row],[Stage]]="Groups",ResultsInd[[#This Row],[Category]]&amp;"-"&amp;IF(ResultsInd[[#This Row],[Player B]]="","",IF(ResultsInd[[#This Row],[Score-A]]=ResultsInd[[#This Row],[Score-B]],ResultsInd[[#This Row],[Player B]],"")),""),"")</f>
        <v>VETERANS-</v>
      </c>
      <c r="U3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3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3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387" s="264" t="str">
        <f>IF(ResultsInd[[#This Row],[Category]]="","",VLOOKUP(ResultsInd[[#This Row],[Stage]],$P$1:$V$9,MATCH(ResultsInd[[#This Row],[Category]],$Q$1:$V$1,0)+1,FALSE))</f>
        <v>PR1</v>
      </c>
      <c r="Z387" s="264" t="str">
        <f>IF(ResultsInd[[#This Row],[Score_OK]],IF(ResultsInd[[#This Row],[Level]]="R",ResultsInd[[#This Row],[Category]]&amp;"-"&amp;IF(ResultsInd[[#This Row],[LoseInKO]]=ResultsInd[[#This Row],[Category]]&amp;"-"&amp;ResultsInd[[#This Row],[Player A]],ResultsInd[[#This Row],[Player B]],ResultsInd[[#This Row],[Player A]]),""),"")</f>
        <v/>
      </c>
      <c r="AB387" s="91"/>
      <c r="AC387" s="12" t="str">
        <f t="shared" si="335"/>
        <v>VETERANS</v>
      </c>
      <c r="AD387" s="309" t="s">
        <v>14514</v>
      </c>
      <c r="AE387" s="310"/>
      <c r="AF387" s="311"/>
      <c r="AG387" s="292">
        <f>IF(AP387="","",SMALL(AH383:AH389,ROWS(AG383:AG387)))</f>
        <v>5005</v>
      </c>
      <c r="AH387" s="293">
        <f>IF(AP387="","",RANK(AL387,AL383:AL389)*1000+ROWS(AH383:AH387))</f>
        <v>5005</v>
      </c>
      <c r="AI387" s="316">
        <f t="shared" si="329"/>
        <v>0</v>
      </c>
      <c r="AJ387" s="415" t="b">
        <f>AND(AO387&lt;&gt;"",AO387&gt;0,COUNTIF(AI383:AI389,AI387)&gt;1)</f>
        <v>0</v>
      </c>
      <c r="AK387" s="316">
        <f t="shared" si="330"/>
        <v>0</v>
      </c>
      <c r="AL387" s="317">
        <f t="shared" si="331"/>
        <v>-129800</v>
      </c>
      <c r="AM387" s="415" t="b">
        <f>AND(AO387&lt;&gt;"",AO387&gt;0,COUNTIF(AL383:AL389,AL387)&gt;1)</f>
        <v>0</v>
      </c>
      <c r="AN387" s="306">
        <f t="shared" si="332"/>
        <v>0</v>
      </c>
      <c r="AO387" s="307">
        <f t="shared" si="333"/>
        <v>4</v>
      </c>
      <c r="AP387" s="307">
        <f>IF(OR(AC382="",AD387=""),"",COUNTIF(ResultsInd[Win],AC382&amp;"-"&amp;AD387))</f>
        <v>0</v>
      </c>
      <c r="AQ387" s="307">
        <f>IF(OR(AC382="",AD387=""),"",COUNTIF(ResultsInd[Draw1],AC382&amp;"-"&amp;AD387)+COUNTIF(ResultsInd[Draw2],AC382&amp;"-"&amp;AD387))</f>
        <v>0</v>
      </c>
      <c r="AR387" s="307">
        <f>IF(OR(AC382="",AD387=""),"",COUNTIF(ResultsInd[Lose],AC382&amp;"-"&amp;AD387))</f>
        <v>4</v>
      </c>
      <c r="AS387" s="307">
        <f>IF(OR(AC382="",AD387=""),"",SUMIFS(ResultsInd[Goal-A],ResultsInd[Category],AC382,ResultsInd[Stage],"Groups",ResultsInd[Player A],AD387)+SUMIFS(ResultsInd[Goal-B],ResultsInd[Category],AC382,ResultsInd[Stage],"Groups",ResultsInd[Player B],AD387))</f>
        <v>2</v>
      </c>
      <c r="AT387" s="307">
        <f>IF(OR(AC382="",AD387=""),"",SUMIFS(ResultsInd[Goal-B],ResultsInd[Category],AC382,ResultsInd[Stage],"Groups",ResultsInd[Player A],AD387)+SUMIFS(ResultsInd[Goal-A],ResultsInd[Category],AC382,ResultsInd[Stage],"Groups",ResultsInd[Player B],AD387))</f>
        <v>15</v>
      </c>
      <c r="AU387" s="308">
        <f t="shared" si="336"/>
        <v>-13</v>
      </c>
      <c r="AV387" s="469" t="b">
        <f>IF(AG387="","",OR(VLOOKUP(AG387,AH383:AU389,3,FALSE),VLOOKUP(AG387,AH383:AU389,6,FALSE)))</f>
        <v>0</v>
      </c>
      <c r="AW387" s="298">
        <f t="shared" si="334"/>
        <v>5</v>
      </c>
      <c r="AX387" s="285" t="str">
        <f>IF(AG387="","",INDEX(AD383:AD389,MATCH(AG387,AH383:AH389,0)))</f>
        <v>Fabian Limpens</v>
      </c>
      <c r="AY387" s="286">
        <f>IF(AG387="","",VLOOKUP(AG387,AH383:AU389,COLUMN()-COLUMN(AR382),FALSE))</f>
        <v>0</v>
      </c>
      <c r="AZ387" s="286">
        <f>IF(AG387="","",VLOOKUP(AG387,AH383:AU389,COLUMN()-COLUMN(AR382),FALSE))</f>
        <v>4</v>
      </c>
      <c r="BA387" s="286">
        <f>IF(AG387="","",VLOOKUP(AG387,AH383:AU389,COLUMN()-COLUMN(AR382),FALSE))</f>
        <v>0</v>
      </c>
      <c r="BB387" s="286">
        <f>IF(AG387="","",VLOOKUP(AG387,AH383:AU389,COLUMN()-COLUMN(AR382),FALSE))</f>
        <v>0</v>
      </c>
      <c r="BC387" s="286">
        <f>IF(AG387="","",VLOOKUP(AG387,AH383:AU389,COLUMN()-COLUMN(AR382),FALSE))</f>
        <v>4</v>
      </c>
      <c r="BD387" s="286">
        <f>IF(AG387="","",VLOOKUP(AG387,AH383:AU389,COLUMN()-COLUMN(AR382),FALSE))</f>
        <v>2</v>
      </c>
      <c r="BE387" s="286">
        <f>IF(AG387="","",VLOOKUP(AG387,AH383:AU389,COLUMN()-COLUMN(AR382),FALSE))</f>
        <v>15</v>
      </c>
      <c r="BF387" s="301">
        <f>IF(AG387="","",VLOOKUP(AG387,AH383:AU389,COLUMN()-COLUMN(AR382),FALSE))</f>
        <v>-13</v>
      </c>
    </row>
    <row r="388" spans="1:58" ht="12" thickBot="1" x14ac:dyDescent="0.25">
      <c r="A388" s="62" t="s">
        <v>12261</v>
      </c>
      <c r="B388" s="62" t="s">
        <v>12207</v>
      </c>
      <c r="C388" s="62">
        <v>13</v>
      </c>
      <c r="D388" s="62"/>
      <c r="E388" s="345" t="s">
        <v>8537</v>
      </c>
      <c r="F388" s="345" t="s">
        <v>13920</v>
      </c>
      <c r="G388" s="113">
        <v>6</v>
      </c>
      <c r="H388" s="113">
        <v>0</v>
      </c>
      <c r="I388" s="114"/>
      <c r="J388" s="114"/>
      <c r="K388" s="114"/>
      <c r="L388" s="81"/>
      <c r="M388" s="265" t="b">
        <f>NOT(ISERROR(ResultsInd[[#This Row],[Goal-A]]+ResultsInd[[#This Row],[Goal-B]]))</f>
        <v>1</v>
      </c>
      <c r="N388" s="265">
        <f>VALUE(ResultsInd[[#This Row],[Score-A]])</f>
        <v>6</v>
      </c>
      <c r="O388" s="265">
        <f>VALUE(ResultsInd[[#This Row],[Score-B]])</f>
        <v>0</v>
      </c>
      <c r="P388" s="265">
        <f ca="1">IF(AND(ResultsInd[[#This Row],[Category]]&lt;&gt;"",ResultsInd[[#This Row],[Player A]]&lt;&gt;""),COUNTIF(INDIRECT(ResultsInd[[#This Row],[Category]]&amp;"List[Retained Player Name]"),ResultsInd[[#This Row],[Player A]]),"")</f>
        <v>1</v>
      </c>
      <c r="Q388" s="265">
        <f ca="1">IF(AND(ResultsInd[[#This Row],[Category]]&lt;&gt;"",ResultsInd[[#This Row],[Player B]]&lt;&gt;""),COUNTIF(INDIRECT(ResultsInd[[#This Row],[Category]]&amp;"List[Retained Player Name]"),ResultsInd[[#This Row],[Player B]]),"")</f>
        <v>1</v>
      </c>
      <c r="R3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VETERANS-Bob Varney</v>
      </c>
      <c r="S388" s="265" t="str">
        <f>IF(ResultsInd[[#This Row],[Score_OK]],IF(ResultsInd[[#This Row],[Stage]]="Groups",ResultsInd[[#This Row],[Category]]&amp;"-"&amp;IF(ResultsInd[[#This Row],[Player B]]="","",IF(ResultsInd[[#This Row],[Score-A]]=ResultsInd[[#This Row],[Score-B]],ResultsInd[[#This Row],[Player A]],"")),""),"")</f>
        <v>VETERANS-</v>
      </c>
      <c r="T388" s="265" t="str">
        <f>IF(ResultsInd[[#This Row],[Score_OK]],IF(ResultsInd[[#This Row],[Stage]]="Groups",ResultsInd[[#This Row],[Category]]&amp;"-"&amp;IF(ResultsInd[[#This Row],[Player B]]="","",IF(ResultsInd[[#This Row],[Score-A]]=ResultsInd[[#This Row],[Score-B]],ResultsInd[[#This Row],[Player B]],"")),""),"")</f>
        <v>VETERANS-</v>
      </c>
      <c r="U3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VETERANS-Adrian Pigott</v>
      </c>
      <c r="V3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X3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Y388" s="264" t="str">
        <f>IF(ResultsInd[[#This Row],[Category]]="","",VLOOKUP(ResultsInd[[#This Row],[Stage]],$P$1:$V$9,MATCH(ResultsInd[[#This Row],[Category]],$Q$1:$V$1,0)+1,FALSE))</f>
        <v>PR1</v>
      </c>
      <c r="Z388" s="264" t="str">
        <f>IF(ResultsInd[[#This Row],[Score_OK]],IF(ResultsInd[[#This Row],[Level]]="R",ResultsInd[[#This Row],[Category]]&amp;"-"&amp;IF(ResultsInd[[#This Row],[LoseInKO]]=ResultsInd[[#This Row],[Category]]&amp;"-"&amp;ResultsInd[[#This Row],[Player A]],ResultsInd[[#This Row],[Player B]],ResultsInd[[#This Row],[Player A]]),""),"")</f>
        <v/>
      </c>
      <c r="AB388" s="8"/>
      <c r="AC388" s="12" t="str">
        <f t="shared" si="335"/>
        <v>VETERANS</v>
      </c>
      <c r="AD388" s="309"/>
      <c r="AE388" s="310"/>
      <c r="AF388" s="311"/>
      <c r="AG388" s="292" t="str">
        <f>IF(AP388="","",SMALL(AH383:AH389,ROWS(AG383:AG388)))</f>
        <v/>
      </c>
      <c r="AH388" s="293" t="str">
        <f>IF(AP388="","",RANK(AL388,AL383:AL389)*1000+ROWS(AH383:AH388))</f>
        <v/>
      </c>
      <c r="AI388" s="316" t="str">
        <f t="shared" si="329"/>
        <v/>
      </c>
      <c r="AJ388" s="415" t="b">
        <f>AND(AO388&lt;&gt;"",AO388&gt;0,COUNTIF(AI383:AI389,AI388)&gt;1)</f>
        <v>0</v>
      </c>
      <c r="AK388" s="316" t="str">
        <f t="shared" si="330"/>
        <v/>
      </c>
      <c r="AL388" s="317" t="str">
        <f t="shared" si="331"/>
        <v/>
      </c>
      <c r="AM388" s="415" t="b">
        <f>AND(AO388&lt;&gt;"",AO388&gt;0,COUNTIF(AL383:AL389,AL388)&gt;1)</f>
        <v>0</v>
      </c>
      <c r="AN388" s="306" t="str">
        <f t="shared" si="332"/>
        <v/>
      </c>
      <c r="AO388" s="307" t="str">
        <f t="shared" si="333"/>
        <v/>
      </c>
      <c r="AP388" s="307" t="str">
        <f>IF(OR(AC382="",AD388=""),"",COUNTIF(ResultsInd[Win],AC382&amp;"-"&amp;AD388))</f>
        <v/>
      </c>
      <c r="AQ388" s="307" t="str">
        <f>IF(OR(AC382="",AD388=""),"",COUNTIF(ResultsInd[Draw1],AC382&amp;"-"&amp;AD388)+COUNTIF(ResultsInd[Draw2],AC382&amp;"-"&amp;AD388))</f>
        <v/>
      </c>
      <c r="AR388" s="307" t="str">
        <f>IF(OR(AC382="",AD388=""),"",COUNTIF(ResultsInd[Lose],AC382&amp;"-"&amp;AD388))</f>
        <v/>
      </c>
      <c r="AS388" s="307" t="str">
        <f>IF(OR(AC382="",AD388=""),"",SUMIFS(ResultsInd[Goal-A],ResultsInd[Category],AC382,ResultsInd[Stage],"Groups",ResultsInd[Player A],AD388)+SUMIFS(ResultsInd[Goal-B],ResultsInd[Category],AC382,ResultsInd[Stage],"Groups",ResultsInd[Player B],AD388))</f>
        <v/>
      </c>
      <c r="AT388" s="307" t="str">
        <f>IF(OR(AC382="",AD388=""),"",SUMIFS(ResultsInd[Goal-B],ResultsInd[Category],AC382,ResultsInd[Stage],"Groups",ResultsInd[Player A],AD388)+SUMIFS(ResultsInd[Goal-A],ResultsInd[Category],AC382,ResultsInd[Stage],"Groups",ResultsInd[Player B],AD388))</f>
        <v/>
      </c>
      <c r="AU388" s="308" t="str">
        <f t="shared" si="336"/>
        <v/>
      </c>
      <c r="AV388" s="469" t="str">
        <f>IF(AG388="","",OR(VLOOKUP(AG388,AH383:AU389,3,FALSE),VLOOKUP(AG388,AH383:AU389,6,FALSE)))</f>
        <v/>
      </c>
      <c r="AW388" s="298" t="str">
        <f t="shared" si="334"/>
        <v/>
      </c>
      <c r="AX388" s="285" t="str">
        <f>IF(AG388="","",INDEX(AD383:AD389,MATCH(AG388,AH383:AH389,0)))</f>
        <v/>
      </c>
      <c r="AY388" s="286" t="str">
        <f>IF(AG388="","",VLOOKUP(AG388,AH383:AU389,COLUMN()-COLUMN(AR382),FALSE))</f>
        <v/>
      </c>
      <c r="AZ388" s="286" t="str">
        <f>IF(AG388="","",VLOOKUP(AG388,AH383:AU389,COLUMN()-COLUMN(AR382),FALSE))</f>
        <v/>
      </c>
      <c r="BA388" s="286" t="str">
        <f>IF(AG388="","",VLOOKUP(AG388,AH383:AU389,COLUMN()-COLUMN(AR382),FALSE))</f>
        <v/>
      </c>
      <c r="BB388" s="286" t="str">
        <f>IF(AG388="","",VLOOKUP(AG388,AH383:AU389,COLUMN()-COLUMN(AR382),FALSE))</f>
        <v/>
      </c>
      <c r="BC388" s="286" t="str">
        <f>IF(AG388="","",VLOOKUP(AG388,AH383:AU389,COLUMN()-COLUMN(AR382),FALSE))</f>
        <v/>
      </c>
      <c r="BD388" s="286" t="str">
        <f>IF(AG388="","",VLOOKUP(AG388,AH383:AU389,COLUMN()-COLUMN(AR382),FALSE))</f>
        <v/>
      </c>
      <c r="BE388" s="286" t="str">
        <f>IF(AG388="","",VLOOKUP(AG388,AH383:AU389,COLUMN()-COLUMN(AR382),FALSE))</f>
        <v/>
      </c>
      <c r="BF388" s="301" t="str">
        <f>IF(AG388="","",VLOOKUP(AG388,AH383:AU389,COLUMN()-COLUMN(AR382),FALSE))</f>
        <v/>
      </c>
    </row>
    <row r="389" spans="1:58" ht="12" thickBot="1" x14ac:dyDescent="0.25">
      <c r="A389" s="62" t="s">
        <v>12261</v>
      </c>
      <c r="B389" s="62" t="s">
        <v>12207</v>
      </c>
      <c r="C389" s="62">
        <v>13</v>
      </c>
      <c r="D389" s="62"/>
      <c r="E389" s="345" t="s">
        <v>8108</v>
      </c>
      <c r="F389" s="345" t="s">
        <v>8139</v>
      </c>
      <c r="G389" s="113">
        <v>1</v>
      </c>
      <c r="H389" s="113">
        <v>1</v>
      </c>
      <c r="I389" s="114"/>
      <c r="J389" s="114"/>
      <c r="K389" s="114"/>
      <c r="L389" s="81"/>
      <c r="M389" s="265" t="b">
        <f>NOT(ISERROR(ResultsInd[[#This Row],[Goal-A]]+ResultsInd[[#This Row],[Goal-B]]))</f>
        <v>1</v>
      </c>
      <c r="N389" s="265">
        <f>VALUE(ResultsInd[[#This Row],[Score-A]])</f>
        <v>1</v>
      </c>
      <c r="O389" s="265">
        <f>VALUE(ResultsInd[[#This Row],[Score-B]])</f>
        <v>1</v>
      </c>
      <c r="P389" s="265">
        <f ca="1">IF(AND(ResultsInd[[#This Row],[Category]]&lt;&gt;"",ResultsInd[[#This Row],[Player A]]&lt;&gt;""),COUNTIF(INDIRECT(ResultsInd[[#This Row],[Category]]&amp;"List[Retained Player Name]"),ResultsInd[[#This Row],[Player A]]),"")</f>
        <v>1</v>
      </c>
      <c r="Q389" s="265">
        <f ca="1">IF(AND(ResultsInd[[#This Row],[Category]]&lt;&gt;"",ResultsInd[[#This Row],[Player B]]&lt;&gt;""),COUNTIF(INDIRECT(ResultsInd[[#This Row],[Category]]&amp;"List[Retained Player Name]"),ResultsInd[[#This Row],[Player B]]),"")</f>
        <v>1</v>
      </c>
      <c r="R3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89" s="265" t="str">
        <f>IF(ResultsInd[[#This Row],[Score_OK]],IF(ResultsInd[[#This Row],[Stage]]="Groups",ResultsInd[[#This Row],[Category]]&amp;"-"&amp;IF(ResultsInd[[#This Row],[Player B]]="","",IF(ResultsInd[[#This Row],[Score-A]]=ResultsInd[[#This Row],[Score-B]],ResultsInd[[#This Row],[Player A]],"")),""),"")</f>
        <v>VETERANS-Frank Lannoy</v>
      </c>
      <c r="T389" s="265" t="str">
        <f>IF(ResultsInd[[#This Row],[Score_OK]],IF(ResultsInd[[#This Row],[Stage]]="Groups",ResultsInd[[#This Row],[Category]]&amp;"-"&amp;IF(ResultsInd[[#This Row],[Player B]]="","",IF(ResultsInd[[#This Row],[Score-A]]=ResultsInd[[#This Row],[Score-B]],ResultsInd[[#This Row],[Player B]],"")),""),"")</f>
        <v>VETERANS-Olivier Van Glabeke</v>
      </c>
      <c r="U3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VETERANS-Frank Lannoy</v>
      </c>
      <c r="X3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Van Glabeke</v>
      </c>
      <c r="Y389" s="264" t="str">
        <f>IF(ResultsInd[[#This Row],[Category]]="","",VLOOKUP(ResultsInd[[#This Row],[Stage]],$P$1:$V$9,MATCH(ResultsInd[[#This Row],[Category]],$Q$1:$V$1,0)+1,FALSE))</f>
        <v>PR1</v>
      </c>
      <c r="Z389" s="264" t="str">
        <f>IF(ResultsInd[[#This Row],[Score_OK]],IF(ResultsInd[[#This Row],[Level]]="R",ResultsInd[[#This Row],[Category]]&amp;"-"&amp;IF(ResultsInd[[#This Row],[LoseInKO]]=ResultsInd[[#This Row],[Category]]&amp;"-"&amp;ResultsInd[[#This Row],[Player A]],ResultsInd[[#This Row],[Player B]],ResultsInd[[#This Row],[Player A]]),""),"")</f>
        <v/>
      </c>
      <c r="AB389" s="8"/>
      <c r="AC389" s="12" t="str">
        <f t="shared" si="335"/>
        <v>VETERANS</v>
      </c>
      <c r="AD389" s="312"/>
      <c r="AE389" s="313"/>
      <c r="AF389" s="314"/>
      <c r="AG389" s="294" t="str">
        <f>IF(AP389="","",SMALL(AH383:AH389,ROWS(AG383:AG389)))</f>
        <v/>
      </c>
      <c r="AH389" s="295" t="str">
        <f>IF(AP389="","",RANK(AL389,AL383:AL389)*1000+ROWS(AH383:AH389))</f>
        <v/>
      </c>
      <c r="AI389" s="318" t="str">
        <f t="shared" si="329"/>
        <v/>
      </c>
      <c r="AJ389" s="416" t="b">
        <f>AND(AO389&lt;&gt;"",AO389&gt;0,COUNTIF(AI383:AI389,AI389)&gt;1)</f>
        <v>0</v>
      </c>
      <c r="AK389" s="318" t="str">
        <f t="shared" si="330"/>
        <v/>
      </c>
      <c r="AL389" s="319" t="str">
        <f t="shared" si="331"/>
        <v/>
      </c>
      <c r="AM389" s="416" t="b">
        <f>AND(AO389&lt;&gt;"",AO389&gt;0,COUNTIF(AL383:AL389,AL389)&gt;1)</f>
        <v>0</v>
      </c>
      <c r="AN389" s="306" t="str">
        <f t="shared" si="332"/>
        <v/>
      </c>
      <c r="AO389" s="307" t="str">
        <f t="shared" si="333"/>
        <v/>
      </c>
      <c r="AP389" s="307" t="str">
        <f>IF(OR(AC382="",AD389=""),"",COUNTIF(ResultsInd[Win],AC382&amp;"-"&amp;AD389))</f>
        <v/>
      </c>
      <c r="AQ389" s="307" t="str">
        <f>IF(OR(AC382="",AD389=""),"",COUNTIF(ResultsInd[Draw1],AC382&amp;"-"&amp;AD389)+COUNTIF(ResultsInd[Draw2],AC382&amp;"-"&amp;AD389))</f>
        <v/>
      </c>
      <c r="AR389" s="307" t="str">
        <f>IF(OR(AC382="",AD389=""),"",COUNTIF(ResultsInd[Lose],AC382&amp;"-"&amp;AD389))</f>
        <v/>
      </c>
      <c r="AS389" s="307" t="str">
        <f>IF(OR(AC382="",AD389=""),"",SUMIFS(ResultsInd[Goal-A],ResultsInd[Category],AC382,ResultsInd[Stage],"Groups",ResultsInd[Player A],AD389)+SUMIFS(ResultsInd[Goal-B],ResultsInd[Category],AC382,ResultsInd[Stage],"Groups",ResultsInd[Player B],AD389))</f>
        <v/>
      </c>
      <c r="AT389" s="307" t="str">
        <f>IF(OR(AC382="",AD389=""),"",SUMIFS(ResultsInd[Goal-B],ResultsInd[Category],AC382,ResultsInd[Stage],"Groups",ResultsInd[Player A],AD389)+SUMIFS(ResultsInd[Goal-A],ResultsInd[Category],AC382,ResultsInd[Stage],"Groups",ResultsInd[Player B],AD389))</f>
        <v/>
      </c>
      <c r="AU389" s="308" t="str">
        <f t="shared" si="336"/>
        <v/>
      </c>
      <c r="AV389" s="469" t="str">
        <f>IF(AG389="","",OR(VLOOKUP(AG389,AH383:AU389,3,FALSE),VLOOKUP(AG389,AH383:AU389,6,FALSE)))</f>
        <v/>
      </c>
      <c r="AW389" s="299" t="str">
        <f t="shared" si="334"/>
        <v/>
      </c>
      <c r="AX389" s="287" t="str">
        <f>IF(AG389="","",INDEX(AD383:AD389,MATCH(AG389,AH383:AH389,0)))</f>
        <v/>
      </c>
      <c r="AY389" s="288" t="str">
        <f>IF(AG389="","",VLOOKUP(AG389,AH383:AU389,COLUMN()-COLUMN(AR382),FALSE))</f>
        <v/>
      </c>
      <c r="AZ389" s="288" t="str">
        <f>IF(AG389="","",VLOOKUP(AG389,AH383:AU389,COLUMN()-COLUMN(AR382),FALSE))</f>
        <v/>
      </c>
      <c r="BA389" s="288" t="str">
        <f>IF(AG389="","",VLOOKUP(AG389,AH383:AU389,COLUMN()-COLUMN(AR382),FALSE))</f>
        <v/>
      </c>
      <c r="BB389" s="288" t="str">
        <f>IF(AG389="","",VLOOKUP(AG389,AH383:AU389,COLUMN()-COLUMN(AR382),FALSE))</f>
        <v/>
      </c>
      <c r="BC389" s="288" t="str">
        <f>IF(AG389="","",VLOOKUP(AG389,AH383:AU389,COLUMN()-COLUMN(AR382),FALSE))</f>
        <v/>
      </c>
      <c r="BD389" s="288" t="str">
        <f>IF(AG389="","",VLOOKUP(AG389,AH383:AU389,COLUMN()-COLUMN(AR382),FALSE))</f>
        <v/>
      </c>
      <c r="BE389" s="288" t="str">
        <f>IF(AG389="","",VLOOKUP(AG389,AH383:AU389,COLUMN()-COLUMN(AR382),FALSE))</f>
        <v/>
      </c>
      <c r="BF389" s="302" t="str">
        <f>IF(AG389="","",VLOOKUP(AG389,AH383:AU389,COLUMN()-COLUMN(AR382),FALSE))</f>
        <v/>
      </c>
    </row>
    <row r="390" spans="1:58" ht="13.5" thickBot="1" x14ac:dyDescent="0.25">
      <c r="A390" s="62" t="s">
        <v>12261</v>
      </c>
      <c r="B390" s="62" t="s">
        <v>12207</v>
      </c>
      <c r="C390" s="62">
        <v>13</v>
      </c>
      <c r="D390" s="62"/>
      <c r="E390" s="345" t="s">
        <v>8139</v>
      </c>
      <c r="F390" s="345" t="s">
        <v>8537</v>
      </c>
      <c r="G390" s="113">
        <v>0</v>
      </c>
      <c r="H390" s="113">
        <v>4</v>
      </c>
      <c r="I390" s="114"/>
      <c r="J390" s="114"/>
      <c r="K390" s="114"/>
      <c r="L390" s="81"/>
      <c r="M390" s="265" t="b">
        <f>NOT(ISERROR(ResultsInd[[#This Row],[Goal-A]]+ResultsInd[[#This Row],[Goal-B]]))</f>
        <v>1</v>
      </c>
      <c r="N390" s="265">
        <f>VALUE(ResultsInd[[#This Row],[Score-A]])</f>
        <v>0</v>
      </c>
      <c r="O390" s="265">
        <f>VALUE(ResultsInd[[#This Row],[Score-B]])</f>
        <v>4</v>
      </c>
      <c r="P390" s="265">
        <f ca="1">IF(AND(ResultsInd[[#This Row],[Category]]&lt;&gt;"",ResultsInd[[#This Row],[Player A]]&lt;&gt;""),COUNTIF(INDIRECT(ResultsInd[[#This Row],[Category]]&amp;"List[Retained Player Name]"),ResultsInd[[#This Row],[Player A]]),"")</f>
        <v>1</v>
      </c>
      <c r="Q390" s="265">
        <f ca="1">IF(AND(ResultsInd[[#This Row],[Category]]&lt;&gt;"",ResultsInd[[#This Row],[Player B]]&lt;&gt;""),COUNTIF(INDIRECT(ResultsInd[[#This Row],[Category]]&amp;"List[Retained Player Name]"),ResultsInd[[#This Row],[Player B]]),"")</f>
        <v>1</v>
      </c>
      <c r="R3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VETERANS-Bob Varney</v>
      </c>
      <c r="S390" s="265" t="str">
        <f>IF(ResultsInd[[#This Row],[Score_OK]],IF(ResultsInd[[#This Row],[Stage]]="Groups",ResultsInd[[#This Row],[Category]]&amp;"-"&amp;IF(ResultsInd[[#This Row],[Player B]]="","",IF(ResultsInd[[#This Row],[Score-A]]=ResultsInd[[#This Row],[Score-B]],ResultsInd[[#This Row],[Player A]],"")),""),"")</f>
        <v>VETERANS-</v>
      </c>
      <c r="T390" s="265" t="str">
        <f>IF(ResultsInd[[#This Row],[Score_OK]],IF(ResultsInd[[#This Row],[Stage]]="Groups",ResultsInd[[#This Row],[Category]]&amp;"-"&amp;IF(ResultsInd[[#This Row],[Player B]]="","",IF(ResultsInd[[#This Row],[Score-A]]=ResultsInd[[#This Row],[Score-B]],ResultsInd[[#This Row],[Player B]],"")),""),"")</f>
        <v>VETERANS-</v>
      </c>
      <c r="U3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VETERANS-Olivier Van Glabeke</v>
      </c>
      <c r="V3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Van Glabeke</v>
      </c>
      <c r="X3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Van Glabeke</v>
      </c>
      <c r="Y390" s="264" t="str">
        <f>IF(ResultsInd[[#This Row],[Category]]="","",VLOOKUP(ResultsInd[[#This Row],[Stage]],$P$1:$V$9,MATCH(ResultsInd[[#This Row],[Category]],$Q$1:$V$1,0)+1,FALSE))</f>
        <v>PR1</v>
      </c>
      <c r="Z390" s="264" t="str">
        <f>IF(ResultsInd[[#This Row],[Score_OK]],IF(ResultsInd[[#This Row],[Level]]="R",ResultsInd[[#This Row],[Category]]&amp;"-"&amp;IF(ResultsInd[[#This Row],[LoseInKO]]=ResultsInd[[#This Row],[Category]]&amp;"-"&amp;ResultsInd[[#This Row],[Player A]],ResultsInd[[#This Row],[Player B]],ResultsInd[[#This Row],[Player A]]),""),"")</f>
        <v/>
      </c>
      <c r="AB390" s="8"/>
      <c r="AC390" s="8"/>
      <c r="AF390" s="170"/>
      <c r="AG390" s="101"/>
      <c r="AH390" s="101"/>
      <c r="AN390" s="170"/>
      <c r="AO390" s="170"/>
      <c r="AP390" s="170"/>
      <c r="AQ390" s="172"/>
      <c r="AR390" s="173"/>
      <c r="AS390" s="173"/>
      <c r="AT390" s="173"/>
      <c r="AU390" s="101"/>
      <c r="AV390" s="101"/>
      <c r="AW390" s="101"/>
      <c r="AX390" s="101"/>
      <c r="AY390" s="101"/>
      <c r="AZ390" s="101"/>
    </row>
    <row r="391" spans="1:58" ht="12" thickBot="1" x14ac:dyDescent="0.25">
      <c r="A391" s="62" t="s">
        <v>12261</v>
      </c>
      <c r="B391" s="62" t="s">
        <v>12207</v>
      </c>
      <c r="C391" s="62">
        <v>13</v>
      </c>
      <c r="D391" s="62"/>
      <c r="E391" s="345" t="s">
        <v>8717</v>
      </c>
      <c r="F391" s="345" t="s">
        <v>13920</v>
      </c>
      <c r="G391" s="113">
        <v>10</v>
      </c>
      <c r="H391" s="113">
        <v>0</v>
      </c>
      <c r="I391" s="114"/>
      <c r="J391" s="114"/>
      <c r="K391" s="114"/>
      <c r="L391" s="81"/>
      <c r="M391" s="265" t="b">
        <f>NOT(ISERROR(ResultsInd[[#This Row],[Goal-A]]+ResultsInd[[#This Row],[Goal-B]]))</f>
        <v>1</v>
      </c>
      <c r="N391" s="265">
        <f>VALUE(ResultsInd[[#This Row],[Score-A]])</f>
        <v>10</v>
      </c>
      <c r="O391" s="265">
        <f>VALUE(ResultsInd[[#This Row],[Score-B]])</f>
        <v>0</v>
      </c>
      <c r="P391" s="265">
        <f ca="1">IF(AND(ResultsInd[[#This Row],[Category]]&lt;&gt;"",ResultsInd[[#This Row],[Player A]]&lt;&gt;""),COUNTIF(INDIRECT(ResultsInd[[#This Row],[Category]]&amp;"List[Retained Player Name]"),ResultsInd[[#This Row],[Player A]]),"")</f>
        <v>1</v>
      </c>
      <c r="Q391" s="265">
        <f ca="1">IF(AND(ResultsInd[[#This Row],[Category]]&lt;&gt;"",ResultsInd[[#This Row],[Player B]]&lt;&gt;""),COUNTIF(INDIRECT(ResultsInd[[#This Row],[Category]]&amp;"List[Retained Player Name]"),ResultsInd[[#This Row],[Player B]]),"")</f>
        <v>1</v>
      </c>
      <c r="R3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VETERANS-Xavier Dubois</v>
      </c>
      <c r="S391" s="265" t="str">
        <f>IF(ResultsInd[[#This Row],[Score_OK]],IF(ResultsInd[[#This Row],[Stage]]="Groups",ResultsInd[[#This Row],[Category]]&amp;"-"&amp;IF(ResultsInd[[#This Row],[Player B]]="","",IF(ResultsInd[[#This Row],[Score-A]]=ResultsInd[[#This Row],[Score-B]],ResultsInd[[#This Row],[Player A]],"")),""),"")</f>
        <v>VETERANS-</v>
      </c>
      <c r="T391" s="265" t="str">
        <f>IF(ResultsInd[[#This Row],[Score_OK]],IF(ResultsInd[[#This Row],[Stage]]="Groups",ResultsInd[[#This Row],[Category]]&amp;"-"&amp;IF(ResultsInd[[#This Row],[Player B]]="","",IF(ResultsInd[[#This Row],[Score-A]]=ResultsInd[[#This Row],[Score-B]],ResultsInd[[#This Row],[Player B]],"")),""),"")</f>
        <v>VETERANS-</v>
      </c>
      <c r="U3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VETERANS-Adrian Pigott</v>
      </c>
      <c r="V3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X3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Y391" s="264" t="str">
        <f>IF(ResultsInd[[#This Row],[Category]]="","",VLOOKUP(ResultsInd[[#This Row],[Stage]],$P$1:$V$9,MATCH(ResultsInd[[#This Row],[Category]],$Q$1:$V$1,0)+1,FALSE))</f>
        <v>PR1</v>
      </c>
      <c r="Z391" s="264" t="str">
        <f>IF(ResultsInd[[#This Row],[Score_OK]],IF(ResultsInd[[#This Row],[Level]]="R",ResultsInd[[#This Row],[Category]]&amp;"-"&amp;IF(ResultsInd[[#This Row],[LoseInKO]]=ResultsInd[[#This Row],[Category]]&amp;"-"&amp;ResultsInd[[#This Row],[Player A]],ResultsInd[[#This Row],[Player B]],ResultsInd[[#This Row],[Player A]]),""),"")</f>
        <v/>
      </c>
      <c r="AB391" s="281">
        <v>13</v>
      </c>
      <c r="AC391" s="315" t="s">
        <v>12261</v>
      </c>
      <c r="AD391" s="289" t="s">
        <v>14439</v>
      </c>
      <c r="AE391" s="290" t="s">
        <v>12279</v>
      </c>
      <c r="AF391" s="284" t="s">
        <v>12275</v>
      </c>
      <c r="AG391" s="296" t="s">
        <v>12276</v>
      </c>
      <c r="AH391" s="291" t="s">
        <v>12271</v>
      </c>
      <c r="AI391" s="291" t="s">
        <v>12272</v>
      </c>
      <c r="AJ391" s="414" t="s">
        <v>13154</v>
      </c>
      <c r="AK391" s="291" t="s">
        <v>12273</v>
      </c>
      <c r="AL391" s="297" t="s">
        <v>12274</v>
      </c>
      <c r="AM391" s="414" t="s">
        <v>13154</v>
      </c>
      <c r="AN391" s="303" t="s">
        <v>12199</v>
      </c>
      <c r="AO391" s="304" t="s">
        <v>12200</v>
      </c>
      <c r="AP391" s="304" t="s">
        <v>12201</v>
      </c>
      <c r="AQ391" s="304" t="s">
        <v>12202</v>
      </c>
      <c r="AR391" s="304" t="s">
        <v>12203</v>
      </c>
      <c r="AS391" s="304" t="s">
        <v>12204</v>
      </c>
      <c r="AT391" s="304" t="s">
        <v>12205</v>
      </c>
      <c r="AU391" s="305" t="s">
        <v>12206</v>
      </c>
      <c r="AV391" s="468"/>
      <c r="AW391" s="282" t="s">
        <v>12276</v>
      </c>
      <c r="AX391" s="282" t="s">
        <v>12280</v>
      </c>
      <c r="AY391" s="283" t="s">
        <v>12199</v>
      </c>
      <c r="AZ391" s="283" t="s">
        <v>12200</v>
      </c>
      <c r="BA391" s="283" t="s">
        <v>12201</v>
      </c>
      <c r="BB391" s="283" t="s">
        <v>12202</v>
      </c>
      <c r="BC391" s="283" t="s">
        <v>12203</v>
      </c>
      <c r="BD391" s="283" t="s">
        <v>12204</v>
      </c>
      <c r="BE391" s="283" t="s">
        <v>12205</v>
      </c>
      <c r="BF391" s="300" t="s">
        <v>12206</v>
      </c>
    </row>
    <row r="392" spans="1:58" ht="12" thickBot="1" x14ac:dyDescent="0.25">
      <c r="A392" s="62" t="s">
        <v>12261</v>
      </c>
      <c r="B392" s="62" t="s">
        <v>12207</v>
      </c>
      <c r="C392" s="62">
        <v>13</v>
      </c>
      <c r="D392" s="62"/>
      <c r="E392" s="345" t="s">
        <v>13920</v>
      </c>
      <c r="F392" s="345" t="s">
        <v>8139</v>
      </c>
      <c r="G392" s="113">
        <v>2</v>
      </c>
      <c r="H392" s="113">
        <v>4</v>
      </c>
      <c r="I392" s="114"/>
      <c r="J392" s="114"/>
      <c r="K392" s="114"/>
      <c r="L392" s="81"/>
      <c r="M392" s="265" t="b">
        <f>NOT(ISERROR(ResultsInd[[#This Row],[Goal-A]]+ResultsInd[[#This Row],[Goal-B]]))</f>
        <v>1</v>
      </c>
      <c r="N392" s="265">
        <f>VALUE(ResultsInd[[#This Row],[Score-A]])</f>
        <v>2</v>
      </c>
      <c r="O392" s="265">
        <f>VALUE(ResultsInd[[#This Row],[Score-B]])</f>
        <v>4</v>
      </c>
      <c r="P392" s="265">
        <f ca="1">IF(AND(ResultsInd[[#This Row],[Category]]&lt;&gt;"",ResultsInd[[#This Row],[Player A]]&lt;&gt;""),COUNTIF(INDIRECT(ResultsInd[[#This Row],[Category]]&amp;"List[Retained Player Name]"),ResultsInd[[#This Row],[Player A]]),"")</f>
        <v>1</v>
      </c>
      <c r="Q392" s="265">
        <f ca="1">IF(AND(ResultsInd[[#This Row],[Category]]&lt;&gt;"",ResultsInd[[#This Row],[Player B]]&lt;&gt;""),COUNTIF(INDIRECT(ResultsInd[[#This Row],[Category]]&amp;"List[Retained Player Name]"),ResultsInd[[#This Row],[Player B]]),"")</f>
        <v>1</v>
      </c>
      <c r="R3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VETERANS-Olivier Van Glabeke</v>
      </c>
      <c r="S392" s="265" t="str">
        <f>IF(ResultsInd[[#This Row],[Score_OK]],IF(ResultsInd[[#This Row],[Stage]]="Groups",ResultsInd[[#This Row],[Category]]&amp;"-"&amp;IF(ResultsInd[[#This Row],[Player B]]="","",IF(ResultsInd[[#This Row],[Score-A]]=ResultsInd[[#This Row],[Score-B]],ResultsInd[[#This Row],[Player A]],"")),""),"")</f>
        <v>VETERANS-</v>
      </c>
      <c r="T392" s="265" t="str">
        <f>IF(ResultsInd[[#This Row],[Score_OK]],IF(ResultsInd[[#This Row],[Stage]]="Groups",ResultsInd[[#This Row],[Category]]&amp;"-"&amp;IF(ResultsInd[[#This Row],[Player B]]="","",IF(ResultsInd[[#This Row],[Score-A]]=ResultsInd[[#This Row],[Score-B]],ResultsInd[[#This Row],[Player B]],"")),""),"")</f>
        <v>VETERANS-</v>
      </c>
      <c r="U3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VETERANS-Adrian Pigott</v>
      </c>
      <c r="V3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X3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Y392" s="264" t="str">
        <f>IF(ResultsInd[[#This Row],[Category]]="","",VLOOKUP(ResultsInd[[#This Row],[Stage]],$P$1:$V$9,MATCH(ResultsInd[[#This Row],[Category]],$Q$1:$V$1,0)+1,FALSE))</f>
        <v>PR1</v>
      </c>
      <c r="Z392" s="264" t="str">
        <f>IF(ResultsInd[[#This Row],[Score_OK]],IF(ResultsInd[[#This Row],[Level]]="R",ResultsInd[[#This Row],[Category]]&amp;"-"&amp;IF(ResultsInd[[#This Row],[LoseInKO]]=ResultsInd[[#This Row],[Category]]&amp;"-"&amp;ResultsInd[[#This Row],[Player A]],ResultsInd[[#This Row],[Player B]],ResultsInd[[#This Row],[Player A]]),""),"")</f>
        <v/>
      </c>
      <c r="AB392" s="8"/>
      <c r="AC392" s="12" t="str">
        <f>IF(AC391="","",AC391)</f>
        <v>VETERANS</v>
      </c>
      <c r="AD392" s="309" t="s">
        <v>8537</v>
      </c>
      <c r="AE392" s="320"/>
      <c r="AF392" s="311"/>
      <c r="AG392" s="292">
        <f>IF(AP392="","",SMALL(AH392:AH398,ROWS(AG392:AG392)))</f>
        <v>1001</v>
      </c>
      <c r="AH392" s="293">
        <f>IF(AP392="","",RANK(AL392,AL392:AL398)*1000+ROWS(AH392:AH392))</f>
        <v>1001</v>
      </c>
      <c r="AI392" s="316">
        <f t="shared" ref="AI392:AI398" si="337">IF(AP392="","",CritClassInd1_Points*AN392+CritClassInd1_Matches*AP392+CritClassInd1_Attaque*AS392+CritClassInd1_DiffButs*AU392)</f>
        <v>10000000000000</v>
      </c>
      <c r="AJ392" s="415" t="b">
        <f>AND(AO392&lt;&gt;"",AO392&gt;0,COUNTIF(AI392:AI398,AI392)&gt;1)</f>
        <v>0</v>
      </c>
      <c r="AK392" s="316">
        <f t="shared" ref="AK392:AK398" si="338">IF(AP392="","",CritClassInd_ScorePart*AE392)</f>
        <v>0</v>
      </c>
      <c r="AL392" s="317">
        <f t="shared" ref="AL392:AL398" si="339">IF(AP392="","",AI392+AK392+CritClassInd2_Points*AN392+CritClassInd2_Matches*AP392+CritClassInd2_Attaque*AS392+CritClassInd2_DiffButs*AU392+AF392)</f>
        <v>10000000151600</v>
      </c>
      <c r="AM392" s="415" t="b">
        <f>AND(AO392&lt;&gt;"",AO392&gt;0,COUNTIF(AL392:AL398,AL392)&gt;1)</f>
        <v>0</v>
      </c>
      <c r="AN392" s="306">
        <f t="shared" ref="AN392:AN398" si="340">IF(AP392="","",(AP392*Points_Victoire)+AQ392*Points_Null)</f>
        <v>10</v>
      </c>
      <c r="AO392" s="307">
        <f t="shared" ref="AO392:AO398" si="341">IF(AP392="","",SUM(AP392:AR392))</f>
        <v>4</v>
      </c>
      <c r="AP392" s="307">
        <f>IF(OR(AC391="",AD392=""),"",COUNTIF(ResultsInd[Win],AC391&amp;"-"&amp;AD392))</f>
        <v>3</v>
      </c>
      <c r="AQ392" s="307">
        <f>IF(OR(AC391="",AD392=""),"",COUNTIF(ResultsInd[Draw1],AC391&amp;"-"&amp;AD392)+COUNTIF(ResultsInd[Draw2],AC391&amp;"-"&amp;AD392))</f>
        <v>1</v>
      </c>
      <c r="AR392" s="307">
        <f>IF(OR(AC391="",AD392=""),"",COUNTIF(ResultsInd[Lose],AC391&amp;"-"&amp;AD392))</f>
        <v>0</v>
      </c>
      <c r="AS392" s="307">
        <f>IF(OR(AC391="",AD392=""),"",SUMIFS(ResultsInd[Goal-A],ResultsInd[Category],AC391,ResultsInd[Stage],"Groups",ResultsInd[Player A],AD392)+SUMIFS(ResultsInd[Goal-B],ResultsInd[Category],AC391,ResultsInd[Stage],"Groups",ResultsInd[Player B],AD392))</f>
        <v>16</v>
      </c>
      <c r="AT392" s="307">
        <f>IF(OR(AC391="",AD392=""),"",SUMIFS(ResultsInd[Goal-B],ResultsInd[Category],AC391,ResultsInd[Stage],"Groups",ResultsInd[Player A],AD392)+SUMIFS(ResultsInd[Goal-A],ResultsInd[Category],AC391,ResultsInd[Stage],"Groups",ResultsInd[Player B],AD392))</f>
        <v>1</v>
      </c>
      <c r="AU392" s="308">
        <f>IF(AP392="","",AS392-AT392)</f>
        <v>15</v>
      </c>
      <c r="AV392" s="469" t="b">
        <f>IF(AG392="","",OR(VLOOKUP(AG392,AH392:AU398,3,FALSE),VLOOKUP(AG392,AH392:AU398,6,FALSE)))</f>
        <v>0</v>
      </c>
      <c r="AW392" s="298">
        <f t="shared" ref="AW392:AW398" si="342">IF(AG392="","",INT(AG392/1000))</f>
        <v>1</v>
      </c>
      <c r="AX392" s="285" t="str">
        <f>IF(AG392="","",INDEX(AD392:AD398,MATCH(AG392,AH392:AH398,0)))</f>
        <v>Bob Varney</v>
      </c>
      <c r="AY392" s="286">
        <f>IF(AG392="","",VLOOKUP(AG392,AH392:AU398,COLUMN()-COLUMN(AR391),FALSE))</f>
        <v>10</v>
      </c>
      <c r="AZ392" s="286">
        <f>IF(AG392="","",VLOOKUP(AG392,AH392:AU398,COLUMN()-COLUMN(AR391),FALSE))</f>
        <v>4</v>
      </c>
      <c r="BA392" s="286">
        <f>IF(AG392="","",VLOOKUP(AG392,AH392:AU398,COLUMN()-COLUMN(AR391),FALSE))</f>
        <v>3</v>
      </c>
      <c r="BB392" s="286">
        <f>IF(AG392="","",VLOOKUP(AG392,AH392:AU398,COLUMN()-COLUMN(AR391),FALSE))</f>
        <v>1</v>
      </c>
      <c r="BC392" s="286">
        <f>IF(AG392="","",VLOOKUP(AG392,AH392:AU398,COLUMN()-COLUMN(AR391),FALSE))</f>
        <v>0</v>
      </c>
      <c r="BD392" s="286">
        <f>IF(AG392="","",VLOOKUP(AG392,AH392:AU398,COLUMN()-COLUMN(AR391),FALSE))</f>
        <v>16</v>
      </c>
      <c r="BE392" s="286">
        <f>IF(AG392="","",VLOOKUP(AG392,AH392:AU398,COLUMN()-COLUMN(AR391),FALSE))</f>
        <v>1</v>
      </c>
      <c r="BF392" s="301">
        <f>IF(AG392="","",VLOOKUP(AG392,AH392:AU398,COLUMN()-COLUMN(AR391),FALSE))</f>
        <v>15</v>
      </c>
    </row>
    <row r="393" spans="1:58" ht="12" thickBot="1" x14ac:dyDescent="0.25">
      <c r="A393" s="62" t="s">
        <v>12261</v>
      </c>
      <c r="B393" s="62" t="s">
        <v>12207</v>
      </c>
      <c r="C393" s="62">
        <v>13</v>
      </c>
      <c r="D393" s="62"/>
      <c r="E393" s="345" t="s">
        <v>8108</v>
      </c>
      <c r="F393" s="345" t="s">
        <v>8717</v>
      </c>
      <c r="G393" s="113">
        <v>1</v>
      </c>
      <c r="H393" s="113">
        <v>1</v>
      </c>
      <c r="I393" s="114"/>
      <c r="J393" s="114"/>
      <c r="K393" s="114"/>
      <c r="L393" s="81"/>
      <c r="M393" s="265" t="b">
        <f>NOT(ISERROR(ResultsInd[[#This Row],[Goal-A]]+ResultsInd[[#This Row],[Goal-B]]))</f>
        <v>1</v>
      </c>
      <c r="N393" s="265">
        <f>VALUE(ResultsInd[[#This Row],[Score-A]])</f>
        <v>1</v>
      </c>
      <c r="O393" s="265">
        <f>VALUE(ResultsInd[[#This Row],[Score-B]])</f>
        <v>1</v>
      </c>
      <c r="P393" s="265">
        <f ca="1">IF(AND(ResultsInd[[#This Row],[Category]]&lt;&gt;"",ResultsInd[[#This Row],[Player A]]&lt;&gt;""),COUNTIF(INDIRECT(ResultsInd[[#This Row],[Category]]&amp;"List[Retained Player Name]"),ResultsInd[[#This Row],[Player A]]),"")</f>
        <v>1</v>
      </c>
      <c r="Q393" s="265">
        <f ca="1">IF(AND(ResultsInd[[#This Row],[Category]]&lt;&gt;"",ResultsInd[[#This Row],[Player B]]&lt;&gt;""),COUNTIF(INDIRECT(ResultsInd[[#This Row],[Category]]&amp;"List[Retained Player Name]"),ResultsInd[[#This Row],[Player B]]),"")</f>
        <v>1</v>
      </c>
      <c r="R3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93" s="265" t="str">
        <f>IF(ResultsInd[[#This Row],[Score_OK]],IF(ResultsInd[[#This Row],[Stage]]="Groups",ResultsInd[[#This Row],[Category]]&amp;"-"&amp;IF(ResultsInd[[#This Row],[Player B]]="","",IF(ResultsInd[[#This Row],[Score-A]]=ResultsInd[[#This Row],[Score-B]],ResultsInd[[#This Row],[Player A]],"")),""),"")</f>
        <v>VETERANS-Frank Lannoy</v>
      </c>
      <c r="T393" s="265" t="str">
        <f>IF(ResultsInd[[#This Row],[Score_OK]],IF(ResultsInd[[#This Row],[Stage]]="Groups",ResultsInd[[#This Row],[Category]]&amp;"-"&amp;IF(ResultsInd[[#This Row],[Player B]]="","",IF(ResultsInd[[#This Row],[Score-A]]=ResultsInd[[#This Row],[Score-B]],ResultsInd[[#This Row],[Player B]],"")),""),"")</f>
        <v>VETERANS-Xavier Dubois</v>
      </c>
      <c r="U3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VETERANS-Frank Lannoy</v>
      </c>
      <c r="X3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Dubois</v>
      </c>
      <c r="Y393" s="264" t="str">
        <f>IF(ResultsInd[[#This Row],[Category]]="","",VLOOKUP(ResultsInd[[#This Row],[Stage]],$P$1:$V$9,MATCH(ResultsInd[[#This Row],[Category]],$Q$1:$V$1,0)+1,FALSE))</f>
        <v>PR1</v>
      </c>
      <c r="Z393" s="264" t="str">
        <f>IF(ResultsInd[[#This Row],[Score_OK]],IF(ResultsInd[[#This Row],[Level]]="R",ResultsInd[[#This Row],[Category]]&amp;"-"&amp;IF(ResultsInd[[#This Row],[LoseInKO]]=ResultsInd[[#This Row],[Category]]&amp;"-"&amp;ResultsInd[[#This Row],[Player A]],ResultsInd[[#This Row],[Player B]],ResultsInd[[#This Row],[Player A]]),""),"")</f>
        <v/>
      </c>
      <c r="AB393" s="8"/>
      <c r="AC393" s="12" t="str">
        <f t="shared" ref="AC393:AC398" si="343">IF(AC392="","",AC392)</f>
        <v>VETERANS</v>
      </c>
      <c r="AD393" s="309" t="s">
        <v>8717</v>
      </c>
      <c r="AE393" s="320"/>
      <c r="AF393" s="311"/>
      <c r="AG393" s="292">
        <f>IF(AP393="","",SMALL(AH392:AH398,ROWS(AG392:AG393)))</f>
        <v>2002</v>
      </c>
      <c r="AH393" s="293">
        <f>IF(AP393="","",RANK(AL393,AL392:AL398)*1000+ROWS(AH392:AH393))</f>
        <v>2002</v>
      </c>
      <c r="AI393" s="316">
        <f t="shared" si="337"/>
        <v>6000000000000</v>
      </c>
      <c r="AJ393" s="415" t="b">
        <f>AND(AO393&lt;&gt;"",AO393&gt;0,COUNTIF(AI392:AI398,AI393)&gt;1)</f>
        <v>0</v>
      </c>
      <c r="AK393" s="316">
        <f t="shared" si="338"/>
        <v>0</v>
      </c>
      <c r="AL393" s="317">
        <f t="shared" si="339"/>
        <v>6000000101300</v>
      </c>
      <c r="AM393" s="415" t="b">
        <f>AND(AO393&lt;&gt;"",AO393&gt;0,COUNTIF(AL392:AL398,AL393)&gt;1)</f>
        <v>0</v>
      </c>
      <c r="AN393" s="306">
        <f t="shared" si="340"/>
        <v>6</v>
      </c>
      <c r="AO393" s="307">
        <f t="shared" si="341"/>
        <v>4</v>
      </c>
      <c r="AP393" s="307">
        <f>IF(OR(AC391="",AD393=""),"",COUNTIF(ResultsInd[Win],AC391&amp;"-"&amp;AD393))</f>
        <v>1</v>
      </c>
      <c r="AQ393" s="307">
        <f>IF(OR(AC391="",AD393=""),"",COUNTIF(ResultsInd[Draw1],AC391&amp;"-"&amp;AD393)+COUNTIF(ResultsInd[Draw2],AC391&amp;"-"&amp;AD393))</f>
        <v>3</v>
      </c>
      <c r="AR393" s="307">
        <f>IF(OR(AC391="",AD393=""),"",COUNTIF(ResultsInd[Lose],AC391&amp;"-"&amp;AD393))</f>
        <v>0</v>
      </c>
      <c r="AS393" s="307">
        <f>IF(OR(AC391="",AD393=""),"",SUMIFS(ResultsInd[Goal-A],ResultsInd[Category],AC391,ResultsInd[Stage],"Groups",ResultsInd[Player A],AD393)+SUMIFS(ResultsInd[Goal-B],ResultsInd[Category],AC391,ResultsInd[Stage],"Groups",ResultsInd[Player B],AD393))</f>
        <v>13</v>
      </c>
      <c r="AT393" s="307">
        <f>IF(OR(AC391="",AD393=""),"",SUMIFS(ResultsInd[Goal-B],ResultsInd[Category],AC391,ResultsInd[Stage],"Groups",ResultsInd[Player A],AD393)+SUMIFS(ResultsInd[Goal-A],ResultsInd[Category],AC391,ResultsInd[Stage],"Groups",ResultsInd[Player B],AD393))</f>
        <v>3</v>
      </c>
      <c r="AU393" s="308">
        <f t="shared" ref="AU393:AU398" si="344">IF(AP393="","",AS393-AT393)</f>
        <v>10</v>
      </c>
      <c r="AV393" s="469" t="b">
        <f>IF(AG393="","",OR(VLOOKUP(AG393,AH392:AU398,3,FALSE),VLOOKUP(AG393,AH392:AU398,6,FALSE)))</f>
        <v>0</v>
      </c>
      <c r="AW393" s="298">
        <f t="shared" si="342"/>
        <v>2</v>
      </c>
      <c r="AX393" s="285" t="str">
        <f>IF(AG393="","",INDEX(AD392:AD398,MATCH(AG393,AH392:AH398,0)))</f>
        <v>Xavier Dubois</v>
      </c>
      <c r="AY393" s="286">
        <f>IF(AG393="","",VLOOKUP(AG393,AH392:AU398,COLUMN()-COLUMN(AR391),FALSE))</f>
        <v>6</v>
      </c>
      <c r="AZ393" s="286">
        <f>IF(AG393="","",VLOOKUP(AG393,AH392:AU398,COLUMN()-COLUMN(AR391),FALSE))</f>
        <v>4</v>
      </c>
      <c r="BA393" s="286">
        <f>IF(AG393="","",VLOOKUP(AG393,AH392:AU398,COLUMN()-COLUMN(AR391),FALSE))</f>
        <v>1</v>
      </c>
      <c r="BB393" s="286">
        <f>IF(AG393="","",VLOOKUP(AG393,AH392:AU398,COLUMN()-COLUMN(AR391),FALSE))</f>
        <v>3</v>
      </c>
      <c r="BC393" s="286">
        <f>IF(AG393="","",VLOOKUP(AG393,AH392:AU398,COLUMN()-COLUMN(AR391),FALSE))</f>
        <v>0</v>
      </c>
      <c r="BD393" s="286">
        <f>IF(AG393="","",VLOOKUP(AG393,AH392:AU398,COLUMN()-COLUMN(AR391),FALSE))</f>
        <v>13</v>
      </c>
      <c r="BE393" s="286">
        <f>IF(AG393="","",VLOOKUP(AG393,AH392:AU398,COLUMN()-COLUMN(AR391),FALSE))</f>
        <v>3</v>
      </c>
      <c r="BF393" s="301">
        <f>IF(AG393="","",VLOOKUP(AG393,AH392:AU398,COLUMN()-COLUMN(AR391),FALSE))</f>
        <v>10</v>
      </c>
    </row>
    <row r="394" spans="1:58" ht="12" thickBot="1" x14ac:dyDescent="0.25">
      <c r="A394" s="62" t="s">
        <v>12261</v>
      </c>
      <c r="B394" s="62" t="s">
        <v>12207</v>
      </c>
      <c r="C394" s="62">
        <v>13</v>
      </c>
      <c r="D394" s="62"/>
      <c r="E394" s="345" t="s">
        <v>8537</v>
      </c>
      <c r="F394" s="345" t="s">
        <v>8717</v>
      </c>
      <c r="G394" s="113">
        <v>1</v>
      </c>
      <c r="H394" s="113">
        <v>1</v>
      </c>
      <c r="I394" s="114"/>
      <c r="J394" s="114"/>
      <c r="K394" s="114"/>
      <c r="L394" s="81"/>
      <c r="M394" s="265" t="b">
        <f>NOT(ISERROR(ResultsInd[[#This Row],[Goal-A]]+ResultsInd[[#This Row],[Goal-B]]))</f>
        <v>1</v>
      </c>
      <c r="N394" s="265">
        <f>VALUE(ResultsInd[[#This Row],[Score-A]])</f>
        <v>1</v>
      </c>
      <c r="O394" s="265">
        <f>VALUE(ResultsInd[[#This Row],[Score-B]])</f>
        <v>1</v>
      </c>
      <c r="P394" s="265">
        <f ca="1">IF(AND(ResultsInd[[#This Row],[Category]]&lt;&gt;"",ResultsInd[[#This Row],[Player A]]&lt;&gt;""),COUNTIF(INDIRECT(ResultsInd[[#This Row],[Category]]&amp;"List[Retained Player Name]"),ResultsInd[[#This Row],[Player A]]),"")</f>
        <v>1</v>
      </c>
      <c r="Q394" s="265">
        <f ca="1">IF(AND(ResultsInd[[#This Row],[Category]]&lt;&gt;"",ResultsInd[[#This Row],[Player B]]&lt;&gt;""),COUNTIF(INDIRECT(ResultsInd[[#This Row],[Category]]&amp;"List[Retained Player Name]"),ResultsInd[[#This Row],[Player B]]),"")</f>
        <v>1</v>
      </c>
      <c r="R3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94" s="265" t="str">
        <f>IF(ResultsInd[[#This Row],[Score_OK]],IF(ResultsInd[[#This Row],[Stage]]="Groups",ResultsInd[[#This Row],[Category]]&amp;"-"&amp;IF(ResultsInd[[#This Row],[Player B]]="","",IF(ResultsInd[[#This Row],[Score-A]]=ResultsInd[[#This Row],[Score-B]],ResultsInd[[#This Row],[Player A]],"")),""),"")</f>
        <v>VETERANS-Bob Varney</v>
      </c>
      <c r="T394" s="265" t="str">
        <f>IF(ResultsInd[[#This Row],[Score_OK]],IF(ResultsInd[[#This Row],[Stage]]="Groups",ResultsInd[[#This Row],[Category]]&amp;"-"&amp;IF(ResultsInd[[#This Row],[Player B]]="","",IF(ResultsInd[[#This Row],[Score-A]]=ResultsInd[[#This Row],[Score-B]],ResultsInd[[#This Row],[Player B]],"")),""),"")</f>
        <v>VETERANS-Xavier Dubois</v>
      </c>
      <c r="U3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VETERANS-Bob Varney</v>
      </c>
      <c r="X3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Dubois</v>
      </c>
      <c r="Y394" s="264" t="str">
        <f>IF(ResultsInd[[#This Row],[Category]]="","",VLOOKUP(ResultsInd[[#This Row],[Stage]],$P$1:$V$9,MATCH(ResultsInd[[#This Row],[Category]],$Q$1:$V$1,0)+1,FALSE))</f>
        <v>PR1</v>
      </c>
      <c r="Z394" s="264" t="str">
        <f>IF(ResultsInd[[#This Row],[Score_OK]],IF(ResultsInd[[#This Row],[Level]]="R",ResultsInd[[#This Row],[Category]]&amp;"-"&amp;IF(ResultsInd[[#This Row],[LoseInKO]]=ResultsInd[[#This Row],[Category]]&amp;"-"&amp;ResultsInd[[#This Row],[Player A]],ResultsInd[[#This Row],[Player B]],ResultsInd[[#This Row],[Player A]]),""),"")</f>
        <v/>
      </c>
      <c r="AB394" s="8"/>
      <c r="AC394" s="12" t="str">
        <f t="shared" si="343"/>
        <v>VETERANS</v>
      </c>
      <c r="AD394" s="309" t="s">
        <v>8108</v>
      </c>
      <c r="AE394" s="320"/>
      <c r="AF394" s="311"/>
      <c r="AG394" s="292">
        <f>IF(AP394="","",SMALL(AH392:AH398,ROWS(AG392:AG394)))</f>
        <v>3003</v>
      </c>
      <c r="AH394" s="293">
        <f>IF(AP394="","",RANK(AL394,AL392:AL398)*1000+ROWS(AH392:AH394))</f>
        <v>3003</v>
      </c>
      <c r="AI394" s="316">
        <f t="shared" si="337"/>
        <v>5000000000000</v>
      </c>
      <c r="AJ394" s="415" t="b">
        <f>AND(AO394&lt;&gt;"",AO394&gt;0,COUNTIF(AI392:AI398,AI394)&gt;1)</f>
        <v>1</v>
      </c>
      <c r="AK394" s="316">
        <f t="shared" si="338"/>
        <v>0</v>
      </c>
      <c r="AL394" s="317">
        <f t="shared" si="339"/>
        <v>5000000010800</v>
      </c>
      <c r="AM394" s="415" t="b">
        <f>AND(AO394&lt;&gt;"",AO394&gt;0,COUNTIF(AL392:AL398,AL394)&gt;1)</f>
        <v>0</v>
      </c>
      <c r="AN394" s="306">
        <f t="shared" si="340"/>
        <v>5</v>
      </c>
      <c r="AO394" s="307">
        <f t="shared" si="341"/>
        <v>4</v>
      </c>
      <c r="AP394" s="307">
        <f>IF(OR(AC391="",AD394=""),"",COUNTIF(ResultsInd[Win],AC391&amp;"-"&amp;AD394))</f>
        <v>1</v>
      </c>
      <c r="AQ394" s="307">
        <f>IF(OR(AC391="",AD394=""),"",COUNTIF(ResultsInd[Draw1],AC391&amp;"-"&amp;AD394)+COUNTIF(ResultsInd[Draw2],AC391&amp;"-"&amp;AD394))</f>
        <v>2</v>
      </c>
      <c r="AR394" s="307">
        <f>IF(OR(AC391="",AD394=""),"",COUNTIF(ResultsInd[Lose],AC391&amp;"-"&amp;AD394))</f>
        <v>1</v>
      </c>
      <c r="AS394" s="307">
        <f>IF(OR(AC391="",AD394=""),"",SUMIFS(ResultsInd[Goal-A],ResultsInd[Category],AC391,ResultsInd[Stage],"Groups",ResultsInd[Player A],AD394)+SUMIFS(ResultsInd[Goal-B],ResultsInd[Category],AC391,ResultsInd[Stage],"Groups",ResultsInd[Player B],AD394))</f>
        <v>8</v>
      </c>
      <c r="AT394" s="307">
        <f>IF(OR(AC391="",AD394=""),"",SUMIFS(ResultsInd[Goal-B],ResultsInd[Category],AC391,ResultsInd[Stage],"Groups",ResultsInd[Player A],AD394)+SUMIFS(ResultsInd[Goal-A],ResultsInd[Category],AC391,ResultsInd[Stage],"Groups",ResultsInd[Player B],AD394))</f>
        <v>7</v>
      </c>
      <c r="AU394" s="308">
        <f t="shared" si="344"/>
        <v>1</v>
      </c>
      <c r="AV394" s="469" t="b">
        <f>IF(AG394="","",OR(VLOOKUP(AG394,AH392:AU398,3,FALSE),VLOOKUP(AG394,AH392:AU398,6,FALSE)))</f>
        <v>1</v>
      </c>
      <c r="AW394" s="298">
        <f t="shared" si="342"/>
        <v>3</v>
      </c>
      <c r="AX394" s="285" t="str">
        <f>IF(AG394="","",INDEX(AD392:AD398,MATCH(AG394,AH392:AH398,0)))</f>
        <v>Frank Lannoy</v>
      </c>
      <c r="AY394" s="286">
        <f>IF(AG394="","",VLOOKUP(AG394,AH392:AU398,COLUMN()-COLUMN(AR391),FALSE))</f>
        <v>5</v>
      </c>
      <c r="AZ394" s="286">
        <f>IF(AG394="","",VLOOKUP(AG394,AH392:AU398,COLUMN()-COLUMN(AR391),FALSE))</f>
        <v>4</v>
      </c>
      <c r="BA394" s="286">
        <f>IF(AG394="","",VLOOKUP(AG394,AH392:AU398,COLUMN()-COLUMN(AR391),FALSE))</f>
        <v>1</v>
      </c>
      <c r="BB394" s="286">
        <f>IF(AG394="","",VLOOKUP(AG394,AH392:AU398,COLUMN()-COLUMN(AR391),FALSE))</f>
        <v>2</v>
      </c>
      <c r="BC394" s="286">
        <f>IF(AG394="","",VLOOKUP(AG394,AH392:AU398,COLUMN()-COLUMN(AR391),FALSE))</f>
        <v>1</v>
      </c>
      <c r="BD394" s="286">
        <f>IF(AG394="","",VLOOKUP(AG394,AH392:AU398,COLUMN()-COLUMN(AR391),FALSE))</f>
        <v>8</v>
      </c>
      <c r="BE394" s="286">
        <f>IF(AG394="","",VLOOKUP(AG394,AH392:AU398,COLUMN()-COLUMN(AR391),FALSE))</f>
        <v>7</v>
      </c>
      <c r="BF394" s="301">
        <f>IF(AG394="","",VLOOKUP(AG394,AH392:AU398,COLUMN()-COLUMN(AR391),FALSE))</f>
        <v>1</v>
      </c>
    </row>
    <row r="395" spans="1:58" ht="12" thickBot="1" x14ac:dyDescent="0.25">
      <c r="A395" s="62" t="s">
        <v>12261</v>
      </c>
      <c r="B395" s="62" t="s">
        <v>12207</v>
      </c>
      <c r="C395" s="62">
        <v>13</v>
      </c>
      <c r="D395" s="62"/>
      <c r="E395" s="345" t="s">
        <v>13920</v>
      </c>
      <c r="F395" s="345" t="s">
        <v>8108</v>
      </c>
      <c r="G395" s="113">
        <v>0</v>
      </c>
      <c r="H395" s="113">
        <v>6</v>
      </c>
      <c r="I395" s="114"/>
      <c r="J395" s="114"/>
      <c r="K395" s="114"/>
      <c r="L395" s="81"/>
      <c r="M395" s="265" t="b">
        <f>NOT(ISERROR(ResultsInd[[#This Row],[Goal-A]]+ResultsInd[[#This Row],[Goal-B]]))</f>
        <v>1</v>
      </c>
      <c r="N395" s="265">
        <f>VALUE(ResultsInd[[#This Row],[Score-A]])</f>
        <v>0</v>
      </c>
      <c r="O395" s="265">
        <f>VALUE(ResultsInd[[#This Row],[Score-B]])</f>
        <v>6</v>
      </c>
      <c r="P395" s="265">
        <f ca="1">IF(AND(ResultsInd[[#This Row],[Category]]&lt;&gt;"",ResultsInd[[#This Row],[Player A]]&lt;&gt;""),COUNTIF(INDIRECT(ResultsInd[[#This Row],[Category]]&amp;"List[Retained Player Name]"),ResultsInd[[#This Row],[Player A]]),"")</f>
        <v>1</v>
      </c>
      <c r="Q395" s="265">
        <f ca="1">IF(AND(ResultsInd[[#This Row],[Category]]&lt;&gt;"",ResultsInd[[#This Row],[Player B]]&lt;&gt;""),COUNTIF(INDIRECT(ResultsInd[[#This Row],[Category]]&amp;"List[Retained Player Name]"),ResultsInd[[#This Row],[Player B]]),"")</f>
        <v>1</v>
      </c>
      <c r="R3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Lannoy</v>
      </c>
      <c r="S395" s="265" t="str">
        <f>IF(ResultsInd[[#This Row],[Score_OK]],IF(ResultsInd[[#This Row],[Stage]]="Groups",ResultsInd[[#This Row],[Category]]&amp;"-"&amp;IF(ResultsInd[[#This Row],[Player B]]="","",IF(ResultsInd[[#This Row],[Score-A]]=ResultsInd[[#This Row],[Score-B]],ResultsInd[[#This Row],[Player A]],"")),""),"")</f>
        <v>VETERANS-</v>
      </c>
      <c r="T395" s="265" t="str">
        <f>IF(ResultsInd[[#This Row],[Score_OK]],IF(ResultsInd[[#This Row],[Stage]]="Groups",ResultsInd[[#This Row],[Category]]&amp;"-"&amp;IF(ResultsInd[[#This Row],[Player B]]="","",IF(ResultsInd[[#This Row],[Score-A]]=ResultsInd[[#This Row],[Score-B]],ResultsInd[[#This Row],[Player B]],"")),""),"")</f>
        <v>VETERANS-</v>
      </c>
      <c r="U3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VETERANS-Adrian Pigott</v>
      </c>
      <c r="V3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X3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VETERANS-Adrian Pigott</v>
      </c>
      <c r="Y395" s="264" t="str">
        <f>IF(ResultsInd[[#This Row],[Category]]="","",VLOOKUP(ResultsInd[[#This Row],[Stage]],$P$1:$V$9,MATCH(ResultsInd[[#This Row],[Category]],$Q$1:$V$1,0)+1,FALSE))</f>
        <v>PR1</v>
      </c>
      <c r="Z395" s="264" t="str">
        <f>IF(ResultsInd[[#This Row],[Score_OK]],IF(ResultsInd[[#This Row],[Level]]="R",ResultsInd[[#This Row],[Category]]&amp;"-"&amp;IF(ResultsInd[[#This Row],[LoseInKO]]=ResultsInd[[#This Row],[Category]]&amp;"-"&amp;ResultsInd[[#This Row],[Player A]],ResultsInd[[#This Row],[Player B]],ResultsInd[[#This Row],[Player A]]),""),"")</f>
        <v/>
      </c>
      <c r="AB395" s="91"/>
      <c r="AC395" s="12" t="str">
        <f t="shared" si="343"/>
        <v>VETERANS</v>
      </c>
      <c r="AD395" s="309" t="s">
        <v>8139</v>
      </c>
      <c r="AE395" s="310"/>
      <c r="AF395" s="311"/>
      <c r="AG395" s="292">
        <f>IF(AP395="","",SMALL(AH392:AH398,ROWS(AG392:AG395)))</f>
        <v>4004</v>
      </c>
      <c r="AH395" s="293">
        <f>IF(AP395="","",RANK(AL395,AL392:AL398)*1000+ROWS(AH392:AH395))</f>
        <v>4004</v>
      </c>
      <c r="AI395" s="316">
        <f t="shared" si="337"/>
        <v>5000000000000</v>
      </c>
      <c r="AJ395" s="415" t="b">
        <f>AND(AO395&lt;&gt;"",AO395&gt;0,COUNTIF(AI392:AI398,AI395)&gt;1)</f>
        <v>1</v>
      </c>
      <c r="AK395" s="316">
        <f t="shared" si="338"/>
        <v>0</v>
      </c>
      <c r="AL395" s="317">
        <f t="shared" si="339"/>
        <v>4999999980600</v>
      </c>
      <c r="AM395" s="415" t="b">
        <f>AND(AO395&lt;&gt;"",AO395&gt;0,COUNTIF(AL392:AL398,AL395)&gt;1)</f>
        <v>0</v>
      </c>
      <c r="AN395" s="306">
        <f t="shared" si="340"/>
        <v>5</v>
      </c>
      <c r="AO395" s="307">
        <f t="shared" si="341"/>
        <v>4</v>
      </c>
      <c r="AP395" s="307">
        <f>IF(OR(AC391="",AD395=""),"",COUNTIF(ResultsInd[Win],AC391&amp;"-"&amp;AD395))</f>
        <v>1</v>
      </c>
      <c r="AQ395" s="307">
        <f>IF(OR(AC391="",AD395=""),"",COUNTIF(ResultsInd[Draw1],AC391&amp;"-"&amp;AD395)+COUNTIF(ResultsInd[Draw2],AC391&amp;"-"&amp;AD395))</f>
        <v>2</v>
      </c>
      <c r="AR395" s="307">
        <f>IF(OR(AC391="",AD395=""),"",COUNTIF(ResultsInd[Lose],AC391&amp;"-"&amp;AD395))</f>
        <v>1</v>
      </c>
      <c r="AS395" s="307">
        <f>IF(OR(AC391="",AD395=""),"",SUMIFS(ResultsInd[Goal-A],ResultsInd[Category],AC391,ResultsInd[Stage],"Groups",ResultsInd[Player A],AD395)+SUMIFS(ResultsInd[Goal-B],ResultsInd[Category],AC391,ResultsInd[Stage],"Groups",ResultsInd[Player B],AD395))</f>
        <v>6</v>
      </c>
      <c r="AT395" s="307">
        <f>IF(OR(AC391="",AD395=""),"",SUMIFS(ResultsInd[Goal-B],ResultsInd[Category],AC391,ResultsInd[Stage],"Groups",ResultsInd[Player A],AD395)+SUMIFS(ResultsInd[Goal-A],ResultsInd[Category],AC391,ResultsInd[Stage],"Groups",ResultsInd[Player B],AD395))</f>
        <v>8</v>
      </c>
      <c r="AU395" s="308">
        <f t="shared" si="344"/>
        <v>-2</v>
      </c>
      <c r="AV395" s="469" t="b">
        <f>IF(AG395="","",OR(VLOOKUP(AG395,AH392:AU398,3,FALSE),VLOOKUP(AG395,AH392:AU398,6,FALSE)))</f>
        <v>1</v>
      </c>
      <c r="AW395" s="298">
        <f t="shared" si="342"/>
        <v>4</v>
      </c>
      <c r="AX395" s="285" t="str">
        <f>IF(AG395="","",INDEX(AD392:AD398,MATCH(AG395,AH392:AH398,0)))</f>
        <v>Olivier Van Glabeke</v>
      </c>
      <c r="AY395" s="286">
        <f>IF(AG395="","",VLOOKUP(AG395,AH392:AU398,COLUMN()-COLUMN(AR391),FALSE))</f>
        <v>5</v>
      </c>
      <c r="AZ395" s="286">
        <f>IF(AG395="","",VLOOKUP(AG395,AH392:AU398,COLUMN()-COLUMN(AR391),FALSE))</f>
        <v>4</v>
      </c>
      <c r="BA395" s="286">
        <f>IF(AG395="","",VLOOKUP(AG395,AH392:AU398,COLUMN()-COLUMN(AR391),FALSE))</f>
        <v>1</v>
      </c>
      <c r="BB395" s="286">
        <f>IF(AG395="","",VLOOKUP(AG395,AH392:AU398,COLUMN()-COLUMN(AR391),FALSE))</f>
        <v>2</v>
      </c>
      <c r="BC395" s="286">
        <f>IF(AG395="","",VLOOKUP(AG395,AH392:AU398,COLUMN()-COLUMN(AR391),FALSE))</f>
        <v>1</v>
      </c>
      <c r="BD395" s="286">
        <f>IF(AG395="","",VLOOKUP(AG395,AH392:AU398,COLUMN()-COLUMN(AR391),FALSE))</f>
        <v>6</v>
      </c>
      <c r="BE395" s="286">
        <f>IF(AG395="","",VLOOKUP(AG395,AH392:AU398,COLUMN()-COLUMN(AR391),FALSE))</f>
        <v>8</v>
      </c>
      <c r="BF395" s="301">
        <f>IF(AG395="","",VLOOKUP(AG395,AH392:AU398,COLUMN()-COLUMN(AR391),FALSE))</f>
        <v>-2</v>
      </c>
    </row>
    <row r="396" spans="1:58" ht="12" thickBot="1" x14ac:dyDescent="0.25">
      <c r="A396" s="62" t="s">
        <v>12261</v>
      </c>
      <c r="B396" s="62" t="s">
        <v>12207</v>
      </c>
      <c r="C396" s="62">
        <v>13</v>
      </c>
      <c r="D396" s="62"/>
      <c r="E396" s="345" t="s">
        <v>8108</v>
      </c>
      <c r="F396" s="345" t="s">
        <v>8537</v>
      </c>
      <c r="G396" s="113">
        <v>0</v>
      </c>
      <c r="H396" s="113">
        <v>5</v>
      </c>
      <c r="I396" s="114"/>
      <c r="J396" s="114"/>
      <c r="K396" s="114"/>
      <c r="L396" s="81"/>
      <c r="M396" s="265" t="b">
        <f>NOT(ISERROR(ResultsInd[[#This Row],[Goal-A]]+ResultsInd[[#This Row],[Goal-B]]))</f>
        <v>1</v>
      </c>
      <c r="N396" s="265">
        <f>VALUE(ResultsInd[[#This Row],[Score-A]])</f>
        <v>0</v>
      </c>
      <c r="O396" s="265">
        <f>VALUE(ResultsInd[[#This Row],[Score-B]])</f>
        <v>5</v>
      </c>
      <c r="P396" s="265">
        <f ca="1">IF(AND(ResultsInd[[#This Row],[Category]]&lt;&gt;"",ResultsInd[[#This Row],[Player A]]&lt;&gt;""),COUNTIF(INDIRECT(ResultsInd[[#This Row],[Category]]&amp;"List[Retained Player Name]"),ResultsInd[[#This Row],[Player A]]),"")</f>
        <v>1</v>
      </c>
      <c r="Q396" s="265">
        <f ca="1">IF(AND(ResultsInd[[#This Row],[Category]]&lt;&gt;"",ResultsInd[[#This Row],[Player B]]&lt;&gt;""),COUNTIF(INDIRECT(ResultsInd[[#This Row],[Category]]&amp;"List[Retained Player Name]"),ResultsInd[[#This Row],[Player B]]),"")</f>
        <v>1</v>
      </c>
      <c r="R3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VETERANS-Bob Varney</v>
      </c>
      <c r="S396" s="265" t="str">
        <f>IF(ResultsInd[[#This Row],[Score_OK]],IF(ResultsInd[[#This Row],[Stage]]="Groups",ResultsInd[[#This Row],[Category]]&amp;"-"&amp;IF(ResultsInd[[#This Row],[Player B]]="","",IF(ResultsInd[[#This Row],[Score-A]]=ResultsInd[[#This Row],[Score-B]],ResultsInd[[#This Row],[Player A]],"")),""),"")</f>
        <v>VETERANS-</v>
      </c>
      <c r="T396" s="265" t="str">
        <f>IF(ResultsInd[[#This Row],[Score_OK]],IF(ResultsInd[[#This Row],[Stage]]="Groups",ResultsInd[[#This Row],[Category]]&amp;"-"&amp;IF(ResultsInd[[#This Row],[Player B]]="","",IF(ResultsInd[[#This Row],[Score-A]]=ResultsInd[[#This Row],[Score-B]],ResultsInd[[#This Row],[Player B]],"")),""),"")</f>
        <v>VETERANS-</v>
      </c>
      <c r="U3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VETERANS-Frank Lannoy</v>
      </c>
      <c r="V3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VETERANS-Frank Lannoy</v>
      </c>
      <c r="X3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VETERANS-Frank Lannoy</v>
      </c>
      <c r="Y396" s="264" t="str">
        <f>IF(ResultsInd[[#This Row],[Category]]="","",VLOOKUP(ResultsInd[[#This Row],[Stage]],$P$1:$V$9,MATCH(ResultsInd[[#This Row],[Category]],$Q$1:$V$1,0)+1,FALSE))</f>
        <v>PR1</v>
      </c>
      <c r="Z396" s="264" t="str">
        <f>IF(ResultsInd[[#This Row],[Score_OK]],IF(ResultsInd[[#This Row],[Level]]="R",ResultsInd[[#This Row],[Category]]&amp;"-"&amp;IF(ResultsInd[[#This Row],[LoseInKO]]=ResultsInd[[#This Row],[Category]]&amp;"-"&amp;ResultsInd[[#This Row],[Player A]],ResultsInd[[#This Row],[Player B]],ResultsInd[[#This Row],[Player A]]),""),"")</f>
        <v/>
      </c>
      <c r="AB396" s="91"/>
      <c r="AC396" s="12" t="str">
        <f t="shared" si="343"/>
        <v>VETERANS</v>
      </c>
      <c r="AD396" s="309" t="s">
        <v>13920</v>
      </c>
      <c r="AE396" s="310"/>
      <c r="AF396" s="311"/>
      <c r="AG396" s="292">
        <f>IF(AP396="","",SMALL(AH392:AH398,ROWS(AG392:AG396)))</f>
        <v>5005</v>
      </c>
      <c r="AH396" s="293">
        <f>IF(AP396="","",RANK(AL396,AL392:AL398)*1000+ROWS(AH392:AH396))</f>
        <v>5005</v>
      </c>
      <c r="AI396" s="316">
        <f t="shared" si="337"/>
        <v>0</v>
      </c>
      <c r="AJ396" s="415" t="b">
        <f>AND(AO396&lt;&gt;"",AO396&gt;0,COUNTIF(AI392:AI398,AI396)&gt;1)</f>
        <v>0</v>
      </c>
      <c r="AK396" s="316">
        <f t="shared" si="338"/>
        <v>0</v>
      </c>
      <c r="AL396" s="317">
        <f t="shared" si="339"/>
        <v>-239800</v>
      </c>
      <c r="AM396" s="415" t="b">
        <f>AND(AO396&lt;&gt;"",AO396&gt;0,COUNTIF(AL392:AL398,AL396)&gt;1)</f>
        <v>0</v>
      </c>
      <c r="AN396" s="306">
        <f t="shared" si="340"/>
        <v>0</v>
      </c>
      <c r="AO396" s="307">
        <f t="shared" si="341"/>
        <v>4</v>
      </c>
      <c r="AP396" s="307">
        <f>IF(OR(AC391="",AD396=""),"",COUNTIF(ResultsInd[Win],AC391&amp;"-"&amp;AD396))</f>
        <v>0</v>
      </c>
      <c r="AQ396" s="307">
        <f>IF(OR(AC391="",AD396=""),"",COUNTIF(ResultsInd[Draw1],AC391&amp;"-"&amp;AD396)+COUNTIF(ResultsInd[Draw2],AC391&amp;"-"&amp;AD396))</f>
        <v>0</v>
      </c>
      <c r="AR396" s="307">
        <f>IF(OR(AC391="",AD396=""),"",COUNTIF(ResultsInd[Lose],AC391&amp;"-"&amp;AD396))</f>
        <v>4</v>
      </c>
      <c r="AS396" s="307">
        <f>IF(OR(AC391="",AD396=""),"",SUMIFS(ResultsInd[Goal-A],ResultsInd[Category],AC391,ResultsInd[Stage],"Groups",ResultsInd[Player A],AD396)+SUMIFS(ResultsInd[Goal-B],ResultsInd[Category],AC391,ResultsInd[Stage],"Groups",ResultsInd[Player B],AD396))</f>
        <v>2</v>
      </c>
      <c r="AT396" s="307">
        <f>IF(OR(AC391="",AD396=""),"",SUMIFS(ResultsInd[Goal-B],ResultsInd[Category],AC391,ResultsInd[Stage],"Groups",ResultsInd[Player A],AD396)+SUMIFS(ResultsInd[Goal-A],ResultsInd[Category],AC391,ResultsInd[Stage],"Groups",ResultsInd[Player B],AD396))</f>
        <v>26</v>
      </c>
      <c r="AU396" s="308">
        <f t="shared" si="344"/>
        <v>-24</v>
      </c>
      <c r="AV396" s="469" t="b">
        <f>IF(AG396="","",OR(VLOOKUP(AG396,AH392:AU398,3,FALSE),VLOOKUP(AG396,AH392:AU398,6,FALSE)))</f>
        <v>0</v>
      </c>
      <c r="AW396" s="298">
        <f t="shared" si="342"/>
        <v>5</v>
      </c>
      <c r="AX396" s="285" t="str">
        <f>IF(AG396="","",INDEX(AD392:AD398,MATCH(AG396,AH392:AH398,0)))</f>
        <v>Adrian Pigott</v>
      </c>
      <c r="AY396" s="286">
        <f>IF(AG396="","",VLOOKUP(AG396,AH392:AU398,COLUMN()-COLUMN(AR391),FALSE))</f>
        <v>0</v>
      </c>
      <c r="AZ396" s="286">
        <f>IF(AG396="","",VLOOKUP(AG396,AH392:AU398,COLUMN()-COLUMN(AR391),FALSE))</f>
        <v>4</v>
      </c>
      <c r="BA396" s="286">
        <f>IF(AG396="","",VLOOKUP(AG396,AH392:AU398,COLUMN()-COLUMN(AR391),FALSE))</f>
        <v>0</v>
      </c>
      <c r="BB396" s="286">
        <f>IF(AG396="","",VLOOKUP(AG396,AH392:AU398,COLUMN()-COLUMN(AR391),FALSE))</f>
        <v>0</v>
      </c>
      <c r="BC396" s="286">
        <f>IF(AG396="","",VLOOKUP(AG396,AH392:AU398,COLUMN()-COLUMN(AR391),FALSE))</f>
        <v>4</v>
      </c>
      <c r="BD396" s="286">
        <f>IF(AG396="","",VLOOKUP(AG396,AH392:AU398,COLUMN()-COLUMN(AR391),FALSE))</f>
        <v>2</v>
      </c>
      <c r="BE396" s="286">
        <f>IF(AG396="","",VLOOKUP(AG396,AH392:AU398,COLUMN()-COLUMN(AR391),FALSE))</f>
        <v>26</v>
      </c>
      <c r="BF396" s="301">
        <f>IF(AG396="","",VLOOKUP(AG396,AH392:AU398,COLUMN()-COLUMN(AR391),FALSE))</f>
        <v>-24</v>
      </c>
    </row>
    <row r="397" spans="1:58" ht="12" thickBot="1" x14ac:dyDescent="0.25">
      <c r="A397" s="62" t="s">
        <v>12261</v>
      </c>
      <c r="B397" s="62" t="s">
        <v>12207</v>
      </c>
      <c r="C397" s="62">
        <v>13</v>
      </c>
      <c r="D397" s="62"/>
      <c r="E397" s="345" t="s">
        <v>8139</v>
      </c>
      <c r="F397" s="345" t="s">
        <v>8717</v>
      </c>
      <c r="G397" s="113">
        <v>1</v>
      </c>
      <c r="H397" s="113">
        <v>1</v>
      </c>
      <c r="I397" s="114"/>
      <c r="J397" s="114"/>
      <c r="K397" s="114"/>
      <c r="L397" s="81"/>
      <c r="M397" s="265" t="b">
        <f>NOT(ISERROR(ResultsInd[[#This Row],[Goal-A]]+ResultsInd[[#This Row],[Goal-B]]))</f>
        <v>1</v>
      </c>
      <c r="N397" s="265">
        <f>VALUE(ResultsInd[[#This Row],[Score-A]])</f>
        <v>1</v>
      </c>
      <c r="O397" s="265">
        <f>VALUE(ResultsInd[[#This Row],[Score-B]])</f>
        <v>1</v>
      </c>
      <c r="P397" s="265">
        <f ca="1">IF(AND(ResultsInd[[#This Row],[Category]]&lt;&gt;"",ResultsInd[[#This Row],[Player A]]&lt;&gt;""),COUNTIF(INDIRECT(ResultsInd[[#This Row],[Category]]&amp;"List[Retained Player Name]"),ResultsInd[[#This Row],[Player A]]),"")</f>
        <v>1</v>
      </c>
      <c r="Q397" s="265">
        <f ca="1">IF(AND(ResultsInd[[#This Row],[Category]]&lt;&gt;"",ResultsInd[[#This Row],[Player B]]&lt;&gt;""),COUNTIF(INDIRECT(ResultsInd[[#This Row],[Category]]&amp;"List[Retained Player Name]"),ResultsInd[[#This Row],[Player B]]),"")</f>
        <v>1</v>
      </c>
      <c r="R3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97" s="265" t="str">
        <f>IF(ResultsInd[[#This Row],[Score_OK]],IF(ResultsInd[[#This Row],[Stage]]="Groups",ResultsInd[[#This Row],[Category]]&amp;"-"&amp;IF(ResultsInd[[#This Row],[Player B]]="","",IF(ResultsInd[[#This Row],[Score-A]]=ResultsInd[[#This Row],[Score-B]],ResultsInd[[#This Row],[Player A]],"")),""),"")</f>
        <v>VETERANS-Olivier Van Glabeke</v>
      </c>
      <c r="T397" s="265" t="str">
        <f>IF(ResultsInd[[#This Row],[Score_OK]],IF(ResultsInd[[#This Row],[Stage]]="Groups",ResultsInd[[#This Row],[Category]]&amp;"-"&amp;IF(ResultsInd[[#This Row],[Player B]]="","",IF(ResultsInd[[#This Row],[Score-A]]=ResultsInd[[#This Row],[Score-B]],ResultsInd[[#This Row],[Player B]],"")),""),"")</f>
        <v>VETERANS-Xavier Dubois</v>
      </c>
      <c r="U3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Van Glabeke</v>
      </c>
      <c r="X3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VETERANS-Xavier Dubois</v>
      </c>
      <c r="Y397" s="264" t="str">
        <f>IF(ResultsInd[[#This Row],[Category]]="","",VLOOKUP(ResultsInd[[#This Row],[Stage]],$P$1:$V$9,MATCH(ResultsInd[[#This Row],[Category]],$Q$1:$V$1,0)+1,FALSE))</f>
        <v>PR1</v>
      </c>
      <c r="Z397" s="264" t="str">
        <f>IF(ResultsInd[[#This Row],[Score_OK]],IF(ResultsInd[[#This Row],[Level]]="R",ResultsInd[[#This Row],[Category]]&amp;"-"&amp;IF(ResultsInd[[#This Row],[LoseInKO]]=ResultsInd[[#This Row],[Category]]&amp;"-"&amp;ResultsInd[[#This Row],[Player A]],ResultsInd[[#This Row],[Player B]],ResultsInd[[#This Row],[Player A]]),""),"")</f>
        <v/>
      </c>
      <c r="AB397" s="8"/>
      <c r="AC397" s="12" t="str">
        <f t="shared" si="343"/>
        <v>VETERANS</v>
      </c>
      <c r="AD397" s="309"/>
      <c r="AE397" s="310"/>
      <c r="AF397" s="311"/>
      <c r="AG397" s="292" t="str">
        <f>IF(AP397="","",SMALL(AH392:AH398,ROWS(AG392:AG397)))</f>
        <v/>
      </c>
      <c r="AH397" s="293" t="str">
        <f>IF(AP397="","",RANK(AL397,AL392:AL398)*1000+ROWS(AH392:AH397))</f>
        <v/>
      </c>
      <c r="AI397" s="316" t="str">
        <f t="shared" si="337"/>
        <v/>
      </c>
      <c r="AJ397" s="415" t="b">
        <f>AND(AO397&lt;&gt;"",AO397&gt;0,COUNTIF(AI392:AI398,AI397)&gt;1)</f>
        <v>0</v>
      </c>
      <c r="AK397" s="316" t="str">
        <f t="shared" si="338"/>
        <v/>
      </c>
      <c r="AL397" s="317" t="str">
        <f t="shared" si="339"/>
        <v/>
      </c>
      <c r="AM397" s="415" t="b">
        <f>AND(AO397&lt;&gt;"",AO397&gt;0,COUNTIF(AL392:AL398,AL397)&gt;1)</f>
        <v>0</v>
      </c>
      <c r="AN397" s="306" t="str">
        <f t="shared" si="340"/>
        <v/>
      </c>
      <c r="AO397" s="307" t="str">
        <f t="shared" si="341"/>
        <v/>
      </c>
      <c r="AP397" s="307" t="str">
        <f>IF(OR(AC391="",AD397=""),"",COUNTIF(ResultsInd[Win],AC391&amp;"-"&amp;AD397))</f>
        <v/>
      </c>
      <c r="AQ397" s="307" t="str">
        <f>IF(OR(AC391="",AD397=""),"",COUNTIF(ResultsInd[Draw1],AC391&amp;"-"&amp;AD397)+COUNTIF(ResultsInd[Draw2],AC391&amp;"-"&amp;AD397))</f>
        <v/>
      </c>
      <c r="AR397" s="307" t="str">
        <f>IF(OR(AC391="",AD397=""),"",COUNTIF(ResultsInd[Lose],AC391&amp;"-"&amp;AD397))</f>
        <v/>
      </c>
      <c r="AS397" s="307" t="str">
        <f>IF(OR(AC391="",AD397=""),"",SUMIFS(ResultsInd[Goal-A],ResultsInd[Category],AC391,ResultsInd[Stage],"Groups",ResultsInd[Player A],AD397)+SUMIFS(ResultsInd[Goal-B],ResultsInd[Category],AC391,ResultsInd[Stage],"Groups",ResultsInd[Player B],AD397))</f>
        <v/>
      </c>
      <c r="AT397" s="307" t="str">
        <f>IF(OR(AC391="",AD397=""),"",SUMIFS(ResultsInd[Goal-B],ResultsInd[Category],AC391,ResultsInd[Stage],"Groups",ResultsInd[Player A],AD397)+SUMIFS(ResultsInd[Goal-A],ResultsInd[Category],AC391,ResultsInd[Stage],"Groups",ResultsInd[Player B],AD397))</f>
        <v/>
      </c>
      <c r="AU397" s="308" t="str">
        <f t="shared" si="344"/>
        <v/>
      </c>
      <c r="AV397" s="469" t="str">
        <f>IF(AG397="","",OR(VLOOKUP(AG397,AH392:AU398,3,FALSE),VLOOKUP(AG397,AH392:AU398,6,FALSE)))</f>
        <v/>
      </c>
      <c r="AW397" s="298" t="str">
        <f t="shared" si="342"/>
        <v/>
      </c>
      <c r="AX397" s="285" t="str">
        <f>IF(AG397="","",INDEX(AD392:AD398,MATCH(AG397,AH392:AH398,0)))</f>
        <v/>
      </c>
      <c r="AY397" s="286" t="str">
        <f>IF(AG397="","",VLOOKUP(AG397,AH392:AU398,COLUMN()-COLUMN(AR391),FALSE))</f>
        <v/>
      </c>
      <c r="AZ397" s="286" t="str">
        <f>IF(AG397="","",VLOOKUP(AG397,AH392:AU398,COLUMN()-COLUMN(AR391),FALSE))</f>
        <v/>
      </c>
      <c r="BA397" s="286" t="str">
        <f>IF(AG397="","",VLOOKUP(AG397,AH392:AU398,COLUMN()-COLUMN(AR391),FALSE))</f>
        <v/>
      </c>
      <c r="BB397" s="286" t="str">
        <f>IF(AG397="","",VLOOKUP(AG397,AH392:AU398,COLUMN()-COLUMN(AR391),FALSE))</f>
        <v/>
      </c>
      <c r="BC397" s="286" t="str">
        <f>IF(AG397="","",VLOOKUP(AG397,AH392:AU398,COLUMN()-COLUMN(AR391),FALSE))</f>
        <v/>
      </c>
      <c r="BD397" s="286" t="str">
        <f>IF(AG397="","",VLOOKUP(AG397,AH392:AU398,COLUMN()-COLUMN(AR391),FALSE))</f>
        <v/>
      </c>
      <c r="BE397" s="286" t="str">
        <f>IF(AG397="","",VLOOKUP(AG397,AH392:AU398,COLUMN()-COLUMN(AR391),FALSE))</f>
        <v/>
      </c>
      <c r="BF397" s="301" t="str">
        <f>IF(AG397="","",VLOOKUP(AG397,AH392:AU398,COLUMN()-COLUMN(AR391),FALSE))</f>
        <v/>
      </c>
    </row>
    <row r="398" spans="1:58" ht="12" thickBot="1" x14ac:dyDescent="0.25">
      <c r="A398" s="62" t="s">
        <v>12261</v>
      </c>
      <c r="B398" s="62" t="s">
        <v>12207</v>
      </c>
      <c r="C398" s="62">
        <v>14</v>
      </c>
      <c r="D398" s="62"/>
      <c r="E398" s="345" t="s">
        <v>10369</v>
      </c>
      <c r="F398" s="345" t="s">
        <v>8539</v>
      </c>
      <c r="G398" s="113">
        <v>7</v>
      </c>
      <c r="H398" s="113">
        <v>1</v>
      </c>
      <c r="I398" s="114"/>
      <c r="J398" s="114"/>
      <c r="K398" s="114"/>
      <c r="L398" s="81"/>
      <c r="M398" s="265" t="b">
        <f>NOT(ISERROR(ResultsInd[[#This Row],[Goal-A]]+ResultsInd[[#This Row],[Goal-B]]))</f>
        <v>1</v>
      </c>
      <c r="N398" s="265">
        <f>VALUE(ResultsInd[[#This Row],[Score-A]])</f>
        <v>7</v>
      </c>
      <c r="O398" s="265">
        <f>VALUE(ResultsInd[[#This Row],[Score-B]])</f>
        <v>1</v>
      </c>
      <c r="P398" s="265">
        <f ca="1">IF(AND(ResultsInd[[#This Row],[Category]]&lt;&gt;"",ResultsInd[[#This Row],[Player A]]&lt;&gt;""),COUNTIF(INDIRECT(ResultsInd[[#This Row],[Category]]&amp;"List[Retained Player Name]"),ResultsInd[[#This Row],[Player A]]),"")</f>
        <v>1</v>
      </c>
      <c r="Q398" s="265">
        <f ca="1">IF(AND(ResultsInd[[#This Row],[Category]]&lt;&gt;"",ResultsInd[[#This Row],[Player B]]&lt;&gt;""),COUNTIF(INDIRECT(ResultsInd[[#This Row],[Category]]&amp;"List[Retained Player Name]"),ResultsInd[[#This Row],[Player B]]),"")</f>
        <v>1</v>
      </c>
      <c r="R3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VETERANS-Carlo Alessi</v>
      </c>
      <c r="S398" s="265" t="str">
        <f>IF(ResultsInd[[#This Row],[Score_OK]],IF(ResultsInd[[#This Row],[Stage]]="Groups",ResultsInd[[#This Row],[Category]]&amp;"-"&amp;IF(ResultsInd[[#This Row],[Player B]]="","",IF(ResultsInd[[#This Row],[Score-A]]=ResultsInd[[#This Row],[Score-B]],ResultsInd[[#This Row],[Player A]],"")),""),"")</f>
        <v>VETERANS-</v>
      </c>
      <c r="T398" s="265" t="str">
        <f>IF(ResultsInd[[#This Row],[Score_OK]],IF(ResultsInd[[#This Row],[Stage]]="Groups",ResultsInd[[#This Row],[Category]]&amp;"-"&amp;IF(ResultsInd[[#This Row],[Player B]]="","",IF(ResultsInd[[#This Row],[Score-A]]=ResultsInd[[#This Row],[Score-B]],ResultsInd[[#This Row],[Player B]],"")),""),"")</f>
        <v>VETERANS-</v>
      </c>
      <c r="U3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VETERANS-Rudi Peterschinigg</v>
      </c>
      <c r="V3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VETERANS-Rudi Peterschinigg</v>
      </c>
      <c r="X3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VETERANS-Rudi Peterschinigg</v>
      </c>
      <c r="Y398" s="264" t="str">
        <f>IF(ResultsInd[[#This Row],[Category]]="","",VLOOKUP(ResultsInd[[#This Row],[Stage]],$P$1:$V$9,MATCH(ResultsInd[[#This Row],[Category]],$Q$1:$V$1,0)+1,FALSE))</f>
        <v>PR1</v>
      </c>
      <c r="Z398" s="264" t="str">
        <f>IF(ResultsInd[[#This Row],[Score_OK]],IF(ResultsInd[[#This Row],[Level]]="R",ResultsInd[[#This Row],[Category]]&amp;"-"&amp;IF(ResultsInd[[#This Row],[LoseInKO]]=ResultsInd[[#This Row],[Category]]&amp;"-"&amp;ResultsInd[[#This Row],[Player A]],ResultsInd[[#This Row],[Player B]],ResultsInd[[#This Row],[Player A]]),""),"")</f>
        <v/>
      </c>
      <c r="AB398" s="8"/>
      <c r="AC398" s="12" t="str">
        <f t="shared" si="343"/>
        <v>VETERANS</v>
      </c>
      <c r="AD398" s="312"/>
      <c r="AE398" s="313"/>
      <c r="AF398" s="314"/>
      <c r="AG398" s="294" t="str">
        <f>IF(AP398="","",SMALL(AH392:AH398,ROWS(AG392:AG398)))</f>
        <v/>
      </c>
      <c r="AH398" s="295" t="str">
        <f>IF(AP398="","",RANK(AL398,AL392:AL398)*1000+ROWS(AH392:AH398))</f>
        <v/>
      </c>
      <c r="AI398" s="318" t="str">
        <f t="shared" si="337"/>
        <v/>
      </c>
      <c r="AJ398" s="416" t="b">
        <f>AND(AO398&lt;&gt;"",AO398&gt;0,COUNTIF(AI392:AI398,AI398)&gt;1)</f>
        <v>0</v>
      </c>
      <c r="AK398" s="318" t="str">
        <f t="shared" si="338"/>
        <v/>
      </c>
      <c r="AL398" s="319" t="str">
        <f t="shared" si="339"/>
        <v/>
      </c>
      <c r="AM398" s="416" t="b">
        <f>AND(AO398&lt;&gt;"",AO398&gt;0,COUNTIF(AL392:AL398,AL398)&gt;1)</f>
        <v>0</v>
      </c>
      <c r="AN398" s="306" t="str">
        <f t="shared" si="340"/>
        <v/>
      </c>
      <c r="AO398" s="307" t="str">
        <f t="shared" si="341"/>
        <v/>
      </c>
      <c r="AP398" s="307" t="str">
        <f>IF(OR(AC391="",AD398=""),"",COUNTIF(ResultsInd[Win],AC391&amp;"-"&amp;AD398))</f>
        <v/>
      </c>
      <c r="AQ398" s="307" t="str">
        <f>IF(OR(AC391="",AD398=""),"",COUNTIF(ResultsInd[Draw1],AC391&amp;"-"&amp;AD398)+COUNTIF(ResultsInd[Draw2],AC391&amp;"-"&amp;AD398))</f>
        <v/>
      </c>
      <c r="AR398" s="307" t="str">
        <f>IF(OR(AC391="",AD398=""),"",COUNTIF(ResultsInd[Lose],AC391&amp;"-"&amp;AD398))</f>
        <v/>
      </c>
      <c r="AS398" s="307" t="str">
        <f>IF(OR(AC391="",AD398=""),"",SUMIFS(ResultsInd[Goal-A],ResultsInd[Category],AC391,ResultsInd[Stage],"Groups",ResultsInd[Player A],AD398)+SUMIFS(ResultsInd[Goal-B],ResultsInd[Category],AC391,ResultsInd[Stage],"Groups",ResultsInd[Player B],AD398))</f>
        <v/>
      </c>
      <c r="AT398" s="307" t="str">
        <f>IF(OR(AC391="",AD398=""),"",SUMIFS(ResultsInd[Goal-B],ResultsInd[Category],AC391,ResultsInd[Stage],"Groups",ResultsInd[Player A],AD398)+SUMIFS(ResultsInd[Goal-A],ResultsInd[Category],AC391,ResultsInd[Stage],"Groups",ResultsInd[Player B],AD398))</f>
        <v/>
      </c>
      <c r="AU398" s="308" t="str">
        <f t="shared" si="344"/>
        <v/>
      </c>
      <c r="AV398" s="469" t="str">
        <f>IF(AG398="","",OR(VLOOKUP(AG398,AH392:AU398,3,FALSE),VLOOKUP(AG398,AH392:AU398,6,FALSE)))</f>
        <v/>
      </c>
      <c r="AW398" s="299" t="str">
        <f t="shared" si="342"/>
        <v/>
      </c>
      <c r="AX398" s="287" t="str">
        <f>IF(AG398="","",INDEX(AD392:AD398,MATCH(AG398,AH392:AH398,0)))</f>
        <v/>
      </c>
      <c r="AY398" s="288" t="str">
        <f>IF(AG398="","",VLOOKUP(AG398,AH392:AU398,COLUMN()-COLUMN(AR391),FALSE))</f>
        <v/>
      </c>
      <c r="AZ398" s="288" t="str">
        <f>IF(AG398="","",VLOOKUP(AG398,AH392:AU398,COLUMN()-COLUMN(AR391),FALSE))</f>
        <v/>
      </c>
      <c r="BA398" s="288" t="str">
        <f>IF(AG398="","",VLOOKUP(AG398,AH392:AU398,COLUMN()-COLUMN(AR391),FALSE))</f>
        <v/>
      </c>
      <c r="BB398" s="288" t="str">
        <f>IF(AG398="","",VLOOKUP(AG398,AH392:AU398,COLUMN()-COLUMN(AR391),FALSE))</f>
        <v/>
      </c>
      <c r="BC398" s="288" t="str">
        <f>IF(AG398="","",VLOOKUP(AG398,AH392:AU398,COLUMN()-COLUMN(AR391),FALSE))</f>
        <v/>
      </c>
      <c r="BD398" s="288" t="str">
        <f>IF(AG398="","",VLOOKUP(AG398,AH392:AU398,COLUMN()-COLUMN(AR391),FALSE))</f>
        <v/>
      </c>
      <c r="BE398" s="288" t="str">
        <f>IF(AG398="","",VLOOKUP(AG398,AH392:AU398,COLUMN()-COLUMN(AR391),FALSE))</f>
        <v/>
      </c>
      <c r="BF398" s="302" t="str">
        <f>IF(AG398="","",VLOOKUP(AG398,AH392:AU398,COLUMN()-COLUMN(AR391),FALSE))</f>
        <v/>
      </c>
    </row>
    <row r="399" spans="1:58" ht="13.5" thickBot="1" x14ac:dyDescent="0.25">
      <c r="A399" s="62" t="s">
        <v>12261</v>
      </c>
      <c r="B399" s="62" t="s">
        <v>12207</v>
      </c>
      <c r="C399" s="62">
        <v>14</v>
      </c>
      <c r="D399" s="62"/>
      <c r="E399" s="345" t="s">
        <v>8747</v>
      </c>
      <c r="F399" s="345" t="s">
        <v>11690</v>
      </c>
      <c r="G399" s="113">
        <v>0</v>
      </c>
      <c r="H399" s="113">
        <v>0</v>
      </c>
      <c r="I399" s="114"/>
      <c r="J399" s="114"/>
      <c r="K399" s="114"/>
      <c r="L399" s="81"/>
      <c r="M399" s="265" t="b">
        <f>NOT(ISERROR(ResultsInd[[#This Row],[Goal-A]]+ResultsInd[[#This Row],[Goal-B]]))</f>
        <v>1</v>
      </c>
      <c r="N399" s="265">
        <f>VALUE(ResultsInd[[#This Row],[Score-A]])</f>
        <v>0</v>
      </c>
      <c r="O399" s="265">
        <f>VALUE(ResultsInd[[#This Row],[Score-B]])</f>
        <v>0</v>
      </c>
      <c r="P399" s="265">
        <f ca="1">IF(AND(ResultsInd[[#This Row],[Category]]&lt;&gt;"",ResultsInd[[#This Row],[Player A]]&lt;&gt;""),COUNTIF(INDIRECT(ResultsInd[[#This Row],[Category]]&amp;"List[Retained Player Name]"),ResultsInd[[#This Row],[Player A]]),"")</f>
        <v>1</v>
      </c>
      <c r="Q399" s="265">
        <f ca="1">IF(AND(ResultsInd[[#This Row],[Category]]&lt;&gt;"",ResultsInd[[#This Row],[Player B]]&lt;&gt;""),COUNTIF(INDIRECT(ResultsInd[[#This Row],[Category]]&amp;"List[Retained Player Name]"),ResultsInd[[#This Row],[Player B]]),"")</f>
        <v>1</v>
      </c>
      <c r="R3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399" s="265" t="str">
        <f>IF(ResultsInd[[#This Row],[Score_OK]],IF(ResultsInd[[#This Row],[Stage]]="Groups",ResultsInd[[#This Row],[Category]]&amp;"-"&amp;IF(ResultsInd[[#This Row],[Player B]]="","",IF(ResultsInd[[#This Row],[Score-A]]=ResultsInd[[#This Row],[Score-B]],ResultsInd[[#This Row],[Player A]],"")),""),"")</f>
        <v>VETERANS-Jose Luis Bonavia</v>
      </c>
      <c r="T399" s="265" t="str">
        <f>IF(ResultsInd[[#This Row],[Score_OK]],IF(ResultsInd[[#This Row],[Stage]]="Groups",ResultsInd[[#This Row],[Category]]&amp;"-"&amp;IF(ResultsInd[[#This Row],[Player B]]="","",IF(ResultsInd[[#This Row],[Score-A]]=ResultsInd[[#This Row],[Score-B]],ResultsInd[[#This Row],[Player B]],"")),""),"")</f>
        <v>VETERANS-Laurent Ausset</v>
      </c>
      <c r="U3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3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VETERANS-Jose Luis Bonavia</v>
      </c>
      <c r="X3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Y399" s="264" t="str">
        <f>IF(ResultsInd[[#This Row],[Category]]="","",VLOOKUP(ResultsInd[[#This Row],[Stage]],$P$1:$V$9,MATCH(ResultsInd[[#This Row],[Category]],$Q$1:$V$1,0)+1,FALSE))</f>
        <v>PR1</v>
      </c>
      <c r="Z399" s="264" t="str">
        <f>IF(ResultsInd[[#This Row],[Score_OK]],IF(ResultsInd[[#This Row],[Level]]="R",ResultsInd[[#This Row],[Category]]&amp;"-"&amp;IF(ResultsInd[[#This Row],[LoseInKO]]=ResultsInd[[#This Row],[Category]]&amp;"-"&amp;ResultsInd[[#This Row],[Player A]],ResultsInd[[#This Row],[Player B]],ResultsInd[[#This Row],[Player A]]),""),"")</f>
        <v/>
      </c>
      <c r="AB399" s="8"/>
      <c r="AC399" s="8"/>
      <c r="AF399" s="170"/>
      <c r="AG399" s="101"/>
      <c r="AH399" s="101"/>
      <c r="AN399" s="170"/>
      <c r="AO399" s="170"/>
      <c r="AP399" s="170"/>
      <c r="AQ399" s="172"/>
      <c r="AR399" s="173"/>
      <c r="AS399" s="173"/>
      <c r="AT399" s="173"/>
      <c r="AU399" s="101"/>
      <c r="AV399" s="101"/>
      <c r="AW399" s="101"/>
      <c r="AX399" s="101"/>
      <c r="AY399" s="101"/>
      <c r="AZ399" s="101"/>
    </row>
    <row r="400" spans="1:58" ht="12" thickBot="1" x14ac:dyDescent="0.25">
      <c r="A400" s="62" t="s">
        <v>12261</v>
      </c>
      <c r="B400" s="62" t="s">
        <v>12207</v>
      </c>
      <c r="C400" s="62">
        <v>14</v>
      </c>
      <c r="D400" s="62"/>
      <c r="E400" s="345" t="s">
        <v>11690</v>
      </c>
      <c r="F400" s="345" t="s">
        <v>10369</v>
      </c>
      <c r="G400" s="113">
        <v>1</v>
      </c>
      <c r="H400" s="113">
        <v>8</v>
      </c>
      <c r="I400" s="114"/>
      <c r="J400" s="114"/>
      <c r="K400" s="114"/>
      <c r="L400" s="81"/>
      <c r="M400" s="265" t="b">
        <f>NOT(ISERROR(ResultsInd[[#This Row],[Goal-A]]+ResultsInd[[#This Row],[Goal-B]]))</f>
        <v>1</v>
      </c>
      <c r="N400" s="265">
        <f>VALUE(ResultsInd[[#This Row],[Score-A]])</f>
        <v>1</v>
      </c>
      <c r="O400" s="265">
        <f>VALUE(ResultsInd[[#This Row],[Score-B]])</f>
        <v>8</v>
      </c>
      <c r="P400" s="265">
        <f ca="1">IF(AND(ResultsInd[[#This Row],[Category]]&lt;&gt;"",ResultsInd[[#This Row],[Player A]]&lt;&gt;""),COUNTIF(INDIRECT(ResultsInd[[#This Row],[Category]]&amp;"List[Retained Player Name]"),ResultsInd[[#This Row],[Player A]]),"")</f>
        <v>1</v>
      </c>
      <c r="Q400" s="265">
        <f ca="1">IF(AND(ResultsInd[[#This Row],[Category]]&lt;&gt;"",ResultsInd[[#This Row],[Player B]]&lt;&gt;""),COUNTIF(INDIRECT(ResultsInd[[#This Row],[Category]]&amp;"List[Retained Player Name]"),ResultsInd[[#This Row],[Player B]]),"")</f>
        <v>1</v>
      </c>
      <c r="R4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VETERANS-Carlo Alessi</v>
      </c>
      <c r="S400" s="265" t="str">
        <f>IF(ResultsInd[[#This Row],[Score_OK]],IF(ResultsInd[[#This Row],[Stage]]="Groups",ResultsInd[[#This Row],[Category]]&amp;"-"&amp;IF(ResultsInd[[#This Row],[Player B]]="","",IF(ResultsInd[[#This Row],[Score-A]]=ResultsInd[[#This Row],[Score-B]],ResultsInd[[#This Row],[Player A]],"")),""),"")</f>
        <v>VETERANS-</v>
      </c>
      <c r="T400" s="265" t="str">
        <f>IF(ResultsInd[[#This Row],[Score_OK]],IF(ResultsInd[[#This Row],[Stage]]="Groups",ResultsInd[[#This Row],[Category]]&amp;"-"&amp;IF(ResultsInd[[#This Row],[Player B]]="","",IF(ResultsInd[[#This Row],[Score-A]]=ResultsInd[[#This Row],[Score-B]],ResultsInd[[#This Row],[Player B]],"")),""),"")</f>
        <v>VETERANS-</v>
      </c>
      <c r="U4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VETERANS-Laurent Ausset</v>
      </c>
      <c r="V4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X4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Y400" s="264" t="str">
        <f>IF(ResultsInd[[#This Row],[Category]]="","",VLOOKUP(ResultsInd[[#This Row],[Stage]],$P$1:$V$9,MATCH(ResultsInd[[#This Row],[Category]],$Q$1:$V$1,0)+1,FALSE))</f>
        <v>PR1</v>
      </c>
      <c r="Z400" s="264" t="str">
        <f>IF(ResultsInd[[#This Row],[Score_OK]],IF(ResultsInd[[#This Row],[Level]]="R",ResultsInd[[#This Row],[Category]]&amp;"-"&amp;IF(ResultsInd[[#This Row],[LoseInKO]]=ResultsInd[[#This Row],[Category]]&amp;"-"&amp;ResultsInd[[#This Row],[Player A]],ResultsInd[[#This Row],[Player B]],ResultsInd[[#This Row],[Player A]]),""),"")</f>
        <v/>
      </c>
      <c r="AB400" s="281">
        <v>14</v>
      </c>
      <c r="AC400" s="315" t="s">
        <v>12261</v>
      </c>
      <c r="AD400" s="289" t="s">
        <v>14439</v>
      </c>
      <c r="AE400" s="290" t="s">
        <v>12279</v>
      </c>
      <c r="AF400" s="284" t="s">
        <v>12275</v>
      </c>
      <c r="AG400" s="296" t="s">
        <v>12276</v>
      </c>
      <c r="AH400" s="291" t="s">
        <v>12271</v>
      </c>
      <c r="AI400" s="291" t="s">
        <v>12272</v>
      </c>
      <c r="AJ400" s="414" t="s">
        <v>13154</v>
      </c>
      <c r="AK400" s="291" t="s">
        <v>12273</v>
      </c>
      <c r="AL400" s="297" t="s">
        <v>12274</v>
      </c>
      <c r="AM400" s="414" t="s">
        <v>13154</v>
      </c>
      <c r="AN400" s="303" t="s">
        <v>12199</v>
      </c>
      <c r="AO400" s="304" t="s">
        <v>12200</v>
      </c>
      <c r="AP400" s="304" t="s">
        <v>12201</v>
      </c>
      <c r="AQ400" s="304" t="s">
        <v>12202</v>
      </c>
      <c r="AR400" s="304" t="s">
        <v>12203</v>
      </c>
      <c r="AS400" s="304" t="s">
        <v>12204</v>
      </c>
      <c r="AT400" s="304" t="s">
        <v>12205</v>
      </c>
      <c r="AU400" s="305" t="s">
        <v>12206</v>
      </c>
      <c r="AV400" s="468"/>
      <c r="AW400" s="282" t="s">
        <v>12276</v>
      </c>
      <c r="AX400" s="282" t="s">
        <v>12280</v>
      </c>
      <c r="AY400" s="283" t="s">
        <v>12199</v>
      </c>
      <c r="AZ400" s="283" t="s">
        <v>12200</v>
      </c>
      <c r="BA400" s="283" t="s">
        <v>12201</v>
      </c>
      <c r="BB400" s="283" t="s">
        <v>12202</v>
      </c>
      <c r="BC400" s="283" t="s">
        <v>12203</v>
      </c>
      <c r="BD400" s="283" t="s">
        <v>12204</v>
      </c>
      <c r="BE400" s="283" t="s">
        <v>12205</v>
      </c>
      <c r="BF400" s="300" t="s">
        <v>12206</v>
      </c>
    </row>
    <row r="401" spans="1:58" ht="12" thickBot="1" x14ac:dyDescent="0.25">
      <c r="A401" s="62" t="s">
        <v>12261</v>
      </c>
      <c r="B401" s="62" t="s">
        <v>12207</v>
      </c>
      <c r="C401" s="62">
        <v>14</v>
      </c>
      <c r="D401" s="62"/>
      <c r="E401" s="345" t="s">
        <v>14555</v>
      </c>
      <c r="F401" s="345" t="s">
        <v>8539</v>
      </c>
      <c r="G401" s="113">
        <v>1</v>
      </c>
      <c r="H401" s="113">
        <v>0</v>
      </c>
      <c r="I401" s="114"/>
      <c r="J401" s="114"/>
      <c r="K401" s="114"/>
      <c r="L401" s="81"/>
      <c r="M401" s="265" t="b">
        <f>NOT(ISERROR(ResultsInd[[#This Row],[Goal-A]]+ResultsInd[[#This Row],[Goal-B]]))</f>
        <v>1</v>
      </c>
      <c r="N401" s="265">
        <f>VALUE(ResultsInd[[#This Row],[Score-A]])</f>
        <v>1</v>
      </c>
      <c r="O401" s="265">
        <f>VALUE(ResultsInd[[#This Row],[Score-B]])</f>
        <v>0</v>
      </c>
      <c r="P401" s="265">
        <f ca="1">IF(AND(ResultsInd[[#This Row],[Category]]&lt;&gt;"",ResultsInd[[#This Row],[Player A]]&lt;&gt;""),COUNTIF(INDIRECT(ResultsInd[[#This Row],[Category]]&amp;"List[Retained Player Name]"),ResultsInd[[#This Row],[Player A]]),"")</f>
        <v>1</v>
      </c>
      <c r="Q401" s="265">
        <f ca="1">IF(AND(ResultsInd[[#This Row],[Category]]&lt;&gt;"",ResultsInd[[#This Row],[Player B]]&lt;&gt;""),COUNTIF(INDIRECT(ResultsInd[[#This Row],[Category]]&amp;"List[Retained Player Name]"),ResultsInd[[#This Row],[Player B]]),"")</f>
        <v>1</v>
      </c>
      <c r="R4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VETERANS-Sébastien Rochez</v>
      </c>
      <c r="S401" s="265" t="str">
        <f>IF(ResultsInd[[#This Row],[Score_OK]],IF(ResultsInd[[#This Row],[Stage]]="Groups",ResultsInd[[#This Row],[Category]]&amp;"-"&amp;IF(ResultsInd[[#This Row],[Player B]]="","",IF(ResultsInd[[#This Row],[Score-A]]=ResultsInd[[#This Row],[Score-B]],ResultsInd[[#This Row],[Player A]],"")),""),"")</f>
        <v>VETERANS-</v>
      </c>
      <c r="T401" s="265" t="str">
        <f>IF(ResultsInd[[#This Row],[Score_OK]],IF(ResultsInd[[#This Row],[Stage]]="Groups",ResultsInd[[#This Row],[Category]]&amp;"-"&amp;IF(ResultsInd[[#This Row],[Player B]]="","",IF(ResultsInd[[#This Row],[Score-A]]=ResultsInd[[#This Row],[Score-B]],ResultsInd[[#This Row],[Player B]],"")),""),"")</f>
        <v>VETERANS-</v>
      </c>
      <c r="U4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VETERANS-Rudi Peterschinigg</v>
      </c>
      <c r="V4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VETERANS-Rudi Peterschinigg</v>
      </c>
      <c r="X4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VETERANS-Rudi Peterschinigg</v>
      </c>
      <c r="Y401" s="264" t="str">
        <f>IF(ResultsInd[[#This Row],[Category]]="","",VLOOKUP(ResultsInd[[#This Row],[Stage]],$P$1:$V$9,MATCH(ResultsInd[[#This Row],[Category]],$Q$1:$V$1,0)+1,FALSE))</f>
        <v>PR1</v>
      </c>
      <c r="Z401" s="264" t="str">
        <f>IF(ResultsInd[[#This Row],[Score_OK]],IF(ResultsInd[[#This Row],[Level]]="R",ResultsInd[[#This Row],[Category]]&amp;"-"&amp;IF(ResultsInd[[#This Row],[LoseInKO]]=ResultsInd[[#This Row],[Category]]&amp;"-"&amp;ResultsInd[[#This Row],[Player A]],ResultsInd[[#This Row],[Player B]],ResultsInd[[#This Row],[Player A]]),""),"")</f>
        <v/>
      </c>
      <c r="AB401" s="8"/>
      <c r="AC401" s="12" t="str">
        <f>IF(AC400="","",AC400)</f>
        <v>VETERANS</v>
      </c>
      <c r="AD401" s="309" t="s">
        <v>10369</v>
      </c>
      <c r="AE401" s="320"/>
      <c r="AF401" s="311"/>
      <c r="AG401" s="292">
        <f>IF(AP401="","",SMALL(AH401:AH407,ROWS(AG401:AG401)))</f>
        <v>1001</v>
      </c>
      <c r="AH401" s="293">
        <f>IF(AP401="","",RANK(AL401,AL401:AL407)*1000+ROWS(AH401:AH401))</f>
        <v>1001</v>
      </c>
      <c r="AI401" s="316">
        <f t="shared" ref="AI401:AI407" si="345">IF(AP401="","",CritClassInd1_Points*AN401+CritClassInd1_Matches*AP401+CritClassInd1_Attaque*AS401+CritClassInd1_DiffButs*AU401)</f>
        <v>10000000000000</v>
      </c>
      <c r="AJ401" s="415" t="b">
        <f>AND(AO401&lt;&gt;"",AO401&gt;0,COUNTIF(AI401:AI407,AI401)&gt;1)</f>
        <v>1</v>
      </c>
      <c r="AK401" s="316">
        <f t="shared" ref="AK401:AK407" si="346">IF(AP401="","",CritClassInd_ScorePart*AE401)</f>
        <v>0</v>
      </c>
      <c r="AL401" s="317">
        <f t="shared" ref="AL401:AL407" si="347">IF(AP401="","",AI401+AK401+CritClassInd2_Points*AN401+CritClassInd2_Matches*AP401+CritClassInd2_Attaque*AS401+CritClassInd2_DiffButs*AU401+AF401)</f>
        <v>10000000172000</v>
      </c>
      <c r="AM401" s="415" t="b">
        <f>AND(AO401&lt;&gt;"",AO401&gt;0,COUNTIF(AL401:AL407,AL401)&gt;1)</f>
        <v>0</v>
      </c>
      <c r="AN401" s="306">
        <f t="shared" ref="AN401:AN407" si="348">IF(AP401="","",(AP401*Points_Victoire)+AQ401*Points_Null)</f>
        <v>10</v>
      </c>
      <c r="AO401" s="307">
        <f t="shared" ref="AO401:AO407" si="349">IF(AP401="","",SUM(AP401:AR401))</f>
        <v>4</v>
      </c>
      <c r="AP401" s="307">
        <f>IF(OR(AC400="",AD401=""),"",COUNTIF(ResultsInd[Win],AC400&amp;"-"&amp;AD401))</f>
        <v>3</v>
      </c>
      <c r="AQ401" s="307">
        <f>IF(OR(AC400="",AD401=""),"",COUNTIF(ResultsInd[Draw1],AC400&amp;"-"&amp;AD401)+COUNTIF(ResultsInd[Draw2],AC400&amp;"-"&amp;AD401))</f>
        <v>1</v>
      </c>
      <c r="AR401" s="307">
        <f>IF(OR(AC400="",AD401=""),"",COUNTIF(ResultsInd[Lose],AC400&amp;"-"&amp;AD401))</f>
        <v>0</v>
      </c>
      <c r="AS401" s="307">
        <f>IF(OR(AC400="",AD401=""),"",SUMIFS(ResultsInd[Goal-A],ResultsInd[Category],AC400,ResultsInd[Stage],"Groups",ResultsInd[Player A],AD401)+SUMIFS(ResultsInd[Goal-B],ResultsInd[Category],AC400,ResultsInd[Stage],"Groups",ResultsInd[Player B],AD401))</f>
        <v>20</v>
      </c>
      <c r="AT401" s="307">
        <f>IF(OR(AC400="",AD401=""),"",SUMIFS(ResultsInd[Goal-B],ResultsInd[Category],AC400,ResultsInd[Stage],"Groups",ResultsInd[Player A],AD401)+SUMIFS(ResultsInd[Goal-A],ResultsInd[Category],AC400,ResultsInd[Stage],"Groups",ResultsInd[Player B],AD401))</f>
        <v>3</v>
      </c>
      <c r="AU401" s="308">
        <f>IF(AP401="","",AS401-AT401)</f>
        <v>17</v>
      </c>
      <c r="AV401" s="469" t="b">
        <f>IF(AG401="","",OR(VLOOKUP(AG401,AH401:AU407,3,FALSE),VLOOKUP(AG401,AH401:AU407,6,FALSE)))</f>
        <v>1</v>
      </c>
      <c r="AW401" s="298">
        <f t="shared" ref="AW401:AW407" si="350">IF(AG401="","",INT(AG401/1000))</f>
        <v>1</v>
      </c>
      <c r="AX401" s="285" t="str">
        <f>IF(AG401="","",INDEX(AD401:AD407,MATCH(AG401,AH401:AH407,0)))</f>
        <v>Carlo Alessi</v>
      </c>
      <c r="AY401" s="286">
        <f>IF(AG401="","",VLOOKUP(AG401,AH401:AU407,COLUMN()-COLUMN(AR400),FALSE))</f>
        <v>10</v>
      </c>
      <c r="AZ401" s="286">
        <f>IF(AG401="","",VLOOKUP(AG401,AH401:AU407,COLUMN()-COLUMN(AR400),FALSE))</f>
        <v>4</v>
      </c>
      <c r="BA401" s="286">
        <f>IF(AG401="","",VLOOKUP(AG401,AH401:AU407,COLUMN()-COLUMN(AR400),FALSE))</f>
        <v>3</v>
      </c>
      <c r="BB401" s="286">
        <f>IF(AG401="","",VLOOKUP(AG401,AH401:AU407,COLUMN()-COLUMN(AR400),FALSE))</f>
        <v>1</v>
      </c>
      <c r="BC401" s="286">
        <f>IF(AG401="","",VLOOKUP(AG401,AH401:AU407,COLUMN()-COLUMN(AR400),FALSE))</f>
        <v>0</v>
      </c>
      <c r="BD401" s="286">
        <f>IF(AG401="","",VLOOKUP(AG401,AH401:AU407,COLUMN()-COLUMN(AR400),FALSE))</f>
        <v>20</v>
      </c>
      <c r="BE401" s="286">
        <f>IF(AG401="","",VLOOKUP(AG401,AH401:AU407,COLUMN()-COLUMN(AR400),FALSE))</f>
        <v>3</v>
      </c>
      <c r="BF401" s="301">
        <f>IF(AG401="","",VLOOKUP(AG401,AH401:AU407,COLUMN()-COLUMN(AR400),FALSE))</f>
        <v>17</v>
      </c>
    </row>
    <row r="402" spans="1:58" ht="12" thickBot="1" x14ac:dyDescent="0.25">
      <c r="A402" s="62" t="s">
        <v>12261</v>
      </c>
      <c r="B402" s="62" t="s">
        <v>12207</v>
      </c>
      <c r="C402" s="62">
        <v>14</v>
      </c>
      <c r="D402" s="62"/>
      <c r="E402" s="345" t="s">
        <v>8539</v>
      </c>
      <c r="F402" s="345" t="s">
        <v>11690</v>
      </c>
      <c r="G402" s="113">
        <v>6</v>
      </c>
      <c r="H402" s="113">
        <v>1</v>
      </c>
      <c r="I402" s="114"/>
      <c r="J402" s="114"/>
      <c r="K402" s="114"/>
      <c r="L402" s="81"/>
      <c r="M402" s="265" t="b">
        <f>NOT(ISERROR(ResultsInd[[#This Row],[Goal-A]]+ResultsInd[[#This Row],[Goal-B]]))</f>
        <v>1</v>
      </c>
      <c r="N402" s="265">
        <f>VALUE(ResultsInd[[#This Row],[Score-A]])</f>
        <v>6</v>
      </c>
      <c r="O402" s="265">
        <f>VALUE(ResultsInd[[#This Row],[Score-B]])</f>
        <v>1</v>
      </c>
      <c r="P402" s="265">
        <f ca="1">IF(AND(ResultsInd[[#This Row],[Category]]&lt;&gt;"",ResultsInd[[#This Row],[Player A]]&lt;&gt;""),COUNTIF(INDIRECT(ResultsInd[[#This Row],[Category]]&amp;"List[Retained Player Name]"),ResultsInd[[#This Row],[Player A]]),"")</f>
        <v>1</v>
      </c>
      <c r="Q402" s="265">
        <f ca="1">IF(AND(ResultsInd[[#This Row],[Category]]&lt;&gt;"",ResultsInd[[#This Row],[Player B]]&lt;&gt;""),COUNTIF(INDIRECT(ResultsInd[[#This Row],[Category]]&amp;"List[Retained Player Name]"),ResultsInd[[#This Row],[Player B]]),"")</f>
        <v>1</v>
      </c>
      <c r="R4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VETERANS-Rudi Peterschinigg</v>
      </c>
      <c r="S402" s="265" t="str">
        <f>IF(ResultsInd[[#This Row],[Score_OK]],IF(ResultsInd[[#This Row],[Stage]]="Groups",ResultsInd[[#This Row],[Category]]&amp;"-"&amp;IF(ResultsInd[[#This Row],[Player B]]="","",IF(ResultsInd[[#This Row],[Score-A]]=ResultsInd[[#This Row],[Score-B]],ResultsInd[[#This Row],[Player A]],"")),""),"")</f>
        <v>VETERANS-</v>
      </c>
      <c r="T402" s="265" t="str">
        <f>IF(ResultsInd[[#This Row],[Score_OK]],IF(ResultsInd[[#This Row],[Stage]]="Groups",ResultsInd[[#This Row],[Category]]&amp;"-"&amp;IF(ResultsInd[[#This Row],[Player B]]="","",IF(ResultsInd[[#This Row],[Score-A]]=ResultsInd[[#This Row],[Score-B]],ResultsInd[[#This Row],[Player B]],"")),""),"")</f>
        <v>VETERANS-</v>
      </c>
      <c r="U4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VETERANS-Laurent Ausset</v>
      </c>
      <c r="V4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X4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Y402" s="264" t="str">
        <f>IF(ResultsInd[[#This Row],[Category]]="","",VLOOKUP(ResultsInd[[#This Row],[Stage]],$P$1:$V$9,MATCH(ResultsInd[[#This Row],[Category]],$Q$1:$V$1,0)+1,FALSE))</f>
        <v>PR1</v>
      </c>
      <c r="Z402" s="264" t="str">
        <f>IF(ResultsInd[[#This Row],[Score_OK]],IF(ResultsInd[[#This Row],[Level]]="R",ResultsInd[[#This Row],[Category]]&amp;"-"&amp;IF(ResultsInd[[#This Row],[LoseInKO]]=ResultsInd[[#This Row],[Category]]&amp;"-"&amp;ResultsInd[[#This Row],[Player A]],ResultsInd[[#This Row],[Player B]],ResultsInd[[#This Row],[Player A]]),""),"")</f>
        <v/>
      </c>
      <c r="AB402" s="8"/>
      <c r="AC402" s="12" t="str">
        <f t="shared" ref="AC402:AC407" si="351">IF(AC401="","",AC401)</f>
        <v>VETERANS</v>
      </c>
      <c r="AD402" s="309" t="s">
        <v>14555</v>
      </c>
      <c r="AE402" s="320"/>
      <c r="AF402" s="311"/>
      <c r="AG402" s="292">
        <f>IF(AP402="","",SMALL(AH401:AH407,ROWS(AG401:AG402)))</f>
        <v>2002</v>
      </c>
      <c r="AH402" s="293">
        <f>IF(AP402="","",RANK(AL402,AL401:AL407)*1000+ROWS(AH401:AH402))</f>
        <v>2002</v>
      </c>
      <c r="AI402" s="316">
        <f t="shared" si="345"/>
        <v>10000000000000</v>
      </c>
      <c r="AJ402" s="415" t="b">
        <f>AND(AO402&lt;&gt;"",AO402&gt;0,COUNTIF(AI401:AI407,AI402)&gt;1)</f>
        <v>1</v>
      </c>
      <c r="AK402" s="316">
        <f t="shared" si="346"/>
        <v>0</v>
      </c>
      <c r="AL402" s="317">
        <f t="shared" si="347"/>
        <v>10000000030400</v>
      </c>
      <c r="AM402" s="415" t="b">
        <f>AND(AO402&lt;&gt;"",AO402&gt;0,COUNTIF(AL401:AL407,AL402)&gt;1)</f>
        <v>0</v>
      </c>
      <c r="AN402" s="306">
        <f t="shared" si="348"/>
        <v>10</v>
      </c>
      <c r="AO402" s="307">
        <f t="shared" si="349"/>
        <v>4</v>
      </c>
      <c r="AP402" s="307">
        <f>IF(OR(AC400="",AD402=""),"",COUNTIF(ResultsInd[Win],AC400&amp;"-"&amp;AD402))</f>
        <v>3</v>
      </c>
      <c r="AQ402" s="307">
        <f>IF(OR(AC400="",AD402=""),"",COUNTIF(ResultsInd[Draw1],AC400&amp;"-"&amp;AD402)+COUNTIF(ResultsInd[Draw2],AC400&amp;"-"&amp;AD402))</f>
        <v>1</v>
      </c>
      <c r="AR402" s="307">
        <f>IF(OR(AC400="",AD402=""),"",COUNTIF(ResultsInd[Lose],AC400&amp;"-"&amp;AD402))</f>
        <v>0</v>
      </c>
      <c r="AS402" s="307">
        <f>IF(OR(AC400="",AD402=""),"",SUMIFS(ResultsInd[Goal-A],ResultsInd[Category],AC400,ResultsInd[Stage],"Groups",ResultsInd[Player A],AD402)+SUMIFS(ResultsInd[Goal-B],ResultsInd[Category],AC400,ResultsInd[Stage],"Groups",ResultsInd[Player B],AD402))</f>
        <v>4</v>
      </c>
      <c r="AT402" s="307">
        <f>IF(OR(AC400="",AD402=""),"",SUMIFS(ResultsInd[Goal-B],ResultsInd[Category],AC400,ResultsInd[Stage],"Groups",ResultsInd[Player A],AD402)+SUMIFS(ResultsInd[Goal-A],ResultsInd[Category],AC400,ResultsInd[Stage],"Groups",ResultsInd[Player B],AD402))</f>
        <v>1</v>
      </c>
      <c r="AU402" s="308">
        <f t="shared" ref="AU402:AU407" si="352">IF(AP402="","",AS402-AT402)</f>
        <v>3</v>
      </c>
      <c r="AV402" s="469" t="b">
        <f>IF(AG402="","",OR(VLOOKUP(AG402,AH401:AU407,3,FALSE),VLOOKUP(AG402,AH401:AU407,6,FALSE)))</f>
        <v>1</v>
      </c>
      <c r="AW402" s="298">
        <f t="shared" si="350"/>
        <v>2</v>
      </c>
      <c r="AX402" s="285" t="str">
        <f>IF(AG402="","",INDEX(AD401:AD407,MATCH(AG402,AH401:AH407,0)))</f>
        <v>Sébastien Rochez</v>
      </c>
      <c r="AY402" s="286">
        <f>IF(AG402="","",VLOOKUP(AG402,AH401:AU407,COLUMN()-COLUMN(AR400),FALSE))</f>
        <v>10</v>
      </c>
      <c r="AZ402" s="286">
        <f>IF(AG402="","",VLOOKUP(AG402,AH401:AU407,COLUMN()-COLUMN(AR400),FALSE))</f>
        <v>4</v>
      </c>
      <c r="BA402" s="286">
        <f>IF(AG402="","",VLOOKUP(AG402,AH401:AU407,COLUMN()-COLUMN(AR400),FALSE))</f>
        <v>3</v>
      </c>
      <c r="BB402" s="286">
        <f>IF(AG402="","",VLOOKUP(AG402,AH401:AU407,COLUMN()-COLUMN(AR400),FALSE))</f>
        <v>1</v>
      </c>
      <c r="BC402" s="286">
        <f>IF(AG402="","",VLOOKUP(AG402,AH401:AU407,COLUMN()-COLUMN(AR400),FALSE))</f>
        <v>0</v>
      </c>
      <c r="BD402" s="286">
        <f>IF(AG402="","",VLOOKUP(AG402,AH401:AU407,COLUMN()-COLUMN(AR400),FALSE))</f>
        <v>4</v>
      </c>
      <c r="BE402" s="286">
        <f>IF(AG402="","",VLOOKUP(AG402,AH401:AU407,COLUMN()-COLUMN(AR400),FALSE))</f>
        <v>1</v>
      </c>
      <c r="BF402" s="301">
        <f>IF(AG402="","",VLOOKUP(AG402,AH401:AU407,COLUMN()-COLUMN(AR400),FALSE))</f>
        <v>3</v>
      </c>
    </row>
    <row r="403" spans="1:58" ht="12" thickBot="1" x14ac:dyDescent="0.25">
      <c r="A403" s="62" t="s">
        <v>12261</v>
      </c>
      <c r="B403" s="62" t="s">
        <v>12207</v>
      </c>
      <c r="C403" s="62">
        <v>14</v>
      </c>
      <c r="D403" s="62"/>
      <c r="E403" s="345" t="s">
        <v>8747</v>
      </c>
      <c r="F403" s="345" t="s">
        <v>14555</v>
      </c>
      <c r="G403" s="113">
        <v>0</v>
      </c>
      <c r="H403" s="113">
        <v>1</v>
      </c>
      <c r="I403" s="114"/>
      <c r="J403" s="114"/>
      <c r="K403" s="114"/>
      <c r="L403" s="81"/>
      <c r="M403" s="265" t="b">
        <f>NOT(ISERROR(ResultsInd[[#This Row],[Goal-A]]+ResultsInd[[#This Row],[Goal-B]]))</f>
        <v>1</v>
      </c>
      <c r="N403" s="265">
        <f>VALUE(ResultsInd[[#This Row],[Score-A]])</f>
        <v>0</v>
      </c>
      <c r="O403" s="265">
        <f>VALUE(ResultsInd[[#This Row],[Score-B]])</f>
        <v>1</v>
      </c>
      <c r="P403" s="265">
        <f ca="1">IF(AND(ResultsInd[[#This Row],[Category]]&lt;&gt;"",ResultsInd[[#This Row],[Player A]]&lt;&gt;""),COUNTIF(INDIRECT(ResultsInd[[#This Row],[Category]]&amp;"List[Retained Player Name]"),ResultsInd[[#This Row],[Player A]]),"")</f>
        <v>1</v>
      </c>
      <c r="Q403" s="265">
        <f ca="1">IF(AND(ResultsInd[[#This Row],[Category]]&lt;&gt;"",ResultsInd[[#This Row],[Player B]]&lt;&gt;""),COUNTIF(INDIRECT(ResultsInd[[#This Row],[Category]]&amp;"List[Retained Player Name]"),ResultsInd[[#This Row],[Player B]]),"")</f>
        <v>1</v>
      </c>
      <c r="R4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VETERANS-Sébastien Rochez</v>
      </c>
      <c r="S403" s="265" t="str">
        <f>IF(ResultsInd[[#This Row],[Score_OK]],IF(ResultsInd[[#This Row],[Stage]]="Groups",ResultsInd[[#This Row],[Category]]&amp;"-"&amp;IF(ResultsInd[[#This Row],[Player B]]="","",IF(ResultsInd[[#This Row],[Score-A]]=ResultsInd[[#This Row],[Score-B]],ResultsInd[[#This Row],[Player A]],"")),""),"")</f>
        <v>VETERANS-</v>
      </c>
      <c r="T403" s="265" t="str">
        <f>IF(ResultsInd[[#This Row],[Score_OK]],IF(ResultsInd[[#This Row],[Stage]]="Groups",ResultsInd[[#This Row],[Category]]&amp;"-"&amp;IF(ResultsInd[[#This Row],[Player B]]="","",IF(ResultsInd[[#This Row],[Score-A]]=ResultsInd[[#This Row],[Score-B]],ResultsInd[[#This Row],[Player B]],"")),""),"")</f>
        <v>VETERANS-</v>
      </c>
      <c r="U4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VETERANS-Jose Luis Bonavia</v>
      </c>
      <c r="V4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VETERANS-Jose Luis Bonavia</v>
      </c>
      <c r="X4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VETERANS-Jose Luis Bonavia</v>
      </c>
      <c r="Y403" s="264" t="str">
        <f>IF(ResultsInd[[#This Row],[Category]]="","",VLOOKUP(ResultsInd[[#This Row],[Stage]],$P$1:$V$9,MATCH(ResultsInd[[#This Row],[Category]],$Q$1:$V$1,0)+1,FALSE))</f>
        <v>PR1</v>
      </c>
      <c r="Z403" s="264" t="str">
        <f>IF(ResultsInd[[#This Row],[Score_OK]],IF(ResultsInd[[#This Row],[Level]]="R",ResultsInd[[#This Row],[Category]]&amp;"-"&amp;IF(ResultsInd[[#This Row],[LoseInKO]]=ResultsInd[[#This Row],[Category]]&amp;"-"&amp;ResultsInd[[#This Row],[Player A]],ResultsInd[[#This Row],[Player B]],ResultsInd[[#This Row],[Player A]]),""),"")</f>
        <v/>
      </c>
      <c r="AB403" s="8"/>
      <c r="AC403" s="12" t="str">
        <f t="shared" si="351"/>
        <v>VETERANS</v>
      </c>
      <c r="AD403" s="309" t="s">
        <v>8747</v>
      </c>
      <c r="AE403" s="320"/>
      <c r="AF403" s="311"/>
      <c r="AG403" s="292">
        <f>IF(AP403="","",SMALL(AH401:AH407,ROWS(AG401:AG403)))</f>
        <v>3003</v>
      </c>
      <c r="AH403" s="293">
        <f>IF(AP403="","",RANK(AL403,AL401:AL407)*1000+ROWS(AH401:AH403))</f>
        <v>3003</v>
      </c>
      <c r="AI403" s="316">
        <f t="shared" si="345"/>
        <v>4000000000000</v>
      </c>
      <c r="AJ403" s="415" t="b">
        <f>AND(AO403&lt;&gt;"",AO403&gt;0,COUNTIF(AI401:AI407,AI403)&gt;1)</f>
        <v>0</v>
      </c>
      <c r="AK403" s="316">
        <f t="shared" si="346"/>
        <v>0</v>
      </c>
      <c r="AL403" s="317">
        <f t="shared" si="347"/>
        <v>3999999990400</v>
      </c>
      <c r="AM403" s="415" t="b">
        <f>AND(AO403&lt;&gt;"",AO403&gt;0,COUNTIF(AL401:AL407,AL403)&gt;1)</f>
        <v>0</v>
      </c>
      <c r="AN403" s="306">
        <f t="shared" si="348"/>
        <v>4</v>
      </c>
      <c r="AO403" s="307">
        <f t="shared" si="349"/>
        <v>4</v>
      </c>
      <c r="AP403" s="307">
        <f>IF(OR(AC400="",AD403=""),"",COUNTIF(ResultsInd[Win],AC400&amp;"-"&amp;AD403))</f>
        <v>1</v>
      </c>
      <c r="AQ403" s="307">
        <f>IF(OR(AC400="",AD403=""),"",COUNTIF(ResultsInd[Draw1],AC400&amp;"-"&amp;AD403)+COUNTIF(ResultsInd[Draw2],AC400&amp;"-"&amp;AD403))</f>
        <v>1</v>
      </c>
      <c r="AR403" s="307">
        <f>IF(OR(AC400="",AD403=""),"",COUNTIF(ResultsInd[Lose],AC400&amp;"-"&amp;AD403))</f>
        <v>2</v>
      </c>
      <c r="AS403" s="307">
        <f>IF(OR(AC400="",AD403=""),"",SUMIFS(ResultsInd[Goal-A],ResultsInd[Category],AC400,ResultsInd[Stage],"Groups",ResultsInd[Player A],AD403)+SUMIFS(ResultsInd[Goal-B],ResultsInd[Category],AC400,ResultsInd[Stage],"Groups",ResultsInd[Player B],AD403))</f>
        <v>4</v>
      </c>
      <c r="AT403" s="307">
        <f>IF(OR(AC400="",AD403=""),"",SUMIFS(ResultsInd[Goal-B],ResultsInd[Category],AC400,ResultsInd[Stage],"Groups",ResultsInd[Player A],AD403)+SUMIFS(ResultsInd[Goal-A],ResultsInd[Category],AC400,ResultsInd[Stage],"Groups",ResultsInd[Player B],AD403))</f>
        <v>5</v>
      </c>
      <c r="AU403" s="308">
        <f t="shared" si="352"/>
        <v>-1</v>
      </c>
      <c r="AV403" s="469" t="b">
        <f>IF(AG403="","",OR(VLOOKUP(AG403,AH401:AU407,3,FALSE),VLOOKUP(AG403,AH401:AU407,6,FALSE)))</f>
        <v>0</v>
      </c>
      <c r="AW403" s="298">
        <f t="shared" si="350"/>
        <v>3</v>
      </c>
      <c r="AX403" s="285" t="str">
        <f>IF(AG403="","",INDEX(AD401:AD407,MATCH(AG403,AH401:AH407,0)))</f>
        <v>Jose Luis Bonavia</v>
      </c>
      <c r="AY403" s="286">
        <f>IF(AG403="","",VLOOKUP(AG403,AH401:AU407,COLUMN()-COLUMN(AR400),FALSE))</f>
        <v>4</v>
      </c>
      <c r="AZ403" s="286">
        <f>IF(AG403="","",VLOOKUP(AG403,AH401:AU407,COLUMN()-COLUMN(AR400),FALSE))</f>
        <v>4</v>
      </c>
      <c r="BA403" s="286">
        <f>IF(AG403="","",VLOOKUP(AG403,AH401:AU407,COLUMN()-COLUMN(AR400),FALSE))</f>
        <v>1</v>
      </c>
      <c r="BB403" s="286">
        <f>IF(AG403="","",VLOOKUP(AG403,AH401:AU407,COLUMN()-COLUMN(AR400),FALSE))</f>
        <v>1</v>
      </c>
      <c r="BC403" s="286">
        <f>IF(AG403="","",VLOOKUP(AG403,AH401:AU407,COLUMN()-COLUMN(AR400),FALSE))</f>
        <v>2</v>
      </c>
      <c r="BD403" s="286">
        <f>IF(AG403="","",VLOOKUP(AG403,AH401:AU407,COLUMN()-COLUMN(AR400),FALSE))</f>
        <v>4</v>
      </c>
      <c r="BE403" s="286">
        <f>IF(AG403="","",VLOOKUP(AG403,AH401:AU407,COLUMN()-COLUMN(AR400),FALSE))</f>
        <v>5</v>
      </c>
      <c r="BF403" s="301">
        <f>IF(AG403="","",VLOOKUP(AG403,AH401:AU407,COLUMN()-COLUMN(AR400),FALSE))</f>
        <v>-1</v>
      </c>
    </row>
    <row r="404" spans="1:58" ht="12" thickBot="1" x14ac:dyDescent="0.25">
      <c r="A404" s="62" t="s">
        <v>12261</v>
      </c>
      <c r="B404" s="62" t="s">
        <v>12207</v>
      </c>
      <c r="C404" s="62">
        <v>14</v>
      </c>
      <c r="D404" s="62"/>
      <c r="E404" s="345" t="s">
        <v>10369</v>
      </c>
      <c r="F404" s="345" t="s">
        <v>14555</v>
      </c>
      <c r="G404" s="113">
        <v>1</v>
      </c>
      <c r="H404" s="113">
        <v>1</v>
      </c>
      <c r="I404" s="114"/>
      <c r="J404" s="114"/>
      <c r="K404" s="114"/>
      <c r="L404" s="81"/>
      <c r="M404" s="265" t="b">
        <f>NOT(ISERROR(ResultsInd[[#This Row],[Goal-A]]+ResultsInd[[#This Row],[Goal-B]]))</f>
        <v>1</v>
      </c>
      <c r="N404" s="265">
        <f>VALUE(ResultsInd[[#This Row],[Score-A]])</f>
        <v>1</v>
      </c>
      <c r="O404" s="265">
        <f>VALUE(ResultsInd[[#This Row],[Score-B]])</f>
        <v>1</v>
      </c>
      <c r="P404" s="265">
        <f ca="1">IF(AND(ResultsInd[[#This Row],[Category]]&lt;&gt;"",ResultsInd[[#This Row],[Player A]]&lt;&gt;""),COUNTIF(INDIRECT(ResultsInd[[#This Row],[Category]]&amp;"List[Retained Player Name]"),ResultsInd[[#This Row],[Player A]]),"")</f>
        <v>1</v>
      </c>
      <c r="Q404" s="265">
        <f ca="1">IF(AND(ResultsInd[[#This Row],[Category]]&lt;&gt;"",ResultsInd[[#This Row],[Player B]]&lt;&gt;""),COUNTIF(INDIRECT(ResultsInd[[#This Row],[Category]]&amp;"List[Retained Player Name]"),ResultsInd[[#This Row],[Player B]]),"")</f>
        <v>1</v>
      </c>
      <c r="R4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404" s="265" t="str">
        <f>IF(ResultsInd[[#This Row],[Score_OK]],IF(ResultsInd[[#This Row],[Stage]]="Groups",ResultsInd[[#This Row],[Category]]&amp;"-"&amp;IF(ResultsInd[[#This Row],[Player B]]="","",IF(ResultsInd[[#This Row],[Score-A]]=ResultsInd[[#This Row],[Score-B]],ResultsInd[[#This Row],[Player A]],"")),""),"")</f>
        <v>VETERANS-Carlo Alessi</v>
      </c>
      <c r="T404" s="265" t="str">
        <f>IF(ResultsInd[[#This Row],[Score_OK]],IF(ResultsInd[[#This Row],[Stage]]="Groups",ResultsInd[[#This Row],[Category]]&amp;"-"&amp;IF(ResultsInd[[#This Row],[Player B]]="","",IF(ResultsInd[[#This Row],[Score-A]]=ResultsInd[[#This Row],[Score-B]],ResultsInd[[#This Row],[Player B]],"")),""),"")</f>
        <v>VETERANS-Sébastien Rochez</v>
      </c>
      <c r="U4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4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VETERANS-Carlo Alessi</v>
      </c>
      <c r="X4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VETERANS-Sébastien Rochez</v>
      </c>
      <c r="Y404" s="264" t="str">
        <f>IF(ResultsInd[[#This Row],[Category]]="","",VLOOKUP(ResultsInd[[#This Row],[Stage]],$P$1:$V$9,MATCH(ResultsInd[[#This Row],[Category]],$Q$1:$V$1,0)+1,FALSE))</f>
        <v>PR1</v>
      </c>
      <c r="Z404" s="264" t="str">
        <f>IF(ResultsInd[[#This Row],[Score_OK]],IF(ResultsInd[[#This Row],[Level]]="R",ResultsInd[[#This Row],[Category]]&amp;"-"&amp;IF(ResultsInd[[#This Row],[LoseInKO]]=ResultsInd[[#This Row],[Category]]&amp;"-"&amp;ResultsInd[[#This Row],[Player A]],ResultsInd[[#This Row],[Player B]],ResultsInd[[#This Row],[Player A]]),""),"")</f>
        <v/>
      </c>
      <c r="AB404" s="91"/>
      <c r="AC404" s="12" t="str">
        <f t="shared" si="351"/>
        <v>VETERANS</v>
      </c>
      <c r="AD404" s="309" t="s">
        <v>8539</v>
      </c>
      <c r="AE404" s="310"/>
      <c r="AF404" s="311"/>
      <c r="AG404" s="292">
        <f>IF(AP404="","",SMALL(AH401:AH407,ROWS(AG401:AG404)))</f>
        <v>4004</v>
      </c>
      <c r="AH404" s="293">
        <f>IF(AP404="","",RANK(AL404,AL401:AL407)*1000+ROWS(AH401:AH404))</f>
        <v>4004</v>
      </c>
      <c r="AI404" s="316">
        <f t="shared" si="345"/>
        <v>3000000000000</v>
      </c>
      <c r="AJ404" s="415" t="b">
        <f>AND(AO404&lt;&gt;"",AO404&gt;0,COUNTIF(AI401:AI407,AI404)&gt;1)</f>
        <v>0</v>
      </c>
      <c r="AK404" s="316">
        <f t="shared" si="346"/>
        <v>0</v>
      </c>
      <c r="AL404" s="317">
        <f t="shared" si="347"/>
        <v>2999999940700</v>
      </c>
      <c r="AM404" s="415" t="b">
        <f>AND(AO404&lt;&gt;"",AO404&gt;0,COUNTIF(AL401:AL407,AL404)&gt;1)</f>
        <v>0</v>
      </c>
      <c r="AN404" s="306">
        <f t="shared" si="348"/>
        <v>3</v>
      </c>
      <c r="AO404" s="307">
        <f t="shared" si="349"/>
        <v>4</v>
      </c>
      <c r="AP404" s="307">
        <f>IF(OR(AC400="",AD404=""),"",COUNTIF(ResultsInd[Win],AC400&amp;"-"&amp;AD404))</f>
        <v>1</v>
      </c>
      <c r="AQ404" s="307">
        <f>IF(OR(AC400="",AD404=""),"",COUNTIF(ResultsInd[Draw1],AC400&amp;"-"&amp;AD404)+COUNTIF(ResultsInd[Draw2],AC400&amp;"-"&amp;AD404))</f>
        <v>0</v>
      </c>
      <c r="AR404" s="307">
        <f>IF(OR(AC400="",AD404=""),"",COUNTIF(ResultsInd[Lose],AC400&amp;"-"&amp;AD404))</f>
        <v>3</v>
      </c>
      <c r="AS404" s="307">
        <f>IF(OR(AC400="",AD404=""),"",SUMIFS(ResultsInd[Goal-A],ResultsInd[Category],AC400,ResultsInd[Stage],"Groups",ResultsInd[Player A],AD404)+SUMIFS(ResultsInd[Goal-B],ResultsInd[Category],AC400,ResultsInd[Stage],"Groups",ResultsInd[Player B],AD404))</f>
        <v>7</v>
      </c>
      <c r="AT404" s="307">
        <f>IF(OR(AC400="",AD404=""),"",SUMIFS(ResultsInd[Goal-B],ResultsInd[Category],AC400,ResultsInd[Stage],"Groups",ResultsInd[Player A],AD404)+SUMIFS(ResultsInd[Goal-A],ResultsInd[Category],AC400,ResultsInd[Stage],"Groups",ResultsInd[Player B],AD404))</f>
        <v>13</v>
      </c>
      <c r="AU404" s="308">
        <f t="shared" si="352"/>
        <v>-6</v>
      </c>
      <c r="AV404" s="469" t="b">
        <f>IF(AG404="","",OR(VLOOKUP(AG404,AH401:AU407,3,FALSE),VLOOKUP(AG404,AH401:AU407,6,FALSE)))</f>
        <v>0</v>
      </c>
      <c r="AW404" s="298">
        <f t="shared" si="350"/>
        <v>4</v>
      </c>
      <c r="AX404" s="285" t="str">
        <f>IF(AG404="","",INDEX(AD401:AD407,MATCH(AG404,AH401:AH407,0)))</f>
        <v>Rudi Peterschinigg</v>
      </c>
      <c r="AY404" s="286">
        <f>IF(AG404="","",VLOOKUP(AG404,AH401:AU407,COLUMN()-COLUMN(AR400),FALSE))</f>
        <v>3</v>
      </c>
      <c r="AZ404" s="286">
        <f>IF(AG404="","",VLOOKUP(AG404,AH401:AU407,COLUMN()-COLUMN(AR400),FALSE))</f>
        <v>4</v>
      </c>
      <c r="BA404" s="286">
        <f>IF(AG404="","",VLOOKUP(AG404,AH401:AU407,COLUMN()-COLUMN(AR400),FALSE))</f>
        <v>1</v>
      </c>
      <c r="BB404" s="286">
        <f>IF(AG404="","",VLOOKUP(AG404,AH401:AU407,COLUMN()-COLUMN(AR400),FALSE))</f>
        <v>0</v>
      </c>
      <c r="BC404" s="286">
        <f>IF(AG404="","",VLOOKUP(AG404,AH401:AU407,COLUMN()-COLUMN(AR400),FALSE))</f>
        <v>3</v>
      </c>
      <c r="BD404" s="286">
        <f>IF(AG404="","",VLOOKUP(AG404,AH401:AU407,COLUMN()-COLUMN(AR400),FALSE))</f>
        <v>7</v>
      </c>
      <c r="BE404" s="286">
        <f>IF(AG404="","",VLOOKUP(AG404,AH401:AU407,COLUMN()-COLUMN(AR400),FALSE))</f>
        <v>13</v>
      </c>
      <c r="BF404" s="301">
        <f>IF(AG404="","",VLOOKUP(AG404,AH401:AU407,COLUMN()-COLUMN(AR400),FALSE))</f>
        <v>-6</v>
      </c>
    </row>
    <row r="405" spans="1:58" ht="12" thickBot="1" x14ac:dyDescent="0.25">
      <c r="A405" s="62" t="s">
        <v>12261</v>
      </c>
      <c r="B405" s="62" t="s">
        <v>12207</v>
      </c>
      <c r="C405" s="62">
        <v>14</v>
      </c>
      <c r="D405" s="62"/>
      <c r="E405" s="345" t="s">
        <v>8539</v>
      </c>
      <c r="F405" s="345" t="s">
        <v>8747</v>
      </c>
      <c r="G405" s="113">
        <v>0</v>
      </c>
      <c r="H405" s="113">
        <v>4</v>
      </c>
      <c r="I405" s="114"/>
      <c r="J405" s="114"/>
      <c r="K405" s="114"/>
      <c r="L405" s="81"/>
      <c r="M405" s="265" t="b">
        <f>NOT(ISERROR(ResultsInd[[#This Row],[Goal-A]]+ResultsInd[[#This Row],[Goal-B]]))</f>
        <v>1</v>
      </c>
      <c r="N405" s="265">
        <f>VALUE(ResultsInd[[#This Row],[Score-A]])</f>
        <v>0</v>
      </c>
      <c r="O405" s="265">
        <f>VALUE(ResultsInd[[#This Row],[Score-B]])</f>
        <v>4</v>
      </c>
      <c r="P405" s="265">
        <f ca="1">IF(AND(ResultsInd[[#This Row],[Category]]&lt;&gt;"",ResultsInd[[#This Row],[Player A]]&lt;&gt;""),COUNTIF(INDIRECT(ResultsInd[[#This Row],[Category]]&amp;"List[Retained Player Name]"),ResultsInd[[#This Row],[Player A]]),"")</f>
        <v>1</v>
      </c>
      <c r="Q405" s="265">
        <f ca="1">IF(AND(ResultsInd[[#This Row],[Category]]&lt;&gt;"",ResultsInd[[#This Row],[Player B]]&lt;&gt;""),COUNTIF(INDIRECT(ResultsInd[[#This Row],[Category]]&amp;"List[Retained Player Name]"),ResultsInd[[#This Row],[Player B]]),"")</f>
        <v>1</v>
      </c>
      <c r="R4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VETERANS-Jose Luis Bonavia</v>
      </c>
      <c r="S405" s="265" t="str">
        <f>IF(ResultsInd[[#This Row],[Score_OK]],IF(ResultsInd[[#This Row],[Stage]]="Groups",ResultsInd[[#This Row],[Category]]&amp;"-"&amp;IF(ResultsInd[[#This Row],[Player B]]="","",IF(ResultsInd[[#This Row],[Score-A]]=ResultsInd[[#This Row],[Score-B]],ResultsInd[[#This Row],[Player A]],"")),""),"")</f>
        <v>VETERANS-</v>
      </c>
      <c r="T405" s="265" t="str">
        <f>IF(ResultsInd[[#This Row],[Score_OK]],IF(ResultsInd[[#This Row],[Stage]]="Groups",ResultsInd[[#This Row],[Category]]&amp;"-"&amp;IF(ResultsInd[[#This Row],[Player B]]="","",IF(ResultsInd[[#This Row],[Score-A]]=ResultsInd[[#This Row],[Score-B]],ResultsInd[[#This Row],[Player B]],"")),""),"")</f>
        <v>VETERANS-</v>
      </c>
      <c r="U4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VETERANS-Rudi Peterschinigg</v>
      </c>
      <c r="V4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VETERANS-Rudi Peterschinigg</v>
      </c>
      <c r="X4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VETERANS-Rudi Peterschinigg</v>
      </c>
      <c r="Y405" s="264" t="str">
        <f>IF(ResultsInd[[#This Row],[Category]]="","",VLOOKUP(ResultsInd[[#This Row],[Stage]],$P$1:$V$9,MATCH(ResultsInd[[#This Row],[Category]],$Q$1:$V$1,0)+1,FALSE))</f>
        <v>PR1</v>
      </c>
      <c r="Z405" s="264" t="str">
        <f>IF(ResultsInd[[#This Row],[Score_OK]],IF(ResultsInd[[#This Row],[Level]]="R",ResultsInd[[#This Row],[Category]]&amp;"-"&amp;IF(ResultsInd[[#This Row],[LoseInKO]]=ResultsInd[[#This Row],[Category]]&amp;"-"&amp;ResultsInd[[#This Row],[Player A]],ResultsInd[[#This Row],[Player B]],ResultsInd[[#This Row],[Player A]]),""),"")</f>
        <v/>
      </c>
      <c r="AB405" s="91"/>
      <c r="AC405" s="12" t="str">
        <f t="shared" si="351"/>
        <v>VETERANS</v>
      </c>
      <c r="AD405" s="309" t="s">
        <v>11690</v>
      </c>
      <c r="AE405" s="310"/>
      <c r="AF405" s="311"/>
      <c r="AG405" s="292">
        <f>IF(AP405="","",SMALL(AH401:AH407,ROWS(AG401:AG405)))</f>
        <v>5005</v>
      </c>
      <c r="AH405" s="293">
        <f>IF(AP405="","",RANK(AL405,AL401:AL407)*1000+ROWS(AH401:AH405))</f>
        <v>5005</v>
      </c>
      <c r="AI405" s="316">
        <f t="shared" si="345"/>
        <v>1000000000000</v>
      </c>
      <c r="AJ405" s="415" t="b">
        <f>AND(AO405&lt;&gt;"",AO405&gt;0,COUNTIF(AI401:AI407,AI405)&gt;1)</f>
        <v>0</v>
      </c>
      <c r="AK405" s="316">
        <f t="shared" si="346"/>
        <v>0</v>
      </c>
      <c r="AL405" s="317">
        <f t="shared" si="347"/>
        <v>999999870200</v>
      </c>
      <c r="AM405" s="415" t="b">
        <f>AND(AO405&lt;&gt;"",AO405&gt;0,COUNTIF(AL401:AL407,AL405)&gt;1)</f>
        <v>0</v>
      </c>
      <c r="AN405" s="306">
        <f t="shared" si="348"/>
        <v>1</v>
      </c>
      <c r="AO405" s="307">
        <f t="shared" si="349"/>
        <v>4</v>
      </c>
      <c r="AP405" s="307">
        <f>IF(OR(AC400="",AD405=""),"",COUNTIF(ResultsInd[Win],AC400&amp;"-"&amp;AD405))</f>
        <v>0</v>
      </c>
      <c r="AQ405" s="307">
        <f>IF(OR(AC400="",AD405=""),"",COUNTIF(ResultsInd[Draw1],AC400&amp;"-"&amp;AD405)+COUNTIF(ResultsInd[Draw2],AC400&amp;"-"&amp;AD405))</f>
        <v>1</v>
      </c>
      <c r="AR405" s="307">
        <f>IF(OR(AC400="",AD405=""),"",COUNTIF(ResultsInd[Lose],AC400&amp;"-"&amp;AD405))</f>
        <v>3</v>
      </c>
      <c r="AS405" s="307">
        <f>IF(OR(AC400="",AD405=""),"",SUMIFS(ResultsInd[Goal-A],ResultsInd[Category],AC400,ResultsInd[Stage],"Groups",ResultsInd[Player A],AD405)+SUMIFS(ResultsInd[Goal-B],ResultsInd[Category],AC400,ResultsInd[Stage],"Groups",ResultsInd[Player B],AD405))</f>
        <v>2</v>
      </c>
      <c r="AT405" s="307">
        <f>IF(OR(AC400="",AD405=""),"",SUMIFS(ResultsInd[Goal-B],ResultsInd[Category],AC400,ResultsInd[Stage],"Groups",ResultsInd[Player A],AD405)+SUMIFS(ResultsInd[Goal-A],ResultsInd[Category],AC400,ResultsInd[Stage],"Groups",ResultsInd[Player B],AD405))</f>
        <v>15</v>
      </c>
      <c r="AU405" s="308">
        <f t="shared" si="352"/>
        <v>-13</v>
      </c>
      <c r="AV405" s="469" t="b">
        <f>IF(AG405="","",OR(VLOOKUP(AG405,AH401:AU407,3,FALSE),VLOOKUP(AG405,AH401:AU407,6,FALSE)))</f>
        <v>0</v>
      </c>
      <c r="AW405" s="298">
        <f t="shared" si="350"/>
        <v>5</v>
      </c>
      <c r="AX405" s="285" t="str">
        <f>IF(AG405="","",INDEX(AD401:AD407,MATCH(AG405,AH401:AH407,0)))</f>
        <v>Laurent Ausset</v>
      </c>
      <c r="AY405" s="286">
        <f>IF(AG405="","",VLOOKUP(AG405,AH401:AU407,COLUMN()-COLUMN(AR400),FALSE))</f>
        <v>1</v>
      </c>
      <c r="AZ405" s="286">
        <f>IF(AG405="","",VLOOKUP(AG405,AH401:AU407,COLUMN()-COLUMN(AR400),FALSE))</f>
        <v>4</v>
      </c>
      <c r="BA405" s="286">
        <f>IF(AG405="","",VLOOKUP(AG405,AH401:AU407,COLUMN()-COLUMN(AR400),FALSE))</f>
        <v>0</v>
      </c>
      <c r="BB405" s="286">
        <f>IF(AG405="","",VLOOKUP(AG405,AH401:AU407,COLUMN()-COLUMN(AR400),FALSE))</f>
        <v>1</v>
      </c>
      <c r="BC405" s="286">
        <f>IF(AG405="","",VLOOKUP(AG405,AH401:AU407,COLUMN()-COLUMN(AR400),FALSE))</f>
        <v>3</v>
      </c>
      <c r="BD405" s="286">
        <f>IF(AG405="","",VLOOKUP(AG405,AH401:AU407,COLUMN()-COLUMN(AR400),FALSE))</f>
        <v>2</v>
      </c>
      <c r="BE405" s="286">
        <f>IF(AG405="","",VLOOKUP(AG405,AH401:AU407,COLUMN()-COLUMN(AR400),FALSE))</f>
        <v>15</v>
      </c>
      <c r="BF405" s="301">
        <f>IF(AG405="","",VLOOKUP(AG405,AH401:AU407,COLUMN()-COLUMN(AR400),FALSE))</f>
        <v>-13</v>
      </c>
    </row>
    <row r="406" spans="1:58" ht="12" thickBot="1" x14ac:dyDescent="0.25">
      <c r="A406" s="62" t="s">
        <v>12261</v>
      </c>
      <c r="B406" s="62" t="s">
        <v>12207</v>
      </c>
      <c r="C406" s="62">
        <v>14</v>
      </c>
      <c r="D406" s="62"/>
      <c r="E406" s="345" t="s">
        <v>8747</v>
      </c>
      <c r="F406" s="345" t="s">
        <v>10369</v>
      </c>
      <c r="G406" s="113">
        <v>0</v>
      </c>
      <c r="H406" s="113">
        <v>4</v>
      </c>
      <c r="I406" s="114"/>
      <c r="J406" s="114"/>
      <c r="K406" s="114"/>
      <c r="L406" s="81"/>
      <c r="M406" s="265" t="b">
        <f>NOT(ISERROR(ResultsInd[[#This Row],[Goal-A]]+ResultsInd[[#This Row],[Goal-B]]))</f>
        <v>1</v>
      </c>
      <c r="N406" s="265">
        <f>VALUE(ResultsInd[[#This Row],[Score-A]])</f>
        <v>0</v>
      </c>
      <c r="O406" s="265">
        <f>VALUE(ResultsInd[[#This Row],[Score-B]])</f>
        <v>4</v>
      </c>
      <c r="P406" s="265">
        <f ca="1">IF(AND(ResultsInd[[#This Row],[Category]]&lt;&gt;"",ResultsInd[[#This Row],[Player A]]&lt;&gt;""),COUNTIF(INDIRECT(ResultsInd[[#This Row],[Category]]&amp;"List[Retained Player Name]"),ResultsInd[[#This Row],[Player A]]),"")</f>
        <v>1</v>
      </c>
      <c r="Q406" s="265">
        <f ca="1">IF(AND(ResultsInd[[#This Row],[Category]]&lt;&gt;"",ResultsInd[[#This Row],[Player B]]&lt;&gt;""),COUNTIF(INDIRECT(ResultsInd[[#This Row],[Category]]&amp;"List[Retained Player Name]"),ResultsInd[[#This Row],[Player B]]),"")</f>
        <v>1</v>
      </c>
      <c r="R4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VETERANS-Carlo Alessi</v>
      </c>
      <c r="S406" s="265" t="str">
        <f>IF(ResultsInd[[#This Row],[Score_OK]],IF(ResultsInd[[#This Row],[Stage]]="Groups",ResultsInd[[#This Row],[Category]]&amp;"-"&amp;IF(ResultsInd[[#This Row],[Player B]]="","",IF(ResultsInd[[#This Row],[Score-A]]=ResultsInd[[#This Row],[Score-B]],ResultsInd[[#This Row],[Player A]],"")),""),"")</f>
        <v>VETERANS-</v>
      </c>
      <c r="T406" s="265" t="str">
        <f>IF(ResultsInd[[#This Row],[Score_OK]],IF(ResultsInd[[#This Row],[Stage]]="Groups",ResultsInd[[#This Row],[Category]]&amp;"-"&amp;IF(ResultsInd[[#This Row],[Player B]]="","",IF(ResultsInd[[#This Row],[Score-A]]=ResultsInd[[#This Row],[Score-B]],ResultsInd[[#This Row],[Player B]],"")),""),"")</f>
        <v>VETERANS-</v>
      </c>
      <c r="U4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VETERANS-Jose Luis Bonavia</v>
      </c>
      <c r="V4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VETERANS-Jose Luis Bonavia</v>
      </c>
      <c r="X4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VETERANS-Jose Luis Bonavia</v>
      </c>
      <c r="Y406" s="264" t="str">
        <f>IF(ResultsInd[[#This Row],[Category]]="","",VLOOKUP(ResultsInd[[#This Row],[Stage]],$P$1:$V$9,MATCH(ResultsInd[[#This Row],[Category]],$Q$1:$V$1,0)+1,FALSE))</f>
        <v>PR1</v>
      </c>
      <c r="Z406" s="264" t="str">
        <f>IF(ResultsInd[[#This Row],[Score_OK]],IF(ResultsInd[[#This Row],[Level]]="R",ResultsInd[[#This Row],[Category]]&amp;"-"&amp;IF(ResultsInd[[#This Row],[LoseInKO]]=ResultsInd[[#This Row],[Category]]&amp;"-"&amp;ResultsInd[[#This Row],[Player A]],ResultsInd[[#This Row],[Player B]],ResultsInd[[#This Row],[Player A]]),""),"")</f>
        <v/>
      </c>
      <c r="AB406" s="8"/>
      <c r="AC406" s="12" t="str">
        <f t="shared" si="351"/>
        <v>VETERANS</v>
      </c>
      <c r="AD406" s="309"/>
      <c r="AE406" s="310"/>
      <c r="AF406" s="311"/>
      <c r="AG406" s="292" t="str">
        <f>IF(AP406="","",SMALL(AH401:AH407,ROWS(AG401:AG406)))</f>
        <v/>
      </c>
      <c r="AH406" s="293" t="str">
        <f>IF(AP406="","",RANK(AL406,AL401:AL407)*1000+ROWS(AH401:AH406))</f>
        <v/>
      </c>
      <c r="AI406" s="316" t="str">
        <f t="shared" si="345"/>
        <v/>
      </c>
      <c r="AJ406" s="415" t="b">
        <f>AND(AO406&lt;&gt;"",AO406&gt;0,COUNTIF(AI401:AI407,AI406)&gt;1)</f>
        <v>0</v>
      </c>
      <c r="AK406" s="316" t="str">
        <f t="shared" si="346"/>
        <v/>
      </c>
      <c r="AL406" s="317" t="str">
        <f t="shared" si="347"/>
        <v/>
      </c>
      <c r="AM406" s="415" t="b">
        <f>AND(AO406&lt;&gt;"",AO406&gt;0,COUNTIF(AL401:AL407,AL406)&gt;1)</f>
        <v>0</v>
      </c>
      <c r="AN406" s="306" t="str">
        <f t="shared" si="348"/>
        <v/>
      </c>
      <c r="AO406" s="307" t="str">
        <f t="shared" si="349"/>
        <v/>
      </c>
      <c r="AP406" s="307" t="str">
        <f>IF(OR(AC400="",AD406=""),"",COUNTIF(ResultsInd[Win],AC400&amp;"-"&amp;AD406))</f>
        <v/>
      </c>
      <c r="AQ406" s="307" t="str">
        <f>IF(OR(AC400="",AD406=""),"",COUNTIF(ResultsInd[Draw1],AC400&amp;"-"&amp;AD406)+COUNTIF(ResultsInd[Draw2],AC400&amp;"-"&amp;AD406))</f>
        <v/>
      </c>
      <c r="AR406" s="307" t="str">
        <f>IF(OR(AC400="",AD406=""),"",COUNTIF(ResultsInd[Lose],AC400&amp;"-"&amp;AD406))</f>
        <v/>
      </c>
      <c r="AS406" s="307" t="str">
        <f>IF(OR(AC400="",AD406=""),"",SUMIFS(ResultsInd[Goal-A],ResultsInd[Category],AC400,ResultsInd[Stage],"Groups",ResultsInd[Player A],AD406)+SUMIFS(ResultsInd[Goal-B],ResultsInd[Category],AC400,ResultsInd[Stage],"Groups",ResultsInd[Player B],AD406))</f>
        <v/>
      </c>
      <c r="AT406" s="307" t="str">
        <f>IF(OR(AC400="",AD406=""),"",SUMIFS(ResultsInd[Goal-B],ResultsInd[Category],AC400,ResultsInd[Stage],"Groups",ResultsInd[Player A],AD406)+SUMIFS(ResultsInd[Goal-A],ResultsInd[Category],AC400,ResultsInd[Stage],"Groups",ResultsInd[Player B],AD406))</f>
        <v/>
      </c>
      <c r="AU406" s="308" t="str">
        <f t="shared" si="352"/>
        <v/>
      </c>
      <c r="AV406" s="469" t="str">
        <f>IF(AG406="","",OR(VLOOKUP(AG406,AH401:AU407,3,FALSE),VLOOKUP(AG406,AH401:AU407,6,FALSE)))</f>
        <v/>
      </c>
      <c r="AW406" s="298" t="str">
        <f t="shared" si="350"/>
        <v/>
      </c>
      <c r="AX406" s="285" t="str">
        <f>IF(AG406="","",INDEX(AD401:AD407,MATCH(AG406,AH401:AH407,0)))</f>
        <v/>
      </c>
      <c r="AY406" s="286" t="str">
        <f>IF(AG406="","",VLOOKUP(AG406,AH401:AU407,COLUMN()-COLUMN(AR400),FALSE))</f>
        <v/>
      </c>
      <c r="AZ406" s="286" t="str">
        <f>IF(AG406="","",VLOOKUP(AG406,AH401:AU407,COLUMN()-COLUMN(AR400),FALSE))</f>
        <v/>
      </c>
      <c r="BA406" s="286" t="str">
        <f>IF(AG406="","",VLOOKUP(AG406,AH401:AU407,COLUMN()-COLUMN(AR400),FALSE))</f>
        <v/>
      </c>
      <c r="BB406" s="286" t="str">
        <f>IF(AG406="","",VLOOKUP(AG406,AH401:AU407,COLUMN()-COLUMN(AR400),FALSE))</f>
        <v/>
      </c>
      <c r="BC406" s="286" t="str">
        <f>IF(AG406="","",VLOOKUP(AG406,AH401:AU407,COLUMN()-COLUMN(AR400),FALSE))</f>
        <v/>
      </c>
      <c r="BD406" s="286" t="str">
        <f>IF(AG406="","",VLOOKUP(AG406,AH401:AU407,COLUMN()-COLUMN(AR400),FALSE))</f>
        <v/>
      </c>
      <c r="BE406" s="286" t="str">
        <f>IF(AG406="","",VLOOKUP(AG406,AH401:AU407,COLUMN()-COLUMN(AR400),FALSE))</f>
        <v/>
      </c>
      <c r="BF406" s="301" t="str">
        <f>IF(AG406="","",VLOOKUP(AG406,AH401:AU407,COLUMN()-COLUMN(AR400),FALSE))</f>
        <v/>
      </c>
    </row>
    <row r="407" spans="1:58" ht="12" thickBot="1" x14ac:dyDescent="0.25">
      <c r="A407" s="62" t="s">
        <v>12261</v>
      </c>
      <c r="B407" s="62" t="s">
        <v>12207</v>
      </c>
      <c r="C407" s="62">
        <v>14</v>
      </c>
      <c r="D407" s="62"/>
      <c r="E407" s="345" t="s">
        <v>11690</v>
      </c>
      <c r="F407" s="345" t="s">
        <v>14555</v>
      </c>
      <c r="G407" s="113">
        <v>0</v>
      </c>
      <c r="H407" s="113">
        <v>1</v>
      </c>
      <c r="I407" s="114"/>
      <c r="J407" s="114"/>
      <c r="K407" s="114"/>
      <c r="L407" s="81"/>
      <c r="M407" s="265" t="b">
        <f>NOT(ISERROR(ResultsInd[[#This Row],[Goal-A]]+ResultsInd[[#This Row],[Goal-B]]))</f>
        <v>1</v>
      </c>
      <c r="N407" s="265">
        <f>VALUE(ResultsInd[[#This Row],[Score-A]])</f>
        <v>0</v>
      </c>
      <c r="O407" s="265">
        <f>VALUE(ResultsInd[[#This Row],[Score-B]])</f>
        <v>1</v>
      </c>
      <c r="P407" s="265">
        <f ca="1">IF(AND(ResultsInd[[#This Row],[Category]]&lt;&gt;"",ResultsInd[[#This Row],[Player A]]&lt;&gt;""),COUNTIF(INDIRECT(ResultsInd[[#This Row],[Category]]&amp;"List[Retained Player Name]"),ResultsInd[[#This Row],[Player A]]),"")</f>
        <v>1</v>
      </c>
      <c r="Q407" s="265">
        <f ca="1">IF(AND(ResultsInd[[#This Row],[Category]]&lt;&gt;"",ResultsInd[[#This Row],[Player B]]&lt;&gt;""),COUNTIF(INDIRECT(ResultsInd[[#This Row],[Category]]&amp;"List[Retained Player Name]"),ResultsInd[[#This Row],[Player B]]),"")</f>
        <v>1</v>
      </c>
      <c r="R4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VETERANS-Sébastien Rochez</v>
      </c>
      <c r="S407" s="265" t="str">
        <f>IF(ResultsInd[[#This Row],[Score_OK]],IF(ResultsInd[[#This Row],[Stage]]="Groups",ResultsInd[[#This Row],[Category]]&amp;"-"&amp;IF(ResultsInd[[#This Row],[Player B]]="","",IF(ResultsInd[[#This Row],[Score-A]]=ResultsInd[[#This Row],[Score-B]],ResultsInd[[#This Row],[Player A]],"")),""),"")</f>
        <v>VETERANS-</v>
      </c>
      <c r="T407" s="265" t="str">
        <f>IF(ResultsInd[[#This Row],[Score_OK]],IF(ResultsInd[[#This Row],[Stage]]="Groups",ResultsInd[[#This Row],[Category]]&amp;"-"&amp;IF(ResultsInd[[#This Row],[Player B]]="","",IF(ResultsInd[[#This Row],[Score-A]]=ResultsInd[[#This Row],[Score-B]],ResultsInd[[#This Row],[Player B]],"")),""),"")</f>
        <v>VETERANS-</v>
      </c>
      <c r="U4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VETERANS-Laurent Ausset</v>
      </c>
      <c r="V4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X4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VETERANS-Laurent Ausset</v>
      </c>
      <c r="Y407" s="264" t="str">
        <f>IF(ResultsInd[[#This Row],[Category]]="","",VLOOKUP(ResultsInd[[#This Row],[Stage]],$P$1:$V$9,MATCH(ResultsInd[[#This Row],[Category]],$Q$1:$V$1,0)+1,FALSE))</f>
        <v>PR1</v>
      </c>
      <c r="Z407" s="264" t="str">
        <f>IF(ResultsInd[[#This Row],[Score_OK]],IF(ResultsInd[[#This Row],[Level]]="R",ResultsInd[[#This Row],[Category]]&amp;"-"&amp;IF(ResultsInd[[#This Row],[LoseInKO]]=ResultsInd[[#This Row],[Category]]&amp;"-"&amp;ResultsInd[[#This Row],[Player A]],ResultsInd[[#This Row],[Player B]],ResultsInd[[#This Row],[Player A]]),""),"")</f>
        <v/>
      </c>
      <c r="AB407" s="8"/>
      <c r="AC407" s="12" t="str">
        <f t="shared" si="351"/>
        <v>VETERANS</v>
      </c>
      <c r="AD407" s="312"/>
      <c r="AE407" s="313"/>
      <c r="AF407" s="314"/>
      <c r="AG407" s="294" t="str">
        <f>IF(AP407="","",SMALL(AH401:AH407,ROWS(AG401:AG407)))</f>
        <v/>
      </c>
      <c r="AH407" s="295" t="str">
        <f>IF(AP407="","",RANK(AL407,AL401:AL407)*1000+ROWS(AH401:AH407))</f>
        <v/>
      </c>
      <c r="AI407" s="318" t="str">
        <f t="shared" si="345"/>
        <v/>
      </c>
      <c r="AJ407" s="416" t="b">
        <f>AND(AO407&lt;&gt;"",AO407&gt;0,COUNTIF(AI401:AI407,AI407)&gt;1)</f>
        <v>0</v>
      </c>
      <c r="AK407" s="318" t="str">
        <f t="shared" si="346"/>
        <v/>
      </c>
      <c r="AL407" s="319" t="str">
        <f t="shared" si="347"/>
        <v/>
      </c>
      <c r="AM407" s="416" t="b">
        <f>AND(AO407&lt;&gt;"",AO407&gt;0,COUNTIF(AL401:AL407,AL407)&gt;1)</f>
        <v>0</v>
      </c>
      <c r="AN407" s="306" t="str">
        <f t="shared" si="348"/>
        <v/>
      </c>
      <c r="AO407" s="307" t="str">
        <f t="shared" si="349"/>
        <v/>
      </c>
      <c r="AP407" s="307" t="str">
        <f>IF(OR(AC400="",AD407=""),"",COUNTIF(ResultsInd[Win],AC400&amp;"-"&amp;AD407))</f>
        <v/>
      </c>
      <c r="AQ407" s="307" t="str">
        <f>IF(OR(AC400="",AD407=""),"",COUNTIF(ResultsInd[Draw1],AC400&amp;"-"&amp;AD407)+COUNTIF(ResultsInd[Draw2],AC400&amp;"-"&amp;AD407))</f>
        <v/>
      </c>
      <c r="AR407" s="307" t="str">
        <f>IF(OR(AC400="",AD407=""),"",COUNTIF(ResultsInd[Lose],AC400&amp;"-"&amp;AD407))</f>
        <v/>
      </c>
      <c r="AS407" s="307" t="str">
        <f>IF(OR(AC400="",AD407=""),"",SUMIFS(ResultsInd[Goal-A],ResultsInd[Category],AC400,ResultsInd[Stage],"Groups",ResultsInd[Player A],AD407)+SUMIFS(ResultsInd[Goal-B],ResultsInd[Category],AC400,ResultsInd[Stage],"Groups",ResultsInd[Player B],AD407))</f>
        <v/>
      </c>
      <c r="AT407" s="307" t="str">
        <f>IF(OR(AC400="",AD407=""),"",SUMIFS(ResultsInd[Goal-B],ResultsInd[Category],AC400,ResultsInd[Stage],"Groups",ResultsInd[Player A],AD407)+SUMIFS(ResultsInd[Goal-A],ResultsInd[Category],AC400,ResultsInd[Stage],"Groups",ResultsInd[Player B],AD407))</f>
        <v/>
      </c>
      <c r="AU407" s="308" t="str">
        <f t="shared" si="352"/>
        <v/>
      </c>
      <c r="AV407" s="469" t="str">
        <f>IF(AG407="","",OR(VLOOKUP(AG407,AH401:AU407,3,FALSE),VLOOKUP(AG407,AH401:AU407,6,FALSE)))</f>
        <v/>
      </c>
      <c r="AW407" s="299" t="str">
        <f t="shared" si="350"/>
        <v/>
      </c>
      <c r="AX407" s="287" t="str">
        <f>IF(AG407="","",INDEX(AD401:AD407,MATCH(AG407,AH401:AH407,0)))</f>
        <v/>
      </c>
      <c r="AY407" s="288" t="str">
        <f>IF(AG407="","",VLOOKUP(AG407,AH401:AU407,COLUMN()-COLUMN(AR400),FALSE))</f>
        <v/>
      </c>
      <c r="AZ407" s="288" t="str">
        <f>IF(AG407="","",VLOOKUP(AG407,AH401:AU407,COLUMN()-COLUMN(AR400),FALSE))</f>
        <v/>
      </c>
      <c r="BA407" s="288" t="str">
        <f>IF(AG407="","",VLOOKUP(AG407,AH401:AU407,COLUMN()-COLUMN(AR400),FALSE))</f>
        <v/>
      </c>
      <c r="BB407" s="288" t="str">
        <f>IF(AG407="","",VLOOKUP(AG407,AH401:AU407,COLUMN()-COLUMN(AR400),FALSE))</f>
        <v/>
      </c>
      <c r="BC407" s="288" t="str">
        <f>IF(AG407="","",VLOOKUP(AG407,AH401:AU407,COLUMN()-COLUMN(AR400),FALSE))</f>
        <v/>
      </c>
      <c r="BD407" s="288" t="str">
        <f>IF(AG407="","",VLOOKUP(AG407,AH401:AU407,COLUMN()-COLUMN(AR400),FALSE))</f>
        <v/>
      </c>
      <c r="BE407" s="288" t="str">
        <f>IF(AG407="","",VLOOKUP(AG407,AH401:AU407,COLUMN()-COLUMN(AR400),FALSE))</f>
        <v/>
      </c>
      <c r="BF407" s="302" t="str">
        <f>IF(AG407="","",VLOOKUP(AG407,AH401:AU407,COLUMN()-COLUMN(AR400),FALSE))</f>
        <v/>
      </c>
    </row>
    <row r="408" spans="1:58" ht="13.5" thickBot="1" x14ac:dyDescent="0.25">
      <c r="A408" s="62" t="s">
        <v>12261</v>
      </c>
      <c r="B408" s="62" t="s">
        <v>12207</v>
      </c>
      <c r="C408" s="62">
        <v>15</v>
      </c>
      <c r="D408" s="62"/>
      <c r="E408" s="345" t="s">
        <v>8116</v>
      </c>
      <c r="F408" s="345" t="s">
        <v>8643</v>
      </c>
      <c r="G408" s="113">
        <v>6</v>
      </c>
      <c r="H408" s="113">
        <v>0</v>
      </c>
      <c r="I408" s="114"/>
      <c r="J408" s="114"/>
      <c r="K408" s="114"/>
      <c r="L408" s="81"/>
      <c r="M408" s="265" t="b">
        <f>NOT(ISERROR(ResultsInd[[#This Row],[Goal-A]]+ResultsInd[[#This Row],[Goal-B]]))</f>
        <v>1</v>
      </c>
      <c r="N408" s="265">
        <f>VALUE(ResultsInd[[#This Row],[Score-A]])</f>
        <v>6</v>
      </c>
      <c r="O408" s="265">
        <f>VALUE(ResultsInd[[#This Row],[Score-B]])</f>
        <v>0</v>
      </c>
      <c r="P408" s="265">
        <f ca="1">IF(AND(ResultsInd[[#This Row],[Category]]&lt;&gt;"",ResultsInd[[#This Row],[Player A]]&lt;&gt;""),COUNTIF(INDIRECT(ResultsInd[[#This Row],[Category]]&amp;"List[Retained Player Name]"),ResultsInd[[#This Row],[Player A]]),"")</f>
        <v>1</v>
      </c>
      <c r="Q408" s="265">
        <f ca="1">IF(AND(ResultsInd[[#This Row],[Category]]&lt;&gt;"",ResultsInd[[#This Row],[Player B]]&lt;&gt;""),COUNTIF(INDIRECT(ResultsInd[[#This Row],[Category]]&amp;"List[Retained Player Name]"),ResultsInd[[#This Row],[Player B]]),"")</f>
        <v>1</v>
      </c>
      <c r="R4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VETERANS-Benoît Massart</v>
      </c>
      <c r="S408" s="265" t="str">
        <f>IF(ResultsInd[[#This Row],[Score_OK]],IF(ResultsInd[[#This Row],[Stage]]="Groups",ResultsInd[[#This Row],[Category]]&amp;"-"&amp;IF(ResultsInd[[#This Row],[Player B]]="","",IF(ResultsInd[[#This Row],[Score-A]]=ResultsInd[[#This Row],[Score-B]],ResultsInd[[#This Row],[Player A]],"")),""),"")</f>
        <v>VETERANS-</v>
      </c>
      <c r="T408" s="265" t="str">
        <f>IF(ResultsInd[[#This Row],[Score_OK]],IF(ResultsInd[[#This Row],[Stage]]="Groups",ResultsInd[[#This Row],[Category]]&amp;"-"&amp;IF(ResultsInd[[#This Row],[Player B]]="","",IF(ResultsInd[[#This Row],[Score-A]]=ResultsInd[[#This Row],[Score-B]],ResultsInd[[#This Row],[Player B]],"")),""),"")</f>
        <v>VETERANS-</v>
      </c>
      <c r="U4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VETERANS-Alberto Gómez</v>
      </c>
      <c r="V4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VETERANS-Alberto Gómez</v>
      </c>
      <c r="X4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VETERANS-Alberto Gómez</v>
      </c>
      <c r="Y408" s="264" t="str">
        <f>IF(ResultsInd[[#This Row],[Category]]="","",VLOOKUP(ResultsInd[[#This Row],[Stage]],$P$1:$V$9,MATCH(ResultsInd[[#This Row],[Category]],$Q$1:$V$1,0)+1,FALSE))</f>
        <v>PR1</v>
      </c>
      <c r="Z408" s="264" t="str">
        <f>IF(ResultsInd[[#This Row],[Score_OK]],IF(ResultsInd[[#This Row],[Level]]="R",ResultsInd[[#This Row],[Category]]&amp;"-"&amp;IF(ResultsInd[[#This Row],[LoseInKO]]=ResultsInd[[#This Row],[Category]]&amp;"-"&amp;ResultsInd[[#This Row],[Player A]],ResultsInd[[#This Row],[Player B]],ResultsInd[[#This Row],[Player A]]),""),"")</f>
        <v/>
      </c>
      <c r="AB408" s="8"/>
      <c r="AC408" s="8"/>
      <c r="AF408" s="170"/>
      <c r="AG408" s="101"/>
      <c r="AH408" s="101"/>
      <c r="AN408" s="170"/>
      <c r="AO408" s="170"/>
      <c r="AP408" s="170"/>
      <c r="AQ408" s="172"/>
      <c r="AR408" s="173"/>
      <c r="AS408" s="173"/>
      <c r="AT408" s="173"/>
      <c r="AU408" s="101"/>
      <c r="AV408" s="101"/>
      <c r="AW408" s="101"/>
      <c r="AX408" s="101"/>
      <c r="AY408" s="101"/>
      <c r="AZ408" s="101"/>
    </row>
    <row r="409" spans="1:58" ht="12" thickBot="1" x14ac:dyDescent="0.25">
      <c r="A409" s="62" t="s">
        <v>12261</v>
      </c>
      <c r="B409" s="62" t="s">
        <v>12207</v>
      </c>
      <c r="C409" s="62">
        <v>15</v>
      </c>
      <c r="D409" s="62"/>
      <c r="E409" s="345" t="s">
        <v>10243</v>
      </c>
      <c r="F409" s="345" t="s">
        <v>10584</v>
      </c>
      <c r="G409" s="113">
        <v>7</v>
      </c>
      <c r="H409" s="113">
        <v>0</v>
      </c>
      <c r="I409" s="114"/>
      <c r="J409" s="114"/>
      <c r="K409" s="114"/>
      <c r="L409" s="81"/>
      <c r="M409" s="265" t="b">
        <f>NOT(ISERROR(ResultsInd[[#This Row],[Goal-A]]+ResultsInd[[#This Row],[Goal-B]]))</f>
        <v>1</v>
      </c>
      <c r="N409" s="265">
        <f>VALUE(ResultsInd[[#This Row],[Score-A]])</f>
        <v>7</v>
      </c>
      <c r="O409" s="265">
        <f>VALUE(ResultsInd[[#This Row],[Score-B]])</f>
        <v>0</v>
      </c>
      <c r="P409" s="265">
        <f ca="1">IF(AND(ResultsInd[[#This Row],[Category]]&lt;&gt;"",ResultsInd[[#This Row],[Player A]]&lt;&gt;""),COUNTIF(INDIRECT(ResultsInd[[#This Row],[Category]]&amp;"List[Retained Player Name]"),ResultsInd[[#This Row],[Player A]]),"")</f>
        <v>1</v>
      </c>
      <c r="Q409" s="265">
        <f ca="1">IF(AND(ResultsInd[[#This Row],[Category]]&lt;&gt;"",ResultsInd[[#This Row],[Player B]]&lt;&gt;""),COUNTIF(INDIRECT(ResultsInd[[#This Row],[Category]]&amp;"List[Retained Player Name]"),ResultsInd[[#This Row],[Player B]]),"")</f>
        <v>1</v>
      </c>
      <c r="R4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VETERANS-Lucio Canicchio</v>
      </c>
      <c r="S409" s="265" t="str">
        <f>IF(ResultsInd[[#This Row],[Score_OK]],IF(ResultsInd[[#This Row],[Stage]]="Groups",ResultsInd[[#This Row],[Category]]&amp;"-"&amp;IF(ResultsInd[[#This Row],[Player B]]="","",IF(ResultsInd[[#This Row],[Score-A]]=ResultsInd[[#This Row],[Score-B]],ResultsInd[[#This Row],[Player A]],"")),""),"")</f>
        <v>VETERANS-</v>
      </c>
      <c r="T409" s="265" t="str">
        <f>IF(ResultsInd[[#This Row],[Score_OK]],IF(ResultsInd[[#This Row],[Stage]]="Groups",ResultsInd[[#This Row],[Category]]&amp;"-"&amp;IF(ResultsInd[[#This Row],[Player B]]="","",IF(ResultsInd[[#This Row],[Score-A]]=ResultsInd[[#This Row],[Score-B]],ResultsInd[[#This Row],[Player B]],"")),""),"")</f>
        <v>VETERANS-</v>
      </c>
      <c r="U4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VETERANS-John Moore</v>
      </c>
      <c r="V4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VETERANS-John Moore</v>
      </c>
      <c r="X4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VETERANS-John Moore</v>
      </c>
      <c r="Y409" s="264" t="str">
        <f>IF(ResultsInd[[#This Row],[Category]]="","",VLOOKUP(ResultsInd[[#This Row],[Stage]],$P$1:$V$9,MATCH(ResultsInd[[#This Row],[Category]],$Q$1:$V$1,0)+1,FALSE))</f>
        <v>PR1</v>
      </c>
      <c r="Z409" s="264" t="str">
        <f>IF(ResultsInd[[#This Row],[Score_OK]],IF(ResultsInd[[#This Row],[Level]]="R",ResultsInd[[#This Row],[Category]]&amp;"-"&amp;IF(ResultsInd[[#This Row],[LoseInKO]]=ResultsInd[[#This Row],[Category]]&amp;"-"&amp;ResultsInd[[#This Row],[Player A]],ResultsInd[[#This Row],[Player B]],ResultsInd[[#This Row],[Player A]]),""),"")</f>
        <v/>
      </c>
      <c r="AB409" s="281">
        <v>15</v>
      </c>
      <c r="AC409" s="315" t="s">
        <v>12261</v>
      </c>
      <c r="AD409" s="289" t="s">
        <v>14439</v>
      </c>
      <c r="AE409" s="290" t="s">
        <v>12279</v>
      </c>
      <c r="AF409" s="284" t="s">
        <v>12275</v>
      </c>
      <c r="AG409" s="296" t="s">
        <v>12276</v>
      </c>
      <c r="AH409" s="291" t="s">
        <v>12271</v>
      </c>
      <c r="AI409" s="291" t="s">
        <v>12272</v>
      </c>
      <c r="AJ409" s="414" t="s">
        <v>13154</v>
      </c>
      <c r="AK409" s="291" t="s">
        <v>12273</v>
      </c>
      <c r="AL409" s="297" t="s">
        <v>12274</v>
      </c>
      <c r="AM409" s="414" t="s">
        <v>13154</v>
      </c>
      <c r="AN409" s="303" t="s">
        <v>12199</v>
      </c>
      <c r="AO409" s="304" t="s">
        <v>12200</v>
      </c>
      <c r="AP409" s="304" t="s">
        <v>12201</v>
      </c>
      <c r="AQ409" s="304" t="s">
        <v>12202</v>
      </c>
      <c r="AR409" s="304" t="s">
        <v>12203</v>
      </c>
      <c r="AS409" s="304" t="s">
        <v>12204</v>
      </c>
      <c r="AT409" s="304" t="s">
        <v>12205</v>
      </c>
      <c r="AU409" s="305" t="s">
        <v>12206</v>
      </c>
      <c r="AV409" s="468"/>
      <c r="AW409" s="282" t="s">
        <v>12276</v>
      </c>
      <c r="AX409" s="282" t="s">
        <v>12280</v>
      </c>
      <c r="AY409" s="283" t="s">
        <v>12199</v>
      </c>
      <c r="AZ409" s="283" t="s">
        <v>12200</v>
      </c>
      <c r="BA409" s="283" t="s">
        <v>12201</v>
      </c>
      <c r="BB409" s="283" t="s">
        <v>12202</v>
      </c>
      <c r="BC409" s="283" t="s">
        <v>12203</v>
      </c>
      <c r="BD409" s="283" t="s">
        <v>12204</v>
      </c>
      <c r="BE409" s="283" t="s">
        <v>12205</v>
      </c>
      <c r="BF409" s="300" t="s">
        <v>12206</v>
      </c>
    </row>
    <row r="410" spans="1:58" ht="12" thickBot="1" x14ac:dyDescent="0.25">
      <c r="A410" s="62" t="s">
        <v>12261</v>
      </c>
      <c r="B410" s="62" t="s">
        <v>12207</v>
      </c>
      <c r="C410" s="62">
        <v>15</v>
      </c>
      <c r="D410" s="62"/>
      <c r="E410" s="345" t="s">
        <v>10584</v>
      </c>
      <c r="F410" s="345" t="s">
        <v>8116</v>
      </c>
      <c r="G410" s="113">
        <v>0</v>
      </c>
      <c r="H410" s="113">
        <v>9</v>
      </c>
      <c r="I410" s="114"/>
      <c r="J410" s="114"/>
      <c r="K410" s="114"/>
      <c r="L410" s="81"/>
      <c r="M410" s="265" t="b">
        <f>NOT(ISERROR(ResultsInd[[#This Row],[Goal-A]]+ResultsInd[[#This Row],[Goal-B]]))</f>
        <v>1</v>
      </c>
      <c r="N410" s="265">
        <f>VALUE(ResultsInd[[#This Row],[Score-A]])</f>
        <v>0</v>
      </c>
      <c r="O410" s="265">
        <f>VALUE(ResultsInd[[#This Row],[Score-B]])</f>
        <v>9</v>
      </c>
      <c r="P410" s="265">
        <f ca="1">IF(AND(ResultsInd[[#This Row],[Category]]&lt;&gt;"",ResultsInd[[#This Row],[Player A]]&lt;&gt;""),COUNTIF(INDIRECT(ResultsInd[[#This Row],[Category]]&amp;"List[Retained Player Name]"),ResultsInd[[#This Row],[Player A]]),"")</f>
        <v>1</v>
      </c>
      <c r="Q410" s="265">
        <f ca="1">IF(AND(ResultsInd[[#This Row],[Category]]&lt;&gt;"",ResultsInd[[#This Row],[Player B]]&lt;&gt;""),COUNTIF(INDIRECT(ResultsInd[[#This Row],[Category]]&amp;"List[Retained Player Name]"),ResultsInd[[#This Row],[Player B]]),"")</f>
        <v>1</v>
      </c>
      <c r="R4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VETERANS-Benoît Massart</v>
      </c>
      <c r="S410" s="265" t="str">
        <f>IF(ResultsInd[[#This Row],[Score_OK]],IF(ResultsInd[[#This Row],[Stage]]="Groups",ResultsInd[[#This Row],[Category]]&amp;"-"&amp;IF(ResultsInd[[#This Row],[Player B]]="","",IF(ResultsInd[[#This Row],[Score-A]]=ResultsInd[[#This Row],[Score-B]],ResultsInd[[#This Row],[Player A]],"")),""),"")</f>
        <v>VETERANS-</v>
      </c>
      <c r="T410" s="265" t="str">
        <f>IF(ResultsInd[[#This Row],[Score_OK]],IF(ResultsInd[[#This Row],[Stage]]="Groups",ResultsInd[[#This Row],[Category]]&amp;"-"&amp;IF(ResultsInd[[#This Row],[Player B]]="","",IF(ResultsInd[[#This Row],[Score-A]]=ResultsInd[[#This Row],[Score-B]],ResultsInd[[#This Row],[Player B]],"")),""),"")</f>
        <v>VETERANS-</v>
      </c>
      <c r="U4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VETERANS-John Moore</v>
      </c>
      <c r="V4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VETERANS-John Moore</v>
      </c>
      <c r="X4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VETERANS-John Moore</v>
      </c>
      <c r="Y410" s="264" t="str">
        <f>IF(ResultsInd[[#This Row],[Category]]="","",VLOOKUP(ResultsInd[[#This Row],[Stage]],$P$1:$V$9,MATCH(ResultsInd[[#This Row],[Category]],$Q$1:$V$1,0)+1,FALSE))</f>
        <v>PR1</v>
      </c>
      <c r="Z410" s="264" t="str">
        <f>IF(ResultsInd[[#This Row],[Score_OK]],IF(ResultsInd[[#This Row],[Level]]="R",ResultsInd[[#This Row],[Category]]&amp;"-"&amp;IF(ResultsInd[[#This Row],[LoseInKO]]=ResultsInd[[#This Row],[Category]]&amp;"-"&amp;ResultsInd[[#This Row],[Player A]],ResultsInd[[#This Row],[Player B]],ResultsInd[[#This Row],[Player A]]),""),"")</f>
        <v/>
      </c>
      <c r="AB410" s="8"/>
      <c r="AC410" s="12" t="str">
        <f>IF(AC409="","",AC409)</f>
        <v>VETERANS</v>
      </c>
      <c r="AD410" s="309" t="s">
        <v>10243</v>
      </c>
      <c r="AE410" s="320"/>
      <c r="AF410" s="311"/>
      <c r="AG410" s="292">
        <f>IF(AP410="","",SMALL(AH410:AH416,ROWS(AG410:AG410)))</f>
        <v>1001</v>
      </c>
      <c r="AH410" s="293">
        <f>IF(AP410="","",RANK(AL410,AL410:AL416)*1000+ROWS(AH410:AH410))</f>
        <v>1001</v>
      </c>
      <c r="AI410" s="316">
        <f t="shared" ref="AI410:AI416" si="353">IF(AP410="","",CritClassInd1_Points*AN410+CritClassInd1_Matches*AP410+CritClassInd1_Attaque*AS410+CritClassInd1_DiffButs*AU410)</f>
        <v>12000000000000</v>
      </c>
      <c r="AJ410" s="415" t="b">
        <f>AND(AO410&lt;&gt;"",AO410&gt;0,COUNTIF(AI410:AI416,AI410)&gt;1)</f>
        <v>0</v>
      </c>
      <c r="AK410" s="316">
        <f t="shared" ref="AK410:AK416" si="354">IF(AP410="","",CritClassInd_ScorePart*AE410)</f>
        <v>0</v>
      </c>
      <c r="AL410" s="317">
        <f t="shared" ref="AL410:AL416" si="355">IF(AP410="","",AI410+AK410+CritClassInd2_Points*AN410+CritClassInd2_Matches*AP410+CritClassInd2_Attaque*AS410+CritClassInd2_DiffButs*AU410+AF410)</f>
        <v>12000000212300</v>
      </c>
      <c r="AM410" s="415" t="b">
        <f>AND(AO410&lt;&gt;"",AO410&gt;0,COUNTIF(AL410:AL416,AL410)&gt;1)</f>
        <v>0</v>
      </c>
      <c r="AN410" s="306">
        <f t="shared" ref="AN410:AN416" si="356">IF(AP410="","",(AP410*Points_Victoire)+AQ410*Points_Null)</f>
        <v>12</v>
      </c>
      <c r="AO410" s="307">
        <f t="shared" ref="AO410:AO416" si="357">IF(AP410="","",SUM(AP410:AR410))</f>
        <v>4</v>
      </c>
      <c r="AP410" s="307">
        <f>IF(OR(AC409="",AD410=""),"",COUNTIF(ResultsInd[Win],AC409&amp;"-"&amp;AD410))</f>
        <v>4</v>
      </c>
      <c r="AQ410" s="307">
        <f>IF(OR(AC409="",AD410=""),"",COUNTIF(ResultsInd[Draw1],AC409&amp;"-"&amp;AD410)+COUNTIF(ResultsInd[Draw2],AC409&amp;"-"&amp;AD410))</f>
        <v>0</v>
      </c>
      <c r="AR410" s="307">
        <f>IF(OR(AC409="",AD410=""),"",COUNTIF(ResultsInd[Lose],AC409&amp;"-"&amp;AD410))</f>
        <v>0</v>
      </c>
      <c r="AS410" s="307">
        <f>IF(OR(AC409="",AD410=""),"",SUMIFS(ResultsInd[Goal-A],ResultsInd[Category],AC409,ResultsInd[Stage],"Groups",ResultsInd[Player A],AD410)+SUMIFS(ResultsInd[Goal-B],ResultsInd[Category],AC409,ResultsInd[Stage],"Groups",ResultsInd[Player B],AD410))</f>
        <v>23</v>
      </c>
      <c r="AT410" s="307">
        <f>IF(OR(AC409="",AD410=""),"",SUMIFS(ResultsInd[Goal-B],ResultsInd[Category],AC409,ResultsInd[Stage],"Groups",ResultsInd[Player A],AD410)+SUMIFS(ResultsInd[Goal-A],ResultsInd[Category],AC409,ResultsInd[Stage],"Groups",ResultsInd[Player B],AD410))</f>
        <v>2</v>
      </c>
      <c r="AU410" s="308">
        <f>IF(AP410="","",AS410-AT410)</f>
        <v>21</v>
      </c>
      <c r="AV410" s="469" t="b">
        <f>IF(AG410="","",OR(VLOOKUP(AG410,AH410:AU416,3,FALSE),VLOOKUP(AG410,AH410:AU416,6,FALSE)))</f>
        <v>0</v>
      </c>
      <c r="AW410" s="298">
        <f t="shared" ref="AW410:AW416" si="358">IF(AG410="","",INT(AG410/1000))</f>
        <v>1</v>
      </c>
      <c r="AX410" s="285" t="str">
        <f>IF(AG410="","",INDEX(AD410:AD416,MATCH(AG410,AH410:AH416,0)))</f>
        <v>Lucio Canicchio</v>
      </c>
      <c r="AY410" s="286">
        <f>IF(AG410="","",VLOOKUP(AG410,AH410:AU416,COLUMN()-COLUMN(AR409),FALSE))</f>
        <v>12</v>
      </c>
      <c r="AZ410" s="286">
        <f>IF(AG410="","",VLOOKUP(AG410,AH410:AU416,COLUMN()-COLUMN(AR409),FALSE))</f>
        <v>4</v>
      </c>
      <c r="BA410" s="286">
        <f>IF(AG410="","",VLOOKUP(AG410,AH410:AU416,COLUMN()-COLUMN(AR409),FALSE))</f>
        <v>4</v>
      </c>
      <c r="BB410" s="286">
        <f>IF(AG410="","",VLOOKUP(AG410,AH410:AU416,COLUMN()-COLUMN(AR409),FALSE))</f>
        <v>0</v>
      </c>
      <c r="BC410" s="286">
        <f>IF(AG410="","",VLOOKUP(AG410,AH410:AU416,COLUMN()-COLUMN(AR409),FALSE))</f>
        <v>0</v>
      </c>
      <c r="BD410" s="286">
        <f>IF(AG410="","",VLOOKUP(AG410,AH410:AU416,COLUMN()-COLUMN(AR409),FALSE))</f>
        <v>23</v>
      </c>
      <c r="BE410" s="286">
        <f>IF(AG410="","",VLOOKUP(AG410,AH410:AU416,COLUMN()-COLUMN(AR409),FALSE))</f>
        <v>2</v>
      </c>
      <c r="BF410" s="301">
        <f>IF(AG410="","",VLOOKUP(AG410,AH410:AU416,COLUMN()-COLUMN(AR409),FALSE))</f>
        <v>21</v>
      </c>
    </row>
    <row r="411" spans="1:58" ht="12" thickBot="1" x14ac:dyDescent="0.25">
      <c r="A411" s="62" t="s">
        <v>12261</v>
      </c>
      <c r="B411" s="62" t="s">
        <v>12207</v>
      </c>
      <c r="C411" s="62">
        <v>15</v>
      </c>
      <c r="D411" s="62"/>
      <c r="E411" s="345" t="s">
        <v>14467</v>
      </c>
      <c r="F411" s="345" t="s">
        <v>8643</v>
      </c>
      <c r="G411" s="113">
        <v>2</v>
      </c>
      <c r="H411" s="113">
        <v>6</v>
      </c>
      <c r="I411" s="114"/>
      <c r="J411" s="114"/>
      <c r="K411" s="114"/>
      <c r="L411" s="81"/>
      <c r="M411" s="265" t="b">
        <f>NOT(ISERROR(ResultsInd[[#This Row],[Goal-A]]+ResultsInd[[#This Row],[Goal-B]]))</f>
        <v>1</v>
      </c>
      <c r="N411" s="265">
        <f>VALUE(ResultsInd[[#This Row],[Score-A]])</f>
        <v>2</v>
      </c>
      <c r="O411" s="265">
        <f>VALUE(ResultsInd[[#This Row],[Score-B]])</f>
        <v>6</v>
      </c>
      <c r="P411" s="265">
        <f ca="1">IF(AND(ResultsInd[[#This Row],[Category]]&lt;&gt;"",ResultsInd[[#This Row],[Player A]]&lt;&gt;""),COUNTIF(INDIRECT(ResultsInd[[#This Row],[Category]]&amp;"List[Retained Player Name]"),ResultsInd[[#This Row],[Player A]]),"")</f>
        <v>1</v>
      </c>
      <c r="Q411" s="265">
        <f ca="1">IF(AND(ResultsInd[[#This Row],[Category]]&lt;&gt;"",ResultsInd[[#This Row],[Player B]]&lt;&gt;""),COUNTIF(INDIRECT(ResultsInd[[#This Row],[Category]]&amp;"List[Retained Player Name]"),ResultsInd[[#This Row],[Player B]]),"")</f>
        <v>1</v>
      </c>
      <c r="R4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VETERANS-Alberto Gómez</v>
      </c>
      <c r="S411" s="265" t="str">
        <f>IF(ResultsInd[[#This Row],[Score_OK]],IF(ResultsInd[[#This Row],[Stage]]="Groups",ResultsInd[[#This Row],[Category]]&amp;"-"&amp;IF(ResultsInd[[#This Row],[Player B]]="","",IF(ResultsInd[[#This Row],[Score-A]]=ResultsInd[[#This Row],[Score-B]],ResultsInd[[#This Row],[Player A]],"")),""),"")</f>
        <v>VETERANS-</v>
      </c>
      <c r="T411" s="265" t="str">
        <f>IF(ResultsInd[[#This Row],[Score_OK]],IF(ResultsInd[[#This Row],[Stage]]="Groups",ResultsInd[[#This Row],[Category]]&amp;"-"&amp;IF(ResultsInd[[#This Row],[Player B]]="","",IF(ResultsInd[[#This Row],[Score-A]]=ResultsInd[[#This Row],[Score-B]],ResultsInd[[#This Row],[Player B]],"")),""),"")</f>
        <v>VETERANS-</v>
      </c>
      <c r="U4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VETERANS-Florian Daxböck</v>
      </c>
      <c r="V4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X4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Y411" s="264" t="str">
        <f>IF(ResultsInd[[#This Row],[Category]]="","",VLOOKUP(ResultsInd[[#This Row],[Stage]],$P$1:$V$9,MATCH(ResultsInd[[#This Row],[Category]],$Q$1:$V$1,0)+1,FALSE))</f>
        <v>PR1</v>
      </c>
      <c r="Z411" s="264" t="str">
        <f>IF(ResultsInd[[#This Row],[Score_OK]],IF(ResultsInd[[#This Row],[Level]]="R",ResultsInd[[#This Row],[Category]]&amp;"-"&amp;IF(ResultsInd[[#This Row],[LoseInKO]]=ResultsInd[[#This Row],[Category]]&amp;"-"&amp;ResultsInd[[#This Row],[Player A]],ResultsInd[[#This Row],[Player B]],ResultsInd[[#This Row],[Player A]]),""),"")</f>
        <v/>
      </c>
      <c r="AB411" s="8"/>
      <c r="AC411" s="12" t="str">
        <f t="shared" ref="AC411:AC416" si="359">IF(AC410="","",AC410)</f>
        <v>VETERANS</v>
      </c>
      <c r="AD411" s="309" t="s">
        <v>8116</v>
      </c>
      <c r="AE411" s="320"/>
      <c r="AF411" s="311"/>
      <c r="AG411" s="292">
        <f>IF(AP411="","",SMALL(AH410:AH416,ROWS(AG410:AG411)))</f>
        <v>2002</v>
      </c>
      <c r="AH411" s="293">
        <f>IF(AP411="","",RANK(AL411,AL410:AL416)*1000+ROWS(AH410:AH411))</f>
        <v>2002</v>
      </c>
      <c r="AI411" s="316">
        <f t="shared" si="353"/>
        <v>9000000000000</v>
      </c>
      <c r="AJ411" s="415" t="b">
        <f>AND(AO411&lt;&gt;"",AO411&gt;0,COUNTIF(AI410:AI416,AI411)&gt;1)</f>
        <v>0</v>
      </c>
      <c r="AK411" s="316">
        <f t="shared" si="354"/>
        <v>0</v>
      </c>
      <c r="AL411" s="317">
        <f t="shared" si="355"/>
        <v>9000000252700</v>
      </c>
      <c r="AM411" s="415" t="b">
        <f>AND(AO411&lt;&gt;"",AO411&gt;0,COUNTIF(AL410:AL416,AL411)&gt;1)</f>
        <v>0</v>
      </c>
      <c r="AN411" s="306">
        <f t="shared" si="356"/>
        <v>9</v>
      </c>
      <c r="AO411" s="307">
        <f t="shared" si="357"/>
        <v>4</v>
      </c>
      <c r="AP411" s="307">
        <f>IF(OR(AC409="",AD411=""),"",COUNTIF(ResultsInd[Win],AC409&amp;"-"&amp;AD411))</f>
        <v>3</v>
      </c>
      <c r="AQ411" s="307">
        <f>IF(OR(AC409="",AD411=""),"",COUNTIF(ResultsInd[Draw1],AC409&amp;"-"&amp;AD411)+COUNTIF(ResultsInd[Draw2],AC409&amp;"-"&amp;AD411))</f>
        <v>0</v>
      </c>
      <c r="AR411" s="307">
        <f>IF(OR(AC409="",AD411=""),"",COUNTIF(ResultsInd[Lose],AC409&amp;"-"&amp;AD411))</f>
        <v>1</v>
      </c>
      <c r="AS411" s="307">
        <f>IF(OR(AC409="",AD411=""),"",SUMIFS(ResultsInd[Goal-A],ResultsInd[Category],AC409,ResultsInd[Stage],"Groups",ResultsInd[Player A],AD411)+SUMIFS(ResultsInd[Goal-B],ResultsInd[Category],AC409,ResultsInd[Stage],"Groups",ResultsInd[Player B],AD411))</f>
        <v>27</v>
      </c>
      <c r="AT411" s="307">
        <f>IF(OR(AC409="",AD411=""),"",SUMIFS(ResultsInd[Goal-B],ResultsInd[Category],AC409,ResultsInd[Stage],"Groups",ResultsInd[Player A],AD411)+SUMIFS(ResultsInd[Goal-A],ResultsInd[Category],AC409,ResultsInd[Stage],"Groups",ResultsInd[Player B],AD411))</f>
        <v>2</v>
      </c>
      <c r="AU411" s="308">
        <f t="shared" ref="AU411:AU416" si="360">IF(AP411="","",AS411-AT411)</f>
        <v>25</v>
      </c>
      <c r="AV411" s="469" t="b">
        <f>IF(AG411="","",OR(VLOOKUP(AG411,AH410:AU416,3,FALSE),VLOOKUP(AG411,AH410:AU416,6,FALSE)))</f>
        <v>0</v>
      </c>
      <c r="AW411" s="298">
        <f t="shared" si="358"/>
        <v>2</v>
      </c>
      <c r="AX411" s="285" t="str">
        <f>IF(AG411="","",INDEX(AD410:AD416,MATCH(AG411,AH410:AH416,0)))</f>
        <v>Benoît Massart</v>
      </c>
      <c r="AY411" s="286">
        <f>IF(AG411="","",VLOOKUP(AG411,AH410:AU416,COLUMN()-COLUMN(AR409),FALSE))</f>
        <v>9</v>
      </c>
      <c r="AZ411" s="286">
        <f>IF(AG411="","",VLOOKUP(AG411,AH410:AU416,COLUMN()-COLUMN(AR409),FALSE))</f>
        <v>4</v>
      </c>
      <c r="BA411" s="286">
        <f>IF(AG411="","",VLOOKUP(AG411,AH410:AU416,COLUMN()-COLUMN(AR409),FALSE))</f>
        <v>3</v>
      </c>
      <c r="BB411" s="286">
        <f>IF(AG411="","",VLOOKUP(AG411,AH410:AU416,COLUMN()-COLUMN(AR409),FALSE))</f>
        <v>0</v>
      </c>
      <c r="BC411" s="286">
        <f>IF(AG411="","",VLOOKUP(AG411,AH410:AU416,COLUMN()-COLUMN(AR409),FALSE))</f>
        <v>1</v>
      </c>
      <c r="BD411" s="286">
        <f>IF(AG411="","",VLOOKUP(AG411,AH410:AU416,COLUMN()-COLUMN(AR409),FALSE))</f>
        <v>27</v>
      </c>
      <c r="BE411" s="286">
        <f>IF(AG411="","",VLOOKUP(AG411,AH410:AU416,COLUMN()-COLUMN(AR409),FALSE))</f>
        <v>2</v>
      </c>
      <c r="BF411" s="301">
        <f>IF(AG411="","",VLOOKUP(AG411,AH410:AU416,COLUMN()-COLUMN(AR409),FALSE))</f>
        <v>25</v>
      </c>
    </row>
    <row r="412" spans="1:58" ht="12" thickBot="1" x14ac:dyDescent="0.25">
      <c r="A412" s="62" t="s">
        <v>12261</v>
      </c>
      <c r="B412" s="62" t="s">
        <v>12207</v>
      </c>
      <c r="C412" s="62">
        <v>15</v>
      </c>
      <c r="D412" s="62"/>
      <c r="E412" s="345" t="s">
        <v>8643</v>
      </c>
      <c r="F412" s="345" t="s">
        <v>10584</v>
      </c>
      <c r="G412" s="113">
        <v>5</v>
      </c>
      <c r="H412" s="113">
        <v>1</v>
      </c>
      <c r="I412" s="114"/>
      <c r="J412" s="114"/>
      <c r="K412" s="114"/>
      <c r="L412" s="81"/>
      <c r="M412" s="265" t="b">
        <f>NOT(ISERROR(ResultsInd[[#This Row],[Goal-A]]+ResultsInd[[#This Row],[Goal-B]]))</f>
        <v>1</v>
      </c>
      <c r="N412" s="265">
        <f>VALUE(ResultsInd[[#This Row],[Score-A]])</f>
        <v>5</v>
      </c>
      <c r="O412" s="265">
        <f>VALUE(ResultsInd[[#This Row],[Score-B]])</f>
        <v>1</v>
      </c>
      <c r="P412" s="265">
        <f ca="1">IF(AND(ResultsInd[[#This Row],[Category]]&lt;&gt;"",ResultsInd[[#This Row],[Player A]]&lt;&gt;""),COUNTIF(INDIRECT(ResultsInd[[#This Row],[Category]]&amp;"List[Retained Player Name]"),ResultsInd[[#This Row],[Player A]]),"")</f>
        <v>1</v>
      </c>
      <c r="Q412" s="265">
        <f ca="1">IF(AND(ResultsInd[[#This Row],[Category]]&lt;&gt;"",ResultsInd[[#This Row],[Player B]]&lt;&gt;""),COUNTIF(INDIRECT(ResultsInd[[#This Row],[Category]]&amp;"List[Retained Player Name]"),ResultsInd[[#This Row],[Player B]]),"")</f>
        <v>1</v>
      </c>
      <c r="R4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VETERANS-Alberto Gómez</v>
      </c>
      <c r="S412" s="265" t="str">
        <f>IF(ResultsInd[[#This Row],[Score_OK]],IF(ResultsInd[[#This Row],[Stage]]="Groups",ResultsInd[[#This Row],[Category]]&amp;"-"&amp;IF(ResultsInd[[#This Row],[Player B]]="","",IF(ResultsInd[[#This Row],[Score-A]]=ResultsInd[[#This Row],[Score-B]],ResultsInd[[#This Row],[Player A]],"")),""),"")</f>
        <v>VETERANS-</v>
      </c>
      <c r="T412" s="265" t="str">
        <f>IF(ResultsInd[[#This Row],[Score_OK]],IF(ResultsInd[[#This Row],[Stage]]="Groups",ResultsInd[[#This Row],[Category]]&amp;"-"&amp;IF(ResultsInd[[#This Row],[Player B]]="","",IF(ResultsInd[[#This Row],[Score-A]]=ResultsInd[[#This Row],[Score-B]],ResultsInd[[#This Row],[Player B]],"")),""),"")</f>
        <v>VETERANS-</v>
      </c>
      <c r="U4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VETERANS-John Moore</v>
      </c>
      <c r="V4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VETERANS-John Moore</v>
      </c>
      <c r="X4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VETERANS-John Moore</v>
      </c>
      <c r="Y412" s="264" t="str">
        <f>IF(ResultsInd[[#This Row],[Category]]="","",VLOOKUP(ResultsInd[[#This Row],[Stage]],$P$1:$V$9,MATCH(ResultsInd[[#This Row],[Category]],$Q$1:$V$1,0)+1,FALSE))</f>
        <v>PR1</v>
      </c>
      <c r="Z412" s="264" t="str">
        <f>IF(ResultsInd[[#This Row],[Score_OK]],IF(ResultsInd[[#This Row],[Level]]="R",ResultsInd[[#This Row],[Category]]&amp;"-"&amp;IF(ResultsInd[[#This Row],[LoseInKO]]=ResultsInd[[#This Row],[Category]]&amp;"-"&amp;ResultsInd[[#This Row],[Player A]],ResultsInd[[#This Row],[Player B]],ResultsInd[[#This Row],[Player A]]),""),"")</f>
        <v/>
      </c>
      <c r="AB412" s="8"/>
      <c r="AC412" s="12" t="str">
        <f t="shared" si="359"/>
        <v>VETERANS</v>
      </c>
      <c r="AD412" s="309" t="s">
        <v>8643</v>
      </c>
      <c r="AE412" s="320"/>
      <c r="AF412" s="311"/>
      <c r="AG412" s="292">
        <f>IF(AP412="","",SMALL(AH410:AH416,ROWS(AG410:AG412)))</f>
        <v>3003</v>
      </c>
      <c r="AH412" s="293">
        <f>IF(AP412="","",RANK(AL412,AL410:AL416)*1000+ROWS(AH410:AH412))</f>
        <v>3003</v>
      </c>
      <c r="AI412" s="316">
        <f t="shared" si="353"/>
        <v>6000000000000</v>
      </c>
      <c r="AJ412" s="415" t="b">
        <f>AND(AO412&lt;&gt;"",AO412&gt;0,COUNTIF(AI410:AI416,AI412)&gt;1)</f>
        <v>0</v>
      </c>
      <c r="AK412" s="316">
        <f t="shared" si="354"/>
        <v>0</v>
      </c>
      <c r="AL412" s="317">
        <f t="shared" si="355"/>
        <v>6000000001200</v>
      </c>
      <c r="AM412" s="415" t="b">
        <f>AND(AO412&lt;&gt;"",AO412&gt;0,COUNTIF(AL410:AL416,AL412)&gt;1)</f>
        <v>0</v>
      </c>
      <c r="AN412" s="306">
        <f t="shared" si="356"/>
        <v>6</v>
      </c>
      <c r="AO412" s="307">
        <f t="shared" si="357"/>
        <v>4</v>
      </c>
      <c r="AP412" s="307">
        <f>IF(OR(AC409="",AD412=""),"",COUNTIF(ResultsInd[Win],AC409&amp;"-"&amp;AD412))</f>
        <v>2</v>
      </c>
      <c r="AQ412" s="307">
        <f>IF(OR(AC409="",AD412=""),"",COUNTIF(ResultsInd[Draw1],AC409&amp;"-"&amp;AD412)+COUNTIF(ResultsInd[Draw2],AC409&amp;"-"&amp;AD412))</f>
        <v>0</v>
      </c>
      <c r="AR412" s="307">
        <f>IF(OR(AC409="",AD412=""),"",COUNTIF(ResultsInd[Lose],AC409&amp;"-"&amp;AD412))</f>
        <v>2</v>
      </c>
      <c r="AS412" s="307">
        <f>IF(OR(AC409="",AD412=""),"",SUMIFS(ResultsInd[Goal-A],ResultsInd[Category],AC409,ResultsInd[Stage],"Groups",ResultsInd[Player A],AD412)+SUMIFS(ResultsInd[Goal-B],ResultsInd[Category],AC409,ResultsInd[Stage],"Groups",ResultsInd[Player B],AD412))</f>
        <v>12</v>
      </c>
      <c r="AT412" s="307">
        <f>IF(OR(AC409="",AD412=""),"",SUMIFS(ResultsInd[Goal-B],ResultsInd[Category],AC409,ResultsInd[Stage],"Groups",ResultsInd[Player A],AD412)+SUMIFS(ResultsInd[Goal-A],ResultsInd[Category],AC409,ResultsInd[Stage],"Groups",ResultsInd[Player B],AD412))</f>
        <v>12</v>
      </c>
      <c r="AU412" s="308">
        <f t="shared" si="360"/>
        <v>0</v>
      </c>
      <c r="AV412" s="469" t="b">
        <f>IF(AG412="","",OR(VLOOKUP(AG412,AH410:AU416,3,FALSE),VLOOKUP(AG412,AH410:AU416,6,FALSE)))</f>
        <v>0</v>
      </c>
      <c r="AW412" s="298">
        <f t="shared" si="358"/>
        <v>3</v>
      </c>
      <c r="AX412" s="285" t="str">
        <f>IF(AG412="","",INDEX(AD410:AD416,MATCH(AG412,AH410:AH416,0)))</f>
        <v>Alberto Gómez</v>
      </c>
      <c r="AY412" s="286">
        <f>IF(AG412="","",VLOOKUP(AG412,AH410:AU416,COLUMN()-COLUMN(AR409),FALSE))</f>
        <v>6</v>
      </c>
      <c r="AZ412" s="286">
        <f>IF(AG412="","",VLOOKUP(AG412,AH410:AU416,COLUMN()-COLUMN(AR409),FALSE))</f>
        <v>4</v>
      </c>
      <c r="BA412" s="286">
        <f>IF(AG412="","",VLOOKUP(AG412,AH410:AU416,COLUMN()-COLUMN(AR409),FALSE))</f>
        <v>2</v>
      </c>
      <c r="BB412" s="286">
        <f>IF(AG412="","",VLOOKUP(AG412,AH410:AU416,COLUMN()-COLUMN(AR409),FALSE))</f>
        <v>0</v>
      </c>
      <c r="BC412" s="286">
        <f>IF(AG412="","",VLOOKUP(AG412,AH410:AU416,COLUMN()-COLUMN(AR409),FALSE))</f>
        <v>2</v>
      </c>
      <c r="BD412" s="286">
        <f>IF(AG412="","",VLOOKUP(AG412,AH410:AU416,COLUMN()-COLUMN(AR409),FALSE))</f>
        <v>12</v>
      </c>
      <c r="BE412" s="286">
        <f>IF(AG412="","",VLOOKUP(AG412,AH410:AU416,COLUMN()-COLUMN(AR409),FALSE))</f>
        <v>12</v>
      </c>
      <c r="BF412" s="301">
        <f>IF(AG412="","",VLOOKUP(AG412,AH410:AU416,COLUMN()-COLUMN(AR409),FALSE))</f>
        <v>0</v>
      </c>
    </row>
    <row r="413" spans="1:58" ht="12" thickBot="1" x14ac:dyDescent="0.25">
      <c r="A413" s="62" t="s">
        <v>12261</v>
      </c>
      <c r="B413" s="62" t="s">
        <v>12207</v>
      </c>
      <c r="C413" s="62">
        <v>15</v>
      </c>
      <c r="D413" s="62"/>
      <c r="E413" s="345" t="s">
        <v>10243</v>
      </c>
      <c r="F413" s="345" t="s">
        <v>14467</v>
      </c>
      <c r="G413" s="113">
        <v>11</v>
      </c>
      <c r="H413" s="113">
        <v>0</v>
      </c>
      <c r="I413" s="114"/>
      <c r="J413" s="114"/>
      <c r="K413" s="114"/>
      <c r="L413" s="81"/>
      <c r="M413" s="265" t="b">
        <f>NOT(ISERROR(ResultsInd[[#This Row],[Goal-A]]+ResultsInd[[#This Row],[Goal-B]]))</f>
        <v>1</v>
      </c>
      <c r="N413" s="265">
        <f>VALUE(ResultsInd[[#This Row],[Score-A]])</f>
        <v>11</v>
      </c>
      <c r="O413" s="265">
        <f>VALUE(ResultsInd[[#This Row],[Score-B]])</f>
        <v>0</v>
      </c>
      <c r="P413" s="265">
        <f ca="1">IF(AND(ResultsInd[[#This Row],[Category]]&lt;&gt;"",ResultsInd[[#This Row],[Player A]]&lt;&gt;""),COUNTIF(INDIRECT(ResultsInd[[#This Row],[Category]]&amp;"List[Retained Player Name]"),ResultsInd[[#This Row],[Player A]]),"")</f>
        <v>1</v>
      </c>
      <c r="Q413" s="265">
        <f ca="1">IF(AND(ResultsInd[[#This Row],[Category]]&lt;&gt;"",ResultsInd[[#This Row],[Player B]]&lt;&gt;""),COUNTIF(INDIRECT(ResultsInd[[#This Row],[Category]]&amp;"List[Retained Player Name]"),ResultsInd[[#This Row],[Player B]]),"")</f>
        <v>1</v>
      </c>
      <c r="R4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VETERANS-Lucio Canicchio</v>
      </c>
      <c r="S413" s="265" t="str">
        <f>IF(ResultsInd[[#This Row],[Score_OK]],IF(ResultsInd[[#This Row],[Stage]]="Groups",ResultsInd[[#This Row],[Category]]&amp;"-"&amp;IF(ResultsInd[[#This Row],[Player B]]="","",IF(ResultsInd[[#This Row],[Score-A]]=ResultsInd[[#This Row],[Score-B]],ResultsInd[[#This Row],[Player A]],"")),""),"")</f>
        <v>VETERANS-</v>
      </c>
      <c r="T413" s="265" t="str">
        <f>IF(ResultsInd[[#This Row],[Score_OK]],IF(ResultsInd[[#This Row],[Stage]]="Groups",ResultsInd[[#This Row],[Category]]&amp;"-"&amp;IF(ResultsInd[[#This Row],[Player B]]="","",IF(ResultsInd[[#This Row],[Score-A]]=ResultsInd[[#This Row],[Score-B]],ResultsInd[[#This Row],[Player B]],"")),""),"")</f>
        <v>VETERANS-</v>
      </c>
      <c r="U4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VETERANS-Florian Daxböck</v>
      </c>
      <c r="V4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X4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Y413" s="264" t="str">
        <f>IF(ResultsInd[[#This Row],[Category]]="","",VLOOKUP(ResultsInd[[#This Row],[Stage]],$P$1:$V$9,MATCH(ResultsInd[[#This Row],[Category]],$Q$1:$V$1,0)+1,FALSE))</f>
        <v>PR1</v>
      </c>
      <c r="Z413" s="264" t="str">
        <f>IF(ResultsInd[[#This Row],[Score_OK]],IF(ResultsInd[[#This Row],[Level]]="R",ResultsInd[[#This Row],[Category]]&amp;"-"&amp;IF(ResultsInd[[#This Row],[LoseInKO]]=ResultsInd[[#This Row],[Category]]&amp;"-"&amp;ResultsInd[[#This Row],[Player A]],ResultsInd[[#This Row],[Player B]],ResultsInd[[#This Row],[Player A]]),""),"")</f>
        <v/>
      </c>
      <c r="AB413" s="91"/>
      <c r="AC413" s="12" t="str">
        <f t="shared" si="359"/>
        <v>VETERANS</v>
      </c>
      <c r="AD413" s="309" t="s">
        <v>10584</v>
      </c>
      <c r="AE413" s="310"/>
      <c r="AF413" s="311"/>
      <c r="AG413" s="292">
        <f>IF(AP413="","",SMALL(AH410:AH416,ROWS(AG410:AG413)))</f>
        <v>4004</v>
      </c>
      <c r="AH413" s="293">
        <f>IF(AP413="","",RANK(AL413,AL410:AL416)*1000+ROWS(AH410:AH413))</f>
        <v>4004</v>
      </c>
      <c r="AI413" s="316">
        <f t="shared" si="353"/>
        <v>3000000000000</v>
      </c>
      <c r="AJ413" s="415" t="b">
        <f>AND(AO413&lt;&gt;"",AO413&gt;0,COUNTIF(AI410:AI416,AI413)&gt;1)</f>
        <v>0</v>
      </c>
      <c r="AK413" s="316">
        <f t="shared" si="354"/>
        <v>0</v>
      </c>
      <c r="AL413" s="317">
        <f t="shared" si="355"/>
        <v>2999999810300</v>
      </c>
      <c r="AM413" s="415" t="b">
        <f>AND(AO413&lt;&gt;"",AO413&gt;0,COUNTIF(AL410:AL416,AL413)&gt;1)</f>
        <v>0</v>
      </c>
      <c r="AN413" s="306">
        <f t="shared" si="356"/>
        <v>3</v>
      </c>
      <c r="AO413" s="307">
        <f t="shared" si="357"/>
        <v>4</v>
      </c>
      <c r="AP413" s="307">
        <f>IF(OR(AC409="",AD413=""),"",COUNTIF(ResultsInd[Win],AC409&amp;"-"&amp;AD413))</f>
        <v>1</v>
      </c>
      <c r="AQ413" s="307">
        <f>IF(OR(AC409="",AD413=""),"",COUNTIF(ResultsInd[Draw1],AC409&amp;"-"&amp;AD413)+COUNTIF(ResultsInd[Draw2],AC409&amp;"-"&amp;AD413))</f>
        <v>0</v>
      </c>
      <c r="AR413" s="307">
        <f>IF(OR(AC409="",AD413=""),"",COUNTIF(ResultsInd[Lose],AC409&amp;"-"&amp;AD413))</f>
        <v>3</v>
      </c>
      <c r="AS413" s="307">
        <f>IF(OR(AC409="",AD413=""),"",SUMIFS(ResultsInd[Goal-A],ResultsInd[Category],AC409,ResultsInd[Stage],"Groups",ResultsInd[Player A],AD413)+SUMIFS(ResultsInd[Goal-B],ResultsInd[Category],AC409,ResultsInd[Stage],"Groups",ResultsInd[Player B],AD413))</f>
        <v>3</v>
      </c>
      <c r="AT413" s="307">
        <f>IF(OR(AC409="",AD413=""),"",SUMIFS(ResultsInd[Goal-B],ResultsInd[Category],AC409,ResultsInd[Stage],"Groups",ResultsInd[Player A],AD413)+SUMIFS(ResultsInd[Goal-A],ResultsInd[Category],AC409,ResultsInd[Stage],"Groups",ResultsInd[Player B],AD413))</f>
        <v>22</v>
      </c>
      <c r="AU413" s="308">
        <f t="shared" si="360"/>
        <v>-19</v>
      </c>
      <c r="AV413" s="469" t="b">
        <f>IF(AG413="","",OR(VLOOKUP(AG413,AH410:AU416,3,FALSE),VLOOKUP(AG413,AH410:AU416,6,FALSE)))</f>
        <v>0</v>
      </c>
      <c r="AW413" s="298">
        <f t="shared" si="358"/>
        <v>4</v>
      </c>
      <c r="AX413" s="285" t="str">
        <f>IF(AG413="","",INDEX(AD410:AD416,MATCH(AG413,AH410:AH416,0)))</f>
        <v>John Moore</v>
      </c>
      <c r="AY413" s="286">
        <f>IF(AG413="","",VLOOKUP(AG413,AH410:AU416,COLUMN()-COLUMN(AR409),FALSE))</f>
        <v>3</v>
      </c>
      <c r="AZ413" s="286">
        <f>IF(AG413="","",VLOOKUP(AG413,AH410:AU416,COLUMN()-COLUMN(AR409),FALSE))</f>
        <v>4</v>
      </c>
      <c r="BA413" s="286">
        <f>IF(AG413="","",VLOOKUP(AG413,AH410:AU416,COLUMN()-COLUMN(AR409),FALSE))</f>
        <v>1</v>
      </c>
      <c r="BB413" s="286">
        <f>IF(AG413="","",VLOOKUP(AG413,AH410:AU416,COLUMN()-COLUMN(AR409),FALSE))</f>
        <v>0</v>
      </c>
      <c r="BC413" s="286">
        <f>IF(AG413="","",VLOOKUP(AG413,AH410:AU416,COLUMN()-COLUMN(AR409),FALSE))</f>
        <v>3</v>
      </c>
      <c r="BD413" s="286">
        <f>IF(AG413="","",VLOOKUP(AG413,AH410:AU416,COLUMN()-COLUMN(AR409),FALSE))</f>
        <v>3</v>
      </c>
      <c r="BE413" s="286">
        <f>IF(AG413="","",VLOOKUP(AG413,AH410:AU416,COLUMN()-COLUMN(AR409),FALSE))</f>
        <v>22</v>
      </c>
      <c r="BF413" s="301">
        <f>IF(AG413="","",VLOOKUP(AG413,AH410:AU416,COLUMN()-COLUMN(AR409),FALSE))</f>
        <v>-19</v>
      </c>
    </row>
    <row r="414" spans="1:58" ht="12" thickBot="1" x14ac:dyDescent="0.25">
      <c r="A414" s="62" t="s">
        <v>12261</v>
      </c>
      <c r="B414" s="62" t="s">
        <v>12207</v>
      </c>
      <c r="C414" s="62">
        <v>15</v>
      </c>
      <c r="D414" s="62"/>
      <c r="E414" s="345" t="s">
        <v>8116</v>
      </c>
      <c r="F414" s="345" t="s">
        <v>14467</v>
      </c>
      <c r="G414" s="113">
        <v>11</v>
      </c>
      <c r="H414" s="113">
        <v>0</v>
      </c>
      <c r="I414" s="114"/>
      <c r="J414" s="114"/>
      <c r="K414" s="114"/>
      <c r="L414" s="81"/>
      <c r="M414" s="265" t="b">
        <f>NOT(ISERROR(ResultsInd[[#This Row],[Goal-A]]+ResultsInd[[#This Row],[Goal-B]]))</f>
        <v>1</v>
      </c>
      <c r="N414" s="265">
        <f>VALUE(ResultsInd[[#This Row],[Score-A]])</f>
        <v>11</v>
      </c>
      <c r="O414" s="265">
        <f>VALUE(ResultsInd[[#This Row],[Score-B]])</f>
        <v>0</v>
      </c>
      <c r="P414" s="265">
        <f ca="1">IF(AND(ResultsInd[[#This Row],[Category]]&lt;&gt;"",ResultsInd[[#This Row],[Player A]]&lt;&gt;""),COUNTIF(INDIRECT(ResultsInd[[#This Row],[Category]]&amp;"List[Retained Player Name]"),ResultsInd[[#This Row],[Player A]]),"")</f>
        <v>1</v>
      </c>
      <c r="Q414" s="265">
        <f ca="1">IF(AND(ResultsInd[[#This Row],[Category]]&lt;&gt;"",ResultsInd[[#This Row],[Player B]]&lt;&gt;""),COUNTIF(INDIRECT(ResultsInd[[#This Row],[Category]]&amp;"List[Retained Player Name]"),ResultsInd[[#This Row],[Player B]]),"")</f>
        <v>1</v>
      </c>
      <c r="R4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VETERANS-Benoît Massart</v>
      </c>
      <c r="S414" s="265" t="str">
        <f>IF(ResultsInd[[#This Row],[Score_OK]],IF(ResultsInd[[#This Row],[Stage]]="Groups",ResultsInd[[#This Row],[Category]]&amp;"-"&amp;IF(ResultsInd[[#This Row],[Player B]]="","",IF(ResultsInd[[#This Row],[Score-A]]=ResultsInd[[#This Row],[Score-B]],ResultsInd[[#This Row],[Player A]],"")),""),"")</f>
        <v>VETERANS-</v>
      </c>
      <c r="T414" s="265" t="str">
        <f>IF(ResultsInd[[#This Row],[Score_OK]],IF(ResultsInd[[#This Row],[Stage]]="Groups",ResultsInd[[#This Row],[Category]]&amp;"-"&amp;IF(ResultsInd[[#This Row],[Player B]]="","",IF(ResultsInd[[#This Row],[Score-A]]=ResultsInd[[#This Row],[Score-B]],ResultsInd[[#This Row],[Player B]],"")),""),"")</f>
        <v>VETERANS-</v>
      </c>
      <c r="U4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VETERANS-Florian Daxböck</v>
      </c>
      <c r="V4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X4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Y414" s="264" t="str">
        <f>IF(ResultsInd[[#This Row],[Category]]="","",VLOOKUP(ResultsInd[[#This Row],[Stage]],$P$1:$V$9,MATCH(ResultsInd[[#This Row],[Category]],$Q$1:$V$1,0)+1,FALSE))</f>
        <v>PR1</v>
      </c>
      <c r="Z414" s="264" t="str">
        <f>IF(ResultsInd[[#This Row],[Score_OK]],IF(ResultsInd[[#This Row],[Level]]="R",ResultsInd[[#This Row],[Category]]&amp;"-"&amp;IF(ResultsInd[[#This Row],[LoseInKO]]=ResultsInd[[#This Row],[Category]]&amp;"-"&amp;ResultsInd[[#This Row],[Player A]],ResultsInd[[#This Row],[Player B]],ResultsInd[[#This Row],[Player A]]),""),"")</f>
        <v/>
      </c>
      <c r="AB414" s="91"/>
      <c r="AC414" s="12" t="str">
        <f t="shared" si="359"/>
        <v>VETERANS</v>
      </c>
      <c r="AD414" s="309" t="s">
        <v>14467</v>
      </c>
      <c r="AE414" s="310"/>
      <c r="AF414" s="311"/>
      <c r="AG414" s="292">
        <f>IF(AP414="","",SMALL(AH410:AH416,ROWS(AG410:AG414)))</f>
        <v>5005</v>
      </c>
      <c r="AH414" s="293">
        <f>IF(AP414="","",RANK(AL414,AL410:AL416)*1000+ROWS(AH410:AH414))</f>
        <v>5005</v>
      </c>
      <c r="AI414" s="316">
        <f t="shared" si="353"/>
        <v>0</v>
      </c>
      <c r="AJ414" s="415" t="b">
        <f>AND(AO414&lt;&gt;"",AO414&gt;0,COUNTIF(AI410:AI416,AI414)&gt;1)</f>
        <v>0</v>
      </c>
      <c r="AK414" s="316">
        <f t="shared" si="354"/>
        <v>0</v>
      </c>
      <c r="AL414" s="317">
        <f t="shared" si="355"/>
        <v>-269700</v>
      </c>
      <c r="AM414" s="415" t="b">
        <f>AND(AO414&lt;&gt;"",AO414&gt;0,COUNTIF(AL410:AL416,AL414)&gt;1)</f>
        <v>0</v>
      </c>
      <c r="AN414" s="306">
        <f t="shared" si="356"/>
        <v>0</v>
      </c>
      <c r="AO414" s="307">
        <f t="shared" si="357"/>
        <v>4</v>
      </c>
      <c r="AP414" s="307">
        <f>IF(OR(AC409="",AD414=""),"",COUNTIF(ResultsInd[Win],AC409&amp;"-"&amp;AD414))</f>
        <v>0</v>
      </c>
      <c r="AQ414" s="307">
        <f>IF(OR(AC409="",AD414=""),"",COUNTIF(ResultsInd[Draw1],AC409&amp;"-"&amp;AD414)+COUNTIF(ResultsInd[Draw2],AC409&amp;"-"&amp;AD414))</f>
        <v>0</v>
      </c>
      <c r="AR414" s="307">
        <f>IF(OR(AC409="",AD414=""),"",COUNTIF(ResultsInd[Lose],AC409&amp;"-"&amp;AD414))</f>
        <v>4</v>
      </c>
      <c r="AS414" s="307">
        <f>IF(OR(AC409="",AD414=""),"",SUMIFS(ResultsInd[Goal-A],ResultsInd[Category],AC409,ResultsInd[Stage],"Groups",ResultsInd[Player A],AD414)+SUMIFS(ResultsInd[Goal-B],ResultsInd[Category],AC409,ResultsInd[Stage],"Groups",ResultsInd[Player B],AD414))</f>
        <v>3</v>
      </c>
      <c r="AT414" s="307">
        <f>IF(OR(AC409="",AD414=""),"",SUMIFS(ResultsInd[Goal-B],ResultsInd[Category],AC409,ResultsInd[Stage],"Groups",ResultsInd[Player A],AD414)+SUMIFS(ResultsInd[Goal-A],ResultsInd[Category],AC409,ResultsInd[Stage],"Groups",ResultsInd[Player B],AD414))</f>
        <v>30</v>
      </c>
      <c r="AU414" s="308">
        <f t="shared" si="360"/>
        <v>-27</v>
      </c>
      <c r="AV414" s="469" t="b">
        <f>IF(AG414="","",OR(VLOOKUP(AG414,AH410:AU416,3,FALSE),VLOOKUP(AG414,AH410:AU416,6,FALSE)))</f>
        <v>0</v>
      </c>
      <c r="AW414" s="298">
        <f t="shared" si="358"/>
        <v>5</v>
      </c>
      <c r="AX414" s="285" t="str">
        <f>IF(AG414="","",INDEX(AD410:AD416,MATCH(AG414,AH410:AH416,0)))</f>
        <v>Florian Daxböck</v>
      </c>
      <c r="AY414" s="286">
        <f>IF(AG414="","",VLOOKUP(AG414,AH410:AU416,COLUMN()-COLUMN(AR409),FALSE))</f>
        <v>0</v>
      </c>
      <c r="AZ414" s="286">
        <f>IF(AG414="","",VLOOKUP(AG414,AH410:AU416,COLUMN()-COLUMN(AR409),FALSE))</f>
        <v>4</v>
      </c>
      <c r="BA414" s="286">
        <f>IF(AG414="","",VLOOKUP(AG414,AH410:AU416,COLUMN()-COLUMN(AR409),FALSE))</f>
        <v>0</v>
      </c>
      <c r="BB414" s="286">
        <f>IF(AG414="","",VLOOKUP(AG414,AH410:AU416,COLUMN()-COLUMN(AR409),FALSE))</f>
        <v>0</v>
      </c>
      <c r="BC414" s="286">
        <f>IF(AG414="","",VLOOKUP(AG414,AH410:AU416,COLUMN()-COLUMN(AR409),FALSE))</f>
        <v>4</v>
      </c>
      <c r="BD414" s="286">
        <f>IF(AG414="","",VLOOKUP(AG414,AH410:AU416,COLUMN()-COLUMN(AR409),FALSE))</f>
        <v>3</v>
      </c>
      <c r="BE414" s="286">
        <f>IF(AG414="","",VLOOKUP(AG414,AH410:AU416,COLUMN()-COLUMN(AR409),FALSE))</f>
        <v>30</v>
      </c>
      <c r="BF414" s="301">
        <f>IF(AG414="","",VLOOKUP(AG414,AH410:AU416,COLUMN()-COLUMN(AR409),FALSE))</f>
        <v>-27</v>
      </c>
    </row>
    <row r="415" spans="1:58" ht="12" thickBot="1" x14ac:dyDescent="0.25">
      <c r="A415" s="62" t="s">
        <v>12261</v>
      </c>
      <c r="B415" s="62" t="s">
        <v>12207</v>
      </c>
      <c r="C415" s="62">
        <v>15</v>
      </c>
      <c r="D415" s="62"/>
      <c r="E415" s="345" t="s">
        <v>8643</v>
      </c>
      <c r="F415" s="345" t="s">
        <v>10243</v>
      </c>
      <c r="G415" s="113">
        <v>1</v>
      </c>
      <c r="H415" s="113">
        <v>3</v>
      </c>
      <c r="I415" s="114"/>
      <c r="J415" s="114"/>
      <c r="K415" s="114"/>
      <c r="L415" s="81"/>
      <c r="M415" s="265" t="b">
        <f>NOT(ISERROR(ResultsInd[[#This Row],[Goal-A]]+ResultsInd[[#This Row],[Goal-B]]))</f>
        <v>1</v>
      </c>
      <c r="N415" s="265">
        <f>VALUE(ResultsInd[[#This Row],[Score-A]])</f>
        <v>1</v>
      </c>
      <c r="O415" s="265">
        <f>VALUE(ResultsInd[[#This Row],[Score-B]])</f>
        <v>3</v>
      </c>
      <c r="P415" s="265">
        <f ca="1">IF(AND(ResultsInd[[#This Row],[Category]]&lt;&gt;"",ResultsInd[[#This Row],[Player A]]&lt;&gt;""),COUNTIF(INDIRECT(ResultsInd[[#This Row],[Category]]&amp;"List[Retained Player Name]"),ResultsInd[[#This Row],[Player A]]),"")</f>
        <v>1</v>
      </c>
      <c r="Q415" s="265">
        <f ca="1">IF(AND(ResultsInd[[#This Row],[Category]]&lt;&gt;"",ResultsInd[[#This Row],[Player B]]&lt;&gt;""),COUNTIF(INDIRECT(ResultsInd[[#This Row],[Category]]&amp;"List[Retained Player Name]"),ResultsInd[[#This Row],[Player B]]),"")</f>
        <v>1</v>
      </c>
      <c r="R4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VETERANS-Lucio Canicchio</v>
      </c>
      <c r="S415" s="265" t="str">
        <f>IF(ResultsInd[[#This Row],[Score_OK]],IF(ResultsInd[[#This Row],[Stage]]="Groups",ResultsInd[[#This Row],[Category]]&amp;"-"&amp;IF(ResultsInd[[#This Row],[Player B]]="","",IF(ResultsInd[[#This Row],[Score-A]]=ResultsInd[[#This Row],[Score-B]],ResultsInd[[#This Row],[Player A]],"")),""),"")</f>
        <v>VETERANS-</v>
      </c>
      <c r="T415" s="265" t="str">
        <f>IF(ResultsInd[[#This Row],[Score_OK]],IF(ResultsInd[[#This Row],[Stage]]="Groups",ResultsInd[[#This Row],[Category]]&amp;"-"&amp;IF(ResultsInd[[#This Row],[Player B]]="","",IF(ResultsInd[[#This Row],[Score-A]]=ResultsInd[[#This Row],[Score-B]],ResultsInd[[#This Row],[Player B]],"")),""),"")</f>
        <v>VETERANS-</v>
      </c>
      <c r="U4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VETERANS-Alberto Gómez</v>
      </c>
      <c r="V4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VETERANS-Alberto Gómez</v>
      </c>
      <c r="X4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VETERANS-Alberto Gómez</v>
      </c>
      <c r="Y415" s="264" t="str">
        <f>IF(ResultsInd[[#This Row],[Category]]="","",VLOOKUP(ResultsInd[[#This Row],[Stage]],$P$1:$V$9,MATCH(ResultsInd[[#This Row],[Category]],$Q$1:$V$1,0)+1,FALSE))</f>
        <v>PR1</v>
      </c>
      <c r="Z415" s="264" t="str">
        <f>IF(ResultsInd[[#This Row],[Score_OK]],IF(ResultsInd[[#This Row],[Level]]="R",ResultsInd[[#This Row],[Category]]&amp;"-"&amp;IF(ResultsInd[[#This Row],[LoseInKO]]=ResultsInd[[#This Row],[Category]]&amp;"-"&amp;ResultsInd[[#This Row],[Player A]],ResultsInd[[#This Row],[Player B]],ResultsInd[[#This Row],[Player A]]),""),"")</f>
        <v/>
      </c>
      <c r="AB415" s="8"/>
      <c r="AC415" s="12" t="str">
        <f t="shared" si="359"/>
        <v>VETERANS</v>
      </c>
      <c r="AD415" s="309"/>
      <c r="AE415" s="310"/>
      <c r="AF415" s="311"/>
      <c r="AG415" s="292" t="str">
        <f>IF(AP415="","",SMALL(AH410:AH416,ROWS(AG410:AG415)))</f>
        <v/>
      </c>
      <c r="AH415" s="293" t="str">
        <f>IF(AP415="","",RANK(AL415,AL410:AL416)*1000+ROWS(AH410:AH415))</f>
        <v/>
      </c>
      <c r="AI415" s="316" t="str">
        <f t="shared" si="353"/>
        <v/>
      </c>
      <c r="AJ415" s="415" t="b">
        <f>AND(AO415&lt;&gt;"",AO415&gt;0,COUNTIF(AI410:AI416,AI415)&gt;1)</f>
        <v>0</v>
      </c>
      <c r="AK415" s="316" t="str">
        <f t="shared" si="354"/>
        <v/>
      </c>
      <c r="AL415" s="317" t="str">
        <f t="shared" si="355"/>
        <v/>
      </c>
      <c r="AM415" s="415" t="b">
        <f>AND(AO415&lt;&gt;"",AO415&gt;0,COUNTIF(AL410:AL416,AL415)&gt;1)</f>
        <v>0</v>
      </c>
      <c r="AN415" s="306" t="str">
        <f t="shared" si="356"/>
        <v/>
      </c>
      <c r="AO415" s="307" t="str">
        <f t="shared" si="357"/>
        <v/>
      </c>
      <c r="AP415" s="307" t="str">
        <f>IF(OR(AC409="",AD415=""),"",COUNTIF(ResultsInd[Win],AC409&amp;"-"&amp;AD415))</f>
        <v/>
      </c>
      <c r="AQ415" s="307" t="str">
        <f>IF(OR(AC409="",AD415=""),"",COUNTIF(ResultsInd[Draw1],AC409&amp;"-"&amp;AD415)+COUNTIF(ResultsInd[Draw2],AC409&amp;"-"&amp;AD415))</f>
        <v/>
      </c>
      <c r="AR415" s="307" t="str">
        <f>IF(OR(AC409="",AD415=""),"",COUNTIF(ResultsInd[Lose],AC409&amp;"-"&amp;AD415))</f>
        <v/>
      </c>
      <c r="AS415" s="307" t="str">
        <f>IF(OR(AC409="",AD415=""),"",SUMIFS(ResultsInd[Goal-A],ResultsInd[Category],AC409,ResultsInd[Stage],"Groups",ResultsInd[Player A],AD415)+SUMIFS(ResultsInd[Goal-B],ResultsInd[Category],AC409,ResultsInd[Stage],"Groups",ResultsInd[Player B],AD415))</f>
        <v/>
      </c>
      <c r="AT415" s="307" t="str">
        <f>IF(OR(AC409="",AD415=""),"",SUMIFS(ResultsInd[Goal-B],ResultsInd[Category],AC409,ResultsInd[Stage],"Groups",ResultsInd[Player A],AD415)+SUMIFS(ResultsInd[Goal-A],ResultsInd[Category],AC409,ResultsInd[Stage],"Groups",ResultsInd[Player B],AD415))</f>
        <v/>
      </c>
      <c r="AU415" s="308" t="str">
        <f t="shared" si="360"/>
        <v/>
      </c>
      <c r="AV415" s="469" t="str">
        <f>IF(AG415="","",OR(VLOOKUP(AG415,AH410:AU416,3,FALSE),VLOOKUP(AG415,AH410:AU416,6,FALSE)))</f>
        <v/>
      </c>
      <c r="AW415" s="298" t="str">
        <f t="shared" si="358"/>
        <v/>
      </c>
      <c r="AX415" s="285" t="str">
        <f>IF(AG415="","",INDEX(AD410:AD416,MATCH(AG415,AH410:AH416,0)))</f>
        <v/>
      </c>
      <c r="AY415" s="286" t="str">
        <f>IF(AG415="","",VLOOKUP(AG415,AH410:AU416,COLUMN()-COLUMN(AR409),FALSE))</f>
        <v/>
      </c>
      <c r="AZ415" s="286" t="str">
        <f>IF(AG415="","",VLOOKUP(AG415,AH410:AU416,COLUMN()-COLUMN(AR409),FALSE))</f>
        <v/>
      </c>
      <c r="BA415" s="286" t="str">
        <f>IF(AG415="","",VLOOKUP(AG415,AH410:AU416,COLUMN()-COLUMN(AR409),FALSE))</f>
        <v/>
      </c>
      <c r="BB415" s="286" t="str">
        <f>IF(AG415="","",VLOOKUP(AG415,AH410:AU416,COLUMN()-COLUMN(AR409),FALSE))</f>
        <v/>
      </c>
      <c r="BC415" s="286" t="str">
        <f>IF(AG415="","",VLOOKUP(AG415,AH410:AU416,COLUMN()-COLUMN(AR409),FALSE))</f>
        <v/>
      </c>
      <c r="BD415" s="286" t="str">
        <f>IF(AG415="","",VLOOKUP(AG415,AH410:AU416,COLUMN()-COLUMN(AR409),FALSE))</f>
        <v/>
      </c>
      <c r="BE415" s="286" t="str">
        <f>IF(AG415="","",VLOOKUP(AG415,AH410:AU416,COLUMN()-COLUMN(AR409),FALSE))</f>
        <v/>
      </c>
      <c r="BF415" s="301" t="str">
        <f>IF(AG415="","",VLOOKUP(AG415,AH410:AU416,COLUMN()-COLUMN(AR409),FALSE))</f>
        <v/>
      </c>
    </row>
    <row r="416" spans="1:58" ht="12" thickBot="1" x14ac:dyDescent="0.25">
      <c r="A416" s="62" t="s">
        <v>12261</v>
      </c>
      <c r="B416" s="62" t="s">
        <v>12207</v>
      </c>
      <c r="C416" s="62">
        <v>15</v>
      </c>
      <c r="D416" s="62"/>
      <c r="E416" s="345" t="s">
        <v>10243</v>
      </c>
      <c r="F416" s="345" t="s">
        <v>8116</v>
      </c>
      <c r="G416" s="113">
        <v>2</v>
      </c>
      <c r="H416" s="113">
        <v>1</v>
      </c>
      <c r="I416" s="114"/>
      <c r="J416" s="114"/>
      <c r="K416" s="114"/>
      <c r="L416" s="81"/>
      <c r="M416" s="265" t="b">
        <f>NOT(ISERROR(ResultsInd[[#This Row],[Goal-A]]+ResultsInd[[#This Row],[Goal-B]]))</f>
        <v>1</v>
      </c>
      <c r="N416" s="265">
        <f>VALUE(ResultsInd[[#This Row],[Score-A]])</f>
        <v>2</v>
      </c>
      <c r="O416" s="265">
        <f>VALUE(ResultsInd[[#This Row],[Score-B]])</f>
        <v>1</v>
      </c>
      <c r="P416" s="265">
        <f ca="1">IF(AND(ResultsInd[[#This Row],[Category]]&lt;&gt;"",ResultsInd[[#This Row],[Player A]]&lt;&gt;""),COUNTIF(INDIRECT(ResultsInd[[#This Row],[Category]]&amp;"List[Retained Player Name]"),ResultsInd[[#This Row],[Player A]]),"")</f>
        <v>1</v>
      </c>
      <c r="Q416" s="265">
        <f ca="1">IF(AND(ResultsInd[[#This Row],[Category]]&lt;&gt;"",ResultsInd[[#This Row],[Player B]]&lt;&gt;""),COUNTIF(INDIRECT(ResultsInd[[#This Row],[Category]]&amp;"List[Retained Player Name]"),ResultsInd[[#This Row],[Player B]]),"")</f>
        <v>1</v>
      </c>
      <c r="R4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VETERANS-Lucio Canicchio</v>
      </c>
      <c r="S416" s="265" t="str">
        <f>IF(ResultsInd[[#This Row],[Score_OK]],IF(ResultsInd[[#This Row],[Stage]]="Groups",ResultsInd[[#This Row],[Category]]&amp;"-"&amp;IF(ResultsInd[[#This Row],[Player B]]="","",IF(ResultsInd[[#This Row],[Score-A]]=ResultsInd[[#This Row],[Score-B]],ResultsInd[[#This Row],[Player A]],"")),""),"")</f>
        <v>VETERANS-</v>
      </c>
      <c r="T416" s="265" t="str">
        <f>IF(ResultsInd[[#This Row],[Score_OK]],IF(ResultsInd[[#This Row],[Stage]]="Groups",ResultsInd[[#This Row],[Category]]&amp;"-"&amp;IF(ResultsInd[[#This Row],[Player B]]="","",IF(ResultsInd[[#This Row],[Score-A]]=ResultsInd[[#This Row],[Score-B]],ResultsInd[[#This Row],[Player B]],"")),""),"")</f>
        <v>VETERANS-</v>
      </c>
      <c r="U4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VETERANS-Benoît Massart</v>
      </c>
      <c r="V4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VETERANS-Benoît Massart</v>
      </c>
      <c r="X4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VETERANS-Benoît Massart</v>
      </c>
      <c r="Y416" s="264" t="str">
        <f>IF(ResultsInd[[#This Row],[Category]]="","",VLOOKUP(ResultsInd[[#This Row],[Stage]],$P$1:$V$9,MATCH(ResultsInd[[#This Row],[Category]],$Q$1:$V$1,0)+1,FALSE))</f>
        <v>PR1</v>
      </c>
      <c r="Z416" s="264" t="str">
        <f>IF(ResultsInd[[#This Row],[Score_OK]],IF(ResultsInd[[#This Row],[Level]]="R",ResultsInd[[#This Row],[Category]]&amp;"-"&amp;IF(ResultsInd[[#This Row],[LoseInKO]]=ResultsInd[[#This Row],[Category]]&amp;"-"&amp;ResultsInd[[#This Row],[Player A]],ResultsInd[[#This Row],[Player B]],ResultsInd[[#This Row],[Player A]]),""),"")</f>
        <v/>
      </c>
      <c r="AB416" s="8"/>
      <c r="AC416" s="12" t="str">
        <f t="shared" si="359"/>
        <v>VETERANS</v>
      </c>
      <c r="AD416" s="312"/>
      <c r="AE416" s="313"/>
      <c r="AF416" s="314"/>
      <c r="AG416" s="294" t="str">
        <f>IF(AP416="","",SMALL(AH410:AH416,ROWS(AG410:AG416)))</f>
        <v/>
      </c>
      <c r="AH416" s="295" t="str">
        <f>IF(AP416="","",RANK(AL416,AL410:AL416)*1000+ROWS(AH410:AH416))</f>
        <v/>
      </c>
      <c r="AI416" s="318" t="str">
        <f t="shared" si="353"/>
        <v/>
      </c>
      <c r="AJ416" s="416" t="b">
        <f>AND(AO416&lt;&gt;"",AO416&gt;0,COUNTIF(AI410:AI416,AI416)&gt;1)</f>
        <v>0</v>
      </c>
      <c r="AK416" s="318" t="str">
        <f t="shared" si="354"/>
        <v/>
      </c>
      <c r="AL416" s="319" t="str">
        <f t="shared" si="355"/>
        <v/>
      </c>
      <c r="AM416" s="416" t="b">
        <f>AND(AO416&lt;&gt;"",AO416&gt;0,COUNTIF(AL410:AL416,AL416)&gt;1)</f>
        <v>0</v>
      </c>
      <c r="AN416" s="306" t="str">
        <f t="shared" si="356"/>
        <v/>
      </c>
      <c r="AO416" s="307" t="str">
        <f t="shared" si="357"/>
        <v/>
      </c>
      <c r="AP416" s="307" t="str">
        <f>IF(OR(AC409="",AD416=""),"",COUNTIF(ResultsInd[Win],AC409&amp;"-"&amp;AD416))</f>
        <v/>
      </c>
      <c r="AQ416" s="307" t="str">
        <f>IF(OR(AC409="",AD416=""),"",COUNTIF(ResultsInd[Draw1],AC409&amp;"-"&amp;AD416)+COUNTIF(ResultsInd[Draw2],AC409&amp;"-"&amp;AD416))</f>
        <v/>
      </c>
      <c r="AR416" s="307" t="str">
        <f>IF(OR(AC409="",AD416=""),"",COUNTIF(ResultsInd[Lose],AC409&amp;"-"&amp;AD416))</f>
        <v/>
      </c>
      <c r="AS416" s="307" t="str">
        <f>IF(OR(AC409="",AD416=""),"",SUMIFS(ResultsInd[Goal-A],ResultsInd[Category],AC409,ResultsInd[Stage],"Groups",ResultsInd[Player A],AD416)+SUMIFS(ResultsInd[Goal-B],ResultsInd[Category],AC409,ResultsInd[Stage],"Groups",ResultsInd[Player B],AD416))</f>
        <v/>
      </c>
      <c r="AT416" s="307" t="str">
        <f>IF(OR(AC409="",AD416=""),"",SUMIFS(ResultsInd[Goal-B],ResultsInd[Category],AC409,ResultsInd[Stage],"Groups",ResultsInd[Player A],AD416)+SUMIFS(ResultsInd[Goal-A],ResultsInd[Category],AC409,ResultsInd[Stage],"Groups",ResultsInd[Player B],AD416))</f>
        <v/>
      </c>
      <c r="AU416" s="308" t="str">
        <f t="shared" si="360"/>
        <v/>
      </c>
      <c r="AV416" s="469" t="str">
        <f>IF(AG416="","",OR(VLOOKUP(AG416,AH410:AU416,3,FALSE),VLOOKUP(AG416,AH410:AU416,6,FALSE)))</f>
        <v/>
      </c>
      <c r="AW416" s="299" t="str">
        <f t="shared" si="358"/>
        <v/>
      </c>
      <c r="AX416" s="287" t="str">
        <f>IF(AG416="","",INDEX(AD410:AD416,MATCH(AG416,AH410:AH416,0)))</f>
        <v/>
      </c>
      <c r="AY416" s="288" t="str">
        <f>IF(AG416="","",VLOOKUP(AG416,AH410:AU416,COLUMN()-COLUMN(AR409),FALSE))</f>
        <v/>
      </c>
      <c r="AZ416" s="288" t="str">
        <f>IF(AG416="","",VLOOKUP(AG416,AH410:AU416,COLUMN()-COLUMN(AR409),FALSE))</f>
        <v/>
      </c>
      <c r="BA416" s="288" t="str">
        <f>IF(AG416="","",VLOOKUP(AG416,AH410:AU416,COLUMN()-COLUMN(AR409),FALSE))</f>
        <v/>
      </c>
      <c r="BB416" s="288" t="str">
        <f>IF(AG416="","",VLOOKUP(AG416,AH410:AU416,COLUMN()-COLUMN(AR409),FALSE))</f>
        <v/>
      </c>
      <c r="BC416" s="288" t="str">
        <f>IF(AG416="","",VLOOKUP(AG416,AH410:AU416,COLUMN()-COLUMN(AR409),FALSE))</f>
        <v/>
      </c>
      <c r="BD416" s="288" t="str">
        <f>IF(AG416="","",VLOOKUP(AG416,AH410:AU416,COLUMN()-COLUMN(AR409),FALSE))</f>
        <v/>
      </c>
      <c r="BE416" s="288" t="str">
        <f>IF(AG416="","",VLOOKUP(AG416,AH410:AU416,COLUMN()-COLUMN(AR409),FALSE))</f>
        <v/>
      </c>
      <c r="BF416" s="302" t="str">
        <f>IF(AG416="","",VLOOKUP(AG416,AH410:AU416,COLUMN()-COLUMN(AR409),FALSE))</f>
        <v/>
      </c>
    </row>
    <row r="417" spans="1:58" ht="13.5" thickBot="1" x14ac:dyDescent="0.25">
      <c r="A417" s="62" t="s">
        <v>12261</v>
      </c>
      <c r="B417" s="62" t="s">
        <v>12207</v>
      </c>
      <c r="C417" s="62">
        <v>15</v>
      </c>
      <c r="D417" s="62"/>
      <c r="E417" s="345" t="s">
        <v>10584</v>
      </c>
      <c r="F417" s="345" t="s">
        <v>14467</v>
      </c>
      <c r="G417" s="113">
        <v>2</v>
      </c>
      <c r="H417" s="113">
        <v>1</v>
      </c>
      <c r="I417" s="114"/>
      <c r="J417" s="114"/>
      <c r="K417" s="114"/>
      <c r="L417" s="81"/>
      <c r="M417" s="265" t="b">
        <f>NOT(ISERROR(ResultsInd[[#This Row],[Goal-A]]+ResultsInd[[#This Row],[Goal-B]]))</f>
        <v>1</v>
      </c>
      <c r="N417" s="265">
        <f>VALUE(ResultsInd[[#This Row],[Score-A]])</f>
        <v>2</v>
      </c>
      <c r="O417" s="265">
        <f>VALUE(ResultsInd[[#This Row],[Score-B]])</f>
        <v>1</v>
      </c>
      <c r="P417" s="265">
        <f ca="1">IF(AND(ResultsInd[[#This Row],[Category]]&lt;&gt;"",ResultsInd[[#This Row],[Player A]]&lt;&gt;""),COUNTIF(INDIRECT(ResultsInd[[#This Row],[Category]]&amp;"List[Retained Player Name]"),ResultsInd[[#This Row],[Player A]]),"")</f>
        <v>1</v>
      </c>
      <c r="Q417" s="265">
        <f ca="1">IF(AND(ResultsInd[[#This Row],[Category]]&lt;&gt;"",ResultsInd[[#This Row],[Player B]]&lt;&gt;""),COUNTIF(INDIRECT(ResultsInd[[#This Row],[Category]]&amp;"List[Retained Player Name]"),ResultsInd[[#This Row],[Player B]]),"")</f>
        <v>1</v>
      </c>
      <c r="R4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Moore</v>
      </c>
      <c r="S417" s="265" t="str">
        <f>IF(ResultsInd[[#This Row],[Score_OK]],IF(ResultsInd[[#This Row],[Stage]]="Groups",ResultsInd[[#This Row],[Category]]&amp;"-"&amp;IF(ResultsInd[[#This Row],[Player B]]="","",IF(ResultsInd[[#This Row],[Score-A]]=ResultsInd[[#This Row],[Score-B]],ResultsInd[[#This Row],[Player A]],"")),""),"")</f>
        <v>VETERANS-</v>
      </c>
      <c r="T417" s="265" t="str">
        <f>IF(ResultsInd[[#This Row],[Score_OK]],IF(ResultsInd[[#This Row],[Stage]]="Groups",ResultsInd[[#This Row],[Category]]&amp;"-"&amp;IF(ResultsInd[[#This Row],[Player B]]="","",IF(ResultsInd[[#This Row],[Score-A]]=ResultsInd[[#This Row],[Score-B]],ResultsInd[[#This Row],[Player B]],"")),""),"")</f>
        <v>VETERANS-</v>
      </c>
      <c r="U4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VETERANS-Florian Daxböck</v>
      </c>
      <c r="V4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X4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VETERANS-Florian Daxböck</v>
      </c>
      <c r="Y417" s="264" t="str">
        <f>IF(ResultsInd[[#This Row],[Category]]="","",VLOOKUP(ResultsInd[[#This Row],[Stage]],$P$1:$V$9,MATCH(ResultsInd[[#This Row],[Category]],$Q$1:$V$1,0)+1,FALSE))</f>
        <v>PR1</v>
      </c>
      <c r="Z417" s="264" t="str">
        <f>IF(ResultsInd[[#This Row],[Score_OK]],IF(ResultsInd[[#This Row],[Level]]="R",ResultsInd[[#This Row],[Category]]&amp;"-"&amp;IF(ResultsInd[[#This Row],[LoseInKO]]=ResultsInd[[#This Row],[Category]]&amp;"-"&amp;ResultsInd[[#This Row],[Player A]],ResultsInd[[#This Row],[Player B]],ResultsInd[[#This Row],[Player A]]),""),"")</f>
        <v/>
      </c>
      <c r="AB417" s="8"/>
      <c r="AC417" s="8"/>
      <c r="AF417" s="170"/>
      <c r="AG417" s="101"/>
      <c r="AH417" s="101"/>
      <c r="AN417" s="170"/>
      <c r="AO417" s="170"/>
      <c r="AP417" s="170"/>
      <c r="AQ417" s="172"/>
      <c r="AR417" s="173"/>
      <c r="AS417" s="173"/>
      <c r="AT417" s="173"/>
      <c r="AU417" s="101"/>
      <c r="AV417" s="101"/>
      <c r="AW417" s="101"/>
      <c r="AX417" s="101"/>
      <c r="AY417" s="101"/>
      <c r="AZ417" s="101"/>
    </row>
    <row r="418" spans="1:58" ht="12" thickBot="1" x14ac:dyDescent="0.25">
      <c r="A418" s="62" t="s">
        <v>12261</v>
      </c>
      <c r="B418" s="62" t="s">
        <v>12207</v>
      </c>
      <c r="C418" s="62">
        <v>16</v>
      </c>
      <c r="D418" s="62"/>
      <c r="E418" s="345" t="s">
        <v>10434</v>
      </c>
      <c r="F418" s="345" t="s">
        <v>8547</v>
      </c>
      <c r="G418" s="113">
        <v>5</v>
      </c>
      <c r="H418" s="113">
        <v>1</v>
      </c>
      <c r="I418" s="114"/>
      <c r="J418" s="114"/>
      <c r="K418" s="114"/>
      <c r="L418" s="81"/>
      <c r="M418" s="265" t="b">
        <f>NOT(ISERROR(ResultsInd[[#This Row],[Goal-A]]+ResultsInd[[#This Row],[Goal-B]]))</f>
        <v>1</v>
      </c>
      <c r="N418" s="265">
        <f>VALUE(ResultsInd[[#This Row],[Score-A]])</f>
        <v>5</v>
      </c>
      <c r="O418" s="265">
        <f>VALUE(ResultsInd[[#This Row],[Score-B]])</f>
        <v>1</v>
      </c>
      <c r="P418" s="265">
        <f ca="1">IF(AND(ResultsInd[[#This Row],[Category]]&lt;&gt;"",ResultsInd[[#This Row],[Player A]]&lt;&gt;""),COUNTIF(INDIRECT(ResultsInd[[#This Row],[Category]]&amp;"List[Retained Player Name]"),ResultsInd[[#This Row],[Player A]]),"")</f>
        <v>1</v>
      </c>
      <c r="Q418" s="265">
        <f ca="1">IF(AND(ResultsInd[[#This Row],[Category]]&lt;&gt;"",ResultsInd[[#This Row],[Player B]]&lt;&gt;""),COUNTIF(INDIRECT(ResultsInd[[#This Row],[Category]]&amp;"List[Retained Player Name]"),ResultsInd[[#This Row],[Player B]]),"")</f>
        <v>1</v>
      </c>
      <c r="R4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Zammit</v>
      </c>
      <c r="S418" s="265" t="str">
        <f>IF(ResultsInd[[#This Row],[Score_OK]],IF(ResultsInd[[#This Row],[Stage]]="Groups",ResultsInd[[#This Row],[Category]]&amp;"-"&amp;IF(ResultsInd[[#This Row],[Player B]]="","",IF(ResultsInd[[#This Row],[Score-A]]=ResultsInd[[#This Row],[Score-B]],ResultsInd[[#This Row],[Player A]],"")),""),"")</f>
        <v>VETERANS-</v>
      </c>
      <c r="T418" s="265" t="str">
        <f>IF(ResultsInd[[#This Row],[Score_OK]],IF(ResultsInd[[#This Row],[Stage]]="Groups",ResultsInd[[#This Row],[Category]]&amp;"-"&amp;IF(ResultsInd[[#This Row],[Player B]]="","",IF(ResultsInd[[#This Row],[Score-A]]=ResultsInd[[#This Row],[Score-B]],ResultsInd[[#This Row],[Player B]],"")),""),"")</f>
        <v>VETERANS-</v>
      </c>
      <c r="U4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VETERANS-Jason Christopher</v>
      </c>
      <c r="V4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VETERANS-Jason Christopher</v>
      </c>
      <c r="X4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VETERANS-Jason Christopher</v>
      </c>
      <c r="Y418" s="264" t="str">
        <f>IF(ResultsInd[[#This Row],[Category]]="","",VLOOKUP(ResultsInd[[#This Row],[Stage]],$P$1:$V$9,MATCH(ResultsInd[[#This Row],[Category]],$Q$1:$V$1,0)+1,FALSE))</f>
        <v>PR1</v>
      </c>
      <c r="Z418" s="264" t="str">
        <f>IF(ResultsInd[[#This Row],[Score_OK]],IF(ResultsInd[[#This Row],[Level]]="R",ResultsInd[[#This Row],[Category]]&amp;"-"&amp;IF(ResultsInd[[#This Row],[LoseInKO]]=ResultsInd[[#This Row],[Category]]&amp;"-"&amp;ResultsInd[[#This Row],[Player A]],ResultsInd[[#This Row],[Player B]],ResultsInd[[#This Row],[Player A]]),""),"")</f>
        <v/>
      </c>
      <c r="AB418" s="281">
        <v>16</v>
      </c>
      <c r="AC418" s="315" t="s">
        <v>12261</v>
      </c>
      <c r="AD418" s="289" t="s">
        <v>14439</v>
      </c>
      <c r="AE418" s="290" t="s">
        <v>12279</v>
      </c>
      <c r="AF418" s="284" t="s">
        <v>12275</v>
      </c>
      <c r="AG418" s="296" t="s">
        <v>12276</v>
      </c>
      <c r="AH418" s="291" t="s">
        <v>12271</v>
      </c>
      <c r="AI418" s="291" t="s">
        <v>12272</v>
      </c>
      <c r="AJ418" s="414" t="s">
        <v>13154</v>
      </c>
      <c r="AK418" s="291" t="s">
        <v>12273</v>
      </c>
      <c r="AL418" s="297" t="s">
        <v>12274</v>
      </c>
      <c r="AM418" s="414" t="s">
        <v>13154</v>
      </c>
      <c r="AN418" s="303" t="s">
        <v>12199</v>
      </c>
      <c r="AO418" s="304" t="s">
        <v>12200</v>
      </c>
      <c r="AP418" s="304" t="s">
        <v>12201</v>
      </c>
      <c r="AQ418" s="304" t="s">
        <v>12202</v>
      </c>
      <c r="AR418" s="304" t="s">
        <v>12203</v>
      </c>
      <c r="AS418" s="304" t="s">
        <v>12204</v>
      </c>
      <c r="AT418" s="304" t="s">
        <v>12205</v>
      </c>
      <c r="AU418" s="305" t="s">
        <v>12206</v>
      </c>
      <c r="AV418" s="468"/>
      <c r="AW418" s="282" t="s">
        <v>12276</v>
      </c>
      <c r="AX418" s="282" t="s">
        <v>12280</v>
      </c>
      <c r="AY418" s="283" t="s">
        <v>12199</v>
      </c>
      <c r="AZ418" s="283" t="s">
        <v>12200</v>
      </c>
      <c r="BA418" s="283" t="s">
        <v>12201</v>
      </c>
      <c r="BB418" s="283" t="s">
        <v>12202</v>
      </c>
      <c r="BC418" s="283" t="s">
        <v>12203</v>
      </c>
      <c r="BD418" s="283" t="s">
        <v>12204</v>
      </c>
      <c r="BE418" s="283" t="s">
        <v>12205</v>
      </c>
      <c r="BF418" s="300" t="s">
        <v>12206</v>
      </c>
    </row>
    <row r="419" spans="1:58" ht="12" thickBot="1" x14ac:dyDescent="0.25">
      <c r="A419" s="62" t="s">
        <v>12261</v>
      </c>
      <c r="B419" s="62" t="s">
        <v>12207</v>
      </c>
      <c r="C419" s="62">
        <v>16</v>
      </c>
      <c r="D419" s="62"/>
      <c r="E419" s="345" t="s">
        <v>10359</v>
      </c>
      <c r="F419" s="345" t="s">
        <v>8125</v>
      </c>
      <c r="G419" s="113">
        <v>0</v>
      </c>
      <c r="H419" s="113">
        <v>3</v>
      </c>
      <c r="I419" s="114"/>
      <c r="J419" s="114"/>
      <c r="K419" s="114"/>
      <c r="L419" s="81"/>
      <c r="M419" s="265" t="b">
        <f>NOT(ISERROR(ResultsInd[[#This Row],[Goal-A]]+ResultsInd[[#This Row],[Goal-B]]))</f>
        <v>1</v>
      </c>
      <c r="N419" s="265">
        <f>VALUE(ResultsInd[[#This Row],[Score-A]])</f>
        <v>0</v>
      </c>
      <c r="O419" s="265">
        <f>VALUE(ResultsInd[[#This Row],[Score-B]])</f>
        <v>3</v>
      </c>
      <c r="P419" s="265">
        <f ca="1">IF(AND(ResultsInd[[#This Row],[Category]]&lt;&gt;"",ResultsInd[[#This Row],[Player A]]&lt;&gt;""),COUNTIF(INDIRECT(ResultsInd[[#This Row],[Category]]&amp;"List[Retained Player Name]"),ResultsInd[[#This Row],[Player A]]),"")</f>
        <v>1</v>
      </c>
      <c r="Q419" s="265">
        <f ca="1">IF(AND(ResultsInd[[#This Row],[Category]]&lt;&gt;"",ResultsInd[[#This Row],[Player B]]&lt;&gt;""),COUNTIF(INDIRECT(ResultsInd[[#This Row],[Category]]&amp;"List[Retained Player Name]"),ResultsInd[[#This Row],[Player B]]),"")</f>
        <v>1</v>
      </c>
      <c r="R4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VETERANS-Philippe Roufosse</v>
      </c>
      <c r="S419" s="265" t="str">
        <f>IF(ResultsInd[[#This Row],[Score_OK]],IF(ResultsInd[[#This Row],[Stage]]="Groups",ResultsInd[[#This Row],[Category]]&amp;"-"&amp;IF(ResultsInd[[#This Row],[Player B]]="","",IF(ResultsInd[[#This Row],[Score-A]]=ResultsInd[[#This Row],[Score-B]],ResultsInd[[#This Row],[Player A]],"")),""),"")</f>
        <v>VETERANS-</v>
      </c>
      <c r="T419" s="265" t="str">
        <f>IF(ResultsInd[[#This Row],[Score_OK]],IF(ResultsInd[[#This Row],[Stage]]="Groups",ResultsInd[[#This Row],[Category]]&amp;"-"&amp;IF(ResultsInd[[#This Row],[Player B]]="","",IF(ResultsInd[[#This Row],[Score-A]]=ResultsInd[[#This Row],[Score-B]],ResultsInd[[#This Row],[Player B]],"")),""),"")</f>
        <v>VETERANS-</v>
      </c>
      <c r="U4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VETERANS-Alessandro Arca</v>
      </c>
      <c r="V4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VETERANS-Alessandro Arca</v>
      </c>
      <c r="X4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VETERANS-Alessandro Arca</v>
      </c>
      <c r="Y419" s="264" t="str">
        <f>IF(ResultsInd[[#This Row],[Category]]="","",VLOOKUP(ResultsInd[[#This Row],[Stage]],$P$1:$V$9,MATCH(ResultsInd[[#This Row],[Category]],$Q$1:$V$1,0)+1,FALSE))</f>
        <v>PR1</v>
      </c>
      <c r="Z419" s="264" t="str">
        <f>IF(ResultsInd[[#This Row],[Score_OK]],IF(ResultsInd[[#This Row],[Level]]="R",ResultsInd[[#This Row],[Category]]&amp;"-"&amp;IF(ResultsInd[[#This Row],[LoseInKO]]=ResultsInd[[#This Row],[Category]]&amp;"-"&amp;ResultsInd[[#This Row],[Player A]],ResultsInd[[#This Row],[Player B]],ResultsInd[[#This Row],[Player A]]),""),"")</f>
        <v/>
      </c>
      <c r="AB419" s="8"/>
      <c r="AC419" s="12" t="str">
        <f>IF(AC418="","",AC418)</f>
        <v>VETERANS</v>
      </c>
      <c r="AD419" s="309" t="s">
        <v>8125</v>
      </c>
      <c r="AE419" s="320"/>
      <c r="AF419" s="311"/>
      <c r="AG419" s="292">
        <f>IF(AP419="","",SMALL(AH419:AH425,ROWS(AG419:AG419)))</f>
        <v>1001</v>
      </c>
      <c r="AH419" s="293">
        <f>IF(AP419="","",RANK(AL419,AL419:AL425)*1000+ROWS(AH419:AH419))</f>
        <v>1001</v>
      </c>
      <c r="AI419" s="316">
        <f t="shared" ref="AI419:AI425" si="361">IF(AP419="","",CritClassInd1_Points*AN419+CritClassInd1_Matches*AP419+CritClassInd1_Attaque*AS419+CritClassInd1_DiffButs*AU419)</f>
        <v>10000000000000</v>
      </c>
      <c r="AJ419" s="415" t="b">
        <f>AND(AO419&lt;&gt;"",AO419&gt;0,COUNTIF(AI419:AI425,AI419)&gt;1)</f>
        <v>0</v>
      </c>
      <c r="AK419" s="316">
        <f t="shared" ref="AK419:AK425" si="362">IF(AP419="","",CritClassInd_ScorePart*AE419)</f>
        <v>0</v>
      </c>
      <c r="AL419" s="317">
        <f t="shared" ref="AL419:AL425" si="363">IF(AP419="","",AI419+AK419+CritClassInd2_Points*AN419+CritClassInd2_Matches*AP419+CritClassInd2_Attaque*AS419+CritClassInd2_DiffButs*AU419+AF419)</f>
        <v>10000000171900</v>
      </c>
      <c r="AM419" s="415" t="b">
        <f>AND(AO419&lt;&gt;"",AO419&gt;0,COUNTIF(AL419:AL425,AL419)&gt;1)</f>
        <v>0</v>
      </c>
      <c r="AN419" s="306">
        <f t="shared" ref="AN419:AN425" si="364">IF(AP419="","",(AP419*Points_Victoire)+AQ419*Points_Null)</f>
        <v>10</v>
      </c>
      <c r="AO419" s="307">
        <f t="shared" ref="AO419:AO425" si="365">IF(AP419="","",SUM(AP419:AR419))</f>
        <v>4</v>
      </c>
      <c r="AP419" s="307">
        <f>IF(OR(AC418="",AD419=""),"",COUNTIF(ResultsInd[Win],AC418&amp;"-"&amp;AD419))</f>
        <v>3</v>
      </c>
      <c r="AQ419" s="307">
        <f>IF(OR(AC418="",AD419=""),"",COUNTIF(ResultsInd[Draw1],AC418&amp;"-"&amp;AD419)+COUNTIF(ResultsInd[Draw2],AC418&amp;"-"&amp;AD419))</f>
        <v>1</v>
      </c>
      <c r="AR419" s="307">
        <f>IF(OR(AC418="",AD419=""),"",COUNTIF(ResultsInd[Lose],AC418&amp;"-"&amp;AD419))</f>
        <v>0</v>
      </c>
      <c r="AS419" s="307">
        <f>IF(OR(AC418="",AD419=""),"",SUMIFS(ResultsInd[Goal-A],ResultsInd[Category],AC418,ResultsInd[Stage],"Groups",ResultsInd[Player A],AD419)+SUMIFS(ResultsInd[Goal-B],ResultsInd[Category],AC418,ResultsInd[Stage],"Groups",ResultsInd[Player B],AD419))</f>
        <v>19</v>
      </c>
      <c r="AT419" s="307">
        <f>IF(OR(AC418="",AD419=""),"",SUMIFS(ResultsInd[Goal-B],ResultsInd[Category],AC418,ResultsInd[Stage],"Groups",ResultsInd[Player A],AD419)+SUMIFS(ResultsInd[Goal-A],ResultsInd[Category],AC418,ResultsInd[Stage],"Groups",ResultsInd[Player B],AD419))</f>
        <v>2</v>
      </c>
      <c r="AU419" s="308">
        <f>IF(AP419="","",AS419-AT419)</f>
        <v>17</v>
      </c>
      <c r="AV419" s="469" t="b">
        <f>IF(AG419="","",OR(VLOOKUP(AG419,AH419:AU425,3,FALSE),VLOOKUP(AG419,AH419:AU425,6,FALSE)))</f>
        <v>0</v>
      </c>
      <c r="AW419" s="298">
        <f t="shared" ref="AW419:AW425" si="366">IF(AG419="","",INT(AG419/1000))</f>
        <v>1</v>
      </c>
      <c r="AX419" s="285" t="str">
        <f>IF(AG419="","",INDEX(AD419:AD425,MATCH(AG419,AH419:AH425,0)))</f>
        <v>Philippe Roufosse</v>
      </c>
      <c r="AY419" s="286">
        <f>IF(AG419="","",VLOOKUP(AG419,AH419:AU425,COLUMN()-COLUMN(AR418),FALSE))</f>
        <v>10</v>
      </c>
      <c r="AZ419" s="286">
        <f>IF(AG419="","",VLOOKUP(AG419,AH419:AU425,COLUMN()-COLUMN(AR418),FALSE))</f>
        <v>4</v>
      </c>
      <c r="BA419" s="286">
        <f>IF(AG419="","",VLOOKUP(AG419,AH419:AU425,COLUMN()-COLUMN(AR418),FALSE))</f>
        <v>3</v>
      </c>
      <c r="BB419" s="286">
        <f>IF(AG419="","",VLOOKUP(AG419,AH419:AU425,COLUMN()-COLUMN(AR418),FALSE))</f>
        <v>1</v>
      </c>
      <c r="BC419" s="286">
        <f>IF(AG419="","",VLOOKUP(AG419,AH419:AU425,COLUMN()-COLUMN(AR418),FALSE))</f>
        <v>0</v>
      </c>
      <c r="BD419" s="286">
        <f>IF(AG419="","",VLOOKUP(AG419,AH419:AU425,COLUMN()-COLUMN(AR418),FALSE))</f>
        <v>19</v>
      </c>
      <c r="BE419" s="286">
        <f>IF(AG419="","",VLOOKUP(AG419,AH419:AU425,COLUMN()-COLUMN(AR418),FALSE))</f>
        <v>2</v>
      </c>
      <c r="BF419" s="301">
        <f>IF(AG419="","",VLOOKUP(AG419,AH419:AU425,COLUMN()-COLUMN(AR418),FALSE))</f>
        <v>17</v>
      </c>
    </row>
    <row r="420" spans="1:58" ht="12" thickBot="1" x14ac:dyDescent="0.25">
      <c r="A420" s="62" t="s">
        <v>12261</v>
      </c>
      <c r="B420" s="62" t="s">
        <v>12207</v>
      </c>
      <c r="C420" s="62">
        <v>16</v>
      </c>
      <c r="D420" s="62"/>
      <c r="E420" s="345" t="s">
        <v>8125</v>
      </c>
      <c r="F420" s="345" t="s">
        <v>10434</v>
      </c>
      <c r="G420" s="113">
        <v>1</v>
      </c>
      <c r="H420" s="113">
        <v>1</v>
      </c>
      <c r="I420" s="114"/>
      <c r="J420" s="114"/>
      <c r="K420" s="114"/>
      <c r="L420" s="81"/>
      <c r="M420" s="265" t="b">
        <f>NOT(ISERROR(ResultsInd[[#This Row],[Goal-A]]+ResultsInd[[#This Row],[Goal-B]]))</f>
        <v>1</v>
      </c>
      <c r="N420" s="265">
        <f>VALUE(ResultsInd[[#This Row],[Score-A]])</f>
        <v>1</v>
      </c>
      <c r="O420" s="265">
        <f>VALUE(ResultsInd[[#This Row],[Score-B]])</f>
        <v>1</v>
      </c>
      <c r="P420" s="265">
        <f ca="1">IF(AND(ResultsInd[[#This Row],[Category]]&lt;&gt;"",ResultsInd[[#This Row],[Player A]]&lt;&gt;""),COUNTIF(INDIRECT(ResultsInd[[#This Row],[Category]]&amp;"List[Retained Player Name]"),ResultsInd[[#This Row],[Player A]]),"")</f>
        <v>1</v>
      </c>
      <c r="Q420" s="265">
        <f ca="1">IF(AND(ResultsInd[[#This Row],[Category]]&lt;&gt;"",ResultsInd[[#This Row],[Player B]]&lt;&gt;""),COUNTIF(INDIRECT(ResultsInd[[#This Row],[Category]]&amp;"List[Retained Player Name]"),ResultsInd[[#This Row],[Player B]]),"")</f>
        <v>1</v>
      </c>
      <c r="R4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420" s="265" t="str">
        <f>IF(ResultsInd[[#This Row],[Score_OK]],IF(ResultsInd[[#This Row],[Stage]]="Groups",ResultsInd[[#This Row],[Category]]&amp;"-"&amp;IF(ResultsInd[[#This Row],[Player B]]="","",IF(ResultsInd[[#This Row],[Score-A]]=ResultsInd[[#This Row],[Score-B]],ResultsInd[[#This Row],[Player A]],"")),""),"")</f>
        <v>VETERANS-Philippe Roufosse</v>
      </c>
      <c r="T420" s="265" t="str">
        <f>IF(ResultsInd[[#This Row],[Score_OK]],IF(ResultsInd[[#This Row],[Stage]]="Groups",ResultsInd[[#This Row],[Category]]&amp;"-"&amp;IF(ResultsInd[[#This Row],[Player B]]="","",IF(ResultsInd[[#This Row],[Score-A]]=ResultsInd[[#This Row],[Score-B]],ResultsInd[[#This Row],[Player B]],"")),""),"")</f>
        <v>VETERANS-John Zammit</v>
      </c>
      <c r="U4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4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VETERANS-Philippe Roufosse</v>
      </c>
      <c r="X4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VETERANS-John Zammit</v>
      </c>
      <c r="Y420" s="264" t="str">
        <f>IF(ResultsInd[[#This Row],[Category]]="","",VLOOKUP(ResultsInd[[#This Row],[Stage]],$P$1:$V$9,MATCH(ResultsInd[[#This Row],[Category]],$Q$1:$V$1,0)+1,FALSE))</f>
        <v>PR1</v>
      </c>
      <c r="Z420" s="264" t="str">
        <f>IF(ResultsInd[[#This Row],[Score_OK]],IF(ResultsInd[[#This Row],[Level]]="R",ResultsInd[[#This Row],[Category]]&amp;"-"&amp;IF(ResultsInd[[#This Row],[LoseInKO]]=ResultsInd[[#This Row],[Category]]&amp;"-"&amp;ResultsInd[[#This Row],[Player A]],ResultsInd[[#This Row],[Player B]],ResultsInd[[#This Row],[Player A]]),""),"")</f>
        <v/>
      </c>
      <c r="AB420" s="8"/>
      <c r="AC420" s="12" t="str">
        <f t="shared" ref="AC420:AC425" si="367">IF(AC419="","",AC419)</f>
        <v>VETERANS</v>
      </c>
      <c r="AD420" s="309" t="s">
        <v>10434</v>
      </c>
      <c r="AE420" s="320"/>
      <c r="AF420" s="311"/>
      <c r="AG420" s="292">
        <f>IF(AP420="","",SMALL(AH419:AH425,ROWS(AG419:AG420)))</f>
        <v>2002</v>
      </c>
      <c r="AH420" s="293">
        <f>IF(AP420="","",RANK(AL420,AL419:AL425)*1000+ROWS(AH419:AH420))</f>
        <v>2002</v>
      </c>
      <c r="AI420" s="316">
        <f t="shared" si="361"/>
        <v>8000000000000</v>
      </c>
      <c r="AJ420" s="415" t="b">
        <f>AND(AO420&lt;&gt;"",AO420&gt;0,COUNTIF(AI419:AI425,AI420)&gt;1)</f>
        <v>0</v>
      </c>
      <c r="AK420" s="316">
        <f t="shared" si="362"/>
        <v>0</v>
      </c>
      <c r="AL420" s="317">
        <f t="shared" si="363"/>
        <v>8000000141700</v>
      </c>
      <c r="AM420" s="415" t="b">
        <f>AND(AO420&lt;&gt;"",AO420&gt;0,COUNTIF(AL419:AL425,AL420)&gt;1)</f>
        <v>0</v>
      </c>
      <c r="AN420" s="306">
        <f t="shared" si="364"/>
        <v>8</v>
      </c>
      <c r="AO420" s="307">
        <f t="shared" si="365"/>
        <v>4</v>
      </c>
      <c r="AP420" s="307">
        <f>IF(OR(AC418="",AD420=""),"",COUNTIF(ResultsInd[Win],AC418&amp;"-"&amp;AD420))</f>
        <v>2</v>
      </c>
      <c r="AQ420" s="307">
        <f>IF(OR(AC418="",AD420=""),"",COUNTIF(ResultsInd[Draw1],AC418&amp;"-"&amp;AD420)+COUNTIF(ResultsInd[Draw2],AC418&amp;"-"&amp;AD420))</f>
        <v>2</v>
      </c>
      <c r="AR420" s="307">
        <f>IF(OR(AC418="",AD420=""),"",COUNTIF(ResultsInd[Lose],AC418&amp;"-"&amp;AD420))</f>
        <v>0</v>
      </c>
      <c r="AS420" s="307">
        <f>IF(OR(AC418="",AD420=""),"",SUMIFS(ResultsInd[Goal-A],ResultsInd[Category],AC418,ResultsInd[Stage],"Groups",ResultsInd[Player A],AD420)+SUMIFS(ResultsInd[Goal-B],ResultsInd[Category],AC418,ResultsInd[Stage],"Groups",ResultsInd[Player B],AD420))</f>
        <v>17</v>
      </c>
      <c r="AT420" s="307">
        <f>IF(OR(AC418="",AD420=""),"",SUMIFS(ResultsInd[Goal-B],ResultsInd[Category],AC418,ResultsInd[Stage],"Groups",ResultsInd[Player A],AD420)+SUMIFS(ResultsInd[Goal-A],ResultsInd[Category],AC418,ResultsInd[Stage],"Groups",ResultsInd[Player B],AD420))</f>
        <v>3</v>
      </c>
      <c r="AU420" s="308">
        <f t="shared" ref="AU420:AU425" si="368">IF(AP420="","",AS420-AT420)</f>
        <v>14</v>
      </c>
      <c r="AV420" s="469" t="b">
        <f>IF(AG420="","",OR(VLOOKUP(AG420,AH419:AU425,3,FALSE),VLOOKUP(AG420,AH419:AU425,6,FALSE)))</f>
        <v>0</v>
      </c>
      <c r="AW420" s="298">
        <f t="shared" si="366"/>
        <v>2</v>
      </c>
      <c r="AX420" s="285" t="str">
        <f>IF(AG420="","",INDEX(AD419:AD425,MATCH(AG420,AH419:AH425,0)))</f>
        <v>John Zammit</v>
      </c>
      <c r="AY420" s="286">
        <f>IF(AG420="","",VLOOKUP(AG420,AH419:AU425,COLUMN()-COLUMN(AR418),FALSE))</f>
        <v>8</v>
      </c>
      <c r="AZ420" s="286">
        <f>IF(AG420="","",VLOOKUP(AG420,AH419:AU425,COLUMN()-COLUMN(AR418),FALSE))</f>
        <v>4</v>
      </c>
      <c r="BA420" s="286">
        <f>IF(AG420="","",VLOOKUP(AG420,AH419:AU425,COLUMN()-COLUMN(AR418),FALSE))</f>
        <v>2</v>
      </c>
      <c r="BB420" s="286">
        <f>IF(AG420="","",VLOOKUP(AG420,AH419:AU425,COLUMN()-COLUMN(AR418),FALSE))</f>
        <v>2</v>
      </c>
      <c r="BC420" s="286">
        <f>IF(AG420="","",VLOOKUP(AG420,AH419:AU425,COLUMN()-COLUMN(AR418),FALSE))</f>
        <v>0</v>
      </c>
      <c r="BD420" s="286">
        <f>IF(AG420="","",VLOOKUP(AG420,AH419:AU425,COLUMN()-COLUMN(AR418),FALSE))</f>
        <v>17</v>
      </c>
      <c r="BE420" s="286">
        <f>IF(AG420="","",VLOOKUP(AG420,AH419:AU425,COLUMN()-COLUMN(AR418),FALSE))</f>
        <v>3</v>
      </c>
      <c r="BF420" s="301">
        <f>IF(AG420="","",VLOOKUP(AG420,AH419:AU425,COLUMN()-COLUMN(AR418),FALSE))</f>
        <v>14</v>
      </c>
    </row>
    <row r="421" spans="1:58" ht="12" thickBot="1" x14ac:dyDescent="0.25">
      <c r="A421" s="62" t="s">
        <v>12261</v>
      </c>
      <c r="B421" s="62" t="s">
        <v>12207</v>
      </c>
      <c r="C421" s="62">
        <v>16</v>
      </c>
      <c r="D421" s="62"/>
      <c r="E421" s="345" t="s">
        <v>14571</v>
      </c>
      <c r="F421" s="345" t="s">
        <v>8547</v>
      </c>
      <c r="G421" s="113">
        <v>0</v>
      </c>
      <c r="H421" s="113">
        <v>9</v>
      </c>
      <c r="I421" s="114"/>
      <c r="J421" s="114"/>
      <c r="K421" s="114"/>
      <c r="L421" s="81"/>
      <c r="M421" s="265" t="b">
        <f>NOT(ISERROR(ResultsInd[[#This Row],[Goal-A]]+ResultsInd[[#This Row],[Goal-B]]))</f>
        <v>1</v>
      </c>
      <c r="N421" s="265">
        <f>VALUE(ResultsInd[[#This Row],[Score-A]])</f>
        <v>0</v>
      </c>
      <c r="O421" s="265">
        <f>VALUE(ResultsInd[[#This Row],[Score-B]])</f>
        <v>9</v>
      </c>
      <c r="P421" s="265">
        <f ca="1">IF(AND(ResultsInd[[#This Row],[Category]]&lt;&gt;"",ResultsInd[[#This Row],[Player A]]&lt;&gt;""),COUNTIF(INDIRECT(ResultsInd[[#This Row],[Category]]&amp;"List[Retained Player Name]"),ResultsInd[[#This Row],[Player A]]),"")</f>
        <v>1</v>
      </c>
      <c r="Q421" s="265">
        <f ca="1">IF(AND(ResultsInd[[#This Row],[Category]]&lt;&gt;"",ResultsInd[[#This Row],[Player B]]&lt;&gt;""),COUNTIF(INDIRECT(ResultsInd[[#This Row],[Category]]&amp;"List[Retained Player Name]"),ResultsInd[[#This Row],[Player B]]),"")</f>
        <v>1</v>
      </c>
      <c r="R4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VETERANS-Jason Christopher</v>
      </c>
      <c r="S421" s="265" t="str">
        <f>IF(ResultsInd[[#This Row],[Score_OK]],IF(ResultsInd[[#This Row],[Stage]]="Groups",ResultsInd[[#This Row],[Category]]&amp;"-"&amp;IF(ResultsInd[[#This Row],[Player B]]="","",IF(ResultsInd[[#This Row],[Score-A]]=ResultsInd[[#This Row],[Score-B]],ResultsInd[[#This Row],[Player A]],"")),""),"")</f>
        <v>VETERANS-</v>
      </c>
      <c r="T421" s="265" t="str">
        <f>IF(ResultsInd[[#This Row],[Score_OK]],IF(ResultsInd[[#This Row],[Stage]]="Groups",ResultsInd[[#This Row],[Category]]&amp;"-"&amp;IF(ResultsInd[[#This Row],[Player B]]="","",IF(ResultsInd[[#This Row],[Score-A]]=ResultsInd[[#This Row],[Score-B]],ResultsInd[[#This Row],[Player B]],"")),""),"")</f>
        <v>VETERANS-</v>
      </c>
      <c r="U4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 Sceraert</v>
      </c>
      <c r="V4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X4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Y421" s="264" t="str">
        <f>IF(ResultsInd[[#This Row],[Category]]="","",VLOOKUP(ResultsInd[[#This Row],[Stage]],$P$1:$V$9,MATCH(ResultsInd[[#This Row],[Category]],$Q$1:$V$1,0)+1,FALSE))</f>
        <v>PR1</v>
      </c>
      <c r="Z421" s="264" t="str">
        <f>IF(ResultsInd[[#This Row],[Score_OK]],IF(ResultsInd[[#This Row],[Level]]="R",ResultsInd[[#This Row],[Category]]&amp;"-"&amp;IF(ResultsInd[[#This Row],[LoseInKO]]=ResultsInd[[#This Row],[Category]]&amp;"-"&amp;ResultsInd[[#This Row],[Player A]],ResultsInd[[#This Row],[Player B]],ResultsInd[[#This Row],[Player A]]),""),"")</f>
        <v/>
      </c>
      <c r="AB421" s="8"/>
      <c r="AC421" s="12" t="str">
        <f t="shared" si="367"/>
        <v>VETERANS</v>
      </c>
      <c r="AD421" s="309" t="s">
        <v>10359</v>
      </c>
      <c r="AE421" s="320"/>
      <c r="AF421" s="311"/>
      <c r="AG421" s="292">
        <f>IF(AP421="","",SMALL(AH419:AH425,ROWS(AG419:AG421)))</f>
        <v>3003</v>
      </c>
      <c r="AH421" s="293">
        <f>IF(AP421="","",RANK(AL421,AL419:AL425)*1000+ROWS(AH419:AH421))</f>
        <v>3003</v>
      </c>
      <c r="AI421" s="316">
        <f t="shared" si="361"/>
        <v>5000000000000</v>
      </c>
      <c r="AJ421" s="415" t="b">
        <f>AND(AO421&lt;&gt;"",AO421&gt;0,COUNTIF(AI419:AI425,AI421)&gt;1)</f>
        <v>0</v>
      </c>
      <c r="AK421" s="316">
        <f t="shared" si="362"/>
        <v>0</v>
      </c>
      <c r="AL421" s="317">
        <f t="shared" si="363"/>
        <v>5000000030700</v>
      </c>
      <c r="AM421" s="415" t="b">
        <f>AND(AO421&lt;&gt;"",AO421&gt;0,COUNTIF(AL419:AL425,AL421)&gt;1)</f>
        <v>0</v>
      </c>
      <c r="AN421" s="306">
        <f t="shared" si="364"/>
        <v>5</v>
      </c>
      <c r="AO421" s="307">
        <f t="shared" si="365"/>
        <v>4</v>
      </c>
      <c r="AP421" s="307">
        <f>IF(OR(AC418="",AD421=""),"",COUNTIF(ResultsInd[Win],AC418&amp;"-"&amp;AD421))</f>
        <v>1</v>
      </c>
      <c r="AQ421" s="307">
        <f>IF(OR(AC418="",AD421=""),"",COUNTIF(ResultsInd[Draw1],AC418&amp;"-"&amp;AD421)+COUNTIF(ResultsInd[Draw2],AC418&amp;"-"&amp;AD421))</f>
        <v>2</v>
      </c>
      <c r="AR421" s="307">
        <f>IF(OR(AC418="",AD421=""),"",COUNTIF(ResultsInd[Lose],AC418&amp;"-"&amp;AD421))</f>
        <v>1</v>
      </c>
      <c r="AS421" s="307">
        <f>IF(OR(AC418="",AD421=""),"",SUMIFS(ResultsInd[Goal-A],ResultsInd[Category],AC418,ResultsInd[Stage],"Groups",ResultsInd[Player A],AD421)+SUMIFS(ResultsInd[Goal-B],ResultsInd[Category],AC418,ResultsInd[Stage],"Groups",ResultsInd[Player B],AD421))</f>
        <v>7</v>
      </c>
      <c r="AT421" s="307">
        <f>IF(OR(AC418="",AD421=""),"",SUMIFS(ResultsInd[Goal-B],ResultsInd[Category],AC418,ResultsInd[Stage],"Groups",ResultsInd[Player A],AD421)+SUMIFS(ResultsInd[Goal-A],ResultsInd[Category],AC418,ResultsInd[Stage],"Groups",ResultsInd[Player B],AD421))</f>
        <v>4</v>
      </c>
      <c r="AU421" s="308">
        <f t="shared" si="368"/>
        <v>3</v>
      </c>
      <c r="AV421" s="469" t="b">
        <f>IF(AG421="","",OR(VLOOKUP(AG421,AH419:AU425,3,FALSE),VLOOKUP(AG421,AH419:AU425,6,FALSE)))</f>
        <v>0</v>
      </c>
      <c r="AW421" s="298">
        <f t="shared" si="366"/>
        <v>3</v>
      </c>
      <c r="AX421" s="285" t="str">
        <f>IF(AG421="","",INDEX(AD419:AD425,MATCH(AG421,AH419:AH425,0)))</f>
        <v>Alessandro Arca</v>
      </c>
      <c r="AY421" s="286">
        <f>IF(AG421="","",VLOOKUP(AG421,AH419:AU425,COLUMN()-COLUMN(AR418),FALSE))</f>
        <v>5</v>
      </c>
      <c r="AZ421" s="286">
        <f>IF(AG421="","",VLOOKUP(AG421,AH419:AU425,COLUMN()-COLUMN(AR418),FALSE))</f>
        <v>4</v>
      </c>
      <c r="BA421" s="286">
        <f>IF(AG421="","",VLOOKUP(AG421,AH419:AU425,COLUMN()-COLUMN(AR418),FALSE))</f>
        <v>1</v>
      </c>
      <c r="BB421" s="286">
        <f>IF(AG421="","",VLOOKUP(AG421,AH419:AU425,COLUMN()-COLUMN(AR418),FALSE))</f>
        <v>2</v>
      </c>
      <c r="BC421" s="286">
        <f>IF(AG421="","",VLOOKUP(AG421,AH419:AU425,COLUMN()-COLUMN(AR418),FALSE))</f>
        <v>1</v>
      </c>
      <c r="BD421" s="286">
        <f>IF(AG421="","",VLOOKUP(AG421,AH419:AU425,COLUMN()-COLUMN(AR418),FALSE))</f>
        <v>7</v>
      </c>
      <c r="BE421" s="286">
        <f>IF(AG421="","",VLOOKUP(AG421,AH419:AU425,COLUMN()-COLUMN(AR418),FALSE))</f>
        <v>4</v>
      </c>
      <c r="BF421" s="301">
        <f>IF(AG421="","",VLOOKUP(AG421,AH419:AU425,COLUMN()-COLUMN(AR418),FALSE))</f>
        <v>3</v>
      </c>
    </row>
    <row r="422" spans="1:58" ht="12" thickBot="1" x14ac:dyDescent="0.25">
      <c r="A422" s="62" t="s">
        <v>12261</v>
      </c>
      <c r="B422" s="62" t="s">
        <v>12207</v>
      </c>
      <c r="C422" s="62">
        <v>16</v>
      </c>
      <c r="D422" s="62"/>
      <c r="E422" s="345" t="s">
        <v>8547</v>
      </c>
      <c r="F422" s="345" t="s">
        <v>8125</v>
      </c>
      <c r="G422" s="113">
        <v>1</v>
      </c>
      <c r="H422" s="113">
        <v>3</v>
      </c>
      <c r="I422" s="114"/>
      <c r="J422" s="114"/>
      <c r="K422" s="114"/>
      <c r="L422" s="81"/>
      <c r="M422" s="265" t="b">
        <f>NOT(ISERROR(ResultsInd[[#This Row],[Goal-A]]+ResultsInd[[#This Row],[Goal-B]]))</f>
        <v>1</v>
      </c>
      <c r="N422" s="265">
        <f>VALUE(ResultsInd[[#This Row],[Score-A]])</f>
        <v>1</v>
      </c>
      <c r="O422" s="265">
        <f>VALUE(ResultsInd[[#This Row],[Score-B]])</f>
        <v>3</v>
      </c>
      <c r="P422" s="265">
        <f ca="1">IF(AND(ResultsInd[[#This Row],[Category]]&lt;&gt;"",ResultsInd[[#This Row],[Player A]]&lt;&gt;""),COUNTIF(INDIRECT(ResultsInd[[#This Row],[Category]]&amp;"List[Retained Player Name]"),ResultsInd[[#This Row],[Player A]]),"")</f>
        <v>1</v>
      </c>
      <c r="Q422" s="265">
        <f ca="1">IF(AND(ResultsInd[[#This Row],[Category]]&lt;&gt;"",ResultsInd[[#This Row],[Player B]]&lt;&gt;""),COUNTIF(INDIRECT(ResultsInd[[#This Row],[Category]]&amp;"List[Retained Player Name]"),ResultsInd[[#This Row],[Player B]]),"")</f>
        <v>1</v>
      </c>
      <c r="R4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VETERANS-Philippe Roufosse</v>
      </c>
      <c r="S422" s="265" t="str">
        <f>IF(ResultsInd[[#This Row],[Score_OK]],IF(ResultsInd[[#This Row],[Stage]]="Groups",ResultsInd[[#This Row],[Category]]&amp;"-"&amp;IF(ResultsInd[[#This Row],[Player B]]="","",IF(ResultsInd[[#This Row],[Score-A]]=ResultsInd[[#This Row],[Score-B]],ResultsInd[[#This Row],[Player A]],"")),""),"")</f>
        <v>VETERANS-</v>
      </c>
      <c r="T422" s="265" t="str">
        <f>IF(ResultsInd[[#This Row],[Score_OK]],IF(ResultsInd[[#This Row],[Stage]]="Groups",ResultsInd[[#This Row],[Category]]&amp;"-"&amp;IF(ResultsInd[[#This Row],[Player B]]="","",IF(ResultsInd[[#This Row],[Score-A]]=ResultsInd[[#This Row],[Score-B]],ResultsInd[[#This Row],[Player B]],"")),""),"")</f>
        <v>VETERANS-</v>
      </c>
      <c r="U4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VETERANS-Jason Christopher</v>
      </c>
      <c r="V4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VETERANS-Jason Christopher</v>
      </c>
      <c r="X4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VETERANS-Jason Christopher</v>
      </c>
      <c r="Y422" s="264" t="str">
        <f>IF(ResultsInd[[#This Row],[Category]]="","",VLOOKUP(ResultsInd[[#This Row],[Stage]],$P$1:$V$9,MATCH(ResultsInd[[#This Row],[Category]],$Q$1:$V$1,0)+1,FALSE))</f>
        <v>PR1</v>
      </c>
      <c r="Z422" s="264" t="str">
        <f>IF(ResultsInd[[#This Row],[Score_OK]],IF(ResultsInd[[#This Row],[Level]]="R",ResultsInd[[#This Row],[Category]]&amp;"-"&amp;IF(ResultsInd[[#This Row],[LoseInKO]]=ResultsInd[[#This Row],[Category]]&amp;"-"&amp;ResultsInd[[#This Row],[Player A]],ResultsInd[[#This Row],[Player B]],ResultsInd[[#This Row],[Player A]]),""),"")</f>
        <v/>
      </c>
      <c r="AB422" s="91"/>
      <c r="AC422" s="12" t="str">
        <f t="shared" si="367"/>
        <v>VETERANS</v>
      </c>
      <c r="AD422" s="309" t="s">
        <v>8547</v>
      </c>
      <c r="AE422" s="310"/>
      <c r="AF422" s="311"/>
      <c r="AG422" s="292">
        <f>IF(AP422="","",SMALL(AH419:AH425,ROWS(AG419:AG422)))</f>
        <v>4004</v>
      </c>
      <c r="AH422" s="293">
        <f>IF(AP422="","",RANK(AL422,AL419:AL425)*1000+ROWS(AH419:AH422))</f>
        <v>4004</v>
      </c>
      <c r="AI422" s="316">
        <f t="shared" si="361"/>
        <v>4000000000000</v>
      </c>
      <c r="AJ422" s="415" t="b">
        <f>AND(AO422&lt;&gt;"",AO422&gt;0,COUNTIF(AI419:AI425,AI422)&gt;1)</f>
        <v>0</v>
      </c>
      <c r="AK422" s="316">
        <f t="shared" si="362"/>
        <v>0</v>
      </c>
      <c r="AL422" s="317">
        <f t="shared" si="363"/>
        <v>4000000031100</v>
      </c>
      <c r="AM422" s="415" t="b">
        <f>AND(AO422&lt;&gt;"",AO422&gt;0,COUNTIF(AL419:AL425,AL422)&gt;1)</f>
        <v>0</v>
      </c>
      <c r="AN422" s="306">
        <f t="shared" si="364"/>
        <v>4</v>
      </c>
      <c r="AO422" s="307">
        <f t="shared" si="365"/>
        <v>4</v>
      </c>
      <c r="AP422" s="307">
        <f>IF(OR(AC418="",AD422=""),"",COUNTIF(ResultsInd[Win],AC418&amp;"-"&amp;AD422))</f>
        <v>1</v>
      </c>
      <c r="AQ422" s="307">
        <f>IF(OR(AC418="",AD422=""),"",COUNTIF(ResultsInd[Draw1],AC418&amp;"-"&amp;AD422)+COUNTIF(ResultsInd[Draw2],AC418&amp;"-"&amp;AD422))</f>
        <v>1</v>
      </c>
      <c r="AR422" s="307">
        <f>IF(OR(AC418="",AD422=""),"",COUNTIF(ResultsInd[Lose],AC418&amp;"-"&amp;AD422))</f>
        <v>2</v>
      </c>
      <c r="AS422" s="307">
        <f>IF(OR(AC418="",AD422=""),"",SUMIFS(ResultsInd[Goal-A],ResultsInd[Category],AC418,ResultsInd[Stage],"Groups",ResultsInd[Player A],AD422)+SUMIFS(ResultsInd[Goal-B],ResultsInd[Category],AC418,ResultsInd[Stage],"Groups",ResultsInd[Player B],AD422))</f>
        <v>11</v>
      </c>
      <c r="AT422" s="307">
        <f>IF(OR(AC418="",AD422=""),"",SUMIFS(ResultsInd[Goal-B],ResultsInd[Category],AC418,ResultsInd[Stage],"Groups",ResultsInd[Player A],AD422)+SUMIFS(ResultsInd[Goal-A],ResultsInd[Category],AC418,ResultsInd[Stage],"Groups",ResultsInd[Player B],AD422))</f>
        <v>8</v>
      </c>
      <c r="AU422" s="308">
        <f t="shared" si="368"/>
        <v>3</v>
      </c>
      <c r="AV422" s="469" t="b">
        <f>IF(AG422="","",OR(VLOOKUP(AG422,AH419:AU425,3,FALSE),VLOOKUP(AG422,AH419:AU425,6,FALSE)))</f>
        <v>0</v>
      </c>
      <c r="AW422" s="298">
        <f t="shared" si="366"/>
        <v>4</v>
      </c>
      <c r="AX422" s="285" t="str">
        <f>IF(AG422="","",INDEX(AD419:AD425,MATCH(AG422,AH419:AH425,0)))</f>
        <v>Jason Christopher</v>
      </c>
      <c r="AY422" s="286">
        <f>IF(AG422="","",VLOOKUP(AG422,AH419:AU425,COLUMN()-COLUMN(AR418),FALSE))</f>
        <v>4</v>
      </c>
      <c r="AZ422" s="286">
        <f>IF(AG422="","",VLOOKUP(AG422,AH419:AU425,COLUMN()-COLUMN(AR418),FALSE))</f>
        <v>4</v>
      </c>
      <c r="BA422" s="286">
        <f>IF(AG422="","",VLOOKUP(AG422,AH419:AU425,COLUMN()-COLUMN(AR418),FALSE))</f>
        <v>1</v>
      </c>
      <c r="BB422" s="286">
        <f>IF(AG422="","",VLOOKUP(AG422,AH419:AU425,COLUMN()-COLUMN(AR418),FALSE))</f>
        <v>1</v>
      </c>
      <c r="BC422" s="286">
        <f>IF(AG422="","",VLOOKUP(AG422,AH419:AU425,COLUMN()-COLUMN(AR418),FALSE))</f>
        <v>2</v>
      </c>
      <c r="BD422" s="286">
        <f>IF(AG422="","",VLOOKUP(AG422,AH419:AU425,COLUMN()-COLUMN(AR418),FALSE))</f>
        <v>11</v>
      </c>
      <c r="BE422" s="286">
        <f>IF(AG422="","",VLOOKUP(AG422,AH419:AU425,COLUMN()-COLUMN(AR418),FALSE))</f>
        <v>8</v>
      </c>
      <c r="BF422" s="301">
        <f>IF(AG422="","",VLOOKUP(AG422,AH419:AU425,COLUMN()-COLUMN(AR418),FALSE))</f>
        <v>3</v>
      </c>
    </row>
    <row r="423" spans="1:58" ht="12" thickBot="1" x14ac:dyDescent="0.25">
      <c r="A423" s="62" t="s">
        <v>12261</v>
      </c>
      <c r="B423" s="62" t="s">
        <v>12207</v>
      </c>
      <c r="C423" s="62">
        <v>16</v>
      </c>
      <c r="D423" s="62"/>
      <c r="E423" s="345" t="s">
        <v>10359</v>
      </c>
      <c r="F423" s="345" t="s">
        <v>14571</v>
      </c>
      <c r="G423" s="113">
        <v>6</v>
      </c>
      <c r="H423" s="113">
        <v>0</v>
      </c>
      <c r="I423" s="114"/>
      <c r="J423" s="114"/>
      <c r="K423" s="114"/>
      <c r="L423" s="81"/>
      <c r="M423" s="265" t="b">
        <f>NOT(ISERROR(ResultsInd[[#This Row],[Goal-A]]+ResultsInd[[#This Row],[Goal-B]]))</f>
        <v>1</v>
      </c>
      <c r="N423" s="265">
        <f>VALUE(ResultsInd[[#This Row],[Score-A]])</f>
        <v>6</v>
      </c>
      <c r="O423" s="265">
        <f>VALUE(ResultsInd[[#This Row],[Score-B]])</f>
        <v>0</v>
      </c>
      <c r="P423" s="265">
        <f ca="1">IF(AND(ResultsInd[[#This Row],[Category]]&lt;&gt;"",ResultsInd[[#This Row],[Player A]]&lt;&gt;""),COUNTIF(INDIRECT(ResultsInd[[#This Row],[Category]]&amp;"List[Retained Player Name]"),ResultsInd[[#This Row],[Player A]]),"")</f>
        <v>1</v>
      </c>
      <c r="Q423" s="265">
        <f ca="1">IF(AND(ResultsInd[[#This Row],[Category]]&lt;&gt;"",ResultsInd[[#This Row],[Player B]]&lt;&gt;""),COUNTIF(INDIRECT(ResultsInd[[#This Row],[Category]]&amp;"List[Retained Player Name]"),ResultsInd[[#This Row],[Player B]]),"")</f>
        <v>1</v>
      </c>
      <c r="R4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VETERANS-Alessandro Arca</v>
      </c>
      <c r="S423" s="265" t="str">
        <f>IF(ResultsInd[[#This Row],[Score_OK]],IF(ResultsInd[[#This Row],[Stage]]="Groups",ResultsInd[[#This Row],[Category]]&amp;"-"&amp;IF(ResultsInd[[#This Row],[Player B]]="","",IF(ResultsInd[[#This Row],[Score-A]]=ResultsInd[[#This Row],[Score-B]],ResultsInd[[#This Row],[Player A]],"")),""),"")</f>
        <v>VETERANS-</v>
      </c>
      <c r="T423" s="265" t="str">
        <f>IF(ResultsInd[[#This Row],[Score_OK]],IF(ResultsInd[[#This Row],[Stage]]="Groups",ResultsInd[[#This Row],[Category]]&amp;"-"&amp;IF(ResultsInd[[#This Row],[Player B]]="","",IF(ResultsInd[[#This Row],[Score-A]]=ResultsInd[[#This Row],[Score-B]],ResultsInd[[#This Row],[Player B]],"")),""),"")</f>
        <v>VETERANS-</v>
      </c>
      <c r="U4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 Sceraert</v>
      </c>
      <c r="V4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X4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Y423" s="264" t="str">
        <f>IF(ResultsInd[[#This Row],[Category]]="","",VLOOKUP(ResultsInd[[#This Row],[Stage]],$P$1:$V$9,MATCH(ResultsInd[[#This Row],[Category]],$Q$1:$V$1,0)+1,FALSE))</f>
        <v>PR1</v>
      </c>
      <c r="Z423" s="264" t="str">
        <f>IF(ResultsInd[[#This Row],[Score_OK]],IF(ResultsInd[[#This Row],[Level]]="R",ResultsInd[[#This Row],[Category]]&amp;"-"&amp;IF(ResultsInd[[#This Row],[LoseInKO]]=ResultsInd[[#This Row],[Category]]&amp;"-"&amp;ResultsInd[[#This Row],[Player A]],ResultsInd[[#This Row],[Player B]],ResultsInd[[#This Row],[Player A]]),""),"")</f>
        <v/>
      </c>
      <c r="AB423" s="91"/>
      <c r="AC423" s="12" t="str">
        <f t="shared" si="367"/>
        <v>VETERANS</v>
      </c>
      <c r="AD423" s="309" t="s">
        <v>14571</v>
      </c>
      <c r="AE423" s="310"/>
      <c r="AF423" s="311"/>
      <c r="AG423" s="292">
        <f>IF(AP423="","",SMALL(AH419:AH425,ROWS(AG419:AG423)))</f>
        <v>5005</v>
      </c>
      <c r="AH423" s="293">
        <f>IF(AP423="","",RANK(AL423,AL419:AL425)*1000+ROWS(AH419:AH423))</f>
        <v>5005</v>
      </c>
      <c r="AI423" s="316">
        <f t="shared" si="361"/>
        <v>0</v>
      </c>
      <c r="AJ423" s="415" t="b">
        <f>AND(AO423&lt;&gt;"",AO423&gt;0,COUNTIF(AI419:AI425,AI423)&gt;1)</f>
        <v>0</v>
      </c>
      <c r="AK423" s="316">
        <f t="shared" si="362"/>
        <v>0</v>
      </c>
      <c r="AL423" s="317">
        <f t="shared" si="363"/>
        <v>-370000</v>
      </c>
      <c r="AM423" s="415" t="b">
        <f>AND(AO423&lt;&gt;"",AO423&gt;0,COUNTIF(AL419:AL425,AL423)&gt;1)</f>
        <v>0</v>
      </c>
      <c r="AN423" s="306">
        <f t="shared" si="364"/>
        <v>0</v>
      </c>
      <c r="AO423" s="307">
        <f t="shared" si="365"/>
        <v>4</v>
      </c>
      <c r="AP423" s="307">
        <f>IF(OR(AC418="",AD423=""),"",COUNTIF(ResultsInd[Win],AC418&amp;"-"&amp;AD423))</f>
        <v>0</v>
      </c>
      <c r="AQ423" s="307">
        <f>IF(OR(AC418="",AD423=""),"",COUNTIF(ResultsInd[Draw1],AC418&amp;"-"&amp;AD423)+COUNTIF(ResultsInd[Draw2],AC418&amp;"-"&amp;AD423))</f>
        <v>0</v>
      </c>
      <c r="AR423" s="307">
        <f>IF(OR(AC418="",AD423=""),"",COUNTIF(ResultsInd[Lose],AC418&amp;"-"&amp;AD423))</f>
        <v>4</v>
      </c>
      <c r="AS423" s="307">
        <f>IF(OR(AC418="",AD423=""),"",SUMIFS(ResultsInd[Goal-A],ResultsInd[Category],AC418,ResultsInd[Stage],"Groups",ResultsInd[Player A],AD423)+SUMIFS(ResultsInd[Goal-B],ResultsInd[Category],AC418,ResultsInd[Stage],"Groups",ResultsInd[Player B],AD423))</f>
        <v>0</v>
      </c>
      <c r="AT423" s="307">
        <f>IF(OR(AC418="",AD423=""),"",SUMIFS(ResultsInd[Goal-B],ResultsInd[Category],AC418,ResultsInd[Stage],"Groups",ResultsInd[Player A],AD423)+SUMIFS(ResultsInd[Goal-A],ResultsInd[Category],AC418,ResultsInd[Stage],"Groups",ResultsInd[Player B],AD423))</f>
        <v>37</v>
      </c>
      <c r="AU423" s="308">
        <f t="shared" si="368"/>
        <v>-37</v>
      </c>
      <c r="AV423" s="469" t="b">
        <f>IF(AG423="","",OR(VLOOKUP(AG423,AH419:AU425,3,FALSE),VLOOKUP(AG423,AH419:AU425,6,FALSE)))</f>
        <v>0</v>
      </c>
      <c r="AW423" s="298">
        <f t="shared" si="366"/>
        <v>5</v>
      </c>
      <c r="AX423" s="285" t="str">
        <f>IF(AG423="","",INDEX(AD419:AD425,MATCH(AG423,AH419:AH425,0)))</f>
        <v>Marc Sceraert</v>
      </c>
      <c r="AY423" s="286">
        <f>IF(AG423="","",VLOOKUP(AG423,AH419:AU425,COLUMN()-COLUMN(AR418),FALSE))</f>
        <v>0</v>
      </c>
      <c r="AZ423" s="286">
        <f>IF(AG423="","",VLOOKUP(AG423,AH419:AU425,COLUMN()-COLUMN(AR418),FALSE))</f>
        <v>4</v>
      </c>
      <c r="BA423" s="286">
        <f>IF(AG423="","",VLOOKUP(AG423,AH419:AU425,COLUMN()-COLUMN(AR418),FALSE))</f>
        <v>0</v>
      </c>
      <c r="BB423" s="286">
        <f>IF(AG423="","",VLOOKUP(AG423,AH419:AU425,COLUMN()-COLUMN(AR418),FALSE))</f>
        <v>0</v>
      </c>
      <c r="BC423" s="286">
        <f>IF(AG423="","",VLOOKUP(AG423,AH419:AU425,COLUMN()-COLUMN(AR418),FALSE))</f>
        <v>4</v>
      </c>
      <c r="BD423" s="286">
        <f>IF(AG423="","",VLOOKUP(AG423,AH419:AU425,COLUMN()-COLUMN(AR418),FALSE))</f>
        <v>0</v>
      </c>
      <c r="BE423" s="286">
        <f>IF(AG423="","",VLOOKUP(AG423,AH419:AU425,COLUMN()-COLUMN(AR418),FALSE))</f>
        <v>37</v>
      </c>
      <c r="BF423" s="301">
        <f>IF(AG423="","",VLOOKUP(AG423,AH419:AU425,COLUMN()-COLUMN(AR418),FALSE))</f>
        <v>-37</v>
      </c>
    </row>
    <row r="424" spans="1:58" ht="12" thickBot="1" x14ac:dyDescent="0.25">
      <c r="A424" s="62" t="s">
        <v>12261</v>
      </c>
      <c r="B424" s="62" t="s">
        <v>12207</v>
      </c>
      <c r="C424" s="62">
        <v>16</v>
      </c>
      <c r="D424" s="62"/>
      <c r="E424" s="345" t="s">
        <v>10434</v>
      </c>
      <c r="F424" s="345" t="s">
        <v>14571</v>
      </c>
      <c r="G424" s="113">
        <v>10</v>
      </c>
      <c r="H424" s="113">
        <v>0</v>
      </c>
      <c r="I424" s="114"/>
      <c r="J424" s="114"/>
      <c r="K424" s="114"/>
      <c r="L424" s="81"/>
      <c r="M424" s="265" t="b">
        <f>NOT(ISERROR(ResultsInd[[#This Row],[Goal-A]]+ResultsInd[[#This Row],[Goal-B]]))</f>
        <v>1</v>
      </c>
      <c r="N424" s="265">
        <f>VALUE(ResultsInd[[#This Row],[Score-A]])</f>
        <v>10</v>
      </c>
      <c r="O424" s="265">
        <f>VALUE(ResultsInd[[#This Row],[Score-B]])</f>
        <v>0</v>
      </c>
      <c r="P424" s="265">
        <f ca="1">IF(AND(ResultsInd[[#This Row],[Category]]&lt;&gt;"",ResultsInd[[#This Row],[Player A]]&lt;&gt;""),COUNTIF(INDIRECT(ResultsInd[[#This Row],[Category]]&amp;"List[Retained Player Name]"),ResultsInd[[#This Row],[Player A]]),"")</f>
        <v>1</v>
      </c>
      <c r="Q424" s="265">
        <f ca="1">IF(AND(ResultsInd[[#This Row],[Category]]&lt;&gt;"",ResultsInd[[#This Row],[Player B]]&lt;&gt;""),COUNTIF(INDIRECT(ResultsInd[[#This Row],[Category]]&amp;"List[Retained Player Name]"),ResultsInd[[#This Row],[Player B]]),"")</f>
        <v>1</v>
      </c>
      <c r="R4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Zammit</v>
      </c>
      <c r="S424" s="265" t="str">
        <f>IF(ResultsInd[[#This Row],[Score_OK]],IF(ResultsInd[[#This Row],[Stage]]="Groups",ResultsInd[[#This Row],[Category]]&amp;"-"&amp;IF(ResultsInd[[#This Row],[Player B]]="","",IF(ResultsInd[[#This Row],[Score-A]]=ResultsInd[[#This Row],[Score-B]],ResultsInd[[#This Row],[Player A]],"")),""),"")</f>
        <v>VETERANS-</v>
      </c>
      <c r="T424" s="265" t="str">
        <f>IF(ResultsInd[[#This Row],[Score_OK]],IF(ResultsInd[[#This Row],[Stage]]="Groups",ResultsInd[[#This Row],[Category]]&amp;"-"&amp;IF(ResultsInd[[#This Row],[Player B]]="","",IF(ResultsInd[[#This Row],[Score-A]]=ResultsInd[[#This Row],[Score-B]],ResultsInd[[#This Row],[Player B]],"")),""),"")</f>
        <v>VETERANS-</v>
      </c>
      <c r="U4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 Sceraert</v>
      </c>
      <c r="V4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X4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Y424" s="264" t="str">
        <f>IF(ResultsInd[[#This Row],[Category]]="","",VLOOKUP(ResultsInd[[#This Row],[Stage]],$P$1:$V$9,MATCH(ResultsInd[[#This Row],[Category]],$Q$1:$V$1,0)+1,FALSE))</f>
        <v>PR1</v>
      </c>
      <c r="Z424" s="264" t="str">
        <f>IF(ResultsInd[[#This Row],[Score_OK]],IF(ResultsInd[[#This Row],[Level]]="R",ResultsInd[[#This Row],[Category]]&amp;"-"&amp;IF(ResultsInd[[#This Row],[LoseInKO]]=ResultsInd[[#This Row],[Category]]&amp;"-"&amp;ResultsInd[[#This Row],[Player A]],ResultsInd[[#This Row],[Player B]],ResultsInd[[#This Row],[Player A]]),""),"")</f>
        <v/>
      </c>
      <c r="AB424" s="8"/>
      <c r="AC424" s="12" t="str">
        <f t="shared" si="367"/>
        <v>VETERANS</v>
      </c>
      <c r="AD424" s="309"/>
      <c r="AE424" s="310"/>
      <c r="AF424" s="311"/>
      <c r="AG424" s="292" t="str">
        <f>IF(AP424="","",SMALL(AH419:AH425,ROWS(AG419:AG424)))</f>
        <v/>
      </c>
      <c r="AH424" s="293" t="str">
        <f>IF(AP424="","",RANK(AL424,AL419:AL425)*1000+ROWS(AH419:AH424))</f>
        <v/>
      </c>
      <c r="AI424" s="316" t="str">
        <f t="shared" si="361"/>
        <v/>
      </c>
      <c r="AJ424" s="415" t="b">
        <f>AND(AO424&lt;&gt;"",AO424&gt;0,COUNTIF(AI419:AI425,AI424)&gt;1)</f>
        <v>0</v>
      </c>
      <c r="AK424" s="316" t="str">
        <f t="shared" si="362"/>
        <v/>
      </c>
      <c r="AL424" s="317" t="str">
        <f t="shared" si="363"/>
        <v/>
      </c>
      <c r="AM424" s="415" t="b">
        <f>AND(AO424&lt;&gt;"",AO424&gt;0,COUNTIF(AL419:AL425,AL424)&gt;1)</f>
        <v>0</v>
      </c>
      <c r="AN424" s="306" t="str">
        <f t="shared" si="364"/>
        <v/>
      </c>
      <c r="AO424" s="307" t="str">
        <f t="shared" si="365"/>
        <v/>
      </c>
      <c r="AP424" s="307" t="str">
        <f>IF(OR(AC418="",AD424=""),"",COUNTIF(ResultsInd[Win],AC418&amp;"-"&amp;AD424))</f>
        <v/>
      </c>
      <c r="AQ424" s="307" t="str">
        <f>IF(OR(AC418="",AD424=""),"",COUNTIF(ResultsInd[Draw1],AC418&amp;"-"&amp;AD424)+COUNTIF(ResultsInd[Draw2],AC418&amp;"-"&amp;AD424))</f>
        <v/>
      </c>
      <c r="AR424" s="307" t="str">
        <f>IF(OR(AC418="",AD424=""),"",COUNTIF(ResultsInd[Lose],AC418&amp;"-"&amp;AD424))</f>
        <v/>
      </c>
      <c r="AS424" s="307" t="str">
        <f>IF(OR(AC418="",AD424=""),"",SUMIFS(ResultsInd[Goal-A],ResultsInd[Category],AC418,ResultsInd[Stage],"Groups",ResultsInd[Player A],AD424)+SUMIFS(ResultsInd[Goal-B],ResultsInd[Category],AC418,ResultsInd[Stage],"Groups",ResultsInd[Player B],AD424))</f>
        <v/>
      </c>
      <c r="AT424" s="307" t="str">
        <f>IF(OR(AC418="",AD424=""),"",SUMIFS(ResultsInd[Goal-B],ResultsInd[Category],AC418,ResultsInd[Stage],"Groups",ResultsInd[Player A],AD424)+SUMIFS(ResultsInd[Goal-A],ResultsInd[Category],AC418,ResultsInd[Stage],"Groups",ResultsInd[Player B],AD424))</f>
        <v/>
      </c>
      <c r="AU424" s="308" t="str">
        <f t="shared" si="368"/>
        <v/>
      </c>
      <c r="AV424" s="469" t="str">
        <f>IF(AG424="","",OR(VLOOKUP(AG424,AH419:AU425,3,FALSE),VLOOKUP(AG424,AH419:AU425,6,FALSE)))</f>
        <v/>
      </c>
      <c r="AW424" s="298" t="str">
        <f t="shared" si="366"/>
        <v/>
      </c>
      <c r="AX424" s="285" t="str">
        <f>IF(AG424="","",INDEX(AD419:AD425,MATCH(AG424,AH419:AH425,0)))</f>
        <v/>
      </c>
      <c r="AY424" s="286" t="str">
        <f>IF(AG424="","",VLOOKUP(AG424,AH419:AU425,COLUMN()-COLUMN(AR418),FALSE))</f>
        <v/>
      </c>
      <c r="AZ424" s="286" t="str">
        <f>IF(AG424="","",VLOOKUP(AG424,AH419:AU425,COLUMN()-COLUMN(AR418),FALSE))</f>
        <v/>
      </c>
      <c r="BA424" s="286" t="str">
        <f>IF(AG424="","",VLOOKUP(AG424,AH419:AU425,COLUMN()-COLUMN(AR418),FALSE))</f>
        <v/>
      </c>
      <c r="BB424" s="286" t="str">
        <f>IF(AG424="","",VLOOKUP(AG424,AH419:AU425,COLUMN()-COLUMN(AR418),FALSE))</f>
        <v/>
      </c>
      <c r="BC424" s="286" t="str">
        <f>IF(AG424="","",VLOOKUP(AG424,AH419:AU425,COLUMN()-COLUMN(AR418),FALSE))</f>
        <v/>
      </c>
      <c r="BD424" s="286" t="str">
        <f>IF(AG424="","",VLOOKUP(AG424,AH419:AU425,COLUMN()-COLUMN(AR418),FALSE))</f>
        <v/>
      </c>
      <c r="BE424" s="286" t="str">
        <f>IF(AG424="","",VLOOKUP(AG424,AH419:AU425,COLUMN()-COLUMN(AR418),FALSE))</f>
        <v/>
      </c>
      <c r="BF424" s="301" t="str">
        <f>IF(AG424="","",VLOOKUP(AG424,AH419:AU425,COLUMN()-COLUMN(AR418),FALSE))</f>
        <v/>
      </c>
    </row>
    <row r="425" spans="1:58" ht="12" thickBot="1" x14ac:dyDescent="0.25">
      <c r="A425" s="62" t="s">
        <v>12261</v>
      </c>
      <c r="B425" s="62" t="s">
        <v>12207</v>
      </c>
      <c r="C425" s="62">
        <v>16</v>
      </c>
      <c r="D425" s="62"/>
      <c r="E425" s="345" t="s">
        <v>8547</v>
      </c>
      <c r="F425" s="345" t="s">
        <v>10359</v>
      </c>
      <c r="G425" s="113">
        <v>0</v>
      </c>
      <c r="H425" s="113">
        <v>0</v>
      </c>
      <c r="I425" s="114"/>
      <c r="J425" s="114"/>
      <c r="K425" s="114"/>
      <c r="L425" s="81"/>
      <c r="M425" s="265" t="b">
        <f>NOT(ISERROR(ResultsInd[[#This Row],[Goal-A]]+ResultsInd[[#This Row],[Goal-B]]))</f>
        <v>1</v>
      </c>
      <c r="N425" s="265">
        <f>VALUE(ResultsInd[[#This Row],[Score-A]])</f>
        <v>0</v>
      </c>
      <c r="O425" s="265">
        <f>VALUE(ResultsInd[[#This Row],[Score-B]])</f>
        <v>0</v>
      </c>
      <c r="P425" s="265">
        <f ca="1">IF(AND(ResultsInd[[#This Row],[Category]]&lt;&gt;"",ResultsInd[[#This Row],[Player A]]&lt;&gt;""),COUNTIF(INDIRECT(ResultsInd[[#This Row],[Category]]&amp;"List[Retained Player Name]"),ResultsInd[[#This Row],[Player A]]),"")</f>
        <v>1</v>
      </c>
      <c r="Q425" s="265">
        <f ca="1">IF(AND(ResultsInd[[#This Row],[Category]]&lt;&gt;"",ResultsInd[[#This Row],[Player B]]&lt;&gt;""),COUNTIF(INDIRECT(ResultsInd[[#This Row],[Category]]&amp;"List[Retained Player Name]"),ResultsInd[[#This Row],[Player B]]),"")</f>
        <v>1</v>
      </c>
      <c r="R4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425" s="265" t="str">
        <f>IF(ResultsInd[[#This Row],[Score_OK]],IF(ResultsInd[[#This Row],[Stage]]="Groups",ResultsInd[[#This Row],[Category]]&amp;"-"&amp;IF(ResultsInd[[#This Row],[Player B]]="","",IF(ResultsInd[[#This Row],[Score-A]]=ResultsInd[[#This Row],[Score-B]],ResultsInd[[#This Row],[Player A]],"")),""),"")</f>
        <v>VETERANS-Jason Christopher</v>
      </c>
      <c r="T425" s="265" t="str">
        <f>IF(ResultsInd[[#This Row],[Score_OK]],IF(ResultsInd[[#This Row],[Stage]]="Groups",ResultsInd[[#This Row],[Category]]&amp;"-"&amp;IF(ResultsInd[[#This Row],[Player B]]="","",IF(ResultsInd[[#This Row],[Score-A]]=ResultsInd[[#This Row],[Score-B]],ResultsInd[[#This Row],[Player B]],"")),""),"")</f>
        <v>VETERANS-Alessandro Arca</v>
      </c>
      <c r="U4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4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VETERANS-Jason Christopher</v>
      </c>
      <c r="X4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VETERANS-Alessandro Arca</v>
      </c>
      <c r="Y425" s="264" t="str">
        <f>IF(ResultsInd[[#This Row],[Category]]="","",VLOOKUP(ResultsInd[[#This Row],[Stage]],$P$1:$V$9,MATCH(ResultsInd[[#This Row],[Category]],$Q$1:$V$1,0)+1,FALSE))</f>
        <v>PR1</v>
      </c>
      <c r="Z425" s="264" t="str">
        <f>IF(ResultsInd[[#This Row],[Score_OK]],IF(ResultsInd[[#This Row],[Level]]="R",ResultsInd[[#This Row],[Category]]&amp;"-"&amp;IF(ResultsInd[[#This Row],[LoseInKO]]=ResultsInd[[#This Row],[Category]]&amp;"-"&amp;ResultsInd[[#This Row],[Player A]],ResultsInd[[#This Row],[Player B]],ResultsInd[[#This Row],[Player A]]),""),"")</f>
        <v/>
      </c>
      <c r="AB425" s="8"/>
      <c r="AC425" s="12" t="str">
        <f t="shared" si="367"/>
        <v>VETERANS</v>
      </c>
      <c r="AD425" s="312"/>
      <c r="AE425" s="313"/>
      <c r="AF425" s="314"/>
      <c r="AG425" s="294" t="str">
        <f>IF(AP425="","",SMALL(AH419:AH425,ROWS(AG419:AG425)))</f>
        <v/>
      </c>
      <c r="AH425" s="295" t="str">
        <f>IF(AP425="","",RANK(AL425,AL419:AL425)*1000+ROWS(AH419:AH425))</f>
        <v/>
      </c>
      <c r="AI425" s="318" t="str">
        <f t="shared" si="361"/>
        <v/>
      </c>
      <c r="AJ425" s="416" t="b">
        <f>AND(AO425&lt;&gt;"",AO425&gt;0,COUNTIF(AI419:AI425,AI425)&gt;1)</f>
        <v>0</v>
      </c>
      <c r="AK425" s="318" t="str">
        <f t="shared" si="362"/>
        <v/>
      </c>
      <c r="AL425" s="319" t="str">
        <f t="shared" si="363"/>
        <v/>
      </c>
      <c r="AM425" s="416" t="b">
        <f>AND(AO425&lt;&gt;"",AO425&gt;0,COUNTIF(AL419:AL425,AL425)&gt;1)</f>
        <v>0</v>
      </c>
      <c r="AN425" s="306" t="str">
        <f t="shared" si="364"/>
        <v/>
      </c>
      <c r="AO425" s="307" t="str">
        <f t="shared" si="365"/>
        <v/>
      </c>
      <c r="AP425" s="307" t="str">
        <f>IF(OR(AC418="",AD425=""),"",COUNTIF(ResultsInd[Win],AC418&amp;"-"&amp;AD425))</f>
        <v/>
      </c>
      <c r="AQ425" s="307" t="str">
        <f>IF(OR(AC418="",AD425=""),"",COUNTIF(ResultsInd[Draw1],AC418&amp;"-"&amp;AD425)+COUNTIF(ResultsInd[Draw2],AC418&amp;"-"&amp;AD425))</f>
        <v/>
      </c>
      <c r="AR425" s="307" t="str">
        <f>IF(OR(AC418="",AD425=""),"",COUNTIF(ResultsInd[Lose],AC418&amp;"-"&amp;AD425))</f>
        <v/>
      </c>
      <c r="AS425" s="307" t="str">
        <f>IF(OR(AC418="",AD425=""),"",SUMIFS(ResultsInd[Goal-A],ResultsInd[Category],AC418,ResultsInd[Stage],"Groups",ResultsInd[Player A],AD425)+SUMIFS(ResultsInd[Goal-B],ResultsInd[Category],AC418,ResultsInd[Stage],"Groups",ResultsInd[Player B],AD425))</f>
        <v/>
      </c>
      <c r="AT425" s="307" t="str">
        <f>IF(OR(AC418="",AD425=""),"",SUMIFS(ResultsInd[Goal-B],ResultsInd[Category],AC418,ResultsInd[Stage],"Groups",ResultsInd[Player A],AD425)+SUMIFS(ResultsInd[Goal-A],ResultsInd[Category],AC418,ResultsInd[Stage],"Groups",ResultsInd[Player B],AD425))</f>
        <v/>
      </c>
      <c r="AU425" s="308" t="str">
        <f t="shared" si="368"/>
        <v/>
      </c>
      <c r="AV425" s="469" t="str">
        <f>IF(AG425="","",OR(VLOOKUP(AG425,AH419:AU425,3,FALSE),VLOOKUP(AG425,AH419:AU425,6,FALSE)))</f>
        <v/>
      </c>
      <c r="AW425" s="299" t="str">
        <f t="shared" si="366"/>
        <v/>
      </c>
      <c r="AX425" s="287" t="str">
        <f>IF(AG425="","",INDEX(AD419:AD425,MATCH(AG425,AH419:AH425,0)))</f>
        <v/>
      </c>
      <c r="AY425" s="288" t="str">
        <f>IF(AG425="","",VLOOKUP(AG425,AH419:AU425,COLUMN()-COLUMN(AR418),FALSE))</f>
        <v/>
      </c>
      <c r="AZ425" s="288" t="str">
        <f>IF(AG425="","",VLOOKUP(AG425,AH419:AU425,COLUMN()-COLUMN(AR418),FALSE))</f>
        <v/>
      </c>
      <c r="BA425" s="288" t="str">
        <f>IF(AG425="","",VLOOKUP(AG425,AH419:AU425,COLUMN()-COLUMN(AR418),FALSE))</f>
        <v/>
      </c>
      <c r="BB425" s="288" t="str">
        <f>IF(AG425="","",VLOOKUP(AG425,AH419:AU425,COLUMN()-COLUMN(AR418),FALSE))</f>
        <v/>
      </c>
      <c r="BC425" s="288" t="str">
        <f>IF(AG425="","",VLOOKUP(AG425,AH419:AU425,COLUMN()-COLUMN(AR418),FALSE))</f>
        <v/>
      </c>
      <c r="BD425" s="288" t="str">
        <f>IF(AG425="","",VLOOKUP(AG425,AH419:AU425,COLUMN()-COLUMN(AR418),FALSE))</f>
        <v/>
      </c>
      <c r="BE425" s="288" t="str">
        <f>IF(AG425="","",VLOOKUP(AG425,AH419:AU425,COLUMN()-COLUMN(AR418),FALSE))</f>
        <v/>
      </c>
      <c r="BF425" s="302" t="str">
        <f>IF(AG425="","",VLOOKUP(AG425,AH419:AU425,COLUMN()-COLUMN(AR418),FALSE))</f>
        <v/>
      </c>
    </row>
    <row r="426" spans="1:58" ht="13.5" thickBot="1" x14ac:dyDescent="0.25">
      <c r="A426" s="62" t="s">
        <v>12261</v>
      </c>
      <c r="B426" s="62" t="s">
        <v>12207</v>
      </c>
      <c r="C426" s="62">
        <v>16</v>
      </c>
      <c r="D426" s="62"/>
      <c r="E426" s="345" t="s">
        <v>10359</v>
      </c>
      <c r="F426" s="345" t="s">
        <v>10434</v>
      </c>
      <c r="G426" s="113">
        <v>1</v>
      </c>
      <c r="H426" s="113">
        <v>1</v>
      </c>
      <c r="I426" s="114"/>
      <c r="J426" s="114"/>
      <c r="K426" s="114"/>
      <c r="L426" s="81"/>
      <c r="M426" s="265" t="b">
        <f>NOT(ISERROR(ResultsInd[[#This Row],[Goal-A]]+ResultsInd[[#This Row],[Goal-B]]))</f>
        <v>1</v>
      </c>
      <c r="N426" s="265">
        <f>VALUE(ResultsInd[[#This Row],[Score-A]])</f>
        <v>1</v>
      </c>
      <c r="O426" s="265">
        <f>VALUE(ResultsInd[[#This Row],[Score-B]])</f>
        <v>1</v>
      </c>
      <c r="P426" s="265">
        <f ca="1">IF(AND(ResultsInd[[#This Row],[Category]]&lt;&gt;"",ResultsInd[[#This Row],[Player A]]&lt;&gt;""),COUNTIF(INDIRECT(ResultsInd[[#This Row],[Category]]&amp;"List[Retained Player Name]"),ResultsInd[[#This Row],[Player A]]),"")</f>
        <v>1</v>
      </c>
      <c r="Q426" s="265">
        <f ca="1">IF(AND(ResultsInd[[#This Row],[Category]]&lt;&gt;"",ResultsInd[[#This Row],[Player B]]&lt;&gt;""),COUNTIF(INDIRECT(ResultsInd[[#This Row],[Category]]&amp;"List[Retained Player Name]"),ResultsInd[[#This Row],[Player B]]),"")</f>
        <v>1</v>
      </c>
      <c r="R4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426" s="265" t="str">
        <f>IF(ResultsInd[[#This Row],[Score_OK]],IF(ResultsInd[[#This Row],[Stage]]="Groups",ResultsInd[[#This Row],[Category]]&amp;"-"&amp;IF(ResultsInd[[#This Row],[Player B]]="","",IF(ResultsInd[[#This Row],[Score-A]]=ResultsInd[[#This Row],[Score-B]],ResultsInd[[#This Row],[Player A]],"")),""),"")</f>
        <v>VETERANS-Alessandro Arca</v>
      </c>
      <c r="T426" s="265" t="str">
        <f>IF(ResultsInd[[#This Row],[Score_OK]],IF(ResultsInd[[#This Row],[Stage]]="Groups",ResultsInd[[#This Row],[Category]]&amp;"-"&amp;IF(ResultsInd[[#This Row],[Player B]]="","",IF(ResultsInd[[#This Row],[Score-A]]=ResultsInd[[#This Row],[Score-B]],ResultsInd[[#This Row],[Player B]],"")),""),"")</f>
        <v>VETERANS-John Zammit</v>
      </c>
      <c r="U4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4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VETERANS-Alessandro Arca</v>
      </c>
      <c r="X4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VETERANS-John Zammit</v>
      </c>
      <c r="Y426" s="264" t="str">
        <f>IF(ResultsInd[[#This Row],[Category]]="","",VLOOKUP(ResultsInd[[#This Row],[Stage]],$P$1:$V$9,MATCH(ResultsInd[[#This Row],[Category]],$Q$1:$V$1,0)+1,FALSE))</f>
        <v>PR1</v>
      </c>
      <c r="Z426" s="264" t="str">
        <f>IF(ResultsInd[[#This Row],[Score_OK]],IF(ResultsInd[[#This Row],[Level]]="R",ResultsInd[[#This Row],[Category]]&amp;"-"&amp;IF(ResultsInd[[#This Row],[LoseInKO]]=ResultsInd[[#This Row],[Category]]&amp;"-"&amp;ResultsInd[[#This Row],[Player A]],ResultsInd[[#This Row],[Player B]],ResultsInd[[#This Row],[Player A]]),""),"")</f>
        <v/>
      </c>
      <c r="AB426" s="8"/>
      <c r="AC426" s="8"/>
      <c r="AF426" s="170"/>
      <c r="AG426" s="101"/>
      <c r="AH426" s="101"/>
      <c r="AN426" s="170"/>
      <c r="AO426" s="170"/>
      <c r="AP426" s="170"/>
      <c r="AQ426" s="172"/>
      <c r="AR426" s="173"/>
      <c r="AS426" s="173"/>
      <c r="AT426" s="173"/>
      <c r="AU426" s="101"/>
      <c r="AV426" s="101"/>
      <c r="AW426" s="101"/>
      <c r="AX426" s="101"/>
      <c r="AY426" s="101"/>
      <c r="AZ426" s="101"/>
    </row>
    <row r="427" spans="1:58" ht="12" thickBot="1" x14ac:dyDescent="0.25">
      <c r="A427" s="62" t="s">
        <v>12261</v>
      </c>
      <c r="B427" s="62" t="s">
        <v>12207</v>
      </c>
      <c r="C427" s="62">
        <v>16</v>
      </c>
      <c r="D427" s="62"/>
      <c r="E427" s="345" t="s">
        <v>8125</v>
      </c>
      <c r="F427" s="345" t="s">
        <v>14571</v>
      </c>
      <c r="G427" s="113">
        <v>12</v>
      </c>
      <c r="H427" s="113">
        <v>0</v>
      </c>
      <c r="I427" s="114"/>
      <c r="J427" s="114"/>
      <c r="K427" s="114"/>
      <c r="L427" s="81"/>
      <c r="M427" s="265" t="b">
        <f>NOT(ISERROR(ResultsInd[[#This Row],[Goal-A]]+ResultsInd[[#This Row],[Goal-B]]))</f>
        <v>1</v>
      </c>
      <c r="N427" s="265">
        <f>VALUE(ResultsInd[[#This Row],[Score-A]])</f>
        <v>12</v>
      </c>
      <c r="O427" s="265">
        <f>VALUE(ResultsInd[[#This Row],[Score-B]])</f>
        <v>0</v>
      </c>
      <c r="P427" s="265">
        <f ca="1">IF(AND(ResultsInd[[#This Row],[Category]]&lt;&gt;"",ResultsInd[[#This Row],[Player A]]&lt;&gt;""),COUNTIF(INDIRECT(ResultsInd[[#This Row],[Category]]&amp;"List[Retained Player Name]"),ResultsInd[[#This Row],[Player A]]),"")</f>
        <v>1</v>
      </c>
      <c r="Q427" s="265">
        <f ca="1">IF(AND(ResultsInd[[#This Row],[Category]]&lt;&gt;"",ResultsInd[[#This Row],[Player B]]&lt;&gt;""),COUNTIF(INDIRECT(ResultsInd[[#This Row],[Category]]&amp;"List[Retained Player Name]"),ResultsInd[[#This Row],[Player B]]),"")</f>
        <v>1</v>
      </c>
      <c r="R4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VETERANS-Philippe Roufosse</v>
      </c>
      <c r="S427" s="265" t="str">
        <f>IF(ResultsInd[[#This Row],[Score_OK]],IF(ResultsInd[[#This Row],[Stage]]="Groups",ResultsInd[[#This Row],[Category]]&amp;"-"&amp;IF(ResultsInd[[#This Row],[Player B]]="","",IF(ResultsInd[[#This Row],[Score-A]]=ResultsInd[[#This Row],[Score-B]],ResultsInd[[#This Row],[Player A]],"")),""),"")</f>
        <v>VETERANS-</v>
      </c>
      <c r="T427" s="265" t="str">
        <f>IF(ResultsInd[[#This Row],[Score_OK]],IF(ResultsInd[[#This Row],[Stage]]="Groups",ResultsInd[[#This Row],[Category]]&amp;"-"&amp;IF(ResultsInd[[#This Row],[Player B]]="","",IF(ResultsInd[[#This Row],[Score-A]]=ResultsInd[[#This Row],[Score-B]],ResultsInd[[#This Row],[Player B]],"")),""),"")</f>
        <v>VETERANS-</v>
      </c>
      <c r="U4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 Sceraert</v>
      </c>
      <c r="V4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X4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 Sceraert</v>
      </c>
      <c r="Y427" s="264" t="str">
        <f>IF(ResultsInd[[#This Row],[Category]]="","",VLOOKUP(ResultsInd[[#This Row],[Stage]],$P$1:$V$9,MATCH(ResultsInd[[#This Row],[Category]],$Q$1:$V$1,0)+1,FALSE))</f>
        <v>PR1</v>
      </c>
      <c r="Z427" s="264" t="str">
        <f>IF(ResultsInd[[#This Row],[Score_OK]],IF(ResultsInd[[#This Row],[Level]]="R",ResultsInd[[#This Row],[Category]]&amp;"-"&amp;IF(ResultsInd[[#This Row],[LoseInKO]]=ResultsInd[[#This Row],[Category]]&amp;"-"&amp;ResultsInd[[#This Row],[Player A]],ResultsInd[[#This Row],[Player B]],ResultsInd[[#This Row],[Player A]]),""),"")</f>
        <v/>
      </c>
      <c r="AB427" s="281">
        <v>1</v>
      </c>
      <c r="AC427" s="315" t="s">
        <v>12262</v>
      </c>
      <c r="AD427" s="289" t="s">
        <v>14439</v>
      </c>
      <c r="AE427" s="290" t="s">
        <v>12279</v>
      </c>
      <c r="AF427" s="284" t="s">
        <v>12275</v>
      </c>
      <c r="AG427" s="296" t="s">
        <v>12276</v>
      </c>
      <c r="AH427" s="291" t="s">
        <v>12271</v>
      </c>
      <c r="AI427" s="291" t="s">
        <v>12272</v>
      </c>
      <c r="AJ427" s="414" t="s">
        <v>13154</v>
      </c>
      <c r="AK427" s="291" t="s">
        <v>12273</v>
      </c>
      <c r="AL427" s="297" t="s">
        <v>12274</v>
      </c>
      <c r="AM427" s="414" t="s">
        <v>13154</v>
      </c>
      <c r="AN427" s="303" t="s">
        <v>12199</v>
      </c>
      <c r="AO427" s="304" t="s">
        <v>12200</v>
      </c>
      <c r="AP427" s="304" t="s">
        <v>12201</v>
      </c>
      <c r="AQ427" s="304" t="s">
        <v>12202</v>
      </c>
      <c r="AR427" s="304" t="s">
        <v>12203</v>
      </c>
      <c r="AS427" s="304" t="s">
        <v>12204</v>
      </c>
      <c r="AT427" s="304" t="s">
        <v>12205</v>
      </c>
      <c r="AU427" s="305" t="s">
        <v>12206</v>
      </c>
      <c r="AV427" s="468"/>
      <c r="AW427" s="282" t="s">
        <v>12276</v>
      </c>
      <c r="AX427" s="282" t="s">
        <v>12280</v>
      </c>
      <c r="AY427" s="283" t="s">
        <v>12199</v>
      </c>
      <c r="AZ427" s="283" t="s">
        <v>12200</v>
      </c>
      <c r="BA427" s="283" t="s">
        <v>12201</v>
      </c>
      <c r="BB427" s="283" t="s">
        <v>12202</v>
      </c>
      <c r="BC427" s="283" t="s">
        <v>12203</v>
      </c>
      <c r="BD427" s="283" t="s">
        <v>12204</v>
      </c>
      <c r="BE427" s="283" t="s">
        <v>12205</v>
      </c>
      <c r="BF427" s="300" t="s">
        <v>12206</v>
      </c>
    </row>
    <row r="428" spans="1:58" ht="12" thickBot="1" x14ac:dyDescent="0.25">
      <c r="A428" s="62" t="s">
        <v>12262</v>
      </c>
      <c r="B428" s="62" t="s">
        <v>12207</v>
      </c>
      <c r="C428" s="62">
        <v>1</v>
      </c>
      <c r="D428" s="62"/>
      <c r="E428" s="345" t="s">
        <v>10542</v>
      </c>
      <c r="F428" s="345" t="s">
        <v>8071</v>
      </c>
      <c r="G428" s="113">
        <v>4</v>
      </c>
      <c r="H428" s="113">
        <v>0</v>
      </c>
      <c r="I428" s="114"/>
      <c r="J428" s="114"/>
      <c r="K428" s="114"/>
      <c r="L428" s="81"/>
      <c r="M428" s="265" t="b">
        <f>NOT(ISERROR(ResultsInd[[#This Row],[Goal-A]]+ResultsInd[[#This Row],[Goal-B]]))</f>
        <v>1</v>
      </c>
      <c r="N428" s="265">
        <f>VALUE(ResultsInd[[#This Row],[Score-A]])</f>
        <v>4</v>
      </c>
      <c r="O428" s="265">
        <f>VALUE(ResultsInd[[#This Row],[Score-B]])</f>
        <v>0</v>
      </c>
      <c r="P428" s="265">
        <f ca="1">IF(AND(ResultsInd[[#This Row],[Category]]&lt;&gt;"",ResultsInd[[#This Row],[Player A]]&lt;&gt;""),COUNTIF(INDIRECT(ResultsInd[[#This Row],[Category]]&amp;"List[Retained Player Name]"),ResultsInd[[#This Row],[Player A]]),"")</f>
        <v>1</v>
      </c>
      <c r="Q428" s="265">
        <f ca="1">IF(AND(ResultsInd[[#This Row],[Category]]&lt;&gt;"",ResultsInd[[#This Row],[Player B]]&lt;&gt;""),COUNTIF(INDIRECT(ResultsInd[[#This Row],[Category]]&amp;"List[Retained Player Name]"),ResultsInd[[#This Row],[Player B]]),"")</f>
        <v>1</v>
      </c>
      <c r="R4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LADIES-Carolina Villarigues</v>
      </c>
      <c r="S428" s="265" t="str">
        <f>IF(ResultsInd[[#This Row],[Score_OK]],IF(ResultsInd[[#This Row],[Stage]]="Groups",ResultsInd[[#This Row],[Category]]&amp;"-"&amp;IF(ResultsInd[[#This Row],[Player B]]="","",IF(ResultsInd[[#This Row],[Score-A]]=ResultsInd[[#This Row],[Score-B]],ResultsInd[[#This Row],[Player A]],"")),""),"")</f>
        <v>LADIES-</v>
      </c>
      <c r="T428" s="265" t="str">
        <f>IF(ResultsInd[[#This Row],[Score_OK]],IF(ResultsInd[[#This Row],[Stage]]="Groups",ResultsInd[[#This Row],[Category]]&amp;"-"&amp;IF(ResultsInd[[#This Row],[Player B]]="","",IF(ResultsInd[[#This Row],[Score-A]]=ResultsInd[[#This Row],[Score-B]],ResultsInd[[#This Row],[Player B]],"")),""),"")</f>
        <v>LADIES-</v>
      </c>
      <c r="U4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LADIES-Katharina Waldorf-Busch</v>
      </c>
      <c r="V4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LADIES-Katharina Waldorf-Busch</v>
      </c>
      <c r="X4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LADIES-Katharina Waldorf-Busch</v>
      </c>
      <c r="Y428" s="264" t="str">
        <f>IF(ResultsInd[[#This Row],[Category]]="","",VLOOKUP(ResultsInd[[#This Row],[Stage]],$P$1:$V$9,MATCH(ResultsInd[[#This Row],[Category]],$Q$1:$V$1,0)+1,FALSE))</f>
        <v>PR1</v>
      </c>
      <c r="Z428" s="264" t="str">
        <f>IF(ResultsInd[[#This Row],[Score_OK]],IF(ResultsInd[[#This Row],[Level]]="R",ResultsInd[[#This Row],[Category]]&amp;"-"&amp;IF(ResultsInd[[#This Row],[LoseInKO]]=ResultsInd[[#This Row],[Category]]&amp;"-"&amp;ResultsInd[[#This Row],[Player A]],ResultsInd[[#This Row],[Player B]],ResultsInd[[#This Row],[Player A]]),""),"")</f>
        <v/>
      </c>
      <c r="AB428" s="8"/>
      <c r="AC428" s="12" t="str">
        <f>IF(AC427="","",AC427)</f>
        <v>LADIES</v>
      </c>
      <c r="AD428" s="309" t="s">
        <v>10542</v>
      </c>
      <c r="AE428" s="320"/>
      <c r="AF428" s="311"/>
      <c r="AG428" s="292">
        <f>IF(AP428="","",SMALL(AH428:AH434,ROWS(AG428:AG428)))</f>
        <v>1001</v>
      </c>
      <c r="AH428" s="293">
        <f>IF(AP428="","",RANK(AL428,AL428:AL434)*1000+ROWS(AH428:AH428))</f>
        <v>1001</v>
      </c>
      <c r="AI428" s="316">
        <f t="shared" ref="AI428:AI434" si="369">IF(AP428="","",CritClassInd1_Points*AN428+CritClassInd1_Matches*AP428+CritClassInd1_Attaque*AS428+CritClassInd1_DiffButs*AU428)</f>
        <v>12000000000000</v>
      </c>
      <c r="AJ428" s="415" t="b">
        <f>AND(AO428&lt;&gt;"",AO428&gt;0,COUNTIF(AI428:AI434,AI428)&gt;1)</f>
        <v>0</v>
      </c>
      <c r="AK428" s="316">
        <f t="shared" ref="AK428:AK434" si="370">IF(AP428="","",CritClassInd_ScorePart*AE428)</f>
        <v>0</v>
      </c>
      <c r="AL428" s="317">
        <f t="shared" ref="AL428:AL434" si="371">IF(AP428="","",AI428+AK428+CritClassInd2_Points*AN428+CritClassInd2_Matches*AP428+CritClassInd2_Attaque*AS428+CritClassInd2_DiffButs*AU428+AF428)</f>
        <v>12000000121400</v>
      </c>
      <c r="AM428" s="415" t="b">
        <f>AND(AO428&lt;&gt;"",AO428&gt;0,COUNTIF(AL428:AL434,AL428)&gt;1)</f>
        <v>0</v>
      </c>
      <c r="AN428" s="306">
        <f t="shared" ref="AN428:AN434" si="372">IF(AP428="","",(AP428*Points_Victoire)+AQ428*Points_Null)</f>
        <v>12</v>
      </c>
      <c r="AO428" s="307">
        <f t="shared" ref="AO428:AO434" si="373">IF(AP428="","",SUM(AP428:AR428))</f>
        <v>4</v>
      </c>
      <c r="AP428" s="307">
        <f>IF(OR(AC427="",AD428=""),"",COUNTIF(ResultsInd[Win],AC427&amp;"-"&amp;AD428))</f>
        <v>4</v>
      </c>
      <c r="AQ428" s="307">
        <f>IF(OR(AC427="",AD428=""),"",COUNTIF(ResultsInd[Draw1],AC427&amp;"-"&amp;AD428)+COUNTIF(ResultsInd[Draw2],AC427&amp;"-"&amp;AD428))</f>
        <v>0</v>
      </c>
      <c r="AR428" s="307">
        <f>IF(OR(AC427="",AD428=""),"",COUNTIF(ResultsInd[Lose],AC427&amp;"-"&amp;AD428))</f>
        <v>0</v>
      </c>
      <c r="AS428" s="307">
        <f>IF(OR(AC427="",AD428=""),"",SUMIFS(ResultsInd[Goal-A],ResultsInd[Category],AC427,ResultsInd[Stage],"Groups",ResultsInd[Player A],AD428)+SUMIFS(ResultsInd[Goal-B],ResultsInd[Category],AC427,ResultsInd[Stage],"Groups",ResultsInd[Player B],AD428))</f>
        <v>14</v>
      </c>
      <c r="AT428" s="307">
        <f>IF(OR(AC427="",AD428=""),"",SUMIFS(ResultsInd[Goal-B],ResultsInd[Category],AC427,ResultsInd[Stage],"Groups",ResultsInd[Player A],AD428)+SUMIFS(ResultsInd[Goal-A],ResultsInd[Category],AC427,ResultsInd[Stage],"Groups",ResultsInd[Player B],AD428))</f>
        <v>2</v>
      </c>
      <c r="AU428" s="308">
        <f>IF(AP428="","",AS428-AT428)</f>
        <v>12</v>
      </c>
      <c r="AV428" s="469" t="b">
        <f>IF(AG428="","",OR(VLOOKUP(AG428,AH428:AU434,3,FALSE),VLOOKUP(AG428,AH428:AU434,6,FALSE)))</f>
        <v>0</v>
      </c>
      <c r="AW428" s="298">
        <f t="shared" ref="AW428:AW434" si="374">IF(AG428="","",INT(AG428/1000))</f>
        <v>1</v>
      </c>
      <c r="AX428" s="285" t="str">
        <f>IF(AG428="","",INDEX(AD428:AD434,MATCH(AG428,AH428:AH434,0)))</f>
        <v>Carolina Villarigues</v>
      </c>
      <c r="AY428" s="286">
        <f>IF(AG428="","",VLOOKUP(AG428,AH428:AU434,COLUMN()-COLUMN(AR427),FALSE))</f>
        <v>12</v>
      </c>
      <c r="AZ428" s="286">
        <f>IF(AG428="","",VLOOKUP(AG428,AH428:AU434,COLUMN()-COLUMN(AR427),FALSE))</f>
        <v>4</v>
      </c>
      <c r="BA428" s="286">
        <f>IF(AG428="","",VLOOKUP(AG428,AH428:AU434,COLUMN()-COLUMN(AR427),FALSE))</f>
        <v>4</v>
      </c>
      <c r="BB428" s="286">
        <f>IF(AG428="","",VLOOKUP(AG428,AH428:AU434,COLUMN()-COLUMN(AR427),FALSE))</f>
        <v>0</v>
      </c>
      <c r="BC428" s="286">
        <f>IF(AG428="","",VLOOKUP(AG428,AH428:AU434,COLUMN()-COLUMN(AR427),FALSE))</f>
        <v>0</v>
      </c>
      <c r="BD428" s="286">
        <f>IF(AG428="","",VLOOKUP(AG428,AH428:AU434,COLUMN()-COLUMN(AR427),FALSE))</f>
        <v>14</v>
      </c>
      <c r="BE428" s="286">
        <f>IF(AG428="","",VLOOKUP(AG428,AH428:AU434,COLUMN()-COLUMN(AR427),FALSE))</f>
        <v>2</v>
      </c>
      <c r="BF428" s="301">
        <f>IF(AG428="","",VLOOKUP(AG428,AH428:AU434,COLUMN()-COLUMN(AR427),FALSE))</f>
        <v>12</v>
      </c>
    </row>
    <row r="429" spans="1:58" ht="12" thickBot="1" x14ac:dyDescent="0.25">
      <c r="A429" s="62" t="s">
        <v>12262</v>
      </c>
      <c r="B429" s="62" t="s">
        <v>12207</v>
      </c>
      <c r="C429" s="62">
        <v>1</v>
      </c>
      <c r="D429" s="62"/>
      <c r="E429" s="345" t="s">
        <v>8146</v>
      </c>
      <c r="F429" s="345" t="s">
        <v>8074</v>
      </c>
      <c r="G429" s="113">
        <v>2</v>
      </c>
      <c r="H429" s="113">
        <v>0</v>
      </c>
      <c r="I429" s="114"/>
      <c r="J429" s="114"/>
      <c r="K429" s="114"/>
      <c r="L429" s="81"/>
      <c r="M429" s="265" t="b">
        <f>NOT(ISERROR(ResultsInd[[#This Row],[Goal-A]]+ResultsInd[[#This Row],[Goal-B]]))</f>
        <v>1</v>
      </c>
      <c r="N429" s="265">
        <f>VALUE(ResultsInd[[#This Row],[Score-A]])</f>
        <v>2</v>
      </c>
      <c r="O429" s="265">
        <f>VALUE(ResultsInd[[#This Row],[Score-B]])</f>
        <v>0</v>
      </c>
      <c r="P429" s="265">
        <f ca="1">IF(AND(ResultsInd[[#This Row],[Category]]&lt;&gt;"",ResultsInd[[#This Row],[Player A]]&lt;&gt;""),COUNTIF(INDIRECT(ResultsInd[[#This Row],[Category]]&amp;"List[Retained Player Name]"),ResultsInd[[#This Row],[Player A]]),"")</f>
        <v>1</v>
      </c>
      <c r="Q429" s="265">
        <f ca="1">IF(AND(ResultsInd[[#This Row],[Category]]&lt;&gt;"",ResultsInd[[#This Row],[Player B]]&lt;&gt;""),COUNTIF(INDIRECT(ResultsInd[[#This Row],[Category]]&amp;"List[Retained Player Name]"),ResultsInd[[#This Row],[Player B]]),"")</f>
        <v>1</v>
      </c>
      <c r="R4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LADIES-Léa Despretz</v>
      </c>
      <c r="S429" s="265" t="str">
        <f>IF(ResultsInd[[#This Row],[Score_OK]],IF(ResultsInd[[#This Row],[Stage]]="Groups",ResultsInd[[#This Row],[Category]]&amp;"-"&amp;IF(ResultsInd[[#This Row],[Player B]]="","",IF(ResultsInd[[#This Row],[Score-A]]=ResultsInd[[#This Row],[Score-B]],ResultsInd[[#This Row],[Player A]],"")),""),"")</f>
        <v>LADIES-</v>
      </c>
      <c r="T429" s="265" t="str">
        <f>IF(ResultsInd[[#This Row],[Score_OK]],IF(ResultsInd[[#This Row],[Stage]]="Groups",ResultsInd[[#This Row],[Category]]&amp;"-"&amp;IF(ResultsInd[[#This Row],[Player B]]="","",IF(ResultsInd[[#This Row],[Score-A]]=ResultsInd[[#This Row],[Score-B]],ResultsInd[[#This Row],[Player B]],"")),""),"")</f>
        <v>LADIES-</v>
      </c>
      <c r="U4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LADIES-Elodie Bertholet</v>
      </c>
      <c r="V4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LADIES-Elodie Bertholet</v>
      </c>
      <c r="X4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LADIES-Elodie Bertholet</v>
      </c>
      <c r="Y429" s="264" t="str">
        <f>IF(ResultsInd[[#This Row],[Category]]="","",VLOOKUP(ResultsInd[[#This Row],[Stage]],$P$1:$V$9,MATCH(ResultsInd[[#This Row],[Category]],$Q$1:$V$1,0)+1,FALSE))</f>
        <v>PR1</v>
      </c>
      <c r="Z429" s="264" t="str">
        <f>IF(ResultsInd[[#This Row],[Score_OK]],IF(ResultsInd[[#This Row],[Level]]="R",ResultsInd[[#This Row],[Category]]&amp;"-"&amp;IF(ResultsInd[[#This Row],[LoseInKO]]=ResultsInd[[#This Row],[Category]]&amp;"-"&amp;ResultsInd[[#This Row],[Player A]],ResultsInd[[#This Row],[Player B]],ResultsInd[[#This Row],[Player A]]),""),"")</f>
        <v/>
      </c>
      <c r="AB429" s="8"/>
      <c r="AC429" s="12" t="str">
        <f t="shared" ref="AC429:AC434" si="375">IF(AC428="","",AC428)</f>
        <v>LADIES</v>
      </c>
      <c r="AD429" s="309" t="s">
        <v>8146</v>
      </c>
      <c r="AE429" s="320"/>
      <c r="AF429" s="311"/>
      <c r="AG429" s="292">
        <f>IF(AP429="","",SMALL(AH428:AH434,ROWS(AG428:AG429)))</f>
        <v>2002</v>
      </c>
      <c r="AH429" s="293">
        <f>IF(AP429="","",RANK(AL429,AL428:AL434)*1000+ROWS(AH428:AH429))</f>
        <v>2002</v>
      </c>
      <c r="AI429" s="316">
        <f t="shared" si="369"/>
        <v>9000000000000</v>
      </c>
      <c r="AJ429" s="415" t="b">
        <f>AND(AO429&lt;&gt;"",AO429&gt;0,COUNTIF(AI428:AI434,AI429)&gt;1)</f>
        <v>0</v>
      </c>
      <c r="AK429" s="316">
        <f t="shared" si="370"/>
        <v>0</v>
      </c>
      <c r="AL429" s="317">
        <f t="shared" si="371"/>
        <v>9000000091300</v>
      </c>
      <c r="AM429" s="415" t="b">
        <f>AND(AO429&lt;&gt;"",AO429&gt;0,COUNTIF(AL428:AL434,AL429)&gt;1)</f>
        <v>0</v>
      </c>
      <c r="AN429" s="306">
        <f t="shared" si="372"/>
        <v>9</v>
      </c>
      <c r="AO429" s="307">
        <f t="shared" si="373"/>
        <v>4</v>
      </c>
      <c r="AP429" s="307">
        <f>IF(OR(AC427="",AD429=""),"",COUNTIF(ResultsInd[Win],AC427&amp;"-"&amp;AD429))</f>
        <v>3</v>
      </c>
      <c r="AQ429" s="307">
        <f>IF(OR(AC427="",AD429=""),"",COUNTIF(ResultsInd[Draw1],AC427&amp;"-"&amp;AD429)+COUNTIF(ResultsInd[Draw2],AC427&amp;"-"&amp;AD429))</f>
        <v>0</v>
      </c>
      <c r="AR429" s="307">
        <f>IF(OR(AC427="",AD429=""),"",COUNTIF(ResultsInd[Lose],AC427&amp;"-"&amp;AD429))</f>
        <v>1</v>
      </c>
      <c r="AS429" s="307">
        <f>IF(OR(AC427="",AD429=""),"",SUMIFS(ResultsInd[Goal-A],ResultsInd[Category],AC427,ResultsInd[Stage],"Groups",ResultsInd[Player A],AD429)+SUMIFS(ResultsInd[Goal-B],ResultsInd[Category],AC427,ResultsInd[Stage],"Groups",ResultsInd[Player B],AD429))</f>
        <v>13</v>
      </c>
      <c r="AT429" s="307">
        <f>IF(OR(AC427="",AD429=""),"",SUMIFS(ResultsInd[Goal-B],ResultsInd[Category],AC427,ResultsInd[Stage],"Groups",ResultsInd[Player A],AD429)+SUMIFS(ResultsInd[Goal-A],ResultsInd[Category],AC427,ResultsInd[Stage],"Groups",ResultsInd[Player B],AD429))</f>
        <v>4</v>
      </c>
      <c r="AU429" s="308">
        <f t="shared" ref="AU429:AU434" si="376">IF(AP429="","",AS429-AT429)</f>
        <v>9</v>
      </c>
      <c r="AV429" s="469" t="b">
        <f>IF(AG429="","",OR(VLOOKUP(AG429,AH428:AU434,3,FALSE),VLOOKUP(AG429,AH428:AU434,6,FALSE)))</f>
        <v>0</v>
      </c>
      <c r="AW429" s="298">
        <f t="shared" si="374"/>
        <v>2</v>
      </c>
      <c r="AX429" s="285" t="str">
        <f>IF(AG429="","",INDEX(AD428:AD434,MATCH(AG429,AH428:AH434,0)))</f>
        <v>Léa Despretz</v>
      </c>
      <c r="AY429" s="286">
        <f>IF(AG429="","",VLOOKUP(AG429,AH428:AU434,COLUMN()-COLUMN(AR427),FALSE))</f>
        <v>9</v>
      </c>
      <c r="AZ429" s="286">
        <f>IF(AG429="","",VLOOKUP(AG429,AH428:AU434,COLUMN()-COLUMN(AR427),FALSE))</f>
        <v>4</v>
      </c>
      <c r="BA429" s="286">
        <f>IF(AG429="","",VLOOKUP(AG429,AH428:AU434,COLUMN()-COLUMN(AR427),FALSE))</f>
        <v>3</v>
      </c>
      <c r="BB429" s="286">
        <f>IF(AG429="","",VLOOKUP(AG429,AH428:AU434,COLUMN()-COLUMN(AR427),FALSE))</f>
        <v>0</v>
      </c>
      <c r="BC429" s="286">
        <f>IF(AG429="","",VLOOKUP(AG429,AH428:AU434,COLUMN()-COLUMN(AR427),FALSE))</f>
        <v>1</v>
      </c>
      <c r="BD429" s="286">
        <f>IF(AG429="","",VLOOKUP(AG429,AH428:AU434,COLUMN()-COLUMN(AR427),FALSE))</f>
        <v>13</v>
      </c>
      <c r="BE429" s="286">
        <f>IF(AG429="","",VLOOKUP(AG429,AH428:AU434,COLUMN()-COLUMN(AR427),FALSE))</f>
        <v>4</v>
      </c>
      <c r="BF429" s="301">
        <f>IF(AG429="","",VLOOKUP(AG429,AH428:AU434,COLUMN()-COLUMN(AR427),FALSE))</f>
        <v>9</v>
      </c>
    </row>
    <row r="430" spans="1:58" ht="12" thickBot="1" x14ac:dyDescent="0.25">
      <c r="A430" s="62" t="s">
        <v>12262</v>
      </c>
      <c r="B430" s="62" t="s">
        <v>12207</v>
      </c>
      <c r="C430" s="62">
        <v>1</v>
      </c>
      <c r="D430" s="62"/>
      <c r="E430" s="345" t="s">
        <v>8074</v>
      </c>
      <c r="F430" s="345" t="s">
        <v>10542</v>
      </c>
      <c r="G430" s="113">
        <v>2</v>
      </c>
      <c r="H430" s="113">
        <v>3</v>
      </c>
      <c r="I430" s="114"/>
      <c r="J430" s="114"/>
      <c r="K430" s="114"/>
      <c r="L430" s="81"/>
      <c r="M430" s="265" t="b">
        <f>NOT(ISERROR(ResultsInd[[#This Row],[Goal-A]]+ResultsInd[[#This Row],[Goal-B]]))</f>
        <v>1</v>
      </c>
      <c r="N430" s="265">
        <f>VALUE(ResultsInd[[#This Row],[Score-A]])</f>
        <v>2</v>
      </c>
      <c r="O430" s="265">
        <f>VALUE(ResultsInd[[#This Row],[Score-B]])</f>
        <v>3</v>
      </c>
      <c r="P430" s="265">
        <f ca="1">IF(AND(ResultsInd[[#This Row],[Category]]&lt;&gt;"",ResultsInd[[#This Row],[Player A]]&lt;&gt;""),COUNTIF(INDIRECT(ResultsInd[[#This Row],[Category]]&amp;"List[Retained Player Name]"),ResultsInd[[#This Row],[Player A]]),"")</f>
        <v>1</v>
      </c>
      <c r="Q430" s="265">
        <f ca="1">IF(AND(ResultsInd[[#This Row],[Category]]&lt;&gt;"",ResultsInd[[#This Row],[Player B]]&lt;&gt;""),COUNTIF(INDIRECT(ResultsInd[[#This Row],[Category]]&amp;"List[Retained Player Name]"),ResultsInd[[#This Row],[Player B]]),"")</f>
        <v>1</v>
      </c>
      <c r="R4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LADIES-Carolina Villarigues</v>
      </c>
      <c r="S430" s="265" t="str">
        <f>IF(ResultsInd[[#This Row],[Score_OK]],IF(ResultsInd[[#This Row],[Stage]]="Groups",ResultsInd[[#This Row],[Category]]&amp;"-"&amp;IF(ResultsInd[[#This Row],[Player B]]="","",IF(ResultsInd[[#This Row],[Score-A]]=ResultsInd[[#This Row],[Score-B]],ResultsInd[[#This Row],[Player A]],"")),""),"")</f>
        <v>LADIES-</v>
      </c>
      <c r="T430" s="265" t="str">
        <f>IF(ResultsInd[[#This Row],[Score_OK]],IF(ResultsInd[[#This Row],[Stage]]="Groups",ResultsInd[[#This Row],[Category]]&amp;"-"&amp;IF(ResultsInd[[#This Row],[Player B]]="","",IF(ResultsInd[[#This Row],[Score-A]]=ResultsInd[[#This Row],[Score-B]],ResultsInd[[#This Row],[Player B]],"")),""),"")</f>
        <v>LADIES-</v>
      </c>
      <c r="U4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LADIES-Elodie Bertholet</v>
      </c>
      <c r="V4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LADIES-Elodie Bertholet</v>
      </c>
      <c r="X4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LADIES-Elodie Bertholet</v>
      </c>
      <c r="Y430" s="264" t="str">
        <f>IF(ResultsInd[[#This Row],[Category]]="","",VLOOKUP(ResultsInd[[#This Row],[Stage]],$P$1:$V$9,MATCH(ResultsInd[[#This Row],[Category]],$Q$1:$V$1,0)+1,FALSE))</f>
        <v>PR1</v>
      </c>
      <c r="Z430" s="264" t="str">
        <f>IF(ResultsInd[[#This Row],[Score_OK]],IF(ResultsInd[[#This Row],[Level]]="R",ResultsInd[[#This Row],[Category]]&amp;"-"&amp;IF(ResultsInd[[#This Row],[LoseInKO]]=ResultsInd[[#This Row],[Category]]&amp;"-"&amp;ResultsInd[[#This Row],[Player A]],ResultsInd[[#This Row],[Player B]],ResultsInd[[#This Row],[Player A]]),""),"")</f>
        <v/>
      </c>
      <c r="AB430" s="8"/>
      <c r="AC430" s="12" t="str">
        <f t="shared" si="375"/>
        <v>LADIES</v>
      </c>
      <c r="AD430" s="309" t="s">
        <v>8074</v>
      </c>
      <c r="AE430" s="320"/>
      <c r="AF430" s="311"/>
      <c r="AG430" s="292">
        <f>IF(AP430="","",SMALL(AH428:AH434,ROWS(AG428:AG430)))</f>
        <v>3003</v>
      </c>
      <c r="AH430" s="293">
        <f>IF(AP430="","",RANK(AL430,AL428:AL434)*1000+ROWS(AH428:AH430))</f>
        <v>3003</v>
      </c>
      <c r="AI430" s="316">
        <f t="shared" si="369"/>
        <v>6000000000000</v>
      </c>
      <c r="AJ430" s="415" t="b">
        <f>AND(AO430&lt;&gt;"",AO430&gt;0,COUNTIF(AI428:AI434,AI430)&gt;1)</f>
        <v>0</v>
      </c>
      <c r="AK430" s="316">
        <f t="shared" si="370"/>
        <v>0</v>
      </c>
      <c r="AL430" s="317">
        <f t="shared" si="371"/>
        <v>6000000020700</v>
      </c>
      <c r="AM430" s="415" t="b">
        <f>AND(AO430&lt;&gt;"",AO430&gt;0,COUNTIF(AL428:AL434,AL430)&gt;1)</f>
        <v>0</v>
      </c>
      <c r="AN430" s="306">
        <f t="shared" si="372"/>
        <v>6</v>
      </c>
      <c r="AO430" s="307">
        <f t="shared" si="373"/>
        <v>4</v>
      </c>
      <c r="AP430" s="307">
        <f>IF(OR(AC427="",AD430=""),"",COUNTIF(ResultsInd[Win],AC427&amp;"-"&amp;AD430))</f>
        <v>2</v>
      </c>
      <c r="AQ430" s="307">
        <f>IF(OR(AC427="",AD430=""),"",COUNTIF(ResultsInd[Draw1],AC427&amp;"-"&amp;AD430)+COUNTIF(ResultsInd[Draw2],AC427&amp;"-"&amp;AD430))</f>
        <v>0</v>
      </c>
      <c r="AR430" s="307">
        <f>IF(OR(AC427="",AD430=""),"",COUNTIF(ResultsInd[Lose],AC427&amp;"-"&amp;AD430))</f>
        <v>2</v>
      </c>
      <c r="AS430" s="307">
        <f>IF(OR(AC427="",AD430=""),"",SUMIFS(ResultsInd[Goal-A],ResultsInd[Category],AC427,ResultsInd[Stage],"Groups",ResultsInd[Player A],AD430)+SUMIFS(ResultsInd[Goal-B],ResultsInd[Category],AC427,ResultsInd[Stage],"Groups",ResultsInd[Player B],AD430))</f>
        <v>7</v>
      </c>
      <c r="AT430" s="307">
        <f>IF(OR(AC427="",AD430=""),"",SUMIFS(ResultsInd[Goal-B],ResultsInd[Category],AC427,ResultsInd[Stage],"Groups",ResultsInd[Player A],AD430)+SUMIFS(ResultsInd[Goal-A],ResultsInd[Category],AC427,ResultsInd[Stage],"Groups",ResultsInd[Player B],AD430))</f>
        <v>5</v>
      </c>
      <c r="AU430" s="308">
        <f t="shared" si="376"/>
        <v>2</v>
      </c>
      <c r="AV430" s="469" t="b">
        <f>IF(AG430="","",OR(VLOOKUP(AG430,AH428:AU434,3,FALSE),VLOOKUP(AG430,AH428:AU434,6,FALSE)))</f>
        <v>0</v>
      </c>
      <c r="AW430" s="298">
        <f t="shared" si="374"/>
        <v>3</v>
      </c>
      <c r="AX430" s="285" t="str">
        <f>IF(AG430="","",INDEX(AD428:AD434,MATCH(AG430,AH428:AH434,0)))</f>
        <v>Elodie Bertholet</v>
      </c>
      <c r="AY430" s="286">
        <f>IF(AG430="","",VLOOKUP(AG430,AH428:AU434,COLUMN()-COLUMN(AR427),FALSE))</f>
        <v>6</v>
      </c>
      <c r="AZ430" s="286">
        <f>IF(AG430="","",VLOOKUP(AG430,AH428:AU434,COLUMN()-COLUMN(AR427),FALSE))</f>
        <v>4</v>
      </c>
      <c r="BA430" s="286">
        <f>IF(AG430="","",VLOOKUP(AG430,AH428:AU434,COLUMN()-COLUMN(AR427),FALSE))</f>
        <v>2</v>
      </c>
      <c r="BB430" s="286">
        <f>IF(AG430="","",VLOOKUP(AG430,AH428:AU434,COLUMN()-COLUMN(AR427),FALSE))</f>
        <v>0</v>
      </c>
      <c r="BC430" s="286">
        <f>IF(AG430="","",VLOOKUP(AG430,AH428:AU434,COLUMN()-COLUMN(AR427),FALSE))</f>
        <v>2</v>
      </c>
      <c r="BD430" s="286">
        <f>IF(AG430="","",VLOOKUP(AG430,AH428:AU434,COLUMN()-COLUMN(AR427),FALSE))</f>
        <v>7</v>
      </c>
      <c r="BE430" s="286">
        <f>IF(AG430="","",VLOOKUP(AG430,AH428:AU434,COLUMN()-COLUMN(AR427),FALSE))</f>
        <v>5</v>
      </c>
      <c r="BF430" s="301">
        <f>IF(AG430="","",VLOOKUP(AG430,AH428:AU434,COLUMN()-COLUMN(AR427),FALSE))</f>
        <v>2</v>
      </c>
    </row>
    <row r="431" spans="1:58" ht="12" thickBot="1" x14ac:dyDescent="0.25">
      <c r="A431" s="62" t="s">
        <v>12262</v>
      </c>
      <c r="B431" s="62" t="s">
        <v>12207</v>
      </c>
      <c r="C431" s="62">
        <v>1</v>
      </c>
      <c r="D431" s="62"/>
      <c r="E431" s="345" t="s">
        <v>8191</v>
      </c>
      <c r="F431" s="345" t="s">
        <v>8071</v>
      </c>
      <c r="G431" s="113">
        <v>0</v>
      </c>
      <c r="H431" s="113">
        <v>2</v>
      </c>
      <c r="I431" s="114"/>
      <c r="J431" s="114"/>
      <c r="K431" s="114"/>
      <c r="L431" s="81"/>
      <c r="M431" s="265" t="b">
        <f>NOT(ISERROR(ResultsInd[[#This Row],[Goal-A]]+ResultsInd[[#This Row],[Goal-B]]))</f>
        <v>1</v>
      </c>
      <c r="N431" s="265">
        <f>VALUE(ResultsInd[[#This Row],[Score-A]])</f>
        <v>0</v>
      </c>
      <c r="O431" s="265">
        <f>VALUE(ResultsInd[[#This Row],[Score-B]])</f>
        <v>2</v>
      </c>
      <c r="P431" s="265">
        <f ca="1">IF(AND(ResultsInd[[#This Row],[Category]]&lt;&gt;"",ResultsInd[[#This Row],[Player A]]&lt;&gt;""),COUNTIF(INDIRECT(ResultsInd[[#This Row],[Category]]&amp;"List[Retained Player Name]"),ResultsInd[[#This Row],[Player A]]),"")</f>
        <v>1</v>
      </c>
      <c r="Q431" s="265">
        <f ca="1">IF(AND(ResultsInd[[#This Row],[Category]]&lt;&gt;"",ResultsInd[[#This Row],[Player B]]&lt;&gt;""),COUNTIF(INDIRECT(ResultsInd[[#This Row],[Category]]&amp;"List[Retained Player Name]"),ResultsInd[[#This Row],[Player B]]),"")</f>
        <v>1</v>
      </c>
      <c r="R4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LADIES-Katharina Waldorf-Busch</v>
      </c>
      <c r="S431" s="265" t="str">
        <f>IF(ResultsInd[[#This Row],[Score_OK]],IF(ResultsInd[[#This Row],[Stage]]="Groups",ResultsInd[[#This Row],[Category]]&amp;"-"&amp;IF(ResultsInd[[#This Row],[Player B]]="","",IF(ResultsInd[[#This Row],[Score-A]]=ResultsInd[[#This Row],[Score-B]],ResultsInd[[#This Row],[Player A]],"")),""),"")</f>
        <v>LADIES-</v>
      </c>
      <c r="T431" s="265" t="str">
        <f>IF(ResultsInd[[#This Row],[Score_OK]],IF(ResultsInd[[#This Row],[Stage]]="Groups",ResultsInd[[#This Row],[Category]]&amp;"-"&amp;IF(ResultsInd[[#This Row],[Player B]]="","",IF(ResultsInd[[#This Row],[Score-A]]=ResultsInd[[#This Row],[Score-B]],ResultsInd[[#This Row],[Player B]],"")),""),"")</f>
        <v>LADIES-</v>
      </c>
      <c r="U4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LADIES-Lulani Verhoeven</v>
      </c>
      <c r="V4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X4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Y431" s="264" t="str">
        <f>IF(ResultsInd[[#This Row],[Category]]="","",VLOOKUP(ResultsInd[[#This Row],[Stage]],$P$1:$V$9,MATCH(ResultsInd[[#This Row],[Category]],$Q$1:$V$1,0)+1,FALSE))</f>
        <v>PR1</v>
      </c>
      <c r="Z431" s="264" t="str">
        <f>IF(ResultsInd[[#This Row],[Score_OK]],IF(ResultsInd[[#This Row],[Level]]="R",ResultsInd[[#This Row],[Category]]&amp;"-"&amp;IF(ResultsInd[[#This Row],[LoseInKO]]=ResultsInd[[#This Row],[Category]]&amp;"-"&amp;ResultsInd[[#This Row],[Player A]],ResultsInd[[#This Row],[Player B]],ResultsInd[[#This Row],[Player A]]),""),"")</f>
        <v/>
      </c>
      <c r="AB431" s="91"/>
      <c r="AC431" s="12" t="str">
        <f t="shared" si="375"/>
        <v>LADIES</v>
      </c>
      <c r="AD431" s="309" t="s">
        <v>8071</v>
      </c>
      <c r="AE431" s="310"/>
      <c r="AF431" s="311"/>
      <c r="AG431" s="292">
        <f>IF(AP431="","",SMALL(AH428:AH434,ROWS(AG428:AG431)))</f>
        <v>4004</v>
      </c>
      <c r="AH431" s="293">
        <f>IF(AP431="","",RANK(AL431,AL428:AL434)*1000+ROWS(AH428:AH431))</f>
        <v>4004</v>
      </c>
      <c r="AI431" s="316">
        <f t="shared" si="369"/>
        <v>3000000000000</v>
      </c>
      <c r="AJ431" s="415" t="b">
        <f>AND(AO431&lt;&gt;"",AO431&gt;0,COUNTIF(AI428:AI434,AI431)&gt;1)</f>
        <v>0</v>
      </c>
      <c r="AK431" s="316">
        <f t="shared" si="370"/>
        <v>0</v>
      </c>
      <c r="AL431" s="317">
        <f t="shared" si="371"/>
        <v>2999999950200</v>
      </c>
      <c r="AM431" s="415" t="b">
        <f>AND(AO431&lt;&gt;"",AO431&gt;0,COUNTIF(AL428:AL434,AL431)&gt;1)</f>
        <v>0</v>
      </c>
      <c r="AN431" s="306">
        <f t="shared" si="372"/>
        <v>3</v>
      </c>
      <c r="AO431" s="307">
        <f t="shared" si="373"/>
        <v>4</v>
      </c>
      <c r="AP431" s="307">
        <f>IF(OR(AC427="",AD431=""),"",COUNTIF(ResultsInd[Win],AC427&amp;"-"&amp;AD431))</f>
        <v>1</v>
      </c>
      <c r="AQ431" s="307">
        <f>IF(OR(AC427="",AD431=""),"",COUNTIF(ResultsInd[Draw1],AC427&amp;"-"&amp;AD431)+COUNTIF(ResultsInd[Draw2],AC427&amp;"-"&amp;AD431))</f>
        <v>0</v>
      </c>
      <c r="AR431" s="307">
        <f>IF(OR(AC427="",AD431=""),"",COUNTIF(ResultsInd[Lose],AC427&amp;"-"&amp;AD431))</f>
        <v>3</v>
      </c>
      <c r="AS431" s="307">
        <f>IF(OR(AC427="",AD431=""),"",SUMIFS(ResultsInd[Goal-A],ResultsInd[Category],AC427,ResultsInd[Stage],"Groups",ResultsInd[Player A],AD431)+SUMIFS(ResultsInd[Goal-B],ResultsInd[Category],AC427,ResultsInd[Stage],"Groups",ResultsInd[Player B],AD431))</f>
        <v>2</v>
      </c>
      <c r="AT431" s="307">
        <f>IF(OR(AC427="",AD431=""),"",SUMIFS(ResultsInd[Goal-B],ResultsInd[Category],AC427,ResultsInd[Stage],"Groups",ResultsInd[Player A],AD431)+SUMIFS(ResultsInd[Goal-A],ResultsInd[Category],AC427,ResultsInd[Stage],"Groups",ResultsInd[Player B],AD431))</f>
        <v>7</v>
      </c>
      <c r="AU431" s="308">
        <f t="shared" si="376"/>
        <v>-5</v>
      </c>
      <c r="AV431" s="469" t="b">
        <f>IF(AG431="","",OR(VLOOKUP(AG431,AH428:AU434,3,FALSE),VLOOKUP(AG431,AH428:AU434,6,FALSE)))</f>
        <v>0</v>
      </c>
      <c r="AW431" s="298">
        <f t="shared" si="374"/>
        <v>4</v>
      </c>
      <c r="AX431" s="285" t="str">
        <f>IF(AG431="","",INDEX(AD428:AD434,MATCH(AG431,AH428:AH434,0)))</f>
        <v>Katharina Waldorf-Busch</v>
      </c>
      <c r="AY431" s="286">
        <f>IF(AG431="","",VLOOKUP(AG431,AH428:AU434,COLUMN()-COLUMN(AR427),FALSE))</f>
        <v>3</v>
      </c>
      <c r="AZ431" s="286">
        <f>IF(AG431="","",VLOOKUP(AG431,AH428:AU434,COLUMN()-COLUMN(AR427),FALSE))</f>
        <v>4</v>
      </c>
      <c r="BA431" s="286">
        <f>IF(AG431="","",VLOOKUP(AG431,AH428:AU434,COLUMN()-COLUMN(AR427),FALSE))</f>
        <v>1</v>
      </c>
      <c r="BB431" s="286">
        <f>IF(AG431="","",VLOOKUP(AG431,AH428:AU434,COLUMN()-COLUMN(AR427),FALSE))</f>
        <v>0</v>
      </c>
      <c r="BC431" s="286">
        <f>IF(AG431="","",VLOOKUP(AG431,AH428:AU434,COLUMN()-COLUMN(AR427),FALSE))</f>
        <v>3</v>
      </c>
      <c r="BD431" s="286">
        <f>IF(AG431="","",VLOOKUP(AG431,AH428:AU434,COLUMN()-COLUMN(AR427),FALSE))</f>
        <v>2</v>
      </c>
      <c r="BE431" s="286">
        <f>IF(AG431="","",VLOOKUP(AG431,AH428:AU434,COLUMN()-COLUMN(AR427),FALSE))</f>
        <v>7</v>
      </c>
      <c r="BF431" s="301">
        <f>IF(AG431="","",VLOOKUP(AG431,AH428:AU434,COLUMN()-COLUMN(AR427),FALSE))</f>
        <v>-5</v>
      </c>
    </row>
    <row r="432" spans="1:58" ht="12" thickBot="1" x14ac:dyDescent="0.25">
      <c r="A432" s="62" t="s">
        <v>12262</v>
      </c>
      <c r="B432" s="62" t="s">
        <v>12207</v>
      </c>
      <c r="C432" s="62">
        <v>1</v>
      </c>
      <c r="D432" s="62"/>
      <c r="E432" s="345" t="s">
        <v>8071</v>
      </c>
      <c r="F432" s="345" t="s">
        <v>8074</v>
      </c>
      <c r="G432" s="113">
        <v>0</v>
      </c>
      <c r="H432" s="113">
        <v>2</v>
      </c>
      <c r="I432" s="114"/>
      <c r="J432" s="114"/>
      <c r="K432" s="114"/>
      <c r="L432" s="81"/>
      <c r="M432" s="265" t="b">
        <f>NOT(ISERROR(ResultsInd[[#This Row],[Goal-A]]+ResultsInd[[#This Row],[Goal-B]]))</f>
        <v>1</v>
      </c>
      <c r="N432" s="265">
        <f>VALUE(ResultsInd[[#This Row],[Score-A]])</f>
        <v>0</v>
      </c>
      <c r="O432" s="265">
        <f>VALUE(ResultsInd[[#This Row],[Score-B]])</f>
        <v>2</v>
      </c>
      <c r="P432" s="265">
        <f ca="1">IF(AND(ResultsInd[[#This Row],[Category]]&lt;&gt;"",ResultsInd[[#This Row],[Player A]]&lt;&gt;""),COUNTIF(INDIRECT(ResultsInd[[#This Row],[Category]]&amp;"List[Retained Player Name]"),ResultsInd[[#This Row],[Player A]]),"")</f>
        <v>1</v>
      </c>
      <c r="Q432" s="265">
        <f ca="1">IF(AND(ResultsInd[[#This Row],[Category]]&lt;&gt;"",ResultsInd[[#This Row],[Player B]]&lt;&gt;""),COUNTIF(INDIRECT(ResultsInd[[#This Row],[Category]]&amp;"List[Retained Player Name]"),ResultsInd[[#This Row],[Player B]]),"")</f>
        <v>1</v>
      </c>
      <c r="R4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LADIES-Elodie Bertholet</v>
      </c>
      <c r="S432" s="265" t="str">
        <f>IF(ResultsInd[[#This Row],[Score_OK]],IF(ResultsInd[[#This Row],[Stage]]="Groups",ResultsInd[[#This Row],[Category]]&amp;"-"&amp;IF(ResultsInd[[#This Row],[Player B]]="","",IF(ResultsInd[[#This Row],[Score-A]]=ResultsInd[[#This Row],[Score-B]],ResultsInd[[#This Row],[Player A]],"")),""),"")</f>
        <v>LADIES-</v>
      </c>
      <c r="T432" s="265" t="str">
        <f>IF(ResultsInd[[#This Row],[Score_OK]],IF(ResultsInd[[#This Row],[Stage]]="Groups",ResultsInd[[#This Row],[Category]]&amp;"-"&amp;IF(ResultsInd[[#This Row],[Player B]]="","",IF(ResultsInd[[#This Row],[Score-A]]=ResultsInd[[#This Row],[Score-B]],ResultsInd[[#This Row],[Player B]],"")),""),"")</f>
        <v>LADIES-</v>
      </c>
      <c r="U4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LADIES-Katharina Waldorf-Busch</v>
      </c>
      <c r="V4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LADIES-Katharina Waldorf-Busch</v>
      </c>
      <c r="X4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LADIES-Katharina Waldorf-Busch</v>
      </c>
      <c r="Y432" s="264" t="str">
        <f>IF(ResultsInd[[#This Row],[Category]]="","",VLOOKUP(ResultsInd[[#This Row],[Stage]],$P$1:$V$9,MATCH(ResultsInd[[#This Row],[Category]],$Q$1:$V$1,0)+1,FALSE))</f>
        <v>PR1</v>
      </c>
      <c r="Z432" s="264" t="str">
        <f>IF(ResultsInd[[#This Row],[Score_OK]],IF(ResultsInd[[#This Row],[Level]]="R",ResultsInd[[#This Row],[Category]]&amp;"-"&amp;IF(ResultsInd[[#This Row],[LoseInKO]]=ResultsInd[[#This Row],[Category]]&amp;"-"&amp;ResultsInd[[#This Row],[Player A]],ResultsInd[[#This Row],[Player B]],ResultsInd[[#This Row],[Player A]]),""),"")</f>
        <v/>
      </c>
      <c r="AB432" s="91"/>
      <c r="AC432" s="12" t="str">
        <f t="shared" si="375"/>
        <v>LADIES</v>
      </c>
      <c r="AD432" s="309" t="s">
        <v>8191</v>
      </c>
      <c r="AE432" s="310"/>
      <c r="AF432" s="311"/>
      <c r="AG432" s="292">
        <f>IF(AP432="","",SMALL(AH428:AH434,ROWS(AG428:AG432)))</f>
        <v>5005</v>
      </c>
      <c r="AH432" s="293">
        <f>IF(AP432="","",RANK(AL432,AL428:AL434)*1000+ROWS(AH428:AH432))</f>
        <v>5005</v>
      </c>
      <c r="AI432" s="316">
        <f t="shared" si="369"/>
        <v>0</v>
      </c>
      <c r="AJ432" s="415" t="b">
        <f>AND(AO432&lt;&gt;"",AO432&gt;0,COUNTIF(AI428:AI434,AI432)&gt;1)</f>
        <v>0</v>
      </c>
      <c r="AK432" s="316">
        <f t="shared" si="370"/>
        <v>0</v>
      </c>
      <c r="AL432" s="317">
        <f t="shared" si="371"/>
        <v>-180000</v>
      </c>
      <c r="AM432" s="415" t="b">
        <f>AND(AO432&lt;&gt;"",AO432&gt;0,COUNTIF(AL428:AL434,AL432)&gt;1)</f>
        <v>0</v>
      </c>
      <c r="AN432" s="306">
        <f t="shared" si="372"/>
        <v>0</v>
      </c>
      <c r="AO432" s="307">
        <f t="shared" si="373"/>
        <v>4</v>
      </c>
      <c r="AP432" s="307">
        <f>IF(OR(AC427="",AD432=""),"",COUNTIF(ResultsInd[Win],AC427&amp;"-"&amp;AD432))</f>
        <v>0</v>
      </c>
      <c r="AQ432" s="307">
        <f>IF(OR(AC427="",AD432=""),"",COUNTIF(ResultsInd[Draw1],AC427&amp;"-"&amp;AD432)+COUNTIF(ResultsInd[Draw2],AC427&amp;"-"&amp;AD432))</f>
        <v>0</v>
      </c>
      <c r="AR432" s="307">
        <f>IF(OR(AC427="",AD432=""),"",COUNTIF(ResultsInd[Lose],AC427&amp;"-"&amp;AD432))</f>
        <v>4</v>
      </c>
      <c r="AS432" s="307">
        <f>IF(OR(AC427="",AD432=""),"",SUMIFS(ResultsInd[Goal-A],ResultsInd[Category],AC427,ResultsInd[Stage],"Groups",ResultsInd[Player A],AD432)+SUMIFS(ResultsInd[Goal-B],ResultsInd[Category],AC427,ResultsInd[Stage],"Groups",ResultsInd[Player B],AD432))</f>
        <v>0</v>
      </c>
      <c r="AT432" s="307">
        <f>IF(OR(AC427="",AD432=""),"",SUMIFS(ResultsInd[Goal-B],ResultsInd[Category],AC427,ResultsInd[Stage],"Groups",ResultsInd[Player A],AD432)+SUMIFS(ResultsInd[Goal-A],ResultsInd[Category],AC427,ResultsInd[Stage],"Groups",ResultsInd[Player B],AD432))</f>
        <v>18</v>
      </c>
      <c r="AU432" s="308">
        <f t="shared" si="376"/>
        <v>-18</v>
      </c>
      <c r="AV432" s="469" t="b">
        <f>IF(AG432="","",OR(VLOOKUP(AG432,AH428:AU434,3,FALSE),VLOOKUP(AG432,AH428:AU434,6,FALSE)))</f>
        <v>0</v>
      </c>
      <c r="AW432" s="298">
        <f t="shared" si="374"/>
        <v>5</v>
      </c>
      <c r="AX432" s="285" t="str">
        <f>IF(AG432="","",INDEX(AD428:AD434,MATCH(AG432,AH428:AH434,0)))</f>
        <v>Lulani Verhoeven</v>
      </c>
      <c r="AY432" s="286">
        <f>IF(AG432="","",VLOOKUP(AG432,AH428:AU434,COLUMN()-COLUMN(AR427),FALSE))</f>
        <v>0</v>
      </c>
      <c r="AZ432" s="286">
        <f>IF(AG432="","",VLOOKUP(AG432,AH428:AU434,COLUMN()-COLUMN(AR427),FALSE))</f>
        <v>4</v>
      </c>
      <c r="BA432" s="286">
        <f>IF(AG432="","",VLOOKUP(AG432,AH428:AU434,COLUMN()-COLUMN(AR427),FALSE))</f>
        <v>0</v>
      </c>
      <c r="BB432" s="286">
        <f>IF(AG432="","",VLOOKUP(AG432,AH428:AU434,COLUMN()-COLUMN(AR427),FALSE))</f>
        <v>0</v>
      </c>
      <c r="BC432" s="286">
        <f>IF(AG432="","",VLOOKUP(AG432,AH428:AU434,COLUMN()-COLUMN(AR427),FALSE))</f>
        <v>4</v>
      </c>
      <c r="BD432" s="286">
        <f>IF(AG432="","",VLOOKUP(AG432,AH428:AU434,COLUMN()-COLUMN(AR427),FALSE))</f>
        <v>0</v>
      </c>
      <c r="BE432" s="286">
        <f>IF(AG432="","",VLOOKUP(AG432,AH428:AU434,COLUMN()-COLUMN(AR427),FALSE))</f>
        <v>18</v>
      </c>
      <c r="BF432" s="301">
        <f>IF(AG432="","",VLOOKUP(AG432,AH428:AU434,COLUMN()-COLUMN(AR427),FALSE))</f>
        <v>-18</v>
      </c>
    </row>
    <row r="433" spans="1:58" ht="12" thickBot="1" x14ac:dyDescent="0.25">
      <c r="A433" s="62" t="s">
        <v>12262</v>
      </c>
      <c r="B433" s="62" t="s">
        <v>12207</v>
      </c>
      <c r="C433" s="62">
        <v>1</v>
      </c>
      <c r="D433" s="62"/>
      <c r="E433" s="345" t="s">
        <v>8146</v>
      </c>
      <c r="F433" s="345" t="s">
        <v>8191</v>
      </c>
      <c r="G433" s="113">
        <v>10</v>
      </c>
      <c r="H433" s="113">
        <v>0</v>
      </c>
      <c r="I433" s="114"/>
      <c r="J433" s="114"/>
      <c r="K433" s="114"/>
      <c r="L433" s="81"/>
      <c r="M433" s="265" t="b">
        <f>NOT(ISERROR(ResultsInd[[#This Row],[Goal-A]]+ResultsInd[[#This Row],[Goal-B]]))</f>
        <v>1</v>
      </c>
      <c r="N433" s="265">
        <f>VALUE(ResultsInd[[#This Row],[Score-A]])</f>
        <v>10</v>
      </c>
      <c r="O433" s="265">
        <f>VALUE(ResultsInd[[#This Row],[Score-B]])</f>
        <v>0</v>
      </c>
      <c r="P433" s="265">
        <f ca="1">IF(AND(ResultsInd[[#This Row],[Category]]&lt;&gt;"",ResultsInd[[#This Row],[Player A]]&lt;&gt;""),COUNTIF(INDIRECT(ResultsInd[[#This Row],[Category]]&amp;"List[Retained Player Name]"),ResultsInd[[#This Row],[Player A]]),"")</f>
        <v>1</v>
      </c>
      <c r="Q433" s="265">
        <f ca="1">IF(AND(ResultsInd[[#This Row],[Category]]&lt;&gt;"",ResultsInd[[#This Row],[Player B]]&lt;&gt;""),COUNTIF(INDIRECT(ResultsInd[[#This Row],[Category]]&amp;"List[Retained Player Name]"),ResultsInd[[#This Row],[Player B]]),"")</f>
        <v>1</v>
      </c>
      <c r="R4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LADIES-Léa Despretz</v>
      </c>
      <c r="S433" s="265" t="str">
        <f>IF(ResultsInd[[#This Row],[Score_OK]],IF(ResultsInd[[#This Row],[Stage]]="Groups",ResultsInd[[#This Row],[Category]]&amp;"-"&amp;IF(ResultsInd[[#This Row],[Player B]]="","",IF(ResultsInd[[#This Row],[Score-A]]=ResultsInd[[#This Row],[Score-B]],ResultsInd[[#This Row],[Player A]],"")),""),"")</f>
        <v>LADIES-</v>
      </c>
      <c r="T433" s="265" t="str">
        <f>IF(ResultsInd[[#This Row],[Score_OK]],IF(ResultsInd[[#This Row],[Stage]]="Groups",ResultsInd[[#This Row],[Category]]&amp;"-"&amp;IF(ResultsInd[[#This Row],[Player B]]="","",IF(ResultsInd[[#This Row],[Score-A]]=ResultsInd[[#This Row],[Score-B]],ResultsInd[[#This Row],[Player B]],"")),""),"")</f>
        <v>LADIES-</v>
      </c>
      <c r="U4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LADIES-Lulani Verhoeven</v>
      </c>
      <c r="V4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X4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Y433" s="264" t="str">
        <f>IF(ResultsInd[[#This Row],[Category]]="","",VLOOKUP(ResultsInd[[#This Row],[Stage]],$P$1:$V$9,MATCH(ResultsInd[[#This Row],[Category]],$Q$1:$V$1,0)+1,FALSE))</f>
        <v>PR1</v>
      </c>
      <c r="Z433" s="264" t="str">
        <f>IF(ResultsInd[[#This Row],[Score_OK]],IF(ResultsInd[[#This Row],[Level]]="R",ResultsInd[[#This Row],[Category]]&amp;"-"&amp;IF(ResultsInd[[#This Row],[LoseInKO]]=ResultsInd[[#This Row],[Category]]&amp;"-"&amp;ResultsInd[[#This Row],[Player A]],ResultsInd[[#This Row],[Player B]],ResultsInd[[#This Row],[Player A]]),""),"")</f>
        <v/>
      </c>
      <c r="AB433" s="8"/>
      <c r="AC433" s="12" t="str">
        <f t="shared" si="375"/>
        <v>LADIES</v>
      </c>
      <c r="AD433" s="309"/>
      <c r="AE433" s="310"/>
      <c r="AF433" s="311"/>
      <c r="AG433" s="292" t="str">
        <f>IF(AP433="","",SMALL(AH428:AH434,ROWS(AG428:AG433)))</f>
        <v/>
      </c>
      <c r="AH433" s="293" t="str">
        <f>IF(AP433="","",RANK(AL433,AL428:AL434)*1000+ROWS(AH428:AH433))</f>
        <v/>
      </c>
      <c r="AI433" s="316" t="str">
        <f t="shared" si="369"/>
        <v/>
      </c>
      <c r="AJ433" s="415" t="b">
        <f>AND(AO433&lt;&gt;"",AO433&gt;0,COUNTIF(AI428:AI434,AI433)&gt;1)</f>
        <v>0</v>
      </c>
      <c r="AK433" s="316" t="str">
        <f t="shared" si="370"/>
        <v/>
      </c>
      <c r="AL433" s="317" t="str">
        <f t="shared" si="371"/>
        <v/>
      </c>
      <c r="AM433" s="415" t="b">
        <f>AND(AO433&lt;&gt;"",AO433&gt;0,COUNTIF(AL428:AL434,AL433)&gt;1)</f>
        <v>0</v>
      </c>
      <c r="AN433" s="306" t="str">
        <f t="shared" si="372"/>
        <v/>
      </c>
      <c r="AO433" s="307" t="str">
        <f t="shared" si="373"/>
        <v/>
      </c>
      <c r="AP433" s="307" t="str">
        <f>IF(OR(AC427="",AD433=""),"",COUNTIF(ResultsInd[Win],AC427&amp;"-"&amp;AD433))</f>
        <v/>
      </c>
      <c r="AQ433" s="307" t="str">
        <f>IF(OR(AC427="",AD433=""),"",COUNTIF(ResultsInd[Draw1],AC427&amp;"-"&amp;AD433)+COUNTIF(ResultsInd[Draw2],AC427&amp;"-"&amp;AD433))</f>
        <v/>
      </c>
      <c r="AR433" s="307" t="str">
        <f>IF(OR(AC427="",AD433=""),"",COUNTIF(ResultsInd[Lose],AC427&amp;"-"&amp;AD433))</f>
        <v/>
      </c>
      <c r="AS433" s="307" t="str">
        <f>IF(OR(AC427="",AD433=""),"",SUMIFS(ResultsInd[Goal-A],ResultsInd[Category],AC427,ResultsInd[Stage],"Groups",ResultsInd[Player A],AD433)+SUMIFS(ResultsInd[Goal-B],ResultsInd[Category],AC427,ResultsInd[Stage],"Groups",ResultsInd[Player B],AD433))</f>
        <v/>
      </c>
      <c r="AT433" s="307" t="str">
        <f>IF(OR(AC427="",AD433=""),"",SUMIFS(ResultsInd[Goal-B],ResultsInd[Category],AC427,ResultsInd[Stage],"Groups",ResultsInd[Player A],AD433)+SUMIFS(ResultsInd[Goal-A],ResultsInd[Category],AC427,ResultsInd[Stage],"Groups",ResultsInd[Player B],AD433))</f>
        <v/>
      </c>
      <c r="AU433" s="308" t="str">
        <f t="shared" si="376"/>
        <v/>
      </c>
      <c r="AV433" s="469" t="str">
        <f>IF(AG433="","",OR(VLOOKUP(AG433,AH428:AU434,3,FALSE),VLOOKUP(AG433,AH428:AU434,6,FALSE)))</f>
        <v/>
      </c>
      <c r="AW433" s="298" t="str">
        <f t="shared" si="374"/>
        <v/>
      </c>
      <c r="AX433" s="285" t="str">
        <f>IF(AG433="","",INDEX(AD428:AD434,MATCH(AG433,AH428:AH434,0)))</f>
        <v/>
      </c>
      <c r="AY433" s="286" t="str">
        <f>IF(AG433="","",VLOOKUP(AG433,AH428:AU434,COLUMN()-COLUMN(AR427),FALSE))</f>
        <v/>
      </c>
      <c r="AZ433" s="286" t="str">
        <f>IF(AG433="","",VLOOKUP(AG433,AH428:AU434,COLUMN()-COLUMN(AR427),FALSE))</f>
        <v/>
      </c>
      <c r="BA433" s="286" t="str">
        <f>IF(AG433="","",VLOOKUP(AG433,AH428:AU434,COLUMN()-COLUMN(AR427),FALSE))</f>
        <v/>
      </c>
      <c r="BB433" s="286" t="str">
        <f>IF(AG433="","",VLOOKUP(AG433,AH428:AU434,COLUMN()-COLUMN(AR427),FALSE))</f>
        <v/>
      </c>
      <c r="BC433" s="286" t="str">
        <f>IF(AG433="","",VLOOKUP(AG433,AH428:AU434,COLUMN()-COLUMN(AR427),FALSE))</f>
        <v/>
      </c>
      <c r="BD433" s="286" t="str">
        <f>IF(AG433="","",VLOOKUP(AG433,AH428:AU434,COLUMN()-COLUMN(AR427),FALSE))</f>
        <v/>
      </c>
      <c r="BE433" s="286" t="str">
        <f>IF(AG433="","",VLOOKUP(AG433,AH428:AU434,COLUMN()-COLUMN(AR427),FALSE))</f>
        <v/>
      </c>
      <c r="BF433" s="301" t="str">
        <f>IF(AG433="","",VLOOKUP(AG433,AH428:AU434,COLUMN()-COLUMN(AR427),FALSE))</f>
        <v/>
      </c>
    </row>
    <row r="434" spans="1:58" ht="12" thickBot="1" x14ac:dyDescent="0.25">
      <c r="A434" s="62" t="s">
        <v>12262</v>
      </c>
      <c r="B434" s="62" t="s">
        <v>12207</v>
      </c>
      <c r="C434" s="62">
        <v>1</v>
      </c>
      <c r="D434" s="62"/>
      <c r="E434" s="345" t="s">
        <v>10542</v>
      </c>
      <c r="F434" s="345" t="s">
        <v>8191</v>
      </c>
      <c r="G434" s="113">
        <v>3</v>
      </c>
      <c r="H434" s="113">
        <v>0</v>
      </c>
      <c r="I434" s="114"/>
      <c r="J434" s="114"/>
      <c r="K434" s="114"/>
      <c r="L434" s="81"/>
      <c r="M434" s="265" t="b">
        <f>NOT(ISERROR(ResultsInd[[#This Row],[Goal-A]]+ResultsInd[[#This Row],[Goal-B]]))</f>
        <v>1</v>
      </c>
      <c r="N434" s="265">
        <f>VALUE(ResultsInd[[#This Row],[Score-A]])</f>
        <v>3</v>
      </c>
      <c r="O434" s="265">
        <f>VALUE(ResultsInd[[#This Row],[Score-B]])</f>
        <v>0</v>
      </c>
      <c r="P434" s="265">
        <f ca="1">IF(AND(ResultsInd[[#This Row],[Category]]&lt;&gt;"",ResultsInd[[#This Row],[Player A]]&lt;&gt;""),COUNTIF(INDIRECT(ResultsInd[[#This Row],[Category]]&amp;"List[Retained Player Name]"),ResultsInd[[#This Row],[Player A]]),"")</f>
        <v>1</v>
      </c>
      <c r="Q434" s="265">
        <f ca="1">IF(AND(ResultsInd[[#This Row],[Category]]&lt;&gt;"",ResultsInd[[#This Row],[Player B]]&lt;&gt;""),COUNTIF(INDIRECT(ResultsInd[[#This Row],[Category]]&amp;"List[Retained Player Name]"),ResultsInd[[#This Row],[Player B]]),"")</f>
        <v>1</v>
      </c>
      <c r="R4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LADIES-Carolina Villarigues</v>
      </c>
      <c r="S434" s="265" t="str">
        <f>IF(ResultsInd[[#This Row],[Score_OK]],IF(ResultsInd[[#This Row],[Stage]]="Groups",ResultsInd[[#This Row],[Category]]&amp;"-"&amp;IF(ResultsInd[[#This Row],[Player B]]="","",IF(ResultsInd[[#This Row],[Score-A]]=ResultsInd[[#This Row],[Score-B]],ResultsInd[[#This Row],[Player A]],"")),""),"")</f>
        <v>LADIES-</v>
      </c>
      <c r="T434" s="265" t="str">
        <f>IF(ResultsInd[[#This Row],[Score_OK]],IF(ResultsInd[[#This Row],[Stage]]="Groups",ResultsInd[[#This Row],[Category]]&amp;"-"&amp;IF(ResultsInd[[#This Row],[Player B]]="","",IF(ResultsInd[[#This Row],[Score-A]]=ResultsInd[[#This Row],[Score-B]],ResultsInd[[#This Row],[Player B]],"")),""),"")</f>
        <v>LADIES-</v>
      </c>
      <c r="U4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LADIES-Lulani Verhoeven</v>
      </c>
      <c r="V4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X4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Y434" s="264" t="str">
        <f>IF(ResultsInd[[#This Row],[Category]]="","",VLOOKUP(ResultsInd[[#This Row],[Stage]],$P$1:$V$9,MATCH(ResultsInd[[#This Row],[Category]],$Q$1:$V$1,0)+1,FALSE))</f>
        <v>PR1</v>
      </c>
      <c r="Z434" s="264" t="str">
        <f>IF(ResultsInd[[#This Row],[Score_OK]],IF(ResultsInd[[#This Row],[Level]]="R",ResultsInd[[#This Row],[Category]]&amp;"-"&amp;IF(ResultsInd[[#This Row],[LoseInKO]]=ResultsInd[[#This Row],[Category]]&amp;"-"&amp;ResultsInd[[#This Row],[Player A]],ResultsInd[[#This Row],[Player B]],ResultsInd[[#This Row],[Player A]]),""),"")</f>
        <v/>
      </c>
      <c r="AB434" s="8"/>
      <c r="AC434" s="12" t="str">
        <f t="shared" si="375"/>
        <v>LADIES</v>
      </c>
      <c r="AD434" s="312"/>
      <c r="AE434" s="313"/>
      <c r="AF434" s="314"/>
      <c r="AG434" s="294" t="str">
        <f>IF(AP434="","",SMALL(AH428:AH434,ROWS(AG428:AG434)))</f>
        <v/>
      </c>
      <c r="AH434" s="295" t="str">
        <f>IF(AP434="","",RANK(AL434,AL428:AL434)*1000+ROWS(AH428:AH434))</f>
        <v/>
      </c>
      <c r="AI434" s="318" t="str">
        <f t="shared" si="369"/>
        <v/>
      </c>
      <c r="AJ434" s="416" t="b">
        <f>AND(AO434&lt;&gt;"",AO434&gt;0,COUNTIF(AI428:AI434,AI434)&gt;1)</f>
        <v>0</v>
      </c>
      <c r="AK434" s="318" t="str">
        <f t="shared" si="370"/>
        <v/>
      </c>
      <c r="AL434" s="319" t="str">
        <f t="shared" si="371"/>
        <v/>
      </c>
      <c r="AM434" s="416" t="b">
        <f>AND(AO434&lt;&gt;"",AO434&gt;0,COUNTIF(AL428:AL434,AL434)&gt;1)</f>
        <v>0</v>
      </c>
      <c r="AN434" s="306" t="str">
        <f t="shared" si="372"/>
        <v/>
      </c>
      <c r="AO434" s="307" t="str">
        <f t="shared" si="373"/>
        <v/>
      </c>
      <c r="AP434" s="307" t="str">
        <f>IF(OR(AC427="",AD434=""),"",COUNTIF(ResultsInd[Win],AC427&amp;"-"&amp;AD434))</f>
        <v/>
      </c>
      <c r="AQ434" s="307" t="str">
        <f>IF(OR(AC427="",AD434=""),"",COUNTIF(ResultsInd[Draw1],AC427&amp;"-"&amp;AD434)+COUNTIF(ResultsInd[Draw2],AC427&amp;"-"&amp;AD434))</f>
        <v/>
      </c>
      <c r="AR434" s="307" t="str">
        <f>IF(OR(AC427="",AD434=""),"",COUNTIF(ResultsInd[Lose],AC427&amp;"-"&amp;AD434))</f>
        <v/>
      </c>
      <c r="AS434" s="307" t="str">
        <f>IF(OR(AC427="",AD434=""),"",SUMIFS(ResultsInd[Goal-A],ResultsInd[Category],AC427,ResultsInd[Stage],"Groups",ResultsInd[Player A],AD434)+SUMIFS(ResultsInd[Goal-B],ResultsInd[Category],AC427,ResultsInd[Stage],"Groups",ResultsInd[Player B],AD434))</f>
        <v/>
      </c>
      <c r="AT434" s="307" t="str">
        <f>IF(OR(AC427="",AD434=""),"",SUMIFS(ResultsInd[Goal-B],ResultsInd[Category],AC427,ResultsInd[Stage],"Groups",ResultsInd[Player A],AD434)+SUMIFS(ResultsInd[Goal-A],ResultsInd[Category],AC427,ResultsInd[Stage],"Groups",ResultsInd[Player B],AD434))</f>
        <v/>
      </c>
      <c r="AU434" s="308" t="str">
        <f t="shared" si="376"/>
        <v/>
      </c>
      <c r="AV434" s="469" t="str">
        <f>IF(AG434="","",OR(VLOOKUP(AG434,AH428:AU434,3,FALSE),VLOOKUP(AG434,AH428:AU434,6,FALSE)))</f>
        <v/>
      </c>
      <c r="AW434" s="299" t="str">
        <f t="shared" si="374"/>
        <v/>
      </c>
      <c r="AX434" s="287" t="str">
        <f>IF(AG434="","",INDEX(AD428:AD434,MATCH(AG434,AH428:AH434,0)))</f>
        <v/>
      </c>
      <c r="AY434" s="288" t="str">
        <f>IF(AG434="","",VLOOKUP(AG434,AH428:AU434,COLUMN()-COLUMN(AR427),FALSE))</f>
        <v/>
      </c>
      <c r="AZ434" s="288" t="str">
        <f>IF(AG434="","",VLOOKUP(AG434,AH428:AU434,COLUMN()-COLUMN(AR427),FALSE))</f>
        <v/>
      </c>
      <c r="BA434" s="288" t="str">
        <f>IF(AG434="","",VLOOKUP(AG434,AH428:AU434,COLUMN()-COLUMN(AR427),FALSE))</f>
        <v/>
      </c>
      <c r="BB434" s="288" t="str">
        <f>IF(AG434="","",VLOOKUP(AG434,AH428:AU434,COLUMN()-COLUMN(AR427),FALSE))</f>
        <v/>
      </c>
      <c r="BC434" s="288" t="str">
        <f>IF(AG434="","",VLOOKUP(AG434,AH428:AU434,COLUMN()-COLUMN(AR427),FALSE))</f>
        <v/>
      </c>
      <c r="BD434" s="288" t="str">
        <f>IF(AG434="","",VLOOKUP(AG434,AH428:AU434,COLUMN()-COLUMN(AR427),FALSE))</f>
        <v/>
      </c>
      <c r="BE434" s="288" t="str">
        <f>IF(AG434="","",VLOOKUP(AG434,AH428:AU434,COLUMN()-COLUMN(AR427),FALSE))</f>
        <v/>
      </c>
      <c r="BF434" s="302" t="str">
        <f>IF(AG434="","",VLOOKUP(AG434,AH428:AU434,COLUMN()-COLUMN(AR427),FALSE))</f>
        <v/>
      </c>
    </row>
    <row r="435" spans="1:58" ht="13.5" thickBot="1" x14ac:dyDescent="0.25">
      <c r="A435" s="62" t="s">
        <v>12262</v>
      </c>
      <c r="B435" s="62" t="s">
        <v>12207</v>
      </c>
      <c r="C435" s="62">
        <v>1</v>
      </c>
      <c r="D435" s="62"/>
      <c r="E435" s="345" t="s">
        <v>8071</v>
      </c>
      <c r="F435" s="345" t="s">
        <v>8146</v>
      </c>
      <c r="G435" s="113">
        <v>0</v>
      </c>
      <c r="H435" s="113">
        <v>1</v>
      </c>
      <c r="I435" s="114"/>
      <c r="J435" s="114"/>
      <c r="K435" s="114"/>
      <c r="L435" s="81"/>
      <c r="M435" s="265" t="b">
        <f>NOT(ISERROR(ResultsInd[[#This Row],[Goal-A]]+ResultsInd[[#This Row],[Goal-B]]))</f>
        <v>1</v>
      </c>
      <c r="N435" s="265">
        <f>VALUE(ResultsInd[[#This Row],[Score-A]])</f>
        <v>0</v>
      </c>
      <c r="O435" s="265">
        <f>VALUE(ResultsInd[[#This Row],[Score-B]])</f>
        <v>1</v>
      </c>
      <c r="P435" s="265">
        <f ca="1">IF(AND(ResultsInd[[#This Row],[Category]]&lt;&gt;"",ResultsInd[[#This Row],[Player A]]&lt;&gt;""),COUNTIF(INDIRECT(ResultsInd[[#This Row],[Category]]&amp;"List[Retained Player Name]"),ResultsInd[[#This Row],[Player A]]),"")</f>
        <v>1</v>
      </c>
      <c r="Q435" s="265">
        <f ca="1">IF(AND(ResultsInd[[#This Row],[Category]]&lt;&gt;"",ResultsInd[[#This Row],[Player B]]&lt;&gt;""),COUNTIF(INDIRECT(ResultsInd[[#This Row],[Category]]&amp;"List[Retained Player Name]"),ResultsInd[[#This Row],[Player B]]),"")</f>
        <v>1</v>
      </c>
      <c r="R4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LADIES-Léa Despretz</v>
      </c>
      <c r="S435" s="265" t="str">
        <f>IF(ResultsInd[[#This Row],[Score_OK]],IF(ResultsInd[[#This Row],[Stage]]="Groups",ResultsInd[[#This Row],[Category]]&amp;"-"&amp;IF(ResultsInd[[#This Row],[Player B]]="","",IF(ResultsInd[[#This Row],[Score-A]]=ResultsInd[[#This Row],[Score-B]],ResultsInd[[#This Row],[Player A]],"")),""),"")</f>
        <v>LADIES-</v>
      </c>
      <c r="T435" s="265" t="str">
        <f>IF(ResultsInd[[#This Row],[Score_OK]],IF(ResultsInd[[#This Row],[Stage]]="Groups",ResultsInd[[#This Row],[Category]]&amp;"-"&amp;IF(ResultsInd[[#This Row],[Player B]]="","",IF(ResultsInd[[#This Row],[Score-A]]=ResultsInd[[#This Row],[Score-B]],ResultsInd[[#This Row],[Player B]],"")),""),"")</f>
        <v>LADIES-</v>
      </c>
      <c r="U4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LADIES-Katharina Waldorf-Busch</v>
      </c>
      <c r="V4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LADIES-Katharina Waldorf-Busch</v>
      </c>
      <c r="X4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LADIES-Katharina Waldorf-Busch</v>
      </c>
      <c r="Y435" s="264" t="str">
        <f>IF(ResultsInd[[#This Row],[Category]]="","",VLOOKUP(ResultsInd[[#This Row],[Stage]],$P$1:$V$9,MATCH(ResultsInd[[#This Row],[Category]],$Q$1:$V$1,0)+1,FALSE))</f>
        <v>PR1</v>
      </c>
      <c r="Z435" s="264" t="str">
        <f>IF(ResultsInd[[#This Row],[Score_OK]],IF(ResultsInd[[#This Row],[Level]]="R",ResultsInd[[#This Row],[Category]]&amp;"-"&amp;IF(ResultsInd[[#This Row],[LoseInKO]]=ResultsInd[[#This Row],[Category]]&amp;"-"&amp;ResultsInd[[#This Row],[Player A]],ResultsInd[[#This Row],[Player B]],ResultsInd[[#This Row],[Player A]]),""),"")</f>
        <v/>
      </c>
      <c r="AB435" s="8"/>
      <c r="AC435" s="8"/>
      <c r="AF435" s="170"/>
      <c r="AG435" s="101"/>
      <c r="AH435" s="101"/>
      <c r="AN435" s="170"/>
      <c r="AO435" s="170"/>
      <c r="AP435" s="170"/>
      <c r="AQ435" s="172"/>
      <c r="AR435" s="173"/>
      <c r="AS435" s="173"/>
      <c r="AT435" s="173"/>
      <c r="AU435" s="101"/>
      <c r="AV435" s="101"/>
      <c r="AW435" s="101"/>
      <c r="AX435" s="101"/>
      <c r="AY435" s="101"/>
      <c r="AZ435" s="101"/>
    </row>
    <row r="436" spans="1:58" ht="12" thickBot="1" x14ac:dyDescent="0.25">
      <c r="A436" s="62" t="s">
        <v>12262</v>
      </c>
      <c r="B436" s="62" t="s">
        <v>12207</v>
      </c>
      <c r="C436" s="62">
        <v>1</v>
      </c>
      <c r="D436" s="62"/>
      <c r="E436" s="345" t="s">
        <v>8146</v>
      </c>
      <c r="F436" s="345" t="s">
        <v>10542</v>
      </c>
      <c r="G436" s="113">
        <v>0</v>
      </c>
      <c r="H436" s="113">
        <v>4</v>
      </c>
      <c r="I436" s="114"/>
      <c r="J436" s="114"/>
      <c r="K436" s="114"/>
      <c r="L436" s="81"/>
      <c r="M436" s="265" t="b">
        <f>NOT(ISERROR(ResultsInd[[#This Row],[Goal-A]]+ResultsInd[[#This Row],[Goal-B]]))</f>
        <v>1</v>
      </c>
      <c r="N436" s="265">
        <f>VALUE(ResultsInd[[#This Row],[Score-A]])</f>
        <v>0</v>
      </c>
      <c r="O436" s="265">
        <f>VALUE(ResultsInd[[#This Row],[Score-B]])</f>
        <v>4</v>
      </c>
      <c r="P436" s="265">
        <f ca="1">IF(AND(ResultsInd[[#This Row],[Category]]&lt;&gt;"",ResultsInd[[#This Row],[Player A]]&lt;&gt;""),COUNTIF(INDIRECT(ResultsInd[[#This Row],[Category]]&amp;"List[Retained Player Name]"),ResultsInd[[#This Row],[Player A]]),"")</f>
        <v>1</v>
      </c>
      <c r="Q436" s="265">
        <f ca="1">IF(AND(ResultsInd[[#This Row],[Category]]&lt;&gt;"",ResultsInd[[#This Row],[Player B]]&lt;&gt;""),COUNTIF(INDIRECT(ResultsInd[[#This Row],[Category]]&amp;"List[Retained Player Name]"),ResultsInd[[#This Row],[Player B]]),"")</f>
        <v>1</v>
      </c>
      <c r="R4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LADIES-Carolina Villarigues</v>
      </c>
      <c r="S436" s="265" t="str">
        <f>IF(ResultsInd[[#This Row],[Score_OK]],IF(ResultsInd[[#This Row],[Stage]]="Groups",ResultsInd[[#This Row],[Category]]&amp;"-"&amp;IF(ResultsInd[[#This Row],[Player B]]="","",IF(ResultsInd[[#This Row],[Score-A]]=ResultsInd[[#This Row],[Score-B]],ResultsInd[[#This Row],[Player A]],"")),""),"")</f>
        <v>LADIES-</v>
      </c>
      <c r="T436" s="265" t="str">
        <f>IF(ResultsInd[[#This Row],[Score_OK]],IF(ResultsInd[[#This Row],[Stage]]="Groups",ResultsInd[[#This Row],[Category]]&amp;"-"&amp;IF(ResultsInd[[#This Row],[Player B]]="","",IF(ResultsInd[[#This Row],[Score-A]]=ResultsInd[[#This Row],[Score-B]],ResultsInd[[#This Row],[Player B]],"")),""),"")</f>
        <v>LADIES-</v>
      </c>
      <c r="U4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LADIES-Léa Despretz</v>
      </c>
      <c r="V4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LADIES-Léa Despretz</v>
      </c>
      <c r="X4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LADIES-Léa Despretz</v>
      </c>
      <c r="Y436" s="264" t="str">
        <f>IF(ResultsInd[[#This Row],[Category]]="","",VLOOKUP(ResultsInd[[#This Row],[Stage]],$P$1:$V$9,MATCH(ResultsInd[[#This Row],[Category]],$Q$1:$V$1,0)+1,FALSE))</f>
        <v>PR1</v>
      </c>
      <c r="Z436" s="264" t="str">
        <f>IF(ResultsInd[[#This Row],[Score_OK]],IF(ResultsInd[[#This Row],[Level]]="R",ResultsInd[[#This Row],[Category]]&amp;"-"&amp;IF(ResultsInd[[#This Row],[LoseInKO]]=ResultsInd[[#This Row],[Category]]&amp;"-"&amp;ResultsInd[[#This Row],[Player A]],ResultsInd[[#This Row],[Player B]],ResultsInd[[#This Row],[Player A]]),""),"")</f>
        <v/>
      </c>
      <c r="AB436" s="281">
        <v>2</v>
      </c>
      <c r="AC436" s="315" t="s">
        <v>12262</v>
      </c>
      <c r="AD436" s="289" t="s">
        <v>14439</v>
      </c>
      <c r="AE436" s="290" t="s">
        <v>12279</v>
      </c>
      <c r="AF436" s="284" t="s">
        <v>12275</v>
      </c>
      <c r="AG436" s="296" t="s">
        <v>12276</v>
      </c>
      <c r="AH436" s="291" t="s">
        <v>12271</v>
      </c>
      <c r="AI436" s="291" t="s">
        <v>12272</v>
      </c>
      <c r="AJ436" s="414" t="s">
        <v>13154</v>
      </c>
      <c r="AK436" s="291" t="s">
        <v>12273</v>
      </c>
      <c r="AL436" s="297" t="s">
        <v>12274</v>
      </c>
      <c r="AM436" s="414" t="s">
        <v>13154</v>
      </c>
      <c r="AN436" s="303" t="s">
        <v>12199</v>
      </c>
      <c r="AO436" s="304" t="s">
        <v>12200</v>
      </c>
      <c r="AP436" s="304" t="s">
        <v>12201</v>
      </c>
      <c r="AQ436" s="304" t="s">
        <v>12202</v>
      </c>
      <c r="AR436" s="304" t="s">
        <v>12203</v>
      </c>
      <c r="AS436" s="304" t="s">
        <v>12204</v>
      </c>
      <c r="AT436" s="304" t="s">
        <v>12205</v>
      </c>
      <c r="AU436" s="305" t="s">
        <v>12206</v>
      </c>
      <c r="AV436" s="468"/>
      <c r="AW436" s="282" t="s">
        <v>12276</v>
      </c>
      <c r="AX436" s="282" t="s">
        <v>12280</v>
      </c>
      <c r="AY436" s="283" t="s">
        <v>12199</v>
      </c>
      <c r="AZ436" s="283" t="s">
        <v>12200</v>
      </c>
      <c r="BA436" s="283" t="s">
        <v>12201</v>
      </c>
      <c r="BB436" s="283" t="s">
        <v>12202</v>
      </c>
      <c r="BC436" s="283" t="s">
        <v>12203</v>
      </c>
      <c r="BD436" s="283" t="s">
        <v>12204</v>
      </c>
      <c r="BE436" s="283" t="s">
        <v>12205</v>
      </c>
      <c r="BF436" s="300" t="s">
        <v>12206</v>
      </c>
    </row>
    <row r="437" spans="1:58" ht="12" thickBot="1" x14ac:dyDescent="0.25">
      <c r="A437" s="62" t="s">
        <v>12262</v>
      </c>
      <c r="B437" s="62" t="s">
        <v>12207</v>
      </c>
      <c r="C437" s="62">
        <v>1</v>
      </c>
      <c r="D437" s="62"/>
      <c r="E437" s="345" t="s">
        <v>8074</v>
      </c>
      <c r="F437" s="345" t="s">
        <v>8191</v>
      </c>
      <c r="G437" s="113">
        <v>3</v>
      </c>
      <c r="H437" s="113">
        <v>0</v>
      </c>
      <c r="I437" s="114"/>
      <c r="J437" s="114"/>
      <c r="K437" s="114"/>
      <c r="L437" s="81"/>
      <c r="M437" s="265" t="b">
        <f>NOT(ISERROR(ResultsInd[[#This Row],[Goal-A]]+ResultsInd[[#This Row],[Goal-B]]))</f>
        <v>1</v>
      </c>
      <c r="N437" s="265">
        <f>VALUE(ResultsInd[[#This Row],[Score-A]])</f>
        <v>3</v>
      </c>
      <c r="O437" s="265">
        <f>VALUE(ResultsInd[[#This Row],[Score-B]])</f>
        <v>0</v>
      </c>
      <c r="P437" s="265">
        <f ca="1">IF(AND(ResultsInd[[#This Row],[Category]]&lt;&gt;"",ResultsInd[[#This Row],[Player A]]&lt;&gt;""),COUNTIF(INDIRECT(ResultsInd[[#This Row],[Category]]&amp;"List[Retained Player Name]"),ResultsInd[[#This Row],[Player A]]),"")</f>
        <v>1</v>
      </c>
      <c r="Q437" s="265">
        <f ca="1">IF(AND(ResultsInd[[#This Row],[Category]]&lt;&gt;"",ResultsInd[[#This Row],[Player B]]&lt;&gt;""),COUNTIF(INDIRECT(ResultsInd[[#This Row],[Category]]&amp;"List[Retained Player Name]"),ResultsInd[[#This Row],[Player B]]),"")</f>
        <v>1</v>
      </c>
      <c r="R4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LADIES-Elodie Bertholet</v>
      </c>
      <c r="S437" s="265" t="str">
        <f>IF(ResultsInd[[#This Row],[Score_OK]],IF(ResultsInd[[#This Row],[Stage]]="Groups",ResultsInd[[#This Row],[Category]]&amp;"-"&amp;IF(ResultsInd[[#This Row],[Player B]]="","",IF(ResultsInd[[#This Row],[Score-A]]=ResultsInd[[#This Row],[Score-B]],ResultsInd[[#This Row],[Player A]],"")),""),"")</f>
        <v>LADIES-</v>
      </c>
      <c r="T437" s="265" t="str">
        <f>IF(ResultsInd[[#This Row],[Score_OK]],IF(ResultsInd[[#This Row],[Stage]]="Groups",ResultsInd[[#This Row],[Category]]&amp;"-"&amp;IF(ResultsInd[[#This Row],[Player B]]="","",IF(ResultsInd[[#This Row],[Score-A]]=ResultsInd[[#This Row],[Score-B]],ResultsInd[[#This Row],[Player B]],"")),""),"")</f>
        <v>LADIES-</v>
      </c>
      <c r="U4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LADIES-Lulani Verhoeven</v>
      </c>
      <c r="V4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X4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LADIES-Lulani Verhoeven</v>
      </c>
      <c r="Y437" s="264" t="str">
        <f>IF(ResultsInd[[#This Row],[Category]]="","",VLOOKUP(ResultsInd[[#This Row],[Stage]],$P$1:$V$9,MATCH(ResultsInd[[#This Row],[Category]],$Q$1:$V$1,0)+1,FALSE))</f>
        <v>PR1</v>
      </c>
      <c r="Z437" s="264" t="str">
        <f>IF(ResultsInd[[#This Row],[Score_OK]],IF(ResultsInd[[#This Row],[Level]]="R",ResultsInd[[#This Row],[Category]]&amp;"-"&amp;IF(ResultsInd[[#This Row],[LoseInKO]]=ResultsInd[[#This Row],[Category]]&amp;"-"&amp;ResultsInd[[#This Row],[Player A]],ResultsInd[[#This Row],[Player B]],ResultsInd[[#This Row],[Player A]]),""),"")</f>
        <v/>
      </c>
      <c r="AB437" s="8"/>
      <c r="AC437" s="12" t="str">
        <f>IF(AC436="","",AC436)</f>
        <v>LADIES</v>
      </c>
      <c r="AD437" s="309" t="s">
        <v>8704</v>
      </c>
      <c r="AE437" s="320"/>
      <c r="AF437" s="311"/>
      <c r="AG437" s="292">
        <f>IF(AP437="","",SMALL(AH437:AH443,ROWS(AG437:AG437)))</f>
        <v>1001</v>
      </c>
      <c r="AH437" s="293">
        <f>IF(AP437="","",RANK(AL437,AL437:AL443)*1000+ROWS(AH437:AH437))</f>
        <v>1001</v>
      </c>
      <c r="AI437" s="316">
        <f t="shared" ref="AI437:AI443" si="377">IF(AP437="","",CritClassInd1_Points*AN437+CritClassInd1_Matches*AP437+CritClassInd1_Attaque*AS437+CritClassInd1_DiffButs*AU437)</f>
        <v>12000000000000</v>
      </c>
      <c r="AJ437" s="415" t="b">
        <f>AND(AO437&lt;&gt;"",AO437&gt;0,COUNTIF(AI437:AI443,AI437)&gt;1)</f>
        <v>0</v>
      </c>
      <c r="AK437" s="316">
        <f t="shared" ref="AK437:AK443" si="378">IF(AP437="","",CritClassInd_ScorePart*AE437)</f>
        <v>0</v>
      </c>
      <c r="AL437" s="317">
        <f t="shared" ref="AL437:AL443" si="379">IF(AP437="","",AI437+AK437+CritClassInd2_Points*AN437+CritClassInd2_Matches*AP437+CritClassInd2_Attaque*AS437+CritClassInd2_DiffButs*AU437+AF437)</f>
        <v>12000000131500</v>
      </c>
      <c r="AM437" s="415" t="b">
        <f>AND(AO437&lt;&gt;"",AO437&gt;0,COUNTIF(AL437:AL443,AL437)&gt;1)</f>
        <v>0</v>
      </c>
      <c r="AN437" s="306">
        <f t="shared" ref="AN437:AN443" si="380">IF(AP437="","",(AP437*Points_Victoire)+AQ437*Points_Null)</f>
        <v>12</v>
      </c>
      <c r="AO437" s="307">
        <f t="shared" ref="AO437:AO443" si="381">IF(AP437="","",SUM(AP437:AR437))</f>
        <v>4</v>
      </c>
      <c r="AP437" s="307">
        <f>IF(OR(AC436="",AD437=""),"",COUNTIF(ResultsInd[Win],AC436&amp;"-"&amp;AD437))</f>
        <v>4</v>
      </c>
      <c r="AQ437" s="307">
        <f>IF(OR(AC436="",AD437=""),"",COUNTIF(ResultsInd[Draw1],AC436&amp;"-"&amp;AD437)+COUNTIF(ResultsInd[Draw2],AC436&amp;"-"&amp;AD437))</f>
        <v>0</v>
      </c>
      <c r="AR437" s="307">
        <f>IF(OR(AC436="",AD437=""),"",COUNTIF(ResultsInd[Lose],AC436&amp;"-"&amp;AD437))</f>
        <v>0</v>
      </c>
      <c r="AS437" s="307">
        <f>IF(OR(AC436="",AD437=""),"",SUMIFS(ResultsInd[Goal-A],ResultsInd[Category],AC436,ResultsInd[Stage],"Groups",ResultsInd[Player A],AD437)+SUMIFS(ResultsInd[Goal-B],ResultsInd[Category],AC436,ResultsInd[Stage],"Groups",ResultsInd[Player B],AD437))</f>
        <v>15</v>
      </c>
      <c r="AT437" s="307">
        <f>IF(OR(AC436="",AD437=""),"",SUMIFS(ResultsInd[Goal-B],ResultsInd[Category],AC436,ResultsInd[Stage],"Groups",ResultsInd[Player A],AD437)+SUMIFS(ResultsInd[Goal-A],ResultsInd[Category],AC436,ResultsInd[Stage],"Groups",ResultsInd[Player B],AD437))</f>
        <v>2</v>
      </c>
      <c r="AU437" s="308">
        <f>IF(AP437="","",AS437-AT437)</f>
        <v>13</v>
      </c>
      <c r="AV437" s="469" t="b">
        <f>IF(AG437="","",OR(VLOOKUP(AG437,AH437:AU443,3,FALSE),VLOOKUP(AG437,AH437:AU443,6,FALSE)))</f>
        <v>0</v>
      </c>
      <c r="AW437" s="298">
        <f t="shared" ref="AW437:AW443" si="382">IF(AG437="","",INT(AG437/1000))</f>
        <v>1</v>
      </c>
      <c r="AX437" s="285" t="str">
        <f>IF(AG437="","",INDEX(AD437:AD443,MATCH(AG437,AH437:AH443,0)))</f>
        <v>Audrey Herbaut</v>
      </c>
      <c r="AY437" s="286">
        <f>IF(AG437="","",VLOOKUP(AG437,AH437:AU443,COLUMN()-COLUMN(AR436),FALSE))</f>
        <v>12</v>
      </c>
      <c r="AZ437" s="286">
        <f>IF(AG437="","",VLOOKUP(AG437,AH437:AU443,COLUMN()-COLUMN(AR436),FALSE))</f>
        <v>4</v>
      </c>
      <c r="BA437" s="286">
        <f>IF(AG437="","",VLOOKUP(AG437,AH437:AU443,COLUMN()-COLUMN(AR436),FALSE))</f>
        <v>4</v>
      </c>
      <c r="BB437" s="286">
        <f>IF(AG437="","",VLOOKUP(AG437,AH437:AU443,COLUMN()-COLUMN(AR436),FALSE))</f>
        <v>0</v>
      </c>
      <c r="BC437" s="286">
        <f>IF(AG437="","",VLOOKUP(AG437,AH437:AU443,COLUMN()-COLUMN(AR436),FALSE))</f>
        <v>0</v>
      </c>
      <c r="BD437" s="286">
        <f>IF(AG437="","",VLOOKUP(AG437,AH437:AU443,COLUMN()-COLUMN(AR436),FALSE))</f>
        <v>15</v>
      </c>
      <c r="BE437" s="286">
        <f>IF(AG437="","",VLOOKUP(AG437,AH437:AU443,COLUMN()-COLUMN(AR436),FALSE))</f>
        <v>2</v>
      </c>
      <c r="BF437" s="301">
        <f>IF(AG437="","",VLOOKUP(AG437,AH437:AU443,COLUMN()-COLUMN(AR436),FALSE))</f>
        <v>13</v>
      </c>
    </row>
    <row r="438" spans="1:58" ht="12" thickBot="1" x14ac:dyDescent="0.25">
      <c r="A438" s="62" t="s">
        <v>12262</v>
      </c>
      <c r="B438" s="62" t="s">
        <v>12207</v>
      </c>
      <c r="C438" s="62">
        <v>2</v>
      </c>
      <c r="D438" s="62"/>
      <c r="E438" s="345" t="s">
        <v>12366</v>
      </c>
      <c r="F438" s="345" t="s">
        <v>14604</v>
      </c>
      <c r="G438" s="113">
        <v>5</v>
      </c>
      <c r="H438" s="113">
        <v>0</v>
      </c>
      <c r="I438" s="114"/>
      <c r="J438" s="114"/>
      <c r="K438" s="114"/>
      <c r="L438" s="81"/>
      <c r="M438" s="265" t="b">
        <f>NOT(ISERROR(ResultsInd[[#This Row],[Goal-A]]+ResultsInd[[#This Row],[Goal-B]]))</f>
        <v>1</v>
      </c>
      <c r="N438" s="265">
        <f>VALUE(ResultsInd[[#This Row],[Score-A]])</f>
        <v>5</v>
      </c>
      <c r="O438" s="265">
        <f>VALUE(ResultsInd[[#This Row],[Score-B]])</f>
        <v>0</v>
      </c>
      <c r="P438" s="265">
        <f ca="1">IF(AND(ResultsInd[[#This Row],[Category]]&lt;&gt;"",ResultsInd[[#This Row],[Player A]]&lt;&gt;""),COUNTIF(INDIRECT(ResultsInd[[#This Row],[Category]]&amp;"List[Retained Player Name]"),ResultsInd[[#This Row],[Player A]]),"")</f>
        <v>1</v>
      </c>
      <c r="Q438" s="265">
        <f ca="1">IF(AND(ResultsInd[[#This Row],[Category]]&lt;&gt;"",ResultsInd[[#This Row],[Player B]]&lt;&gt;""),COUNTIF(INDIRECT(ResultsInd[[#This Row],[Category]]&amp;"List[Retained Player Name]"),ResultsInd[[#This Row],[Player B]]),"")</f>
        <v>1</v>
      </c>
      <c r="R4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LADIES-Emilie Despretz</v>
      </c>
      <c r="S438" s="265" t="str">
        <f>IF(ResultsInd[[#This Row],[Score_OK]],IF(ResultsInd[[#This Row],[Stage]]="Groups",ResultsInd[[#This Row],[Category]]&amp;"-"&amp;IF(ResultsInd[[#This Row],[Player B]]="","",IF(ResultsInd[[#This Row],[Score-A]]=ResultsInd[[#This Row],[Score-B]],ResultsInd[[#This Row],[Player A]],"")),""),"")</f>
        <v>LADIES-</v>
      </c>
      <c r="T438" s="265" t="str">
        <f>IF(ResultsInd[[#This Row],[Score_OK]],IF(ResultsInd[[#This Row],[Stage]]="Groups",ResultsInd[[#This Row],[Category]]&amp;"-"&amp;IF(ResultsInd[[#This Row],[Player B]]="","",IF(ResultsInd[[#This Row],[Score-A]]=ResultsInd[[#This Row],[Score-B]],ResultsInd[[#This Row],[Player B]],"")),""),"")</f>
        <v>LADIES-</v>
      </c>
      <c r="U4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LADIES-Chloé Despretz</v>
      </c>
      <c r="V4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X4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Y438" s="264" t="str">
        <f>IF(ResultsInd[[#This Row],[Category]]="","",VLOOKUP(ResultsInd[[#This Row],[Stage]],$P$1:$V$9,MATCH(ResultsInd[[#This Row],[Category]],$Q$1:$V$1,0)+1,FALSE))</f>
        <v>PR1</v>
      </c>
      <c r="Z438" s="264" t="str">
        <f>IF(ResultsInd[[#This Row],[Score_OK]],IF(ResultsInd[[#This Row],[Level]]="R",ResultsInd[[#This Row],[Category]]&amp;"-"&amp;IF(ResultsInd[[#This Row],[LoseInKO]]=ResultsInd[[#This Row],[Category]]&amp;"-"&amp;ResultsInd[[#This Row],[Player A]],ResultsInd[[#This Row],[Player B]],ResultsInd[[#This Row],[Player A]]),""),"")</f>
        <v/>
      </c>
      <c r="AB438" s="8"/>
      <c r="AC438" s="12" t="str">
        <f t="shared" ref="AC438:AC443" si="383">IF(AC437="","",AC437)</f>
        <v>LADIES</v>
      </c>
      <c r="AD438" s="309" t="s">
        <v>12366</v>
      </c>
      <c r="AE438" s="320"/>
      <c r="AF438" s="311"/>
      <c r="AG438" s="292">
        <f>IF(AP438="","",SMALL(AH437:AH443,ROWS(AG437:AG438)))</f>
        <v>2002</v>
      </c>
      <c r="AH438" s="293">
        <f>IF(AP438="","",RANK(AL438,AL437:AL443)*1000+ROWS(AH437:AH438))</f>
        <v>2002</v>
      </c>
      <c r="AI438" s="316">
        <f t="shared" si="377"/>
        <v>9000000000000</v>
      </c>
      <c r="AJ438" s="415" t="b">
        <f>AND(AO438&lt;&gt;"",AO438&gt;0,COUNTIF(AI437:AI443,AI438)&gt;1)</f>
        <v>0</v>
      </c>
      <c r="AK438" s="316">
        <f t="shared" si="378"/>
        <v>0</v>
      </c>
      <c r="AL438" s="317">
        <f t="shared" si="379"/>
        <v>9000000101200</v>
      </c>
      <c r="AM438" s="415" t="b">
        <f>AND(AO438&lt;&gt;"",AO438&gt;0,COUNTIF(AL437:AL443,AL438)&gt;1)</f>
        <v>0</v>
      </c>
      <c r="AN438" s="306">
        <f t="shared" si="380"/>
        <v>9</v>
      </c>
      <c r="AO438" s="307">
        <f t="shared" si="381"/>
        <v>4</v>
      </c>
      <c r="AP438" s="307">
        <f>IF(OR(AC436="",AD438=""),"",COUNTIF(ResultsInd[Win],AC436&amp;"-"&amp;AD438))</f>
        <v>3</v>
      </c>
      <c r="AQ438" s="307">
        <f>IF(OR(AC436="",AD438=""),"",COUNTIF(ResultsInd[Draw1],AC436&amp;"-"&amp;AD438)+COUNTIF(ResultsInd[Draw2],AC436&amp;"-"&amp;AD438))</f>
        <v>0</v>
      </c>
      <c r="AR438" s="307">
        <f>IF(OR(AC436="",AD438=""),"",COUNTIF(ResultsInd[Lose],AC436&amp;"-"&amp;AD438))</f>
        <v>1</v>
      </c>
      <c r="AS438" s="307">
        <f>IF(OR(AC436="",AD438=""),"",SUMIFS(ResultsInd[Goal-A],ResultsInd[Category],AC436,ResultsInd[Stage],"Groups",ResultsInd[Player A],AD438)+SUMIFS(ResultsInd[Goal-B],ResultsInd[Category],AC436,ResultsInd[Stage],"Groups",ResultsInd[Player B],AD438))</f>
        <v>12</v>
      </c>
      <c r="AT438" s="307">
        <f>IF(OR(AC436="",AD438=""),"",SUMIFS(ResultsInd[Goal-B],ResultsInd[Category],AC436,ResultsInd[Stage],"Groups",ResultsInd[Player A],AD438)+SUMIFS(ResultsInd[Goal-A],ResultsInd[Category],AC436,ResultsInd[Stage],"Groups",ResultsInd[Player B],AD438))</f>
        <v>2</v>
      </c>
      <c r="AU438" s="308">
        <f t="shared" ref="AU438:AU443" si="384">IF(AP438="","",AS438-AT438)</f>
        <v>10</v>
      </c>
      <c r="AV438" s="469" t="b">
        <f>IF(AG438="","",OR(VLOOKUP(AG438,AH437:AU443,3,FALSE),VLOOKUP(AG438,AH437:AU443,6,FALSE)))</f>
        <v>0</v>
      </c>
      <c r="AW438" s="298">
        <f t="shared" si="382"/>
        <v>2</v>
      </c>
      <c r="AX438" s="285" t="str">
        <f>IF(AG438="","",INDEX(AD437:AD443,MATCH(AG438,AH437:AH443,0)))</f>
        <v>Emilie Despretz</v>
      </c>
      <c r="AY438" s="286">
        <f>IF(AG438="","",VLOOKUP(AG438,AH437:AU443,COLUMN()-COLUMN(AR436),FALSE))</f>
        <v>9</v>
      </c>
      <c r="AZ438" s="286">
        <f>IF(AG438="","",VLOOKUP(AG438,AH437:AU443,COLUMN()-COLUMN(AR436),FALSE))</f>
        <v>4</v>
      </c>
      <c r="BA438" s="286">
        <f>IF(AG438="","",VLOOKUP(AG438,AH437:AU443,COLUMN()-COLUMN(AR436),FALSE))</f>
        <v>3</v>
      </c>
      <c r="BB438" s="286">
        <f>IF(AG438="","",VLOOKUP(AG438,AH437:AU443,COLUMN()-COLUMN(AR436),FALSE))</f>
        <v>0</v>
      </c>
      <c r="BC438" s="286">
        <f>IF(AG438="","",VLOOKUP(AG438,AH437:AU443,COLUMN()-COLUMN(AR436),FALSE))</f>
        <v>1</v>
      </c>
      <c r="BD438" s="286">
        <f>IF(AG438="","",VLOOKUP(AG438,AH437:AU443,COLUMN()-COLUMN(AR436),FALSE))</f>
        <v>12</v>
      </c>
      <c r="BE438" s="286">
        <f>IF(AG438="","",VLOOKUP(AG438,AH437:AU443,COLUMN()-COLUMN(AR436),FALSE))</f>
        <v>2</v>
      </c>
      <c r="BF438" s="301">
        <f>IF(AG438="","",VLOOKUP(AG438,AH437:AU443,COLUMN()-COLUMN(AR436),FALSE))</f>
        <v>10</v>
      </c>
    </row>
    <row r="439" spans="1:58" ht="12" thickBot="1" x14ac:dyDescent="0.25">
      <c r="A439" s="62" t="s">
        <v>12262</v>
      </c>
      <c r="B439" s="62" t="s">
        <v>12207</v>
      </c>
      <c r="C439" s="62">
        <v>2</v>
      </c>
      <c r="D439" s="62"/>
      <c r="E439" s="345" t="s">
        <v>9263</v>
      </c>
      <c r="F439" s="345" t="s">
        <v>8704</v>
      </c>
      <c r="G439" s="113">
        <v>0</v>
      </c>
      <c r="H439" s="113">
        <v>5</v>
      </c>
      <c r="I439" s="114"/>
      <c r="J439" s="114"/>
      <c r="K439" s="114"/>
      <c r="L439" s="81"/>
      <c r="M439" s="265" t="b">
        <f>NOT(ISERROR(ResultsInd[[#This Row],[Goal-A]]+ResultsInd[[#This Row],[Goal-B]]))</f>
        <v>1</v>
      </c>
      <c r="N439" s="265">
        <f>VALUE(ResultsInd[[#This Row],[Score-A]])</f>
        <v>0</v>
      </c>
      <c r="O439" s="265">
        <f>VALUE(ResultsInd[[#This Row],[Score-B]])</f>
        <v>5</v>
      </c>
      <c r="P439" s="265">
        <f ca="1">IF(AND(ResultsInd[[#This Row],[Category]]&lt;&gt;"",ResultsInd[[#This Row],[Player A]]&lt;&gt;""),COUNTIF(INDIRECT(ResultsInd[[#This Row],[Category]]&amp;"List[Retained Player Name]"),ResultsInd[[#This Row],[Player A]]),"")</f>
        <v>1</v>
      </c>
      <c r="Q439" s="265">
        <f ca="1">IF(AND(ResultsInd[[#This Row],[Category]]&lt;&gt;"",ResultsInd[[#This Row],[Player B]]&lt;&gt;""),COUNTIF(INDIRECT(ResultsInd[[#This Row],[Category]]&amp;"List[Retained Player Name]"),ResultsInd[[#This Row],[Player B]]),"")</f>
        <v>1</v>
      </c>
      <c r="R4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LADIES-Audrey Herbaut</v>
      </c>
      <c r="S439" s="265" t="str">
        <f>IF(ResultsInd[[#This Row],[Score_OK]],IF(ResultsInd[[#This Row],[Stage]]="Groups",ResultsInd[[#This Row],[Category]]&amp;"-"&amp;IF(ResultsInd[[#This Row],[Player B]]="","",IF(ResultsInd[[#This Row],[Score-A]]=ResultsInd[[#This Row],[Score-B]],ResultsInd[[#This Row],[Player A]],"")),""),"")</f>
        <v>LADIES-</v>
      </c>
      <c r="T439" s="265" t="str">
        <f>IF(ResultsInd[[#This Row],[Score_OK]],IF(ResultsInd[[#This Row],[Stage]]="Groups",ResultsInd[[#This Row],[Category]]&amp;"-"&amp;IF(ResultsInd[[#This Row],[Player B]]="","",IF(ResultsInd[[#This Row],[Score-A]]=ResultsInd[[#This Row],[Score-B]],ResultsInd[[#This Row],[Player B]],"")),""),"")</f>
        <v>LADIES-</v>
      </c>
      <c r="U4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LADIES-Chrysoula Pappa</v>
      </c>
      <c r="V4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LADIES-Chrysoula Pappa</v>
      </c>
      <c r="X4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LADIES-Chrysoula Pappa</v>
      </c>
      <c r="Y439" s="264" t="str">
        <f>IF(ResultsInd[[#This Row],[Category]]="","",VLOOKUP(ResultsInd[[#This Row],[Stage]],$P$1:$V$9,MATCH(ResultsInd[[#This Row],[Category]],$Q$1:$V$1,0)+1,FALSE))</f>
        <v>PR1</v>
      </c>
      <c r="Z439" s="264" t="str">
        <f>IF(ResultsInd[[#This Row],[Score_OK]],IF(ResultsInd[[#This Row],[Level]]="R",ResultsInd[[#This Row],[Category]]&amp;"-"&amp;IF(ResultsInd[[#This Row],[LoseInKO]]=ResultsInd[[#This Row],[Category]]&amp;"-"&amp;ResultsInd[[#This Row],[Player A]],ResultsInd[[#This Row],[Player B]],ResultsInd[[#This Row],[Player A]]),""),"")</f>
        <v/>
      </c>
      <c r="AB439" s="8"/>
      <c r="AC439" s="12" t="str">
        <f t="shared" si="383"/>
        <v>LADIES</v>
      </c>
      <c r="AD439" s="309" t="s">
        <v>8184</v>
      </c>
      <c r="AE439" s="320"/>
      <c r="AF439" s="311"/>
      <c r="AG439" s="292">
        <f>IF(AP439="","",SMALL(AH437:AH443,ROWS(AG437:AG439)))</f>
        <v>3003</v>
      </c>
      <c r="AH439" s="293">
        <f>IF(AP439="","",RANK(AL439,AL437:AL443)*1000+ROWS(AH437:AH439))</f>
        <v>3003</v>
      </c>
      <c r="AI439" s="316">
        <f t="shared" si="377"/>
        <v>6000000000000</v>
      </c>
      <c r="AJ439" s="415" t="b">
        <f>AND(AO439&lt;&gt;"",AO439&gt;0,COUNTIF(AI437:AI443,AI439)&gt;1)</f>
        <v>0</v>
      </c>
      <c r="AK439" s="316">
        <f t="shared" si="378"/>
        <v>0</v>
      </c>
      <c r="AL439" s="317">
        <f t="shared" si="379"/>
        <v>6000000040800</v>
      </c>
      <c r="AM439" s="415" t="b">
        <f>AND(AO439&lt;&gt;"",AO439&gt;0,COUNTIF(AL437:AL443,AL439)&gt;1)</f>
        <v>0</v>
      </c>
      <c r="AN439" s="306">
        <f t="shared" si="380"/>
        <v>6</v>
      </c>
      <c r="AO439" s="307">
        <f t="shared" si="381"/>
        <v>4</v>
      </c>
      <c r="AP439" s="307">
        <f>IF(OR(AC436="",AD439=""),"",COUNTIF(ResultsInd[Win],AC436&amp;"-"&amp;AD439))</f>
        <v>2</v>
      </c>
      <c r="AQ439" s="307">
        <f>IF(OR(AC436="",AD439=""),"",COUNTIF(ResultsInd[Draw1],AC436&amp;"-"&amp;AD439)+COUNTIF(ResultsInd[Draw2],AC436&amp;"-"&amp;AD439))</f>
        <v>0</v>
      </c>
      <c r="AR439" s="307">
        <f>IF(OR(AC436="",AD439=""),"",COUNTIF(ResultsInd[Lose],AC436&amp;"-"&amp;AD439))</f>
        <v>2</v>
      </c>
      <c r="AS439" s="307">
        <f>IF(OR(AC436="",AD439=""),"",SUMIFS(ResultsInd[Goal-A],ResultsInd[Category],AC436,ResultsInd[Stage],"Groups",ResultsInd[Player A],AD439)+SUMIFS(ResultsInd[Goal-B],ResultsInd[Category],AC436,ResultsInd[Stage],"Groups",ResultsInd[Player B],AD439))</f>
        <v>8</v>
      </c>
      <c r="AT439" s="307">
        <f>IF(OR(AC436="",AD439=""),"",SUMIFS(ResultsInd[Goal-B],ResultsInd[Category],AC436,ResultsInd[Stage],"Groups",ResultsInd[Player A],AD439)+SUMIFS(ResultsInd[Goal-A],ResultsInd[Category],AC436,ResultsInd[Stage],"Groups",ResultsInd[Player B],AD439))</f>
        <v>4</v>
      </c>
      <c r="AU439" s="308">
        <f t="shared" si="384"/>
        <v>4</v>
      </c>
      <c r="AV439" s="469" t="b">
        <f>IF(AG439="","",OR(VLOOKUP(AG439,AH437:AU443,3,FALSE),VLOOKUP(AG439,AH437:AU443,6,FALSE)))</f>
        <v>0</v>
      </c>
      <c r="AW439" s="298">
        <f t="shared" si="382"/>
        <v>3</v>
      </c>
      <c r="AX439" s="285" t="str">
        <f>IF(AG439="","",INDEX(AD437:AD443,MATCH(AG439,AH437:AH443,0)))</f>
        <v>Mélina Scheen</v>
      </c>
      <c r="AY439" s="286">
        <f>IF(AG439="","",VLOOKUP(AG439,AH437:AU443,COLUMN()-COLUMN(AR436),FALSE))</f>
        <v>6</v>
      </c>
      <c r="AZ439" s="286">
        <f>IF(AG439="","",VLOOKUP(AG439,AH437:AU443,COLUMN()-COLUMN(AR436),FALSE))</f>
        <v>4</v>
      </c>
      <c r="BA439" s="286">
        <f>IF(AG439="","",VLOOKUP(AG439,AH437:AU443,COLUMN()-COLUMN(AR436),FALSE))</f>
        <v>2</v>
      </c>
      <c r="BB439" s="286">
        <f>IF(AG439="","",VLOOKUP(AG439,AH437:AU443,COLUMN()-COLUMN(AR436),FALSE))</f>
        <v>0</v>
      </c>
      <c r="BC439" s="286">
        <f>IF(AG439="","",VLOOKUP(AG439,AH437:AU443,COLUMN()-COLUMN(AR436),FALSE))</f>
        <v>2</v>
      </c>
      <c r="BD439" s="286">
        <f>IF(AG439="","",VLOOKUP(AG439,AH437:AU443,COLUMN()-COLUMN(AR436),FALSE))</f>
        <v>8</v>
      </c>
      <c r="BE439" s="286">
        <f>IF(AG439="","",VLOOKUP(AG439,AH437:AU443,COLUMN()-COLUMN(AR436),FALSE))</f>
        <v>4</v>
      </c>
      <c r="BF439" s="301">
        <f>IF(AG439="","",VLOOKUP(AG439,AH437:AU443,COLUMN()-COLUMN(AR436),FALSE))</f>
        <v>4</v>
      </c>
    </row>
    <row r="440" spans="1:58" ht="12" thickBot="1" x14ac:dyDescent="0.25">
      <c r="A440" s="62" t="s">
        <v>12262</v>
      </c>
      <c r="B440" s="62" t="s">
        <v>12207</v>
      </c>
      <c r="C440" s="62">
        <v>2</v>
      </c>
      <c r="D440" s="62"/>
      <c r="E440" s="345" t="s">
        <v>8704</v>
      </c>
      <c r="F440" s="345" t="s">
        <v>12366</v>
      </c>
      <c r="G440" s="113">
        <v>2</v>
      </c>
      <c r="H440" s="113">
        <v>1</v>
      </c>
      <c r="I440" s="114"/>
      <c r="J440" s="114"/>
      <c r="K440" s="114"/>
      <c r="L440" s="81"/>
      <c r="M440" s="265" t="b">
        <f>NOT(ISERROR(ResultsInd[[#This Row],[Goal-A]]+ResultsInd[[#This Row],[Goal-B]]))</f>
        <v>1</v>
      </c>
      <c r="N440" s="265">
        <f>VALUE(ResultsInd[[#This Row],[Score-A]])</f>
        <v>2</v>
      </c>
      <c r="O440" s="265">
        <f>VALUE(ResultsInd[[#This Row],[Score-B]])</f>
        <v>1</v>
      </c>
      <c r="P440" s="265">
        <f ca="1">IF(AND(ResultsInd[[#This Row],[Category]]&lt;&gt;"",ResultsInd[[#This Row],[Player A]]&lt;&gt;""),COUNTIF(INDIRECT(ResultsInd[[#This Row],[Category]]&amp;"List[Retained Player Name]"),ResultsInd[[#This Row],[Player A]]),"")</f>
        <v>1</v>
      </c>
      <c r="Q440" s="265">
        <f ca="1">IF(AND(ResultsInd[[#This Row],[Category]]&lt;&gt;"",ResultsInd[[#This Row],[Player B]]&lt;&gt;""),COUNTIF(INDIRECT(ResultsInd[[#This Row],[Category]]&amp;"List[Retained Player Name]"),ResultsInd[[#This Row],[Player B]]),"")</f>
        <v>1</v>
      </c>
      <c r="R4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LADIES-Audrey Herbaut</v>
      </c>
      <c r="S440" s="265" t="str">
        <f>IF(ResultsInd[[#This Row],[Score_OK]],IF(ResultsInd[[#This Row],[Stage]]="Groups",ResultsInd[[#This Row],[Category]]&amp;"-"&amp;IF(ResultsInd[[#This Row],[Player B]]="","",IF(ResultsInd[[#This Row],[Score-A]]=ResultsInd[[#This Row],[Score-B]],ResultsInd[[#This Row],[Player A]],"")),""),"")</f>
        <v>LADIES-</v>
      </c>
      <c r="T440" s="265" t="str">
        <f>IF(ResultsInd[[#This Row],[Score_OK]],IF(ResultsInd[[#This Row],[Stage]]="Groups",ResultsInd[[#This Row],[Category]]&amp;"-"&amp;IF(ResultsInd[[#This Row],[Player B]]="","",IF(ResultsInd[[#This Row],[Score-A]]=ResultsInd[[#This Row],[Score-B]],ResultsInd[[#This Row],[Player B]],"")),""),"")</f>
        <v>LADIES-</v>
      </c>
      <c r="U4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LADIES-Emilie Despretz</v>
      </c>
      <c r="V4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LADIES-Emilie Despretz</v>
      </c>
      <c r="X4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LADIES-Emilie Despretz</v>
      </c>
      <c r="Y440" s="264" t="str">
        <f>IF(ResultsInd[[#This Row],[Category]]="","",VLOOKUP(ResultsInd[[#This Row],[Stage]],$P$1:$V$9,MATCH(ResultsInd[[#This Row],[Category]],$Q$1:$V$1,0)+1,FALSE))</f>
        <v>PR1</v>
      </c>
      <c r="Z440" s="264" t="str">
        <f>IF(ResultsInd[[#This Row],[Score_OK]],IF(ResultsInd[[#This Row],[Level]]="R",ResultsInd[[#This Row],[Category]]&amp;"-"&amp;IF(ResultsInd[[#This Row],[LoseInKO]]=ResultsInd[[#This Row],[Category]]&amp;"-"&amp;ResultsInd[[#This Row],[Player A]],ResultsInd[[#This Row],[Player B]],ResultsInd[[#This Row],[Player A]]),""),"")</f>
        <v/>
      </c>
      <c r="AB440" s="91"/>
      <c r="AC440" s="12" t="str">
        <f t="shared" si="383"/>
        <v>LADIES</v>
      </c>
      <c r="AD440" s="309" t="s">
        <v>9263</v>
      </c>
      <c r="AE440" s="310"/>
      <c r="AF440" s="311"/>
      <c r="AG440" s="292">
        <f>IF(AP440="","",SMALL(AH437:AH443,ROWS(AG437:AG440)))</f>
        <v>4004</v>
      </c>
      <c r="AH440" s="293">
        <f>IF(AP440="","",RANK(AL440,AL437:AL443)*1000+ROWS(AH437:AH440))</f>
        <v>4004</v>
      </c>
      <c r="AI440" s="316">
        <f t="shared" si="377"/>
        <v>3000000000000</v>
      </c>
      <c r="AJ440" s="415" t="b">
        <f>AND(AO440&lt;&gt;"",AO440&gt;0,COUNTIF(AI437:AI443,AI440)&gt;1)</f>
        <v>0</v>
      </c>
      <c r="AK440" s="316">
        <f t="shared" si="378"/>
        <v>0</v>
      </c>
      <c r="AL440" s="317">
        <f t="shared" si="379"/>
        <v>2999999890100</v>
      </c>
      <c r="AM440" s="415" t="b">
        <f>AND(AO440&lt;&gt;"",AO440&gt;0,COUNTIF(AL437:AL443,AL440)&gt;1)</f>
        <v>0</v>
      </c>
      <c r="AN440" s="306">
        <f t="shared" si="380"/>
        <v>3</v>
      </c>
      <c r="AO440" s="307">
        <f t="shared" si="381"/>
        <v>4</v>
      </c>
      <c r="AP440" s="307">
        <f>IF(OR(AC436="",AD440=""),"",COUNTIF(ResultsInd[Win],AC436&amp;"-"&amp;AD440))</f>
        <v>1</v>
      </c>
      <c r="AQ440" s="307">
        <f>IF(OR(AC436="",AD440=""),"",COUNTIF(ResultsInd[Draw1],AC436&amp;"-"&amp;AD440)+COUNTIF(ResultsInd[Draw2],AC436&amp;"-"&amp;AD440))</f>
        <v>0</v>
      </c>
      <c r="AR440" s="307">
        <f>IF(OR(AC436="",AD440=""),"",COUNTIF(ResultsInd[Lose],AC436&amp;"-"&amp;AD440))</f>
        <v>3</v>
      </c>
      <c r="AS440" s="307">
        <f>IF(OR(AC436="",AD440=""),"",SUMIFS(ResultsInd[Goal-A],ResultsInd[Category],AC436,ResultsInd[Stage],"Groups",ResultsInd[Player A],AD440)+SUMIFS(ResultsInd[Goal-B],ResultsInd[Category],AC436,ResultsInd[Stage],"Groups",ResultsInd[Player B],AD440))</f>
        <v>1</v>
      </c>
      <c r="AT440" s="307">
        <f>IF(OR(AC436="",AD440=""),"",SUMIFS(ResultsInd[Goal-B],ResultsInd[Category],AC436,ResultsInd[Stage],"Groups",ResultsInd[Player A],AD440)+SUMIFS(ResultsInd[Goal-A],ResultsInd[Category],AC436,ResultsInd[Stage],"Groups",ResultsInd[Player B],AD440))</f>
        <v>12</v>
      </c>
      <c r="AU440" s="308">
        <f t="shared" si="384"/>
        <v>-11</v>
      </c>
      <c r="AV440" s="469" t="b">
        <f>IF(AG440="","",OR(VLOOKUP(AG440,AH437:AU443,3,FALSE),VLOOKUP(AG440,AH437:AU443,6,FALSE)))</f>
        <v>0</v>
      </c>
      <c r="AW440" s="298">
        <f t="shared" si="382"/>
        <v>4</v>
      </c>
      <c r="AX440" s="285" t="str">
        <f>IF(AG440="","",INDEX(AD437:AD443,MATCH(AG440,AH437:AH443,0)))</f>
        <v>Chrysoula Pappa</v>
      </c>
      <c r="AY440" s="286">
        <f>IF(AG440="","",VLOOKUP(AG440,AH437:AU443,COLUMN()-COLUMN(AR436),FALSE))</f>
        <v>3</v>
      </c>
      <c r="AZ440" s="286">
        <f>IF(AG440="","",VLOOKUP(AG440,AH437:AU443,COLUMN()-COLUMN(AR436),FALSE))</f>
        <v>4</v>
      </c>
      <c r="BA440" s="286">
        <f>IF(AG440="","",VLOOKUP(AG440,AH437:AU443,COLUMN()-COLUMN(AR436),FALSE))</f>
        <v>1</v>
      </c>
      <c r="BB440" s="286">
        <f>IF(AG440="","",VLOOKUP(AG440,AH437:AU443,COLUMN()-COLUMN(AR436),FALSE))</f>
        <v>0</v>
      </c>
      <c r="BC440" s="286">
        <f>IF(AG440="","",VLOOKUP(AG440,AH437:AU443,COLUMN()-COLUMN(AR436),FALSE))</f>
        <v>3</v>
      </c>
      <c r="BD440" s="286">
        <f>IF(AG440="","",VLOOKUP(AG440,AH437:AU443,COLUMN()-COLUMN(AR436),FALSE))</f>
        <v>1</v>
      </c>
      <c r="BE440" s="286">
        <f>IF(AG440="","",VLOOKUP(AG440,AH437:AU443,COLUMN()-COLUMN(AR436),FALSE))</f>
        <v>12</v>
      </c>
      <c r="BF440" s="301">
        <f>IF(AG440="","",VLOOKUP(AG440,AH437:AU443,COLUMN()-COLUMN(AR436),FALSE))</f>
        <v>-11</v>
      </c>
    </row>
    <row r="441" spans="1:58" ht="12" thickBot="1" x14ac:dyDescent="0.25">
      <c r="A441" s="62" t="s">
        <v>12262</v>
      </c>
      <c r="B441" s="62" t="s">
        <v>12207</v>
      </c>
      <c r="C441" s="62">
        <v>2</v>
      </c>
      <c r="D441" s="62"/>
      <c r="E441" s="345" t="s">
        <v>8184</v>
      </c>
      <c r="F441" s="345" t="s">
        <v>14604</v>
      </c>
      <c r="G441" s="113">
        <v>5</v>
      </c>
      <c r="H441" s="113">
        <v>0</v>
      </c>
      <c r="I441" s="114"/>
      <c r="J441" s="114"/>
      <c r="K441" s="114"/>
      <c r="L441" s="81"/>
      <c r="M441" s="265" t="b">
        <f>NOT(ISERROR(ResultsInd[[#This Row],[Goal-A]]+ResultsInd[[#This Row],[Goal-B]]))</f>
        <v>1</v>
      </c>
      <c r="N441" s="265">
        <f>VALUE(ResultsInd[[#This Row],[Score-A]])</f>
        <v>5</v>
      </c>
      <c r="O441" s="265">
        <f>VALUE(ResultsInd[[#This Row],[Score-B]])</f>
        <v>0</v>
      </c>
      <c r="P441" s="265">
        <f ca="1">IF(AND(ResultsInd[[#This Row],[Category]]&lt;&gt;"",ResultsInd[[#This Row],[Player A]]&lt;&gt;""),COUNTIF(INDIRECT(ResultsInd[[#This Row],[Category]]&amp;"List[Retained Player Name]"),ResultsInd[[#This Row],[Player A]]),"")</f>
        <v>1</v>
      </c>
      <c r="Q441" s="265">
        <f ca="1">IF(AND(ResultsInd[[#This Row],[Category]]&lt;&gt;"",ResultsInd[[#This Row],[Player B]]&lt;&gt;""),COUNTIF(INDIRECT(ResultsInd[[#This Row],[Category]]&amp;"List[Retained Player Name]"),ResultsInd[[#This Row],[Player B]]),"")</f>
        <v>1</v>
      </c>
      <c r="R4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LADIES-Mélina Scheen</v>
      </c>
      <c r="S441" s="265" t="str">
        <f>IF(ResultsInd[[#This Row],[Score_OK]],IF(ResultsInd[[#This Row],[Stage]]="Groups",ResultsInd[[#This Row],[Category]]&amp;"-"&amp;IF(ResultsInd[[#This Row],[Player B]]="","",IF(ResultsInd[[#This Row],[Score-A]]=ResultsInd[[#This Row],[Score-B]],ResultsInd[[#This Row],[Player A]],"")),""),"")</f>
        <v>LADIES-</v>
      </c>
      <c r="T441" s="265" t="str">
        <f>IF(ResultsInd[[#This Row],[Score_OK]],IF(ResultsInd[[#This Row],[Stage]]="Groups",ResultsInd[[#This Row],[Category]]&amp;"-"&amp;IF(ResultsInd[[#This Row],[Player B]]="","",IF(ResultsInd[[#This Row],[Score-A]]=ResultsInd[[#This Row],[Score-B]],ResultsInd[[#This Row],[Player B]],"")),""),"")</f>
        <v>LADIES-</v>
      </c>
      <c r="U4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LADIES-Chloé Despretz</v>
      </c>
      <c r="V4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X4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Y441" s="264" t="str">
        <f>IF(ResultsInd[[#This Row],[Category]]="","",VLOOKUP(ResultsInd[[#This Row],[Stage]],$P$1:$V$9,MATCH(ResultsInd[[#This Row],[Category]],$Q$1:$V$1,0)+1,FALSE))</f>
        <v>PR1</v>
      </c>
      <c r="Z441" s="264" t="str">
        <f>IF(ResultsInd[[#This Row],[Score_OK]],IF(ResultsInd[[#This Row],[Level]]="R",ResultsInd[[#This Row],[Category]]&amp;"-"&amp;IF(ResultsInd[[#This Row],[LoseInKO]]=ResultsInd[[#This Row],[Category]]&amp;"-"&amp;ResultsInd[[#This Row],[Player A]],ResultsInd[[#This Row],[Player B]],ResultsInd[[#This Row],[Player A]]),""),"")</f>
        <v/>
      </c>
      <c r="AB441" s="91"/>
      <c r="AC441" s="12" t="str">
        <f t="shared" si="383"/>
        <v>LADIES</v>
      </c>
      <c r="AD441" s="309" t="s">
        <v>14604</v>
      </c>
      <c r="AE441" s="310"/>
      <c r="AF441" s="311"/>
      <c r="AG441" s="292">
        <f>IF(AP441="","",SMALL(AH437:AH443,ROWS(AG437:AG441)))</f>
        <v>5005</v>
      </c>
      <c r="AH441" s="293">
        <f>IF(AP441="","",RANK(AL441,AL437:AL443)*1000+ROWS(AH437:AH441))</f>
        <v>5005</v>
      </c>
      <c r="AI441" s="316">
        <f t="shared" si="377"/>
        <v>0</v>
      </c>
      <c r="AJ441" s="415" t="b">
        <f>AND(AO441&lt;&gt;"",AO441&gt;0,COUNTIF(AI437:AI443,AI441)&gt;1)</f>
        <v>0</v>
      </c>
      <c r="AK441" s="316">
        <f t="shared" si="378"/>
        <v>0</v>
      </c>
      <c r="AL441" s="317">
        <f t="shared" si="379"/>
        <v>-160000</v>
      </c>
      <c r="AM441" s="415" t="b">
        <f>AND(AO441&lt;&gt;"",AO441&gt;0,COUNTIF(AL437:AL443,AL441)&gt;1)</f>
        <v>0</v>
      </c>
      <c r="AN441" s="306">
        <f t="shared" si="380"/>
        <v>0</v>
      </c>
      <c r="AO441" s="307">
        <f t="shared" si="381"/>
        <v>4</v>
      </c>
      <c r="AP441" s="307">
        <f>IF(OR(AC436="",AD441=""),"",COUNTIF(ResultsInd[Win],AC436&amp;"-"&amp;AD441))</f>
        <v>0</v>
      </c>
      <c r="AQ441" s="307">
        <f>IF(OR(AC436="",AD441=""),"",COUNTIF(ResultsInd[Draw1],AC436&amp;"-"&amp;AD441)+COUNTIF(ResultsInd[Draw2],AC436&amp;"-"&amp;AD441))</f>
        <v>0</v>
      </c>
      <c r="AR441" s="307">
        <f>IF(OR(AC436="",AD441=""),"",COUNTIF(ResultsInd[Lose],AC436&amp;"-"&amp;AD441))</f>
        <v>4</v>
      </c>
      <c r="AS441" s="307">
        <f>IF(OR(AC436="",AD441=""),"",SUMIFS(ResultsInd[Goal-A],ResultsInd[Category],AC436,ResultsInd[Stage],"Groups",ResultsInd[Player A],AD441)+SUMIFS(ResultsInd[Goal-B],ResultsInd[Category],AC436,ResultsInd[Stage],"Groups",ResultsInd[Player B],AD441))</f>
        <v>0</v>
      </c>
      <c r="AT441" s="307">
        <f>IF(OR(AC436="",AD441=""),"",SUMIFS(ResultsInd[Goal-B],ResultsInd[Category],AC436,ResultsInd[Stage],"Groups",ResultsInd[Player A],AD441)+SUMIFS(ResultsInd[Goal-A],ResultsInd[Category],AC436,ResultsInd[Stage],"Groups",ResultsInd[Player B],AD441))</f>
        <v>16</v>
      </c>
      <c r="AU441" s="308">
        <f t="shared" si="384"/>
        <v>-16</v>
      </c>
      <c r="AV441" s="469" t="b">
        <f>IF(AG441="","",OR(VLOOKUP(AG441,AH437:AU443,3,FALSE),VLOOKUP(AG441,AH437:AU443,6,FALSE)))</f>
        <v>0</v>
      </c>
      <c r="AW441" s="298">
        <f t="shared" si="382"/>
        <v>5</v>
      </c>
      <c r="AX441" s="285" t="str">
        <f>IF(AG441="","",INDEX(AD438:AD444,MATCH(AG441,AH438:AH444,0)))</f>
        <v>Chloé Despretz</v>
      </c>
      <c r="AY441" s="286">
        <f>IF(AG441="","",VLOOKUP(AG441,AH437:AU443,COLUMN()-COLUMN(AR436),FALSE))</f>
        <v>0</v>
      </c>
      <c r="AZ441" s="286">
        <f>IF(AG441="","",VLOOKUP(AG441,AH437:AU443,COLUMN()-COLUMN(AR436),FALSE))</f>
        <v>4</v>
      </c>
      <c r="BA441" s="286">
        <f>IF(AG441="","",VLOOKUP(AG441,AH437:AU443,COLUMN()-COLUMN(AR436),FALSE))</f>
        <v>0</v>
      </c>
      <c r="BB441" s="286">
        <f>IF(AG441="","",VLOOKUP(AG441,AH437:AU443,COLUMN()-COLUMN(AR436),FALSE))</f>
        <v>0</v>
      </c>
      <c r="BC441" s="286">
        <f>IF(AG441="","",VLOOKUP(AG441,AH437:AU443,COLUMN()-COLUMN(AR436),FALSE))</f>
        <v>4</v>
      </c>
      <c r="BD441" s="286">
        <f>IF(AG441="","",VLOOKUP(AG441,AH437:AU443,COLUMN()-COLUMN(AR436),FALSE))</f>
        <v>0</v>
      </c>
      <c r="BE441" s="286">
        <f>IF(AG441="","",VLOOKUP(AG441,AH437:AU443,COLUMN()-COLUMN(AR436),FALSE))</f>
        <v>16</v>
      </c>
      <c r="BF441" s="301">
        <f>IF(AG441="","",VLOOKUP(AG441,AH437:AU443,COLUMN()-COLUMN(AR436),FALSE))</f>
        <v>-16</v>
      </c>
    </row>
    <row r="442" spans="1:58" ht="12" thickBot="1" x14ac:dyDescent="0.25">
      <c r="A442" s="62" t="s">
        <v>12262</v>
      </c>
      <c r="B442" s="62" t="s">
        <v>12207</v>
      </c>
      <c r="C442" s="62">
        <v>2</v>
      </c>
      <c r="D442" s="62"/>
      <c r="E442" s="345" t="s">
        <v>14604</v>
      </c>
      <c r="F442" s="345" t="s">
        <v>8704</v>
      </c>
      <c r="G442" s="113">
        <v>0</v>
      </c>
      <c r="H442" s="113">
        <v>5</v>
      </c>
      <c r="I442" s="114"/>
      <c r="J442" s="114"/>
      <c r="K442" s="114"/>
      <c r="L442" s="81"/>
      <c r="M442" s="265" t="b">
        <f>NOT(ISERROR(ResultsInd[[#This Row],[Goal-A]]+ResultsInd[[#This Row],[Goal-B]]))</f>
        <v>1</v>
      </c>
      <c r="N442" s="265">
        <f>VALUE(ResultsInd[[#This Row],[Score-A]])</f>
        <v>0</v>
      </c>
      <c r="O442" s="265">
        <f>VALUE(ResultsInd[[#This Row],[Score-B]])</f>
        <v>5</v>
      </c>
      <c r="P442" s="265">
        <f ca="1">IF(AND(ResultsInd[[#This Row],[Category]]&lt;&gt;"",ResultsInd[[#This Row],[Player A]]&lt;&gt;""),COUNTIF(INDIRECT(ResultsInd[[#This Row],[Category]]&amp;"List[Retained Player Name]"),ResultsInd[[#This Row],[Player A]]),"")</f>
        <v>1</v>
      </c>
      <c r="Q442" s="265">
        <f ca="1">IF(AND(ResultsInd[[#This Row],[Category]]&lt;&gt;"",ResultsInd[[#This Row],[Player B]]&lt;&gt;""),COUNTIF(INDIRECT(ResultsInd[[#This Row],[Category]]&amp;"List[Retained Player Name]"),ResultsInd[[#This Row],[Player B]]),"")</f>
        <v>1</v>
      </c>
      <c r="R4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LADIES-Audrey Herbaut</v>
      </c>
      <c r="S442" s="265" t="str">
        <f>IF(ResultsInd[[#This Row],[Score_OK]],IF(ResultsInd[[#This Row],[Stage]]="Groups",ResultsInd[[#This Row],[Category]]&amp;"-"&amp;IF(ResultsInd[[#This Row],[Player B]]="","",IF(ResultsInd[[#This Row],[Score-A]]=ResultsInd[[#This Row],[Score-B]],ResultsInd[[#This Row],[Player A]],"")),""),"")</f>
        <v>LADIES-</v>
      </c>
      <c r="T442" s="265" t="str">
        <f>IF(ResultsInd[[#This Row],[Score_OK]],IF(ResultsInd[[#This Row],[Stage]]="Groups",ResultsInd[[#This Row],[Category]]&amp;"-"&amp;IF(ResultsInd[[#This Row],[Player B]]="","",IF(ResultsInd[[#This Row],[Score-A]]=ResultsInd[[#This Row],[Score-B]],ResultsInd[[#This Row],[Player B]],"")),""),"")</f>
        <v>LADIES-</v>
      </c>
      <c r="U4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LADIES-Chloé Despretz</v>
      </c>
      <c r="V4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X4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Y442" s="264" t="str">
        <f>IF(ResultsInd[[#This Row],[Category]]="","",VLOOKUP(ResultsInd[[#This Row],[Stage]],$P$1:$V$9,MATCH(ResultsInd[[#This Row],[Category]],$Q$1:$V$1,0)+1,FALSE))</f>
        <v>PR1</v>
      </c>
      <c r="Z442" s="264" t="str">
        <f>IF(ResultsInd[[#This Row],[Score_OK]],IF(ResultsInd[[#This Row],[Level]]="R",ResultsInd[[#This Row],[Category]]&amp;"-"&amp;IF(ResultsInd[[#This Row],[LoseInKO]]=ResultsInd[[#This Row],[Category]]&amp;"-"&amp;ResultsInd[[#This Row],[Player A]],ResultsInd[[#This Row],[Player B]],ResultsInd[[#This Row],[Player A]]),""),"")</f>
        <v/>
      </c>
      <c r="AB442" s="8"/>
      <c r="AC442" s="12" t="str">
        <f t="shared" si="383"/>
        <v>LADIES</v>
      </c>
      <c r="AD442" s="309"/>
      <c r="AE442" s="310"/>
      <c r="AF442" s="311"/>
      <c r="AG442" s="292" t="str">
        <f>IF(AP442="","",SMALL(AH437:AH443,ROWS(AG437:AG442)))</f>
        <v/>
      </c>
      <c r="AH442" s="293" t="str">
        <f>IF(AP442="","",RANK(AL442,AL437:AL443)*1000+ROWS(AH437:AH442))</f>
        <v/>
      </c>
      <c r="AI442" s="316" t="str">
        <f t="shared" si="377"/>
        <v/>
      </c>
      <c r="AJ442" s="415" t="b">
        <f>AND(AO442&lt;&gt;"",AO442&gt;0,COUNTIF(AI437:AI443,AI442)&gt;1)</f>
        <v>0</v>
      </c>
      <c r="AK442" s="316" t="str">
        <f t="shared" si="378"/>
        <v/>
      </c>
      <c r="AL442" s="317" t="str">
        <f t="shared" si="379"/>
        <v/>
      </c>
      <c r="AM442" s="415" t="b">
        <f>AND(AO442&lt;&gt;"",AO442&gt;0,COUNTIF(AL437:AL443,AL442)&gt;1)</f>
        <v>0</v>
      </c>
      <c r="AN442" s="306" t="str">
        <f t="shared" si="380"/>
        <v/>
      </c>
      <c r="AO442" s="307" t="str">
        <f t="shared" si="381"/>
        <v/>
      </c>
      <c r="AP442" s="307" t="str">
        <f>IF(OR(AC436="",AD442=""),"",COUNTIF(ResultsInd[Win],AC436&amp;"-"&amp;AD442))</f>
        <v/>
      </c>
      <c r="AQ442" s="307" t="str">
        <f>IF(OR(AC436="",AD442=""),"",COUNTIF(ResultsInd[Draw1],AC436&amp;"-"&amp;AD442)+COUNTIF(ResultsInd[Draw2],AC436&amp;"-"&amp;AD442))</f>
        <v/>
      </c>
      <c r="AR442" s="307" t="str">
        <f>IF(OR(AC436="",AD442=""),"",COUNTIF(ResultsInd[Lose],AC436&amp;"-"&amp;AD442))</f>
        <v/>
      </c>
      <c r="AS442" s="307" t="str">
        <f>IF(OR(AC436="",AD442=""),"",SUMIFS(ResultsInd[Goal-A],ResultsInd[Category],AC436,ResultsInd[Stage],"Groups",ResultsInd[Player A],AD442)+SUMIFS(ResultsInd[Goal-B],ResultsInd[Category],AC436,ResultsInd[Stage],"Groups",ResultsInd[Player B],AD442))</f>
        <v/>
      </c>
      <c r="AT442" s="307" t="str">
        <f>IF(OR(AC436="",AD442=""),"",SUMIFS(ResultsInd[Goal-B],ResultsInd[Category],AC436,ResultsInd[Stage],"Groups",ResultsInd[Player A],AD442)+SUMIFS(ResultsInd[Goal-A],ResultsInd[Category],AC436,ResultsInd[Stage],"Groups",ResultsInd[Player B],AD442))</f>
        <v/>
      </c>
      <c r="AU442" s="308" t="str">
        <f t="shared" si="384"/>
        <v/>
      </c>
      <c r="AV442" s="469" t="str">
        <f>IF(AG442="","",OR(VLOOKUP(AG442,AH437:AU443,3,FALSE),VLOOKUP(AG442,AH437:AU443,6,FALSE)))</f>
        <v/>
      </c>
      <c r="AW442" s="298" t="str">
        <f t="shared" si="382"/>
        <v/>
      </c>
      <c r="AX442" s="285" t="str">
        <f>IF(AG442="","",INDEX(AD437:AD443,MATCH(AG442,AH437:AH443,0)))</f>
        <v/>
      </c>
      <c r="AY442" s="286" t="str">
        <f>IF(AG442="","",VLOOKUP(AG442,AH437:AU443,COLUMN()-COLUMN(AR436),FALSE))</f>
        <v/>
      </c>
      <c r="AZ442" s="286" t="str">
        <f>IF(AG442="","",VLOOKUP(AG442,AH437:AU443,COLUMN()-COLUMN(AR436),FALSE))</f>
        <v/>
      </c>
      <c r="BA442" s="286" t="str">
        <f>IF(AG442="","",VLOOKUP(AG442,AH437:AU443,COLUMN()-COLUMN(AR436),FALSE))</f>
        <v/>
      </c>
      <c r="BB442" s="286" t="str">
        <f>IF(AG442="","",VLOOKUP(AG442,AH437:AU443,COLUMN()-COLUMN(AR436),FALSE))</f>
        <v/>
      </c>
      <c r="BC442" s="286" t="str">
        <f>IF(AG442="","",VLOOKUP(AG442,AH437:AU443,COLUMN()-COLUMN(AR436),FALSE))</f>
        <v/>
      </c>
      <c r="BD442" s="286" t="str">
        <f>IF(AG442="","",VLOOKUP(AG442,AH437:AU443,COLUMN()-COLUMN(AR436),FALSE))</f>
        <v/>
      </c>
      <c r="BE442" s="286" t="str">
        <f>IF(AG442="","",VLOOKUP(AG442,AH437:AU443,COLUMN()-COLUMN(AR436),FALSE))</f>
        <v/>
      </c>
      <c r="BF442" s="301" t="str">
        <f>IF(AG442="","",VLOOKUP(AG442,AH437:AU443,COLUMN()-COLUMN(AR436),FALSE))</f>
        <v/>
      </c>
    </row>
    <row r="443" spans="1:58" ht="12" thickBot="1" x14ac:dyDescent="0.25">
      <c r="A443" s="62" t="s">
        <v>12262</v>
      </c>
      <c r="B443" s="62" t="s">
        <v>12207</v>
      </c>
      <c r="C443" s="62">
        <v>2</v>
      </c>
      <c r="D443" s="62"/>
      <c r="E443" s="345" t="s">
        <v>9263</v>
      </c>
      <c r="F443" s="345" t="s">
        <v>8184</v>
      </c>
      <c r="G443" s="113">
        <v>0</v>
      </c>
      <c r="H443" s="113">
        <v>2</v>
      </c>
      <c r="I443" s="114"/>
      <c r="J443" s="114"/>
      <c r="K443" s="114"/>
      <c r="L443" s="81"/>
      <c r="M443" s="265" t="b">
        <f>NOT(ISERROR(ResultsInd[[#This Row],[Goal-A]]+ResultsInd[[#This Row],[Goal-B]]))</f>
        <v>1</v>
      </c>
      <c r="N443" s="265">
        <f>VALUE(ResultsInd[[#This Row],[Score-A]])</f>
        <v>0</v>
      </c>
      <c r="O443" s="265">
        <f>VALUE(ResultsInd[[#This Row],[Score-B]])</f>
        <v>2</v>
      </c>
      <c r="P443" s="265">
        <f ca="1">IF(AND(ResultsInd[[#This Row],[Category]]&lt;&gt;"",ResultsInd[[#This Row],[Player A]]&lt;&gt;""),COUNTIF(INDIRECT(ResultsInd[[#This Row],[Category]]&amp;"List[Retained Player Name]"),ResultsInd[[#This Row],[Player A]]),"")</f>
        <v>1</v>
      </c>
      <c r="Q443" s="265">
        <f ca="1">IF(AND(ResultsInd[[#This Row],[Category]]&lt;&gt;"",ResultsInd[[#This Row],[Player B]]&lt;&gt;""),COUNTIF(INDIRECT(ResultsInd[[#This Row],[Category]]&amp;"List[Retained Player Name]"),ResultsInd[[#This Row],[Player B]]),"")</f>
        <v>1</v>
      </c>
      <c r="R4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LADIES-Mélina Scheen</v>
      </c>
      <c r="S443" s="265" t="str">
        <f>IF(ResultsInd[[#This Row],[Score_OK]],IF(ResultsInd[[#This Row],[Stage]]="Groups",ResultsInd[[#This Row],[Category]]&amp;"-"&amp;IF(ResultsInd[[#This Row],[Player B]]="","",IF(ResultsInd[[#This Row],[Score-A]]=ResultsInd[[#This Row],[Score-B]],ResultsInd[[#This Row],[Player A]],"")),""),"")</f>
        <v>LADIES-</v>
      </c>
      <c r="T443" s="265" t="str">
        <f>IF(ResultsInd[[#This Row],[Score_OK]],IF(ResultsInd[[#This Row],[Stage]]="Groups",ResultsInd[[#This Row],[Category]]&amp;"-"&amp;IF(ResultsInd[[#This Row],[Player B]]="","",IF(ResultsInd[[#This Row],[Score-A]]=ResultsInd[[#This Row],[Score-B]],ResultsInd[[#This Row],[Player B]],"")),""),"")</f>
        <v>LADIES-</v>
      </c>
      <c r="U4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LADIES-Chrysoula Pappa</v>
      </c>
      <c r="V4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LADIES-Chrysoula Pappa</v>
      </c>
      <c r="X4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LADIES-Chrysoula Pappa</v>
      </c>
      <c r="Y443" s="264" t="str">
        <f>IF(ResultsInd[[#This Row],[Category]]="","",VLOOKUP(ResultsInd[[#This Row],[Stage]],$P$1:$V$9,MATCH(ResultsInd[[#This Row],[Category]],$Q$1:$V$1,0)+1,FALSE))</f>
        <v>PR1</v>
      </c>
      <c r="Z443" s="264" t="str">
        <f>IF(ResultsInd[[#This Row],[Score_OK]],IF(ResultsInd[[#This Row],[Level]]="R",ResultsInd[[#This Row],[Category]]&amp;"-"&amp;IF(ResultsInd[[#This Row],[LoseInKO]]=ResultsInd[[#This Row],[Category]]&amp;"-"&amp;ResultsInd[[#This Row],[Player A]],ResultsInd[[#This Row],[Player B]],ResultsInd[[#This Row],[Player A]]),""),"")</f>
        <v/>
      </c>
      <c r="AB443" s="8"/>
      <c r="AC443" s="12" t="str">
        <f t="shared" si="383"/>
        <v>LADIES</v>
      </c>
      <c r="AD443" s="312"/>
      <c r="AE443" s="313"/>
      <c r="AF443" s="314"/>
      <c r="AG443" s="294" t="str">
        <f>IF(AP443="","",SMALL(AH437:AH443,ROWS(AG437:AG443)))</f>
        <v/>
      </c>
      <c r="AH443" s="295" t="str">
        <f>IF(AP443="","",RANK(AL443,AL437:AL443)*1000+ROWS(AH437:AH443))</f>
        <v/>
      </c>
      <c r="AI443" s="318" t="str">
        <f t="shared" si="377"/>
        <v/>
      </c>
      <c r="AJ443" s="416" t="b">
        <f>AND(AO443&lt;&gt;"",AO443&gt;0,COUNTIF(AI437:AI443,AI443)&gt;1)</f>
        <v>0</v>
      </c>
      <c r="AK443" s="318" t="str">
        <f t="shared" si="378"/>
        <v/>
      </c>
      <c r="AL443" s="319" t="str">
        <f t="shared" si="379"/>
        <v/>
      </c>
      <c r="AM443" s="416" t="b">
        <f>AND(AO443&lt;&gt;"",AO443&gt;0,COUNTIF(AL437:AL443,AL443)&gt;1)</f>
        <v>0</v>
      </c>
      <c r="AN443" s="306" t="str">
        <f t="shared" si="380"/>
        <v/>
      </c>
      <c r="AO443" s="307" t="str">
        <f t="shared" si="381"/>
        <v/>
      </c>
      <c r="AP443" s="307" t="str">
        <f>IF(OR(AC436="",AD443=""),"",COUNTIF(ResultsInd[Win],AC436&amp;"-"&amp;AD443))</f>
        <v/>
      </c>
      <c r="AQ443" s="307" t="str">
        <f>IF(OR(AC436="",AD443=""),"",COUNTIF(ResultsInd[Draw1],AC436&amp;"-"&amp;AD443)+COUNTIF(ResultsInd[Draw2],AC436&amp;"-"&amp;AD443))</f>
        <v/>
      </c>
      <c r="AR443" s="307" t="str">
        <f>IF(OR(AC436="",AD443=""),"",COUNTIF(ResultsInd[Lose],AC436&amp;"-"&amp;AD443))</f>
        <v/>
      </c>
      <c r="AS443" s="307" t="str">
        <f>IF(OR(AC436="",AD443=""),"",SUMIFS(ResultsInd[Goal-A],ResultsInd[Category],AC436,ResultsInd[Stage],"Groups",ResultsInd[Player A],AD443)+SUMIFS(ResultsInd[Goal-B],ResultsInd[Category],AC436,ResultsInd[Stage],"Groups",ResultsInd[Player B],AD443))</f>
        <v/>
      </c>
      <c r="AT443" s="307" t="str">
        <f>IF(OR(AC436="",AD443=""),"",SUMIFS(ResultsInd[Goal-B],ResultsInd[Category],AC436,ResultsInd[Stage],"Groups",ResultsInd[Player A],AD443)+SUMIFS(ResultsInd[Goal-A],ResultsInd[Category],AC436,ResultsInd[Stage],"Groups",ResultsInd[Player B],AD443))</f>
        <v/>
      </c>
      <c r="AU443" s="308" t="str">
        <f t="shared" si="384"/>
        <v/>
      </c>
      <c r="AV443" s="469" t="str">
        <f>IF(AG443="","",OR(VLOOKUP(AG443,AH437:AU443,3,FALSE),VLOOKUP(AG443,AH437:AU443,6,FALSE)))</f>
        <v/>
      </c>
      <c r="AW443" s="299" t="str">
        <f t="shared" si="382"/>
        <v/>
      </c>
      <c r="AX443" s="287" t="str">
        <f>IF(AG443="","",INDEX(AD437:AD443,MATCH(AG443,AH437:AH443,0)))</f>
        <v/>
      </c>
      <c r="AY443" s="288" t="str">
        <f>IF(AG443="","",VLOOKUP(AG443,AH437:AU443,COLUMN()-COLUMN(AR436),FALSE))</f>
        <v/>
      </c>
      <c r="AZ443" s="288" t="str">
        <f>IF(AG443="","",VLOOKUP(AG443,AH437:AU443,COLUMN()-COLUMN(AR436),FALSE))</f>
        <v/>
      </c>
      <c r="BA443" s="288" t="str">
        <f>IF(AG443="","",VLOOKUP(AG443,AH437:AU443,COLUMN()-COLUMN(AR436),FALSE))</f>
        <v/>
      </c>
      <c r="BB443" s="288" t="str">
        <f>IF(AG443="","",VLOOKUP(AG443,AH437:AU443,COLUMN()-COLUMN(AR436),FALSE))</f>
        <v/>
      </c>
      <c r="BC443" s="288" t="str">
        <f>IF(AG443="","",VLOOKUP(AG443,AH437:AU443,COLUMN()-COLUMN(AR436),FALSE))</f>
        <v/>
      </c>
      <c r="BD443" s="288" t="str">
        <f>IF(AG443="","",VLOOKUP(AG443,AH437:AU443,COLUMN()-COLUMN(AR436),FALSE))</f>
        <v/>
      </c>
      <c r="BE443" s="288" t="str">
        <f>IF(AG443="","",VLOOKUP(AG443,AH437:AU443,COLUMN()-COLUMN(AR436),FALSE))</f>
        <v/>
      </c>
      <c r="BF443" s="302" t="str">
        <f>IF(AG443="","",VLOOKUP(AG443,AH437:AU443,COLUMN()-COLUMN(AR436),FALSE))</f>
        <v/>
      </c>
    </row>
    <row r="444" spans="1:58" ht="13.5" thickBot="1" x14ac:dyDescent="0.25">
      <c r="A444" s="62" t="s">
        <v>12262</v>
      </c>
      <c r="B444" s="62" t="s">
        <v>12207</v>
      </c>
      <c r="C444" s="62">
        <v>2</v>
      </c>
      <c r="D444" s="62"/>
      <c r="E444" s="345" t="s">
        <v>12366</v>
      </c>
      <c r="F444" s="345" t="s">
        <v>8184</v>
      </c>
      <c r="G444" s="113">
        <v>1</v>
      </c>
      <c r="H444" s="113">
        <v>0</v>
      </c>
      <c r="I444" s="114"/>
      <c r="J444" s="114"/>
      <c r="K444" s="114"/>
      <c r="L444" s="81"/>
      <c r="M444" s="265" t="b">
        <f>NOT(ISERROR(ResultsInd[[#This Row],[Goal-A]]+ResultsInd[[#This Row],[Goal-B]]))</f>
        <v>1</v>
      </c>
      <c r="N444" s="265">
        <f>VALUE(ResultsInd[[#This Row],[Score-A]])</f>
        <v>1</v>
      </c>
      <c r="O444" s="265">
        <f>VALUE(ResultsInd[[#This Row],[Score-B]])</f>
        <v>0</v>
      </c>
      <c r="P444" s="265">
        <f ca="1">IF(AND(ResultsInd[[#This Row],[Category]]&lt;&gt;"",ResultsInd[[#This Row],[Player A]]&lt;&gt;""),COUNTIF(INDIRECT(ResultsInd[[#This Row],[Category]]&amp;"List[Retained Player Name]"),ResultsInd[[#This Row],[Player A]]),"")</f>
        <v>1</v>
      </c>
      <c r="Q444" s="265">
        <f ca="1">IF(AND(ResultsInd[[#This Row],[Category]]&lt;&gt;"",ResultsInd[[#This Row],[Player B]]&lt;&gt;""),COUNTIF(INDIRECT(ResultsInd[[#This Row],[Category]]&amp;"List[Retained Player Name]"),ResultsInd[[#This Row],[Player B]]),"")</f>
        <v>1</v>
      </c>
      <c r="R4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LADIES-Emilie Despretz</v>
      </c>
      <c r="S444" s="265" t="str">
        <f>IF(ResultsInd[[#This Row],[Score_OK]],IF(ResultsInd[[#This Row],[Stage]]="Groups",ResultsInd[[#This Row],[Category]]&amp;"-"&amp;IF(ResultsInd[[#This Row],[Player B]]="","",IF(ResultsInd[[#This Row],[Score-A]]=ResultsInd[[#This Row],[Score-B]],ResultsInd[[#This Row],[Player A]],"")),""),"")</f>
        <v>LADIES-</v>
      </c>
      <c r="T444" s="265" t="str">
        <f>IF(ResultsInd[[#This Row],[Score_OK]],IF(ResultsInd[[#This Row],[Stage]]="Groups",ResultsInd[[#This Row],[Category]]&amp;"-"&amp;IF(ResultsInd[[#This Row],[Player B]]="","",IF(ResultsInd[[#This Row],[Score-A]]=ResultsInd[[#This Row],[Score-B]],ResultsInd[[#This Row],[Player B]],"")),""),"")</f>
        <v>LADIES-</v>
      </c>
      <c r="U4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LADIES-Mélina Scheen</v>
      </c>
      <c r="V4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LADIES-Mélina Scheen</v>
      </c>
      <c r="X4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LADIES-Mélina Scheen</v>
      </c>
      <c r="Y444" s="264" t="str">
        <f>IF(ResultsInd[[#This Row],[Category]]="","",VLOOKUP(ResultsInd[[#This Row],[Stage]],$P$1:$V$9,MATCH(ResultsInd[[#This Row],[Category]],$Q$1:$V$1,0)+1,FALSE))</f>
        <v>PR1</v>
      </c>
      <c r="Z444" s="264" t="str">
        <f>IF(ResultsInd[[#This Row],[Score_OK]],IF(ResultsInd[[#This Row],[Level]]="R",ResultsInd[[#This Row],[Category]]&amp;"-"&amp;IF(ResultsInd[[#This Row],[LoseInKO]]=ResultsInd[[#This Row],[Category]]&amp;"-"&amp;ResultsInd[[#This Row],[Player A]],ResultsInd[[#This Row],[Player B]],ResultsInd[[#This Row],[Player A]]),""),"")</f>
        <v/>
      </c>
      <c r="AB444" s="8"/>
      <c r="AC444" s="8"/>
      <c r="AF444" s="170"/>
      <c r="AG444" s="101"/>
      <c r="AH444" s="101"/>
      <c r="AN444" s="170"/>
      <c r="AO444" s="170"/>
      <c r="AP444" s="170"/>
      <c r="AQ444" s="172"/>
      <c r="AR444" s="173"/>
      <c r="AS444" s="173"/>
      <c r="AT444" s="173"/>
      <c r="AU444" s="101"/>
      <c r="AV444" s="101"/>
      <c r="AW444" s="101"/>
      <c r="AX444" s="101"/>
      <c r="AY444" s="101"/>
      <c r="AZ444" s="101"/>
    </row>
    <row r="445" spans="1:58" ht="12" thickBot="1" x14ac:dyDescent="0.25">
      <c r="A445" s="62" t="s">
        <v>12262</v>
      </c>
      <c r="B445" s="62" t="s">
        <v>12207</v>
      </c>
      <c r="C445" s="62">
        <v>2</v>
      </c>
      <c r="D445" s="62"/>
      <c r="E445" s="345" t="s">
        <v>14604</v>
      </c>
      <c r="F445" s="345" t="s">
        <v>9263</v>
      </c>
      <c r="G445" s="113">
        <v>0</v>
      </c>
      <c r="H445" s="113">
        <v>1</v>
      </c>
      <c r="I445" s="114"/>
      <c r="J445" s="114"/>
      <c r="K445" s="114"/>
      <c r="L445" s="81"/>
      <c r="M445" s="265" t="b">
        <f>NOT(ISERROR(ResultsInd[[#This Row],[Goal-A]]+ResultsInd[[#This Row],[Goal-B]]))</f>
        <v>1</v>
      </c>
      <c r="N445" s="265">
        <f>VALUE(ResultsInd[[#This Row],[Score-A]])</f>
        <v>0</v>
      </c>
      <c r="O445" s="265">
        <f>VALUE(ResultsInd[[#This Row],[Score-B]])</f>
        <v>1</v>
      </c>
      <c r="P445" s="265">
        <f ca="1">IF(AND(ResultsInd[[#This Row],[Category]]&lt;&gt;"",ResultsInd[[#This Row],[Player A]]&lt;&gt;""),COUNTIF(INDIRECT(ResultsInd[[#This Row],[Category]]&amp;"List[Retained Player Name]"),ResultsInd[[#This Row],[Player A]]),"")</f>
        <v>1</v>
      </c>
      <c r="Q445" s="265">
        <f ca="1">IF(AND(ResultsInd[[#This Row],[Category]]&lt;&gt;"",ResultsInd[[#This Row],[Player B]]&lt;&gt;""),COUNTIF(INDIRECT(ResultsInd[[#This Row],[Category]]&amp;"List[Retained Player Name]"),ResultsInd[[#This Row],[Player B]]),"")</f>
        <v>1</v>
      </c>
      <c r="R4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LADIES-Chrysoula Pappa</v>
      </c>
      <c r="S445" s="265" t="str">
        <f>IF(ResultsInd[[#This Row],[Score_OK]],IF(ResultsInd[[#This Row],[Stage]]="Groups",ResultsInd[[#This Row],[Category]]&amp;"-"&amp;IF(ResultsInd[[#This Row],[Player B]]="","",IF(ResultsInd[[#This Row],[Score-A]]=ResultsInd[[#This Row],[Score-B]],ResultsInd[[#This Row],[Player A]],"")),""),"")</f>
        <v>LADIES-</v>
      </c>
      <c r="T445" s="265" t="str">
        <f>IF(ResultsInd[[#This Row],[Score_OK]],IF(ResultsInd[[#This Row],[Stage]]="Groups",ResultsInd[[#This Row],[Category]]&amp;"-"&amp;IF(ResultsInd[[#This Row],[Player B]]="","",IF(ResultsInd[[#This Row],[Score-A]]=ResultsInd[[#This Row],[Score-B]],ResultsInd[[#This Row],[Player B]],"")),""),"")</f>
        <v>LADIES-</v>
      </c>
      <c r="U4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LADIES-Chloé Despretz</v>
      </c>
      <c r="V4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X4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LADIES-Chloé Despretz</v>
      </c>
      <c r="Y445" s="264" t="str">
        <f>IF(ResultsInd[[#This Row],[Category]]="","",VLOOKUP(ResultsInd[[#This Row],[Stage]],$P$1:$V$9,MATCH(ResultsInd[[#This Row],[Category]],$Q$1:$V$1,0)+1,FALSE))</f>
        <v>PR1</v>
      </c>
      <c r="Z445" s="264" t="str">
        <f>IF(ResultsInd[[#This Row],[Score_OK]],IF(ResultsInd[[#This Row],[Level]]="R",ResultsInd[[#This Row],[Category]]&amp;"-"&amp;IF(ResultsInd[[#This Row],[LoseInKO]]=ResultsInd[[#This Row],[Category]]&amp;"-"&amp;ResultsInd[[#This Row],[Player A]],ResultsInd[[#This Row],[Player B]],ResultsInd[[#This Row],[Player A]]),""),"")</f>
        <v/>
      </c>
      <c r="AB445" s="281">
        <v>1</v>
      </c>
      <c r="AC445" s="315" t="s">
        <v>930</v>
      </c>
      <c r="AD445" s="289" t="s">
        <v>14439</v>
      </c>
      <c r="AE445" s="290" t="s">
        <v>12279</v>
      </c>
      <c r="AF445" s="284" t="s">
        <v>12275</v>
      </c>
      <c r="AG445" s="296" t="s">
        <v>12276</v>
      </c>
      <c r="AH445" s="291" t="s">
        <v>12271</v>
      </c>
      <c r="AI445" s="291" t="s">
        <v>12272</v>
      </c>
      <c r="AJ445" s="414" t="s">
        <v>13154</v>
      </c>
      <c r="AK445" s="291" t="s">
        <v>12273</v>
      </c>
      <c r="AL445" s="297" t="s">
        <v>12274</v>
      </c>
      <c r="AM445" s="414" t="s">
        <v>13154</v>
      </c>
      <c r="AN445" s="303" t="s">
        <v>12199</v>
      </c>
      <c r="AO445" s="304" t="s">
        <v>12200</v>
      </c>
      <c r="AP445" s="304" t="s">
        <v>12201</v>
      </c>
      <c r="AQ445" s="304" t="s">
        <v>12202</v>
      </c>
      <c r="AR445" s="304" t="s">
        <v>12203</v>
      </c>
      <c r="AS445" s="304" t="s">
        <v>12204</v>
      </c>
      <c r="AT445" s="304" t="s">
        <v>12205</v>
      </c>
      <c r="AU445" s="305" t="s">
        <v>12206</v>
      </c>
      <c r="AV445" s="468"/>
      <c r="AW445" s="282" t="s">
        <v>12276</v>
      </c>
      <c r="AX445" s="282" t="s">
        <v>12280</v>
      </c>
      <c r="AY445" s="283" t="s">
        <v>12199</v>
      </c>
      <c r="AZ445" s="283" t="s">
        <v>12200</v>
      </c>
      <c r="BA445" s="283" t="s">
        <v>12201</v>
      </c>
      <c r="BB445" s="283" t="s">
        <v>12202</v>
      </c>
      <c r="BC445" s="283" t="s">
        <v>12203</v>
      </c>
      <c r="BD445" s="283" t="s">
        <v>12204</v>
      </c>
      <c r="BE445" s="283" t="s">
        <v>12205</v>
      </c>
      <c r="BF445" s="300" t="s">
        <v>12206</v>
      </c>
    </row>
    <row r="446" spans="1:58" ht="12" thickBot="1" x14ac:dyDescent="0.25">
      <c r="A446" s="62" t="s">
        <v>12262</v>
      </c>
      <c r="B446" s="62" t="s">
        <v>12207</v>
      </c>
      <c r="C446" s="62">
        <v>2</v>
      </c>
      <c r="D446" s="62"/>
      <c r="E446" s="345" t="s">
        <v>9263</v>
      </c>
      <c r="F446" s="345" t="s">
        <v>12366</v>
      </c>
      <c r="G446" s="113">
        <v>0</v>
      </c>
      <c r="H446" s="113">
        <v>5</v>
      </c>
      <c r="I446" s="114"/>
      <c r="J446" s="114"/>
      <c r="K446" s="114"/>
      <c r="L446" s="81"/>
      <c r="M446" s="265" t="b">
        <f>NOT(ISERROR(ResultsInd[[#This Row],[Goal-A]]+ResultsInd[[#This Row],[Goal-B]]))</f>
        <v>1</v>
      </c>
      <c r="N446" s="265">
        <f>VALUE(ResultsInd[[#This Row],[Score-A]])</f>
        <v>0</v>
      </c>
      <c r="O446" s="265">
        <f>VALUE(ResultsInd[[#This Row],[Score-B]])</f>
        <v>5</v>
      </c>
      <c r="P446" s="265">
        <f ca="1">IF(AND(ResultsInd[[#This Row],[Category]]&lt;&gt;"",ResultsInd[[#This Row],[Player A]]&lt;&gt;""),COUNTIF(INDIRECT(ResultsInd[[#This Row],[Category]]&amp;"List[Retained Player Name]"),ResultsInd[[#This Row],[Player A]]),"")</f>
        <v>1</v>
      </c>
      <c r="Q446" s="265">
        <f ca="1">IF(AND(ResultsInd[[#This Row],[Category]]&lt;&gt;"",ResultsInd[[#This Row],[Player B]]&lt;&gt;""),COUNTIF(INDIRECT(ResultsInd[[#This Row],[Category]]&amp;"List[Retained Player Name]"),ResultsInd[[#This Row],[Player B]]),"")</f>
        <v>1</v>
      </c>
      <c r="R4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LADIES-Emilie Despretz</v>
      </c>
      <c r="S446" s="265" t="str">
        <f>IF(ResultsInd[[#This Row],[Score_OK]],IF(ResultsInd[[#This Row],[Stage]]="Groups",ResultsInd[[#This Row],[Category]]&amp;"-"&amp;IF(ResultsInd[[#This Row],[Player B]]="","",IF(ResultsInd[[#This Row],[Score-A]]=ResultsInd[[#This Row],[Score-B]],ResultsInd[[#This Row],[Player A]],"")),""),"")</f>
        <v>LADIES-</v>
      </c>
      <c r="T446" s="265" t="str">
        <f>IF(ResultsInd[[#This Row],[Score_OK]],IF(ResultsInd[[#This Row],[Stage]]="Groups",ResultsInd[[#This Row],[Category]]&amp;"-"&amp;IF(ResultsInd[[#This Row],[Player B]]="","",IF(ResultsInd[[#This Row],[Score-A]]=ResultsInd[[#This Row],[Score-B]],ResultsInd[[#This Row],[Player B]],"")),""),"")</f>
        <v>LADIES-</v>
      </c>
      <c r="U4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LADIES-Chrysoula Pappa</v>
      </c>
      <c r="V4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LADIES-Chrysoula Pappa</v>
      </c>
      <c r="X4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LADIES-Chrysoula Pappa</v>
      </c>
      <c r="Y446" s="264" t="str">
        <f>IF(ResultsInd[[#This Row],[Category]]="","",VLOOKUP(ResultsInd[[#This Row],[Stage]],$P$1:$V$9,MATCH(ResultsInd[[#This Row],[Category]],$Q$1:$V$1,0)+1,FALSE))</f>
        <v>PR1</v>
      </c>
      <c r="Z446" s="264" t="str">
        <f>IF(ResultsInd[[#This Row],[Score_OK]],IF(ResultsInd[[#This Row],[Level]]="R",ResultsInd[[#This Row],[Category]]&amp;"-"&amp;IF(ResultsInd[[#This Row],[LoseInKO]]=ResultsInd[[#This Row],[Category]]&amp;"-"&amp;ResultsInd[[#This Row],[Player A]],ResultsInd[[#This Row],[Player B]],ResultsInd[[#This Row],[Player A]]),""),"")</f>
        <v/>
      </c>
      <c r="AB446" s="8"/>
      <c r="AC446" s="12" t="str">
        <f>IF(AC445="","",AC445)</f>
        <v>U20</v>
      </c>
      <c r="AD446" s="309" t="s">
        <v>8120</v>
      </c>
      <c r="AE446" s="320"/>
      <c r="AF446" s="311"/>
      <c r="AG446" s="292">
        <f>IF(AP446="","",SMALL(AH446:AH452,ROWS(AG446:AG446)))</f>
        <v>1001</v>
      </c>
      <c r="AH446" s="293">
        <f>IF(AP446="","",RANK(AL446,AL446:AL452)*1000+ROWS(AH446:AH446))</f>
        <v>1001</v>
      </c>
      <c r="AI446" s="316">
        <f t="shared" ref="AI446:AI452" si="385">IF(AP446="","",CritClassInd1_Points*AN446+CritClassInd1_Matches*AP446+CritClassInd1_Attaque*AS446+CritClassInd1_DiffButs*AU446)</f>
        <v>9000000000000</v>
      </c>
      <c r="AJ446" s="415" t="b">
        <f>AND(AO446&lt;&gt;"",AO446&gt;0,COUNTIF(AI446:AI452,AI446)&gt;1)</f>
        <v>0</v>
      </c>
      <c r="AK446" s="316">
        <f t="shared" ref="AK446:AK452" si="386">IF(AP446="","",CritClassInd_ScorePart*AE446)</f>
        <v>0</v>
      </c>
      <c r="AL446" s="317">
        <f t="shared" ref="AL446:AL452" si="387">IF(AP446="","",AI446+AK446+CritClassInd2_Points*AN446+CritClassInd2_Matches*AP446+CritClassInd2_Attaque*AS446+CritClassInd2_DiffButs*AU446+AF446)</f>
        <v>9000000050800</v>
      </c>
      <c r="AM446" s="415" t="b">
        <f>AND(AO446&lt;&gt;"",AO446&gt;0,COUNTIF(AL446:AL452,AL446)&gt;1)</f>
        <v>0</v>
      </c>
      <c r="AN446" s="306">
        <f t="shared" ref="AN446:AN452" si="388">IF(AP446="","",(AP446*Points_Victoire)+AQ446*Points_Null)</f>
        <v>9</v>
      </c>
      <c r="AO446" s="307">
        <f t="shared" ref="AO446:AO452" si="389">IF(AP446="","",SUM(AP446:AR446))</f>
        <v>3</v>
      </c>
      <c r="AP446" s="307">
        <f>IF(OR(AC445="",AD446=""),"",COUNTIF(ResultsInd[Win],AC445&amp;"-"&amp;AD446))</f>
        <v>3</v>
      </c>
      <c r="AQ446" s="307">
        <f>IF(OR(AC445="",AD446=""),"",COUNTIF(ResultsInd[Draw1],AC445&amp;"-"&amp;AD446)+COUNTIF(ResultsInd[Draw2],AC445&amp;"-"&amp;AD446))</f>
        <v>0</v>
      </c>
      <c r="AR446" s="307">
        <f>IF(OR(AC445="",AD446=""),"",COUNTIF(ResultsInd[Lose],AC445&amp;"-"&amp;AD446))</f>
        <v>0</v>
      </c>
      <c r="AS446" s="307">
        <f>IF(OR(AC445="",AD446=""),"",SUMIFS(ResultsInd[Goal-A],ResultsInd[Category],AC445,ResultsInd[Stage],"Groups",ResultsInd[Player A],AD446)+SUMIFS(ResultsInd[Goal-B],ResultsInd[Category],AC445,ResultsInd[Stage],"Groups",ResultsInd[Player B],AD446))</f>
        <v>8</v>
      </c>
      <c r="AT446" s="307">
        <f>IF(OR(AC445="",AD446=""),"",SUMIFS(ResultsInd[Goal-B],ResultsInd[Category],AC445,ResultsInd[Stage],"Groups",ResultsInd[Player A],AD446)+SUMIFS(ResultsInd[Goal-A],ResultsInd[Category],AC445,ResultsInd[Stage],"Groups",ResultsInd[Player B],AD446))</f>
        <v>3</v>
      </c>
      <c r="AU446" s="308">
        <f>IF(AP446="","",AS446-AT446)</f>
        <v>5</v>
      </c>
      <c r="AV446" s="469" t="b">
        <f>IF(AG446="","",OR(VLOOKUP(AG446,AH446:AU452,3,FALSE),VLOOKUP(AG446,AH446:AU452,6,FALSE)))</f>
        <v>0</v>
      </c>
      <c r="AW446" s="298">
        <f t="shared" ref="AW446:AW452" si="390">IF(AG446="","",INT(AG446/1000))</f>
        <v>1</v>
      </c>
      <c r="AX446" s="285" t="str">
        <f>IF(AG446="","",INDEX(AD446:AD452,MATCH(AG446,AH446:AH452,0)))</f>
        <v>Lucas Pere</v>
      </c>
      <c r="AY446" s="286">
        <f>IF(AG446="","",VLOOKUP(AG446,AH446:AU452,COLUMN()-COLUMN(AR445),FALSE))</f>
        <v>9</v>
      </c>
      <c r="AZ446" s="286">
        <f>IF(AG446="","",VLOOKUP(AG446,AH446:AU452,COLUMN()-COLUMN(AR445),FALSE))</f>
        <v>3</v>
      </c>
      <c r="BA446" s="286">
        <f>IF(AG446="","",VLOOKUP(AG446,AH446:AU452,COLUMN()-COLUMN(AR445),FALSE))</f>
        <v>3</v>
      </c>
      <c r="BB446" s="286">
        <f>IF(AG446="","",VLOOKUP(AG446,AH446:AU452,COLUMN()-COLUMN(AR445),FALSE))</f>
        <v>0</v>
      </c>
      <c r="BC446" s="286">
        <f>IF(AG446="","",VLOOKUP(AG446,AH446:AU452,COLUMN()-COLUMN(AR445),FALSE))</f>
        <v>0</v>
      </c>
      <c r="BD446" s="286">
        <f>IF(AG446="","",VLOOKUP(AG446,AH446:AU452,COLUMN()-COLUMN(AR445),FALSE))</f>
        <v>8</v>
      </c>
      <c r="BE446" s="286">
        <f>IF(AG446="","",VLOOKUP(AG446,AH446:AU452,COLUMN()-COLUMN(AR445),FALSE))</f>
        <v>3</v>
      </c>
      <c r="BF446" s="301">
        <f>IF(AG446="","",VLOOKUP(AG446,AH446:AU452,COLUMN()-COLUMN(AR445),FALSE))</f>
        <v>5</v>
      </c>
    </row>
    <row r="447" spans="1:58" ht="12" thickBot="1" x14ac:dyDescent="0.25">
      <c r="A447" s="62" t="s">
        <v>12262</v>
      </c>
      <c r="B447" s="62" t="s">
        <v>12207</v>
      </c>
      <c r="C447" s="62">
        <v>2</v>
      </c>
      <c r="D447" s="62"/>
      <c r="E447" s="345" t="s">
        <v>8704</v>
      </c>
      <c r="F447" s="345" t="s">
        <v>8184</v>
      </c>
      <c r="G447" s="113">
        <v>3</v>
      </c>
      <c r="H447" s="113">
        <v>1</v>
      </c>
      <c r="I447" s="114"/>
      <c r="J447" s="114"/>
      <c r="K447" s="114"/>
      <c r="L447" s="81"/>
      <c r="M447" s="265" t="b">
        <f>NOT(ISERROR(ResultsInd[[#This Row],[Goal-A]]+ResultsInd[[#This Row],[Goal-B]]))</f>
        <v>1</v>
      </c>
      <c r="N447" s="265">
        <f>VALUE(ResultsInd[[#This Row],[Score-A]])</f>
        <v>3</v>
      </c>
      <c r="O447" s="265">
        <f>VALUE(ResultsInd[[#This Row],[Score-B]])</f>
        <v>1</v>
      </c>
      <c r="P447" s="265">
        <f ca="1">IF(AND(ResultsInd[[#This Row],[Category]]&lt;&gt;"",ResultsInd[[#This Row],[Player A]]&lt;&gt;""),COUNTIF(INDIRECT(ResultsInd[[#This Row],[Category]]&amp;"List[Retained Player Name]"),ResultsInd[[#This Row],[Player A]]),"")</f>
        <v>1</v>
      </c>
      <c r="Q447" s="265">
        <f ca="1">IF(AND(ResultsInd[[#This Row],[Category]]&lt;&gt;"",ResultsInd[[#This Row],[Player B]]&lt;&gt;""),COUNTIF(INDIRECT(ResultsInd[[#This Row],[Category]]&amp;"List[Retained Player Name]"),ResultsInd[[#This Row],[Player B]]),"")</f>
        <v>1</v>
      </c>
      <c r="R4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LADIES-Audrey Herbaut</v>
      </c>
      <c r="S447" s="265" t="str">
        <f>IF(ResultsInd[[#This Row],[Score_OK]],IF(ResultsInd[[#This Row],[Stage]]="Groups",ResultsInd[[#This Row],[Category]]&amp;"-"&amp;IF(ResultsInd[[#This Row],[Player B]]="","",IF(ResultsInd[[#This Row],[Score-A]]=ResultsInd[[#This Row],[Score-B]],ResultsInd[[#This Row],[Player A]],"")),""),"")</f>
        <v>LADIES-</v>
      </c>
      <c r="T447" s="265" t="str">
        <f>IF(ResultsInd[[#This Row],[Score_OK]],IF(ResultsInd[[#This Row],[Stage]]="Groups",ResultsInd[[#This Row],[Category]]&amp;"-"&amp;IF(ResultsInd[[#This Row],[Player B]]="","",IF(ResultsInd[[#This Row],[Score-A]]=ResultsInd[[#This Row],[Score-B]],ResultsInd[[#This Row],[Player B]],"")),""),"")</f>
        <v>LADIES-</v>
      </c>
      <c r="U4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LADIES-Mélina Scheen</v>
      </c>
      <c r="V4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LADIES-Mélina Scheen</v>
      </c>
      <c r="X4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LADIES-Mélina Scheen</v>
      </c>
      <c r="Y447" s="264" t="str">
        <f>IF(ResultsInd[[#This Row],[Category]]="","",VLOOKUP(ResultsInd[[#This Row],[Stage]],$P$1:$V$9,MATCH(ResultsInd[[#This Row],[Category]],$Q$1:$V$1,0)+1,FALSE))</f>
        <v>PR1</v>
      </c>
      <c r="Z447" s="264" t="str">
        <f>IF(ResultsInd[[#This Row],[Score_OK]],IF(ResultsInd[[#This Row],[Level]]="R",ResultsInd[[#This Row],[Category]]&amp;"-"&amp;IF(ResultsInd[[#This Row],[LoseInKO]]=ResultsInd[[#This Row],[Category]]&amp;"-"&amp;ResultsInd[[#This Row],[Player A]],ResultsInd[[#This Row],[Player B]],ResultsInd[[#This Row],[Player A]]),""),"")</f>
        <v/>
      </c>
      <c r="AB447" s="8"/>
      <c r="AC447" s="12" t="str">
        <f t="shared" ref="AC447:AC452" si="391">IF(AC446="","",AC446)</f>
        <v>U20</v>
      </c>
      <c r="AD447" s="309" t="s">
        <v>8194</v>
      </c>
      <c r="AE447" s="320"/>
      <c r="AF447" s="311"/>
      <c r="AG447" s="292">
        <f>IF(AP447="","",SMALL(AH446:AH452,ROWS(AG446:AG447)))</f>
        <v>2002</v>
      </c>
      <c r="AH447" s="293">
        <f>IF(AP447="","",RANK(AL447,AL446:AL452)*1000+ROWS(AH446:AH447))</f>
        <v>2002</v>
      </c>
      <c r="AI447" s="316">
        <f t="shared" si="385"/>
        <v>4000000000000</v>
      </c>
      <c r="AJ447" s="415" t="b">
        <f>AND(AO447&lt;&gt;"",AO447&gt;0,COUNTIF(AI446:AI452,AI447)&gt;1)</f>
        <v>0</v>
      </c>
      <c r="AK447" s="316">
        <f t="shared" si="386"/>
        <v>0</v>
      </c>
      <c r="AL447" s="317">
        <f t="shared" si="387"/>
        <v>4000000000600</v>
      </c>
      <c r="AM447" s="415" t="b">
        <f>AND(AO447&lt;&gt;"",AO447&gt;0,COUNTIF(AL446:AL452,AL447)&gt;1)</f>
        <v>0</v>
      </c>
      <c r="AN447" s="306">
        <f t="shared" si="388"/>
        <v>4</v>
      </c>
      <c r="AO447" s="307">
        <f t="shared" si="389"/>
        <v>3</v>
      </c>
      <c r="AP447" s="307">
        <f>IF(OR(AC445="",AD447=""),"",COUNTIF(ResultsInd[Win],AC445&amp;"-"&amp;AD447))</f>
        <v>1</v>
      </c>
      <c r="AQ447" s="307">
        <f>IF(OR(AC445="",AD447=""),"",COUNTIF(ResultsInd[Draw1],AC445&amp;"-"&amp;AD447)+COUNTIF(ResultsInd[Draw2],AC445&amp;"-"&amp;AD447))</f>
        <v>1</v>
      </c>
      <c r="AR447" s="307">
        <f>IF(OR(AC445="",AD447=""),"",COUNTIF(ResultsInd[Lose],AC445&amp;"-"&amp;AD447))</f>
        <v>1</v>
      </c>
      <c r="AS447" s="307">
        <f>IF(OR(AC445="",AD447=""),"",SUMIFS(ResultsInd[Goal-A],ResultsInd[Category],AC445,ResultsInd[Stage],"Groups",ResultsInd[Player A],AD447)+SUMIFS(ResultsInd[Goal-B],ResultsInd[Category],AC445,ResultsInd[Stage],"Groups",ResultsInd[Player B],AD447))</f>
        <v>6</v>
      </c>
      <c r="AT447" s="307">
        <f>IF(OR(AC445="",AD447=""),"",SUMIFS(ResultsInd[Goal-B],ResultsInd[Category],AC445,ResultsInd[Stage],"Groups",ResultsInd[Player A],AD447)+SUMIFS(ResultsInd[Goal-A],ResultsInd[Category],AC445,ResultsInd[Stage],"Groups",ResultsInd[Player B],AD447))</f>
        <v>6</v>
      </c>
      <c r="AU447" s="308">
        <f t="shared" ref="AU447:AU452" si="392">IF(AP447="","",AS447-AT447)</f>
        <v>0</v>
      </c>
      <c r="AV447" s="469" t="b">
        <f>IF(AG447="","",OR(VLOOKUP(AG447,AH446:AU452,3,FALSE),VLOOKUP(AG447,AH446:AU452,6,FALSE)))</f>
        <v>0</v>
      </c>
      <c r="AW447" s="298">
        <f t="shared" si="390"/>
        <v>2</v>
      </c>
      <c r="AX447" s="285" t="str">
        <f>IF(AG447="","",INDEX(AD446:AD452,MATCH(AG447,AH446:AH452,0)))</f>
        <v>Noah Janssens</v>
      </c>
      <c r="AY447" s="286">
        <f>IF(AG447="","",VLOOKUP(AG447,AH446:AU452,COLUMN()-COLUMN(AR445),FALSE))</f>
        <v>4</v>
      </c>
      <c r="AZ447" s="286">
        <f>IF(AG447="","",VLOOKUP(AG447,AH446:AU452,COLUMN()-COLUMN(AR445),FALSE))</f>
        <v>3</v>
      </c>
      <c r="BA447" s="286">
        <f>IF(AG447="","",VLOOKUP(AG447,AH446:AU452,COLUMN()-COLUMN(AR445),FALSE))</f>
        <v>1</v>
      </c>
      <c r="BB447" s="286">
        <f>IF(AG447="","",VLOOKUP(AG447,AH446:AU452,COLUMN()-COLUMN(AR445),FALSE))</f>
        <v>1</v>
      </c>
      <c r="BC447" s="286">
        <f>IF(AG447="","",VLOOKUP(AG447,AH446:AU452,COLUMN()-COLUMN(AR445),FALSE))</f>
        <v>1</v>
      </c>
      <c r="BD447" s="286">
        <f>IF(AG447="","",VLOOKUP(AG447,AH446:AU452,COLUMN()-COLUMN(AR445),FALSE))</f>
        <v>6</v>
      </c>
      <c r="BE447" s="286">
        <f>IF(AG447="","",VLOOKUP(AG447,AH446:AU452,COLUMN()-COLUMN(AR445),FALSE))</f>
        <v>6</v>
      </c>
      <c r="BF447" s="301">
        <f>IF(AG447="","",VLOOKUP(AG447,AH446:AU452,COLUMN()-COLUMN(AR445),FALSE))</f>
        <v>0</v>
      </c>
    </row>
    <row r="448" spans="1:58" ht="12" thickBot="1" x14ac:dyDescent="0.25">
      <c r="A448" s="62" t="s">
        <v>930</v>
      </c>
      <c r="B448" s="62" t="s">
        <v>12207</v>
      </c>
      <c r="C448" s="62">
        <v>1</v>
      </c>
      <c r="D448" s="62"/>
      <c r="E448" s="345" t="s">
        <v>8120</v>
      </c>
      <c r="F448" s="345" t="s">
        <v>11594</v>
      </c>
      <c r="G448" s="113">
        <v>2</v>
      </c>
      <c r="H448" s="113">
        <v>1</v>
      </c>
      <c r="I448" s="114"/>
      <c r="J448" s="114"/>
      <c r="K448" s="114"/>
      <c r="L448" s="81"/>
      <c r="M448" s="265" t="b">
        <f>NOT(ISERROR(ResultsInd[[#This Row],[Goal-A]]+ResultsInd[[#This Row],[Goal-B]]))</f>
        <v>1</v>
      </c>
      <c r="N448" s="265">
        <f>VALUE(ResultsInd[[#This Row],[Score-A]])</f>
        <v>2</v>
      </c>
      <c r="O448" s="265">
        <f>VALUE(ResultsInd[[#This Row],[Score-B]])</f>
        <v>1</v>
      </c>
      <c r="P448" s="265">
        <f ca="1">IF(AND(ResultsInd[[#This Row],[Category]]&lt;&gt;"",ResultsInd[[#This Row],[Player A]]&lt;&gt;""),COUNTIF(INDIRECT(ResultsInd[[#This Row],[Category]]&amp;"List[Retained Player Name]"),ResultsInd[[#This Row],[Player A]]),"")</f>
        <v>1</v>
      </c>
      <c r="Q448" s="265">
        <f ca="1">IF(AND(ResultsInd[[#This Row],[Category]]&lt;&gt;"",ResultsInd[[#This Row],[Player B]]&lt;&gt;""),COUNTIF(INDIRECT(ResultsInd[[#This Row],[Category]]&amp;"List[Retained Player Name]"),ResultsInd[[#This Row],[Player B]]),"")</f>
        <v>1</v>
      </c>
      <c r="R4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U20-Lucas Pere</v>
      </c>
      <c r="S448" s="265" t="str">
        <f>IF(ResultsInd[[#This Row],[Score_OK]],IF(ResultsInd[[#This Row],[Stage]]="Groups",ResultsInd[[#This Row],[Category]]&amp;"-"&amp;IF(ResultsInd[[#This Row],[Player B]]="","",IF(ResultsInd[[#This Row],[Score-A]]=ResultsInd[[#This Row],[Score-B]],ResultsInd[[#This Row],[Player A]],"")),""),"")</f>
        <v>U20-</v>
      </c>
      <c r="T448" s="265" t="str">
        <f>IF(ResultsInd[[#This Row],[Score_OK]],IF(ResultsInd[[#This Row],[Stage]]="Groups",ResultsInd[[#This Row],[Category]]&amp;"-"&amp;IF(ResultsInd[[#This Row],[Player B]]="","",IF(ResultsInd[[#This Row],[Score-A]]=ResultsInd[[#This Row],[Score-B]],ResultsInd[[#This Row],[Player B]],"")),""),"")</f>
        <v>U20-</v>
      </c>
      <c r="U4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U20-Aurélien Feye</v>
      </c>
      <c r="V4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U20-Aurélien Feye</v>
      </c>
      <c r="X4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U20-Aurélien Feye</v>
      </c>
      <c r="Y448" s="264" t="str">
        <f>IF(ResultsInd[[#This Row],[Category]]="","",VLOOKUP(ResultsInd[[#This Row],[Stage]],$P$1:$V$9,MATCH(ResultsInd[[#This Row],[Category]],$Q$1:$V$1,0)+1,FALSE))</f>
        <v>PR1</v>
      </c>
      <c r="Z448" s="264" t="str">
        <f>IF(ResultsInd[[#This Row],[Score_OK]],IF(ResultsInd[[#This Row],[Level]]="R",ResultsInd[[#This Row],[Category]]&amp;"-"&amp;IF(ResultsInd[[#This Row],[LoseInKO]]=ResultsInd[[#This Row],[Category]]&amp;"-"&amp;ResultsInd[[#This Row],[Player A]],ResultsInd[[#This Row],[Player B]],ResultsInd[[#This Row],[Player A]]),""),"")</f>
        <v/>
      </c>
      <c r="AB448" s="8"/>
      <c r="AC448" s="12" t="str">
        <f t="shared" si="391"/>
        <v>U20</v>
      </c>
      <c r="AD448" s="309" t="s">
        <v>11594</v>
      </c>
      <c r="AE448" s="320"/>
      <c r="AF448" s="311"/>
      <c r="AG448" s="292">
        <f>IF(AP448="","",SMALL(AH446:AH452,ROWS(AG446:AG448)))</f>
        <v>3003</v>
      </c>
      <c r="AH448" s="293">
        <f>IF(AP448="","",RANK(AL448,AL446:AL452)*1000+ROWS(AH446:AH448))</f>
        <v>3003</v>
      </c>
      <c r="AI448" s="316">
        <f t="shared" si="385"/>
        <v>3000000000000</v>
      </c>
      <c r="AJ448" s="415" t="b">
        <f>AND(AO448&lt;&gt;"",AO448&gt;0,COUNTIF(AI446:AI452,AI448)&gt;1)</f>
        <v>0</v>
      </c>
      <c r="AK448" s="316">
        <f t="shared" si="386"/>
        <v>0</v>
      </c>
      <c r="AL448" s="317">
        <f t="shared" si="387"/>
        <v>2999999990600</v>
      </c>
      <c r="AM448" s="415" t="b">
        <f>AND(AO448&lt;&gt;"",AO448&gt;0,COUNTIF(AL446:AL452,AL448)&gt;1)</f>
        <v>0</v>
      </c>
      <c r="AN448" s="306">
        <f t="shared" si="388"/>
        <v>3</v>
      </c>
      <c r="AO448" s="307">
        <f t="shared" si="389"/>
        <v>3</v>
      </c>
      <c r="AP448" s="307">
        <f>IF(OR(AC445="",AD448=""),"",COUNTIF(ResultsInd[Win],AC445&amp;"-"&amp;AD448))</f>
        <v>1</v>
      </c>
      <c r="AQ448" s="307">
        <f>IF(OR(AC445="",AD448=""),"",COUNTIF(ResultsInd[Draw1],AC445&amp;"-"&amp;AD448)+COUNTIF(ResultsInd[Draw2],AC445&amp;"-"&amp;AD448))</f>
        <v>0</v>
      </c>
      <c r="AR448" s="307">
        <f>IF(OR(AC445="",AD448=""),"",COUNTIF(ResultsInd[Lose],AC445&amp;"-"&amp;AD448))</f>
        <v>2</v>
      </c>
      <c r="AS448" s="307">
        <f>IF(OR(AC445="",AD448=""),"",SUMIFS(ResultsInd[Goal-A],ResultsInd[Category],AC445,ResultsInd[Stage],"Groups",ResultsInd[Player A],AD448)+SUMIFS(ResultsInd[Goal-B],ResultsInd[Category],AC445,ResultsInd[Stage],"Groups",ResultsInd[Player B],AD448))</f>
        <v>6</v>
      </c>
      <c r="AT448" s="307">
        <f>IF(OR(AC445="",AD448=""),"",SUMIFS(ResultsInd[Goal-B],ResultsInd[Category],AC445,ResultsInd[Stage],"Groups",ResultsInd[Player A],AD448)+SUMIFS(ResultsInd[Goal-A],ResultsInd[Category],AC445,ResultsInd[Stage],"Groups",ResultsInd[Player B],AD448))</f>
        <v>7</v>
      </c>
      <c r="AU448" s="308">
        <f t="shared" si="392"/>
        <v>-1</v>
      </c>
      <c r="AV448" s="469" t="b">
        <f>IF(AG448="","",OR(VLOOKUP(AG448,AH446:AU452,3,FALSE),VLOOKUP(AG448,AH446:AU452,6,FALSE)))</f>
        <v>0</v>
      </c>
      <c r="AW448" s="298">
        <f t="shared" si="390"/>
        <v>3</v>
      </c>
      <c r="AX448" s="285" t="str">
        <f>IF(AG448="","",INDEX(AD446:AD452,MATCH(AG448,AH446:AH452,0)))</f>
        <v>Aurélien Feye</v>
      </c>
      <c r="AY448" s="286">
        <f>IF(AG448="","",VLOOKUP(AG448,AH446:AU452,COLUMN()-COLUMN(AR445),FALSE))</f>
        <v>3</v>
      </c>
      <c r="AZ448" s="286">
        <f>IF(AG448="","",VLOOKUP(AG448,AH446:AU452,COLUMN()-COLUMN(AR445),FALSE))</f>
        <v>3</v>
      </c>
      <c r="BA448" s="286">
        <f>IF(AG448="","",VLOOKUP(AG448,AH446:AU452,COLUMN()-COLUMN(AR445),FALSE))</f>
        <v>1</v>
      </c>
      <c r="BB448" s="286">
        <f>IF(AG448="","",VLOOKUP(AG448,AH446:AU452,COLUMN()-COLUMN(AR445),FALSE))</f>
        <v>0</v>
      </c>
      <c r="BC448" s="286">
        <f>IF(AG448="","",VLOOKUP(AG448,AH446:AU452,COLUMN()-COLUMN(AR445),FALSE))</f>
        <v>2</v>
      </c>
      <c r="BD448" s="286">
        <f>IF(AG448="","",VLOOKUP(AG448,AH446:AU452,COLUMN()-COLUMN(AR445),FALSE))</f>
        <v>6</v>
      </c>
      <c r="BE448" s="286">
        <f>IF(AG448="","",VLOOKUP(AG448,AH446:AU452,COLUMN()-COLUMN(AR445),FALSE))</f>
        <v>7</v>
      </c>
      <c r="BF448" s="301">
        <f>IF(AG448="","",VLOOKUP(AG448,AH446:AU452,COLUMN()-COLUMN(AR445),FALSE))</f>
        <v>-1</v>
      </c>
    </row>
    <row r="449" spans="1:58" ht="12" thickBot="1" x14ac:dyDescent="0.25">
      <c r="A449" s="62" t="s">
        <v>930</v>
      </c>
      <c r="B449" s="62" t="s">
        <v>12207</v>
      </c>
      <c r="C449" s="62">
        <v>1</v>
      </c>
      <c r="D449" s="62"/>
      <c r="E449" s="345" t="s">
        <v>8170</v>
      </c>
      <c r="F449" s="345" t="s">
        <v>8194</v>
      </c>
      <c r="G449" s="113">
        <v>1</v>
      </c>
      <c r="H449" s="113">
        <v>1</v>
      </c>
      <c r="I449" s="114"/>
      <c r="J449" s="114"/>
      <c r="K449" s="114"/>
      <c r="L449" s="81"/>
      <c r="M449" s="265" t="b">
        <f>NOT(ISERROR(ResultsInd[[#This Row],[Goal-A]]+ResultsInd[[#This Row],[Goal-B]]))</f>
        <v>1</v>
      </c>
      <c r="N449" s="265">
        <f>VALUE(ResultsInd[[#This Row],[Score-A]])</f>
        <v>1</v>
      </c>
      <c r="O449" s="265">
        <f>VALUE(ResultsInd[[#This Row],[Score-B]])</f>
        <v>1</v>
      </c>
      <c r="P449" s="265">
        <f ca="1">IF(AND(ResultsInd[[#This Row],[Category]]&lt;&gt;"",ResultsInd[[#This Row],[Player A]]&lt;&gt;""),COUNTIF(INDIRECT(ResultsInd[[#This Row],[Category]]&amp;"List[Retained Player Name]"),ResultsInd[[#This Row],[Player A]]),"")</f>
        <v>1</v>
      </c>
      <c r="Q449" s="265">
        <f ca="1">IF(AND(ResultsInd[[#This Row],[Category]]&lt;&gt;"",ResultsInd[[#This Row],[Player B]]&lt;&gt;""),COUNTIF(INDIRECT(ResultsInd[[#This Row],[Category]]&amp;"List[Retained Player Name]"),ResultsInd[[#This Row],[Player B]]),"")</f>
        <v>1</v>
      </c>
      <c r="R4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v>
      </c>
      <c r="S449" s="265" t="str">
        <f>IF(ResultsInd[[#This Row],[Score_OK]],IF(ResultsInd[[#This Row],[Stage]]="Groups",ResultsInd[[#This Row],[Category]]&amp;"-"&amp;IF(ResultsInd[[#This Row],[Player B]]="","",IF(ResultsInd[[#This Row],[Score-A]]=ResultsInd[[#This Row],[Score-B]],ResultsInd[[#This Row],[Player A]],"")),""),"")</f>
        <v>U20-Lucas Raison</v>
      </c>
      <c r="T449" s="265" t="str">
        <f>IF(ResultsInd[[#This Row],[Score_OK]],IF(ResultsInd[[#This Row],[Stage]]="Groups",ResultsInd[[#This Row],[Category]]&amp;"-"&amp;IF(ResultsInd[[#This Row],[Player B]]="","",IF(ResultsInd[[#This Row],[Score-A]]=ResultsInd[[#This Row],[Score-B]],ResultsInd[[#This Row],[Player B]],"")),""),"")</f>
        <v>U20-Noah Janssens</v>
      </c>
      <c r="U4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v>
      </c>
      <c r="V4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U20-Lucas Raison</v>
      </c>
      <c r="X4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U20-Noah Janssens</v>
      </c>
      <c r="Y449" s="264" t="str">
        <f>IF(ResultsInd[[#This Row],[Category]]="","",VLOOKUP(ResultsInd[[#This Row],[Stage]],$P$1:$V$9,MATCH(ResultsInd[[#This Row],[Category]],$Q$1:$V$1,0)+1,FALSE))</f>
        <v>PR1</v>
      </c>
      <c r="Z449" s="264" t="str">
        <f>IF(ResultsInd[[#This Row],[Score_OK]],IF(ResultsInd[[#This Row],[Level]]="R",ResultsInd[[#This Row],[Category]]&amp;"-"&amp;IF(ResultsInd[[#This Row],[LoseInKO]]=ResultsInd[[#This Row],[Category]]&amp;"-"&amp;ResultsInd[[#This Row],[Player A]],ResultsInd[[#This Row],[Player B]],ResultsInd[[#This Row],[Player A]]),""),"")</f>
        <v/>
      </c>
      <c r="AB449" s="91"/>
      <c r="AC449" s="12" t="str">
        <f t="shared" si="391"/>
        <v>U20</v>
      </c>
      <c r="AD449" s="309" t="s">
        <v>8170</v>
      </c>
      <c r="AE449" s="310"/>
      <c r="AF449" s="311"/>
      <c r="AG449" s="292">
        <f>IF(AP449="","",SMALL(AH446:AH452,ROWS(AG446:AG449)))</f>
        <v>4004</v>
      </c>
      <c r="AH449" s="293">
        <f>IF(AP449="","",RANK(AL449,AL446:AL452)*1000+ROWS(AH446:AH449))</f>
        <v>4004</v>
      </c>
      <c r="AI449" s="316">
        <f t="shared" si="385"/>
        <v>1000000000000</v>
      </c>
      <c r="AJ449" s="415" t="b">
        <f>AND(AO449&lt;&gt;"",AO449&gt;0,COUNTIF(AI446:AI452,AI449)&gt;1)</f>
        <v>0</v>
      </c>
      <c r="AK449" s="316">
        <f t="shared" si="386"/>
        <v>0</v>
      </c>
      <c r="AL449" s="317">
        <f t="shared" si="387"/>
        <v>999999960300</v>
      </c>
      <c r="AM449" s="415" t="b">
        <f>AND(AO449&lt;&gt;"",AO449&gt;0,COUNTIF(AL446:AL452,AL449)&gt;1)</f>
        <v>0</v>
      </c>
      <c r="AN449" s="306">
        <f t="shared" si="388"/>
        <v>1</v>
      </c>
      <c r="AO449" s="307">
        <f t="shared" si="389"/>
        <v>3</v>
      </c>
      <c r="AP449" s="307">
        <f>IF(OR(AC445="",AD449=""),"",COUNTIF(ResultsInd[Win],AC445&amp;"-"&amp;AD449))</f>
        <v>0</v>
      </c>
      <c r="AQ449" s="307">
        <f>IF(OR(AC445="",AD449=""),"",COUNTIF(ResultsInd[Draw1],AC445&amp;"-"&amp;AD449)+COUNTIF(ResultsInd[Draw2],AC445&amp;"-"&amp;AD449))</f>
        <v>1</v>
      </c>
      <c r="AR449" s="307">
        <f>IF(OR(AC445="",AD449=""),"",COUNTIF(ResultsInd[Lose],AC445&amp;"-"&amp;AD449))</f>
        <v>2</v>
      </c>
      <c r="AS449" s="307">
        <f>IF(OR(AC445="",AD449=""),"",SUMIFS(ResultsInd[Goal-A],ResultsInd[Category],AC445,ResultsInd[Stage],"Groups",ResultsInd[Player A],AD449)+SUMIFS(ResultsInd[Goal-B],ResultsInd[Category],AC445,ResultsInd[Stage],"Groups",ResultsInd[Player B],AD449))</f>
        <v>3</v>
      </c>
      <c r="AT449" s="307">
        <f>IF(OR(AC445="",AD449=""),"",SUMIFS(ResultsInd[Goal-B],ResultsInd[Category],AC445,ResultsInd[Stage],"Groups",ResultsInd[Player A],AD449)+SUMIFS(ResultsInd[Goal-A],ResultsInd[Category],AC445,ResultsInd[Stage],"Groups",ResultsInd[Player B],AD449))</f>
        <v>7</v>
      </c>
      <c r="AU449" s="308">
        <f t="shared" si="392"/>
        <v>-4</v>
      </c>
      <c r="AV449" s="469" t="b">
        <f>IF(AG449="","",OR(VLOOKUP(AG449,AH446:AU452,3,FALSE),VLOOKUP(AG449,AH446:AU452,6,FALSE)))</f>
        <v>0</v>
      </c>
      <c r="AW449" s="298">
        <f t="shared" si="390"/>
        <v>4</v>
      </c>
      <c r="AX449" s="285" t="str">
        <f>IF(AG449="","",INDEX(AD446:AD452,MATCH(AG449,AH446:AH452,0)))</f>
        <v>Lucas Raison</v>
      </c>
      <c r="AY449" s="286">
        <f>IF(AG449="","",VLOOKUP(AG449,AH446:AU452,COLUMN()-COLUMN(AR445),FALSE))</f>
        <v>1</v>
      </c>
      <c r="AZ449" s="286">
        <f>IF(AG449="","",VLOOKUP(AG449,AH446:AU452,COLUMN()-COLUMN(AR445),FALSE))</f>
        <v>3</v>
      </c>
      <c r="BA449" s="286">
        <f>IF(AG449="","",VLOOKUP(AG449,AH446:AU452,COLUMN()-COLUMN(AR445),FALSE))</f>
        <v>0</v>
      </c>
      <c r="BB449" s="286">
        <f>IF(AG449="","",VLOOKUP(AG449,AH446:AU452,COLUMN()-COLUMN(AR445),FALSE))</f>
        <v>1</v>
      </c>
      <c r="BC449" s="286">
        <f>IF(AG449="","",VLOOKUP(AG449,AH446:AU452,COLUMN()-COLUMN(AR445),FALSE))</f>
        <v>2</v>
      </c>
      <c r="BD449" s="286">
        <f>IF(AG449="","",VLOOKUP(AG449,AH446:AU452,COLUMN()-COLUMN(AR445),FALSE))</f>
        <v>3</v>
      </c>
      <c r="BE449" s="286">
        <f>IF(AG449="","",VLOOKUP(AG449,AH446:AU452,COLUMN()-COLUMN(AR445),FALSE))</f>
        <v>7</v>
      </c>
      <c r="BF449" s="301">
        <f>IF(AG449="","",VLOOKUP(AG449,AH446:AU452,COLUMN()-COLUMN(AR445),FALSE))</f>
        <v>-4</v>
      </c>
    </row>
    <row r="450" spans="1:58" ht="12" thickBot="1" x14ac:dyDescent="0.25">
      <c r="A450" s="62" t="s">
        <v>930</v>
      </c>
      <c r="B450" s="62" t="s">
        <v>12207</v>
      </c>
      <c r="C450" s="62">
        <v>1</v>
      </c>
      <c r="D450" s="62"/>
      <c r="E450" s="345" t="s">
        <v>8120</v>
      </c>
      <c r="F450" s="345" t="s">
        <v>8170</v>
      </c>
      <c r="G450" s="113">
        <v>3</v>
      </c>
      <c r="H450" s="113">
        <v>0</v>
      </c>
      <c r="I450" s="114"/>
      <c r="J450" s="114"/>
      <c r="K450" s="114"/>
      <c r="L450" s="81"/>
      <c r="M450" s="265" t="b">
        <f>NOT(ISERROR(ResultsInd[[#This Row],[Goal-A]]+ResultsInd[[#This Row],[Goal-B]]))</f>
        <v>1</v>
      </c>
      <c r="N450" s="265">
        <f>VALUE(ResultsInd[[#This Row],[Score-A]])</f>
        <v>3</v>
      </c>
      <c r="O450" s="265">
        <f>VALUE(ResultsInd[[#This Row],[Score-B]])</f>
        <v>0</v>
      </c>
      <c r="P450" s="265">
        <f ca="1">IF(AND(ResultsInd[[#This Row],[Category]]&lt;&gt;"",ResultsInd[[#This Row],[Player A]]&lt;&gt;""),COUNTIF(INDIRECT(ResultsInd[[#This Row],[Category]]&amp;"List[Retained Player Name]"),ResultsInd[[#This Row],[Player A]]),"")</f>
        <v>1</v>
      </c>
      <c r="Q450" s="265">
        <f ca="1">IF(AND(ResultsInd[[#This Row],[Category]]&lt;&gt;"",ResultsInd[[#This Row],[Player B]]&lt;&gt;""),COUNTIF(INDIRECT(ResultsInd[[#This Row],[Category]]&amp;"List[Retained Player Name]"),ResultsInd[[#This Row],[Player B]]),"")</f>
        <v>1</v>
      </c>
      <c r="R4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U20-Lucas Pere</v>
      </c>
      <c r="S450" s="265" t="str">
        <f>IF(ResultsInd[[#This Row],[Score_OK]],IF(ResultsInd[[#This Row],[Stage]]="Groups",ResultsInd[[#This Row],[Category]]&amp;"-"&amp;IF(ResultsInd[[#This Row],[Player B]]="","",IF(ResultsInd[[#This Row],[Score-A]]=ResultsInd[[#This Row],[Score-B]],ResultsInd[[#This Row],[Player A]],"")),""),"")</f>
        <v>U20-</v>
      </c>
      <c r="T450" s="265" t="str">
        <f>IF(ResultsInd[[#This Row],[Score_OK]],IF(ResultsInd[[#This Row],[Stage]]="Groups",ResultsInd[[#This Row],[Category]]&amp;"-"&amp;IF(ResultsInd[[#This Row],[Player B]]="","",IF(ResultsInd[[#This Row],[Score-A]]=ResultsInd[[#This Row],[Score-B]],ResultsInd[[#This Row],[Player B]],"")),""),"")</f>
        <v>U20-</v>
      </c>
      <c r="U4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U20-Lucas Raison</v>
      </c>
      <c r="V4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U20-Lucas Raison</v>
      </c>
      <c r="X4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U20-Lucas Raison</v>
      </c>
      <c r="Y450" s="264" t="str">
        <f>IF(ResultsInd[[#This Row],[Category]]="","",VLOOKUP(ResultsInd[[#This Row],[Stage]],$P$1:$V$9,MATCH(ResultsInd[[#This Row],[Category]],$Q$1:$V$1,0)+1,FALSE))</f>
        <v>PR1</v>
      </c>
      <c r="Z450" s="264" t="str">
        <f>IF(ResultsInd[[#This Row],[Score_OK]],IF(ResultsInd[[#This Row],[Level]]="R",ResultsInd[[#This Row],[Category]]&amp;"-"&amp;IF(ResultsInd[[#This Row],[LoseInKO]]=ResultsInd[[#This Row],[Category]]&amp;"-"&amp;ResultsInd[[#This Row],[Player A]],ResultsInd[[#This Row],[Player B]],ResultsInd[[#This Row],[Player A]]),""),"")</f>
        <v/>
      </c>
      <c r="AB450" s="91"/>
      <c r="AC450" s="12" t="str">
        <f t="shared" si="391"/>
        <v>U20</v>
      </c>
      <c r="AD450" s="309"/>
      <c r="AE450" s="310"/>
      <c r="AF450" s="311"/>
      <c r="AG450" s="292" t="str">
        <f>IF(AP450="","",SMALL(AH446:AH452,ROWS(AG446:AG450)))</f>
        <v/>
      </c>
      <c r="AH450" s="293" t="str">
        <f>IF(AP450="","",RANK(AL450,AL446:AL452)*1000+ROWS(AH446:AH450))</f>
        <v/>
      </c>
      <c r="AI450" s="316" t="str">
        <f t="shared" si="385"/>
        <v/>
      </c>
      <c r="AJ450" s="415" t="b">
        <f>AND(AO450&lt;&gt;"",AO450&gt;0,COUNTIF(AI446:AI452,AI450)&gt;1)</f>
        <v>0</v>
      </c>
      <c r="AK450" s="316" t="str">
        <f t="shared" si="386"/>
        <v/>
      </c>
      <c r="AL450" s="317" t="str">
        <f t="shared" si="387"/>
        <v/>
      </c>
      <c r="AM450" s="415" t="b">
        <f>AND(AO450&lt;&gt;"",AO450&gt;0,COUNTIF(AL446:AL452,AL450)&gt;1)</f>
        <v>0</v>
      </c>
      <c r="AN450" s="306" t="str">
        <f t="shared" si="388"/>
        <v/>
      </c>
      <c r="AO450" s="307" t="str">
        <f t="shared" si="389"/>
        <v/>
      </c>
      <c r="AP450" s="307" t="str">
        <f>IF(OR(AC445="",AD450=""),"",COUNTIF(ResultsInd[Win],AC445&amp;"-"&amp;AD450))</f>
        <v/>
      </c>
      <c r="AQ450" s="307" t="str">
        <f>IF(OR(AC445="",AD450=""),"",COUNTIF(ResultsInd[Draw1],AC445&amp;"-"&amp;AD450)+COUNTIF(ResultsInd[Draw2],AC445&amp;"-"&amp;AD450))</f>
        <v/>
      </c>
      <c r="AR450" s="307" t="str">
        <f>IF(OR(AC445="",AD450=""),"",COUNTIF(ResultsInd[Lose],AC445&amp;"-"&amp;AD450))</f>
        <v/>
      </c>
      <c r="AS450" s="307" t="str">
        <f>IF(OR(AC445="",AD450=""),"",SUMIFS(ResultsInd[Goal-A],ResultsInd[Category],AC445,ResultsInd[Stage],"Groups",ResultsInd[Player A],AD450)+SUMIFS(ResultsInd[Goal-B],ResultsInd[Category],AC445,ResultsInd[Stage],"Groups",ResultsInd[Player B],AD450))</f>
        <v/>
      </c>
      <c r="AT450" s="307" t="str">
        <f>IF(OR(AC445="",AD450=""),"",SUMIFS(ResultsInd[Goal-B],ResultsInd[Category],AC445,ResultsInd[Stage],"Groups",ResultsInd[Player A],AD450)+SUMIFS(ResultsInd[Goal-A],ResultsInd[Category],AC445,ResultsInd[Stage],"Groups",ResultsInd[Player B],AD450))</f>
        <v/>
      </c>
      <c r="AU450" s="308" t="str">
        <f t="shared" si="392"/>
        <v/>
      </c>
      <c r="AV450" s="469" t="str">
        <f>IF(AG450="","",OR(VLOOKUP(AG450,AH446:AU452,3,FALSE),VLOOKUP(AG450,AH446:AU452,6,FALSE)))</f>
        <v/>
      </c>
      <c r="AW450" s="298" t="str">
        <f t="shared" si="390"/>
        <v/>
      </c>
      <c r="AX450" s="285" t="str">
        <f>IF(AG450="","",INDEX(AD446:AD452,MATCH(AG450,AH446:AH452,0)))</f>
        <v/>
      </c>
      <c r="AY450" s="286" t="str">
        <f>IF(AG450="","",VLOOKUP(AG450,AH446:AU452,COLUMN()-COLUMN(AR445),FALSE))</f>
        <v/>
      </c>
      <c r="AZ450" s="286" t="str">
        <f>IF(AG450="","",VLOOKUP(AG450,AH446:AU452,COLUMN()-COLUMN(AR445),FALSE))</f>
        <v/>
      </c>
      <c r="BA450" s="286" t="str">
        <f>IF(AG450="","",VLOOKUP(AG450,AH446:AU452,COLUMN()-COLUMN(AR445),FALSE))</f>
        <v/>
      </c>
      <c r="BB450" s="286" t="str">
        <f>IF(AG450="","",VLOOKUP(AG450,AH446:AU452,COLUMN()-COLUMN(AR445),FALSE))</f>
        <v/>
      </c>
      <c r="BC450" s="286" t="str">
        <f>IF(AG450="","",VLOOKUP(AG450,AH446:AU452,COLUMN()-COLUMN(AR445),FALSE))</f>
        <v/>
      </c>
      <c r="BD450" s="286" t="str">
        <f>IF(AG450="","",VLOOKUP(AG450,AH446:AU452,COLUMN()-COLUMN(AR445),FALSE))</f>
        <v/>
      </c>
      <c r="BE450" s="286" t="str">
        <f>IF(AG450="","",VLOOKUP(AG450,AH446:AU452,COLUMN()-COLUMN(AR445),FALSE))</f>
        <v/>
      </c>
      <c r="BF450" s="301" t="str">
        <f>IF(AG450="","",VLOOKUP(AG450,AH446:AU452,COLUMN()-COLUMN(AR445),FALSE))</f>
        <v/>
      </c>
    </row>
    <row r="451" spans="1:58" ht="12" thickBot="1" x14ac:dyDescent="0.25">
      <c r="A451" s="62" t="s">
        <v>930</v>
      </c>
      <c r="B451" s="62" t="s">
        <v>12207</v>
      </c>
      <c r="C451" s="62">
        <v>1</v>
      </c>
      <c r="D451" s="62"/>
      <c r="E451" s="345" t="s">
        <v>11594</v>
      </c>
      <c r="F451" s="345" t="s">
        <v>8194</v>
      </c>
      <c r="G451" s="113">
        <v>2</v>
      </c>
      <c r="H451" s="113">
        <v>3</v>
      </c>
      <c r="I451" s="114"/>
      <c r="J451" s="114"/>
      <c r="K451" s="114"/>
      <c r="L451" s="81"/>
      <c r="M451" s="265" t="b">
        <f>NOT(ISERROR(ResultsInd[[#This Row],[Goal-A]]+ResultsInd[[#This Row],[Goal-B]]))</f>
        <v>1</v>
      </c>
      <c r="N451" s="265">
        <f>VALUE(ResultsInd[[#This Row],[Score-A]])</f>
        <v>2</v>
      </c>
      <c r="O451" s="265">
        <f>VALUE(ResultsInd[[#This Row],[Score-B]])</f>
        <v>3</v>
      </c>
      <c r="P451" s="265">
        <f ca="1">IF(AND(ResultsInd[[#This Row],[Category]]&lt;&gt;"",ResultsInd[[#This Row],[Player A]]&lt;&gt;""),COUNTIF(INDIRECT(ResultsInd[[#This Row],[Category]]&amp;"List[Retained Player Name]"),ResultsInd[[#This Row],[Player A]]),"")</f>
        <v>1</v>
      </c>
      <c r="Q451" s="265">
        <f ca="1">IF(AND(ResultsInd[[#This Row],[Category]]&lt;&gt;"",ResultsInd[[#This Row],[Player B]]&lt;&gt;""),COUNTIF(INDIRECT(ResultsInd[[#This Row],[Category]]&amp;"List[Retained Player Name]"),ResultsInd[[#This Row],[Player B]]),"")</f>
        <v>1</v>
      </c>
      <c r="R4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U20-Noah Janssens</v>
      </c>
      <c r="S451" s="265" t="str">
        <f>IF(ResultsInd[[#This Row],[Score_OK]],IF(ResultsInd[[#This Row],[Stage]]="Groups",ResultsInd[[#This Row],[Category]]&amp;"-"&amp;IF(ResultsInd[[#This Row],[Player B]]="","",IF(ResultsInd[[#This Row],[Score-A]]=ResultsInd[[#This Row],[Score-B]],ResultsInd[[#This Row],[Player A]],"")),""),"")</f>
        <v>U20-</v>
      </c>
      <c r="T451" s="265" t="str">
        <f>IF(ResultsInd[[#This Row],[Score_OK]],IF(ResultsInd[[#This Row],[Stage]]="Groups",ResultsInd[[#This Row],[Category]]&amp;"-"&amp;IF(ResultsInd[[#This Row],[Player B]]="","",IF(ResultsInd[[#This Row],[Score-A]]=ResultsInd[[#This Row],[Score-B]],ResultsInd[[#This Row],[Player B]],"")),""),"")</f>
        <v>U20-</v>
      </c>
      <c r="U4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U20-Aurélien Feye</v>
      </c>
      <c r="V4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U20-Aurélien Feye</v>
      </c>
      <c r="X4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U20-Aurélien Feye</v>
      </c>
      <c r="Y451" s="264" t="str">
        <f>IF(ResultsInd[[#This Row],[Category]]="","",VLOOKUP(ResultsInd[[#This Row],[Stage]],$P$1:$V$9,MATCH(ResultsInd[[#This Row],[Category]],$Q$1:$V$1,0)+1,FALSE))</f>
        <v>PR1</v>
      </c>
      <c r="Z451" s="264" t="str">
        <f>IF(ResultsInd[[#This Row],[Score_OK]],IF(ResultsInd[[#This Row],[Level]]="R",ResultsInd[[#This Row],[Category]]&amp;"-"&amp;IF(ResultsInd[[#This Row],[LoseInKO]]=ResultsInd[[#This Row],[Category]]&amp;"-"&amp;ResultsInd[[#This Row],[Player A]],ResultsInd[[#This Row],[Player B]],ResultsInd[[#This Row],[Player A]]),""),"")</f>
        <v/>
      </c>
      <c r="AB451" s="8"/>
      <c r="AC451" s="12" t="str">
        <f t="shared" si="391"/>
        <v>U20</v>
      </c>
      <c r="AD451" s="309"/>
      <c r="AE451" s="310"/>
      <c r="AF451" s="311"/>
      <c r="AG451" s="292" t="str">
        <f>IF(AP451="","",SMALL(AH446:AH452,ROWS(AG446:AG451)))</f>
        <v/>
      </c>
      <c r="AH451" s="293" t="str">
        <f>IF(AP451="","",RANK(AL451,AL446:AL452)*1000+ROWS(AH446:AH451))</f>
        <v/>
      </c>
      <c r="AI451" s="316" t="str">
        <f t="shared" si="385"/>
        <v/>
      </c>
      <c r="AJ451" s="415" t="b">
        <f>AND(AO451&lt;&gt;"",AO451&gt;0,COUNTIF(AI446:AI452,AI451)&gt;1)</f>
        <v>0</v>
      </c>
      <c r="AK451" s="316" t="str">
        <f t="shared" si="386"/>
        <v/>
      </c>
      <c r="AL451" s="317" t="str">
        <f t="shared" si="387"/>
        <v/>
      </c>
      <c r="AM451" s="415" t="b">
        <f>AND(AO451&lt;&gt;"",AO451&gt;0,COUNTIF(AL446:AL452,AL451)&gt;1)</f>
        <v>0</v>
      </c>
      <c r="AN451" s="306" t="str">
        <f t="shared" si="388"/>
        <v/>
      </c>
      <c r="AO451" s="307" t="str">
        <f t="shared" si="389"/>
        <v/>
      </c>
      <c r="AP451" s="307" t="str">
        <f>IF(OR(AC445="",AD451=""),"",COUNTIF(ResultsInd[Win],AC445&amp;"-"&amp;AD451))</f>
        <v/>
      </c>
      <c r="AQ451" s="307" t="str">
        <f>IF(OR(AC445="",AD451=""),"",COUNTIF(ResultsInd[Draw1],AC445&amp;"-"&amp;AD451)+COUNTIF(ResultsInd[Draw2],AC445&amp;"-"&amp;AD451))</f>
        <v/>
      </c>
      <c r="AR451" s="307" t="str">
        <f>IF(OR(AC445="",AD451=""),"",COUNTIF(ResultsInd[Lose],AC445&amp;"-"&amp;AD451))</f>
        <v/>
      </c>
      <c r="AS451" s="307" t="str">
        <f>IF(OR(AC445="",AD451=""),"",SUMIFS(ResultsInd[Goal-A],ResultsInd[Category],AC445,ResultsInd[Stage],"Groups",ResultsInd[Player A],AD451)+SUMIFS(ResultsInd[Goal-B],ResultsInd[Category],AC445,ResultsInd[Stage],"Groups",ResultsInd[Player B],AD451))</f>
        <v/>
      </c>
      <c r="AT451" s="307" t="str">
        <f>IF(OR(AC445="",AD451=""),"",SUMIFS(ResultsInd[Goal-B],ResultsInd[Category],AC445,ResultsInd[Stage],"Groups",ResultsInd[Player A],AD451)+SUMIFS(ResultsInd[Goal-A],ResultsInd[Category],AC445,ResultsInd[Stage],"Groups",ResultsInd[Player B],AD451))</f>
        <v/>
      </c>
      <c r="AU451" s="308" t="str">
        <f t="shared" si="392"/>
        <v/>
      </c>
      <c r="AV451" s="469" t="str">
        <f>IF(AG451="","",OR(VLOOKUP(AG451,AH446:AU452,3,FALSE),VLOOKUP(AG451,AH446:AU452,6,FALSE)))</f>
        <v/>
      </c>
      <c r="AW451" s="298" t="str">
        <f t="shared" si="390"/>
        <v/>
      </c>
      <c r="AX451" s="285" t="str">
        <f>IF(AG451="","",INDEX(AD446:AD452,MATCH(AG451,AH446:AH452,0)))</f>
        <v/>
      </c>
      <c r="AY451" s="286" t="str">
        <f>IF(AG451="","",VLOOKUP(AG451,AH446:AU452,COLUMN()-COLUMN(AR445),FALSE))</f>
        <v/>
      </c>
      <c r="AZ451" s="286" t="str">
        <f>IF(AG451="","",VLOOKUP(AG451,AH446:AU452,COLUMN()-COLUMN(AR445),FALSE))</f>
        <v/>
      </c>
      <c r="BA451" s="286" t="str">
        <f>IF(AG451="","",VLOOKUP(AG451,AH446:AU452,COLUMN()-COLUMN(AR445),FALSE))</f>
        <v/>
      </c>
      <c r="BB451" s="286" t="str">
        <f>IF(AG451="","",VLOOKUP(AG451,AH446:AU452,COLUMN()-COLUMN(AR445),FALSE))</f>
        <v/>
      </c>
      <c r="BC451" s="286" t="str">
        <f>IF(AG451="","",VLOOKUP(AG451,AH446:AU452,COLUMN()-COLUMN(AR445),FALSE))</f>
        <v/>
      </c>
      <c r="BD451" s="286" t="str">
        <f>IF(AG451="","",VLOOKUP(AG451,AH446:AU452,COLUMN()-COLUMN(AR445),FALSE))</f>
        <v/>
      </c>
      <c r="BE451" s="286" t="str">
        <f>IF(AG451="","",VLOOKUP(AG451,AH446:AU452,COLUMN()-COLUMN(AR445),FALSE))</f>
        <v/>
      </c>
      <c r="BF451" s="301" t="str">
        <f>IF(AG451="","",VLOOKUP(AG451,AH446:AU452,COLUMN()-COLUMN(AR445),FALSE))</f>
        <v/>
      </c>
    </row>
    <row r="452" spans="1:58" ht="12" thickBot="1" x14ac:dyDescent="0.25">
      <c r="A452" s="62" t="s">
        <v>930</v>
      </c>
      <c r="B452" s="62" t="s">
        <v>12207</v>
      </c>
      <c r="C452" s="62">
        <v>1</v>
      </c>
      <c r="D452" s="62"/>
      <c r="E452" s="345" t="s">
        <v>8194</v>
      </c>
      <c r="F452" s="345" t="s">
        <v>8120</v>
      </c>
      <c r="G452" s="113">
        <v>2</v>
      </c>
      <c r="H452" s="113">
        <v>3</v>
      </c>
      <c r="I452" s="114"/>
      <c r="J452" s="114"/>
      <c r="K452" s="114"/>
      <c r="L452" s="81"/>
      <c r="M452" s="265" t="b">
        <f>NOT(ISERROR(ResultsInd[[#This Row],[Goal-A]]+ResultsInd[[#This Row],[Goal-B]]))</f>
        <v>1</v>
      </c>
      <c r="N452" s="265">
        <f>VALUE(ResultsInd[[#This Row],[Score-A]])</f>
        <v>2</v>
      </c>
      <c r="O452" s="265">
        <f>VALUE(ResultsInd[[#This Row],[Score-B]])</f>
        <v>3</v>
      </c>
      <c r="P452" s="265">
        <f ca="1">IF(AND(ResultsInd[[#This Row],[Category]]&lt;&gt;"",ResultsInd[[#This Row],[Player A]]&lt;&gt;""),COUNTIF(INDIRECT(ResultsInd[[#This Row],[Category]]&amp;"List[Retained Player Name]"),ResultsInd[[#This Row],[Player A]]),"")</f>
        <v>1</v>
      </c>
      <c r="Q452" s="265">
        <f ca="1">IF(AND(ResultsInd[[#This Row],[Category]]&lt;&gt;"",ResultsInd[[#This Row],[Player B]]&lt;&gt;""),COUNTIF(INDIRECT(ResultsInd[[#This Row],[Category]]&amp;"List[Retained Player Name]"),ResultsInd[[#This Row],[Player B]]),"")</f>
        <v>1</v>
      </c>
      <c r="R4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U20-Lucas Pere</v>
      </c>
      <c r="S452" s="265" t="str">
        <f>IF(ResultsInd[[#This Row],[Score_OK]],IF(ResultsInd[[#This Row],[Stage]]="Groups",ResultsInd[[#This Row],[Category]]&amp;"-"&amp;IF(ResultsInd[[#This Row],[Player B]]="","",IF(ResultsInd[[#This Row],[Score-A]]=ResultsInd[[#This Row],[Score-B]],ResultsInd[[#This Row],[Player A]],"")),""),"")</f>
        <v>U20-</v>
      </c>
      <c r="T452" s="265" t="str">
        <f>IF(ResultsInd[[#This Row],[Score_OK]],IF(ResultsInd[[#This Row],[Stage]]="Groups",ResultsInd[[#This Row],[Category]]&amp;"-"&amp;IF(ResultsInd[[#This Row],[Player B]]="","",IF(ResultsInd[[#This Row],[Score-A]]=ResultsInd[[#This Row],[Score-B]],ResultsInd[[#This Row],[Player B]],"")),""),"")</f>
        <v>U20-</v>
      </c>
      <c r="U4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U20-Noah Janssens</v>
      </c>
      <c r="V4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U20-Noah Janssens</v>
      </c>
      <c r="X4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U20-Noah Janssens</v>
      </c>
      <c r="Y452" s="264" t="str">
        <f>IF(ResultsInd[[#This Row],[Category]]="","",VLOOKUP(ResultsInd[[#This Row],[Stage]],$P$1:$V$9,MATCH(ResultsInd[[#This Row],[Category]],$Q$1:$V$1,0)+1,FALSE))</f>
        <v>PR1</v>
      </c>
      <c r="Z452" s="264" t="str">
        <f>IF(ResultsInd[[#This Row],[Score_OK]],IF(ResultsInd[[#This Row],[Level]]="R",ResultsInd[[#This Row],[Category]]&amp;"-"&amp;IF(ResultsInd[[#This Row],[LoseInKO]]=ResultsInd[[#This Row],[Category]]&amp;"-"&amp;ResultsInd[[#This Row],[Player A]],ResultsInd[[#This Row],[Player B]],ResultsInd[[#This Row],[Player A]]),""),"")</f>
        <v/>
      </c>
      <c r="AB452" s="8"/>
      <c r="AC452" s="12" t="str">
        <f t="shared" si="391"/>
        <v>U20</v>
      </c>
      <c r="AD452" s="312"/>
      <c r="AE452" s="313"/>
      <c r="AF452" s="314"/>
      <c r="AG452" s="294" t="str">
        <f>IF(AP452="","",SMALL(AH446:AH452,ROWS(AG446:AG452)))</f>
        <v/>
      </c>
      <c r="AH452" s="295" t="str">
        <f>IF(AP452="","",RANK(AL452,AL446:AL452)*1000+ROWS(AH446:AH452))</f>
        <v/>
      </c>
      <c r="AI452" s="318" t="str">
        <f t="shared" si="385"/>
        <v/>
      </c>
      <c r="AJ452" s="416" t="b">
        <f>AND(AO452&lt;&gt;"",AO452&gt;0,COUNTIF(AI446:AI452,AI452)&gt;1)</f>
        <v>0</v>
      </c>
      <c r="AK452" s="318" t="str">
        <f t="shared" si="386"/>
        <v/>
      </c>
      <c r="AL452" s="319" t="str">
        <f t="shared" si="387"/>
        <v/>
      </c>
      <c r="AM452" s="416" t="b">
        <f>AND(AO452&lt;&gt;"",AO452&gt;0,COUNTIF(AL446:AL452,AL452)&gt;1)</f>
        <v>0</v>
      </c>
      <c r="AN452" s="306" t="str">
        <f t="shared" si="388"/>
        <v/>
      </c>
      <c r="AO452" s="307" t="str">
        <f t="shared" si="389"/>
        <v/>
      </c>
      <c r="AP452" s="307" t="str">
        <f>IF(OR(AC445="",AD452=""),"",COUNTIF(ResultsInd[Win],AC445&amp;"-"&amp;AD452))</f>
        <v/>
      </c>
      <c r="AQ452" s="307" t="str">
        <f>IF(OR(AC445="",AD452=""),"",COUNTIF(ResultsInd[Draw1],AC445&amp;"-"&amp;AD452)+COUNTIF(ResultsInd[Draw2],AC445&amp;"-"&amp;AD452))</f>
        <v/>
      </c>
      <c r="AR452" s="307" t="str">
        <f>IF(OR(AC445="",AD452=""),"",COUNTIF(ResultsInd[Lose],AC445&amp;"-"&amp;AD452))</f>
        <v/>
      </c>
      <c r="AS452" s="307" t="str">
        <f>IF(OR(AC445="",AD452=""),"",SUMIFS(ResultsInd[Goal-A],ResultsInd[Category],AC445,ResultsInd[Stage],"Groups",ResultsInd[Player A],AD452)+SUMIFS(ResultsInd[Goal-B],ResultsInd[Category],AC445,ResultsInd[Stage],"Groups",ResultsInd[Player B],AD452))</f>
        <v/>
      </c>
      <c r="AT452" s="307" t="str">
        <f>IF(OR(AC445="",AD452=""),"",SUMIFS(ResultsInd[Goal-B],ResultsInd[Category],AC445,ResultsInd[Stage],"Groups",ResultsInd[Player A],AD452)+SUMIFS(ResultsInd[Goal-A],ResultsInd[Category],AC445,ResultsInd[Stage],"Groups",ResultsInd[Player B],AD452))</f>
        <v/>
      </c>
      <c r="AU452" s="308" t="str">
        <f t="shared" si="392"/>
        <v/>
      </c>
      <c r="AV452" s="469" t="str">
        <f>IF(AG452="","",OR(VLOOKUP(AG452,AH446:AU452,3,FALSE),VLOOKUP(AG452,AH446:AU452,6,FALSE)))</f>
        <v/>
      </c>
      <c r="AW452" s="299" t="str">
        <f t="shared" si="390"/>
        <v/>
      </c>
      <c r="AX452" s="287" t="str">
        <f>IF(AG452="","",INDEX(AD446:AD452,MATCH(AG452,AH446:AH452,0)))</f>
        <v/>
      </c>
      <c r="AY452" s="288" t="str">
        <f>IF(AG452="","",VLOOKUP(AG452,AH446:AU452,COLUMN()-COLUMN(AR445),FALSE))</f>
        <v/>
      </c>
      <c r="AZ452" s="288" t="str">
        <f>IF(AG452="","",VLOOKUP(AG452,AH446:AU452,COLUMN()-COLUMN(AR445),FALSE))</f>
        <v/>
      </c>
      <c r="BA452" s="288" t="str">
        <f>IF(AG452="","",VLOOKUP(AG452,AH446:AU452,COLUMN()-COLUMN(AR445),FALSE))</f>
        <v/>
      </c>
      <c r="BB452" s="288" t="str">
        <f>IF(AG452="","",VLOOKUP(AG452,AH446:AU452,COLUMN()-COLUMN(AR445),FALSE))</f>
        <v/>
      </c>
      <c r="BC452" s="288" t="str">
        <f>IF(AG452="","",VLOOKUP(AG452,AH446:AU452,COLUMN()-COLUMN(AR445),FALSE))</f>
        <v/>
      </c>
      <c r="BD452" s="288" t="str">
        <f>IF(AG452="","",VLOOKUP(AG452,AH446:AU452,COLUMN()-COLUMN(AR445),FALSE))</f>
        <v/>
      </c>
      <c r="BE452" s="288" t="str">
        <f>IF(AG452="","",VLOOKUP(AG452,AH446:AU452,COLUMN()-COLUMN(AR445),FALSE))</f>
        <v/>
      </c>
      <c r="BF452" s="302" t="str">
        <f>IF(AG452="","",VLOOKUP(AG452,AH446:AU452,COLUMN()-COLUMN(AR445),FALSE))</f>
        <v/>
      </c>
    </row>
    <row r="453" spans="1:58" ht="13.5" thickBot="1" x14ac:dyDescent="0.25">
      <c r="A453" s="62" t="s">
        <v>930</v>
      </c>
      <c r="B453" s="62" t="s">
        <v>12207</v>
      </c>
      <c r="C453" s="62">
        <v>1</v>
      </c>
      <c r="D453" s="62"/>
      <c r="E453" s="345" t="s">
        <v>11594</v>
      </c>
      <c r="F453" s="345" t="s">
        <v>8170</v>
      </c>
      <c r="G453" s="113">
        <v>3</v>
      </c>
      <c r="H453" s="113">
        <v>2</v>
      </c>
      <c r="I453" s="114"/>
      <c r="J453" s="114"/>
      <c r="K453" s="114"/>
      <c r="L453" s="81"/>
      <c r="M453" s="265" t="b">
        <f>NOT(ISERROR(ResultsInd[[#This Row],[Goal-A]]+ResultsInd[[#This Row],[Goal-B]]))</f>
        <v>1</v>
      </c>
      <c r="N453" s="265">
        <f>VALUE(ResultsInd[[#This Row],[Score-A]])</f>
        <v>3</v>
      </c>
      <c r="O453" s="265">
        <f>VALUE(ResultsInd[[#This Row],[Score-B]])</f>
        <v>2</v>
      </c>
      <c r="P453" s="265">
        <f ca="1">IF(AND(ResultsInd[[#This Row],[Category]]&lt;&gt;"",ResultsInd[[#This Row],[Player A]]&lt;&gt;""),COUNTIF(INDIRECT(ResultsInd[[#This Row],[Category]]&amp;"List[Retained Player Name]"),ResultsInd[[#This Row],[Player A]]),"")</f>
        <v>1</v>
      </c>
      <c r="Q453" s="265">
        <f ca="1">IF(AND(ResultsInd[[#This Row],[Category]]&lt;&gt;"",ResultsInd[[#This Row],[Player B]]&lt;&gt;""),COUNTIF(INDIRECT(ResultsInd[[#This Row],[Category]]&amp;"List[Retained Player Name]"),ResultsInd[[#This Row],[Player B]]),"")</f>
        <v>1</v>
      </c>
      <c r="R4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U20-Aurélien Feye</v>
      </c>
      <c r="S453" s="265" t="str">
        <f>IF(ResultsInd[[#This Row],[Score_OK]],IF(ResultsInd[[#This Row],[Stage]]="Groups",ResultsInd[[#This Row],[Category]]&amp;"-"&amp;IF(ResultsInd[[#This Row],[Player B]]="","",IF(ResultsInd[[#This Row],[Score-A]]=ResultsInd[[#This Row],[Score-B]],ResultsInd[[#This Row],[Player A]],"")),""),"")</f>
        <v>U20-</v>
      </c>
      <c r="T453" s="265" t="str">
        <f>IF(ResultsInd[[#This Row],[Score_OK]],IF(ResultsInd[[#This Row],[Stage]]="Groups",ResultsInd[[#This Row],[Category]]&amp;"-"&amp;IF(ResultsInd[[#This Row],[Player B]]="","",IF(ResultsInd[[#This Row],[Score-A]]=ResultsInd[[#This Row],[Score-B]],ResultsInd[[#This Row],[Player B]],"")),""),"")</f>
        <v>U20-</v>
      </c>
      <c r="U4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U20-Lucas Raison</v>
      </c>
      <c r="V4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U20-Lucas Raison</v>
      </c>
      <c r="X4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U20-Lucas Raison</v>
      </c>
      <c r="Y453" s="264" t="str">
        <f>IF(ResultsInd[[#This Row],[Category]]="","",VLOOKUP(ResultsInd[[#This Row],[Stage]],$P$1:$V$9,MATCH(ResultsInd[[#This Row],[Category]],$Q$1:$V$1,0)+1,FALSE))</f>
        <v>PR1</v>
      </c>
      <c r="Z453" s="264" t="str">
        <f>IF(ResultsInd[[#This Row],[Score_OK]],IF(ResultsInd[[#This Row],[Level]]="R",ResultsInd[[#This Row],[Category]]&amp;"-"&amp;IF(ResultsInd[[#This Row],[LoseInKO]]=ResultsInd[[#This Row],[Category]]&amp;"-"&amp;ResultsInd[[#This Row],[Player A]],ResultsInd[[#This Row],[Player B]],ResultsInd[[#This Row],[Player A]]),""),"")</f>
        <v/>
      </c>
      <c r="AB453" s="8"/>
      <c r="AC453" s="8"/>
      <c r="AF453" s="170"/>
      <c r="AG453" s="101"/>
      <c r="AH453" s="101"/>
      <c r="AN453" s="170"/>
      <c r="AO453" s="170"/>
      <c r="AP453" s="170"/>
      <c r="AQ453" s="172"/>
      <c r="AR453" s="173"/>
      <c r="AS453" s="173"/>
      <c r="AT453" s="173"/>
      <c r="AU453" s="101"/>
      <c r="AV453" s="101"/>
      <c r="AW453" s="101"/>
      <c r="AX453" s="101"/>
      <c r="AY453" s="101"/>
      <c r="AZ453" s="101"/>
    </row>
    <row r="454" spans="1:58" ht="12" thickBot="1" x14ac:dyDescent="0.25">
      <c r="A454" s="62" t="s">
        <v>930</v>
      </c>
      <c r="B454" s="62" t="s">
        <v>12207</v>
      </c>
      <c r="C454" s="62">
        <v>2</v>
      </c>
      <c r="D454" s="62"/>
      <c r="E454" s="345" t="s">
        <v>8149</v>
      </c>
      <c r="F454" s="345" t="s">
        <v>8167</v>
      </c>
      <c r="G454" s="113">
        <v>0</v>
      </c>
      <c r="H454" s="113">
        <v>4</v>
      </c>
      <c r="I454" s="114"/>
      <c r="J454" s="114"/>
      <c r="K454" s="114"/>
      <c r="L454" s="81"/>
      <c r="M454" s="265" t="b">
        <f>NOT(ISERROR(ResultsInd[[#This Row],[Goal-A]]+ResultsInd[[#This Row],[Goal-B]]))</f>
        <v>1</v>
      </c>
      <c r="N454" s="265">
        <f>VALUE(ResultsInd[[#This Row],[Score-A]])</f>
        <v>0</v>
      </c>
      <c r="O454" s="265">
        <f>VALUE(ResultsInd[[#This Row],[Score-B]])</f>
        <v>4</v>
      </c>
      <c r="P454" s="265">
        <f ca="1">IF(AND(ResultsInd[[#This Row],[Category]]&lt;&gt;"",ResultsInd[[#This Row],[Player A]]&lt;&gt;""),COUNTIF(INDIRECT(ResultsInd[[#This Row],[Category]]&amp;"List[Retained Player Name]"),ResultsInd[[#This Row],[Player A]]),"")</f>
        <v>1</v>
      </c>
      <c r="Q454" s="265">
        <f ca="1">IF(AND(ResultsInd[[#This Row],[Category]]&lt;&gt;"",ResultsInd[[#This Row],[Player B]]&lt;&gt;""),COUNTIF(INDIRECT(ResultsInd[[#This Row],[Category]]&amp;"List[Retained Player Name]"),ResultsInd[[#This Row],[Player B]]),"")</f>
        <v>1</v>
      </c>
      <c r="R4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U20-Noah Denne</v>
      </c>
      <c r="S454" s="265" t="str">
        <f>IF(ResultsInd[[#This Row],[Score_OK]],IF(ResultsInd[[#This Row],[Stage]]="Groups",ResultsInd[[#This Row],[Category]]&amp;"-"&amp;IF(ResultsInd[[#This Row],[Player B]]="","",IF(ResultsInd[[#This Row],[Score-A]]=ResultsInd[[#This Row],[Score-B]],ResultsInd[[#This Row],[Player A]],"")),""),"")</f>
        <v>U20-</v>
      </c>
      <c r="T454" s="265" t="str">
        <f>IF(ResultsInd[[#This Row],[Score_OK]],IF(ResultsInd[[#This Row],[Stage]]="Groups",ResultsInd[[#This Row],[Category]]&amp;"-"&amp;IF(ResultsInd[[#This Row],[Player B]]="","",IF(ResultsInd[[#This Row],[Score-A]]=ResultsInd[[#This Row],[Score-B]],ResultsInd[[#This Row],[Player B]],"")),""),"")</f>
        <v>U20-</v>
      </c>
      <c r="U4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U20-Jann Segers</v>
      </c>
      <c r="V4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U20-Jann Segers</v>
      </c>
      <c r="X4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U20-Jann Segers</v>
      </c>
      <c r="Y454" s="264" t="str">
        <f>IF(ResultsInd[[#This Row],[Category]]="","",VLOOKUP(ResultsInd[[#This Row],[Stage]],$P$1:$V$9,MATCH(ResultsInd[[#This Row],[Category]],$Q$1:$V$1,0)+1,FALSE))</f>
        <v>PR1</v>
      </c>
      <c r="Z454" s="264" t="str">
        <f>IF(ResultsInd[[#This Row],[Score_OK]],IF(ResultsInd[[#This Row],[Level]]="R",ResultsInd[[#This Row],[Category]]&amp;"-"&amp;IF(ResultsInd[[#This Row],[LoseInKO]]=ResultsInd[[#This Row],[Category]]&amp;"-"&amp;ResultsInd[[#This Row],[Player A]],ResultsInd[[#This Row],[Player B]],ResultsInd[[#This Row],[Player A]]),""),"")</f>
        <v/>
      </c>
      <c r="AB454" s="281">
        <v>2</v>
      </c>
      <c r="AC454" s="315" t="s">
        <v>930</v>
      </c>
      <c r="AD454" s="289" t="s">
        <v>14439</v>
      </c>
      <c r="AE454" s="290" t="s">
        <v>12279</v>
      </c>
      <c r="AF454" s="284" t="s">
        <v>12275</v>
      </c>
      <c r="AG454" s="296" t="s">
        <v>12276</v>
      </c>
      <c r="AH454" s="291" t="s">
        <v>12271</v>
      </c>
      <c r="AI454" s="291" t="s">
        <v>12272</v>
      </c>
      <c r="AJ454" s="414" t="s">
        <v>13154</v>
      </c>
      <c r="AK454" s="291" t="s">
        <v>12273</v>
      </c>
      <c r="AL454" s="297" t="s">
        <v>12274</v>
      </c>
      <c r="AM454" s="414" t="s">
        <v>13154</v>
      </c>
      <c r="AN454" s="303" t="s">
        <v>12199</v>
      </c>
      <c r="AO454" s="304" t="s">
        <v>12200</v>
      </c>
      <c r="AP454" s="304" t="s">
        <v>12201</v>
      </c>
      <c r="AQ454" s="304" t="s">
        <v>12202</v>
      </c>
      <c r="AR454" s="304" t="s">
        <v>12203</v>
      </c>
      <c r="AS454" s="304" t="s">
        <v>12204</v>
      </c>
      <c r="AT454" s="304" t="s">
        <v>12205</v>
      </c>
      <c r="AU454" s="305" t="s">
        <v>12206</v>
      </c>
      <c r="AV454" s="468"/>
      <c r="AW454" s="282" t="s">
        <v>12276</v>
      </c>
      <c r="AX454" s="282" t="s">
        <v>12280</v>
      </c>
      <c r="AY454" s="283" t="s">
        <v>12199</v>
      </c>
      <c r="AZ454" s="283" t="s">
        <v>12200</v>
      </c>
      <c r="BA454" s="283" t="s">
        <v>12201</v>
      </c>
      <c r="BB454" s="283" t="s">
        <v>12202</v>
      </c>
      <c r="BC454" s="283" t="s">
        <v>12203</v>
      </c>
      <c r="BD454" s="283" t="s">
        <v>12204</v>
      </c>
      <c r="BE454" s="283" t="s">
        <v>12205</v>
      </c>
      <c r="BF454" s="300" t="s">
        <v>12206</v>
      </c>
    </row>
    <row r="455" spans="1:58" ht="12" thickBot="1" x14ac:dyDescent="0.25">
      <c r="A455" s="62" t="s">
        <v>930</v>
      </c>
      <c r="B455" s="62" t="s">
        <v>12207</v>
      </c>
      <c r="C455" s="62">
        <v>2</v>
      </c>
      <c r="D455" s="62"/>
      <c r="E455" s="345" t="s">
        <v>8583</v>
      </c>
      <c r="F455" s="345" t="s">
        <v>8716</v>
      </c>
      <c r="G455" s="113">
        <v>1</v>
      </c>
      <c r="H455" s="113">
        <v>6</v>
      </c>
      <c r="I455" s="114"/>
      <c r="J455" s="114"/>
      <c r="K455" s="114"/>
      <c r="L455" s="81"/>
      <c r="M455" s="265" t="b">
        <f>NOT(ISERROR(ResultsInd[[#This Row],[Goal-A]]+ResultsInd[[#This Row],[Goal-B]]))</f>
        <v>1</v>
      </c>
      <c r="N455" s="265">
        <f>VALUE(ResultsInd[[#This Row],[Score-A]])</f>
        <v>1</v>
      </c>
      <c r="O455" s="265">
        <f>VALUE(ResultsInd[[#This Row],[Score-B]])</f>
        <v>6</v>
      </c>
      <c r="P455" s="265">
        <f ca="1">IF(AND(ResultsInd[[#This Row],[Category]]&lt;&gt;"",ResultsInd[[#This Row],[Player A]]&lt;&gt;""),COUNTIF(INDIRECT(ResultsInd[[#This Row],[Category]]&amp;"List[Retained Player Name]"),ResultsInd[[#This Row],[Player A]]),"")</f>
        <v>1</v>
      </c>
      <c r="Q455" s="265">
        <f ca="1">IF(AND(ResultsInd[[#This Row],[Category]]&lt;&gt;"",ResultsInd[[#This Row],[Player B]]&lt;&gt;""),COUNTIF(INDIRECT(ResultsInd[[#This Row],[Category]]&amp;"List[Retained Player Name]"),ResultsInd[[#This Row],[Player B]]),"")</f>
        <v>1</v>
      </c>
      <c r="R4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U20-Quentin Ausset</v>
      </c>
      <c r="S455" s="265" t="str">
        <f>IF(ResultsInd[[#This Row],[Score_OK]],IF(ResultsInd[[#This Row],[Stage]]="Groups",ResultsInd[[#This Row],[Category]]&amp;"-"&amp;IF(ResultsInd[[#This Row],[Player B]]="","",IF(ResultsInd[[#This Row],[Score-A]]=ResultsInd[[#This Row],[Score-B]],ResultsInd[[#This Row],[Player A]],"")),""),"")</f>
        <v>U20-</v>
      </c>
      <c r="T455" s="265" t="str">
        <f>IF(ResultsInd[[#This Row],[Score_OK]],IF(ResultsInd[[#This Row],[Stage]]="Groups",ResultsInd[[#This Row],[Category]]&amp;"-"&amp;IF(ResultsInd[[#This Row],[Player B]]="","",IF(ResultsInd[[#This Row],[Score-A]]=ResultsInd[[#This Row],[Score-B]],ResultsInd[[#This Row],[Player B]],"")),""),"")</f>
        <v>U20-</v>
      </c>
      <c r="U4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U20-Gage Badger</v>
      </c>
      <c r="V4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U20-Gage Badger</v>
      </c>
      <c r="X4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U20-Gage Badger</v>
      </c>
      <c r="Y455" s="264" t="str">
        <f>IF(ResultsInd[[#This Row],[Category]]="","",VLOOKUP(ResultsInd[[#This Row],[Stage]],$P$1:$V$9,MATCH(ResultsInd[[#This Row],[Category]],$Q$1:$V$1,0)+1,FALSE))</f>
        <v>PR1</v>
      </c>
      <c r="Z455" s="264" t="str">
        <f>IF(ResultsInd[[#This Row],[Score_OK]],IF(ResultsInd[[#This Row],[Level]]="R",ResultsInd[[#This Row],[Category]]&amp;"-"&amp;IF(ResultsInd[[#This Row],[LoseInKO]]=ResultsInd[[#This Row],[Category]]&amp;"-"&amp;ResultsInd[[#This Row],[Player A]],ResultsInd[[#This Row],[Player B]],ResultsInd[[#This Row],[Player A]]),""),"")</f>
        <v/>
      </c>
      <c r="AB455" s="8"/>
      <c r="AC455" s="12" t="str">
        <f>IF(AC454="","",AC454)</f>
        <v>U20</v>
      </c>
      <c r="AD455" s="309" t="s">
        <v>8716</v>
      </c>
      <c r="AE455" s="320"/>
      <c r="AF455" s="311"/>
      <c r="AG455" s="292">
        <f>IF(AP455="","",SMALL(AH455:AH461,ROWS(AG455:AG455)))</f>
        <v>1001</v>
      </c>
      <c r="AH455" s="293">
        <f>IF(AP455="","",RANK(AL455,AL455:AL461)*1000+ROWS(AH455:AH455))</f>
        <v>1001</v>
      </c>
      <c r="AI455" s="316">
        <f t="shared" ref="AI455:AI461" si="393">IF(AP455="","",CritClassInd1_Points*AN455+CritClassInd1_Matches*AP455+CritClassInd1_Attaque*AS455+CritClassInd1_DiffButs*AU455)</f>
        <v>9000000000000</v>
      </c>
      <c r="AJ455" s="415" t="b">
        <f>AND(AO455&lt;&gt;"",AO455&gt;0,COUNTIF(AI455:AI461,AI455)&gt;1)</f>
        <v>0</v>
      </c>
      <c r="AK455" s="316">
        <f t="shared" ref="AK455:AK461" si="394">IF(AP455="","",CritClassInd_ScorePart*AE455)</f>
        <v>0</v>
      </c>
      <c r="AL455" s="317">
        <f t="shared" ref="AL455:AL461" si="395">IF(AP455="","",AI455+AK455+CritClassInd2_Points*AN455+CritClassInd2_Matches*AP455+CritClassInd2_Attaque*AS455+CritClassInd2_DiffButs*AU455+AF455)</f>
        <v>9000000101200</v>
      </c>
      <c r="AM455" s="415" t="b">
        <f>AND(AO455&lt;&gt;"",AO455&gt;0,COUNTIF(AL455:AL461,AL455)&gt;1)</f>
        <v>0</v>
      </c>
      <c r="AN455" s="306">
        <f t="shared" ref="AN455:AN461" si="396">IF(AP455="","",(AP455*Points_Victoire)+AQ455*Points_Null)</f>
        <v>9</v>
      </c>
      <c r="AO455" s="307">
        <f t="shared" ref="AO455:AO461" si="397">IF(AP455="","",SUM(AP455:AR455))</f>
        <v>3</v>
      </c>
      <c r="AP455" s="307">
        <f>IF(OR(AC454="",AD455=""),"",COUNTIF(ResultsInd[Win],AC454&amp;"-"&amp;AD455))</f>
        <v>3</v>
      </c>
      <c r="AQ455" s="307">
        <f>IF(OR(AC454="",AD455=""),"",COUNTIF(ResultsInd[Draw1],AC454&amp;"-"&amp;AD455)+COUNTIF(ResultsInd[Draw2],AC454&amp;"-"&amp;AD455))</f>
        <v>0</v>
      </c>
      <c r="AR455" s="307">
        <f>IF(OR(AC454="",AD455=""),"",COUNTIF(ResultsInd[Lose],AC454&amp;"-"&amp;AD455))</f>
        <v>0</v>
      </c>
      <c r="AS455" s="307">
        <f>IF(OR(AC454="",AD455=""),"",SUMIFS(ResultsInd[Goal-A],ResultsInd[Category],AC454,ResultsInd[Stage],"Groups",ResultsInd[Player A],AD455)+SUMIFS(ResultsInd[Goal-B],ResultsInd[Category],AC454,ResultsInd[Stage],"Groups",ResultsInd[Player B],AD455))</f>
        <v>12</v>
      </c>
      <c r="AT455" s="307">
        <f>IF(OR(AC454="",AD455=""),"",SUMIFS(ResultsInd[Goal-B],ResultsInd[Category],AC454,ResultsInd[Stage],"Groups",ResultsInd[Player A],AD455)+SUMIFS(ResultsInd[Goal-A],ResultsInd[Category],AC454,ResultsInd[Stage],"Groups",ResultsInd[Player B],AD455))</f>
        <v>2</v>
      </c>
      <c r="AU455" s="308">
        <f>IF(AP455="","",AS455-AT455)</f>
        <v>10</v>
      </c>
      <c r="AV455" s="469" t="b">
        <f>IF(AG455="","",OR(VLOOKUP(AG455,AH455:AU461,3,FALSE),VLOOKUP(AG455,AH455:AU461,6,FALSE)))</f>
        <v>0</v>
      </c>
      <c r="AW455" s="298">
        <f t="shared" ref="AW455:AW461" si="398">IF(AG455="","",INT(AG455/1000))</f>
        <v>1</v>
      </c>
      <c r="AX455" s="285" t="str">
        <f>IF(AG455="","",INDEX(AD455:AD461,MATCH(AG455,AH455:AH461,0)))</f>
        <v>Quentin Ausset</v>
      </c>
      <c r="AY455" s="286">
        <f>IF(AG455="","",VLOOKUP(AG455,AH455:AU461,COLUMN()-COLUMN(AR454),FALSE))</f>
        <v>9</v>
      </c>
      <c r="AZ455" s="286">
        <f>IF(AG455="","",VLOOKUP(AG455,AH455:AU461,COLUMN()-COLUMN(AR454),FALSE))</f>
        <v>3</v>
      </c>
      <c r="BA455" s="286">
        <f>IF(AG455="","",VLOOKUP(AG455,AH455:AU461,COLUMN()-COLUMN(AR454),FALSE))</f>
        <v>3</v>
      </c>
      <c r="BB455" s="286">
        <f>IF(AG455="","",VLOOKUP(AG455,AH455:AU461,COLUMN()-COLUMN(AR454),FALSE))</f>
        <v>0</v>
      </c>
      <c r="BC455" s="286">
        <f>IF(AG455="","",VLOOKUP(AG455,AH455:AU461,COLUMN()-COLUMN(AR454),FALSE))</f>
        <v>0</v>
      </c>
      <c r="BD455" s="286">
        <f>IF(AG455="","",VLOOKUP(AG455,AH455:AU461,COLUMN()-COLUMN(AR454),FALSE))</f>
        <v>12</v>
      </c>
      <c r="BE455" s="286">
        <f>IF(AG455="","",VLOOKUP(AG455,AH455:AU461,COLUMN()-COLUMN(AR454),FALSE))</f>
        <v>2</v>
      </c>
      <c r="BF455" s="301">
        <f>IF(AG455="","",VLOOKUP(AG455,AH455:AU461,COLUMN()-COLUMN(AR454),FALSE))</f>
        <v>10</v>
      </c>
    </row>
    <row r="456" spans="1:58" ht="12" thickBot="1" x14ac:dyDescent="0.25">
      <c r="A456" s="62" t="s">
        <v>930</v>
      </c>
      <c r="B456" s="62" t="s">
        <v>12207</v>
      </c>
      <c r="C456" s="62">
        <v>2</v>
      </c>
      <c r="D456" s="62"/>
      <c r="E456" s="345" t="s">
        <v>8149</v>
      </c>
      <c r="F456" s="345" t="s">
        <v>8583</v>
      </c>
      <c r="G456" s="113">
        <v>3</v>
      </c>
      <c r="H456" s="113">
        <v>0</v>
      </c>
      <c r="I456" s="114"/>
      <c r="J456" s="114"/>
      <c r="K456" s="114"/>
      <c r="L456" s="81"/>
      <c r="M456" s="265" t="b">
        <f>NOT(ISERROR(ResultsInd[[#This Row],[Goal-A]]+ResultsInd[[#This Row],[Goal-B]]))</f>
        <v>1</v>
      </c>
      <c r="N456" s="265">
        <f>VALUE(ResultsInd[[#This Row],[Score-A]])</f>
        <v>3</v>
      </c>
      <c r="O456" s="265">
        <f>VALUE(ResultsInd[[#This Row],[Score-B]])</f>
        <v>0</v>
      </c>
      <c r="P456" s="265">
        <f ca="1">IF(AND(ResultsInd[[#This Row],[Category]]&lt;&gt;"",ResultsInd[[#This Row],[Player A]]&lt;&gt;""),COUNTIF(INDIRECT(ResultsInd[[#This Row],[Category]]&amp;"List[Retained Player Name]"),ResultsInd[[#This Row],[Player A]]),"")</f>
        <v>1</v>
      </c>
      <c r="Q456" s="265">
        <f ca="1">IF(AND(ResultsInd[[#This Row],[Category]]&lt;&gt;"",ResultsInd[[#This Row],[Player B]]&lt;&gt;""),COUNTIF(INDIRECT(ResultsInd[[#This Row],[Category]]&amp;"List[Retained Player Name]"),ResultsInd[[#This Row],[Player B]]),"")</f>
        <v>1</v>
      </c>
      <c r="R4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U20-Jann Segers</v>
      </c>
      <c r="S456" s="265" t="str">
        <f>IF(ResultsInd[[#This Row],[Score_OK]],IF(ResultsInd[[#This Row],[Stage]]="Groups",ResultsInd[[#This Row],[Category]]&amp;"-"&amp;IF(ResultsInd[[#This Row],[Player B]]="","",IF(ResultsInd[[#This Row],[Score-A]]=ResultsInd[[#This Row],[Score-B]],ResultsInd[[#This Row],[Player A]],"")),""),"")</f>
        <v>U20-</v>
      </c>
      <c r="T456" s="265" t="str">
        <f>IF(ResultsInd[[#This Row],[Score_OK]],IF(ResultsInd[[#This Row],[Stage]]="Groups",ResultsInd[[#This Row],[Category]]&amp;"-"&amp;IF(ResultsInd[[#This Row],[Player B]]="","",IF(ResultsInd[[#This Row],[Score-A]]=ResultsInd[[#This Row],[Score-B]],ResultsInd[[#This Row],[Player B]],"")),""),"")</f>
        <v>U20-</v>
      </c>
      <c r="U4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U20-Gage Badger</v>
      </c>
      <c r="V4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U20-Gage Badger</v>
      </c>
      <c r="X4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U20-Gage Badger</v>
      </c>
      <c r="Y456" s="264" t="str">
        <f>IF(ResultsInd[[#This Row],[Category]]="","",VLOOKUP(ResultsInd[[#This Row],[Stage]],$P$1:$V$9,MATCH(ResultsInd[[#This Row],[Category]],$Q$1:$V$1,0)+1,FALSE))</f>
        <v>PR1</v>
      </c>
      <c r="Z456" s="264" t="str">
        <f>IF(ResultsInd[[#This Row],[Score_OK]],IF(ResultsInd[[#This Row],[Level]]="R",ResultsInd[[#This Row],[Category]]&amp;"-"&amp;IF(ResultsInd[[#This Row],[LoseInKO]]=ResultsInd[[#This Row],[Category]]&amp;"-"&amp;ResultsInd[[#This Row],[Player A]],ResultsInd[[#This Row],[Player B]],ResultsInd[[#This Row],[Player A]]),""),"")</f>
        <v/>
      </c>
      <c r="AB456" s="8"/>
      <c r="AC456" s="12" t="str">
        <f t="shared" ref="AC456:AC461" si="399">IF(AC455="","",AC455)</f>
        <v>U20</v>
      </c>
      <c r="AD456" s="309" t="s">
        <v>8167</v>
      </c>
      <c r="AE456" s="320"/>
      <c r="AF456" s="311"/>
      <c r="AG456" s="292">
        <f>IF(AP456="","",SMALL(AH455:AH461,ROWS(AG455:AG456)))</f>
        <v>2002</v>
      </c>
      <c r="AH456" s="293">
        <f>IF(AP456="","",RANK(AL456,AL455:AL461)*1000+ROWS(AH455:AH456))</f>
        <v>2002</v>
      </c>
      <c r="AI456" s="316">
        <f t="shared" si="393"/>
        <v>6000000000000</v>
      </c>
      <c r="AJ456" s="415" t="b">
        <f>AND(AO456&lt;&gt;"",AO456&gt;0,COUNTIF(AI455:AI461,AI456)&gt;1)</f>
        <v>0</v>
      </c>
      <c r="AK456" s="316">
        <f t="shared" si="394"/>
        <v>0</v>
      </c>
      <c r="AL456" s="317">
        <f t="shared" si="395"/>
        <v>6000000030700</v>
      </c>
      <c r="AM456" s="415" t="b">
        <f>AND(AO456&lt;&gt;"",AO456&gt;0,COUNTIF(AL455:AL461,AL456)&gt;1)</f>
        <v>0</v>
      </c>
      <c r="AN456" s="306">
        <f t="shared" si="396"/>
        <v>6</v>
      </c>
      <c r="AO456" s="307">
        <f t="shared" si="397"/>
        <v>3</v>
      </c>
      <c r="AP456" s="307">
        <f>IF(OR(AC454="",AD456=""),"",COUNTIF(ResultsInd[Win],AC454&amp;"-"&amp;AD456))</f>
        <v>2</v>
      </c>
      <c r="AQ456" s="307">
        <f>IF(OR(AC454="",AD456=""),"",COUNTIF(ResultsInd[Draw1],AC454&amp;"-"&amp;AD456)+COUNTIF(ResultsInd[Draw2],AC454&amp;"-"&amp;AD456))</f>
        <v>0</v>
      </c>
      <c r="AR456" s="307">
        <f>IF(OR(AC454="",AD456=""),"",COUNTIF(ResultsInd[Lose],AC454&amp;"-"&amp;AD456))</f>
        <v>1</v>
      </c>
      <c r="AS456" s="307">
        <f>IF(OR(AC454="",AD456=""),"",SUMIFS(ResultsInd[Goal-A],ResultsInd[Category],AC454,ResultsInd[Stage],"Groups",ResultsInd[Player A],AD456)+SUMIFS(ResultsInd[Goal-B],ResultsInd[Category],AC454,ResultsInd[Stage],"Groups",ResultsInd[Player B],AD456))</f>
        <v>7</v>
      </c>
      <c r="AT456" s="307">
        <f>IF(OR(AC454="",AD456=""),"",SUMIFS(ResultsInd[Goal-B],ResultsInd[Category],AC454,ResultsInd[Stage],"Groups",ResultsInd[Player A],AD456)+SUMIFS(ResultsInd[Goal-A],ResultsInd[Category],AC454,ResultsInd[Stage],"Groups",ResultsInd[Player B],AD456))</f>
        <v>4</v>
      </c>
      <c r="AU456" s="308">
        <f t="shared" ref="AU456:AU461" si="400">IF(AP456="","",AS456-AT456)</f>
        <v>3</v>
      </c>
      <c r="AV456" s="469" t="b">
        <f>IF(AG456="","",OR(VLOOKUP(AG456,AH455:AU461,3,FALSE),VLOOKUP(AG456,AH455:AU461,6,FALSE)))</f>
        <v>0</v>
      </c>
      <c r="AW456" s="298">
        <f t="shared" si="398"/>
        <v>2</v>
      </c>
      <c r="AX456" s="285" t="str">
        <f>IF(AG456="","",INDEX(AD455:AD461,MATCH(AG456,AH455:AH461,0)))</f>
        <v>Noah Denne</v>
      </c>
      <c r="AY456" s="286">
        <f>IF(AG456="","",VLOOKUP(AG456,AH455:AU461,COLUMN()-COLUMN(AR454),FALSE))</f>
        <v>6</v>
      </c>
      <c r="AZ456" s="286">
        <f>IF(AG456="","",VLOOKUP(AG456,AH455:AU461,COLUMN()-COLUMN(AR454),FALSE))</f>
        <v>3</v>
      </c>
      <c r="BA456" s="286">
        <f>IF(AG456="","",VLOOKUP(AG456,AH455:AU461,COLUMN()-COLUMN(AR454),FALSE))</f>
        <v>2</v>
      </c>
      <c r="BB456" s="286">
        <f>IF(AG456="","",VLOOKUP(AG456,AH455:AU461,COLUMN()-COLUMN(AR454),FALSE))</f>
        <v>0</v>
      </c>
      <c r="BC456" s="286">
        <f>IF(AG456="","",VLOOKUP(AG456,AH455:AU461,COLUMN()-COLUMN(AR454),FALSE))</f>
        <v>1</v>
      </c>
      <c r="BD456" s="286">
        <f>IF(AG456="","",VLOOKUP(AG456,AH455:AU461,COLUMN()-COLUMN(AR454),FALSE))</f>
        <v>7</v>
      </c>
      <c r="BE456" s="286">
        <f>IF(AG456="","",VLOOKUP(AG456,AH455:AU461,COLUMN()-COLUMN(AR454),FALSE))</f>
        <v>4</v>
      </c>
      <c r="BF456" s="301">
        <f>IF(AG456="","",VLOOKUP(AG456,AH455:AU461,COLUMN()-COLUMN(AR454),FALSE))</f>
        <v>3</v>
      </c>
    </row>
    <row r="457" spans="1:58" ht="12" thickBot="1" x14ac:dyDescent="0.25">
      <c r="A457" s="62" t="s">
        <v>930</v>
      </c>
      <c r="B457" s="62" t="s">
        <v>12207</v>
      </c>
      <c r="C457" s="62">
        <v>2</v>
      </c>
      <c r="D457" s="62"/>
      <c r="E457" s="345" t="s">
        <v>8167</v>
      </c>
      <c r="F457" s="345" t="s">
        <v>8716</v>
      </c>
      <c r="G457" s="113">
        <v>1</v>
      </c>
      <c r="H457" s="113">
        <v>4</v>
      </c>
      <c r="I457" s="114"/>
      <c r="J457" s="114"/>
      <c r="K457" s="114"/>
      <c r="L457" s="81"/>
      <c r="M457" s="265" t="b">
        <f>NOT(ISERROR(ResultsInd[[#This Row],[Goal-A]]+ResultsInd[[#This Row],[Goal-B]]))</f>
        <v>1</v>
      </c>
      <c r="N457" s="265">
        <f>VALUE(ResultsInd[[#This Row],[Score-A]])</f>
        <v>1</v>
      </c>
      <c r="O457" s="265">
        <f>VALUE(ResultsInd[[#This Row],[Score-B]])</f>
        <v>4</v>
      </c>
      <c r="P457" s="265">
        <f ca="1">IF(AND(ResultsInd[[#This Row],[Category]]&lt;&gt;"",ResultsInd[[#This Row],[Player A]]&lt;&gt;""),COUNTIF(INDIRECT(ResultsInd[[#This Row],[Category]]&amp;"List[Retained Player Name]"),ResultsInd[[#This Row],[Player A]]),"")</f>
        <v>1</v>
      </c>
      <c r="Q457" s="265">
        <f ca="1">IF(AND(ResultsInd[[#This Row],[Category]]&lt;&gt;"",ResultsInd[[#This Row],[Player B]]&lt;&gt;""),COUNTIF(INDIRECT(ResultsInd[[#This Row],[Category]]&amp;"List[Retained Player Name]"),ResultsInd[[#This Row],[Player B]]),"")</f>
        <v>1</v>
      </c>
      <c r="R4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U20-Quentin Ausset</v>
      </c>
      <c r="S457" s="265" t="str">
        <f>IF(ResultsInd[[#This Row],[Score_OK]],IF(ResultsInd[[#This Row],[Stage]]="Groups",ResultsInd[[#This Row],[Category]]&amp;"-"&amp;IF(ResultsInd[[#This Row],[Player B]]="","",IF(ResultsInd[[#This Row],[Score-A]]=ResultsInd[[#This Row],[Score-B]],ResultsInd[[#This Row],[Player A]],"")),""),"")</f>
        <v>U20-</v>
      </c>
      <c r="T457" s="265" t="str">
        <f>IF(ResultsInd[[#This Row],[Score_OK]],IF(ResultsInd[[#This Row],[Stage]]="Groups",ResultsInd[[#This Row],[Category]]&amp;"-"&amp;IF(ResultsInd[[#This Row],[Player B]]="","",IF(ResultsInd[[#This Row],[Score-A]]=ResultsInd[[#This Row],[Score-B]],ResultsInd[[#This Row],[Player B]],"")),""),"")</f>
        <v>U20-</v>
      </c>
      <c r="U4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U20-Noah Denne</v>
      </c>
      <c r="V4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U20-Noah Denne</v>
      </c>
      <c r="X4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U20-Noah Denne</v>
      </c>
      <c r="Y457" s="264" t="str">
        <f>IF(ResultsInd[[#This Row],[Category]]="","",VLOOKUP(ResultsInd[[#This Row],[Stage]],$P$1:$V$9,MATCH(ResultsInd[[#This Row],[Category]],$Q$1:$V$1,0)+1,FALSE))</f>
        <v>PR1</v>
      </c>
      <c r="Z457" s="264" t="str">
        <f>IF(ResultsInd[[#This Row],[Score_OK]],IF(ResultsInd[[#This Row],[Level]]="R",ResultsInd[[#This Row],[Category]]&amp;"-"&amp;IF(ResultsInd[[#This Row],[LoseInKO]]=ResultsInd[[#This Row],[Category]]&amp;"-"&amp;ResultsInd[[#This Row],[Player A]],ResultsInd[[#This Row],[Player B]],ResultsInd[[#This Row],[Player A]]),""),"")</f>
        <v/>
      </c>
      <c r="AB457" s="8"/>
      <c r="AC457" s="12" t="str">
        <f t="shared" si="399"/>
        <v>U20</v>
      </c>
      <c r="AD457" s="309" t="s">
        <v>8149</v>
      </c>
      <c r="AE457" s="320"/>
      <c r="AF457" s="311"/>
      <c r="AG457" s="292">
        <f>IF(AP457="","",SMALL(AH455:AH461,ROWS(AG455:AG457)))</f>
        <v>3003</v>
      </c>
      <c r="AH457" s="293">
        <f>IF(AP457="","",RANK(AL457,AL455:AL461)*1000+ROWS(AH455:AH457))</f>
        <v>3003</v>
      </c>
      <c r="AI457" s="316">
        <f t="shared" si="393"/>
        <v>3000000000000</v>
      </c>
      <c r="AJ457" s="415" t="b">
        <f>AND(AO457&lt;&gt;"",AO457&gt;0,COUNTIF(AI455:AI461,AI457)&gt;1)</f>
        <v>0</v>
      </c>
      <c r="AK457" s="316">
        <f t="shared" si="394"/>
        <v>0</v>
      </c>
      <c r="AL457" s="317">
        <f t="shared" si="395"/>
        <v>2999999970300</v>
      </c>
      <c r="AM457" s="415" t="b">
        <f>AND(AO457&lt;&gt;"",AO457&gt;0,COUNTIF(AL455:AL461,AL457)&gt;1)</f>
        <v>0</v>
      </c>
      <c r="AN457" s="306">
        <f t="shared" si="396"/>
        <v>3</v>
      </c>
      <c r="AO457" s="307">
        <f t="shared" si="397"/>
        <v>3</v>
      </c>
      <c r="AP457" s="307">
        <f>IF(OR(AC454="",AD457=""),"",COUNTIF(ResultsInd[Win],AC454&amp;"-"&amp;AD457))</f>
        <v>1</v>
      </c>
      <c r="AQ457" s="307">
        <f>IF(OR(AC454="",AD457=""),"",COUNTIF(ResultsInd[Draw1],AC454&amp;"-"&amp;AD457)+COUNTIF(ResultsInd[Draw2],AC454&amp;"-"&amp;AD457))</f>
        <v>0</v>
      </c>
      <c r="AR457" s="307">
        <f>IF(OR(AC454="",AD457=""),"",COUNTIF(ResultsInd[Lose],AC454&amp;"-"&amp;AD457))</f>
        <v>2</v>
      </c>
      <c r="AS457" s="307">
        <f>IF(OR(AC454="",AD457=""),"",SUMIFS(ResultsInd[Goal-A],ResultsInd[Category],AC454,ResultsInd[Stage],"Groups",ResultsInd[Player A],AD457)+SUMIFS(ResultsInd[Goal-B],ResultsInd[Category],AC454,ResultsInd[Stage],"Groups",ResultsInd[Player B],AD457))</f>
        <v>3</v>
      </c>
      <c r="AT457" s="307">
        <f>IF(OR(AC454="",AD457=""),"",SUMIFS(ResultsInd[Goal-B],ResultsInd[Category],AC454,ResultsInd[Stage],"Groups",ResultsInd[Player A],AD457)+SUMIFS(ResultsInd[Goal-A],ResultsInd[Category],AC454,ResultsInd[Stage],"Groups",ResultsInd[Player B],AD457))</f>
        <v>6</v>
      </c>
      <c r="AU457" s="308">
        <f t="shared" si="400"/>
        <v>-3</v>
      </c>
      <c r="AV457" s="469" t="b">
        <f>IF(AG457="","",OR(VLOOKUP(AG457,AH455:AU461,3,FALSE),VLOOKUP(AG457,AH455:AU461,6,FALSE)))</f>
        <v>0</v>
      </c>
      <c r="AW457" s="298">
        <f t="shared" si="398"/>
        <v>3</v>
      </c>
      <c r="AX457" s="285" t="str">
        <f>IF(AG457="","",INDEX(AD455:AD461,MATCH(AG457,AH455:AH461,0)))</f>
        <v>Jann Segers</v>
      </c>
      <c r="AY457" s="286">
        <f>IF(AG457="","",VLOOKUP(AG457,AH455:AU461,COLUMN()-COLUMN(AR454),FALSE))</f>
        <v>3</v>
      </c>
      <c r="AZ457" s="286">
        <f>IF(AG457="","",VLOOKUP(AG457,AH455:AU461,COLUMN()-COLUMN(AR454),FALSE))</f>
        <v>3</v>
      </c>
      <c r="BA457" s="286">
        <f>IF(AG457="","",VLOOKUP(AG457,AH455:AU461,COLUMN()-COLUMN(AR454),FALSE))</f>
        <v>1</v>
      </c>
      <c r="BB457" s="286">
        <f>IF(AG457="","",VLOOKUP(AG457,AH455:AU461,COLUMN()-COLUMN(AR454),FALSE))</f>
        <v>0</v>
      </c>
      <c r="BC457" s="286">
        <f>IF(AG457="","",VLOOKUP(AG457,AH455:AU461,COLUMN()-COLUMN(AR454),FALSE))</f>
        <v>2</v>
      </c>
      <c r="BD457" s="286">
        <f>IF(AG457="","",VLOOKUP(AG457,AH455:AU461,COLUMN()-COLUMN(AR454),FALSE))</f>
        <v>3</v>
      </c>
      <c r="BE457" s="286">
        <f>IF(AG457="","",VLOOKUP(AG457,AH455:AU461,COLUMN()-COLUMN(AR454),FALSE))</f>
        <v>6</v>
      </c>
      <c r="BF457" s="301">
        <f>IF(AG457="","",VLOOKUP(AG457,AH455:AU461,COLUMN()-COLUMN(AR454),FALSE))</f>
        <v>-3</v>
      </c>
    </row>
    <row r="458" spans="1:58" ht="12" thickBot="1" x14ac:dyDescent="0.25">
      <c r="A458" s="62" t="s">
        <v>930</v>
      </c>
      <c r="B458" s="62" t="s">
        <v>12207</v>
      </c>
      <c r="C458" s="62">
        <v>2</v>
      </c>
      <c r="D458" s="62"/>
      <c r="E458" s="345" t="s">
        <v>8716</v>
      </c>
      <c r="F458" s="345" t="s">
        <v>8149</v>
      </c>
      <c r="G458" s="113">
        <v>2</v>
      </c>
      <c r="H458" s="113">
        <v>0</v>
      </c>
      <c r="I458" s="114"/>
      <c r="J458" s="114"/>
      <c r="K458" s="114"/>
      <c r="L458" s="81"/>
      <c r="M458" s="265" t="b">
        <f>NOT(ISERROR(ResultsInd[[#This Row],[Goal-A]]+ResultsInd[[#This Row],[Goal-B]]))</f>
        <v>1</v>
      </c>
      <c r="N458" s="265">
        <f>VALUE(ResultsInd[[#This Row],[Score-A]])</f>
        <v>2</v>
      </c>
      <c r="O458" s="265">
        <f>VALUE(ResultsInd[[#This Row],[Score-B]])</f>
        <v>0</v>
      </c>
      <c r="P458" s="265">
        <f ca="1">IF(AND(ResultsInd[[#This Row],[Category]]&lt;&gt;"",ResultsInd[[#This Row],[Player A]]&lt;&gt;""),COUNTIF(INDIRECT(ResultsInd[[#This Row],[Category]]&amp;"List[Retained Player Name]"),ResultsInd[[#This Row],[Player A]]),"")</f>
        <v>1</v>
      </c>
      <c r="Q458" s="265">
        <f ca="1">IF(AND(ResultsInd[[#This Row],[Category]]&lt;&gt;"",ResultsInd[[#This Row],[Player B]]&lt;&gt;""),COUNTIF(INDIRECT(ResultsInd[[#This Row],[Category]]&amp;"List[Retained Player Name]"),ResultsInd[[#This Row],[Player B]]),"")</f>
        <v>1</v>
      </c>
      <c r="R4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U20-Quentin Ausset</v>
      </c>
      <c r="S458" s="265" t="str">
        <f>IF(ResultsInd[[#This Row],[Score_OK]],IF(ResultsInd[[#This Row],[Stage]]="Groups",ResultsInd[[#This Row],[Category]]&amp;"-"&amp;IF(ResultsInd[[#This Row],[Player B]]="","",IF(ResultsInd[[#This Row],[Score-A]]=ResultsInd[[#This Row],[Score-B]],ResultsInd[[#This Row],[Player A]],"")),""),"")</f>
        <v>U20-</v>
      </c>
      <c r="T458" s="265" t="str">
        <f>IF(ResultsInd[[#This Row],[Score_OK]],IF(ResultsInd[[#This Row],[Stage]]="Groups",ResultsInd[[#This Row],[Category]]&amp;"-"&amp;IF(ResultsInd[[#This Row],[Player B]]="","",IF(ResultsInd[[#This Row],[Score-A]]=ResultsInd[[#This Row],[Score-B]],ResultsInd[[#This Row],[Player B]],"")),""),"")</f>
        <v>U20-</v>
      </c>
      <c r="U4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U20-Jann Segers</v>
      </c>
      <c r="V4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U20-Jann Segers</v>
      </c>
      <c r="X4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U20-Jann Segers</v>
      </c>
      <c r="Y458" s="264" t="str">
        <f>IF(ResultsInd[[#This Row],[Category]]="","",VLOOKUP(ResultsInd[[#This Row],[Stage]],$P$1:$V$9,MATCH(ResultsInd[[#This Row],[Category]],$Q$1:$V$1,0)+1,FALSE))</f>
        <v>PR1</v>
      </c>
      <c r="Z458" s="264" t="str">
        <f>IF(ResultsInd[[#This Row],[Score_OK]],IF(ResultsInd[[#This Row],[Level]]="R",ResultsInd[[#This Row],[Category]]&amp;"-"&amp;IF(ResultsInd[[#This Row],[LoseInKO]]=ResultsInd[[#This Row],[Category]]&amp;"-"&amp;ResultsInd[[#This Row],[Player A]],ResultsInd[[#This Row],[Player B]],ResultsInd[[#This Row],[Player A]]),""),"")</f>
        <v/>
      </c>
      <c r="AB458" s="91"/>
      <c r="AC458" s="12" t="str">
        <f t="shared" si="399"/>
        <v>U20</v>
      </c>
      <c r="AD458" s="309" t="s">
        <v>8583</v>
      </c>
      <c r="AE458" s="310"/>
      <c r="AF458" s="311"/>
      <c r="AG458" s="292">
        <f>IF(AP458="","",SMALL(AH455:AH461,ROWS(AG455:AG458)))</f>
        <v>4004</v>
      </c>
      <c r="AH458" s="293">
        <f>IF(AP458="","",RANK(AL458,AL455:AL461)*1000+ROWS(AH455:AH458))</f>
        <v>4004</v>
      </c>
      <c r="AI458" s="316">
        <f t="shared" si="393"/>
        <v>0</v>
      </c>
      <c r="AJ458" s="415" t="b">
        <f>AND(AO458&lt;&gt;"",AO458&gt;0,COUNTIF(AI455:AI461,AI458)&gt;1)</f>
        <v>0</v>
      </c>
      <c r="AK458" s="316">
        <f t="shared" si="394"/>
        <v>0</v>
      </c>
      <c r="AL458" s="317">
        <f t="shared" si="395"/>
        <v>-99900</v>
      </c>
      <c r="AM458" s="415" t="b">
        <f>AND(AO458&lt;&gt;"",AO458&gt;0,COUNTIF(AL455:AL461,AL458)&gt;1)</f>
        <v>0</v>
      </c>
      <c r="AN458" s="306">
        <f t="shared" si="396"/>
        <v>0</v>
      </c>
      <c r="AO458" s="307">
        <f t="shared" si="397"/>
        <v>3</v>
      </c>
      <c r="AP458" s="307">
        <f>IF(OR(AC454="",AD458=""),"",COUNTIF(ResultsInd[Win],AC454&amp;"-"&amp;AD458))</f>
        <v>0</v>
      </c>
      <c r="AQ458" s="307">
        <f>IF(OR(AC454="",AD458=""),"",COUNTIF(ResultsInd[Draw1],AC454&amp;"-"&amp;AD458)+COUNTIF(ResultsInd[Draw2],AC454&amp;"-"&amp;AD458))</f>
        <v>0</v>
      </c>
      <c r="AR458" s="307">
        <f>IF(OR(AC454="",AD458=""),"",COUNTIF(ResultsInd[Lose],AC454&amp;"-"&amp;AD458))</f>
        <v>3</v>
      </c>
      <c r="AS458" s="307">
        <f>IF(OR(AC454="",AD458=""),"",SUMIFS(ResultsInd[Goal-A],ResultsInd[Category],AC454,ResultsInd[Stage],"Groups",ResultsInd[Player A],AD458)+SUMIFS(ResultsInd[Goal-B],ResultsInd[Category],AC454,ResultsInd[Stage],"Groups",ResultsInd[Player B],AD458))</f>
        <v>1</v>
      </c>
      <c r="AT458" s="307">
        <f>IF(OR(AC454="",AD458=""),"",SUMIFS(ResultsInd[Goal-B],ResultsInd[Category],AC454,ResultsInd[Stage],"Groups",ResultsInd[Player A],AD458)+SUMIFS(ResultsInd[Goal-A],ResultsInd[Category],AC454,ResultsInd[Stage],"Groups",ResultsInd[Player B],AD458))</f>
        <v>11</v>
      </c>
      <c r="AU458" s="308">
        <f t="shared" si="400"/>
        <v>-10</v>
      </c>
      <c r="AV458" s="469" t="b">
        <f>IF(AG458="","",OR(VLOOKUP(AG458,AH455:AU461,3,FALSE),VLOOKUP(AG458,AH455:AU461,6,FALSE)))</f>
        <v>0</v>
      </c>
      <c r="AW458" s="298">
        <f t="shared" si="398"/>
        <v>4</v>
      </c>
      <c r="AX458" s="285" t="str">
        <f>IF(AG458="","",INDEX(AD455:AD461,MATCH(AG458,AH455:AH461,0)))</f>
        <v>Gage Badger</v>
      </c>
      <c r="AY458" s="286">
        <f>IF(AG458="","",VLOOKUP(AG458,AH455:AU461,COLUMN()-COLUMN(AR454),FALSE))</f>
        <v>0</v>
      </c>
      <c r="AZ458" s="286">
        <f>IF(AG458="","",VLOOKUP(AG458,AH455:AU461,COLUMN()-COLUMN(AR454),FALSE))</f>
        <v>3</v>
      </c>
      <c r="BA458" s="286">
        <f>IF(AG458="","",VLOOKUP(AG458,AH455:AU461,COLUMN()-COLUMN(AR454),FALSE))</f>
        <v>0</v>
      </c>
      <c r="BB458" s="286">
        <f>IF(AG458="","",VLOOKUP(AG458,AH455:AU461,COLUMN()-COLUMN(AR454),FALSE))</f>
        <v>0</v>
      </c>
      <c r="BC458" s="286">
        <f>IF(AG458="","",VLOOKUP(AG458,AH455:AU461,COLUMN()-COLUMN(AR454),FALSE))</f>
        <v>3</v>
      </c>
      <c r="BD458" s="286">
        <f>IF(AG458="","",VLOOKUP(AG458,AH455:AU461,COLUMN()-COLUMN(AR454),FALSE))</f>
        <v>1</v>
      </c>
      <c r="BE458" s="286">
        <f>IF(AG458="","",VLOOKUP(AG458,AH455:AU461,COLUMN()-COLUMN(AR454),FALSE))</f>
        <v>11</v>
      </c>
      <c r="BF458" s="301">
        <f>IF(AG458="","",VLOOKUP(AG458,AH455:AU461,COLUMN()-COLUMN(AR454),FALSE))</f>
        <v>-10</v>
      </c>
    </row>
    <row r="459" spans="1:58" ht="12" thickBot="1" x14ac:dyDescent="0.25">
      <c r="A459" s="62" t="s">
        <v>930</v>
      </c>
      <c r="B459" s="62" t="s">
        <v>12207</v>
      </c>
      <c r="C459" s="62">
        <v>2</v>
      </c>
      <c r="D459" s="62"/>
      <c r="E459" s="345" t="s">
        <v>8167</v>
      </c>
      <c r="F459" s="345" t="s">
        <v>8583</v>
      </c>
      <c r="G459" s="113">
        <v>2</v>
      </c>
      <c r="H459" s="113">
        <v>0</v>
      </c>
      <c r="I459" s="114"/>
      <c r="J459" s="114"/>
      <c r="K459" s="114"/>
      <c r="L459" s="81"/>
      <c r="M459" s="265" t="b">
        <f>NOT(ISERROR(ResultsInd[[#This Row],[Goal-A]]+ResultsInd[[#This Row],[Goal-B]]))</f>
        <v>1</v>
      </c>
      <c r="N459" s="265">
        <f>VALUE(ResultsInd[[#This Row],[Score-A]])</f>
        <v>2</v>
      </c>
      <c r="O459" s="265">
        <f>VALUE(ResultsInd[[#This Row],[Score-B]])</f>
        <v>0</v>
      </c>
      <c r="P459" s="265">
        <f ca="1">IF(AND(ResultsInd[[#This Row],[Category]]&lt;&gt;"",ResultsInd[[#This Row],[Player A]]&lt;&gt;""),COUNTIF(INDIRECT(ResultsInd[[#This Row],[Category]]&amp;"List[Retained Player Name]"),ResultsInd[[#This Row],[Player A]]),"")</f>
        <v>1</v>
      </c>
      <c r="Q459" s="265">
        <f ca="1">IF(AND(ResultsInd[[#This Row],[Category]]&lt;&gt;"",ResultsInd[[#This Row],[Player B]]&lt;&gt;""),COUNTIF(INDIRECT(ResultsInd[[#This Row],[Category]]&amp;"List[Retained Player Name]"),ResultsInd[[#This Row],[Player B]]),"")</f>
        <v>1</v>
      </c>
      <c r="R4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U20-Noah Denne</v>
      </c>
      <c r="S459" s="265" t="str">
        <f>IF(ResultsInd[[#This Row],[Score_OK]],IF(ResultsInd[[#This Row],[Stage]]="Groups",ResultsInd[[#This Row],[Category]]&amp;"-"&amp;IF(ResultsInd[[#This Row],[Player B]]="","",IF(ResultsInd[[#This Row],[Score-A]]=ResultsInd[[#This Row],[Score-B]],ResultsInd[[#This Row],[Player A]],"")),""),"")</f>
        <v>U20-</v>
      </c>
      <c r="T459" s="265" t="str">
        <f>IF(ResultsInd[[#This Row],[Score_OK]],IF(ResultsInd[[#This Row],[Stage]]="Groups",ResultsInd[[#This Row],[Category]]&amp;"-"&amp;IF(ResultsInd[[#This Row],[Player B]]="","",IF(ResultsInd[[#This Row],[Score-A]]=ResultsInd[[#This Row],[Score-B]],ResultsInd[[#This Row],[Player B]],"")),""),"")</f>
        <v>U20-</v>
      </c>
      <c r="U4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U20-Gage Badger</v>
      </c>
      <c r="V4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U20-Gage Badger</v>
      </c>
      <c r="X4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U20-Gage Badger</v>
      </c>
      <c r="Y459" s="264" t="str">
        <f>IF(ResultsInd[[#This Row],[Category]]="","",VLOOKUP(ResultsInd[[#This Row],[Stage]],$P$1:$V$9,MATCH(ResultsInd[[#This Row],[Category]],$Q$1:$V$1,0)+1,FALSE))</f>
        <v>PR1</v>
      </c>
      <c r="Z459" s="264" t="str">
        <f>IF(ResultsInd[[#This Row],[Score_OK]],IF(ResultsInd[[#This Row],[Level]]="R",ResultsInd[[#This Row],[Category]]&amp;"-"&amp;IF(ResultsInd[[#This Row],[LoseInKO]]=ResultsInd[[#This Row],[Category]]&amp;"-"&amp;ResultsInd[[#This Row],[Player A]],ResultsInd[[#This Row],[Player B]],ResultsInd[[#This Row],[Player A]]),""),"")</f>
        <v/>
      </c>
      <c r="AB459" s="91"/>
      <c r="AC459" s="12" t="str">
        <f t="shared" si="399"/>
        <v>U20</v>
      </c>
      <c r="AD459" s="309"/>
      <c r="AE459" s="310"/>
      <c r="AF459" s="311"/>
      <c r="AG459" s="292" t="str">
        <f>IF(AP459="","",SMALL(AH455:AH461,ROWS(AG455:AG459)))</f>
        <v/>
      </c>
      <c r="AH459" s="293" t="str">
        <f>IF(AP459="","",RANK(AL459,AL455:AL461)*1000+ROWS(AH455:AH459))</f>
        <v/>
      </c>
      <c r="AI459" s="316" t="str">
        <f t="shared" si="393"/>
        <v/>
      </c>
      <c r="AJ459" s="415" t="b">
        <f>AND(AO459&lt;&gt;"",AO459&gt;0,COUNTIF(AI455:AI461,AI459)&gt;1)</f>
        <v>0</v>
      </c>
      <c r="AK459" s="316" t="str">
        <f t="shared" si="394"/>
        <v/>
      </c>
      <c r="AL459" s="317" t="str">
        <f t="shared" si="395"/>
        <v/>
      </c>
      <c r="AM459" s="415" t="b">
        <f>AND(AO459&lt;&gt;"",AO459&gt;0,COUNTIF(AL455:AL461,AL459)&gt;1)</f>
        <v>0</v>
      </c>
      <c r="AN459" s="306" t="str">
        <f t="shared" si="396"/>
        <v/>
      </c>
      <c r="AO459" s="307" t="str">
        <f t="shared" si="397"/>
        <v/>
      </c>
      <c r="AP459" s="307" t="str">
        <f>IF(OR(AC454="",AD459=""),"",COUNTIF(ResultsInd[Win],AC454&amp;"-"&amp;AD459))</f>
        <v/>
      </c>
      <c r="AQ459" s="307" t="str">
        <f>IF(OR(AC454="",AD459=""),"",COUNTIF(ResultsInd[Draw1],AC454&amp;"-"&amp;AD459)+COUNTIF(ResultsInd[Draw2],AC454&amp;"-"&amp;AD459))</f>
        <v/>
      </c>
      <c r="AR459" s="307" t="str">
        <f>IF(OR(AC454="",AD459=""),"",COUNTIF(ResultsInd[Lose],AC454&amp;"-"&amp;AD459))</f>
        <v/>
      </c>
      <c r="AS459" s="307" t="str">
        <f>IF(OR(AC454="",AD459=""),"",SUMIFS(ResultsInd[Goal-A],ResultsInd[Category],AC454,ResultsInd[Stage],"Groups",ResultsInd[Player A],AD459)+SUMIFS(ResultsInd[Goal-B],ResultsInd[Category],AC454,ResultsInd[Stage],"Groups",ResultsInd[Player B],AD459))</f>
        <v/>
      </c>
      <c r="AT459" s="307" t="str">
        <f>IF(OR(AC454="",AD459=""),"",SUMIFS(ResultsInd[Goal-B],ResultsInd[Category],AC454,ResultsInd[Stage],"Groups",ResultsInd[Player A],AD459)+SUMIFS(ResultsInd[Goal-A],ResultsInd[Category],AC454,ResultsInd[Stage],"Groups",ResultsInd[Player B],AD459))</f>
        <v/>
      </c>
      <c r="AU459" s="308" t="str">
        <f t="shared" si="400"/>
        <v/>
      </c>
      <c r="AV459" s="469" t="str">
        <f>IF(AG459="","",OR(VLOOKUP(AG459,AH455:AU461,3,FALSE),VLOOKUP(AG459,AH455:AU461,6,FALSE)))</f>
        <v/>
      </c>
      <c r="AW459" s="298" t="str">
        <f t="shared" si="398"/>
        <v/>
      </c>
      <c r="AX459" s="285" t="str">
        <f>IF(AG459="","",INDEX(AD455:AD461,MATCH(AG459,AH455:AH461,0)))</f>
        <v/>
      </c>
      <c r="AY459" s="286" t="str">
        <f>IF(AG459="","",VLOOKUP(AG459,AH455:AU461,COLUMN()-COLUMN(AR454),FALSE))</f>
        <v/>
      </c>
      <c r="AZ459" s="286" t="str">
        <f>IF(AG459="","",VLOOKUP(AG459,AH455:AU461,COLUMN()-COLUMN(AR454),FALSE))</f>
        <v/>
      </c>
      <c r="BA459" s="286" t="str">
        <f>IF(AG459="","",VLOOKUP(AG459,AH455:AU461,COLUMN()-COLUMN(AR454),FALSE))</f>
        <v/>
      </c>
      <c r="BB459" s="286" t="str">
        <f>IF(AG459="","",VLOOKUP(AG459,AH455:AU461,COLUMN()-COLUMN(AR454),FALSE))</f>
        <v/>
      </c>
      <c r="BC459" s="286" t="str">
        <f>IF(AG459="","",VLOOKUP(AG459,AH455:AU461,COLUMN()-COLUMN(AR454),FALSE))</f>
        <v/>
      </c>
      <c r="BD459" s="286" t="str">
        <f>IF(AG459="","",VLOOKUP(AG459,AH455:AU461,COLUMN()-COLUMN(AR454),FALSE))</f>
        <v/>
      </c>
      <c r="BE459" s="286" t="str">
        <f>IF(AG459="","",VLOOKUP(AG459,AH455:AU461,COLUMN()-COLUMN(AR454),FALSE))</f>
        <v/>
      </c>
      <c r="BF459" s="301" t="str">
        <f>IF(AG459="","",VLOOKUP(AG459,AH455:AU461,COLUMN()-COLUMN(AR454),FALSE))</f>
        <v/>
      </c>
    </row>
    <row r="460" spans="1:58" ht="12" thickBot="1" x14ac:dyDescent="0.25">
      <c r="A460" s="62" t="s">
        <v>1023</v>
      </c>
      <c r="B460" s="62" t="s">
        <v>12207</v>
      </c>
      <c r="C460" s="62">
        <v>1</v>
      </c>
      <c r="D460" s="62"/>
      <c r="E460" s="345" t="s">
        <v>8722</v>
      </c>
      <c r="F460" s="345" t="s">
        <v>8162</v>
      </c>
      <c r="G460" s="113">
        <v>3</v>
      </c>
      <c r="H460" s="113">
        <v>2</v>
      </c>
      <c r="I460" s="114"/>
      <c r="J460" s="114"/>
      <c r="K460" s="114"/>
      <c r="L460" s="81"/>
      <c r="M460" s="265" t="b">
        <f>NOT(ISERROR(ResultsInd[[#This Row],[Goal-A]]+ResultsInd[[#This Row],[Goal-B]]))</f>
        <v>1</v>
      </c>
      <c r="N460" s="265">
        <f>VALUE(ResultsInd[[#This Row],[Score-A]])</f>
        <v>3</v>
      </c>
      <c r="O460" s="265">
        <f>VALUE(ResultsInd[[#This Row],[Score-B]])</f>
        <v>2</v>
      </c>
      <c r="P460" s="265">
        <f ca="1">IF(AND(ResultsInd[[#This Row],[Category]]&lt;&gt;"",ResultsInd[[#This Row],[Player A]]&lt;&gt;""),COUNTIF(INDIRECT(ResultsInd[[#This Row],[Category]]&amp;"List[Retained Player Name]"),ResultsInd[[#This Row],[Player A]]),"")</f>
        <v>1</v>
      </c>
      <c r="Q460" s="265">
        <f ca="1">IF(AND(ResultsInd[[#This Row],[Category]]&lt;&gt;"",ResultsInd[[#This Row],[Player B]]&lt;&gt;""),COUNTIF(INDIRECT(ResultsInd[[#This Row],[Category]]&amp;"List[Retained Player Name]"),ResultsInd[[#This Row],[Player B]]),"")</f>
        <v>1</v>
      </c>
      <c r="R4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460" s="265" t="str">
        <f>IF(ResultsInd[[#This Row],[Score_OK]],IF(ResultsInd[[#This Row],[Stage]]="Groups",ResultsInd[[#This Row],[Category]]&amp;"-"&amp;IF(ResultsInd[[#This Row],[Player B]]="","",IF(ResultsInd[[#This Row],[Score-A]]=ResultsInd[[#This Row],[Score-B]],ResultsInd[[#This Row],[Player A]],"")),""),"")</f>
        <v>U16-</v>
      </c>
      <c r="T460" s="265" t="str">
        <f>IF(ResultsInd[[#This Row],[Score_OK]],IF(ResultsInd[[#This Row],[Stage]]="Groups",ResultsInd[[#This Row],[Category]]&amp;"-"&amp;IF(ResultsInd[[#This Row],[Player B]]="","",IF(ResultsInd[[#This Row],[Score-A]]=ResultsInd[[#This Row],[Score-B]],ResultsInd[[#This Row],[Player B]],"")),""),"")</f>
        <v>U16-</v>
      </c>
      <c r="U4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U16-Jérôme Cyganek</v>
      </c>
      <c r="V4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U16-Jérôme Cyganek</v>
      </c>
      <c r="X4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U16-Jérôme Cyganek</v>
      </c>
      <c r="Y460" s="264" t="str">
        <f>IF(ResultsInd[[#This Row],[Category]]="","",VLOOKUP(ResultsInd[[#This Row],[Stage]],$P$1:$V$9,MATCH(ResultsInd[[#This Row],[Category]],$Q$1:$V$1,0)+1,FALSE))</f>
        <v>PR1</v>
      </c>
      <c r="Z460" s="264" t="str">
        <f>IF(ResultsInd[[#This Row],[Score_OK]],IF(ResultsInd[[#This Row],[Level]]="R",ResultsInd[[#This Row],[Category]]&amp;"-"&amp;IF(ResultsInd[[#This Row],[LoseInKO]]=ResultsInd[[#This Row],[Category]]&amp;"-"&amp;ResultsInd[[#This Row],[Player A]],ResultsInd[[#This Row],[Player B]],ResultsInd[[#This Row],[Player A]]),""),"")</f>
        <v/>
      </c>
      <c r="AB460" s="8"/>
      <c r="AC460" s="12" t="str">
        <f t="shared" si="399"/>
        <v>U20</v>
      </c>
      <c r="AD460" s="309"/>
      <c r="AE460" s="310"/>
      <c r="AF460" s="311"/>
      <c r="AG460" s="292" t="str">
        <f>IF(AP460="","",SMALL(AH455:AH461,ROWS(AG455:AG460)))</f>
        <v/>
      </c>
      <c r="AH460" s="293" t="str">
        <f>IF(AP460="","",RANK(AL460,AL455:AL461)*1000+ROWS(AH455:AH460))</f>
        <v/>
      </c>
      <c r="AI460" s="316" t="str">
        <f t="shared" si="393"/>
        <v/>
      </c>
      <c r="AJ460" s="415" t="b">
        <f>AND(AO460&lt;&gt;"",AO460&gt;0,COUNTIF(AI455:AI461,AI460)&gt;1)</f>
        <v>0</v>
      </c>
      <c r="AK460" s="316" t="str">
        <f t="shared" si="394"/>
        <v/>
      </c>
      <c r="AL460" s="317" t="str">
        <f t="shared" si="395"/>
        <v/>
      </c>
      <c r="AM460" s="415" t="b">
        <f>AND(AO460&lt;&gt;"",AO460&gt;0,COUNTIF(AL455:AL461,AL460)&gt;1)</f>
        <v>0</v>
      </c>
      <c r="AN460" s="306" t="str">
        <f t="shared" si="396"/>
        <v/>
      </c>
      <c r="AO460" s="307" t="str">
        <f t="shared" si="397"/>
        <v/>
      </c>
      <c r="AP460" s="307" t="str">
        <f>IF(OR(AC454="",AD460=""),"",COUNTIF(ResultsInd[Win],AC454&amp;"-"&amp;AD460))</f>
        <v/>
      </c>
      <c r="AQ460" s="307" t="str">
        <f>IF(OR(AC454="",AD460=""),"",COUNTIF(ResultsInd[Draw1],AC454&amp;"-"&amp;AD460)+COUNTIF(ResultsInd[Draw2],AC454&amp;"-"&amp;AD460))</f>
        <v/>
      </c>
      <c r="AR460" s="307" t="str">
        <f>IF(OR(AC454="",AD460=""),"",COUNTIF(ResultsInd[Lose],AC454&amp;"-"&amp;AD460))</f>
        <v/>
      </c>
      <c r="AS460" s="307" t="str">
        <f>IF(OR(AC454="",AD460=""),"",SUMIFS(ResultsInd[Goal-A],ResultsInd[Category],AC454,ResultsInd[Stage],"Groups",ResultsInd[Player A],AD460)+SUMIFS(ResultsInd[Goal-B],ResultsInd[Category],AC454,ResultsInd[Stage],"Groups",ResultsInd[Player B],AD460))</f>
        <v/>
      </c>
      <c r="AT460" s="307" t="str">
        <f>IF(OR(AC454="",AD460=""),"",SUMIFS(ResultsInd[Goal-B],ResultsInd[Category],AC454,ResultsInd[Stage],"Groups",ResultsInd[Player A],AD460)+SUMIFS(ResultsInd[Goal-A],ResultsInd[Category],AC454,ResultsInd[Stage],"Groups",ResultsInd[Player B],AD460))</f>
        <v/>
      </c>
      <c r="AU460" s="308" t="str">
        <f t="shared" si="400"/>
        <v/>
      </c>
      <c r="AV460" s="469" t="str">
        <f>IF(AG460="","",OR(VLOOKUP(AG460,AH455:AU461,3,FALSE),VLOOKUP(AG460,AH455:AU461,6,FALSE)))</f>
        <v/>
      </c>
      <c r="AW460" s="298" t="str">
        <f t="shared" si="398"/>
        <v/>
      </c>
      <c r="AX460" s="285" t="str">
        <f>IF(AG460="","",INDEX(AD455:AD461,MATCH(AG460,AH455:AH461,0)))</f>
        <v/>
      </c>
      <c r="AY460" s="286" t="str">
        <f>IF(AG460="","",VLOOKUP(AG460,AH455:AU461,COLUMN()-COLUMN(AR454),FALSE))</f>
        <v/>
      </c>
      <c r="AZ460" s="286" t="str">
        <f>IF(AG460="","",VLOOKUP(AG460,AH455:AU461,COLUMN()-COLUMN(AR454),FALSE))</f>
        <v/>
      </c>
      <c r="BA460" s="286" t="str">
        <f>IF(AG460="","",VLOOKUP(AG460,AH455:AU461,COLUMN()-COLUMN(AR454),FALSE))</f>
        <v/>
      </c>
      <c r="BB460" s="286" t="str">
        <f>IF(AG460="","",VLOOKUP(AG460,AH455:AU461,COLUMN()-COLUMN(AR454),FALSE))</f>
        <v/>
      </c>
      <c r="BC460" s="286" t="str">
        <f>IF(AG460="","",VLOOKUP(AG460,AH455:AU461,COLUMN()-COLUMN(AR454),FALSE))</f>
        <v/>
      </c>
      <c r="BD460" s="286" t="str">
        <f>IF(AG460="","",VLOOKUP(AG460,AH455:AU461,COLUMN()-COLUMN(AR454),FALSE))</f>
        <v/>
      </c>
      <c r="BE460" s="286" t="str">
        <f>IF(AG460="","",VLOOKUP(AG460,AH455:AU461,COLUMN()-COLUMN(AR454),FALSE))</f>
        <v/>
      </c>
      <c r="BF460" s="301" t="str">
        <f>IF(AG460="","",VLOOKUP(AG460,AH455:AU461,COLUMN()-COLUMN(AR454),FALSE))</f>
        <v/>
      </c>
    </row>
    <row r="461" spans="1:58" ht="12" thickBot="1" x14ac:dyDescent="0.25">
      <c r="A461" s="62" t="s">
        <v>1023</v>
      </c>
      <c r="B461" s="62" t="s">
        <v>12207</v>
      </c>
      <c r="C461" s="62">
        <v>1</v>
      </c>
      <c r="D461" s="62"/>
      <c r="E461" s="345" t="s">
        <v>8179</v>
      </c>
      <c r="F461" s="345" t="s">
        <v>12410</v>
      </c>
      <c r="G461" s="113">
        <v>4</v>
      </c>
      <c r="H461" s="113">
        <v>0</v>
      </c>
      <c r="I461" s="114"/>
      <c r="J461" s="114"/>
      <c r="K461" s="114"/>
      <c r="L461" s="81"/>
      <c r="M461" s="265" t="b">
        <f>NOT(ISERROR(ResultsInd[[#This Row],[Goal-A]]+ResultsInd[[#This Row],[Goal-B]]))</f>
        <v>1</v>
      </c>
      <c r="N461" s="265">
        <f>VALUE(ResultsInd[[#This Row],[Score-A]])</f>
        <v>4</v>
      </c>
      <c r="O461" s="265">
        <f>VALUE(ResultsInd[[#This Row],[Score-B]])</f>
        <v>0</v>
      </c>
      <c r="P461" s="265">
        <f ca="1">IF(AND(ResultsInd[[#This Row],[Category]]&lt;&gt;"",ResultsInd[[#This Row],[Player A]]&lt;&gt;""),COUNTIF(INDIRECT(ResultsInd[[#This Row],[Category]]&amp;"List[Retained Player Name]"),ResultsInd[[#This Row],[Player A]]),"")</f>
        <v>1</v>
      </c>
      <c r="Q461" s="265">
        <f ca="1">IF(AND(ResultsInd[[#This Row],[Category]]&lt;&gt;"",ResultsInd[[#This Row],[Player B]]&lt;&gt;""),COUNTIF(INDIRECT(ResultsInd[[#This Row],[Category]]&amp;"List[Retained Player Name]"),ResultsInd[[#This Row],[Player B]]),"")</f>
        <v>1</v>
      </c>
      <c r="R4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U16-Maxim Grosdent</v>
      </c>
      <c r="S461" s="265" t="str">
        <f>IF(ResultsInd[[#This Row],[Score_OK]],IF(ResultsInd[[#This Row],[Stage]]="Groups",ResultsInd[[#This Row],[Category]]&amp;"-"&amp;IF(ResultsInd[[#This Row],[Player B]]="","",IF(ResultsInd[[#This Row],[Score-A]]=ResultsInd[[#This Row],[Score-B]],ResultsInd[[#This Row],[Player A]],"")),""),"")</f>
        <v>U16-</v>
      </c>
      <c r="T461" s="265" t="str">
        <f>IF(ResultsInd[[#This Row],[Score_OK]],IF(ResultsInd[[#This Row],[Stage]]="Groups",ResultsInd[[#This Row],[Category]]&amp;"-"&amp;IF(ResultsInd[[#This Row],[Player B]]="","",IF(ResultsInd[[#This Row],[Score-A]]=ResultsInd[[#This Row],[Score-B]],ResultsInd[[#This Row],[Player B]],"")),""),"")</f>
        <v>U16-</v>
      </c>
      <c r="U4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U16-Robin Verplaetse</v>
      </c>
      <c r="V4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X4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Y461" s="264" t="str">
        <f>IF(ResultsInd[[#This Row],[Category]]="","",VLOOKUP(ResultsInd[[#This Row],[Stage]],$P$1:$V$9,MATCH(ResultsInd[[#This Row],[Category]],$Q$1:$V$1,0)+1,FALSE))</f>
        <v>PR1</v>
      </c>
      <c r="Z461" s="264" t="str">
        <f>IF(ResultsInd[[#This Row],[Score_OK]],IF(ResultsInd[[#This Row],[Level]]="R",ResultsInd[[#This Row],[Category]]&amp;"-"&amp;IF(ResultsInd[[#This Row],[LoseInKO]]=ResultsInd[[#This Row],[Category]]&amp;"-"&amp;ResultsInd[[#This Row],[Player A]],ResultsInd[[#This Row],[Player B]],ResultsInd[[#This Row],[Player A]]),""),"")</f>
        <v/>
      </c>
      <c r="AB461" s="8"/>
      <c r="AC461" s="12" t="str">
        <f t="shared" si="399"/>
        <v>U20</v>
      </c>
      <c r="AD461" s="312"/>
      <c r="AE461" s="313"/>
      <c r="AF461" s="314"/>
      <c r="AG461" s="294" t="str">
        <f>IF(AP461="","",SMALL(AH455:AH461,ROWS(AG455:AG461)))</f>
        <v/>
      </c>
      <c r="AH461" s="295" t="str">
        <f>IF(AP461="","",RANK(AL461,AL455:AL461)*1000+ROWS(AH455:AH461))</f>
        <v/>
      </c>
      <c r="AI461" s="318" t="str">
        <f t="shared" si="393"/>
        <v/>
      </c>
      <c r="AJ461" s="416" t="b">
        <f>AND(AO461&lt;&gt;"",AO461&gt;0,COUNTIF(AI455:AI461,AI461)&gt;1)</f>
        <v>0</v>
      </c>
      <c r="AK461" s="318" t="str">
        <f t="shared" si="394"/>
        <v/>
      </c>
      <c r="AL461" s="319" t="str">
        <f t="shared" si="395"/>
        <v/>
      </c>
      <c r="AM461" s="416" t="b">
        <f>AND(AO461&lt;&gt;"",AO461&gt;0,COUNTIF(AL455:AL461,AL461)&gt;1)</f>
        <v>0</v>
      </c>
      <c r="AN461" s="306" t="str">
        <f t="shared" si="396"/>
        <v/>
      </c>
      <c r="AO461" s="307" t="str">
        <f t="shared" si="397"/>
        <v/>
      </c>
      <c r="AP461" s="307" t="str">
        <f>IF(OR(AC454="",AD461=""),"",COUNTIF(ResultsInd[Win],AC454&amp;"-"&amp;AD461))</f>
        <v/>
      </c>
      <c r="AQ461" s="307" t="str">
        <f>IF(OR(AC454="",AD461=""),"",COUNTIF(ResultsInd[Draw1],AC454&amp;"-"&amp;AD461)+COUNTIF(ResultsInd[Draw2],AC454&amp;"-"&amp;AD461))</f>
        <v/>
      </c>
      <c r="AR461" s="307" t="str">
        <f>IF(OR(AC454="",AD461=""),"",COUNTIF(ResultsInd[Lose],AC454&amp;"-"&amp;AD461))</f>
        <v/>
      </c>
      <c r="AS461" s="307" t="str">
        <f>IF(OR(AC454="",AD461=""),"",SUMIFS(ResultsInd[Goal-A],ResultsInd[Category],AC454,ResultsInd[Stage],"Groups",ResultsInd[Player A],AD461)+SUMIFS(ResultsInd[Goal-B],ResultsInd[Category],AC454,ResultsInd[Stage],"Groups",ResultsInd[Player B],AD461))</f>
        <v/>
      </c>
      <c r="AT461" s="307" t="str">
        <f>IF(OR(AC454="",AD461=""),"",SUMIFS(ResultsInd[Goal-B],ResultsInd[Category],AC454,ResultsInd[Stage],"Groups",ResultsInd[Player A],AD461)+SUMIFS(ResultsInd[Goal-A],ResultsInd[Category],AC454,ResultsInd[Stage],"Groups",ResultsInd[Player B],AD461))</f>
        <v/>
      </c>
      <c r="AU461" s="308" t="str">
        <f t="shared" si="400"/>
        <v/>
      </c>
      <c r="AV461" s="469" t="str">
        <f>IF(AG461="","",OR(VLOOKUP(AG461,AH455:AU461,3,FALSE),VLOOKUP(AG461,AH455:AU461,6,FALSE)))</f>
        <v/>
      </c>
      <c r="AW461" s="299" t="str">
        <f t="shared" si="398"/>
        <v/>
      </c>
      <c r="AX461" s="287" t="str">
        <f>IF(AG461="","",INDEX(AD455:AD461,MATCH(AG461,AH455:AH461,0)))</f>
        <v/>
      </c>
      <c r="AY461" s="288" t="str">
        <f>IF(AG461="","",VLOOKUP(AG461,AH455:AU461,COLUMN()-COLUMN(AR454),FALSE))</f>
        <v/>
      </c>
      <c r="AZ461" s="288" t="str">
        <f>IF(AG461="","",VLOOKUP(AG461,AH455:AU461,COLUMN()-COLUMN(AR454),FALSE))</f>
        <v/>
      </c>
      <c r="BA461" s="288" t="str">
        <f>IF(AG461="","",VLOOKUP(AG461,AH455:AU461,COLUMN()-COLUMN(AR454),FALSE))</f>
        <v/>
      </c>
      <c r="BB461" s="288" t="str">
        <f>IF(AG461="","",VLOOKUP(AG461,AH455:AU461,COLUMN()-COLUMN(AR454),FALSE))</f>
        <v/>
      </c>
      <c r="BC461" s="288" t="str">
        <f>IF(AG461="","",VLOOKUP(AG461,AH455:AU461,COLUMN()-COLUMN(AR454),FALSE))</f>
        <v/>
      </c>
      <c r="BD461" s="288" t="str">
        <f>IF(AG461="","",VLOOKUP(AG461,AH455:AU461,COLUMN()-COLUMN(AR454),FALSE))</f>
        <v/>
      </c>
      <c r="BE461" s="288" t="str">
        <f>IF(AG461="","",VLOOKUP(AG461,AH455:AU461,COLUMN()-COLUMN(AR454),FALSE))</f>
        <v/>
      </c>
      <c r="BF461" s="302" t="str">
        <f>IF(AG461="","",VLOOKUP(AG461,AH455:AU461,COLUMN()-COLUMN(AR454),FALSE))</f>
        <v/>
      </c>
    </row>
    <row r="462" spans="1:58" ht="13.5" thickBot="1" x14ac:dyDescent="0.25">
      <c r="A462" s="62" t="s">
        <v>1023</v>
      </c>
      <c r="B462" s="62" t="s">
        <v>12207</v>
      </c>
      <c r="C462" s="62">
        <v>1</v>
      </c>
      <c r="D462" s="62"/>
      <c r="E462" s="345" t="s">
        <v>10446</v>
      </c>
      <c r="F462" s="345" t="s">
        <v>10591</v>
      </c>
      <c r="G462" s="113">
        <v>5</v>
      </c>
      <c r="H462" s="113">
        <v>0</v>
      </c>
      <c r="I462" s="114"/>
      <c r="J462" s="114"/>
      <c r="K462" s="114"/>
      <c r="L462" s="81"/>
      <c r="M462" s="265" t="b">
        <f>NOT(ISERROR(ResultsInd[[#This Row],[Goal-A]]+ResultsInd[[#This Row],[Goal-B]]))</f>
        <v>1</v>
      </c>
      <c r="N462" s="265">
        <f>VALUE(ResultsInd[[#This Row],[Score-A]])</f>
        <v>5</v>
      </c>
      <c r="O462" s="265">
        <f>VALUE(ResultsInd[[#This Row],[Score-B]])</f>
        <v>0</v>
      </c>
      <c r="P462" s="265">
        <f ca="1">IF(AND(ResultsInd[[#This Row],[Category]]&lt;&gt;"",ResultsInd[[#This Row],[Player A]]&lt;&gt;""),COUNTIF(INDIRECT(ResultsInd[[#This Row],[Category]]&amp;"List[Retained Player Name]"),ResultsInd[[#This Row],[Player A]]),"")</f>
        <v>1</v>
      </c>
      <c r="Q462" s="265">
        <f ca="1">IF(AND(ResultsInd[[#This Row],[Category]]&lt;&gt;"",ResultsInd[[#This Row],[Player B]]&lt;&gt;""),COUNTIF(INDIRECT(ResultsInd[[#This Row],[Category]]&amp;"List[Retained Player Name]"),ResultsInd[[#This Row],[Player B]]),"")</f>
        <v>1</v>
      </c>
      <c r="R4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U16-Robert Farrugia Randon</v>
      </c>
      <c r="S462" s="265" t="str">
        <f>IF(ResultsInd[[#This Row],[Score_OK]],IF(ResultsInd[[#This Row],[Stage]]="Groups",ResultsInd[[#This Row],[Category]]&amp;"-"&amp;IF(ResultsInd[[#This Row],[Player B]]="","",IF(ResultsInd[[#This Row],[Score-A]]=ResultsInd[[#This Row],[Score-B]],ResultsInd[[#This Row],[Player A]],"")),""),"")</f>
        <v>U16-</v>
      </c>
      <c r="T462" s="265" t="str">
        <f>IF(ResultsInd[[#This Row],[Score_OK]],IF(ResultsInd[[#This Row],[Stage]]="Groups",ResultsInd[[#This Row],[Category]]&amp;"-"&amp;IF(ResultsInd[[#This Row],[Player B]]="","",IF(ResultsInd[[#This Row],[Score-A]]=ResultsInd[[#This Row],[Score-B]],ResultsInd[[#This Row],[Player B]],"")),""),"")</f>
        <v>U16-</v>
      </c>
      <c r="U4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U16-Daniel Kaliszewski</v>
      </c>
      <c r="V4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X4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Y462" s="264" t="str">
        <f>IF(ResultsInd[[#This Row],[Category]]="","",VLOOKUP(ResultsInd[[#This Row],[Stage]],$P$1:$V$9,MATCH(ResultsInd[[#This Row],[Category]],$Q$1:$V$1,0)+1,FALSE))</f>
        <v>PR1</v>
      </c>
      <c r="Z462" s="264" t="str">
        <f>IF(ResultsInd[[#This Row],[Score_OK]],IF(ResultsInd[[#This Row],[Level]]="R",ResultsInd[[#This Row],[Category]]&amp;"-"&amp;IF(ResultsInd[[#This Row],[LoseInKO]]=ResultsInd[[#This Row],[Category]]&amp;"-"&amp;ResultsInd[[#This Row],[Player A]],ResultsInd[[#This Row],[Player B]],ResultsInd[[#This Row],[Player A]]),""),"")</f>
        <v/>
      </c>
      <c r="AB462" s="8"/>
      <c r="AC462" s="8"/>
      <c r="AF462" s="170"/>
      <c r="AG462" s="101"/>
      <c r="AH462" s="101"/>
      <c r="AN462" s="170"/>
      <c r="AO462" s="170"/>
      <c r="AP462" s="170"/>
      <c r="AQ462" s="172"/>
      <c r="AR462" s="173"/>
      <c r="AS462" s="173"/>
      <c r="AT462" s="173"/>
      <c r="AU462" s="101"/>
      <c r="AV462" s="101"/>
      <c r="AW462" s="101"/>
      <c r="AX462" s="101"/>
      <c r="AY462" s="101"/>
      <c r="AZ462" s="101"/>
    </row>
    <row r="463" spans="1:58" ht="12" thickBot="1" x14ac:dyDescent="0.25">
      <c r="A463" s="62" t="s">
        <v>1023</v>
      </c>
      <c r="B463" s="62" t="s">
        <v>12207</v>
      </c>
      <c r="C463" s="62">
        <v>1</v>
      </c>
      <c r="D463" s="62"/>
      <c r="E463" s="345" t="s">
        <v>12410</v>
      </c>
      <c r="F463" s="345" t="s">
        <v>8722</v>
      </c>
      <c r="G463" s="113">
        <v>0</v>
      </c>
      <c r="H463" s="113">
        <v>5</v>
      </c>
      <c r="I463" s="114"/>
      <c r="J463" s="114"/>
      <c r="K463" s="114"/>
      <c r="L463" s="81"/>
      <c r="M463" s="265" t="b">
        <f>NOT(ISERROR(ResultsInd[[#This Row],[Goal-A]]+ResultsInd[[#This Row],[Goal-B]]))</f>
        <v>1</v>
      </c>
      <c r="N463" s="265">
        <f>VALUE(ResultsInd[[#This Row],[Score-A]])</f>
        <v>0</v>
      </c>
      <c r="O463" s="265">
        <f>VALUE(ResultsInd[[#This Row],[Score-B]])</f>
        <v>5</v>
      </c>
      <c r="P463" s="265">
        <f ca="1">IF(AND(ResultsInd[[#This Row],[Category]]&lt;&gt;"",ResultsInd[[#This Row],[Player A]]&lt;&gt;""),COUNTIF(INDIRECT(ResultsInd[[#This Row],[Category]]&amp;"List[Retained Player Name]"),ResultsInd[[#This Row],[Player A]]),"")</f>
        <v>1</v>
      </c>
      <c r="Q463" s="265">
        <f ca="1">IF(AND(ResultsInd[[#This Row],[Category]]&lt;&gt;"",ResultsInd[[#This Row],[Player B]]&lt;&gt;""),COUNTIF(INDIRECT(ResultsInd[[#This Row],[Category]]&amp;"List[Retained Player Name]"),ResultsInd[[#This Row],[Player B]]),"")</f>
        <v>1</v>
      </c>
      <c r="R4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463" s="265" t="str">
        <f>IF(ResultsInd[[#This Row],[Score_OK]],IF(ResultsInd[[#This Row],[Stage]]="Groups",ResultsInd[[#This Row],[Category]]&amp;"-"&amp;IF(ResultsInd[[#This Row],[Player B]]="","",IF(ResultsInd[[#This Row],[Score-A]]=ResultsInd[[#This Row],[Score-B]],ResultsInd[[#This Row],[Player A]],"")),""),"")</f>
        <v>U16-</v>
      </c>
      <c r="T463" s="265" t="str">
        <f>IF(ResultsInd[[#This Row],[Score_OK]],IF(ResultsInd[[#This Row],[Stage]]="Groups",ResultsInd[[#This Row],[Category]]&amp;"-"&amp;IF(ResultsInd[[#This Row],[Player B]]="","",IF(ResultsInd[[#This Row],[Score-A]]=ResultsInd[[#This Row],[Score-B]],ResultsInd[[#This Row],[Player B]],"")),""),"")</f>
        <v>U16-</v>
      </c>
      <c r="U4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U16-Robin Verplaetse</v>
      </c>
      <c r="V4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X4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Y463" s="264" t="str">
        <f>IF(ResultsInd[[#This Row],[Category]]="","",VLOOKUP(ResultsInd[[#This Row],[Stage]],$P$1:$V$9,MATCH(ResultsInd[[#This Row],[Category]],$Q$1:$V$1,0)+1,FALSE))</f>
        <v>PR1</v>
      </c>
      <c r="Z463" s="264" t="str">
        <f>IF(ResultsInd[[#This Row],[Score_OK]],IF(ResultsInd[[#This Row],[Level]]="R",ResultsInd[[#This Row],[Category]]&amp;"-"&amp;IF(ResultsInd[[#This Row],[LoseInKO]]=ResultsInd[[#This Row],[Category]]&amp;"-"&amp;ResultsInd[[#This Row],[Player A]],ResultsInd[[#This Row],[Player B]],ResultsInd[[#This Row],[Player A]]),""),"")</f>
        <v/>
      </c>
      <c r="AB463" s="281">
        <v>1</v>
      </c>
      <c r="AC463" s="315" t="s">
        <v>1023</v>
      </c>
      <c r="AD463" s="289" t="s">
        <v>14439</v>
      </c>
      <c r="AE463" s="290" t="s">
        <v>12279</v>
      </c>
      <c r="AF463" s="284" t="s">
        <v>12275</v>
      </c>
      <c r="AG463" s="296" t="s">
        <v>12276</v>
      </c>
      <c r="AH463" s="291" t="s">
        <v>12271</v>
      </c>
      <c r="AI463" s="291" t="s">
        <v>12272</v>
      </c>
      <c r="AJ463" s="414" t="s">
        <v>13154</v>
      </c>
      <c r="AK463" s="291" t="s">
        <v>12273</v>
      </c>
      <c r="AL463" s="297" t="s">
        <v>12274</v>
      </c>
      <c r="AM463" s="414" t="s">
        <v>13154</v>
      </c>
      <c r="AN463" s="303" t="s">
        <v>12199</v>
      </c>
      <c r="AO463" s="304" t="s">
        <v>12200</v>
      </c>
      <c r="AP463" s="304" t="s">
        <v>12201</v>
      </c>
      <c r="AQ463" s="304" t="s">
        <v>12202</v>
      </c>
      <c r="AR463" s="304" t="s">
        <v>12203</v>
      </c>
      <c r="AS463" s="304" t="s">
        <v>12204</v>
      </c>
      <c r="AT463" s="304" t="s">
        <v>12205</v>
      </c>
      <c r="AU463" s="305" t="s">
        <v>12206</v>
      </c>
      <c r="AV463" s="468"/>
      <c r="AW463" s="282" t="s">
        <v>12276</v>
      </c>
      <c r="AX463" s="282" t="s">
        <v>12280</v>
      </c>
      <c r="AY463" s="283" t="s">
        <v>12199</v>
      </c>
      <c r="AZ463" s="283" t="s">
        <v>12200</v>
      </c>
      <c r="BA463" s="283" t="s">
        <v>12201</v>
      </c>
      <c r="BB463" s="283" t="s">
        <v>12202</v>
      </c>
      <c r="BC463" s="283" t="s">
        <v>12203</v>
      </c>
      <c r="BD463" s="283" t="s">
        <v>12204</v>
      </c>
      <c r="BE463" s="283" t="s">
        <v>12205</v>
      </c>
      <c r="BF463" s="300" t="s">
        <v>12206</v>
      </c>
    </row>
    <row r="464" spans="1:58" ht="12" thickBot="1" x14ac:dyDescent="0.25">
      <c r="A464" s="62" t="s">
        <v>1023</v>
      </c>
      <c r="B464" s="62" t="s">
        <v>12207</v>
      </c>
      <c r="C464" s="62">
        <v>1</v>
      </c>
      <c r="D464" s="62"/>
      <c r="E464" s="345" t="s">
        <v>10446</v>
      </c>
      <c r="F464" s="345" t="s">
        <v>8162</v>
      </c>
      <c r="G464" s="113">
        <v>3</v>
      </c>
      <c r="H464" s="113">
        <v>3</v>
      </c>
      <c r="I464" s="114"/>
      <c r="J464" s="114"/>
      <c r="K464" s="114"/>
      <c r="L464" s="81"/>
      <c r="M464" s="265" t="b">
        <f>NOT(ISERROR(ResultsInd[[#This Row],[Goal-A]]+ResultsInd[[#This Row],[Goal-B]]))</f>
        <v>1</v>
      </c>
      <c r="N464" s="265">
        <f>VALUE(ResultsInd[[#This Row],[Score-A]])</f>
        <v>3</v>
      </c>
      <c r="O464" s="265">
        <f>VALUE(ResultsInd[[#This Row],[Score-B]])</f>
        <v>3</v>
      </c>
      <c r="P464" s="265">
        <f ca="1">IF(AND(ResultsInd[[#This Row],[Category]]&lt;&gt;"",ResultsInd[[#This Row],[Player A]]&lt;&gt;""),COUNTIF(INDIRECT(ResultsInd[[#This Row],[Category]]&amp;"List[Retained Player Name]"),ResultsInd[[#This Row],[Player A]]),"")</f>
        <v>1</v>
      </c>
      <c r="Q464" s="265">
        <f ca="1">IF(AND(ResultsInd[[#This Row],[Category]]&lt;&gt;"",ResultsInd[[#This Row],[Player B]]&lt;&gt;""),COUNTIF(INDIRECT(ResultsInd[[#This Row],[Category]]&amp;"List[Retained Player Name]"),ResultsInd[[#This Row],[Player B]]),"")</f>
        <v>1</v>
      </c>
      <c r="R4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v>
      </c>
      <c r="S464" s="265" t="str">
        <f>IF(ResultsInd[[#This Row],[Score_OK]],IF(ResultsInd[[#This Row],[Stage]]="Groups",ResultsInd[[#This Row],[Category]]&amp;"-"&amp;IF(ResultsInd[[#This Row],[Player B]]="","",IF(ResultsInd[[#This Row],[Score-A]]=ResultsInd[[#This Row],[Score-B]],ResultsInd[[#This Row],[Player A]],"")),""),"")</f>
        <v>U16-Robert Farrugia Randon</v>
      </c>
      <c r="T464" s="265" t="str">
        <f>IF(ResultsInd[[#This Row],[Score_OK]],IF(ResultsInd[[#This Row],[Stage]]="Groups",ResultsInd[[#This Row],[Category]]&amp;"-"&amp;IF(ResultsInd[[#This Row],[Player B]]="","",IF(ResultsInd[[#This Row],[Score-A]]=ResultsInd[[#This Row],[Score-B]],ResultsInd[[#This Row],[Player B]],"")),""),"")</f>
        <v>U16-Jérôme Cyganek</v>
      </c>
      <c r="U4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v>
      </c>
      <c r="V4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U16-Robert Farrugia Randon</v>
      </c>
      <c r="X4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U16-Jérôme Cyganek</v>
      </c>
      <c r="Y464" s="264" t="str">
        <f>IF(ResultsInd[[#This Row],[Category]]="","",VLOOKUP(ResultsInd[[#This Row],[Stage]],$P$1:$V$9,MATCH(ResultsInd[[#This Row],[Category]],$Q$1:$V$1,0)+1,FALSE))</f>
        <v>PR1</v>
      </c>
      <c r="Z464" s="264" t="str">
        <f>IF(ResultsInd[[#This Row],[Score_OK]],IF(ResultsInd[[#This Row],[Level]]="R",ResultsInd[[#This Row],[Category]]&amp;"-"&amp;IF(ResultsInd[[#This Row],[LoseInKO]]=ResultsInd[[#This Row],[Category]]&amp;"-"&amp;ResultsInd[[#This Row],[Player A]],ResultsInd[[#This Row],[Player B]],ResultsInd[[#This Row],[Player A]]),""),"")</f>
        <v/>
      </c>
      <c r="AB464" s="8"/>
      <c r="AC464" s="12" t="str">
        <f>IF(AC463="","",AC463)</f>
        <v>U16</v>
      </c>
      <c r="AD464" s="309" t="s">
        <v>8722</v>
      </c>
      <c r="AE464" s="320"/>
      <c r="AF464" s="311"/>
      <c r="AG464" s="292">
        <f>IF(AP464="","",SMALL(AH464:AH470,ROWS(AG464:AG464)))</f>
        <v>1001</v>
      </c>
      <c r="AH464" s="293">
        <f>IF(AP464="","",RANK(AL464,AL464:AL470)*1000+ROWS(AH464:AH464))</f>
        <v>1001</v>
      </c>
      <c r="AI464" s="316">
        <f t="shared" ref="AI464:AI470" si="401">IF(AP464="","",CritClassInd1_Points*AN464+CritClassInd1_Matches*AP464+CritClassInd1_Attaque*AS464+CritClassInd1_DiffButs*AU464)</f>
        <v>15000000000000</v>
      </c>
      <c r="AJ464" s="415" t="b">
        <f>AND(AO464&lt;&gt;"",AO464&gt;0,COUNTIF(AI464:AI470,AI464)&gt;1)</f>
        <v>0</v>
      </c>
      <c r="AK464" s="316">
        <f t="shared" ref="AK464:AK470" si="402">IF(AP464="","",CritClassInd_ScorePart*AE464)</f>
        <v>0</v>
      </c>
      <c r="AL464" s="317">
        <f t="shared" ref="AL464:AL470" si="403">IF(AP464="","",AI464+AK464+CritClassInd2_Points*AN464+CritClassInd2_Matches*AP464+CritClassInd2_Attaque*AS464+CritClassInd2_DiffButs*AU464+AF464)</f>
        <v>15000000142000</v>
      </c>
      <c r="AM464" s="415" t="b">
        <f>AND(AO464&lt;&gt;"",AO464&gt;0,COUNTIF(AL464:AL470,AL464)&gt;1)</f>
        <v>0</v>
      </c>
      <c r="AN464" s="306">
        <f t="shared" ref="AN464:AN470" si="404">IF(AP464="","",(AP464*Points_Victoire)+AQ464*Points_Null)</f>
        <v>15</v>
      </c>
      <c r="AO464" s="307">
        <f t="shared" ref="AO464:AO470" si="405">IF(AP464="","",SUM(AP464:AR464))</f>
        <v>5</v>
      </c>
      <c r="AP464" s="307">
        <f>IF(OR(AC463="",AD464=""),"",COUNTIF(ResultsInd[Win],AC463&amp;"-"&amp;AD464))</f>
        <v>5</v>
      </c>
      <c r="AQ464" s="307">
        <f>IF(OR(AC463="",AD464=""),"",COUNTIF(ResultsInd[Draw1],AC463&amp;"-"&amp;AD464)+COUNTIF(ResultsInd[Draw2],AC463&amp;"-"&amp;AD464))</f>
        <v>0</v>
      </c>
      <c r="AR464" s="307">
        <f>IF(OR(AC463="",AD464=""),"",COUNTIF(ResultsInd[Lose],AC463&amp;"-"&amp;AD464))</f>
        <v>0</v>
      </c>
      <c r="AS464" s="307">
        <f>IF(OR(AC463="",AD464=""),"",SUMIFS(ResultsInd[Goal-A],ResultsInd[Category],AC463,ResultsInd[Stage],"Groups",ResultsInd[Player A],AD464)+SUMIFS(ResultsInd[Goal-B],ResultsInd[Category],AC463,ResultsInd[Stage],"Groups",ResultsInd[Player B],AD464))</f>
        <v>20</v>
      </c>
      <c r="AT464" s="307">
        <f>IF(OR(AC463="",AD464=""),"",SUMIFS(ResultsInd[Goal-B],ResultsInd[Category],AC463,ResultsInd[Stage],"Groups",ResultsInd[Player A],AD464)+SUMIFS(ResultsInd[Goal-A],ResultsInd[Category],AC463,ResultsInd[Stage],"Groups",ResultsInd[Player B],AD464))</f>
        <v>6</v>
      </c>
      <c r="AU464" s="308">
        <f>IF(AP464="","",AS464-AT464)</f>
        <v>14</v>
      </c>
      <c r="AV464" s="469" t="b">
        <f>IF(AG464="","",OR(VLOOKUP(AG464,AH464:AU470,3,FALSE),VLOOKUP(AG464,AH464:AU470,6,FALSE)))</f>
        <v>0</v>
      </c>
      <c r="AW464" s="298">
        <f t="shared" ref="AW464:AW470" si="406">IF(AG464="","",INT(AG464/1000))</f>
        <v>1</v>
      </c>
      <c r="AX464" s="285" t="str">
        <f>IF(AG464="","",INDEX(AD464:AD470,MATCH(AG464,AH464:AH470,0)))</f>
        <v>Louis Soret</v>
      </c>
      <c r="AY464" s="286">
        <f>IF(AG464="","",VLOOKUP(AG464,AH464:AU470,COLUMN()-COLUMN(AR463),FALSE))</f>
        <v>15</v>
      </c>
      <c r="AZ464" s="286">
        <f>IF(AG464="","",VLOOKUP(AG464,AH464:AU470,COLUMN()-COLUMN(AR463),FALSE))</f>
        <v>5</v>
      </c>
      <c r="BA464" s="286">
        <f>IF(AG464="","",VLOOKUP(AG464,AH464:AU470,COLUMN()-COLUMN(AR463),FALSE))</f>
        <v>5</v>
      </c>
      <c r="BB464" s="286">
        <f>IF(AG464="","",VLOOKUP(AG464,AH464:AU470,COLUMN()-COLUMN(AR463),FALSE))</f>
        <v>0</v>
      </c>
      <c r="BC464" s="286">
        <f>IF(AG464="","",VLOOKUP(AG464,AH464:AU470,COLUMN()-COLUMN(AR463),FALSE))</f>
        <v>0</v>
      </c>
      <c r="BD464" s="286">
        <f>IF(AG464="","",VLOOKUP(AG464,AH464:AU470,COLUMN()-COLUMN(AR463),FALSE))</f>
        <v>20</v>
      </c>
      <c r="BE464" s="286">
        <f>IF(AG464="","",VLOOKUP(AG464,AH464:AU470,COLUMN()-COLUMN(AR463),FALSE))</f>
        <v>6</v>
      </c>
      <c r="BF464" s="301">
        <f>IF(AG464="","",VLOOKUP(AG464,AH464:AU470,COLUMN()-COLUMN(AR463),FALSE))</f>
        <v>14</v>
      </c>
    </row>
    <row r="465" spans="1:58" ht="12" thickBot="1" x14ac:dyDescent="0.25">
      <c r="A465" s="62" t="s">
        <v>1023</v>
      </c>
      <c r="B465" s="62" t="s">
        <v>12207</v>
      </c>
      <c r="C465" s="62">
        <v>1</v>
      </c>
      <c r="D465" s="62"/>
      <c r="E465" s="345" t="s">
        <v>10591</v>
      </c>
      <c r="F465" s="345" t="s">
        <v>8179</v>
      </c>
      <c r="G465" s="113">
        <v>0</v>
      </c>
      <c r="H465" s="113">
        <v>4</v>
      </c>
      <c r="I465" s="114"/>
      <c r="J465" s="114"/>
      <c r="K465" s="114"/>
      <c r="L465" s="81"/>
      <c r="M465" s="265" t="b">
        <f>NOT(ISERROR(ResultsInd[[#This Row],[Goal-A]]+ResultsInd[[#This Row],[Goal-B]]))</f>
        <v>1</v>
      </c>
      <c r="N465" s="265">
        <f>VALUE(ResultsInd[[#This Row],[Score-A]])</f>
        <v>0</v>
      </c>
      <c r="O465" s="265">
        <f>VALUE(ResultsInd[[#This Row],[Score-B]])</f>
        <v>4</v>
      </c>
      <c r="P465" s="265">
        <f ca="1">IF(AND(ResultsInd[[#This Row],[Category]]&lt;&gt;"",ResultsInd[[#This Row],[Player A]]&lt;&gt;""),COUNTIF(INDIRECT(ResultsInd[[#This Row],[Category]]&amp;"List[Retained Player Name]"),ResultsInd[[#This Row],[Player A]]),"")</f>
        <v>1</v>
      </c>
      <c r="Q465" s="265">
        <f ca="1">IF(AND(ResultsInd[[#This Row],[Category]]&lt;&gt;"",ResultsInd[[#This Row],[Player B]]&lt;&gt;""),COUNTIF(INDIRECT(ResultsInd[[#This Row],[Category]]&amp;"List[Retained Player Name]"),ResultsInd[[#This Row],[Player B]]),"")</f>
        <v>1</v>
      </c>
      <c r="R4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U16-Maxim Grosdent</v>
      </c>
      <c r="S465" s="265" t="str">
        <f>IF(ResultsInd[[#This Row],[Score_OK]],IF(ResultsInd[[#This Row],[Stage]]="Groups",ResultsInd[[#This Row],[Category]]&amp;"-"&amp;IF(ResultsInd[[#This Row],[Player B]]="","",IF(ResultsInd[[#This Row],[Score-A]]=ResultsInd[[#This Row],[Score-B]],ResultsInd[[#This Row],[Player A]],"")),""),"")</f>
        <v>U16-</v>
      </c>
      <c r="T465" s="265" t="str">
        <f>IF(ResultsInd[[#This Row],[Score_OK]],IF(ResultsInd[[#This Row],[Stage]]="Groups",ResultsInd[[#This Row],[Category]]&amp;"-"&amp;IF(ResultsInd[[#This Row],[Player B]]="","",IF(ResultsInd[[#This Row],[Score-A]]=ResultsInd[[#This Row],[Score-B]],ResultsInd[[#This Row],[Player B]],"")),""),"")</f>
        <v>U16-</v>
      </c>
      <c r="U4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U16-Daniel Kaliszewski</v>
      </c>
      <c r="V4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X4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Y465" s="264" t="str">
        <f>IF(ResultsInd[[#This Row],[Category]]="","",VLOOKUP(ResultsInd[[#This Row],[Stage]],$P$1:$V$9,MATCH(ResultsInd[[#This Row],[Category]],$Q$1:$V$1,0)+1,FALSE))</f>
        <v>PR1</v>
      </c>
      <c r="Z465" s="264" t="str">
        <f>IF(ResultsInd[[#This Row],[Score_OK]],IF(ResultsInd[[#This Row],[Level]]="R",ResultsInd[[#This Row],[Category]]&amp;"-"&amp;IF(ResultsInd[[#This Row],[LoseInKO]]=ResultsInd[[#This Row],[Category]]&amp;"-"&amp;ResultsInd[[#This Row],[Player A]],ResultsInd[[#This Row],[Player B]],ResultsInd[[#This Row],[Player A]]),""),"")</f>
        <v/>
      </c>
      <c r="AB465" s="8"/>
      <c r="AC465" s="12" t="str">
        <f t="shared" ref="AC465:AC470" si="407">IF(AC464="","",AC464)</f>
        <v>U16</v>
      </c>
      <c r="AD465" s="309" t="s">
        <v>10446</v>
      </c>
      <c r="AE465" s="320"/>
      <c r="AF465" s="311"/>
      <c r="AG465" s="292">
        <f>IF(AP465="","",SMALL(AH464:AH470,ROWS(AG464:AG465)))</f>
        <v>2002</v>
      </c>
      <c r="AH465" s="293">
        <f>IF(AP465="","",RANK(AL465,AL464:AL470)*1000+ROWS(AH464:AH465))</f>
        <v>2002</v>
      </c>
      <c r="AI465" s="316">
        <f t="shared" si="401"/>
        <v>10000000000000</v>
      </c>
      <c r="AJ465" s="415" t="b">
        <f>AND(AO465&lt;&gt;"",AO465&gt;0,COUNTIF(AI464:AI470,AI465)&gt;1)</f>
        <v>1</v>
      </c>
      <c r="AK465" s="316">
        <f t="shared" si="402"/>
        <v>0</v>
      </c>
      <c r="AL465" s="317">
        <f t="shared" si="403"/>
        <v>10000000101600</v>
      </c>
      <c r="AM465" s="415" t="b">
        <f>AND(AO465&lt;&gt;"",AO465&gt;0,COUNTIF(AL464:AL470,AL465)&gt;1)</f>
        <v>0</v>
      </c>
      <c r="AN465" s="306">
        <f t="shared" si="404"/>
        <v>10</v>
      </c>
      <c r="AO465" s="307">
        <f t="shared" si="405"/>
        <v>5</v>
      </c>
      <c r="AP465" s="307">
        <f>IF(OR(AC463="",AD465=""),"",COUNTIF(ResultsInd[Win],AC463&amp;"-"&amp;AD465))</f>
        <v>3</v>
      </c>
      <c r="AQ465" s="307">
        <f>IF(OR(AC463="",AD465=""),"",COUNTIF(ResultsInd[Draw1],AC463&amp;"-"&amp;AD465)+COUNTIF(ResultsInd[Draw2],AC463&amp;"-"&amp;AD465))</f>
        <v>1</v>
      </c>
      <c r="AR465" s="307">
        <f>IF(OR(AC463="",AD465=""),"",COUNTIF(ResultsInd[Lose],AC463&amp;"-"&amp;AD465))</f>
        <v>1</v>
      </c>
      <c r="AS465" s="307">
        <f>IF(OR(AC463="",AD465=""),"",SUMIFS(ResultsInd[Goal-A],ResultsInd[Category],AC463,ResultsInd[Stage],"Groups",ResultsInd[Player A],AD465)+SUMIFS(ResultsInd[Goal-B],ResultsInd[Category],AC463,ResultsInd[Stage],"Groups",ResultsInd[Player B],AD465))</f>
        <v>16</v>
      </c>
      <c r="AT465" s="307">
        <f>IF(OR(AC463="",AD465=""),"",SUMIFS(ResultsInd[Goal-B],ResultsInd[Category],AC463,ResultsInd[Stage],"Groups",ResultsInd[Player A],AD465)+SUMIFS(ResultsInd[Goal-A],ResultsInd[Category],AC463,ResultsInd[Stage],"Groups",ResultsInd[Player B],AD465))</f>
        <v>6</v>
      </c>
      <c r="AU465" s="308">
        <f t="shared" ref="AU465:AU470" si="408">IF(AP465="","",AS465-AT465)</f>
        <v>10</v>
      </c>
      <c r="AV465" s="469" t="b">
        <f>IF(AG465="","",OR(VLOOKUP(AG465,AH464:AU470,3,FALSE),VLOOKUP(AG465,AH464:AU470,6,FALSE)))</f>
        <v>1</v>
      </c>
      <c r="AW465" s="298">
        <f t="shared" si="406"/>
        <v>2</v>
      </c>
      <c r="AX465" s="285" t="str">
        <f>IF(AG465="","",INDEX(AD464:AD470,MATCH(AG465,AH464:AH470,0)))</f>
        <v>Robert Farrugia Randon</v>
      </c>
      <c r="AY465" s="286">
        <f>IF(AG465="","",VLOOKUP(AG465,AH464:AU470,COLUMN()-COLUMN(AR463),FALSE))</f>
        <v>10</v>
      </c>
      <c r="AZ465" s="286">
        <f>IF(AG465="","",VLOOKUP(AG465,AH464:AU470,COLUMN()-COLUMN(AR463),FALSE))</f>
        <v>5</v>
      </c>
      <c r="BA465" s="286">
        <f>IF(AG465="","",VLOOKUP(AG465,AH464:AU470,COLUMN()-COLUMN(AR463),FALSE))</f>
        <v>3</v>
      </c>
      <c r="BB465" s="286">
        <f>IF(AG465="","",VLOOKUP(AG465,AH464:AU470,COLUMN()-COLUMN(AR463),FALSE))</f>
        <v>1</v>
      </c>
      <c r="BC465" s="286">
        <f>IF(AG465="","",VLOOKUP(AG465,AH464:AU470,COLUMN()-COLUMN(AR463),FALSE))</f>
        <v>1</v>
      </c>
      <c r="BD465" s="286">
        <f>IF(AG465="","",VLOOKUP(AG465,AH464:AU470,COLUMN()-COLUMN(AR463),FALSE))</f>
        <v>16</v>
      </c>
      <c r="BE465" s="286">
        <f>IF(AG465="","",VLOOKUP(AG465,AH464:AU470,COLUMN()-COLUMN(AR463),FALSE))</f>
        <v>6</v>
      </c>
      <c r="BF465" s="301">
        <f>IF(AG465="","",VLOOKUP(AG465,AH464:AU470,COLUMN()-COLUMN(AR463),FALSE))</f>
        <v>10</v>
      </c>
    </row>
    <row r="466" spans="1:58" ht="12" thickBot="1" x14ac:dyDescent="0.25">
      <c r="A466" s="62" t="s">
        <v>1023</v>
      </c>
      <c r="B466" s="62" t="s">
        <v>12207</v>
      </c>
      <c r="C466" s="62">
        <v>1</v>
      </c>
      <c r="D466" s="62"/>
      <c r="E466" s="345" t="s">
        <v>8162</v>
      </c>
      <c r="F466" s="345" t="s">
        <v>12410</v>
      </c>
      <c r="G466" s="113">
        <v>7</v>
      </c>
      <c r="H466" s="113">
        <v>4</v>
      </c>
      <c r="I466" s="114"/>
      <c r="J466" s="114"/>
      <c r="K466" s="114"/>
      <c r="L466" s="81"/>
      <c r="M466" s="265" t="b">
        <f>NOT(ISERROR(ResultsInd[[#This Row],[Goal-A]]+ResultsInd[[#This Row],[Goal-B]]))</f>
        <v>1</v>
      </c>
      <c r="N466" s="265">
        <f>VALUE(ResultsInd[[#This Row],[Score-A]])</f>
        <v>7</v>
      </c>
      <c r="O466" s="265">
        <f>VALUE(ResultsInd[[#This Row],[Score-B]])</f>
        <v>4</v>
      </c>
      <c r="P466" s="265">
        <f ca="1">IF(AND(ResultsInd[[#This Row],[Category]]&lt;&gt;"",ResultsInd[[#This Row],[Player A]]&lt;&gt;""),COUNTIF(INDIRECT(ResultsInd[[#This Row],[Category]]&amp;"List[Retained Player Name]"),ResultsInd[[#This Row],[Player A]]),"")</f>
        <v>1</v>
      </c>
      <c r="Q466" s="265">
        <f ca="1">IF(AND(ResultsInd[[#This Row],[Category]]&lt;&gt;"",ResultsInd[[#This Row],[Player B]]&lt;&gt;""),COUNTIF(INDIRECT(ResultsInd[[#This Row],[Category]]&amp;"List[Retained Player Name]"),ResultsInd[[#This Row],[Player B]]),"")</f>
        <v>1</v>
      </c>
      <c r="R4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U16-Jérôme Cyganek</v>
      </c>
      <c r="S466" s="265" t="str">
        <f>IF(ResultsInd[[#This Row],[Score_OK]],IF(ResultsInd[[#This Row],[Stage]]="Groups",ResultsInd[[#This Row],[Category]]&amp;"-"&amp;IF(ResultsInd[[#This Row],[Player B]]="","",IF(ResultsInd[[#This Row],[Score-A]]=ResultsInd[[#This Row],[Score-B]],ResultsInd[[#This Row],[Player A]],"")),""),"")</f>
        <v>U16-</v>
      </c>
      <c r="T466" s="265" t="str">
        <f>IF(ResultsInd[[#This Row],[Score_OK]],IF(ResultsInd[[#This Row],[Stage]]="Groups",ResultsInd[[#This Row],[Category]]&amp;"-"&amp;IF(ResultsInd[[#This Row],[Player B]]="","",IF(ResultsInd[[#This Row],[Score-A]]=ResultsInd[[#This Row],[Score-B]],ResultsInd[[#This Row],[Player B]],"")),""),"")</f>
        <v>U16-</v>
      </c>
      <c r="U4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U16-Robin Verplaetse</v>
      </c>
      <c r="V4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X4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Y466" s="264" t="str">
        <f>IF(ResultsInd[[#This Row],[Category]]="","",VLOOKUP(ResultsInd[[#This Row],[Stage]],$P$1:$V$9,MATCH(ResultsInd[[#This Row],[Category]],$Q$1:$V$1,0)+1,FALSE))</f>
        <v>PR1</v>
      </c>
      <c r="Z466" s="264" t="str">
        <f>IF(ResultsInd[[#This Row],[Score_OK]],IF(ResultsInd[[#This Row],[Level]]="R",ResultsInd[[#This Row],[Category]]&amp;"-"&amp;IF(ResultsInd[[#This Row],[LoseInKO]]=ResultsInd[[#This Row],[Category]]&amp;"-"&amp;ResultsInd[[#This Row],[Player A]],ResultsInd[[#This Row],[Player B]],ResultsInd[[#This Row],[Player A]]),""),"")</f>
        <v/>
      </c>
      <c r="AB466" s="8"/>
      <c r="AC466" s="12" t="str">
        <f t="shared" si="407"/>
        <v>U16</v>
      </c>
      <c r="AD466" s="309" t="s">
        <v>8162</v>
      </c>
      <c r="AE466" s="320"/>
      <c r="AF466" s="311"/>
      <c r="AG466" s="292">
        <f>IF(AP466="","",SMALL(AH464:AH470,ROWS(AG464:AG466)))</f>
        <v>3003</v>
      </c>
      <c r="AH466" s="293">
        <f>IF(AP466="","",RANK(AL466,AL464:AL470)*1000+ROWS(AH464:AH466))</f>
        <v>3003</v>
      </c>
      <c r="AI466" s="316">
        <f t="shared" si="401"/>
        <v>10000000000000</v>
      </c>
      <c r="AJ466" s="415" t="b">
        <f>AND(AO466&lt;&gt;"",AO466&gt;0,COUNTIF(AI464:AI470,AI466)&gt;1)</f>
        <v>1</v>
      </c>
      <c r="AK466" s="316">
        <f t="shared" si="402"/>
        <v>0</v>
      </c>
      <c r="AL466" s="317">
        <f t="shared" si="403"/>
        <v>10000000082200</v>
      </c>
      <c r="AM466" s="415" t="b">
        <f>AND(AO466&lt;&gt;"",AO466&gt;0,COUNTIF(AL464:AL470,AL466)&gt;1)</f>
        <v>0</v>
      </c>
      <c r="AN466" s="306">
        <f t="shared" si="404"/>
        <v>10</v>
      </c>
      <c r="AO466" s="307">
        <f t="shared" si="405"/>
        <v>5</v>
      </c>
      <c r="AP466" s="307">
        <f>IF(OR(AC463="",AD466=""),"",COUNTIF(ResultsInd[Win],AC463&amp;"-"&amp;AD466))</f>
        <v>3</v>
      </c>
      <c r="AQ466" s="307">
        <f>IF(OR(AC463="",AD466=""),"",COUNTIF(ResultsInd[Draw1],AC463&amp;"-"&amp;AD466)+COUNTIF(ResultsInd[Draw2],AC463&amp;"-"&amp;AD466))</f>
        <v>1</v>
      </c>
      <c r="AR466" s="307">
        <f>IF(OR(AC463="",AD466=""),"",COUNTIF(ResultsInd[Lose],AC463&amp;"-"&amp;AD466))</f>
        <v>1</v>
      </c>
      <c r="AS466" s="307">
        <f>IF(OR(AC463="",AD466=""),"",SUMIFS(ResultsInd[Goal-A],ResultsInd[Category],AC463,ResultsInd[Stage],"Groups",ResultsInd[Player A],AD466)+SUMIFS(ResultsInd[Goal-B],ResultsInd[Category],AC463,ResultsInd[Stage],"Groups",ResultsInd[Player B],AD466))</f>
        <v>22</v>
      </c>
      <c r="AT466" s="307">
        <f>IF(OR(AC463="",AD466=""),"",SUMIFS(ResultsInd[Goal-B],ResultsInd[Category],AC463,ResultsInd[Stage],"Groups",ResultsInd[Player A],AD466)+SUMIFS(ResultsInd[Goal-A],ResultsInd[Category],AC463,ResultsInd[Stage],"Groups",ResultsInd[Player B],AD466))</f>
        <v>14</v>
      </c>
      <c r="AU466" s="308">
        <f t="shared" si="408"/>
        <v>8</v>
      </c>
      <c r="AV466" s="469" t="b">
        <f>IF(AG466="","",OR(VLOOKUP(AG466,AH464:AU470,3,FALSE),VLOOKUP(AG466,AH464:AU470,6,FALSE)))</f>
        <v>1</v>
      </c>
      <c r="AW466" s="298">
        <f t="shared" si="406"/>
        <v>3</v>
      </c>
      <c r="AX466" s="285" t="str">
        <f>IF(AG466="","",INDEX(AD464:AD470,MATCH(AG466,AH464:AH470,0)))</f>
        <v>Jérôme Cyganek</v>
      </c>
      <c r="AY466" s="286">
        <f>IF(AG466="","",VLOOKUP(AG466,AH464:AU470,COLUMN()-COLUMN(AR463),FALSE))</f>
        <v>10</v>
      </c>
      <c r="AZ466" s="286">
        <f>IF(AG466="","",VLOOKUP(AG466,AH464:AU470,COLUMN()-COLUMN(AR463),FALSE))</f>
        <v>5</v>
      </c>
      <c r="BA466" s="286">
        <f>IF(AG466="","",VLOOKUP(AG466,AH464:AU470,COLUMN()-COLUMN(AR463),FALSE))</f>
        <v>3</v>
      </c>
      <c r="BB466" s="286">
        <f>IF(AG466="","",VLOOKUP(AG466,AH464:AU470,COLUMN()-COLUMN(AR463),FALSE))</f>
        <v>1</v>
      </c>
      <c r="BC466" s="286">
        <f>IF(AG466="","",VLOOKUP(AG466,AH464:AU470,COLUMN()-COLUMN(AR463),FALSE))</f>
        <v>1</v>
      </c>
      <c r="BD466" s="286">
        <f>IF(AG466="","",VLOOKUP(AG466,AH464:AU470,COLUMN()-COLUMN(AR463),FALSE))</f>
        <v>22</v>
      </c>
      <c r="BE466" s="286">
        <f>IF(AG466="","",VLOOKUP(AG466,AH464:AU470,COLUMN()-COLUMN(AR463),FALSE))</f>
        <v>14</v>
      </c>
      <c r="BF466" s="301">
        <f>IF(AG466="","",VLOOKUP(AG466,AH464:AU470,COLUMN()-COLUMN(AR463),FALSE))</f>
        <v>8</v>
      </c>
    </row>
    <row r="467" spans="1:58" ht="12" thickBot="1" x14ac:dyDescent="0.25">
      <c r="A467" s="62" t="s">
        <v>1023</v>
      </c>
      <c r="B467" s="62" t="s">
        <v>12207</v>
      </c>
      <c r="C467" s="62">
        <v>1</v>
      </c>
      <c r="D467" s="62"/>
      <c r="E467" s="345" t="s">
        <v>8179</v>
      </c>
      <c r="F467" s="345" t="s">
        <v>10446</v>
      </c>
      <c r="G467" s="113">
        <v>0</v>
      </c>
      <c r="H467" s="113">
        <v>1</v>
      </c>
      <c r="I467" s="114"/>
      <c r="J467" s="114"/>
      <c r="K467" s="114"/>
      <c r="L467" s="81"/>
      <c r="M467" s="265" t="b">
        <f>NOT(ISERROR(ResultsInd[[#This Row],[Goal-A]]+ResultsInd[[#This Row],[Goal-B]]))</f>
        <v>1</v>
      </c>
      <c r="N467" s="265">
        <f>VALUE(ResultsInd[[#This Row],[Score-A]])</f>
        <v>0</v>
      </c>
      <c r="O467" s="265">
        <f>VALUE(ResultsInd[[#This Row],[Score-B]])</f>
        <v>1</v>
      </c>
      <c r="P467" s="265">
        <f ca="1">IF(AND(ResultsInd[[#This Row],[Category]]&lt;&gt;"",ResultsInd[[#This Row],[Player A]]&lt;&gt;""),COUNTIF(INDIRECT(ResultsInd[[#This Row],[Category]]&amp;"List[Retained Player Name]"),ResultsInd[[#This Row],[Player A]]),"")</f>
        <v>1</v>
      </c>
      <c r="Q467" s="265">
        <f ca="1">IF(AND(ResultsInd[[#This Row],[Category]]&lt;&gt;"",ResultsInd[[#This Row],[Player B]]&lt;&gt;""),COUNTIF(INDIRECT(ResultsInd[[#This Row],[Category]]&amp;"List[Retained Player Name]"),ResultsInd[[#This Row],[Player B]]),"")</f>
        <v>1</v>
      </c>
      <c r="R4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U16-Robert Farrugia Randon</v>
      </c>
      <c r="S467" s="265" t="str">
        <f>IF(ResultsInd[[#This Row],[Score_OK]],IF(ResultsInd[[#This Row],[Stage]]="Groups",ResultsInd[[#This Row],[Category]]&amp;"-"&amp;IF(ResultsInd[[#This Row],[Player B]]="","",IF(ResultsInd[[#This Row],[Score-A]]=ResultsInd[[#This Row],[Score-B]],ResultsInd[[#This Row],[Player A]],"")),""),"")</f>
        <v>U16-</v>
      </c>
      <c r="T467" s="265" t="str">
        <f>IF(ResultsInd[[#This Row],[Score_OK]],IF(ResultsInd[[#This Row],[Stage]]="Groups",ResultsInd[[#This Row],[Category]]&amp;"-"&amp;IF(ResultsInd[[#This Row],[Player B]]="","",IF(ResultsInd[[#This Row],[Score-A]]=ResultsInd[[#This Row],[Score-B]],ResultsInd[[#This Row],[Player B]],"")),""),"")</f>
        <v>U16-</v>
      </c>
      <c r="U4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U16-Maxim Grosdent</v>
      </c>
      <c r="V4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U16-Maxim Grosdent</v>
      </c>
      <c r="X4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U16-Maxim Grosdent</v>
      </c>
      <c r="Y467" s="264" t="str">
        <f>IF(ResultsInd[[#This Row],[Category]]="","",VLOOKUP(ResultsInd[[#This Row],[Stage]],$P$1:$V$9,MATCH(ResultsInd[[#This Row],[Category]],$Q$1:$V$1,0)+1,FALSE))</f>
        <v>PR1</v>
      </c>
      <c r="Z467" s="264" t="str">
        <f>IF(ResultsInd[[#This Row],[Score_OK]],IF(ResultsInd[[#This Row],[Level]]="R",ResultsInd[[#This Row],[Category]]&amp;"-"&amp;IF(ResultsInd[[#This Row],[LoseInKO]]=ResultsInd[[#This Row],[Category]]&amp;"-"&amp;ResultsInd[[#This Row],[Player A]],ResultsInd[[#This Row],[Player B]],ResultsInd[[#This Row],[Player A]]),""),"")</f>
        <v/>
      </c>
      <c r="AB467" s="91"/>
      <c r="AC467" s="12" t="str">
        <f t="shared" si="407"/>
        <v>U16</v>
      </c>
      <c r="AD467" s="309" t="s">
        <v>8179</v>
      </c>
      <c r="AE467" s="310"/>
      <c r="AF467" s="311"/>
      <c r="AG467" s="292">
        <f>IF(AP467="","",SMALL(AH464:AH470,ROWS(AG464:AG467)))</f>
        <v>4004</v>
      </c>
      <c r="AH467" s="293">
        <f>IF(AP467="","",RANK(AL467,AL464:AL470)*1000+ROWS(AH464:AH467))</f>
        <v>4004</v>
      </c>
      <c r="AI467" s="316">
        <f t="shared" si="401"/>
        <v>6000000000000</v>
      </c>
      <c r="AJ467" s="415" t="b">
        <f>AND(AO467&lt;&gt;"",AO467&gt;0,COUNTIF(AI464:AI470,AI467)&gt;1)</f>
        <v>0</v>
      </c>
      <c r="AK467" s="316">
        <f t="shared" si="402"/>
        <v>0</v>
      </c>
      <c r="AL467" s="317">
        <f t="shared" si="403"/>
        <v>6000000051300</v>
      </c>
      <c r="AM467" s="415" t="b">
        <f>AND(AO467&lt;&gt;"",AO467&gt;0,COUNTIF(AL464:AL470,AL467)&gt;1)</f>
        <v>0</v>
      </c>
      <c r="AN467" s="306">
        <f t="shared" si="404"/>
        <v>6</v>
      </c>
      <c r="AO467" s="307">
        <f t="shared" si="405"/>
        <v>5</v>
      </c>
      <c r="AP467" s="307">
        <f>IF(OR(AC463="",AD467=""),"",COUNTIF(ResultsInd[Win],AC463&amp;"-"&amp;AD467))</f>
        <v>2</v>
      </c>
      <c r="AQ467" s="307">
        <f>IF(OR(AC463="",AD467=""),"",COUNTIF(ResultsInd[Draw1],AC463&amp;"-"&amp;AD467)+COUNTIF(ResultsInd[Draw2],AC463&amp;"-"&amp;AD467))</f>
        <v>0</v>
      </c>
      <c r="AR467" s="307">
        <f>IF(OR(AC463="",AD467=""),"",COUNTIF(ResultsInd[Lose],AC463&amp;"-"&amp;AD467))</f>
        <v>3</v>
      </c>
      <c r="AS467" s="307">
        <f>IF(OR(AC463="",AD467=""),"",SUMIFS(ResultsInd[Goal-A],ResultsInd[Category],AC463,ResultsInd[Stage],"Groups",ResultsInd[Player A],AD467)+SUMIFS(ResultsInd[Goal-B],ResultsInd[Category],AC463,ResultsInd[Stage],"Groups",ResultsInd[Player B],AD467))</f>
        <v>13</v>
      </c>
      <c r="AT467" s="307">
        <f>IF(OR(AC463="",AD467=""),"",SUMIFS(ResultsInd[Goal-B],ResultsInd[Category],AC463,ResultsInd[Stage],"Groups",ResultsInd[Player A],AD467)+SUMIFS(ResultsInd[Goal-A],ResultsInd[Category],AC463,ResultsInd[Stage],"Groups",ResultsInd[Player B],AD467))</f>
        <v>8</v>
      </c>
      <c r="AU467" s="308">
        <f t="shared" si="408"/>
        <v>5</v>
      </c>
      <c r="AV467" s="469" t="b">
        <f>IF(AG467="","",OR(VLOOKUP(AG467,AH464:AU470,3,FALSE),VLOOKUP(AG467,AH464:AU470,6,FALSE)))</f>
        <v>0</v>
      </c>
      <c r="AW467" s="298">
        <f t="shared" si="406"/>
        <v>4</v>
      </c>
      <c r="AX467" s="285" t="str">
        <f>IF(AG467="","",INDEX(AD464:AD470,MATCH(AG467,AH464:AH470,0)))</f>
        <v>Maxim Grosdent</v>
      </c>
      <c r="AY467" s="286">
        <f>IF(AG467="","",VLOOKUP(AG467,AH464:AU470,COLUMN()-COLUMN(AR463),FALSE))</f>
        <v>6</v>
      </c>
      <c r="AZ467" s="286">
        <f>IF(AG467="","",VLOOKUP(AG467,AH464:AU470,COLUMN()-COLUMN(AR463),FALSE))</f>
        <v>5</v>
      </c>
      <c r="BA467" s="286">
        <f>IF(AG467="","",VLOOKUP(AG467,AH464:AU470,COLUMN()-COLUMN(AR463),FALSE))</f>
        <v>2</v>
      </c>
      <c r="BB467" s="286">
        <f>IF(AG467="","",VLOOKUP(AG467,AH464:AU470,COLUMN()-COLUMN(AR463),FALSE))</f>
        <v>0</v>
      </c>
      <c r="BC467" s="286">
        <f>IF(AG467="","",VLOOKUP(AG467,AH464:AU470,COLUMN()-COLUMN(AR463),FALSE))</f>
        <v>3</v>
      </c>
      <c r="BD467" s="286">
        <f>IF(AG467="","",VLOOKUP(AG467,AH464:AU470,COLUMN()-COLUMN(AR463),FALSE))</f>
        <v>13</v>
      </c>
      <c r="BE467" s="286">
        <f>IF(AG467="","",VLOOKUP(AG467,AH464:AU470,COLUMN()-COLUMN(AR463),FALSE))</f>
        <v>8</v>
      </c>
      <c r="BF467" s="301">
        <f>IF(AG467="","",VLOOKUP(AG467,AH464:AU470,COLUMN()-COLUMN(AR463),FALSE))</f>
        <v>5</v>
      </c>
    </row>
    <row r="468" spans="1:58" ht="12" thickBot="1" x14ac:dyDescent="0.25">
      <c r="A468" s="62" t="s">
        <v>1023</v>
      </c>
      <c r="B468" s="62" t="s">
        <v>12207</v>
      </c>
      <c r="C468" s="62">
        <v>1</v>
      </c>
      <c r="D468" s="62"/>
      <c r="E468" s="345" t="s">
        <v>8722</v>
      </c>
      <c r="F468" s="345" t="s">
        <v>10591</v>
      </c>
      <c r="G468" s="113">
        <v>6</v>
      </c>
      <c r="H468" s="113">
        <v>0</v>
      </c>
      <c r="I468" s="114"/>
      <c r="J468" s="114"/>
      <c r="K468" s="114"/>
      <c r="L468" s="81"/>
      <c r="M468" s="265" t="b">
        <f>NOT(ISERROR(ResultsInd[[#This Row],[Goal-A]]+ResultsInd[[#This Row],[Goal-B]]))</f>
        <v>1</v>
      </c>
      <c r="N468" s="265">
        <f>VALUE(ResultsInd[[#This Row],[Score-A]])</f>
        <v>6</v>
      </c>
      <c r="O468" s="265">
        <f>VALUE(ResultsInd[[#This Row],[Score-B]])</f>
        <v>0</v>
      </c>
      <c r="P468" s="265">
        <f ca="1">IF(AND(ResultsInd[[#This Row],[Category]]&lt;&gt;"",ResultsInd[[#This Row],[Player A]]&lt;&gt;""),COUNTIF(INDIRECT(ResultsInd[[#This Row],[Category]]&amp;"List[Retained Player Name]"),ResultsInd[[#This Row],[Player A]]),"")</f>
        <v>1</v>
      </c>
      <c r="Q468" s="265">
        <f ca="1">IF(AND(ResultsInd[[#This Row],[Category]]&lt;&gt;"",ResultsInd[[#This Row],[Player B]]&lt;&gt;""),COUNTIF(INDIRECT(ResultsInd[[#This Row],[Category]]&amp;"List[Retained Player Name]"),ResultsInd[[#This Row],[Player B]]),"")</f>
        <v>1</v>
      </c>
      <c r="R4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468" s="265" t="str">
        <f>IF(ResultsInd[[#This Row],[Score_OK]],IF(ResultsInd[[#This Row],[Stage]]="Groups",ResultsInd[[#This Row],[Category]]&amp;"-"&amp;IF(ResultsInd[[#This Row],[Player B]]="","",IF(ResultsInd[[#This Row],[Score-A]]=ResultsInd[[#This Row],[Score-B]],ResultsInd[[#This Row],[Player A]],"")),""),"")</f>
        <v>U16-</v>
      </c>
      <c r="T468" s="265" t="str">
        <f>IF(ResultsInd[[#This Row],[Score_OK]],IF(ResultsInd[[#This Row],[Stage]]="Groups",ResultsInd[[#This Row],[Category]]&amp;"-"&amp;IF(ResultsInd[[#This Row],[Player B]]="","",IF(ResultsInd[[#This Row],[Score-A]]=ResultsInd[[#This Row],[Score-B]],ResultsInd[[#This Row],[Player B]],"")),""),"")</f>
        <v>U16-</v>
      </c>
      <c r="U4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U16-Daniel Kaliszewski</v>
      </c>
      <c r="V4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X4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Y468" s="264" t="str">
        <f>IF(ResultsInd[[#This Row],[Category]]="","",VLOOKUP(ResultsInd[[#This Row],[Stage]],$P$1:$V$9,MATCH(ResultsInd[[#This Row],[Category]],$Q$1:$V$1,0)+1,FALSE))</f>
        <v>PR1</v>
      </c>
      <c r="Z468" s="264" t="str">
        <f>IF(ResultsInd[[#This Row],[Score_OK]],IF(ResultsInd[[#This Row],[Level]]="R",ResultsInd[[#This Row],[Category]]&amp;"-"&amp;IF(ResultsInd[[#This Row],[LoseInKO]]=ResultsInd[[#This Row],[Category]]&amp;"-"&amp;ResultsInd[[#This Row],[Player A]],ResultsInd[[#This Row],[Player B]],ResultsInd[[#This Row],[Player A]]),""),"")</f>
        <v/>
      </c>
      <c r="AB468" s="91"/>
      <c r="AC468" s="12" t="str">
        <f t="shared" si="407"/>
        <v>U16</v>
      </c>
      <c r="AD468" s="309" t="s">
        <v>10591</v>
      </c>
      <c r="AE468" s="310"/>
      <c r="AF468" s="311"/>
      <c r="AG468" s="292">
        <f>IF(AP468="","",SMALL(AH464:AH470,ROWS(AG464:AG468)))</f>
        <v>5005</v>
      </c>
      <c r="AH468" s="293">
        <f>IF(AP468="","",RANK(AL468,AL464:AL470)*1000+ROWS(AH464:AH468))</f>
        <v>5005</v>
      </c>
      <c r="AI468" s="316">
        <f t="shared" si="401"/>
        <v>3000000000000</v>
      </c>
      <c r="AJ468" s="415" t="b">
        <f>AND(AO468&lt;&gt;"",AO468&gt;0,COUNTIF(AI464:AI470,AI468)&gt;1)</f>
        <v>0</v>
      </c>
      <c r="AK468" s="316">
        <f t="shared" si="402"/>
        <v>0</v>
      </c>
      <c r="AL468" s="317">
        <f t="shared" si="403"/>
        <v>2999999840600</v>
      </c>
      <c r="AM468" s="415" t="b">
        <f>AND(AO468&lt;&gt;"",AO468&gt;0,COUNTIF(AL464:AL470,AL468)&gt;1)</f>
        <v>0</v>
      </c>
      <c r="AN468" s="306">
        <f t="shared" si="404"/>
        <v>3</v>
      </c>
      <c r="AO468" s="307">
        <f t="shared" si="405"/>
        <v>5</v>
      </c>
      <c r="AP468" s="307">
        <f>IF(OR(AC463="",AD468=""),"",COUNTIF(ResultsInd[Win],AC463&amp;"-"&amp;AD468))</f>
        <v>1</v>
      </c>
      <c r="AQ468" s="307">
        <f>IF(OR(AC463="",AD468=""),"",COUNTIF(ResultsInd[Draw1],AC463&amp;"-"&amp;AD468)+COUNTIF(ResultsInd[Draw2],AC463&amp;"-"&amp;AD468))</f>
        <v>0</v>
      </c>
      <c r="AR468" s="307">
        <f>IF(OR(AC463="",AD468=""),"",COUNTIF(ResultsInd[Lose],AC463&amp;"-"&amp;AD468))</f>
        <v>4</v>
      </c>
      <c r="AS468" s="307">
        <f>IF(OR(AC463="",AD468=""),"",SUMIFS(ResultsInd[Goal-A],ResultsInd[Category],AC463,ResultsInd[Stage],"Groups",ResultsInd[Player A],AD468)+SUMIFS(ResultsInd[Goal-B],ResultsInd[Category],AC463,ResultsInd[Stage],"Groups",ResultsInd[Player B],AD468))</f>
        <v>6</v>
      </c>
      <c r="AT468" s="307">
        <f>IF(OR(AC463="",AD468=""),"",SUMIFS(ResultsInd[Goal-B],ResultsInd[Category],AC463,ResultsInd[Stage],"Groups",ResultsInd[Player A],AD468)+SUMIFS(ResultsInd[Goal-A],ResultsInd[Category],AC463,ResultsInd[Stage],"Groups",ResultsInd[Player B],AD468))</f>
        <v>22</v>
      </c>
      <c r="AU468" s="308">
        <f t="shared" si="408"/>
        <v>-16</v>
      </c>
      <c r="AV468" s="469" t="b">
        <f>IF(AG468="","",OR(VLOOKUP(AG468,AH464:AU470,3,FALSE),VLOOKUP(AG468,AH464:AU470,6,FALSE)))</f>
        <v>0</v>
      </c>
      <c r="AW468" s="298">
        <f t="shared" si="406"/>
        <v>5</v>
      </c>
      <c r="AX468" s="285" t="str">
        <f>IF(AG468="","",INDEX(AD464:AD470,MATCH(AG468,AH464:AH470,0)))</f>
        <v>Daniel Kaliszewski</v>
      </c>
      <c r="AY468" s="286">
        <f>IF(AG468="","",VLOOKUP(AG468,AH464:AU470,COLUMN()-COLUMN(AR463),FALSE))</f>
        <v>3</v>
      </c>
      <c r="AZ468" s="286">
        <f>IF(AG468="","",VLOOKUP(AG468,AH464:AU470,COLUMN()-COLUMN(AR463),FALSE))</f>
        <v>5</v>
      </c>
      <c r="BA468" s="286">
        <f>IF(AG468="","",VLOOKUP(AG468,AH464:AU470,COLUMN()-COLUMN(AR463),FALSE))</f>
        <v>1</v>
      </c>
      <c r="BB468" s="286">
        <f>IF(AG468="","",VLOOKUP(AG468,AH464:AU470,COLUMN()-COLUMN(AR463),FALSE))</f>
        <v>0</v>
      </c>
      <c r="BC468" s="286">
        <f>IF(AG468="","",VLOOKUP(AG468,AH464:AU470,COLUMN()-COLUMN(AR463),FALSE))</f>
        <v>4</v>
      </c>
      <c r="BD468" s="286">
        <f>IF(AG468="","",VLOOKUP(AG468,AH464:AU470,COLUMN()-COLUMN(AR463),FALSE))</f>
        <v>6</v>
      </c>
      <c r="BE468" s="286">
        <f>IF(AG468="","",VLOOKUP(AG468,AH464:AU470,COLUMN()-COLUMN(AR463),FALSE))</f>
        <v>22</v>
      </c>
      <c r="BF468" s="301">
        <f>IF(AG468="","",VLOOKUP(AG468,AH464:AU470,COLUMN()-COLUMN(AR463),FALSE))</f>
        <v>-16</v>
      </c>
    </row>
    <row r="469" spans="1:58" ht="12" thickBot="1" x14ac:dyDescent="0.25">
      <c r="A469" s="62" t="s">
        <v>1023</v>
      </c>
      <c r="B469" s="62" t="s">
        <v>12207</v>
      </c>
      <c r="C469" s="62">
        <v>1</v>
      </c>
      <c r="D469" s="62"/>
      <c r="E469" s="345" t="s">
        <v>8722</v>
      </c>
      <c r="F469" s="345" t="s">
        <v>10446</v>
      </c>
      <c r="G469" s="113">
        <v>3</v>
      </c>
      <c r="H469" s="113">
        <v>2</v>
      </c>
      <c r="I469" s="114"/>
      <c r="J469" s="114"/>
      <c r="K469" s="114"/>
      <c r="L469" s="81"/>
      <c r="M469" s="265" t="b">
        <f>NOT(ISERROR(ResultsInd[[#This Row],[Goal-A]]+ResultsInd[[#This Row],[Goal-B]]))</f>
        <v>1</v>
      </c>
      <c r="N469" s="265">
        <f>VALUE(ResultsInd[[#This Row],[Score-A]])</f>
        <v>3</v>
      </c>
      <c r="O469" s="265">
        <f>VALUE(ResultsInd[[#This Row],[Score-B]])</f>
        <v>2</v>
      </c>
      <c r="P469" s="265">
        <f ca="1">IF(AND(ResultsInd[[#This Row],[Category]]&lt;&gt;"",ResultsInd[[#This Row],[Player A]]&lt;&gt;""),COUNTIF(INDIRECT(ResultsInd[[#This Row],[Category]]&amp;"List[Retained Player Name]"),ResultsInd[[#This Row],[Player A]]),"")</f>
        <v>1</v>
      </c>
      <c r="Q469" s="265">
        <f ca="1">IF(AND(ResultsInd[[#This Row],[Category]]&lt;&gt;"",ResultsInd[[#This Row],[Player B]]&lt;&gt;""),COUNTIF(INDIRECT(ResultsInd[[#This Row],[Category]]&amp;"List[Retained Player Name]"),ResultsInd[[#This Row],[Player B]]),"")</f>
        <v>1</v>
      </c>
      <c r="R4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469" s="265" t="str">
        <f>IF(ResultsInd[[#This Row],[Score_OK]],IF(ResultsInd[[#This Row],[Stage]]="Groups",ResultsInd[[#This Row],[Category]]&amp;"-"&amp;IF(ResultsInd[[#This Row],[Player B]]="","",IF(ResultsInd[[#This Row],[Score-A]]=ResultsInd[[#This Row],[Score-B]],ResultsInd[[#This Row],[Player A]],"")),""),"")</f>
        <v>U16-</v>
      </c>
      <c r="T469" s="265" t="str">
        <f>IF(ResultsInd[[#This Row],[Score_OK]],IF(ResultsInd[[#This Row],[Stage]]="Groups",ResultsInd[[#This Row],[Category]]&amp;"-"&amp;IF(ResultsInd[[#This Row],[Player B]]="","",IF(ResultsInd[[#This Row],[Score-A]]=ResultsInd[[#This Row],[Score-B]],ResultsInd[[#This Row],[Player B]],"")),""),"")</f>
        <v>U16-</v>
      </c>
      <c r="U4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U16-Robert Farrugia Randon</v>
      </c>
      <c r="V4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U16-Robert Farrugia Randon</v>
      </c>
      <c r="X4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U16-Robert Farrugia Randon</v>
      </c>
      <c r="Y469" s="264" t="str">
        <f>IF(ResultsInd[[#This Row],[Category]]="","",VLOOKUP(ResultsInd[[#This Row],[Stage]],$P$1:$V$9,MATCH(ResultsInd[[#This Row],[Category]],$Q$1:$V$1,0)+1,FALSE))</f>
        <v>PR1</v>
      </c>
      <c r="Z469" s="264" t="str">
        <f>IF(ResultsInd[[#This Row],[Score_OK]],IF(ResultsInd[[#This Row],[Level]]="R",ResultsInd[[#This Row],[Category]]&amp;"-"&amp;IF(ResultsInd[[#This Row],[LoseInKO]]=ResultsInd[[#This Row],[Category]]&amp;"-"&amp;ResultsInd[[#This Row],[Player A]],ResultsInd[[#This Row],[Player B]],ResultsInd[[#This Row],[Player A]]),""),"")</f>
        <v/>
      </c>
      <c r="AB469" s="8"/>
      <c r="AC469" s="12" t="str">
        <f t="shared" si="407"/>
        <v>U16</v>
      </c>
      <c r="AD469" s="309" t="s">
        <v>12410</v>
      </c>
      <c r="AE469" s="310"/>
      <c r="AF469" s="311"/>
      <c r="AG469" s="292">
        <f>IF(AP469="","",SMALL(AH464:AH470,ROWS(AG464:AG469)))</f>
        <v>6006</v>
      </c>
      <c r="AH469" s="293">
        <f>IF(AP469="","",RANK(AL469,AL464:AL470)*1000+ROWS(AH464:AH469))</f>
        <v>6006</v>
      </c>
      <c r="AI469" s="316">
        <f t="shared" si="401"/>
        <v>0</v>
      </c>
      <c r="AJ469" s="415" t="b">
        <f>AND(AO469&lt;&gt;"",AO469&gt;0,COUNTIF(AI464:AI470,AI469)&gt;1)</f>
        <v>0</v>
      </c>
      <c r="AK469" s="316">
        <f t="shared" si="402"/>
        <v>0</v>
      </c>
      <c r="AL469" s="317">
        <f t="shared" si="403"/>
        <v>-209500</v>
      </c>
      <c r="AM469" s="415" t="b">
        <f>AND(AO469&lt;&gt;"",AO469&gt;0,COUNTIF(AL464:AL470,AL469)&gt;1)</f>
        <v>0</v>
      </c>
      <c r="AN469" s="306">
        <f t="shared" si="404"/>
        <v>0</v>
      </c>
      <c r="AO469" s="307">
        <f t="shared" si="405"/>
        <v>5</v>
      </c>
      <c r="AP469" s="307">
        <f>IF(OR(AC463="",AD469=""),"",COUNTIF(ResultsInd[Win],AC463&amp;"-"&amp;AD469))</f>
        <v>0</v>
      </c>
      <c r="AQ469" s="307">
        <f>IF(OR(AC463="",AD469=""),"",COUNTIF(ResultsInd[Draw1],AC463&amp;"-"&amp;AD469)+COUNTIF(ResultsInd[Draw2],AC463&amp;"-"&amp;AD469))</f>
        <v>0</v>
      </c>
      <c r="AR469" s="307">
        <f>IF(OR(AC463="",AD469=""),"",COUNTIF(ResultsInd[Lose],AC463&amp;"-"&amp;AD469))</f>
        <v>5</v>
      </c>
      <c r="AS469" s="307">
        <f>IF(OR(AC463="",AD469=""),"",SUMIFS(ResultsInd[Goal-A],ResultsInd[Category],AC463,ResultsInd[Stage],"Groups",ResultsInd[Player A],AD469)+SUMIFS(ResultsInd[Goal-B],ResultsInd[Category],AC463,ResultsInd[Stage],"Groups",ResultsInd[Player B],AD469))</f>
        <v>5</v>
      </c>
      <c r="AT469" s="307">
        <f>IF(OR(AC463="",AD469=""),"",SUMIFS(ResultsInd[Goal-B],ResultsInd[Category],AC463,ResultsInd[Stage],"Groups",ResultsInd[Player A],AD469)+SUMIFS(ResultsInd[Goal-A],ResultsInd[Category],AC463,ResultsInd[Stage],"Groups",ResultsInd[Player B],AD469))</f>
        <v>26</v>
      </c>
      <c r="AU469" s="308">
        <f t="shared" si="408"/>
        <v>-21</v>
      </c>
      <c r="AV469" s="469" t="b">
        <f>IF(AG469="","",OR(VLOOKUP(AG469,AH464:AU470,3,FALSE),VLOOKUP(AG469,AH464:AU470,6,FALSE)))</f>
        <v>0</v>
      </c>
      <c r="AW469" s="298">
        <f t="shared" si="406"/>
        <v>6</v>
      </c>
      <c r="AX469" s="285" t="str">
        <f>IF(AG469="","",INDEX(AD464:AD470,MATCH(AG469,AH464:AH470,0)))</f>
        <v>Robin Verplaetse</v>
      </c>
      <c r="AY469" s="286">
        <f>IF(AG469="","",VLOOKUP(AG469,AH464:AU470,COLUMN()-COLUMN(AR463),FALSE))</f>
        <v>0</v>
      </c>
      <c r="AZ469" s="286">
        <f>IF(AG469="","",VLOOKUP(AG469,AH464:AU470,COLUMN()-COLUMN(AR463),FALSE))</f>
        <v>5</v>
      </c>
      <c r="BA469" s="286">
        <f>IF(AG469="","",VLOOKUP(AG469,AH464:AU470,COLUMN()-COLUMN(AR463),FALSE))</f>
        <v>0</v>
      </c>
      <c r="BB469" s="286">
        <f>IF(AG469="","",VLOOKUP(AG469,AH464:AU470,COLUMN()-COLUMN(AR463),FALSE))</f>
        <v>0</v>
      </c>
      <c r="BC469" s="286">
        <f>IF(AG469="","",VLOOKUP(AG469,AH464:AU470,COLUMN()-COLUMN(AR463),FALSE))</f>
        <v>5</v>
      </c>
      <c r="BD469" s="286">
        <f>IF(AG469="","",VLOOKUP(AG469,AH464:AU470,COLUMN()-COLUMN(AR463),FALSE))</f>
        <v>5</v>
      </c>
      <c r="BE469" s="286">
        <f>IF(AG469="","",VLOOKUP(AG469,AH464:AU470,COLUMN()-COLUMN(AR463),FALSE))</f>
        <v>26</v>
      </c>
      <c r="BF469" s="301">
        <f>IF(AG469="","",VLOOKUP(AG469,AH464:AU470,COLUMN()-COLUMN(AR463),FALSE))</f>
        <v>-21</v>
      </c>
    </row>
    <row r="470" spans="1:58" ht="12" thickBot="1" x14ac:dyDescent="0.25">
      <c r="A470" s="62" t="s">
        <v>1023</v>
      </c>
      <c r="B470" s="62" t="s">
        <v>12207</v>
      </c>
      <c r="C470" s="62">
        <v>1</v>
      </c>
      <c r="D470" s="62"/>
      <c r="E470" s="345" t="s">
        <v>8162</v>
      </c>
      <c r="F470" s="345" t="s">
        <v>8179</v>
      </c>
      <c r="G470" s="113">
        <v>4</v>
      </c>
      <c r="H470" s="113">
        <v>3</v>
      </c>
      <c r="I470" s="114"/>
      <c r="J470" s="114"/>
      <c r="K470" s="114"/>
      <c r="L470" s="81"/>
      <c r="M470" s="265" t="b">
        <f>NOT(ISERROR(ResultsInd[[#This Row],[Goal-A]]+ResultsInd[[#This Row],[Goal-B]]))</f>
        <v>1</v>
      </c>
      <c r="N470" s="265">
        <f>VALUE(ResultsInd[[#This Row],[Score-A]])</f>
        <v>4</v>
      </c>
      <c r="O470" s="265">
        <f>VALUE(ResultsInd[[#This Row],[Score-B]])</f>
        <v>3</v>
      </c>
      <c r="P470" s="265">
        <f ca="1">IF(AND(ResultsInd[[#This Row],[Category]]&lt;&gt;"",ResultsInd[[#This Row],[Player A]]&lt;&gt;""),COUNTIF(INDIRECT(ResultsInd[[#This Row],[Category]]&amp;"List[Retained Player Name]"),ResultsInd[[#This Row],[Player A]]),"")</f>
        <v>1</v>
      </c>
      <c r="Q470" s="265">
        <f ca="1">IF(AND(ResultsInd[[#This Row],[Category]]&lt;&gt;"",ResultsInd[[#This Row],[Player B]]&lt;&gt;""),COUNTIF(INDIRECT(ResultsInd[[#This Row],[Category]]&amp;"List[Retained Player Name]"),ResultsInd[[#This Row],[Player B]]),"")</f>
        <v>1</v>
      </c>
      <c r="R4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U16-Jérôme Cyganek</v>
      </c>
      <c r="S470" s="265" t="str">
        <f>IF(ResultsInd[[#This Row],[Score_OK]],IF(ResultsInd[[#This Row],[Stage]]="Groups",ResultsInd[[#This Row],[Category]]&amp;"-"&amp;IF(ResultsInd[[#This Row],[Player B]]="","",IF(ResultsInd[[#This Row],[Score-A]]=ResultsInd[[#This Row],[Score-B]],ResultsInd[[#This Row],[Player A]],"")),""),"")</f>
        <v>U16-</v>
      </c>
      <c r="T470" s="265" t="str">
        <f>IF(ResultsInd[[#This Row],[Score_OK]],IF(ResultsInd[[#This Row],[Stage]]="Groups",ResultsInd[[#This Row],[Category]]&amp;"-"&amp;IF(ResultsInd[[#This Row],[Player B]]="","",IF(ResultsInd[[#This Row],[Score-A]]=ResultsInd[[#This Row],[Score-B]],ResultsInd[[#This Row],[Player B]],"")),""),"")</f>
        <v>U16-</v>
      </c>
      <c r="U4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U16-Maxim Grosdent</v>
      </c>
      <c r="V4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U16-Maxim Grosdent</v>
      </c>
      <c r="X4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U16-Maxim Grosdent</v>
      </c>
      <c r="Y470" s="264" t="str">
        <f>IF(ResultsInd[[#This Row],[Category]]="","",VLOOKUP(ResultsInd[[#This Row],[Stage]],$P$1:$V$9,MATCH(ResultsInd[[#This Row],[Category]],$Q$1:$V$1,0)+1,FALSE))</f>
        <v>PR1</v>
      </c>
      <c r="Z470" s="264" t="str">
        <f>IF(ResultsInd[[#This Row],[Score_OK]],IF(ResultsInd[[#This Row],[Level]]="R",ResultsInd[[#This Row],[Category]]&amp;"-"&amp;IF(ResultsInd[[#This Row],[LoseInKO]]=ResultsInd[[#This Row],[Category]]&amp;"-"&amp;ResultsInd[[#This Row],[Player A]],ResultsInd[[#This Row],[Player B]],ResultsInd[[#This Row],[Player A]]),""),"")</f>
        <v/>
      </c>
      <c r="AB470" s="8"/>
      <c r="AC470" s="12" t="str">
        <f t="shared" si="407"/>
        <v>U16</v>
      </c>
      <c r="AD470" s="312"/>
      <c r="AE470" s="313"/>
      <c r="AF470" s="314"/>
      <c r="AG470" s="294" t="str">
        <f>IF(AP470="","",SMALL(AH464:AH470,ROWS(AG464:AG470)))</f>
        <v/>
      </c>
      <c r="AH470" s="295" t="str">
        <f>IF(AP470="","",RANK(AL470,AL464:AL470)*1000+ROWS(AH464:AH470))</f>
        <v/>
      </c>
      <c r="AI470" s="318" t="str">
        <f t="shared" si="401"/>
        <v/>
      </c>
      <c r="AJ470" s="416" t="b">
        <f>AND(AO470&lt;&gt;"",AO470&gt;0,COUNTIF(AI464:AI470,AI470)&gt;1)</f>
        <v>0</v>
      </c>
      <c r="AK470" s="318" t="str">
        <f t="shared" si="402"/>
        <v/>
      </c>
      <c r="AL470" s="319" t="str">
        <f t="shared" si="403"/>
        <v/>
      </c>
      <c r="AM470" s="416" t="b">
        <f>AND(AO470&lt;&gt;"",AO470&gt;0,COUNTIF(AL464:AL470,AL470)&gt;1)</f>
        <v>0</v>
      </c>
      <c r="AN470" s="306" t="str">
        <f t="shared" si="404"/>
        <v/>
      </c>
      <c r="AO470" s="307" t="str">
        <f t="shared" si="405"/>
        <v/>
      </c>
      <c r="AP470" s="307" t="str">
        <f>IF(OR(AC463="",AD470=""),"",COUNTIF(ResultsInd[Win],AC463&amp;"-"&amp;AD470))</f>
        <v/>
      </c>
      <c r="AQ470" s="307" t="str">
        <f>IF(OR(AC463="",AD470=""),"",COUNTIF(ResultsInd[Draw1],AC463&amp;"-"&amp;AD470)+COUNTIF(ResultsInd[Draw2],AC463&amp;"-"&amp;AD470))</f>
        <v/>
      </c>
      <c r="AR470" s="307" t="str">
        <f>IF(OR(AC463="",AD470=""),"",COUNTIF(ResultsInd[Lose],AC463&amp;"-"&amp;AD470))</f>
        <v/>
      </c>
      <c r="AS470" s="307" t="str">
        <f>IF(OR(AC463="",AD470=""),"",SUMIFS(ResultsInd[Goal-A],ResultsInd[Category],AC463,ResultsInd[Stage],"Groups",ResultsInd[Player A],AD470)+SUMIFS(ResultsInd[Goal-B],ResultsInd[Category],AC463,ResultsInd[Stage],"Groups",ResultsInd[Player B],AD470))</f>
        <v/>
      </c>
      <c r="AT470" s="307" t="str">
        <f>IF(OR(AC463="",AD470=""),"",SUMIFS(ResultsInd[Goal-B],ResultsInd[Category],AC463,ResultsInd[Stage],"Groups",ResultsInd[Player A],AD470)+SUMIFS(ResultsInd[Goal-A],ResultsInd[Category],AC463,ResultsInd[Stage],"Groups",ResultsInd[Player B],AD470))</f>
        <v/>
      </c>
      <c r="AU470" s="308" t="str">
        <f t="shared" si="408"/>
        <v/>
      </c>
      <c r="AV470" s="469" t="str">
        <f>IF(AG470="","",OR(VLOOKUP(AG470,AH464:AU470,3,FALSE),VLOOKUP(AG470,AH464:AU470,6,FALSE)))</f>
        <v/>
      </c>
      <c r="AW470" s="299" t="str">
        <f t="shared" si="406"/>
        <v/>
      </c>
      <c r="AX470" s="287" t="str">
        <f>IF(AG470="","",INDEX(AD464:AD470,MATCH(AG470,AH464:AH470,0)))</f>
        <v/>
      </c>
      <c r="AY470" s="288" t="str">
        <f>IF(AG470="","",VLOOKUP(AG470,AH464:AU470,COLUMN()-COLUMN(AR463),FALSE))</f>
        <v/>
      </c>
      <c r="AZ470" s="288" t="str">
        <f>IF(AG470="","",VLOOKUP(AG470,AH464:AU470,COLUMN()-COLUMN(AR463),FALSE))</f>
        <v/>
      </c>
      <c r="BA470" s="288" t="str">
        <f>IF(AG470="","",VLOOKUP(AG470,AH464:AU470,COLUMN()-COLUMN(AR463),FALSE))</f>
        <v/>
      </c>
      <c r="BB470" s="288" t="str">
        <f>IF(AG470="","",VLOOKUP(AG470,AH464:AU470,COLUMN()-COLUMN(AR463),FALSE))</f>
        <v/>
      </c>
      <c r="BC470" s="288" t="str">
        <f>IF(AG470="","",VLOOKUP(AG470,AH464:AU470,COLUMN()-COLUMN(AR463),FALSE))</f>
        <v/>
      </c>
      <c r="BD470" s="288" t="str">
        <f>IF(AG470="","",VLOOKUP(AG470,AH464:AU470,COLUMN()-COLUMN(AR463),FALSE))</f>
        <v/>
      </c>
      <c r="BE470" s="288" t="str">
        <f>IF(AG470="","",VLOOKUP(AG470,AH464:AU470,COLUMN()-COLUMN(AR463),FALSE))</f>
        <v/>
      </c>
      <c r="BF470" s="302" t="str">
        <f>IF(AG470="","",VLOOKUP(AG470,AH464:AU470,COLUMN()-COLUMN(AR463),FALSE))</f>
        <v/>
      </c>
    </row>
    <row r="471" spans="1:58" ht="13.5" thickBot="1" x14ac:dyDescent="0.25">
      <c r="A471" s="62" t="s">
        <v>1023</v>
      </c>
      <c r="B471" s="62" t="s">
        <v>12207</v>
      </c>
      <c r="C471" s="62">
        <v>1</v>
      </c>
      <c r="D471" s="62"/>
      <c r="E471" s="345" t="s">
        <v>12410</v>
      </c>
      <c r="F471" s="345" t="s">
        <v>10591</v>
      </c>
      <c r="G471" s="113">
        <v>1</v>
      </c>
      <c r="H471" s="113">
        <v>5</v>
      </c>
      <c r="I471" s="114"/>
      <c r="J471" s="114"/>
      <c r="K471" s="114"/>
      <c r="L471" s="81"/>
      <c r="M471" s="265" t="b">
        <f>NOT(ISERROR(ResultsInd[[#This Row],[Goal-A]]+ResultsInd[[#This Row],[Goal-B]]))</f>
        <v>1</v>
      </c>
      <c r="N471" s="265">
        <f>VALUE(ResultsInd[[#This Row],[Score-A]])</f>
        <v>1</v>
      </c>
      <c r="O471" s="265">
        <f>VALUE(ResultsInd[[#This Row],[Score-B]])</f>
        <v>5</v>
      </c>
      <c r="P471" s="265">
        <f ca="1">IF(AND(ResultsInd[[#This Row],[Category]]&lt;&gt;"",ResultsInd[[#This Row],[Player A]]&lt;&gt;""),COUNTIF(INDIRECT(ResultsInd[[#This Row],[Category]]&amp;"List[Retained Player Name]"),ResultsInd[[#This Row],[Player A]]),"")</f>
        <v>1</v>
      </c>
      <c r="Q471" s="265">
        <f ca="1">IF(AND(ResultsInd[[#This Row],[Category]]&lt;&gt;"",ResultsInd[[#This Row],[Player B]]&lt;&gt;""),COUNTIF(INDIRECT(ResultsInd[[#This Row],[Category]]&amp;"List[Retained Player Name]"),ResultsInd[[#This Row],[Player B]]),"")</f>
        <v>1</v>
      </c>
      <c r="R4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U16-Daniel Kaliszewski</v>
      </c>
      <c r="S471" s="265" t="str">
        <f>IF(ResultsInd[[#This Row],[Score_OK]],IF(ResultsInd[[#This Row],[Stage]]="Groups",ResultsInd[[#This Row],[Category]]&amp;"-"&amp;IF(ResultsInd[[#This Row],[Player B]]="","",IF(ResultsInd[[#This Row],[Score-A]]=ResultsInd[[#This Row],[Score-B]],ResultsInd[[#This Row],[Player A]],"")),""),"")</f>
        <v>U16-</v>
      </c>
      <c r="T471" s="265" t="str">
        <f>IF(ResultsInd[[#This Row],[Score_OK]],IF(ResultsInd[[#This Row],[Stage]]="Groups",ResultsInd[[#This Row],[Category]]&amp;"-"&amp;IF(ResultsInd[[#This Row],[Player B]]="","",IF(ResultsInd[[#This Row],[Score-A]]=ResultsInd[[#This Row],[Score-B]],ResultsInd[[#This Row],[Player B]],"")),""),"")</f>
        <v>U16-</v>
      </c>
      <c r="U4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U16-Robin Verplaetse</v>
      </c>
      <c r="V4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X4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Y471" s="264" t="str">
        <f>IF(ResultsInd[[#This Row],[Category]]="","",VLOOKUP(ResultsInd[[#This Row],[Stage]],$P$1:$V$9,MATCH(ResultsInd[[#This Row],[Category]],$Q$1:$V$1,0)+1,FALSE))</f>
        <v>PR1</v>
      </c>
      <c r="Z471" s="264" t="str">
        <f>IF(ResultsInd[[#This Row],[Score_OK]],IF(ResultsInd[[#This Row],[Level]]="R",ResultsInd[[#This Row],[Category]]&amp;"-"&amp;IF(ResultsInd[[#This Row],[LoseInKO]]=ResultsInd[[#This Row],[Category]]&amp;"-"&amp;ResultsInd[[#This Row],[Player A]],ResultsInd[[#This Row],[Player B]],ResultsInd[[#This Row],[Player A]]),""),"")</f>
        <v/>
      </c>
      <c r="AB471" s="8"/>
      <c r="AC471" s="8"/>
      <c r="AF471" s="170"/>
      <c r="AG471" s="101"/>
      <c r="AH471" s="101"/>
      <c r="AN471" s="170"/>
      <c r="AO471" s="170"/>
      <c r="AP471" s="170"/>
      <c r="AQ471" s="172"/>
      <c r="AR471" s="173"/>
      <c r="AS471" s="173"/>
      <c r="AT471" s="173"/>
      <c r="AU471" s="101"/>
      <c r="AV471" s="101"/>
      <c r="AW471" s="101"/>
      <c r="AX471" s="101"/>
      <c r="AY471" s="101"/>
      <c r="AZ471" s="101"/>
    </row>
    <row r="472" spans="1:58" ht="12" thickBot="1" x14ac:dyDescent="0.25">
      <c r="A472" s="62" t="s">
        <v>1023</v>
      </c>
      <c r="B472" s="62" t="s">
        <v>12207</v>
      </c>
      <c r="C472" s="62">
        <v>1</v>
      </c>
      <c r="D472" s="62"/>
      <c r="E472" s="345" t="s">
        <v>8179</v>
      </c>
      <c r="F472" s="345" t="s">
        <v>8722</v>
      </c>
      <c r="G472" s="113">
        <v>2</v>
      </c>
      <c r="H472" s="113">
        <v>3</v>
      </c>
      <c r="I472" s="114"/>
      <c r="J472" s="114"/>
      <c r="K472" s="114"/>
      <c r="L472" s="81"/>
      <c r="M472" s="265" t="b">
        <f>NOT(ISERROR(ResultsInd[[#This Row],[Goal-A]]+ResultsInd[[#This Row],[Goal-B]]))</f>
        <v>1</v>
      </c>
      <c r="N472" s="265">
        <f>VALUE(ResultsInd[[#This Row],[Score-A]])</f>
        <v>2</v>
      </c>
      <c r="O472" s="265">
        <f>VALUE(ResultsInd[[#This Row],[Score-B]])</f>
        <v>3</v>
      </c>
      <c r="P472" s="265">
        <f ca="1">IF(AND(ResultsInd[[#This Row],[Category]]&lt;&gt;"",ResultsInd[[#This Row],[Player A]]&lt;&gt;""),COUNTIF(INDIRECT(ResultsInd[[#This Row],[Category]]&amp;"List[Retained Player Name]"),ResultsInd[[#This Row],[Player A]]),"")</f>
        <v>1</v>
      </c>
      <c r="Q472" s="265">
        <f ca="1">IF(AND(ResultsInd[[#This Row],[Category]]&lt;&gt;"",ResultsInd[[#This Row],[Player B]]&lt;&gt;""),COUNTIF(INDIRECT(ResultsInd[[#This Row],[Category]]&amp;"List[Retained Player Name]"),ResultsInd[[#This Row],[Player B]]),"")</f>
        <v>1</v>
      </c>
      <c r="R4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472" s="265" t="str">
        <f>IF(ResultsInd[[#This Row],[Score_OK]],IF(ResultsInd[[#This Row],[Stage]]="Groups",ResultsInd[[#This Row],[Category]]&amp;"-"&amp;IF(ResultsInd[[#This Row],[Player B]]="","",IF(ResultsInd[[#This Row],[Score-A]]=ResultsInd[[#This Row],[Score-B]],ResultsInd[[#This Row],[Player A]],"")),""),"")</f>
        <v>U16-</v>
      </c>
      <c r="T472" s="265" t="str">
        <f>IF(ResultsInd[[#This Row],[Score_OK]],IF(ResultsInd[[#This Row],[Stage]]="Groups",ResultsInd[[#This Row],[Category]]&amp;"-"&amp;IF(ResultsInd[[#This Row],[Player B]]="","",IF(ResultsInd[[#This Row],[Score-A]]=ResultsInd[[#This Row],[Score-B]],ResultsInd[[#This Row],[Player B]],"")),""),"")</f>
        <v>U16-</v>
      </c>
      <c r="U4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U16-Maxim Grosdent</v>
      </c>
      <c r="V4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U16-Maxim Grosdent</v>
      </c>
      <c r="X4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U16-Maxim Grosdent</v>
      </c>
      <c r="Y472" s="264" t="str">
        <f>IF(ResultsInd[[#This Row],[Category]]="","",VLOOKUP(ResultsInd[[#This Row],[Stage]],$P$1:$V$9,MATCH(ResultsInd[[#This Row],[Category]],$Q$1:$V$1,0)+1,FALSE))</f>
        <v>PR1</v>
      </c>
      <c r="Z472" s="264" t="str">
        <f>IF(ResultsInd[[#This Row],[Score_OK]],IF(ResultsInd[[#This Row],[Level]]="R",ResultsInd[[#This Row],[Category]]&amp;"-"&amp;IF(ResultsInd[[#This Row],[LoseInKO]]=ResultsInd[[#This Row],[Category]]&amp;"-"&amp;ResultsInd[[#This Row],[Player A]],ResultsInd[[#This Row],[Player B]],ResultsInd[[#This Row],[Player A]]),""),"")</f>
        <v/>
      </c>
      <c r="AB472" s="281">
        <v>2</v>
      </c>
      <c r="AC472" s="315" t="s">
        <v>1023</v>
      </c>
      <c r="AD472" s="289" t="s">
        <v>14439</v>
      </c>
      <c r="AE472" s="290" t="s">
        <v>12279</v>
      </c>
      <c r="AF472" s="284" t="s">
        <v>12275</v>
      </c>
      <c r="AG472" s="296" t="s">
        <v>12276</v>
      </c>
      <c r="AH472" s="291" t="s">
        <v>12271</v>
      </c>
      <c r="AI472" s="291" t="s">
        <v>12272</v>
      </c>
      <c r="AJ472" s="414" t="s">
        <v>13154</v>
      </c>
      <c r="AK472" s="291" t="s">
        <v>12273</v>
      </c>
      <c r="AL472" s="297" t="s">
        <v>12274</v>
      </c>
      <c r="AM472" s="414" t="s">
        <v>13154</v>
      </c>
      <c r="AN472" s="303" t="s">
        <v>12199</v>
      </c>
      <c r="AO472" s="304" t="s">
        <v>12200</v>
      </c>
      <c r="AP472" s="304" t="s">
        <v>12201</v>
      </c>
      <c r="AQ472" s="304" t="s">
        <v>12202</v>
      </c>
      <c r="AR472" s="304" t="s">
        <v>12203</v>
      </c>
      <c r="AS472" s="304" t="s">
        <v>12204</v>
      </c>
      <c r="AT472" s="304" t="s">
        <v>12205</v>
      </c>
      <c r="AU472" s="305" t="s">
        <v>12206</v>
      </c>
      <c r="AV472" s="468"/>
      <c r="AW472" s="282" t="s">
        <v>12276</v>
      </c>
      <c r="AX472" s="282" t="s">
        <v>12280</v>
      </c>
      <c r="AY472" s="283" t="s">
        <v>12199</v>
      </c>
      <c r="AZ472" s="283" t="s">
        <v>12200</v>
      </c>
      <c r="BA472" s="283" t="s">
        <v>12201</v>
      </c>
      <c r="BB472" s="283" t="s">
        <v>12202</v>
      </c>
      <c r="BC472" s="283" t="s">
        <v>12203</v>
      </c>
      <c r="BD472" s="283" t="s">
        <v>12204</v>
      </c>
      <c r="BE472" s="283" t="s">
        <v>12205</v>
      </c>
      <c r="BF472" s="300" t="s">
        <v>12206</v>
      </c>
    </row>
    <row r="473" spans="1:58" ht="12" thickBot="1" x14ac:dyDescent="0.25">
      <c r="A473" s="62" t="s">
        <v>1023</v>
      </c>
      <c r="B473" s="62" t="s">
        <v>12207</v>
      </c>
      <c r="C473" s="62">
        <v>1</v>
      </c>
      <c r="D473" s="62"/>
      <c r="E473" s="345" t="s">
        <v>12410</v>
      </c>
      <c r="F473" s="345" t="s">
        <v>10446</v>
      </c>
      <c r="G473" s="113">
        <v>0</v>
      </c>
      <c r="H473" s="113">
        <v>5</v>
      </c>
      <c r="I473" s="114"/>
      <c r="J473" s="114"/>
      <c r="K473" s="114"/>
      <c r="L473" s="81"/>
      <c r="M473" s="265" t="b">
        <f>NOT(ISERROR(ResultsInd[[#This Row],[Goal-A]]+ResultsInd[[#This Row],[Goal-B]]))</f>
        <v>1</v>
      </c>
      <c r="N473" s="265">
        <f>VALUE(ResultsInd[[#This Row],[Score-A]])</f>
        <v>0</v>
      </c>
      <c r="O473" s="265">
        <f>VALUE(ResultsInd[[#This Row],[Score-B]])</f>
        <v>5</v>
      </c>
      <c r="P473" s="265">
        <f ca="1">IF(AND(ResultsInd[[#This Row],[Category]]&lt;&gt;"",ResultsInd[[#This Row],[Player A]]&lt;&gt;""),COUNTIF(INDIRECT(ResultsInd[[#This Row],[Category]]&amp;"List[Retained Player Name]"),ResultsInd[[#This Row],[Player A]]),"")</f>
        <v>1</v>
      </c>
      <c r="Q473" s="265">
        <f ca="1">IF(AND(ResultsInd[[#This Row],[Category]]&lt;&gt;"",ResultsInd[[#This Row],[Player B]]&lt;&gt;""),COUNTIF(INDIRECT(ResultsInd[[#This Row],[Category]]&amp;"List[Retained Player Name]"),ResultsInd[[#This Row],[Player B]]),"")</f>
        <v>1</v>
      </c>
      <c r="R4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U16-Robert Farrugia Randon</v>
      </c>
      <c r="S473" s="265" t="str">
        <f>IF(ResultsInd[[#This Row],[Score_OK]],IF(ResultsInd[[#This Row],[Stage]]="Groups",ResultsInd[[#This Row],[Category]]&amp;"-"&amp;IF(ResultsInd[[#This Row],[Player B]]="","",IF(ResultsInd[[#This Row],[Score-A]]=ResultsInd[[#This Row],[Score-B]],ResultsInd[[#This Row],[Player A]],"")),""),"")</f>
        <v>U16-</v>
      </c>
      <c r="T473" s="265" t="str">
        <f>IF(ResultsInd[[#This Row],[Score_OK]],IF(ResultsInd[[#This Row],[Stage]]="Groups",ResultsInd[[#This Row],[Category]]&amp;"-"&amp;IF(ResultsInd[[#This Row],[Player B]]="","",IF(ResultsInd[[#This Row],[Score-A]]=ResultsInd[[#This Row],[Score-B]],ResultsInd[[#This Row],[Player B]],"")),""),"")</f>
        <v>U16-</v>
      </c>
      <c r="U4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U16-Robin Verplaetse</v>
      </c>
      <c r="V4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X4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U16-Robin Verplaetse</v>
      </c>
      <c r="Y473" s="264" t="str">
        <f>IF(ResultsInd[[#This Row],[Category]]="","",VLOOKUP(ResultsInd[[#This Row],[Stage]],$P$1:$V$9,MATCH(ResultsInd[[#This Row],[Category]],$Q$1:$V$1,0)+1,FALSE))</f>
        <v>PR1</v>
      </c>
      <c r="Z473" s="264" t="str">
        <f>IF(ResultsInd[[#This Row],[Score_OK]],IF(ResultsInd[[#This Row],[Level]]="R",ResultsInd[[#This Row],[Category]]&amp;"-"&amp;IF(ResultsInd[[#This Row],[LoseInKO]]=ResultsInd[[#This Row],[Category]]&amp;"-"&amp;ResultsInd[[#This Row],[Player A]],ResultsInd[[#This Row],[Player B]],ResultsInd[[#This Row],[Player A]]),""),"")</f>
        <v/>
      </c>
      <c r="AB473" s="8"/>
      <c r="AC473" s="12" t="str">
        <f>IF(AC472="","",AC472)</f>
        <v>U16</v>
      </c>
      <c r="AD473" s="309" t="s">
        <v>8589</v>
      </c>
      <c r="AE473" s="320"/>
      <c r="AF473" s="311"/>
      <c r="AG473" s="292">
        <f>IF(AP473="","",SMALL(AH473:AH479,ROWS(AG473:AG473)))</f>
        <v>1001</v>
      </c>
      <c r="AH473" s="293">
        <f>IF(AP473="","",RANK(AL473,AL473:AL479)*1000+ROWS(AH473:AH473))</f>
        <v>1001</v>
      </c>
      <c r="AI473" s="316">
        <f t="shared" ref="AI473:AI479" si="409">IF(AP473="","",CritClassInd1_Points*AN473+CritClassInd1_Matches*AP473+CritClassInd1_Attaque*AS473+CritClassInd1_DiffButs*AU473)</f>
        <v>13000000000000</v>
      </c>
      <c r="AJ473" s="415" t="b">
        <f>AND(AO473&lt;&gt;"",AO473&gt;0,COUNTIF(AI473:AI479,AI473)&gt;1)</f>
        <v>0</v>
      </c>
      <c r="AK473" s="316">
        <f t="shared" ref="AK473:AK479" si="410">IF(AP473="","",CritClassInd_ScorePart*AE473)</f>
        <v>0</v>
      </c>
      <c r="AL473" s="317">
        <f t="shared" ref="AL473:AL479" si="411">IF(AP473="","",AI473+AK473+CritClassInd2_Points*AN473+CritClassInd2_Matches*AP473+CritClassInd2_Attaque*AS473+CritClassInd2_DiffButs*AU473+AF473)</f>
        <v>13000000121400</v>
      </c>
      <c r="AM473" s="415" t="b">
        <f>AND(AO473&lt;&gt;"",AO473&gt;0,COUNTIF(AL473:AL479,AL473)&gt;1)</f>
        <v>0</v>
      </c>
      <c r="AN473" s="306">
        <f t="shared" ref="AN473:AN479" si="412">IF(AP473="","",(AP473*Points_Victoire)+AQ473*Points_Null)</f>
        <v>13</v>
      </c>
      <c r="AO473" s="307">
        <f t="shared" ref="AO473:AO479" si="413">IF(AP473="","",SUM(AP473:AR473))</f>
        <v>5</v>
      </c>
      <c r="AP473" s="307">
        <f>IF(OR(AC472="",AD473=""),"",COUNTIF(ResultsInd[Win],AC472&amp;"-"&amp;AD473))</f>
        <v>4</v>
      </c>
      <c r="AQ473" s="307">
        <f>IF(OR(AC472="",AD473=""),"",COUNTIF(ResultsInd[Draw1],AC472&amp;"-"&amp;AD473)+COUNTIF(ResultsInd[Draw2],AC472&amp;"-"&amp;AD473))</f>
        <v>1</v>
      </c>
      <c r="AR473" s="307">
        <f>IF(OR(AC472="",AD473=""),"",COUNTIF(ResultsInd[Lose],AC472&amp;"-"&amp;AD473))</f>
        <v>0</v>
      </c>
      <c r="AS473" s="307">
        <f>IF(OR(AC472="",AD473=""),"",SUMIFS(ResultsInd[Goal-A],ResultsInd[Category],AC472,ResultsInd[Stage],"Groups",ResultsInd[Player A],AD473)+SUMIFS(ResultsInd[Goal-B],ResultsInd[Category],AC472,ResultsInd[Stage],"Groups",ResultsInd[Player B],AD473))</f>
        <v>14</v>
      </c>
      <c r="AT473" s="307">
        <f>IF(OR(AC472="",AD473=""),"",SUMIFS(ResultsInd[Goal-B],ResultsInd[Category],AC472,ResultsInd[Stage],"Groups",ResultsInd[Player A],AD473)+SUMIFS(ResultsInd[Goal-A],ResultsInd[Category],AC472,ResultsInd[Stage],"Groups",ResultsInd[Player B],AD473))</f>
        <v>2</v>
      </c>
      <c r="AU473" s="308">
        <f>IF(AP473="","",AS473-AT473)</f>
        <v>12</v>
      </c>
      <c r="AV473" s="469" t="b">
        <f>IF(AG473="","",OR(VLOOKUP(AG473,AH473:AU479,3,FALSE),VLOOKUP(AG473,AH473:AU479,6,FALSE)))</f>
        <v>0</v>
      </c>
      <c r="AW473" s="298">
        <f t="shared" ref="AW473:AW479" si="414">IF(AG473="","",INT(AG473/1000))</f>
        <v>1</v>
      </c>
      <c r="AX473" s="285" t="str">
        <f>IF(AG473="","",INDEX(AD473:AD479,MATCH(AG473,AH473:AH479,0)))</f>
        <v>Ruby Matthews</v>
      </c>
      <c r="AY473" s="286">
        <f>IF(AG473="","",VLOOKUP(AG473,AH473:AU479,COLUMN()-COLUMN(AR472),FALSE))</f>
        <v>13</v>
      </c>
      <c r="AZ473" s="286">
        <f>IF(AG473="","",VLOOKUP(AG473,AH473:AU479,COLUMN()-COLUMN(AR472),FALSE))</f>
        <v>5</v>
      </c>
      <c r="BA473" s="286">
        <f>IF(AG473="","",VLOOKUP(AG473,AH473:AU479,COLUMN()-COLUMN(AR472),FALSE))</f>
        <v>4</v>
      </c>
      <c r="BB473" s="286">
        <f>IF(AG473="","",VLOOKUP(AG473,AH473:AU479,COLUMN()-COLUMN(AR472),FALSE))</f>
        <v>1</v>
      </c>
      <c r="BC473" s="286">
        <f>IF(AG473="","",VLOOKUP(AG473,AH473:AU479,COLUMN()-COLUMN(AR472),FALSE))</f>
        <v>0</v>
      </c>
      <c r="BD473" s="286">
        <f>IF(AG473="","",VLOOKUP(AG473,AH473:AU479,COLUMN()-COLUMN(AR472),FALSE))</f>
        <v>14</v>
      </c>
      <c r="BE473" s="286">
        <f>IF(AG473="","",VLOOKUP(AG473,AH473:AU479,COLUMN()-COLUMN(AR472),FALSE))</f>
        <v>2</v>
      </c>
      <c r="BF473" s="301">
        <f>IF(AG473="","",VLOOKUP(AG473,AH473:AU479,COLUMN()-COLUMN(AR472),FALSE))</f>
        <v>12</v>
      </c>
    </row>
    <row r="474" spans="1:58" ht="12" thickBot="1" x14ac:dyDescent="0.25">
      <c r="A474" s="62" t="s">
        <v>1023</v>
      </c>
      <c r="B474" s="62" t="s">
        <v>12207</v>
      </c>
      <c r="C474" s="62">
        <v>1</v>
      </c>
      <c r="D474" s="62"/>
      <c r="E474" s="345" t="s">
        <v>10591</v>
      </c>
      <c r="F474" s="345" t="s">
        <v>8162</v>
      </c>
      <c r="G474" s="113">
        <v>1</v>
      </c>
      <c r="H474" s="113">
        <v>6</v>
      </c>
      <c r="I474" s="114"/>
      <c r="J474" s="114"/>
      <c r="K474" s="114"/>
      <c r="L474" s="81"/>
      <c r="M474" s="265" t="b">
        <f>NOT(ISERROR(ResultsInd[[#This Row],[Goal-A]]+ResultsInd[[#This Row],[Goal-B]]))</f>
        <v>1</v>
      </c>
      <c r="N474" s="265">
        <f>VALUE(ResultsInd[[#This Row],[Score-A]])</f>
        <v>1</v>
      </c>
      <c r="O474" s="265">
        <f>VALUE(ResultsInd[[#This Row],[Score-B]])</f>
        <v>6</v>
      </c>
      <c r="P474" s="265">
        <f ca="1">IF(AND(ResultsInd[[#This Row],[Category]]&lt;&gt;"",ResultsInd[[#This Row],[Player A]]&lt;&gt;""),COUNTIF(INDIRECT(ResultsInd[[#This Row],[Category]]&amp;"List[Retained Player Name]"),ResultsInd[[#This Row],[Player A]]),"")</f>
        <v>1</v>
      </c>
      <c r="Q474" s="265">
        <f ca="1">IF(AND(ResultsInd[[#This Row],[Category]]&lt;&gt;"",ResultsInd[[#This Row],[Player B]]&lt;&gt;""),COUNTIF(INDIRECT(ResultsInd[[#This Row],[Category]]&amp;"List[Retained Player Name]"),ResultsInd[[#This Row],[Player B]]),"")</f>
        <v>1</v>
      </c>
      <c r="R4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U16-Jérôme Cyganek</v>
      </c>
      <c r="S474" s="265" t="str">
        <f>IF(ResultsInd[[#This Row],[Score_OK]],IF(ResultsInd[[#This Row],[Stage]]="Groups",ResultsInd[[#This Row],[Category]]&amp;"-"&amp;IF(ResultsInd[[#This Row],[Player B]]="","",IF(ResultsInd[[#This Row],[Score-A]]=ResultsInd[[#This Row],[Score-B]],ResultsInd[[#This Row],[Player A]],"")),""),"")</f>
        <v>U16-</v>
      </c>
      <c r="T474" s="265" t="str">
        <f>IF(ResultsInd[[#This Row],[Score_OK]],IF(ResultsInd[[#This Row],[Stage]]="Groups",ResultsInd[[#This Row],[Category]]&amp;"-"&amp;IF(ResultsInd[[#This Row],[Player B]]="","",IF(ResultsInd[[#This Row],[Score-A]]=ResultsInd[[#This Row],[Score-B]],ResultsInd[[#This Row],[Player B]],"")),""),"")</f>
        <v>U16-</v>
      </c>
      <c r="U4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U16-Daniel Kaliszewski</v>
      </c>
      <c r="V4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X4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Y474" s="264" t="str">
        <f>IF(ResultsInd[[#This Row],[Category]]="","",VLOOKUP(ResultsInd[[#This Row],[Stage]],$P$1:$V$9,MATCH(ResultsInd[[#This Row],[Category]],$Q$1:$V$1,0)+1,FALSE))</f>
        <v>PR1</v>
      </c>
      <c r="Z474" s="264" t="str">
        <f>IF(ResultsInd[[#This Row],[Score_OK]],IF(ResultsInd[[#This Row],[Level]]="R",ResultsInd[[#This Row],[Category]]&amp;"-"&amp;IF(ResultsInd[[#This Row],[LoseInKO]]=ResultsInd[[#This Row],[Category]]&amp;"-"&amp;ResultsInd[[#This Row],[Player A]],ResultsInd[[#This Row],[Player B]],ResultsInd[[#This Row],[Player A]]),""),"")</f>
        <v/>
      </c>
      <c r="AB474" s="8"/>
      <c r="AC474" s="12" t="str">
        <f t="shared" ref="AC474:AC479" si="415">IF(AC473="","",AC473)</f>
        <v>U16</v>
      </c>
      <c r="AD474" s="309" t="s">
        <v>8193</v>
      </c>
      <c r="AE474" s="320"/>
      <c r="AF474" s="311"/>
      <c r="AG474" s="292">
        <f>IF(AP474="","",SMALL(AH473:AH479,ROWS(AG473:AG474)))</f>
        <v>2002</v>
      </c>
      <c r="AH474" s="293">
        <f>IF(AP474="","",RANK(AL474,AL473:AL479)*1000+ROWS(AH473:AH474))</f>
        <v>2002</v>
      </c>
      <c r="AI474" s="316">
        <f t="shared" si="409"/>
        <v>10000000000000</v>
      </c>
      <c r="AJ474" s="415" t="b">
        <f>AND(AO474&lt;&gt;"",AO474&gt;0,COUNTIF(AI473:AI479,AI474)&gt;1)</f>
        <v>1</v>
      </c>
      <c r="AK474" s="316">
        <f t="shared" si="410"/>
        <v>0</v>
      </c>
      <c r="AL474" s="317">
        <f t="shared" si="411"/>
        <v>10000000091100</v>
      </c>
      <c r="AM474" s="415" t="b">
        <f>AND(AO474&lt;&gt;"",AO474&gt;0,COUNTIF(AL473:AL479,AL474)&gt;1)</f>
        <v>0</v>
      </c>
      <c r="AN474" s="306">
        <f t="shared" si="412"/>
        <v>10</v>
      </c>
      <c r="AO474" s="307">
        <f t="shared" si="413"/>
        <v>5</v>
      </c>
      <c r="AP474" s="307">
        <f>IF(OR(AC472="",AD474=""),"",COUNTIF(ResultsInd[Win],AC472&amp;"-"&amp;AD474))</f>
        <v>3</v>
      </c>
      <c r="AQ474" s="307">
        <f>IF(OR(AC472="",AD474=""),"",COUNTIF(ResultsInd[Draw1],AC472&amp;"-"&amp;AD474)+COUNTIF(ResultsInd[Draw2],AC472&amp;"-"&amp;AD474))</f>
        <v>1</v>
      </c>
      <c r="AR474" s="307">
        <f>IF(OR(AC472="",AD474=""),"",COUNTIF(ResultsInd[Lose],AC472&amp;"-"&amp;AD474))</f>
        <v>1</v>
      </c>
      <c r="AS474" s="307">
        <f>IF(OR(AC472="",AD474=""),"",SUMIFS(ResultsInd[Goal-A],ResultsInd[Category],AC472,ResultsInd[Stage],"Groups",ResultsInd[Player A],AD474)+SUMIFS(ResultsInd[Goal-B],ResultsInd[Category],AC472,ResultsInd[Stage],"Groups",ResultsInd[Player B],AD474))</f>
        <v>11</v>
      </c>
      <c r="AT474" s="307">
        <f>IF(OR(AC472="",AD474=""),"",SUMIFS(ResultsInd[Goal-B],ResultsInd[Category],AC472,ResultsInd[Stage],"Groups",ResultsInd[Player A],AD474)+SUMIFS(ResultsInd[Goal-A],ResultsInd[Category],AC472,ResultsInd[Stage],"Groups",ResultsInd[Player B],AD474))</f>
        <v>2</v>
      </c>
      <c r="AU474" s="308">
        <f t="shared" ref="AU474:AU479" si="416">IF(AP474="","",AS474-AT474)</f>
        <v>9</v>
      </c>
      <c r="AV474" s="469" t="b">
        <f>IF(AG474="","",OR(VLOOKUP(AG474,AH473:AU479,3,FALSE),VLOOKUP(AG474,AH473:AU479,6,FALSE)))</f>
        <v>1</v>
      </c>
      <c r="AW474" s="298">
        <f t="shared" si="414"/>
        <v>2</v>
      </c>
      <c r="AX474" s="285" t="str">
        <f>IF(AG474="","",INDEX(AD473:AD479,MATCH(AG474,AH473:AH479,0)))</f>
        <v>Noah Dirick</v>
      </c>
      <c r="AY474" s="286">
        <f>IF(AG474="","",VLOOKUP(AG474,AH473:AU479,COLUMN()-COLUMN(AR472),FALSE))</f>
        <v>10</v>
      </c>
      <c r="AZ474" s="286">
        <f>IF(AG474="","",VLOOKUP(AG474,AH473:AU479,COLUMN()-COLUMN(AR472),FALSE))</f>
        <v>5</v>
      </c>
      <c r="BA474" s="286">
        <f>IF(AG474="","",VLOOKUP(AG474,AH473:AU479,COLUMN()-COLUMN(AR472),FALSE))</f>
        <v>3</v>
      </c>
      <c r="BB474" s="286">
        <f>IF(AG474="","",VLOOKUP(AG474,AH473:AU479,COLUMN()-COLUMN(AR472),FALSE))</f>
        <v>1</v>
      </c>
      <c r="BC474" s="286">
        <f>IF(AG474="","",VLOOKUP(AG474,AH473:AU479,COLUMN()-COLUMN(AR472),FALSE))</f>
        <v>1</v>
      </c>
      <c r="BD474" s="286">
        <f>IF(AG474="","",VLOOKUP(AG474,AH473:AU479,COLUMN()-COLUMN(AR472),FALSE))</f>
        <v>11</v>
      </c>
      <c r="BE474" s="286">
        <f>IF(AG474="","",VLOOKUP(AG474,AH473:AU479,COLUMN()-COLUMN(AR472),FALSE))</f>
        <v>2</v>
      </c>
      <c r="BF474" s="301">
        <f>IF(AG474="","",VLOOKUP(AG474,AH473:AU479,COLUMN()-COLUMN(AR472),FALSE))</f>
        <v>9</v>
      </c>
    </row>
    <row r="475" spans="1:58" ht="12" thickBot="1" x14ac:dyDescent="0.25">
      <c r="A475" s="62" t="s">
        <v>1023</v>
      </c>
      <c r="B475" s="62" t="s">
        <v>12207</v>
      </c>
      <c r="C475" s="62">
        <v>2</v>
      </c>
      <c r="D475" s="62"/>
      <c r="E475" s="345" t="s">
        <v>8161</v>
      </c>
      <c r="F475" s="345" t="s">
        <v>8201</v>
      </c>
      <c r="G475" s="113">
        <v>1</v>
      </c>
      <c r="H475" s="113">
        <v>0</v>
      </c>
      <c r="I475" s="114"/>
      <c r="J475" s="114"/>
      <c r="K475" s="114"/>
      <c r="L475" s="81"/>
      <c r="M475" s="265" t="b">
        <f>NOT(ISERROR(ResultsInd[[#This Row],[Goal-A]]+ResultsInd[[#This Row],[Goal-B]]))</f>
        <v>1</v>
      </c>
      <c r="N475" s="265">
        <f>VALUE(ResultsInd[[#This Row],[Score-A]])</f>
        <v>1</v>
      </c>
      <c r="O475" s="265">
        <f>VALUE(ResultsInd[[#This Row],[Score-B]])</f>
        <v>0</v>
      </c>
      <c r="P475" s="265">
        <f ca="1">IF(AND(ResultsInd[[#This Row],[Category]]&lt;&gt;"",ResultsInd[[#This Row],[Player A]]&lt;&gt;""),COUNTIF(INDIRECT(ResultsInd[[#This Row],[Category]]&amp;"List[Retained Player Name]"),ResultsInd[[#This Row],[Player A]]),"")</f>
        <v>1</v>
      </c>
      <c r="Q475" s="265">
        <f ca="1">IF(AND(ResultsInd[[#This Row],[Category]]&lt;&gt;"",ResultsInd[[#This Row],[Player B]]&lt;&gt;""),COUNTIF(INDIRECT(ResultsInd[[#This Row],[Category]]&amp;"List[Retained Player Name]"),ResultsInd[[#This Row],[Player B]]),"")</f>
        <v>1</v>
      </c>
      <c r="R4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U16-Benjamin Marain</v>
      </c>
      <c r="S475" s="265" t="str">
        <f>IF(ResultsInd[[#This Row],[Score_OK]],IF(ResultsInd[[#This Row],[Stage]]="Groups",ResultsInd[[#This Row],[Category]]&amp;"-"&amp;IF(ResultsInd[[#This Row],[Player B]]="","",IF(ResultsInd[[#This Row],[Score-A]]=ResultsInd[[#This Row],[Score-B]],ResultsInd[[#This Row],[Player A]],"")),""),"")</f>
        <v>U16-</v>
      </c>
      <c r="T475" s="265" t="str">
        <f>IF(ResultsInd[[#This Row],[Score_OK]],IF(ResultsInd[[#This Row],[Stage]]="Groups",ResultsInd[[#This Row],[Category]]&amp;"-"&amp;IF(ResultsInd[[#This Row],[Player B]]="","",IF(ResultsInd[[#This Row],[Score-A]]=ResultsInd[[#This Row],[Score-B]],ResultsInd[[#This Row],[Player B]],"")),""),"")</f>
        <v>U16-</v>
      </c>
      <c r="U4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U16-Kostandinos Tsangouris</v>
      </c>
      <c r="V4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X4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Y475" s="264" t="str">
        <f>IF(ResultsInd[[#This Row],[Category]]="","",VLOOKUP(ResultsInd[[#This Row],[Stage]],$P$1:$V$9,MATCH(ResultsInd[[#This Row],[Category]],$Q$1:$V$1,0)+1,FALSE))</f>
        <v>PR1</v>
      </c>
      <c r="Z475" s="264" t="str">
        <f>IF(ResultsInd[[#This Row],[Score_OK]],IF(ResultsInd[[#This Row],[Level]]="R",ResultsInd[[#This Row],[Category]]&amp;"-"&amp;IF(ResultsInd[[#This Row],[LoseInKO]]=ResultsInd[[#This Row],[Category]]&amp;"-"&amp;ResultsInd[[#This Row],[Player A]],ResultsInd[[#This Row],[Player B]],ResultsInd[[#This Row],[Player A]]),""),"")</f>
        <v/>
      </c>
      <c r="AB475" s="8"/>
      <c r="AC475" s="12" t="str">
        <f t="shared" si="415"/>
        <v>U16</v>
      </c>
      <c r="AD475" s="309" t="s">
        <v>8161</v>
      </c>
      <c r="AE475" s="320"/>
      <c r="AF475" s="311"/>
      <c r="AG475" s="292">
        <f>IF(AP475="","",SMALL(AH473:AH479,ROWS(AG473:AG475)))</f>
        <v>3003</v>
      </c>
      <c r="AH475" s="293">
        <f>IF(AP475="","",RANK(AL475,AL473:AL479)*1000+ROWS(AH473:AH475))</f>
        <v>3003</v>
      </c>
      <c r="AI475" s="316">
        <f t="shared" si="409"/>
        <v>10000000000000</v>
      </c>
      <c r="AJ475" s="415" t="b">
        <f>AND(AO475&lt;&gt;"",AO475&gt;0,COUNTIF(AI473:AI479,AI475)&gt;1)</f>
        <v>1</v>
      </c>
      <c r="AK475" s="316">
        <f t="shared" si="410"/>
        <v>0</v>
      </c>
      <c r="AL475" s="317">
        <f t="shared" si="411"/>
        <v>10000000081000</v>
      </c>
      <c r="AM475" s="415" t="b">
        <f>AND(AO475&lt;&gt;"",AO475&gt;0,COUNTIF(AL473:AL479,AL475)&gt;1)</f>
        <v>0</v>
      </c>
      <c r="AN475" s="306">
        <f t="shared" si="412"/>
        <v>10</v>
      </c>
      <c r="AO475" s="307">
        <f t="shared" si="413"/>
        <v>5</v>
      </c>
      <c r="AP475" s="307">
        <f>IF(OR(AC472="",AD475=""),"",COUNTIF(ResultsInd[Win],AC472&amp;"-"&amp;AD475))</f>
        <v>3</v>
      </c>
      <c r="AQ475" s="307">
        <f>IF(OR(AC472="",AD475=""),"",COUNTIF(ResultsInd[Draw1],AC472&amp;"-"&amp;AD475)+COUNTIF(ResultsInd[Draw2],AC472&amp;"-"&amp;AD475))</f>
        <v>1</v>
      </c>
      <c r="AR475" s="307">
        <f>IF(OR(AC472="",AD475=""),"",COUNTIF(ResultsInd[Lose],AC472&amp;"-"&amp;AD475))</f>
        <v>1</v>
      </c>
      <c r="AS475" s="307">
        <f>IF(OR(AC472="",AD475=""),"",SUMIFS(ResultsInd[Goal-A],ResultsInd[Category],AC472,ResultsInd[Stage],"Groups",ResultsInd[Player A],AD475)+SUMIFS(ResultsInd[Goal-B],ResultsInd[Category],AC472,ResultsInd[Stage],"Groups",ResultsInd[Player B],AD475))</f>
        <v>10</v>
      </c>
      <c r="AT475" s="307">
        <f>IF(OR(AC472="",AD475=""),"",SUMIFS(ResultsInd[Goal-B],ResultsInd[Category],AC472,ResultsInd[Stage],"Groups",ResultsInd[Player A],AD475)+SUMIFS(ResultsInd[Goal-A],ResultsInd[Category],AC472,ResultsInd[Stage],"Groups",ResultsInd[Player B],AD475))</f>
        <v>2</v>
      </c>
      <c r="AU475" s="308">
        <f t="shared" si="416"/>
        <v>8</v>
      </c>
      <c r="AV475" s="469" t="b">
        <f>IF(AG475="","",OR(VLOOKUP(AG475,AH473:AU479,3,FALSE),VLOOKUP(AG475,AH473:AU479,6,FALSE)))</f>
        <v>1</v>
      </c>
      <c r="AW475" s="298">
        <f t="shared" si="414"/>
        <v>3</v>
      </c>
      <c r="AX475" s="285" t="str">
        <f>IF(AG475="","",INDEX(AD473:AD479,MATCH(AG475,AH473:AH479,0)))</f>
        <v>Benjamin Marain</v>
      </c>
      <c r="AY475" s="286">
        <f>IF(AG475="","",VLOOKUP(AG475,AH473:AU479,COLUMN()-COLUMN(AR472),FALSE))</f>
        <v>10</v>
      </c>
      <c r="AZ475" s="286">
        <f>IF(AG475="","",VLOOKUP(AG475,AH473:AU479,COLUMN()-COLUMN(AR472),FALSE))</f>
        <v>5</v>
      </c>
      <c r="BA475" s="286">
        <f>IF(AG475="","",VLOOKUP(AG475,AH473:AU479,COLUMN()-COLUMN(AR472),FALSE))</f>
        <v>3</v>
      </c>
      <c r="BB475" s="286">
        <f>IF(AG475="","",VLOOKUP(AG475,AH473:AU479,COLUMN()-COLUMN(AR472),FALSE))</f>
        <v>1</v>
      </c>
      <c r="BC475" s="286">
        <f>IF(AG475="","",VLOOKUP(AG475,AH473:AU479,COLUMN()-COLUMN(AR472),FALSE))</f>
        <v>1</v>
      </c>
      <c r="BD475" s="286">
        <f>IF(AG475="","",VLOOKUP(AG475,AH473:AU479,COLUMN()-COLUMN(AR472),FALSE))</f>
        <v>10</v>
      </c>
      <c r="BE475" s="286">
        <f>IF(AG475="","",VLOOKUP(AG475,AH473:AU479,COLUMN()-COLUMN(AR472),FALSE))</f>
        <v>2</v>
      </c>
      <c r="BF475" s="301">
        <f>IF(AG475="","",VLOOKUP(AG475,AH473:AU479,COLUMN()-COLUMN(AR472),FALSE))</f>
        <v>8</v>
      </c>
    </row>
    <row r="476" spans="1:58" ht="12" thickBot="1" x14ac:dyDescent="0.25">
      <c r="A476" s="62" t="s">
        <v>1023</v>
      </c>
      <c r="B476" s="62" t="s">
        <v>12207</v>
      </c>
      <c r="C476" s="62">
        <v>2</v>
      </c>
      <c r="D476" s="62"/>
      <c r="E476" s="345" t="s">
        <v>8193</v>
      </c>
      <c r="F476" s="345" t="s">
        <v>14477</v>
      </c>
      <c r="G476" s="113">
        <v>5</v>
      </c>
      <c r="H476" s="113">
        <v>0</v>
      </c>
      <c r="I476" s="114"/>
      <c r="J476" s="114"/>
      <c r="K476" s="114"/>
      <c r="L476" s="81"/>
      <c r="M476" s="265" t="b">
        <f>NOT(ISERROR(ResultsInd[[#This Row],[Goal-A]]+ResultsInd[[#This Row],[Goal-B]]))</f>
        <v>1</v>
      </c>
      <c r="N476" s="265">
        <f>VALUE(ResultsInd[[#This Row],[Score-A]])</f>
        <v>5</v>
      </c>
      <c r="O476" s="265">
        <f>VALUE(ResultsInd[[#This Row],[Score-B]])</f>
        <v>0</v>
      </c>
      <c r="P476" s="265">
        <f ca="1">IF(AND(ResultsInd[[#This Row],[Category]]&lt;&gt;"",ResultsInd[[#This Row],[Player A]]&lt;&gt;""),COUNTIF(INDIRECT(ResultsInd[[#This Row],[Category]]&amp;"List[Retained Player Name]"),ResultsInd[[#This Row],[Player A]]),"")</f>
        <v>1</v>
      </c>
      <c r="Q476" s="265">
        <f ca="1">IF(AND(ResultsInd[[#This Row],[Category]]&lt;&gt;"",ResultsInd[[#This Row],[Player B]]&lt;&gt;""),COUNTIF(INDIRECT(ResultsInd[[#This Row],[Category]]&amp;"List[Retained Player Name]"),ResultsInd[[#This Row],[Player B]]),"")</f>
        <v>1</v>
      </c>
      <c r="R4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U16-Noah Dirick</v>
      </c>
      <c r="S476" s="265" t="str">
        <f>IF(ResultsInd[[#This Row],[Score_OK]],IF(ResultsInd[[#This Row],[Stage]]="Groups",ResultsInd[[#This Row],[Category]]&amp;"-"&amp;IF(ResultsInd[[#This Row],[Player B]]="","",IF(ResultsInd[[#This Row],[Score-A]]=ResultsInd[[#This Row],[Score-B]],ResultsInd[[#This Row],[Player A]],"")),""),"")</f>
        <v>U16-</v>
      </c>
      <c r="T476" s="265" t="str">
        <f>IF(ResultsInd[[#This Row],[Score_OK]],IF(ResultsInd[[#This Row],[Stage]]="Groups",ResultsInd[[#This Row],[Category]]&amp;"-"&amp;IF(ResultsInd[[#This Row],[Player B]]="","",IF(ResultsInd[[#This Row],[Score-A]]=ResultsInd[[#This Row],[Score-B]],ResultsInd[[#This Row],[Player B]],"")),""),"")</f>
        <v>U16-</v>
      </c>
      <c r="U4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U16-Nathanaël Dhyne</v>
      </c>
      <c r="V4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X4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Y476" s="264" t="str">
        <f>IF(ResultsInd[[#This Row],[Category]]="","",VLOOKUP(ResultsInd[[#This Row],[Stage]],$P$1:$V$9,MATCH(ResultsInd[[#This Row],[Category]],$Q$1:$V$1,0)+1,FALSE))</f>
        <v>PR1</v>
      </c>
      <c r="Z476" s="264" t="str">
        <f>IF(ResultsInd[[#This Row],[Score_OK]],IF(ResultsInd[[#This Row],[Level]]="R",ResultsInd[[#This Row],[Category]]&amp;"-"&amp;IF(ResultsInd[[#This Row],[LoseInKO]]=ResultsInd[[#This Row],[Category]]&amp;"-"&amp;ResultsInd[[#This Row],[Player A]],ResultsInd[[#This Row],[Player B]],ResultsInd[[#This Row],[Player A]]),""),"")</f>
        <v/>
      </c>
      <c r="AB476" s="91"/>
      <c r="AC476" s="12" t="str">
        <f t="shared" si="415"/>
        <v>U16</v>
      </c>
      <c r="AD476" s="309" t="s">
        <v>8721</v>
      </c>
      <c r="AE476" s="310"/>
      <c r="AF476" s="311"/>
      <c r="AG476" s="292">
        <f>IF(AP476="","",SMALL(AH473:AH479,ROWS(AG473:AG476)))</f>
        <v>4004</v>
      </c>
      <c r="AH476" s="293">
        <f>IF(AP476="","",RANK(AL476,AL473:AL479)*1000+ROWS(AH473:AH476))</f>
        <v>4004</v>
      </c>
      <c r="AI476" s="316">
        <f t="shared" si="409"/>
        <v>7000000000000</v>
      </c>
      <c r="AJ476" s="415" t="b">
        <f>AND(AO476&lt;&gt;"",AO476&gt;0,COUNTIF(AI473:AI479,AI476)&gt;1)</f>
        <v>0</v>
      </c>
      <c r="AK476" s="316">
        <f t="shared" si="410"/>
        <v>0</v>
      </c>
      <c r="AL476" s="317">
        <f t="shared" si="411"/>
        <v>7000000061000</v>
      </c>
      <c r="AM476" s="415" t="b">
        <f>AND(AO476&lt;&gt;"",AO476&gt;0,COUNTIF(AL473:AL479,AL476)&gt;1)</f>
        <v>0</v>
      </c>
      <c r="AN476" s="306">
        <f t="shared" si="412"/>
        <v>7</v>
      </c>
      <c r="AO476" s="307">
        <f t="shared" si="413"/>
        <v>5</v>
      </c>
      <c r="AP476" s="307">
        <f>IF(OR(AC472="",AD476=""),"",COUNTIF(ResultsInd[Win],AC472&amp;"-"&amp;AD476))</f>
        <v>2</v>
      </c>
      <c r="AQ476" s="307">
        <f>IF(OR(AC472="",AD476=""),"",COUNTIF(ResultsInd[Draw1],AC472&amp;"-"&amp;AD476)+COUNTIF(ResultsInd[Draw2],AC472&amp;"-"&amp;AD476))</f>
        <v>1</v>
      </c>
      <c r="AR476" s="307">
        <f>IF(OR(AC472="",AD476=""),"",COUNTIF(ResultsInd[Lose],AC472&amp;"-"&amp;AD476))</f>
        <v>2</v>
      </c>
      <c r="AS476" s="307">
        <f>IF(OR(AC472="",AD476=""),"",SUMIFS(ResultsInd[Goal-A],ResultsInd[Category],AC472,ResultsInd[Stage],"Groups",ResultsInd[Player A],AD476)+SUMIFS(ResultsInd[Goal-B],ResultsInd[Category],AC472,ResultsInd[Stage],"Groups",ResultsInd[Player B],AD476))</f>
        <v>10</v>
      </c>
      <c r="AT476" s="307">
        <f>IF(OR(AC472="",AD476=""),"",SUMIFS(ResultsInd[Goal-B],ResultsInd[Category],AC472,ResultsInd[Stage],"Groups",ResultsInd[Player A],AD476)+SUMIFS(ResultsInd[Goal-A],ResultsInd[Category],AC472,ResultsInd[Stage],"Groups",ResultsInd[Player B],AD476))</f>
        <v>4</v>
      </c>
      <c r="AU476" s="308">
        <f t="shared" si="416"/>
        <v>6</v>
      </c>
      <c r="AV476" s="469" t="b">
        <f>IF(AG476="","",OR(VLOOKUP(AG476,AH473:AU479,3,FALSE),VLOOKUP(AG476,AH473:AU479,6,FALSE)))</f>
        <v>0</v>
      </c>
      <c r="AW476" s="298">
        <f t="shared" si="414"/>
        <v>4</v>
      </c>
      <c r="AX476" s="285" t="str">
        <f>IF(AG476="","",INDEX(AD473:AD479,MATCH(AG476,AH473:AH479,0)))</f>
        <v>Rafaël Midoux</v>
      </c>
      <c r="AY476" s="286">
        <f>IF(AG476="","",VLOOKUP(AG476,AH473:AU479,COLUMN()-COLUMN(AR472),FALSE))</f>
        <v>7</v>
      </c>
      <c r="AZ476" s="286">
        <f>IF(AG476="","",VLOOKUP(AG476,AH473:AU479,COLUMN()-COLUMN(AR472),FALSE))</f>
        <v>5</v>
      </c>
      <c r="BA476" s="286">
        <f>IF(AG476="","",VLOOKUP(AG476,AH473:AU479,COLUMN()-COLUMN(AR472),FALSE))</f>
        <v>2</v>
      </c>
      <c r="BB476" s="286">
        <f>IF(AG476="","",VLOOKUP(AG476,AH473:AU479,COLUMN()-COLUMN(AR472),FALSE))</f>
        <v>1</v>
      </c>
      <c r="BC476" s="286">
        <f>IF(AG476="","",VLOOKUP(AG476,AH473:AU479,COLUMN()-COLUMN(AR472),FALSE))</f>
        <v>2</v>
      </c>
      <c r="BD476" s="286">
        <f>IF(AG476="","",VLOOKUP(AG476,AH473:AU479,COLUMN()-COLUMN(AR472),FALSE))</f>
        <v>10</v>
      </c>
      <c r="BE476" s="286">
        <f>IF(AG476="","",VLOOKUP(AG476,AH473:AU479,COLUMN()-COLUMN(AR472),FALSE))</f>
        <v>4</v>
      </c>
      <c r="BF476" s="301">
        <f>IF(AG476="","",VLOOKUP(AG476,AH473:AU479,COLUMN()-COLUMN(AR472),FALSE))</f>
        <v>6</v>
      </c>
    </row>
    <row r="477" spans="1:58" ht="12" thickBot="1" x14ac:dyDescent="0.25">
      <c r="A477" s="62" t="s">
        <v>1023</v>
      </c>
      <c r="B477" s="62" t="s">
        <v>12207</v>
      </c>
      <c r="C477" s="62">
        <v>2</v>
      </c>
      <c r="D477" s="62"/>
      <c r="E477" s="345" t="s">
        <v>8721</v>
      </c>
      <c r="F477" s="345" t="s">
        <v>8589</v>
      </c>
      <c r="G477" s="113">
        <v>1</v>
      </c>
      <c r="H477" s="113">
        <v>1</v>
      </c>
      <c r="I477" s="114"/>
      <c r="J477" s="114"/>
      <c r="K477" s="114"/>
      <c r="L477" s="81"/>
      <c r="M477" s="265" t="b">
        <f>NOT(ISERROR(ResultsInd[[#This Row],[Goal-A]]+ResultsInd[[#This Row],[Goal-B]]))</f>
        <v>1</v>
      </c>
      <c r="N477" s="265">
        <f>VALUE(ResultsInd[[#This Row],[Score-A]])</f>
        <v>1</v>
      </c>
      <c r="O477" s="265">
        <f>VALUE(ResultsInd[[#This Row],[Score-B]])</f>
        <v>1</v>
      </c>
      <c r="P477" s="265">
        <f ca="1">IF(AND(ResultsInd[[#This Row],[Category]]&lt;&gt;"",ResultsInd[[#This Row],[Player A]]&lt;&gt;""),COUNTIF(INDIRECT(ResultsInd[[#This Row],[Category]]&amp;"List[Retained Player Name]"),ResultsInd[[#This Row],[Player A]]),"")</f>
        <v>1</v>
      </c>
      <c r="Q477" s="265">
        <f ca="1">IF(AND(ResultsInd[[#This Row],[Category]]&lt;&gt;"",ResultsInd[[#This Row],[Player B]]&lt;&gt;""),COUNTIF(INDIRECT(ResultsInd[[#This Row],[Category]]&amp;"List[Retained Player Name]"),ResultsInd[[#This Row],[Player B]]),"")</f>
        <v>1</v>
      </c>
      <c r="R4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v>
      </c>
      <c r="S477" s="265" t="str">
        <f>IF(ResultsInd[[#This Row],[Score_OK]],IF(ResultsInd[[#This Row],[Stage]]="Groups",ResultsInd[[#This Row],[Category]]&amp;"-"&amp;IF(ResultsInd[[#This Row],[Player B]]="","",IF(ResultsInd[[#This Row],[Score-A]]=ResultsInd[[#This Row],[Score-B]],ResultsInd[[#This Row],[Player A]],"")),""),"")</f>
        <v>U16-Rafaël Midoux</v>
      </c>
      <c r="T477" s="265" t="str">
        <f>IF(ResultsInd[[#This Row],[Score_OK]],IF(ResultsInd[[#This Row],[Stage]]="Groups",ResultsInd[[#This Row],[Category]]&amp;"-"&amp;IF(ResultsInd[[#This Row],[Player B]]="","",IF(ResultsInd[[#This Row],[Score-A]]=ResultsInd[[#This Row],[Score-B]],ResultsInd[[#This Row],[Player B]],"")),""),"")</f>
        <v>U16-Ruby Matthews</v>
      </c>
      <c r="U4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v>
      </c>
      <c r="V4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U16-Rafaël Midoux</v>
      </c>
      <c r="X4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U16-Ruby Matthews</v>
      </c>
      <c r="Y477" s="264" t="str">
        <f>IF(ResultsInd[[#This Row],[Category]]="","",VLOOKUP(ResultsInd[[#This Row],[Stage]],$P$1:$V$9,MATCH(ResultsInd[[#This Row],[Category]],$Q$1:$V$1,0)+1,FALSE))</f>
        <v>PR1</v>
      </c>
      <c r="Z477" s="264" t="str">
        <f>IF(ResultsInd[[#This Row],[Score_OK]],IF(ResultsInd[[#This Row],[Level]]="R",ResultsInd[[#This Row],[Category]]&amp;"-"&amp;IF(ResultsInd[[#This Row],[LoseInKO]]=ResultsInd[[#This Row],[Category]]&amp;"-"&amp;ResultsInd[[#This Row],[Player A]],ResultsInd[[#This Row],[Player B]],ResultsInd[[#This Row],[Player A]]),""),"")</f>
        <v/>
      </c>
      <c r="AB477" s="91"/>
      <c r="AC477" s="12" t="str">
        <f t="shared" si="415"/>
        <v>U16</v>
      </c>
      <c r="AD477" s="309" t="s">
        <v>14477</v>
      </c>
      <c r="AE477" s="310"/>
      <c r="AF477" s="311"/>
      <c r="AG477" s="292">
        <f>IF(AP477="","",SMALL(AH473:AH479,ROWS(AG473:AG477)))</f>
        <v>5005</v>
      </c>
      <c r="AH477" s="293">
        <f>IF(AP477="","",RANK(AL477,AL473:AL479)*1000+ROWS(AH473:AH477))</f>
        <v>5005</v>
      </c>
      <c r="AI477" s="316">
        <f t="shared" si="409"/>
        <v>3000000000000</v>
      </c>
      <c r="AJ477" s="415" t="b">
        <f>AND(AO477&lt;&gt;"",AO477&gt;0,COUNTIF(AI473:AI479,AI477)&gt;1)</f>
        <v>0</v>
      </c>
      <c r="AK477" s="316">
        <f t="shared" si="410"/>
        <v>0</v>
      </c>
      <c r="AL477" s="317">
        <f t="shared" si="411"/>
        <v>2999999790200</v>
      </c>
      <c r="AM477" s="415" t="b">
        <f>AND(AO477&lt;&gt;"",AO477&gt;0,COUNTIF(AL473:AL479,AL477)&gt;1)</f>
        <v>0</v>
      </c>
      <c r="AN477" s="306">
        <f t="shared" si="412"/>
        <v>3</v>
      </c>
      <c r="AO477" s="307">
        <f t="shared" si="413"/>
        <v>5</v>
      </c>
      <c r="AP477" s="307">
        <f>IF(OR(AC472="",AD477=""),"",COUNTIF(ResultsInd[Win],AC472&amp;"-"&amp;AD477))</f>
        <v>1</v>
      </c>
      <c r="AQ477" s="307">
        <f>IF(OR(AC472="",AD477=""),"",COUNTIF(ResultsInd[Draw1],AC472&amp;"-"&amp;AD477)+COUNTIF(ResultsInd[Draw2],AC472&amp;"-"&amp;AD477))</f>
        <v>0</v>
      </c>
      <c r="AR477" s="307">
        <f>IF(OR(AC472="",AD477=""),"",COUNTIF(ResultsInd[Lose],AC472&amp;"-"&amp;AD477))</f>
        <v>4</v>
      </c>
      <c r="AS477" s="307">
        <f>IF(OR(AC472="",AD477=""),"",SUMIFS(ResultsInd[Goal-A],ResultsInd[Category],AC472,ResultsInd[Stage],"Groups",ResultsInd[Player A],AD477)+SUMIFS(ResultsInd[Goal-B],ResultsInd[Category],AC472,ResultsInd[Stage],"Groups",ResultsInd[Player B],AD477))</f>
        <v>2</v>
      </c>
      <c r="AT477" s="307">
        <f>IF(OR(AC472="",AD477=""),"",SUMIFS(ResultsInd[Goal-B],ResultsInd[Category],AC472,ResultsInd[Stage],"Groups",ResultsInd[Player A],AD477)+SUMIFS(ResultsInd[Goal-A],ResultsInd[Category],AC472,ResultsInd[Stage],"Groups",ResultsInd[Player B],AD477))</f>
        <v>23</v>
      </c>
      <c r="AU477" s="308">
        <f t="shared" si="416"/>
        <v>-21</v>
      </c>
      <c r="AV477" s="469" t="b">
        <f>IF(AG477="","",OR(VLOOKUP(AG477,AH473:AU479,3,FALSE),VLOOKUP(AG477,AH473:AU479,6,FALSE)))</f>
        <v>0</v>
      </c>
      <c r="AW477" s="298">
        <f t="shared" si="414"/>
        <v>5</v>
      </c>
      <c r="AX477" s="285" t="str">
        <f>IF(AG477="","",INDEX(AD473:AD479,MATCH(AG477,AH473:AH479,0)))</f>
        <v>Nathanaël Dhyne</v>
      </c>
      <c r="AY477" s="286">
        <f>IF(AG477="","",VLOOKUP(AG477,AH473:AU479,COLUMN()-COLUMN(AR472),FALSE))</f>
        <v>3</v>
      </c>
      <c r="AZ477" s="286">
        <f>IF(AG477="","",VLOOKUP(AG477,AH473:AU479,COLUMN()-COLUMN(AR472),FALSE))</f>
        <v>5</v>
      </c>
      <c r="BA477" s="286">
        <f>IF(AG477="","",VLOOKUP(AG477,AH473:AU479,COLUMN()-COLUMN(AR472),FALSE))</f>
        <v>1</v>
      </c>
      <c r="BB477" s="286">
        <f>IF(AG477="","",VLOOKUP(AG477,AH473:AU479,COLUMN()-COLUMN(AR472),FALSE))</f>
        <v>0</v>
      </c>
      <c r="BC477" s="286">
        <f>IF(AG477="","",VLOOKUP(AG477,AH473:AU479,COLUMN()-COLUMN(AR472),FALSE))</f>
        <v>4</v>
      </c>
      <c r="BD477" s="286">
        <f>IF(AG477="","",VLOOKUP(AG477,AH473:AU479,COLUMN()-COLUMN(AR472),FALSE))</f>
        <v>2</v>
      </c>
      <c r="BE477" s="286">
        <f>IF(AG477="","",VLOOKUP(AG477,AH473:AU479,COLUMN()-COLUMN(AR472),FALSE))</f>
        <v>23</v>
      </c>
      <c r="BF477" s="301">
        <f>IF(AG477="","",VLOOKUP(AG477,AH473:AU479,COLUMN()-COLUMN(AR472),FALSE))</f>
        <v>-21</v>
      </c>
    </row>
    <row r="478" spans="1:58" ht="12" thickBot="1" x14ac:dyDescent="0.25">
      <c r="A478" s="62" t="s">
        <v>1023</v>
      </c>
      <c r="B478" s="62" t="s">
        <v>12207</v>
      </c>
      <c r="C478" s="62">
        <v>2</v>
      </c>
      <c r="D478" s="62"/>
      <c r="E478" s="345" t="s">
        <v>14477</v>
      </c>
      <c r="F478" s="345" t="s">
        <v>8161</v>
      </c>
      <c r="G478" s="113">
        <v>0</v>
      </c>
      <c r="H478" s="113">
        <v>7</v>
      </c>
      <c r="I478" s="114"/>
      <c r="J478" s="114"/>
      <c r="K478" s="114"/>
      <c r="L478" s="81"/>
      <c r="M478" s="265" t="b">
        <f>NOT(ISERROR(ResultsInd[[#This Row],[Goal-A]]+ResultsInd[[#This Row],[Goal-B]]))</f>
        <v>1</v>
      </c>
      <c r="N478" s="265">
        <f>VALUE(ResultsInd[[#This Row],[Score-A]])</f>
        <v>0</v>
      </c>
      <c r="O478" s="265">
        <f>VALUE(ResultsInd[[#This Row],[Score-B]])</f>
        <v>7</v>
      </c>
      <c r="P478" s="265">
        <f ca="1">IF(AND(ResultsInd[[#This Row],[Category]]&lt;&gt;"",ResultsInd[[#This Row],[Player A]]&lt;&gt;""),COUNTIF(INDIRECT(ResultsInd[[#This Row],[Category]]&amp;"List[Retained Player Name]"),ResultsInd[[#This Row],[Player A]]),"")</f>
        <v>1</v>
      </c>
      <c r="Q478" s="265">
        <f ca="1">IF(AND(ResultsInd[[#This Row],[Category]]&lt;&gt;"",ResultsInd[[#This Row],[Player B]]&lt;&gt;""),COUNTIF(INDIRECT(ResultsInd[[#This Row],[Category]]&amp;"List[Retained Player Name]"),ResultsInd[[#This Row],[Player B]]),"")</f>
        <v>1</v>
      </c>
      <c r="R4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U16-Benjamin Marain</v>
      </c>
      <c r="S478" s="265" t="str">
        <f>IF(ResultsInd[[#This Row],[Score_OK]],IF(ResultsInd[[#This Row],[Stage]]="Groups",ResultsInd[[#This Row],[Category]]&amp;"-"&amp;IF(ResultsInd[[#This Row],[Player B]]="","",IF(ResultsInd[[#This Row],[Score-A]]=ResultsInd[[#This Row],[Score-B]],ResultsInd[[#This Row],[Player A]],"")),""),"")</f>
        <v>U16-</v>
      </c>
      <c r="T478" s="265" t="str">
        <f>IF(ResultsInd[[#This Row],[Score_OK]],IF(ResultsInd[[#This Row],[Stage]]="Groups",ResultsInd[[#This Row],[Category]]&amp;"-"&amp;IF(ResultsInd[[#This Row],[Player B]]="","",IF(ResultsInd[[#This Row],[Score-A]]=ResultsInd[[#This Row],[Score-B]],ResultsInd[[#This Row],[Player B]],"")),""),"")</f>
        <v>U16-</v>
      </c>
      <c r="U4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U16-Nathanaël Dhyne</v>
      </c>
      <c r="V4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X4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Y478" s="264" t="str">
        <f>IF(ResultsInd[[#This Row],[Category]]="","",VLOOKUP(ResultsInd[[#This Row],[Stage]],$P$1:$V$9,MATCH(ResultsInd[[#This Row],[Category]],$Q$1:$V$1,0)+1,FALSE))</f>
        <v>PR1</v>
      </c>
      <c r="Z478" s="264" t="str">
        <f>IF(ResultsInd[[#This Row],[Score_OK]],IF(ResultsInd[[#This Row],[Level]]="R",ResultsInd[[#This Row],[Category]]&amp;"-"&amp;IF(ResultsInd[[#This Row],[LoseInKO]]=ResultsInd[[#This Row],[Category]]&amp;"-"&amp;ResultsInd[[#This Row],[Player A]],ResultsInd[[#This Row],[Player B]],ResultsInd[[#This Row],[Player A]]),""),"")</f>
        <v/>
      </c>
      <c r="AB478" s="8"/>
      <c r="AC478" s="12" t="str">
        <f t="shared" si="415"/>
        <v>U16</v>
      </c>
      <c r="AD478" s="309" t="s">
        <v>8201</v>
      </c>
      <c r="AE478" s="310"/>
      <c r="AF478" s="311"/>
      <c r="AG478" s="292">
        <f>IF(AP478="","",SMALL(AH473:AH479,ROWS(AG473:AG478)))</f>
        <v>6006</v>
      </c>
      <c r="AH478" s="293">
        <f>IF(AP478="","",RANK(AL478,AL473:AL479)*1000+ROWS(AH473:AH478))</f>
        <v>6006</v>
      </c>
      <c r="AI478" s="316">
        <f t="shared" si="409"/>
        <v>0</v>
      </c>
      <c r="AJ478" s="415" t="b">
        <f>AND(AO478&lt;&gt;"",AO478&gt;0,COUNTIF(AI473:AI479,AI478)&gt;1)</f>
        <v>0</v>
      </c>
      <c r="AK478" s="316">
        <f t="shared" si="410"/>
        <v>0</v>
      </c>
      <c r="AL478" s="317">
        <f t="shared" si="411"/>
        <v>-139900</v>
      </c>
      <c r="AM478" s="415" t="b">
        <f>AND(AO478&lt;&gt;"",AO478&gt;0,COUNTIF(AL473:AL479,AL478)&gt;1)</f>
        <v>0</v>
      </c>
      <c r="AN478" s="306">
        <f t="shared" si="412"/>
        <v>0</v>
      </c>
      <c r="AO478" s="307">
        <f t="shared" si="413"/>
        <v>5</v>
      </c>
      <c r="AP478" s="307">
        <f>IF(OR(AC472="",AD478=""),"",COUNTIF(ResultsInd[Win],AC472&amp;"-"&amp;AD478))</f>
        <v>0</v>
      </c>
      <c r="AQ478" s="307">
        <f>IF(OR(AC472="",AD478=""),"",COUNTIF(ResultsInd[Draw1],AC472&amp;"-"&amp;AD478)+COUNTIF(ResultsInd[Draw2],AC472&amp;"-"&amp;AD478))</f>
        <v>0</v>
      </c>
      <c r="AR478" s="307">
        <f>IF(OR(AC472="",AD478=""),"",COUNTIF(ResultsInd[Lose],AC472&amp;"-"&amp;AD478))</f>
        <v>5</v>
      </c>
      <c r="AS478" s="307">
        <f>IF(OR(AC472="",AD478=""),"",SUMIFS(ResultsInd[Goal-A],ResultsInd[Category],AC472,ResultsInd[Stage],"Groups",ResultsInd[Player A],AD478)+SUMIFS(ResultsInd[Goal-B],ResultsInd[Category],AC472,ResultsInd[Stage],"Groups",ResultsInd[Player B],AD478))</f>
        <v>1</v>
      </c>
      <c r="AT478" s="307">
        <f>IF(OR(AC472="",AD478=""),"",SUMIFS(ResultsInd[Goal-B],ResultsInd[Category],AC472,ResultsInd[Stage],"Groups",ResultsInd[Player A],AD478)+SUMIFS(ResultsInd[Goal-A],ResultsInd[Category],AC472,ResultsInd[Stage],"Groups",ResultsInd[Player B],AD478))</f>
        <v>15</v>
      </c>
      <c r="AU478" s="308">
        <f t="shared" si="416"/>
        <v>-14</v>
      </c>
      <c r="AV478" s="469" t="b">
        <f>IF(AG478="","",OR(VLOOKUP(AG478,AH473:AU479,3,FALSE),VLOOKUP(AG478,AH473:AU479,6,FALSE)))</f>
        <v>0</v>
      </c>
      <c r="AW478" s="298">
        <f t="shared" si="414"/>
        <v>6</v>
      </c>
      <c r="AX478" s="285" t="str">
        <f>IF(AG478="","",INDEX(AD473:AD479,MATCH(AG478,AH473:AH479,0)))</f>
        <v>Kostandinos Tsangouris</v>
      </c>
      <c r="AY478" s="286">
        <f>IF(AG478="","",VLOOKUP(AG478,AH473:AU479,COLUMN()-COLUMN(AR472),FALSE))</f>
        <v>0</v>
      </c>
      <c r="AZ478" s="286">
        <f>IF(AG478="","",VLOOKUP(AG478,AH473:AU479,COLUMN()-COLUMN(AR472),FALSE))</f>
        <v>5</v>
      </c>
      <c r="BA478" s="286">
        <f>IF(AG478="","",VLOOKUP(AG478,AH473:AU479,COLUMN()-COLUMN(AR472),FALSE))</f>
        <v>0</v>
      </c>
      <c r="BB478" s="286">
        <f>IF(AG478="","",VLOOKUP(AG478,AH473:AU479,COLUMN()-COLUMN(AR472),FALSE))</f>
        <v>0</v>
      </c>
      <c r="BC478" s="286">
        <f>IF(AG478="","",VLOOKUP(AG478,AH473:AU479,COLUMN()-COLUMN(AR472),FALSE))</f>
        <v>5</v>
      </c>
      <c r="BD478" s="286">
        <f>IF(AG478="","",VLOOKUP(AG478,AH473:AU479,COLUMN()-COLUMN(AR472),FALSE))</f>
        <v>1</v>
      </c>
      <c r="BE478" s="286">
        <f>IF(AG478="","",VLOOKUP(AG478,AH473:AU479,COLUMN()-COLUMN(AR472),FALSE))</f>
        <v>15</v>
      </c>
      <c r="BF478" s="301">
        <f>IF(AG478="","",VLOOKUP(AG478,AH473:AU479,COLUMN()-COLUMN(AR472),FALSE))</f>
        <v>-14</v>
      </c>
    </row>
    <row r="479" spans="1:58" ht="12" thickBot="1" x14ac:dyDescent="0.25">
      <c r="A479" s="62" t="s">
        <v>1023</v>
      </c>
      <c r="B479" s="62" t="s">
        <v>12207</v>
      </c>
      <c r="C479" s="62">
        <v>2</v>
      </c>
      <c r="D479" s="62"/>
      <c r="E479" s="345" t="s">
        <v>8721</v>
      </c>
      <c r="F479" s="345" t="s">
        <v>8201</v>
      </c>
      <c r="G479" s="113">
        <v>3</v>
      </c>
      <c r="H479" s="113">
        <v>0</v>
      </c>
      <c r="I479" s="114"/>
      <c r="J479" s="114"/>
      <c r="K479" s="114"/>
      <c r="L479" s="81"/>
      <c r="M479" s="265" t="b">
        <f>NOT(ISERROR(ResultsInd[[#This Row],[Goal-A]]+ResultsInd[[#This Row],[Goal-B]]))</f>
        <v>1</v>
      </c>
      <c r="N479" s="265">
        <f>VALUE(ResultsInd[[#This Row],[Score-A]])</f>
        <v>3</v>
      </c>
      <c r="O479" s="265">
        <f>VALUE(ResultsInd[[#This Row],[Score-B]])</f>
        <v>0</v>
      </c>
      <c r="P479" s="265">
        <f ca="1">IF(AND(ResultsInd[[#This Row],[Category]]&lt;&gt;"",ResultsInd[[#This Row],[Player A]]&lt;&gt;""),COUNTIF(INDIRECT(ResultsInd[[#This Row],[Category]]&amp;"List[Retained Player Name]"),ResultsInd[[#This Row],[Player A]]),"")</f>
        <v>1</v>
      </c>
      <c r="Q479" s="265">
        <f ca="1">IF(AND(ResultsInd[[#This Row],[Category]]&lt;&gt;"",ResultsInd[[#This Row],[Player B]]&lt;&gt;""),COUNTIF(INDIRECT(ResultsInd[[#This Row],[Category]]&amp;"List[Retained Player Name]"),ResultsInd[[#This Row],[Player B]]),"")</f>
        <v>1</v>
      </c>
      <c r="R4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U16-Rafaël Midoux</v>
      </c>
      <c r="S479" s="265" t="str">
        <f>IF(ResultsInd[[#This Row],[Score_OK]],IF(ResultsInd[[#This Row],[Stage]]="Groups",ResultsInd[[#This Row],[Category]]&amp;"-"&amp;IF(ResultsInd[[#This Row],[Player B]]="","",IF(ResultsInd[[#This Row],[Score-A]]=ResultsInd[[#This Row],[Score-B]],ResultsInd[[#This Row],[Player A]],"")),""),"")</f>
        <v>U16-</v>
      </c>
      <c r="T479" s="265" t="str">
        <f>IF(ResultsInd[[#This Row],[Score_OK]],IF(ResultsInd[[#This Row],[Stage]]="Groups",ResultsInd[[#This Row],[Category]]&amp;"-"&amp;IF(ResultsInd[[#This Row],[Player B]]="","",IF(ResultsInd[[#This Row],[Score-A]]=ResultsInd[[#This Row],[Score-B]],ResultsInd[[#This Row],[Player B]],"")),""),"")</f>
        <v>U16-</v>
      </c>
      <c r="U4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U16-Kostandinos Tsangouris</v>
      </c>
      <c r="V4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X4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Y479" s="264" t="str">
        <f>IF(ResultsInd[[#This Row],[Category]]="","",VLOOKUP(ResultsInd[[#This Row],[Stage]],$P$1:$V$9,MATCH(ResultsInd[[#This Row],[Category]],$Q$1:$V$1,0)+1,FALSE))</f>
        <v>PR1</v>
      </c>
      <c r="Z479" s="264" t="str">
        <f>IF(ResultsInd[[#This Row],[Score_OK]],IF(ResultsInd[[#This Row],[Level]]="R",ResultsInd[[#This Row],[Category]]&amp;"-"&amp;IF(ResultsInd[[#This Row],[LoseInKO]]=ResultsInd[[#This Row],[Category]]&amp;"-"&amp;ResultsInd[[#This Row],[Player A]],ResultsInd[[#This Row],[Player B]],ResultsInd[[#This Row],[Player A]]),""),"")</f>
        <v/>
      </c>
      <c r="AB479" s="8"/>
      <c r="AC479" s="12" t="str">
        <f t="shared" si="415"/>
        <v>U16</v>
      </c>
      <c r="AD479" s="312"/>
      <c r="AE479" s="313"/>
      <c r="AF479" s="314"/>
      <c r="AG479" s="294" t="str">
        <f>IF(AP479="","",SMALL(AH473:AH479,ROWS(AG473:AG479)))</f>
        <v/>
      </c>
      <c r="AH479" s="295" t="str">
        <f>IF(AP479="","",RANK(AL479,AL473:AL479)*1000+ROWS(AH473:AH479))</f>
        <v/>
      </c>
      <c r="AI479" s="318" t="str">
        <f t="shared" si="409"/>
        <v/>
      </c>
      <c r="AJ479" s="416" t="b">
        <f>AND(AO479&lt;&gt;"",AO479&gt;0,COUNTIF(AI473:AI479,AI479)&gt;1)</f>
        <v>0</v>
      </c>
      <c r="AK479" s="318" t="str">
        <f t="shared" si="410"/>
        <v/>
      </c>
      <c r="AL479" s="319" t="str">
        <f t="shared" si="411"/>
        <v/>
      </c>
      <c r="AM479" s="416" t="b">
        <f>AND(AO479&lt;&gt;"",AO479&gt;0,COUNTIF(AL473:AL479,AL479)&gt;1)</f>
        <v>0</v>
      </c>
      <c r="AN479" s="306" t="str">
        <f t="shared" si="412"/>
        <v/>
      </c>
      <c r="AO479" s="307" t="str">
        <f t="shared" si="413"/>
        <v/>
      </c>
      <c r="AP479" s="307" t="str">
        <f>IF(OR(AC472="",AD479=""),"",COUNTIF(ResultsInd[Win],AC472&amp;"-"&amp;AD479))</f>
        <v/>
      </c>
      <c r="AQ479" s="307" t="str">
        <f>IF(OR(AC472="",AD479=""),"",COUNTIF(ResultsInd[Draw1],AC472&amp;"-"&amp;AD479)+COUNTIF(ResultsInd[Draw2],AC472&amp;"-"&amp;AD479))</f>
        <v/>
      </c>
      <c r="AR479" s="307" t="str">
        <f>IF(OR(AC472="",AD479=""),"",COUNTIF(ResultsInd[Lose],AC472&amp;"-"&amp;AD479))</f>
        <v/>
      </c>
      <c r="AS479" s="307" t="str">
        <f>IF(OR(AC472="",AD479=""),"",SUMIFS(ResultsInd[Goal-A],ResultsInd[Category],AC472,ResultsInd[Stage],"Groups",ResultsInd[Player A],AD479)+SUMIFS(ResultsInd[Goal-B],ResultsInd[Category],AC472,ResultsInd[Stage],"Groups",ResultsInd[Player B],AD479))</f>
        <v/>
      </c>
      <c r="AT479" s="307" t="str">
        <f>IF(OR(AC472="",AD479=""),"",SUMIFS(ResultsInd[Goal-B],ResultsInd[Category],AC472,ResultsInd[Stage],"Groups",ResultsInd[Player A],AD479)+SUMIFS(ResultsInd[Goal-A],ResultsInd[Category],AC472,ResultsInd[Stage],"Groups",ResultsInd[Player B],AD479))</f>
        <v/>
      </c>
      <c r="AU479" s="308" t="str">
        <f t="shared" si="416"/>
        <v/>
      </c>
      <c r="AV479" s="469" t="str">
        <f>IF(AG479="","",OR(VLOOKUP(AG479,AH473:AU479,3,FALSE),VLOOKUP(AG479,AH473:AU479,6,FALSE)))</f>
        <v/>
      </c>
      <c r="AW479" s="299" t="str">
        <f t="shared" si="414"/>
        <v/>
      </c>
      <c r="AX479" s="287" t="str">
        <f>IF(AG479="","",INDEX(AD473:AD479,MATCH(AG479,AH473:AH479,0)))</f>
        <v/>
      </c>
      <c r="AY479" s="288" t="str">
        <f>IF(AG479="","",VLOOKUP(AG479,AH473:AU479,COLUMN()-COLUMN(AR472),FALSE))</f>
        <v/>
      </c>
      <c r="AZ479" s="288" t="str">
        <f>IF(AG479="","",VLOOKUP(AG479,AH473:AU479,COLUMN()-COLUMN(AR472),FALSE))</f>
        <v/>
      </c>
      <c r="BA479" s="288" t="str">
        <f>IF(AG479="","",VLOOKUP(AG479,AH473:AU479,COLUMN()-COLUMN(AR472),FALSE))</f>
        <v/>
      </c>
      <c r="BB479" s="288" t="str">
        <f>IF(AG479="","",VLOOKUP(AG479,AH473:AU479,COLUMN()-COLUMN(AR472),FALSE))</f>
        <v/>
      </c>
      <c r="BC479" s="288" t="str">
        <f>IF(AG479="","",VLOOKUP(AG479,AH473:AU479,COLUMN()-COLUMN(AR472),FALSE))</f>
        <v/>
      </c>
      <c r="BD479" s="288" t="str">
        <f>IF(AG479="","",VLOOKUP(AG479,AH473:AU479,COLUMN()-COLUMN(AR472),FALSE))</f>
        <v/>
      </c>
      <c r="BE479" s="288" t="str">
        <f>IF(AG479="","",VLOOKUP(AG479,AH473:AU479,COLUMN()-COLUMN(AR472),FALSE))</f>
        <v/>
      </c>
      <c r="BF479" s="302" t="str">
        <f>IF(AG479="","",VLOOKUP(AG479,AH473:AU479,COLUMN()-COLUMN(AR472),FALSE))</f>
        <v/>
      </c>
    </row>
    <row r="480" spans="1:58" ht="13.5" thickBot="1" x14ac:dyDescent="0.25">
      <c r="A480" s="62" t="s">
        <v>1023</v>
      </c>
      <c r="B480" s="62" t="s">
        <v>12207</v>
      </c>
      <c r="C480" s="62">
        <v>2</v>
      </c>
      <c r="D480" s="62"/>
      <c r="E480" s="345" t="s">
        <v>8589</v>
      </c>
      <c r="F480" s="345" t="s">
        <v>8193</v>
      </c>
      <c r="G480" s="113">
        <v>2</v>
      </c>
      <c r="H480" s="113">
        <v>1</v>
      </c>
      <c r="I480" s="114"/>
      <c r="J480" s="114"/>
      <c r="K480" s="114"/>
      <c r="L480" s="81"/>
      <c r="M480" s="265" t="b">
        <f>NOT(ISERROR(ResultsInd[[#This Row],[Goal-A]]+ResultsInd[[#This Row],[Goal-B]]))</f>
        <v>1</v>
      </c>
      <c r="N480" s="265">
        <f>VALUE(ResultsInd[[#This Row],[Score-A]])</f>
        <v>2</v>
      </c>
      <c r="O480" s="265">
        <f>VALUE(ResultsInd[[#This Row],[Score-B]])</f>
        <v>1</v>
      </c>
      <c r="P480" s="265">
        <f ca="1">IF(AND(ResultsInd[[#This Row],[Category]]&lt;&gt;"",ResultsInd[[#This Row],[Player A]]&lt;&gt;""),COUNTIF(INDIRECT(ResultsInd[[#This Row],[Category]]&amp;"List[Retained Player Name]"),ResultsInd[[#This Row],[Player A]]),"")</f>
        <v>1</v>
      </c>
      <c r="Q480" s="265">
        <f ca="1">IF(AND(ResultsInd[[#This Row],[Category]]&lt;&gt;"",ResultsInd[[#This Row],[Player B]]&lt;&gt;""),COUNTIF(INDIRECT(ResultsInd[[#This Row],[Category]]&amp;"List[Retained Player Name]"),ResultsInd[[#This Row],[Player B]]),"")</f>
        <v>1</v>
      </c>
      <c r="R4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U16-Ruby Matthews</v>
      </c>
      <c r="S480" s="265" t="str">
        <f>IF(ResultsInd[[#This Row],[Score_OK]],IF(ResultsInd[[#This Row],[Stage]]="Groups",ResultsInd[[#This Row],[Category]]&amp;"-"&amp;IF(ResultsInd[[#This Row],[Player B]]="","",IF(ResultsInd[[#This Row],[Score-A]]=ResultsInd[[#This Row],[Score-B]],ResultsInd[[#This Row],[Player A]],"")),""),"")</f>
        <v>U16-</v>
      </c>
      <c r="T480" s="265" t="str">
        <f>IF(ResultsInd[[#This Row],[Score_OK]],IF(ResultsInd[[#This Row],[Stage]]="Groups",ResultsInd[[#This Row],[Category]]&amp;"-"&amp;IF(ResultsInd[[#This Row],[Player B]]="","",IF(ResultsInd[[#This Row],[Score-A]]=ResultsInd[[#This Row],[Score-B]],ResultsInd[[#This Row],[Player B]],"")),""),"")</f>
        <v>U16-</v>
      </c>
      <c r="U4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U16-Noah Dirick</v>
      </c>
      <c r="V4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U16-Noah Dirick</v>
      </c>
      <c r="X4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U16-Noah Dirick</v>
      </c>
      <c r="Y480" s="264" t="str">
        <f>IF(ResultsInd[[#This Row],[Category]]="","",VLOOKUP(ResultsInd[[#This Row],[Stage]],$P$1:$V$9,MATCH(ResultsInd[[#This Row],[Category]],$Q$1:$V$1,0)+1,FALSE))</f>
        <v>PR1</v>
      </c>
      <c r="Z480" s="264" t="str">
        <f>IF(ResultsInd[[#This Row],[Score_OK]],IF(ResultsInd[[#This Row],[Level]]="R",ResultsInd[[#This Row],[Category]]&amp;"-"&amp;IF(ResultsInd[[#This Row],[LoseInKO]]=ResultsInd[[#This Row],[Category]]&amp;"-"&amp;ResultsInd[[#This Row],[Player A]],ResultsInd[[#This Row],[Player B]],ResultsInd[[#This Row],[Player A]]),""),"")</f>
        <v/>
      </c>
      <c r="AB480" s="8"/>
      <c r="AC480" s="8"/>
      <c r="AF480" s="170"/>
      <c r="AG480" s="101"/>
      <c r="AH480" s="101"/>
      <c r="AN480" s="170"/>
      <c r="AO480" s="170"/>
      <c r="AP480" s="170"/>
      <c r="AQ480" s="172"/>
      <c r="AR480" s="173"/>
      <c r="AS480" s="173"/>
      <c r="AT480" s="173"/>
      <c r="AU480" s="101"/>
      <c r="AV480" s="101"/>
      <c r="AW480" s="101"/>
      <c r="AX480" s="101"/>
      <c r="AY480" s="101"/>
      <c r="AZ480" s="101"/>
    </row>
    <row r="481" spans="1:58" ht="12" thickBot="1" x14ac:dyDescent="0.25">
      <c r="A481" s="62" t="s">
        <v>1023</v>
      </c>
      <c r="B481" s="62" t="s">
        <v>12207</v>
      </c>
      <c r="C481" s="62">
        <v>2</v>
      </c>
      <c r="D481" s="62"/>
      <c r="E481" s="345" t="s">
        <v>8201</v>
      </c>
      <c r="F481" s="345" t="s">
        <v>14477</v>
      </c>
      <c r="G481" s="113">
        <v>1</v>
      </c>
      <c r="H481" s="113">
        <v>2</v>
      </c>
      <c r="I481" s="114"/>
      <c r="J481" s="114"/>
      <c r="K481" s="114"/>
      <c r="L481" s="81"/>
      <c r="M481" s="265" t="b">
        <f>NOT(ISERROR(ResultsInd[[#This Row],[Goal-A]]+ResultsInd[[#This Row],[Goal-B]]))</f>
        <v>1</v>
      </c>
      <c r="N481" s="265">
        <f>VALUE(ResultsInd[[#This Row],[Score-A]])</f>
        <v>1</v>
      </c>
      <c r="O481" s="265">
        <f>VALUE(ResultsInd[[#This Row],[Score-B]])</f>
        <v>2</v>
      </c>
      <c r="P481" s="265">
        <f ca="1">IF(AND(ResultsInd[[#This Row],[Category]]&lt;&gt;"",ResultsInd[[#This Row],[Player A]]&lt;&gt;""),COUNTIF(INDIRECT(ResultsInd[[#This Row],[Category]]&amp;"List[Retained Player Name]"),ResultsInd[[#This Row],[Player A]]),"")</f>
        <v>1</v>
      </c>
      <c r="Q481" s="265">
        <f ca="1">IF(AND(ResultsInd[[#This Row],[Category]]&lt;&gt;"",ResultsInd[[#This Row],[Player B]]&lt;&gt;""),COUNTIF(INDIRECT(ResultsInd[[#This Row],[Category]]&amp;"List[Retained Player Name]"),ResultsInd[[#This Row],[Player B]]),"")</f>
        <v>1</v>
      </c>
      <c r="R4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U16-Nathanaël Dhyne</v>
      </c>
      <c r="S481" s="265" t="str">
        <f>IF(ResultsInd[[#This Row],[Score_OK]],IF(ResultsInd[[#This Row],[Stage]]="Groups",ResultsInd[[#This Row],[Category]]&amp;"-"&amp;IF(ResultsInd[[#This Row],[Player B]]="","",IF(ResultsInd[[#This Row],[Score-A]]=ResultsInd[[#This Row],[Score-B]],ResultsInd[[#This Row],[Player A]],"")),""),"")</f>
        <v>U16-</v>
      </c>
      <c r="T481" s="265" t="str">
        <f>IF(ResultsInd[[#This Row],[Score_OK]],IF(ResultsInd[[#This Row],[Stage]]="Groups",ResultsInd[[#This Row],[Category]]&amp;"-"&amp;IF(ResultsInd[[#This Row],[Player B]]="","",IF(ResultsInd[[#This Row],[Score-A]]=ResultsInd[[#This Row],[Score-B]],ResultsInd[[#This Row],[Player B]],"")),""),"")</f>
        <v>U16-</v>
      </c>
      <c r="U4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U16-Kostandinos Tsangouris</v>
      </c>
      <c r="V4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X4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Y481" s="264" t="str">
        <f>IF(ResultsInd[[#This Row],[Category]]="","",VLOOKUP(ResultsInd[[#This Row],[Stage]],$P$1:$V$9,MATCH(ResultsInd[[#This Row],[Category]],$Q$1:$V$1,0)+1,FALSE))</f>
        <v>PR1</v>
      </c>
      <c r="Z481" s="264" t="str">
        <f>IF(ResultsInd[[#This Row],[Score_OK]],IF(ResultsInd[[#This Row],[Level]]="R",ResultsInd[[#This Row],[Category]]&amp;"-"&amp;IF(ResultsInd[[#This Row],[LoseInKO]]=ResultsInd[[#This Row],[Category]]&amp;"-"&amp;ResultsInd[[#This Row],[Player A]],ResultsInd[[#This Row],[Player B]],ResultsInd[[#This Row],[Player A]]),""),"")</f>
        <v/>
      </c>
      <c r="AB481" s="281">
        <v>1</v>
      </c>
      <c r="AC481" s="315" t="s">
        <v>1177</v>
      </c>
      <c r="AD481" s="289" t="s">
        <v>14439</v>
      </c>
      <c r="AE481" s="290" t="s">
        <v>12279</v>
      </c>
      <c r="AF481" s="284" t="s">
        <v>12275</v>
      </c>
      <c r="AG481" s="296" t="s">
        <v>12276</v>
      </c>
      <c r="AH481" s="291" t="s">
        <v>12271</v>
      </c>
      <c r="AI481" s="291" t="s">
        <v>12272</v>
      </c>
      <c r="AJ481" s="414" t="s">
        <v>13154</v>
      </c>
      <c r="AK481" s="291" t="s">
        <v>12273</v>
      </c>
      <c r="AL481" s="297" t="s">
        <v>12274</v>
      </c>
      <c r="AM481" s="414" t="s">
        <v>13154</v>
      </c>
      <c r="AN481" s="303" t="s">
        <v>12199</v>
      </c>
      <c r="AO481" s="304" t="s">
        <v>12200</v>
      </c>
      <c r="AP481" s="304" t="s">
        <v>12201</v>
      </c>
      <c r="AQ481" s="304" t="s">
        <v>12202</v>
      </c>
      <c r="AR481" s="304" t="s">
        <v>12203</v>
      </c>
      <c r="AS481" s="304" t="s">
        <v>12204</v>
      </c>
      <c r="AT481" s="304" t="s">
        <v>12205</v>
      </c>
      <c r="AU481" s="305" t="s">
        <v>12206</v>
      </c>
      <c r="AV481" s="468"/>
      <c r="AW481" s="282" t="s">
        <v>12276</v>
      </c>
      <c r="AX481" s="282" t="s">
        <v>12280</v>
      </c>
      <c r="AY481" s="283" t="s">
        <v>12199</v>
      </c>
      <c r="AZ481" s="283" t="s">
        <v>12200</v>
      </c>
      <c r="BA481" s="283" t="s">
        <v>12201</v>
      </c>
      <c r="BB481" s="283" t="s">
        <v>12202</v>
      </c>
      <c r="BC481" s="283" t="s">
        <v>12203</v>
      </c>
      <c r="BD481" s="283" t="s">
        <v>12204</v>
      </c>
      <c r="BE481" s="283" t="s">
        <v>12205</v>
      </c>
      <c r="BF481" s="300" t="s">
        <v>12206</v>
      </c>
    </row>
    <row r="482" spans="1:58" ht="12" thickBot="1" x14ac:dyDescent="0.25">
      <c r="A482" s="62" t="s">
        <v>1023</v>
      </c>
      <c r="B482" s="62" t="s">
        <v>12207</v>
      </c>
      <c r="C482" s="62">
        <v>2</v>
      </c>
      <c r="D482" s="62"/>
      <c r="E482" s="345" t="s">
        <v>8193</v>
      </c>
      <c r="F482" s="345" t="s">
        <v>8721</v>
      </c>
      <c r="G482" s="113">
        <v>1</v>
      </c>
      <c r="H482" s="113">
        <v>0</v>
      </c>
      <c r="I482" s="114"/>
      <c r="J482" s="114"/>
      <c r="K482" s="114"/>
      <c r="L482" s="81"/>
      <c r="M482" s="265" t="b">
        <f>NOT(ISERROR(ResultsInd[[#This Row],[Goal-A]]+ResultsInd[[#This Row],[Goal-B]]))</f>
        <v>1</v>
      </c>
      <c r="N482" s="265">
        <f>VALUE(ResultsInd[[#This Row],[Score-A]])</f>
        <v>1</v>
      </c>
      <c r="O482" s="265">
        <f>VALUE(ResultsInd[[#This Row],[Score-B]])</f>
        <v>0</v>
      </c>
      <c r="P482" s="265">
        <f ca="1">IF(AND(ResultsInd[[#This Row],[Category]]&lt;&gt;"",ResultsInd[[#This Row],[Player A]]&lt;&gt;""),COUNTIF(INDIRECT(ResultsInd[[#This Row],[Category]]&amp;"List[Retained Player Name]"),ResultsInd[[#This Row],[Player A]]),"")</f>
        <v>1</v>
      </c>
      <c r="Q482" s="265">
        <f ca="1">IF(AND(ResultsInd[[#This Row],[Category]]&lt;&gt;"",ResultsInd[[#This Row],[Player B]]&lt;&gt;""),COUNTIF(INDIRECT(ResultsInd[[#This Row],[Category]]&amp;"List[Retained Player Name]"),ResultsInd[[#This Row],[Player B]]),"")</f>
        <v>1</v>
      </c>
      <c r="R4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U16-Noah Dirick</v>
      </c>
      <c r="S482" s="265" t="str">
        <f>IF(ResultsInd[[#This Row],[Score_OK]],IF(ResultsInd[[#This Row],[Stage]]="Groups",ResultsInd[[#This Row],[Category]]&amp;"-"&amp;IF(ResultsInd[[#This Row],[Player B]]="","",IF(ResultsInd[[#This Row],[Score-A]]=ResultsInd[[#This Row],[Score-B]],ResultsInd[[#This Row],[Player A]],"")),""),"")</f>
        <v>U16-</v>
      </c>
      <c r="T482" s="265" t="str">
        <f>IF(ResultsInd[[#This Row],[Score_OK]],IF(ResultsInd[[#This Row],[Stage]]="Groups",ResultsInd[[#This Row],[Category]]&amp;"-"&amp;IF(ResultsInd[[#This Row],[Player B]]="","",IF(ResultsInd[[#This Row],[Score-A]]=ResultsInd[[#This Row],[Score-B]],ResultsInd[[#This Row],[Player B]],"")),""),"")</f>
        <v>U16-</v>
      </c>
      <c r="U4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U16-Rafaël Midoux</v>
      </c>
      <c r="V4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U16-Rafaël Midoux</v>
      </c>
      <c r="X4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U16-Rafaël Midoux</v>
      </c>
      <c r="Y482" s="264" t="str">
        <f>IF(ResultsInd[[#This Row],[Category]]="","",VLOOKUP(ResultsInd[[#This Row],[Stage]],$P$1:$V$9,MATCH(ResultsInd[[#This Row],[Category]],$Q$1:$V$1,0)+1,FALSE))</f>
        <v>PR1</v>
      </c>
      <c r="Z482" s="264" t="str">
        <f>IF(ResultsInd[[#This Row],[Score_OK]],IF(ResultsInd[[#This Row],[Level]]="R",ResultsInd[[#This Row],[Category]]&amp;"-"&amp;IF(ResultsInd[[#This Row],[LoseInKO]]=ResultsInd[[#This Row],[Category]]&amp;"-"&amp;ResultsInd[[#This Row],[Player A]],ResultsInd[[#This Row],[Player B]],ResultsInd[[#This Row],[Player A]]),""),"")</f>
        <v/>
      </c>
      <c r="AB482" s="8"/>
      <c r="AC482" s="12" t="str">
        <f>IF(AC481="","",AC481)</f>
        <v>U12</v>
      </c>
      <c r="AD482" s="309" t="s">
        <v>11636</v>
      </c>
      <c r="AE482" s="320"/>
      <c r="AF482" s="311"/>
      <c r="AG482" s="292">
        <f>IF(AP482="","",SMALL(AH482:AH488,ROWS(AG482:AG482)))</f>
        <v>1001</v>
      </c>
      <c r="AH482" s="293">
        <f>IF(AP482="","",RANK(AL482,AL482:AL488)*1000+ROWS(AH482:AH482))</f>
        <v>1001</v>
      </c>
      <c r="AI482" s="316">
        <f t="shared" ref="AI482:AI488" si="417">IF(AP482="","",CritClassInd1_Points*AN482+CritClassInd1_Matches*AP482+CritClassInd1_Attaque*AS482+CritClassInd1_DiffButs*AU482)</f>
        <v>9000000000000</v>
      </c>
      <c r="AJ482" s="415" t="b">
        <f>AND(AO482&lt;&gt;"",AO482&gt;0,COUNTIF(AI482:AI488,AI482)&gt;1)</f>
        <v>0</v>
      </c>
      <c r="AK482" s="316">
        <f t="shared" ref="AK482:AK488" si="418">IF(AP482="","",CritClassInd_ScorePart*AE482)</f>
        <v>0</v>
      </c>
      <c r="AL482" s="317">
        <f t="shared" ref="AL482:AL488" si="419">IF(AP482="","",AI482+AK482+CritClassInd2_Points*AN482+CritClassInd2_Matches*AP482+CritClassInd2_Attaque*AS482+CritClassInd2_DiffButs*AU482+AF482)</f>
        <v>9000000141500</v>
      </c>
      <c r="AM482" s="415" t="b">
        <f>AND(AO482&lt;&gt;"",AO482&gt;0,COUNTIF(AL482:AL488,AL482)&gt;1)</f>
        <v>0</v>
      </c>
      <c r="AN482" s="306">
        <f t="shared" ref="AN482:AN488" si="420">IF(AP482="","",(AP482*Points_Victoire)+AQ482*Points_Null)</f>
        <v>9</v>
      </c>
      <c r="AO482" s="307">
        <f t="shared" ref="AO482:AO488" si="421">IF(AP482="","",SUM(AP482:AR482))</f>
        <v>3</v>
      </c>
      <c r="AP482" s="307">
        <f>IF(OR(AC481="",AD482=""),"",COUNTIF(ResultsInd[Win],AC481&amp;"-"&amp;AD482))</f>
        <v>3</v>
      </c>
      <c r="AQ482" s="307">
        <f>IF(OR(AC481="",AD482=""),"",COUNTIF(ResultsInd[Draw1],AC481&amp;"-"&amp;AD482)+COUNTIF(ResultsInd[Draw2],AC481&amp;"-"&amp;AD482))</f>
        <v>0</v>
      </c>
      <c r="AR482" s="307">
        <f>IF(OR(AC481="",AD482=""),"",COUNTIF(ResultsInd[Lose],AC481&amp;"-"&amp;AD482))</f>
        <v>0</v>
      </c>
      <c r="AS482" s="307">
        <f>IF(OR(AC481="",AD482=""),"",SUMIFS(ResultsInd[Goal-A],ResultsInd[Category],AC481,ResultsInd[Stage],"Groups",ResultsInd[Player A],AD482)+SUMIFS(ResultsInd[Goal-B],ResultsInd[Category],AC481,ResultsInd[Stage],"Groups",ResultsInd[Player B],AD482))</f>
        <v>15</v>
      </c>
      <c r="AT482" s="307">
        <f>IF(OR(AC481="",AD482=""),"",SUMIFS(ResultsInd[Goal-B],ResultsInd[Category],AC481,ResultsInd[Stage],"Groups",ResultsInd[Player A],AD482)+SUMIFS(ResultsInd[Goal-A],ResultsInd[Category],AC481,ResultsInd[Stage],"Groups",ResultsInd[Player B],AD482))</f>
        <v>1</v>
      </c>
      <c r="AU482" s="308">
        <f>IF(AP482="","",AS482-AT482)</f>
        <v>14</v>
      </c>
      <c r="AV482" s="469" t="b">
        <f>IF(AG482="","",OR(VLOOKUP(AG482,AH482:AU488,3,FALSE),VLOOKUP(AG482,AH482:AU488,6,FALSE)))</f>
        <v>0</v>
      </c>
      <c r="AW482" s="298">
        <f t="shared" ref="AW482:AW488" si="422">IF(AG482="","",INT(AG482/1000))</f>
        <v>1</v>
      </c>
      <c r="AX482" s="285" t="str">
        <f>IF(AG482="","",INDEX(AD482:AD488,MATCH(AG482,AH482:AH488,0)))</f>
        <v>Max Pereira</v>
      </c>
      <c r="AY482" s="286">
        <f>IF(AG482="","",VLOOKUP(AG482,AH482:AU488,COLUMN()-COLUMN(AR481),FALSE))</f>
        <v>9</v>
      </c>
      <c r="AZ482" s="286">
        <f>IF(AG482="","",VLOOKUP(AG482,AH482:AU488,COLUMN()-COLUMN(AR481),FALSE))</f>
        <v>3</v>
      </c>
      <c r="BA482" s="286">
        <f>IF(AG482="","",VLOOKUP(AG482,AH482:AU488,COLUMN()-COLUMN(AR481),FALSE))</f>
        <v>3</v>
      </c>
      <c r="BB482" s="286">
        <f>IF(AG482="","",VLOOKUP(AG482,AH482:AU488,COLUMN()-COLUMN(AR481),FALSE))</f>
        <v>0</v>
      </c>
      <c r="BC482" s="286">
        <f>IF(AG482="","",VLOOKUP(AG482,AH482:AU488,COLUMN()-COLUMN(AR481),FALSE))</f>
        <v>0</v>
      </c>
      <c r="BD482" s="286">
        <f>IF(AG482="","",VLOOKUP(AG482,AH482:AU488,COLUMN()-COLUMN(AR481),FALSE))</f>
        <v>15</v>
      </c>
      <c r="BE482" s="286">
        <f>IF(AG482="","",VLOOKUP(AG482,AH482:AU488,COLUMN()-COLUMN(AR481),FALSE))</f>
        <v>1</v>
      </c>
      <c r="BF482" s="301">
        <f>IF(AG482="","",VLOOKUP(AG482,AH482:AU488,COLUMN()-COLUMN(AR481),FALSE))</f>
        <v>14</v>
      </c>
    </row>
    <row r="483" spans="1:58" ht="12" thickBot="1" x14ac:dyDescent="0.25">
      <c r="A483" s="62" t="s">
        <v>1023</v>
      </c>
      <c r="B483" s="62" t="s">
        <v>12207</v>
      </c>
      <c r="C483" s="62">
        <v>2</v>
      </c>
      <c r="D483" s="62"/>
      <c r="E483" s="345" t="s">
        <v>8161</v>
      </c>
      <c r="F483" s="345" t="s">
        <v>8589</v>
      </c>
      <c r="G483" s="113">
        <v>0</v>
      </c>
      <c r="H483" s="113">
        <v>1</v>
      </c>
      <c r="I483" s="114"/>
      <c r="J483" s="114"/>
      <c r="K483" s="114"/>
      <c r="L483" s="81"/>
      <c r="M483" s="265" t="b">
        <f>NOT(ISERROR(ResultsInd[[#This Row],[Goal-A]]+ResultsInd[[#This Row],[Goal-B]]))</f>
        <v>1</v>
      </c>
      <c r="N483" s="265">
        <f>VALUE(ResultsInd[[#This Row],[Score-A]])</f>
        <v>0</v>
      </c>
      <c r="O483" s="265">
        <f>VALUE(ResultsInd[[#This Row],[Score-B]])</f>
        <v>1</v>
      </c>
      <c r="P483" s="265">
        <f ca="1">IF(AND(ResultsInd[[#This Row],[Category]]&lt;&gt;"",ResultsInd[[#This Row],[Player A]]&lt;&gt;""),COUNTIF(INDIRECT(ResultsInd[[#This Row],[Category]]&amp;"List[Retained Player Name]"),ResultsInd[[#This Row],[Player A]]),"")</f>
        <v>1</v>
      </c>
      <c r="Q483" s="265">
        <f ca="1">IF(AND(ResultsInd[[#This Row],[Category]]&lt;&gt;"",ResultsInd[[#This Row],[Player B]]&lt;&gt;""),COUNTIF(INDIRECT(ResultsInd[[#This Row],[Category]]&amp;"List[Retained Player Name]"),ResultsInd[[#This Row],[Player B]]),"")</f>
        <v>1</v>
      </c>
      <c r="R4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U16-Ruby Matthews</v>
      </c>
      <c r="S483" s="265" t="str">
        <f>IF(ResultsInd[[#This Row],[Score_OK]],IF(ResultsInd[[#This Row],[Stage]]="Groups",ResultsInd[[#This Row],[Category]]&amp;"-"&amp;IF(ResultsInd[[#This Row],[Player B]]="","",IF(ResultsInd[[#This Row],[Score-A]]=ResultsInd[[#This Row],[Score-B]],ResultsInd[[#This Row],[Player A]],"")),""),"")</f>
        <v>U16-</v>
      </c>
      <c r="T483" s="265" t="str">
        <f>IF(ResultsInd[[#This Row],[Score_OK]],IF(ResultsInd[[#This Row],[Stage]]="Groups",ResultsInd[[#This Row],[Category]]&amp;"-"&amp;IF(ResultsInd[[#This Row],[Player B]]="","",IF(ResultsInd[[#This Row],[Score-A]]=ResultsInd[[#This Row],[Score-B]],ResultsInd[[#This Row],[Player B]],"")),""),"")</f>
        <v>U16-</v>
      </c>
      <c r="U4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U16-Benjamin Marain</v>
      </c>
      <c r="V4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U16-Benjamin Marain</v>
      </c>
      <c r="X4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U16-Benjamin Marain</v>
      </c>
      <c r="Y483" s="264" t="str">
        <f>IF(ResultsInd[[#This Row],[Category]]="","",VLOOKUP(ResultsInd[[#This Row],[Stage]],$P$1:$V$9,MATCH(ResultsInd[[#This Row],[Category]],$Q$1:$V$1,0)+1,FALSE))</f>
        <v>PR1</v>
      </c>
      <c r="Z483" s="264" t="str">
        <f>IF(ResultsInd[[#This Row],[Score_OK]],IF(ResultsInd[[#This Row],[Level]]="R",ResultsInd[[#This Row],[Category]]&amp;"-"&amp;IF(ResultsInd[[#This Row],[LoseInKO]]=ResultsInd[[#This Row],[Category]]&amp;"-"&amp;ResultsInd[[#This Row],[Player A]],ResultsInd[[#This Row],[Player B]],ResultsInd[[#This Row],[Player A]]),""),"")</f>
        <v/>
      </c>
      <c r="AB483" s="8"/>
      <c r="AC483" s="12" t="str">
        <f t="shared" ref="AC483:AC488" si="423">IF(AC482="","",AC482)</f>
        <v>U12</v>
      </c>
      <c r="AD483" s="309" t="s">
        <v>12392</v>
      </c>
      <c r="AE483" s="320"/>
      <c r="AF483" s="311"/>
      <c r="AG483" s="292">
        <f>IF(AP483="","",SMALL(AH482:AH488,ROWS(AG482:AG483)))</f>
        <v>2002</v>
      </c>
      <c r="AH483" s="293">
        <f>IF(AP483="","",RANK(AL483,AL482:AL488)*1000+ROWS(AH482:AH483))</f>
        <v>2002</v>
      </c>
      <c r="AI483" s="316">
        <f t="shared" si="417"/>
        <v>6000000000000</v>
      </c>
      <c r="AJ483" s="415" t="b">
        <f>AND(AO483&lt;&gt;"",AO483&gt;0,COUNTIF(AI482:AI488,AI483)&gt;1)</f>
        <v>0</v>
      </c>
      <c r="AK483" s="316">
        <f t="shared" si="418"/>
        <v>0</v>
      </c>
      <c r="AL483" s="317">
        <f t="shared" si="419"/>
        <v>6000000010600</v>
      </c>
      <c r="AM483" s="415" t="b">
        <f>AND(AO483&lt;&gt;"",AO483&gt;0,COUNTIF(AL482:AL488,AL483)&gt;1)</f>
        <v>0</v>
      </c>
      <c r="AN483" s="306">
        <f t="shared" si="420"/>
        <v>6</v>
      </c>
      <c r="AO483" s="307">
        <f t="shared" si="421"/>
        <v>3</v>
      </c>
      <c r="AP483" s="307">
        <f>IF(OR(AC481="",AD483=""),"",COUNTIF(ResultsInd[Win],AC481&amp;"-"&amp;AD483))</f>
        <v>2</v>
      </c>
      <c r="AQ483" s="307">
        <f>IF(OR(AC481="",AD483=""),"",COUNTIF(ResultsInd[Draw1],AC481&amp;"-"&amp;AD483)+COUNTIF(ResultsInd[Draw2],AC481&amp;"-"&amp;AD483))</f>
        <v>0</v>
      </c>
      <c r="AR483" s="307">
        <f>IF(OR(AC481="",AD483=""),"",COUNTIF(ResultsInd[Lose],AC481&amp;"-"&amp;AD483))</f>
        <v>1</v>
      </c>
      <c r="AS483" s="307">
        <f>IF(OR(AC481="",AD483=""),"",SUMIFS(ResultsInd[Goal-A],ResultsInd[Category],AC481,ResultsInd[Stage],"Groups",ResultsInd[Player A],AD483)+SUMIFS(ResultsInd[Goal-B],ResultsInd[Category],AC481,ResultsInd[Stage],"Groups",ResultsInd[Player B],AD483))</f>
        <v>6</v>
      </c>
      <c r="AT483" s="307">
        <f>IF(OR(AC481="",AD483=""),"",SUMIFS(ResultsInd[Goal-B],ResultsInd[Category],AC481,ResultsInd[Stage],"Groups",ResultsInd[Player A],AD483)+SUMIFS(ResultsInd[Goal-A],ResultsInd[Category],AC481,ResultsInd[Stage],"Groups",ResultsInd[Player B],AD483))</f>
        <v>5</v>
      </c>
      <c r="AU483" s="308">
        <f t="shared" ref="AU483:AU488" si="424">IF(AP483="","",AS483-AT483)</f>
        <v>1</v>
      </c>
      <c r="AV483" s="469" t="b">
        <f>IF(AG483="","",OR(VLOOKUP(AG483,AH482:AU488,3,FALSE),VLOOKUP(AG483,AH482:AU488,6,FALSE)))</f>
        <v>0</v>
      </c>
      <c r="AW483" s="298">
        <f t="shared" si="422"/>
        <v>2</v>
      </c>
      <c r="AX483" s="285" t="str">
        <f>IF(AG483="","",INDEX(AD482:AD488,MATCH(AG483,AH482:AH488,0)))</f>
        <v>Romain Joris</v>
      </c>
      <c r="AY483" s="286">
        <f>IF(AG483="","",VLOOKUP(AG483,AH482:AU488,COLUMN()-COLUMN(AR481),FALSE))</f>
        <v>6</v>
      </c>
      <c r="AZ483" s="286">
        <f>IF(AG483="","",VLOOKUP(AG483,AH482:AU488,COLUMN()-COLUMN(AR481),FALSE))</f>
        <v>3</v>
      </c>
      <c r="BA483" s="286">
        <f>IF(AG483="","",VLOOKUP(AG483,AH482:AU488,COLUMN()-COLUMN(AR481),FALSE))</f>
        <v>2</v>
      </c>
      <c r="BB483" s="286">
        <f>IF(AG483="","",VLOOKUP(AG483,AH482:AU488,COLUMN()-COLUMN(AR481),FALSE))</f>
        <v>0</v>
      </c>
      <c r="BC483" s="286">
        <f>IF(AG483="","",VLOOKUP(AG483,AH482:AU488,COLUMN()-COLUMN(AR481),FALSE))</f>
        <v>1</v>
      </c>
      <c r="BD483" s="286">
        <f>IF(AG483="","",VLOOKUP(AG483,AH482:AU488,COLUMN()-COLUMN(AR481),FALSE))</f>
        <v>6</v>
      </c>
      <c r="BE483" s="286">
        <f>IF(AG483="","",VLOOKUP(AG483,AH482:AU488,COLUMN()-COLUMN(AR481),FALSE))</f>
        <v>5</v>
      </c>
      <c r="BF483" s="301">
        <f>IF(AG483="","",VLOOKUP(AG483,AH482:AU488,COLUMN()-COLUMN(AR481),FALSE))</f>
        <v>1</v>
      </c>
    </row>
    <row r="484" spans="1:58" ht="12" thickBot="1" x14ac:dyDescent="0.25">
      <c r="A484" s="62" t="s">
        <v>1023</v>
      </c>
      <c r="B484" s="62" t="s">
        <v>12207</v>
      </c>
      <c r="C484" s="62">
        <v>2</v>
      </c>
      <c r="D484" s="62"/>
      <c r="E484" s="345" t="s">
        <v>8161</v>
      </c>
      <c r="F484" s="345" t="s">
        <v>8721</v>
      </c>
      <c r="G484" s="113">
        <v>2</v>
      </c>
      <c r="H484" s="113">
        <v>1</v>
      </c>
      <c r="I484" s="114"/>
      <c r="J484" s="114"/>
      <c r="K484" s="114"/>
      <c r="L484" s="81"/>
      <c r="M484" s="265" t="b">
        <f>NOT(ISERROR(ResultsInd[[#This Row],[Goal-A]]+ResultsInd[[#This Row],[Goal-B]]))</f>
        <v>1</v>
      </c>
      <c r="N484" s="265">
        <f>VALUE(ResultsInd[[#This Row],[Score-A]])</f>
        <v>2</v>
      </c>
      <c r="O484" s="265">
        <f>VALUE(ResultsInd[[#This Row],[Score-B]])</f>
        <v>1</v>
      </c>
      <c r="P484" s="265">
        <f ca="1">IF(AND(ResultsInd[[#This Row],[Category]]&lt;&gt;"",ResultsInd[[#This Row],[Player A]]&lt;&gt;""),COUNTIF(INDIRECT(ResultsInd[[#This Row],[Category]]&amp;"List[Retained Player Name]"),ResultsInd[[#This Row],[Player A]]),"")</f>
        <v>1</v>
      </c>
      <c r="Q484" s="265">
        <f ca="1">IF(AND(ResultsInd[[#This Row],[Category]]&lt;&gt;"",ResultsInd[[#This Row],[Player B]]&lt;&gt;""),COUNTIF(INDIRECT(ResultsInd[[#This Row],[Category]]&amp;"List[Retained Player Name]"),ResultsInd[[#This Row],[Player B]]),"")</f>
        <v>1</v>
      </c>
      <c r="R4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U16-Benjamin Marain</v>
      </c>
      <c r="S484" s="265" t="str">
        <f>IF(ResultsInd[[#This Row],[Score_OK]],IF(ResultsInd[[#This Row],[Stage]]="Groups",ResultsInd[[#This Row],[Category]]&amp;"-"&amp;IF(ResultsInd[[#This Row],[Player B]]="","",IF(ResultsInd[[#This Row],[Score-A]]=ResultsInd[[#This Row],[Score-B]],ResultsInd[[#This Row],[Player A]],"")),""),"")</f>
        <v>U16-</v>
      </c>
      <c r="T484" s="265" t="str">
        <f>IF(ResultsInd[[#This Row],[Score_OK]],IF(ResultsInd[[#This Row],[Stage]]="Groups",ResultsInd[[#This Row],[Category]]&amp;"-"&amp;IF(ResultsInd[[#This Row],[Player B]]="","",IF(ResultsInd[[#This Row],[Score-A]]=ResultsInd[[#This Row],[Score-B]],ResultsInd[[#This Row],[Player B]],"")),""),"")</f>
        <v>U16-</v>
      </c>
      <c r="U4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U16-Rafaël Midoux</v>
      </c>
      <c r="V4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U16-Rafaël Midoux</v>
      </c>
      <c r="X4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U16-Rafaël Midoux</v>
      </c>
      <c r="Y484" s="264" t="str">
        <f>IF(ResultsInd[[#This Row],[Category]]="","",VLOOKUP(ResultsInd[[#This Row],[Stage]],$P$1:$V$9,MATCH(ResultsInd[[#This Row],[Category]],$Q$1:$V$1,0)+1,FALSE))</f>
        <v>PR1</v>
      </c>
      <c r="Z484" s="264" t="str">
        <f>IF(ResultsInd[[#This Row],[Score_OK]],IF(ResultsInd[[#This Row],[Level]]="R",ResultsInd[[#This Row],[Category]]&amp;"-"&amp;IF(ResultsInd[[#This Row],[LoseInKO]]=ResultsInd[[#This Row],[Category]]&amp;"-"&amp;ResultsInd[[#This Row],[Player A]],ResultsInd[[#This Row],[Player B]],ResultsInd[[#This Row],[Player A]]),""),"")</f>
        <v/>
      </c>
      <c r="AB484" s="8"/>
      <c r="AC484" s="12" t="str">
        <f t="shared" si="423"/>
        <v>U12</v>
      </c>
      <c r="AD484" s="309" t="s">
        <v>8197</v>
      </c>
      <c r="AE484" s="320"/>
      <c r="AF484" s="311"/>
      <c r="AG484" s="292">
        <f>IF(AP484="","",SMALL(AH482:AH488,ROWS(AG482:AG484)))</f>
        <v>3003</v>
      </c>
      <c r="AH484" s="293">
        <f>IF(AP484="","",RANK(AL484,AL482:AL488)*1000+ROWS(AH482:AH484))</f>
        <v>3003</v>
      </c>
      <c r="AI484" s="316">
        <f t="shared" si="417"/>
        <v>1000000000000</v>
      </c>
      <c r="AJ484" s="415" t="b">
        <f>AND(AO484&lt;&gt;"",AO484&gt;0,COUNTIF(AI482:AI488,AI484)&gt;1)</f>
        <v>1</v>
      </c>
      <c r="AK484" s="316">
        <f t="shared" si="418"/>
        <v>0</v>
      </c>
      <c r="AL484" s="317">
        <f t="shared" si="419"/>
        <v>999999940000</v>
      </c>
      <c r="AM484" s="415" t="b">
        <f>AND(AO484&lt;&gt;"",AO484&gt;0,COUNTIF(AL482:AL488,AL484)&gt;1)</f>
        <v>0</v>
      </c>
      <c r="AN484" s="306">
        <f t="shared" si="420"/>
        <v>1</v>
      </c>
      <c r="AO484" s="307">
        <f t="shared" si="421"/>
        <v>3</v>
      </c>
      <c r="AP484" s="307">
        <f>IF(OR(AC481="",AD484=""),"",COUNTIF(ResultsInd[Win],AC481&amp;"-"&amp;AD484))</f>
        <v>0</v>
      </c>
      <c r="AQ484" s="307">
        <f>IF(OR(AC481="",AD484=""),"",COUNTIF(ResultsInd[Draw1],AC481&amp;"-"&amp;AD484)+COUNTIF(ResultsInd[Draw2],AC481&amp;"-"&amp;AD484))</f>
        <v>1</v>
      </c>
      <c r="AR484" s="307">
        <f>IF(OR(AC481="",AD484=""),"",COUNTIF(ResultsInd[Lose],AC481&amp;"-"&amp;AD484))</f>
        <v>2</v>
      </c>
      <c r="AS484" s="307">
        <f>IF(OR(AC481="",AD484=""),"",SUMIFS(ResultsInd[Goal-A],ResultsInd[Category],AC481,ResultsInd[Stage],"Groups",ResultsInd[Player A],AD484)+SUMIFS(ResultsInd[Goal-B],ResultsInd[Category],AC481,ResultsInd[Stage],"Groups",ResultsInd[Player B],AD484))</f>
        <v>0</v>
      </c>
      <c r="AT484" s="307">
        <f>IF(OR(AC481="",AD484=""),"",SUMIFS(ResultsInd[Goal-B],ResultsInd[Category],AC481,ResultsInd[Stage],"Groups",ResultsInd[Player A],AD484)+SUMIFS(ResultsInd[Goal-A],ResultsInd[Category],AC481,ResultsInd[Stage],"Groups",ResultsInd[Player B],AD484))</f>
        <v>6</v>
      </c>
      <c r="AU484" s="308">
        <f t="shared" si="424"/>
        <v>-6</v>
      </c>
      <c r="AV484" s="469" t="b">
        <f>IF(AG484="","",OR(VLOOKUP(AG484,AH482:AU488,3,FALSE),VLOOKUP(AG484,AH482:AU488,6,FALSE)))</f>
        <v>1</v>
      </c>
      <c r="AW484" s="298">
        <f t="shared" si="422"/>
        <v>3</v>
      </c>
      <c r="AX484" s="285" t="str">
        <f>IF(AG484="","",INDEX(AD482:AD488,MATCH(AG484,AH482:AH488,0)))</f>
        <v>Sophia Grosdent</v>
      </c>
      <c r="AY484" s="286">
        <f>IF(AG484="","",VLOOKUP(AG484,AH482:AU488,COLUMN()-COLUMN(AR481),FALSE))</f>
        <v>1</v>
      </c>
      <c r="AZ484" s="286">
        <f>IF(AG484="","",VLOOKUP(AG484,AH482:AU488,COLUMN()-COLUMN(AR481),FALSE))</f>
        <v>3</v>
      </c>
      <c r="BA484" s="286">
        <f>IF(AG484="","",VLOOKUP(AG484,AH482:AU488,COLUMN()-COLUMN(AR481),FALSE))</f>
        <v>0</v>
      </c>
      <c r="BB484" s="286">
        <f>IF(AG484="","",VLOOKUP(AG484,AH482:AU488,COLUMN()-COLUMN(AR481),FALSE))</f>
        <v>1</v>
      </c>
      <c r="BC484" s="286">
        <f>IF(AG484="","",VLOOKUP(AG484,AH482:AU488,COLUMN()-COLUMN(AR481),FALSE))</f>
        <v>2</v>
      </c>
      <c r="BD484" s="286">
        <f>IF(AG484="","",VLOOKUP(AG484,AH482:AU488,COLUMN()-COLUMN(AR481),FALSE))</f>
        <v>0</v>
      </c>
      <c r="BE484" s="286">
        <f>IF(AG484="","",VLOOKUP(AG484,AH482:AU488,COLUMN()-COLUMN(AR481),FALSE))</f>
        <v>6</v>
      </c>
      <c r="BF484" s="301">
        <f>IF(AG484="","",VLOOKUP(AG484,AH482:AU488,COLUMN()-COLUMN(AR481),FALSE))</f>
        <v>-6</v>
      </c>
    </row>
    <row r="485" spans="1:58" ht="12" thickBot="1" x14ac:dyDescent="0.25">
      <c r="A485" s="62" t="s">
        <v>1023</v>
      </c>
      <c r="B485" s="62" t="s">
        <v>12207</v>
      </c>
      <c r="C485" s="62">
        <v>2</v>
      </c>
      <c r="D485" s="62"/>
      <c r="E485" s="345" t="s">
        <v>8201</v>
      </c>
      <c r="F485" s="345" t="s">
        <v>8193</v>
      </c>
      <c r="G485" s="113">
        <v>0</v>
      </c>
      <c r="H485" s="113">
        <v>4</v>
      </c>
      <c r="I485" s="114"/>
      <c r="J485" s="114"/>
      <c r="K485" s="114"/>
      <c r="L485" s="81"/>
      <c r="M485" s="265" t="b">
        <f>NOT(ISERROR(ResultsInd[[#This Row],[Goal-A]]+ResultsInd[[#This Row],[Goal-B]]))</f>
        <v>1</v>
      </c>
      <c r="N485" s="265">
        <f>VALUE(ResultsInd[[#This Row],[Score-A]])</f>
        <v>0</v>
      </c>
      <c r="O485" s="265">
        <f>VALUE(ResultsInd[[#This Row],[Score-B]])</f>
        <v>4</v>
      </c>
      <c r="P485" s="265">
        <f ca="1">IF(AND(ResultsInd[[#This Row],[Category]]&lt;&gt;"",ResultsInd[[#This Row],[Player A]]&lt;&gt;""),COUNTIF(INDIRECT(ResultsInd[[#This Row],[Category]]&amp;"List[Retained Player Name]"),ResultsInd[[#This Row],[Player A]]),"")</f>
        <v>1</v>
      </c>
      <c r="Q485" s="265">
        <f ca="1">IF(AND(ResultsInd[[#This Row],[Category]]&lt;&gt;"",ResultsInd[[#This Row],[Player B]]&lt;&gt;""),COUNTIF(INDIRECT(ResultsInd[[#This Row],[Category]]&amp;"List[Retained Player Name]"),ResultsInd[[#This Row],[Player B]]),"")</f>
        <v>1</v>
      </c>
      <c r="R4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U16-Noah Dirick</v>
      </c>
      <c r="S485" s="265" t="str">
        <f>IF(ResultsInd[[#This Row],[Score_OK]],IF(ResultsInd[[#This Row],[Stage]]="Groups",ResultsInd[[#This Row],[Category]]&amp;"-"&amp;IF(ResultsInd[[#This Row],[Player B]]="","",IF(ResultsInd[[#This Row],[Score-A]]=ResultsInd[[#This Row],[Score-B]],ResultsInd[[#This Row],[Player A]],"")),""),"")</f>
        <v>U16-</v>
      </c>
      <c r="T485" s="265" t="str">
        <f>IF(ResultsInd[[#This Row],[Score_OK]],IF(ResultsInd[[#This Row],[Stage]]="Groups",ResultsInd[[#This Row],[Category]]&amp;"-"&amp;IF(ResultsInd[[#This Row],[Player B]]="","",IF(ResultsInd[[#This Row],[Score-A]]=ResultsInd[[#This Row],[Score-B]],ResultsInd[[#This Row],[Player B]],"")),""),"")</f>
        <v>U16-</v>
      </c>
      <c r="U4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U16-Kostandinos Tsangouris</v>
      </c>
      <c r="V4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X4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Y485" s="264" t="str">
        <f>IF(ResultsInd[[#This Row],[Category]]="","",VLOOKUP(ResultsInd[[#This Row],[Stage]],$P$1:$V$9,MATCH(ResultsInd[[#This Row],[Category]],$Q$1:$V$1,0)+1,FALSE))</f>
        <v>PR1</v>
      </c>
      <c r="Z485" s="264" t="str">
        <f>IF(ResultsInd[[#This Row],[Score_OK]],IF(ResultsInd[[#This Row],[Level]]="R",ResultsInd[[#This Row],[Category]]&amp;"-"&amp;IF(ResultsInd[[#This Row],[LoseInKO]]=ResultsInd[[#This Row],[Category]]&amp;"-"&amp;ResultsInd[[#This Row],[Player A]],ResultsInd[[#This Row],[Player B]],ResultsInd[[#This Row],[Player A]]),""),"")</f>
        <v/>
      </c>
      <c r="AB485" s="91"/>
      <c r="AC485" s="12" t="str">
        <f t="shared" si="423"/>
        <v>U12</v>
      </c>
      <c r="AD485" s="309" t="s">
        <v>14576</v>
      </c>
      <c r="AE485" s="310"/>
      <c r="AF485" s="311"/>
      <c r="AG485" s="292">
        <f>IF(AP485="","",SMALL(AH482:AH488,ROWS(AG482:AG485)))</f>
        <v>4004</v>
      </c>
      <c r="AH485" s="293">
        <f>IF(AP485="","",RANK(AL485,AL482:AL488)*1000+ROWS(AH482:AH485))</f>
        <v>4004</v>
      </c>
      <c r="AI485" s="316">
        <f t="shared" si="417"/>
        <v>1000000000000</v>
      </c>
      <c r="AJ485" s="415" t="b">
        <f>AND(AO485&lt;&gt;"",AO485&gt;0,COUNTIF(AI482:AI488,AI485)&gt;1)</f>
        <v>1</v>
      </c>
      <c r="AK485" s="316">
        <f t="shared" si="418"/>
        <v>0</v>
      </c>
      <c r="AL485" s="317">
        <f t="shared" si="419"/>
        <v>999999910000</v>
      </c>
      <c r="AM485" s="415" t="b">
        <f>AND(AO485&lt;&gt;"",AO485&gt;0,COUNTIF(AL482:AL488,AL485)&gt;1)</f>
        <v>0</v>
      </c>
      <c r="AN485" s="306">
        <f t="shared" si="420"/>
        <v>1</v>
      </c>
      <c r="AO485" s="307">
        <f t="shared" si="421"/>
        <v>3</v>
      </c>
      <c r="AP485" s="307">
        <f>IF(OR(AC481="",AD485=""),"",COUNTIF(ResultsInd[Win],AC481&amp;"-"&amp;AD485))</f>
        <v>0</v>
      </c>
      <c r="AQ485" s="307">
        <f>IF(OR(AC481="",AD485=""),"",COUNTIF(ResultsInd[Draw1],AC481&amp;"-"&amp;AD485)+COUNTIF(ResultsInd[Draw2],AC481&amp;"-"&amp;AD485))</f>
        <v>1</v>
      </c>
      <c r="AR485" s="307">
        <f>IF(OR(AC481="",AD485=""),"",COUNTIF(ResultsInd[Lose],AC481&amp;"-"&amp;AD485))</f>
        <v>2</v>
      </c>
      <c r="AS485" s="307">
        <f>IF(OR(AC481="",AD485=""),"",SUMIFS(ResultsInd[Goal-A],ResultsInd[Category],AC481,ResultsInd[Stage],"Groups",ResultsInd[Player A],AD485)+SUMIFS(ResultsInd[Goal-B],ResultsInd[Category],AC481,ResultsInd[Stage],"Groups",ResultsInd[Player B],AD485))</f>
        <v>0</v>
      </c>
      <c r="AT485" s="307">
        <f>IF(OR(AC481="",AD485=""),"",SUMIFS(ResultsInd[Goal-B],ResultsInd[Category],AC481,ResultsInd[Stage],"Groups",ResultsInd[Player A],AD485)+SUMIFS(ResultsInd[Goal-A],ResultsInd[Category],AC481,ResultsInd[Stage],"Groups",ResultsInd[Player B],AD485))</f>
        <v>9</v>
      </c>
      <c r="AU485" s="308">
        <f t="shared" si="424"/>
        <v>-9</v>
      </c>
      <c r="AV485" s="469" t="b">
        <f>IF(AG485="","",OR(VLOOKUP(AG485,AH482:AU488,3,FALSE),VLOOKUP(AG485,AH482:AU488,6,FALSE)))</f>
        <v>1</v>
      </c>
      <c r="AW485" s="298">
        <f t="shared" si="422"/>
        <v>4</v>
      </c>
      <c r="AX485" s="285" t="str">
        <f>IF(AG485="","",INDEX(AD482:AD488,MATCH(AG485,AH482:AH488,0)))</f>
        <v>Elea Tsangouris</v>
      </c>
      <c r="AY485" s="286">
        <f>IF(AG485="","",VLOOKUP(AG485,AH482:AU488,COLUMN()-COLUMN(AR481),FALSE))</f>
        <v>1</v>
      </c>
      <c r="AZ485" s="286">
        <f>IF(AG485="","",VLOOKUP(AG485,AH482:AU488,COLUMN()-COLUMN(AR481),FALSE))</f>
        <v>3</v>
      </c>
      <c r="BA485" s="286">
        <f>IF(AG485="","",VLOOKUP(AG485,AH482:AU488,COLUMN()-COLUMN(AR481),FALSE))</f>
        <v>0</v>
      </c>
      <c r="BB485" s="286">
        <f>IF(AG485="","",VLOOKUP(AG485,AH482:AU488,COLUMN()-COLUMN(AR481),FALSE))</f>
        <v>1</v>
      </c>
      <c r="BC485" s="286">
        <f>IF(AG485="","",VLOOKUP(AG485,AH482:AU488,COLUMN()-COLUMN(AR481),FALSE))</f>
        <v>2</v>
      </c>
      <c r="BD485" s="286">
        <f>IF(AG485="","",VLOOKUP(AG485,AH482:AU488,COLUMN()-COLUMN(AR481),FALSE))</f>
        <v>0</v>
      </c>
      <c r="BE485" s="286">
        <f>IF(AG485="","",VLOOKUP(AG485,AH482:AU488,COLUMN()-COLUMN(AR481),FALSE))</f>
        <v>9</v>
      </c>
      <c r="BF485" s="301">
        <f>IF(AG485="","",VLOOKUP(AG485,AH482:AU488,COLUMN()-COLUMN(AR481),FALSE))</f>
        <v>-9</v>
      </c>
    </row>
    <row r="486" spans="1:58" ht="12" thickBot="1" x14ac:dyDescent="0.25">
      <c r="A486" s="62" t="s">
        <v>1023</v>
      </c>
      <c r="B486" s="62" t="s">
        <v>12207</v>
      </c>
      <c r="C486" s="62">
        <v>2</v>
      </c>
      <c r="D486" s="62"/>
      <c r="E486" s="345" t="s">
        <v>14477</v>
      </c>
      <c r="F486" s="345" t="s">
        <v>8589</v>
      </c>
      <c r="G486" s="113">
        <v>0</v>
      </c>
      <c r="H486" s="113">
        <v>5</v>
      </c>
      <c r="I486" s="114"/>
      <c r="J486" s="114"/>
      <c r="K486" s="114"/>
      <c r="L486" s="81"/>
      <c r="M486" s="265" t="b">
        <f>NOT(ISERROR(ResultsInd[[#This Row],[Goal-A]]+ResultsInd[[#This Row],[Goal-B]]))</f>
        <v>1</v>
      </c>
      <c r="N486" s="265">
        <f>VALUE(ResultsInd[[#This Row],[Score-A]])</f>
        <v>0</v>
      </c>
      <c r="O486" s="265">
        <f>VALUE(ResultsInd[[#This Row],[Score-B]])</f>
        <v>5</v>
      </c>
      <c r="P486" s="265">
        <f ca="1">IF(AND(ResultsInd[[#This Row],[Category]]&lt;&gt;"",ResultsInd[[#This Row],[Player A]]&lt;&gt;""),COUNTIF(INDIRECT(ResultsInd[[#This Row],[Category]]&amp;"List[Retained Player Name]"),ResultsInd[[#This Row],[Player A]]),"")</f>
        <v>1</v>
      </c>
      <c r="Q486" s="265">
        <f ca="1">IF(AND(ResultsInd[[#This Row],[Category]]&lt;&gt;"",ResultsInd[[#This Row],[Player B]]&lt;&gt;""),COUNTIF(INDIRECT(ResultsInd[[#This Row],[Category]]&amp;"List[Retained Player Name]"),ResultsInd[[#This Row],[Player B]]),"")</f>
        <v>1</v>
      </c>
      <c r="R4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U16-Ruby Matthews</v>
      </c>
      <c r="S486" s="265" t="str">
        <f>IF(ResultsInd[[#This Row],[Score_OK]],IF(ResultsInd[[#This Row],[Stage]]="Groups",ResultsInd[[#This Row],[Category]]&amp;"-"&amp;IF(ResultsInd[[#This Row],[Player B]]="","",IF(ResultsInd[[#This Row],[Score-A]]=ResultsInd[[#This Row],[Score-B]],ResultsInd[[#This Row],[Player A]],"")),""),"")</f>
        <v>U16-</v>
      </c>
      <c r="T486" s="265" t="str">
        <f>IF(ResultsInd[[#This Row],[Score_OK]],IF(ResultsInd[[#This Row],[Stage]]="Groups",ResultsInd[[#This Row],[Category]]&amp;"-"&amp;IF(ResultsInd[[#This Row],[Player B]]="","",IF(ResultsInd[[#This Row],[Score-A]]=ResultsInd[[#This Row],[Score-B]],ResultsInd[[#This Row],[Player B]],"")),""),"")</f>
        <v>U16-</v>
      </c>
      <c r="U4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U16-Nathanaël Dhyne</v>
      </c>
      <c r="V4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X4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Y486" s="264" t="str">
        <f>IF(ResultsInd[[#This Row],[Category]]="","",VLOOKUP(ResultsInd[[#This Row],[Stage]],$P$1:$V$9,MATCH(ResultsInd[[#This Row],[Category]],$Q$1:$V$1,0)+1,FALSE))</f>
        <v>PR1</v>
      </c>
      <c r="Z486" s="264" t="str">
        <f>IF(ResultsInd[[#This Row],[Score_OK]],IF(ResultsInd[[#This Row],[Level]]="R",ResultsInd[[#This Row],[Category]]&amp;"-"&amp;IF(ResultsInd[[#This Row],[LoseInKO]]=ResultsInd[[#This Row],[Category]]&amp;"-"&amp;ResultsInd[[#This Row],[Player A]],ResultsInd[[#This Row],[Player B]],ResultsInd[[#This Row],[Player A]]),""),"")</f>
        <v/>
      </c>
      <c r="AB486" s="91"/>
      <c r="AC486" s="12" t="str">
        <f t="shared" si="423"/>
        <v>U12</v>
      </c>
      <c r="AD486" s="309"/>
      <c r="AE486" s="310"/>
      <c r="AF486" s="311"/>
      <c r="AG486" s="292" t="str">
        <f>IF(AP486="","",SMALL(AH482:AH488,ROWS(AG482:AG486)))</f>
        <v/>
      </c>
      <c r="AH486" s="293" t="str">
        <f>IF(AP486="","",RANK(AL486,AL482:AL488)*1000+ROWS(AH482:AH486))</f>
        <v/>
      </c>
      <c r="AI486" s="316" t="str">
        <f t="shared" si="417"/>
        <v/>
      </c>
      <c r="AJ486" s="415" t="b">
        <f>AND(AO486&lt;&gt;"",AO486&gt;0,COUNTIF(AI482:AI488,AI486)&gt;1)</f>
        <v>0</v>
      </c>
      <c r="AK486" s="316" t="str">
        <f t="shared" si="418"/>
        <v/>
      </c>
      <c r="AL486" s="317" t="str">
        <f t="shared" si="419"/>
        <v/>
      </c>
      <c r="AM486" s="415" t="b">
        <f>AND(AO486&lt;&gt;"",AO486&gt;0,COUNTIF(AL482:AL488,AL486)&gt;1)</f>
        <v>0</v>
      </c>
      <c r="AN486" s="306" t="str">
        <f t="shared" si="420"/>
        <v/>
      </c>
      <c r="AO486" s="307" t="str">
        <f t="shared" si="421"/>
        <v/>
      </c>
      <c r="AP486" s="307" t="str">
        <f>IF(OR(AC481="",AD486=""),"",COUNTIF(ResultsInd[Win],AC481&amp;"-"&amp;AD486))</f>
        <v/>
      </c>
      <c r="AQ486" s="307" t="str">
        <f>IF(OR(AC481="",AD486=""),"",COUNTIF(ResultsInd[Draw1],AC481&amp;"-"&amp;AD486)+COUNTIF(ResultsInd[Draw2],AC481&amp;"-"&amp;AD486))</f>
        <v/>
      </c>
      <c r="AR486" s="307" t="str">
        <f>IF(OR(AC481="",AD486=""),"",COUNTIF(ResultsInd[Lose],AC481&amp;"-"&amp;AD486))</f>
        <v/>
      </c>
      <c r="AS486" s="307" t="str">
        <f>IF(OR(AC481="",AD486=""),"",SUMIFS(ResultsInd[Goal-A],ResultsInd[Category],AC481,ResultsInd[Stage],"Groups",ResultsInd[Player A],AD486)+SUMIFS(ResultsInd[Goal-B],ResultsInd[Category],AC481,ResultsInd[Stage],"Groups",ResultsInd[Player B],AD486))</f>
        <v/>
      </c>
      <c r="AT486" s="307" t="str">
        <f>IF(OR(AC481="",AD486=""),"",SUMIFS(ResultsInd[Goal-B],ResultsInd[Category],AC481,ResultsInd[Stage],"Groups",ResultsInd[Player A],AD486)+SUMIFS(ResultsInd[Goal-A],ResultsInd[Category],AC481,ResultsInd[Stage],"Groups",ResultsInd[Player B],AD486))</f>
        <v/>
      </c>
      <c r="AU486" s="308" t="str">
        <f t="shared" si="424"/>
        <v/>
      </c>
      <c r="AV486" s="469" t="str">
        <f>IF(AG486="","",OR(VLOOKUP(AG486,AH482:AU488,3,FALSE),VLOOKUP(AG486,AH482:AU488,6,FALSE)))</f>
        <v/>
      </c>
      <c r="AW486" s="298" t="str">
        <f t="shared" si="422"/>
        <v/>
      </c>
      <c r="AX486" s="285" t="str">
        <f>IF(AG486="","",INDEX(AD482:AD488,MATCH(AG486,AH482:AH488,0)))</f>
        <v/>
      </c>
      <c r="AY486" s="286" t="str">
        <f>IF(AG486="","",VLOOKUP(AG486,AH482:AU488,COLUMN()-COLUMN(AR481),FALSE))</f>
        <v/>
      </c>
      <c r="AZ486" s="286" t="str">
        <f>IF(AG486="","",VLOOKUP(AG486,AH482:AU488,COLUMN()-COLUMN(AR481),FALSE))</f>
        <v/>
      </c>
      <c r="BA486" s="286" t="str">
        <f>IF(AG486="","",VLOOKUP(AG486,AH482:AU488,COLUMN()-COLUMN(AR481),FALSE))</f>
        <v/>
      </c>
      <c r="BB486" s="286" t="str">
        <f>IF(AG486="","",VLOOKUP(AG486,AH482:AU488,COLUMN()-COLUMN(AR481),FALSE))</f>
        <v/>
      </c>
      <c r="BC486" s="286" t="str">
        <f>IF(AG486="","",VLOOKUP(AG486,AH482:AU488,COLUMN()-COLUMN(AR481),FALSE))</f>
        <v/>
      </c>
      <c r="BD486" s="286" t="str">
        <f>IF(AG486="","",VLOOKUP(AG486,AH482:AU488,COLUMN()-COLUMN(AR481),FALSE))</f>
        <v/>
      </c>
      <c r="BE486" s="286" t="str">
        <f>IF(AG486="","",VLOOKUP(AG486,AH482:AU488,COLUMN()-COLUMN(AR481),FALSE))</f>
        <v/>
      </c>
      <c r="BF486" s="301" t="str">
        <f>IF(AG486="","",VLOOKUP(AG486,AH482:AU488,COLUMN()-COLUMN(AR481),FALSE))</f>
        <v/>
      </c>
    </row>
    <row r="487" spans="1:58" ht="12" thickBot="1" x14ac:dyDescent="0.25">
      <c r="A487" s="62" t="s">
        <v>1023</v>
      </c>
      <c r="B487" s="62" t="s">
        <v>12207</v>
      </c>
      <c r="C487" s="62">
        <v>2</v>
      </c>
      <c r="D487" s="62"/>
      <c r="E487" s="345" t="s">
        <v>8193</v>
      </c>
      <c r="F487" s="345" t="s">
        <v>8161</v>
      </c>
      <c r="G487" s="113">
        <v>0</v>
      </c>
      <c r="H487" s="113">
        <v>0</v>
      </c>
      <c r="I487" s="114"/>
      <c r="J487" s="114"/>
      <c r="K487" s="114"/>
      <c r="L487" s="81"/>
      <c r="M487" s="265" t="b">
        <f>NOT(ISERROR(ResultsInd[[#This Row],[Goal-A]]+ResultsInd[[#This Row],[Goal-B]]))</f>
        <v>1</v>
      </c>
      <c r="N487" s="265">
        <f>VALUE(ResultsInd[[#This Row],[Score-A]])</f>
        <v>0</v>
      </c>
      <c r="O487" s="265">
        <f>VALUE(ResultsInd[[#This Row],[Score-B]])</f>
        <v>0</v>
      </c>
      <c r="P487" s="265">
        <f ca="1">IF(AND(ResultsInd[[#This Row],[Category]]&lt;&gt;"",ResultsInd[[#This Row],[Player A]]&lt;&gt;""),COUNTIF(INDIRECT(ResultsInd[[#This Row],[Category]]&amp;"List[Retained Player Name]"),ResultsInd[[#This Row],[Player A]]),"")</f>
        <v>1</v>
      </c>
      <c r="Q487" s="265">
        <f ca="1">IF(AND(ResultsInd[[#This Row],[Category]]&lt;&gt;"",ResultsInd[[#This Row],[Player B]]&lt;&gt;""),COUNTIF(INDIRECT(ResultsInd[[#This Row],[Category]]&amp;"List[Retained Player Name]"),ResultsInd[[#This Row],[Player B]]),"")</f>
        <v>1</v>
      </c>
      <c r="R4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v>
      </c>
      <c r="S487" s="265" t="str">
        <f>IF(ResultsInd[[#This Row],[Score_OK]],IF(ResultsInd[[#This Row],[Stage]]="Groups",ResultsInd[[#This Row],[Category]]&amp;"-"&amp;IF(ResultsInd[[#This Row],[Player B]]="","",IF(ResultsInd[[#This Row],[Score-A]]=ResultsInd[[#This Row],[Score-B]],ResultsInd[[#This Row],[Player A]],"")),""),"")</f>
        <v>U16-Noah Dirick</v>
      </c>
      <c r="T487" s="265" t="str">
        <f>IF(ResultsInd[[#This Row],[Score_OK]],IF(ResultsInd[[#This Row],[Stage]]="Groups",ResultsInd[[#This Row],[Category]]&amp;"-"&amp;IF(ResultsInd[[#This Row],[Player B]]="","",IF(ResultsInd[[#This Row],[Score-A]]=ResultsInd[[#This Row],[Score-B]],ResultsInd[[#This Row],[Player B]],"")),""),"")</f>
        <v>U16-Benjamin Marain</v>
      </c>
      <c r="U4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v>
      </c>
      <c r="V4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U16-Noah Dirick</v>
      </c>
      <c r="X4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U16-Benjamin Marain</v>
      </c>
      <c r="Y487" s="264" t="str">
        <f>IF(ResultsInd[[#This Row],[Category]]="","",VLOOKUP(ResultsInd[[#This Row],[Stage]],$P$1:$V$9,MATCH(ResultsInd[[#This Row],[Category]],$Q$1:$V$1,0)+1,FALSE))</f>
        <v>PR1</v>
      </c>
      <c r="Z487" s="264" t="str">
        <f>IF(ResultsInd[[#This Row],[Score_OK]],IF(ResultsInd[[#This Row],[Level]]="R",ResultsInd[[#This Row],[Category]]&amp;"-"&amp;IF(ResultsInd[[#This Row],[LoseInKO]]=ResultsInd[[#This Row],[Category]]&amp;"-"&amp;ResultsInd[[#This Row],[Player A]],ResultsInd[[#This Row],[Player B]],ResultsInd[[#This Row],[Player A]]),""),"")</f>
        <v/>
      </c>
      <c r="AB487" s="8"/>
      <c r="AC487" s="12" t="str">
        <f t="shared" si="423"/>
        <v>U12</v>
      </c>
      <c r="AD487" s="309"/>
      <c r="AE487" s="310"/>
      <c r="AF487" s="311"/>
      <c r="AG487" s="292" t="str">
        <f>IF(AP487="","",SMALL(AH482:AH488,ROWS(AG482:AG487)))</f>
        <v/>
      </c>
      <c r="AH487" s="293" t="str">
        <f>IF(AP487="","",RANK(AL487,AL482:AL488)*1000+ROWS(AH482:AH487))</f>
        <v/>
      </c>
      <c r="AI487" s="316" t="str">
        <f t="shared" si="417"/>
        <v/>
      </c>
      <c r="AJ487" s="415" t="b">
        <f>AND(AO487&lt;&gt;"",AO487&gt;0,COUNTIF(AI482:AI488,AI487)&gt;1)</f>
        <v>0</v>
      </c>
      <c r="AK487" s="316" t="str">
        <f t="shared" si="418"/>
        <v/>
      </c>
      <c r="AL487" s="317" t="str">
        <f t="shared" si="419"/>
        <v/>
      </c>
      <c r="AM487" s="415" t="b">
        <f>AND(AO487&lt;&gt;"",AO487&gt;0,COUNTIF(AL482:AL488,AL487)&gt;1)</f>
        <v>0</v>
      </c>
      <c r="AN487" s="306" t="str">
        <f t="shared" si="420"/>
        <v/>
      </c>
      <c r="AO487" s="307" t="str">
        <f t="shared" si="421"/>
        <v/>
      </c>
      <c r="AP487" s="307" t="str">
        <f>IF(OR(AC481="",AD487=""),"",COUNTIF(ResultsInd[Win],AC481&amp;"-"&amp;AD487))</f>
        <v/>
      </c>
      <c r="AQ487" s="307" t="str">
        <f>IF(OR(AC481="",AD487=""),"",COUNTIF(ResultsInd[Draw1],AC481&amp;"-"&amp;AD487)+COUNTIF(ResultsInd[Draw2],AC481&amp;"-"&amp;AD487))</f>
        <v/>
      </c>
      <c r="AR487" s="307" t="str">
        <f>IF(OR(AC481="",AD487=""),"",COUNTIF(ResultsInd[Lose],AC481&amp;"-"&amp;AD487))</f>
        <v/>
      </c>
      <c r="AS487" s="307" t="str">
        <f>IF(OR(AC481="",AD487=""),"",SUMIFS(ResultsInd[Goal-A],ResultsInd[Category],AC481,ResultsInd[Stage],"Groups",ResultsInd[Player A],AD487)+SUMIFS(ResultsInd[Goal-B],ResultsInd[Category],AC481,ResultsInd[Stage],"Groups",ResultsInd[Player B],AD487))</f>
        <v/>
      </c>
      <c r="AT487" s="307" t="str">
        <f>IF(OR(AC481="",AD487=""),"",SUMIFS(ResultsInd[Goal-B],ResultsInd[Category],AC481,ResultsInd[Stage],"Groups",ResultsInd[Player A],AD487)+SUMIFS(ResultsInd[Goal-A],ResultsInd[Category],AC481,ResultsInd[Stage],"Groups",ResultsInd[Player B],AD487))</f>
        <v/>
      </c>
      <c r="AU487" s="308" t="str">
        <f t="shared" si="424"/>
        <v/>
      </c>
      <c r="AV487" s="469" t="str">
        <f>IF(AG487="","",OR(VLOOKUP(AG487,AH482:AU488,3,FALSE),VLOOKUP(AG487,AH482:AU488,6,FALSE)))</f>
        <v/>
      </c>
      <c r="AW487" s="298" t="str">
        <f t="shared" si="422"/>
        <v/>
      </c>
      <c r="AX487" s="285" t="str">
        <f>IF(AG487="","",INDEX(AD482:AD488,MATCH(AG487,AH482:AH488,0)))</f>
        <v/>
      </c>
      <c r="AY487" s="286" t="str">
        <f>IF(AG487="","",VLOOKUP(AG487,AH482:AU488,COLUMN()-COLUMN(AR481),FALSE))</f>
        <v/>
      </c>
      <c r="AZ487" s="286" t="str">
        <f>IF(AG487="","",VLOOKUP(AG487,AH482:AU488,COLUMN()-COLUMN(AR481),FALSE))</f>
        <v/>
      </c>
      <c r="BA487" s="286" t="str">
        <f>IF(AG487="","",VLOOKUP(AG487,AH482:AU488,COLUMN()-COLUMN(AR481),FALSE))</f>
        <v/>
      </c>
      <c r="BB487" s="286" t="str">
        <f>IF(AG487="","",VLOOKUP(AG487,AH482:AU488,COLUMN()-COLUMN(AR481),FALSE))</f>
        <v/>
      </c>
      <c r="BC487" s="286" t="str">
        <f>IF(AG487="","",VLOOKUP(AG487,AH482:AU488,COLUMN()-COLUMN(AR481),FALSE))</f>
        <v/>
      </c>
      <c r="BD487" s="286" t="str">
        <f>IF(AG487="","",VLOOKUP(AG487,AH482:AU488,COLUMN()-COLUMN(AR481),FALSE))</f>
        <v/>
      </c>
      <c r="BE487" s="286" t="str">
        <f>IF(AG487="","",VLOOKUP(AG487,AH482:AU488,COLUMN()-COLUMN(AR481),FALSE))</f>
        <v/>
      </c>
      <c r="BF487" s="301" t="str">
        <f>IF(AG487="","",VLOOKUP(AG487,AH482:AU488,COLUMN()-COLUMN(AR481),FALSE))</f>
        <v/>
      </c>
    </row>
    <row r="488" spans="1:58" ht="12" thickBot="1" x14ac:dyDescent="0.25">
      <c r="A488" s="62" t="s">
        <v>1023</v>
      </c>
      <c r="B488" s="62" t="s">
        <v>12207</v>
      </c>
      <c r="C488" s="62">
        <v>2</v>
      </c>
      <c r="D488" s="62"/>
      <c r="E488" s="345" t="s">
        <v>14477</v>
      </c>
      <c r="F488" s="345" t="s">
        <v>8721</v>
      </c>
      <c r="G488" s="113">
        <v>0</v>
      </c>
      <c r="H488" s="113">
        <v>5</v>
      </c>
      <c r="I488" s="114"/>
      <c r="J488" s="114"/>
      <c r="K488" s="114"/>
      <c r="L488" s="81"/>
      <c r="M488" s="265" t="b">
        <f>NOT(ISERROR(ResultsInd[[#This Row],[Goal-A]]+ResultsInd[[#This Row],[Goal-B]]))</f>
        <v>1</v>
      </c>
      <c r="N488" s="265">
        <f>VALUE(ResultsInd[[#This Row],[Score-A]])</f>
        <v>0</v>
      </c>
      <c r="O488" s="265">
        <f>VALUE(ResultsInd[[#This Row],[Score-B]])</f>
        <v>5</v>
      </c>
      <c r="P488" s="265">
        <f ca="1">IF(AND(ResultsInd[[#This Row],[Category]]&lt;&gt;"",ResultsInd[[#This Row],[Player A]]&lt;&gt;""),COUNTIF(INDIRECT(ResultsInd[[#This Row],[Category]]&amp;"List[Retained Player Name]"),ResultsInd[[#This Row],[Player A]]),"")</f>
        <v>1</v>
      </c>
      <c r="Q488" s="265">
        <f ca="1">IF(AND(ResultsInd[[#This Row],[Category]]&lt;&gt;"",ResultsInd[[#This Row],[Player B]]&lt;&gt;""),COUNTIF(INDIRECT(ResultsInd[[#This Row],[Category]]&amp;"List[Retained Player Name]"),ResultsInd[[#This Row],[Player B]]),"")</f>
        <v>1</v>
      </c>
      <c r="R4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U16-Rafaël Midoux</v>
      </c>
      <c r="S488" s="265" t="str">
        <f>IF(ResultsInd[[#This Row],[Score_OK]],IF(ResultsInd[[#This Row],[Stage]]="Groups",ResultsInd[[#This Row],[Category]]&amp;"-"&amp;IF(ResultsInd[[#This Row],[Player B]]="","",IF(ResultsInd[[#This Row],[Score-A]]=ResultsInd[[#This Row],[Score-B]],ResultsInd[[#This Row],[Player A]],"")),""),"")</f>
        <v>U16-</v>
      </c>
      <c r="T488" s="265" t="str">
        <f>IF(ResultsInd[[#This Row],[Score_OK]],IF(ResultsInd[[#This Row],[Stage]]="Groups",ResultsInd[[#This Row],[Category]]&amp;"-"&amp;IF(ResultsInd[[#This Row],[Player B]]="","",IF(ResultsInd[[#This Row],[Score-A]]=ResultsInd[[#This Row],[Score-B]],ResultsInd[[#This Row],[Player B]],"")),""),"")</f>
        <v>U16-</v>
      </c>
      <c r="U4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U16-Nathanaël Dhyne</v>
      </c>
      <c r="V4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X4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U16-Nathanaël Dhyne</v>
      </c>
      <c r="Y488" s="264" t="str">
        <f>IF(ResultsInd[[#This Row],[Category]]="","",VLOOKUP(ResultsInd[[#This Row],[Stage]],$P$1:$V$9,MATCH(ResultsInd[[#This Row],[Category]],$Q$1:$V$1,0)+1,FALSE))</f>
        <v>PR1</v>
      </c>
      <c r="Z488" s="264" t="str">
        <f>IF(ResultsInd[[#This Row],[Score_OK]],IF(ResultsInd[[#This Row],[Level]]="R",ResultsInd[[#This Row],[Category]]&amp;"-"&amp;IF(ResultsInd[[#This Row],[LoseInKO]]=ResultsInd[[#This Row],[Category]]&amp;"-"&amp;ResultsInd[[#This Row],[Player A]],ResultsInd[[#This Row],[Player B]],ResultsInd[[#This Row],[Player A]]),""),"")</f>
        <v/>
      </c>
      <c r="AB488" s="8"/>
      <c r="AC488" s="12" t="str">
        <f t="shared" si="423"/>
        <v>U12</v>
      </c>
      <c r="AD488" s="312"/>
      <c r="AE488" s="313"/>
      <c r="AF488" s="314"/>
      <c r="AG488" s="294" t="str">
        <f>IF(AP488="","",SMALL(AH482:AH488,ROWS(AG482:AG488)))</f>
        <v/>
      </c>
      <c r="AH488" s="295" t="str">
        <f>IF(AP488="","",RANK(AL488,AL482:AL488)*1000+ROWS(AH482:AH488))</f>
        <v/>
      </c>
      <c r="AI488" s="318" t="str">
        <f t="shared" si="417"/>
        <v/>
      </c>
      <c r="AJ488" s="416" t="b">
        <f>AND(AO488&lt;&gt;"",AO488&gt;0,COUNTIF(AI482:AI488,AI488)&gt;1)</f>
        <v>0</v>
      </c>
      <c r="AK488" s="318" t="str">
        <f t="shared" si="418"/>
        <v/>
      </c>
      <c r="AL488" s="319" t="str">
        <f t="shared" si="419"/>
        <v/>
      </c>
      <c r="AM488" s="416" t="b">
        <f>AND(AO488&lt;&gt;"",AO488&gt;0,COUNTIF(AL482:AL488,AL488)&gt;1)</f>
        <v>0</v>
      </c>
      <c r="AN488" s="306" t="str">
        <f t="shared" si="420"/>
        <v/>
      </c>
      <c r="AO488" s="307" t="str">
        <f t="shared" si="421"/>
        <v/>
      </c>
      <c r="AP488" s="307" t="str">
        <f>IF(OR(AC481="",AD488=""),"",COUNTIF(ResultsInd[Win],AC481&amp;"-"&amp;AD488))</f>
        <v/>
      </c>
      <c r="AQ488" s="307" t="str">
        <f>IF(OR(AC481="",AD488=""),"",COUNTIF(ResultsInd[Draw1],AC481&amp;"-"&amp;AD488)+COUNTIF(ResultsInd[Draw2],AC481&amp;"-"&amp;AD488))</f>
        <v/>
      </c>
      <c r="AR488" s="307" t="str">
        <f>IF(OR(AC481="",AD488=""),"",COUNTIF(ResultsInd[Lose],AC481&amp;"-"&amp;AD488))</f>
        <v/>
      </c>
      <c r="AS488" s="307" t="str">
        <f>IF(OR(AC481="",AD488=""),"",SUMIFS(ResultsInd[Goal-A],ResultsInd[Category],AC481,ResultsInd[Stage],"Groups",ResultsInd[Player A],AD488)+SUMIFS(ResultsInd[Goal-B],ResultsInd[Category],AC481,ResultsInd[Stage],"Groups",ResultsInd[Player B],AD488))</f>
        <v/>
      </c>
      <c r="AT488" s="307" t="str">
        <f>IF(OR(AC481="",AD488=""),"",SUMIFS(ResultsInd[Goal-B],ResultsInd[Category],AC481,ResultsInd[Stage],"Groups",ResultsInd[Player A],AD488)+SUMIFS(ResultsInd[Goal-A],ResultsInd[Category],AC481,ResultsInd[Stage],"Groups",ResultsInd[Player B],AD488))</f>
        <v/>
      </c>
      <c r="AU488" s="308" t="str">
        <f t="shared" si="424"/>
        <v/>
      </c>
      <c r="AV488" s="469" t="str">
        <f>IF(AG488="","",OR(VLOOKUP(AG488,AH482:AU488,3,FALSE),VLOOKUP(AG488,AH482:AU488,6,FALSE)))</f>
        <v/>
      </c>
      <c r="AW488" s="299" t="str">
        <f t="shared" si="422"/>
        <v/>
      </c>
      <c r="AX488" s="287" t="str">
        <f>IF(AG488="","",INDEX(AD482:AD488,MATCH(AG488,AH482:AH488,0)))</f>
        <v/>
      </c>
      <c r="AY488" s="288" t="str">
        <f>IF(AG488="","",VLOOKUP(AG488,AH482:AU488,COLUMN()-COLUMN(AR481),FALSE))</f>
        <v/>
      </c>
      <c r="AZ488" s="288" t="str">
        <f>IF(AG488="","",VLOOKUP(AG488,AH482:AU488,COLUMN()-COLUMN(AR481),FALSE))</f>
        <v/>
      </c>
      <c r="BA488" s="288" t="str">
        <f>IF(AG488="","",VLOOKUP(AG488,AH482:AU488,COLUMN()-COLUMN(AR481),FALSE))</f>
        <v/>
      </c>
      <c r="BB488" s="288" t="str">
        <f>IF(AG488="","",VLOOKUP(AG488,AH482:AU488,COLUMN()-COLUMN(AR481),FALSE))</f>
        <v/>
      </c>
      <c r="BC488" s="288" t="str">
        <f>IF(AG488="","",VLOOKUP(AG488,AH482:AU488,COLUMN()-COLUMN(AR481),FALSE))</f>
        <v/>
      </c>
      <c r="BD488" s="288" t="str">
        <f>IF(AG488="","",VLOOKUP(AG488,AH482:AU488,COLUMN()-COLUMN(AR481),FALSE))</f>
        <v/>
      </c>
      <c r="BE488" s="288" t="str">
        <f>IF(AG488="","",VLOOKUP(AG488,AH482:AU488,COLUMN()-COLUMN(AR481),FALSE))</f>
        <v/>
      </c>
      <c r="BF488" s="302" t="str">
        <f>IF(AG488="","",VLOOKUP(AG488,AH482:AU488,COLUMN()-COLUMN(AR481),FALSE))</f>
        <v/>
      </c>
    </row>
    <row r="489" spans="1:58" ht="13.5" thickBot="1" x14ac:dyDescent="0.25">
      <c r="A489" s="62" t="s">
        <v>1023</v>
      </c>
      <c r="B489" s="62" t="s">
        <v>12207</v>
      </c>
      <c r="C489" s="62">
        <v>2</v>
      </c>
      <c r="D489" s="62"/>
      <c r="E489" s="345" t="s">
        <v>8589</v>
      </c>
      <c r="F489" s="345" t="s">
        <v>8201</v>
      </c>
      <c r="G489" s="113">
        <v>5</v>
      </c>
      <c r="H489" s="113">
        <v>0</v>
      </c>
      <c r="I489" s="114"/>
      <c r="J489" s="114"/>
      <c r="K489" s="114"/>
      <c r="L489" s="81"/>
      <c r="M489" s="265" t="b">
        <f>NOT(ISERROR(ResultsInd[[#This Row],[Goal-A]]+ResultsInd[[#This Row],[Goal-B]]))</f>
        <v>1</v>
      </c>
      <c r="N489" s="265">
        <f>VALUE(ResultsInd[[#This Row],[Score-A]])</f>
        <v>5</v>
      </c>
      <c r="O489" s="265">
        <f>VALUE(ResultsInd[[#This Row],[Score-B]])</f>
        <v>0</v>
      </c>
      <c r="P489" s="265">
        <f ca="1">IF(AND(ResultsInd[[#This Row],[Category]]&lt;&gt;"",ResultsInd[[#This Row],[Player A]]&lt;&gt;""),COUNTIF(INDIRECT(ResultsInd[[#This Row],[Category]]&amp;"List[Retained Player Name]"),ResultsInd[[#This Row],[Player A]]),"")</f>
        <v>1</v>
      </c>
      <c r="Q489" s="265">
        <f ca="1">IF(AND(ResultsInd[[#This Row],[Category]]&lt;&gt;"",ResultsInd[[#This Row],[Player B]]&lt;&gt;""),COUNTIF(INDIRECT(ResultsInd[[#This Row],[Category]]&amp;"List[Retained Player Name]"),ResultsInd[[#This Row],[Player B]]),"")</f>
        <v>1</v>
      </c>
      <c r="R4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U16-Ruby Matthews</v>
      </c>
      <c r="S489" s="265" t="str">
        <f>IF(ResultsInd[[#This Row],[Score_OK]],IF(ResultsInd[[#This Row],[Stage]]="Groups",ResultsInd[[#This Row],[Category]]&amp;"-"&amp;IF(ResultsInd[[#This Row],[Player B]]="","",IF(ResultsInd[[#This Row],[Score-A]]=ResultsInd[[#This Row],[Score-B]],ResultsInd[[#This Row],[Player A]],"")),""),"")</f>
        <v>U16-</v>
      </c>
      <c r="T489" s="265" t="str">
        <f>IF(ResultsInd[[#This Row],[Score_OK]],IF(ResultsInd[[#This Row],[Stage]]="Groups",ResultsInd[[#This Row],[Category]]&amp;"-"&amp;IF(ResultsInd[[#This Row],[Player B]]="","",IF(ResultsInd[[#This Row],[Score-A]]=ResultsInd[[#This Row],[Score-B]],ResultsInd[[#This Row],[Player B]],"")),""),"")</f>
        <v>U16-</v>
      </c>
      <c r="U4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U16-Kostandinos Tsangouris</v>
      </c>
      <c r="V4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X4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U16-Kostandinos Tsangouris</v>
      </c>
      <c r="Y489" s="264" t="str">
        <f>IF(ResultsInd[[#This Row],[Category]]="","",VLOOKUP(ResultsInd[[#This Row],[Stage]],$P$1:$V$9,MATCH(ResultsInd[[#This Row],[Category]],$Q$1:$V$1,0)+1,FALSE))</f>
        <v>PR1</v>
      </c>
      <c r="Z489" s="264" t="str">
        <f>IF(ResultsInd[[#This Row],[Score_OK]],IF(ResultsInd[[#This Row],[Level]]="R",ResultsInd[[#This Row],[Category]]&amp;"-"&amp;IF(ResultsInd[[#This Row],[LoseInKO]]=ResultsInd[[#This Row],[Category]]&amp;"-"&amp;ResultsInd[[#This Row],[Player A]],ResultsInd[[#This Row],[Player B]],ResultsInd[[#This Row],[Player A]]),""),"")</f>
        <v/>
      </c>
      <c r="AB489" s="8"/>
      <c r="AC489" s="8"/>
      <c r="AF489" s="170"/>
      <c r="AG489" s="101"/>
      <c r="AH489" s="101"/>
      <c r="AN489" s="170"/>
      <c r="AO489" s="170"/>
      <c r="AP489" s="170"/>
      <c r="AQ489" s="172"/>
      <c r="AR489" s="173"/>
      <c r="AS489" s="173"/>
      <c r="AT489" s="173"/>
      <c r="AU489" s="101"/>
      <c r="AV489" s="101"/>
      <c r="AW489" s="101"/>
      <c r="AX489" s="101"/>
      <c r="AY489" s="101"/>
      <c r="AZ489" s="101"/>
    </row>
    <row r="490" spans="1:58" ht="12" thickBot="1" x14ac:dyDescent="0.25">
      <c r="A490" s="62" t="s">
        <v>1177</v>
      </c>
      <c r="B490" s="62" t="s">
        <v>12207</v>
      </c>
      <c r="C490" s="62">
        <v>1</v>
      </c>
      <c r="D490" s="62"/>
      <c r="E490" s="345" t="s">
        <v>11636</v>
      </c>
      <c r="F490" s="345" t="s">
        <v>14576</v>
      </c>
      <c r="G490" s="113">
        <v>5</v>
      </c>
      <c r="H490" s="113">
        <v>0</v>
      </c>
      <c r="I490" s="114"/>
      <c r="J490" s="114"/>
      <c r="K490" s="114"/>
      <c r="L490" s="81"/>
      <c r="M490" s="265" t="b">
        <f>NOT(ISERROR(ResultsInd[[#This Row],[Goal-A]]+ResultsInd[[#This Row],[Goal-B]]))</f>
        <v>1</v>
      </c>
      <c r="N490" s="265">
        <f>VALUE(ResultsInd[[#This Row],[Score-A]])</f>
        <v>5</v>
      </c>
      <c r="O490" s="265">
        <f>VALUE(ResultsInd[[#This Row],[Score-B]])</f>
        <v>0</v>
      </c>
      <c r="P490" s="265">
        <f ca="1">IF(AND(ResultsInd[[#This Row],[Category]]&lt;&gt;"",ResultsInd[[#This Row],[Player A]]&lt;&gt;""),COUNTIF(INDIRECT(ResultsInd[[#This Row],[Category]]&amp;"List[Retained Player Name]"),ResultsInd[[#This Row],[Player A]]),"")</f>
        <v>1</v>
      </c>
      <c r="Q490" s="265">
        <f ca="1">IF(AND(ResultsInd[[#This Row],[Category]]&lt;&gt;"",ResultsInd[[#This Row],[Player B]]&lt;&gt;""),COUNTIF(INDIRECT(ResultsInd[[#This Row],[Category]]&amp;"List[Retained Player Name]"),ResultsInd[[#This Row],[Player B]]),"")</f>
        <v>1</v>
      </c>
      <c r="R4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U12-Max Pereira</v>
      </c>
      <c r="S490" s="265" t="str">
        <f>IF(ResultsInd[[#This Row],[Score_OK]],IF(ResultsInd[[#This Row],[Stage]]="Groups",ResultsInd[[#This Row],[Category]]&amp;"-"&amp;IF(ResultsInd[[#This Row],[Player B]]="","",IF(ResultsInd[[#This Row],[Score-A]]=ResultsInd[[#This Row],[Score-B]],ResultsInd[[#This Row],[Player A]],"")),""),"")</f>
        <v>U12-</v>
      </c>
      <c r="T490" s="265" t="str">
        <f>IF(ResultsInd[[#This Row],[Score_OK]],IF(ResultsInd[[#This Row],[Stage]]="Groups",ResultsInd[[#This Row],[Category]]&amp;"-"&amp;IF(ResultsInd[[#This Row],[Player B]]="","",IF(ResultsInd[[#This Row],[Score-A]]=ResultsInd[[#This Row],[Score-B]],ResultsInd[[#This Row],[Player B]],"")),""),"")</f>
        <v>U12-</v>
      </c>
      <c r="U4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U12-Elea Tsangouris</v>
      </c>
      <c r="V4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U12-Elea Tsangouris</v>
      </c>
      <c r="X4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U12-Elea Tsangouris</v>
      </c>
      <c r="Y490" s="264" t="str">
        <f>IF(ResultsInd[[#This Row],[Category]]="","",VLOOKUP(ResultsInd[[#This Row],[Stage]],$P$1:$V$9,MATCH(ResultsInd[[#This Row],[Category]],$Q$1:$V$1,0)+1,FALSE))</f>
        <v>PR1</v>
      </c>
      <c r="Z490" s="264" t="str">
        <f>IF(ResultsInd[[#This Row],[Score_OK]],IF(ResultsInd[[#This Row],[Level]]="R",ResultsInd[[#This Row],[Category]]&amp;"-"&amp;IF(ResultsInd[[#This Row],[LoseInKO]]=ResultsInd[[#This Row],[Category]]&amp;"-"&amp;ResultsInd[[#This Row],[Player A]],ResultsInd[[#This Row],[Player B]],ResultsInd[[#This Row],[Player A]]),""),"")</f>
        <v/>
      </c>
      <c r="AB490" s="281">
        <v>2</v>
      </c>
      <c r="AC490" s="315" t="s">
        <v>1177</v>
      </c>
      <c r="AD490" s="289" t="s">
        <v>14439</v>
      </c>
      <c r="AE490" s="290" t="s">
        <v>12279</v>
      </c>
      <c r="AF490" s="284" t="s">
        <v>12275</v>
      </c>
      <c r="AG490" s="296" t="s">
        <v>12276</v>
      </c>
      <c r="AH490" s="291" t="s">
        <v>12271</v>
      </c>
      <c r="AI490" s="291" t="s">
        <v>12272</v>
      </c>
      <c r="AJ490" s="414" t="s">
        <v>13154</v>
      </c>
      <c r="AK490" s="291" t="s">
        <v>12273</v>
      </c>
      <c r="AL490" s="297" t="s">
        <v>12274</v>
      </c>
      <c r="AM490" s="414" t="s">
        <v>13154</v>
      </c>
      <c r="AN490" s="303" t="s">
        <v>12199</v>
      </c>
      <c r="AO490" s="304" t="s">
        <v>12200</v>
      </c>
      <c r="AP490" s="304" t="s">
        <v>12201</v>
      </c>
      <c r="AQ490" s="304" t="s">
        <v>12202</v>
      </c>
      <c r="AR490" s="304" t="s">
        <v>12203</v>
      </c>
      <c r="AS490" s="304" t="s">
        <v>12204</v>
      </c>
      <c r="AT490" s="304" t="s">
        <v>12205</v>
      </c>
      <c r="AU490" s="305" t="s">
        <v>12206</v>
      </c>
      <c r="AV490" s="468"/>
      <c r="AW490" s="282" t="s">
        <v>12276</v>
      </c>
      <c r="AX490" s="282" t="s">
        <v>12280</v>
      </c>
      <c r="AY490" s="283" t="s">
        <v>12199</v>
      </c>
      <c r="AZ490" s="283" t="s">
        <v>12200</v>
      </c>
      <c r="BA490" s="283" t="s">
        <v>12201</v>
      </c>
      <c r="BB490" s="283" t="s">
        <v>12202</v>
      </c>
      <c r="BC490" s="283" t="s">
        <v>12203</v>
      </c>
      <c r="BD490" s="283" t="s">
        <v>12204</v>
      </c>
      <c r="BE490" s="283" t="s">
        <v>12205</v>
      </c>
      <c r="BF490" s="300" t="s">
        <v>12206</v>
      </c>
    </row>
    <row r="491" spans="1:58" ht="12" thickBot="1" x14ac:dyDescent="0.25">
      <c r="A491" s="62" t="s">
        <v>1177</v>
      </c>
      <c r="B491" s="62" t="s">
        <v>12207</v>
      </c>
      <c r="C491" s="62">
        <v>1</v>
      </c>
      <c r="D491" s="62"/>
      <c r="E491" s="345" t="s">
        <v>8197</v>
      </c>
      <c r="F491" s="345" t="s">
        <v>12392</v>
      </c>
      <c r="G491" s="113">
        <v>0</v>
      </c>
      <c r="H491" s="113">
        <v>1</v>
      </c>
      <c r="I491" s="114"/>
      <c r="J491" s="114"/>
      <c r="K491" s="114"/>
      <c r="L491" s="81"/>
      <c r="M491" s="265" t="b">
        <f>NOT(ISERROR(ResultsInd[[#This Row],[Goal-A]]+ResultsInd[[#This Row],[Goal-B]]))</f>
        <v>1</v>
      </c>
      <c r="N491" s="265">
        <f>VALUE(ResultsInd[[#This Row],[Score-A]])</f>
        <v>0</v>
      </c>
      <c r="O491" s="265">
        <f>VALUE(ResultsInd[[#This Row],[Score-B]])</f>
        <v>1</v>
      </c>
      <c r="P491" s="265">
        <f ca="1">IF(AND(ResultsInd[[#This Row],[Category]]&lt;&gt;"",ResultsInd[[#This Row],[Player A]]&lt;&gt;""),COUNTIF(INDIRECT(ResultsInd[[#This Row],[Category]]&amp;"List[Retained Player Name]"),ResultsInd[[#This Row],[Player A]]),"")</f>
        <v>1</v>
      </c>
      <c r="Q491" s="265">
        <f ca="1">IF(AND(ResultsInd[[#This Row],[Category]]&lt;&gt;"",ResultsInd[[#This Row],[Player B]]&lt;&gt;""),COUNTIF(INDIRECT(ResultsInd[[#This Row],[Category]]&amp;"List[Retained Player Name]"),ResultsInd[[#This Row],[Player B]]),"")</f>
        <v>1</v>
      </c>
      <c r="R4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U12-Romain Joris</v>
      </c>
      <c r="S491" s="265" t="str">
        <f>IF(ResultsInd[[#This Row],[Score_OK]],IF(ResultsInd[[#This Row],[Stage]]="Groups",ResultsInd[[#This Row],[Category]]&amp;"-"&amp;IF(ResultsInd[[#This Row],[Player B]]="","",IF(ResultsInd[[#This Row],[Score-A]]=ResultsInd[[#This Row],[Score-B]],ResultsInd[[#This Row],[Player A]],"")),""),"")</f>
        <v>U12-</v>
      </c>
      <c r="T491" s="265" t="str">
        <f>IF(ResultsInd[[#This Row],[Score_OK]],IF(ResultsInd[[#This Row],[Stage]]="Groups",ResultsInd[[#This Row],[Category]]&amp;"-"&amp;IF(ResultsInd[[#This Row],[Player B]]="","",IF(ResultsInd[[#This Row],[Score-A]]=ResultsInd[[#This Row],[Score-B]],ResultsInd[[#This Row],[Player B]],"")),""),"")</f>
        <v>U12-</v>
      </c>
      <c r="U4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U12-Sophia Grosdent</v>
      </c>
      <c r="V4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U12-Sophia Grosdent</v>
      </c>
      <c r="X4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U12-Sophia Grosdent</v>
      </c>
      <c r="Y491" s="264" t="str">
        <f>IF(ResultsInd[[#This Row],[Category]]="","",VLOOKUP(ResultsInd[[#This Row],[Stage]],$P$1:$V$9,MATCH(ResultsInd[[#This Row],[Category]],$Q$1:$V$1,0)+1,FALSE))</f>
        <v>PR1</v>
      </c>
      <c r="Z491" s="264" t="str">
        <f>IF(ResultsInd[[#This Row],[Score_OK]],IF(ResultsInd[[#This Row],[Level]]="R",ResultsInd[[#This Row],[Category]]&amp;"-"&amp;IF(ResultsInd[[#This Row],[LoseInKO]]=ResultsInd[[#This Row],[Category]]&amp;"-"&amp;ResultsInd[[#This Row],[Player A]],ResultsInd[[#This Row],[Player B]],ResultsInd[[#This Row],[Player A]]),""),"")</f>
        <v/>
      </c>
      <c r="AB491" s="8"/>
      <c r="AC491" s="12" t="str">
        <f>IF(AC490="","",AC490)</f>
        <v>U12</v>
      </c>
      <c r="AD491" s="309" t="s">
        <v>10341</v>
      </c>
      <c r="AE491" s="320"/>
      <c r="AF491" s="311"/>
      <c r="AG491" s="292">
        <f>IF(AP491="","",SMALL(AH491:AH497,ROWS(AG491:AG491)))</f>
        <v>1001</v>
      </c>
      <c r="AH491" s="293">
        <f>IF(AP491="","",RANK(AL491,AL491:AL497)*1000+ROWS(AH491:AH491))</f>
        <v>1001</v>
      </c>
      <c r="AI491" s="316">
        <f t="shared" ref="AI491:AI497" si="425">IF(AP491="","",CritClassInd1_Points*AN491+CritClassInd1_Matches*AP491+CritClassInd1_Attaque*AS491+CritClassInd1_DiffButs*AU491)</f>
        <v>9000000000000</v>
      </c>
      <c r="AJ491" s="415" t="b">
        <f>AND(AO491&lt;&gt;"",AO491&gt;0,COUNTIF(AI491:AI497,AI491)&gt;1)</f>
        <v>0</v>
      </c>
      <c r="AK491" s="316">
        <f t="shared" ref="AK491:AK497" si="426">IF(AP491="","",CritClassInd_ScorePart*AE491)</f>
        <v>0</v>
      </c>
      <c r="AL491" s="317">
        <f t="shared" ref="AL491:AL497" si="427">IF(AP491="","",AI491+AK491+CritClassInd2_Points*AN491+CritClassInd2_Matches*AP491+CritClassInd2_Attaque*AS491+CritClassInd2_DiffButs*AU491+AF491)</f>
        <v>9000000080800</v>
      </c>
      <c r="AM491" s="415" t="b">
        <f>AND(AO491&lt;&gt;"",AO491&gt;0,COUNTIF(AL491:AL497,AL491)&gt;1)</f>
        <v>0</v>
      </c>
      <c r="AN491" s="306">
        <f t="shared" ref="AN491:AN497" si="428">IF(AP491="","",(AP491*Points_Victoire)+AQ491*Points_Null)</f>
        <v>9</v>
      </c>
      <c r="AO491" s="307">
        <f t="shared" ref="AO491:AO497" si="429">IF(AP491="","",SUM(AP491:AR491))</f>
        <v>3</v>
      </c>
      <c r="AP491" s="307">
        <f>IF(OR(AC490="",AD491=""),"",COUNTIF(ResultsInd[Win],AC490&amp;"-"&amp;AD491))</f>
        <v>3</v>
      </c>
      <c r="AQ491" s="307">
        <f>IF(OR(AC490="",AD491=""),"",COUNTIF(ResultsInd[Draw1],AC490&amp;"-"&amp;AD491)+COUNTIF(ResultsInd[Draw2],AC490&amp;"-"&amp;AD491))</f>
        <v>0</v>
      </c>
      <c r="AR491" s="307">
        <f>IF(OR(AC490="",AD491=""),"",COUNTIF(ResultsInd[Lose],AC490&amp;"-"&amp;AD491))</f>
        <v>0</v>
      </c>
      <c r="AS491" s="307">
        <f>IF(OR(AC490="",AD491=""),"",SUMIFS(ResultsInd[Goal-A],ResultsInd[Category],AC490,ResultsInd[Stage],"Groups",ResultsInd[Player A],AD491)+SUMIFS(ResultsInd[Goal-B],ResultsInd[Category],AC490,ResultsInd[Stage],"Groups",ResultsInd[Player B],AD491))</f>
        <v>8</v>
      </c>
      <c r="AT491" s="307">
        <f>IF(OR(AC490="",AD491=""),"",SUMIFS(ResultsInd[Goal-B],ResultsInd[Category],AC490,ResultsInd[Stage],"Groups",ResultsInd[Player A],AD491)+SUMIFS(ResultsInd[Goal-A],ResultsInd[Category],AC490,ResultsInd[Stage],"Groups",ResultsInd[Player B],AD491))</f>
        <v>0</v>
      </c>
      <c r="AU491" s="308">
        <f>IF(AP491="","",AS491-AT491)</f>
        <v>8</v>
      </c>
      <c r="AV491" s="469" t="b">
        <f>IF(AG491="","",OR(VLOOKUP(AG491,AH491:AU497,3,FALSE),VLOOKUP(AG491,AH491:AU497,6,FALSE)))</f>
        <v>0</v>
      </c>
      <c r="AW491" s="298">
        <f t="shared" ref="AW491:AW497" si="430">IF(AG491="","",INT(AG491/1000))</f>
        <v>1</v>
      </c>
      <c r="AX491" s="285" t="str">
        <f>IF(AG491="","",INDEX(AD491:AD497,MATCH(AG491,AH491:AH497,0)))</f>
        <v>Davide Balito</v>
      </c>
      <c r="AY491" s="286">
        <f>IF(AG491="","",VLOOKUP(AG491,AH491:AU497,COLUMN()-COLUMN(AR490),FALSE))</f>
        <v>9</v>
      </c>
      <c r="AZ491" s="286">
        <f>IF(AG491="","",VLOOKUP(AG491,AH491:AU497,COLUMN()-COLUMN(AR490),FALSE))</f>
        <v>3</v>
      </c>
      <c r="BA491" s="286">
        <f>IF(AG491="","",VLOOKUP(AG491,AH491:AU497,COLUMN()-COLUMN(AR490),FALSE))</f>
        <v>3</v>
      </c>
      <c r="BB491" s="286">
        <f>IF(AG491="","",VLOOKUP(AG491,AH491:AU497,COLUMN()-COLUMN(AR490),FALSE))</f>
        <v>0</v>
      </c>
      <c r="BC491" s="286">
        <f>IF(AG491="","",VLOOKUP(AG491,AH491:AU497,COLUMN()-COLUMN(AR490),FALSE))</f>
        <v>0</v>
      </c>
      <c r="BD491" s="286">
        <f>IF(AG491="","",VLOOKUP(AG491,AH491:AU497,COLUMN()-COLUMN(AR490),FALSE))</f>
        <v>8</v>
      </c>
      <c r="BE491" s="286">
        <f>IF(AG491="","",VLOOKUP(AG491,AH491:AU497,COLUMN()-COLUMN(AR490),FALSE))</f>
        <v>0</v>
      </c>
      <c r="BF491" s="301">
        <f>IF(AG491="","",VLOOKUP(AG491,AH491:AU497,COLUMN()-COLUMN(AR490),FALSE))</f>
        <v>8</v>
      </c>
    </row>
    <row r="492" spans="1:58" ht="12" thickBot="1" x14ac:dyDescent="0.25">
      <c r="A492" s="62" t="s">
        <v>1177</v>
      </c>
      <c r="B492" s="62" t="s">
        <v>12207</v>
      </c>
      <c r="C492" s="62">
        <v>1</v>
      </c>
      <c r="D492" s="62"/>
      <c r="E492" s="345" t="s">
        <v>11636</v>
      </c>
      <c r="F492" s="345" t="s">
        <v>8197</v>
      </c>
      <c r="G492" s="113">
        <v>5</v>
      </c>
      <c r="H492" s="113">
        <v>0</v>
      </c>
      <c r="I492" s="114"/>
      <c r="J492" s="114"/>
      <c r="K492" s="114"/>
      <c r="L492" s="81"/>
      <c r="M492" s="265" t="b">
        <f>NOT(ISERROR(ResultsInd[[#This Row],[Goal-A]]+ResultsInd[[#This Row],[Goal-B]]))</f>
        <v>1</v>
      </c>
      <c r="N492" s="265">
        <f>VALUE(ResultsInd[[#This Row],[Score-A]])</f>
        <v>5</v>
      </c>
      <c r="O492" s="265">
        <f>VALUE(ResultsInd[[#This Row],[Score-B]])</f>
        <v>0</v>
      </c>
      <c r="P492" s="265">
        <f ca="1">IF(AND(ResultsInd[[#This Row],[Category]]&lt;&gt;"",ResultsInd[[#This Row],[Player A]]&lt;&gt;""),COUNTIF(INDIRECT(ResultsInd[[#This Row],[Category]]&amp;"List[Retained Player Name]"),ResultsInd[[#This Row],[Player A]]),"")</f>
        <v>1</v>
      </c>
      <c r="Q492" s="265">
        <f ca="1">IF(AND(ResultsInd[[#This Row],[Category]]&lt;&gt;"",ResultsInd[[#This Row],[Player B]]&lt;&gt;""),COUNTIF(INDIRECT(ResultsInd[[#This Row],[Category]]&amp;"List[Retained Player Name]"),ResultsInd[[#This Row],[Player B]]),"")</f>
        <v>1</v>
      </c>
      <c r="R4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U12-Max Pereira</v>
      </c>
      <c r="S492" s="265" t="str">
        <f>IF(ResultsInd[[#This Row],[Score_OK]],IF(ResultsInd[[#This Row],[Stage]]="Groups",ResultsInd[[#This Row],[Category]]&amp;"-"&amp;IF(ResultsInd[[#This Row],[Player B]]="","",IF(ResultsInd[[#This Row],[Score-A]]=ResultsInd[[#This Row],[Score-B]],ResultsInd[[#This Row],[Player A]],"")),""),"")</f>
        <v>U12-</v>
      </c>
      <c r="T492" s="265" t="str">
        <f>IF(ResultsInd[[#This Row],[Score_OK]],IF(ResultsInd[[#This Row],[Stage]]="Groups",ResultsInd[[#This Row],[Category]]&amp;"-"&amp;IF(ResultsInd[[#This Row],[Player B]]="","",IF(ResultsInd[[#This Row],[Score-A]]=ResultsInd[[#This Row],[Score-B]],ResultsInd[[#This Row],[Player B]],"")),""),"")</f>
        <v>U12-</v>
      </c>
      <c r="U4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U12-Sophia Grosdent</v>
      </c>
      <c r="V4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U12-Sophia Grosdent</v>
      </c>
      <c r="X4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U12-Sophia Grosdent</v>
      </c>
      <c r="Y492" s="264" t="str">
        <f>IF(ResultsInd[[#This Row],[Category]]="","",VLOOKUP(ResultsInd[[#This Row],[Stage]],$P$1:$V$9,MATCH(ResultsInd[[#This Row],[Category]],$Q$1:$V$1,0)+1,FALSE))</f>
        <v>PR1</v>
      </c>
      <c r="Z492" s="264" t="str">
        <f>IF(ResultsInd[[#This Row],[Score_OK]],IF(ResultsInd[[#This Row],[Level]]="R",ResultsInd[[#This Row],[Category]]&amp;"-"&amp;IF(ResultsInd[[#This Row],[LoseInKO]]=ResultsInd[[#This Row],[Category]]&amp;"-"&amp;ResultsInd[[#This Row],[Player A]],ResultsInd[[#This Row],[Player B]],ResultsInd[[#This Row],[Player A]]),""),"")</f>
        <v/>
      </c>
      <c r="AB492" s="8"/>
      <c r="AC492" s="12" t="str">
        <f t="shared" ref="AC492:AC497" si="431">IF(AC491="","",AC491)</f>
        <v>U12</v>
      </c>
      <c r="AD492" s="309" t="s">
        <v>12390</v>
      </c>
      <c r="AE492" s="320"/>
      <c r="AF492" s="311"/>
      <c r="AG492" s="292">
        <f>IF(AP492="","",SMALL(AH491:AH497,ROWS(AG491:AG492)))</f>
        <v>2002</v>
      </c>
      <c r="AH492" s="293">
        <f>IF(AP492="","",RANK(AL492,AL491:AL497)*1000+ROWS(AH491:AH492))</f>
        <v>2002</v>
      </c>
      <c r="AI492" s="316">
        <f t="shared" si="425"/>
        <v>6000000000000</v>
      </c>
      <c r="AJ492" s="415" t="b">
        <f>AND(AO492&lt;&gt;"",AO492&gt;0,COUNTIF(AI491:AI497,AI492)&gt;1)</f>
        <v>0</v>
      </c>
      <c r="AK492" s="316">
        <f t="shared" si="426"/>
        <v>0</v>
      </c>
      <c r="AL492" s="317">
        <f t="shared" si="427"/>
        <v>6000000030500</v>
      </c>
      <c r="AM492" s="415" t="b">
        <f>AND(AO492&lt;&gt;"",AO492&gt;0,COUNTIF(AL491:AL497,AL492)&gt;1)</f>
        <v>0</v>
      </c>
      <c r="AN492" s="306">
        <f t="shared" si="428"/>
        <v>6</v>
      </c>
      <c r="AO492" s="307">
        <f t="shared" si="429"/>
        <v>3</v>
      </c>
      <c r="AP492" s="307">
        <f>IF(OR(AC490="",AD492=""),"",COUNTIF(ResultsInd[Win],AC490&amp;"-"&amp;AD492))</f>
        <v>2</v>
      </c>
      <c r="AQ492" s="307">
        <f>IF(OR(AC490="",AD492=""),"",COUNTIF(ResultsInd[Draw1],AC490&amp;"-"&amp;AD492)+COUNTIF(ResultsInd[Draw2],AC490&amp;"-"&amp;AD492))</f>
        <v>0</v>
      </c>
      <c r="AR492" s="307">
        <f>IF(OR(AC490="",AD492=""),"",COUNTIF(ResultsInd[Lose],AC490&amp;"-"&amp;AD492))</f>
        <v>1</v>
      </c>
      <c r="AS492" s="307">
        <f>IF(OR(AC490="",AD492=""),"",SUMIFS(ResultsInd[Goal-A],ResultsInd[Category],AC490,ResultsInd[Stage],"Groups",ResultsInd[Player A],AD492)+SUMIFS(ResultsInd[Goal-B],ResultsInd[Category],AC490,ResultsInd[Stage],"Groups",ResultsInd[Player B],AD492))</f>
        <v>5</v>
      </c>
      <c r="AT492" s="307">
        <f>IF(OR(AC490="",AD492=""),"",SUMIFS(ResultsInd[Goal-B],ResultsInd[Category],AC490,ResultsInd[Stage],"Groups",ResultsInd[Player A],AD492)+SUMIFS(ResultsInd[Goal-A],ResultsInd[Category],AC490,ResultsInd[Stage],"Groups",ResultsInd[Player B],AD492))</f>
        <v>2</v>
      </c>
      <c r="AU492" s="308">
        <f t="shared" ref="AU492:AU497" si="432">IF(AP492="","",AS492-AT492)</f>
        <v>3</v>
      </c>
      <c r="AV492" s="469" t="b">
        <f>IF(AG492="","",OR(VLOOKUP(AG492,AH491:AU497,3,FALSE),VLOOKUP(AG492,AH491:AU497,6,FALSE)))</f>
        <v>0</v>
      </c>
      <c r="AW492" s="298">
        <f t="shared" si="430"/>
        <v>2</v>
      </c>
      <c r="AX492" s="285" t="str">
        <f>IF(AG492="","",INDEX(AD491:AD497,MATCH(AG492,AH491:AH497,0)))</f>
        <v>Mathis Joachim</v>
      </c>
      <c r="AY492" s="286">
        <f>IF(AG492="","",VLOOKUP(AG492,AH491:AU497,COLUMN()-COLUMN(AR490),FALSE))</f>
        <v>6</v>
      </c>
      <c r="AZ492" s="286">
        <f>IF(AG492="","",VLOOKUP(AG492,AH491:AU497,COLUMN()-COLUMN(AR490),FALSE))</f>
        <v>3</v>
      </c>
      <c r="BA492" s="286">
        <f>IF(AG492="","",VLOOKUP(AG492,AH491:AU497,COLUMN()-COLUMN(AR490),FALSE))</f>
        <v>2</v>
      </c>
      <c r="BB492" s="286">
        <f>IF(AG492="","",VLOOKUP(AG492,AH491:AU497,COLUMN()-COLUMN(AR490),FALSE))</f>
        <v>0</v>
      </c>
      <c r="BC492" s="286">
        <f>IF(AG492="","",VLOOKUP(AG492,AH491:AU497,COLUMN()-COLUMN(AR490),FALSE))</f>
        <v>1</v>
      </c>
      <c r="BD492" s="286">
        <f>IF(AG492="","",VLOOKUP(AG492,AH491:AU497,COLUMN()-COLUMN(AR490),FALSE))</f>
        <v>5</v>
      </c>
      <c r="BE492" s="286">
        <f>IF(AG492="","",VLOOKUP(AG492,AH491:AU497,COLUMN()-COLUMN(AR490),FALSE))</f>
        <v>2</v>
      </c>
      <c r="BF492" s="301">
        <f>IF(AG492="","",VLOOKUP(AG492,AH491:AU497,COLUMN()-COLUMN(AR490),FALSE))</f>
        <v>3</v>
      </c>
    </row>
    <row r="493" spans="1:58" ht="12" thickBot="1" x14ac:dyDescent="0.25">
      <c r="A493" s="62" t="s">
        <v>1177</v>
      </c>
      <c r="B493" s="62" t="s">
        <v>12207</v>
      </c>
      <c r="C493" s="62">
        <v>1</v>
      </c>
      <c r="D493" s="62"/>
      <c r="E493" s="345" t="s">
        <v>14576</v>
      </c>
      <c r="F493" s="345" t="s">
        <v>12392</v>
      </c>
      <c r="G493" s="113">
        <v>0</v>
      </c>
      <c r="H493" s="113">
        <v>4</v>
      </c>
      <c r="I493" s="114"/>
      <c r="J493" s="114"/>
      <c r="K493" s="114"/>
      <c r="L493" s="81"/>
      <c r="M493" s="265" t="b">
        <f>NOT(ISERROR(ResultsInd[[#This Row],[Goal-A]]+ResultsInd[[#This Row],[Goal-B]]))</f>
        <v>1</v>
      </c>
      <c r="N493" s="265">
        <f>VALUE(ResultsInd[[#This Row],[Score-A]])</f>
        <v>0</v>
      </c>
      <c r="O493" s="265">
        <f>VALUE(ResultsInd[[#This Row],[Score-B]])</f>
        <v>4</v>
      </c>
      <c r="P493" s="265">
        <f ca="1">IF(AND(ResultsInd[[#This Row],[Category]]&lt;&gt;"",ResultsInd[[#This Row],[Player A]]&lt;&gt;""),COUNTIF(INDIRECT(ResultsInd[[#This Row],[Category]]&amp;"List[Retained Player Name]"),ResultsInd[[#This Row],[Player A]]),"")</f>
        <v>1</v>
      </c>
      <c r="Q493" s="265">
        <f ca="1">IF(AND(ResultsInd[[#This Row],[Category]]&lt;&gt;"",ResultsInd[[#This Row],[Player B]]&lt;&gt;""),COUNTIF(INDIRECT(ResultsInd[[#This Row],[Category]]&amp;"List[Retained Player Name]"),ResultsInd[[#This Row],[Player B]]),"")</f>
        <v>1</v>
      </c>
      <c r="R4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U12-Romain Joris</v>
      </c>
      <c r="S493" s="265" t="str">
        <f>IF(ResultsInd[[#This Row],[Score_OK]],IF(ResultsInd[[#This Row],[Stage]]="Groups",ResultsInd[[#This Row],[Category]]&amp;"-"&amp;IF(ResultsInd[[#This Row],[Player B]]="","",IF(ResultsInd[[#This Row],[Score-A]]=ResultsInd[[#This Row],[Score-B]],ResultsInd[[#This Row],[Player A]],"")),""),"")</f>
        <v>U12-</v>
      </c>
      <c r="T493" s="265" t="str">
        <f>IF(ResultsInd[[#This Row],[Score_OK]],IF(ResultsInd[[#This Row],[Stage]]="Groups",ResultsInd[[#This Row],[Category]]&amp;"-"&amp;IF(ResultsInd[[#This Row],[Player B]]="","",IF(ResultsInd[[#This Row],[Score-A]]=ResultsInd[[#This Row],[Score-B]],ResultsInd[[#This Row],[Player B]],"")),""),"")</f>
        <v>U12-</v>
      </c>
      <c r="U4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U12-Elea Tsangouris</v>
      </c>
      <c r="V4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U12-Elea Tsangouris</v>
      </c>
      <c r="X4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U12-Elea Tsangouris</v>
      </c>
      <c r="Y493" s="264" t="str">
        <f>IF(ResultsInd[[#This Row],[Category]]="","",VLOOKUP(ResultsInd[[#This Row],[Stage]],$P$1:$V$9,MATCH(ResultsInd[[#This Row],[Category]],$Q$1:$V$1,0)+1,FALSE))</f>
        <v>PR1</v>
      </c>
      <c r="Z493" s="264" t="str">
        <f>IF(ResultsInd[[#This Row],[Score_OK]],IF(ResultsInd[[#This Row],[Level]]="R",ResultsInd[[#This Row],[Category]]&amp;"-"&amp;IF(ResultsInd[[#This Row],[LoseInKO]]=ResultsInd[[#This Row],[Category]]&amp;"-"&amp;ResultsInd[[#This Row],[Player A]],ResultsInd[[#This Row],[Player B]],ResultsInd[[#This Row],[Player A]]),""),"")</f>
        <v/>
      </c>
      <c r="AB493" s="8"/>
      <c r="AC493" s="12" t="str">
        <f t="shared" si="431"/>
        <v>U12</v>
      </c>
      <c r="AD493" s="309" t="s">
        <v>13227</v>
      </c>
      <c r="AE493" s="320"/>
      <c r="AF493" s="311"/>
      <c r="AG493" s="292">
        <f>IF(AP493="","",SMALL(AH491:AH497,ROWS(AG491:AG493)))</f>
        <v>3003</v>
      </c>
      <c r="AH493" s="293">
        <f>IF(AP493="","",RANK(AL493,AL491:AL497)*1000+ROWS(AH491:AH493))</f>
        <v>3003</v>
      </c>
      <c r="AI493" s="316">
        <f t="shared" si="425"/>
        <v>3000000000000</v>
      </c>
      <c r="AJ493" s="415" t="b">
        <f>AND(AO493&lt;&gt;"",AO493&gt;0,COUNTIF(AI491:AI497,AI493)&gt;1)</f>
        <v>0</v>
      </c>
      <c r="AK493" s="316">
        <f t="shared" si="426"/>
        <v>0</v>
      </c>
      <c r="AL493" s="317">
        <f t="shared" si="427"/>
        <v>2999999970100</v>
      </c>
      <c r="AM493" s="415" t="b">
        <f>AND(AO493&lt;&gt;"",AO493&gt;0,COUNTIF(AL491:AL497,AL493)&gt;1)</f>
        <v>0</v>
      </c>
      <c r="AN493" s="306">
        <f t="shared" si="428"/>
        <v>3</v>
      </c>
      <c r="AO493" s="307">
        <f t="shared" si="429"/>
        <v>3</v>
      </c>
      <c r="AP493" s="307">
        <f>IF(OR(AC490="",AD493=""),"",COUNTIF(ResultsInd[Win],AC490&amp;"-"&amp;AD493))</f>
        <v>1</v>
      </c>
      <c r="AQ493" s="307">
        <f>IF(OR(AC490="",AD493=""),"",COUNTIF(ResultsInd[Draw1],AC490&amp;"-"&amp;AD493)+COUNTIF(ResultsInd[Draw2],AC490&amp;"-"&amp;AD493))</f>
        <v>0</v>
      </c>
      <c r="AR493" s="307">
        <f>IF(OR(AC490="",AD493=""),"",COUNTIF(ResultsInd[Lose],AC490&amp;"-"&amp;AD493))</f>
        <v>2</v>
      </c>
      <c r="AS493" s="307">
        <f>IF(OR(AC490="",AD493=""),"",SUMIFS(ResultsInd[Goal-A],ResultsInd[Category],AC490,ResultsInd[Stage],"Groups",ResultsInd[Player A],AD493)+SUMIFS(ResultsInd[Goal-B],ResultsInd[Category],AC490,ResultsInd[Stage],"Groups",ResultsInd[Player B],AD493))</f>
        <v>1</v>
      </c>
      <c r="AT493" s="307">
        <f>IF(OR(AC490="",AD493=""),"",SUMIFS(ResultsInd[Goal-B],ResultsInd[Category],AC490,ResultsInd[Stage],"Groups",ResultsInd[Player A],AD493)+SUMIFS(ResultsInd[Goal-A],ResultsInd[Category],AC490,ResultsInd[Stage],"Groups",ResultsInd[Player B],AD493))</f>
        <v>4</v>
      </c>
      <c r="AU493" s="308">
        <f t="shared" si="432"/>
        <v>-3</v>
      </c>
      <c r="AV493" s="469" t="b">
        <f>IF(AG493="","",OR(VLOOKUP(AG493,AH491:AU497,3,FALSE),VLOOKUP(AG493,AH491:AU497,6,FALSE)))</f>
        <v>0</v>
      </c>
      <c r="AW493" s="298">
        <f t="shared" si="430"/>
        <v>3</v>
      </c>
      <c r="AX493" s="285" t="str">
        <f>IF(AG493="","",INDEX(AD491:AD497,MATCH(AG493,AH491:AH497,0)))</f>
        <v>Adam Guyaux</v>
      </c>
      <c r="AY493" s="286">
        <f>IF(AG493="","",VLOOKUP(AG493,AH491:AU497,COLUMN()-COLUMN(AR490),FALSE))</f>
        <v>3</v>
      </c>
      <c r="AZ493" s="286">
        <f>IF(AG493="","",VLOOKUP(AG493,AH491:AU497,COLUMN()-COLUMN(AR490),FALSE))</f>
        <v>3</v>
      </c>
      <c r="BA493" s="286">
        <f>IF(AG493="","",VLOOKUP(AG493,AH491:AU497,COLUMN()-COLUMN(AR490),FALSE))</f>
        <v>1</v>
      </c>
      <c r="BB493" s="286">
        <f>IF(AG493="","",VLOOKUP(AG493,AH491:AU497,COLUMN()-COLUMN(AR490),FALSE))</f>
        <v>0</v>
      </c>
      <c r="BC493" s="286">
        <f>IF(AG493="","",VLOOKUP(AG493,AH491:AU497,COLUMN()-COLUMN(AR490),FALSE))</f>
        <v>2</v>
      </c>
      <c r="BD493" s="286">
        <f>IF(AG493="","",VLOOKUP(AG493,AH491:AU497,COLUMN()-COLUMN(AR490),FALSE))</f>
        <v>1</v>
      </c>
      <c r="BE493" s="286">
        <f>IF(AG493="","",VLOOKUP(AG493,AH491:AU497,COLUMN()-COLUMN(AR490),FALSE))</f>
        <v>4</v>
      </c>
      <c r="BF493" s="301">
        <f>IF(AG493="","",VLOOKUP(AG493,AH491:AU497,COLUMN()-COLUMN(AR490),FALSE))</f>
        <v>-3</v>
      </c>
    </row>
    <row r="494" spans="1:58" ht="12" thickBot="1" x14ac:dyDescent="0.25">
      <c r="A494" s="62" t="s">
        <v>1177</v>
      </c>
      <c r="B494" s="62" t="s">
        <v>12207</v>
      </c>
      <c r="C494" s="62">
        <v>1</v>
      </c>
      <c r="D494" s="62"/>
      <c r="E494" s="345" t="s">
        <v>12392</v>
      </c>
      <c r="F494" s="345" t="s">
        <v>11636</v>
      </c>
      <c r="G494" s="113">
        <v>1</v>
      </c>
      <c r="H494" s="113">
        <v>5</v>
      </c>
      <c r="I494" s="114"/>
      <c r="J494" s="114"/>
      <c r="K494" s="114"/>
      <c r="L494" s="81"/>
      <c r="M494" s="265" t="b">
        <f>NOT(ISERROR(ResultsInd[[#This Row],[Goal-A]]+ResultsInd[[#This Row],[Goal-B]]))</f>
        <v>1</v>
      </c>
      <c r="N494" s="265">
        <f>VALUE(ResultsInd[[#This Row],[Score-A]])</f>
        <v>1</v>
      </c>
      <c r="O494" s="265">
        <f>VALUE(ResultsInd[[#This Row],[Score-B]])</f>
        <v>5</v>
      </c>
      <c r="P494" s="265">
        <f ca="1">IF(AND(ResultsInd[[#This Row],[Category]]&lt;&gt;"",ResultsInd[[#This Row],[Player A]]&lt;&gt;""),COUNTIF(INDIRECT(ResultsInd[[#This Row],[Category]]&amp;"List[Retained Player Name]"),ResultsInd[[#This Row],[Player A]]),"")</f>
        <v>1</v>
      </c>
      <c r="Q494" s="265">
        <f ca="1">IF(AND(ResultsInd[[#This Row],[Category]]&lt;&gt;"",ResultsInd[[#This Row],[Player B]]&lt;&gt;""),COUNTIF(INDIRECT(ResultsInd[[#This Row],[Category]]&amp;"List[Retained Player Name]"),ResultsInd[[#This Row],[Player B]]),"")</f>
        <v>1</v>
      </c>
      <c r="R4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U12-Max Pereira</v>
      </c>
      <c r="S494" s="265" t="str">
        <f>IF(ResultsInd[[#This Row],[Score_OK]],IF(ResultsInd[[#This Row],[Stage]]="Groups",ResultsInd[[#This Row],[Category]]&amp;"-"&amp;IF(ResultsInd[[#This Row],[Player B]]="","",IF(ResultsInd[[#This Row],[Score-A]]=ResultsInd[[#This Row],[Score-B]],ResultsInd[[#This Row],[Player A]],"")),""),"")</f>
        <v>U12-</v>
      </c>
      <c r="T494" s="265" t="str">
        <f>IF(ResultsInd[[#This Row],[Score_OK]],IF(ResultsInd[[#This Row],[Stage]]="Groups",ResultsInd[[#This Row],[Category]]&amp;"-"&amp;IF(ResultsInd[[#This Row],[Player B]]="","",IF(ResultsInd[[#This Row],[Score-A]]=ResultsInd[[#This Row],[Score-B]],ResultsInd[[#This Row],[Player B]],"")),""),"")</f>
        <v>U12-</v>
      </c>
      <c r="U4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U12-Romain Joris</v>
      </c>
      <c r="V4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U12-Romain Joris</v>
      </c>
      <c r="X4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U12-Romain Joris</v>
      </c>
      <c r="Y494" s="264" t="str">
        <f>IF(ResultsInd[[#This Row],[Category]]="","",VLOOKUP(ResultsInd[[#This Row],[Stage]],$P$1:$V$9,MATCH(ResultsInd[[#This Row],[Category]],$Q$1:$V$1,0)+1,FALSE))</f>
        <v>PR1</v>
      </c>
      <c r="Z494" s="264" t="str">
        <f>IF(ResultsInd[[#This Row],[Score_OK]],IF(ResultsInd[[#This Row],[Level]]="R",ResultsInd[[#This Row],[Category]]&amp;"-"&amp;IF(ResultsInd[[#This Row],[LoseInKO]]=ResultsInd[[#This Row],[Category]]&amp;"-"&amp;ResultsInd[[#This Row],[Player A]],ResultsInd[[#This Row],[Player B]],ResultsInd[[#This Row],[Player A]]),""),"")</f>
        <v/>
      </c>
      <c r="AB494" s="91"/>
      <c r="AC494" s="12" t="str">
        <f t="shared" si="431"/>
        <v>U12</v>
      </c>
      <c r="AD494" s="309" t="s">
        <v>12373</v>
      </c>
      <c r="AE494" s="310"/>
      <c r="AF494" s="311"/>
      <c r="AG494" s="292">
        <f>IF(AP494="","",SMALL(AH491:AH497,ROWS(AG491:AG494)))</f>
        <v>4004</v>
      </c>
      <c r="AH494" s="293">
        <f>IF(AP494="","",RANK(AL494,AL491:AL497)*1000+ROWS(AH491:AH494))</f>
        <v>4004</v>
      </c>
      <c r="AI494" s="316">
        <f t="shared" si="425"/>
        <v>0</v>
      </c>
      <c r="AJ494" s="415" t="b">
        <f>AND(AO494&lt;&gt;"",AO494&gt;0,COUNTIF(AI491:AI497,AI494)&gt;1)</f>
        <v>0</v>
      </c>
      <c r="AK494" s="316">
        <f t="shared" si="426"/>
        <v>0</v>
      </c>
      <c r="AL494" s="317">
        <f t="shared" si="427"/>
        <v>-80000</v>
      </c>
      <c r="AM494" s="415" t="b">
        <f>AND(AO494&lt;&gt;"",AO494&gt;0,COUNTIF(AL491:AL497,AL494)&gt;1)</f>
        <v>0</v>
      </c>
      <c r="AN494" s="306">
        <f t="shared" si="428"/>
        <v>0</v>
      </c>
      <c r="AO494" s="307">
        <f t="shared" si="429"/>
        <v>3</v>
      </c>
      <c r="AP494" s="307">
        <f>IF(OR(AC490="",AD494=""),"",COUNTIF(ResultsInd[Win],AC490&amp;"-"&amp;AD494))</f>
        <v>0</v>
      </c>
      <c r="AQ494" s="307">
        <f>IF(OR(AC490="",AD494=""),"",COUNTIF(ResultsInd[Draw1],AC490&amp;"-"&amp;AD494)+COUNTIF(ResultsInd[Draw2],AC490&amp;"-"&amp;AD494))</f>
        <v>0</v>
      </c>
      <c r="AR494" s="307">
        <f>IF(OR(AC490="",AD494=""),"",COUNTIF(ResultsInd[Lose],AC490&amp;"-"&amp;AD494))</f>
        <v>3</v>
      </c>
      <c r="AS494" s="307">
        <f>IF(OR(AC490="",AD494=""),"",SUMIFS(ResultsInd[Goal-A],ResultsInd[Category],AC490,ResultsInd[Stage],"Groups",ResultsInd[Player A],AD494)+SUMIFS(ResultsInd[Goal-B],ResultsInd[Category],AC490,ResultsInd[Stage],"Groups",ResultsInd[Player B],AD494))</f>
        <v>0</v>
      </c>
      <c r="AT494" s="307">
        <f>IF(OR(AC490="",AD494=""),"",SUMIFS(ResultsInd[Goal-B],ResultsInd[Category],AC490,ResultsInd[Stage],"Groups",ResultsInd[Player A],AD494)+SUMIFS(ResultsInd[Goal-A],ResultsInd[Category],AC490,ResultsInd[Stage],"Groups",ResultsInd[Player B],AD494))</f>
        <v>8</v>
      </c>
      <c r="AU494" s="308">
        <f t="shared" si="432"/>
        <v>-8</v>
      </c>
      <c r="AV494" s="469" t="b">
        <f>IF(AG494="","",OR(VLOOKUP(AG494,AH491:AU497,3,FALSE),VLOOKUP(AG494,AH491:AU497,6,FALSE)))</f>
        <v>0</v>
      </c>
      <c r="AW494" s="298">
        <f t="shared" si="430"/>
        <v>4</v>
      </c>
      <c r="AX494" s="285" t="str">
        <f>IF(AG494="","",INDEX(AD491:AD497,MATCH(AG494,AH491:AH497,0)))</f>
        <v>Eva Goffin</v>
      </c>
      <c r="AY494" s="286">
        <f>IF(AG494="","",VLOOKUP(AG494,AH491:AU497,COLUMN()-COLUMN(AR490),FALSE))</f>
        <v>0</v>
      </c>
      <c r="AZ494" s="286">
        <f>IF(AG494="","",VLOOKUP(AG494,AH491:AU497,COLUMN()-COLUMN(AR490),FALSE))</f>
        <v>3</v>
      </c>
      <c r="BA494" s="286">
        <f>IF(AG494="","",VLOOKUP(AG494,AH491:AU497,COLUMN()-COLUMN(AR490),FALSE))</f>
        <v>0</v>
      </c>
      <c r="BB494" s="286">
        <f>IF(AG494="","",VLOOKUP(AG494,AH491:AU497,COLUMN()-COLUMN(AR490),FALSE))</f>
        <v>0</v>
      </c>
      <c r="BC494" s="286">
        <f>IF(AG494="","",VLOOKUP(AG494,AH491:AU497,COLUMN()-COLUMN(AR490),FALSE))</f>
        <v>3</v>
      </c>
      <c r="BD494" s="286">
        <f>IF(AG494="","",VLOOKUP(AG494,AH491:AU497,COLUMN()-COLUMN(AR490),FALSE))</f>
        <v>0</v>
      </c>
      <c r="BE494" s="286">
        <f>IF(AG494="","",VLOOKUP(AG494,AH491:AU497,COLUMN()-COLUMN(AR490),FALSE))</f>
        <v>8</v>
      </c>
      <c r="BF494" s="301">
        <f>IF(AG494="","",VLOOKUP(AG494,AH491:AU497,COLUMN()-COLUMN(AR490),FALSE))</f>
        <v>-8</v>
      </c>
    </row>
    <row r="495" spans="1:58" ht="12" thickBot="1" x14ac:dyDescent="0.25">
      <c r="A495" s="62" t="s">
        <v>1177</v>
      </c>
      <c r="B495" s="62" t="s">
        <v>12207</v>
      </c>
      <c r="C495" s="62">
        <v>1</v>
      </c>
      <c r="D495" s="62"/>
      <c r="E495" s="345" t="s">
        <v>14576</v>
      </c>
      <c r="F495" s="345" t="s">
        <v>8197</v>
      </c>
      <c r="G495" s="113">
        <v>0</v>
      </c>
      <c r="H495" s="113">
        <v>0</v>
      </c>
      <c r="I495" s="114"/>
      <c r="J495" s="114"/>
      <c r="K495" s="114"/>
      <c r="L495" s="81"/>
      <c r="M495" s="265" t="b">
        <f>NOT(ISERROR(ResultsInd[[#This Row],[Goal-A]]+ResultsInd[[#This Row],[Goal-B]]))</f>
        <v>1</v>
      </c>
      <c r="N495" s="265">
        <f>VALUE(ResultsInd[[#This Row],[Score-A]])</f>
        <v>0</v>
      </c>
      <c r="O495" s="265">
        <f>VALUE(ResultsInd[[#This Row],[Score-B]])</f>
        <v>0</v>
      </c>
      <c r="P495" s="265">
        <f ca="1">IF(AND(ResultsInd[[#This Row],[Category]]&lt;&gt;"",ResultsInd[[#This Row],[Player A]]&lt;&gt;""),COUNTIF(INDIRECT(ResultsInd[[#This Row],[Category]]&amp;"List[Retained Player Name]"),ResultsInd[[#This Row],[Player A]]),"")</f>
        <v>1</v>
      </c>
      <c r="Q495" s="265">
        <f ca="1">IF(AND(ResultsInd[[#This Row],[Category]]&lt;&gt;"",ResultsInd[[#This Row],[Player B]]&lt;&gt;""),COUNTIF(INDIRECT(ResultsInd[[#This Row],[Category]]&amp;"List[Retained Player Name]"),ResultsInd[[#This Row],[Player B]]),"")</f>
        <v>1</v>
      </c>
      <c r="R4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v>
      </c>
      <c r="S495" s="265" t="str">
        <f>IF(ResultsInd[[#This Row],[Score_OK]],IF(ResultsInd[[#This Row],[Stage]]="Groups",ResultsInd[[#This Row],[Category]]&amp;"-"&amp;IF(ResultsInd[[#This Row],[Player B]]="","",IF(ResultsInd[[#This Row],[Score-A]]=ResultsInd[[#This Row],[Score-B]],ResultsInd[[#This Row],[Player A]],"")),""),"")</f>
        <v>U12-Elea Tsangouris</v>
      </c>
      <c r="T495" s="265" t="str">
        <f>IF(ResultsInd[[#This Row],[Score_OK]],IF(ResultsInd[[#This Row],[Stage]]="Groups",ResultsInd[[#This Row],[Category]]&amp;"-"&amp;IF(ResultsInd[[#This Row],[Player B]]="","",IF(ResultsInd[[#This Row],[Score-A]]=ResultsInd[[#This Row],[Score-B]],ResultsInd[[#This Row],[Player B]],"")),""),"")</f>
        <v>U12-Sophia Grosdent</v>
      </c>
      <c r="U4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v>
      </c>
      <c r="V4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U12-Elea Tsangouris</v>
      </c>
      <c r="X4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U12-Sophia Grosdent</v>
      </c>
      <c r="Y495" s="264" t="str">
        <f>IF(ResultsInd[[#This Row],[Category]]="","",VLOOKUP(ResultsInd[[#This Row],[Stage]],$P$1:$V$9,MATCH(ResultsInd[[#This Row],[Category]],$Q$1:$V$1,0)+1,FALSE))</f>
        <v>PR1</v>
      </c>
      <c r="Z495" s="264" t="str">
        <f>IF(ResultsInd[[#This Row],[Score_OK]],IF(ResultsInd[[#This Row],[Level]]="R",ResultsInd[[#This Row],[Category]]&amp;"-"&amp;IF(ResultsInd[[#This Row],[LoseInKO]]=ResultsInd[[#This Row],[Category]]&amp;"-"&amp;ResultsInd[[#This Row],[Player A]],ResultsInd[[#This Row],[Player B]],ResultsInd[[#This Row],[Player A]]),""),"")</f>
        <v/>
      </c>
      <c r="AB495" s="91"/>
      <c r="AC495" s="12" t="str">
        <f t="shared" si="431"/>
        <v>U12</v>
      </c>
      <c r="AD495" s="309"/>
      <c r="AE495" s="310"/>
      <c r="AF495" s="311"/>
      <c r="AG495" s="292" t="str">
        <f>IF(AP495="","",SMALL(AH491:AH497,ROWS(AG491:AG495)))</f>
        <v/>
      </c>
      <c r="AH495" s="293" t="str">
        <f>IF(AP495="","",RANK(AL495,AL491:AL497)*1000+ROWS(AH491:AH495))</f>
        <v/>
      </c>
      <c r="AI495" s="316" t="str">
        <f t="shared" si="425"/>
        <v/>
      </c>
      <c r="AJ495" s="415" t="b">
        <f>AND(AO495&lt;&gt;"",AO495&gt;0,COUNTIF(AI491:AI497,AI495)&gt;1)</f>
        <v>0</v>
      </c>
      <c r="AK495" s="316" t="str">
        <f t="shared" si="426"/>
        <v/>
      </c>
      <c r="AL495" s="317" t="str">
        <f t="shared" si="427"/>
        <v/>
      </c>
      <c r="AM495" s="415" t="b">
        <f>AND(AO495&lt;&gt;"",AO495&gt;0,COUNTIF(AL491:AL497,AL495)&gt;1)</f>
        <v>0</v>
      </c>
      <c r="AN495" s="306" t="str">
        <f t="shared" si="428"/>
        <v/>
      </c>
      <c r="AO495" s="307" t="str">
        <f t="shared" si="429"/>
        <v/>
      </c>
      <c r="AP495" s="307" t="str">
        <f>IF(OR(AC490="",AD495=""),"",COUNTIF(ResultsInd[Win],AC490&amp;"-"&amp;AD495))</f>
        <v/>
      </c>
      <c r="AQ495" s="307" t="str">
        <f>IF(OR(AC490="",AD495=""),"",COUNTIF(ResultsInd[Draw1],AC490&amp;"-"&amp;AD495)+COUNTIF(ResultsInd[Draw2],AC490&amp;"-"&amp;AD495))</f>
        <v/>
      </c>
      <c r="AR495" s="307" t="str">
        <f>IF(OR(AC490="",AD495=""),"",COUNTIF(ResultsInd[Lose],AC490&amp;"-"&amp;AD495))</f>
        <v/>
      </c>
      <c r="AS495" s="307" t="str">
        <f>IF(OR(AC490="",AD495=""),"",SUMIFS(ResultsInd[Goal-A],ResultsInd[Category],AC490,ResultsInd[Stage],"Groups",ResultsInd[Player A],AD495)+SUMIFS(ResultsInd[Goal-B],ResultsInd[Category],AC490,ResultsInd[Stage],"Groups",ResultsInd[Player B],AD495))</f>
        <v/>
      </c>
      <c r="AT495" s="307" t="str">
        <f>IF(OR(AC490="",AD495=""),"",SUMIFS(ResultsInd[Goal-B],ResultsInd[Category],AC490,ResultsInd[Stage],"Groups",ResultsInd[Player A],AD495)+SUMIFS(ResultsInd[Goal-A],ResultsInd[Category],AC490,ResultsInd[Stage],"Groups",ResultsInd[Player B],AD495))</f>
        <v/>
      </c>
      <c r="AU495" s="308" t="str">
        <f t="shared" si="432"/>
        <v/>
      </c>
      <c r="AV495" s="469" t="str">
        <f>IF(AG495="","",OR(VLOOKUP(AG495,AH491:AU497,3,FALSE),VLOOKUP(AG495,AH491:AU497,6,FALSE)))</f>
        <v/>
      </c>
      <c r="AW495" s="298" t="str">
        <f t="shared" si="430"/>
        <v/>
      </c>
      <c r="AX495" s="285" t="str">
        <f>IF(AG495="","",INDEX(AD491:AD497,MATCH(AG495,AH491:AH497,0)))</f>
        <v/>
      </c>
      <c r="AY495" s="286" t="str">
        <f>IF(AG495="","",VLOOKUP(AG495,AH491:AU497,COLUMN()-COLUMN(AR490),FALSE))</f>
        <v/>
      </c>
      <c r="AZ495" s="286" t="str">
        <f>IF(AG495="","",VLOOKUP(AG495,AH491:AU497,COLUMN()-COLUMN(AR490),FALSE))</f>
        <v/>
      </c>
      <c r="BA495" s="286" t="str">
        <f>IF(AG495="","",VLOOKUP(AG495,AH491:AU497,COLUMN()-COLUMN(AR490),FALSE))</f>
        <v/>
      </c>
      <c r="BB495" s="286" t="str">
        <f>IF(AG495="","",VLOOKUP(AG495,AH491:AU497,COLUMN()-COLUMN(AR490),FALSE))</f>
        <v/>
      </c>
      <c r="BC495" s="286" t="str">
        <f>IF(AG495="","",VLOOKUP(AG495,AH491:AU497,COLUMN()-COLUMN(AR490),FALSE))</f>
        <v/>
      </c>
      <c r="BD495" s="286" t="str">
        <f>IF(AG495="","",VLOOKUP(AG495,AH491:AU497,COLUMN()-COLUMN(AR490),FALSE))</f>
        <v/>
      </c>
      <c r="BE495" s="286" t="str">
        <f>IF(AG495="","",VLOOKUP(AG495,AH491:AU497,COLUMN()-COLUMN(AR490),FALSE))</f>
        <v/>
      </c>
      <c r="BF495" s="301" t="str">
        <f>IF(AG495="","",VLOOKUP(AG495,AH491:AU497,COLUMN()-COLUMN(AR490),FALSE))</f>
        <v/>
      </c>
    </row>
    <row r="496" spans="1:58" ht="12" thickBot="1" x14ac:dyDescent="0.25">
      <c r="A496" s="62" t="s">
        <v>1177</v>
      </c>
      <c r="B496" s="62" t="s">
        <v>12207</v>
      </c>
      <c r="C496" s="62">
        <v>2</v>
      </c>
      <c r="D496" s="62"/>
      <c r="E496" s="345" t="s">
        <v>10341</v>
      </c>
      <c r="F496" s="345" t="s">
        <v>12373</v>
      </c>
      <c r="G496" s="113">
        <v>4</v>
      </c>
      <c r="H496" s="113">
        <v>0</v>
      </c>
      <c r="I496" s="114"/>
      <c r="J496" s="114"/>
      <c r="K496" s="114"/>
      <c r="L496" s="81"/>
      <c r="M496" s="265" t="b">
        <f>NOT(ISERROR(ResultsInd[[#This Row],[Goal-A]]+ResultsInd[[#This Row],[Goal-B]]))</f>
        <v>1</v>
      </c>
      <c r="N496" s="265">
        <f>VALUE(ResultsInd[[#This Row],[Score-A]])</f>
        <v>4</v>
      </c>
      <c r="O496" s="265">
        <f>VALUE(ResultsInd[[#This Row],[Score-B]])</f>
        <v>0</v>
      </c>
      <c r="P496" s="265">
        <f ca="1">IF(AND(ResultsInd[[#This Row],[Category]]&lt;&gt;"",ResultsInd[[#This Row],[Player A]]&lt;&gt;""),COUNTIF(INDIRECT(ResultsInd[[#This Row],[Category]]&amp;"List[Retained Player Name]"),ResultsInd[[#This Row],[Player A]]),"")</f>
        <v>1</v>
      </c>
      <c r="Q496" s="265">
        <f ca="1">IF(AND(ResultsInd[[#This Row],[Category]]&lt;&gt;"",ResultsInd[[#This Row],[Player B]]&lt;&gt;""),COUNTIF(INDIRECT(ResultsInd[[#This Row],[Category]]&amp;"List[Retained Player Name]"),ResultsInd[[#This Row],[Player B]]),"")</f>
        <v>1</v>
      </c>
      <c r="R4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U12-Davide Balito</v>
      </c>
      <c r="S496" s="265" t="str">
        <f>IF(ResultsInd[[#This Row],[Score_OK]],IF(ResultsInd[[#This Row],[Stage]]="Groups",ResultsInd[[#This Row],[Category]]&amp;"-"&amp;IF(ResultsInd[[#This Row],[Player B]]="","",IF(ResultsInd[[#This Row],[Score-A]]=ResultsInd[[#This Row],[Score-B]],ResultsInd[[#This Row],[Player A]],"")),""),"")</f>
        <v>U12-</v>
      </c>
      <c r="T496" s="265" t="str">
        <f>IF(ResultsInd[[#This Row],[Score_OK]],IF(ResultsInd[[#This Row],[Stage]]="Groups",ResultsInd[[#This Row],[Category]]&amp;"-"&amp;IF(ResultsInd[[#This Row],[Player B]]="","",IF(ResultsInd[[#This Row],[Score-A]]=ResultsInd[[#This Row],[Score-B]],ResultsInd[[#This Row],[Player B]],"")),""),"")</f>
        <v>U12-</v>
      </c>
      <c r="U4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U12-Eva Goffin</v>
      </c>
      <c r="V4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U12-Eva Goffin</v>
      </c>
      <c r="X4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U12-Eva Goffin</v>
      </c>
      <c r="Y496" s="264" t="str">
        <f>IF(ResultsInd[[#This Row],[Category]]="","",VLOOKUP(ResultsInd[[#This Row],[Stage]],$P$1:$V$9,MATCH(ResultsInd[[#This Row],[Category]],$Q$1:$V$1,0)+1,FALSE))</f>
        <v>PR1</v>
      </c>
      <c r="Z496" s="264" t="str">
        <f>IF(ResultsInd[[#This Row],[Score_OK]],IF(ResultsInd[[#This Row],[Level]]="R",ResultsInd[[#This Row],[Category]]&amp;"-"&amp;IF(ResultsInd[[#This Row],[LoseInKO]]=ResultsInd[[#This Row],[Category]]&amp;"-"&amp;ResultsInd[[#This Row],[Player A]],ResultsInd[[#This Row],[Player B]],ResultsInd[[#This Row],[Player A]]),""),"")</f>
        <v/>
      </c>
      <c r="AB496" s="8"/>
      <c r="AC496" s="12" t="str">
        <f t="shared" si="431"/>
        <v>U12</v>
      </c>
      <c r="AD496" s="309"/>
      <c r="AE496" s="310"/>
      <c r="AF496" s="311"/>
      <c r="AG496" s="292" t="str">
        <f>IF(AP496="","",SMALL(AH491:AH497,ROWS(AG491:AG496)))</f>
        <v/>
      </c>
      <c r="AH496" s="293" t="str">
        <f>IF(AP496="","",RANK(AL496,AL491:AL497)*1000+ROWS(AH491:AH496))</f>
        <v/>
      </c>
      <c r="AI496" s="316" t="str">
        <f t="shared" si="425"/>
        <v/>
      </c>
      <c r="AJ496" s="415" t="b">
        <f>AND(AO496&lt;&gt;"",AO496&gt;0,COUNTIF(AI491:AI497,AI496)&gt;1)</f>
        <v>0</v>
      </c>
      <c r="AK496" s="316" t="str">
        <f t="shared" si="426"/>
        <v/>
      </c>
      <c r="AL496" s="317" t="str">
        <f t="shared" si="427"/>
        <v/>
      </c>
      <c r="AM496" s="415" t="b">
        <f>AND(AO496&lt;&gt;"",AO496&gt;0,COUNTIF(AL491:AL497,AL496)&gt;1)</f>
        <v>0</v>
      </c>
      <c r="AN496" s="306" t="str">
        <f t="shared" si="428"/>
        <v/>
      </c>
      <c r="AO496" s="307" t="str">
        <f t="shared" si="429"/>
        <v/>
      </c>
      <c r="AP496" s="307" t="str">
        <f>IF(OR(AC490="",AD496=""),"",COUNTIF(ResultsInd[Win],AC490&amp;"-"&amp;AD496))</f>
        <v/>
      </c>
      <c r="AQ496" s="307" t="str">
        <f>IF(OR(AC490="",AD496=""),"",COUNTIF(ResultsInd[Draw1],AC490&amp;"-"&amp;AD496)+COUNTIF(ResultsInd[Draw2],AC490&amp;"-"&amp;AD496))</f>
        <v/>
      </c>
      <c r="AR496" s="307" t="str">
        <f>IF(OR(AC490="",AD496=""),"",COUNTIF(ResultsInd[Lose],AC490&amp;"-"&amp;AD496))</f>
        <v/>
      </c>
      <c r="AS496" s="307" t="str">
        <f>IF(OR(AC490="",AD496=""),"",SUMIFS(ResultsInd[Goal-A],ResultsInd[Category],AC490,ResultsInd[Stage],"Groups",ResultsInd[Player A],AD496)+SUMIFS(ResultsInd[Goal-B],ResultsInd[Category],AC490,ResultsInd[Stage],"Groups",ResultsInd[Player B],AD496))</f>
        <v/>
      </c>
      <c r="AT496" s="307" t="str">
        <f>IF(OR(AC490="",AD496=""),"",SUMIFS(ResultsInd[Goal-B],ResultsInd[Category],AC490,ResultsInd[Stage],"Groups",ResultsInd[Player A],AD496)+SUMIFS(ResultsInd[Goal-A],ResultsInd[Category],AC490,ResultsInd[Stage],"Groups",ResultsInd[Player B],AD496))</f>
        <v/>
      </c>
      <c r="AU496" s="308" t="str">
        <f t="shared" si="432"/>
        <v/>
      </c>
      <c r="AV496" s="469" t="str">
        <f>IF(AG496="","",OR(VLOOKUP(AG496,AH491:AU497,3,FALSE),VLOOKUP(AG496,AH491:AU497,6,FALSE)))</f>
        <v/>
      </c>
      <c r="AW496" s="298" t="str">
        <f t="shared" si="430"/>
        <v/>
      </c>
      <c r="AX496" s="285" t="str">
        <f>IF(AG496="","",INDEX(AD491:AD497,MATCH(AG496,AH491:AH497,0)))</f>
        <v/>
      </c>
      <c r="AY496" s="286" t="str">
        <f>IF(AG496="","",VLOOKUP(AG496,AH491:AU497,COLUMN()-COLUMN(AR490),FALSE))</f>
        <v/>
      </c>
      <c r="AZ496" s="286" t="str">
        <f>IF(AG496="","",VLOOKUP(AG496,AH491:AU497,COLUMN()-COLUMN(AR490),FALSE))</f>
        <v/>
      </c>
      <c r="BA496" s="286" t="str">
        <f>IF(AG496="","",VLOOKUP(AG496,AH491:AU497,COLUMN()-COLUMN(AR490),FALSE))</f>
        <v/>
      </c>
      <c r="BB496" s="286" t="str">
        <f>IF(AG496="","",VLOOKUP(AG496,AH491:AU497,COLUMN()-COLUMN(AR490),FALSE))</f>
        <v/>
      </c>
      <c r="BC496" s="286" t="str">
        <f>IF(AG496="","",VLOOKUP(AG496,AH491:AU497,COLUMN()-COLUMN(AR490),FALSE))</f>
        <v/>
      </c>
      <c r="BD496" s="286" t="str">
        <f>IF(AG496="","",VLOOKUP(AG496,AH491:AU497,COLUMN()-COLUMN(AR490),FALSE))</f>
        <v/>
      </c>
      <c r="BE496" s="286" t="str">
        <f>IF(AG496="","",VLOOKUP(AG496,AH491:AU497,COLUMN()-COLUMN(AR490),FALSE))</f>
        <v/>
      </c>
      <c r="BF496" s="301" t="str">
        <f>IF(AG496="","",VLOOKUP(AG496,AH491:AU497,COLUMN()-COLUMN(AR490),FALSE))</f>
        <v/>
      </c>
    </row>
    <row r="497" spans="1:58" ht="12" thickBot="1" x14ac:dyDescent="0.25">
      <c r="A497" s="62" t="s">
        <v>1177</v>
      </c>
      <c r="B497" s="62" t="s">
        <v>12207</v>
      </c>
      <c r="C497" s="62">
        <v>2</v>
      </c>
      <c r="D497" s="62"/>
      <c r="E497" s="345" t="s">
        <v>13227</v>
      </c>
      <c r="F497" s="345" t="s">
        <v>12390</v>
      </c>
      <c r="G497" s="113">
        <v>0</v>
      </c>
      <c r="H497" s="113">
        <v>2</v>
      </c>
      <c r="I497" s="114"/>
      <c r="J497" s="114"/>
      <c r="K497" s="114"/>
      <c r="L497" s="81"/>
      <c r="M497" s="265" t="b">
        <f>NOT(ISERROR(ResultsInd[[#This Row],[Goal-A]]+ResultsInd[[#This Row],[Goal-B]]))</f>
        <v>1</v>
      </c>
      <c r="N497" s="265">
        <f>VALUE(ResultsInd[[#This Row],[Score-A]])</f>
        <v>0</v>
      </c>
      <c r="O497" s="265">
        <f>VALUE(ResultsInd[[#This Row],[Score-B]])</f>
        <v>2</v>
      </c>
      <c r="P497" s="265">
        <f ca="1">IF(AND(ResultsInd[[#This Row],[Category]]&lt;&gt;"",ResultsInd[[#This Row],[Player A]]&lt;&gt;""),COUNTIF(INDIRECT(ResultsInd[[#This Row],[Category]]&amp;"List[Retained Player Name]"),ResultsInd[[#This Row],[Player A]]),"")</f>
        <v>1</v>
      </c>
      <c r="Q497" s="265">
        <f ca="1">IF(AND(ResultsInd[[#This Row],[Category]]&lt;&gt;"",ResultsInd[[#This Row],[Player B]]&lt;&gt;""),COUNTIF(INDIRECT(ResultsInd[[#This Row],[Category]]&amp;"List[Retained Player Name]"),ResultsInd[[#This Row],[Player B]]),"")</f>
        <v>1</v>
      </c>
      <c r="R4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U12-Mathis Joachim</v>
      </c>
      <c r="S497" s="265" t="str">
        <f>IF(ResultsInd[[#This Row],[Score_OK]],IF(ResultsInd[[#This Row],[Stage]]="Groups",ResultsInd[[#This Row],[Category]]&amp;"-"&amp;IF(ResultsInd[[#This Row],[Player B]]="","",IF(ResultsInd[[#This Row],[Score-A]]=ResultsInd[[#This Row],[Score-B]],ResultsInd[[#This Row],[Player A]],"")),""),"")</f>
        <v>U12-</v>
      </c>
      <c r="T497" s="265" t="str">
        <f>IF(ResultsInd[[#This Row],[Score_OK]],IF(ResultsInd[[#This Row],[Stage]]="Groups",ResultsInd[[#This Row],[Category]]&amp;"-"&amp;IF(ResultsInd[[#This Row],[Player B]]="","",IF(ResultsInd[[#This Row],[Score-A]]=ResultsInd[[#This Row],[Score-B]],ResultsInd[[#This Row],[Player B]],"")),""),"")</f>
        <v>U12-</v>
      </c>
      <c r="U4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U12-Adam Guyaux</v>
      </c>
      <c r="V4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U12-Adam Guyaux</v>
      </c>
      <c r="X4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U12-Adam Guyaux</v>
      </c>
      <c r="Y497" s="264" t="str">
        <f>IF(ResultsInd[[#This Row],[Category]]="","",VLOOKUP(ResultsInd[[#This Row],[Stage]],$P$1:$V$9,MATCH(ResultsInd[[#This Row],[Category]],$Q$1:$V$1,0)+1,FALSE))</f>
        <v>PR1</v>
      </c>
      <c r="Z497" s="264" t="str">
        <f>IF(ResultsInd[[#This Row],[Score_OK]],IF(ResultsInd[[#This Row],[Level]]="R",ResultsInd[[#This Row],[Category]]&amp;"-"&amp;IF(ResultsInd[[#This Row],[LoseInKO]]=ResultsInd[[#This Row],[Category]]&amp;"-"&amp;ResultsInd[[#This Row],[Player A]],ResultsInd[[#This Row],[Player B]],ResultsInd[[#This Row],[Player A]]),""),"")</f>
        <v/>
      </c>
      <c r="AB497" s="8"/>
      <c r="AC497" s="12" t="str">
        <f t="shared" si="431"/>
        <v>U12</v>
      </c>
      <c r="AD497" s="312"/>
      <c r="AE497" s="313"/>
      <c r="AF497" s="314"/>
      <c r="AG497" s="294" t="str">
        <f>IF(AP497="","",SMALL(AH491:AH497,ROWS(AG491:AG497)))</f>
        <v/>
      </c>
      <c r="AH497" s="295" t="str">
        <f>IF(AP497="","",RANK(AL497,AL491:AL497)*1000+ROWS(AH491:AH497))</f>
        <v/>
      </c>
      <c r="AI497" s="318" t="str">
        <f t="shared" si="425"/>
        <v/>
      </c>
      <c r="AJ497" s="416" t="b">
        <f>AND(AO497&lt;&gt;"",AO497&gt;0,COUNTIF(AI491:AI497,AI497)&gt;1)</f>
        <v>0</v>
      </c>
      <c r="AK497" s="318" t="str">
        <f t="shared" si="426"/>
        <v/>
      </c>
      <c r="AL497" s="319" t="str">
        <f t="shared" si="427"/>
        <v/>
      </c>
      <c r="AM497" s="416" t="b">
        <f>AND(AO497&lt;&gt;"",AO497&gt;0,COUNTIF(AL491:AL497,AL497)&gt;1)</f>
        <v>0</v>
      </c>
      <c r="AN497" s="306" t="str">
        <f t="shared" si="428"/>
        <v/>
      </c>
      <c r="AO497" s="307" t="str">
        <f t="shared" si="429"/>
        <v/>
      </c>
      <c r="AP497" s="307" t="str">
        <f>IF(OR(AC490="",AD497=""),"",COUNTIF(ResultsInd[Win],AC490&amp;"-"&amp;AD497))</f>
        <v/>
      </c>
      <c r="AQ497" s="307" t="str">
        <f>IF(OR(AC490="",AD497=""),"",COUNTIF(ResultsInd[Draw1],AC490&amp;"-"&amp;AD497)+COUNTIF(ResultsInd[Draw2],AC490&amp;"-"&amp;AD497))</f>
        <v/>
      </c>
      <c r="AR497" s="307" t="str">
        <f>IF(OR(AC490="",AD497=""),"",COUNTIF(ResultsInd[Lose],AC490&amp;"-"&amp;AD497))</f>
        <v/>
      </c>
      <c r="AS497" s="307" t="str">
        <f>IF(OR(AC490="",AD497=""),"",SUMIFS(ResultsInd[Goal-A],ResultsInd[Category],AC490,ResultsInd[Stage],"Groups",ResultsInd[Player A],AD497)+SUMIFS(ResultsInd[Goal-B],ResultsInd[Category],AC490,ResultsInd[Stage],"Groups",ResultsInd[Player B],AD497))</f>
        <v/>
      </c>
      <c r="AT497" s="307" t="str">
        <f>IF(OR(AC490="",AD497=""),"",SUMIFS(ResultsInd[Goal-B],ResultsInd[Category],AC490,ResultsInd[Stage],"Groups",ResultsInd[Player A],AD497)+SUMIFS(ResultsInd[Goal-A],ResultsInd[Category],AC490,ResultsInd[Stage],"Groups",ResultsInd[Player B],AD497))</f>
        <v/>
      </c>
      <c r="AU497" s="308" t="str">
        <f t="shared" si="432"/>
        <v/>
      </c>
      <c r="AV497" s="469" t="str">
        <f>IF(AG497="","",OR(VLOOKUP(AG497,AH491:AU497,3,FALSE),VLOOKUP(AG497,AH491:AU497,6,FALSE)))</f>
        <v/>
      </c>
      <c r="AW497" s="299" t="str">
        <f t="shared" si="430"/>
        <v/>
      </c>
      <c r="AX497" s="287" t="str">
        <f>IF(AG497="","",INDEX(AD491:AD497,MATCH(AG497,AH491:AH497,0)))</f>
        <v/>
      </c>
      <c r="AY497" s="288" t="str">
        <f>IF(AG497="","",VLOOKUP(AG497,AH491:AU497,COLUMN()-COLUMN(AR490),FALSE))</f>
        <v/>
      </c>
      <c r="AZ497" s="288" t="str">
        <f>IF(AG497="","",VLOOKUP(AG497,AH491:AU497,COLUMN()-COLUMN(AR490),FALSE))</f>
        <v/>
      </c>
      <c r="BA497" s="288" t="str">
        <f>IF(AG497="","",VLOOKUP(AG497,AH491:AU497,COLUMN()-COLUMN(AR490),FALSE))</f>
        <v/>
      </c>
      <c r="BB497" s="288" t="str">
        <f>IF(AG497="","",VLOOKUP(AG497,AH491:AU497,COLUMN()-COLUMN(AR490),FALSE))</f>
        <v/>
      </c>
      <c r="BC497" s="288" t="str">
        <f>IF(AG497="","",VLOOKUP(AG497,AH491:AU497,COLUMN()-COLUMN(AR490),FALSE))</f>
        <v/>
      </c>
      <c r="BD497" s="288" t="str">
        <f>IF(AG497="","",VLOOKUP(AG497,AH491:AU497,COLUMN()-COLUMN(AR490),FALSE))</f>
        <v/>
      </c>
      <c r="BE497" s="288" t="str">
        <f>IF(AG497="","",VLOOKUP(AG497,AH491:AU497,COLUMN()-COLUMN(AR490),FALSE))</f>
        <v/>
      </c>
      <c r="BF497" s="302" t="str">
        <f>IF(AG497="","",VLOOKUP(AG497,AH491:AU497,COLUMN()-COLUMN(AR490),FALSE))</f>
        <v/>
      </c>
    </row>
    <row r="498" spans="1:58" ht="13.5" thickBot="1" x14ac:dyDescent="0.25">
      <c r="A498" s="62" t="s">
        <v>1177</v>
      </c>
      <c r="B498" s="62" t="s">
        <v>12207</v>
      </c>
      <c r="C498" s="62">
        <v>2</v>
      </c>
      <c r="D498" s="62"/>
      <c r="E498" s="345" t="s">
        <v>10341</v>
      </c>
      <c r="F498" s="345" t="s">
        <v>13227</v>
      </c>
      <c r="G498" s="113">
        <v>2</v>
      </c>
      <c r="H498" s="113">
        <v>0</v>
      </c>
      <c r="I498" s="114"/>
      <c r="J498" s="114"/>
      <c r="K498" s="114"/>
      <c r="L498" s="81"/>
      <c r="M498" s="265" t="b">
        <f>NOT(ISERROR(ResultsInd[[#This Row],[Goal-A]]+ResultsInd[[#This Row],[Goal-B]]))</f>
        <v>1</v>
      </c>
      <c r="N498" s="265">
        <f>VALUE(ResultsInd[[#This Row],[Score-A]])</f>
        <v>2</v>
      </c>
      <c r="O498" s="265">
        <f>VALUE(ResultsInd[[#This Row],[Score-B]])</f>
        <v>0</v>
      </c>
      <c r="P498" s="265">
        <f ca="1">IF(AND(ResultsInd[[#This Row],[Category]]&lt;&gt;"",ResultsInd[[#This Row],[Player A]]&lt;&gt;""),COUNTIF(INDIRECT(ResultsInd[[#This Row],[Category]]&amp;"List[Retained Player Name]"),ResultsInd[[#This Row],[Player A]]),"")</f>
        <v>1</v>
      </c>
      <c r="Q498" s="265">
        <f ca="1">IF(AND(ResultsInd[[#This Row],[Category]]&lt;&gt;"",ResultsInd[[#This Row],[Player B]]&lt;&gt;""),COUNTIF(INDIRECT(ResultsInd[[#This Row],[Category]]&amp;"List[Retained Player Name]"),ResultsInd[[#This Row],[Player B]]),"")</f>
        <v>1</v>
      </c>
      <c r="R4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U12-Davide Balito</v>
      </c>
      <c r="S498" s="265" t="str">
        <f>IF(ResultsInd[[#This Row],[Score_OK]],IF(ResultsInd[[#This Row],[Stage]]="Groups",ResultsInd[[#This Row],[Category]]&amp;"-"&amp;IF(ResultsInd[[#This Row],[Player B]]="","",IF(ResultsInd[[#This Row],[Score-A]]=ResultsInd[[#This Row],[Score-B]],ResultsInd[[#This Row],[Player A]],"")),""),"")</f>
        <v>U12-</v>
      </c>
      <c r="T498" s="265" t="str">
        <f>IF(ResultsInd[[#This Row],[Score_OK]],IF(ResultsInd[[#This Row],[Stage]]="Groups",ResultsInd[[#This Row],[Category]]&amp;"-"&amp;IF(ResultsInd[[#This Row],[Player B]]="","",IF(ResultsInd[[#This Row],[Score-A]]=ResultsInd[[#This Row],[Score-B]],ResultsInd[[#This Row],[Player B]],"")),""),"")</f>
        <v>U12-</v>
      </c>
      <c r="U4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U12-Adam Guyaux</v>
      </c>
      <c r="V4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U12-Adam Guyaux</v>
      </c>
      <c r="X4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U12-Adam Guyaux</v>
      </c>
      <c r="Y498" s="264" t="str">
        <f>IF(ResultsInd[[#This Row],[Category]]="","",VLOOKUP(ResultsInd[[#This Row],[Stage]],$P$1:$V$9,MATCH(ResultsInd[[#This Row],[Category]],$Q$1:$V$1,0)+1,FALSE))</f>
        <v>PR1</v>
      </c>
      <c r="Z498" s="264" t="str">
        <f>IF(ResultsInd[[#This Row],[Score_OK]],IF(ResultsInd[[#This Row],[Level]]="R",ResultsInd[[#This Row],[Category]]&amp;"-"&amp;IF(ResultsInd[[#This Row],[LoseInKO]]=ResultsInd[[#This Row],[Category]]&amp;"-"&amp;ResultsInd[[#This Row],[Player A]],ResultsInd[[#This Row],[Player B]],ResultsInd[[#This Row],[Player A]]),""),"")</f>
        <v/>
      </c>
      <c r="AB498" s="8"/>
      <c r="AC498" s="8"/>
      <c r="AF498" s="170"/>
      <c r="AG498" s="101"/>
      <c r="AH498" s="101"/>
      <c r="AN498" s="170"/>
      <c r="AO498" s="170"/>
      <c r="AP498" s="170"/>
      <c r="AQ498" s="172"/>
      <c r="AR498" s="173"/>
      <c r="AS498" s="173"/>
      <c r="AT498" s="173"/>
      <c r="AU498" s="101"/>
      <c r="AV498" s="101"/>
      <c r="AW498" s="101"/>
      <c r="AX498" s="101"/>
      <c r="AY498" s="101"/>
      <c r="AZ498" s="101"/>
    </row>
    <row r="499" spans="1:58" ht="12" thickBot="1" x14ac:dyDescent="0.25">
      <c r="A499" s="62" t="s">
        <v>1177</v>
      </c>
      <c r="B499" s="62" t="s">
        <v>12207</v>
      </c>
      <c r="C499" s="62">
        <v>2</v>
      </c>
      <c r="D499" s="62"/>
      <c r="E499" s="345" t="s">
        <v>12373</v>
      </c>
      <c r="F499" s="345" t="s">
        <v>12390</v>
      </c>
      <c r="G499" s="113">
        <v>0</v>
      </c>
      <c r="H499" s="113">
        <v>3</v>
      </c>
      <c r="I499" s="114"/>
      <c r="J499" s="114"/>
      <c r="K499" s="114"/>
      <c r="L499" s="81"/>
      <c r="M499" s="265" t="b">
        <f>NOT(ISERROR(ResultsInd[[#This Row],[Goal-A]]+ResultsInd[[#This Row],[Goal-B]]))</f>
        <v>1</v>
      </c>
      <c r="N499" s="265">
        <f>VALUE(ResultsInd[[#This Row],[Score-A]])</f>
        <v>0</v>
      </c>
      <c r="O499" s="265">
        <f>VALUE(ResultsInd[[#This Row],[Score-B]])</f>
        <v>3</v>
      </c>
      <c r="P499" s="265">
        <f ca="1">IF(AND(ResultsInd[[#This Row],[Category]]&lt;&gt;"",ResultsInd[[#This Row],[Player A]]&lt;&gt;""),COUNTIF(INDIRECT(ResultsInd[[#This Row],[Category]]&amp;"List[Retained Player Name]"),ResultsInd[[#This Row],[Player A]]),"")</f>
        <v>1</v>
      </c>
      <c r="Q499" s="265">
        <f ca="1">IF(AND(ResultsInd[[#This Row],[Category]]&lt;&gt;"",ResultsInd[[#This Row],[Player B]]&lt;&gt;""),COUNTIF(INDIRECT(ResultsInd[[#This Row],[Category]]&amp;"List[Retained Player Name]"),ResultsInd[[#This Row],[Player B]]),"")</f>
        <v>1</v>
      </c>
      <c r="R4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U12-Mathis Joachim</v>
      </c>
      <c r="S499" s="265" t="str">
        <f>IF(ResultsInd[[#This Row],[Score_OK]],IF(ResultsInd[[#This Row],[Stage]]="Groups",ResultsInd[[#This Row],[Category]]&amp;"-"&amp;IF(ResultsInd[[#This Row],[Player B]]="","",IF(ResultsInd[[#This Row],[Score-A]]=ResultsInd[[#This Row],[Score-B]],ResultsInd[[#This Row],[Player A]],"")),""),"")</f>
        <v>U12-</v>
      </c>
      <c r="T499" s="265" t="str">
        <f>IF(ResultsInd[[#This Row],[Score_OK]],IF(ResultsInd[[#This Row],[Stage]]="Groups",ResultsInd[[#This Row],[Category]]&amp;"-"&amp;IF(ResultsInd[[#This Row],[Player B]]="","",IF(ResultsInd[[#This Row],[Score-A]]=ResultsInd[[#This Row],[Score-B]],ResultsInd[[#This Row],[Player B]],"")),""),"")</f>
        <v>U12-</v>
      </c>
      <c r="U4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U12-Eva Goffin</v>
      </c>
      <c r="V4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U12-Eva Goffin</v>
      </c>
      <c r="X4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U12-Eva Goffin</v>
      </c>
      <c r="Y499" s="264" t="str">
        <f>IF(ResultsInd[[#This Row],[Category]]="","",VLOOKUP(ResultsInd[[#This Row],[Stage]],$P$1:$V$9,MATCH(ResultsInd[[#This Row],[Category]],$Q$1:$V$1,0)+1,FALSE))</f>
        <v>PR1</v>
      </c>
      <c r="Z499" s="264" t="str">
        <f>IF(ResultsInd[[#This Row],[Score_OK]],IF(ResultsInd[[#This Row],[Level]]="R",ResultsInd[[#This Row],[Category]]&amp;"-"&amp;IF(ResultsInd[[#This Row],[LoseInKO]]=ResultsInd[[#This Row],[Category]]&amp;"-"&amp;ResultsInd[[#This Row],[Player A]],ResultsInd[[#This Row],[Player B]],ResultsInd[[#This Row],[Player A]]),""),"")</f>
        <v/>
      </c>
      <c r="AB499" s="281">
        <v>3</v>
      </c>
      <c r="AC499" s="315" t="s">
        <v>1177</v>
      </c>
      <c r="AD499" s="289" t="s">
        <v>14439</v>
      </c>
      <c r="AE499" s="290" t="s">
        <v>12279</v>
      </c>
      <c r="AF499" s="284" t="s">
        <v>12275</v>
      </c>
      <c r="AG499" s="296" t="s">
        <v>12276</v>
      </c>
      <c r="AH499" s="291" t="s">
        <v>12271</v>
      </c>
      <c r="AI499" s="291" t="s">
        <v>12272</v>
      </c>
      <c r="AJ499" s="414" t="s">
        <v>13154</v>
      </c>
      <c r="AK499" s="291" t="s">
        <v>12273</v>
      </c>
      <c r="AL499" s="297" t="s">
        <v>12274</v>
      </c>
      <c r="AM499" s="414" t="s">
        <v>13154</v>
      </c>
      <c r="AN499" s="303" t="s">
        <v>12199</v>
      </c>
      <c r="AO499" s="304" t="s">
        <v>12200</v>
      </c>
      <c r="AP499" s="304" t="s">
        <v>12201</v>
      </c>
      <c r="AQ499" s="304" t="s">
        <v>12202</v>
      </c>
      <c r="AR499" s="304" t="s">
        <v>12203</v>
      </c>
      <c r="AS499" s="304" t="s">
        <v>12204</v>
      </c>
      <c r="AT499" s="304" t="s">
        <v>12205</v>
      </c>
      <c r="AU499" s="305" t="s">
        <v>12206</v>
      </c>
      <c r="AV499" s="468"/>
      <c r="AW499" s="282" t="s">
        <v>12276</v>
      </c>
      <c r="AX499" s="282" t="s">
        <v>12280</v>
      </c>
      <c r="AY499" s="283" t="s">
        <v>12199</v>
      </c>
      <c r="AZ499" s="283" t="s">
        <v>12200</v>
      </c>
      <c r="BA499" s="283" t="s">
        <v>12201</v>
      </c>
      <c r="BB499" s="283" t="s">
        <v>12202</v>
      </c>
      <c r="BC499" s="283" t="s">
        <v>12203</v>
      </c>
      <c r="BD499" s="283" t="s">
        <v>12204</v>
      </c>
      <c r="BE499" s="283" t="s">
        <v>12205</v>
      </c>
      <c r="BF499" s="300" t="s">
        <v>12206</v>
      </c>
    </row>
    <row r="500" spans="1:58" ht="12" thickBot="1" x14ac:dyDescent="0.25">
      <c r="A500" s="62" t="s">
        <v>1177</v>
      </c>
      <c r="B500" s="62" t="s">
        <v>12207</v>
      </c>
      <c r="C500" s="62">
        <v>2</v>
      </c>
      <c r="D500" s="62"/>
      <c r="E500" s="345" t="s">
        <v>12390</v>
      </c>
      <c r="F500" s="345" t="s">
        <v>10341</v>
      </c>
      <c r="G500" s="113">
        <v>0</v>
      </c>
      <c r="H500" s="113">
        <v>2</v>
      </c>
      <c r="I500" s="114"/>
      <c r="J500" s="114"/>
      <c r="K500" s="114"/>
      <c r="L500" s="81"/>
      <c r="M500" s="265" t="b">
        <f>NOT(ISERROR(ResultsInd[[#This Row],[Goal-A]]+ResultsInd[[#This Row],[Goal-B]]))</f>
        <v>1</v>
      </c>
      <c r="N500" s="265">
        <f>VALUE(ResultsInd[[#This Row],[Score-A]])</f>
        <v>0</v>
      </c>
      <c r="O500" s="265">
        <f>VALUE(ResultsInd[[#This Row],[Score-B]])</f>
        <v>2</v>
      </c>
      <c r="P500" s="265">
        <f ca="1">IF(AND(ResultsInd[[#This Row],[Category]]&lt;&gt;"",ResultsInd[[#This Row],[Player A]]&lt;&gt;""),COUNTIF(INDIRECT(ResultsInd[[#This Row],[Category]]&amp;"List[Retained Player Name]"),ResultsInd[[#This Row],[Player A]]),"")</f>
        <v>1</v>
      </c>
      <c r="Q500" s="265">
        <f ca="1">IF(AND(ResultsInd[[#This Row],[Category]]&lt;&gt;"",ResultsInd[[#This Row],[Player B]]&lt;&gt;""),COUNTIF(INDIRECT(ResultsInd[[#This Row],[Category]]&amp;"List[Retained Player Name]"),ResultsInd[[#This Row],[Player B]]),"")</f>
        <v>1</v>
      </c>
      <c r="R5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U12-Davide Balito</v>
      </c>
      <c r="S500" s="265" t="str">
        <f>IF(ResultsInd[[#This Row],[Score_OK]],IF(ResultsInd[[#This Row],[Stage]]="Groups",ResultsInd[[#This Row],[Category]]&amp;"-"&amp;IF(ResultsInd[[#This Row],[Player B]]="","",IF(ResultsInd[[#This Row],[Score-A]]=ResultsInd[[#This Row],[Score-B]],ResultsInd[[#This Row],[Player A]],"")),""),"")</f>
        <v>U12-</v>
      </c>
      <c r="T500" s="265" t="str">
        <f>IF(ResultsInd[[#This Row],[Score_OK]],IF(ResultsInd[[#This Row],[Stage]]="Groups",ResultsInd[[#This Row],[Category]]&amp;"-"&amp;IF(ResultsInd[[#This Row],[Player B]]="","",IF(ResultsInd[[#This Row],[Score-A]]=ResultsInd[[#This Row],[Score-B]],ResultsInd[[#This Row],[Player B]],"")),""),"")</f>
        <v>U12-</v>
      </c>
      <c r="U5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U12-Mathis Joachim</v>
      </c>
      <c r="V5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U12-Mathis Joachim</v>
      </c>
      <c r="X5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U12-Mathis Joachim</v>
      </c>
      <c r="Y500" s="264" t="str">
        <f>IF(ResultsInd[[#This Row],[Category]]="","",VLOOKUP(ResultsInd[[#This Row],[Stage]],$P$1:$V$9,MATCH(ResultsInd[[#This Row],[Category]],$Q$1:$V$1,0)+1,FALSE))</f>
        <v>PR1</v>
      </c>
      <c r="Z500" s="264" t="str">
        <f>IF(ResultsInd[[#This Row],[Score_OK]],IF(ResultsInd[[#This Row],[Level]]="R",ResultsInd[[#This Row],[Category]]&amp;"-"&amp;IF(ResultsInd[[#This Row],[LoseInKO]]=ResultsInd[[#This Row],[Category]]&amp;"-"&amp;ResultsInd[[#This Row],[Player A]],ResultsInd[[#This Row],[Player B]],ResultsInd[[#This Row],[Player A]]),""),"")</f>
        <v/>
      </c>
      <c r="AB500" s="8"/>
      <c r="AC500" s="12" t="str">
        <f>IF(AC499="","",AC499)</f>
        <v>U12</v>
      </c>
      <c r="AD500" s="309" t="s">
        <v>13342</v>
      </c>
      <c r="AE500" s="320"/>
      <c r="AF500" s="311"/>
      <c r="AG500" s="292">
        <f>IF(AP500="","",SMALL(AH500:AH506,ROWS(AG500:AG500)))</f>
        <v>1001</v>
      </c>
      <c r="AH500" s="293">
        <f>IF(AP500="","",RANK(AL500,AL500:AL506)*1000+ROWS(AH500:AH500))</f>
        <v>1001</v>
      </c>
      <c r="AI500" s="316">
        <f t="shared" ref="AI500:AI506" si="433">IF(AP500="","",CritClassInd1_Points*AN500+CritClassInd1_Matches*AP500+CritClassInd1_Attaque*AS500+CritClassInd1_DiffButs*AU500)</f>
        <v>9000000000000</v>
      </c>
      <c r="AJ500" s="415" t="b">
        <f>AND(AO500&lt;&gt;"",AO500&gt;0,COUNTIF(AI500:AI506,AI500)&gt;1)</f>
        <v>0</v>
      </c>
      <c r="AK500" s="316">
        <f t="shared" ref="AK500:AK506" si="434">IF(AP500="","",CritClassInd_ScorePart*AE500)</f>
        <v>0</v>
      </c>
      <c r="AL500" s="317">
        <f t="shared" ref="AL500:AL506" si="435">IF(AP500="","",AI500+AK500+CritClassInd2_Points*AN500+CritClassInd2_Matches*AP500+CritClassInd2_Attaque*AS500+CritClassInd2_DiffButs*AU500+AF500)</f>
        <v>9000000151500</v>
      </c>
      <c r="AM500" s="415" t="b">
        <f>AND(AO500&lt;&gt;"",AO500&gt;0,COUNTIF(AL500:AL506,AL500)&gt;1)</f>
        <v>0</v>
      </c>
      <c r="AN500" s="306">
        <f t="shared" ref="AN500:AN506" si="436">IF(AP500="","",(AP500*Points_Victoire)+AQ500*Points_Null)</f>
        <v>9</v>
      </c>
      <c r="AO500" s="307">
        <f t="shared" ref="AO500:AO506" si="437">IF(AP500="","",SUM(AP500:AR500))</f>
        <v>3</v>
      </c>
      <c r="AP500" s="307">
        <f>IF(OR(AC499="",AD500=""),"",COUNTIF(ResultsInd[Win],AC499&amp;"-"&amp;AD500))</f>
        <v>3</v>
      </c>
      <c r="AQ500" s="307">
        <f>IF(OR(AC499="",AD500=""),"",COUNTIF(ResultsInd[Draw1],AC499&amp;"-"&amp;AD500)+COUNTIF(ResultsInd[Draw2],AC499&amp;"-"&amp;AD500))</f>
        <v>0</v>
      </c>
      <c r="AR500" s="307">
        <f>IF(OR(AC499="",AD500=""),"",COUNTIF(ResultsInd[Lose],AC499&amp;"-"&amp;AD500))</f>
        <v>0</v>
      </c>
      <c r="AS500" s="307">
        <f>IF(OR(AC499="",AD500=""),"",SUMIFS(ResultsInd[Goal-A],ResultsInd[Category],AC499,ResultsInd[Stage],"Groups",ResultsInd[Player A],AD500)+SUMIFS(ResultsInd[Goal-B],ResultsInd[Category],AC499,ResultsInd[Stage],"Groups",ResultsInd[Player B],AD500))</f>
        <v>15</v>
      </c>
      <c r="AT500" s="307">
        <f>IF(OR(AC499="",AD500=""),"",SUMIFS(ResultsInd[Goal-B],ResultsInd[Category],AC499,ResultsInd[Stage],"Groups",ResultsInd[Player A],AD500)+SUMIFS(ResultsInd[Goal-A],ResultsInd[Category],AC499,ResultsInd[Stage],"Groups",ResultsInd[Player B],AD500))</f>
        <v>0</v>
      </c>
      <c r="AU500" s="308">
        <f>IF(AP500="","",AS500-AT500)</f>
        <v>15</v>
      </c>
      <c r="AV500" s="469" t="b">
        <f>IF(AG500="","",OR(VLOOKUP(AG500,AH500:AU506,3,FALSE),VLOOKUP(AG500,AH500:AU506,6,FALSE)))</f>
        <v>0</v>
      </c>
      <c r="AW500" s="298">
        <f t="shared" ref="AW500:AW506" si="438">IF(AG500="","",INT(AG500/1000))</f>
        <v>1</v>
      </c>
      <c r="AX500" s="285" t="str">
        <f>IF(AG500="","",INDEX(AD500:AD506,MATCH(AG500,AH500:AH506,0)))</f>
        <v>Alberto Baratucci</v>
      </c>
      <c r="AY500" s="286">
        <f>IF(AG500="","",VLOOKUP(AG500,AH500:AU506,COLUMN()-COLUMN(AR499),FALSE))</f>
        <v>9</v>
      </c>
      <c r="AZ500" s="286">
        <f>IF(AG500="","",VLOOKUP(AG500,AH500:AU506,COLUMN()-COLUMN(AR499),FALSE))</f>
        <v>3</v>
      </c>
      <c r="BA500" s="286">
        <f>IF(AG500="","",VLOOKUP(AG500,AH500:AU506,COLUMN()-COLUMN(AR499),FALSE))</f>
        <v>3</v>
      </c>
      <c r="BB500" s="286">
        <f>IF(AG500="","",VLOOKUP(AG500,AH500:AU506,COLUMN()-COLUMN(AR499),FALSE))</f>
        <v>0</v>
      </c>
      <c r="BC500" s="286">
        <f>IF(AG500="","",VLOOKUP(AG500,AH500:AU506,COLUMN()-COLUMN(AR499),FALSE))</f>
        <v>0</v>
      </c>
      <c r="BD500" s="286">
        <f>IF(AG500="","",VLOOKUP(AG500,AH500:AU506,COLUMN()-COLUMN(AR499),FALSE))</f>
        <v>15</v>
      </c>
      <c r="BE500" s="286">
        <f>IF(AG500="","",VLOOKUP(AG500,AH500:AU506,COLUMN()-COLUMN(AR499),FALSE))</f>
        <v>0</v>
      </c>
      <c r="BF500" s="301">
        <f>IF(AG500="","",VLOOKUP(AG500,AH500:AU506,COLUMN()-COLUMN(AR499),FALSE))</f>
        <v>15</v>
      </c>
    </row>
    <row r="501" spans="1:58" ht="12" thickBot="1" x14ac:dyDescent="0.25">
      <c r="A501" s="62" t="s">
        <v>1177</v>
      </c>
      <c r="B501" s="62" t="s">
        <v>12207</v>
      </c>
      <c r="C501" s="62">
        <v>2</v>
      </c>
      <c r="D501" s="62"/>
      <c r="E501" s="345" t="s">
        <v>12373</v>
      </c>
      <c r="F501" s="345" t="s">
        <v>13227</v>
      </c>
      <c r="G501" s="113">
        <v>0</v>
      </c>
      <c r="H501" s="113">
        <v>1</v>
      </c>
      <c r="I501" s="114"/>
      <c r="J501" s="114"/>
      <c r="K501" s="114"/>
      <c r="L501" s="81"/>
      <c r="M501" s="265" t="b">
        <f>NOT(ISERROR(ResultsInd[[#This Row],[Goal-A]]+ResultsInd[[#This Row],[Goal-B]]))</f>
        <v>1</v>
      </c>
      <c r="N501" s="265">
        <f>VALUE(ResultsInd[[#This Row],[Score-A]])</f>
        <v>0</v>
      </c>
      <c r="O501" s="265">
        <f>VALUE(ResultsInd[[#This Row],[Score-B]])</f>
        <v>1</v>
      </c>
      <c r="P501" s="265">
        <f ca="1">IF(AND(ResultsInd[[#This Row],[Category]]&lt;&gt;"",ResultsInd[[#This Row],[Player A]]&lt;&gt;""),COUNTIF(INDIRECT(ResultsInd[[#This Row],[Category]]&amp;"List[Retained Player Name]"),ResultsInd[[#This Row],[Player A]]),"")</f>
        <v>1</v>
      </c>
      <c r="Q501" s="265">
        <f ca="1">IF(AND(ResultsInd[[#This Row],[Category]]&lt;&gt;"",ResultsInd[[#This Row],[Player B]]&lt;&gt;""),COUNTIF(INDIRECT(ResultsInd[[#This Row],[Category]]&amp;"List[Retained Player Name]"),ResultsInd[[#This Row],[Player B]]),"")</f>
        <v>1</v>
      </c>
      <c r="R5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U12-Adam Guyaux</v>
      </c>
      <c r="S501" s="265" t="str">
        <f>IF(ResultsInd[[#This Row],[Score_OK]],IF(ResultsInd[[#This Row],[Stage]]="Groups",ResultsInd[[#This Row],[Category]]&amp;"-"&amp;IF(ResultsInd[[#This Row],[Player B]]="","",IF(ResultsInd[[#This Row],[Score-A]]=ResultsInd[[#This Row],[Score-B]],ResultsInd[[#This Row],[Player A]],"")),""),"")</f>
        <v>U12-</v>
      </c>
      <c r="T501" s="265" t="str">
        <f>IF(ResultsInd[[#This Row],[Score_OK]],IF(ResultsInd[[#This Row],[Stage]]="Groups",ResultsInd[[#This Row],[Category]]&amp;"-"&amp;IF(ResultsInd[[#This Row],[Player B]]="","",IF(ResultsInd[[#This Row],[Score-A]]=ResultsInd[[#This Row],[Score-B]],ResultsInd[[#This Row],[Player B]],"")),""),"")</f>
        <v>U12-</v>
      </c>
      <c r="U5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U12-Eva Goffin</v>
      </c>
      <c r="V5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U12-Eva Goffin</v>
      </c>
      <c r="X5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U12-Eva Goffin</v>
      </c>
      <c r="Y501" s="264" t="str">
        <f>IF(ResultsInd[[#This Row],[Category]]="","",VLOOKUP(ResultsInd[[#This Row],[Stage]],$P$1:$V$9,MATCH(ResultsInd[[#This Row],[Category]],$Q$1:$V$1,0)+1,FALSE))</f>
        <v>PR1</v>
      </c>
      <c r="Z501" s="264" t="str">
        <f>IF(ResultsInd[[#This Row],[Score_OK]],IF(ResultsInd[[#This Row],[Level]]="R",ResultsInd[[#This Row],[Category]]&amp;"-"&amp;IF(ResultsInd[[#This Row],[LoseInKO]]=ResultsInd[[#This Row],[Category]]&amp;"-"&amp;ResultsInd[[#This Row],[Player A]],ResultsInd[[#This Row],[Player B]],ResultsInd[[#This Row],[Player A]]),""),"")</f>
        <v/>
      </c>
      <c r="AB501" s="8"/>
      <c r="AC501" s="12" t="str">
        <f t="shared" ref="AC501:AC506" si="439">IF(AC500="","",AC500)</f>
        <v>U12</v>
      </c>
      <c r="AD501" s="309" t="s">
        <v>12386</v>
      </c>
      <c r="AE501" s="320"/>
      <c r="AF501" s="311"/>
      <c r="AG501" s="292">
        <f>IF(AP501="","",SMALL(AH500:AH506,ROWS(AG500:AG501)))</f>
        <v>2002</v>
      </c>
      <c r="AH501" s="293">
        <f>IF(AP501="","",RANK(AL501,AL500:AL506)*1000+ROWS(AH500:AH501))</f>
        <v>2002</v>
      </c>
      <c r="AI501" s="316">
        <f t="shared" si="433"/>
        <v>4000000000000</v>
      </c>
      <c r="AJ501" s="415" t="b">
        <f>AND(AO501&lt;&gt;"",AO501&gt;0,COUNTIF(AI500:AI506,AI501)&gt;1)</f>
        <v>1</v>
      </c>
      <c r="AK501" s="316">
        <f t="shared" si="434"/>
        <v>0</v>
      </c>
      <c r="AL501" s="317">
        <f t="shared" si="435"/>
        <v>3999999970200</v>
      </c>
      <c r="AM501" s="415" t="b">
        <f>AND(AO501&lt;&gt;"",AO501&gt;0,COUNTIF(AL500:AL506,AL501)&gt;1)</f>
        <v>0</v>
      </c>
      <c r="AN501" s="306">
        <f t="shared" si="436"/>
        <v>4</v>
      </c>
      <c r="AO501" s="307">
        <f t="shared" si="437"/>
        <v>3</v>
      </c>
      <c r="AP501" s="307">
        <f>IF(OR(AC499="",AD501=""),"",COUNTIF(ResultsInd[Win],AC499&amp;"-"&amp;AD501))</f>
        <v>1</v>
      </c>
      <c r="AQ501" s="307">
        <f>IF(OR(AC499="",AD501=""),"",COUNTIF(ResultsInd[Draw1],AC499&amp;"-"&amp;AD501)+COUNTIF(ResultsInd[Draw2],AC499&amp;"-"&amp;AD501))</f>
        <v>1</v>
      </c>
      <c r="AR501" s="307">
        <f>IF(OR(AC499="",AD501=""),"",COUNTIF(ResultsInd[Lose],AC499&amp;"-"&amp;AD501))</f>
        <v>1</v>
      </c>
      <c r="AS501" s="307">
        <f>IF(OR(AC499="",AD501=""),"",SUMIFS(ResultsInd[Goal-A],ResultsInd[Category],AC499,ResultsInd[Stage],"Groups",ResultsInd[Player A],AD501)+SUMIFS(ResultsInd[Goal-B],ResultsInd[Category],AC499,ResultsInd[Stage],"Groups",ResultsInd[Player B],AD501))</f>
        <v>2</v>
      </c>
      <c r="AT501" s="307">
        <f>IF(OR(AC499="",AD501=""),"",SUMIFS(ResultsInd[Goal-B],ResultsInd[Category],AC499,ResultsInd[Stage],"Groups",ResultsInd[Player A],AD501)+SUMIFS(ResultsInd[Goal-A],ResultsInd[Category],AC499,ResultsInd[Stage],"Groups",ResultsInd[Player B],AD501))</f>
        <v>5</v>
      </c>
      <c r="AU501" s="308">
        <f t="shared" ref="AU501:AU506" si="440">IF(AP501="","",AS501-AT501)</f>
        <v>-3</v>
      </c>
      <c r="AV501" s="469" t="b">
        <f>IF(AG501="","",OR(VLOOKUP(AG501,AH500:AU506,3,FALSE),VLOOKUP(AG501,AH500:AU506,6,FALSE)))</f>
        <v>1</v>
      </c>
      <c r="AW501" s="298">
        <f t="shared" si="438"/>
        <v>2</v>
      </c>
      <c r="AX501" s="285" t="str">
        <f>IF(AG501="","",INDEX(AD500:AD506,MATCH(AG501,AH500:AH506,0)))</f>
        <v>Olivia Huet</v>
      </c>
      <c r="AY501" s="286">
        <f>IF(AG501="","",VLOOKUP(AG501,AH500:AU506,COLUMN()-COLUMN(AR499),FALSE))</f>
        <v>4</v>
      </c>
      <c r="AZ501" s="286">
        <f>IF(AG501="","",VLOOKUP(AG501,AH500:AU506,COLUMN()-COLUMN(AR499),FALSE))</f>
        <v>3</v>
      </c>
      <c r="BA501" s="286">
        <f>IF(AG501="","",VLOOKUP(AG501,AH500:AU506,COLUMN()-COLUMN(AR499),FALSE))</f>
        <v>1</v>
      </c>
      <c r="BB501" s="286">
        <f>IF(AG501="","",VLOOKUP(AG501,AH500:AU506,COLUMN()-COLUMN(AR499),FALSE))</f>
        <v>1</v>
      </c>
      <c r="BC501" s="286">
        <f>IF(AG501="","",VLOOKUP(AG501,AH500:AU506,COLUMN()-COLUMN(AR499),FALSE))</f>
        <v>1</v>
      </c>
      <c r="BD501" s="286">
        <f>IF(AG501="","",VLOOKUP(AG501,AH500:AU506,COLUMN()-COLUMN(AR499),FALSE))</f>
        <v>2</v>
      </c>
      <c r="BE501" s="286">
        <f>IF(AG501="","",VLOOKUP(AG501,AH500:AU506,COLUMN()-COLUMN(AR499),FALSE))</f>
        <v>5</v>
      </c>
      <c r="BF501" s="301">
        <f>IF(AG501="","",VLOOKUP(AG501,AH500:AU506,COLUMN()-COLUMN(AR499),FALSE))</f>
        <v>-3</v>
      </c>
    </row>
    <row r="502" spans="1:58" ht="12" thickBot="1" x14ac:dyDescent="0.25">
      <c r="A502" s="62" t="s">
        <v>1177</v>
      </c>
      <c r="B502" s="62" t="s">
        <v>12207</v>
      </c>
      <c r="C502" s="62">
        <v>3</v>
      </c>
      <c r="D502" s="62"/>
      <c r="E502" s="345" t="s">
        <v>13342</v>
      </c>
      <c r="F502" s="345" t="s">
        <v>14484</v>
      </c>
      <c r="G502" s="113">
        <v>5</v>
      </c>
      <c r="H502" s="113">
        <v>0</v>
      </c>
      <c r="I502" s="114"/>
      <c r="J502" s="114"/>
      <c r="K502" s="114"/>
      <c r="L502" s="81"/>
      <c r="M502" s="265" t="b">
        <f>NOT(ISERROR(ResultsInd[[#This Row],[Goal-A]]+ResultsInd[[#This Row],[Goal-B]]))</f>
        <v>1</v>
      </c>
      <c r="N502" s="265">
        <f>VALUE(ResultsInd[[#This Row],[Score-A]])</f>
        <v>5</v>
      </c>
      <c r="O502" s="265">
        <f>VALUE(ResultsInd[[#This Row],[Score-B]])</f>
        <v>0</v>
      </c>
      <c r="P502" s="265">
        <f ca="1">IF(AND(ResultsInd[[#This Row],[Category]]&lt;&gt;"",ResultsInd[[#This Row],[Player A]]&lt;&gt;""),COUNTIF(INDIRECT(ResultsInd[[#This Row],[Category]]&amp;"List[Retained Player Name]"),ResultsInd[[#This Row],[Player A]]),"")</f>
        <v>1</v>
      </c>
      <c r="Q502" s="265">
        <f ca="1">IF(AND(ResultsInd[[#This Row],[Category]]&lt;&gt;"",ResultsInd[[#This Row],[Player B]]&lt;&gt;""),COUNTIF(INDIRECT(ResultsInd[[#This Row],[Category]]&amp;"List[Retained Player Name]"),ResultsInd[[#This Row],[Player B]]),"")</f>
        <v>1</v>
      </c>
      <c r="R5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U12-Alberto Baratucci</v>
      </c>
      <c r="S502" s="265" t="str">
        <f>IF(ResultsInd[[#This Row],[Score_OK]],IF(ResultsInd[[#This Row],[Stage]]="Groups",ResultsInd[[#This Row],[Category]]&amp;"-"&amp;IF(ResultsInd[[#This Row],[Player B]]="","",IF(ResultsInd[[#This Row],[Score-A]]=ResultsInd[[#This Row],[Score-B]],ResultsInd[[#This Row],[Player A]],"")),""),"")</f>
        <v>U12-</v>
      </c>
      <c r="T502" s="265" t="str">
        <f>IF(ResultsInd[[#This Row],[Score_OK]],IF(ResultsInd[[#This Row],[Stage]]="Groups",ResultsInd[[#This Row],[Category]]&amp;"-"&amp;IF(ResultsInd[[#This Row],[Player B]]="","",IF(ResultsInd[[#This Row],[Score-A]]=ResultsInd[[#This Row],[Score-B]],ResultsInd[[#This Row],[Player B]],"")),""),"")</f>
        <v>U12-</v>
      </c>
      <c r="U5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U12-Albert Fako</v>
      </c>
      <c r="V5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U12-Albert Fako</v>
      </c>
      <c r="X5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U12-Albert Fako</v>
      </c>
      <c r="Y502" s="264" t="str">
        <f>IF(ResultsInd[[#This Row],[Category]]="","",VLOOKUP(ResultsInd[[#This Row],[Stage]],$P$1:$V$9,MATCH(ResultsInd[[#This Row],[Category]],$Q$1:$V$1,0)+1,FALSE))</f>
        <v>PR1</v>
      </c>
      <c r="Z502" s="264" t="str">
        <f>IF(ResultsInd[[#This Row],[Score_OK]],IF(ResultsInd[[#This Row],[Level]]="R",ResultsInd[[#This Row],[Category]]&amp;"-"&amp;IF(ResultsInd[[#This Row],[LoseInKO]]=ResultsInd[[#This Row],[Category]]&amp;"-"&amp;ResultsInd[[#This Row],[Player A]],ResultsInd[[#This Row],[Player B]],ResultsInd[[#This Row],[Player A]]),""),"")</f>
        <v/>
      </c>
      <c r="AB502" s="8"/>
      <c r="AC502" s="12" t="str">
        <f t="shared" si="439"/>
        <v>U12</v>
      </c>
      <c r="AD502" s="309" t="s">
        <v>12380</v>
      </c>
      <c r="AE502" s="320"/>
      <c r="AF502" s="311"/>
      <c r="AG502" s="292">
        <f>IF(AP502="","",SMALL(AH500:AH506,ROWS(AG500:AG502)))</f>
        <v>3003</v>
      </c>
      <c r="AH502" s="293">
        <f>IF(AP502="","",RANK(AL502,AL500:AL506)*1000+ROWS(AH500:AH502))</f>
        <v>3003</v>
      </c>
      <c r="AI502" s="316">
        <f t="shared" si="433"/>
        <v>4000000000000</v>
      </c>
      <c r="AJ502" s="415" t="b">
        <f>AND(AO502&lt;&gt;"",AO502&gt;0,COUNTIF(AI500:AI506,AI502)&gt;1)</f>
        <v>1</v>
      </c>
      <c r="AK502" s="316">
        <f t="shared" si="434"/>
        <v>0</v>
      </c>
      <c r="AL502" s="317">
        <f t="shared" si="435"/>
        <v>3999999960100</v>
      </c>
      <c r="AM502" s="415" t="b">
        <f>AND(AO502&lt;&gt;"",AO502&gt;0,COUNTIF(AL500:AL506,AL502)&gt;1)</f>
        <v>0</v>
      </c>
      <c r="AN502" s="306">
        <f t="shared" si="436"/>
        <v>4</v>
      </c>
      <c r="AO502" s="307">
        <f t="shared" si="437"/>
        <v>3</v>
      </c>
      <c r="AP502" s="307">
        <f>IF(OR(AC499="",AD502=""),"",COUNTIF(ResultsInd[Win],AC499&amp;"-"&amp;AD502))</f>
        <v>1</v>
      </c>
      <c r="AQ502" s="307">
        <f>IF(OR(AC499="",AD502=""),"",COUNTIF(ResultsInd[Draw1],AC499&amp;"-"&amp;AD502)+COUNTIF(ResultsInd[Draw2],AC499&amp;"-"&amp;AD502))</f>
        <v>1</v>
      </c>
      <c r="AR502" s="307">
        <f>IF(OR(AC499="",AD502=""),"",COUNTIF(ResultsInd[Lose],AC499&amp;"-"&amp;AD502))</f>
        <v>1</v>
      </c>
      <c r="AS502" s="307">
        <f>IF(OR(AC499="",AD502=""),"",SUMIFS(ResultsInd[Goal-A],ResultsInd[Category],AC499,ResultsInd[Stage],"Groups",ResultsInd[Player A],AD502)+SUMIFS(ResultsInd[Goal-B],ResultsInd[Category],AC499,ResultsInd[Stage],"Groups",ResultsInd[Player B],AD502))</f>
        <v>1</v>
      </c>
      <c r="AT502" s="307">
        <f>IF(OR(AC499="",AD502=""),"",SUMIFS(ResultsInd[Goal-B],ResultsInd[Category],AC499,ResultsInd[Stage],"Groups",ResultsInd[Player A],AD502)+SUMIFS(ResultsInd[Goal-A],ResultsInd[Category],AC499,ResultsInd[Stage],"Groups",ResultsInd[Player B],AD502))</f>
        <v>5</v>
      </c>
      <c r="AU502" s="308">
        <f t="shared" si="440"/>
        <v>-4</v>
      </c>
      <c r="AV502" s="469" t="b">
        <f>IF(AG502="","",OR(VLOOKUP(AG502,AH500:AU506,3,FALSE),VLOOKUP(AG502,AH500:AU506,6,FALSE)))</f>
        <v>1</v>
      </c>
      <c r="AW502" s="298">
        <f t="shared" si="438"/>
        <v>3</v>
      </c>
      <c r="AX502" s="285" t="str">
        <f>IF(AG502="","",INDEX(AD500:AD506,MATCH(AG502,AH500:AH506,0)))</f>
        <v>Mathis Goffin</v>
      </c>
      <c r="AY502" s="286">
        <f>IF(AG502="","",VLOOKUP(AG502,AH500:AU506,COLUMN()-COLUMN(AR499),FALSE))</f>
        <v>4</v>
      </c>
      <c r="AZ502" s="286">
        <f>IF(AG502="","",VLOOKUP(AG502,AH500:AU506,COLUMN()-COLUMN(AR499),FALSE))</f>
        <v>3</v>
      </c>
      <c r="BA502" s="286">
        <f>IF(AG502="","",VLOOKUP(AG502,AH500:AU506,COLUMN()-COLUMN(AR499),FALSE))</f>
        <v>1</v>
      </c>
      <c r="BB502" s="286">
        <f>IF(AG502="","",VLOOKUP(AG502,AH500:AU506,COLUMN()-COLUMN(AR499),FALSE))</f>
        <v>1</v>
      </c>
      <c r="BC502" s="286">
        <f>IF(AG502="","",VLOOKUP(AG502,AH500:AU506,COLUMN()-COLUMN(AR499),FALSE))</f>
        <v>1</v>
      </c>
      <c r="BD502" s="286">
        <f>IF(AG502="","",VLOOKUP(AG502,AH500:AU506,COLUMN()-COLUMN(AR499),FALSE))</f>
        <v>1</v>
      </c>
      <c r="BE502" s="286">
        <f>IF(AG502="","",VLOOKUP(AG502,AH500:AU506,COLUMN()-COLUMN(AR499),FALSE))</f>
        <v>5</v>
      </c>
      <c r="BF502" s="301">
        <f>IF(AG502="","",VLOOKUP(AG502,AH500:AU506,COLUMN()-COLUMN(AR499),FALSE))</f>
        <v>-4</v>
      </c>
    </row>
    <row r="503" spans="1:58" ht="12" thickBot="1" x14ac:dyDescent="0.25">
      <c r="A503" s="62" t="s">
        <v>1177</v>
      </c>
      <c r="B503" s="62" t="s">
        <v>12207</v>
      </c>
      <c r="C503" s="62">
        <v>3</v>
      </c>
      <c r="D503" s="62"/>
      <c r="E503" s="345" t="s">
        <v>12380</v>
      </c>
      <c r="F503" s="345" t="s">
        <v>12386</v>
      </c>
      <c r="G503" s="113">
        <v>0</v>
      </c>
      <c r="H503" s="113">
        <v>0</v>
      </c>
      <c r="I503" s="114"/>
      <c r="J503" s="114"/>
      <c r="K503" s="114"/>
      <c r="L503" s="81"/>
      <c r="M503" s="265" t="b">
        <f>NOT(ISERROR(ResultsInd[[#This Row],[Goal-A]]+ResultsInd[[#This Row],[Goal-B]]))</f>
        <v>1</v>
      </c>
      <c r="N503" s="265">
        <f>VALUE(ResultsInd[[#This Row],[Score-A]])</f>
        <v>0</v>
      </c>
      <c r="O503" s="265">
        <f>VALUE(ResultsInd[[#This Row],[Score-B]])</f>
        <v>0</v>
      </c>
      <c r="P503" s="265">
        <f ca="1">IF(AND(ResultsInd[[#This Row],[Category]]&lt;&gt;"",ResultsInd[[#This Row],[Player A]]&lt;&gt;""),COUNTIF(INDIRECT(ResultsInd[[#This Row],[Category]]&amp;"List[Retained Player Name]"),ResultsInd[[#This Row],[Player A]]),"")</f>
        <v>1</v>
      </c>
      <c r="Q503" s="265">
        <f ca="1">IF(AND(ResultsInd[[#This Row],[Category]]&lt;&gt;"",ResultsInd[[#This Row],[Player B]]&lt;&gt;""),COUNTIF(INDIRECT(ResultsInd[[#This Row],[Category]]&amp;"List[Retained Player Name]"),ResultsInd[[#This Row],[Player B]]),"")</f>
        <v>1</v>
      </c>
      <c r="R5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v>
      </c>
      <c r="S503" s="265" t="str">
        <f>IF(ResultsInd[[#This Row],[Score_OK]],IF(ResultsInd[[#This Row],[Stage]]="Groups",ResultsInd[[#This Row],[Category]]&amp;"-"&amp;IF(ResultsInd[[#This Row],[Player B]]="","",IF(ResultsInd[[#This Row],[Score-A]]=ResultsInd[[#This Row],[Score-B]],ResultsInd[[#This Row],[Player A]],"")),""),"")</f>
        <v>U12-Mathis Goffin</v>
      </c>
      <c r="T503" s="265" t="str">
        <f>IF(ResultsInd[[#This Row],[Score_OK]],IF(ResultsInd[[#This Row],[Stage]]="Groups",ResultsInd[[#This Row],[Category]]&amp;"-"&amp;IF(ResultsInd[[#This Row],[Player B]]="","",IF(ResultsInd[[#This Row],[Score-A]]=ResultsInd[[#This Row],[Score-B]],ResultsInd[[#This Row],[Player B]],"")),""),"")</f>
        <v>U12-Olivia Huet</v>
      </c>
      <c r="U5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v>
      </c>
      <c r="V5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X5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U12-Olivia Huet</v>
      </c>
      <c r="Y503" s="264" t="str">
        <f>IF(ResultsInd[[#This Row],[Category]]="","",VLOOKUP(ResultsInd[[#This Row],[Stage]],$P$1:$V$9,MATCH(ResultsInd[[#This Row],[Category]],$Q$1:$V$1,0)+1,FALSE))</f>
        <v>PR1</v>
      </c>
      <c r="Z503" s="264" t="str">
        <f>IF(ResultsInd[[#This Row],[Score_OK]],IF(ResultsInd[[#This Row],[Level]]="R",ResultsInd[[#This Row],[Category]]&amp;"-"&amp;IF(ResultsInd[[#This Row],[LoseInKO]]=ResultsInd[[#This Row],[Category]]&amp;"-"&amp;ResultsInd[[#This Row],[Player A]],ResultsInd[[#This Row],[Player B]],ResultsInd[[#This Row],[Player A]]),""),"")</f>
        <v/>
      </c>
      <c r="AB503" s="91"/>
      <c r="AC503" s="12" t="str">
        <f t="shared" si="439"/>
        <v>U12</v>
      </c>
      <c r="AD503" s="309" t="s">
        <v>14484</v>
      </c>
      <c r="AE503" s="310"/>
      <c r="AF503" s="311"/>
      <c r="AG503" s="292">
        <f>IF(AP503="","",SMALL(AH500:AH506,ROWS(AG500:AG503)))</f>
        <v>4004</v>
      </c>
      <c r="AH503" s="293">
        <f>IF(AP503="","",RANK(AL503,AL500:AL506)*1000+ROWS(AH500:AH503))</f>
        <v>4004</v>
      </c>
      <c r="AI503" s="316">
        <f t="shared" si="433"/>
        <v>0</v>
      </c>
      <c r="AJ503" s="415" t="b">
        <f>AND(AO503&lt;&gt;"",AO503&gt;0,COUNTIF(AI500:AI506,AI503)&gt;1)</f>
        <v>0</v>
      </c>
      <c r="AK503" s="316">
        <f t="shared" si="434"/>
        <v>0</v>
      </c>
      <c r="AL503" s="317">
        <f t="shared" si="435"/>
        <v>-80000</v>
      </c>
      <c r="AM503" s="415" t="b">
        <f>AND(AO503&lt;&gt;"",AO503&gt;0,COUNTIF(AL500:AL506,AL503)&gt;1)</f>
        <v>0</v>
      </c>
      <c r="AN503" s="306">
        <f t="shared" si="436"/>
        <v>0</v>
      </c>
      <c r="AO503" s="307">
        <f t="shared" si="437"/>
        <v>3</v>
      </c>
      <c r="AP503" s="307">
        <f>IF(OR(AC499="",AD503=""),"",COUNTIF(ResultsInd[Win],AC499&amp;"-"&amp;AD503))</f>
        <v>0</v>
      </c>
      <c r="AQ503" s="307">
        <f>IF(OR(AC499="",AD503=""),"",COUNTIF(ResultsInd[Draw1],AC499&amp;"-"&amp;AD503)+COUNTIF(ResultsInd[Draw2],AC499&amp;"-"&amp;AD503))</f>
        <v>0</v>
      </c>
      <c r="AR503" s="307">
        <f>IF(OR(AC499="",AD503=""),"",COUNTIF(ResultsInd[Lose],AC499&amp;"-"&amp;AD503))</f>
        <v>3</v>
      </c>
      <c r="AS503" s="307">
        <f>IF(OR(AC499="",AD503=""),"",SUMIFS(ResultsInd[Goal-A],ResultsInd[Category],AC499,ResultsInd[Stage],"Groups",ResultsInd[Player A],AD503)+SUMIFS(ResultsInd[Goal-B],ResultsInd[Category],AC499,ResultsInd[Stage],"Groups",ResultsInd[Player B],AD503))</f>
        <v>0</v>
      </c>
      <c r="AT503" s="307">
        <f>IF(OR(AC499="",AD503=""),"",SUMIFS(ResultsInd[Goal-B],ResultsInd[Category],AC499,ResultsInd[Stage],"Groups",ResultsInd[Player A],AD503)+SUMIFS(ResultsInd[Goal-A],ResultsInd[Category],AC499,ResultsInd[Stage],"Groups",ResultsInd[Player B],AD503))</f>
        <v>8</v>
      </c>
      <c r="AU503" s="308">
        <f t="shared" si="440"/>
        <v>-8</v>
      </c>
      <c r="AV503" s="469" t="b">
        <f>IF(AG503="","",OR(VLOOKUP(AG503,AH500:AU506,3,FALSE),VLOOKUP(AG503,AH500:AU506,6,FALSE)))</f>
        <v>0</v>
      </c>
      <c r="AW503" s="298">
        <f t="shared" si="438"/>
        <v>4</v>
      </c>
      <c r="AX503" s="285" t="str">
        <f>IF(AG503="","",INDEX(AD500:AD506,MATCH(AG503,AH500:AH506,0)))</f>
        <v>Albert Fako</v>
      </c>
      <c r="AY503" s="286">
        <f>IF(AG503="","",VLOOKUP(AG503,AH500:AU506,COLUMN()-COLUMN(AR499),FALSE))</f>
        <v>0</v>
      </c>
      <c r="AZ503" s="286">
        <f>IF(AG503="","",VLOOKUP(AG503,AH500:AU506,COLUMN()-COLUMN(AR499),FALSE))</f>
        <v>3</v>
      </c>
      <c r="BA503" s="286">
        <f>IF(AG503="","",VLOOKUP(AG503,AH500:AU506,COLUMN()-COLUMN(AR499),FALSE))</f>
        <v>0</v>
      </c>
      <c r="BB503" s="286">
        <f>IF(AG503="","",VLOOKUP(AG503,AH500:AU506,COLUMN()-COLUMN(AR499),FALSE))</f>
        <v>0</v>
      </c>
      <c r="BC503" s="286">
        <f>IF(AG503="","",VLOOKUP(AG503,AH500:AU506,COLUMN()-COLUMN(AR499),FALSE))</f>
        <v>3</v>
      </c>
      <c r="BD503" s="286">
        <f>IF(AG503="","",VLOOKUP(AG503,AH500:AU506,COLUMN()-COLUMN(AR499),FALSE))</f>
        <v>0</v>
      </c>
      <c r="BE503" s="286">
        <f>IF(AG503="","",VLOOKUP(AG503,AH500:AU506,COLUMN()-COLUMN(AR499),FALSE))</f>
        <v>8</v>
      </c>
      <c r="BF503" s="301">
        <f>IF(AG503="","",VLOOKUP(AG503,AH500:AU506,COLUMN()-COLUMN(AR499),FALSE))</f>
        <v>-8</v>
      </c>
    </row>
    <row r="504" spans="1:58" ht="12" thickBot="1" x14ac:dyDescent="0.25">
      <c r="A504" s="62" t="s">
        <v>1177</v>
      </c>
      <c r="B504" s="62" t="s">
        <v>12207</v>
      </c>
      <c r="C504" s="62">
        <v>3</v>
      </c>
      <c r="D504" s="62"/>
      <c r="E504" s="345" t="s">
        <v>13342</v>
      </c>
      <c r="F504" s="345" t="s">
        <v>12380</v>
      </c>
      <c r="G504" s="113">
        <v>5</v>
      </c>
      <c r="H504" s="113">
        <v>0</v>
      </c>
      <c r="I504" s="114"/>
      <c r="J504" s="114"/>
      <c r="K504" s="114"/>
      <c r="L504" s="81"/>
      <c r="M504" s="265" t="b">
        <f>NOT(ISERROR(ResultsInd[[#This Row],[Goal-A]]+ResultsInd[[#This Row],[Goal-B]]))</f>
        <v>1</v>
      </c>
      <c r="N504" s="265">
        <f>VALUE(ResultsInd[[#This Row],[Score-A]])</f>
        <v>5</v>
      </c>
      <c r="O504" s="265">
        <f>VALUE(ResultsInd[[#This Row],[Score-B]])</f>
        <v>0</v>
      </c>
      <c r="P504" s="265">
        <f ca="1">IF(AND(ResultsInd[[#This Row],[Category]]&lt;&gt;"",ResultsInd[[#This Row],[Player A]]&lt;&gt;""),COUNTIF(INDIRECT(ResultsInd[[#This Row],[Category]]&amp;"List[Retained Player Name]"),ResultsInd[[#This Row],[Player A]]),"")</f>
        <v>1</v>
      </c>
      <c r="Q504" s="265">
        <f ca="1">IF(AND(ResultsInd[[#This Row],[Category]]&lt;&gt;"",ResultsInd[[#This Row],[Player B]]&lt;&gt;""),COUNTIF(INDIRECT(ResultsInd[[#This Row],[Category]]&amp;"List[Retained Player Name]"),ResultsInd[[#This Row],[Player B]]),"")</f>
        <v>1</v>
      </c>
      <c r="R5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U12-Alberto Baratucci</v>
      </c>
      <c r="S504" s="265" t="str">
        <f>IF(ResultsInd[[#This Row],[Score_OK]],IF(ResultsInd[[#This Row],[Stage]]="Groups",ResultsInd[[#This Row],[Category]]&amp;"-"&amp;IF(ResultsInd[[#This Row],[Player B]]="","",IF(ResultsInd[[#This Row],[Score-A]]=ResultsInd[[#This Row],[Score-B]],ResultsInd[[#This Row],[Player A]],"")),""),"")</f>
        <v>U12-</v>
      </c>
      <c r="T504" s="265" t="str">
        <f>IF(ResultsInd[[#This Row],[Score_OK]],IF(ResultsInd[[#This Row],[Stage]]="Groups",ResultsInd[[#This Row],[Category]]&amp;"-"&amp;IF(ResultsInd[[#This Row],[Player B]]="","",IF(ResultsInd[[#This Row],[Score-A]]=ResultsInd[[#This Row],[Score-B]],ResultsInd[[#This Row],[Player B]],"")),""),"")</f>
        <v>U12-</v>
      </c>
      <c r="U5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U12-Mathis Goffin</v>
      </c>
      <c r="V5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X5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Y504" s="264" t="str">
        <f>IF(ResultsInd[[#This Row],[Category]]="","",VLOOKUP(ResultsInd[[#This Row],[Stage]],$P$1:$V$9,MATCH(ResultsInd[[#This Row],[Category]],$Q$1:$V$1,0)+1,FALSE))</f>
        <v>PR1</v>
      </c>
      <c r="Z504" s="264" t="str">
        <f>IF(ResultsInd[[#This Row],[Score_OK]],IF(ResultsInd[[#This Row],[Level]]="R",ResultsInd[[#This Row],[Category]]&amp;"-"&amp;IF(ResultsInd[[#This Row],[LoseInKO]]=ResultsInd[[#This Row],[Category]]&amp;"-"&amp;ResultsInd[[#This Row],[Player A]],ResultsInd[[#This Row],[Player B]],ResultsInd[[#This Row],[Player A]]),""),"")</f>
        <v/>
      </c>
      <c r="AB504" s="91"/>
      <c r="AC504" s="12" t="str">
        <f t="shared" si="439"/>
        <v>U12</v>
      </c>
      <c r="AD504" s="309"/>
      <c r="AE504" s="310"/>
      <c r="AF504" s="311"/>
      <c r="AG504" s="292" t="str">
        <f>IF(AP504="","",SMALL(AH500:AH506,ROWS(AG500:AG504)))</f>
        <v/>
      </c>
      <c r="AH504" s="293" t="str">
        <f>IF(AP504="","",RANK(AL504,AL500:AL506)*1000+ROWS(AH500:AH504))</f>
        <v/>
      </c>
      <c r="AI504" s="316" t="str">
        <f t="shared" si="433"/>
        <v/>
      </c>
      <c r="AJ504" s="415" t="b">
        <f>AND(AO504&lt;&gt;"",AO504&gt;0,COUNTIF(AI500:AI506,AI504)&gt;1)</f>
        <v>0</v>
      </c>
      <c r="AK504" s="316" t="str">
        <f t="shared" si="434"/>
        <v/>
      </c>
      <c r="AL504" s="317" t="str">
        <f t="shared" si="435"/>
        <v/>
      </c>
      <c r="AM504" s="415" t="b">
        <f>AND(AO504&lt;&gt;"",AO504&gt;0,COUNTIF(AL500:AL506,AL504)&gt;1)</f>
        <v>0</v>
      </c>
      <c r="AN504" s="306" t="str">
        <f t="shared" si="436"/>
        <v/>
      </c>
      <c r="AO504" s="307" t="str">
        <f t="shared" si="437"/>
        <v/>
      </c>
      <c r="AP504" s="307" t="str">
        <f>IF(OR(AC499="",AD504=""),"",COUNTIF(ResultsInd[Win],AC499&amp;"-"&amp;AD504))</f>
        <v/>
      </c>
      <c r="AQ504" s="307" t="str">
        <f>IF(OR(AC499="",AD504=""),"",COUNTIF(ResultsInd[Draw1],AC499&amp;"-"&amp;AD504)+COUNTIF(ResultsInd[Draw2],AC499&amp;"-"&amp;AD504))</f>
        <v/>
      </c>
      <c r="AR504" s="307" t="str">
        <f>IF(OR(AC499="",AD504=""),"",COUNTIF(ResultsInd[Lose],AC499&amp;"-"&amp;AD504))</f>
        <v/>
      </c>
      <c r="AS504" s="307" t="str">
        <f>IF(OR(AC499="",AD504=""),"",SUMIFS(ResultsInd[Goal-A],ResultsInd[Category],AC499,ResultsInd[Stage],"Groups",ResultsInd[Player A],AD504)+SUMIFS(ResultsInd[Goal-B],ResultsInd[Category],AC499,ResultsInd[Stage],"Groups",ResultsInd[Player B],AD504))</f>
        <v/>
      </c>
      <c r="AT504" s="307" t="str">
        <f>IF(OR(AC499="",AD504=""),"",SUMIFS(ResultsInd[Goal-B],ResultsInd[Category],AC499,ResultsInd[Stage],"Groups",ResultsInd[Player A],AD504)+SUMIFS(ResultsInd[Goal-A],ResultsInd[Category],AC499,ResultsInd[Stage],"Groups",ResultsInd[Player B],AD504))</f>
        <v/>
      </c>
      <c r="AU504" s="308" t="str">
        <f t="shared" si="440"/>
        <v/>
      </c>
      <c r="AV504" s="469" t="str">
        <f>IF(AG504="","",OR(VLOOKUP(AG504,AH500:AU506,3,FALSE),VLOOKUP(AG504,AH500:AU506,6,FALSE)))</f>
        <v/>
      </c>
      <c r="AW504" s="298" t="str">
        <f t="shared" si="438"/>
        <v/>
      </c>
      <c r="AX504" s="285" t="str">
        <f>IF(AG504="","",INDEX(AD500:AD506,MATCH(AG504,AH500:AH506,0)))</f>
        <v/>
      </c>
      <c r="AY504" s="286" t="str">
        <f>IF(AG504="","",VLOOKUP(AG504,AH500:AU506,COLUMN()-COLUMN(AR499),FALSE))</f>
        <v/>
      </c>
      <c r="AZ504" s="286" t="str">
        <f>IF(AG504="","",VLOOKUP(AG504,AH500:AU506,COLUMN()-COLUMN(AR499),FALSE))</f>
        <v/>
      </c>
      <c r="BA504" s="286" t="str">
        <f>IF(AG504="","",VLOOKUP(AG504,AH500:AU506,COLUMN()-COLUMN(AR499),FALSE))</f>
        <v/>
      </c>
      <c r="BB504" s="286" t="str">
        <f>IF(AG504="","",VLOOKUP(AG504,AH500:AU506,COLUMN()-COLUMN(AR499),FALSE))</f>
        <v/>
      </c>
      <c r="BC504" s="286" t="str">
        <f>IF(AG504="","",VLOOKUP(AG504,AH500:AU506,COLUMN()-COLUMN(AR499),FALSE))</f>
        <v/>
      </c>
      <c r="BD504" s="286" t="str">
        <f>IF(AG504="","",VLOOKUP(AG504,AH500:AU506,COLUMN()-COLUMN(AR499),FALSE))</f>
        <v/>
      </c>
      <c r="BE504" s="286" t="str">
        <f>IF(AG504="","",VLOOKUP(AG504,AH500:AU506,COLUMN()-COLUMN(AR499),FALSE))</f>
        <v/>
      </c>
      <c r="BF504" s="301" t="str">
        <f>IF(AG504="","",VLOOKUP(AG504,AH500:AU506,COLUMN()-COLUMN(AR499),FALSE))</f>
        <v/>
      </c>
    </row>
    <row r="505" spans="1:58" ht="12" thickBot="1" x14ac:dyDescent="0.25">
      <c r="A505" s="62" t="s">
        <v>1177</v>
      </c>
      <c r="B505" s="62" t="s">
        <v>12207</v>
      </c>
      <c r="C505" s="62">
        <v>3</v>
      </c>
      <c r="D505" s="62"/>
      <c r="E505" s="345" t="s">
        <v>14484</v>
      </c>
      <c r="F505" s="345" t="s">
        <v>12386</v>
      </c>
      <c r="G505" s="113">
        <v>0</v>
      </c>
      <c r="H505" s="113">
        <v>2</v>
      </c>
      <c r="I505" s="114"/>
      <c r="J505" s="114"/>
      <c r="K505" s="114"/>
      <c r="L505" s="81"/>
      <c r="M505" s="265" t="b">
        <f>NOT(ISERROR(ResultsInd[[#This Row],[Goal-A]]+ResultsInd[[#This Row],[Goal-B]]))</f>
        <v>1</v>
      </c>
      <c r="N505" s="265">
        <f>VALUE(ResultsInd[[#This Row],[Score-A]])</f>
        <v>0</v>
      </c>
      <c r="O505" s="265">
        <f>VALUE(ResultsInd[[#This Row],[Score-B]])</f>
        <v>2</v>
      </c>
      <c r="P505" s="265">
        <f ca="1">IF(AND(ResultsInd[[#This Row],[Category]]&lt;&gt;"",ResultsInd[[#This Row],[Player A]]&lt;&gt;""),COUNTIF(INDIRECT(ResultsInd[[#This Row],[Category]]&amp;"List[Retained Player Name]"),ResultsInd[[#This Row],[Player A]]),"")</f>
        <v>1</v>
      </c>
      <c r="Q505" s="265">
        <f ca="1">IF(AND(ResultsInd[[#This Row],[Category]]&lt;&gt;"",ResultsInd[[#This Row],[Player B]]&lt;&gt;""),COUNTIF(INDIRECT(ResultsInd[[#This Row],[Category]]&amp;"List[Retained Player Name]"),ResultsInd[[#This Row],[Player B]]),"")</f>
        <v>1</v>
      </c>
      <c r="R5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U12-Olivia Huet</v>
      </c>
      <c r="S505" s="265" t="str">
        <f>IF(ResultsInd[[#This Row],[Score_OK]],IF(ResultsInd[[#This Row],[Stage]]="Groups",ResultsInd[[#This Row],[Category]]&amp;"-"&amp;IF(ResultsInd[[#This Row],[Player B]]="","",IF(ResultsInd[[#This Row],[Score-A]]=ResultsInd[[#This Row],[Score-B]],ResultsInd[[#This Row],[Player A]],"")),""),"")</f>
        <v>U12-</v>
      </c>
      <c r="T505" s="265" t="str">
        <f>IF(ResultsInd[[#This Row],[Score_OK]],IF(ResultsInd[[#This Row],[Stage]]="Groups",ResultsInd[[#This Row],[Category]]&amp;"-"&amp;IF(ResultsInd[[#This Row],[Player B]]="","",IF(ResultsInd[[#This Row],[Score-A]]=ResultsInd[[#This Row],[Score-B]],ResultsInd[[#This Row],[Player B]],"")),""),"")</f>
        <v>U12-</v>
      </c>
      <c r="U5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U12-Albert Fako</v>
      </c>
      <c r="V5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U12-Albert Fako</v>
      </c>
      <c r="X5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U12-Albert Fako</v>
      </c>
      <c r="Y505" s="264" t="str">
        <f>IF(ResultsInd[[#This Row],[Category]]="","",VLOOKUP(ResultsInd[[#This Row],[Stage]],$P$1:$V$9,MATCH(ResultsInd[[#This Row],[Category]],$Q$1:$V$1,0)+1,FALSE))</f>
        <v>PR1</v>
      </c>
      <c r="Z505" s="264" t="str">
        <f>IF(ResultsInd[[#This Row],[Score_OK]],IF(ResultsInd[[#This Row],[Level]]="R",ResultsInd[[#This Row],[Category]]&amp;"-"&amp;IF(ResultsInd[[#This Row],[LoseInKO]]=ResultsInd[[#This Row],[Category]]&amp;"-"&amp;ResultsInd[[#This Row],[Player A]],ResultsInd[[#This Row],[Player B]],ResultsInd[[#This Row],[Player A]]),""),"")</f>
        <v/>
      </c>
      <c r="AB505" s="8"/>
      <c r="AC505" s="12" t="str">
        <f t="shared" si="439"/>
        <v>U12</v>
      </c>
      <c r="AD505" s="309"/>
      <c r="AE505" s="310"/>
      <c r="AF505" s="311"/>
      <c r="AG505" s="292" t="str">
        <f>IF(AP505="","",SMALL(AH500:AH506,ROWS(AG500:AG505)))</f>
        <v/>
      </c>
      <c r="AH505" s="293" t="str">
        <f>IF(AP505="","",RANK(AL505,AL500:AL506)*1000+ROWS(AH500:AH505))</f>
        <v/>
      </c>
      <c r="AI505" s="316" t="str">
        <f t="shared" si="433"/>
        <v/>
      </c>
      <c r="AJ505" s="415" t="b">
        <f>AND(AO505&lt;&gt;"",AO505&gt;0,COUNTIF(AI500:AI506,AI505)&gt;1)</f>
        <v>0</v>
      </c>
      <c r="AK505" s="316" t="str">
        <f t="shared" si="434"/>
        <v/>
      </c>
      <c r="AL505" s="317" t="str">
        <f t="shared" si="435"/>
        <v/>
      </c>
      <c r="AM505" s="415" t="b">
        <f>AND(AO505&lt;&gt;"",AO505&gt;0,COUNTIF(AL500:AL506,AL505)&gt;1)</f>
        <v>0</v>
      </c>
      <c r="AN505" s="306" t="str">
        <f t="shared" si="436"/>
        <v/>
      </c>
      <c r="AO505" s="307" t="str">
        <f t="shared" si="437"/>
        <v/>
      </c>
      <c r="AP505" s="307" t="str">
        <f>IF(OR(AC499="",AD505=""),"",COUNTIF(ResultsInd[Win],AC499&amp;"-"&amp;AD505))</f>
        <v/>
      </c>
      <c r="AQ505" s="307" t="str">
        <f>IF(OR(AC499="",AD505=""),"",COUNTIF(ResultsInd[Draw1],AC499&amp;"-"&amp;AD505)+COUNTIF(ResultsInd[Draw2],AC499&amp;"-"&amp;AD505))</f>
        <v/>
      </c>
      <c r="AR505" s="307" t="str">
        <f>IF(OR(AC499="",AD505=""),"",COUNTIF(ResultsInd[Lose],AC499&amp;"-"&amp;AD505))</f>
        <v/>
      </c>
      <c r="AS505" s="307" t="str">
        <f>IF(OR(AC499="",AD505=""),"",SUMIFS(ResultsInd[Goal-A],ResultsInd[Category],AC499,ResultsInd[Stage],"Groups",ResultsInd[Player A],AD505)+SUMIFS(ResultsInd[Goal-B],ResultsInd[Category],AC499,ResultsInd[Stage],"Groups",ResultsInd[Player B],AD505))</f>
        <v/>
      </c>
      <c r="AT505" s="307" t="str">
        <f>IF(OR(AC499="",AD505=""),"",SUMIFS(ResultsInd[Goal-B],ResultsInd[Category],AC499,ResultsInd[Stage],"Groups",ResultsInd[Player A],AD505)+SUMIFS(ResultsInd[Goal-A],ResultsInd[Category],AC499,ResultsInd[Stage],"Groups",ResultsInd[Player B],AD505))</f>
        <v/>
      </c>
      <c r="AU505" s="308" t="str">
        <f t="shared" si="440"/>
        <v/>
      </c>
      <c r="AV505" s="469" t="str">
        <f>IF(AG505="","",OR(VLOOKUP(AG505,AH500:AU506,3,FALSE),VLOOKUP(AG505,AH500:AU506,6,FALSE)))</f>
        <v/>
      </c>
      <c r="AW505" s="298" t="str">
        <f t="shared" si="438"/>
        <v/>
      </c>
      <c r="AX505" s="285" t="str">
        <f>IF(AG505="","",INDEX(AD500:AD506,MATCH(AG505,AH500:AH506,0)))</f>
        <v/>
      </c>
      <c r="AY505" s="286" t="str">
        <f>IF(AG505="","",VLOOKUP(AG505,AH500:AU506,COLUMN()-COLUMN(AR499),FALSE))</f>
        <v/>
      </c>
      <c r="AZ505" s="286" t="str">
        <f>IF(AG505="","",VLOOKUP(AG505,AH500:AU506,COLUMN()-COLUMN(AR499),FALSE))</f>
        <v/>
      </c>
      <c r="BA505" s="286" t="str">
        <f>IF(AG505="","",VLOOKUP(AG505,AH500:AU506,COLUMN()-COLUMN(AR499),FALSE))</f>
        <v/>
      </c>
      <c r="BB505" s="286" t="str">
        <f>IF(AG505="","",VLOOKUP(AG505,AH500:AU506,COLUMN()-COLUMN(AR499),FALSE))</f>
        <v/>
      </c>
      <c r="BC505" s="286" t="str">
        <f>IF(AG505="","",VLOOKUP(AG505,AH500:AU506,COLUMN()-COLUMN(AR499),FALSE))</f>
        <v/>
      </c>
      <c r="BD505" s="286" t="str">
        <f>IF(AG505="","",VLOOKUP(AG505,AH500:AU506,COLUMN()-COLUMN(AR499),FALSE))</f>
        <v/>
      </c>
      <c r="BE505" s="286" t="str">
        <f>IF(AG505="","",VLOOKUP(AG505,AH500:AU506,COLUMN()-COLUMN(AR499),FALSE))</f>
        <v/>
      </c>
      <c r="BF505" s="301" t="str">
        <f>IF(AG505="","",VLOOKUP(AG505,AH500:AU506,COLUMN()-COLUMN(AR499),FALSE))</f>
        <v/>
      </c>
    </row>
    <row r="506" spans="1:58" ht="12" thickBot="1" x14ac:dyDescent="0.25">
      <c r="A506" s="62" t="s">
        <v>1177</v>
      </c>
      <c r="B506" s="62" t="s">
        <v>12207</v>
      </c>
      <c r="C506" s="62">
        <v>3</v>
      </c>
      <c r="D506" s="62"/>
      <c r="E506" s="345" t="s">
        <v>12386</v>
      </c>
      <c r="F506" s="345" t="s">
        <v>13342</v>
      </c>
      <c r="G506" s="113">
        <v>0</v>
      </c>
      <c r="H506" s="113">
        <v>5</v>
      </c>
      <c r="I506" s="114"/>
      <c r="J506" s="114"/>
      <c r="K506" s="114"/>
      <c r="L506" s="81"/>
      <c r="M506" s="265" t="b">
        <f>NOT(ISERROR(ResultsInd[[#This Row],[Goal-A]]+ResultsInd[[#This Row],[Goal-B]]))</f>
        <v>1</v>
      </c>
      <c r="N506" s="265">
        <f>VALUE(ResultsInd[[#This Row],[Score-A]])</f>
        <v>0</v>
      </c>
      <c r="O506" s="265">
        <f>VALUE(ResultsInd[[#This Row],[Score-B]])</f>
        <v>5</v>
      </c>
      <c r="P506" s="265">
        <f ca="1">IF(AND(ResultsInd[[#This Row],[Category]]&lt;&gt;"",ResultsInd[[#This Row],[Player A]]&lt;&gt;""),COUNTIF(INDIRECT(ResultsInd[[#This Row],[Category]]&amp;"List[Retained Player Name]"),ResultsInd[[#This Row],[Player A]]),"")</f>
        <v>1</v>
      </c>
      <c r="Q506" s="265">
        <f ca="1">IF(AND(ResultsInd[[#This Row],[Category]]&lt;&gt;"",ResultsInd[[#This Row],[Player B]]&lt;&gt;""),COUNTIF(INDIRECT(ResultsInd[[#This Row],[Category]]&amp;"List[Retained Player Name]"),ResultsInd[[#This Row],[Player B]]),"")</f>
        <v>1</v>
      </c>
      <c r="R5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U12-Alberto Baratucci</v>
      </c>
      <c r="S506" s="265" t="str">
        <f>IF(ResultsInd[[#This Row],[Score_OK]],IF(ResultsInd[[#This Row],[Stage]]="Groups",ResultsInd[[#This Row],[Category]]&amp;"-"&amp;IF(ResultsInd[[#This Row],[Player B]]="","",IF(ResultsInd[[#This Row],[Score-A]]=ResultsInd[[#This Row],[Score-B]],ResultsInd[[#This Row],[Player A]],"")),""),"")</f>
        <v>U12-</v>
      </c>
      <c r="T506" s="265" t="str">
        <f>IF(ResultsInd[[#This Row],[Score_OK]],IF(ResultsInd[[#This Row],[Stage]]="Groups",ResultsInd[[#This Row],[Category]]&amp;"-"&amp;IF(ResultsInd[[#This Row],[Player B]]="","",IF(ResultsInd[[#This Row],[Score-A]]=ResultsInd[[#This Row],[Score-B]],ResultsInd[[#This Row],[Player B]],"")),""),"")</f>
        <v>U12-</v>
      </c>
      <c r="U5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U12-Olivia Huet</v>
      </c>
      <c r="V5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U12-Olivia Huet</v>
      </c>
      <c r="X5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U12-Olivia Huet</v>
      </c>
      <c r="Y506" s="264" t="str">
        <f>IF(ResultsInd[[#This Row],[Category]]="","",VLOOKUP(ResultsInd[[#This Row],[Stage]],$P$1:$V$9,MATCH(ResultsInd[[#This Row],[Category]],$Q$1:$V$1,0)+1,FALSE))</f>
        <v>PR1</v>
      </c>
      <c r="Z506" s="264" t="str">
        <f>IF(ResultsInd[[#This Row],[Score_OK]],IF(ResultsInd[[#This Row],[Level]]="R",ResultsInd[[#This Row],[Category]]&amp;"-"&amp;IF(ResultsInd[[#This Row],[LoseInKO]]=ResultsInd[[#This Row],[Category]]&amp;"-"&amp;ResultsInd[[#This Row],[Player A]],ResultsInd[[#This Row],[Player B]],ResultsInd[[#This Row],[Player A]]),""),"")</f>
        <v/>
      </c>
      <c r="AB506" s="8"/>
      <c r="AC506" s="12" t="str">
        <f t="shared" si="439"/>
        <v>U12</v>
      </c>
      <c r="AD506" s="312"/>
      <c r="AE506" s="313"/>
      <c r="AF506" s="314"/>
      <c r="AG506" s="294" t="str">
        <f>IF(AP506="","",SMALL(AH500:AH506,ROWS(AG500:AG506)))</f>
        <v/>
      </c>
      <c r="AH506" s="295" t="str">
        <f>IF(AP506="","",RANK(AL506,AL500:AL506)*1000+ROWS(AH500:AH506))</f>
        <v/>
      </c>
      <c r="AI506" s="318" t="str">
        <f t="shared" si="433"/>
        <v/>
      </c>
      <c r="AJ506" s="416" t="b">
        <f>AND(AO506&lt;&gt;"",AO506&gt;0,COUNTIF(AI500:AI506,AI506)&gt;1)</f>
        <v>0</v>
      </c>
      <c r="AK506" s="318" t="str">
        <f t="shared" si="434"/>
        <v/>
      </c>
      <c r="AL506" s="319" t="str">
        <f t="shared" si="435"/>
        <v/>
      </c>
      <c r="AM506" s="416" t="b">
        <f>AND(AO506&lt;&gt;"",AO506&gt;0,COUNTIF(AL500:AL506,AL506)&gt;1)</f>
        <v>0</v>
      </c>
      <c r="AN506" s="306" t="str">
        <f t="shared" si="436"/>
        <v/>
      </c>
      <c r="AO506" s="307" t="str">
        <f t="shared" si="437"/>
        <v/>
      </c>
      <c r="AP506" s="307" t="str">
        <f>IF(OR(AC499="",AD506=""),"",COUNTIF(ResultsInd[Win],AC499&amp;"-"&amp;AD506))</f>
        <v/>
      </c>
      <c r="AQ506" s="307" t="str">
        <f>IF(OR(AC499="",AD506=""),"",COUNTIF(ResultsInd[Draw1],AC499&amp;"-"&amp;AD506)+COUNTIF(ResultsInd[Draw2],AC499&amp;"-"&amp;AD506))</f>
        <v/>
      </c>
      <c r="AR506" s="307" t="str">
        <f>IF(OR(AC499="",AD506=""),"",COUNTIF(ResultsInd[Lose],AC499&amp;"-"&amp;AD506))</f>
        <v/>
      </c>
      <c r="AS506" s="307" t="str">
        <f>IF(OR(AC499="",AD506=""),"",SUMIFS(ResultsInd[Goal-A],ResultsInd[Category],AC499,ResultsInd[Stage],"Groups",ResultsInd[Player A],AD506)+SUMIFS(ResultsInd[Goal-B],ResultsInd[Category],AC499,ResultsInd[Stage],"Groups",ResultsInd[Player B],AD506))</f>
        <v/>
      </c>
      <c r="AT506" s="307" t="str">
        <f>IF(OR(AC499="",AD506=""),"",SUMIFS(ResultsInd[Goal-B],ResultsInd[Category],AC499,ResultsInd[Stage],"Groups",ResultsInd[Player A],AD506)+SUMIFS(ResultsInd[Goal-A],ResultsInd[Category],AC499,ResultsInd[Stage],"Groups",ResultsInd[Player B],AD506))</f>
        <v/>
      </c>
      <c r="AU506" s="308" t="str">
        <f t="shared" si="440"/>
        <v/>
      </c>
      <c r="AV506" s="469" t="str">
        <f>IF(AG506="","",OR(VLOOKUP(AG506,AH500:AU506,3,FALSE),VLOOKUP(AG506,AH500:AU506,6,FALSE)))</f>
        <v/>
      </c>
      <c r="AW506" s="299" t="str">
        <f t="shared" si="438"/>
        <v/>
      </c>
      <c r="AX506" s="287" t="str">
        <f>IF(AG506="","",INDEX(AD500:AD506,MATCH(AG506,AH500:AH506,0)))</f>
        <v/>
      </c>
      <c r="AY506" s="288" t="str">
        <f>IF(AG506="","",VLOOKUP(AG506,AH500:AU506,COLUMN()-COLUMN(AR499),FALSE))</f>
        <v/>
      </c>
      <c r="AZ506" s="288" t="str">
        <f>IF(AG506="","",VLOOKUP(AG506,AH500:AU506,COLUMN()-COLUMN(AR499),FALSE))</f>
        <v/>
      </c>
      <c r="BA506" s="288" t="str">
        <f>IF(AG506="","",VLOOKUP(AG506,AH500:AU506,COLUMN()-COLUMN(AR499),FALSE))</f>
        <v/>
      </c>
      <c r="BB506" s="288" t="str">
        <f>IF(AG506="","",VLOOKUP(AG506,AH500:AU506,COLUMN()-COLUMN(AR499),FALSE))</f>
        <v/>
      </c>
      <c r="BC506" s="288" t="str">
        <f>IF(AG506="","",VLOOKUP(AG506,AH500:AU506,COLUMN()-COLUMN(AR499),FALSE))</f>
        <v/>
      </c>
      <c r="BD506" s="288" t="str">
        <f>IF(AG506="","",VLOOKUP(AG506,AH500:AU506,COLUMN()-COLUMN(AR499),FALSE))</f>
        <v/>
      </c>
      <c r="BE506" s="288" t="str">
        <f>IF(AG506="","",VLOOKUP(AG506,AH500:AU506,COLUMN()-COLUMN(AR499),FALSE))</f>
        <v/>
      </c>
      <c r="BF506" s="302" t="str">
        <f>IF(AG506="","",VLOOKUP(AG506,AH500:AU506,COLUMN()-COLUMN(AR499),FALSE))</f>
        <v/>
      </c>
    </row>
    <row r="507" spans="1:58" ht="13.5" thickBot="1" x14ac:dyDescent="0.25">
      <c r="A507" s="62" t="s">
        <v>1177</v>
      </c>
      <c r="B507" s="62" t="s">
        <v>12207</v>
      </c>
      <c r="C507" s="62">
        <v>3</v>
      </c>
      <c r="D507" s="62"/>
      <c r="E507" s="345" t="s">
        <v>14484</v>
      </c>
      <c r="F507" s="345" t="s">
        <v>12380</v>
      </c>
      <c r="G507" s="113">
        <v>0</v>
      </c>
      <c r="H507" s="113">
        <v>1</v>
      </c>
      <c r="I507" s="114"/>
      <c r="J507" s="114"/>
      <c r="K507" s="114"/>
      <c r="L507" s="81"/>
      <c r="M507" s="265" t="b">
        <f>NOT(ISERROR(ResultsInd[[#This Row],[Goal-A]]+ResultsInd[[#This Row],[Goal-B]]))</f>
        <v>1</v>
      </c>
      <c r="N507" s="265">
        <f>VALUE(ResultsInd[[#This Row],[Score-A]])</f>
        <v>0</v>
      </c>
      <c r="O507" s="265">
        <f>VALUE(ResultsInd[[#This Row],[Score-B]])</f>
        <v>1</v>
      </c>
      <c r="P507" s="265">
        <f ca="1">IF(AND(ResultsInd[[#This Row],[Category]]&lt;&gt;"",ResultsInd[[#This Row],[Player A]]&lt;&gt;""),COUNTIF(INDIRECT(ResultsInd[[#This Row],[Category]]&amp;"List[Retained Player Name]"),ResultsInd[[#This Row],[Player A]]),"")</f>
        <v>1</v>
      </c>
      <c r="Q507" s="265">
        <f ca="1">IF(AND(ResultsInd[[#This Row],[Category]]&lt;&gt;"",ResultsInd[[#This Row],[Player B]]&lt;&gt;""),COUNTIF(INDIRECT(ResultsInd[[#This Row],[Category]]&amp;"List[Retained Player Name]"),ResultsInd[[#This Row],[Player B]]),"")</f>
        <v>1</v>
      </c>
      <c r="R5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U12-Mathis Goffin</v>
      </c>
      <c r="S507" s="265" t="str">
        <f>IF(ResultsInd[[#This Row],[Score_OK]],IF(ResultsInd[[#This Row],[Stage]]="Groups",ResultsInd[[#This Row],[Category]]&amp;"-"&amp;IF(ResultsInd[[#This Row],[Player B]]="","",IF(ResultsInd[[#This Row],[Score-A]]=ResultsInd[[#This Row],[Score-B]],ResultsInd[[#This Row],[Player A]],"")),""),"")</f>
        <v>U12-</v>
      </c>
      <c r="T507" s="265" t="str">
        <f>IF(ResultsInd[[#This Row],[Score_OK]],IF(ResultsInd[[#This Row],[Stage]]="Groups",ResultsInd[[#This Row],[Category]]&amp;"-"&amp;IF(ResultsInd[[#This Row],[Player B]]="","",IF(ResultsInd[[#This Row],[Score-A]]=ResultsInd[[#This Row],[Score-B]],ResultsInd[[#This Row],[Player B]],"")),""),"")</f>
        <v>U12-</v>
      </c>
      <c r="U5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U12-Albert Fako</v>
      </c>
      <c r="V5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U12-Albert Fako</v>
      </c>
      <c r="X5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U12-Albert Fako</v>
      </c>
      <c r="Y507" s="264" t="str">
        <f>IF(ResultsInd[[#This Row],[Category]]="","",VLOOKUP(ResultsInd[[#This Row],[Stage]],$P$1:$V$9,MATCH(ResultsInd[[#This Row],[Category]],$Q$1:$V$1,0)+1,FALSE))</f>
        <v>PR1</v>
      </c>
      <c r="Z507" s="264" t="str">
        <f>IF(ResultsInd[[#This Row],[Score_OK]],IF(ResultsInd[[#This Row],[Level]]="R",ResultsInd[[#This Row],[Category]]&amp;"-"&amp;IF(ResultsInd[[#This Row],[LoseInKO]]=ResultsInd[[#This Row],[Category]]&amp;"-"&amp;ResultsInd[[#This Row],[Player A]],ResultsInd[[#This Row],[Player B]],ResultsInd[[#This Row],[Player A]]),""),"")</f>
        <v/>
      </c>
      <c r="AB507" s="8"/>
      <c r="AC507" s="8"/>
      <c r="AF507" s="170"/>
      <c r="AG507" s="101"/>
      <c r="AH507" s="101"/>
      <c r="AN507" s="170"/>
      <c r="AO507" s="170"/>
      <c r="AP507" s="170"/>
      <c r="AQ507" s="172"/>
      <c r="AR507" s="173"/>
      <c r="AS507" s="173"/>
      <c r="AT507" s="173"/>
      <c r="AU507" s="101"/>
      <c r="AV507" s="101"/>
      <c r="AW507" s="101"/>
      <c r="AX507" s="101"/>
      <c r="AY507" s="101"/>
      <c r="AZ507" s="101"/>
    </row>
    <row r="508" spans="1:58" ht="12" thickBot="1" x14ac:dyDescent="0.25">
      <c r="A508" s="62" t="s">
        <v>1177</v>
      </c>
      <c r="B508" s="62" t="s">
        <v>12207</v>
      </c>
      <c r="C508" s="62">
        <v>4</v>
      </c>
      <c r="D508" s="62"/>
      <c r="E508" s="345" t="s">
        <v>10007</v>
      </c>
      <c r="F508" s="345" t="s">
        <v>14507</v>
      </c>
      <c r="G508" s="113">
        <v>2</v>
      </c>
      <c r="H508" s="113">
        <v>1</v>
      </c>
      <c r="I508" s="114"/>
      <c r="J508" s="114"/>
      <c r="K508" s="114"/>
      <c r="L508" s="81"/>
      <c r="M508" s="265" t="b">
        <f>NOT(ISERROR(ResultsInd[[#This Row],[Goal-A]]+ResultsInd[[#This Row],[Goal-B]]))</f>
        <v>1</v>
      </c>
      <c r="N508" s="265">
        <f>VALUE(ResultsInd[[#This Row],[Score-A]])</f>
        <v>2</v>
      </c>
      <c r="O508" s="265">
        <f>VALUE(ResultsInd[[#This Row],[Score-B]])</f>
        <v>1</v>
      </c>
      <c r="P508" s="265">
        <f ca="1">IF(AND(ResultsInd[[#This Row],[Category]]&lt;&gt;"",ResultsInd[[#This Row],[Player A]]&lt;&gt;""),COUNTIF(INDIRECT(ResultsInd[[#This Row],[Category]]&amp;"List[Retained Player Name]"),ResultsInd[[#This Row],[Player A]]),"")</f>
        <v>1</v>
      </c>
      <c r="Q508" s="265">
        <f ca="1">IF(AND(ResultsInd[[#This Row],[Category]]&lt;&gt;"",ResultsInd[[#This Row],[Player B]]&lt;&gt;""),COUNTIF(INDIRECT(ResultsInd[[#This Row],[Category]]&amp;"List[Retained Player Name]"),ResultsInd[[#This Row],[Player B]]),"")</f>
        <v>1</v>
      </c>
      <c r="R5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U12-Alessandro Gandin</v>
      </c>
      <c r="S508" s="265" t="str">
        <f>IF(ResultsInd[[#This Row],[Score_OK]],IF(ResultsInd[[#This Row],[Stage]]="Groups",ResultsInd[[#This Row],[Category]]&amp;"-"&amp;IF(ResultsInd[[#This Row],[Player B]]="","",IF(ResultsInd[[#This Row],[Score-A]]=ResultsInd[[#This Row],[Score-B]],ResultsInd[[#This Row],[Player A]],"")),""),"")</f>
        <v>U12-</v>
      </c>
      <c r="T508" s="265" t="str">
        <f>IF(ResultsInd[[#This Row],[Score_OK]],IF(ResultsInd[[#This Row],[Stage]]="Groups",ResultsInd[[#This Row],[Category]]&amp;"-"&amp;IF(ResultsInd[[#This Row],[Player B]]="","",IF(ResultsInd[[#This Row],[Score-A]]=ResultsInd[[#This Row],[Score-B]],ResultsInd[[#This Row],[Player B]],"")),""),"")</f>
        <v>U12-</v>
      </c>
      <c r="U5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U12-Martin Joris</v>
      </c>
      <c r="V5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U12-Martin Joris</v>
      </c>
      <c r="X5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U12-Martin Joris</v>
      </c>
      <c r="Y508" s="264" t="str">
        <f>IF(ResultsInd[[#This Row],[Category]]="","",VLOOKUP(ResultsInd[[#This Row],[Stage]],$P$1:$V$9,MATCH(ResultsInd[[#This Row],[Category]],$Q$1:$V$1,0)+1,FALSE))</f>
        <v>PR1</v>
      </c>
      <c r="Z508" s="264" t="str">
        <f>IF(ResultsInd[[#This Row],[Score_OK]],IF(ResultsInd[[#This Row],[Level]]="R",ResultsInd[[#This Row],[Category]]&amp;"-"&amp;IF(ResultsInd[[#This Row],[LoseInKO]]=ResultsInd[[#This Row],[Category]]&amp;"-"&amp;ResultsInd[[#This Row],[Player A]],ResultsInd[[#This Row],[Player B]],ResultsInd[[#This Row],[Player A]]),""),"")</f>
        <v/>
      </c>
      <c r="AB508" s="281">
        <v>4</v>
      </c>
      <c r="AC508" s="315" t="s">
        <v>1177</v>
      </c>
      <c r="AD508" s="289" t="s">
        <v>14439</v>
      </c>
      <c r="AE508" s="290" t="s">
        <v>12279</v>
      </c>
      <c r="AF508" s="284" t="s">
        <v>12275</v>
      </c>
      <c r="AG508" s="296" t="s">
        <v>12276</v>
      </c>
      <c r="AH508" s="291" t="s">
        <v>12271</v>
      </c>
      <c r="AI508" s="291" t="s">
        <v>12272</v>
      </c>
      <c r="AJ508" s="414" t="s">
        <v>13154</v>
      </c>
      <c r="AK508" s="291" t="s">
        <v>12273</v>
      </c>
      <c r="AL508" s="297" t="s">
        <v>12274</v>
      </c>
      <c r="AM508" s="414" t="s">
        <v>13154</v>
      </c>
      <c r="AN508" s="303" t="s">
        <v>12199</v>
      </c>
      <c r="AO508" s="304" t="s">
        <v>12200</v>
      </c>
      <c r="AP508" s="304" t="s">
        <v>12201</v>
      </c>
      <c r="AQ508" s="304" t="s">
        <v>12202</v>
      </c>
      <c r="AR508" s="304" t="s">
        <v>12203</v>
      </c>
      <c r="AS508" s="304" t="s">
        <v>12204</v>
      </c>
      <c r="AT508" s="304" t="s">
        <v>12205</v>
      </c>
      <c r="AU508" s="305" t="s">
        <v>12206</v>
      </c>
      <c r="AV508" s="468"/>
      <c r="AW508" s="282" t="s">
        <v>12276</v>
      </c>
      <c r="AX508" s="282" t="s">
        <v>12280</v>
      </c>
      <c r="AY508" s="283" t="s">
        <v>12199</v>
      </c>
      <c r="AZ508" s="283" t="s">
        <v>12200</v>
      </c>
      <c r="BA508" s="283" t="s">
        <v>12201</v>
      </c>
      <c r="BB508" s="283" t="s">
        <v>12202</v>
      </c>
      <c r="BC508" s="283" t="s">
        <v>12203</v>
      </c>
      <c r="BD508" s="283" t="s">
        <v>12204</v>
      </c>
      <c r="BE508" s="283" t="s">
        <v>12205</v>
      </c>
      <c r="BF508" s="300" t="s">
        <v>12206</v>
      </c>
    </row>
    <row r="509" spans="1:58" ht="12" thickBot="1" x14ac:dyDescent="0.25">
      <c r="A509" s="62" t="s">
        <v>1177</v>
      </c>
      <c r="B509" s="62" t="s">
        <v>12207</v>
      </c>
      <c r="C509" s="62">
        <v>4</v>
      </c>
      <c r="D509" s="62"/>
      <c r="E509" s="345" t="s">
        <v>8196</v>
      </c>
      <c r="F509" s="345" t="s">
        <v>10007</v>
      </c>
      <c r="G509" s="113">
        <v>0</v>
      </c>
      <c r="H509" s="113">
        <v>4</v>
      </c>
      <c r="I509" s="114"/>
      <c r="J509" s="114"/>
      <c r="K509" s="114"/>
      <c r="L509" s="81"/>
      <c r="M509" s="265" t="b">
        <f>NOT(ISERROR(ResultsInd[[#This Row],[Goal-A]]+ResultsInd[[#This Row],[Goal-B]]))</f>
        <v>1</v>
      </c>
      <c r="N509" s="265">
        <f>VALUE(ResultsInd[[#This Row],[Score-A]])</f>
        <v>0</v>
      </c>
      <c r="O509" s="265">
        <f>VALUE(ResultsInd[[#This Row],[Score-B]])</f>
        <v>4</v>
      </c>
      <c r="P509" s="265">
        <f ca="1">IF(AND(ResultsInd[[#This Row],[Category]]&lt;&gt;"",ResultsInd[[#This Row],[Player A]]&lt;&gt;""),COUNTIF(INDIRECT(ResultsInd[[#This Row],[Category]]&amp;"List[Retained Player Name]"),ResultsInd[[#This Row],[Player A]]),"")</f>
        <v>1</v>
      </c>
      <c r="Q509" s="265">
        <f ca="1">IF(AND(ResultsInd[[#This Row],[Category]]&lt;&gt;"",ResultsInd[[#This Row],[Player B]]&lt;&gt;""),COUNTIF(INDIRECT(ResultsInd[[#This Row],[Category]]&amp;"List[Retained Player Name]"),ResultsInd[[#This Row],[Player B]]),"")</f>
        <v>1</v>
      </c>
      <c r="R5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U12-Alessandro Gandin</v>
      </c>
      <c r="S509" s="265" t="str">
        <f>IF(ResultsInd[[#This Row],[Score_OK]],IF(ResultsInd[[#This Row],[Stage]]="Groups",ResultsInd[[#This Row],[Category]]&amp;"-"&amp;IF(ResultsInd[[#This Row],[Player B]]="","",IF(ResultsInd[[#This Row],[Score-A]]=ResultsInd[[#This Row],[Score-B]],ResultsInd[[#This Row],[Player A]],"")),""),"")</f>
        <v>U12-</v>
      </c>
      <c r="T509" s="265" t="str">
        <f>IF(ResultsInd[[#This Row],[Score_OK]],IF(ResultsInd[[#This Row],[Stage]]="Groups",ResultsInd[[#This Row],[Category]]&amp;"-"&amp;IF(ResultsInd[[#This Row],[Player B]]="","",IF(ResultsInd[[#This Row],[Score-A]]=ResultsInd[[#This Row],[Score-B]],ResultsInd[[#This Row],[Player B]],"")),""),"")</f>
        <v>U12-</v>
      </c>
      <c r="U5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U12-Mael Denne</v>
      </c>
      <c r="V5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U12-Mael Denne</v>
      </c>
      <c r="X5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U12-Mael Denne</v>
      </c>
      <c r="Y509" s="264" t="str">
        <f>IF(ResultsInd[[#This Row],[Category]]="","",VLOOKUP(ResultsInd[[#This Row],[Stage]],$P$1:$V$9,MATCH(ResultsInd[[#This Row],[Category]],$Q$1:$V$1,0)+1,FALSE))</f>
        <v>PR1</v>
      </c>
      <c r="Z509" s="264" t="str">
        <f>IF(ResultsInd[[#This Row],[Score_OK]],IF(ResultsInd[[#This Row],[Level]]="R",ResultsInd[[#This Row],[Category]]&amp;"-"&amp;IF(ResultsInd[[#This Row],[LoseInKO]]=ResultsInd[[#This Row],[Category]]&amp;"-"&amp;ResultsInd[[#This Row],[Player A]],ResultsInd[[#This Row],[Player B]],ResultsInd[[#This Row],[Player A]]),""),"")</f>
        <v/>
      </c>
      <c r="AB509" s="8"/>
      <c r="AC509" s="12" t="str">
        <f>IF(AC508="","",AC508)</f>
        <v>U12</v>
      </c>
      <c r="AD509" s="309" t="s">
        <v>10007</v>
      </c>
      <c r="AE509" s="320"/>
      <c r="AF509" s="311"/>
      <c r="AG509" s="292">
        <f>IF(AP509="","",SMALL(AH509:AH515,ROWS(AG509:AG509)))</f>
        <v>1001</v>
      </c>
      <c r="AH509" s="293">
        <f>IF(AP509="","",RANK(AL509,AL509:AL515)*1000+ROWS(AH509:AH509))</f>
        <v>1001</v>
      </c>
      <c r="AI509" s="316">
        <f t="shared" ref="AI509:AI515" si="441">IF(AP509="","",CritClassInd1_Points*AN509+CritClassInd1_Matches*AP509+CritClassInd1_Attaque*AS509+CritClassInd1_DiffButs*AU509)</f>
        <v>6000000000000</v>
      </c>
      <c r="AJ509" s="415" t="b">
        <f>AND(AO509&lt;&gt;"",AO509&gt;0,COUNTIF(AI509:AI515,AI509)&gt;1)</f>
        <v>0</v>
      </c>
      <c r="AK509" s="316">
        <f t="shared" ref="AK509:AK515" si="442">IF(AP509="","",CritClassInd_ScorePart*AE509)</f>
        <v>0</v>
      </c>
      <c r="AL509" s="317">
        <f t="shared" ref="AL509:AL515" si="443">IF(AP509="","",AI509+AK509+CritClassInd2_Points*AN509+CritClassInd2_Matches*AP509+CritClassInd2_Attaque*AS509+CritClassInd2_DiffButs*AU509+AF509)</f>
        <v>6000000050600</v>
      </c>
      <c r="AM509" s="415" t="b">
        <f>AND(AO509&lt;&gt;"",AO509&gt;0,COUNTIF(AL509:AL515,AL509)&gt;1)</f>
        <v>0</v>
      </c>
      <c r="AN509" s="306">
        <f t="shared" ref="AN509:AN515" si="444">IF(AP509="","",(AP509*Points_Victoire)+AQ509*Points_Null)</f>
        <v>6</v>
      </c>
      <c r="AO509" s="307">
        <f t="shared" ref="AO509:AO515" si="445">IF(AP509="","",SUM(AP509:AR509))</f>
        <v>2</v>
      </c>
      <c r="AP509" s="307">
        <f>IF(OR(AC508="",AD509=""),"",COUNTIF(ResultsInd[Win],AC508&amp;"-"&amp;AD509))</f>
        <v>2</v>
      </c>
      <c r="AQ509" s="307">
        <f>IF(OR(AC508="",AD509=""),"",COUNTIF(ResultsInd[Draw1],AC508&amp;"-"&amp;AD509)+COUNTIF(ResultsInd[Draw2],AC508&amp;"-"&amp;AD509))</f>
        <v>0</v>
      </c>
      <c r="AR509" s="307">
        <f>IF(OR(AC508="",AD509=""),"",COUNTIF(ResultsInd[Lose],AC508&amp;"-"&amp;AD509))</f>
        <v>0</v>
      </c>
      <c r="AS509" s="307">
        <f>IF(OR(AC508="",AD509=""),"",SUMIFS(ResultsInd[Goal-A],ResultsInd[Category],AC508,ResultsInd[Stage],"Groups",ResultsInd[Player A],AD509)+SUMIFS(ResultsInd[Goal-B],ResultsInd[Category],AC508,ResultsInd[Stage],"Groups",ResultsInd[Player B],AD509))</f>
        <v>6</v>
      </c>
      <c r="AT509" s="307">
        <f>IF(OR(AC508="",AD509=""),"",SUMIFS(ResultsInd[Goal-B],ResultsInd[Category],AC508,ResultsInd[Stage],"Groups",ResultsInd[Player A],AD509)+SUMIFS(ResultsInd[Goal-A],ResultsInd[Category],AC508,ResultsInd[Stage],"Groups",ResultsInd[Player B],AD509))</f>
        <v>1</v>
      </c>
      <c r="AU509" s="308">
        <f>IF(AP509="","",AS509-AT509)</f>
        <v>5</v>
      </c>
      <c r="AV509" s="469" t="b">
        <f>IF(AG509="","",OR(VLOOKUP(AG509,AH509:AU515,3,FALSE),VLOOKUP(AG509,AH509:AU515,6,FALSE)))</f>
        <v>0</v>
      </c>
      <c r="AW509" s="298">
        <f t="shared" ref="AW509:AW515" si="446">IF(AG509="","",INT(AG509/1000))</f>
        <v>1</v>
      </c>
      <c r="AX509" s="285" t="str">
        <f>IF(AG509="","",INDEX(AD509:AD515,MATCH(AG509,AH509:AH515,0)))</f>
        <v>Alessandro Gandin</v>
      </c>
      <c r="AY509" s="286">
        <f>IF(AG509="","",VLOOKUP(AG509,AH509:AU515,COLUMN()-COLUMN(AR508),FALSE))</f>
        <v>6</v>
      </c>
      <c r="AZ509" s="286">
        <f>IF(AG509="","",VLOOKUP(AG509,AH509:AU515,COLUMN()-COLUMN(AR508),FALSE))</f>
        <v>2</v>
      </c>
      <c r="BA509" s="286">
        <f>IF(AG509="","",VLOOKUP(AG509,AH509:AU515,COLUMN()-COLUMN(AR508),FALSE))</f>
        <v>2</v>
      </c>
      <c r="BB509" s="286">
        <f>IF(AG509="","",VLOOKUP(AG509,AH509:AU515,COLUMN()-COLUMN(AR508),FALSE))</f>
        <v>0</v>
      </c>
      <c r="BC509" s="286">
        <f>IF(AG509="","",VLOOKUP(AG509,AH509:AU515,COLUMN()-COLUMN(AR508),FALSE))</f>
        <v>0</v>
      </c>
      <c r="BD509" s="286">
        <f>IF(AG509="","",VLOOKUP(AG509,AH509:AU515,COLUMN()-COLUMN(AR508),FALSE))</f>
        <v>6</v>
      </c>
      <c r="BE509" s="286">
        <f>IF(AG509="","",VLOOKUP(AG509,AH509:AU515,COLUMN()-COLUMN(AR508),FALSE))</f>
        <v>1</v>
      </c>
      <c r="BF509" s="301">
        <f>IF(AG509="","",VLOOKUP(AG509,AH509:AU515,COLUMN()-COLUMN(AR508),FALSE))</f>
        <v>5</v>
      </c>
    </row>
    <row r="510" spans="1:58" ht="12" thickBot="1" x14ac:dyDescent="0.25">
      <c r="A510" s="62" t="s">
        <v>1177</v>
      </c>
      <c r="B510" s="62" t="s">
        <v>12207</v>
      </c>
      <c r="C510" s="62">
        <v>4</v>
      </c>
      <c r="D510" s="62"/>
      <c r="E510" s="345" t="s">
        <v>14507</v>
      </c>
      <c r="F510" s="345" t="s">
        <v>8196</v>
      </c>
      <c r="G510" s="113">
        <v>1</v>
      </c>
      <c r="H510" s="113">
        <v>0</v>
      </c>
      <c r="I510" s="114"/>
      <c r="J510" s="114"/>
      <c r="K510" s="114"/>
      <c r="L510" s="81"/>
      <c r="M510" s="265" t="b">
        <f>NOT(ISERROR(ResultsInd[[#This Row],[Goal-A]]+ResultsInd[[#This Row],[Goal-B]]))</f>
        <v>1</v>
      </c>
      <c r="N510" s="265">
        <f>VALUE(ResultsInd[[#This Row],[Score-A]])</f>
        <v>1</v>
      </c>
      <c r="O510" s="265">
        <f>VALUE(ResultsInd[[#This Row],[Score-B]])</f>
        <v>0</v>
      </c>
      <c r="P510" s="265">
        <f ca="1">IF(AND(ResultsInd[[#This Row],[Category]]&lt;&gt;"",ResultsInd[[#This Row],[Player A]]&lt;&gt;""),COUNTIF(INDIRECT(ResultsInd[[#This Row],[Category]]&amp;"List[Retained Player Name]"),ResultsInd[[#This Row],[Player A]]),"")</f>
        <v>1</v>
      </c>
      <c r="Q510" s="265">
        <f ca="1">IF(AND(ResultsInd[[#This Row],[Category]]&lt;&gt;"",ResultsInd[[#This Row],[Player B]]&lt;&gt;""),COUNTIF(INDIRECT(ResultsInd[[#This Row],[Category]]&amp;"List[Retained Player Name]"),ResultsInd[[#This Row],[Player B]]),"")</f>
        <v>1</v>
      </c>
      <c r="R5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U12-Martin Joris</v>
      </c>
      <c r="S510" s="265" t="str">
        <f>IF(ResultsInd[[#This Row],[Score_OK]],IF(ResultsInd[[#This Row],[Stage]]="Groups",ResultsInd[[#This Row],[Category]]&amp;"-"&amp;IF(ResultsInd[[#This Row],[Player B]]="","",IF(ResultsInd[[#This Row],[Score-A]]=ResultsInd[[#This Row],[Score-B]],ResultsInd[[#This Row],[Player A]],"")),""),"")</f>
        <v>U12-</v>
      </c>
      <c r="T510" s="265" t="str">
        <f>IF(ResultsInd[[#This Row],[Score_OK]],IF(ResultsInd[[#This Row],[Stage]]="Groups",ResultsInd[[#This Row],[Category]]&amp;"-"&amp;IF(ResultsInd[[#This Row],[Player B]]="","",IF(ResultsInd[[#This Row],[Score-A]]=ResultsInd[[#This Row],[Score-B]],ResultsInd[[#This Row],[Player B]],"")),""),"")</f>
        <v>U12-</v>
      </c>
      <c r="U5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U12-Mael Denne</v>
      </c>
      <c r="V5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U12-Mael Denne</v>
      </c>
      <c r="X5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U12-Mael Denne</v>
      </c>
      <c r="Y510" s="264" t="str">
        <f>IF(ResultsInd[[#This Row],[Category]]="","",VLOOKUP(ResultsInd[[#This Row],[Stage]],$P$1:$V$9,MATCH(ResultsInd[[#This Row],[Category]],$Q$1:$V$1,0)+1,FALSE))</f>
        <v>PR1</v>
      </c>
      <c r="Z510" s="264" t="str">
        <f>IF(ResultsInd[[#This Row],[Score_OK]],IF(ResultsInd[[#This Row],[Level]]="R",ResultsInd[[#This Row],[Category]]&amp;"-"&amp;IF(ResultsInd[[#This Row],[LoseInKO]]=ResultsInd[[#This Row],[Category]]&amp;"-"&amp;ResultsInd[[#This Row],[Player A]],ResultsInd[[#This Row],[Player B]],ResultsInd[[#This Row],[Player A]]),""),"")</f>
        <v/>
      </c>
      <c r="AB510" s="8"/>
      <c r="AC510" s="12" t="str">
        <f t="shared" ref="AC510:AC515" si="447">IF(AC509="","",AC509)</f>
        <v>U12</v>
      </c>
      <c r="AD510" s="309" t="s">
        <v>14507</v>
      </c>
      <c r="AE510" s="320"/>
      <c r="AF510" s="311"/>
      <c r="AG510" s="292">
        <f>IF(AP510="","",SMALL(AH509:AH515,ROWS(AG509:AG510)))</f>
        <v>2002</v>
      </c>
      <c r="AH510" s="293">
        <f>IF(AP510="","",RANK(AL510,AL509:AL515)*1000+ROWS(AH509:AH510))</f>
        <v>2002</v>
      </c>
      <c r="AI510" s="316">
        <f t="shared" si="441"/>
        <v>3000000000000</v>
      </c>
      <c r="AJ510" s="415" t="b">
        <f>AND(AO510&lt;&gt;"",AO510&gt;0,COUNTIF(AI509:AI515,AI510)&gt;1)</f>
        <v>0</v>
      </c>
      <c r="AK510" s="316">
        <f t="shared" si="442"/>
        <v>0</v>
      </c>
      <c r="AL510" s="317">
        <f t="shared" si="443"/>
        <v>3000000000200</v>
      </c>
      <c r="AM510" s="415" t="b">
        <f>AND(AO510&lt;&gt;"",AO510&gt;0,COUNTIF(AL509:AL515,AL510)&gt;1)</f>
        <v>0</v>
      </c>
      <c r="AN510" s="306">
        <f t="shared" si="444"/>
        <v>3</v>
      </c>
      <c r="AO510" s="307">
        <f t="shared" si="445"/>
        <v>2</v>
      </c>
      <c r="AP510" s="307">
        <f>IF(OR(AC508="",AD510=""),"",COUNTIF(ResultsInd[Win],AC508&amp;"-"&amp;AD510))</f>
        <v>1</v>
      </c>
      <c r="AQ510" s="307">
        <f>IF(OR(AC508="",AD510=""),"",COUNTIF(ResultsInd[Draw1],AC508&amp;"-"&amp;AD510)+COUNTIF(ResultsInd[Draw2],AC508&amp;"-"&amp;AD510))</f>
        <v>0</v>
      </c>
      <c r="AR510" s="307">
        <f>IF(OR(AC508="",AD510=""),"",COUNTIF(ResultsInd[Lose],AC508&amp;"-"&amp;AD510))</f>
        <v>1</v>
      </c>
      <c r="AS510" s="307">
        <f>IF(OR(AC508="",AD510=""),"",SUMIFS(ResultsInd[Goal-A],ResultsInd[Category],AC508,ResultsInd[Stage],"Groups",ResultsInd[Player A],AD510)+SUMIFS(ResultsInd[Goal-B],ResultsInd[Category],AC508,ResultsInd[Stage],"Groups",ResultsInd[Player B],AD510))</f>
        <v>2</v>
      </c>
      <c r="AT510" s="307">
        <f>IF(OR(AC508="",AD510=""),"",SUMIFS(ResultsInd[Goal-B],ResultsInd[Category],AC508,ResultsInd[Stage],"Groups",ResultsInd[Player A],AD510)+SUMIFS(ResultsInd[Goal-A],ResultsInd[Category],AC508,ResultsInd[Stage],"Groups",ResultsInd[Player B],AD510))</f>
        <v>2</v>
      </c>
      <c r="AU510" s="308">
        <f t="shared" ref="AU510:AU515" si="448">IF(AP510="","",AS510-AT510)</f>
        <v>0</v>
      </c>
      <c r="AV510" s="469" t="b">
        <f>IF(AG510="","",OR(VLOOKUP(AG510,AH509:AU515,3,FALSE),VLOOKUP(AG510,AH509:AU515,6,FALSE)))</f>
        <v>0</v>
      </c>
      <c r="AW510" s="298">
        <f t="shared" si="446"/>
        <v>2</v>
      </c>
      <c r="AX510" s="285" t="str">
        <f>IF(AG510="","",INDEX(AD509:AD515,MATCH(AG510,AH509:AH515,0)))</f>
        <v>Martin Joris</v>
      </c>
      <c r="AY510" s="286">
        <f>IF(AG510="","",VLOOKUP(AG510,AH509:AU515,COLUMN()-COLUMN(AR508),FALSE))</f>
        <v>3</v>
      </c>
      <c r="AZ510" s="286">
        <f>IF(AG510="","",VLOOKUP(AG510,AH509:AU515,COLUMN()-COLUMN(AR508),FALSE))</f>
        <v>2</v>
      </c>
      <c r="BA510" s="286">
        <f>IF(AG510="","",VLOOKUP(AG510,AH509:AU515,COLUMN()-COLUMN(AR508),FALSE))</f>
        <v>1</v>
      </c>
      <c r="BB510" s="286">
        <f>IF(AG510="","",VLOOKUP(AG510,AH509:AU515,COLUMN()-COLUMN(AR508),FALSE))</f>
        <v>0</v>
      </c>
      <c r="BC510" s="286">
        <f>IF(AG510="","",VLOOKUP(AG510,AH509:AU515,COLUMN()-COLUMN(AR508),FALSE))</f>
        <v>1</v>
      </c>
      <c r="BD510" s="286">
        <f>IF(AG510="","",VLOOKUP(AG510,AH509:AU515,COLUMN()-COLUMN(AR508),FALSE))</f>
        <v>2</v>
      </c>
      <c r="BE510" s="286">
        <f>IF(AG510="","",VLOOKUP(AG510,AH509:AU515,COLUMN()-COLUMN(AR508),FALSE))</f>
        <v>2</v>
      </c>
      <c r="BF510" s="301">
        <f>IF(AG510="","",VLOOKUP(AG510,AH509:AU515,COLUMN()-COLUMN(AR508),FALSE))</f>
        <v>0</v>
      </c>
    </row>
    <row r="511" spans="1:58" ht="12" thickBot="1" x14ac:dyDescent="0.25">
      <c r="A511" s="62" t="s">
        <v>890</v>
      </c>
      <c r="B511" s="62" t="s">
        <v>12215</v>
      </c>
      <c r="C511" s="62"/>
      <c r="D511" s="62"/>
      <c r="E511" s="345" t="s">
        <v>8874</v>
      </c>
      <c r="F511" s="345" t="s">
        <v>8141</v>
      </c>
      <c r="G511" s="113">
        <v>1</v>
      </c>
      <c r="H511" s="113">
        <v>2</v>
      </c>
      <c r="I511" s="114"/>
      <c r="J511" s="114"/>
      <c r="K511" s="114"/>
      <c r="L511" s="81"/>
      <c r="M511" s="265" t="b">
        <f>NOT(ISERROR(ResultsInd[[#This Row],[Goal-A]]+ResultsInd[[#This Row],[Goal-B]]))</f>
        <v>1</v>
      </c>
      <c r="N511" s="265">
        <f>VALUE(ResultsInd[[#This Row],[Score-A]])</f>
        <v>1</v>
      </c>
      <c r="O511" s="265">
        <f>VALUE(ResultsInd[[#This Row],[Score-B]])</f>
        <v>2</v>
      </c>
      <c r="P511" s="265">
        <f ca="1">IF(AND(ResultsInd[[#This Row],[Category]]&lt;&gt;"",ResultsInd[[#This Row],[Player A]]&lt;&gt;""),COUNTIF(INDIRECT(ResultsInd[[#This Row],[Category]]&amp;"List[Retained Player Name]"),ResultsInd[[#This Row],[Player A]]),"")</f>
        <v>1</v>
      </c>
      <c r="Q511" s="265">
        <f ca="1">IF(AND(ResultsInd[[#This Row],[Category]]&lt;&gt;"",ResultsInd[[#This Row],[Player B]]&lt;&gt;""),COUNTIF(INDIRECT(ResultsInd[[#This Row],[Category]]&amp;"List[Retained Player Name]"),ResultsInd[[#This Row],[Player B]]),"")</f>
        <v>1</v>
      </c>
      <c r="R5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1" s="265" t="str">
        <f>IF(ResultsInd[[#This Row],[Score_OK]],IF(ResultsInd[[#This Row],[Stage]]="Groups",ResultsInd[[#This Row],[Category]]&amp;"-"&amp;IF(ResultsInd[[#This Row],[Player B]]="","",IF(ResultsInd[[#This Row],[Score-A]]=ResultsInd[[#This Row],[Score-B]],ResultsInd[[#This Row],[Player A]],"")),""),"")</f>
        <v/>
      </c>
      <c r="T511" s="265" t="str">
        <f>IF(ResultsInd[[#This Row],[Score_OK]],IF(ResultsInd[[#This Row],[Stage]]="Groups",ResultsInd[[#This Row],[Category]]&amp;"-"&amp;IF(ResultsInd[[#This Row],[Player B]]="","",IF(ResultsInd[[#This Row],[Score-A]]=ResultsInd[[#This Row],[Score-B]],ResultsInd[[#This Row],[Player B]],"")),""),"")</f>
        <v/>
      </c>
      <c r="U5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OPEN-Alberto Di Maggio</v>
      </c>
      <c r="W5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1" s="264" t="str">
        <f>IF(ResultsInd[[#This Row],[Category]]="","",VLOOKUP(ResultsInd[[#This Row],[Stage]],$P$1:$V$9,MATCH(ResultsInd[[#This Row],[Category]],$Q$1:$V$1,0)+1,FALSE))</f>
        <v>L64</v>
      </c>
      <c r="Z511" s="264" t="str">
        <f>IF(ResultsInd[[#This Row],[Score_OK]],IF(ResultsInd[[#This Row],[Level]]="R",ResultsInd[[#This Row],[Category]]&amp;"-"&amp;IF(ResultsInd[[#This Row],[LoseInKO]]=ResultsInd[[#This Row],[Category]]&amp;"-"&amp;ResultsInd[[#This Row],[Player A]],ResultsInd[[#This Row],[Player B]],ResultsInd[[#This Row],[Player A]]),""),"")</f>
        <v/>
      </c>
      <c r="AB511" s="8"/>
      <c r="AC511" s="12" t="str">
        <f t="shared" si="447"/>
        <v>U12</v>
      </c>
      <c r="AD511" s="309" t="s">
        <v>8196</v>
      </c>
      <c r="AE511" s="320"/>
      <c r="AF511" s="311"/>
      <c r="AG511" s="292">
        <f>IF(AP511="","",SMALL(AH509:AH515,ROWS(AG509:AG511)))</f>
        <v>3004</v>
      </c>
      <c r="AH511" s="293">
        <f>IF(AP511="","",RANK(AL511,AL509:AL515)*1000+ROWS(AH509:AH511))</f>
        <v>4003</v>
      </c>
      <c r="AI511" s="316">
        <f t="shared" si="441"/>
        <v>0</v>
      </c>
      <c r="AJ511" s="415" t="b">
        <f>AND(AO511&lt;&gt;"",AO511&gt;0,COUNTIF(AI509:AI515,AI511)&gt;1)</f>
        <v>1</v>
      </c>
      <c r="AK511" s="316">
        <f t="shared" si="442"/>
        <v>0</v>
      </c>
      <c r="AL511" s="317">
        <f t="shared" si="443"/>
        <v>-50000</v>
      </c>
      <c r="AM511" s="415" t="b">
        <f>AND(AO511&lt;&gt;"",AO511&gt;0,COUNTIF(AL509:AL515,AL511)&gt;1)</f>
        <v>0</v>
      </c>
      <c r="AN511" s="306">
        <f t="shared" si="444"/>
        <v>0</v>
      </c>
      <c r="AO511" s="307">
        <f t="shared" si="445"/>
        <v>2</v>
      </c>
      <c r="AP511" s="307">
        <f>IF(OR(AC508="",AD511=""),"",COUNTIF(ResultsInd[Win],AC508&amp;"-"&amp;AD511))</f>
        <v>0</v>
      </c>
      <c r="AQ511" s="307">
        <f>IF(OR(AC508="",AD511=""),"",COUNTIF(ResultsInd[Draw1],AC508&amp;"-"&amp;AD511)+COUNTIF(ResultsInd[Draw2],AC508&amp;"-"&amp;AD511))</f>
        <v>0</v>
      </c>
      <c r="AR511" s="307">
        <f>IF(OR(AC508="",AD511=""),"",COUNTIF(ResultsInd[Lose],AC508&amp;"-"&amp;AD511))</f>
        <v>2</v>
      </c>
      <c r="AS511" s="307">
        <f>IF(OR(AC508="",AD511=""),"",SUMIFS(ResultsInd[Goal-A],ResultsInd[Category],AC508,ResultsInd[Stage],"Groups",ResultsInd[Player A],AD511)+SUMIFS(ResultsInd[Goal-B],ResultsInd[Category],AC508,ResultsInd[Stage],"Groups",ResultsInd[Player B],AD511))</f>
        <v>0</v>
      </c>
      <c r="AT511" s="307">
        <f>IF(OR(AC508="",AD511=""),"",SUMIFS(ResultsInd[Goal-B],ResultsInd[Category],AC508,ResultsInd[Stage],"Groups",ResultsInd[Player A],AD511)+SUMIFS(ResultsInd[Goal-A],ResultsInd[Category],AC508,ResultsInd[Stage],"Groups",ResultsInd[Player B],AD511))</f>
        <v>5</v>
      </c>
      <c r="AU511" s="308">
        <f t="shared" si="448"/>
        <v>-5</v>
      </c>
      <c r="AV511" s="469" t="b">
        <f>IF(AG511="","",OR(VLOOKUP(AG511,AH509:AU515,3,FALSE),VLOOKUP(AG511,AH509:AU515,6,FALSE)))</f>
        <v>0</v>
      </c>
      <c r="AW511" s="298">
        <f t="shared" si="446"/>
        <v>3</v>
      </c>
      <c r="AX511" s="285" t="str">
        <f>IF(AG511="","",INDEX(AD509:AD515,MATCH(AG511,AH509:AH515,0)))</f>
        <v>Marius Ruelle</v>
      </c>
      <c r="AY511" s="286">
        <f>IF(AG511="","",VLOOKUP(AG511,AH509:AU515,COLUMN()-COLUMN(AR508),FALSE))</f>
        <v>0</v>
      </c>
      <c r="AZ511" s="286">
        <f>IF(AG511="","",VLOOKUP(AG511,AH509:AU515,COLUMN()-COLUMN(AR508),FALSE))</f>
        <v>0</v>
      </c>
      <c r="BA511" s="286">
        <f>IF(AG511="","",VLOOKUP(AG511,AH509:AU515,COLUMN()-COLUMN(AR508),FALSE))</f>
        <v>0</v>
      </c>
      <c r="BB511" s="286">
        <f>IF(AG511="","",VLOOKUP(AG511,AH509:AU515,COLUMN()-COLUMN(AR508),FALSE))</f>
        <v>0</v>
      </c>
      <c r="BC511" s="286">
        <f>IF(AG511="","",VLOOKUP(AG511,AH509:AU515,COLUMN()-COLUMN(AR508),FALSE))</f>
        <v>0</v>
      </c>
      <c r="BD511" s="286">
        <f>IF(AG511="","",VLOOKUP(AG511,AH509:AU515,COLUMN()-COLUMN(AR508),FALSE))</f>
        <v>0</v>
      </c>
      <c r="BE511" s="286">
        <f>IF(AG511="","",VLOOKUP(AG511,AH509:AU515,COLUMN()-COLUMN(AR508),FALSE))</f>
        <v>0</v>
      </c>
      <c r="BF511" s="301">
        <f>IF(AG511="","",VLOOKUP(AG511,AH509:AU515,COLUMN()-COLUMN(AR508),FALSE))</f>
        <v>0</v>
      </c>
    </row>
    <row r="512" spans="1:58" ht="12" thickBot="1" x14ac:dyDescent="0.25">
      <c r="A512" s="62" t="s">
        <v>890</v>
      </c>
      <c r="B512" s="62" t="s">
        <v>12215</v>
      </c>
      <c r="C512" s="62"/>
      <c r="D512" s="62"/>
      <c r="E512" s="345" t="s">
        <v>10436</v>
      </c>
      <c r="F512" s="345" t="s">
        <v>8164</v>
      </c>
      <c r="G512" s="113">
        <v>3</v>
      </c>
      <c r="H512" s="113">
        <v>2</v>
      </c>
      <c r="I512" s="114" t="s">
        <v>14586</v>
      </c>
      <c r="J512" s="114"/>
      <c r="K512" s="114"/>
      <c r="L512" s="81"/>
      <c r="M512" s="265" t="b">
        <f>NOT(ISERROR(ResultsInd[[#This Row],[Goal-A]]+ResultsInd[[#This Row],[Goal-B]]))</f>
        <v>1</v>
      </c>
      <c r="N512" s="265">
        <f>VALUE(ResultsInd[[#This Row],[Score-A]])</f>
        <v>3</v>
      </c>
      <c r="O512" s="265">
        <f>VALUE(ResultsInd[[#This Row],[Score-B]])</f>
        <v>2</v>
      </c>
      <c r="P512" s="265">
        <f ca="1">IF(AND(ResultsInd[[#This Row],[Category]]&lt;&gt;"",ResultsInd[[#This Row],[Player A]]&lt;&gt;""),COUNTIF(INDIRECT(ResultsInd[[#This Row],[Category]]&amp;"List[Retained Player Name]"),ResultsInd[[#This Row],[Player A]]),"")</f>
        <v>1</v>
      </c>
      <c r="Q512" s="265">
        <f ca="1">IF(AND(ResultsInd[[#This Row],[Category]]&lt;&gt;"",ResultsInd[[#This Row],[Player B]]&lt;&gt;""),COUNTIF(INDIRECT(ResultsInd[[#This Row],[Category]]&amp;"List[Retained Player Name]"),ResultsInd[[#This Row],[Player B]]),"")</f>
        <v>1</v>
      </c>
      <c r="R5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2" s="265" t="str">
        <f>IF(ResultsInd[[#This Row],[Score_OK]],IF(ResultsInd[[#This Row],[Stage]]="Groups",ResultsInd[[#This Row],[Category]]&amp;"-"&amp;IF(ResultsInd[[#This Row],[Player B]]="","",IF(ResultsInd[[#This Row],[Score-A]]=ResultsInd[[#This Row],[Score-B]],ResultsInd[[#This Row],[Player A]],"")),""),"")</f>
        <v/>
      </c>
      <c r="T512" s="265" t="str">
        <f>IF(ResultsInd[[#This Row],[Score_OK]],IF(ResultsInd[[#This Row],[Stage]]="Groups",ResultsInd[[#This Row],[Category]]&amp;"-"&amp;IF(ResultsInd[[#This Row],[Player B]]="","",IF(ResultsInd[[#This Row],[Score-A]]=ResultsInd[[#This Row],[Score-B]],ResultsInd[[#This Row],[Player B]],"")),""),"")</f>
        <v/>
      </c>
      <c r="U5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OPEN-Bruno Timpano</v>
      </c>
      <c r="W5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2" s="264" t="str">
        <f>IF(ResultsInd[[#This Row],[Category]]="","",VLOOKUP(ResultsInd[[#This Row],[Stage]],$P$1:$V$9,MATCH(ResultsInd[[#This Row],[Category]],$Q$1:$V$1,0)+1,FALSE))</f>
        <v>L64</v>
      </c>
      <c r="Z512" s="264" t="str">
        <f>IF(ResultsInd[[#This Row],[Score_OK]],IF(ResultsInd[[#This Row],[Level]]="R",ResultsInd[[#This Row],[Category]]&amp;"-"&amp;IF(ResultsInd[[#This Row],[LoseInKO]]=ResultsInd[[#This Row],[Category]]&amp;"-"&amp;ResultsInd[[#This Row],[Player A]],ResultsInd[[#This Row],[Player B]],ResultsInd[[#This Row],[Player A]]),""),"")</f>
        <v/>
      </c>
      <c r="AB512" s="91"/>
      <c r="AC512" s="12" t="str">
        <f t="shared" si="447"/>
        <v>U12</v>
      </c>
      <c r="AD512" s="309" t="s">
        <v>13951</v>
      </c>
      <c r="AE512" s="310"/>
      <c r="AF512" s="311"/>
      <c r="AG512" s="292">
        <f>IF(AP512="","",SMALL(AH509:AH515,ROWS(AG509:AG512)))</f>
        <v>4003</v>
      </c>
      <c r="AH512" s="293">
        <f>IF(AP512="","",RANK(AL512,AL509:AL515)*1000+ROWS(AH509:AH512))</f>
        <v>3004</v>
      </c>
      <c r="AI512" s="316">
        <f t="shared" si="441"/>
        <v>0</v>
      </c>
      <c r="AJ512" s="415" t="b">
        <f>AND(AO512&lt;&gt;"",AO512&gt;0,COUNTIF(AI509:AI515,AI512)&gt;1)</f>
        <v>0</v>
      </c>
      <c r="AK512" s="316">
        <f t="shared" si="442"/>
        <v>0</v>
      </c>
      <c r="AL512" s="317">
        <f t="shared" si="443"/>
        <v>0</v>
      </c>
      <c r="AM512" s="415" t="b">
        <f>AND(AO512&lt;&gt;"",AO512&gt;0,COUNTIF(AL509:AL515,AL512)&gt;1)</f>
        <v>0</v>
      </c>
      <c r="AN512" s="306">
        <f t="shared" si="444"/>
        <v>0</v>
      </c>
      <c r="AO512" s="307">
        <f t="shared" si="445"/>
        <v>0</v>
      </c>
      <c r="AP512" s="307">
        <f>IF(OR(AC508="",AD512=""),"",COUNTIF(ResultsInd[Win],AC508&amp;"-"&amp;AD512))</f>
        <v>0</v>
      </c>
      <c r="AQ512" s="307">
        <f>IF(OR(AC508="",AD512=""),"",COUNTIF(ResultsInd[Draw1],AC508&amp;"-"&amp;AD512)+COUNTIF(ResultsInd[Draw2],AC508&amp;"-"&amp;AD512))</f>
        <v>0</v>
      </c>
      <c r="AR512" s="307">
        <f>IF(OR(AC508="",AD512=""),"",COUNTIF(ResultsInd[Lose],AC508&amp;"-"&amp;AD512))</f>
        <v>0</v>
      </c>
      <c r="AS512" s="307">
        <f>IF(OR(AC508="",AD512=""),"",SUMIFS(ResultsInd[Goal-A],ResultsInd[Category],AC508,ResultsInd[Stage],"Groups",ResultsInd[Player A],AD512)+SUMIFS(ResultsInd[Goal-B],ResultsInd[Category],AC508,ResultsInd[Stage],"Groups",ResultsInd[Player B],AD512))</f>
        <v>0</v>
      </c>
      <c r="AT512" s="307">
        <f>IF(OR(AC508="",AD512=""),"",SUMIFS(ResultsInd[Goal-B],ResultsInd[Category],AC508,ResultsInd[Stage],"Groups",ResultsInd[Player A],AD512)+SUMIFS(ResultsInd[Goal-A],ResultsInd[Category],AC508,ResultsInd[Stage],"Groups",ResultsInd[Player B],AD512))</f>
        <v>0</v>
      </c>
      <c r="AU512" s="308">
        <f t="shared" si="448"/>
        <v>0</v>
      </c>
      <c r="AV512" s="469" t="b">
        <f>IF(AG512="","",OR(VLOOKUP(AG512,AH509:AU515,3,FALSE),VLOOKUP(AG512,AH509:AU515,6,FALSE)))</f>
        <v>1</v>
      </c>
      <c r="AW512" s="298">
        <f t="shared" si="446"/>
        <v>4</v>
      </c>
      <c r="AX512" s="285" t="str">
        <f>IF(AG512="","",INDEX(AD509:AD515,MATCH(AG512,AH509:AH515,0)))</f>
        <v>Mael Denne</v>
      </c>
      <c r="AY512" s="286">
        <f>IF(AG512="","",VLOOKUP(AG512,AH509:AU515,COLUMN()-COLUMN(AR508),FALSE))</f>
        <v>0</v>
      </c>
      <c r="AZ512" s="286">
        <f>IF(AG512="","",VLOOKUP(AG512,AH509:AU515,COLUMN()-COLUMN(AR508),FALSE))</f>
        <v>2</v>
      </c>
      <c r="BA512" s="286">
        <f>IF(AG512="","",VLOOKUP(AG512,AH509:AU515,COLUMN()-COLUMN(AR508),FALSE))</f>
        <v>0</v>
      </c>
      <c r="BB512" s="286">
        <f>IF(AG512="","",VLOOKUP(AG512,AH509:AU515,COLUMN()-COLUMN(AR508),FALSE))</f>
        <v>0</v>
      </c>
      <c r="BC512" s="286">
        <f>IF(AG512="","",VLOOKUP(AG512,AH509:AU515,COLUMN()-COLUMN(AR508),FALSE))</f>
        <v>2</v>
      </c>
      <c r="BD512" s="286">
        <f>IF(AG512="","",VLOOKUP(AG512,AH509:AU515,COLUMN()-COLUMN(AR508),FALSE))</f>
        <v>0</v>
      </c>
      <c r="BE512" s="286">
        <f>IF(AG512="","",VLOOKUP(AG512,AH509:AU515,COLUMN()-COLUMN(AR508),FALSE))</f>
        <v>5</v>
      </c>
      <c r="BF512" s="301">
        <f>IF(AG512="","",VLOOKUP(AG512,AH509:AU515,COLUMN()-COLUMN(AR508),FALSE))</f>
        <v>-5</v>
      </c>
    </row>
    <row r="513" spans="1:58" ht="12" thickBot="1" x14ac:dyDescent="0.25">
      <c r="A513" s="62" t="s">
        <v>890</v>
      </c>
      <c r="B513" s="62" t="s">
        <v>12215</v>
      </c>
      <c r="C513" s="62"/>
      <c r="D513" s="62"/>
      <c r="E513" s="345" t="s">
        <v>8628</v>
      </c>
      <c r="F513" s="345" t="s">
        <v>12742</v>
      </c>
      <c r="G513" s="113">
        <v>4</v>
      </c>
      <c r="H513" s="113">
        <v>1</v>
      </c>
      <c r="I513" s="114"/>
      <c r="J513" s="114"/>
      <c r="K513" s="114"/>
      <c r="L513" s="81"/>
      <c r="M513" s="265" t="b">
        <f>NOT(ISERROR(ResultsInd[[#This Row],[Goal-A]]+ResultsInd[[#This Row],[Goal-B]]))</f>
        <v>1</v>
      </c>
      <c r="N513" s="265">
        <f>VALUE(ResultsInd[[#This Row],[Score-A]])</f>
        <v>4</v>
      </c>
      <c r="O513" s="265">
        <f>VALUE(ResultsInd[[#This Row],[Score-B]])</f>
        <v>1</v>
      </c>
      <c r="P513" s="265">
        <f ca="1">IF(AND(ResultsInd[[#This Row],[Category]]&lt;&gt;"",ResultsInd[[#This Row],[Player A]]&lt;&gt;""),COUNTIF(INDIRECT(ResultsInd[[#This Row],[Category]]&amp;"List[Retained Player Name]"),ResultsInd[[#This Row],[Player A]]),"")</f>
        <v>1</v>
      </c>
      <c r="Q513" s="265">
        <f ca="1">IF(AND(ResultsInd[[#This Row],[Category]]&lt;&gt;"",ResultsInd[[#This Row],[Player B]]&lt;&gt;""),COUNTIF(INDIRECT(ResultsInd[[#This Row],[Category]]&amp;"List[Retained Player Name]"),ResultsInd[[#This Row],[Player B]]),"")</f>
        <v>1</v>
      </c>
      <c r="R5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3" s="265" t="str">
        <f>IF(ResultsInd[[#This Row],[Score_OK]],IF(ResultsInd[[#This Row],[Stage]]="Groups",ResultsInd[[#This Row],[Category]]&amp;"-"&amp;IF(ResultsInd[[#This Row],[Player B]]="","",IF(ResultsInd[[#This Row],[Score-A]]=ResultsInd[[#This Row],[Score-B]],ResultsInd[[#This Row],[Player A]],"")),""),"")</f>
        <v/>
      </c>
      <c r="T513" s="265" t="str">
        <f>IF(ResultsInd[[#This Row],[Score_OK]],IF(ResultsInd[[#This Row],[Stage]]="Groups",ResultsInd[[#This Row],[Category]]&amp;"-"&amp;IF(ResultsInd[[#This Row],[Player B]]="","",IF(ResultsInd[[#This Row],[Score-A]]=ResultsInd[[#This Row],[Score-B]],ResultsInd[[#This Row],[Player B]],"")),""),"")</f>
        <v/>
      </c>
      <c r="U5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OPEN-Pietro Di Pietrantonio</v>
      </c>
      <c r="W5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3" s="264" t="str">
        <f>IF(ResultsInd[[#This Row],[Category]]="","",VLOOKUP(ResultsInd[[#This Row],[Stage]],$P$1:$V$9,MATCH(ResultsInd[[#This Row],[Category]],$Q$1:$V$1,0)+1,FALSE))</f>
        <v>L64</v>
      </c>
      <c r="Z513" s="264" t="str">
        <f>IF(ResultsInd[[#This Row],[Score_OK]],IF(ResultsInd[[#This Row],[Level]]="R",ResultsInd[[#This Row],[Category]]&amp;"-"&amp;IF(ResultsInd[[#This Row],[LoseInKO]]=ResultsInd[[#This Row],[Category]]&amp;"-"&amp;ResultsInd[[#This Row],[Player A]],ResultsInd[[#This Row],[Player B]],ResultsInd[[#This Row],[Player A]]),""),"")</f>
        <v/>
      </c>
      <c r="AB513" s="91"/>
      <c r="AC513" s="12" t="str">
        <f t="shared" si="447"/>
        <v>U12</v>
      </c>
      <c r="AD513" s="309"/>
      <c r="AE513" s="310"/>
      <c r="AF513" s="311"/>
      <c r="AG513" s="292" t="str">
        <f>IF(AP513="","",SMALL(AH509:AH515,ROWS(AG509:AG513)))</f>
        <v/>
      </c>
      <c r="AH513" s="293" t="str">
        <f>IF(AP513="","",RANK(AL513,AL509:AL515)*1000+ROWS(AH509:AH513))</f>
        <v/>
      </c>
      <c r="AI513" s="316" t="str">
        <f t="shared" si="441"/>
        <v/>
      </c>
      <c r="AJ513" s="415" t="b">
        <f>AND(AO513&lt;&gt;"",AO513&gt;0,COUNTIF(AI509:AI515,AI513)&gt;1)</f>
        <v>0</v>
      </c>
      <c r="AK513" s="316" t="str">
        <f t="shared" si="442"/>
        <v/>
      </c>
      <c r="AL513" s="317" t="str">
        <f t="shared" si="443"/>
        <v/>
      </c>
      <c r="AM513" s="415" t="b">
        <f>AND(AO513&lt;&gt;"",AO513&gt;0,COUNTIF(AL509:AL515,AL513)&gt;1)</f>
        <v>0</v>
      </c>
      <c r="AN513" s="306" t="str">
        <f t="shared" si="444"/>
        <v/>
      </c>
      <c r="AO513" s="307" t="str">
        <f t="shared" si="445"/>
        <v/>
      </c>
      <c r="AP513" s="307" t="str">
        <f>IF(OR(AC508="",AD513=""),"",COUNTIF(ResultsInd[Win],AC508&amp;"-"&amp;AD513))</f>
        <v/>
      </c>
      <c r="AQ513" s="307" t="str">
        <f>IF(OR(AC508="",AD513=""),"",COUNTIF(ResultsInd[Draw1],AC508&amp;"-"&amp;AD513)+COUNTIF(ResultsInd[Draw2],AC508&amp;"-"&amp;AD513))</f>
        <v/>
      </c>
      <c r="AR513" s="307" t="str">
        <f>IF(OR(AC508="",AD513=""),"",COUNTIF(ResultsInd[Lose],AC508&amp;"-"&amp;AD513))</f>
        <v/>
      </c>
      <c r="AS513" s="307" t="str">
        <f>IF(OR(AC508="",AD513=""),"",SUMIFS(ResultsInd[Goal-A],ResultsInd[Category],AC508,ResultsInd[Stage],"Groups",ResultsInd[Player A],AD513)+SUMIFS(ResultsInd[Goal-B],ResultsInd[Category],AC508,ResultsInd[Stage],"Groups",ResultsInd[Player B],AD513))</f>
        <v/>
      </c>
      <c r="AT513" s="307" t="str">
        <f>IF(OR(AC508="",AD513=""),"",SUMIFS(ResultsInd[Goal-B],ResultsInd[Category],AC508,ResultsInd[Stage],"Groups",ResultsInd[Player A],AD513)+SUMIFS(ResultsInd[Goal-A],ResultsInd[Category],AC508,ResultsInd[Stage],"Groups",ResultsInd[Player B],AD513))</f>
        <v/>
      </c>
      <c r="AU513" s="308" t="str">
        <f t="shared" si="448"/>
        <v/>
      </c>
      <c r="AV513" s="469" t="str">
        <f>IF(AG513="","",OR(VLOOKUP(AG513,AH509:AU515,3,FALSE),VLOOKUP(AG513,AH509:AU515,6,FALSE)))</f>
        <v/>
      </c>
      <c r="AW513" s="298" t="str">
        <f t="shared" si="446"/>
        <v/>
      </c>
      <c r="AX513" s="285" t="str">
        <f>IF(AG513="","",INDEX(AD509:AD515,MATCH(AG513,AH509:AH515,0)))</f>
        <v/>
      </c>
      <c r="AY513" s="286" t="str">
        <f>IF(AG513="","",VLOOKUP(AG513,AH509:AU515,COLUMN()-COLUMN(AR508),FALSE))</f>
        <v/>
      </c>
      <c r="AZ513" s="286" t="str">
        <f>IF(AG513="","",VLOOKUP(AG513,AH509:AU515,COLUMN()-COLUMN(AR508),FALSE))</f>
        <v/>
      </c>
      <c r="BA513" s="286" t="str">
        <f>IF(AG513="","",VLOOKUP(AG513,AH509:AU515,COLUMN()-COLUMN(AR508),FALSE))</f>
        <v/>
      </c>
      <c r="BB513" s="286" t="str">
        <f>IF(AG513="","",VLOOKUP(AG513,AH509:AU515,COLUMN()-COLUMN(AR508),FALSE))</f>
        <v/>
      </c>
      <c r="BC513" s="286" t="str">
        <f>IF(AG513="","",VLOOKUP(AG513,AH509:AU515,COLUMN()-COLUMN(AR508),FALSE))</f>
        <v/>
      </c>
      <c r="BD513" s="286" t="str">
        <f>IF(AG513="","",VLOOKUP(AG513,AH509:AU515,COLUMN()-COLUMN(AR508),FALSE))</f>
        <v/>
      </c>
      <c r="BE513" s="286" t="str">
        <f>IF(AG513="","",VLOOKUP(AG513,AH509:AU515,COLUMN()-COLUMN(AR508),FALSE))</f>
        <v/>
      </c>
      <c r="BF513" s="301" t="str">
        <f>IF(AG513="","",VLOOKUP(AG513,AH509:AU515,COLUMN()-COLUMN(AR508),FALSE))</f>
        <v/>
      </c>
    </row>
    <row r="514" spans="1:58" ht="12" thickBot="1" x14ac:dyDescent="0.25">
      <c r="A514" s="62" t="s">
        <v>890</v>
      </c>
      <c r="B514" s="62" t="s">
        <v>12215</v>
      </c>
      <c r="C514" s="62"/>
      <c r="D514" s="62"/>
      <c r="E514" s="345" t="s">
        <v>8095</v>
      </c>
      <c r="F514" s="345" t="s">
        <v>14019</v>
      </c>
      <c r="G514" s="113">
        <v>3</v>
      </c>
      <c r="H514" s="113">
        <v>0</v>
      </c>
      <c r="I514" s="114"/>
      <c r="J514" s="114"/>
      <c r="K514" s="114"/>
      <c r="L514" s="81"/>
      <c r="M514" s="265" t="b">
        <f>NOT(ISERROR(ResultsInd[[#This Row],[Goal-A]]+ResultsInd[[#This Row],[Goal-B]]))</f>
        <v>1</v>
      </c>
      <c r="N514" s="265">
        <f>VALUE(ResultsInd[[#This Row],[Score-A]])</f>
        <v>3</v>
      </c>
      <c r="O514" s="265">
        <f>VALUE(ResultsInd[[#This Row],[Score-B]])</f>
        <v>0</v>
      </c>
      <c r="P514" s="265">
        <f ca="1">IF(AND(ResultsInd[[#This Row],[Category]]&lt;&gt;"",ResultsInd[[#This Row],[Player A]]&lt;&gt;""),COUNTIF(INDIRECT(ResultsInd[[#This Row],[Category]]&amp;"List[Retained Player Name]"),ResultsInd[[#This Row],[Player A]]),"")</f>
        <v>1</v>
      </c>
      <c r="Q514" s="265">
        <f ca="1">IF(AND(ResultsInd[[#This Row],[Category]]&lt;&gt;"",ResultsInd[[#This Row],[Player B]]&lt;&gt;""),COUNTIF(INDIRECT(ResultsInd[[#This Row],[Category]]&amp;"List[Retained Player Name]"),ResultsInd[[#This Row],[Player B]]),"")</f>
        <v>1</v>
      </c>
      <c r="R5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4" s="265" t="str">
        <f>IF(ResultsInd[[#This Row],[Score_OK]],IF(ResultsInd[[#This Row],[Stage]]="Groups",ResultsInd[[#This Row],[Category]]&amp;"-"&amp;IF(ResultsInd[[#This Row],[Player B]]="","",IF(ResultsInd[[#This Row],[Score-A]]=ResultsInd[[#This Row],[Score-B]],ResultsInd[[#This Row],[Player A]],"")),""),"")</f>
        <v/>
      </c>
      <c r="T514" s="265" t="str">
        <f>IF(ResultsInd[[#This Row],[Score_OK]],IF(ResultsInd[[#This Row],[Stage]]="Groups",ResultsInd[[#This Row],[Category]]&amp;"-"&amp;IF(ResultsInd[[#This Row],[Player B]]="","",IF(ResultsInd[[#This Row],[Score-A]]=ResultsInd[[#This Row],[Score-B]],ResultsInd[[#This Row],[Player B]],"")),""),"")</f>
        <v/>
      </c>
      <c r="U5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OPEN-Stylianos Tsangouris</v>
      </c>
      <c r="W5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4" s="264" t="str">
        <f>IF(ResultsInd[[#This Row],[Category]]="","",VLOOKUP(ResultsInd[[#This Row],[Stage]],$P$1:$V$9,MATCH(ResultsInd[[#This Row],[Category]],$Q$1:$V$1,0)+1,FALSE))</f>
        <v>L64</v>
      </c>
      <c r="Z514" s="264" t="str">
        <f>IF(ResultsInd[[#This Row],[Score_OK]],IF(ResultsInd[[#This Row],[Level]]="R",ResultsInd[[#This Row],[Category]]&amp;"-"&amp;IF(ResultsInd[[#This Row],[LoseInKO]]=ResultsInd[[#This Row],[Category]]&amp;"-"&amp;ResultsInd[[#This Row],[Player A]],ResultsInd[[#This Row],[Player B]],ResultsInd[[#This Row],[Player A]]),""),"")</f>
        <v/>
      </c>
      <c r="AB514" s="8"/>
      <c r="AC514" s="12" t="str">
        <f t="shared" si="447"/>
        <v>U12</v>
      </c>
      <c r="AD514" s="309"/>
      <c r="AE514" s="310"/>
      <c r="AF514" s="311"/>
      <c r="AG514" s="292" t="str">
        <f>IF(AP514="","",SMALL(AH509:AH515,ROWS(AG509:AG514)))</f>
        <v/>
      </c>
      <c r="AH514" s="293" t="str">
        <f>IF(AP514="","",RANK(AL514,AL509:AL515)*1000+ROWS(AH509:AH514))</f>
        <v/>
      </c>
      <c r="AI514" s="316" t="str">
        <f t="shared" si="441"/>
        <v/>
      </c>
      <c r="AJ514" s="415" t="b">
        <f>AND(AO514&lt;&gt;"",AO514&gt;0,COUNTIF(AI509:AI515,AI514)&gt;1)</f>
        <v>0</v>
      </c>
      <c r="AK514" s="316" t="str">
        <f t="shared" si="442"/>
        <v/>
      </c>
      <c r="AL514" s="317" t="str">
        <f t="shared" si="443"/>
        <v/>
      </c>
      <c r="AM514" s="415" t="b">
        <f>AND(AO514&lt;&gt;"",AO514&gt;0,COUNTIF(AL509:AL515,AL514)&gt;1)</f>
        <v>0</v>
      </c>
      <c r="AN514" s="306" t="str">
        <f t="shared" si="444"/>
        <v/>
      </c>
      <c r="AO514" s="307" t="str">
        <f t="shared" si="445"/>
        <v/>
      </c>
      <c r="AP514" s="307" t="str">
        <f>IF(OR(AC508="",AD514=""),"",COUNTIF(ResultsInd[Win],AC508&amp;"-"&amp;AD514))</f>
        <v/>
      </c>
      <c r="AQ514" s="307" t="str">
        <f>IF(OR(AC508="",AD514=""),"",COUNTIF(ResultsInd[Draw1],AC508&amp;"-"&amp;AD514)+COUNTIF(ResultsInd[Draw2],AC508&amp;"-"&amp;AD514))</f>
        <v/>
      </c>
      <c r="AR514" s="307" t="str">
        <f>IF(OR(AC508="",AD514=""),"",COUNTIF(ResultsInd[Lose],AC508&amp;"-"&amp;AD514))</f>
        <v/>
      </c>
      <c r="AS514" s="307" t="str">
        <f>IF(OR(AC508="",AD514=""),"",SUMIFS(ResultsInd[Goal-A],ResultsInd[Category],AC508,ResultsInd[Stage],"Groups",ResultsInd[Player A],AD514)+SUMIFS(ResultsInd[Goal-B],ResultsInd[Category],AC508,ResultsInd[Stage],"Groups",ResultsInd[Player B],AD514))</f>
        <v/>
      </c>
      <c r="AT514" s="307" t="str">
        <f>IF(OR(AC508="",AD514=""),"",SUMIFS(ResultsInd[Goal-B],ResultsInd[Category],AC508,ResultsInd[Stage],"Groups",ResultsInd[Player A],AD514)+SUMIFS(ResultsInd[Goal-A],ResultsInd[Category],AC508,ResultsInd[Stage],"Groups",ResultsInd[Player B],AD514))</f>
        <v/>
      </c>
      <c r="AU514" s="308" t="str">
        <f t="shared" si="448"/>
        <v/>
      </c>
      <c r="AV514" s="469" t="str">
        <f>IF(AG514="","",OR(VLOOKUP(AG514,AH509:AU515,3,FALSE),VLOOKUP(AG514,AH509:AU515,6,FALSE)))</f>
        <v/>
      </c>
      <c r="AW514" s="298" t="str">
        <f t="shared" si="446"/>
        <v/>
      </c>
      <c r="AX514" s="285" t="str">
        <f>IF(AG514="","",INDEX(AD509:AD515,MATCH(AG514,AH509:AH515,0)))</f>
        <v/>
      </c>
      <c r="AY514" s="286" t="str">
        <f>IF(AG514="","",VLOOKUP(AG514,AH509:AU515,COLUMN()-COLUMN(AR508),FALSE))</f>
        <v/>
      </c>
      <c r="AZ514" s="286" t="str">
        <f>IF(AG514="","",VLOOKUP(AG514,AH509:AU515,COLUMN()-COLUMN(AR508),FALSE))</f>
        <v/>
      </c>
      <c r="BA514" s="286" t="str">
        <f>IF(AG514="","",VLOOKUP(AG514,AH509:AU515,COLUMN()-COLUMN(AR508),FALSE))</f>
        <v/>
      </c>
      <c r="BB514" s="286" t="str">
        <f>IF(AG514="","",VLOOKUP(AG514,AH509:AU515,COLUMN()-COLUMN(AR508),FALSE))</f>
        <v/>
      </c>
      <c r="BC514" s="286" t="str">
        <f>IF(AG514="","",VLOOKUP(AG514,AH509:AU515,COLUMN()-COLUMN(AR508),FALSE))</f>
        <v/>
      </c>
      <c r="BD514" s="286" t="str">
        <f>IF(AG514="","",VLOOKUP(AG514,AH509:AU515,COLUMN()-COLUMN(AR508),FALSE))</f>
        <v/>
      </c>
      <c r="BE514" s="286" t="str">
        <f>IF(AG514="","",VLOOKUP(AG514,AH509:AU515,COLUMN()-COLUMN(AR508),FALSE))</f>
        <v/>
      </c>
      <c r="BF514" s="301" t="str">
        <f>IF(AG514="","",VLOOKUP(AG514,AH509:AU515,COLUMN()-COLUMN(AR508),FALSE))</f>
        <v/>
      </c>
    </row>
    <row r="515" spans="1:58" ht="12" thickBot="1" x14ac:dyDescent="0.25">
      <c r="A515" s="62" t="s">
        <v>890</v>
      </c>
      <c r="B515" s="62" t="s">
        <v>12215</v>
      </c>
      <c r="C515" s="62"/>
      <c r="D515" s="62"/>
      <c r="E515" s="345" t="s">
        <v>10364</v>
      </c>
      <c r="F515" s="345" t="s">
        <v>8037</v>
      </c>
      <c r="G515" s="113">
        <v>3</v>
      </c>
      <c r="H515" s="113">
        <v>0</v>
      </c>
      <c r="I515" s="114"/>
      <c r="J515" s="114"/>
      <c r="K515" s="114"/>
      <c r="L515" s="81"/>
      <c r="M515" s="265" t="b">
        <f>NOT(ISERROR(ResultsInd[[#This Row],[Goal-A]]+ResultsInd[[#This Row],[Goal-B]]))</f>
        <v>1</v>
      </c>
      <c r="N515" s="265">
        <f>VALUE(ResultsInd[[#This Row],[Score-A]])</f>
        <v>3</v>
      </c>
      <c r="O515" s="265">
        <f>VALUE(ResultsInd[[#This Row],[Score-B]])</f>
        <v>0</v>
      </c>
      <c r="P515" s="265">
        <f ca="1">IF(AND(ResultsInd[[#This Row],[Category]]&lt;&gt;"",ResultsInd[[#This Row],[Player A]]&lt;&gt;""),COUNTIF(INDIRECT(ResultsInd[[#This Row],[Category]]&amp;"List[Retained Player Name]"),ResultsInd[[#This Row],[Player A]]),"")</f>
        <v>1</v>
      </c>
      <c r="Q515" s="265">
        <f ca="1">IF(AND(ResultsInd[[#This Row],[Category]]&lt;&gt;"",ResultsInd[[#This Row],[Player B]]&lt;&gt;""),COUNTIF(INDIRECT(ResultsInd[[#This Row],[Category]]&amp;"List[Retained Player Name]"),ResultsInd[[#This Row],[Player B]]),"")</f>
        <v>1</v>
      </c>
      <c r="R5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5" s="265" t="str">
        <f>IF(ResultsInd[[#This Row],[Score_OK]],IF(ResultsInd[[#This Row],[Stage]]="Groups",ResultsInd[[#This Row],[Category]]&amp;"-"&amp;IF(ResultsInd[[#This Row],[Player B]]="","",IF(ResultsInd[[#This Row],[Score-A]]=ResultsInd[[#This Row],[Score-B]],ResultsInd[[#This Row],[Player A]],"")),""),"")</f>
        <v/>
      </c>
      <c r="T515" s="265" t="str">
        <f>IF(ResultsInd[[#This Row],[Score_OK]],IF(ResultsInd[[#This Row],[Stage]]="Groups",ResultsInd[[#This Row],[Category]]&amp;"-"&amp;IF(ResultsInd[[#This Row],[Player B]]="","",IF(ResultsInd[[#This Row],[Score-A]]=ResultsInd[[#This Row],[Score-B]],ResultsInd[[#This Row],[Player B]],"")),""),"")</f>
        <v/>
      </c>
      <c r="U5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OPEN-Robert Lenz</v>
      </c>
      <c r="W5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5" s="264" t="str">
        <f>IF(ResultsInd[[#This Row],[Category]]="","",VLOOKUP(ResultsInd[[#This Row],[Stage]],$P$1:$V$9,MATCH(ResultsInd[[#This Row],[Category]],$Q$1:$V$1,0)+1,FALSE))</f>
        <v>L64</v>
      </c>
      <c r="Z515" s="264" t="str">
        <f>IF(ResultsInd[[#This Row],[Score_OK]],IF(ResultsInd[[#This Row],[Level]]="R",ResultsInd[[#This Row],[Category]]&amp;"-"&amp;IF(ResultsInd[[#This Row],[LoseInKO]]=ResultsInd[[#This Row],[Category]]&amp;"-"&amp;ResultsInd[[#This Row],[Player A]],ResultsInd[[#This Row],[Player B]],ResultsInd[[#This Row],[Player A]]),""),"")</f>
        <v/>
      </c>
      <c r="AB515" s="8"/>
      <c r="AC515" s="12" t="str">
        <f t="shared" si="447"/>
        <v>U12</v>
      </c>
      <c r="AD515" s="312"/>
      <c r="AE515" s="313"/>
      <c r="AF515" s="314"/>
      <c r="AG515" s="294" t="str">
        <f>IF(AP515="","",SMALL(AH509:AH515,ROWS(AG509:AG515)))</f>
        <v/>
      </c>
      <c r="AH515" s="295" t="str">
        <f>IF(AP515="","",RANK(AL515,AL509:AL515)*1000+ROWS(AH509:AH515))</f>
        <v/>
      </c>
      <c r="AI515" s="318" t="str">
        <f t="shared" si="441"/>
        <v/>
      </c>
      <c r="AJ515" s="416" t="b">
        <f>AND(AO515&lt;&gt;"",AO515&gt;0,COUNTIF(AI509:AI515,AI515)&gt;1)</f>
        <v>0</v>
      </c>
      <c r="AK515" s="318" t="str">
        <f t="shared" si="442"/>
        <v/>
      </c>
      <c r="AL515" s="319" t="str">
        <f t="shared" si="443"/>
        <v/>
      </c>
      <c r="AM515" s="416" t="b">
        <f>AND(AO515&lt;&gt;"",AO515&gt;0,COUNTIF(AL509:AL515,AL515)&gt;1)</f>
        <v>0</v>
      </c>
      <c r="AN515" s="306" t="str">
        <f t="shared" si="444"/>
        <v/>
      </c>
      <c r="AO515" s="307" t="str">
        <f t="shared" si="445"/>
        <v/>
      </c>
      <c r="AP515" s="307" t="str">
        <f>IF(OR(AC508="",AD515=""),"",COUNTIF(ResultsInd[Win],AC508&amp;"-"&amp;AD515))</f>
        <v/>
      </c>
      <c r="AQ515" s="307" t="str">
        <f>IF(OR(AC508="",AD515=""),"",COUNTIF(ResultsInd[Draw1],AC508&amp;"-"&amp;AD515)+COUNTIF(ResultsInd[Draw2],AC508&amp;"-"&amp;AD515))</f>
        <v/>
      </c>
      <c r="AR515" s="307" t="str">
        <f>IF(OR(AC508="",AD515=""),"",COUNTIF(ResultsInd[Lose],AC508&amp;"-"&amp;AD515))</f>
        <v/>
      </c>
      <c r="AS515" s="307" t="str">
        <f>IF(OR(AC508="",AD515=""),"",SUMIFS(ResultsInd[Goal-A],ResultsInd[Category],AC508,ResultsInd[Stage],"Groups",ResultsInd[Player A],AD515)+SUMIFS(ResultsInd[Goal-B],ResultsInd[Category],AC508,ResultsInd[Stage],"Groups",ResultsInd[Player B],AD515))</f>
        <v/>
      </c>
      <c r="AT515" s="307" t="str">
        <f>IF(OR(AC508="",AD515=""),"",SUMIFS(ResultsInd[Goal-B],ResultsInd[Category],AC508,ResultsInd[Stage],"Groups",ResultsInd[Player A],AD515)+SUMIFS(ResultsInd[Goal-A],ResultsInd[Category],AC508,ResultsInd[Stage],"Groups",ResultsInd[Player B],AD515))</f>
        <v/>
      </c>
      <c r="AU515" s="308" t="str">
        <f t="shared" si="448"/>
        <v/>
      </c>
      <c r="AV515" s="469" t="str">
        <f>IF(AG515="","",OR(VLOOKUP(AG515,AH509:AU515,3,FALSE),VLOOKUP(AG515,AH509:AU515,6,FALSE)))</f>
        <v/>
      </c>
      <c r="AW515" s="299" t="str">
        <f t="shared" si="446"/>
        <v/>
      </c>
      <c r="AX515" s="287" t="str">
        <f>IF(AG515="","",INDEX(AD509:AD515,MATCH(AG515,AH509:AH515,0)))</f>
        <v/>
      </c>
      <c r="AY515" s="288" t="str">
        <f>IF(AG515="","",VLOOKUP(AG515,AH509:AU515,COLUMN()-COLUMN(AR508),FALSE))</f>
        <v/>
      </c>
      <c r="AZ515" s="288" t="str">
        <f>IF(AG515="","",VLOOKUP(AG515,AH509:AU515,COLUMN()-COLUMN(AR508),FALSE))</f>
        <v/>
      </c>
      <c r="BA515" s="288" t="str">
        <f>IF(AG515="","",VLOOKUP(AG515,AH509:AU515,COLUMN()-COLUMN(AR508),FALSE))</f>
        <v/>
      </c>
      <c r="BB515" s="288" t="str">
        <f>IF(AG515="","",VLOOKUP(AG515,AH509:AU515,COLUMN()-COLUMN(AR508),FALSE))</f>
        <v/>
      </c>
      <c r="BC515" s="288" t="str">
        <f>IF(AG515="","",VLOOKUP(AG515,AH509:AU515,COLUMN()-COLUMN(AR508),FALSE))</f>
        <v/>
      </c>
      <c r="BD515" s="288" t="str">
        <f>IF(AG515="","",VLOOKUP(AG515,AH509:AU515,COLUMN()-COLUMN(AR508),FALSE))</f>
        <v/>
      </c>
      <c r="BE515" s="288" t="str">
        <f>IF(AG515="","",VLOOKUP(AG515,AH509:AU515,COLUMN()-COLUMN(AR508),FALSE))</f>
        <v/>
      </c>
      <c r="BF515" s="302" t="str">
        <f>IF(AG515="","",VLOOKUP(AG515,AH509:AU515,COLUMN()-COLUMN(AR508),FALSE))</f>
        <v/>
      </c>
    </row>
    <row r="516" spans="1:58" ht="13.5" thickBot="1" x14ac:dyDescent="0.25">
      <c r="A516" s="62" t="s">
        <v>890</v>
      </c>
      <c r="B516" s="62" t="s">
        <v>12215</v>
      </c>
      <c r="C516" s="62"/>
      <c r="D516" s="62"/>
      <c r="E516" s="345" t="s">
        <v>8194</v>
      </c>
      <c r="F516" s="345" t="s">
        <v>8149</v>
      </c>
      <c r="G516" s="113">
        <v>3</v>
      </c>
      <c r="H516" s="113">
        <v>5</v>
      </c>
      <c r="I516" s="114"/>
      <c r="J516" s="114"/>
      <c r="K516" s="114"/>
      <c r="L516" s="81"/>
      <c r="M516" s="265" t="b">
        <f>NOT(ISERROR(ResultsInd[[#This Row],[Goal-A]]+ResultsInd[[#This Row],[Goal-B]]))</f>
        <v>1</v>
      </c>
      <c r="N516" s="265">
        <f>VALUE(ResultsInd[[#This Row],[Score-A]])</f>
        <v>3</v>
      </c>
      <c r="O516" s="265">
        <f>VALUE(ResultsInd[[#This Row],[Score-B]])</f>
        <v>5</v>
      </c>
      <c r="P516" s="265">
        <f ca="1">IF(AND(ResultsInd[[#This Row],[Category]]&lt;&gt;"",ResultsInd[[#This Row],[Player A]]&lt;&gt;""),COUNTIF(INDIRECT(ResultsInd[[#This Row],[Category]]&amp;"List[Retained Player Name]"),ResultsInd[[#This Row],[Player A]]),"")</f>
        <v>1</v>
      </c>
      <c r="Q516" s="265">
        <f ca="1">IF(AND(ResultsInd[[#This Row],[Category]]&lt;&gt;"",ResultsInd[[#This Row],[Player B]]&lt;&gt;""),COUNTIF(INDIRECT(ResultsInd[[#This Row],[Category]]&amp;"List[Retained Player Name]"),ResultsInd[[#This Row],[Player B]]),"")</f>
        <v>1</v>
      </c>
      <c r="R5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6" s="265" t="str">
        <f>IF(ResultsInd[[#This Row],[Score_OK]],IF(ResultsInd[[#This Row],[Stage]]="Groups",ResultsInd[[#This Row],[Category]]&amp;"-"&amp;IF(ResultsInd[[#This Row],[Player B]]="","",IF(ResultsInd[[#This Row],[Score-A]]=ResultsInd[[#This Row],[Score-B]],ResultsInd[[#This Row],[Player A]],"")),""),"")</f>
        <v/>
      </c>
      <c r="T516" s="265" t="str">
        <f>IF(ResultsInd[[#This Row],[Score_OK]],IF(ResultsInd[[#This Row],[Stage]]="Groups",ResultsInd[[#This Row],[Category]]&amp;"-"&amp;IF(ResultsInd[[#This Row],[Player B]]="","",IF(ResultsInd[[#This Row],[Score-A]]=ResultsInd[[#This Row],[Score-B]],ResultsInd[[#This Row],[Player B]],"")),""),"")</f>
        <v/>
      </c>
      <c r="U5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OPEN-Noah Janssens</v>
      </c>
      <c r="W5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6" s="264" t="str">
        <f>IF(ResultsInd[[#This Row],[Category]]="","",VLOOKUP(ResultsInd[[#This Row],[Stage]],$P$1:$V$9,MATCH(ResultsInd[[#This Row],[Category]],$Q$1:$V$1,0)+1,FALSE))</f>
        <v>L64</v>
      </c>
      <c r="Z516" s="264" t="str">
        <f>IF(ResultsInd[[#This Row],[Score_OK]],IF(ResultsInd[[#This Row],[Level]]="R",ResultsInd[[#This Row],[Category]]&amp;"-"&amp;IF(ResultsInd[[#This Row],[LoseInKO]]=ResultsInd[[#This Row],[Category]]&amp;"-"&amp;ResultsInd[[#This Row],[Player A]],ResultsInd[[#This Row],[Player B]],ResultsInd[[#This Row],[Player A]]),""),"")</f>
        <v/>
      </c>
      <c r="AB516" s="8"/>
      <c r="AC516" s="8"/>
      <c r="AF516" s="170"/>
      <c r="AG516" s="101"/>
      <c r="AH516" s="101"/>
      <c r="AN516" s="170"/>
      <c r="AO516" s="170"/>
      <c r="AP516" s="170"/>
      <c r="AQ516" s="172"/>
      <c r="AR516" s="173"/>
      <c r="AS516" s="173"/>
      <c r="AT516" s="173"/>
      <c r="AU516" s="101"/>
      <c r="AV516" s="101"/>
      <c r="AW516" s="101"/>
      <c r="AX516" s="101"/>
      <c r="AY516" s="101"/>
      <c r="AZ516" s="101"/>
    </row>
    <row r="517" spans="1:58" ht="12" thickBot="1" x14ac:dyDescent="0.25">
      <c r="A517" s="62" t="s">
        <v>890</v>
      </c>
      <c r="B517" s="62" t="s">
        <v>12215</v>
      </c>
      <c r="C517" s="62"/>
      <c r="D517" s="62"/>
      <c r="E517" s="345" t="s">
        <v>10080</v>
      </c>
      <c r="F517" s="345" t="s">
        <v>10283</v>
      </c>
      <c r="G517" s="113">
        <v>1</v>
      </c>
      <c r="H517" s="113">
        <v>1</v>
      </c>
      <c r="I517" s="114"/>
      <c r="J517" s="114">
        <v>1</v>
      </c>
      <c r="K517" s="114">
        <v>2</v>
      </c>
      <c r="L517" s="81"/>
      <c r="M517" s="265" t="b">
        <f>NOT(ISERROR(ResultsInd[[#This Row],[Goal-A]]+ResultsInd[[#This Row],[Goal-B]]))</f>
        <v>1</v>
      </c>
      <c r="N517" s="265">
        <f>VALUE(ResultsInd[[#This Row],[Score-A]])</f>
        <v>1</v>
      </c>
      <c r="O517" s="265">
        <f>VALUE(ResultsInd[[#This Row],[Score-B]])</f>
        <v>1</v>
      </c>
      <c r="P517" s="265">
        <f ca="1">IF(AND(ResultsInd[[#This Row],[Category]]&lt;&gt;"",ResultsInd[[#This Row],[Player A]]&lt;&gt;""),COUNTIF(INDIRECT(ResultsInd[[#This Row],[Category]]&amp;"List[Retained Player Name]"),ResultsInd[[#This Row],[Player A]]),"")</f>
        <v>1</v>
      </c>
      <c r="Q517" s="265">
        <f ca="1">IF(AND(ResultsInd[[#This Row],[Category]]&lt;&gt;"",ResultsInd[[#This Row],[Player B]]&lt;&gt;""),COUNTIF(INDIRECT(ResultsInd[[#This Row],[Category]]&amp;"List[Retained Player Name]"),ResultsInd[[#This Row],[Player B]]),"")</f>
        <v>1</v>
      </c>
      <c r="R5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7" s="265" t="str">
        <f>IF(ResultsInd[[#This Row],[Score_OK]],IF(ResultsInd[[#This Row],[Stage]]="Groups",ResultsInd[[#This Row],[Category]]&amp;"-"&amp;IF(ResultsInd[[#This Row],[Player B]]="","",IF(ResultsInd[[#This Row],[Score-A]]=ResultsInd[[#This Row],[Score-B]],ResultsInd[[#This Row],[Player A]],"")),""),"")</f>
        <v/>
      </c>
      <c r="T517" s="265" t="str">
        <f>IF(ResultsInd[[#This Row],[Score_OK]],IF(ResultsInd[[#This Row],[Stage]]="Groups",ResultsInd[[#This Row],[Category]]&amp;"-"&amp;IF(ResultsInd[[#This Row],[Player B]]="","",IF(ResultsInd[[#This Row],[Score-A]]=ResultsInd[[#This Row],[Score-B]],ResultsInd[[#This Row],[Player B]],"")),""),"")</f>
        <v/>
      </c>
      <c r="U5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OPEN-William Dotto</v>
      </c>
      <c r="W5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7" s="264" t="str">
        <f>IF(ResultsInd[[#This Row],[Category]]="","",VLOOKUP(ResultsInd[[#This Row],[Stage]],$P$1:$V$9,MATCH(ResultsInd[[#This Row],[Category]],$Q$1:$V$1,0)+1,FALSE))</f>
        <v>L64</v>
      </c>
      <c r="Z517" s="264" t="str">
        <f>IF(ResultsInd[[#This Row],[Score_OK]],IF(ResultsInd[[#This Row],[Level]]="R",ResultsInd[[#This Row],[Category]]&amp;"-"&amp;IF(ResultsInd[[#This Row],[LoseInKO]]=ResultsInd[[#This Row],[Category]]&amp;"-"&amp;ResultsInd[[#This Row],[Player A]],ResultsInd[[#This Row],[Player B]],ResultsInd[[#This Row],[Player A]]),""),"")</f>
        <v/>
      </c>
      <c r="AB517" s="281" t="str">
        <f>IF(AC517="","",COUNTIFS(AC$22:AC517,AC517,AD$22:AD517,"Players draw"))</f>
        <v/>
      </c>
      <c r="AC517" s="315"/>
      <c r="AD517" s="289" t="s">
        <v>14439</v>
      </c>
      <c r="AE517" s="290" t="s">
        <v>12279</v>
      </c>
      <c r="AF517" s="284" t="s">
        <v>12275</v>
      </c>
      <c r="AG517" s="296" t="s">
        <v>12276</v>
      </c>
      <c r="AH517" s="291" t="s">
        <v>12271</v>
      </c>
      <c r="AI517" s="291" t="s">
        <v>12272</v>
      </c>
      <c r="AJ517" s="414" t="s">
        <v>13154</v>
      </c>
      <c r="AK517" s="291" t="s">
        <v>12273</v>
      </c>
      <c r="AL517" s="297" t="s">
        <v>12274</v>
      </c>
      <c r="AM517" s="414" t="s">
        <v>13154</v>
      </c>
      <c r="AN517" s="303" t="s">
        <v>12199</v>
      </c>
      <c r="AO517" s="304" t="s">
        <v>12200</v>
      </c>
      <c r="AP517" s="304" t="s">
        <v>12201</v>
      </c>
      <c r="AQ517" s="304" t="s">
        <v>12202</v>
      </c>
      <c r="AR517" s="304" t="s">
        <v>12203</v>
      </c>
      <c r="AS517" s="304" t="s">
        <v>12204</v>
      </c>
      <c r="AT517" s="304" t="s">
        <v>12205</v>
      </c>
      <c r="AU517" s="305" t="s">
        <v>12206</v>
      </c>
      <c r="AV517" s="468"/>
      <c r="AW517" s="282" t="s">
        <v>12276</v>
      </c>
      <c r="AX517" s="282" t="s">
        <v>12280</v>
      </c>
      <c r="AY517" s="283" t="s">
        <v>12199</v>
      </c>
      <c r="AZ517" s="283" t="s">
        <v>12200</v>
      </c>
      <c r="BA517" s="283" t="s">
        <v>12201</v>
      </c>
      <c r="BB517" s="283" t="s">
        <v>12202</v>
      </c>
      <c r="BC517" s="283" t="s">
        <v>12203</v>
      </c>
      <c r="BD517" s="283" t="s">
        <v>12204</v>
      </c>
      <c r="BE517" s="283" t="s">
        <v>12205</v>
      </c>
      <c r="BF517" s="300" t="s">
        <v>12206</v>
      </c>
    </row>
    <row r="518" spans="1:58" ht="12" thickBot="1" x14ac:dyDescent="0.25">
      <c r="A518" s="62" t="s">
        <v>890</v>
      </c>
      <c r="B518" s="62" t="s">
        <v>12215</v>
      </c>
      <c r="C518" s="62"/>
      <c r="D518" s="62"/>
      <c r="E518" s="345" t="s">
        <v>8036</v>
      </c>
      <c r="F518" s="345" t="s">
        <v>8165</v>
      </c>
      <c r="G518" s="113">
        <v>4</v>
      </c>
      <c r="H518" s="113">
        <v>1</v>
      </c>
      <c r="I518" s="114"/>
      <c r="J518" s="114"/>
      <c r="K518" s="114"/>
      <c r="L518" s="81"/>
      <c r="M518" s="265" t="b">
        <f>NOT(ISERROR(ResultsInd[[#This Row],[Goal-A]]+ResultsInd[[#This Row],[Goal-B]]))</f>
        <v>1</v>
      </c>
      <c r="N518" s="265">
        <f>VALUE(ResultsInd[[#This Row],[Score-A]])</f>
        <v>4</v>
      </c>
      <c r="O518" s="265">
        <f>VALUE(ResultsInd[[#This Row],[Score-B]])</f>
        <v>1</v>
      </c>
      <c r="P518" s="265">
        <f ca="1">IF(AND(ResultsInd[[#This Row],[Category]]&lt;&gt;"",ResultsInd[[#This Row],[Player A]]&lt;&gt;""),COUNTIF(INDIRECT(ResultsInd[[#This Row],[Category]]&amp;"List[Retained Player Name]"),ResultsInd[[#This Row],[Player A]]),"")</f>
        <v>1</v>
      </c>
      <c r="Q518" s="265">
        <f ca="1">IF(AND(ResultsInd[[#This Row],[Category]]&lt;&gt;"",ResultsInd[[#This Row],[Player B]]&lt;&gt;""),COUNTIF(INDIRECT(ResultsInd[[#This Row],[Category]]&amp;"List[Retained Player Name]"),ResultsInd[[#This Row],[Player B]]),"")</f>
        <v>1</v>
      </c>
      <c r="R5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8" s="265" t="str">
        <f>IF(ResultsInd[[#This Row],[Score_OK]],IF(ResultsInd[[#This Row],[Stage]]="Groups",ResultsInd[[#This Row],[Category]]&amp;"-"&amp;IF(ResultsInd[[#This Row],[Player B]]="","",IF(ResultsInd[[#This Row],[Score-A]]=ResultsInd[[#This Row],[Score-B]],ResultsInd[[#This Row],[Player A]],"")),""),"")</f>
        <v/>
      </c>
      <c r="T518" s="265" t="str">
        <f>IF(ResultsInd[[#This Row],[Score_OK]],IF(ResultsInd[[#This Row],[Stage]]="Groups",ResultsInd[[#This Row],[Category]]&amp;"-"&amp;IF(ResultsInd[[#This Row],[Player B]]="","",IF(ResultsInd[[#This Row],[Score-A]]=ResultsInd[[#This Row],[Score-B]],ResultsInd[[#This Row],[Player B]],"")),""),"")</f>
        <v/>
      </c>
      <c r="U5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OPEN-Christopher Sabetta</v>
      </c>
      <c r="W5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8" s="264" t="str">
        <f>IF(ResultsInd[[#This Row],[Category]]="","",VLOOKUP(ResultsInd[[#This Row],[Stage]],$P$1:$V$9,MATCH(ResultsInd[[#This Row],[Category]],$Q$1:$V$1,0)+1,FALSE))</f>
        <v>L64</v>
      </c>
      <c r="Z518" s="264" t="str">
        <f>IF(ResultsInd[[#This Row],[Score_OK]],IF(ResultsInd[[#This Row],[Level]]="R",ResultsInd[[#This Row],[Category]]&amp;"-"&amp;IF(ResultsInd[[#This Row],[LoseInKO]]=ResultsInd[[#This Row],[Category]]&amp;"-"&amp;ResultsInd[[#This Row],[Player A]],ResultsInd[[#This Row],[Player B]],ResultsInd[[#This Row],[Player A]]),""),"")</f>
        <v/>
      </c>
      <c r="AB518" s="8"/>
      <c r="AC518" s="12" t="str">
        <f>IF(AC517="","",AC517)</f>
        <v/>
      </c>
      <c r="AD518" s="309"/>
      <c r="AE518" s="320"/>
      <c r="AF518" s="311"/>
      <c r="AG518" s="292" t="str">
        <f>IF(AP518="","",SMALL(AH518:AH524,ROWS(AG518:AG518)))</f>
        <v/>
      </c>
      <c r="AH518" s="293" t="str">
        <f>IF(AP518="","",RANK(AL518,AL518:AL524)*1000+ROWS(AH518:AH518))</f>
        <v/>
      </c>
      <c r="AI518" s="316" t="str">
        <f t="shared" ref="AI518:AI524" si="449">IF(AP518="","",CritClassInd1_Points*AN518+CritClassInd1_Matches*AP518+CritClassInd1_Attaque*AS518+CritClassInd1_DiffButs*AU518)</f>
        <v/>
      </c>
      <c r="AJ518" s="415" t="b">
        <f>AND(AO518&lt;&gt;"",AO518&gt;0,COUNTIF(AI518:AI524,AI518)&gt;1)</f>
        <v>0</v>
      </c>
      <c r="AK518" s="316" t="str">
        <f t="shared" ref="AK518:AK524" si="450">IF(AP518="","",CritClassInd_ScorePart*AE518)</f>
        <v/>
      </c>
      <c r="AL518" s="317" t="str">
        <f t="shared" ref="AL518:AL524" si="451">IF(AP518="","",AI518+AK518+CritClassInd2_Points*AN518+CritClassInd2_Matches*AP518+CritClassInd2_Attaque*AS518+CritClassInd2_DiffButs*AU518+AF518)</f>
        <v/>
      </c>
      <c r="AM518" s="415" t="b">
        <f>AND(AO518&lt;&gt;"",AO518&gt;0,COUNTIF(AL518:AL524,AL518)&gt;1)</f>
        <v>0</v>
      </c>
      <c r="AN518" s="306" t="str">
        <f t="shared" ref="AN518:AN524" si="452">IF(AP518="","",(AP518*Points_Victoire)+AQ518*Points_Null)</f>
        <v/>
      </c>
      <c r="AO518" s="307" t="str">
        <f t="shared" ref="AO518:AO524" si="453">IF(AP518="","",SUM(AP518:AR518))</f>
        <v/>
      </c>
      <c r="AP518" s="307" t="str">
        <f>IF(OR(AC517="",AD518=""),"",COUNTIF(ResultsInd[Win],AC517&amp;"-"&amp;AD518))</f>
        <v/>
      </c>
      <c r="AQ518" s="307" t="str">
        <f>IF(OR(AC517="",AD518=""),"",COUNTIF(ResultsInd[Draw1],AC517&amp;"-"&amp;AD518)+COUNTIF(ResultsInd[Draw2],AC517&amp;"-"&amp;AD518))</f>
        <v/>
      </c>
      <c r="AR518" s="307" t="str">
        <f>IF(OR(AC517="",AD518=""),"",COUNTIF(ResultsInd[Lose],AC517&amp;"-"&amp;AD518))</f>
        <v/>
      </c>
      <c r="AS518" s="307" t="str">
        <f>IF(OR(AC517="",AD518=""),"",SUMIFS(ResultsInd[Goal-A],ResultsInd[Category],AC517,ResultsInd[Stage],"Groups",ResultsInd[Player A],AD518)+SUMIFS(ResultsInd[Goal-B],ResultsInd[Category],AC517,ResultsInd[Stage],"Groups",ResultsInd[Player B],AD518))</f>
        <v/>
      </c>
      <c r="AT518" s="307" t="str">
        <f>IF(OR(AC517="",AD518=""),"",SUMIFS(ResultsInd[Goal-B],ResultsInd[Category],AC517,ResultsInd[Stage],"Groups",ResultsInd[Player A],AD518)+SUMIFS(ResultsInd[Goal-A],ResultsInd[Category],AC517,ResultsInd[Stage],"Groups",ResultsInd[Player B],AD518))</f>
        <v/>
      </c>
      <c r="AU518" s="308" t="str">
        <f>IF(AP518="","",AS518-AT518)</f>
        <v/>
      </c>
      <c r="AV518" s="469" t="str">
        <f>IF(AG518="","",OR(VLOOKUP(AG518,AH518:AU524,3,FALSE),VLOOKUP(AG518,AH518:AU524,6,FALSE)))</f>
        <v/>
      </c>
      <c r="AW518" s="298" t="str">
        <f t="shared" ref="AW518:AW524" si="454">IF(AG518="","",INT(AG518/1000))</f>
        <v/>
      </c>
      <c r="AX518" s="285" t="str">
        <f>IF(AG518="","",INDEX(AD518:AD524,MATCH(AG518,AH518:AH524,0)))</f>
        <v/>
      </c>
      <c r="AY518" s="286" t="str">
        <f>IF(AG518="","",VLOOKUP(AG518,AH518:AU524,COLUMN()-COLUMN(AR517),FALSE))</f>
        <v/>
      </c>
      <c r="AZ518" s="286" t="str">
        <f>IF(AG518="","",VLOOKUP(AG518,AH518:AU524,COLUMN()-COLUMN(AR517),FALSE))</f>
        <v/>
      </c>
      <c r="BA518" s="286" t="str">
        <f>IF(AG518="","",VLOOKUP(AG518,AH518:AU524,COLUMN()-COLUMN(AR517),FALSE))</f>
        <v/>
      </c>
      <c r="BB518" s="286" t="str">
        <f>IF(AG518="","",VLOOKUP(AG518,AH518:AU524,COLUMN()-COLUMN(AR517),FALSE))</f>
        <v/>
      </c>
      <c r="BC518" s="286" t="str">
        <f>IF(AG518="","",VLOOKUP(AG518,AH518:AU524,COLUMN()-COLUMN(AR517),FALSE))</f>
        <v/>
      </c>
      <c r="BD518" s="286" t="str">
        <f>IF(AG518="","",VLOOKUP(AG518,AH518:AU524,COLUMN()-COLUMN(AR517),FALSE))</f>
        <v/>
      </c>
      <c r="BE518" s="286" t="str">
        <f>IF(AG518="","",VLOOKUP(AG518,AH518:AU524,COLUMN()-COLUMN(AR517),FALSE))</f>
        <v/>
      </c>
      <c r="BF518" s="301" t="str">
        <f>IF(AG518="","",VLOOKUP(AG518,AH518:AU524,COLUMN()-COLUMN(AR517),FALSE))</f>
        <v/>
      </c>
    </row>
    <row r="519" spans="1:58" ht="12" thickBot="1" x14ac:dyDescent="0.25">
      <c r="A519" s="62" t="s">
        <v>890</v>
      </c>
      <c r="B519" s="62" t="s">
        <v>12215</v>
      </c>
      <c r="C519" s="62"/>
      <c r="D519" s="62"/>
      <c r="E519" s="345" t="s">
        <v>9915</v>
      </c>
      <c r="F519" s="345" t="s">
        <v>8088</v>
      </c>
      <c r="G519" s="113">
        <v>0</v>
      </c>
      <c r="H519" s="113">
        <v>1</v>
      </c>
      <c r="I519" s="114"/>
      <c r="J519" s="114"/>
      <c r="K519" s="114"/>
      <c r="L519" s="81"/>
      <c r="M519" s="265" t="b">
        <f>NOT(ISERROR(ResultsInd[[#This Row],[Goal-A]]+ResultsInd[[#This Row],[Goal-B]]))</f>
        <v>1</v>
      </c>
      <c r="N519" s="265">
        <f>VALUE(ResultsInd[[#This Row],[Score-A]])</f>
        <v>0</v>
      </c>
      <c r="O519" s="265">
        <f>VALUE(ResultsInd[[#This Row],[Score-B]])</f>
        <v>1</v>
      </c>
      <c r="P519" s="265">
        <f ca="1">IF(AND(ResultsInd[[#This Row],[Category]]&lt;&gt;"",ResultsInd[[#This Row],[Player A]]&lt;&gt;""),COUNTIF(INDIRECT(ResultsInd[[#This Row],[Category]]&amp;"List[Retained Player Name]"),ResultsInd[[#This Row],[Player A]]),"")</f>
        <v>1</v>
      </c>
      <c r="Q519" s="265">
        <f ca="1">IF(AND(ResultsInd[[#This Row],[Category]]&lt;&gt;"",ResultsInd[[#This Row],[Player B]]&lt;&gt;""),COUNTIF(INDIRECT(ResultsInd[[#This Row],[Category]]&amp;"List[Retained Player Name]"),ResultsInd[[#This Row],[Player B]]),"")</f>
        <v>1</v>
      </c>
      <c r="R5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9" s="265" t="str">
        <f>IF(ResultsInd[[#This Row],[Score_OK]],IF(ResultsInd[[#This Row],[Stage]]="Groups",ResultsInd[[#This Row],[Category]]&amp;"-"&amp;IF(ResultsInd[[#This Row],[Player B]]="","",IF(ResultsInd[[#This Row],[Score-A]]=ResultsInd[[#This Row],[Score-B]],ResultsInd[[#This Row],[Player A]],"")),""),"")</f>
        <v/>
      </c>
      <c r="T519" s="265" t="str">
        <f>IF(ResultsInd[[#This Row],[Score_OK]],IF(ResultsInd[[#This Row],[Stage]]="Groups",ResultsInd[[#This Row],[Category]]&amp;"-"&amp;IF(ResultsInd[[#This Row],[Player B]]="","",IF(ResultsInd[[#This Row],[Score-A]]=ResultsInd[[#This Row],[Score-B]],ResultsInd[[#This Row],[Player B]],"")),""),"")</f>
        <v/>
      </c>
      <c r="U5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OPEN-Emanuele Licheri</v>
      </c>
      <c r="W5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19" s="264" t="str">
        <f>IF(ResultsInd[[#This Row],[Category]]="","",VLOOKUP(ResultsInd[[#This Row],[Stage]],$P$1:$V$9,MATCH(ResultsInd[[#This Row],[Category]],$Q$1:$V$1,0)+1,FALSE))</f>
        <v>L64</v>
      </c>
      <c r="Z519" s="264" t="str">
        <f>IF(ResultsInd[[#This Row],[Score_OK]],IF(ResultsInd[[#This Row],[Level]]="R",ResultsInd[[#This Row],[Category]]&amp;"-"&amp;IF(ResultsInd[[#This Row],[LoseInKO]]=ResultsInd[[#This Row],[Category]]&amp;"-"&amp;ResultsInd[[#This Row],[Player A]],ResultsInd[[#This Row],[Player B]],ResultsInd[[#This Row],[Player A]]),""),"")</f>
        <v/>
      </c>
      <c r="AB519" s="8"/>
      <c r="AC519" s="12" t="str">
        <f t="shared" ref="AC519:AC524" si="455">IF(AC518="","",AC518)</f>
        <v/>
      </c>
      <c r="AD519" s="309"/>
      <c r="AE519" s="320"/>
      <c r="AF519" s="311"/>
      <c r="AG519" s="292" t="str">
        <f>IF(AP519="","",SMALL(AH518:AH524,ROWS(AG518:AG519)))</f>
        <v/>
      </c>
      <c r="AH519" s="293" t="str">
        <f>IF(AP519="","",RANK(AL519,AL518:AL524)*1000+ROWS(AH518:AH519))</f>
        <v/>
      </c>
      <c r="AI519" s="316" t="str">
        <f t="shared" si="449"/>
        <v/>
      </c>
      <c r="AJ519" s="415" t="b">
        <f>AND(AO519&lt;&gt;"",AO519&gt;0,COUNTIF(AI518:AI524,AI519)&gt;1)</f>
        <v>0</v>
      </c>
      <c r="AK519" s="316" t="str">
        <f t="shared" si="450"/>
        <v/>
      </c>
      <c r="AL519" s="317" t="str">
        <f t="shared" si="451"/>
        <v/>
      </c>
      <c r="AM519" s="415" t="b">
        <f>AND(AO519&lt;&gt;"",AO519&gt;0,COUNTIF(AL518:AL524,AL519)&gt;1)</f>
        <v>0</v>
      </c>
      <c r="AN519" s="306" t="str">
        <f t="shared" si="452"/>
        <v/>
      </c>
      <c r="AO519" s="307" t="str">
        <f t="shared" si="453"/>
        <v/>
      </c>
      <c r="AP519" s="307" t="str">
        <f>IF(OR(AC517="",AD519=""),"",COUNTIF(ResultsInd[Win],AC517&amp;"-"&amp;AD519))</f>
        <v/>
      </c>
      <c r="AQ519" s="307" t="str">
        <f>IF(OR(AC517="",AD519=""),"",COUNTIF(ResultsInd[Draw1],AC517&amp;"-"&amp;AD519)+COUNTIF(ResultsInd[Draw2],AC517&amp;"-"&amp;AD519))</f>
        <v/>
      </c>
      <c r="AR519" s="307" t="str">
        <f>IF(OR(AC517="",AD519=""),"",COUNTIF(ResultsInd[Lose],AC517&amp;"-"&amp;AD519))</f>
        <v/>
      </c>
      <c r="AS519" s="307" t="str">
        <f>IF(OR(AC517="",AD519=""),"",SUMIFS(ResultsInd[Goal-A],ResultsInd[Category],AC517,ResultsInd[Stage],"Groups",ResultsInd[Player A],AD519)+SUMIFS(ResultsInd[Goal-B],ResultsInd[Category],AC517,ResultsInd[Stage],"Groups",ResultsInd[Player B],AD519))</f>
        <v/>
      </c>
      <c r="AT519" s="307" t="str">
        <f>IF(OR(AC517="",AD519=""),"",SUMIFS(ResultsInd[Goal-B],ResultsInd[Category],AC517,ResultsInd[Stage],"Groups",ResultsInd[Player A],AD519)+SUMIFS(ResultsInd[Goal-A],ResultsInd[Category],AC517,ResultsInd[Stage],"Groups",ResultsInd[Player B],AD519))</f>
        <v/>
      </c>
      <c r="AU519" s="308" t="str">
        <f t="shared" ref="AU519:AU524" si="456">IF(AP519="","",AS519-AT519)</f>
        <v/>
      </c>
      <c r="AV519" s="469" t="str">
        <f>IF(AG519="","",OR(VLOOKUP(AG519,AH518:AU524,3,FALSE),VLOOKUP(AG519,AH518:AU524,6,FALSE)))</f>
        <v/>
      </c>
      <c r="AW519" s="298" t="str">
        <f t="shared" si="454"/>
        <v/>
      </c>
      <c r="AX519" s="285" t="str">
        <f>IF(AG519="","",INDEX(AD518:AD524,MATCH(AG519,AH518:AH524,0)))</f>
        <v/>
      </c>
      <c r="AY519" s="286" t="str">
        <f>IF(AG519="","",VLOOKUP(AG519,AH518:AU524,COLUMN()-COLUMN(AR517),FALSE))</f>
        <v/>
      </c>
      <c r="AZ519" s="286" t="str">
        <f>IF(AG519="","",VLOOKUP(AG519,AH518:AU524,COLUMN()-COLUMN(AR517),FALSE))</f>
        <v/>
      </c>
      <c r="BA519" s="286" t="str">
        <f>IF(AG519="","",VLOOKUP(AG519,AH518:AU524,COLUMN()-COLUMN(AR517),FALSE))</f>
        <v/>
      </c>
      <c r="BB519" s="286" t="str">
        <f>IF(AG519="","",VLOOKUP(AG519,AH518:AU524,COLUMN()-COLUMN(AR517),FALSE))</f>
        <v/>
      </c>
      <c r="BC519" s="286" t="str">
        <f>IF(AG519="","",VLOOKUP(AG519,AH518:AU524,COLUMN()-COLUMN(AR517),FALSE))</f>
        <v/>
      </c>
      <c r="BD519" s="286" t="str">
        <f>IF(AG519="","",VLOOKUP(AG519,AH518:AU524,COLUMN()-COLUMN(AR517),FALSE))</f>
        <v/>
      </c>
      <c r="BE519" s="286" t="str">
        <f>IF(AG519="","",VLOOKUP(AG519,AH518:AU524,COLUMN()-COLUMN(AR517),FALSE))</f>
        <v/>
      </c>
      <c r="BF519" s="301" t="str">
        <f>IF(AG519="","",VLOOKUP(AG519,AH518:AU524,COLUMN()-COLUMN(AR517),FALSE))</f>
        <v/>
      </c>
    </row>
    <row r="520" spans="1:58" ht="12" thickBot="1" x14ac:dyDescent="0.25">
      <c r="A520" s="62" t="s">
        <v>890</v>
      </c>
      <c r="B520" s="62" t="s">
        <v>12215</v>
      </c>
      <c r="C520" s="62"/>
      <c r="D520" s="62"/>
      <c r="E520" s="345" t="s">
        <v>9527</v>
      </c>
      <c r="F520" s="345" t="s">
        <v>10424</v>
      </c>
      <c r="G520" s="113">
        <v>2</v>
      </c>
      <c r="H520" s="113">
        <v>0</v>
      </c>
      <c r="I520" s="114"/>
      <c r="J520" s="114"/>
      <c r="K520" s="114"/>
      <c r="L520" s="81"/>
      <c r="M520" s="265" t="b">
        <f>NOT(ISERROR(ResultsInd[[#This Row],[Goal-A]]+ResultsInd[[#This Row],[Goal-B]]))</f>
        <v>1</v>
      </c>
      <c r="N520" s="265">
        <f>VALUE(ResultsInd[[#This Row],[Score-A]])</f>
        <v>2</v>
      </c>
      <c r="O520" s="265">
        <f>VALUE(ResultsInd[[#This Row],[Score-B]])</f>
        <v>0</v>
      </c>
      <c r="P520" s="265">
        <f ca="1">IF(AND(ResultsInd[[#This Row],[Category]]&lt;&gt;"",ResultsInd[[#This Row],[Player A]]&lt;&gt;""),COUNTIF(INDIRECT(ResultsInd[[#This Row],[Category]]&amp;"List[Retained Player Name]"),ResultsInd[[#This Row],[Player A]]),"")</f>
        <v>1</v>
      </c>
      <c r="Q520" s="265">
        <f ca="1">IF(AND(ResultsInd[[#This Row],[Category]]&lt;&gt;"",ResultsInd[[#This Row],[Player B]]&lt;&gt;""),COUNTIF(INDIRECT(ResultsInd[[#This Row],[Category]]&amp;"List[Retained Player Name]"),ResultsInd[[#This Row],[Player B]]),"")</f>
        <v>1</v>
      </c>
      <c r="R5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0" s="265" t="str">
        <f>IF(ResultsInd[[#This Row],[Score_OK]],IF(ResultsInd[[#This Row],[Stage]]="Groups",ResultsInd[[#This Row],[Category]]&amp;"-"&amp;IF(ResultsInd[[#This Row],[Player B]]="","",IF(ResultsInd[[#This Row],[Score-A]]=ResultsInd[[#This Row],[Score-B]],ResultsInd[[#This Row],[Player A]],"")),""),"")</f>
        <v/>
      </c>
      <c r="T520" s="265" t="str">
        <f>IF(ResultsInd[[#This Row],[Score_OK]],IF(ResultsInd[[#This Row],[Stage]]="Groups",ResultsInd[[#This Row],[Category]]&amp;"-"&amp;IF(ResultsInd[[#This Row],[Player B]]="","",IF(ResultsInd[[#This Row],[Score-A]]=ResultsInd[[#This Row],[Score-B]],ResultsInd[[#This Row],[Player B]],"")),""),"")</f>
        <v/>
      </c>
      <c r="U5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OPEN-George Ebejer</v>
      </c>
      <c r="W5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0" s="264" t="str">
        <f>IF(ResultsInd[[#This Row],[Category]]="","",VLOOKUP(ResultsInd[[#This Row],[Stage]],$P$1:$V$9,MATCH(ResultsInd[[#This Row],[Category]],$Q$1:$V$1,0)+1,FALSE))</f>
        <v>L64</v>
      </c>
      <c r="Z520" s="264" t="str">
        <f>IF(ResultsInd[[#This Row],[Score_OK]],IF(ResultsInd[[#This Row],[Level]]="R",ResultsInd[[#This Row],[Category]]&amp;"-"&amp;IF(ResultsInd[[#This Row],[LoseInKO]]=ResultsInd[[#This Row],[Category]]&amp;"-"&amp;ResultsInd[[#This Row],[Player A]],ResultsInd[[#This Row],[Player B]],ResultsInd[[#This Row],[Player A]]),""),"")</f>
        <v/>
      </c>
      <c r="AB520" s="8"/>
      <c r="AC520" s="12" t="str">
        <f t="shared" si="455"/>
        <v/>
      </c>
      <c r="AD520" s="309"/>
      <c r="AE520" s="320"/>
      <c r="AF520" s="311"/>
      <c r="AG520" s="292" t="str">
        <f>IF(AP520="","",SMALL(AH518:AH524,ROWS(AG518:AG520)))</f>
        <v/>
      </c>
      <c r="AH520" s="293" t="str">
        <f>IF(AP520="","",RANK(AL520,AL518:AL524)*1000+ROWS(AH518:AH520))</f>
        <v/>
      </c>
      <c r="AI520" s="316" t="str">
        <f t="shared" si="449"/>
        <v/>
      </c>
      <c r="AJ520" s="415" t="b">
        <f>AND(AO520&lt;&gt;"",AO520&gt;0,COUNTIF(AI518:AI524,AI520)&gt;1)</f>
        <v>0</v>
      </c>
      <c r="AK520" s="316" t="str">
        <f t="shared" si="450"/>
        <v/>
      </c>
      <c r="AL520" s="317" t="str">
        <f t="shared" si="451"/>
        <v/>
      </c>
      <c r="AM520" s="415" t="b">
        <f>AND(AO520&lt;&gt;"",AO520&gt;0,COUNTIF(AL518:AL524,AL520)&gt;1)</f>
        <v>0</v>
      </c>
      <c r="AN520" s="306" t="str">
        <f t="shared" si="452"/>
        <v/>
      </c>
      <c r="AO520" s="307" t="str">
        <f t="shared" si="453"/>
        <v/>
      </c>
      <c r="AP520" s="307" t="str">
        <f>IF(OR(AC517="",AD520=""),"",COUNTIF(ResultsInd[Win],AC517&amp;"-"&amp;AD520))</f>
        <v/>
      </c>
      <c r="AQ520" s="307" t="str">
        <f>IF(OR(AC517="",AD520=""),"",COUNTIF(ResultsInd[Draw1],AC517&amp;"-"&amp;AD520)+COUNTIF(ResultsInd[Draw2],AC517&amp;"-"&amp;AD520))</f>
        <v/>
      </c>
      <c r="AR520" s="307" t="str">
        <f>IF(OR(AC517="",AD520=""),"",COUNTIF(ResultsInd[Lose],AC517&amp;"-"&amp;AD520))</f>
        <v/>
      </c>
      <c r="AS520" s="307" t="str">
        <f>IF(OR(AC517="",AD520=""),"",SUMIFS(ResultsInd[Goal-A],ResultsInd[Category],AC517,ResultsInd[Stage],"Groups",ResultsInd[Player A],AD520)+SUMIFS(ResultsInd[Goal-B],ResultsInd[Category],AC517,ResultsInd[Stage],"Groups",ResultsInd[Player B],AD520))</f>
        <v/>
      </c>
      <c r="AT520" s="307" t="str">
        <f>IF(OR(AC517="",AD520=""),"",SUMIFS(ResultsInd[Goal-B],ResultsInd[Category],AC517,ResultsInd[Stage],"Groups",ResultsInd[Player A],AD520)+SUMIFS(ResultsInd[Goal-A],ResultsInd[Category],AC517,ResultsInd[Stage],"Groups",ResultsInd[Player B],AD520))</f>
        <v/>
      </c>
      <c r="AU520" s="308" t="str">
        <f t="shared" si="456"/>
        <v/>
      </c>
      <c r="AV520" s="469" t="str">
        <f>IF(AG520="","",OR(VLOOKUP(AG520,AH518:AU524,3,FALSE),VLOOKUP(AG520,AH518:AU524,6,FALSE)))</f>
        <v/>
      </c>
      <c r="AW520" s="298" t="str">
        <f t="shared" si="454"/>
        <v/>
      </c>
      <c r="AX520" s="285" t="str">
        <f>IF(AG520="","",INDEX(AD518:AD524,MATCH(AG520,AH518:AH524,0)))</f>
        <v/>
      </c>
      <c r="AY520" s="286" t="str">
        <f>IF(AG520="","",VLOOKUP(AG520,AH518:AU524,COLUMN()-COLUMN(AR517),FALSE))</f>
        <v/>
      </c>
      <c r="AZ520" s="286" t="str">
        <f>IF(AG520="","",VLOOKUP(AG520,AH518:AU524,COLUMN()-COLUMN(AR517),FALSE))</f>
        <v/>
      </c>
      <c r="BA520" s="286" t="str">
        <f>IF(AG520="","",VLOOKUP(AG520,AH518:AU524,COLUMN()-COLUMN(AR517),FALSE))</f>
        <v/>
      </c>
      <c r="BB520" s="286" t="str">
        <f>IF(AG520="","",VLOOKUP(AG520,AH518:AU524,COLUMN()-COLUMN(AR517),FALSE))</f>
        <v/>
      </c>
      <c r="BC520" s="286" t="str">
        <f>IF(AG520="","",VLOOKUP(AG520,AH518:AU524,COLUMN()-COLUMN(AR517),FALSE))</f>
        <v/>
      </c>
      <c r="BD520" s="286" t="str">
        <f>IF(AG520="","",VLOOKUP(AG520,AH518:AU524,COLUMN()-COLUMN(AR517),FALSE))</f>
        <v/>
      </c>
      <c r="BE520" s="286" t="str">
        <f>IF(AG520="","",VLOOKUP(AG520,AH518:AU524,COLUMN()-COLUMN(AR517),FALSE))</f>
        <v/>
      </c>
      <c r="BF520" s="301" t="str">
        <f>IF(AG520="","",VLOOKUP(AG520,AH518:AU524,COLUMN()-COLUMN(AR517),FALSE))</f>
        <v/>
      </c>
    </row>
    <row r="521" spans="1:58" ht="12" thickBot="1" x14ac:dyDescent="0.25">
      <c r="A521" s="62" t="s">
        <v>890</v>
      </c>
      <c r="B521" s="62" t="s">
        <v>12215</v>
      </c>
      <c r="C521" s="62"/>
      <c r="D521" s="62"/>
      <c r="E521" s="345" t="s">
        <v>8720</v>
      </c>
      <c r="F521" s="345" t="s">
        <v>9705</v>
      </c>
      <c r="G521" s="113">
        <v>4</v>
      </c>
      <c r="H521" s="113">
        <v>3</v>
      </c>
      <c r="I521" s="114"/>
      <c r="J521" s="114"/>
      <c r="K521" s="114"/>
      <c r="L521" s="81"/>
      <c r="M521" s="265" t="b">
        <f>NOT(ISERROR(ResultsInd[[#This Row],[Goal-A]]+ResultsInd[[#This Row],[Goal-B]]))</f>
        <v>1</v>
      </c>
      <c r="N521" s="265">
        <f>VALUE(ResultsInd[[#This Row],[Score-A]])</f>
        <v>4</v>
      </c>
      <c r="O521" s="265">
        <f>VALUE(ResultsInd[[#This Row],[Score-B]])</f>
        <v>3</v>
      </c>
      <c r="P521" s="265">
        <f ca="1">IF(AND(ResultsInd[[#This Row],[Category]]&lt;&gt;"",ResultsInd[[#This Row],[Player A]]&lt;&gt;""),COUNTIF(INDIRECT(ResultsInd[[#This Row],[Category]]&amp;"List[Retained Player Name]"),ResultsInd[[#This Row],[Player A]]),"")</f>
        <v>1</v>
      </c>
      <c r="Q521" s="265">
        <f ca="1">IF(AND(ResultsInd[[#This Row],[Category]]&lt;&gt;"",ResultsInd[[#This Row],[Player B]]&lt;&gt;""),COUNTIF(INDIRECT(ResultsInd[[#This Row],[Category]]&amp;"List[Retained Player Name]"),ResultsInd[[#This Row],[Player B]]),"")</f>
        <v>1</v>
      </c>
      <c r="R5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1" s="265" t="str">
        <f>IF(ResultsInd[[#This Row],[Score_OK]],IF(ResultsInd[[#This Row],[Stage]]="Groups",ResultsInd[[#This Row],[Category]]&amp;"-"&amp;IF(ResultsInd[[#This Row],[Player B]]="","",IF(ResultsInd[[#This Row],[Score-A]]=ResultsInd[[#This Row],[Score-B]],ResultsInd[[#This Row],[Player A]],"")),""),"")</f>
        <v/>
      </c>
      <c r="T521" s="265" t="str">
        <f>IF(ResultsInd[[#This Row],[Score_OK]],IF(ResultsInd[[#This Row],[Stage]]="Groups",ResultsInd[[#This Row],[Category]]&amp;"-"&amp;IF(ResultsInd[[#This Row],[Player B]]="","",IF(ResultsInd[[#This Row],[Score-A]]=ResultsInd[[#This Row],[Score-B]],ResultsInd[[#This Row],[Player B]],"")),""),"")</f>
        <v/>
      </c>
      <c r="U5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OPEN-Marco Preziuso</v>
      </c>
      <c r="W5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1" s="264" t="str">
        <f>IF(ResultsInd[[#This Row],[Category]]="","",VLOOKUP(ResultsInd[[#This Row],[Stage]],$P$1:$V$9,MATCH(ResultsInd[[#This Row],[Category]],$Q$1:$V$1,0)+1,FALSE))</f>
        <v>L64</v>
      </c>
      <c r="Z521" s="264" t="str">
        <f>IF(ResultsInd[[#This Row],[Score_OK]],IF(ResultsInd[[#This Row],[Level]]="R",ResultsInd[[#This Row],[Category]]&amp;"-"&amp;IF(ResultsInd[[#This Row],[LoseInKO]]=ResultsInd[[#This Row],[Category]]&amp;"-"&amp;ResultsInd[[#This Row],[Player A]],ResultsInd[[#This Row],[Player B]],ResultsInd[[#This Row],[Player A]]),""),"")</f>
        <v/>
      </c>
      <c r="AB521" s="91"/>
      <c r="AC521" s="12" t="str">
        <f t="shared" si="455"/>
        <v/>
      </c>
      <c r="AD521" s="309"/>
      <c r="AE521" s="310"/>
      <c r="AF521" s="311"/>
      <c r="AG521" s="292" t="str">
        <f>IF(AP521="","",SMALL(AH518:AH524,ROWS(AG518:AG521)))</f>
        <v/>
      </c>
      <c r="AH521" s="293" t="str">
        <f>IF(AP521="","",RANK(AL521,AL518:AL524)*1000+ROWS(AH518:AH521))</f>
        <v/>
      </c>
      <c r="AI521" s="316" t="str">
        <f t="shared" si="449"/>
        <v/>
      </c>
      <c r="AJ521" s="415" t="b">
        <f>AND(AO521&lt;&gt;"",AO521&gt;0,COUNTIF(AI518:AI524,AI521)&gt;1)</f>
        <v>0</v>
      </c>
      <c r="AK521" s="316" t="str">
        <f t="shared" si="450"/>
        <v/>
      </c>
      <c r="AL521" s="317" t="str">
        <f t="shared" si="451"/>
        <v/>
      </c>
      <c r="AM521" s="415" t="b">
        <f>AND(AO521&lt;&gt;"",AO521&gt;0,COUNTIF(AL518:AL524,AL521)&gt;1)</f>
        <v>0</v>
      </c>
      <c r="AN521" s="306" t="str">
        <f t="shared" si="452"/>
        <v/>
      </c>
      <c r="AO521" s="307" t="str">
        <f t="shared" si="453"/>
        <v/>
      </c>
      <c r="AP521" s="307" t="str">
        <f>IF(OR(AC517="",AD521=""),"",COUNTIF(ResultsInd[Win],AC517&amp;"-"&amp;AD521))</f>
        <v/>
      </c>
      <c r="AQ521" s="307" t="str">
        <f>IF(OR(AC517="",AD521=""),"",COUNTIF(ResultsInd[Draw1],AC517&amp;"-"&amp;AD521)+COUNTIF(ResultsInd[Draw2],AC517&amp;"-"&amp;AD521))</f>
        <v/>
      </c>
      <c r="AR521" s="307" t="str">
        <f>IF(OR(AC517="",AD521=""),"",COUNTIF(ResultsInd[Lose],AC517&amp;"-"&amp;AD521))</f>
        <v/>
      </c>
      <c r="AS521" s="307" t="str">
        <f>IF(OR(AC517="",AD521=""),"",SUMIFS(ResultsInd[Goal-A],ResultsInd[Category],AC517,ResultsInd[Stage],"Groups",ResultsInd[Player A],AD521)+SUMIFS(ResultsInd[Goal-B],ResultsInd[Category],AC517,ResultsInd[Stage],"Groups",ResultsInd[Player B],AD521))</f>
        <v/>
      </c>
      <c r="AT521" s="307" t="str">
        <f>IF(OR(AC517="",AD521=""),"",SUMIFS(ResultsInd[Goal-B],ResultsInd[Category],AC517,ResultsInd[Stage],"Groups",ResultsInd[Player A],AD521)+SUMIFS(ResultsInd[Goal-A],ResultsInd[Category],AC517,ResultsInd[Stage],"Groups",ResultsInd[Player B],AD521))</f>
        <v/>
      </c>
      <c r="AU521" s="308" t="str">
        <f t="shared" si="456"/>
        <v/>
      </c>
      <c r="AV521" s="469" t="str">
        <f>IF(AG521="","",OR(VLOOKUP(AG521,AH518:AU524,3,FALSE),VLOOKUP(AG521,AH518:AU524,6,FALSE)))</f>
        <v/>
      </c>
      <c r="AW521" s="298" t="str">
        <f t="shared" si="454"/>
        <v/>
      </c>
      <c r="AX521" s="285" t="str">
        <f>IF(AG521="","",INDEX(AD518:AD524,MATCH(AG521,AH518:AH524,0)))</f>
        <v/>
      </c>
      <c r="AY521" s="286" t="str">
        <f>IF(AG521="","",VLOOKUP(AG521,AH518:AU524,COLUMN()-COLUMN(AR517),FALSE))</f>
        <v/>
      </c>
      <c r="AZ521" s="286" t="str">
        <f>IF(AG521="","",VLOOKUP(AG521,AH518:AU524,COLUMN()-COLUMN(AR517),FALSE))</f>
        <v/>
      </c>
      <c r="BA521" s="286" t="str">
        <f>IF(AG521="","",VLOOKUP(AG521,AH518:AU524,COLUMN()-COLUMN(AR517),FALSE))</f>
        <v/>
      </c>
      <c r="BB521" s="286" t="str">
        <f>IF(AG521="","",VLOOKUP(AG521,AH518:AU524,COLUMN()-COLUMN(AR517),FALSE))</f>
        <v/>
      </c>
      <c r="BC521" s="286" t="str">
        <f>IF(AG521="","",VLOOKUP(AG521,AH518:AU524,COLUMN()-COLUMN(AR517),FALSE))</f>
        <v/>
      </c>
      <c r="BD521" s="286" t="str">
        <f>IF(AG521="","",VLOOKUP(AG521,AH518:AU524,COLUMN()-COLUMN(AR517),FALSE))</f>
        <v/>
      </c>
      <c r="BE521" s="286" t="str">
        <f>IF(AG521="","",VLOOKUP(AG521,AH518:AU524,COLUMN()-COLUMN(AR517),FALSE))</f>
        <v/>
      </c>
      <c r="BF521" s="301" t="str">
        <f>IF(AG521="","",VLOOKUP(AG521,AH518:AU524,COLUMN()-COLUMN(AR517),FALSE))</f>
        <v/>
      </c>
    </row>
    <row r="522" spans="1:58" ht="12" thickBot="1" x14ac:dyDescent="0.25">
      <c r="A522" s="62" t="s">
        <v>890</v>
      </c>
      <c r="B522" s="62" t="s">
        <v>12215</v>
      </c>
      <c r="C522" s="62"/>
      <c r="D522" s="62"/>
      <c r="E522" s="345" t="s">
        <v>8148</v>
      </c>
      <c r="F522" s="345" t="s">
        <v>8129</v>
      </c>
      <c r="G522" s="113">
        <v>0</v>
      </c>
      <c r="H522" s="113">
        <v>4</v>
      </c>
      <c r="I522" s="114"/>
      <c r="J522" s="114"/>
      <c r="K522" s="114"/>
      <c r="L522" s="81"/>
      <c r="M522" s="265" t="b">
        <f>NOT(ISERROR(ResultsInd[[#This Row],[Goal-A]]+ResultsInd[[#This Row],[Goal-B]]))</f>
        <v>1</v>
      </c>
      <c r="N522" s="265">
        <f>VALUE(ResultsInd[[#This Row],[Score-A]])</f>
        <v>0</v>
      </c>
      <c r="O522" s="265">
        <f>VALUE(ResultsInd[[#This Row],[Score-B]])</f>
        <v>4</v>
      </c>
      <c r="P522" s="265">
        <f ca="1">IF(AND(ResultsInd[[#This Row],[Category]]&lt;&gt;"",ResultsInd[[#This Row],[Player A]]&lt;&gt;""),COUNTIF(INDIRECT(ResultsInd[[#This Row],[Category]]&amp;"List[Retained Player Name]"),ResultsInd[[#This Row],[Player A]]),"")</f>
        <v>1</v>
      </c>
      <c r="Q522" s="265">
        <f ca="1">IF(AND(ResultsInd[[#This Row],[Category]]&lt;&gt;"",ResultsInd[[#This Row],[Player B]]&lt;&gt;""),COUNTIF(INDIRECT(ResultsInd[[#This Row],[Category]]&amp;"List[Retained Player Name]"),ResultsInd[[#This Row],[Player B]]),"")</f>
        <v>1</v>
      </c>
      <c r="R5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2" s="265" t="str">
        <f>IF(ResultsInd[[#This Row],[Score_OK]],IF(ResultsInd[[#This Row],[Stage]]="Groups",ResultsInd[[#This Row],[Category]]&amp;"-"&amp;IF(ResultsInd[[#This Row],[Player B]]="","",IF(ResultsInd[[#This Row],[Score-A]]=ResultsInd[[#This Row],[Score-B]],ResultsInd[[#This Row],[Player A]],"")),""),"")</f>
        <v/>
      </c>
      <c r="T522" s="265" t="str">
        <f>IF(ResultsInd[[#This Row],[Score_OK]],IF(ResultsInd[[#This Row],[Stage]]="Groups",ResultsInd[[#This Row],[Category]]&amp;"-"&amp;IF(ResultsInd[[#This Row],[Player B]]="","",IF(ResultsInd[[#This Row],[Score-A]]=ResultsInd[[#This Row],[Score-B]],ResultsInd[[#This Row],[Player B]],"")),""),"")</f>
        <v/>
      </c>
      <c r="U5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OPEN-Matthias Averlant</v>
      </c>
      <c r="W5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2" s="264" t="str">
        <f>IF(ResultsInd[[#This Row],[Category]]="","",VLOOKUP(ResultsInd[[#This Row],[Stage]],$P$1:$V$9,MATCH(ResultsInd[[#This Row],[Category]],$Q$1:$V$1,0)+1,FALSE))</f>
        <v>L64</v>
      </c>
      <c r="Z522" s="264" t="str">
        <f>IF(ResultsInd[[#This Row],[Score_OK]],IF(ResultsInd[[#This Row],[Level]]="R",ResultsInd[[#This Row],[Category]]&amp;"-"&amp;IF(ResultsInd[[#This Row],[LoseInKO]]=ResultsInd[[#This Row],[Category]]&amp;"-"&amp;ResultsInd[[#This Row],[Player A]],ResultsInd[[#This Row],[Player B]],ResultsInd[[#This Row],[Player A]]),""),"")</f>
        <v/>
      </c>
      <c r="AB522" s="91"/>
      <c r="AC522" s="12" t="str">
        <f t="shared" si="455"/>
        <v/>
      </c>
      <c r="AD522" s="309"/>
      <c r="AE522" s="310"/>
      <c r="AF522" s="311"/>
      <c r="AG522" s="292" t="str">
        <f>IF(AP522="","",SMALL(AH518:AH524,ROWS(AG518:AG522)))</f>
        <v/>
      </c>
      <c r="AH522" s="293" t="str">
        <f>IF(AP522="","",RANK(AL522,AL518:AL524)*1000+ROWS(AH518:AH522))</f>
        <v/>
      </c>
      <c r="AI522" s="316" t="str">
        <f t="shared" si="449"/>
        <v/>
      </c>
      <c r="AJ522" s="415" t="b">
        <f>AND(AO522&lt;&gt;"",AO522&gt;0,COUNTIF(AI518:AI524,AI522)&gt;1)</f>
        <v>0</v>
      </c>
      <c r="AK522" s="316" t="str">
        <f t="shared" si="450"/>
        <v/>
      </c>
      <c r="AL522" s="317" t="str">
        <f t="shared" si="451"/>
        <v/>
      </c>
      <c r="AM522" s="415" t="b">
        <f>AND(AO522&lt;&gt;"",AO522&gt;0,COUNTIF(AL518:AL524,AL522)&gt;1)</f>
        <v>0</v>
      </c>
      <c r="AN522" s="306" t="str">
        <f t="shared" si="452"/>
        <v/>
      </c>
      <c r="AO522" s="307" t="str">
        <f t="shared" si="453"/>
        <v/>
      </c>
      <c r="AP522" s="307" t="str">
        <f>IF(OR(AC517="",AD522=""),"",COUNTIF(ResultsInd[Win],AC517&amp;"-"&amp;AD522))</f>
        <v/>
      </c>
      <c r="AQ522" s="307" t="str">
        <f>IF(OR(AC517="",AD522=""),"",COUNTIF(ResultsInd[Draw1],AC517&amp;"-"&amp;AD522)+COUNTIF(ResultsInd[Draw2],AC517&amp;"-"&amp;AD522))</f>
        <v/>
      </c>
      <c r="AR522" s="307" t="str">
        <f>IF(OR(AC517="",AD522=""),"",COUNTIF(ResultsInd[Lose],AC517&amp;"-"&amp;AD522))</f>
        <v/>
      </c>
      <c r="AS522" s="307" t="str">
        <f>IF(OR(AC517="",AD522=""),"",SUMIFS(ResultsInd[Goal-A],ResultsInd[Category],AC517,ResultsInd[Stage],"Groups",ResultsInd[Player A],AD522)+SUMIFS(ResultsInd[Goal-B],ResultsInd[Category],AC517,ResultsInd[Stage],"Groups",ResultsInd[Player B],AD522))</f>
        <v/>
      </c>
      <c r="AT522" s="307" t="str">
        <f>IF(OR(AC517="",AD522=""),"",SUMIFS(ResultsInd[Goal-B],ResultsInd[Category],AC517,ResultsInd[Stage],"Groups",ResultsInd[Player A],AD522)+SUMIFS(ResultsInd[Goal-A],ResultsInd[Category],AC517,ResultsInd[Stage],"Groups",ResultsInd[Player B],AD522))</f>
        <v/>
      </c>
      <c r="AU522" s="308" t="str">
        <f t="shared" si="456"/>
        <v/>
      </c>
      <c r="AV522" s="469" t="str">
        <f>IF(AG522="","",OR(VLOOKUP(AG522,AH518:AU524,3,FALSE),VLOOKUP(AG522,AH518:AU524,6,FALSE)))</f>
        <v/>
      </c>
      <c r="AW522" s="298" t="str">
        <f t="shared" si="454"/>
        <v/>
      </c>
      <c r="AX522" s="285" t="str">
        <f>IF(AG522="","",INDEX(AD518:AD524,MATCH(AG522,AH518:AH524,0)))</f>
        <v/>
      </c>
      <c r="AY522" s="286" t="str">
        <f>IF(AG522="","",VLOOKUP(AG522,AH518:AU524,COLUMN()-COLUMN(AR517),FALSE))</f>
        <v/>
      </c>
      <c r="AZ522" s="286" t="str">
        <f>IF(AG522="","",VLOOKUP(AG522,AH518:AU524,COLUMN()-COLUMN(AR517),FALSE))</f>
        <v/>
      </c>
      <c r="BA522" s="286" t="str">
        <f>IF(AG522="","",VLOOKUP(AG522,AH518:AU524,COLUMN()-COLUMN(AR517),FALSE))</f>
        <v/>
      </c>
      <c r="BB522" s="286" t="str">
        <f>IF(AG522="","",VLOOKUP(AG522,AH518:AU524,COLUMN()-COLUMN(AR517),FALSE))</f>
        <v/>
      </c>
      <c r="BC522" s="286" t="str">
        <f>IF(AG522="","",VLOOKUP(AG522,AH518:AU524,COLUMN()-COLUMN(AR517),FALSE))</f>
        <v/>
      </c>
      <c r="BD522" s="286" t="str">
        <f>IF(AG522="","",VLOOKUP(AG522,AH518:AU524,COLUMN()-COLUMN(AR517),FALSE))</f>
        <v/>
      </c>
      <c r="BE522" s="286" t="str">
        <f>IF(AG522="","",VLOOKUP(AG522,AH518:AU524,COLUMN()-COLUMN(AR517),FALSE))</f>
        <v/>
      </c>
      <c r="BF522" s="301" t="str">
        <f>IF(AG522="","",VLOOKUP(AG522,AH518:AU524,COLUMN()-COLUMN(AR517),FALSE))</f>
        <v/>
      </c>
    </row>
    <row r="523" spans="1:58" ht="12" thickBot="1" x14ac:dyDescent="0.25">
      <c r="A523" s="62" t="s">
        <v>890</v>
      </c>
      <c r="B523" s="62" t="s">
        <v>12215</v>
      </c>
      <c r="C523" s="62"/>
      <c r="D523" s="62"/>
      <c r="E523" s="345" t="s">
        <v>9827</v>
      </c>
      <c r="F523" s="345" t="s">
        <v>8698</v>
      </c>
      <c r="G523" s="113">
        <v>4</v>
      </c>
      <c r="H523" s="113">
        <v>1</v>
      </c>
      <c r="I523" s="114"/>
      <c r="J523" s="114"/>
      <c r="K523" s="114"/>
      <c r="L523" s="81"/>
      <c r="M523" s="265" t="b">
        <f>NOT(ISERROR(ResultsInd[[#This Row],[Goal-A]]+ResultsInd[[#This Row],[Goal-B]]))</f>
        <v>1</v>
      </c>
      <c r="N523" s="265">
        <f>VALUE(ResultsInd[[#This Row],[Score-A]])</f>
        <v>4</v>
      </c>
      <c r="O523" s="265">
        <f>VALUE(ResultsInd[[#This Row],[Score-B]])</f>
        <v>1</v>
      </c>
      <c r="P523" s="265">
        <f ca="1">IF(AND(ResultsInd[[#This Row],[Category]]&lt;&gt;"",ResultsInd[[#This Row],[Player A]]&lt;&gt;""),COUNTIF(INDIRECT(ResultsInd[[#This Row],[Category]]&amp;"List[Retained Player Name]"),ResultsInd[[#This Row],[Player A]]),"")</f>
        <v>1</v>
      </c>
      <c r="Q523" s="265">
        <f ca="1">IF(AND(ResultsInd[[#This Row],[Category]]&lt;&gt;"",ResultsInd[[#This Row],[Player B]]&lt;&gt;""),COUNTIF(INDIRECT(ResultsInd[[#This Row],[Category]]&amp;"List[Retained Player Name]"),ResultsInd[[#This Row],[Player B]]),"")</f>
        <v>1</v>
      </c>
      <c r="R5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3" s="265" t="str">
        <f>IF(ResultsInd[[#This Row],[Score_OK]],IF(ResultsInd[[#This Row],[Stage]]="Groups",ResultsInd[[#This Row],[Category]]&amp;"-"&amp;IF(ResultsInd[[#This Row],[Player B]]="","",IF(ResultsInd[[#This Row],[Score-A]]=ResultsInd[[#This Row],[Score-B]],ResultsInd[[#This Row],[Player A]],"")),""),"")</f>
        <v/>
      </c>
      <c r="T523" s="265" t="str">
        <f>IF(ResultsInd[[#This Row],[Score_OK]],IF(ResultsInd[[#This Row],[Stage]]="Groups",ResultsInd[[#This Row],[Category]]&amp;"-"&amp;IF(ResultsInd[[#This Row],[Player B]]="","",IF(ResultsInd[[#This Row],[Score-A]]=ResultsInd[[#This Row],[Score-B]],ResultsInd[[#This Row],[Player B]],"")),""),"")</f>
        <v/>
      </c>
      <c r="U5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OPEN-Axel Modeste</v>
      </c>
      <c r="W5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3" s="264" t="str">
        <f>IF(ResultsInd[[#This Row],[Category]]="","",VLOOKUP(ResultsInd[[#This Row],[Stage]],$P$1:$V$9,MATCH(ResultsInd[[#This Row],[Category]],$Q$1:$V$1,0)+1,FALSE))</f>
        <v>L64</v>
      </c>
      <c r="Z523" s="264" t="str">
        <f>IF(ResultsInd[[#This Row],[Score_OK]],IF(ResultsInd[[#This Row],[Level]]="R",ResultsInd[[#This Row],[Category]]&amp;"-"&amp;IF(ResultsInd[[#This Row],[LoseInKO]]=ResultsInd[[#This Row],[Category]]&amp;"-"&amp;ResultsInd[[#This Row],[Player A]],ResultsInd[[#This Row],[Player B]],ResultsInd[[#This Row],[Player A]]),""),"")</f>
        <v/>
      </c>
      <c r="AB523" s="8"/>
      <c r="AC523" s="12" t="str">
        <f t="shared" si="455"/>
        <v/>
      </c>
      <c r="AD523" s="309"/>
      <c r="AE523" s="310"/>
      <c r="AF523" s="311"/>
      <c r="AG523" s="292" t="str">
        <f>IF(AP523="","",SMALL(AH518:AH524,ROWS(AG518:AG523)))</f>
        <v/>
      </c>
      <c r="AH523" s="293" t="str">
        <f>IF(AP523="","",RANK(AL523,AL518:AL524)*1000+ROWS(AH518:AH523))</f>
        <v/>
      </c>
      <c r="AI523" s="316" t="str">
        <f t="shared" si="449"/>
        <v/>
      </c>
      <c r="AJ523" s="415" t="b">
        <f>AND(AO523&lt;&gt;"",AO523&gt;0,COUNTIF(AI518:AI524,AI523)&gt;1)</f>
        <v>0</v>
      </c>
      <c r="AK523" s="316" t="str">
        <f t="shared" si="450"/>
        <v/>
      </c>
      <c r="AL523" s="317" t="str">
        <f t="shared" si="451"/>
        <v/>
      </c>
      <c r="AM523" s="415" t="b">
        <f>AND(AO523&lt;&gt;"",AO523&gt;0,COUNTIF(AL518:AL524,AL523)&gt;1)</f>
        <v>0</v>
      </c>
      <c r="AN523" s="306" t="str">
        <f t="shared" si="452"/>
        <v/>
      </c>
      <c r="AO523" s="307" t="str">
        <f t="shared" si="453"/>
        <v/>
      </c>
      <c r="AP523" s="307" t="str">
        <f>IF(OR(AC517="",AD523=""),"",COUNTIF(ResultsInd[Win],AC517&amp;"-"&amp;AD523))</f>
        <v/>
      </c>
      <c r="AQ523" s="307" t="str">
        <f>IF(OR(AC517="",AD523=""),"",COUNTIF(ResultsInd[Draw1],AC517&amp;"-"&amp;AD523)+COUNTIF(ResultsInd[Draw2],AC517&amp;"-"&amp;AD523))</f>
        <v/>
      </c>
      <c r="AR523" s="307" t="str">
        <f>IF(OR(AC517="",AD523=""),"",COUNTIF(ResultsInd[Lose],AC517&amp;"-"&amp;AD523))</f>
        <v/>
      </c>
      <c r="AS523" s="307" t="str">
        <f>IF(OR(AC517="",AD523=""),"",SUMIFS(ResultsInd[Goal-A],ResultsInd[Category],AC517,ResultsInd[Stage],"Groups",ResultsInd[Player A],AD523)+SUMIFS(ResultsInd[Goal-B],ResultsInd[Category],AC517,ResultsInd[Stage],"Groups",ResultsInd[Player B],AD523))</f>
        <v/>
      </c>
      <c r="AT523" s="307" t="str">
        <f>IF(OR(AC517="",AD523=""),"",SUMIFS(ResultsInd[Goal-B],ResultsInd[Category],AC517,ResultsInd[Stage],"Groups",ResultsInd[Player A],AD523)+SUMIFS(ResultsInd[Goal-A],ResultsInd[Category],AC517,ResultsInd[Stage],"Groups",ResultsInd[Player B],AD523))</f>
        <v/>
      </c>
      <c r="AU523" s="308" t="str">
        <f t="shared" si="456"/>
        <v/>
      </c>
      <c r="AV523" s="469" t="str">
        <f>IF(AG523="","",OR(VLOOKUP(AG523,AH518:AU524,3,FALSE),VLOOKUP(AG523,AH518:AU524,6,FALSE)))</f>
        <v/>
      </c>
      <c r="AW523" s="298" t="str">
        <f t="shared" si="454"/>
        <v/>
      </c>
      <c r="AX523" s="285" t="str">
        <f>IF(AG523="","",INDEX(AD518:AD524,MATCH(AG523,AH518:AH524,0)))</f>
        <v/>
      </c>
      <c r="AY523" s="286" t="str">
        <f>IF(AG523="","",VLOOKUP(AG523,AH518:AU524,COLUMN()-COLUMN(AR517),FALSE))</f>
        <v/>
      </c>
      <c r="AZ523" s="286" t="str">
        <f>IF(AG523="","",VLOOKUP(AG523,AH518:AU524,COLUMN()-COLUMN(AR517),FALSE))</f>
        <v/>
      </c>
      <c r="BA523" s="286" t="str">
        <f>IF(AG523="","",VLOOKUP(AG523,AH518:AU524,COLUMN()-COLUMN(AR517),FALSE))</f>
        <v/>
      </c>
      <c r="BB523" s="286" t="str">
        <f>IF(AG523="","",VLOOKUP(AG523,AH518:AU524,COLUMN()-COLUMN(AR517),FALSE))</f>
        <v/>
      </c>
      <c r="BC523" s="286" t="str">
        <f>IF(AG523="","",VLOOKUP(AG523,AH518:AU524,COLUMN()-COLUMN(AR517),FALSE))</f>
        <v/>
      </c>
      <c r="BD523" s="286" t="str">
        <f>IF(AG523="","",VLOOKUP(AG523,AH518:AU524,COLUMN()-COLUMN(AR517),FALSE))</f>
        <v/>
      </c>
      <c r="BE523" s="286" t="str">
        <f>IF(AG523="","",VLOOKUP(AG523,AH518:AU524,COLUMN()-COLUMN(AR517),FALSE))</f>
        <v/>
      </c>
      <c r="BF523" s="301" t="str">
        <f>IF(AG523="","",VLOOKUP(AG523,AH518:AU524,COLUMN()-COLUMN(AR517),FALSE))</f>
        <v/>
      </c>
    </row>
    <row r="524" spans="1:58" ht="12" thickBot="1" x14ac:dyDescent="0.25">
      <c r="A524" s="62" t="s">
        <v>890</v>
      </c>
      <c r="B524" s="62" t="s">
        <v>12215</v>
      </c>
      <c r="C524" s="62"/>
      <c r="D524" s="62"/>
      <c r="E524" s="345" t="s">
        <v>8629</v>
      </c>
      <c r="F524" s="345" t="s">
        <v>8120</v>
      </c>
      <c r="G524" s="113">
        <v>7</v>
      </c>
      <c r="H524" s="113">
        <v>1</v>
      </c>
      <c r="I524" s="114"/>
      <c r="J524" s="114"/>
      <c r="K524" s="114"/>
      <c r="L524" s="81"/>
      <c r="M524" s="265" t="b">
        <f>NOT(ISERROR(ResultsInd[[#This Row],[Goal-A]]+ResultsInd[[#This Row],[Goal-B]]))</f>
        <v>1</v>
      </c>
      <c r="N524" s="265">
        <f>VALUE(ResultsInd[[#This Row],[Score-A]])</f>
        <v>7</v>
      </c>
      <c r="O524" s="265">
        <f>VALUE(ResultsInd[[#This Row],[Score-B]])</f>
        <v>1</v>
      </c>
      <c r="P524" s="265">
        <f ca="1">IF(AND(ResultsInd[[#This Row],[Category]]&lt;&gt;"",ResultsInd[[#This Row],[Player A]]&lt;&gt;""),COUNTIF(INDIRECT(ResultsInd[[#This Row],[Category]]&amp;"List[Retained Player Name]"),ResultsInd[[#This Row],[Player A]]),"")</f>
        <v>1</v>
      </c>
      <c r="Q524" s="265">
        <f ca="1">IF(AND(ResultsInd[[#This Row],[Category]]&lt;&gt;"",ResultsInd[[#This Row],[Player B]]&lt;&gt;""),COUNTIF(INDIRECT(ResultsInd[[#This Row],[Category]]&amp;"List[Retained Player Name]"),ResultsInd[[#This Row],[Player B]]),"")</f>
        <v>1</v>
      </c>
      <c r="R5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4" s="265" t="str">
        <f>IF(ResultsInd[[#This Row],[Score_OK]],IF(ResultsInd[[#This Row],[Stage]]="Groups",ResultsInd[[#This Row],[Category]]&amp;"-"&amp;IF(ResultsInd[[#This Row],[Player B]]="","",IF(ResultsInd[[#This Row],[Score-A]]=ResultsInd[[#This Row],[Score-B]],ResultsInd[[#This Row],[Player A]],"")),""),"")</f>
        <v/>
      </c>
      <c r="T524" s="265" t="str">
        <f>IF(ResultsInd[[#This Row],[Score_OK]],IF(ResultsInd[[#This Row],[Stage]]="Groups",ResultsInd[[#This Row],[Category]]&amp;"-"&amp;IF(ResultsInd[[#This Row],[Player B]]="","",IF(ResultsInd[[#This Row],[Score-A]]=ResultsInd[[#This Row],[Score-B]],ResultsInd[[#This Row],[Player B]],"")),""),"")</f>
        <v/>
      </c>
      <c r="U5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OPEN-Lucas Pere</v>
      </c>
      <c r="W5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4" s="264" t="str">
        <f>IF(ResultsInd[[#This Row],[Category]]="","",VLOOKUP(ResultsInd[[#This Row],[Stage]],$P$1:$V$9,MATCH(ResultsInd[[#This Row],[Category]],$Q$1:$V$1,0)+1,FALSE))</f>
        <v>L64</v>
      </c>
      <c r="Z524" s="264" t="str">
        <f>IF(ResultsInd[[#This Row],[Score_OK]],IF(ResultsInd[[#This Row],[Level]]="R",ResultsInd[[#This Row],[Category]]&amp;"-"&amp;IF(ResultsInd[[#This Row],[LoseInKO]]=ResultsInd[[#This Row],[Category]]&amp;"-"&amp;ResultsInd[[#This Row],[Player A]],ResultsInd[[#This Row],[Player B]],ResultsInd[[#This Row],[Player A]]),""),"")</f>
        <v/>
      </c>
      <c r="AB524" s="8"/>
      <c r="AC524" s="12" t="str">
        <f t="shared" si="455"/>
        <v/>
      </c>
      <c r="AD524" s="312"/>
      <c r="AE524" s="313"/>
      <c r="AF524" s="314"/>
      <c r="AG524" s="294" t="str">
        <f>IF(AP524="","",SMALL(AH518:AH524,ROWS(AG518:AG524)))</f>
        <v/>
      </c>
      <c r="AH524" s="295" t="str">
        <f>IF(AP524="","",RANK(AL524,AL518:AL524)*1000+ROWS(AH518:AH524))</f>
        <v/>
      </c>
      <c r="AI524" s="318" t="str">
        <f t="shared" si="449"/>
        <v/>
      </c>
      <c r="AJ524" s="416" t="b">
        <f>AND(AO524&lt;&gt;"",AO524&gt;0,COUNTIF(AI518:AI524,AI524)&gt;1)</f>
        <v>0</v>
      </c>
      <c r="AK524" s="318" t="str">
        <f t="shared" si="450"/>
        <v/>
      </c>
      <c r="AL524" s="319" t="str">
        <f t="shared" si="451"/>
        <v/>
      </c>
      <c r="AM524" s="416" t="b">
        <f>AND(AO524&lt;&gt;"",AO524&gt;0,COUNTIF(AL518:AL524,AL524)&gt;1)</f>
        <v>0</v>
      </c>
      <c r="AN524" s="306" t="str">
        <f t="shared" si="452"/>
        <v/>
      </c>
      <c r="AO524" s="307" t="str">
        <f t="shared" si="453"/>
        <v/>
      </c>
      <c r="AP524" s="307" t="str">
        <f>IF(OR(AC517="",AD524=""),"",COUNTIF(ResultsInd[Win],AC517&amp;"-"&amp;AD524))</f>
        <v/>
      </c>
      <c r="AQ524" s="307" t="str">
        <f>IF(OR(AC517="",AD524=""),"",COUNTIF(ResultsInd[Draw1],AC517&amp;"-"&amp;AD524)+COUNTIF(ResultsInd[Draw2],AC517&amp;"-"&amp;AD524))</f>
        <v/>
      </c>
      <c r="AR524" s="307" t="str">
        <f>IF(OR(AC517="",AD524=""),"",COUNTIF(ResultsInd[Lose],AC517&amp;"-"&amp;AD524))</f>
        <v/>
      </c>
      <c r="AS524" s="307" t="str">
        <f>IF(OR(AC517="",AD524=""),"",SUMIFS(ResultsInd[Goal-A],ResultsInd[Category],AC517,ResultsInd[Stage],"Groups",ResultsInd[Player A],AD524)+SUMIFS(ResultsInd[Goal-B],ResultsInd[Category],AC517,ResultsInd[Stage],"Groups",ResultsInd[Player B],AD524))</f>
        <v/>
      </c>
      <c r="AT524" s="307" t="str">
        <f>IF(OR(AC517="",AD524=""),"",SUMIFS(ResultsInd[Goal-B],ResultsInd[Category],AC517,ResultsInd[Stage],"Groups",ResultsInd[Player A],AD524)+SUMIFS(ResultsInd[Goal-A],ResultsInd[Category],AC517,ResultsInd[Stage],"Groups",ResultsInd[Player B],AD524))</f>
        <v/>
      </c>
      <c r="AU524" s="308" t="str">
        <f t="shared" si="456"/>
        <v/>
      </c>
      <c r="AV524" s="469" t="str">
        <f>IF(AG524="","",OR(VLOOKUP(AG524,AH518:AU524,3,FALSE),VLOOKUP(AG524,AH518:AU524,6,FALSE)))</f>
        <v/>
      </c>
      <c r="AW524" s="299" t="str">
        <f t="shared" si="454"/>
        <v/>
      </c>
      <c r="AX524" s="287" t="str">
        <f>IF(AG524="","",INDEX(AD518:AD524,MATCH(AG524,AH518:AH524,0)))</f>
        <v/>
      </c>
      <c r="AY524" s="288" t="str">
        <f>IF(AG524="","",VLOOKUP(AG524,AH518:AU524,COLUMN()-COLUMN(AR517),FALSE))</f>
        <v/>
      </c>
      <c r="AZ524" s="288" t="str">
        <f>IF(AG524="","",VLOOKUP(AG524,AH518:AU524,COLUMN()-COLUMN(AR517),FALSE))</f>
        <v/>
      </c>
      <c r="BA524" s="288" t="str">
        <f>IF(AG524="","",VLOOKUP(AG524,AH518:AU524,COLUMN()-COLUMN(AR517),FALSE))</f>
        <v/>
      </c>
      <c r="BB524" s="288" t="str">
        <f>IF(AG524="","",VLOOKUP(AG524,AH518:AU524,COLUMN()-COLUMN(AR517),FALSE))</f>
        <v/>
      </c>
      <c r="BC524" s="288" t="str">
        <f>IF(AG524="","",VLOOKUP(AG524,AH518:AU524,COLUMN()-COLUMN(AR517),FALSE))</f>
        <v/>
      </c>
      <c r="BD524" s="288" t="str">
        <f>IF(AG524="","",VLOOKUP(AG524,AH518:AU524,COLUMN()-COLUMN(AR517),FALSE))</f>
        <v/>
      </c>
      <c r="BE524" s="288" t="str">
        <f>IF(AG524="","",VLOOKUP(AG524,AH518:AU524,COLUMN()-COLUMN(AR517),FALSE))</f>
        <v/>
      </c>
      <c r="BF524" s="302" t="str">
        <f>IF(AG524="","",VLOOKUP(AG524,AH518:AU524,COLUMN()-COLUMN(AR517),FALSE))</f>
        <v/>
      </c>
    </row>
    <row r="525" spans="1:58" ht="13.5" thickBot="1" x14ac:dyDescent="0.25">
      <c r="A525" s="62" t="s">
        <v>890</v>
      </c>
      <c r="B525" s="62" t="s">
        <v>12215</v>
      </c>
      <c r="C525" s="62"/>
      <c r="D525" s="62"/>
      <c r="E525" s="345" t="s">
        <v>8714</v>
      </c>
      <c r="F525" s="345" t="s">
        <v>8043</v>
      </c>
      <c r="G525" s="113">
        <v>3</v>
      </c>
      <c r="H525" s="113">
        <v>1</v>
      </c>
      <c r="I525" s="114"/>
      <c r="J525" s="114"/>
      <c r="K525" s="114"/>
      <c r="L525" s="81"/>
      <c r="M525" s="265" t="b">
        <f>NOT(ISERROR(ResultsInd[[#This Row],[Goal-A]]+ResultsInd[[#This Row],[Goal-B]]))</f>
        <v>1</v>
      </c>
      <c r="N525" s="265">
        <f>VALUE(ResultsInd[[#This Row],[Score-A]])</f>
        <v>3</v>
      </c>
      <c r="O525" s="265">
        <f>VALUE(ResultsInd[[#This Row],[Score-B]])</f>
        <v>1</v>
      </c>
      <c r="P525" s="265">
        <f ca="1">IF(AND(ResultsInd[[#This Row],[Category]]&lt;&gt;"",ResultsInd[[#This Row],[Player A]]&lt;&gt;""),COUNTIF(INDIRECT(ResultsInd[[#This Row],[Category]]&amp;"List[Retained Player Name]"),ResultsInd[[#This Row],[Player A]]),"")</f>
        <v>1</v>
      </c>
      <c r="Q525" s="265">
        <f ca="1">IF(AND(ResultsInd[[#This Row],[Category]]&lt;&gt;"",ResultsInd[[#This Row],[Player B]]&lt;&gt;""),COUNTIF(INDIRECT(ResultsInd[[#This Row],[Category]]&amp;"List[Retained Player Name]"),ResultsInd[[#This Row],[Player B]]),"")</f>
        <v>1</v>
      </c>
      <c r="R5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5" s="265" t="str">
        <f>IF(ResultsInd[[#This Row],[Score_OK]],IF(ResultsInd[[#This Row],[Stage]]="Groups",ResultsInd[[#This Row],[Category]]&amp;"-"&amp;IF(ResultsInd[[#This Row],[Player B]]="","",IF(ResultsInd[[#This Row],[Score-A]]=ResultsInd[[#This Row],[Score-B]],ResultsInd[[#This Row],[Player A]],"")),""),"")</f>
        <v/>
      </c>
      <c r="T525" s="265" t="str">
        <f>IF(ResultsInd[[#This Row],[Score_OK]],IF(ResultsInd[[#This Row],[Stage]]="Groups",ResultsInd[[#This Row],[Category]]&amp;"-"&amp;IF(ResultsInd[[#This Row],[Player B]]="","",IF(ResultsInd[[#This Row],[Score-A]]=ResultsInd[[#This Row],[Score-B]],ResultsInd[[#This Row],[Player B]],"")),""),"")</f>
        <v/>
      </c>
      <c r="U5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OPEN-Alexander Haas</v>
      </c>
      <c r="W5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5" s="264" t="str">
        <f>IF(ResultsInd[[#This Row],[Category]]="","",VLOOKUP(ResultsInd[[#This Row],[Stage]],$P$1:$V$9,MATCH(ResultsInd[[#This Row],[Category]],$Q$1:$V$1,0)+1,FALSE))</f>
        <v>L64</v>
      </c>
      <c r="Z525" s="264" t="str">
        <f>IF(ResultsInd[[#This Row],[Score_OK]],IF(ResultsInd[[#This Row],[Level]]="R",ResultsInd[[#This Row],[Category]]&amp;"-"&amp;IF(ResultsInd[[#This Row],[LoseInKO]]=ResultsInd[[#This Row],[Category]]&amp;"-"&amp;ResultsInd[[#This Row],[Player A]],ResultsInd[[#This Row],[Player B]],ResultsInd[[#This Row],[Player A]]),""),"")</f>
        <v/>
      </c>
      <c r="AB525" s="8"/>
      <c r="AC525" s="8"/>
      <c r="AF525" s="170"/>
      <c r="AG525" s="101"/>
      <c r="AH525" s="101"/>
      <c r="AN525" s="170"/>
      <c r="AO525" s="170"/>
      <c r="AP525" s="170"/>
      <c r="AQ525" s="172"/>
      <c r="AR525" s="173"/>
      <c r="AS525" s="173"/>
      <c r="AT525" s="173"/>
      <c r="AU525" s="101"/>
      <c r="AV525" s="101"/>
      <c r="AW525" s="101"/>
      <c r="AX525" s="101"/>
      <c r="AY525" s="101"/>
      <c r="AZ525" s="101"/>
    </row>
    <row r="526" spans="1:58" ht="12" thickBot="1" x14ac:dyDescent="0.25">
      <c r="A526" s="62" t="s">
        <v>890</v>
      </c>
      <c r="B526" s="62" t="s">
        <v>12215</v>
      </c>
      <c r="C526" s="62"/>
      <c r="D526" s="62"/>
      <c r="E526" s="345" t="s">
        <v>9526</v>
      </c>
      <c r="F526" s="345" t="s">
        <v>8115</v>
      </c>
      <c r="G526" s="113">
        <v>6</v>
      </c>
      <c r="H526" s="113">
        <v>3</v>
      </c>
      <c r="I526" s="114"/>
      <c r="J526" s="114"/>
      <c r="K526" s="114"/>
      <c r="L526" s="81"/>
      <c r="M526" s="265" t="b">
        <f>NOT(ISERROR(ResultsInd[[#This Row],[Goal-A]]+ResultsInd[[#This Row],[Goal-B]]))</f>
        <v>1</v>
      </c>
      <c r="N526" s="265">
        <f>VALUE(ResultsInd[[#This Row],[Score-A]])</f>
        <v>6</v>
      </c>
      <c r="O526" s="265">
        <f>VALUE(ResultsInd[[#This Row],[Score-B]])</f>
        <v>3</v>
      </c>
      <c r="P526" s="265">
        <f ca="1">IF(AND(ResultsInd[[#This Row],[Category]]&lt;&gt;"",ResultsInd[[#This Row],[Player A]]&lt;&gt;""),COUNTIF(INDIRECT(ResultsInd[[#This Row],[Category]]&amp;"List[Retained Player Name]"),ResultsInd[[#This Row],[Player A]]),"")</f>
        <v>1</v>
      </c>
      <c r="Q526" s="265">
        <f ca="1">IF(AND(ResultsInd[[#This Row],[Category]]&lt;&gt;"",ResultsInd[[#This Row],[Player B]]&lt;&gt;""),COUNTIF(INDIRECT(ResultsInd[[#This Row],[Category]]&amp;"List[Retained Player Name]"),ResultsInd[[#This Row],[Player B]]),"")</f>
        <v>1</v>
      </c>
      <c r="R5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6" s="265" t="str">
        <f>IF(ResultsInd[[#This Row],[Score_OK]],IF(ResultsInd[[#This Row],[Stage]]="Groups",ResultsInd[[#This Row],[Category]]&amp;"-"&amp;IF(ResultsInd[[#This Row],[Player B]]="","",IF(ResultsInd[[#This Row],[Score-A]]=ResultsInd[[#This Row],[Score-B]],ResultsInd[[#This Row],[Player A]],"")),""),"")</f>
        <v/>
      </c>
      <c r="T526" s="265" t="str">
        <f>IF(ResultsInd[[#This Row],[Score_OK]],IF(ResultsInd[[#This Row],[Stage]]="Groups",ResultsInd[[#This Row],[Category]]&amp;"-"&amp;IF(ResultsInd[[#This Row],[Player B]]="","",IF(ResultsInd[[#This Row],[Score-A]]=ResultsInd[[#This Row],[Score-B]],ResultsInd[[#This Row],[Player B]],"")),""),"")</f>
        <v/>
      </c>
      <c r="U5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OPEN-Geoffrey Marain</v>
      </c>
      <c r="W5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6" s="264" t="str">
        <f>IF(ResultsInd[[#This Row],[Category]]="","",VLOOKUP(ResultsInd[[#This Row],[Stage]],$P$1:$V$9,MATCH(ResultsInd[[#This Row],[Category]],$Q$1:$V$1,0)+1,FALSE))</f>
        <v>L64</v>
      </c>
      <c r="Z526" s="264" t="str">
        <f>IF(ResultsInd[[#This Row],[Score_OK]],IF(ResultsInd[[#This Row],[Level]]="R",ResultsInd[[#This Row],[Category]]&amp;"-"&amp;IF(ResultsInd[[#This Row],[LoseInKO]]=ResultsInd[[#This Row],[Category]]&amp;"-"&amp;ResultsInd[[#This Row],[Player A]],ResultsInd[[#This Row],[Player B]],ResultsInd[[#This Row],[Player A]]),""),"")</f>
        <v/>
      </c>
      <c r="AB526" s="281" t="str">
        <f>IF(AC526="","",COUNTIFS(AC$22:AC526,AC526,AD$22:AD526,"Players draw"))</f>
        <v/>
      </c>
      <c r="AC526" s="315"/>
      <c r="AD526" s="289" t="s">
        <v>14439</v>
      </c>
      <c r="AE526" s="290" t="s">
        <v>12279</v>
      </c>
      <c r="AF526" s="284" t="s">
        <v>12275</v>
      </c>
      <c r="AG526" s="296" t="s">
        <v>12276</v>
      </c>
      <c r="AH526" s="291" t="s">
        <v>12271</v>
      </c>
      <c r="AI526" s="291" t="s">
        <v>12272</v>
      </c>
      <c r="AJ526" s="414" t="s">
        <v>13154</v>
      </c>
      <c r="AK526" s="291" t="s">
        <v>12273</v>
      </c>
      <c r="AL526" s="297" t="s">
        <v>12274</v>
      </c>
      <c r="AM526" s="414" t="s">
        <v>13154</v>
      </c>
      <c r="AN526" s="303" t="s">
        <v>12199</v>
      </c>
      <c r="AO526" s="304" t="s">
        <v>12200</v>
      </c>
      <c r="AP526" s="304" t="s">
        <v>12201</v>
      </c>
      <c r="AQ526" s="304" t="s">
        <v>12202</v>
      </c>
      <c r="AR526" s="304" t="s">
        <v>12203</v>
      </c>
      <c r="AS526" s="304" t="s">
        <v>12204</v>
      </c>
      <c r="AT526" s="304" t="s">
        <v>12205</v>
      </c>
      <c r="AU526" s="305" t="s">
        <v>12206</v>
      </c>
      <c r="AV526" s="468"/>
      <c r="AW526" s="282" t="s">
        <v>12276</v>
      </c>
      <c r="AX526" s="282" t="s">
        <v>12280</v>
      </c>
      <c r="AY526" s="283" t="s">
        <v>12199</v>
      </c>
      <c r="AZ526" s="283" t="s">
        <v>12200</v>
      </c>
      <c r="BA526" s="283" t="s">
        <v>12201</v>
      </c>
      <c r="BB526" s="283" t="s">
        <v>12202</v>
      </c>
      <c r="BC526" s="283" t="s">
        <v>12203</v>
      </c>
      <c r="BD526" s="283" t="s">
        <v>12204</v>
      </c>
      <c r="BE526" s="283" t="s">
        <v>12205</v>
      </c>
      <c r="BF526" s="300" t="s">
        <v>12206</v>
      </c>
    </row>
    <row r="527" spans="1:58" ht="12" thickBot="1" x14ac:dyDescent="0.25">
      <c r="A527" s="62" t="s">
        <v>890</v>
      </c>
      <c r="B527" s="62" t="s">
        <v>12215</v>
      </c>
      <c r="C527" s="62"/>
      <c r="D527" s="62"/>
      <c r="E527" s="345" t="s">
        <v>10506</v>
      </c>
      <c r="F527" s="345" t="s">
        <v>8075</v>
      </c>
      <c r="G527" s="113">
        <v>0</v>
      </c>
      <c r="H527" s="113">
        <v>1</v>
      </c>
      <c r="I527" s="114"/>
      <c r="J527" s="114"/>
      <c r="K527" s="114"/>
      <c r="L527" s="81"/>
      <c r="M527" s="265" t="b">
        <f>NOT(ISERROR(ResultsInd[[#This Row],[Goal-A]]+ResultsInd[[#This Row],[Goal-B]]))</f>
        <v>1</v>
      </c>
      <c r="N527" s="265">
        <f>VALUE(ResultsInd[[#This Row],[Score-A]])</f>
        <v>0</v>
      </c>
      <c r="O527" s="265">
        <f>VALUE(ResultsInd[[#This Row],[Score-B]])</f>
        <v>1</v>
      </c>
      <c r="P527" s="265">
        <f ca="1">IF(AND(ResultsInd[[#This Row],[Category]]&lt;&gt;"",ResultsInd[[#This Row],[Player A]]&lt;&gt;""),COUNTIF(INDIRECT(ResultsInd[[#This Row],[Category]]&amp;"List[Retained Player Name]"),ResultsInd[[#This Row],[Player A]]),"")</f>
        <v>1</v>
      </c>
      <c r="Q527" s="265">
        <f ca="1">IF(AND(ResultsInd[[#This Row],[Category]]&lt;&gt;"",ResultsInd[[#This Row],[Player B]]&lt;&gt;""),COUNTIF(INDIRECT(ResultsInd[[#This Row],[Category]]&amp;"List[Retained Player Name]"),ResultsInd[[#This Row],[Player B]]),"")</f>
        <v>1</v>
      </c>
      <c r="R5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7" s="265" t="str">
        <f>IF(ResultsInd[[#This Row],[Score_OK]],IF(ResultsInd[[#This Row],[Stage]]="Groups",ResultsInd[[#This Row],[Category]]&amp;"-"&amp;IF(ResultsInd[[#This Row],[Player B]]="","",IF(ResultsInd[[#This Row],[Score-A]]=ResultsInd[[#This Row],[Score-B]],ResultsInd[[#This Row],[Player A]],"")),""),"")</f>
        <v/>
      </c>
      <c r="T527" s="265" t="str">
        <f>IF(ResultsInd[[#This Row],[Score_OK]],IF(ResultsInd[[#This Row],[Stage]]="Groups",ResultsInd[[#This Row],[Category]]&amp;"-"&amp;IF(ResultsInd[[#This Row],[Player B]]="","",IF(ResultsInd[[#This Row],[Score-A]]=ResultsInd[[#This Row],[Score-B]],ResultsInd[[#This Row],[Player B]],"")),""),"")</f>
        <v/>
      </c>
      <c r="U5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OPEN-Ricardo José</v>
      </c>
      <c r="W5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7" s="264" t="str">
        <f>IF(ResultsInd[[#This Row],[Category]]="","",VLOOKUP(ResultsInd[[#This Row],[Stage]],$P$1:$V$9,MATCH(ResultsInd[[#This Row],[Category]],$Q$1:$V$1,0)+1,FALSE))</f>
        <v>L64</v>
      </c>
      <c r="Z527" s="264" t="str">
        <f>IF(ResultsInd[[#This Row],[Score_OK]],IF(ResultsInd[[#This Row],[Level]]="R",ResultsInd[[#This Row],[Category]]&amp;"-"&amp;IF(ResultsInd[[#This Row],[LoseInKO]]=ResultsInd[[#This Row],[Category]]&amp;"-"&amp;ResultsInd[[#This Row],[Player A]],ResultsInd[[#This Row],[Player B]],ResultsInd[[#This Row],[Player A]]),""),"")</f>
        <v/>
      </c>
      <c r="AB527" s="8"/>
      <c r="AC527" s="12" t="str">
        <f>IF(AC526="","",AC526)</f>
        <v/>
      </c>
      <c r="AD527" s="309"/>
      <c r="AE527" s="320"/>
      <c r="AF527" s="311"/>
      <c r="AG527" s="292" t="str">
        <f>IF(AP527="","",SMALL(AH527:AH533,ROWS(AG527:AG527)))</f>
        <v/>
      </c>
      <c r="AH527" s="293" t="str">
        <f>IF(AP527="","",RANK(AL527,AL527:AL533)*1000+ROWS(AH527:AH527))</f>
        <v/>
      </c>
      <c r="AI527" s="316" t="str">
        <f t="shared" ref="AI527:AI533" si="457">IF(AP527="","",CritClassInd1_Points*AN527+CritClassInd1_Matches*AP527+CritClassInd1_Attaque*AS527+CritClassInd1_DiffButs*AU527)</f>
        <v/>
      </c>
      <c r="AJ527" s="415" t="b">
        <f>AND(AO527&lt;&gt;"",AO527&gt;0,COUNTIF(AI527:AI533,AI527)&gt;1)</f>
        <v>0</v>
      </c>
      <c r="AK527" s="316" t="str">
        <f t="shared" ref="AK527:AK533" si="458">IF(AP527="","",CritClassInd_ScorePart*AE527)</f>
        <v/>
      </c>
      <c r="AL527" s="317" t="str">
        <f t="shared" ref="AL527:AL533" si="459">IF(AP527="","",AI527+AK527+CritClassInd2_Points*AN527+CritClassInd2_Matches*AP527+CritClassInd2_Attaque*AS527+CritClassInd2_DiffButs*AU527+AF527)</f>
        <v/>
      </c>
      <c r="AM527" s="415" t="b">
        <f>AND(AO527&lt;&gt;"",AO527&gt;0,COUNTIF(AL527:AL533,AL527)&gt;1)</f>
        <v>0</v>
      </c>
      <c r="AN527" s="306" t="str">
        <f t="shared" ref="AN527:AN533" si="460">IF(AP527="","",(AP527*Points_Victoire)+AQ527*Points_Null)</f>
        <v/>
      </c>
      <c r="AO527" s="307" t="str">
        <f t="shared" ref="AO527:AO533" si="461">IF(AP527="","",SUM(AP527:AR527))</f>
        <v/>
      </c>
      <c r="AP527" s="307" t="str">
        <f>IF(OR(AC526="",AD527=""),"",COUNTIF(ResultsInd[Win],AC526&amp;"-"&amp;AD527))</f>
        <v/>
      </c>
      <c r="AQ527" s="307" t="str">
        <f>IF(OR(AC526="",AD527=""),"",COUNTIF(ResultsInd[Draw1],AC526&amp;"-"&amp;AD527)+COUNTIF(ResultsInd[Draw2],AC526&amp;"-"&amp;AD527))</f>
        <v/>
      </c>
      <c r="AR527" s="307" t="str">
        <f>IF(OR(AC526="",AD527=""),"",COUNTIF(ResultsInd[Lose],AC526&amp;"-"&amp;AD527))</f>
        <v/>
      </c>
      <c r="AS527" s="307" t="str">
        <f>IF(OR(AC526="",AD527=""),"",SUMIFS(ResultsInd[Goal-A],ResultsInd[Category],AC526,ResultsInd[Stage],"Groups",ResultsInd[Player A],AD527)+SUMIFS(ResultsInd[Goal-B],ResultsInd[Category],AC526,ResultsInd[Stage],"Groups",ResultsInd[Player B],AD527))</f>
        <v/>
      </c>
      <c r="AT527" s="307" t="str">
        <f>IF(OR(AC526="",AD527=""),"",SUMIFS(ResultsInd[Goal-B],ResultsInd[Category],AC526,ResultsInd[Stage],"Groups",ResultsInd[Player A],AD527)+SUMIFS(ResultsInd[Goal-A],ResultsInd[Category],AC526,ResultsInd[Stage],"Groups",ResultsInd[Player B],AD527))</f>
        <v/>
      </c>
      <c r="AU527" s="308" t="str">
        <f>IF(AP527="","",AS527-AT527)</f>
        <v/>
      </c>
      <c r="AV527" s="469" t="str">
        <f>IF(AG527="","",OR(VLOOKUP(AG527,AH527:AU533,3,FALSE),VLOOKUP(AG527,AH527:AU533,6,FALSE)))</f>
        <v/>
      </c>
      <c r="AW527" s="298" t="str">
        <f t="shared" ref="AW527:AW533" si="462">IF(AG527="","",INT(AG527/1000))</f>
        <v/>
      </c>
      <c r="AX527" s="285" t="str">
        <f>IF(AG527="","",INDEX(AD527:AD533,MATCH(AG527,AH527:AH533,0)))</f>
        <v/>
      </c>
      <c r="AY527" s="286" t="str">
        <f>IF(AG527="","",VLOOKUP(AG527,AH527:AU533,COLUMN()-COLUMN(AR526),FALSE))</f>
        <v/>
      </c>
      <c r="AZ527" s="286" t="str">
        <f>IF(AG527="","",VLOOKUP(AG527,AH527:AU533,COLUMN()-COLUMN(AR526),FALSE))</f>
        <v/>
      </c>
      <c r="BA527" s="286" t="str">
        <f>IF(AG527="","",VLOOKUP(AG527,AH527:AU533,COLUMN()-COLUMN(AR526),FALSE))</f>
        <v/>
      </c>
      <c r="BB527" s="286" t="str">
        <f>IF(AG527="","",VLOOKUP(AG527,AH527:AU533,COLUMN()-COLUMN(AR526),FALSE))</f>
        <v/>
      </c>
      <c r="BC527" s="286" t="str">
        <f>IF(AG527="","",VLOOKUP(AG527,AH527:AU533,COLUMN()-COLUMN(AR526),FALSE))</f>
        <v/>
      </c>
      <c r="BD527" s="286" t="str">
        <f>IF(AG527="","",VLOOKUP(AG527,AH527:AU533,COLUMN()-COLUMN(AR526),FALSE))</f>
        <v/>
      </c>
      <c r="BE527" s="286" t="str">
        <f>IF(AG527="","",VLOOKUP(AG527,AH527:AU533,COLUMN()-COLUMN(AR526),FALSE))</f>
        <v/>
      </c>
      <c r="BF527" s="301" t="str">
        <f>IF(AG527="","",VLOOKUP(AG527,AH527:AU533,COLUMN()-COLUMN(AR526),FALSE))</f>
        <v/>
      </c>
    </row>
    <row r="528" spans="1:58" ht="12" thickBot="1" x14ac:dyDescent="0.25">
      <c r="A528" s="62" t="s">
        <v>890</v>
      </c>
      <c r="B528" s="62" t="s">
        <v>12215</v>
      </c>
      <c r="C528" s="62"/>
      <c r="D528" s="62"/>
      <c r="E528" s="345" t="s">
        <v>8050</v>
      </c>
      <c r="F528" s="345" t="s">
        <v>10448</v>
      </c>
      <c r="G528" s="113">
        <v>2</v>
      </c>
      <c r="H528" s="113">
        <v>2</v>
      </c>
      <c r="I528" s="114"/>
      <c r="J528" s="114">
        <v>0</v>
      </c>
      <c r="K528" s="114">
        <v>1</v>
      </c>
      <c r="L528" s="81"/>
      <c r="M528" s="265" t="b">
        <f>NOT(ISERROR(ResultsInd[[#This Row],[Goal-A]]+ResultsInd[[#This Row],[Goal-B]]))</f>
        <v>1</v>
      </c>
      <c r="N528" s="265">
        <f>VALUE(ResultsInd[[#This Row],[Score-A]])</f>
        <v>2</v>
      </c>
      <c r="O528" s="265">
        <f>VALUE(ResultsInd[[#This Row],[Score-B]])</f>
        <v>2</v>
      </c>
      <c r="P528" s="265">
        <f ca="1">IF(AND(ResultsInd[[#This Row],[Category]]&lt;&gt;"",ResultsInd[[#This Row],[Player A]]&lt;&gt;""),COUNTIF(INDIRECT(ResultsInd[[#This Row],[Category]]&amp;"List[Retained Player Name]"),ResultsInd[[#This Row],[Player A]]),"")</f>
        <v>1</v>
      </c>
      <c r="Q528" s="265">
        <f ca="1">IF(AND(ResultsInd[[#This Row],[Category]]&lt;&gt;"",ResultsInd[[#This Row],[Player B]]&lt;&gt;""),COUNTIF(INDIRECT(ResultsInd[[#This Row],[Category]]&amp;"List[Retained Player Name]"),ResultsInd[[#This Row],[Player B]]),"")</f>
        <v>1</v>
      </c>
      <c r="R5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8" s="265" t="str">
        <f>IF(ResultsInd[[#This Row],[Score_OK]],IF(ResultsInd[[#This Row],[Stage]]="Groups",ResultsInd[[#This Row],[Category]]&amp;"-"&amp;IF(ResultsInd[[#This Row],[Player B]]="","",IF(ResultsInd[[#This Row],[Score-A]]=ResultsInd[[#This Row],[Score-B]],ResultsInd[[#This Row],[Player A]],"")),""),"")</f>
        <v/>
      </c>
      <c r="T528" s="265" t="str">
        <f>IF(ResultsInd[[#This Row],[Score_OK]],IF(ResultsInd[[#This Row],[Stage]]="Groups",ResultsInd[[#This Row],[Category]]&amp;"-"&amp;IF(ResultsInd[[#This Row],[Player B]]="","",IF(ResultsInd[[#This Row],[Score-A]]=ResultsInd[[#This Row],[Score-B]],ResultsInd[[#This Row],[Player B]],"")),""),"")</f>
        <v/>
      </c>
      <c r="U5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OPEN-Thomas Wittmann</v>
      </c>
      <c r="W5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8" s="264" t="str">
        <f>IF(ResultsInd[[#This Row],[Category]]="","",VLOOKUP(ResultsInd[[#This Row],[Stage]],$P$1:$V$9,MATCH(ResultsInd[[#This Row],[Category]],$Q$1:$V$1,0)+1,FALSE))</f>
        <v>L64</v>
      </c>
      <c r="Z528" s="264" t="str">
        <f>IF(ResultsInd[[#This Row],[Score_OK]],IF(ResultsInd[[#This Row],[Level]]="R",ResultsInd[[#This Row],[Category]]&amp;"-"&amp;IF(ResultsInd[[#This Row],[LoseInKO]]=ResultsInd[[#This Row],[Category]]&amp;"-"&amp;ResultsInd[[#This Row],[Player A]],ResultsInd[[#This Row],[Player B]],ResultsInd[[#This Row],[Player A]]),""),"")</f>
        <v/>
      </c>
      <c r="AB528" s="8"/>
      <c r="AC528" s="12" t="str">
        <f t="shared" ref="AC528:AC533" si="463">IF(AC527="","",AC527)</f>
        <v/>
      </c>
      <c r="AD528" s="309"/>
      <c r="AE528" s="320"/>
      <c r="AF528" s="311"/>
      <c r="AG528" s="292" t="str">
        <f>IF(AP528="","",SMALL(AH527:AH533,ROWS(AG527:AG528)))</f>
        <v/>
      </c>
      <c r="AH528" s="293" t="str">
        <f>IF(AP528="","",RANK(AL528,AL527:AL533)*1000+ROWS(AH527:AH528))</f>
        <v/>
      </c>
      <c r="AI528" s="316" t="str">
        <f t="shared" si="457"/>
        <v/>
      </c>
      <c r="AJ528" s="415" t="b">
        <f>AND(AO528&lt;&gt;"",AO528&gt;0,COUNTIF(AI527:AI533,AI528)&gt;1)</f>
        <v>0</v>
      </c>
      <c r="AK528" s="316" t="str">
        <f t="shared" si="458"/>
        <v/>
      </c>
      <c r="AL528" s="317" t="str">
        <f t="shared" si="459"/>
        <v/>
      </c>
      <c r="AM528" s="415" t="b">
        <f>AND(AO528&lt;&gt;"",AO528&gt;0,COUNTIF(AL527:AL533,AL528)&gt;1)</f>
        <v>0</v>
      </c>
      <c r="AN528" s="306" t="str">
        <f t="shared" si="460"/>
        <v/>
      </c>
      <c r="AO528" s="307" t="str">
        <f t="shared" si="461"/>
        <v/>
      </c>
      <c r="AP528" s="307" t="str">
        <f>IF(OR(AC526="",AD528=""),"",COUNTIF(ResultsInd[Win],AC526&amp;"-"&amp;AD528))</f>
        <v/>
      </c>
      <c r="AQ528" s="307" t="str">
        <f>IF(OR(AC526="",AD528=""),"",COUNTIF(ResultsInd[Draw1],AC526&amp;"-"&amp;AD528)+COUNTIF(ResultsInd[Draw2],AC526&amp;"-"&amp;AD528))</f>
        <v/>
      </c>
      <c r="AR528" s="307" t="str">
        <f>IF(OR(AC526="",AD528=""),"",COUNTIF(ResultsInd[Lose],AC526&amp;"-"&amp;AD528))</f>
        <v/>
      </c>
      <c r="AS528" s="307" t="str">
        <f>IF(OR(AC526="",AD528=""),"",SUMIFS(ResultsInd[Goal-A],ResultsInd[Category],AC526,ResultsInd[Stage],"Groups",ResultsInd[Player A],AD528)+SUMIFS(ResultsInd[Goal-B],ResultsInd[Category],AC526,ResultsInd[Stage],"Groups",ResultsInd[Player B],AD528))</f>
        <v/>
      </c>
      <c r="AT528" s="307" t="str">
        <f>IF(OR(AC526="",AD528=""),"",SUMIFS(ResultsInd[Goal-B],ResultsInd[Category],AC526,ResultsInd[Stage],"Groups",ResultsInd[Player A],AD528)+SUMIFS(ResultsInd[Goal-A],ResultsInd[Category],AC526,ResultsInd[Stage],"Groups",ResultsInd[Player B],AD528))</f>
        <v/>
      </c>
      <c r="AU528" s="308" t="str">
        <f t="shared" ref="AU528:AU533" si="464">IF(AP528="","",AS528-AT528)</f>
        <v/>
      </c>
      <c r="AV528" s="469" t="str">
        <f>IF(AG528="","",OR(VLOOKUP(AG528,AH527:AU533,3,FALSE),VLOOKUP(AG528,AH527:AU533,6,FALSE)))</f>
        <v/>
      </c>
      <c r="AW528" s="298" t="str">
        <f t="shared" si="462"/>
        <v/>
      </c>
      <c r="AX528" s="285" t="str">
        <f>IF(AG528="","",INDEX(AD527:AD533,MATCH(AG528,AH527:AH533,0)))</f>
        <v/>
      </c>
      <c r="AY528" s="286" t="str">
        <f>IF(AG528="","",VLOOKUP(AG528,AH527:AU533,COLUMN()-COLUMN(AR526),FALSE))</f>
        <v/>
      </c>
      <c r="AZ528" s="286" t="str">
        <f>IF(AG528="","",VLOOKUP(AG528,AH527:AU533,COLUMN()-COLUMN(AR526),FALSE))</f>
        <v/>
      </c>
      <c r="BA528" s="286" t="str">
        <f>IF(AG528="","",VLOOKUP(AG528,AH527:AU533,COLUMN()-COLUMN(AR526),FALSE))</f>
        <v/>
      </c>
      <c r="BB528" s="286" t="str">
        <f>IF(AG528="","",VLOOKUP(AG528,AH527:AU533,COLUMN()-COLUMN(AR526),FALSE))</f>
        <v/>
      </c>
      <c r="BC528" s="286" t="str">
        <f>IF(AG528="","",VLOOKUP(AG528,AH527:AU533,COLUMN()-COLUMN(AR526),FALSE))</f>
        <v/>
      </c>
      <c r="BD528" s="286" t="str">
        <f>IF(AG528="","",VLOOKUP(AG528,AH527:AU533,COLUMN()-COLUMN(AR526),FALSE))</f>
        <v/>
      </c>
      <c r="BE528" s="286" t="str">
        <f>IF(AG528="","",VLOOKUP(AG528,AH527:AU533,COLUMN()-COLUMN(AR526),FALSE))</f>
        <v/>
      </c>
      <c r="BF528" s="301" t="str">
        <f>IF(AG528="","",VLOOKUP(AG528,AH527:AU533,COLUMN()-COLUMN(AR526),FALSE))</f>
        <v/>
      </c>
    </row>
    <row r="529" spans="1:58" ht="12" thickBot="1" x14ac:dyDescent="0.25">
      <c r="A529" s="62" t="s">
        <v>890</v>
      </c>
      <c r="B529" s="62" t="s">
        <v>12215</v>
      </c>
      <c r="C529" s="62"/>
      <c r="D529" s="62"/>
      <c r="E529" s="345" t="s">
        <v>8138</v>
      </c>
      <c r="F529" s="345" t="s">
        <v>10509</v>
      </c>
      <c r="G529" s="113">
        <v>0</v>
      </c>
      <c r="H529" s="113">
        <v>1</v>
      </c>
      <c r="I529" s="114"/>
      <c r="J529" s="114"/>
      <c r="K529" s="114"/>
      <c r="L529" s="81"/>
      <c r="M529" s="265" t="b">
        <f>NOT(ISERROR(ResultsInd[[#This Row],[Goal-A]]+ResultsInd[[#This Row],[Goal-B]]))</f>
        <v>1</v>
      </c>
      <c r="N529" s="265">
        <f>VALUE(ResultsInd[[#This Row],[Score-A]])</f>
        <v>0</v>
      </c>
      <c r="O529" s="265">
        <f>VALUE(ResultsInd[[#This Row],[Score-B]])</f>
        <v>1</v>
      </c>
      <c r="P529" s="265">
        <f ca="1">IF(AND(ResultsInd[[#This Row],[Category]]&lt;&gt;"",ResultsInd[[#This Row],[Player A]]&lt;&gt;""),COUNTIF(INDIRECT(ResultsInd[[#This Row],[Category]]&amp;"List[Retained Player Name]"),ResultsInd[[#This Row],[Player A]]),"")</f>
        <v>1</v>
      </c>
      <c r="Q529" s="265">
        <f ca="1">IF(AND(ResultsInd[[#This Row],[Category]]&lt;&gt;"",ResultsInd[[#This Row],[Player B]]&lt;&gt;""),COUNTIF(INDIRECT(ResultsInd[[#This Row],[Category]]&amp;"List[Retained Player Name]"),ResultsInd[[#This Row],[Player B]]),"")</f>
        <v>1</v>
      </c>
      <c r="R5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9" s="265" t="str">
        <f>IF(ResultsInd[[#This Row],[Score_OK]],IF(ResultsInd[[#This Row],[Stage]]="Groups",ResultsInd[[#This Row],[Category]]&amp;"-"&amp;IF(ResultsInd[[#This Row],[Player B]]="","",IF(ResultsInd[[#This Row],[Score-A]]=ResultsInd[[#This Row],[Score-B]],ResultsInd[[#This Row],[Player A]],"")),""),"")</f>
        <v/>
      </c>
      <c r="T529" s="265" t="str">
        <f>IF(ResultsInd[[#This Row],[Score_OK]],IF(ResultsInd[[#This Row],[Stage]]="Groups",ResultsInd[[#This Row],[Category]]&amp;"-"&amp;IF(ResultsInd[[#This Row],[Player B]]="","",IF(ResultsInd[[#This Row],[Score-A]]=ResultsInd[[#This Row],[Score-B]],ResultsInd[[#This Row],[Player B]],"")),""),"")</f>
        <v/>
      </c>
      <c r="U5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OPEN-William Van Den Houte</v>
      </c>
      <c r="W5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29" s="264" t="str">
        <f>IF(ResultsInd[[#This Row],[Category]]="","",VLOOKUP(ResultsInd[[#This Row],[Stage]],$P$1:$V$9,MATCH(ResultsInd[[#This Row],[Category]],$Q$1:$V$1,0)+1,FALSE))</f>
        <v>L64</v>
      </c>
      <c r="Z529" s="264" t="str">
        <f>IF(ResultsInd[[#This Row],[Score_OK]],IF(ResultsInd[[#This Row],[Level]]="R",ResultsInd[[#This Row],[Category]]&amp;"-"&amp;IF(ResultsInd[[#This Row],[LoseInKO]]=ResultsInd[[#This Row],[Category]]&amp;"-"&amp;ResultsInd[[#This Row],[Player A]],ResultsInd[[#This Row],[Player B]],ResultsInd[[#This Row],[Player A]]),""),"")</f>
        <v/>
      </c>
      <c r="AB529" s="8"/>
      <c r="AC529" s="12" t="str">
        <f t="shared" si="463"/>
        <v/>
      </c>
      <c r="AD529" s="309"/>
      <c r="AE529" s="320"/>
      <c r="AF529" s="311"/>
      <c r="AG529" s="292" t="str">
        <f>IF(AP529="","",SMALL(AH527:AH533,ROWS(AG527:AG529)))</f>
        <v/>
      </c>
      <c r="AH529" s="293" t="str">
        <f>IF(AP529="","",RANK(AL529,AL527:AL533)*1000+ROWS(AH527:AH529))</f>
        <v/>
      </c>
      <c r="AI529" s="316" t="str">
        <f t="shared" si="457"/>
        <v/>
      </c>
      <c r="AJ529" s="415" t="b">
        <f>AND(AO529&lt;&gt;"",AO529&gt;0,COUNTIF(AI527:AI533,AI529)&gt;1)</f>
        <v>0</v>
      </c>
      <c r="AK529" s="316" t="str">
        <f t="shared" si="458"/>
        <v/>
      </c>
      <c r="AL529" s="317" t="str">
        <f t="shared" si="459"/>
        <v/>
      </c>
      <c r="AM529" s="415" t="b">
        <f>AND(AO529&lt;&gt;"",AO529&gt;0,COUNTIF(AL527:AL533,AL529)&gt;1)</f>
        <v>0</v>
      </c>
      <c r="AN529" s="306" t="str">
        <f t="shared" si="460"/>
        <v/>
      </c>
      <c r="AO529" s="307" t="str">
        <f t="shared" si="461"/>
        <v/>
      </c>
      <c r="AP529" s="307" t="str">
        <f>IF(OR(AC526="",AD529=""),"",COUNTIF(ResultsInd[Win],AC526&amp;"-"&amp;AD529))</f>
        <v/>
      </c>
      <c r="AQ529" s="307" t="str">
        <f>IF(OR(AC526="",AD529=""),"",COUNTIF(ResultsInd[Draw1],AC526&amp;"-"&amp;AD529)+COUNTIF(ResultsInd[Draw2],AC526&amp;"-"&amp;AD529))</f>
        <v/>
      </c>
      <c r="AR529" s="307" t="str">
        <f>IF(OR(AC526="",AD529=""),"",COUNTIF(ResultsInd[Lose],AC526&amp;"-"&amp;AD529))</f>
        <v/>
      </c>
      <c r="AS529" s="307" t="str">
        <f>IF(OR(AC526="",AD529=""),"",SUMIFS(ResultsInd[Goal-A],ResultsInd[Category],AC526,ResultsInd[Stage],"Groups",ResultsInd[Player A],AD529)+SUMIFS(ResultsInd[Goal-B],ResultsInd[Category],AC526,ResultsInd[Stage],"Groups",ResultsInd[Player B],AD529))</f>
        <v/>
      </c>
      <c r="AT529" s="307" t="str">
        <f>IF(OR(AC526="",AD529=""),"",SUMIFS(ResultsInd[Goal-B],ResultsInd[Category],AC526,ResultsInd[Stage],"Groups",ResultsInd[Player A],AD529)+SUMIFS(ResultsInd[Goal-A],ResultsInd[Category],AC526,ResultsInd[Stage],"Groups",ResultsInd[Player B],AD529))</f>
        <v/>
      </c>
      <c r="AU529" s="308" t="str">
        <f t="shared" si="464"/>
        <v/>
      </c>
      <c r="AV529" s="469" t="str">
        <f>IF(AG529="","",OR(VLOOKUP(AG529,AH527:AU533,3,FALSE),VLOOKUP(AG529,AH527:AU533,6,FALSE)))</f>
        <v/>
      </c>
      <c r="AW529" s="298" t="str">
        <f t="shared" si="462"/>
        <v/>
      </c>
      <c r="AX529" s="285" t="str">
        <f>IF(AG529="","",INDEX(AD527:AD533,MATCH(AG529,AH527:AH533,0)))</f>
        <v/>
      </c>
      <c r="AY529" s="286" t="str">
        <f>IF(AG529="","",VLOOKUP(AG529,AH527:AU533,COLUMN()-COLUMN(AR526),FALSE))</f>
        <v/>
      </c>
      <c r="AZ529" s="286" t="str">
        <f>IF(AG529="","",VLOOKUP(AG529,AH527:AU533,COLUMN()-COLUMN(AR526),FALSE))</f>
        <v/>
      </c>
      <c r="BA529" s="286" t="str">
        <f>IF(AG529="","",VLOOKUP(AG529,AH527:AU533,COLUMN()-COLUMN(AR526),FALSE))</f>
        <v/>
      </c>
      <c r="BB529" s="286" t="str">
        <f>IF(AG529="","",VLOOKUP(AG529,AH527:AU533,COLUMN()-COLUMN(AR526),FALSE))</f>
        <v/>
      </c>
      <c r="BC529" s="286" t="str">
        <f>IF(AG529="","",VLOOKUP(AG529,AH527:AU533,COLUMN()-COLUMN(AR526),FALSE))</f>
        <v/>
      </c>
      <c r="BD529" s="286" t="str">
        <f>IF(AG529="","",VLOOKUP(AG529,AH527:AU533,COLUMN()-COLUMN(AR526),FALSE))</f>
        <v/>
      </c>
      <c r="BE529" s="286" t="str">
        <f>IF(AG529="","",VLOOKUP(AG529,AH527:AU533,COLUMN()-COLUMN(AR526),FALSE))</f>
        <v/>
      </c>
      <c r="BF529" s="301" t="str">
        <f>IF(AG529="","",VLOOKUP(AG529,AH527:AU533,COLUMN()-COLUMN(AR526),FALSE))</f>
        <v/>
      </c>
    </row>
    <row r="530" spans="1:58" ht="12" thickBot="1" x14ac:dyDescent="0.25">
      <c r="A530" s="62" t="s">
        <v>890</v>
      </c>
      <c r="B530" s="62" t="s">
        <v>12215</v>
      </c>
      <c r="C530" s="62"/>
      <c r="D530" s="62"/>
      <c r="E530" s="345" t="s">
        <v>8123</v>
      </c>
      <c r="F530" s="345" t="s">
        <v>8117</v>
      </c>
      <c r="G530" s="113">
        <v>0</v>
      </c>
      <c r="H530" s="113">
        <v>1</v>
      </c>
      <c r="I530" s="114"/>
      <c r="J530" s="114"/>
      <c r="K530" s="114"/>
      <c r="L530" s="81"/>
      <c r="M530" s="265" t="b">
        <f>NOT(ISERROR(ResultsInd[[#This Row],[Goal-A]]+ResultsInd[[#This Row],[Goal-B]]))</f>
        <v>1</v>
      </c>
      <c r="N530" s="265">
        <f>VALUE(ResultsInd[[#This Row],[Score-A]])</f>
        <v>0</v>
      </c>
      <c r="O530" s="265">
        <f>VALUE(ResultsInd[[#This Row],[Score-B]])</f>
        <v>1</v>
      </c>
      <c r="P530" s="265">
        <f ca="1">IF(AND(ResultsInd[[#This Row],[Category]]&lt;&gt;"",ResultsInd[[#This Row],[Player A]]&lt;&gt;""),COUNTIF(INDIRECT(ResultsInd[[#This Row],[Category]]&amp;"List[Retained Player Name]"),ResultsInd[[#This Row],[Player A]]),"")</f>
        <v>1</v>
      </c>
      <c r="Q530" s="265">
        <f ca="1">IF(AND(ResultsInd[[#This Row],[Category]]&lt;&gt;"",ResultsInd[[#This Row],[Player B]]&lt;&gt;""),COUNTIF(INDIRECT(ResultsInd[[#This Row],[Category]]&amp;"List[Retained Player Name]"),ResultsInd[[#This Row],[Player B]]),"")</f>
        <v>1</v>
      </c>
      <c r="R5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0" s="265" t="str">
        <f>IF(ResultsInd[[#This Row],[Score_OK]],IF(ResultsInd[[#This Row],[Stage]]="Groups",ResultsInd[[#This Row],[Category]]&amp;"-"&amp;IF(ResultsInd[[#This Row],[Player B]]="","",IF(ResultsInd[[#This Row],[Score-A]]=ResultsInd[[#This Row],[Score-B]],ResultsInd[[#This Row],[Player A]],"")),""),"")</f>
        <v/>
      </c>
      <c r="T530" s="265" t="str">
        <f>IF(ResultsInd[[#This Row],[Score_OK]],IF(ResultsInd[[#This Row],[Stage]]="Groups",ResultsInd[[#This Row],[Category]]&amp;"-"&amp;IF(ResultsInd[[#This Row],[Player B]]="","",IF(ResultsInd[[#This Row],[Score-A]]=ResultsInd[[#This Row],[Score-B]],ResultsInd[[#This Row],[Player B]],"")),""),"")</f>
        <v/>
      </c>
      <c r="U5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OPEN-Maxime Rairoux</v>
      </c>
      <c r="W5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0" s="264" t="str">
        <f>IF(ResultsInd[[#This Row],[Category]]="","",VLOOKUP(ResultsInd[[#This Row],[Stage]],$P$1:$V$9,MATCH(ResultsInd[[#This Row],[Category]],$Q$1:$V$1,0)+1,FALSE))</f>
        <v>L64</v>
      </c>
      <c r="Z530" s="264" t="str">
        <f>IF(ResultsInd[[#This Row],[Score_OK]],IF(ResultsInd[[#This Row],[Level]]="R",ResultsInd[[#This Row],[Category]]&amp;"-"&amp;IF(ResultsInd[[#This Row],[LoseInKO]]=ResultsInd[[#This Row],[Category]]&amp;"-"&amp;ResultsInd[[#This Row],[Player A]],ResultsInd[[#This Row],[Player B]],ResultsInd[[#This Row],[Player A]]),""),"")</f>
        <v/>
      </c>
      <c r="AB530" s="91"/>
      <c r="AC530" s="12" t="str">
        <f t="shared" si="463"/>
        <v/>
      </c>
      <c r="AD530" s="309"/>
      <c r="AE530" s="310"/>
      <c r="AF530" s="311"/>
      <c r="AG530" s="292" t="str">
        <f>IF(AP530="","",SMALL(AH527:AH533,ROWS(AG527:AG530)))</f>
        <v/>
      </c>
      <c r="AH530" s="293" t="str">
        <f>IF(AP530="","",RANK(AL530,AL527:AL533)*1000+ROWS(AH527:AH530))</f>
        <v/>
      </c>
      <c r="AI530" s="316" t="str">
        <f t="shared" si="457"/>
        <v/>
      </c>
      <c r="AJ530" s="415" t="b">
        <f>AND(AO530&lt;&gt;"",AO530&gt;0,COUNTIF(AI527:AI533,AI530)&gt;1)</f>
        <v>0</v>
      </c>
      <c r="AK530" s="316" t="str">
        <f t="shared" si="458"/>
        <v/>
      </c>
      <c r="AL530" s="317" t="str">
        <f t="shared" si="459"/>
        <v/>
      </c>
      <c r="AM530" s="415" t="b">
        <f>AND(AO530&lt;&gt;"",AO530&gt;0,COUNTIF(AL527:AL533,AL530)&gt;1)</f>
        <v>0</v>
      </c>
      <c r="AN530" s="306" t="str">
        <f t="shared" si="460"/>
        <v/>
      </c>
      <c r="AO530" s="307" t="str">
        <f t="shared" si="461"/>
        <v/>
      </c>
      <c r="AP530" s="307" t="str">
        <f>IF(OR(AC526="",AD530=""),"",COUNTIF(ResultsInd[Win],AC526&amp;"-"&amp;AD530))</f>
        <v/>
      </c>
      <c r="AQ530" s="307" t="str">
        <f>IF(OR(AC526="",AD530=""),"",COUNTIF(ResultsInd[Draw1],AC526&amp;"-"&amp;AD530)+COUNTIF(ResultsInd[Draw2],AC526&amp;"-"&amp;AD530))</f>
        <v/>
      </c>
      <c r="AR530" s="307" t="str">
        <f>IF(OR(AC526="",AD530=""),"",COUNTIF(ResultsInd[Lose],AC526&amp;"-"&amp;AD530))</f>
        <v/>
      </c>
      <c r="AS530" s="307" t="str">
        <f>IF(OR(AC526="",AD530=""),"",SUMIFS(ResultsInd[Goal-A],ResultsInd[Category],AC526,ResultsInd[Stage],"Groups",ResultsInd[Player A],AD530)+SUMIFS(ResultsInd[Goal-B],ResultsInd[Category],AC526,ResultsInd[Stage],"Groups",ResultsInd[Player B],AD530))</f>
        <v/>
      </c>
      <c r="AT530" s="307" t="str">
        <f>IF(OR(AC526="",AD530=""),"",SUMIFS(ResultsInd[Goal-B],ResultsInd[Category],AC526,ResultsInd[Stage],"Groups",ResultsInd[Player A],AD530)+SUMIFS(ResultsInd[Goal-A],ResultsInd[Category],AC526,ResultsInd[Stage],"Groups",ResultsInd[Player B],AD530))</f>
        <v/>
      </c>
      <c r="AU530" s="308" t="str">
        <f t="shared" si="464"/>
        <v/>
      </c>
      <c r="AV530" s="469" t="str">
        <f>IF(AG530="","",OR(VLOOKUP(AG530,AH527:AU533,3,FALSE),VLOOKUP(AG530,AH527:AU533,6,FALSE)))</f>
        <v/>
      </c>
      <c r="AW530" s="298" t="str">
        <f t="shared" si="462"/>
        <v/>
      </c>
      <c r="AX530" s="285" t="str">
        <f>IF(AG530="","",INDEX(AD527:AD533,MATCH(AG530,AH527:AH533,0)))</f>
        <v/>
      </c>
      <c r="AY530" s="286" t="str">
        <f>IF(AG530="","",VLOOKUP(AG530,AH527:AU533,COLUMN()-COLUMN(AR526),FALSE))</f>
        <v/>
      </c>
      <c r="AZ530" s="286" t="str">
        <f>IF(AG530="","",VLOOKUP(AG530,AH527:AU533,COLUMN()-COLUMN(AR526),FALSE))</f>
        <v/>
      </c>
      <c r="BA530" s="286" t="str">
        <f>IF(AG530="","",VLOOKUP(AG530,AH527:AU533,COLUMN()-COLUMN(AR526),FALSE))</f>
        <v/>
      </c>
      <c r="BB530" s="286" t="str">
        <f>IF(AG530="","",VLOOKUP(AG530,AH527:AU533,COLUMN()-COLUMN(AR526),FALSE))</f>
        <v/>
      </c>
      <c r="BC530" s="286" t="str">
        <f>IF(AG530="","",VLOOKUP(AG530,AH527:AU533,COLUMN()-COLUMN(AR526),FALSE))</f>
        <v/>
      </c>
      <c r="BD530" s="286" t="str">
        <f>IF(AG530="","",VLOOKUP(AG530,AH527:AU533,COLUMN()-COLUMN(AR526),FALSE))</f>
        <v/>
      </c>
      <c r="BE530" s="286" t="str">
        <f>IF(AG530="","",VLOOKUP(AG530,AH527:AU533,COLUMN()-COLUMN(AR526),FALSE))</f>
        <v/>
      </c>
      <c r="BF530" s="301" t="str">
        <f>IF(AG530="","",VLOOKUP(AG530,AH527:AU533,COLUMN()-COLUMN(AR526),FALSE))</f>
        <v/>
      </c>
    </row>
    <row r="531" spans="1:58" ht="12" thickBot="1" x14ac:dyDescent="0.25">
      <c r="A531" s="62" t="s">
        <v>890</v>
      </c>
      <c r="B531" s="62" t="s">
        <v>12215</v>
      </c>
      <c r="C531" s="62"/>
      <c r="D531" s="62"/>
      <c r="E531" s="345" t="s">
        <v>10090</v>
      </c>
      <c r="F531" s="345" t="s">
        <v>8104</v>
      </c>
      <c r="G531" s="113">
        <v>2</v>
      </c>
      <c r="H531" s="113">
        <v>0</v>
      </c>
      <c r="I531" s="114"/>
      <c r="J531" s="114"/>
      <c r="K531" s="114"/>
      <c r="L531" s="81"/>
      <c r="M531" s="265" t="b">
        <f>NOT(ISERROR(ResultsInd[[#This Row],[Goal-A]]+ResultsInd[[#This Row],[Goal-B]]))</f>
        <v>1</v>
      </c>
      <c r="N531" s="265">
        <f>VALUE(ResultsInd[[#This Row],[Score-A]])</f>
        <v>2</v>
      </c>
      <c r="O531" s="265">
        <f>VALUE(ResultsInd[[#This Row],[Score-B]])</f>
        <v>0</v>
      </c>
      <c r="P531" s="265">
        <f ca="1">IF(AND(ResultsInd[[#This Row],[Category]]&lt;&gt;"",ResultsInd[[#This Row],[Player A]]&lt;&gt;""),COUNTIF(INDIRECT(ResultsInd[[#This Row],[Category]]&amp;"List[Retained Player Name]"),ResultsInd[[#This Row],[Player A]]),"")</f>
        <v>1</v>
      </c>
      <c r="Q531" s="265">
        <f ca="1">IF(AND(ResultsInd[[#This Row],[Category]]&lt;&gt;"",ResultsInd[[#This Row],[Player B]]&lt;&gt;""),COUNTIF(INDIRECT(ResultsInd[[#This Row],[Category]]&amp;"List[Retained Player Name]"),ResultsInd[[#This Row],[Player B]]),"")</f>
        <v>1</v>
      </c>
      <c r="R5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1" s="265" t="str">
        <f>IF(ResultsInd[[#This Row],[Score_OK]],IF(ResultsInd[[#This Row],[Stage]]="Groups",ResultsInd[[#This Row],[Category]]&amp;"-"&amp;IF(ResultsInd[[#This Row],[Player B]]="","",IF(ResultsInd[[#This Row],[Score-A]]=ResultsInd[[#This Row],[Score-B]],ResultsInd[[#This Row],[Player A]],"")),""),"")</f>
        <v/>
      </c>
      <c r="T531" s="265" t="str">
        <f>IF(ResultsInd[[#This Row],[Score_OK]],IF(ResultsInd[[#This Row],[Stage]]="Groups",ResultsInd[[#This Row],[Category]]&amp;"-"&amp;IF(ResultsInd[[#This Row],[Player B]]="","",IF(ResultsInd[[#This Row],[Score-A]]=ResultsInd[[#This Row],[Score-B]],ResultsInd[[#This Row],[Player B]],"")),""),"")</f>
        <v/>
      </c>
      <c r="U5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OPEN-Jérôme Heyvaert</v>
      </c>
      <c r="W5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1" s="264" t="str">
        <f>IF(ResultsInd[[#This Row],[Category]]="","",VLOOKUP(ResultsInd[[#This Row],[Stage]],$P$1:$V$9,MATCH(ResultsInd[[#This Row],[Category]],$Q$1:$V$1,0)+1,FALSE))</f>
        <v>L64</v>
      </c>
      <c r="Z531" s="264" t="str">
        <f>IF(ResultsInd[[#This Row],[Score_OK]],IF(ResultsInd[[#This Row],[Level]]="R",ResultsInd[[#This Row],[Category]]&amp;"-"&amp;IF(ResultsInd[[#This Row],[LoseInKO]]=ResultsInd[[#This Row],[Category]]&amp;"-"&amp;ResultsInd[[#This Row],[Player A]],ResultsInd[[#This Row],[Player B]],ResultsInd[[#This Row],[Player A]]),""),"")</f>
        <v/>
      </c>
      <c r="AB531" s="91"/>
      <c r="AC531" s="12" t="str">
        <f t="shared" si="463"/>
        <v/>
      </c>
      <c r="AD531" s="309"/>
      <c r="AE531" s="310"/>
      <c r="AF531" s="311"/>
      <c r="AG531" s="292" t="str">
        <f>IF(AP531="","",SMALL(AH527:AH533,ROWS(AG527:AG531)))</f>
        <v/>
      </c>
      <c r="AH531" s="293" t="str">
        <f>IF(AP531="","",RANK(AL531,AL527:AL533)*1000+ROWS(AH527:AH531))</f>
        <v/>
      </c>
      <c r="AI531" s="316" t="str">
        <f t="shared" si="457"/>
        <v/>
      </c>
      <c r="AJ531" s="415" t="b">
        <f>AND(AO531&lt;&gt;"",AO531&gt;0,COUNTIF(AI527:AI533,AI531)&gt;1)</f>
        <v>0</v>
      </c>
      <c r="AK531" s="316" t="str">
        <f t="shared" si="458"/>
        <v/>
      </c>
      <c r="AL531" s="317" t="str">
        <f t="shared" si="459"/>
        <v/>
      </c>
      <c r="AM531" s="415" t="b">
        <f>AND(AO531&lt;&gt;"",AO531&gt;0,COUNTIF(AL527:AL533,AL531)&gt;1)</f>
        <v>0</v>
      </c>
      <c r="AN531" s="306" t="str">
        <f t="shared" si="460"/>
        <v/>
      </c>
      <c r="AO531" s="307" t="str">
        <f t="shared" si="461"/>
        <v/>
      </c>
      <c r="AP531" s="307" t="str">
        <f>IF(OR(AC526="",AD531=""),"",COUNTIF(ResultsInd[Win],AC526&amp;"-"&amp;AD531))</f>
        <v/>
      </c>
      <c r="AQ531" s="307" t="str">
        <f>IF(OR(AC526="",AD531=""),"",COUNTIF(ResultsInd[Draw1],AC526&amp;"-"&amp;AD531)+COUNTIF(ResultsInd[Draw2],AC526&amp;"-"&amp;AD531))</f>
        <v/>
      </c>
      <c r="AR531" s="307" t="str">
        <f>IF(OR(AC526="",AD531=""),"",COUNTIF(ResultsInd[Lose],AC526&amp;"-"&amp;AD531))</f>
        <v/>
      </c>
      <c r="AS531" s="307" t="str">
        <f>IF(OR(AC526="",AD531=""),"",SUMIFS(ResultsInd[Goal-A],ResultsInd[Category],AC526,ResultsInd[Stage],"Groups",ResultsInd[Player A],AD531)+SUMIFS(ResultsInd[Goal-B],ResultsInd[Category],AC526,ResultsInd[Stage],"Groups",ResultsInd[Player B],AD531))</f>
        <v/>
      </c>
      <c r="AT531" s="307" t="str">
        <f>IF(OR(AC526="",AD531=""),"",SUMIFS(ResultsInd[Goal-B],ResultsInd[Category],AC526,ResultsInd[Stage],"Groups",ResultsInd[Player A],AD531)+SUMIFS(ResultsInd[Goal-A],ResultsInd[Category],AC526,ResultsInd[Stage],"Groups",ResultsInd[Player B],AD531))</f>
        <v/>
      </c>
      <c r="AU531" s="308" t="str">
        <f t="shared" si="464"/>
        <v/>
      </c>
      <c r="AV531" s="469" t="str">
        <f>IF(AG531="","",OR(VLOOKUP(AG531,AH527:AU533,3,FALSE),VLOOKUP(AG531,AH527:AU533,6,FALSE)))</f>
        <v/>
      </c>
      <c r="AW531" s="298" t="str">
        <f t="shared" si="462"/>
        <v/>
      </c>
      <c r="AX531" s="285" t="str">
        <f>IF(AG531="","",INDEX(AD527:AD533,MATCH(AG531,AH527:AH533,0)))</f>
        <v/>
      </c>
      <c r="AY531" s="286" t="str">
        <f>IF(AG531="","",VLOOKUP(AG531,AH527:AU533,COLUMN()-COLUMN(AR526),FALSE))</f>
        <v/>
      </c>
      <c r="AZ531" s="286" t="str">
        <f>IF(AG531="","",VLOOKUP(AG531,AH527:AU533,COLUMN()-COLUMN(AR526),FALSE))</f>
        <v/>
      </c>
      <c r="BA531" s="286" t="str">
        <f>IF(AG531="","",VLOOKUP(AG531,AH527:AU533,COLUMN()-COLUMN(AR526),FALSE))</f>
        <v/>
      </c>
      <c r="BB531" s="286" t="str">
        <f>IF(AG531="","",VLOOKUP(AG531,AH527:AU533,COLUMN()-COLUMN(AR526),FALSE))</f>
        <v/>
      </c>
      <c r="BC531" s="286" t="str">
        <f>IF(AG531="","",VLOOKUP(AG531,AH527:AU533,COLUMN()-COLUMN(AR526),FALSE))</f>
        <v/>
      </c>
      <c r="BD531" s="286" t="str">
        <f>IF(AG531="","",VLOOKUP(AG531,AH527:AU533,COLUMN()-COLUMN(AR526),FALSE))</f>
        <v/>
      </c>
      <c r="BE531" s="286" t="str">
        <f>IF(AG531="","",VLOOKUP(AG531,AH527:AU533,COLUMN()-COLUMN(AR526),FALSE))</f>
        <v/>
      </c>
      <c r="BF531" s="301" t="str">
        <f>IF(AG531="","",VLOOKUP(AG531,AH527:AU533,COLUMN()-COLUMN(AR526),FALSE))</f>
        <v/>
      </c>
    </row>
    <row r="532" spans="1:58" ht="12" thickBot="1" x14ac:dyDescent="0.25">
      <c r="A532" s="62" t="s">
        <v>890</v>
      </c>
      <c r="B532" s="62" t="s">
        <v>12215</v>
      </c>
      <c r="C532" s="62"/>
      <c r="D532" s="62"/>
      <c r="E532" s="345" t="s">
        <v>10272</v>
      </c>
      <c r="F532" s="345" t="s">
        <v>8922</v>
      </c>
      <c r="G532" s="113">
        <v>3</v>
      </c>
      <c r="H532" s="113">
        <v>5</v>
      </c>
      <c r="I532" s="114"/>
      <c r="J532" s="114"/>
      <c r="K532" s="114"/>
      <c r="L532" s="81"/>
      <c r="M532" s="265" t="b">
        <f>NOT(ISERROR(ResultsInd[[#This Row],[Goal-A]]+ResultsInd[[#This Row],[Goal-B]]))</f>
        <v>1</v>
      </c>
      <c r="N532" s="265">
        <f>VALUE(ResultsInd[[#This Row],[Score-A]])</f>
        <v>3</v>
      </c>
      <c r="O532" s="265">
        <f>VALUE(ResultsInd[[#This Row],[Score-B]])</f>
        <v>5</v>
      </c>
      <c r="P532" s="265">
        <f ca="1">IF(AND(ResultsInd[[#This Row],[Category]]&lt;&gt;"",ResultsInd[[#This Row],[Player A]]&lt;&gt;""),COUNTIF(INDIRECT(ResultsInd[[#This Row],[Category]]&amp;"List[Retained Player Name]"),ResultsInd[[#This Row],[Player A]]),"")</f>
        <v>1</v>
      </c>
      <c r="Q532" s="265">
        <f ca="1">IF(AND(ResultsInd[[#This Row],[Category]]&lt;&gt;"",ResultsInd[[#This Row],[Player B]]&lt;&gt;""),COUNTIF(INDIRECT(ResultsInd[[#This Row],[Category]]&amp;"List[Retained Player Name]"),ResultsInd[[#This Row],[Player B]]),"")</f>
        <v>1</v>
      </c>
      <c r="R5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2" s="265" t="str">
        <f>IF(ResultsInd[[#This Row],[Score_OK]],IF(ResultsInd[[#This Row],[Stage]]="Groups",ResultsInd[[#This Row],[Category]]&amp;"-"&amp;IF(ResultsInd[[#This Row],[Player B]]="","",IF(ResultsInd[[#This Row],[Score-A]]=ResultsInd[[#This Row],[Score-B]],ResultsInd[[#This Row],[Player A]],"")),""),"")</f>
        <v/>
      </c>
      <c r="T532" s="265" t="str">
        <f>IF(ResultsInd[[#This Row],[Score_OK]],IF(ResultsInd[[#This Row],[Stage]]="Groups",ResultsInd[[#This Row],[Category]]&amp;"-"&amp;IF(ResultsInd[[#This Row],[Player B]]="","",IF(ResultsInd[[#This Row],[Score-A]]=ResultsInd[[#This Row],[Score-B]],ResultsInd[[#This Row],[Player B]],"")),""),"")</f>
        <v/>
      </c>
      <c r="U5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OPEN-Francesco Borgo</v>
      </c>
      <c r="W5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2" s="264" t="str">
        <f>IF(ResultsInd[[#This Row],[Category]]="","",VLOOKUP(ResultsInd[[#This Row],[Stage]],$P$1:$V$9,MATCH(ResultsInd[[#This Row],[Category]],$Q$1:$V$1,0)+1,FALSE))</f>
        <v>L64</v>
      </c>
      <c r="Z532" s="264" t="str">
        <f>IF(ResultsInd[[#This Row],[Score_OK]],IF(ResultsInd[[#This Row],[Level]]="R",ResultsInd[[#This Row],[Category]]&amp;"-"&amp;IF(ResultsInd[[#This Row],[LoseInKO]]=ResultsInd[[#This Row],[Category]]&amp;"-"&amp;ResultsInd[[#This Row],[Player A]],ResultsInd[[#This Row],[Player B]],ResultsInd[[#This Row],[Player A]]),""),"")</f>
        <v/>
      </c>
      <c r="AB532" s="8"/>
      <c r="AC532" s="12" t="str">
        <f t="shared" si="463"/>
        <v/>
      </c>
      <c r="AD532" s="309"/>
      <c r="AE532" s="310"/>
      <c r="AF532" s="311"/>
      <c r="AG532" s="292" t="str">
        <f>IF(AP532="","",SMALL(AH527:AH533,ROWS(AG527:AG532)))</f>
        <v/>
      </c>
      <c r="AH532" s="293" t="str">
        <f>IF(AP532="","",RANK(AL532,AL527:AL533)*1000+ROWS(AH527:AH532))</f>
        <v/>
      </c>
      <c r="AI532" s="316" t="str">
        <f t="shared" si="457"/>
        <v/>
      </c>
      <c r="AJ532" s="415" t="b">
        <f>AND(AO532&lt;&gt;"",AO532&gt;0,COUNTIF(AI527:AI533,AI532)&gt;1)</f>
        <v>0</v>
      </c>
      <c r="AK532" s="316" t="str">
        <f t="shared" si="458"/>
        <v/>
      </c>
      <c r="AL532" s="317" t="str">
        <f t="shared" si="459"/>
        <v/>
      </c>
      <c r="AM532" s="415" t="b">
        <f>AND(AO532&lt;&gt;"",AO532&gt;0,COUNTIF(AL527:AL533,AL532)&gt;1)</f>
        <v>0</v>
      </c>
      <c r="AN532" s="306" t="str">
        <f t="shared" si="460"/>
        <v/>
      </c>
      <c r="AO532" s="307" t="str">
        <f t="shared" si="461"/>
        <v/>
      </c>
      <c r="AP532" s="307" t="str">
        <f>IF(OR(AC526="",AD532=""),"",COUNTIF(ResultsInd[Win],AC526&amp;"-"&amp;AD532))</f>
        <v/>
      </c>
      <c r="AQ532" s="307" t="str">
        <f>IF(OR(AC526="",AD532=""),"",COUNTIF(ResultsInd[Draw1],AC526&amp;"-"&amp;AD532)+COUNTIF(ResultsInd[Draw2],AC526&amp;"-"&amp;AD532))</f>
        <v/>
      </c>
      <c r="AR532" s="307" t="str">
        <f>IF(OR(AC526="",AD532=""),"",COUNTIF(ResultsInd[Lose],AC526&amp;"-"&amp;AD532))</f>
        <v/>
      </c>
      <c r="AS532" s="307" t="str">
        <f>IF(OR(AC526="",AD532=""),"",SUMIFS(ResultsInd[Goal-A],ResultsInd[Category],AC526,ResultsInd[Stage],"Groups",ResultsInd[Player A],AD532)+SUMIFS(ResultsInd[Goal-B],ResultsInd[Category],AC526,ResultsInd[Stage],"Groups",ResultsInd[Player B],AD532))</f>
        <v/>
      </c>
      <c r="AT532" s="307" t="str">
        <f>IF(OR(AC526="",AD532=""),"",SUMIFS(ResultsInd[Goal-B],ResultsInd[Category],AC526,ResultsInd[Stage],"Groups",ResultsInd[Player A],AD532)+SUMIFS(ResultsInd[Goal-A],ResultsInd[Category],AC526,ResultsInd[Stage],"Groups",ResultsInd[Player B],AD532))</f>
        <v/>
      </c>
      <c r="AU532" s="308" t="str">
        <f t="shared" si="464"/>
        <v/>
      </c>
      <c r="AV532" s="469" t="str">
        <f>IF(AG532="","",OR(VLOOKUP(AG532,AH527:AU533,3,FALSE),VLOOKUP(AG532,AH527:AU533,6,FALSE)))</f>
        <v/>
      </c>
      <c r="AW532" s="298" t="str">
        <f t="shared" si="462"/>
        <v/>
      </c>
      <c r="AX532" s="285" t="str">
        <f>IF(AG532="","",INDEX(AD527:AD533,MATCH(AG532,AH527:AH533,0)))</f>
        <v/>
      </c>
      <c r="AY532" s="286" t="str">
        <f>IF(AG532="","",VLOOKUP(AG532,AH527:AU533,COLUMN()-COLUMN(AR526),FALSE))</f>
        <v/>
      </c>
      <c r="AZ532" s="286" t="str">
        <f>IF(AG532="","",VLOOKUP(AG532,AH527:AU533,COLUMN()-COLUMN(AR526),FALSE))</f>
        <v/>
      </c>
      <c r="BA532" s="286" t="str">
        <f>IF(AG532="","",VLOOKUP(AG532,AH527:AU533,COLUMN()-COLUMN(AR526),FALSE))</f>
        <v/>
      </c>
      <c r="BB532" s="286" t="str">
        <f>IF(AG532="","",VLOOKUP(AG532,AH527:AU533,COLUMN()-COLUMN(AR526),FALSE))</f>
        <v/>
      </c>
      <c r="BC532" s="286" t="str">
        <f>IF(AG532="","",VLOOKUP(AG532,AH527:AU533,COLUMN()-COLUMN(AR526),FALSE))</f>
        <v/>
      </c>
      <c r="BD532" s="286" t="str">
        <f>IF(AG532="","",VLOOKUP(AG532,AH527:AU533,COLUMN()-COLUMN(AR526),FALSE))</f>
        <v/>
      </c>
      <c r="BE532" s="286" t="str">
        <f>IF(AG532="","",VLOOKUP(AG532,AH527:AU533,COLUMN()-COLUMN(AR526),FALSE))</f>
        <v/>
      </c>
      <c r="BF532" s="301" t="str">
        <f>IF(AG532="","",VLOOKUP(AG532,AH527:AU533,COLUMN()-COLUMN(AR526),FALSE))</f>
        <v/>
      </c>
    </row>
    <row r="533" spans="1:58" ht="12" thickBot="1" x14ac:dyDescent="0.25">
      <c r="A533" s="62" t="s">
        <v>890</v>
      </c>
      <c r="B533" s="62" t="s">
        <v>12215</v>
      </c>
      <c r="C533" s="62"/>
      <c r="D533" s="62"/>
      <c r="E533" s="345" t="s">
        <v>8697</v>
      </c>
      <c r="F533" s="345" t="s">
        <v>10088</v>
      </c>
      <c r="G533" s="113">
        <v>3</v>
      </c>
      <c r="H533" s="113">
        <v>2</v>
      </c>
      <c r="I533" s="114"/>
      <c r="J533" s="114"/>
      <c r="K533" s="114"/>
      <c r="L533" s="81"/>
      <c r="M533" s="265" t="b">
        <f>NOT(ISERROR(ResultsInd[[#This Row],[Goal-A]]+ResultsInd[[#This Row],[Goal-B]]))</f>
        <v>1</v>
      </c>
      <c r="N533" s="265">
        <f>VALUE(ResultsInd[[#This Row],[Score-A]])</f>
        <v>3</v>
      </c>
      <c r="O533" s="265">
        <f>VALUE(ResultsInd[[#This Row],[Score-B]])</f>
        <v>2</v>
      </c>
      <c r="P533" s="265">
        <f ca="1">IF(AND(ResultsInd[[#This Row],[Category]]&lt;&gt;"",ResultsInd[[#This Row],[Player A]]&lt;&gt;""),COUNTIF(INDIRECT(ResultsInd[[#This Row],[Category]]&amp;"List[Retained Player Name]"),ResultsInd[[#This Row],[Player A]]),"")</f>
        <v>1</v>
      </c>
      <c r="Q533" s="265">
        <f ca="1">IF(AND(ResultsInd[[#This Row],[Category]]&lt;&gt;"",ResultsInd[[#This Row],[Player B]]&lt;&gt;""),COUNTIF(INDIRECT(ResultsInd[[#This Row],[Category]]&amp;"List[Retained Player Name]"),ResultsInd[[#This Row],[Player B]]),"")</f>
        <v>1</v>
      </c>
      <c r="R5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3" s="265" t="str">
        <f>IF(ResultsInd[[#This Row],[Score_OK]],IF(ResultsInd[[#This Row],[Stage]]="Groups",ResultsInd[[#This Row],[Category]]&amp;"-"&amp;IF(ResultsInd[[#This Row],[Player B]]="","",IF(ResultsInd[[#This Row],[Score-A]]=ResultsInd[[#This Row],[Score-B]],ResultsInd[[#This Row],[Player A]],"")),""),"")</f>
        <v/>
      </c>
      <c r="T533" s="265" t="str">
        <f>IF(ResultsInd[[#This Row],[Score_OK]],IF(ResultsInd[[#This Row],[Stage]]="Groups",ResultsInd[[#This Row],[Category]]&amp;"-"&amp;IF(ResultsInd[[#This Row],[Player B]]="","",IF(ResultsInd[[#This Row],[Score-A]]=ResultsInd[[#This Row],[Score-B]],ResultsInd[[#This Row],[Player B]],"")),""),"")</f>
        <v/>
      </c>
      <c r="U5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OPEN-Luigi Di Vito</v>
      </c>
      <c r="W5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3" s="264" t="str">
        <f>IF(ResultsInd[[#This Row],[Category]]="","",VLOOKUP(ResultsInd[[#This Row],[Stage]],$P$1:$V$9,MATCH(ResultsInd[[#This Row],[Category]],$Q$1:$V$1,0)+1,FALSE))</f>
        <v>L64</v>
      </c>
      <c r="Z533" s="264" t="str">
        <f>IF(ResultsInd[[#This Row],[Score_OK]],IF(ResultsInd[[#This Row],[Level]]="R",ResultsInd[[#This Row],[Category]]&amp;"-"&amp;IF(ResultsInd[[#This Row],[LoseInKO]]=ResultsInd[[#This Row],[Category]]&amp;"-"&amp;ResultsInd[[#This Row],[Player A]],ResultsInd[[#This Row],[Player B]],ResultsInd[[#This Row],[Player A]]),""),"")</f>
        <v/>
      </c>
      <c r="AB533" s="8"/>
      <c r="AC533" s="12" t="str">
        <f t="shared" si="463"/>
        <v/>
      </c>
      <c r="AD533" s="312"/>
      <c r="AE533" s="313"/>
      <c r="AF533" s="314"/>
      <c r="AG533" s="294" t="str">
        <f>IF(AP533="","",SMALL(AH527:AH533,ROWS(AG527:AG533)))</f>
        <v/>
      </c>
      <c r="AH533" s="295" t="str">
        <f>IF(AP533="","",RANK(AL533,AL527:AL533)*1000+ROWS(AH527:AH533))</f>
        <v/>
      </c>
      <c r="AI533" s="318" t="str">
        <f t="shared" si="457"/>
        <v/>
      </c>
      <c r="AJ533" s="416" t="b">
        <f>AND(AO533&lt;&gt;"",AO533&gt;0,COUNTIF(AI527:AI533,AI533)&gt;1)</f>
        <v>0</v>
      </c>
      <c r="AK533" s="318" t="str">
        <f t="shared" si="458"/>
        <v/>
      </c>
      <c r="AL533" s="319" t="str">
        <f t="shared" si="459"/>
        <v/>
      </c>
      <c r="AM533" s="416" t="b">
        <f>AND(AO533&lt;&gt;"",AO533&gt;0,COUNTIF(AL527:AL533,AL533)&gt;1)</f>
        <v>0</v>
      </c>
      <c r="AN533" s="306" t="str">
        <f t="shared" si="460"/>
        <v/>
      </c>
      <c r="AO533" s="307" t="str">
        <f t="shared" si="461"/>
        <v/>
      </c>
      <c r="AP533" s="307" t="str">
        <f>IF(OR(AC526="",AD533=""),"",COUNTIF(ResultsInd[Win],AC526&amp;"-"&amp;AD533))</f>
        <v/>
      </c>
      <c r="AQ533" s="307" t="str">
        <f>IF(OR(AC526="",AD533=""),"",COUNTIF(ResultsInd[Draw1],AC526&amp;"-"&amp;AD533)+COUNTIF(ResultsInd[Draw2],AC526&amp;"-"&amp;AD533))</f>
        <v/>
      </c>
      <c r="AR533" s="307" t="str">
        <f>IF(OR(AC526="",AD533=""),"",COUNTIF(ResultsInd[Lose],AC526&amp;"-"&amp;AD533))</f>
        <v/>
      </c>
      <c r="AS533" s="307" t="str">
        <f>IF(OR(AC526="",AD533=""),"",SUMIFS(ResultsInd[Goal-A],ResultsInd[Category],AC526,ResultsInd[Stage],"Groups",ResultsInd[Player A],AD533)+SUMIFS(ResultsInd[Goal-B],ResultsInd[Category],AC526,ResultsInd[Stage],"Groups",ResultsInd[Player B],AD533))</f>
        <v/>
      </c>
      <c r="AT533" s="307" t="str">
        <f>IF(OR(AC526="",AD533=""),"",SUMIFS(ResultsInd[Goal-B],ResultsInd[Category],AC526,ResultsInd[Stage],"Groups",ResultsInd[Player A],AD533)+SUMIFS(ResultsInd[Goal-A],ResultsInd[Category],AC526,ResultsInd[Stage],"Groups",ResultsInd[Player B],AD533))</f>
        <v/>
      </c>
      <c r="AU533" s="308" t="str">
        <f t="shared" si="464"/>
        <v/>
      </c>
      <c r="AV533" s="469" t="str">
        <f>IF(AG533="","",OR(VLOOKUP(AG533,AH527:AU533,3,FALSE),VLOOKUP(AG533,AH527:AU533,6,FALSE)))</f>
        <v/>
      </c>
      <c r="AW533" s="299" t="str">
        <f t="shared" si="462"/>
        <v/>
      </c>
      <c r="AX533" s="287" t="str">
        <f>IF(AG533="","",INDEX(AD527:AD533,MATCH(AG533,AH527:AH533,0)))</f>
        <v/>
      </c>
      <c r="AY533" s="288" t="str">
        <f>IF(AG533="","",VLOOKUP(AG533,AH527:AU533,COLUMN()-COLUMN(AR526),FALSE))</f>
        <v/>
      </c>
      <c r="AZ533" s="288" t="str">
        <f>IF(AG533="","",VLOOKUP(AG533,AH527:AU533,COLUMN()-COLUMN(AR526),FALSE))</f>
        <v/>
      </c>
      <c r="BA533" s="288" t="str">
        <f>IF(AG533="","",VLOOKUP(AG533,AH527:AU533,COLUMN()-COLUMN(AR526),FALSE))</f>
        <v/>
      </c>
      <c r="BB533" s="288" t="str">
        <f>IF(AG533="","",VLOOKUP(AG533,AH527:AU533,COLUMN()-COLUMN(AR526),FALSE))</f>
        <v/>
      </c>
      <c r="BC533" s="288" t="str">
        <f>IF(AG533="","",VLOOKUP(AG533,AH527:AU533,COLUMN()-COLUMN(AR526),FALSE))</f>
        <v/>
      </c>
      <c r="BD533" s="288" t="str">
        <f>IF(AG533="","",VLOOKUP(AG533,AH527:AU533,COLUMN()-COLUMN(AR526),FALSE))</f>
        <v/>
      </c>
      <c r="BE533" s="288" t="str">
        <f>IF(AG533="","",VLOOKUP(AG533,AH527:AU533,COLUMN()-COLUMN(AR526),FALSE))</f>
        <v/>
      </c>
      <c r="BF533" s="302" t="str">
        <f>IF(AG533="","",VLOOKUP(AG533,AH527:AU533,COLUMN()-COLUMN(AR526),FALSE))</f>
        <v/>
      </c>
    </row>
    <row r="534" spans="1:58" ht="13.5" thickBot="1" x14ac:dyDescent="0.25">
      <c r="A534" s="62" t="s">
        <v>890</v>
      </c>
      <c r="B534" s="62" t="s">
        <v>12215</v>
      </c>
      <c r="C534" s="62"/>
      <c r="D534" s="62"/>
      <c r="E534" s="345" t="s">
        <v>8610</v>
      </c>
      <c r="F534" s="345" t="s">
        <v>8541</v>
      </c>
      <c r="G534" s="113">
        <v>8</v>
      </c>
      <c r="H534" s="113">
        <v>2</v>
      </c>
      <c r="I534" s="114"/>
      <c r="J534" s="114"/>
      <c r="K534" s="114"/>
      <c r="L534" s="81"/>
      <c r="M534" s="265" t="b">
        <f>NOT(ISERROR(ResultsInd[[#This Row],[Goal-A]]+ResultsInd[[#This Row],[Goal-B]]))</f>
        <v>1</v>
      </c>
      <c r="N534" s="265">
        <f>VALUE(ResultsInd[[#This Row],[Score-A]])</f>
        <v>8</v>
      </c>
      <c r="O534" s="265">
        <f>VALUE(ResultsInd[[#This Row],[Score-B]])</f>
        <v>2</v>
      </c>
      <c r="P534" s="265">
        <f ca="1">IF(AND(ResultsInd[[#This Row],[Category]]&lt;&gt;"",ResultsInd[[#This Row],[Player A]]&lt;&gt;""),COUNTIF(INDIRECT(ResultsInd[[#This Row],[Category]]&amp;"List[Retained Player Name]"),ResultsInd[[#This Row],[Player A]]),"")</f>
        <v>1</v>
      </c>
      <c r="Q534" s="265">
        <f ca="1">IF(AND(ResultsInd[[#This Row],[Category]]&lt;&gt;"",ResultsInd[[#This Row],[Player B]]&lt;&gt;""),COUNTIF(INDIRECT(ResultsInd[[#This Row],[Category]]&amp;"List[Retained Player Name]"),ResultsInd[[#This Row],[Player B]]),"")</f>
        <v>1</v>
      </c>
      <c r="R5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4" s="265" t="str">
        <f>IF(ResultsInd[[#This Row],[Score_OK]],IF(ResultsInd[[#This Row],[Stage]]="Groups",ResultsInd[[#This Row],[Category]]&amp;"-"&amp;IF(ResultsInd[[#This Row],[Player B]]="","",IF(ResultsInd[[#This Row],[Score-A]]=ResultsInd[[#This Row],[Score-B]],ResultsInd[[#This Row],[Player A]],"")),""),"")</f>
        <v/>
      </c>
      <c r="T534" s="265" t="str">
        <f>IF(ResultsInd[[#This Row],[Score_OK]],IF(ResultsInd[[#This Row],[Stage]]="Groups",ResultsInd[[#This Row],[Category]]&amp;"-"&amp;IF(ResultsInd[[#This Row],[Player B]]="","",IF(ResultsInd[[#This Row],[Score-A]]=ResultsInd[[#This Row],[Score-B]],ResultsInd[[#This Row],[Player B]],"")),""),"")</f>
        <v/>
      </c>
      <c r="U5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OPEN-Kevin Cordell</v>
      </c>
      <c r="W5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4" s="264" t="str">
        <f>IF(ResultsInd[[#This Row],[Category]]="","",VLOOKUP(ResultsInd[[#This Row],[Stage]],$P$1:$V$9,MATCH(ResultsInd[[#This Row],[Category]],$Q$1:$V$1,0)+1,FALSE))</f>
        <v>L64</v>
      </c>
      <c r="Z534" s="264" t="str">
        <f>IF(ResultsInd[[#This Row],[Score_OK]],IF(ResultsInd[[#This Row],[Level]]="R",ResultsInd[[#This Row],[Category]]&amp;"-"&amp;IF(ResultsInd[[#This Row],[LoseInKO]]=ResultsInd[[#This Row],[Category]]&amp;"-"&amp;ResultsInd[[#This Row],[Player A]],ResultsInd[[#This Row],[Player B]],ResultsInd[[#This Row],[Player A]]),""),"")</f>
        <v/>
      </c>
      <c r="AB534" s="8"/>
      <c r="AC534" s="8"/>
      <c r="AF534" s="170"/>
      <c r="AG534" s="101"/>
      <c r="AH534" s="101"/>
      <c r="AN534" s="170"/>
      <c r="AO534" s="170"/>
      <c r="AP534" s="170"/>
      <c r="AQ534" s="172"/>
      <c r="AR534" s="173"/>
      <c r="AS534" s="173"/>
      <c r="AT534" s="173"/>
      <c r="AU534" s="101"/>
      <c r="AV534" s="101"/>
      <c r="AW534" s="101"/>
      <c r="AX534" s="101"/>
      <c r="AY534" s="101"/>
      <c r="AZ534" s="101"/>
    </row>
    <row r="535" spans="1:58" ht="12" thickBot="1" x14ac:dyDescent="0.25">
      <c r="A535" s="62" t="s">
        <v>890</v>
      </c>
      <c r="B535" s="62" t="s">
        <v>12215</v>
      </c>
      <c r="C535" s="62"/>
      <c r="D535" s="62"/>
      <c r="E535" s="345" t="s">
        <v>10024</v>
      </c>
      <c r="F535" s="345" t="s">
        <v>8076</v>
      </c>
      <c r="G535" s="113">
        <v>4</v>
      </c>
      <c r="H535" s="113">
        <v>0</v>
      </c>
      <c r="I535" s="114"/>
      <c r="J535" s="114"/>
      <c r="K535" s="114"/>
      <c r="L535" s="81"/>
      <c r="M535" s="265" t="b">
        <f>NOT(ISERROR(ResultsInd[[#This Row],[Goal-A]]+ResultsInd[[#This Row],[Goal-B]]))</f>
        <v>1</v>
      </c>
      <c r="N535" s="265">
        <f>VALUE(ResultsInd[[#This Row],[Score-A]])</f>
        <v>4</v>
      </c>
      <c r="O535" s="265">
        <f>VALUE(ResultsInd[[#This Row],[Score-B]])</f>
        <v>0</v>
      </c>
      <c r="P535" s="265">
        <f ca="1">IF(AND(ResultsInd[[#This Row],[Category]]&lt;&gt;"",ResultsInd[[#This Row],[Player A]]&lt;&gt;""),COUNTIF(INDIRECT(ResultsInd[[#This Row],[Category]]&amp;"List[Retained Player Name]"),ResultsInd[[#This Row],[Player A]]),"")</f>
        <v>1</v>
      </c>
      <c r="Q535" s="265">
        <f ca="1">IF(AND(ResultsInd[[#This Row],[Category]]&lt;&gt;"",ResultsInd[[#This Row],[Player B]]&lt;&gt;""),COUNTIF(INDIRECT(ResultsInd[[#This Row],[Category]]&amp;"List[Retained Player Name]"),ResultsInd[[#This Row],[Player B]]),"")</f>
        <v>1</v>
      </c>
      <c r="R5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5" s="265" t="str">
        <f>IF(ResultsInd[[#This Row],[Score_OK]],IF(ResultsInd[[#This Row],[Stage]]="Groups",ResultsInd[[#This Row],[Category]]&amp;"-"&amp;IF(ResultsInd[[#This Row],[Player B]]="","",IF(ResultsInd[[#This Row],[Score-A]]=ResultsInd[[#This Row],[Score-B]],ResultsInd[[#This Row],[Player A]],"")),""),"")</f>
        <v/>
      </c>
      <c r="T535" s="265" t="str">
        <f>IF(ResultsInd[[#This Row],[Score_OK]],IF(ResultsInd[[#This Row],[Stage]]="Groups",ResultsInd[[#This Row],[Category]]&amp;"-"&amp;IF(ResultsInd[[#This Row],[Player B]]="","",IF(ResultsInd[[#This Row],[Score-A]]=ResultsInd[[#This Row],[Score-B]],ResultsInd[[#This Row],[Player B]],"")),""),"")</f>
        <v/>
      </c>
      <c r="U5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OPEN-Denis Bouchez</v>
      </c>
      <c r="W5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5" s="264" t="str">
        <f>IF(ResultsInd[[#This Row],[Category]]="","",VLOOKUP(ResultsInd[[#This Row],[Stage]],$P$1:$V$9,MATCH(ResultsInd[[#This Row],[Category]],$Q$1:$V$1,0)+1,FALSE))</f>
        <v>L64</v>
      </c>
      <c r="Z535" s="264" t="str">
        <f>IF(ResultsInd[[#This Row],[Score_OK]],IF(ResultsInd[[#This Row],[Level]]="R",ResultsInd[[#This Row],[Category]]&amp;"-"&amp;IF(ResultsInd[[#This Row],[LoseInKO]]=ResultsInd[[#This Row],[Category]]&amp;"-"&amp;ResultsInd[[#This Row],[Player A]],ResultsInd[[#This Row],[Player B]],ResultsInd[[#This Row],[Player A]]),""),"")</f>
        <v/>
      </c>
      <c r="AB535" s="281" t="str">
        <f>IF(AC535="","",COUNTIFS(AC$22:AC535,AC535,AD$22:AD535,"Players draw"))</f>
        <v/>
      </c>
      <c r="AC535" s="315"/>
      <c r="AD535" s="289" t="s">
        <v>14439</v>
      </c>
      <c r="AE535" s="290" t="s">
        <v>12279</v>
      </c>
      <c r="AF535" s="284" t="s">
        <v>12275</v>
      </c>
      <c r="AG535" s="296" t="s">
        <v>12276</v>
      </c>
      <c r="AH535" s="291" t="s">
        <v>12271</v>
      </c>
      <c r="AI535" s="291" t="s">
        <v>12272</v>
      </c>
      <c r="AJ535" s="414" t="s">
        <v>13154</v>
      </c>
      <c r="AK535" s="291" t="s">
        <v>12273</v>
      </c>
      <c r="AL535" s="297" t="s">
        <v>12274</v>
      </c>
      <c r="AM535" s="414" t="s">
        <v>13154</v>
      </c>
      <c r="AN535" s="303" t="s">
        <v>12199</v>
      </c>
      <c r="AO535" s="304" t="s">
        <v>12200</v>
      </c>
      <c r="AP535" s="304" t="s">
        <v>12201</v>
      </c>
      <c r="AQ535" s="304" t="s">
        <v>12202</v>
      </c>
      <c r="AR535" s="304" t="s">
        <v>12203</v>
      </c>
      <c r="AS535" s="304" t="s">
        <v>12204</v>
      </c>
      <c r="AT535" s="304" t="s">
        <v>12205</v>
      </c>
      <c r="AU535" s="305" t="s">
        <v>12206</v>
      </c>
      <c r="AV535" s="468"/>
      <c r="AW535" s="282" t="s">
        <v>12276</v>
      </c>
      <c r="AX535" s="282" t="s">
        <v>12280</v>
      </c>
      <c r="AY535" s="283" t="s">
        <v>12199</v>
      </c>
      <c r="AZ535" s="283" t="s">
        <v>12200</v>
      </c>
      <c r="BA535" s="283" t="s">
        <v>12201</v>
      </c>
      <c r="BB535" s="283" t="s">
        <v>12202</v>
      </c>
      <c r="BC535" s="283" t="s">
        <v>12203</v>
      </c>
      <c r="BD535" s="283" t="s">
        <v>12204</v>
      </c>
      <c r="BE535" s="283" t="s">
        <v>12205</v>
      </c>
      <c r="BF535" s="300" t="s">
        <v>12206</v>
      </c>
    </row>
    <row r="536" spans="1:58" ht="12" thickBot="1" x14ac:dyDescent="0.25">
      <c r="A536" s="62" t="s">
        <v>890</v>
      </c>
      <c r="B536" s="62" t="s">
        <v>12215</v>
      </c>
      <c r="C536" s="62"/>
      <c r="D536" s="62"/>
      <c r="E536" s="345" t="s">
        <v>11084</v>
      </c>
      <c r="F536" s="345" t="s">
        <v>8166</v>
      </c>
      <c r="G536" s="113">
        <v>5</v>
      </c>
      <c r="H536" s="113">
        <v>1</v>
      </c>
      <c r="I536" s="114"/>
      <c r="J536" s="114"/>
      <c r="K536" s="114"/>
      <c r="L536" s="81"/>
      <c r="M536" s="265" t="b">
        <f>NOT(ISERROR(ResultsInd[[#This Row],[Goal-A]]+ResultsInd[[#This Row],[Goal-B]]))</f>
        <v>1</v>
      </c>
      <c r="N536" s="265">
        <f>VALUE(ResultsInd[[#This Row],[Score-A]])</f>
        <v>5</v>
      </c>
      <c r="O536" s="265">
        <f>VALUE(ResultsInd[[#This Row],[Score-B]])</f>
        <v>1</v>
      </c>
      <c r="P536" s="265">
        <f ca="1">IF(AND(ResultsInd[[#This Row],[Category]]&lt;&gt;"",ResultsInd[[#This Row],[Player A]]&lt;&gt;""),COUNTIF(INDIRECT(ResultsInd[[#This Row],[Category]]&amp;"List[Retained Player Name]"),ResultsInd[[#This Row],[Player A]]),"")</f>
        <v>1</v>
      </c>
      <c r="Q536" s="265">
        <f ca="1">IF(AND(ResultsInd[[#This Row],[Category]]&lt;&gt;"",ResultsInd[[#This Row],[Player B]]&lt;&gt;""),COUNTIF(INDIRECT(ResultsInd[[#This Row],[Category]]&amp;"List[Retained Player Name]"),ResultsInd[[#This Row],[Player B]]),"")</f>
        <v>1</v>
      </c>
      <c r="R5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6" s="265" t="str">
        <f>IF(ResultsInd[[#This Row],[Score_OK]],IF(ResultsInd[[#This Row],[Stage]]="Groups",ResultsInd[[#This Row],[Category]]&amp;"-"&amp;IF(ResultsInd[[#This Row],[Player B]]="","",IF(ResultsInd[[#This Row],[Score-A]]=ResultsInd[[#This Row],[Score-B]],ResultsInd[[#This Row],[Player A]],"")),""),"")</f>
        <v/>
      </c>
      <c r="T536" s="265" t="str">
        <f>IF(ResultsInd[[#This Row],[Score_OK]],IF(ResultsInd[[#This Row],[Stage]]="Groups",ResultsInd[[#This Row],[Category]]&amp;"-"&amp;IF(ResultsInd[[#This Row],[Player B]]="","",IF(ResultsInd[[#This Row],[Score-A]]=ResultsInd[[#This Row],[Score-B]],ResultsInd[[#This Row],[Player B]],"")),""),"")</f>
        <v/>
      </c>
      <c r="U5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OPEN-Antonio Timpano</v>
      </c>
      <c r="W5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L64</v>
      </c>
      <c r="X5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L64</v>
      </c>
      <c r="Y536" s="264" t="str">
        <f>IF(ResultsInd[[#This Row],[Category]]="","",VLOOKUP(ResultsInd[[#This Row],[Stage]],$P$1:$V$9,MATCH(ResultsInd[[#This Row],[Category]],$Q$1:$V$1,0)+1,FALSE))</f>
        <v>L64</v>
      </c>
      <c r="Z536" s="264" t="str">
        <f>IF(ResultsInd[[#This Row],[Score_OK]],IF(ResultsInd[[#This Row],[Level]]="R",ResultsInd[[#This Row],[Category]]&amp;"-"&amp;IF(ResultsInd[[#This Row],[LoseInKO]]=ResultsInd[[#This Row],[Category]]&amp;"-"&amp;ResultsInd[[#This Row],[Player A]],ResultsInd[[#This Row],[Player B]],ResultsInd[[#This Row],[Player A]]),""),"")</f>
        <v/>
      </c>
      <c r="AB536" s="8"/>
      <c r="AC536" s="12" t="str">
        <f>IF(AC535="","",AC535)</f>
        <v/>
      </c>
      <c r="AD536" s="309"/>
      <c r="AE536" s="320"/>
      <c r="AF536" s="311"/>
      <c r="AG536" s="292" t="str">
        <f>IF(AP536="","",SMALL(AH536:AH542,ROWS(AG536:AG536)))</f>
        <v/>
      </c>
      <c r="AH536" s="293" t="str">
        <f>IF(AP536="","",RANK(AL536,AL536:AL542)*1000+ROWS(AH536:AH536))</f>
        <v/>
      </c>
      <c r="AI536" s="316" t="str">
        <f t="shared" ref="AI536:AI542" si="465">IF(AP536="","",CritClassInd1_Points*AN536+CritClassInd1_Matches*AP536+CritClassInd1_Attaque*AS536+CritClassInd1_DiffButs*AU536)</f>
        <v/>
      </c>
      <c r="AJ536" s="415" t="b">
        <f>AND(AO536&lt;&gt;"",AO536&gt;0,COUNTIF(AI536:AI542,AI536)&gt;1)</f>
        <v>0</v>
      </c>
      <c r="AK536" s="316" t="str">
        <f t="shared" ref="AK536:AK542" si="466">IF(AP536="","",CritClassInd_ScorePart*AE536)</f>
        <v/>
      </c>
      <c r="AL536" s="317" t="str">
        <f t="shared" ref="AL536:AL542" si="467">IF(AP536="","",AI536+AK536+CritClassInd2_Points*AN536+CritClassInd2_Matches*AP536+CritClassInd2_Attaque*AS536+CritClassInd2_DiffButs*AU536+AF536)</f>
        <v/>
      </c>
      <c r="AM536" s="415" t="b">
        <f>AND(AO536&lt;&gt;"",AO536&gt;0,COUNTIF(AL536:AL542,AL536)&gt;1)</f>
        <v>0</v>
      </c>
      <c r="AN536" s="306" t="str">
        <f t="shared" ref="AN536:AN542" si="468">IF(AP536="","",(AP536*Points_Victoire)+AQ536*Points_Null)</f>
        <v/>
      </c>
      <c r="AO536" s="307" t="str">
        <f t="shared" ref="AO536:AO542" si="469">IF(AP536="","",SUM(AP536:AR536))</f>
        <v/>
      </c>
      <c r="AP536" s="307" t="str">
        <f>IF(OR(AC535="",AD536=""),"",COUNTIF(ResultsInd[Win],AC535&amp;"-"&amp;AD536))</f>
        <v/>
      </c>
      <c r="AQ536" s="307" t="str">
        <f>IF(OR(AC535="",AD536=""),"",COUNTIF(ResultsInd[Draw1],AC535&amp;"-"&amp;AD536)+COUNTIF(ResultsInd[Draw2],AC535&amp;"-"&amp;AD536))</f>
        <v/>
      </c>
      <c r="AR536" s="307" t="str">
        <f>IF(OR(AC535="",AD536=""),"",COUNTIF(ResultsInd[Lose],AC535&amp;"-"&amp;AD536))</f>
        <v/>
      </c>
      <c r="AS536" s="307" t="str">
        <f>IF(OR(AC535="",AD536=""),"",SUMIFS(ResultsInd[Goal-A],ResultsInd[Category],AC535,ResultsInd[Stage],"Groups",ResultsInd[Player A],AD536)+SUMIFS(ResultsInd[Goal-B],ResultsInd[Category],AC535,ResultsInd[Stage],"Groups",ResultsInd[Player B],AD536))</f>
        <v/>
      </c>
      <c r="AT536" s="307" t="str">
        <f>IF(OR(AC535="",AD536=""),"",SUMIFS(ResultsInd[Goal-B],ResultsInd[Category],AC535,ResultsInd[Stage],"Groups",ResultsInd[Player A],AD536)+SUMIFS(ResultsInd[Goal-A],ResultsInd[Category],AC535,ResultsInd[Stage],"Groups",ResultsInd[Player B],AD536))</f>
        <v/>
      </c>
      <c r="AU536" s="308" t="str">
        <f>IF(AP536="","",AS536-AT536)</f>
        <v/>
      </c>
      <c r="AV536" s="469" t="str">
        <f>IF(AG536="","",OR(VLOOKUP(AG536,AH536:AU542,3,FALSE),VLOOKUP(AG536,AH536:AU542,6,FALSE)))</f>
        <v/>
      </c>
      <c r="AW536" s="298" t="str">
        <f t="shared" ref="AW536:AW542" si="470">IF(AG536="","",INT(AG536/1000))</f>
        <v/>
      </c>
      <c r="AX536" s="285" t="str">
        <f>IF(AG536="","",INDEX(AD536:AD542,MATCH(AG536,AH536:AH542,0)))</f>
        <v/>
      </c>
      <c r="AY536" s="286" t="str">
        <f>IF(AG536="","",VLOOKUP(AG536,AH536:AU542,COLUMN()-COLUMN(AR535),FALSE))</f>
        <v/>
      </c>
      <c r="AZ536" s="286" t="str">
        <f>IF(AG536="","",VLOOKUP(AG536,AH536:AU542,COLUMN()-COLUMN(AR535),FALSE))</f>
        <v/>
      </c>
      <c r="BA536" s="286" t="str">
        <f>IF(AG536="","",VLOOKUP(AG536,AH536:AU542,COLUMN()-COLUMN(AR535),FALSE))</f>
        <v/>
      </c>
      <c r="BB536" s="286" t="str">
        <f>IF(AG536="","",VLOOKUP(AG536,AH536:AU542,COLUMN()-COLUMN(AR535),FALSE))</f>
        <v/>
      </c>
      <c r="BC536" s="286" t="str">
        <f>IF(AG536="","",VLOOKUP(AG536,AH536:AU542,COLUMN()-COLUMN(AR535),FALSE))</f>
        <v/>
      </c>
      <c r="BD536" s="286" t="str">
        <f>IF(AG536="","",VLOOKUP(AG536,AH536:AU542,COLUMN()-COLUMN(AR535),FALSE))</f>
        <v/>
      </c>
      <c r="BE536" s="286" t="str">
        <f>IF(AG536="","",VLOOKUP(AG536,AH536:AU542,COLUMN()-COLUMN(AR535),FALSE))</f>
        <v/>
      </c>
      <c r="BF536" s="301" t="str">
        <f>IF(AG536="","",VLOOKUP(AG536,AH536:AU542,COLUMN()-COLUMN(AR535),FALSE))</f>
        <v/>
      </c>
    </row>
    <row r="537" spans="1:58" ht="12" thickBot="1" x14ac:dyDescent="0.25">
      <c r="A537" s="62" t="s">
        <v>12261</v>
      </c>
      <c r="B537" s="62" t="s">
        <v>12216</v>
      </c>
      <c r="C537" s="62"/>
      <c r="D537" s="62"/>
      <c r="E537" s="345" t="s">
        <v>8126</v>
      </c>
      <c r="F537" s="345" t="s">
        <v>8116</v>
      </c>
      <c r="G537" s="113">
        <v>2</v>
      </c>
      <c r="H537" s="113">
        <v>3</v>
      </c>
      <c r="I537" s="114"/>
      <c r="J537" s="114"/>
      <c r="K537" s="114"/>
      <c r="L537" s="81"/>
      <c r="M537" s="265" t="b">
        <f>NOT(ISERROR(ResultsInd[[#This Row],[Goal-A]]+ResultsInd[[#This Row],[Goal-B]]))</f>
        <v>1</v>
      </c>
      <c r="N537" s="265">
        <f>VALUE(ResultsInd[[#This Row],[Score-A]])</f>
        <v>2</v>
      </c>
      <c r="O537" s="265">
        <f>VALUE(ResultsInd[[#This Row],[Score-B]])</f>
        <v>3</v>
      </c>
      <c r="P537" s="265">
        <f ca="1">IF(AND(ResultsInd[[#This Row],[Category]]&lt;&gt;"",ResultsInd[[#This Row],[Player A]]&lt;&gt;""),COUNTIF(INDIRECT(ResultsInd[[#This Row],[Category]]&amp;"List[Retained Player Name]"),ResultsInd[[#This Row],[Player A]]),"")</f>
        <v>1</v>
      </c>
      <c r="Q537" s="265">
        <f ca="1">IF(AND(ResultsInd[[#This Row],[Category]]&lt;&gt;"",ResultsInd[[#This Row],[Player B]]&lt;&gt;""),COUNTIF(INDIRECT(ResultsInd[[#This Row],[Category]]&amp;"List[Retained Player Name]"),ResultsInd[[#This Row],[Player B]]),"")</f>
        <v>1</v>
      </c>
      <c r="R5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7" s="265" t="str">
        <f>IF(ResultsInd[[#This Row],[Score_OK]],IF(ResultsInd[[#This Row],[Stage]]="Groups",ResultsInd[[#This Row],[Category]]&amp;"-"&amp;IF(ResultsInd[[#This Row],[Player B]]="","",IF(ResultsInd[[#This Row],[Score-A]]=ResultsInd[[#This Row],[Score-B]],ResultsInd[[#This Row],[Player A]],"")),""),"")</f>
        <v/>
      </c>
      <c r="T537" s="265" t="str">
        <f>IF(ResultsInd[[#This Row],[Score_OK]],IF(ResultsInd[[#This Row],[Stage]]="Groups",ResultsInd[[#This Row],[Category]]&amp;"-"&amp;IF(ResultsInd[[#This Row],[Player B]]="","",IF(ResultsInd[[#This Row],[Score-A]]=ResultsInd[[#This Row],[Score-B]],ResultsInd[[#This Row],[Player B]],"")),""),"")</f>
        <v/>
      </c>
      <c r="U5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VETERANS-Daniel Scheen</v>
      </c>
      <c r="W5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37" s="264" t="str">
        <f>IF(ResultsInd[[#This Row],[Category]]="","",VLOOKUP(ResultsInd[[#This Row],[Stage]],$P$1:$V$9,MATCH(ResultsInd[[#This Row],[Category]],$Q$1:$V$1,0)+1,FALSE))</f>
        <v>L32</v>
      </c>
      <c r="Z537" s="264" t="str">
        <f>IF(ResultsInd[[#This Row],[Score_OK]],IF(ResultsInd[[#This Row],[Level]]="R",ResultsInd[[#This Row],[Category]]&amp;"-"&amp;IF(ResultsInd[[#This Row],[LoseInKO]]=ResultsInd[[#This Row],[Category]]&amp;"-"&amp;ResultsInd[[#This Row],[Player A]],ResultsInd[[#This Row],[Player B]],ResultsInd[[#This Row],[Player A]]),""),"")</f>
        <v/>
      </c>
      <c r="AB537" s="8"/>
      <c r="AC537" s="12" t="str">
        <f t="shared" ref="AC537:AC542" si="471">IF(AC536="","",AC536)</f>
        <v/>
      </c>
      <c r="AD537" s="309"/>
      <c r="AE537" s="320"/>
      <c r="AF537" s="311"/>
      <c r="AG537" s="292" t="str">
        <f>IF(AP537="","",SMALL(AH536:AH542,ROWS(AG536:AG537)))</f>
        <v/>
      </c>
      <c r="AH537" s="293" t="str">
        <f>IF(AP537="","",RANK(AL537,AL536:AL542)*1000+ROWS(AH536:AH537))</f>
        <v/>
      </c>
      <c r="AI537" s="316" t="str">
        <f t="shared" si="465"/>
        <v/>
      </c>
      <c r="AJ537" s="415" t="b">
        <f>AND(AO537&lt;&gt;"",AO537&gt;0,COUNTIF(AI536:AI542,AI537)&gt;1)</f>
        <v>0</v>
      </c>
      <c r="AK537" s="316" t="str">
        <f t="shared" si="466"/>
        <v/>
      </c>
      <c r="AL537" s="317" t="str">
        <f t="shared" si="467"/>
        <v/>
      </c>
      <c r="AM537" s="415" t="b">
        <f>AND(AO537&lt;&gt;"",AO537&gt;0,COUNTIF(AL536:AL542,AL537)&gt;1)</f>
        <v>0</v>
      </c>
      <c r="AN537" s="306" t="str">
        <f t="shared" si="468"/>
        <v/>
      </c>
      <c r="AO537" s="307" t="str">
        <f t="shared" si="469"/>
        <v/>
      </c>
      <c r="AP537" s="307" t="str">
        <f>IF(OR(AC535="",AD537=""),"",COUNTIF(ResultsInd[Win],AC535&amp;"-"&amp;AD537))</f>
        <v/>
      </c>
      <c r="AQ537" s="307" t="str">
        <f>IF(OR(AC535="",AD537=""),"",COUNTIF(ResultsInd[Draw1],AC535&amp;"-"&amp;AD537)+COUNTIF(ResultsInd[Draw2],AC535&amp;"-"&amp;AD537))</f>
        <v/>
      </c>
      <c r="AR537" s="307" t="str">
        <f>IF(OR(AC535="",AD537=""),"",COUNTIF(ResultsInd[Lose],AC535&amp;"-"&amp;AD537))</f>
        <v/>
      </c>
      <c r="AS537" s="307" t="str">
        <f>IF(OR(AC535="",AD537=""),"",SUMIFS(ResultsInd[Goal-A],ResultsInd[Category],AC535,ResultsInd[Stage],"Groups",ResultsInd[Player A],AD537)+SUMIFS(ResultsInd[Goal-B],ResultsInd[Category],AC535,ResultsInd[Stage],"Groups",ResultsInd[Player B],AD537))</f>
        <v/>
      </c>
      <c r="AT537" s="307" t="str">
        <f>IF(OR(AC535="",AD537=""),"",SUMIFS(ResultsInd[Goal-B],ResultsInd[Category],AC535,ResultsInd[Stage],"Groups",ResultsInd[Player A],AD537)+SUMIFS(ResultsInd[Goal-A],ResultsInd[Category],AC535,ResultsInd[Stage],"Groups",ResultsInd[Player B],AD537))</f>
        <v/>
      </c>
      <c r="AU537" s="308" t="str">
        <f t="shared" ref="AU537:AU542" si="472">IF(AP537="","",AS537-AT537)</f>
        <v/>
      </c>
      <c r="AV537" s="469" t="str">
        <f>IF(AG537="","",OR(VLOOKUP(AG537,AH536:AU542,3,FALSE),VLOOKUP(AG537,AH536:AU542,6,FALSE)))</f>
        <v/>
      </c>
      <c r="AW537" s="298" t="str">
        <f t="shared" si="470"/>
        <v/>
      </c>
      <c r="AX537" s="285" t="str">
        <f>IF(AG537="","",INDEX(AD536:AD542,MATCH(AG537,AH536:AH542,0)))</f>
        <v/>
      </c>
      <c r="AY537" s="286" t="str">
        <f>IF(AG537="","",VLOOKUP(AG537,AH536:AU542,COLUMN()-COLUMN(AR535),FALSE))</f>
        <v/>
      </c>
      <c r="AZ537" s="286" t="str">
        <f>IF(AG537="","",VLOOKUP(AG537,AH536:AU542,COLUMN()-COLUMN(AR535),FALSE))</f>
        <v/>
      </c>
      <c r="BA537" s="286" t="str">
        <f>IF(AG537="","",VLOOKUP(AG537,AH536:AU542,COLUMN()-COLUMN(AR535),FALSE))</f>
        <v/>
      </c>
      <c r="BB537" s="286" t="str">
        <f>IF(AG537="","",VLOOKUP(AG537,AH536:AU542,COLUMN()-COLUMN(AR535),FALSE))</f>
        <v/>
      </c>
      <c r="BC537" s="286" t="str">
        <f>IF(AG537="","",VLOOKUP(AG537,AH536:AU542,COLUMN()-COLUMN(AR535),FALSE))</f>
        <v/>
      </c>
      <c r="BD537" s="286" t="str">
        <f>IF(AG537="","",VLOOKUP(AG537,AH536:AU542,COLUMN()-COLUMN(AR535),FALSE))</f>
        <v/>
      </c>
      <c r="BE537" s="286" t="str">
        <f>IF(AG537="","",VLOOKUP(AG537,AH536:AU542,COLUMN()-COLUMN(AR535),FALSE))</f>
        <v/>
      </c>
      <c r="BF537" s="301" t="str">
        <f>IF(AG537="","",VLOOKUP(AG537,AH536:AU542,COLUMN()-COLUMN(AR535),FALSE))</f>
        <v/>
      </c>
    </row>
    <row r="538" spans="1:58" ht="12" thickBot="1" x14ac:dyDescent="0.25">
      <c r="A538" s="62" t="s">
        <v>12261</v>
      </c>
      <c r="B538" s="62" t="s">
        <v>12216</v>
      </c>
      <c r="C538" s="62"/>
      <c r="D538" s="62"/>
      <c r="E538" s="345" t="s">
        <v>8174</v>
      </c>
      <c r="F538" s="345" t="s">
        <v>8125</v>
      </c>
      <c r="G538" s="113">
        <v>1</v>
      </c>
      <c r="H538" s="113">
        <v>0</v>
      </c>
      <c r="I538" s="114" t="s">
        <v>14586</v>
      </c>
      <c r="J538" s="114"/>
      <c r="K538" s="114"/>
      <c r="L538" s="81"/>
      <c r="M538" s="265" t="b">
        <f>NOT(ISERROR(ResultsInd[[#This Row],[Goal-A]]+ResultsInd[[#This Row],[Goal-B]]))</f>
        <v>1</v>
      </c>
      <c r="N538" s="265">
        <f>VALUE(ResultsInd[[#This Row],[Score-A]])</f>
        <v>1</v>
      </c>
      <c r="O538" s="265">
        <f>VALUE(ResultsInd[[#This Row],[Score-B]])</f>
        <v>0</v>
      </c>
      <c r="P538" s="265">
        <f ca="1">IF(AND(ResultsInd[[#This Row],[Category]]&lt;&gt;"",ResultsInd[[#This Row],[Player A]]&lt;&gt;""),COUNTIF(INDIRECT(ResultsInd[[#This Row],[Category]]&amp;"List[Retained Player Name]"),ResultsInd[[#This Row],[Player A]]),"")</f>
        <v>1</v>
      </c>
      <c r="Q538" s="265">
        <f ca="1">IF(AND(ResultsInd[[#This Row],[Category]]&lt;&gt;"",ResultsInd[[#This Row],[Player B]]&lt;&gt;""),COUNTIF(INDIRECT(ResultsInd[[#This Row],[Category]]&amp;"List[Retained Player Name]"),ResultsInd[[#This Row],[Player B]]),"")</f>
        <v>1</v>
      </c>
      <c r="R5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8" s="265" t="str">
        <f>IF(ResultsInd[[#This Row],[Score_OK]],IF(ResultsInd[[#This Row],[Stage]]="Groups",ResultsInd[[#This Row],[Category]]&amp;"-"&amp;IF(ResultsInd[[#This Row],[Player B]]="","",IF(ResultsInd[[#This Row],[Score-A]]=ResultsInd[[#This Row],[Score-B]],ResultsInd[[#This Row],[Player A]],"")),""),"")</f>
        <v/>
      </c>
      <c r="T538" s="265" t="str">
        <f>IF(ResultsInd[[#This Row],[Score_OK]],IF(ResultsInd[[#This Row],[Stage]]="Groups",ResultsInd[[#This Row],[Category]]&amp;"-"&amp;IF(ResultsInd[[#This Row],[Player B]]="","",IF(ResultsInd[[#This Row],[Score-A]]=ResultsInd[[#This Row],[Score-B]],ResultsInd[[#This Row],[Player B]],"")),""),"")</f>
        <v/>
      </c>
      <c r="U5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VETERANS-Philippe Roufosse</v>
      </c>
      <c r="W5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38" s="264" t="str">
        <f>IF(ResultsInd[[#This Row],[Category]]="","",VLOOKUP(ResultsInd[[#This Row],[Stage]],$P$1:$V$9,MATCH(ResultsInd[[#This Row],[Category]],$Q$1:$V$1,0)+1,FALSE))</f>
        <v>L32</v>
      </c>
      <c r="Z538" s="264" t="str">
        <f>IF(ResultsInd[[#This Row],[Score_OK]],IF(ResultsInd[[#This Row],[Level]]="R",ResultsInd[[#This Row],[Category]]&amp;"-"&amp;IF(ResultsInd[[#This Row],[LoseInKO]]=ResultsInd[[#This Row],[Category]]&amp;"-"&amp;ResultsInd[[#This Row],[Player A]],ResultsInd[[#This Row],[Player B]],ResultsInd[[#This Row],[Player A]]),""),"")</f>
        <v/>
      </c>
      <c r="AB538" s="8"/>
      <c r="AC538" s="12" t="str">
        <f t="shared" si="471"/>
        <v/>
      </c>
      <c r="AD538" s="309"/>
      <c r="AE538" s="320"/>
      <c r="AF538" s="311"/>
      <c r="AG538" s="292" t="str">
        <f>IF(AP538="","",SMALL(AH536:AH542,ROWS(AG536:AG538)))</f>
        <v/>
      </c>
      <c r="AH538" s="293" t="str">
        <f>IF(AP538="","",RANK(AL538,AL536:AL542)*1000+ROWS(AH536:AH538))</f>
        <v/>
      </c>
      <c r="AI538" s="316" t="str">
        <f t="shared" si="465"/>
        <v/>
      </c>
      <c r="AJ538" s="415" t="b">
        <f>AND(AO538&lt;&gt;"",AO538&gt;0,COUNTIF(AI536:AI542,AI538)&gt;1)</f>
        <v>0</v>
      </c>
      <c r="AK538" s="316" t="str">
        <f t="shared" si="466"/>
        <v/>
      </c>
      <c r="AL538" s="317" t="str">
        <f t="shared" si="467"/>
        <v/>
      </c>
      <c r="AM538" s="415" t="b">
        <f>AND(AO538&lt;&gt;"",AO538&gt;0,COUNTIF(AL536:AL542,AL538)&gt;1)</f>
        <v>0</v>
      </c>
      <c r="AN538" s="306" t="str">
        <f t="shared" si="468"/>
        <v/>
      </c>
      <c r="AO538" s="307" t="str">
        <f t="shared" si="469"/>
        <v/>
      </c>
      <c r="AP538" s="307" t="str">
        <f>IF(OR(AC535="",AD538=""),"",COUNTIF(ResultsInd[Win],AC535&amp;"-"&amp;AD538))</f>
        <v/>
      </c>
      <c r="AQ538" s="307" t="str">
        <f>IF(OR(AC535="",AD538=""),"",COUNTIF(ResultsInd[Draw1],AC535&amp;"-"&amp;AD538)+COUNTIF(ResultsInd[Draw2],AC535&amp;"-"&amp;AD538))</f>
        <v/>
      </c>
      <c r="AR538" s="307" t="str">
        <f>IF(OR(AC535="",AD538=""),"",COUNTIF(ResultsInd[Lose],AC535&amp;"-"&amp;AD538))</f>
        <v/>
      </c>
      <c r="AS538" s="307" t="str">
        <f>IF(OR(AC535="",AD538=""),"",SUMIFS(ResultsInd[Goal-A],ResultsInd[Category],AC535,ResultsInd[Stage],"Groups",ResultsInd[Player A],AD538)+SUMIFS(ResultsInd[Goal-B],ResultsInd[Category],AC535,ResultsInd[Stage],"Groups",ResultsInd[Player B],AD538))</f>
        <v/>
      </c>
      <c r="AT538" s="307" t="str">
        <f>IF(OR(AC535="",AD538=""),"",SUMIFS(ResultsInd[Goal-B],ResultsInd[Category],AC535,ResultsInd[Stage],"Groups",ResultsInd[Player A],AD538)+SUMIFS(ResultsInd[Goal-A],ResultsInd[Category],AC535,ResultsInd[Stage],"Groups",ResultsInd[Player B],AD538))</f>
        <v/>
      </c>
      <c r="AU538" s="308" t="str">
        <f t="shared" si="472"/>
        <v/>
      </c>
      <c r="AV538" s="469" t="str">
        <f>IF(AG538="","",OR(VLOOKUP(AG538,AH536:AU542,3,FALSE),VLOOKUP(AG538,AH536:AU542,6,FALSE)))</f>
        <v/>
      </c>
      <c r="AW538" s="298" t="str">
        <f t="shared" si="470"/>
        <v/>
      </c>
      <c r="AX538" s="285" t="str">
        <f>IF(AG538="","",INDEX(AD536:AD542,MATCH(AG538,AH536:AH542,0)))</f>
        <v/>
      </c>
      <c r="AY538" s="286" t="str">
        <f>IF(AG538="","",VLOOKUP(AG538,AH536:AU542,COLUMN()-COLUMN(AR535),FALSE))</f>
        <v/>
      </c>
      <c r="AZ538" s="286" t="str">
        <f>IF(AG538="","",VLOOKUP(AG538,AH536:AU542,COLUMN()-COLUMN(AR535),FALSE))</f>
        <v/>
      </c>
      <c r="BA538" s="286" t="str">
        <f>IF(AG538="","",VLOOKUP(AG538,AH536:AU542,COLUMN()-COLUMN(AR535),FALSE))</f>
        <v/>
      </c>
      <c r="BB538" s="286" t="str">
        <f>IF(AG538="","",VLOOKUP(AG538,AH536:AU542,COLUMN()-COLUMN(AR535),FALSE))</f>
        <v/>
      </c>
      <c r="BC538" s="286" t="str">
        <f>IF(AG538="","",VLOOKUP(AG538,AH536:AU542,COLUMN()-COLUMN(AR535),FALSE))</f>
        <v/>
      </c>
      <c r="BD538" s="286" t="str">
        <f>IF(AG538="","",VLOOKUP(AG538,AH536:AU542,COLUMN()-COLUMN(AR535),FALSE))</f>
        <v/>
      </c>
      <c r="BE538" s="286" t="str">
        <f>IF(AG538="","",VLOOKUP(AG538,AH536:AU542,COLUMN()-COLUMN(AR535),FALSE))</f>
        <v/>
      </c>
      <c r="BF538" s="301" t="str">
        <f>IF(AG538="","",VLOOKUP(AG538,AH536:AU542,COLUMN()-COLUMN(AR535),FALSE))</f>
        <v/>
      </c>
    </row>
    <row r="539" spans="1:58" ht="12" thickBot="1" x14ac:dyDescent="0.25">
      <c r="A539" s="62" t="s">
        <v>12261</v>
      </c>
      <c r="B539" s="62" t="s">
        <v>12216</v>
      </c>
      <c r="C539" s="62"/>
      <c r="D539" s="62"/>
      <c r="E539" s="345" t="s">
        <v>9838</v>
      </c>
      <c r="F539" s="345" t="s">
        <v>10087</v>
      </c>
      <c r="G539" s="113">
        <v>4</v>
      </c>
      <c r="H539" s="113">
        <v>1</v>
      </c>
      <c r="I539" s="114"/>
      <c r="J539" s="114"/>
      <c r="K539" s="114"/>
      <c r="L539" s="81"/>
      <c r="M539" s="265" t="b">
        <f>NOT(ISERROR(ResultsInd[[#This Row],[Goal-A]]+ResultsInd[[#This Row],[Goal-B]]))</f>
        <v>1</v>
      </c>
      <c r="N539" s="265">
        <f>VALUE(ResultsInd[[#This Row],[Score-A]])</f>
        <v>4</v>
      </c>
      <c r="O539" s="265">
        <f>VALUE(ResultsInd[[#This Row],[Score-B]])</f>
        <v>1</v>
      </c>
      <c r="P539" s="265">
        <f ca="1">IF(AND(ResultsInd[[#This Row],[Category]]&lt;&gt;"",ResultsInd[[#This Row],[Player A]]&lt;&gt;""),COUNTIF(INDIRECT(ResultsInd[[#This Row],[Category]]&amp;"List[Retained Player Name]"),ResultsInd[[#This Row],[Player A]]),"")</f>
        <v>1</v>
      </c>
      <c r="Q539" s="265">
        <f ca="1">IF(AND(ResultsInd[[#This Row],[Category]]&lt;&gt;"",ResultsInd[[#This Row],[Player B]]&lt;&gt;""),COUNTIF(INDIRECT(ResultsInd[[#This Row],[Category]]&amp;"List[Retained Player Name]"),ResultsInd[[#This Row],[Player B]]),"")</f>
        <v>1</v>
      </c>
      <c r="R5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9" s="265" t="str">
        <f>IF(ResultsInd[[#This Row],[Score_OK]],IF(ResultsInd[[#This Row],[Stage]]="Groups",ResultsInd[[#This Row],[Category]]&amp;"-"&amp;IF(ResultsInd[[#This Row],[Player B]]="","",IF(ResultsInd[[#This Row],[Score-A]]=ResultsInd[[#This Row],[Score-B]],ResultsInd[[#This Row],[Player A]],"")),""),"")</f>
        <v/>
      </c>
      <c r="T539" s="265" t="str">
        <f>IF(ResultsInd[[#This Row],[Score_OK]],IF(ResultsInd[[#This Row],[Stage]]="Groups",ResultsInd[[#This Row],[Category]]&amp;"-"&amp;IF(ResultsInd[[#This Row],[Player B]]="","",IF(ResultsInd[[#This Row],[Score-A]]=ResultsInd[[#This Row],[Score-B]],ResultsInd[[#This Row],[Player B]],"")),""),"")</f>
        <v/>
      </c>
      <c r="U5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VETERANS-Raffaele Di Vito</v>
      </c>
      <c r="W5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39" s="264" t="str">
        <f>IF(ResultsInd[[#This Row],[Category]]="","",VLOOKUP(ResultsInd[[#This Row],[Stage]],$P$1:$V$9,MATCH(ResultsInd[[#This Row],[Category]],$Q$1:$V$1,0)+1,FALSE))</f>
        <v>L32</v>
      </c>
      <c r="Z539" s="264" t="str">
        <f>IF(ResultsInd[[#This Row],[Score_OK]],IF(ResultsInd[[#This Row],[Level]]="R",ResultsInd[[#This Row],[Category]]&amp;"-"&amp;IF(ResultsInd[[#This Row],[LoseInKO]]=ResultsInd[[#This Row],[Category]]&amp;"-"&amp;ResultsInd[[#This Row],[Player A]],ResultsInd[[#This Row],[Player B]],ResultsInd[[#This Row],[Player A]]),""),"")</f>
        <v/>
      </c>
      <c r="AB539" s="91"/>
      <c r="AC539" s="12" t="str">
        <f t="shared" si="471"/>
        <v/>
      </c>
      <c r="AD539" s="309"/>
      <c r="AE539" s="310"/>
      <c r="AF539" s="311"/>
      <c r="AG539" s="292" t="str">
        <f>IF(AP539="","",SMALL(AH536:AH542,ROWS(AG536:AG539)))</f>
        <v/>
      </c>
      <c r="AH539" s="293" t="str">
        <f>IF(AP539="","",RANK(AL539,AL536:AL542)*1000+ROWS(AH536:AH539))</f>
        <v/>
      </c>
      <c r="AI539" s="316" t="str">
        <f t="shared" si="465"/>
        <v/>
      </c>
      <c r="AJ539" s="415" t="b">
        <f>AND(AO539&lt;&gt;"",AO539&gt;0,COUNTIF(AI536:AI542,AI539)&gt;1)</f>
        <v>0</v>
      </c>
      <c r="AK539" s="316" t="str">
        <f t="shared" si="466"/>
        <v/>
      </c>
      <c r="AL539" s="317" t="str">
        <f t="shared" si="467"/>
        <v/>
      </c>
      <c r="AM539" s="415" t="b">
        <f>AND(AO539&lt;&gt;"",AO539&gt;0,COUNTIF(AL536:AL542,AL539)&gt;1)</f>
        <v>0</v>
      </c>
      <c r="AN539" s="306" t="str">
        <f t="shared" si="468"/>
        <v/>
      </c>
      <c r="AO539" s="307" t="str">
        <f t="shared" si="469"/>
        <v/>
      </c>
      <c r="AP539" s="307" t="str">
        <f>IF(OR(AC535="",AD539=""),"",COUNTIF(ResultsInd[Win],AC535&amp;"-"&amp;AD539))</f>
        <v/>
      </c>
      <c r="AQ539" s="307" t="str">
        <f>IF(OR(AC535="",AD539=""),"",COUNTIF(ResultsInd[Draw1],AC535&amp;"-"&amp;AD539)+COUNTIF(ResultsInd[Draw2],AC535&amp;"-"&amp;AD539))</f>
        <v/>
      </c>
      <c r="AR539" s="307" t="str">
        <f>IF(OR(AC535="",AD539=""),"",COUNTIF(ResultsInd[Lose],AC535&amp;"-"&amp;AD539))</f>
        <v/>
      </c>
      <c r="AS539" s="307" t="str">
        <f>IF(OR(AC535="",AD539=""),"",SUMIFS(ResultsInd[Goal-A],ResultsInd[Category],AC535,ResultsInd[Stage],"Groups",ResultsInd[Player A],AD539)+SUMIFS(ResultsInd[Goal-B],ResultsInd[Category],AC535,ResultsInd[Stage],"Groups",ResultsInd[Player B],AD539))</f>
        <v/>
      </c>
      <c r="AT539" s="307" t="str">
        <f>IF(OR(AC535="",AD539=""),"",SUMIFS(ResultsInd[Goal-B],ResultsInd[Category],AC535,ResultsInd[Stage],"Groups",ResultsInd[Player A],AD539)+SUMIFS(ResultsInd[Goal-A],ResultsInd[Category],AC535,ResultsInd[Stage],"Groups",ResultsInd[Player B],AD539))</f>
        <v/>
      </c>
      <c r="AU539" s="308" t="str">
        <f t="shared" si="472"/>
        <v/>
      </c>
      <c r="AV539" s="469" t="str">
        <f>IF(AG539="","",OR(VLOOKUP(AG539,AH536:AU542,3,FALSE),VLOOKUP(AG539,AH536:AU542,6,FALSE)))</f>
        <v/>
      </c>
      <c r="AW539" s="298" t="str">
        <f t="shared" si="470"/>
        <v/>
      </c>
      <c r="AX539" s="285" t="str">
        <f>IF(AG539="","",INDEX(AD536:AD542,MATCH(AG539,AH536:AH542,0)))</f>
        <v/>
      </c>
      <c r="AY539" s="286" t="str">
        <f>IF(AG539="","",VLOOKUP(AG539,AH536:AU542,COLUMN()-COLUMN(AR535),FALSE))</f>
        <v/>
      </c>
      <c r="AZ539" s="286" t="str">
        <f>IF(AG539="","",VLOOKUP(AG539,AH536:AU542,COLUMN()-COLUMN(AR535),FALSE))</f>
        <v/>
      </c>
      <c r="BA539" s="286" t="str">
        <f>IF(AG539="","",VLOOKUP(AG539,AH536:AU542,COLUMN()-COLUMN(AR535),FALSE))</f>
        <v/>
      </c>
      <c r="BB539" s="286" t="str">
        <f>IF(AG539="","",VLOOKUP(AG539,AH536:AU542,COLUMN()-COLUMN(AR535),FALSE))</f>
        <v/>
      </c>
      <c r="BC539" s="286" t="str">
        <f>IF(AG539="","",VLOOKUP(AG539,AH536:AU542,COLUMN()-COLUMN(AR535),FALSE))</f>
        <v/>
      </c>
      <c r="BD539" s="286" t="str">
        <f>IF(AG539="","",VLOOKUP(AG539,AH536:AU542,COLUMN()-COLUMN(AR535),FALSE))</f>
        <v/>
      </c>
      <c r="BE539" s="286" t="str">
        <f>IF(AG539="","",VLOOKUP(AG539,AH536:AU542,COLUMN()-COLUMN(AR535),FALSE))</f>
        <v/>
      </c>
      <c r="BF539" s="301" t="str">
        <f>IF(AG539="","",VLOOKUP(AG539,AH536:AU542,COLUMN()-COLUMN(AR535),FALSE))</f>
        <v/>
      </c>
    </row>
    <row r="540" spans="1:58" ht="12" thickBot="1" x14ac:dyDescent="0.25">
      <c r="A540" s="62" t="s">
        <v>12261</v>
      </c>
      <c r="B540" s="62" t="s">
        <v>12216</v>
      </c>
      <c r="C540" s="62"/>
      <c r="D540" s="62"/>
      <c r="E540" s="345" t="s">
        <v>8752</v>
      </c>
      <c r="F540" s="345" t="s">
        <v>8617</v>
      </c>
      <c r="G540" s="113">
        <v>3</v>
      </c>
      <c r="H540" s="113">
        <v>2</v>
      </c>
      <c r="I540" s="114"/>
      <c r="J540" s="114"/>
      <c r="K540" s="114"/>
      <c r="L540" s="81"/>
      <c r="M540" s="265" t="b">
        <f>NOT(ISERROR(ResultsInd[[#This Row],[Goal-A]]+ResultsInd[[#This Row],[Goal-B]]))</f>
        <v>1</v>
      </c>
      <c r="N540" s="265">
        <f>VALUE(ResultsInd[[#This Row],[Score-A]])</f>
        <v>3</v>
      </c>
      <c r="O540" s="265">
        <f>VALUE(ResultsInd[[#This Row],[Score-B]])</f>
        <v>2</v>
      </c>
      <c r="P540" s="265">
        <f ca="1">IF(AND(ResultsInd[[#This Row],[Category]]&lt;&gt;"",ResultsInd[[#This Row],[Player A]]&lt;&gt;""),COUNTIF(INDIRECT(ResultsInd[[#This Row],[Category]]&amp;"List[Retained Player Name]"),ResultsInd[[#This Row],[Player A]]),"")</f>
        <v>1</v>
      </c>
      <c r="Q540" s="265">
        <f ca="1">IF(AND(ResultsInd[[#This Row],[Category]]&lt;&gt;"",ResultsInd[[#This Row],[Player B]]&lt;&gt;""),COUNTIF(INDIRECT(ResultsInd[[#This Row],[Category]]&amp;"List[Retained Player Name]"),ResultsInd[[#This Row],[Player B]]),"")</f>
        <v>1</v>
      </c>
      <c r="R5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0" s="265" t="str">
        <f>IF(ResultsInd[[#This Row],[Score_OK]],IF(ResultsInd[[#This Row],[Stage]]="Groups",ResultsInd[[#This Row],[Category]]&amp;"-"&amp;IF(ResultsInd[[#This Row],[Player B]]="","",IF(ResultsInd[[#This Row],[Score-A]]=ResultsInd[[#This Row],[Score-B]],ResultsInd[[#This Row],[Player A]],"")),""),"")</f>
        <v/>
      </c>
      <c r="T540" s="265" t="str">
        <f>IF(ResultsInd[[#This Row],[Score_OK]],IF(ResultsInd[[#This Row],[Stage]]="Groups",ResultsInd[[#This Row],[Category]]&amp;"-"&amp;IF(ResultsInd[[#This Row],[Player B]]="","",IF(ResultsInd[[#This Row],[Score-A]]=ResultsInd[[#This Row],[Score-B]],ResultsInd[[#This Row],[Player B]],"")),""),"")</f>
        <v/>
      </c>
      <c r="U5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VETERANS-Ferran Coll</v>
      </c>
      <c r="W5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0" s="264" t="str">
        <f>IF(ResultsInd[[#This Row],[Category]]="","",VLOOKUP(ResultsInd[[#This Row],[Stage]],$P$1:$V$9,MATCH(ResultsInd[[#This Row],[Category]],$Q$1:$V$1,0)+1,FALSE))</f>
        <v>L32</v>
      </c>
      <c r="Z540" s="264" t="str">
        <f>IF(ResultsInd[[#This Row],[Score_OK]],IF(ResultsInd[[#This Row],[Level]]="R",ResultsInd[[#This Row],[Category]]&amp;"-"&amp;IF(ResultsInd[[#This Row],[LoseInKO]]=ResultsInd[[#This Row],[Category]]&amp;"-"&amp;ResultsInd[[#This Row],[Player A]],ResultsInd[[#This Row],[Player B]],ResultsInd[[#This Row],[Player A]]),""),"")</f>
        <v/>
      </c>
      <c r="AB540" s="91"/>
      <c r="AC540" s="12" t="str">
        <f t="shared" si="471"/>
        <v/>
      </c>
      <c r="AD540" s="309"/>
      <c r="AE540" s="310"/>
      <c r="AF540" s="311"/>
      <c r="AG540" s="292" t="str">
        <f>IF(AP540="","",SMALL(AH536:AH542,ROWS(AG536:AG540)))</f>
        <v/>
      </c>
      <c r="AH540" s="293" t="str">
        <f>IF(AP540="","",RANK(AL540,AL536:AL542)*1000+ROWS(AH536:AH540))</f>
        <v/>
      </c>
      <c r="AI540" s="316" t="str">
        <f t="shared" si="465"/>
        <v/>
      </c>
      <c r="AJ540" s="415" t="b">
        <f>AND(AO540&lt;&gt;"",AO540&gt;0,COUNTIF(AI536:AI542,AI540)&gt;1)</f>
        <v>0</v>
      </c>
      <c r="AK540" s="316" t="str">
        <f t="shared" si="466"/>
        <v/>
      </c>
      <c r="AL540" s="317" t="str">
        <f t="shared" si="467"/>
        <v/>
      </c>
      <c r="AM540" s="415" t="b">
        <f>AND(AO540&lt;&gt;"",AO540&gt;0,COUNTIF(AL536:AL542,AL540)&gt;1)</f>
        <v>0</v>
      </c>
      <c r="AN540" s="306" t="str">
        <f t="shared" si="468"/>
        <v/>
      </c>
      <c r="AO540" s="307" t="str">
        <f t="shared" si="469"/>
        <v/>
      </c>
      <c r="AP540" s="307" t="str">
        <f>IF(OR(AC535="",AD540=""),"",COUNTIF(ResultsInd[Win],AC535&amp;"-"&amp;AD540))</f>
        <v/>
      </c>
      <c r="AQ540" s="307" t="str">
        <f>IF(OR(AC535="",AD540=""),"",COUNTIF(ResultsInd[Draw1],AC535&amp;"-"&amp;AD540)+COUNTIF(ResultsInd[Draw2],AC535&amp;"-"&amp;AD540))</f>
        <v/>
      </c>
      <c r="AR540" s="307" t="str">
        <f>IF(OR(AC535="",AD540=""),"",COUNTIF(ResultsInd[Lose],AC535&amp;"-"&amp;AD540))</f>
        <v/>
      </c>
      <c r="AS540" s="307" t="str">
        <f>IF(OR(AC535="",AD540=""),"",SUMIFS(ResultsInd[Goal-A],ResultsInd[Category],AC535,ResultsInd[Stage],"Groups",ResultsInd[Player A],AD540)+SUMIFS(ResultsInd[Goal-B],ResultsInd[Category],AC535,ResultsInd[Stage],"Groups",ResultsInd[Player B],AD540))</f>
        <v/>
      </c>
      <c r="AT540" s="307" t="str">
        <f>IF(OR(AC535="",AD540=""),"",SUMIFS(ResultsInd[Goal-B],ResultsInd[Category],AC535,ResultsInd[Stage],"Groups",ResultsInd[Player A],AD540)+SUMIFS(ResultsInd[Goal-A],ResultsInd[Category],AC535,ResultsInd[Stage],"Groups",ResultsInd[Player B],AD540))</f>
        <v/>
      </c>
      <c r="AU540" s="308" t="str">
        <f t="shared" si="472"/>
        <v/>
      </c>
      <c r="AV540" s="469" t="str">
        <f>IF(AG540="","",OR(VLOOKUP(AG540,AH536:AU542,3,FALSE),VLOOKUP(AG540,AH536:AU542,6,FALSE)))</f>
        <v/>
      </c>
      <c r="AW540" s="298" t="str">
        <f t="shared" si="470"/>
        <v/>
      </c>
      <c r="AX540" s="285" t="str">
        <f>IF(AG540="","",INDEX(AD536:AD542,MATCH(AG540,AH536:AH542,0)))</f>
        <v/>
      </c>
      <c r="AY540" s="286" t="str">
        <f>IF(AG540="","",VLOOKUP(AG540,AH536:AU542,COLUMN()-COLUMN(AR535),FALSE))</f>
        <v/>
      </c>
      <c r="AZ540" s="286" t="str">
        <f>IF(AG540="","",VLOOKUP(AG540,AH536:AU542,COLUMN()-COLUMN(AR535),FALSE))</f>
        <v/>
      </c>
      <c r="BA540" s="286" t="str">
        <f>IF(AG540="","",VLOOKUP(AG540,AH536:AU542,COLUMN()-COLUMN(AR535),FALSE))</f>
        <v/>
      </c>
      <c r="BB540" s="286" t="str">
        <f>IF(AG540="","",VLOOKUP(AG540,AH536:AU542,COLUMN()-COLUMN(AR535),FALSE))</f>
        <v/>
      </c>
      <c r="BC540" s="286" t="str">
        <f>IF(AG540="","",VLOOKUP(AG540,AH536:AU542,COLUMN()-COLUMN(AR535),FALSE))</f>
        <v/>
      </c>
      <c r="BD540" s="286" t="str">
        <f>IF(AG540="","",VLOOKUP(AG540,AH536:AU542,COLUMN()-COLUMN(AR535),FALSE))</f>
        <v/>
      </c>
      <c r="BE540" s="286" t="str">
        <f>IF(AG540="","",VLOOKUP(AG540,AH536:AU542,COLUMN()-COLUMN(AR535),FALSE))</f>
        <v/>
      </c>
      <c r="BF540" s="301" t="str">
        <f>IF(AG540="","",VLOOKUP(AG540,AH536:AU542,COLUMN()-COLUMN(AR535),FALSE))</f>
        <v/>
      </c>
    </row>
    <row r="541" spans="1:58" ht="12" thickBot="1" x14ac:dyDescent="0.25">
      <c r="A541" s="62" t="s">
        <v>12261</v>
      </c>
      <c r="B541" s="62" t="s">
        <v>12216</v>
      </c>
      <c r="C541" s="62"/>
      <c r="D541" s="62"/>
      <c r="E541" s="345" t="s">
        <v>9104</v>
      </c>
      <c r="F541" s="345" t="s">
        <v>9576</v>
      </c>
      <c r="G541" s="113">
        <v>0</v>
      </c>
      <c r="H541" s="113">
        <v>2</v>
      </c>
      <c r="I541" s="114"/>
      <c r="J541" s="114"/>
      <c r="K541" s="114"/>
      <c r="L541" s="81"/>
      <c r="M541" s="265" t="b">
        <f>NOT(ISERROR(ResultsInd[[#This Row],[Goal-A]]+ResultsInd[[#This Row],[Goal-B]]))</f>
        <v>1</v>
      </c>
      <c r="N541" s="265">
        <f>VALUE(ResultsInd[[#This Row],[Score-A]])</f>
        <v>0</v>
      </c>
      <c r="O541" s="265">
        <f>VALUE(ResultsInd[[#This Row],[Score-B]])</f>
        <v>2</v>
      </c>
      <c r="P541" s="265">
        <f ca="1">IF(AND(ResultsInd[[#This Row],[Category]]&lt;&gt;"",ResultsInd[[#This Row],[Player A]]&lt;&gt;""),COUNTIF(INDIRECT(ResultsInd[[#This Row],[Category]]&amp;"List[Retained Player Name]"),ResultsInd[[#This Row],[Player A]]),"")</f>
        <v>1</v>
      </c>
      <c r="Q541" s="265">
        <f ca="1">IF(AND(ResultsInd[[#This Row],[Category]]&lt;&gt;"",ResultsInd[[#This Row],[Player B]]&lt;&gt;""),COUNTIF(INDIRECT(ResultsInd[[#This Row],[Category]]&amp;"List[Retained Player Name]"),ResultsInd[[#This Row],[Player B]]),"")</f>
        <v>1</v>
      </c>
      <c r="R5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1" s="265" t="str">
        <f>IF(ResultsInd[[#This Row],[Score_OK]],IF(ResultsInd[[#This Row],[Stage]]="Groups",ResultsInd[[#This Row],[Category]]&amp;"-"&amp;IF(ResultsInd[[#This Row],[Player B]]="","",IF(ResultsInd[[#This Row],[Score-A]]=ResultsInd[[#This Row],[Score-B]],ResultsInd[[#This Row],[Player A]],"")),""),"")</f>
        <v/>
      </c>
      <c r="T541" s="265" t="str">
        <f>IF(ResultsInd[[#This Row],[Score_OK]],IF(ResultsInd[[#This Row],[Stage]]="Groups",ResultsInd[[#This Row],[Category]]&amp;"-"&amp;IF(ResultsInd[[#This Row],[Player B]]="","",IF(ResultsInd[[#This Row],[Score-A]]=ResultsInd[[#This Row],[Score-B]],ResultsInd[[#This Row],[Player B]],"")),""),"")</f>
        <v/>
      </c>
      <c r="U5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VETERANS-Panagiotis Krommydas</v>
      </c>
      <c r="W5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1" s="264" t="str">
        <f>IF(ResultsInd[[#This Row],[Category]]="","",VLOOKUP(ResultsInd[[#This Row],[Stage]],$P$1:$V$9,MATCH(ResultsInd[[#This Row],[Category]],$Q$1:$V$1,0)+1,FALSE))</f>
        <v>L32</v>
      </c>
      <c r="Z541" s="264" t="str">
        <f>IF(ResultsInd[[#This Row],[Score_OK]],IF(ResultsInd[[#This Row],[Level]]="R",ResultsInd[[#This Row],[Category]]&amp;"-"&amp;IF(ResultsInd[[#This Row],[LoseInKO]]=ResultsInd[[#This Row],[Category]]&amp;"-"&amp;ResultsInd[[#This Row],[Player A]],ResultsInd[[#This Row],[Player B]],ResultsInd[[#This Row],[Player A]]),""),"")</f>
        <v/>
      </c>
      <c r="AB541" s="8"/>
      <c r="AC541" s="12" t="str">
        <f t="shared" si="471"/>
        <v/>
      </c>
      <c r="AD541" s="309"/>
      <c r="AE541" s="310"/>
      <c r="AF541" s="311"/>
      <c r="AG541" s="292" t="str">
        <f>IF(AP541="","",SMALL(AH536:AH542,ROWS(AG536:AG541)))</f>
        <v/>
      </c>
      <c r="AH541" s="293" t="str">
        <f>IF(AP541="","",RANK(AL541,AL536:AL542)*1000+ROWS(AH536:AH541))</f>
        <v/>
      </c>
      <c r="AI541" s="316" t="str">
        <f t="shared" si="465"/>
        <v/>
      </c>
      <c r="AJ541" s="415" t="b">
        <f>AND(AO541&lt;&gt;"",AO541&gt;0,COUNTIF(AI536:AI542,AI541)&gt;1)</f>
        <v>0</v>
      </c>
      <c r="AK541" s="316" t="str">
        <f t="shared" si="466"/>
        <v/>
      </c>
      <c r="AL541" s="317" t="str">
        <f t="shared" si="467"/>
        <v/>
      </c>
      <c r="AM541" s="415" t="b">
        <f>AND(AO541&lt;&gt;"",AO541&gt;0,COUNTIF(AL536:AL542,AL541)&gt;1)</f>
        <v>0</v>
      </c>
      <c r="AN541" s="306" t="str">
        <f t="shared" si="468"/>
        <v/>
      </c>
      <c r="AO541" s="307" t="str">
        <f t="shared" si="469"/>
        <v/>
      </c>
      <c r="AP541" s="307" t="str">
        <f>IF(OR(AC535="",AD541=""),"",COUNTIF(ResultsInd[Win],AC535&amp;"-"&amp;AD541))</f>
        <v/>
      </c>
      <c r="AQ541" s="307" t="str">
        <f>IF(OR(AC535="",AD541=""),"",COUNTIF(ResultsInd[Draw1],AC535&amp;"-"&amp;AD541)+COUNTIF(ResultsInd[Draw2],AC535&amp;"-"&amp;AD541))</f>
        <v/>
      </c>
      <c r="AR541" s="307" t="str">
        <f>IF(OR(AC535="",AD541=""),"",COUNTIF(ResultsInd[Lose],AC535&amp;"-"&amp;AD541))</f>
        <v/>
      </c>
      <c r="AS541" s="307" t="str">
        <f>IF(OR(AC535="",AD541=""),"",SUMIFS(ResultsInd[Goal-A],ResultsInd[Category],AC535,ResultsInd[Stage],"Groups",ResultsInd[Player A],AD541)+SUMIFS(ResultsInd[Goal-B],ResultsInd[Category],AC535,ResultsInd[Stage],"Groups",ResultsInd[Player B],AD541))</f>
        <v/>
      </c>
      <c r="AT541" s="307" t="str">
        <f>IF(OR(AC535="",AD541=""),"",SUMIFS(ResultsInd[Goal-B],ResultsInd[Category],AC535,ResultsInd[Stage],"Groups",ResultsInd[Player A],AD541)+SUMIFS(ResultsInd[Goal-A],ResultsInd[Category],AC535,ResultsInd[Stage],"Groups",ResultsInd[Player B],AD541))</f>
        <v/>
      </c>
      <c r="AU541" s="308" t="str">
        <f t="shared" si="472"/>
        <v/>
      </c>
      <c r="AV541" s="469" t="str">
        <f>IF(AG541="","",OR(VLOOKUP(AG541,AH536:AU542,3,FALSE),VLOOKUP(AG541,AH536:AU542,6,FALSE)))</f>
        <v/>
      </c>
      <c r="AW541" s="298" t="str">
        <f t="shared" si="470"/>
        <v/>
      </c>
      <c r="AX541" s="285" t="str">
        <f>IF(AG541="","",INDEX(AD536:AD542,MATCH(AG541,AH536:AH542,0)))</f>
        <v/>
      </c>
      <c r="AY541" s="286" t="str">
        <f>IF(AG541="","",VLOOKUP(AG541,AH536:AU542,COLUMN()-COLUMN(AR535),FALSE))</f>
        <v/>
      </c>
      <c r="AZ541" s="286" t="str">
        <f>IF(AG541="","",VLOOKUP(AG541,AH536:AU542,COLUMN()-COLUMN(AR535),FALSE))</f>
        <v/>
      </c>
      <c r="BA541" s="286" t="str">
        <f>IF(AG541="","",VLOOKUP(AG541,AH536:AU542,COLUMN()-COLUMN(AR535),FALSE))</f>
        <v/>
      </c>
      <c r="BB541" s="286" t="str">
        <f>IF(AG541="","",VLOOKUP(AG541,AH536:AU542,COLUMN()-COLUMN(AR535),FALSE))</f>
        <v/>
      </c>
      <c r="BC541" s="286" t="str">
        <f>IF(AG541="","",VLOOKUP(AG541,AH536:AU542,COLUMN()-COLUMN(AR535),FALSE))</f>
        <v/>
      </c>
      <c r="BD541" s="286" t="str">
        <f>IF(AG541="","",VLOOKUP(AG541,AH536:AU542,COLUMN()-COLUMN(AR535),FALSE))</f>
        <v/>
      </c>
      <c r="BE541" s="286" t="str">
        <f>IF(AG541="","",VLOOKUP(AG541,AH536:AU542,COLUMN()-COLUMN(AR535),FALSE))</f>
        <v/>
      </c>
      <c r="BF541" s="301" t="str">
        <f>IF(AG541="","",VLOOKUP(AG541,AH536:AU542,COLUMN()-COLUMN(AR535),FALSE))</f>
        <v/>
      </c>
    </row>
    <row r="542" spans="1:58" ht="12" thickBot="1" x14ac:dyDescent="0.25">
      <c r="A542" s="62" t="s">
        <v>12261</v>
      </c>
      <c r="B542" s="62" t="s">
        <v>12216</v>
      </c>
      <c r="C542" s="62"/>
      <c r="D542" s="62"/>
      <c r="E542" s="345" t="s">
        <v>8537</v>
      </c>
      <c r="F542" s="345" t="s">
        <v>8777</v>
      </c>
      <c r="G542" s="113">
        <v>3</v>
      </c>
      <c r="H542" s="113">
        <v>2</v>
      </c>
      <c r="I542" s="114" t="s">
        <v>14586</v>
      </c>
      <c r="J542" s="114"/>
      <c r="K542" s="114"/>
      <c r="L542" s="81"/>
      <c r="M542" s="265" t="b">
        <f>NOT(ISERROR(ResultsInd[[#This Row],[Goal-A]]+ResultsInd[[#This Row],[Goal-B]]))</f>
        <v>1</v>
      </c>
      <c r="N542" s="265">
        <f>VALUE(ResultsInd[[#This Row],[Score-A]])</f>
        <v>3</v>
      </c>
      <c r="O542" s="265">
        <f>VALUE(ResultsInd[[#This Row],[Score-B]])</f>
        <v>2</v>
      </c>
      <c r="P542" s="265">
        <f ca="1">IF(AND(ResultsInd[[#This Row],[Category]]&lt;&gt;"",ResultsInd[[#This Row],[Player A]]&lt;&gt;""),COUNTIF(INDIRECT(ResultsInd[[#This Row],[Category]]&amp;"List[Retained Player Name]"),ResultsInd[[#This Row],[Player A]]),"")</f>
        <v>1</v>
      </c>
      <c r="Q542" s="265">
        <f ca="1">IF(AND(ResultsInd[[#This Row],[Category]]&lt;&gt;"",ResultsInd[[#This Row],[Player B]]&lt;&gt;""),COUNTIF(INDIRECT(ResultsInd[[#This Row],[Category]]&amp;"List[Retained Player Name]"),ResultsInd[[#This Row],[Player B]]),"")</f>
        <v>1</v>
      </c>
      <c r="R5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2" s="265" t="str">
        <f>IF(ResultsInd[[#This Row],[Score_OK]],IF(ResultsInd[[#This Row],[Stage]]="Groups",ResultsInd[[#This Row],[Category]]&amp;"-"&amp;IF(ResultsInd[[#This Row],[Player B]]="","",IF(ResultsInd[[#This Row],[Score-A]]=ResultsInd[[#This Row],[Score-B]],ResultsInd[[#This Row],[Player A]],"")),""),"")</f>
        <v/>
      </c>
      <c r="T542" s="265" t="str">
        <f>IF(ResultsInd[[#This Row],[Score_OK]],IF(ResultsInd[[#This Row],[Stage]]="Groups",ResultsInd[[#This Row],[Category]]&amp;"-"&amp;IF(ResultsInd[[#This Row],[Player B]]="","",IF(ResultsInd[[#This Row],[Score-A]]=ResultsInd[[#This Row],[Score-B]],ResultsInd[[#This Row],[Player B]],"")),""),"")</f>
        <v/>
      </c>
      <c r="U5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VETERANS-Christos Angelinas</v>
      </c>
      <c r="W5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2" s="264" t="str">
        <f>IF(ResultsInd[[#This Row],[Category]]="","",VLOOKUP(ResultsInd[[#This Row],[Stage]],$P$1:$V$9,MATCH(ResultsInd[[#This Row],[Category]],$Q$1:$V$1,0)+1,FALSE))</f>
        <v>L32</v>
      </c>
      <c r="Z542" s="264" t="str">
        <f>IF(ResultsInd[[#This Row],[Score_OK]],IF(ResultsInd[[#This Row],[Level]]="R",ResultsInd[[#This Row],[Category]]&amp;"-"&amp;IF(ResultsInd[[#This Row],[LoseInKO]]=ResultsInd[[#This Row],[Category]]&amp;"-"&amp;ResultsInd[[#This Row],[Player A]],ResultsInd[[#This Row],[Player B]],ResultsInd[[#This Row],[Player A]]),""),"")</f>
        <v/>
      </c>
      <c r="AB542" s="8"/>
      <c r="AC542" s="12" t="str">
        <f t="shared" si="471"/>
        <v/>
      </c>
      <c r="AD542" s="312"/>
      <c r="AE542" s="313"/>
      <c r="AF542" s="314"/>
      <c r="AG542" s="294" t="str">
        <f>IF(AP542="","",SMALL(AH536:AH542,ROWS(AG536:AG542)))</f>
        <v/>
      </c>
      <c r="AH542" s="295" t="str">
        <f>IF(AP542="","",RANK(AL542,AL536:AL542)*1000+ROWS(AH536:AH542))</f>
        <v/>
      </c>
      <c r="AI542" s="318" t="str">
        <f t="shared" si="465"/>
        <v/>
      </c>
      <c r="AJ542" s="416" t="b">
        <f>AND(AO542&lt;&gt;"",AO542&gt;0,COUNTIF(AI536:AI542,AI542)&gt;1)</f>
        <v>0</v>
      </c>
      <c r="AK542" s="318" t="str">
        <f t="shared" si="466"/>
        <v/>
      </c>
      <c r="AL542" s="319" t="str">
        <f t="shared" si="467"/>
        <v/>
      </c>
      <c r="AM542" s="416" t="b">
        <f>AND(AO542&lt;&gt;"",AO542&gt;0,COUNTIF(AL536:AL542,AL542)&gt;1)</f>
        <v>0</v>
      </c>
      <c r="AN542" s="306" t="str">
        <f t="shared" si="468"/>
        <v/>
      </c>
      <c r="AO542" s="307" t="str">
        <f t="shared" si="469"/>
        <v/>
      </c>
      <c r="AP542" s="307" t="str">
        <f>IF(OR(AC535="",AD542=""),"",COUNTIF(ResultsInd[Win],AC535&amp;"-"&amp;AD542))</f>
        <v/>
      </c>
      <c r="AQ542" s="307" t="str">
        <f>IF(OR(AC535="",AD542=""),"",COUNTIF(ResultsInd[Draw1],AC535&amp;"-"&amp;AD542)+COUNTIF(ResultsInd[Draw2],AC535&amp;"-"&amp;AD542))</f>
        <v/>
      </c>
      <c r="AR542" s="307" t="str">
        <f>IF(OR(AC535="",AD542=""),"",COUNTIF(ResultsInd[Lose],AC535&amp;"-"&amp;AD542))</f>
        <v/>
      </c>
      <c r="AS542" s="307" t="str">
        <f>IF(OR(AC535="",AD542=""),"",SUMIFS(ResultsInd[Goal-A],ResultsInd[Category],AC535,ResultsInd[Stage],"Groups",ResultsInd[Player A],AD542)+SUMIFS(ResultsInd[Goal-B],ResultsInd[Category],AC535,ResultsInd[Stage],"Groups",ResultsInd[Player B],AD542))</f>
        <v/>
      </c>
      <c r="AT542" s="307" t="str">
        <f>IF(OR(AC535="",AD542=""),"",SUMIFS(ResultsInd[Goal-B],ResultsInd[Category],AC535,ResultsInd[Stage],"Groups",ResultsInd[Player A],AD542)+SUMIFS(ResultsInd[Goal-A],ResultsInd[Category],AC535,ResultsInd[Stage],"Groups",ResultsInd[Player B],AD542))</f>
        <v/>
      </c>
      <c r="AU542" s="308" t="str">
        <f t="shared" si="472"/>
        <v/>
      </c>
      <c r="AV542" s="469" t="str">
        <f>IF(AG542="","",OR(VLOOKUP(AG542,AH536:AU542,3,FALSE),VLOOKUP(AG542,AH536:AU542,6,FALSE)))</f>
        <v/>
      </c>
      <c r="AW542" s="299" t="str">
        <f t="shared" si="470"/>
        <v/>
      </c>
      <c r="AX542" s="287" t="str">
        <f>IF(AG542="","",INDEX(AD536:AD542,MATCH(AG542,AH536:AH542,0)))</f>
        <v/>
      </c>
      <c r="AY542" s="288" t="str">
        <f>IF(AG542="","",VLOOKUP(AG542,AH536:AU542,COLUMN()-COLUMN(AR535),FALSE))</f>
        <v/>
      </c>
      <c r="AZ542" s="288" t="str">
        <f>IF(AG542="","",VLOOKUP(AG542,AH536:AU542,COLUMN()-COLUMN(AR535),FALSE))</f>
        <v/>
      </c>
      <c r="BA542" s="288" t="str">
        <f>IF(AG542="","",VLOOKUP(AG542,AH536:AU542,COLUMN()-COLUMN(AR535),FALSE))</f>
        <v/>
      </c>
      <c r="BB542" s="288" t="str">
        <f>IF(AG542="","",VLOOKUP(AG542,AH536:AU542,COLUMN()-COLUMN(AR535),FALSE))</f>
        <v/>
      </c>
      <c r="BC542" s="288" t="str">
        <f>IF(AG542="","",VLOOKUP(AG542,AH536:AU542,COLUMN()-COLUMN(AR535),FALSE))</f>
        <v/>
      </c>
      <c r="BD542" s="288" t="str">
        <f>IF(AG542="","",VLOOKUP(AG542,AH536:AU542,COLUMN()-COLUMN(AR535),FALSE))</f>
        <v/>
      </c>
      <c r="BE542" s="288" t="str">
        <f>IF(AG542="","",VLOOKUP(AG542,AH536:AU542,COLUMN()-COLUMN(AR535),FALSE))</f>
        <v/>
      </c>
      <c r="BF542" s="302" t="str">
        <f>IF(AG542="","",VLOOKUP(AG542,AH536:AU542,COLUMN()-COLUMN(AR535),FALSE))</f>
        <v/>
      </c>
    </row>
    <row r="543" spans="1:58" ht="13.5" thickBot="1" x14ac:dyDescent="0.25">
      <c r="A543" s="62" t="s">
        <v>12261</v>
      </c>
      <c r="B543" s="62" t="s">
        <v>12216</v>
      </c>
      <c r="C543" s="62"/>
      <c r="D543" s="62"/>
      <c r="E543" s="345" t="s">
        <v>14555</v>
      </c>
      <c r="F543" s="345" t="s">
        <v>10414</v>
      </c>
      <c r="G543" s="113">
        <v>0</v>
      </c>
      <c r="H543" s="113">
        <v>3</v>
      </c>
      <c r="I543" s="114"/>
      <c r="J543" s="114"/>
      <c r="K543" s="114"/>
      <c r="L543" s="81"/>
      <c r="M543" s="265" t="b">
        <f>NOT(ISERROR(ResultsInd[[#This Row],[Goal-A]]+ResultsInd[[#This Row],[Goal-B]]))</f>
        <v>1</v>
      </c>
      <c r="N543" s="265">
        <f>VALUE(ResultsInd[[#This Row],[Score-A]])</f>
        <v>0</v>
      </c>
      <c r="O543" s="265">
        <f>VALUE(ResultsInd[[#This Row],[Score-B]])</f>
        <v>3</v>
      </c>
      <c r="P543" s="265">
        <f ca="1">IF(AND(ResultsInd[[#This Row],[Category]]&lt;&gt;"",ResultsInd[[#This Row],[Player A]]&lt;&gt;""),COUNTIF(INDIRECT(ResultsInd[[#This Row],[Category]]&amp;"List[Retained Player Name]"),ResultsInd[[#This Row],[Player A]]),"")</f>
        <v>1</v>
      </c>
      <c r="Q543" s="265">
        <f ca="1">IF(AND(ResultsInd[[#This Row],[Category]]&lt;&gt;"",ResultsInd[[#This Row],[Player B]]&lt;&gt;""),COUNTIF(INDIRECT(ResultsInd[[#This Row],[Category]]&amp;"List[Retained Player Name]"),ResultsInd[[#This Row],[Player B]]),"")</f>
        <v>1</v>
      </c>
      <c r="R5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3" s="265" t="str">
        <f>IF(ResultsInd[[#This Row],[Score_OK]],IF(ResultsInd[[#This Row],[Stage]]="Groups",ResultsInd[[#This Row],[Category]]&amp;"-"&amp;IF(ResultsInd[[#This Row],[Player B]]="","",IF(ResultsInd[[#This Row],[Score-A]]=ResultsInd[[#This Row],[Score-B]],ResultsInd[[#This Row],[Player A]],"")),""),"")</f>
        <v/>
      </c>
      <c r="T543" s="265" t="str">
        <f>IF(ResultsInd[[#This Row],[Score_OK]],IF(ResultsInd[[#This Row],[Stage]]="Groups",ResultsInd[[#This Row],[Category]]&amp;"-"&amp;IF(ResultsInd[[#This Row],[Player B]]="","",IF(ResultsInd[[#This Row],[Score-A]]=ResultsInd[[#This Row],[Score-B]],ResultsInd[[#This Row],[Player B]],"")),""),"")</f>
        <v/>
      </c>
      <c r="U5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VETERANS-Sébastien Rochez</v>
      </c>
      <c r="W5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3" s="264" t="str">
        <f>IF(ResultsInd[[#This Row],[Category]]="","",VLOOKUP(ResultsInd[[#This Row],[Stage]],$P$1:$V$9,MATCH(ResultsInd[[#This Row],[Category]],$Q$1:$V$1,0)+1,FALSE))</f>
        <v>L32</v>
      </c>
      <c r="Z543" s="264" t="str">
        <f>IF(ResultsInd[[#This Row],[Score_OK]],IF(ResultsInd[[#This Row],[Level]]="R",ResultsInd[[#This Row],[Category]]&amp;"-"&amp;IF(ResultsInd[[#This Row],[LoseInKO]]=ResultsInd[[#This Row],[Category]]&amp;"-"&amp;ResultsInd[[#This Row],[Player A]],ResultsInd[[#This Row],[Player B]],ResultsInd[[#This Row],[Player A]]),""),"")</f>
        <v/>
      </c>
      <c r="AB543" s="8"/>
      <c r="AC543" s="8"/>
      <c r="AF543" s="170"/>
      <c r="AG543" s="101"/>
      <c r="AH543" s="101"/>
      <c r="AN543" s="170"/>
      <c r="AO543" s="170"/>
      <c r="AP543" s="170"/>
      <c r="AQ543" s="172"/>
      <c r="AR543" s="173"/>
      <c r="AS543" s="173"/>
      <c r="AT543" s="173"/>
      <c r="AU543" s="101"/>
      <c r="AV543" s="101"/>
      <c r="AW543" s="101"/>
      <c r="AX543" s="101"/>
      <c r="AY543" s="101"/>
      <c r="AZ543" s="101"/>
    </row>
    <row r="544" spans="1:58" ht="12" thickBot="1" x14ac:dyDescent="0.25">
      <c r="A544" s="62" t="s">
        <v>12261</v>
      </c>
      <c r="B544" s="62" t="s">
        <v>12216</v>
      </c>
      <c r="C544" s="62"/>
      <c r="D544" s="62"/>
      <c r="E544" s="345" t="s">
        <v>10431</v>
      </c>
      <c r="F544" s="345" t="s">
        <v>8717</v>
      </c>
      <c r="G544" s="113">
        <v>1</v>
      </c>
      <c r="H544" s="113">
        <v>0</v>
      </c>
      <c r="I544" s="114"/>
      <c r="J544" s="114"/>
      <c r="K544" s="114"/>
      <c r="L544" s="81"/>
      <c r="M544" s="265" t="b">
        <f>NOT(ISERROR(ResultsInd[[#This Row],[Goal-A]]+ResultsInd[[#This Row],[Goal-B]]))</f>
        <v>1</v>
      </c>
      <c r="N544" s="265">
        <f>VALUE(ResultsInd[[#This Row],[Score-A]])</f>
        <v>1</v>
      </c>
      <c r="O544" s="265">
        <f>VALUE(ResultsInd[[#This Row],[Score-B]])</f>
        <v>0</v>
      </c>
      <c r="P544" s="265">
        <f ca="1">IF(AND(ResultsInd[[#This Row],[Category]]&lt;&gt;"",ResultsInd[[#This Row],[Player A]]&lt;&gt;""),COUNTIF(INDIRECT(ResultsInd[[#This Row],[Category]]&amp;"List[Retained Player Name]"),ResultsInd[[#This Row],[Player A]]),"")</f>
        <v>1</v>
      </c>
      <c r="Q544" s="265">
        <f ca="1">IF(AND(ResultsInd[[#This Row],[Category]]&lt;&gt;"",ResultsInd[[#This Row],[Player B]]&lt;&gt;""),COUNTIF(INDIRECT(ResultsInd[[#This Row],[Category]]&amp;"List[Retained Player Name]"),ResultsInd[[#This Row],[Player B]]),"")</f>
        <v>1</v>
      </c>
      <c r="R5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4" s="265" t="str">
        <f>IF(ResultsInd[[#This Row],[Score_OK]],IF(ResultsInd[[#This Row],[Stage]]="Groups",ResultsInd[[#This Row],[Category]]&amp;"-"&amp;IF(ResultsInd[[#This Row],[Player B]]="","",IF(ResultsInd[[#This Row],[Score-A]]=ResultsInd[[#This Row],[Score-B]],ResultsInd[[#This Row],[Player A]],"")),""),"")</f>
        <v/>
      </c>
      <c r="T544" s="265" t="str">
        <f>IF(ResultsInd[[#This Row],[Score_OK]],IF(ResultsInd[[#This Row],[Stage]]="Groups",ResultsInd[[#This Row],[Category]]&amp;"-"&amp;IF(ResultsInd[[#This Row],[Player B]]="","",IF(ResultsInd[[#This Row],[Score-A]]=ResultsInd[[#This Row],[Score-B]],ResultsInd[[#This Row],[Player B]],"")),""),"")</f>
        <v/>
      </c>
      <c r="U5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VETERANS-Xavier Dubois</v>
      </c>
      <c r="W5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4" s="264" t="str">
        <f>IF(ResultsInd[[#This Row],[Category]]="","",VLOOKUP(ResultsInd[[#This Row],[Stage]],$P$1:$V$9,MATCH(ResultsInd[[#This Row],[Category]],$Q$1:$V$1,0)+1,FALSE))</f>
        <v>L32</v>
      </c>
      <c r="Z544" s="264" t="str">
        <f>IF(ResultsInd[[#This Row],[Score_OK]],IF(ResultsInd[[#This Row],[Level]]="R",ResultsInd[[#This Row],[Category]]&amp;"-"&amp;IF(ResultsInd[[#This Row],[LoseInKO]]=ResultsInd[[#This Row],[Category]]&amp;"-"&amp;ResultsInd[[#This Row],[Player A]],ResultsInd[[#This Row],[Player B]],ResultsInd[[#This Row],[Player A]]),""),"")</f>
        <v/>
      </c>
      <c r="AB544" s="281" t="str">
        <f>IF(AC544="","",COUNTIFS(AC$22:AC544,AC544,AD$22:AD544,"Players draw"))</f>
        <v/>
      </c>
      <c r="AC544" s="315"/>
      <c r="AD544" s="289" t="s">
        <v>14439</v>
      </c>
      <c r="AE544" s="290" t="s">
        <v>12279</v>
      </c>
      <c r="AF544" s="284" t="s">
        <v>12275</v>
      </c>
      <c r="AG544" s="296" t="s">
        <v>12276</v>
      </c>
      <c r="AH544" s="291" t="s">
        <v>12271</v>
      </c>
      <c r="AI544" s="291" t="s">
        <v>12272</v>
      </c>
      <c r="AJ544" s="414" t="s">
        <v>13154</v>
      </c>
      <c r="AK544" s="291" t="s">
        <v>12273</v>
      </c>
      <c r="AL544" s="297" t="s">
        <v>12274</v>
      </c>
      <c r="AM544" s="414" t="s">
        <v>13154</v>
      </c>
      <c r="AN544" s="303" t="s">
        <v>12199</v>
      </c>
      <c r="AO544" s="304" t="s">
        <v>12200</v>
      </c>
      <c r="AP544" s="304" t="s">
        <v>12201</v>
      </c>
      <c r="AQ544" s="304" t="s">
        <v>12202</v>
      </c>
      <c r="AR544" s="304" t="s">
        <v>12203</v>
      </c>
      <c r="AS544" s="304" t="s">
        <v>12204</v>
      </c>
      <c r="AT544" s="304" t="s">
        <v>12205</v>
      </c>
      <c r="AU544" s="305" t="s">
        <v>12206</v>
      </c>
      <c r="AV544" s="468"/>
      <c r="AW544" s="282" t="s">
        <v>12276</v>
      </c>
      <c r="AX544" s="282" t="s">
        <v>12280</v>
      </c>
      <c r="AY544" s="283" t="s">
        <v>12199</v>
      </c>
      <c r="AZ544" s="283" t="s">
        <v>12200</v>
      </c>
      <c r="BA544" s="283" t="s">
        <v>12201</v>
      </c>
      <c r="BB544" s="283" t="s">
        <v>12202</v>
      </c>
      <c r="BC544" s="283" t="s">
        <v>12203</v>
      </c>
      <c r="BD544" s="283" t="s">
        <v>12204</v>
      </c>
      <c r="BE544" s="283" t="s">
        <v>12205</v>
      </c>
      <c r="BF544" s="300" t="s">
        <v>12206</v>
      </c>
    </row>
    <row r="545" spans="1:58" ht="12" thickBot="1" x14ac:dyDescent="0.25">
      <c r="A545" s="62" t="s">
        <v>12261</v>
      </c>
      <c r="B545" s="62" t="s">
        <v>12216</v>
      </c>
      <c r="C545" s="62"/>
      <c r="D545" s="62"/>
      <c r="E545" s="345" t="s">
        <v>11659</v>
      </c>
      <c r="F545" s="345" t="s">
        <v>10369</v>
      </c>
      <c r="G545" s="113">
        <v>2</v>
      </c>
      <c r="H545" s="113">
        <v>5</v>
      </c>
      <c r="I545" s="114"/>
      <c r="J545" s="114"/>
      <c r="K545" s="114"/>
      <c r="L545" s="81"/>
      <c r="M545" s="265" t="b">
        <f>NOT(ISERROR(ResultsInd[[#This Row],[Goal-A]]+ResultsInd[[#This Row],[Goal-B]]))</f>
        <v>1</v>
      </c>
      <c r="N545" s="265">
        <f>VALUE(ResultsInd[[#This Row],[Score-A]])</f>
        <v>2</v>
      </c>
      <c r="O545" s="265">
        <f>VALUE(ResultsInd[[#This Row],[Score-B]])</f>
        <v>5</v>
      </c>
      <c r="P545" s="265">
        <f ca="1">IF(AND(ResultsInd[[#This Row],[Category]]&lt;&gt;"",ResultsInd[[#This Row],[Player A]]&lt;&gt;""),COUNTIF(INDIRECT(ResultsInd[[#This Row],[Category]]&amp;"List[Retained Player Name]"),ResultsInd[[#This Row],[Player A]]),"")</f>
        <v>1</v>
      </c>
      <c r="Q545" s="265">
        <f ca="1">IF(AND(ResultsInd[[#This Row],[Category]]&lt;&gt;"",ResultsInd[[#This Row],[Player B]]&lt;&gt;""),COUNTIF(INDIRECT(ResultsInd[[#This Row],[Category]]&amp;"List[Retained Player Name]"),ResultsInd[[#This Row],[Player B]]),"")</f>
        <v>1</v>
      </c>
      <c r="R5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5" s="265" t="str">
        <f>IF(ResultsInd[[#This Row],[Score_OK]],IF(ResultsInd[[#This Row],[Stage]]="Groups",ResultsInd[[#This Row],[Category]]&amp;"-"&amp;IF(ResultsInd[[#This Row],[Player B]]="","",IF(ResultsInd[[#This Row],[Score-A]]=ResultsInd[[#This Row],[Score-B]],ResultsInd[[#This Row],[Player A]],"")),""),"")</f>
        <v/>
      </c>
      <c r="T545" s="265" t="str">
        <f>IF(ResultsInd[[#This Row],[Score_OK]],IF(ResultsInd[[#This Row],[Stage]]="Groups",ResultsInd[[#This Row],[Category]]&amp;"-"&amp;IF(ResultsInd[[#This Row],[Player B]]="","",IF(ResultsInd[[#This Row],[Score-A]]=ResultsInd[[#This Row],[Score-B]],ResultsInd[[#This Row],[Player B]],"")),""),"")</f>
        <v/>
      </c>
      <c r="U5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VETERANS-Jean Michel Cuenca</v>
      </c>
      <c r="W5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5" s="264" t="str">
        <f>IF(ResultsInd[[#This Row],[Category]]="","",VLOOKUP(ResultsInd[[#This Row],[Stage]],$P$1:$V$9,MATCH(ResultsInd[[#This Row],[Category]],$Q$1:$V$1,0)+1,FALSE))</f>
        <v>L32</v>
      </c>
      <c r="Z545" s="264" t="str">
        <f>IF(ResultsInd[[#This Row],[Score_OK]],IF(ResultsInd[[#This Row],[Level]]="R",ResultsInd[[#This Row],[Category]]&amp;"-"&amp;IF(ResultsInd[[#This Row],[LoseInKO]]=ResultsInd[[#This Row],[Category]]&amp;"-"&amp;ResultsInd[[#This Row],[Player A]],ResultsInd[[#This Row],[Player B]],ResultsInd[[#This Row],[Player A]]),""),"")</f>
        <v/>
      </c>
      <c r="AB545" s="8"/>
      <c r="AC545" s="12" t="str">
        <f>IF(AC544="","",AC544)</f>
        <v/>
      </c>
      <c r="AD545" s="309"/>
      <c r="AE545" s="320"/>
      <c r="AF545" s="311"/>
      <c r="AG545" s="292" t="str">
        <f>IF(AP545="","",SMALL(AH545:AH551,ROWS(AG545:AG545)))</f>
        <v/>
      </c>
      <c r="AH545" s="293" t="str">
        <f>IF(AP545="","",RANK(AL545,AL545:AL551)*1000+ROWS(AH545:AH545))</f>
        <v/>
      </c>
      <c r="AI545" s="316" t="str">
        <f t="shared" ref="AI545:AI551" si="473">IF(AP545="","",CritClassInd1_Points*AN545+CritClassInd1_Matches*AP545+CritClassInd1_Attaque*AS545+CritClassInd1_DiffButs*AU545)</f>
        <v/>
      </c>
      <c r="AJ545" s="415" t="b">
        <f>AND(AO545&lt;&gt;"",AO545&gt;0,COUNTIF(AI545:AI551,AI545)&gt;1)</f>
        <v>0</v>
      </c>
      <c r="AK545" s="316" t="str">
        <f t="shared" ref="AK545:AK551" si="474">IF(AP545="","",CritClassInd_ScorePart*AE545)</f>
        <v/>
      </c>
      <c r="AL545" s="317" t="str">
        <f t="shared" ref="AL545:AL551" si="475">IF(AP545="","",AI545+AK545+CritClassInd2_Points*AN545+CritClassInd2_Matches*AP545+CritClassInd2_Attaque*AS545+CritClassInd2_DiffButs*AU545+AF545)</f>
        <v/>
      </c>
      <c r="AM545" s="415" t="b">
        <f>AND(AO545&lt;&gt;"",AO545&gt;0,COUNTIF(AL545:AL551,AL545)&gt;1)</f>
        <v>0</v>
      </c>
      <c r="AN545" s="306" t="str">
        <f t="shared" ref="AN545:AN551" si="476">IF(AP545="","",(AP545*Points_Victoire)+AQ545*Points_Null)</f>
        <v/>
      </c>
      <c r="AO545" s="307" t="str">
        <f t="shared" ref="AO545:AO551" si="477">IF(AP545="","",SUM(AP545:AR545))</f>
        <v/>
      </c>
      <c r="AP545" s="307" t="str">
        <f>IF(OR(AC544="",AD545=""),"",COUNTIF(ResultsInd[Win],AC544&amp;"-"&amp;AD545))</f>
        <v/>
      </c>
      <c r="AQ545" s="307" t="str">
        <f>IF(OR(AC544="",AD545=""),"",COUNTIF(ResultsInd[Draw1],AC544&amp;"-"&amp;AD545)+COUNTIF(ResultsInd[Draw2],AC544&amp;"-"&amp;AD545))</f>
        <v/>
      </c>
      <c r="AR545" s="307" t="str">
        <f>IF(OR(AC544="",AD545=""),"",COUNTIF(ResultsInd[Lose],AC544&amp;"-"&amp;AD545))</f>
        <v/>
      </c>
      <c r="AS545" s="307" t="str">
        <f>IF(OR(AC544="",AD545=""),"",SUMIFS(ResultsInd[Goal-A],ResultsInd[Category],AC544,ResultsInd[Stage],"Groups",ResultsInd[Player A],AD545)+SUMIFS(ResultsInd[Goal-B],ResultsInd[Category],AC544,ResultsInd[Stage],"Groups",ResultsInd[Player B],AD545))</f>
        <v/>
      </c>
      <c r="AT545" s="307" t="str">
        <f>IF(OR(AC544="",AD545=""),"",SUMIFS(ResultsInd[Goal-B],ResultsInd[Category],AC544,ResultsInd[Stage],"Groups",ResultsInd[Player A],AD545)+SUMIFS(ResultsInd[Goal-A],ResultsInd[Category],AC544,ResultsInd[Stage],"Groups",ResultsInd[Player B],AD545))</f>
        <v/>
      </c>
      <c r="AU545" s="308" t="str">
        <f>IF(AP545="","",AS545-AT545)</f>
        <v/>
      </c>
      <c r="AV545" s="469" t="str">
        <f>IF(AG545="","",OR(VLOOKUP(AG545,AH545:AU551,3,FALSE),VLOOKUP(AG545,AH545:AU551,6,FALSE)))</f>
        <v/>
      </c>
      <c r="AW545" s="298" t="str">
        <f t="shared" ref="AW545:AW551" si="478">IF(AG545="","",INT(AG545/1000))</f>
        <v/>
      </c>
      <c r="AX545" s="285" t="str">
        <f>IF(AG545="","",INDEX(AD545:AD551,MATCH(AG545,AH545:AH551,0)))</f>
        <v/>
      </c>
      <c r="AY545" s="286" t="str">
        <f>IF(AG545="","",VLOOKUP(AG545,AH545:AU551,COLUMN()-COLUMN(AR544),FALSE))</f>
        <v/>
      </c>
      <c r="AZ545" s="286" t="str">
        <f>IF(AG545="","",VLOOKUP(AG545,AH545:AU551,COLUMN()-COLUMN(AR544),FALSE))</f>
        <v/>
      </c>
      <c r="BA545" s="286" t="str">
        <f>IF(AG545="","",VLOOKUP(AG545,AH545:AU551,COLUMN()-COLUMN(AR544),FALSE))</f>
        <v/>
      </c>
      <c r="BB545" s="286" t="str">
        <f>IF(AG545="","",VLOOKUP(AG545,AH545:AU551,COLUMN()-COLUMN(AR544),FALSE))</f>
        <v/>
      </c>
      <c r="BC545" s="286" t="str">
        <f>IF(AG545="","",VLOOKUP(AG545,AH545:AU551,COLUMN()-COLUMN(AR544),FALSE))</f>
        <v/>
      </c>
      <c r="BD545" s="286" t="str">
        <f>IF(AG545="","",VLOOKUP(AG545,AH545:AU551,COLUMN()-COLUMN(AR544),FALSE))</f>
        <v/>
      </c>
      <c r="BE545" s="286" t="str">
        <f>IF(AG545="","",VLOOKUP(AG545,AH545:AU551,COLUMN()-COLUMN(AR544),FALSE))</f>
        <v/>
      </c>
      <c r="BF545" s="301" t="str">
        <f>IF(AG545="","",VLOOKUP(AG545,AH545:AU551,COLUMN()-COLUMN(AR544),FALSE))</f>
        <v/>
      </c>
    </row>
    <row r="546" spans="1:58" ht="12" thickBot="1" x14ac:dyDescent="0.25">
      <c r="A546" s="62" t="s">
        <v>12261</v>
      </c>
      <c r="B546" s="62" t="s">
        <v>12216</v>
      </c>
      <c r="C546" s="62"/>
      <c r="D546" s="62"/>
      <c r="E546" s="345" t="s">
        <v>10085</v>
      </c>
      <c r="F546" s="345" t="s">
        <v>8121</v>
      </c>
      <c r="G546" s="113">
        <v>0</v>
      </c>
      <c r="H546" s="113">
        <v>0</v>
      </c>
      <c r="I546" s="114"/>
      <c r="J546" s="114">
        <v>1</v>
      </c>
      <c r="K546" s="114">
        <v>2</v>
      </c>
      <c r="L546" s="81"/>
      <c r="M546" s="265" t="b">
        <f>NOT(ISERROR(ResultsInd[[#This Row],[Goal-A]]+ResultsInd[[#This Row],[Goal-B]]))</f>
        <v>1</v>
      </c>
      <c r="N546" s="265">
        <f>VALUE(ResultsInd[[#This Row],[Score-A]])</f>
        <v>0</v>
      </c>
      <c r="O546" s="265">
        <f>VALUE(ResultsInd[[#This Row],[Score-B]])</f>
        <v>0</v>
      </c>
      <c r="P546" s="265">
        <f ca="1">IF(AND(ResultsInd[[#This Row],[Category]]&lt;&gt;"",ResultsInd[[#This Row],[Player A]]&lt;&gt;""),COUNTIF(INDIRECT(ResultsInd[[#This Row],[Category]]&amp;"List[Retained Player Name]"),ResultsInd[[#This Row],[Player A]]),"")</f>
        <v>1</v>
      </c>
      <c r="Q546" s="265">
        <f ca="1">IF(AND(ResultsInd[[#This Row],[Category]]&lt;&gt;"",ResultsInd[[#This Row],[Player B]]&lt;&gt;""),COUNTIF(INDIRECT(ResultsInd[[#This Row],[Category]]&amp;"List[Retained Player Name]"),ResultsInd[[#This Row],[Player B]]),"")</f>
        <v>1</v>
      </c>
      <c r="R5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6" s="265" t="str">
        <f>IF(ResultsInd[[#This Row],[Score_OK]],IF(ResultsInd[[#This Row],[Stage]]="Groups",ResultsInd[[#This Row],[Category]]&amp;"-"&amp;IF(ResultsInd[[#This Row],[Player B]]="","",IF(ResultsInd[[#This Row],[Score-A]]=ResultsInd[[#This Row],[Score-B]],ResultsInd[[#This Row],[Player A]],"")),""),"")</f>
        <v/>
      </c>
      <c r="T546" s="265" t="str">
        <f>IF(ResultsInd[[#This Row],[Score_OK]],IF(ResultsInd[[#This Row],[Stage]]="Groups",ResultsInd[[#This Row],[Category]]&amp;"-"&amp;IF(ResultsInd[[#This Row],[Player B]]="","",IF(ResultsInd[[#This Row],[Score-A]]=ResultsInd[[#This Row],[Score-B]],ResultsInd[[#This Row],[Player B]],"")),""),"")</f>
        <v/>
      </c>
      <c r="U5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VETERANS-Claudio Dogali</v>
      </c>
      <c r="W5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6" s="264" t="str">
        <f>IF(ResultsInd[[#This Row],[Category]]="","",VLOOKUP(ResultsInd[[#This Row],[Stage]],$P$1:$V$9,MATCH(ResultsInd[[#This Row],[Category]],$Q$1:$V$1,0)+1,FALSE))</f>
        <v>L32</v>
      </c>
      <c r="Z546" s="264" t="str">
        <f>IF(ResultsInd[[#This Row],[Score_OK]],IF(ResultsInd[[#This Row],[Level]]="R",ResultsInd[[#This Row],[Category]]&amp;"-"&amp;IF(ResultsInd[[#This Row],[LoseInKO]]=ResultsInd[[#This Row],[Category]]&amp;"-"&amp;ResultsInd[[#This Row],[Player A]],ResultsInd[[#This Row],[Player B]],ResultsInd[[#This Row],[Player A]]),""),"")</f>
        <v/>
      </c>
      <c r="AB546" s="8"/>
      <c r="AC546" s="12" t="str">
        <f t="shared" ref="AC546:AC551" si="479">IF(AC545="","",AC545)</f>
        <v/>
      </c>
      <c r="AD546" s="309"/>
      <c r="AE546" s="320"/>
      <c r="AF546" s="311"/>
      <c r="AG546" s="292" t="str">
        <f>IF(AP546="","",SMALL(AH545:AH551,ROWS(AG545:AG546)))</f>
        <v/>
      </c>
      <c r="AH546" s="293" t="str">
        <f>IF(AP546="","",RANK(AL546,AL545:AL551)*1000+ROWS(AH545:AH546))</f>
        <v/>
      </c>
      <c r="AI546" s="316" t="str">
        <f t="shared" si="473"/>
        <v/>
      </c>
      <c r="AJ546" s="415" t="b">
        <f>AND(AO546&lt;&gt;"",AO546&gt;0,COUNTIF(AI545:AI551,AI546)&gt;1)</f>
        <v>0</v>
      </c>
      <c r="AK546" s="316" t="str">
        <f t="shared" si="474"/>
        <v/>
      </c>
      <c r="AL546" s="317" t="str">
        <f t="shared" si="475"/>
        <v/>
      </c>
      <c r="AM546" s="415" t="b">
        <f>AND(AO546&lt;&gt;"",AO546&gt;0,COUNTIF(AL545:AL551,AL546)&gt;1)</f>
        <v>0</v>
      </c>
      <c r="AN546" s="306" t="str">
        <f t="shared" si="476"/>
        <v/>
      </c>
      <c r="AO546" s="307" t="str">
        <f t="shared" si="477"/>
        <v/>
      </c>
      <c r="AP546" s="307" t="str">
        <f>IF(OR(AC544="",AD546=""),"",COUNTIF(ResultsInd[Win],AC544&amp;"-"&amp;AD546))</f>
        <v/>
      </c>
      <c r="AQ546" s="307" t="str">
        <f>IF(OR(AC544="",AD546=""),"",COUNTIF(ResultsInd[Draw1],AC544&amp;"-"&amp;AD546)+COUNTIF(ResultsInd[Draw2],AC544&amp;"-"&amp;AD546))</f>
        <v/>
      </c>
      <c r="AR546" s="307" t="str">
        <f>IF(OR(AC544="",AD546=""),"",COUNTIF(ResultsInd[Lose],AC544&amp;"-"&amp;AD546))</f>
        <v/>
      </c>
      <c r="AS546" s="307" t="str">
        <f>IF(OR(AC544="",AD546=""),"",SUMIFS(ResultsInd[Goal-A],ResultsInd[Category],AC544,ResultsInd[Stage],"Groups",ResultsInd[Player A],AD546)+SUMIFS(ResultsInd[Goal-B],ResultsInd[Category],AC544,ResultsInd[Stage],"Groups",ResultsInd[Player B],AD546))</f>
        <v/>
      </c>
      <c r="AT546" s="307" t="str">
        <f>IF(OR(AC544="",AD546=""),"",SUMIFS(ResultsInd[Goal-B],ResultsInd[Category],AC544,ResultsInd[Stage],"Groups",ResultsInd[Player A],AD546)+SUMIFS(ResultsInd[Goal-A],ResultsInd[Category],AC544,ResultsInd[Stage],"Groups",ResultsInd[Player B],AD546))</f>
        <v/>
      </c>
      <c r="AU546" s="308" t="str">
        <f t="shared" ref="AU546:AU551" si="480">IF(AP546="","",AS546-AT546)</f>
        <v/>
      </c>
      <c r="AV546" s="469" t="str">
        <f>IF(AG546="","",OR(VLOOKUP(AG546,AH545:AU551,3,FALSE),VLOOKUP(AG546,AH545:AU551,6,FALSE)))</f>
        <v/>
      </c>
      <c r="AW546" s="298" t="str">
        <f t="shared" si="478"/>
        <v/>
      </c>
      <c r="AX546" s="285" t="str">
        <f>IF(AG546="","",INDEX(AD545:AD551,MATCH(AG546,AH545:AH551,0)))</f>
        <v/>
      </c>
      <c r="AY546" s="286" t="str">
        <f>IF(AG546="","",VLOOKUP(AG546,AH545:AU551,COLUMN()-COLUMN(AR544),FALSE))</f>
        <v/>
      </c>
      <c r="AZ546" s="286" t="str">
        <f>IF(AG546="","",VLOOKUP(AG546,AH545:AU551,COLUMN()-COLUMN(AR544),FALSE))</f>
        <v/>
      </c>
      <c r="BA546" s="286" t="str">
        <f>IF(AG546="","",VLOOKUP(AG546,AH545:AU551,COLUMN()-COLUMN(AR544),FALSE))</f>
        <v/>
      </c>
      <c r="BB546" s="286" t="str">
        <f>IF(AG546="","",VLOOKUP(AG546,AH545:AU551,COLUMN()-COLUMN(AR544),FALSE))</f>
        <v/>
      </c>
      <c r="BC546" s="286" t="str">
        <f>IF(AG546="","",VLOOKUP(AG546,AH545:AU551,COLUMN()-COLUMN(AR544),FALSE))</f>
        <v/>
      </c>
      <c r="BD546" s="286" t="str">
        <f>IF(AG546="","",VLOOKUP(AG546,AH545:AU551,COLUMN()-COLUMN(AR544),FALSE))</f>
        <v/>
      </c>
      <c r="BE546" s="286" t="str">
        <f>IF(AG546="","",VLOOKUP(AG546,AH545:AU551,COLUMN()-COLUMN(AR544),FALSE))</f>
        <v/>
      </c>
      <c r="BF546" s="301" t="str">
        <f>IF(AG546="","",VLOOKUP(AG546,AH545:AU551,COLUMN()-COLUMN(AR544),FALSE))</f>
        <v/>
      </c>
    </row>
    <row r="547" spans="1:58" ht="12" thickBot="1" x14ac:dyDescent="0.25">
      <c r="A547" s="62" t="s">
        <v>12261</v>
      </c>
      <c r="B547" s="62" t="s">
        <v>12216</v>
      </c>
      <c r="C547" s="62"/>
      <c r="D547" s="62"/>
      <c r="E547" s="345" t="s">
        <v>10441</v>
      </c>
      <c r="F547" s="345" t="s">
        <v>9577</v>
      </c>
      <c r="G547" s="113">
        <v>0</v>
      </c>
      <c r="H547" s="113">
        <v>1</v>
      </c>
      <c r="I547" s="114"/>
      <c r="J547" s="114"/>
      <c r="K547" s="114"/>
      <c r="L547" s="81"/>
      <c r="M547" s="265" t="b">
        <f>NOT(ISERROR(ResultsInd[[#This Row],[Goal-A]]+ResultsInd[[#This Row],[Goal-B]]))</f>
        <v>1</v>
      </c>
      <c r="N547" s="265">
        <f>VALUE(ResultsInd[[#This Row],[Score-A]])</f>
        <v>0</v>
      </c>
      <c r="O547" s="265">
        <f>VALUE(ResultsInd[[#This Row],[Score-B]])</f>
        <v>1</v>
      </c>
      <c r="P547" s="265">
        <f ca="1">IF(AND(ResultsInd[[#This Row],[Category]]&lt;&gt;"",ResultsInd[[#This Row],[Player A]]&lt;&gt;""),COUNTIF(INDIRECT(ResultsInd[[#This Row],[Category]]&amp;"List[Retained Player Name]"),ResultsInd[[#This Row],[Player A]]),"")</f>
        <v>1</v>
      </c>
      <c r="Q547" s="265">
        <f ca="1">IF(AND(ResultsInd[[#This Row],[Category]]&lt;&gt;"",ResultsInd[[#This Row],[Player B]]&lt;&gt;""),COUNTIF(INDIRECT(ResultsInd[[#This Row],[Category]]&amp;"List[Retained Player Name]"),ResultsInd[[#This Row],[Player B]]),"")</f>
        <v>1</v>
      </c>
      <c r="R5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7" s="265" t="str">
        <f>IF(ResultsInd[[#This Row],[Score_OK]],IF(ResultsInd[[#This Row],[Stage]]="Groups",ResultsInd[[#This Row],[Category]]&amp;"-"&amp;IF(ResultsInd[[#This Row],[Player B]]="","",IF(ResultsInd[[#This Row],[Score-A]]=ResultsInd[[#This Row],[Score-B]],ResultsInd[[#This Row],[Player A]],"")),""),"")</f>
        <v/>
      </c>
      <c r="T547" s="265" t="str">
        <f>IF(ResultsInd[[#This Row],[Score_OK]],IF(ResultsInd[[#This Row],[Stage]]="Groups",ResultsInd[[#This Row],[Category]]&amp;"-"&amp;IF(ResultsInd[[#This Row],[Player B]]="","",IF(ResultsInd[[#This Row],[Score-A]]=ResultsInd[[#This Row],[Score-B]],ResultsInd[[#This Row],[Player B]],"")),""),"")</f>
        <v/>
      </c>
      <c r="U5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VETERANS-Frank Chetcuti Dimech</v>
      </c>
      <c r="W5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7" s="264" t="str">
        <f>IF(ResultsInd[[#This Row],[Category]]="","",VLOOKUP(ResultsInd[[#This Row],[Stage]],$P$1:$V$9,MATCH(ResultsInd[[#This Row],[Category]],$Q$1:$V$1,0)+1,FALSE))</f>
        <v>L32</v>
      </c>
      <c r="Z547" s="264" t="str">
        <f>IF(ResultsInd[[#This Row],[Score_OK]],IF(ResultsInd[[#This Row],[Level]]="R",ResultsInd[[#This Row],[Category]]&amp;"-"&amp;IF(ResultsInd[[#This Row],[LoseInKO]]=ResultsInd[[#This Row],[Category]]&amp;"-"&amp;ResultsInd[[#This Row],[Player A]],ResultsInd[[#This Row],[Player B]],ResultsInd[[#This Row],[Player A]]),""),"")</f>
        <v/>
      </c>
      <c r="AB547" s="8"/>
      <c r="AC547" s="12" t="str">
        <f t="shared" si="479"/>
        <v/>
      </c>
      <c r="AD547" s="309"/>
      <c r="AE547" s="320"/>
      <c r="AF547" s="311"/>
      <c r="AG547" s="292" t="str">
        <f>IF(AP547="","",SMALL(AH545:AH551,ROWS(AG545:AG547)))</f>
        <v/>
      </c>
      <c r="AH547" s="293" t="str">
        <f>IF(AP547="","",RANK(AL547,AL545:AL551)*1000+ROWS(AH545:AH547))</f>
        <v/>
      </c>
      <c r="AI547" s="316" t="str">
        <f t="shared" si="473"/>
        <v/>
      </c>
      <c r="AJ547" s="415" t="b">
        <f>AND(AO547&lt;&gt;"",AO547&gt;0,COUNTIF(AI545:AI551,AI547)&gt;1)</f>
        <v>0</v>
      </c>
      <c r="AK547" s="316" t="str">
        <f t="shared" si="474"/>
        <v/>
      </c>
      <c r="AL547" s="317" t="str">
        <f t="shared" si="475"/>
        <v/>
      </c>
      <c r="AM547" s="415" t="b">
        <f>AND(AO547&lt;&gt;"",AO547&gt;0,COUNTIF(AL545:AL551,AL547)&gt;1)</f>
        <v>0</v>
      </c>
      <c r="AN547" s="306" t="str">
        <f t="shared" si="476"/>
        <v/>
      </c>
      <c r="AO547" s="307" t="str">
        <f t="shared" si="477"/>
        <v/>
      </c>
      <c r="AP547" s="307" t="str">
        <f>IF(OR(AC544="",AD547=""),"",COUNTIF(ResultsInd[Win],AC544&amp;"-"&amp;AD547))</f>
        <v/>
      </c>
      <c r="AQ547" s="307" t="str">
        <f>IF(OR(AC544="",AD547=""),"",COUNTIF(ResultsInd[Draw1],AC544&amp;"-"&amp;AD547)+COUNTIF(ResultsInd[Draw2],AC544&amp;"-"&amp;AD547))</f>
        <v/>
      </c>
      <c r="AR547" s="307" t="str">
        <f>IF(OR(AC544="",AD547=""),"",COUNTIF(ResultsInd[Lose],AC544&amp;"-"&amp;AD547))</f>
        <v/>
      </c>
      <c r="AS547" s="307" t="str">
        <f>IF(OR(AC544="",AD547=""),"",SUMIFS(ResultsInd[Goal-A],ResultsInd[Category],AC544,ResultsInd[Stage],"Groups",ResultsInd[Player A],AD547)+SUMIFS(ResultsInd[Goal-B],ResultsInd[Category],AC544,ResultsInd[Stage],"Groups",ResultsInd[Player B],AD547))</f>
        <v/>
      </c>
      <c r="AT547" s="307" t="str">
        <f>IF(OR(AC544="",AD547=""),"",SUMIFS(ResultsInd[Goal-B],ResultsInd[Category],AC544,ResultsInd[Stage],"Groups",ResultsInd[Player A],AD547)+SUMIFS(ResultsInd[Goal-A],ResultsInd[Category],AC544,ResultsInd[Stage],"Groups",ResultsInd[Player B],AD547))</f>
        <v/>
      </c>
      <c r="AU547" s="308" t="str">
        <f t="shared" si="480"/>
        <v/>
      </c>
      <c r="AV547" s="469" t="str">
        <f>IF(AG547="","",OR(VLOOKUP(AG547,AH545:AU551,3,FALSE),VLOOKUP(AG547,AH545:AU551,6,FALSE)))</f>
        <v/>
      </c>
      <c r="AW547" s="298" t="str">
        <f t="shared" si="478"/>
        <v/>
      </c>
      <c r="AX547" s="285" t="str">
        <f>IF(AG547="","",INDEX(AD545:AD551,MATCH(AG547,AH545:AH551,0)))</f>
        <v/>
      </c>
      <c r="AY547" s="286" t="str">
        <f>IF(AG547="","",VLOOKUP(AG547,AH545:AU551,COLUMN()-COLUMN(AR544),FALSE))</f>
        <v/>
      </c>
      <c r="AZ547" s="286" t="str">
        <f>IF(AG547="","",VLOOKUP(AG547,AH545:AU551,COLUMN()-COLUMN(AR544),FALSE))</f>
        <v/>
      </c>
      <c r="BA547" s="286" t="str">
        <f>IF(AG547="","",VLOOKUP(AG547,AH545:AU551,COLUMN()-COLUMN(AR544),FALSE))</f>
        <v/>
      </c>
      <c r="BB547" s="286" t="str">
        <f>IF(AG547="","",VLOOKUP(AG547,AH545:AU551,COLUMN()-COLUMN(AR544),FALSE))</f>
        <v/>
      </c>
      <c r="BC547" s="286" t="str">
        <f>IF(AG547="","",VLOOKUP(AG547,AH545:AU551,COLUMN()-COLUMN(AR544),FALSE))</f>
        <v/>
      </c>
      <c r="BD547" s="286" t="str">
        <f>IF(AG547="","",VLOOKUP(AG547,AH545:AU551,COLUMN()-COLUMN(AR544),FALSE))</f>
        <v/>
      </c>
      <c r="BE547" s="286" t="str">
        <f>IF(AG547="","",VLOOKUP(AG547,AH545:AU551,COLUMN()-COLUMN(AR544),FALSE))</f>
        <v/>
      </c>
      <c r="BF547" s="301" t="str">
        <f>IF(AG547="","",VLOOKUP(AG547,AH545:AU551,COLUMN()-COLUMN(AR544),FALSE))</f>
        <v/>
      </c>
    </row>
    <row r="548" spans="1:58" ht="12" thickBot="1" x14ac:dyDescent="0.25">
      <c r="A548" s="62" t="s">
        <v>12261</v>
      </c>
      <c r="B548" s="62" t="s">
        <v>12216</v>
      </c>
      <c r="C548" s="62"/>
      <c r="D548" s="62"/>
      <c r="E548" s="345" t="s">
        <v>8600</v>
      </c>
      <c r="F548" s="345" t="s">
        <v>8542</v>
      </c>
      <c r="G548" s="113">
        <v>3</v>
      </c>
      <c r="H548" s="113">
        <v>0</v>
      </c>
      <c r="I548" s="114"/>
      <c r="J548" s="114"/>
      <c r="K548" s="114"/>
      <c r="L548" s="81"/>
      <c r="M548" s="265" t="b">
        <f>NOT(ISERROR(ResultsInd[[#This Row],[Goal-A]]+ResultsInd[[#This Row],[Goal-B]]))</f>
        <v>1</v>
      </c>
      <c r="N548" s="265">
        <f>VALUE(ResultsInd[[#This Row],[Score-A]])</f>
        <v>3</v>
      </c>
      <c r="O548" s="265">
        <f>VALUE(ResultsInd[[#This Row],[Score-B]])</f>
        <v>0</v>
      </c>
      <c r="P548" s="265">
        <f ca="1">IF(AND(ResultsInd[[#This Row],[Category]]&lt;&gt;"",ResultsInd[[#This Row],[Player A]]&lt;&gt;""),COUNTIF(INDIRECT(ResultsInd[[#This Row],[Category]]&amp;"List[Retained Player Name]"),ResultsInd[[#This Row],[Player A]]),"")</f>
        <v>1</v>
      </c>
      <c r="Q548" s="265">
        <f ca="1">IF(AND(ResultsInd[[#This Row],[Category]]&lt;&gt;"",ResultsInd[[#This Row],[Player B]]&lt;&gt;""),COUNTIF(INDIRECT(ResultsInd[[#This Row],[Category]]&amp;"List[Retained Player Name]"),ResultsInd[[#This Row],[Player B]]),"")</f>
        <v>1</v>
      </c>
      <c r="R5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8" s="265" t="str">
        <f>IF(ResultsInd[[#This Row],[Score_OK]],IF(ResultsInd[[#This Row],[Stage]]="Groups",ResultsInd[[#This Row],[Category]]&amp;"-"&amp;IF(ResultsInd[[#This Row],[Player B]]="","",IF(ResultsInd[[#This Row],[Score-A]]=ResultsInd[[#This Row],[Score-B]],ResultsInd[[#This Row],[Player A]],"")),""),"")</f>
        <v/>
      </c>
      <c r="T548" s="265" t="str">
        <f>IF(ResultsInd[[#This Row],[Score_OK]],IF(ResultsInd[[#This Row],[Stage]]="Groups",ResultsInd[[#This Row],[Category]]&amp;"-"&amp;IF(ResultsInd[[#This Row],[Player B]]="","",IF(ResultsInd[[#This Row],[Score-A]]=ResultsInd[[#This Row],[Score-B]],ResultsInd[[#This Row],[Player B]],"")),""),"")</f>
        <v/>
      </c>
      <c r="U5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VETERANS-Aaron Skinner</v>
      </c>
      <c r="W5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8" s="264" t="str">
        <f>IF(ResultsInd[[#This Row],[Category]]="","",VLOOKUP(ResultsInd[[#This Row],[Stage]],$P$1:$V$9,MATCH(ResultsInd[[#This Row],[Category]],$Q$1:$V$1,0)+1,FALSE))</f>
        <v>L32</v>
      </c>
      <c r="Z548" s="264" t="str">
        <f>IF(ResultsInd[[#This Row],[Score_OK]],IF(ResultsInd[[#This Row],[Level]]="R",ResultsInd[[#This Row],[Category]]&amp;"-"&amp;IF(ResultsInd[[#This Row],[LoseInKO]]=ResultsInd[[#This Row],[Category]]&amp;"-"&amp;ResultsInd[[#This Row],[Player A]],ResultsInd[[#This Row],[Player B]],ResultsInd[[#This Row],[Player A]]),""),"")</f>
        <v/>
      </c>
      <c r="AB548" s="91"/>
      <c r="AC548" s="12" t="str">
        <f t="shared" si="479"/>
        <v/>
      </c>
      <c r="AD548" s="309"/>
      <c r="AE548" s="310"/>
      <c r="AF548" s="311"/>
      <c r="AG548" s="292" t="str">
        <f>IF(AP548="","",SMALL(AH545:AH551,ROWS(AG545:AG548)))</f>
        <v/>
      </c>
      <c r="AH548" s="293" t="str">
        <f>IF(AP548="","",RANK(AL548,AL545:AL551)*1000+ROWS(AH545:AH548))</f>
        <v/>
      </c>
      <c r="AI548" s="316" t="str">
        <f t="shared" si="473"/>
        <v/>
      </c>
      <c r="AJ548" s="415" t="b">
        <f>AND(AO548&lt;&gt;"",AO548&gt;0,COUNTIF(AI545:AI551,AI548)&gt;1)</f>
        <v>0</v>
      </c>
      <c r="AK548" s="316" t="str">
        <f t="shared" si="474"/>
        <v/>
      </c>
      <c r="AL548" s="317" t="str">
        <f t="shared" si="475"/>
        <v/>
      </c>
      <c r="AM548" s="415" t="b">
        <f>AND(AO548&lt;&gt;"",AO548&gt;0,COUNTIF(AL545:AL551,AL548)&gt;1)</f>
        <v>0</v>
      </c>
      <c r="AN548" s="306" t="str">
        <f t="shared" si="476"/>
        <v/>
      </c>
      <c r="AO548" s="307" t="str">
        <f t="shared" si="477"/>
        <v/>
      </c>
      <c r="AP548" s="307" t="str">
        <f>IF(OR(AC544="",AD548=""),"",COUNTIF(ResultsInd[Win],AC544&amp;"-"&amp;AD548))</f>
        <v/>
      </c>
      <c r="AQ548" s="307" t="str">
        <f>IF(OR(AC544="",AD548=""),"",COUNTIF(ResultsInd[Draw1],AC544&amp;"-"&amp;AD548)+COUNTIF(ResultsInd[Draw2],AC544&amp;"-"&amp;AD548))</f>
        <v/>
      </c>
      <c r="AR548" s="307" t="str">
        <f>IF(OR(AC544="",AD548=""),"",COUNTIF(ResultsInd[Lose],AC544&amp;"-"&amp;AD548))</f>
        <v/>
      </c>
      <c r="AS548" s="307" t="str">
        <f>IF(OR(AC544="",AD548=""),"",SUMIFS(ResultsInd[Goal-A],ResultsInd[Category],AC544,ResultsInd[Stage],"Groups",ResultsInd[Player A],AD548)+SUMIFS(ResultsInd[Goal-B],ResultsInd[Category],AC544,ResultsInd[Stage],"Groups",ResultsInd[Player B],AD548))</f>
        <v/>
      </c>
      <c r="AT548" s="307" t="str">
        <f>IF(OR(AC544="",AD548=""),"",SUMIFS(ResultsInd[Goal-B],ResultsInd[Category],AC544,ResultsInd[Stage],"Groups",ResultsInd[Player A],AD548)+SUMIFS(ResultsInd[Goal-A],ResultsInd[Category],AC544,ResultsInd[Stage],"Groups",ResultsInd[Player B],AD548))</f>
        <v/>
      </c>
      <c r="AU548" s="308" t="str">
        <f t="shared" si="480"/>
        <v/>
      </c>
      <c r="AV548" s="469" t="str">
        <f>IF(AG548="","",OR(VLOOKUP(AG548,AH545:AU551,3,FALSE),VLOOKUP(AG548,AH545:AU551,6,FALSE)))</f>
        <v/>
      </c>
      <c r="AW548" s="298" t="str">
        <f t="shared" si="478"/>
        <v/>
      </c>
      <c r="AX548" s="285" t="str">
        <f>IF(AG548="","",INDEX(AD545:AD551,MATCH(AG548,AH545:AH551,0)))</f>
        <v/>
      </c>
      <c r="AY548" s="286" t="str">
        <f>IF(AG548="","",VLOOKUP(AG548,AH545:AU551,COLUMN()-COLUMN(AR544),FALSE))</f>
        <v/>
      </c>
      <c r="AZ548" s="286" t="str">
        <f>IF(AG548="","",VLOOKUP(AG548,AH545:AU551,COLUMN()-COLUMN(AR544),FALSE))</f>
        <v/>
      </c>
      <c r="BA548" s="286" t="str">
        <f>IF(AG548="","",VLOOKUP(AG548,AH545:AU551,COLUMN()-COLUMN(AR544),FALSE))</f>
        <v/>
      </c>
      <c r="BB548" s="286" t="str">
        <f>IF(AG548="","",VLOOKUP(AG548,AH545:AU551,COLUMN()-COLUMN(AR544),FALSE))</f>
        <v/>
      </c>
      <c r="BC548" s="286" t="str">
        <f>IF(AG548="","",VLOOKUP(AG548,AH545:AU551,COLUMN()-COLUMN(AR544),FALSE))</f>
        <v/>
      </c>
      <c r="BD548" s="286" t="str">
        <f>IF(AG548="","",VLOOKUP(AG548,AH545:AU551,COLUMN()-COLUMN(AR544),FALSE))</f>
        <v/>
      </c>
      <c r="BE548" s="286" t="str">
        <f>IF(AG548="","",VLOOKUP(AG548,AH545:AU551,COLUMN()-COLUMN(AR544),FALSE))</f>
        <v/>
      </c>
      <c r="BF548" s="301" t="str">
        <f>IF(AG548="","",VLOOKUP(AG548,AH545:AU551,COLUMN()-COLUMN(AR544),FALSE))</f>
        <v/>
      </c>
    </row>
    <row r="549" spans="1:58" ht="12" thickBot="1" x14ac:dyDescent="0.25">
      <c r="A549" s="62" t="s">
        <v>12261</v>
      </c>
      <c r="B549" s="62" t="s">
        <v>12216</v>
      </c>
      <c r="C549" s="62"/>
      <c r="D549" s="62"/>
      <c r="E549" s="345" t="s">
        <v>9744</v>
      </c>
      <c r="F549" s="345" t="s">
        <v>8062</v>
      </c>
      <c r="G549" s="113">
        <v>3</v>
      </c>
      <c r="H549" s="113">
        <v>2</v>
      </c>
      <c r="I549" s="114"/>
      <c r="J549" s="114"/>
      <c r="K549" s="114"/>
      <c r="L549" s="81"/>
      <c r="M549" s="265" t="b">
        <f>NOT(ISERROR(ResultsInd[[#This Row],[Goal-A]]+ResultsInd[[#This Row],[Goal-B]]))</f>
        <v>1</v>
      </c>
      <c r="N549" s="265">
        <f>VALUE(ResultsInd[[#This Row],[Score-A]])</f>
        <v>3</v>
      </c>
      <c r="O549" s="265">
        <f>VALUE(ResultsInd[[#This Row],[Score-B]])</f>
        <v>2</v>
      </c>
      <c r="P549" s="265">
        <f ca="1">IF(AND(ResultsInd[[#This Row],[Category]]&lt;&gt;"",ResultsInd[[#This Row],[Player A]]&lt;&gt;""),COUNTIF(INDIRECT(ResultsInd[[#This Row],[Category]]&amp;"List[Retained Player Name]"),ResultsInd[[#This Row],[Player A]]),"")</f>
        <v>1</v>
      </c>
      <c r="Q549" s="265">
        <f ca="1">IF(AND(ResultsInd[[#This Row],[Category]]&lt;&gt;"",ResultsInd[[#This Row],[Player B]]&lt;&gt;""),COUNTIF(INDIRECT(ResultsInd[[#This Row],[Category]]&amp;"List[Retained Player Name]"),ResultsInd[[#This Row],[Player B]]),"")</f>
        <v>1</v>
      </c>
      <c r="R5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9" s="265" t="str">
        <f>IF(ResultsInd[[#This Row],[Score_OK]],IF(ResultsInd[[#This Row],[Stage]]="Groups",ResultsInd[[#This Row],[Category]]&amp;"-"&amp;IF(ResultsInd[[#This Row],[Player B]]="","",IF(ResultsInd[[#This Row],[Score-A]]=ResultsInd[[#This Row],[Score-B]],ResultsInd[[#This Row],[Player A]],"")),""),"")</f>
        <v/>
      </c>
      <c r="T549" s="265" t="str">
        <f>IF(ResultsInd[[#This Row],[Score_OK]],IF(ResultsInd[[#This Row],[Stage]]="Groups",ResultsInd[[#This Row],[Category]]&amp;"-"&amp;IF(ResultsInd[[#This Row],[Player B]]="","",IF(ResultsInd[[#This Row],[Score-A]]=ResultsInd[[#This Row],[Score-B]],ResultsInd[[#This Row],[Player B]],"")),""),"")</f>
        <v/>
      </c>
      <c r="U5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VETERANS-David Busch</v>
      </c>
      <c r="W5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49" s="264" t="str">
        <f>IF(ResultsInd[[#This Row],[Category]]="","",VLOOKUP(ResultsInd[[#This Row],[Stage]],$P$1:$V$9,MATCH(ResultsInd[[#This Row],[Category]],$Q$1:$V$1,0)+1,FALSE))</f>
        <v>L32</v>
      </c>
      <c r="Z549" s="264" t="str">
        <f>IF(ResultsInd[[#This Row],[Score_OK]],IF(ResultsInd[[#This Row],[Level]]="R",ResultsInd[[#This Row],[Category]]&amp;"-"&amp;IF(ResultsInd[[#This Row],[LoseInKO]]=ResultsInd[[#This Row],[Category]]&amp;"-"&amp;ResultsInd[[#This Row],[Player A]],ResultsInd[[#This Row],[Player B]],ResultsInd[[#This Row],[Player A]]),""),"")</f>
        <v/>
      </c>
      <c r="AB549" s="91"/>
      <c r="AC549" s="12" t="str">
        <f t="shared" si="479"/>
        <v/>
      </c>
      <c r="AD549" s="309"/>
      <c r="AE549" s="310"/>
      <c r="AF549" s="311"/>
      <c r="AG549" s="292" t="str">
        <f>IF(AP549="","",SMALL(AH545:AH551,ROWS(AG545:AG549)))</f>
        <v/>
      </c>
      <c r="AH549" s="293" t="str">
        <f>IF(AP549="","",RANK(AL549,AL545:AL551)*1000+ROWS(AH545:AH549))</f>
        <v/>
      </c>
      <c r="AI549" s="316" t="str">
        <f t="shared" si="473"/>
        <v/>
      </c>
      <c r="AJ549" s="415" t="b">
        <f>AND(AO549&lt;&gt;"",AO549&gt;0,COUNTIF(AI545:AI551,AI549)&gt;1)</f>
        <v>0</v>
      </c>
      <c r="AK549" s="316" t="str">
        <f t="shared" si="474"/>
        <v/>
      </c>
      <c r="AL549" s="317" t="str">
        <f t="shared" si="475"/>
        <v/>
      </c>
      <c r="AM549" s="415" t="b">
        <f>AND(AO549&lt;&gt;"",AO549&gt;0,COUNTIF(AL545:AL551,AL549)&gt;1)</f>
        <v>0</v>
      </c>
      <c r="AN549" s="306" t="str">
        <f t="shared" si="476"/>
        <v/>
      </c>
      <c r="AO549" s="307" t="str">
        <f t="shared" si="477"/>
        <v/>
      </c>
      <c r="AP549" s="307" t="str">
        <f>IF(OR(AC544="",AD549=""),"",COUNTIF(ResultsInd[Win],AC544&amp;"-"&amp;AD549))</f>
        <v/>
      </c>
      <c r="AQ549" s="307" t="str">
        <f>IF(OR(AC544="",AD549=""),"",COUNTIF(ResultsInd[Draw1],AC544&amp;"-"&amp;AD549)+COUNTIF(ResultsInd[Draw2],AC544&amp;"-"&amp;AD549))</f>
        <v/>
      </c>
      <c r="AR549" s="307" t="str">
        <f>IF(OR(AC544="",AD549=""),"",COUNTIF(ResultsInd[Lose],AC544&amp;"-"&amp;AD549))</f>
        <v/>
      </c>
      <c r="AS549" s="307" t="str">
        <f>IF(OR(AC544="",AD549=""),"",SUMIFS(ResultsInd[Goal-A],ResultsInd[Category],AC544,ResultsInd[Stage],"Groups",ResultsInd[Player A],AD549)+SUMIFS(ResultsInd[Goal-B],ResultsInd[Category],AC544,ResultsInd[Stage],"Groups",ResultsInd[Player B],AD549))</f>
        <v/>
      </c>
      <c r="AT549" s="307" t="str">
        <f>IF(OR(AC544="",AD549=""),"",SUMIFS(ResultsInd[Goal-B],ResultsInd[Category],AC544,ResultsInd[Stage],"Groups",ResultsInd[Player A],AD549)+SUMIFS(ResultsInd[Goal-A],ResultsInd[Category],AC544,ResultsInd[Stage],"Groups",ResultsInd[Player B],AD549))</f>
        <v/>
      </c>
      <c r="AU549" s="308" t="str">
        <f t="shared" si="480"/>
        <v/>
      </c>
      <c r="AV549" s="469" t="str">
        <f>IF(AG549="","",OR(VLOOKUP(AG549,AH545:AU551,3,FALSE),VLOOKUP(AG549,AH545:AU551,6,FALSE)))</f>
        <v/>
      </c>
      <c r="AW549" s="298" t="str">
        <f t="shared" si="478"/>
        <v/>
      </c>
      <c r="AX549" s="285" t="str">
        <f>IF(AG549="","",INDEX(AD545:AD551,MATCH(AG549,AH545:AH551,0)))</f>
        <v/>
      </c>
      <c r="AY549" s="286" t="str">
        <f>IF(AG549="","",VLOOKUP(AG549,AH545:AU551,COLUMN()-COLUMN(AR544),FALSE))</f>
        <v/>
      </c>
      <c r="AZ549" s="286" t="str">
        <f>IF(AG549="","",VLOOKUP(AG549,AH545:AU551,COLUMN()-COLUMN(AR544),FALSE))</f>
        <v/>
      </c>
      <c r="BA549" s="286" t="str">
        <f>IF(AG549="","",VLOOKUP(AG549,AH545:AU551,COLUMN()-COLUMN(AR544),FALSE))</f>
        <v/>
      </c>
      <c r="BB549" s="286" t="str">
        <f>IF(AG549="","",VLOOKUP(AG549,AH545:AU551,COLUMN()-COLUMN(AR544),FALSE))</f>
        <v/>
      </c>
      <c r="BC549" s="286" t="str">
        <f>IF(AG549="","",VLOOKUP(AG549,AH545:AU551,COLUMN()-COLUMN(AR544),FALSE))</f>
        <v/>
      </c>
      <c r="BD549" s="286" t="str">
        <f>IF(AG549="","",VLOOKUP(AG549,AH545:AU551,COLUMN()-COLUMN(AR544),FALSE))</f>
        <v/>
      </c>
      <c r="BE549" s="286" t="str">
        <f>IF(AG549="","",VLOOKUP(AG549,AH545:AU551,COLUMN()-COLUMN(AR544),FALSE))</f>
        <v/>
      </c>
      <c r="BF549" s="301" t="str">
        <f>IF(AG549="","",VLOOKUP(AG549,AH545:AU551,COLUMN()-COLUMN(AR544),FALSE))</f>
        <v/>
      </c>
    </row>
    <row r="550" spans="1:58" ht="12" thickBot="1" x14ac:dyDescent="0.25">
      <c r="A550" s="62" t="s">
        <v>12261</v>
      </c>
      <c r="B550" s="62" t="s">
        <v>12216</v>
      </c>
      <c r="C550" s="62"/>
      <c r="D550" s="62"/>
      <c r="E550" s="345" t="s">
        <v>8163</v>
      </c>
      <c r="F550" s="345" t="s">
        <v>8519</v>
      </c>
      <c r="G550" s="113">
        <v>0</v>
      </c>
      <c r="H550" s="113">
        <v>3</v>
      </c>
      <c r="I550" s="114"/>
      <c r="J550" s="114"/>
      <c r="K550" s="114"/>
      <c r="L550" s="81"/>
      <c r="M550" s="265" t="b">
        <f>NOT(ISERROR(ResultsInd[[#This Row],[Goal-A]]+ResultsInd[[#This Row],[Goal-B]]))</f>
        <v>1</v>
      </c>
      <c r="N550" s="265">
        <f>VALUE(ResultsInd[[#This Row],[Score-A]])</f>
        <v>0</v>
      </c>
      <c r="O550" s="265">
        <f>VALUE(ResultsInd[[#This Row],[Score-B]])</f>
        <v>3</v>
      </c>
      <c r="P550" s="265">
        <f ca="1">IF(AND(ResultsInd[[#This Row],[Category]]&lt;&gt;"",ResultsInd[[#This Row],[Player A]]&lt;&gt;""),COUNTIF(INDIRECT(ResultsInd[[#This Row],[Category]]&amp;"List[Retained Player Name]"),ResultsInd[[#This Row],[Player A]]),"")</f>
        <v>1</v>
      </c>
      <c r="Q550" s="265">
        <f ca="1">IF(AND(ResultsInd[[#This Row],[Category]]&lt;&gt;"",ResultsInd[[#This Row],[Player B]]&lt;&gt;""),COUNTIF(INDIRECT(ResultsInd[[#This Row],[Category]]&amp;"List[Retained Player Name]"),ResultsInd[[#This Row],[Player B]]),"")</f>
        <v>1</v>
      </c>
      <c r="R5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0" s="265" t="str">
        <f>IF(ResultsInd[[#This Row],[Score_OK]],IF(ResultsInd[[#This Row],[Stage]]="Groups",ResultsInd[[#This Row],[Category]]&amp;"-"&amp;IF(ResultsInd[[#This Row],[Player B]]="","",IF(ResultsInd[[#This Row],[Score-A]]=ResultsInd[[#This Row],[Score-B]],ResultsInd[[#This Row],[Player A]],"")),""),"")</f>
        <v/>
      </c>
      <c r="T550" s="265" t="str">
        <f>IF(ResultsInd[[#This Row],[Score_OK]],IF(ResultsInd[[#This Row],[Stage]]="Groups",ResultsInd[[#This Row],[Category]]&amp;"-"&amp;IF(ResultsInd[[#This Row],[Player B]]="","",IF(ResultsInd[[#This Row],[Score-A]]=ResultsInd[[#This Row],[Score-B]],ResultsInd[[#This Row],[Player B]],"")),""),"")</f>
        <v/>
      </c>
      <c r="U5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VETERANS-Yves Peremans</v>
      </c>
      <c r="W5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0" s="264" t="str">
        <f>IF(ResultsInd[[#This Row],[Category]]="","",VLOOKUP(ResultsInd[[#This Row],[Stage]],$P$1:$V$9,MATCH(ResultsInd[[#This Row],[Category]],$Q$1:$V$1,0)+1,FALSE))</f>
        <v>L32</v>
      </c>
      <c r="Z550" s="264" t="str">
        <f>IF(ResultsInd[[#This Row],[Score_OK]],IF(ResultsInd[[#This Row],[Level]]="R",ResultsInd[[#This Row],[Category]]&amp;"-"&amp;IF(ResultsInd[[#This Row],[LoseInKO]]=ResultsInd[[#This Row],[Category]]&amp;"-"&amp;ResultsInd[[#This Row],[Player A]],ResultsInd[[#This Row],[Player B]],ResultsInd[[#This Row],[Player A]]),""),"")</f>
        <v/>
      </c>
      <c r="AB550" s="8"/>
      <c r="AC550" s="12" t="str">
        <f t="shared" si="479"/>
        <v/>
      </c>
      <c r="AD550" s="309"/>
      <c r="AE550" s="310"/>
      <c r="AF550" s="311"/>
      <c r="AG550" s="292" t="str">
        <f>IF(AP550="","",SMALL(AH545:AH551,ROWS(AG545:AG550)))</f>
        <v/>
      </c>
      <c r="AH550" s="293" t="str">
        <f>IF(AP550="","",RANK(AL550,AL545:AL551)*1000+ROWS(AH545:AH550))</f>
        <v/>
      </c>
      <c r="AI550" s="316" t="str">
        <f t="shared" si="473"/>
        <v/>
      </c>
      <c r="AJ550" s="415" t="b">
        <f>AND(AO550&lt;&gt;"",AO550&gt;0,COUNTIF(AI545:AI551,AI550)&gt;1)</f>
        <v>0</v>
      </c>
      <c r="AK550" s="316" t="str">
        <f t="shared" si="474"/>
        <v/>
      </c>
      <c r="AL550" s="317" t="str">
        <f t="shared" si="475"/>
        <v/>
      </c>
      <c r="AM550" s="415" t="b">
        <f>AND(AO550&lt;&gt;"",AO550&gt;0,COUNTIF(AL545:AL551,AL550)&gt;1)</f>
        <v>0</v>
      </c>
      <c r="AN550" s="306" t="str">
        <f t="shared" si="476"/>
        <v/>
      </c>
      <c r="AO550" s="307" t="str">
        <f t="shared" si="477"/>
        <v/>
      </c>
      <c r="AP550" s="307" t="str">
        <f>IF(OR(AC544="",AD550=""),"",COUNTIF(ResultsInd[Win],AC544&amp;"-"&amp;AD550))</f>
        <v/>
      </c>
      <c r="AQ550" s="307" t="str">
        <f>IF(OR(AC544="",AD550=""),"",COUNTIF(ResultsInd[Draw1],AC544&amp;"-"&amp;AD550)+COUNTIF(ResultsInd[Draw2],AC544&amp;"-"&amp;AD550))</f>
        <v/>
      </c>
      <c r="AR550" s="307" t="str">
        <f>IF(OR(AC544="",AD550=""),"",COUNTIF(ResultsInd[Lose],AC544&amp;"-"&amp;AD550))</f>
        <v/>
      </c>
      <c r="AS550" s="307" t="str">
        <f>IF(OR(AC544="",AD550=""),"",SUMIFS(ResultsInd[Goal-A],ResultsInd[Category],AC544,ResultsInd[Stage],"Groups",ResultsInd[Player A],AD550)+SUMIFS(ResultsInd[Goal-B],ResultsInd[Category],AC544,ResultsInd[Stage],"Groups",ResultsInd[Player B],AD550))</f>
        <v/>
      </c>
      <c r="AT550" s="307" t="str">
        <f>IF(OR(AC544="",AD550=""),"",SUMIFS(ResultsInd[Goal-B],ResultsInd[Category],AC544,ResultsInd[Stage],"Groups",ResultsInd[Player A],AD550)+SUMIFS(ResultsInd[Goal-A],ResultsInd[Category],AC544,ResultsInd[Stage],"Groups",ResultsInd[Player B],AD550))</f>
        <v/>
      </c>
      <c r="AU550" s="308" t="str">
        <f t="shared" si="480"/>
        <v/>
      </c>
      <c r="AV550" s="469" t="str">
        <f>IF(AG550="","",OR(VLOOKUP(AG550,AH545:AU551,3,FALSE),VLOOKUP(AG550,AH545:AU551,6,FALSE)))</f>
        <v/>
      </c>
      <c r="AW550" s="298" t="str">
        <f t="shared" si="478"/>
        <v/>
      </c>
      <c r="AX550" s="285" t="str">
        <f>IF(AG550="","",INDEX(AD545:AD551,MATCH(AG550,AH545:AH551,0)))</f>
        <v/>
      </c>
      <c r="AY550" s="286" t="str">
        <f>IF(AG550="","",VLOOKUP(AG550,AH545:AU551,COLUMN()-COLUMN(AR544),FALSE))</f>
        <v/>
      </c>
      <c r="AZ550" s="286" t="str">
        <f>IF(AG550="","",VLOOKUP(AG550,AH545:AU551,COLUMN()-COLUMN(AR544),FALSE))</f>
        <v/>
      </c>
      <c r="BA550" s="286" t="str">
        <f>IF(AG550="","",VLOOKUP(AG550,AH545:AU551,COLUMN()-COLUMN(AR544),FALSE))</f>
        <v/>
      </c>
      <c r="BB550" s="286" t="str">
        <f>IF(AG550="","",VLOOKUP(AG550,AH545:AU551,COLUMN()-COLUMN(AR544),FALSE))</f>
        <v/>
      </c>
      <c r="BC550" s="286" t="str">
        <f>IF(AG550="","",VLOOKUP(AG550,AH545:AU551,COLUMN()-COLUMN(AR544),FALSE))</f>
        <v/>
      </c>
      <c r="BD550" s="286" t="str">
        <f>IF(AG550="","",VLOOKUP(AG550,AH545:AU551,COLUMN()-COLUMN(AR544),FALSE))</f>
        <v/>
      </c>
      <c r="BE550" s="286" t="str">
        <f>IF(AG550="","",VLOOKUP(AG550,AH545:AU551,COLUMN()-COLUMN(AR544),FALSE))</f>
        <v/>
      </c>
      <c r="BF550" s="301" t="str">
        <f>IF(AG550="","",VLOOKUP(AG550,AH545:AU551,COLUMN()-COLUMN(AR544),FALSE))</f>
        <v/>
      </c>
    </row>
    <row r="551" spans="1:58" ht="12" thickBot="1" x14ac:dyDescent="0.25">
      <c r="A551" s="62" t="s">
        <v>12261</v>
      </c>
      <c r="B551" s="62" t="s">
        <v>12216</v>
      </c>
      <c r="C551" s="62"/>
      <c r="D551" s="62"/>
      <c r="E551" s="345" t="s">
        <v>10243</v>
      </c>
      <c r="F551" s="345" t="s">
        <v>10149</v>
      </c>
      <c r="G551" s="113">
        <v>1</v>
      </c>
      <c r="H551" s="113">
        <v>4</v>
      </c>
      <c r="I551" s="114"/>
      <c r="J551" s="114"/>
      <c r="K551" s="114"/>
      <c r="L551" s="81"/>
      <c r="M551" s="265" t="b">
        <f>NOT(ISERROR(ResultsInd[[#This Row],[Goal-A]]+ResultsInd[[#This Row],[Goal-B]]))</f>
        <v>1</v>
      </c>
      <c r="N551" s="265">
        <f>VALUE(ResultsInd[[#This Row],[Score-A]])</f>
        <v>1</v>
      </c>
      <c r="O551" s="265">
        <f>VALUE(ResultsInd[[#This Row],[Score-B]])</f>
        <v>4</v>
      </c>
      <c r="P551" s="265">
        <f ca="1">IF(AND(ResultsInd[[#This Row],[Category]]&lt;&gt;"",ResultsInd[[#This Row],[Player A]]&lt;&gt;""),COUNTIF(INDIRECT(ResultsInd[[#This Row],[Category]]&amp;"List[Retained Player Name]"),ResultsInd[[#This Row],[Player A]]),"")</f>
        <v>1</v>
      </c>
      <c r="Q551" s="265">
        <f ca="1">IF(AND(ResultsInd[[#This Row],[Category]]&lt;&gt;"",ResultsInd[[#This Row],[Player B]]&lt;&gt;""),COUNTIF(INDIRECT(ResultsInd[[#This Row],[Category]]&amp;"List[Retained Player Name]"),ResultsInd[[#This Row],[Player B]]),"")</f>
        <v>1</v>
      </c>
      <c r="R5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1" s="265" t="str">
        <f>IF(ResultsInd[[#This Row],[Score_OK]],IF(ResultsInd[[#This Row],[Stage]]="Groups",ResultsInd[[#This Row],[Category]]&amp;"-"&amp;IF(ResultsInd[[#This Row],[Player B]]="","",IF(ResultsInd[[#This Row],[Score-A]]=ResultsInd[[#This Row],[Score-B]],ResultsInd[[#This Row],[Player A]],"")),""),"")</f>
        <v/>
      </c>
      <c r="T551" s="265" t="str">
        <f>IF(ResultsInd[[#This Row],[Score_OK]],IF(ResultsInd[[#This Row],[Stage]]="Groups",ResultsInd[[#This Row],[Category]]&amp;"-"&amp;IF(ResultsInd[[#This Row],[Player B]]="","",IF(ResultsInd[[#This Row],[Score-A]]=ResultsInd[[#This Row],[Score-B]],ResultsInd[[#This Row],[Player B]],"")),""),"")</f>
        <v/>
      </c>
      <c r="U5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VETERANS-Lucio Canicchio</v>
      </c>
      <c r="W5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1" s="264" t="str">
        <f>IF(ResultsInd[[#This Row],[Category]]="","",VLOOKUP(ResultsInd[[#This Row],[Stage]],$P$1:$V$9,MATCH(ResultsInd[[#This Row],[Category]],$Q$1:$V$1,0)+1,FALSE))</f>
        <v>L32</v>
      </c>
      <c r="Z551" s="264" t="str">
        <f>IF(ResultsInd[[#This Row],[Score_OK]],IF(ResultsInd[[#This Row],[Level]]="R",ResultsInd[[#This Row],[Category]]&amp;"-"&amp;IF(ResultsInd[[#This Row],[LoseInKO]]=ResultsInd[[#This Row],[Category]]&amp;"-"&amp;ResultsInd[[#This Row],[Player A]],ResultsInd[[#This Row],[Player B]],ResultsInd[[#This Row],[Player A]]),""),"")</f>
        <v/>
      </c>
      <c r="AB551" s="8"/>
      <c r="AC551" s="12" t="str">
        <f t="shared" si="479"/>
        <v/>
      </c>
      <c r="AD551" s="312"/>
      <c r="AE551" s="313"/>
      <c r="AF551" s="314"/>
      <c r="AG551" s="294" t="str">
        <f>IF(AP551="","",SMALL(AH545:AH551,ROWS(AG545:AG551)))</f>
        <v/>
      </c>
      <c r="AH551" s="295" t="str">
        <f>IF(AP551="","",RANK(AL551,AL545:AL551)*1000+ROWS(AH545:AH551))</f>
        <v/>
      </c>
      <c r="AI551" s="318" t="str">
        <f t="shared" si="473"/>
        <v/>
      </c>
      <c r="AJ551" s="416" t="b">
        <f>AND(AO551&lt;&gt;"",AO551&gt;0,COUNTIF(AI545:AI551,AI551)&gt;1)</f>
        <v>0</v>
      </c>
      <c r="AK551" s="318" t="str">
        <f t="shared" si="474"/>
        <v/>
      </c>
      <c r="AL551" s="319" t="str">
        <f t="shared" si="475"/>
        <v/>
      </c>
      <c r="AM551" s="416" t="b">
        <f>AND(AO551&lt;&gt;"",AO551&gt;0,COUNTIF(AL545:AL551,AL551)&gt;1)</f>
        <v>0</v>
      </c>
      <c r="AN551" s="306" t="str">
        <f t="shared" si="476"/>
        <v/>
      </c>
      <c r="AO551" s="307" t="str">
        <f t="shared" si="477"/>
        <v/>
      </c>
      <c r="AP551" s="307" t="str">
        <f>IF(OR(AC544="",AD551=""),"",COUNTIF(ResultsInd[Win],AC544&amp;"-"&amp;AD551))</f>
        <v/>
      </c>
      <c r="AQ551" s="307" t="str">
        <f>IF(OR(AC544="",AD551=""),"",COUNTIF(ResultsInd[Draw1],AC544&amp;"-"&amp;AD551)+COUNTIF(ResultsInd[Draw2],AC544&amp;"-"&amp;AD551))</f>
        <v/>
      </c>
      <c r="AR551" s="307" t="str">
        <f>IF(OR(AC544="",AD551=""),"",COUNTIF(ResultsInd[Lose],AC544&amp;"-"&amp;AD551))</f>
        <v/>
      </c>
      <c r="AS551" s="307" t="str">
        <f>IF(OR(AC544="",AD551=""),"",SUMIFS(ResultsInd[Goal-A],ResultsInd[Category],AC544,ResultsInd[Stage],"Groups",ResultsInd[Player A],AD551)+SUMIFS(ResultsInd[Goal-B],ResultsInd[Category],AC544,ResultsInd[Stage],"Groups",ResultsInd[Player B],AD551))</f>
        <v/>
      </c>
      <c r="AT551" s="307" t="str">
        <f>IF(OR(AC544="",AD551=""),"",SUMIFS(ResultsInd[Goal-B],ResultsInd[Category],AC544,ResultsInd[Stage],"Groups",ResultsInd[Player A],AD551)+SUMIFS(ResultsInd[Goal-A],ResultsInd[Category],AC544,ResultsInd[Stage],"Groups",ResultsInd[Player B],AD551))</f>
        <v/>
      </c>
      <c r="AU551" s="308" t="str">
        <f t="shared" si="480"/>
        <v/>
      </c>
      <c r="AV551" s="469" t="str">
        <f>IF(AG551="","",OR(VLOOKUP(AG551,AH545:AU551,3,FALSE),VLOOKUP(AG551,AH545:AU551,6,FALSE)))</f>
        <v/>
      </c>
      <c r="AW551" s="299" t="str">
        <f t="shared" si="478"/>
        <v/>
      </c>
      <c r="AX551" s="287" t="str">
        <f>IF(AG551="","",INDEX(AD545:AD551,MATCH(AG551,AH545:AH551,0)))</f>
        <v/>
      </c>
      <c r="AY551" s="288" t="str">
        <f>IF(AG551="","",VLOOKUP(AG551,AH545:AU551,COLUMN()-COLUMN(AR544),FALSE))</f>
        <v/>
      </c>
      <c r="AZ551" s="288" t="str">
        <f>IF(AG551="","",VLOOKUP(AG551,AH545:AU551,COLUMN()-COLUMN(AR544),FALSE))</f>
        <v/>
      </c>
      <c r="BA551" s="288" t="str">
        <f>IF(AG551="","",VLOOKUP(AG551,AH545:AU551,COLUMN()-COLUMN(AR544),FALSE))</f>
        <v/>
      </c>
      <c r="BB551" s="288" t="str">
        <f>IF(AG551="","",VLOOKUP(AG551,AH545:AU551,COLUMN()-COLUMN(AR544),FALSE))</f>
        <v/>
      </c>
      <c r="BC551" s="288" t="str">
        <f>IF(AG551="","",VLOOKUP(AG551,AH545:AU551,COLUMN()-COLUMN(AR544),FALSE))</f>
        <v/>
      </c>
      <c r="BD551" s="288" t="str">
        <f>IF(AG551="","",VLOOKUP(AG551,AH545:AU551,COLUMN()-COLUMN(AR544),FALSE))</f>
        <v/>
      </c>
      <c r="BE551" s="288" t="str">
        <f>IF(AG551="","",VLOOKUP(AG551,AH545:AU551,COLUMN()-COLUMN(AR544),FALSE))</f>
        <v/>
      </c>
      <c r="BF551" s="302" t="str">
        <f>IF(AG551="","",VLOOKUP(AG551,AH545:AU551,COLUMN()-COLUMN(AR544),FALSE))</f>
        <v/>
      </c>
    </row>
    <row r="552" spans="1:58" ht="13.5" thickBot="1" x14ac:dyDescent="0.25">
      <c r="A552" s="62" t="s">
        <v>12261</v>
      </c>
      <c r="B552" s="62" t="s">
        <v>12216</v>
      </c>
      <c r="C552" s="62"/>
      <c r="D552" s="62"/>
      <c r="E552" s="345" t="s">
        <v>10434</v>
      </c>
      <c r="F552" s="345" t="s">
        <v>10253</v>
      </c>
      <c r="G552" s="113">
        <v>0</v>
      </c>
      <c r="H552" s="113">
        <v>3</v>
      </c>
      <c r="I552" s="114"/>
      <c r="J552" s="114"/>
      <c r="K552" s="114"/>
      <c r="L552" s="81"/>
      <c r="M552" s="265" t="b">
        <f>NOT(ISERROR(ResultsInd[[#This Row],[Goal-A]]+ResultsInd[[#This Row],[Goal-B]]))</f>
        <v>1</v>
      </c>
      <c r="N552" s="265">
        <f>VALUE(ResultsInd[[#This Row],[Score-A]])</f>
        <v>0</v>
      </c>
      <c r="O552" s="265">
        <f>VALUE(ResultsInd[[#This Row],[Score-B]])</f>
        <v>3</v>
      </c>
      <c r="P552" s="265">
        <f ca="1">IF(AND(ResultsInd[[#This Row],[Category]]&lt;&gt;"",ResultsInd[[#This Row],[Player A]]&lt;&gt;""),COUNTIF(INDIRECT(ResultsInd[[#This Row],[Category]]&amp;"List[Retained Player Name]"),ResultsInd[[#This Row],[Player A]]),"")</f>
        <v>1</v>
      </c>
      <c r="Q552" s="265">
        <f ca="1">IF(AND(ResultsInd[[#This Row],[Category]]&lt;&gt;"",ResultsInd[[#This Row],[Player B]]&lt;&gt;""),COUNTIF(INDIRECT(ResultsInd[[#This Row],[Category]]&amp;"List[Retained Player Name]"),ResultsInd[[#This Row],[Player B]]),"")</f>
        <v>1</v>
      </c>
      <c r="R5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2" s="265" t="str">
        <f>IF(ResultsInd[[#This Row],[Score_OK]],IF(ResultsInd[[#This Row],[Stage]]="Groups",ResultsInd[[#This Row],[Category]]&amp;"-"&amp;IF(ResultsInd[[#This Row],[Player B]]="","",IF(ResultsInd[[#This Row],[Score-A]]=ResultsInd[[#This Row],[Score-B]],ResultsInd[[#This Row],[Player A]],"")),""),"")</f>
        <v/>
      </c>
      <c r="T552" s="265" t="str">
        <f>IF(ResultsInd[[#This Row],[Score_OK]],IF(ResultsInd[[#This Row],[Stage]]="Groups",ResultsInd[[#This Row],[Category]]&amp;"-"&amp;IF(ResultsInd[[#This Row],[Player B]]="","",IF(ResultsInd[[#This Row],[Score-A]]=ResultsInd[[#This Row],[Score-B]],ResultsInd[[#This Row],[Player B]],"")),""),"")</f>
        <v/>
      </c>
      <c r="U5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VETERANS-John Zammit</v>
      </c>
      <c r="W5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2" s="264" t="str">
        <f>IF(ResultsInd[[#This Row],[Category]]="","",VLOOKUP(ResultsInd[[#This Row],[Stage]],$P$1:$V$9,MATCH(ResultsInd[[#This Row],[Category]],$Q$1:$V$1,0)+1,FALSE))</f>
        <v>L32</v>
      </c>
      <c r="Z552" s="264" t="str">
        <f>IF(ResultsInd[[#This Row],[Score_OK]],IF(ResultsInd[[#This Row],[Level]]="R",ResultsInd[[#This Row],[Category]]&amp;"-"&amp;IF(ResultsInd[[#This Row],[LoseInKO]]=ResultsInd[[#This Row],[Category]]&amp;"-"&amp;ResultsInd[[#This Row],[Player A]],ResultsInd[[#This Row],[Player B]],ResultsInd[[#This Row],[Player A]]),""),"")</f>
        <v/>
      </c>
      <c r="AB552" s="8"/>
      <c r="AC552" s="8"/>
      <c r="AF552" s="170"/>
      <c r="AG552" s="101"/>
      <c r="AH552" s="101"/>
      <c r="AN552" s="170"/>
      <c r="AO552" s="170"/>
      <c r="AP552" s="170"/>
      <c r="AQ552" s="172"/>
      <c r="AR552" s="173"/>
      <c r="AS552" s="173"/>
      <c r="AT552" s="173"/>
      <c r="AU552" s="101"/>
      <c r="AV552" s="101"/>
      <c r="AW552" s="101"/>
      <c r="AX552" s="101"/>
      <c r="AY552" s="101"/>
      <c r="AZ552" s="101"/>
    </row>
    <row r="553" spans="1:58" ht="12" thickBot="1" x14ac:dyDescent="0.25">
      <c r="A553" s="62" t="s">
        <v>890</v>
      </c>
      <c r="B553" s="62" t="s">
        <v>12216</v>
      </c>
      <c r="C553" s="62"/>
      <c r="D553" s="62"/>
      <c r="E553" s="345" t="s">
        <v>10089</v>
      </c>
      <c r="F553" s="345" t="s">
        <v>11084</v>
      </c>
      <c r="G553" s="113">
        <v>0</v>
      </c>
      <c r="H553" s="113">
        <v>0</v>
      </c>
      <c r="I553" s="114"/>
      <c r="J553" s="114">
        <v>3</v>
      </c>
      <c r="K553" s="114">
        <v>2</v>
      </c>
      <c r="L553" s="81"/>
      <c r="M553" s="265" t="b">
        <f>NOT(ISERROR(ResultsInd[[#This Row],[Goal-A]]+ResultsInd[[#This Row],[Goal-B]]))</f>
        <v>1</v>
      </c>
      <c r="N553" s="265">
        <f>VALUE(ResultsInd[[#This Row],[Score-A]])</f>
        <v>0</v>
      </c>
      <c r="O553" s="265">
        <f>VALUE(ResultsInd[[#This Row],[Score-B]])</f>
        <v>0</v>
      </c>
      <c r="P553" s="265">
        <f ca="1">IF(AND(ResultsInd[[#This Row],[Category]]&lt;&gt;"",ResultsInd[[#This Row],[Player A]]&lt;&gt;""),COUNTIF(INDIRECT(ResultsInd[[#This Row],[Category]]&amp;"List[Retained Player Name]"),ResultsInd[[#This Row],[Player A]]),"")</f>
        <v>1</v>
      </c>
      <c r="Q553" s="265">
        <f ca="1">IF(AND(ResultsInd[[#This Row],[Category]]&lt;&gt;"",ResultsInd[[#This Row],[Player B]]&lt;&gt;""),COUNTIF(INDIRECT(ResultsInd[[#This Row],[Category]]&amp;"List[Retained Player Name]"),ResultsInd[[#This Row],[Player B]]),"")</f>
        <v>1</v>
      </c>
      <c r="R5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3" s="265" t="str">
        <f>IF(ResultsInd[[#This Row],[Score_OK]],IF(ResultsInd[[#This Row],[Stage]]="Groups",ResultsInd[[#This Row],[Category]]&amp;"-"&amp;IF(ResultsInd[[#This Row],[Player B]]="","",IF(ResultsInd[[#This Row],[Score-A]]=ResultsInd[[#This Row],[Score-B]],ResultsInd[[#This Row],[Player A]],"")),""),"")</f>
        <v/>
      </c>
      <c r="T553" s="265" t="str">
        <f>IF(ResultsInd[[#This Row],[Score_OK]],IF(ResultsInd[[#This Row],[Stage]]="Groups",ResultsInd[[#This Row],[Category]]&amp;"-"&amp;IF(ResultsInd[[#This Row],[Player B]]="","",IF(ResultsInd[[#This Row],[Score-A]]=ResultsInd[[#This Row],[Score-B]],ResultsInd[[#This Row],[Player B]],"")),""),"")</f>
        <v/>
      </c>
      <c r="U5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OPEN-Rudi Knuf</v>
      </c>
      <c r="W5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3" s="264" t="str">
        <f>IF(ResultsInd[[#This Row],[Category]]="","",VLOOKUP(ResultsInd[[#This Row],[Stage]],$P$1:$V$9,MATCH(ResultsInd[[#This Row],[Category]],$Q$1:$V$1,0)+1,FALSE))</f>
        <v>L32</v>
      </c>
      <c r="Z553" s="264" t="str">
        <f>IF(ResultsInd[[#This Row],[Score_OK]],IF(ResultsInd[[#This Row],[Level]]="R",ResultsInd[[#This Row],[Category]]&amp;"-"&amp;IF(ResultsInd[[#This Row],[LoseInKO]]=ResultsInd[[#This Row],[Category]]&amp;"-"&amp;ResultsInd[[#This Row],[Player A]],ResultsInd[[#This Row],[Player B]],ResultsInd[[#This Row],[Player A]]),""),"")</f>
        <v/>
      </c>
      <c r="AB553" s="281" t="str">
        <f>IF(AC553="","",COUNTIFS(AC$22:AC553,AC553,AD$22:AD553,"Players draw"))</f>
        <v/>
      </c>
      <c r="AC553" s="315"/>
      <c r="AD553" s="289" t="s">
        <v>14439</v>
      </c>
      <c r="AE553" s="290" t="s">
        <v>12279</v>
      </c>
      <c r="AF553" s="284" t="s">
        <v>12275</v>
      </c>
      <c r="AG553" s="296" t="s">
        <v>12276</v>
      </c>
      <c r="AH553" s="291" t="s">
        <v>12271</v>
      </c>
      <c r="AI553" s="291" t="s">
        <v>12272</v>
      </c>
      <c r="AJ553" s="414" t="s">
        <v>13154</v>
      </c>
      <c r="AK553" s="291" t="s">
        <v>12273</v>
      </c>
      <c r="AL553" s="297" t="s">
        <v>12274</v>
      </c>
      <c r="AM553" s="414" t="s">
        <v>13154</v>
      </c>
      <c r="AN553" s="303" t="s">
        <v>12199</v>
      </c>
      <c r="AO553" s="304" t="s">
        <v>12200</v>
      </c>
      <c r="AP553" s="304" t="s">
        <v>12201</v>
      </c>
      <c r="AQ553" s="304" t="s">
        <v>12202</v>
      </c>
      <c r="AR553" s="304" t="s">
        <v>12203</v>
      </c>
      <c r="AS553" s="304" t="s">
        <v>12204</v>
      </c>
      <c r="AT553" s="304" t="s">
        <v>12205</v>
      </c>
      <c r="AU553" s="305" t="s">
        <v>12206</v>
      </c>
      <c r="AV553" s="468"/>
      <c r="AW553" s="282" t="s">
        <v>12276</v>
      </c>
      <c r="AX553" s="282" t="s">
        <v>12280</v>
      </c>
      <c r="AY553" s="283" t="s">
        <v>12199</v>
      </c>
      <c r="AZ553" s="283" t="s">
        <v>12200</v>
      </c>
      <c r="BA553" s="283" t="s">
        <v>12201</v>
      </c>
      <c r="BB553" s="283" t="s">
        <v>12202</v>
      </c>
      <c r="BC553" s="283" t="s">
        <v>12203</v>
      </c>
      <c r="BD553" s="283" t="s">
        <v>12204</v>
      </c>
      <c r="BE553" s="283" t="s">
        <v>12205</v>
      </c>
      <c r="BF553" s="300" t="s">
        <v>12206</v>
      </c>
    </row>
    <row r="554" spans="1:58" ht="12" thickBot="1" x14ac:dyDescent="0.25">
      <c r="A554" s="62" t="s">
        <v>890</v>
      </c>
      <c r="B554" s="62" t="s">
        <v>12216</v>
      </c>
      <c r="C554" s="62"/>
      <c r="D554" s="62"/>
      <c r="E554" s="345" t="s">
        <v>8720</v>
      </c>
      <c r="F554" s="345" t="s">
        <v>9527</v>
      </c>
      <c r="G554" s="113">
        <v>2</v>
      </c>
      <c r="H554" s="113">
        <v>3</v>
      </c>
      <c r="I554" s="114"/>
      <c r="J554" s="114"/>
      <c r="K554" s="114"/>
      <c r="L554" s="81"/>
      <c r="M554" s="265" t="b">
        <f>NOT(ISERROR(ResultsInd[[#This Row],[Goal-A]]+ResultsInd[[#This Row],[Goal-B]]))</f>
        <v>1</v>
      </c>
      <c r="N554" s="265">
        <f>VALUE(ResultsInd[[#This Row],[Score-A]])</f>
        <v>2</v>
      </c>
      <c r="O554" s="265">
        <f>VALUE(ResultsInd[[#This Row],[Score-B]])</f>
        <v>3</v>
      </c>
      <c r="P554" s="265">
        <f ca="1">IF(AND(ResultsInd[[#This Row],[Category]]&lt;&gt;"",ResultsInd[[#This Row],[Player A]]&lt;&gt;""),COUNTIF(INDIRECT(ResultsInd[[#This Row],[Category]]&amp;"List[Retained Player Name]"),ResultsInd[[#This Row],[Player A]]),"")</f>
        <v>1</v>
      </c>
      <c r="Q554" s="265">
        <f ca="1">IF(AND(ResultsInd[[#This Row],[Category]]&lt;&gt;"",ResultsInd[[#This Row],[Player B]]&lt;&gt;""),COUNTIF(INDIRECT(ResultsInd[[#This Row],[Category]]&amp;"List[Retained Player Name]"),ResultsInd[[#This Row],[Player B]]),"")</f>
        <v>1</v>
      </c>
      <c r="R5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4" s="265" t="str">
        <f>IF(ResultsInd[[#This Row],[Score_OK]],IF(ResultsInd[[#This Row],[Stage]]="Groups",ResultsInd[[#This Row],[Category]]&amp;"-"&amp;IF(ResultsInd[[#This Row],[Player B]]="","",IF(ResultsInd[[#This Row],[Score-A]]=ResultsInd[[#This Row],[Score-B]],ResultsInd[[#This Row],[Player A]],"")),""),"")</f>
        <v/>
      </c>
      <c r="T554" s="265" t="str">
        <f>IF(ResultsInd[[#This Row],[Score_OK]],IF(ResultsInd[[#This Row],[Stage]]="Groups",ResultsInd[[#This Row],[Category]]&amp;"-"&amp;IF(ResultsInd[[#This Row],[Player B]]="","",IF(ResultsInd[[#This Row],[Score-A]]=ResultsInd[[#This Row],[Score-B]],ResultsInd[[#This Row],[Player B]],"")),""),"")</f>
        <v/>
      </c>
      <c r="U5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OPEN-Christophe Monteiro</v>
      </c>
      <c r="W5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4" s="264" t="str">
        <f>IF(ResultsInd[[#This Row],[Category]]="","",VLOOKUP(ResultsInd[[#This Row],[Stage]],$P$1:$V$9,MATCH(ResultsInd[[#This Row],[Category]],$Q$1:$V$1,0)+1,FALSE))</f>
        <v>L32</v>
      </c>
      <c r="Z554" s="264" t="str">
        <f>IF(ResultsInd[[#This Row],[Score_OK]],IF(ResultsInd[[#This Row],[Level]]="R",ResultsInd[[#This Row],[Category]]&amp;"-"&amp;IF(ResultsInd[[#This Row],[LoseInKO]]=ResultsInd[[#This Row],[Category]]&amp;"-"&amp;ResultsInd[[#This Row],[Player A]],ResultsInd[[#This Row],[Player B]],ResultsInd[[#This Row],[Player A]]),""),"")</f>
        <v/>
      </c>
      <c r="AB554" s="8"/>
      <c r="AC554" s="12" t="str">
        <f>IF(AC553="","",AC553)</f>
        <v/>
      </c>
      <c r="AD554" s="309"/>
      <c r="AE554" s="320"/>
      <c r="AF554" s="311"/>
      <c r="AG554" s="292" t="str">
        <f>IF(AP554="","",SMALL(AH554:AH560,ROWS(AG554:AG554)))</f>
        <v/>
      </c>
      <c r="AH554" s="293" t="str">
        <f>IF(AP554="","",RANK(AL554,AL554:AL560)*1000+ROWS(AH554:AH554))</f>
        <v/>
      </c>
      <c r="AI554" s="316" t="str">
        <f t="shared" ref="AI554:AI560" si="481">IF(AP554="","",CritClassInd1_Points*AN554+CritClassInd1_Matches*AP554+CritClassInd1_Attaque*AS554+CritClassInd1_DiffButs*AU554)</f>
        <v/>
      </c>
      <c r="AJ554" s="415" t="b">
        <f>AND(AO554&lt;&gt;"",AO554&gt;0,COUNTIF(AI554:AI560,AI554)&gt;1)</f>
        <v>0</v>
      </c>
      <c r="AK554" s="316" t="str">
        <f t="shared" ref="AK554:AK560" si="482">IF(AP554="","",CritClassInd_ScorePart*AE554)</f>
        <v/>
      </c>
      <c r="AL554" s="317" t="str">
        <f t="shared" ref="AL554:AL560" si="483">IF(AP554="","",AI554+AK554+CritClassInd2_Points*AN554+CritClassInd2_Matches*AP554+CritClassInd2_Attaque*AS554+CritClassInd2_DiffButs*AU554+AF554)</f>
        <v/>
      </c>
      <c r="AM554" s="415" t="b">
        <f>AND(AO554&lt;&gt;"",AO554&gt;0,COUNTIF(AL554:AL560,AL554)&gt;1)</f>
        <v>0</v>
      </c>
      <c r="AN554" s="306" t="str">
        <f t="shared" ref="AN554:AN560" si="484">IF(AP554="","",(AP554*Points_Victoire)+AQ554*Points_Null)</f>
        <v/>
      </c>
      <c r="AO554" s="307" t="str">
        <f t="shared" ref="AO554:AO560" si="485">IF(AP554="","",SUM(AP554:AR554))</f>
        <v/>
      </c>
      <c r="AP554" s="307" t="str">
        <f>IF(OR(AC553="",AD554=""),"",COUNTIF(ResultsInd[Win],AC553&amp;"-"&amp;AD554))</f>
        <v/>
      </c>
      <c r="AQ554" s="307" t="str">
        <f>IF(OR(AC553="",AD554=""),"",COUNTIF(ResultsInd[Draw1],AC553&amp;"-"&amp;AD554)+COUNTIF(ResultsInd[Draw2],AC553&amp;"-"&amp;AD554))</f>
        <v/>
      </c>
      <c r="AR554" s="307" t="str">
        <f>IF(OR(AC553="",AD554=""),"",COUNTIF(ResultsInd[Lose],AC553&amp;"-"&amp;AD554))</f>
        <v/>
      </c>
      <c r="AS554" s="307" t="str">
        <f>IF(OR(AC553="",AD554=""),"",SUMIFS(ResultsInd[Goal-A],ResultsInd[Category],AC553,ResultsInd[Stage],"Groups",ResultsInd[Player A],AD554)+SUMIFS(ResultsInd[Goal-B],ResultsInd[Category],AC553,ResultsInd[Stage],"Groups",ResultsInd[Player B],AD554))</f>
        <v/>
      </c>
      <c r="AT554" s="307" t="str">
        <f>IF(OR(AC553="",AD554=""),"",SUMIFS(ResultsInd[Goal-B],ResultsInd[Category],AC553,ResultsInd[Stage],"Groups",ResultsInd[Player A],AD554)+SUMIFS(ResultsInd[Goal-A],ResultsInd[Category],AC553,ResultsInd[Stage],"Groups",ResultsInd[Player B],AD554))</f>
        <v/>
      </c>
      <c r="AU554" s="308" t="str">
        <f>IF(AP554="","",AS554-AT554)</f>
        <v/>
      </c>
      <c r="AV554" s="469" t="str">
        <f>IF(AG554="","",OR(VLOOKUP(AG554,AH554:AU560,3,FALSE),VLOOKUP(AG554,AH554:AU560,6,FALSE)))</f>
        <v/>
      </c>
      <c r="AW554" s="298" t="str">
        <f t="shared" ref="AW554:AW560" si="486">IF(AG554="","",INT(AG554/1000))</f>
        <v/>
      </c>
      <c r="AX554" s="285" t="str">
        <f>IF(AG554="","",INDEX(AD554:AD560,MATCH(AG554,AH554:AH560,0)))</f>
        <v/>
      </c>
      <c r="AY554" s="286" t="str">
        <f>IF(AG554="","",VLOOKUP(AG554,AH554:AU560,COLUMN()-COLUMN(AR553),FALSE))</f>
        <v/>
      </c>
      <c r="AZ554" s="286" t="str">
        <f>IF(AG554="","",VLOOKUP(AG554,AH554:AU560,COLUMN()-COLUMN(AR553),FALSE))</f>
        <v/>
      </c>
      <c r="BA554" s="286" t="str">
        <f>IF(AG554="","",VLOOKUP(AG554,AH554:AU560,COLUMN()-COLUMN(AR553),FALSE))</f>
        <v/>
      </c>
      <c r="BB554" s="286" t="str">
        <f>IF(AG554="","",VLOOKUP(AG554,AH554:AU560,COLUMN()-COLUMN(AR553),FALSE))</f>
        <v/>
      </c>
      <c r="BC554" s="286" t="str">
        <f>IF(AG554="","",VLOOKUP(AG554,AH554:AU560,COLUMN()-COLUMN(AR553),FALSE))</f>
        <v/>
      </c>
      <c r="BD554" s="286" t="str">
        <f>IF(AG554="","",VLOOKUP(AG554,AH554:AU560,COLUMN()-COLUMN(AR553),FALSE))</f>
        <v/>
      </c>
      <c r="BE554" s="286" t="str">
        <f>IF(AG554="","",VLOOKUP(AG554,AH554:AU560,COLUMN()-COLUMN(AR553),FALSE))</f>
        <v/>
      </c>
      <c r="BF554" s="301" t="str">
        <f>IF(AG554="","",VLOOKUP(AG554,AH554:AU560,COLUMN()-COLUMN(AR553),FALSE))</f>
        <v/>
      </c>
    </row>
    <row r="555" spans="1:58" ht="12" thickBot="1" x14ac:dyDescent="0.25">
      <c r="A555" s="62" t="s">
        <v>890</v>
      </c>
      <c r="B555" s="62" t="s">
        <v>12216</v>
      </c>
      <c r="C555" s="62"/>
      <c r="D555" s="62"/>
      <c r="E555" s="345" t="s">
        <v>8628</v>
      </c>
      <c r="F555" s="345" t="s">
        <v>10448</v>
      </c>
      <c r="G555" s="113">
        <v>3</v>
      </c>
      <c r="H555" s="113">
        <v>2</v>
      </c>
      <c r="I555" s="114"/>
      <c r="J555" s="114"/>
      <c r="K555" s="114"/>
      <c r="L555" s="81"/>
      <c r="M555" s="265" t="b">
        <f>NOT(ISERROR(ResultsInd[[#This Row],[Goal-A]]+ResultsInd[[#This Row],[Goal-B]]))</f>
        <v>1</v>
      </c>
      <c r="N555" s="265">
        <f>VALUE(ResultsInd[[#This Row],[Score-A]])</f>
        <v>3</v>
      </c>
      <c r="O555" s="265">
        <f>VALUE(ResultsInd[[#This Row],[Score-B]])</f>
        <v>2</v>
      </c>
      <c r="P555" s="265">
        <f ca="1">IF(AND(ResultsInd[[#This Row],[Category]]&lt;&gt;"",ResultsInd[[#This Row],[Player A]]&lt;&gt;""),COUNTIF(INDIRECT(ResultsInd[[#This Row],[Category]]&amp;"List[Retained Player Name]"),ResultsInd[[#This Row],[Player A]]),"")</f>
        <v>1</v>
      </c>
      <c r="Q555" s="265">
        <f ca="1">IF(AND(ResultsInd[[#This Row],[Category]]&lt;&gt;"",ResultsInd[[#This Row],[Player B]]&lt;&gt;""),COUNTIF(INDIRECT(ResultsInd[[#This Row],[Category]]&amp;"List[Retained Player Name]"),ResultsInd[[#This Row],[Player B]]),"")</f>
        <v>1</v>
      </c>
      <c r="R5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5" s="265" t="str">
        <f>IF(ResultsInd[[#This Row],[Score_OK]],IF(ResultsInd[[#This Row],[Stage]]="Groups",ResultsInd[[#This Row],[Category]]&amp;"-"&amp;IF(ResultsInd[[#This Row],[Player B]]="","",IF(ResultsInd[[#This Row],[Score-A]]=ResultsInd[[#This Row],[Score-B]],ResultsInd[[#This Row],[Player A]],"")),""),"")</f>
        <v/>
      </c>
      <c r="T555" s="265" t="str">
        <f>IF(ResultsInd[[#This Row],[Score_OK]],IF(ResultsInd[[#This Row],[Stage]]="Groups",ResultsInd[[#This Row],[Category]]&amp;"-"&amp;IF(ResultsInd[[#This Row],[Player B]]="","",IF(ResultsInd[[#This Row],[Score-A]]=ResultsInd[[#This Row],[Score-B]],ResultsInd[[#This Row],[Player B]],"")),""),"")</f>
        <v/>
      </c>
      <c r="U5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OPEN-Spencer Conti</v>
      </c>
      <c r="W5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5" s="264" t="str">
        <f>IF(ResultsInd[[#This Row],[Category]]="","",VLOOKUP(ResultsInd[[#This Row],[Stage]],$P$1:$V$9,MATCH(ResultsInd[[#This Row],[Category]],$Q$1:$V$1,0)+1,FALSE))</f>
        <v>L32</v>
      </c>
      <c r="Z555" s="264" t="str">
        <f>IF(ResultsInd[[#This Row],[Score_OK]],IF(ResultsInd[[#This Row],[Level]]="R",ResultsInd[[#This Row],[Category]]&amp;"-"&amp;IF(ResultsInd[[#This Row],[LoseInKO]]=ResultsInd[[#This Row],[Category]]&amp;"-"&amp;ResultsInd[[#This Row],[Player A]],ResultsInd[[#This Row],[Player B]],ResultsInd[[#This Row],[Player A]]),""),"")</f>
        <v/>
      </c>
      <c r="AB555" s="8"/>
      <c r="AC555" s="12" t="str">
        <f t="shared" ref="AC555:AC560" si="487">IF(AC554="","",AC554)</f>
        <v/>
      </c>
      <c r="AD555" s="309"/>
      <c r="AE555" s="320"/>
      <c r="AF555" s="311"/>
      <c r="AG555" s="292" t="str">
        <f>IF(AP555="","",SMALL(AH554:AH560,ROWS(AG554:AG555)))</f>
        <v/>
      </c>
      <c r="AH555" s="293" t="str">
        <f>IF(AP555="","",RANK(AL555,AL554:AL560)*1000+ROWS(AH554:AH555))</f>
        <v/>
      </c>
      <c r="AI555" s="316" t="str">
        <f t="shared" si="481"/>
        <v/>
      </c>
      <c r="AJ555" s="415" t="b">
        <f>AND(AO555&lt;&gt;"",AO555&gt;0,COUNTIF(AI554:AI560,AI555)&gt;1)</f>
        <v>0</v>
      </c>
      <c r="AK555" s="316" t="str">
        <f t="shared" si="482"/>
        <v/>
      </c>
      <c r="AL555" s="317" t="str">
        <f t="shared" si="483"/>
        <v/>
      </c>
      <c r="AM555" s="415" t="b">
        <f>AND(AO555&lt;&gt;"",AO555&gt;0,COUNTIF(AL554:AL560,AL555)&gt;1)</f>
        <v>0</v>
      </c>
      <c r="AN555" s="306" t="str">
        <f t="shared" si="484"/>
        <v/>
      </c>
      <c r="AO555" s="307" t="str">
        <f t="shared" si="485"/>
        <v/>
      </c>
      <c r="AP555" s="307" t="str">
        <f>IF(OR(AC553="",AD555=""),"",COUNTIF(ResultsInd[Win],AC553&amp;"-"&amp;AD555))</f>
        <v/>
      </c>
      <c r="AQ555" s="307" t="str">
        <f>IF(OR(AC553="",AD555=""),"",COUNTIF(ResultsInd[Draw1],AC553&amp;"-"&amp;AD555)+COUNTIF(ResultsInd[Draw2],AC553&amp;"-"&amp;AD555))</f>
        <v/>
      </c>
      <c r="AR555" s="307" t="str">
        <f>IF(OR(AC553="",AD555=""),"",COUNTIF(ResultsInd[Lose],AC553&amp;"-"&amp;AD555))</f>
        <v/>
      </c>
      <c r="AS555" s="307" t="str">
        <f>IF(OR(AC553="",AD555=""),"",SUMIFS(ResultsInd[Goal-A],ResultsInd[Category],AC553,ResultsInd[Stage],"Groups",ResultsInd[Player A],AD555)+SUMIFS(ResultsInd[Goal-B],ResultsInd[Category],AC553,ResultsInd[Stage],"Groups",ResultsInd[Player B],AD555))</f>
        <v/>
      </c>
      <c r="AT555" s="307" t="str">
        <f>IF(OR(AC553="",AD555=""),"",SUMIFS(ResultsInd[Goal-B],ResultsInd[Category],AC553,ResultsInd[Stage],"Groups",ResultsInd[Player A],AD555)+SUMIFS(ResultsInd[Goal-A],ResultsInd[Category],AC553,ResultsInd[Stage],"Groups",ResultsInd[Player B],AD555))</f>
        <v/>
      </c>
      <c r="AU555" s="308" t="str">
        <f t="shared" ref="AU555:AU560" si="488">IF(AP555="","",AS555-AT555)</f>
        <v/>
      </c>
      <c r="AV555" s="469" t="str">
        <f>IF(AG555="","",OR(VLOOKUP(AG555,AH554:AU560,3,FALSE),VLOOKUP(AG555,AH554:AU560,6,FALSE)))</f>
        <v/>
      </c>
      <c r="AW555" s="298" t="str">
        <f t="shared" si="486"/>
        <v/>
      </c>
      <c r="AX555" s="285" t="str">
        <f>IF(AG555="","",INDEX(AD554:AD560,MATCH(AG555,AH554:AH560,0)))</f>
        <v/>
      </c>
      <c r="AY555" s="286" t="str">
        <f>IF(AG555="","",VLOOKUP(AG555,AH554:AU560,COLUMN()-COLUMN(AR553),FALSE))</f>
        <v/>
      </c>
      <c r="AZ555" s="286" t="str">
        <f>IF(AG555="","",VLOOKUP(AG555,AH554:AU560,COLUMN()-COLUMN(AR553),FALSE))</f>
        <v/>
      </c>
      <c r="BA555" s="286" t="str">
        <f>IF(AG555="","",VLOOKUP(AG555,AH554:AU560,COLUMN()-COLUMN(AR553),FALSE))</f>
        <v/>
      </c>
      <c r="BB555" s="286" t="str">
        <f>IF(AG555="","",VLOOKUP(AG555,AH554:AU560,COLUMN()-COLUMN(AR553),FALSE))</f>
        <v/>
      </c>
      <c r="BC555" s="286" t="str">
        <f>IF(AG555="","",VLOOKUP(AG555,AH554:AU560,COLUMN()-COLUMN(AR553),FALSE))</f>
        <v/>
      </c>
      <c r="BD555" s="286" t="str">
        <f>IF(AG555="","",VLOOKUP(AG555,AH554:AU560,COLUMN()-COLUMN(AR553),FALSE))</f>
        <v/>
      </c>
      <c r="BE555" s="286" t="str">
        <f>IF(AG555="","",VLOOKUP(AG555,AH554:AU560,COLUMN()-COLUMN(AR553),FALSE))</f>
        <v/>
      </c>
      <c r="BF555" s="301" t="str">
        <f>IF(AG555="","",VLOOKUP(AG555,AH554:AU560,COLUMN()-COLUMN(AR553),FALSE))</f>
        <v/>
      </c>
    </row>
    <row r="556" spans="1:58" ht="12" thickBot="1" x14ac:dyDescent="0.25">
      <c r="A556" s="62" t="s">
        <v>890</v>
      </c>
      <c r="B556" s="62" t="s">
        <v>12216</v>
      </c>
      <c r="C556" s="62"/>
      <c r="D556" s="62"/>
      <c r="E556" s="345" t="s">
        <v>10509</v>
      </c>
      <c r="F556" s="345" t="s">
        <v>10436</v>
      </c>
      <c r="G556" s="113">
        <v>2</v>
      </c>
      <c r="H556" s="113">
        <v>2</v>
      </c>
      <c r="I556" s="114"/>
      <c r="J556" s="114">
        <v>2</v>
      </c>
      <c r="K556" s="114">
        <v>0</v>
      </c>
      <c r="L556" s="81"/>
      <c r="M556" s="265" t="b">
        <f>NOT(ISERROR(ResultsInd[[#This Row],[Goal-A]]+ResultsInd[[#This Row],[Goal-B]]))</f>
        <v>1</v>
      </c>
      <c r="N556" s="265">
        <f>VALUE(ResultsInd[[#This Row],[Score-A]])</f>
        <v>2</v>
      </c>
      <c r="O556" s="265">
        <f>VALUE(ResultsInd[[#This Row],[Score-B]])</f>
        <v>2</v>
      </c>
      <c r="P556" s="265">
        <f ca="1">IF(AND(ResultsInd[[#This Row],[Category]]&lt;&gt;"",ResultsInd[[#This Row],[Player A]]&lt;&gt;""),COUNTIF(INDIRECT(ResultsInd[[#This Row],[Category]]&amp;"List[Retained Player Name]"),ResultsInd[[#This Row],[Player A]]),"")</f>
        <v>1</v>
      </c>
      <c r="Q556" s="265">
        <f ca="1">IF(AND(ResultsInd[[#This Row],[Category]]&lt;&gt;"",ResultsInd[[#This Row],[Player B]]&lt;&gt;""),COUNTIF(INDIRECT(ResultsInd[[#This Row],[Category]]&amp;"List[Retained Player Name]"),ResultsInd[[#This Row],[Player B]]),"")</f>
        <v>1</v>
      </c>
      <c r="R5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6" s="265" t="str">
        <f>IF(ResultsInd[[#This Row],[Score_OK]],IF(ResultsInd[[#This Row],[Stage]]="Groups",ResultsInd[[#This Row],[Category]]&amp;"-"&amp;IF(ResultsInd[[#This Row],[Player B]]="","",IF(ResultsInd[[#This Row],[Score-A]]=ResultsInd[[#This Row],[Score-B]],ResultsInd[[#This Row],[Player A]],"")),""),"")</f>
        <v/>
      </c>
      <c r="T556" s="265" t="str">
        <f>IF(ResultsInd[[#This Row],[Score_OK]],IF(ResultsInd[[#This Row],[Stage]]="Groups",ResultsInd[[#This Row],[Category]]&amp;"-"&amp;IF(ResultsInd[[#This Row],[Player B]]="","",IF(ResultsInd[[#This Row],[Score-A]]=ResultsInd[[#This Row],[Score-B]],ResultsInd[[#This Row],[Player B]],"")),""),"")</f>
        <v/>
      </c>
      <c r="U5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OPEN-Jurgen Balzan</v>
      </c>
      <c r="W5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6" s="264" t="str">
        <f>IF(ResultsInd[[#This Row],[Category]]="","",VLOOKUP(ResultsInd[[#This Row],[Stage]],$P$1:$V$9,MATCH(ResultsInd[[#This Row],[Category]],$Q$1:$V$1,0)+1,FALSE))</f>
        <v>L32</v>
      </c>
      <c r="Z556" s="264" t="str">
        <f>IF(ResultsInd[[#This Row],[Score_OK]],IF(ResultsInd[[#This Row],[Level]]="R",ResultsInd[[#This Row],[Category]]&amp;"-"&amp;IF(ResultsInd[[#This Row],[LoseInKO]]=ResultsInd[[#This Row],[Category]]&amp;"-"&amp;ResultsInd[[#This Row],[Player A]],ResultsInd[[#This Row],[Player B]],ResultsInd[[#This Row],[Player A]]),""),"")</f>
        <v/>
      </c>
      <c r="AB556" s="8"/>
      <c r="AC556" s="12" t="str">
        <f t="shared" si="487"/>
        <v/>
      </c>
      <c r="AD556" s="309"/>
      <c r="AE556" s="320"/>
      <c r="AF556" s="311"/>
      <c r="AG556" s="292" t="str">
        <f>IF(AP556="","",SMALL(AH554:AH560,ROWS(AG554:AG556)))</f>
        <v/>
      </c>
      <c r="AH556" s="293" t="str">
        <f>IF(AP556="","",RANK(AL556,AL554:AL560)*1000+ROWS(AH554:AH556))</f>
        <v/>
      </c>
      <c r="AI556" s="316" t="str">
        <f t="shared" si="481"/>
        <v/>
      </c>
      <c r="AJ556" s="415" t="b">
        <f>AND(AO556&lt;&gt;"",AO556&gt;0,COUNTIF(AI554:AI560,AI556)&gt;1)</f>
        <v>0</v>
      </c>
      <c r="AK556" s="316" t="str">
        <f t="shared" si="482"/>
        <v/>
      </c>
      <c r="AL556" s="317" t="str">
        <f t="shared" si="483"/>
        <v/>
      </c>
      <c r="AM556" s="415" t="b">
        <f>AND(AO556&lt;&gt;"",AO556&gt;0,COUNTIF(AL554:AL560,AL556)&gt;1)</f>
        <v>0</v>
      </c>
      <c r="AN556" s="306" t="str">
        <f t="shared" si="484"/>
        <v/>
      </c>
      <c r="AO556" s="307" t="str">
        <f t="shared" si="485"/>
        <v/>
      </c>
      <c r="AP556" s="307" t="str">
        <f>IF(OR(AC553="",AD556=""),"",COUNTIF(ResultsInd[Win],AC553&amp;"-"&amp;AD556))</f>
        <v/>
      </c>
      <c r="AQ556" s="307" t="str">
        <f>IF(OR(AC553="",AD556=""),"",COUNTIF(ResultsInd[Draw1],AC553&amp;"-"&amp;AD556)+COUNTIF(ResultsInd[Draw2],AC553&amp;"-"&amp;AD556))</f>
        <v/>
      </c>
      <c r="AR556" s="307" t="str">
        <f>IF(OR(AC553="",AD556=""),"",COUNTIF(ResultsInd[Lose],AC553&amp;"-"&amp;AD556))</f>
        <v/>
      </c>
      <c r="AS556" s="307" t="str">
        <f>IF(OR(AC553="",AD556=""),"",SUMIFS(ResultsInd[Goal-A],ResultsInd[Category],AC553,ResultsInd[Stage],"Groups",ResultsInd[Player A],AD556)+SUMIFS(ResultsInd[Goal-B],ResultsInd[Category],AC553,ResultsInd[Stage],"Groups",ResultsInd[Player B],AD556))</f>
        <v/>
      </c>
      <c r="AT556" s="307" t="str">
        <f>IF(OR(AC553="",AD556=""),"",SUMIFS(ResultsInd[Goal-B],ResultsInd[Category],AC553,ResultsInd[Stage],"Groups",ResultsInd[Player A],AD556)+SUMIFS(ResultsInd[Goal-A],ResultsInd[Category],AC553,ResultsInd[Stage],"Groups",ResultsInd[Player B],AD556))</f>
        <v/>
      </c>
      <c r="AU556" s="308" t="str">
        <f t="shared" si="488"/>
        <v/>
      </c>
      <c r="AV556" s="469" t="str">
        <f>IF(AG556="","",OR(VLOOKUP(AG556,AH554:AU560,3,FALSE),VLOOKUP(AG556,AH554:AU560,6,FALSE)))</f>
        <v/>
      </c>
      <c r="AW556" s="298" t="str">
        <f t="shared" si="486"/>
        <v/>
      </c>
      <c r="AX556" s="285" t="str">
        <f>IF(AG556="","",INDEX(AD554:AD560,MATCH(AG556,AH554:AH560,0)))</f>
        <v/>
      </c>
      <c r="AY556" s="286" t="str">
        <f>IF(AG556="","",VLOOKUP(AG556,AH554:AU560,COLUMN()-COLUMN(AR553),FALSE))</f>
        <v/>
      </c>
      <c r="AZ556" s="286" t="str">
        <f>IF(AG556="","",VLOOKUP(AG556,AH554:AU560,COLUMN()-COLUMN(AR553),FALSE))</f>
        <v/>
      </c>
      <c r="BA556" s="286" t="str">
        <f>IF(AG556="","",VLOOKUP(AG556,AH554:AU560,COLUMN()-COLUMN(AR553),FALSE))</f>
        <v/>
      </c>
      <c r="BB556" s="286" t="str">
        <f>IF(AG556="","",VLOOKUP(AG556,AH554:AU560,COLUMN()-COLUMN(AR553),FALSE))</f>
        <v/>
      </c>
      <c r="BC556" s="286" t="str">
        <f>IF(AG556="","",VLOOKUP(AG556,AH554:AU560,COLUMN()-COLUMN(AR553),FALSE))</f>
        <v/>
      </c>
      <c r="BD556" s="286" t="str">
        <f>IF(AG556="","",VLOOKUP(AG556,AH554:AU560,COLUMN()-COLUMN(AR553),FALSE))</f>
        <v/>
      </c>
      <c r="BE556" s="286" t="str">
        <f>IF(AG556="","",VLOOKUP(AG556,AH554:AU560,COLUMN()-COLUMN(AR553),FALSE))</f>
        <v/>
      </c>
      <c r="BF556" s="301" t="str">
        <f>IF(AG556="","",VLOOKUP(AG556,AH554:AU560,COLUMN()-COLUMN(AR553),FALSE))</f>
        <v/>
      </c>
    </row>
    <row r="557" spans="1:58" ht="12" thickBot="1" x14ac:dyDescent="0.25">
      <c r="A557" s="62" t="s">
        <v>890</v>
      </c>
      <c r="B557" s="62" t="s">
        <v>12216</v>
      </c>
      <c r="C557" s="62"/>
      <c r="D557" s="62"/>
      <c r="E557" s="345" t="s">
        <v>10415</v>
      </c>
      <c r="F557" s="345" t="s">
        <v>8922</v>
      </c>
      <c r="G557" s="113">
        <v>0</v>
      </c>
      <c r="H557" s="113">
        <v>0</v>
      </c>
      <c r="I557" s="114"/>
      <c r="J557" s="114">
        <v>5</v>
      </c>
      <c r="K557" s="114">
        <v>4</v>
      </c>
      <c r="L557" s="81"/>
      <c r="M557" s="265" t="b">
        <f>NOT(ISERROR(ResultsInd[[#This Row],[Goal-A]]+ResultsInd[[#This Row],[Goal-B]]))</f>
        <v>1</v>
      </c>
      <c r="N557" s="265">
        <f>VALUE(ResultsInd[[#This Row],[Score-A]])</f>
        <v>0</v>
      </c>
      <c r="O557" s="265">
        <f>VALUE(ResultsInd[[#This Row],[Score-B]])</f>
        <v>0</v>
      </c>
      <c r="P557" s="265">
        <f ca="1">IF(AND(ResultsInd[[#This Row],[Category]]&lt;&gt;"",ResultsInd[[#This Row],[Player A]]&lt;&gt;""),COUNTIF(INDIRECT(ResultsInd[[#This Row],[Category]]&amp;"List[Retained Player Name]"),ResultsInd[[#This Row],[Player A]]),"")</f>
        <v>1</v>
      </c>
      <c r="Q557" s="265">
        <f ca="1">IF(AND(ResultsInd[[#This Row],[Category]]&lt;&gt;"",ResultsInd[[#This Row],[Player B]]&lt;&gt;""),COUNTIF(INDIRECT(ResultsInd[[#This Row],[Category]]&amp;"List[Retained Player Name]"),ResultsInd[[#This Row],[Player B]]),"")</f>
        <v>1</v>
      </c>
      <c r="R5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7" s="265" t="str">
        <f>IF(ResultsInd[[#This Row],[Score_OK]],IF(ResultsInd[[#This Row],[Stage]]="Groups",ResultsInd[[#This Row],[Category]]&amp;"-"&amp;IF(ResultsInd[[#This Row],[Player B]]="","",IF(ResultsInd[[#This Row],[Score-A]]=ResultsInd[[#This Row],[Score-B]],ResultsInd[[#This Row],[Player A]],"")),""),"")</f>
        <v/>
      </c>
      <c r="T557" s="265" t="str">
        <f>IF(ResultsInd[[#This Row],[Score_OK]],IF(ResultsInd[[#This Row],[Stage]]="Groups",ResultsInd[[#This Row],[Category]]&amp;"-"&amp;IF(ResultsInd[[#This Row],[Player B]]="","",IF(ResultsInd[[#This Row],[Score-A]]=ResultsInd[[#This Row],[Score-B]],ResultsInd[[#This Row],[Player B]],"")),""),"")</f>
        <v/>
      </c>
      <c r="U5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OPEN-Georgios Genitsaropoulos</v>
      </c>
      <c r="W5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7" s="264" t="str">
        <f>IF(ResultsInd[[#This Row],[Category]]="","",VLOOKUP(ResultsInd[[#This Row],[Stage]],$P$1:$V$9,MATCH(ResultsInd[[#This Row],[Category]],$Q$1:$V$1,0)+1,FALSE))</f>
        <v>L32</v>
      </c>
      <c r="Z557" s="264" t="str">
        <f>IF(ResultsInd[[#This Row],[Score_OK]],IF(ResultsInd[[#This Row],[Level]]="R",ResultsInd[[#This Row],[Category]]&amp;"-"&amp;IF(ResultsInd[[#This Row],[LoseInKO]]=ResultsInd[[#This Row],[Category]]&amp;"-"&amp;ResultsInd[[#This Row],[Player A]],ResultsInd[[#This Row],[Player B]],ResultsInd[[#This Row],[Player A]]),""),"")</f>
        <v/>
      </c>
      <c r="AB557" s="91"/>
      <c r="AC557" s="12" t="str">
        <f t="shared" si="487"/>
        <v/>
      </c>
      <c r="AD557" s="309"/>
      <c r="AE557" s="310"/>
      <c r="AF557" s="311"/>
      <c r="AG557" s="292" t="str">
        <f>IF(AP557="","",SMALL(AH554:AH560,ROWS(AG554:AG557)))</f>
        <v/>
      </c>
      <c r="AH557" s="293" t="str">
        <f>IF(AP557="","",RANK(AL557,AL554:AL560)*1000+ROWS(AH554:AH557))</f>
        <v/>
      </c>
      <c r="AI557" s="316" t="str">
        <f t="shared" si="481"/>
        <v/>
      </c>
      <c r="AJ557" s="415" t="b">
        <f>AND(AO557&lt;&gt;"",AO557&gt;0,COUNTIF(AI554:AI560,AI557)&gt;1)</f>
        <v>0</v>
      </c>
      <c r="AK557" s="316" t="str">
        <f t="shared" si="482"/>
        <v/>
      </c>
      <c r="AL557" s="317" t="str">
        <f t="shared" si="483"/>
        <v/>
      </c>
      <c r="AM557" s="415" t="b">
        <f>AND(AO557&lt;&gt;"",AO557&gt;0,COUNTIF(AL554:AL560,AL557)&gt;1)</f>
        <v>0</v>
      </c>
      <c r="AN557" s="306" t="str">
        <f t="shared" si="484"/>
        <v/>
      </c>
      <c r="AO557" s="307" t="str">
        <f t="shared" si="485"/>
        <v/>
      </c>
      <c r="AP557" s="307" t="str">
        <f>IF(OR(AC553="",AD557=""),"",COUNTIF(ResultsInd[Win],AC553&amp;"-"&amp;AD557))</f>
        <v/>
      </c>
      <c r="AQ557" s="307" t="str">
        <f>IF(OR(AC553="",AD557=""),"",COUNTIF(ResultsInd[Draw1],AC553&amp;"-"&amp;AD557)+COUNTIF(ResultsInd[Draw2],AC553&amp;"-"&amp;AD557))</f>
        <v/>
      </c>
      <c r="AR557" s="307" t="str">
        <f>IF(OR(AC553="",AD557=""),"",COUNTIF(ResultsInd[Lose],AC553&amp;"-"&amp;AD557))</f>
        <v/>
      </c>
      <c r="AS557" s="307" t="str">
        <f>IF(OR(AC553="",AD557=""),"",SUMIFS(ResultsInd[Goal-A],ResultsInd[Category],AC553,ResultsInd[Stage],"Groups",ResultsInd[Player A],AD557)+SUMIFS(ResultsInd[Goal-B],ResultsInd[Category],AC553,ResultsInd[Stage],"Groups",ResultsInd[Player B],AD557))</f>
        <v/>
      </c>
      <c r="AT557" s="307" t="str">
        <f>IF(OR(AC553="",AD557=""),"",SUMIFS(ResultsInd[Goal-B],ResultsInd[Category],AC553,ResultsInd[Stage],"Groups",ResultsInd[Player A],AD557)+SUMIFS(ResultsInd[Goal-A],ResultsInd[Category],AC553,ResultsInd[Stage],"Groups",ResultsInd[Player B],AD557))</f>
        <v/>
      </c>
      <c r="AU557" s="308" t="str">
        <f t="shared" si="488"/>
        <v/>
      </c>
      <c r="AV557" s="469" t="str">
        <f>IF(AG557="","",OR(VLOOKUP(AG557,AH554:AU560,3,FALSE),VLOOKUP(AG557,AH554:AU560,6,FALSE)))</f>
        <v/>
      </c>
      <c r="AW557" s="298" t="str">
        <f t="shared" si="486"/>
        <v/>
      </c>
      <c r="AX557" s="285" t="str">
        <f>IF(AG557="","",INDEX(AD554:AD560,MATCH(AG557,AH554:AH560,0)))</f>
        <v/>
      </c>
      <c r="AY557" s="286" t="str">
        <f>IF(AG557="","",VLOOKUP(AG557,AH554:AU560,COLUMN()-COLUMN(AR553),FALSE))</f>
        <v/>
      </c>
      <c r="AZ557" s="286" t="str">
        <f>IF(AG557="","",VLOOKUP(AG557,AH554:AU560,COLUMN()-COLUMN(AR553),FALSE))</f>
        <v/>
      </c>
      <c r="BA557" s="286" t="str">
        <f>IF(AG557="","",VLOOKUP(AG557,AH554:AU560,COLUMN()-COLUMN(AR553),FALSE))</f>
        <v/>
      </c>
      <c r="BB557" s="286" t="str">
        <f>IF(AG557="","",VLOOKUP(AG557,AH554:AU560,COLUMN()-COLUMN(AR553),FALSE))</f>
        <v/>
      </c>
      <c r="BC557" s="286" t="str">
        <f>IF(AG557="","",VLOOKUP(AG557,AH554:AU560,COLUMN()-COLUMN(AR553),FALSE))</f>
        <v/>
      </c>
      <c r="BD557" s="286" t="str">
        <f>IF(AG557="","",VLOOKUP(AG557,AH554:AU560,COLUMN()-COLUMN(AR553),FALSE))</f>
        <v/>
      </c>
      <c r="BE557" s="286" t="str">
        <f>IF(AG557="","",VLOOKUP(AG557,AH554:AU560,COLUMN()-COLUMN(AR553),FALSE))</f>
        <v/>
      </c>
      <c r="BF557" s="301" t="str">
        <f>IF(AG557="","",VLOOKUP(AG557,AH554:AU560,COLUMN()-COLUMN(AR553),FALSE))</f>
        <v/>
      </c>
    </row>
    <row r="558" spans="1:58" ht="12" thickBot="1" x14ac:dyDescent="0.25">
      <c r="A558" s="62" t="s">
        <v>890</v>
      </c>
      <c r="B558" s="62" t="s">
        <v>12216</v>
      </c>
      <c r="C558" s="62"/>
      <c r="D558" s="62"/>
      <c r="E558" s="345" t="s">
        <v>8714</v>
      </c>
      <c r="F558" s="345" t="s">
        <v>8149</v>
      </c>
      <c r="G558" s="113">
        <v>5</v>
      </c>
      <c r="H558" s="113">
        <v>2</v>
      </c>
      <c r="I558" s="114"/>
      <c r="J558" s="114"/>
      <c r="K558" s="114"/>
      <c r="L558" s="81"/>
      <c r="M558" s="265" t="b">
        <f>NOT(ISERROR(ResultsInd[[#This Row],[Goal-A]]+ResultsInd[[#This Row],[Goal-B]]))</f>
        <v>1</v>
      </c>
      <c r="N558" s="265">
        <f>VALUE(ResultsInd[[#This Row],[Score-A]])</f>
        <v>5</v>
      </c>
      <c r="O558" s="265">
        <f>VALUE(ResultsInd[[#This Row],[Score-B]])</f>
        <v>2</v>
      </c>
      <c r="P558" s="265">
        <f ca="1">IF(AND(ResultsInd[[#This Row],[Category]]&lt;&gt;"",ResultsInd[[#This Row],[Player A]]&lt;&gt;""),COUNTIF(INDIRECT(ResultsInd[[#This Row],[Category]]&amp;"List[Retained Player Name]"),ResultsInd[[#This Row],[Player A]]),"")</f>
        <v>1</v>
      </c>
      <c r="Q558" s="265">
        <f ca="1">IF(AND(ResultsInd[[#This Row],[Category]]&lt;&gt;"",ResultsInd[[#This Row],[Player B]]&lt;&gt;""),COUNTIF(INDIRECT(ResultsInd[[#This Row],[Category]]&amp;"List[Retained Player Name]"),ResultsInd[[#This Row],[Player B]]),"")</f>
        <v>1</v>
      </c>
      <c r="R5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8" s="265" t="str">
        <f>IF(ResultsInd[[#This Row],[Score_OK]],IF(ResultsInd[[#This Row],[Stage]]="Groups",ResultsInd[[#This Row],[Category]]&amp;"-"&amp;IF(ResultsInd[[#This Row],[Player B]]="","",IF(ResultsInd[[#This Row],[Score-A]]=ResultsInd[[#This Row],[Score-B]],ResultsInd[[#This Row],[Player A]],"")),""),"")</f>
        <v/>
      </c>
      <c r="T558" s="265" t="str">
        <f>IF(ResultsInd[[#This Row],[Score_OK]],IF(ResultsInd[[#This Row],[Stage]]="Groups",ResultsInd[[#This Row],[Category]]&amp;"-"&amp;IF(ResultsInd[[#This Row],[Player B]]="","",IF(ResultsInd[[#This Row],[Score-A]]=ResultsInd[[#This Row],[Score-B]],ResultsInd[[#This Row],[Player B]],"")),""),"")</f>
        <v/>
      </c>
      <c r="U5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OPEN-Jann Segers</v>
      </c>
      <c r="W5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8" s="264" t="str">
        <f>IF(ResultsInd[[#This Row],[Category]]="","",VLOOKUP(ResultsInd[[#This Row],[Stage]],$P$1:$V$9,MATCH(ResultsInd[[#This Row],[Category]],$Q$1:$V$1,0)+1,FALSE))</f>
        <v>L32</v>
      </c>
      <c r="Z558" s="264" t="str">
        <f>IF(ResultsInd[[#This Row],[Score_OK]],IF(ResultsInd[[#This Row],[Level]]="R",ResultsInd[[#This Row],[Category]]&amp;"-"&amp;IF(ResultsInd[[#This Row],[LoseInKO]]=ResultsInd[[#This Row],[Category]]&amp;"-"&amp;ResultsInd[[#This Row],[Player A]],ResultsInd[[#This Row],[Player B]],ResultsInd[[#This Row],[Player A]]),""),"")</f>
        <v/>
      </c>
      <c r="AB558" s="91"/>
      <c r="AC558" s="12" t="str">
        <f t="shared" si="487"/>
        <v/>
      </c>
      <c r="AD558" s="309"/>
      <c r="AE558" s="310"/>
      <c r="AF558" s="311"/>
      <c r="AG558" s="292" t="str">
        <f>IF(AP558="","",SMALL(AH554:AH560,ROWS(AG554:AG558)))</f>
        <v/>
      </c>
      <c r="AH558" s="293" t="str">
        <f>IF(AP558="","",RANK(AL558,AL554:AL560)*1000+ROWS(AH554:AH558))</f>
        <v/>
      </c>
      <c r="AI558" s="316" t="str">
        <f t="shared" si="481"/>
        <v/>
      </c>
      <c r="AJ558" s="415" t="b">
        <f>AND(AO558&lt;&gt;"",AO558&gt;0,COUNTIF(AI554:AI560,AI558)&gt;1)</f>
        <v>0</v>
      </c>
      <c r="AK558" s="316" t="str">
        <f t="shared" si="482"/>
        <v/>
      </c>
      <c r="AL558" s="317" t="str">
        <f t="shared" si="483"/>
        <v/>
      </c>
      <c r="AM558" s="415" t="b">
        <f>AND(AO558&lt;&gt;"",AO558&gt;0,COUNTIF(AL554:AL560,AL558)&gt;1)</f>
        <v>0</v>
      </c>
      <c r="AN558" s="306" t="str">
        <f t="shared" si="484"/>
        <v/>
      </c>
      <c r="AO558" s="307" t="str">
        <f t="shared" si="485"/>
        <v/>
      </c>
      <c r="AP558" s="307" t="str">
        <f>IF(OR(AC553="",AD558=""),"",COUNTIF(ResultsInd[Win],AC553&amp;"-"&amp;AD558))</f>
        <v/>
      </c>
      <c r="AQ558" s="307" t="str">
        <f>IF(OR(AC553="",AD558=""),"",COUNTIF(ResultsInd[Draw1],AC553&amp;"-"&amp;AD558)+COUNTIF(ResultsInd[Draw2],AC553&amp;"-"&amp;AD558))</f>
        <v/>
      </c>
      <c r="AR558" s="307" t="str">
        <f>IF(OR(AC553="",AD558=""),"",COUNTIF(ResultsInd[Lose],AC553&amp;"-"&amp;AD558))</f>
        <v/>
      </c>
      <c r="AS558" s="307" t="str">
        <f>IF(OR(AC553="",AD558=""),"",SUMIFS(ResultsInd[Goal-A],ResultsInd[Category],AC553,ResultsInd[Stage],"Groups",ResultsInd[Player A],AD558)+SUMIFS(ResultsInd[Goal-B],ResultsInd[Category],AC553,ResultsInd[Stage],"Groups",ResultsInd[Player B],AD558))</f>
        <v/>
      </c>
      <c r="AT558" s="307" t="str">
        <f>IF(OR(AC553="",AD558=""),"",SUMIFS(ResultsInd[Goal-B],ResultsInd[Category],AC553,ResultsInd[Stage],"Groups",ResultsInd[Player A],AD558)+SUMIFS(ResultsInd[Goal-A],ResultsInd[Category],AC553,ResultsInd[Stage],"Groups",ResultsInd[Player B],AD558))</f>
        <v/>
      </c>
      <c r="AU558" s="308" t="str">
        <f t="shared" si="488"/>
        <v/>
      </c>
      <c r="AV558" s="469" t="str">
        <f>IF(AG558="","",OR(VLOOKUP(AG558,AH554:AU560,3,FALSE),VLOOKUP(AG558,AH554:AU560,6,FALSE)))</f>
        <v/>
      </c>
      <c r="AW558" s="298" t="str">
        <f t="shared" si="486"/>
        <v/>
      </c>
      <c r="AX558" s="285" t="str">
        <f>IF(AG558="","",INDEX(AD554:AD560,MATCH(AG558,AH554:AH560,0)))</f>
        <v/>
      </c>
      <c r="AY558" s="286" t="str">
        <f>IF(AG558="","",VLOOKUP(AG558,AH554:AU560,COLUMN()-COLUMN(AR553),FALSE))</f>
        <v/>
      </c>
      <c r="AZ558" s="286" t="str">
        <f>IF(AG558="","",VLOOKUP(AG558,AH554:AU560,COLUMN()-COLUMN(AR553),FALSE))</f>
        <v/>
      </c>
      <c r="BA558" s="286" t="str">
        <f>IF(AG558="","",VLOOKUP(AG558,AH554:AU560,COLUMN()-COLUMN(AR553),FALSE))</f>
        <v/>
      </c>
      <c r="BB558" s="286" t="str">
        <f>IF(AG558="","",VLOOKUP(AG558,AH554:AU560,COLUMN()-COLUMN(AR553),FALSE))</f>
        <v/>
      </c>
      <c r="BC558" s="286" t="str">
        <f>IF(AG558="","",VLOOKUP(AG558,AH554:AU560,COLUMN()-COLUMN(AR553),FALSE))</f>
        <v/>
      </c>
      <c r="BD558" s="286" t="str">
        <f>IF(AG558="","",VLOOKUP(AG558,AH554:AU560,COLUMN()-COLUMN(AR553),FALSE))</f>
        <v/>
      </c>
      <c r="BE558" s="286" t="str">
        <f>IF(AG558="","",VLOOKUP(AG558,AH554:AU560,COLUMN()-COLUMN(AR553),FALSE))</f>
        <v/>
      </c>
      <c r="BF558" s="301" t="str">
        <f>IF(AG558="","",VLOOKUP(AG558,AH554:AU560,COLUMN()-COLUMN(AR553),FALSE))</f>
        <v/>
      </c>
    </row>
    <row r="559" spans="1:58" ht="12" thickBot="1" x14ac:dyDescent="0.25">
      <c r="A559" s="62" t="s">
        <v>890</v>
      </c>
      <c r="B559" s="62" t="s">
        <v>12216</v>
      </c>
      <c r="C559" s="62"/>
      <c r="D559" s="62"/>
      <c r="E559" s="345" t="s">
        <v>10283</v>
      </c>
      <c r="F559" s="345" t="s">
        <v>8629</v>
      </c>
      <c r="G559" s="113">
        <v>2</v>
      </c>
      <c r="H559" s="113">
        <v>3</v>
      </c>
      <c r="I559" s="114"/>
      <c r="J559" s="114"/>
      <c r="K559" s="114"/>
      <c r="L559" s="81"/>
      <c r="M559" s="265" t="b">
        <f>NOT(ISERROR(ResultsInd[[#This Row],[Goal-A]]+ResultsInd[[#This Row],[Goal-B]]))</f>
        <v>1</v>
      </c>
      <c r="N559" s="265">
        <f>VALUE(ResultsInd[[#This Row],[Score-A]])</f>
        <v>2</v>
      </c>
      <c r="O559" s="265">
        <f>VALUE(ResultsInd[[#This Row],[Score-B]])</f>
        <v>3</v>
      </c>
      <c r="P559" s="265">
        <f ca="1">IF(AND(ResultsInd[[#This Row],[Category]]&lt;&gt;"",ResultsInd[[#This Row],[Player A]]&lt;&gt;""),COUNTIF(INDIRECT(ResultsInd[[#This Row],[Category]]&amp;"List[Retained Player Name]"),ResultsInd[[#This Row],[Player A]]),"")</f>
        <v>1</v>
      </c>
      <c r="Q559" s="265">
        <f ca="1">IF(AND(ResultsInd[[#This Row],[Category]]&lt;&gt;"",ResultsInd[[#This Row],[Player B]]&lt;&gt;""),COUNTIF(INDIRECT(ResultsInd[[#This Row],[Category]]&amp;"List[Retained Player Name]"),ResultsInd[[#This Row],[Player B]]),"")</f>
        <v>1</v>
      </c>
      <c r="R5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9" s="265" t="str">
        <f>IF(ResultsInd[[#This Row],[Score_OK]],IF(ResultsInd[[#This Row],[Stage]]="Groups",ResultsInd[[#This Row],[Category]]&amp;"-"&amp;IF(ResultsInd[[#This Row],[Player B]]="","",IF(ResultsInd[[#This Row],[Score-A]]=ResultsInd[[#This Row],[Score-B]],ResultsInd[[#This Row],[Player A]],"")),""),"")</f>
        <v/>
      </c>
      <c r="T559" s="265" t="str">
        <f>IF(ResultsInd[[#This Row],[Score_OK]],IF(ResultsInd[[#This Row],[Stage]]="Groups",ResultsInd[[#This Row],[Category]]&amp;"-"&amp;IF(ResultsInd[[#This Row],[Player B]]="","",IF(ResultsInd[[#This Row],[Score-A]]=ResultsInd[[#This Row],[Score-B]],ResultsInd[[#This Row],[Player B]],"")),""),"")</f>
        <v/>
      </c>
      <c r="U5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OPEN-Marcello Bodin De Chatelard</v>
      </c>
      <c r="W5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59" s="264" t="str">
        <f>IF(ResultsInd[[#This Row],[Category]]="","",VLOOKUP(ResultsInd[[#This Row],[Stage]],$P$1:$V$9,MATCH(ResultsInd[[#This Row],[Category]],$Q$1:$V$1,0)+1,FALSE))</f>
        <v>L32</v>
      </c>
      <c r="Z559" s="264" t="str">
        <f>IF(ResultsInd[[#This Row],[Score_OK]],IF(ResultsInd[[#This Row],[Level]]="R",ResultsInd[[#This Row],[Category]]&amp;"-"&amp;IF(ResultsInd[[#This Row],[LoseInKO]]=ResultsInd[[#This Row],[Category]]&amp;"-"&amp;ResultsInd[[#This Row],[Player A]],ResultsInd[[#This Row],[Player B]],ResultsInd[[#This Row],[Player A]]),""),"")</f>
        <v/>
      </c>
      <c r="AB559" s="8"/>
      <c r="AC559" s="12" t="str">
        <f t="shared" si="487"/>
        <v/>
      </c>
      <c r="AD559" s="309"/>
      <c r="AE559" s="310"/>
      <c r="AF559" s="311"/>
      <c r="AG559" s="292" t="str">
        <f>IF(AP559="","",SMALL(AH554:AH560,ROWS(AG554:AG559)))</f>
        <v/>
      </c>
      <c r="AH559" s="293" t="str">
        <f>IF(AP559="","",RANK(AL559,AL554:AL560)*1000+ROWS(AH554:AH559))</f>
        <v/>
      </c>
      <c r="AI559" s="316" t="str">
        <f t="shared" si="481"/>
        <v/>
      </c>
      <c r="AJ559" s="415" t="b">
        <f>AND(AO559&lt;&gt;"",AO559&gt;0,COUNTIF(AI554:AI560,AI559)&gt;1)</f>
        <v>0</v>
      </c>
      <c r="AK559" s="316" t="str">
        <f t="shared" si="482"/>
        <v/>
      </c>
      <c r="AL559" s="317" t="str">
        <f t="shared" si="483"/>
        <v/>
      </c>
      <c r="AM559" s="415" t="b">
        <f>AND(AO559&lt;&gt;"",AO559&gt;0,COUNTIF(AL554:AL560,AL559)&gt;1)</f>
        <v>0</v>
      </c>
      <c r="AN559" s="306" t="str">
        <f t="shared" si="484"/>
        <v/>
      </c>
      <c r="AO559" s="307" t="str">
        <f t="shared" si="485"/>
        <v/>
      </c>
      <c r="AP559" s="307" t="str">
        <f>IF(OR(AC553="",AD559=""),"",COUNTIF(ResultsInd[Win],AC553&amp;"-"&amp;AD559))</f>
        <v/>
      </c>
      <c r="AQ559" s="307" t="str">
        <f>IF(OR(AC553="",AD559=""),"",COUNTIF(ResultsInd[Draw1],AC553&amp;"-"&amp;AD559)+COUNTIF(ResultsInd[Draw2],AC553&amp;"-"&amp;AD559))</f>
        <v/>
      </c>
      <c r="AR559" s="307" t="str">
        <f>IF(OR(AC553="",AD559=""),"",COUNTIF(ResultsInd[Lose],AC553&amp;"-"&amp;AD559))</f>
        <v/>
      </c>
      <c r="AS559" s="307" t="str">
        <f>IF(OR(AC553="",AD559=""),"",SUMIFS(ResultsInd[Goal-A],ResultsInd[Category],AC553,ResultsInd[Stage],"Groups",ResultsInd[Player A],AD559)+SUMIFS(ResultsInd[Goal-B],ResultsInd[Category],AC553,ResultsInd[Stage],"Groups",ResultsInd[Player B],AD559))</f>
        <v/>
      </c>
      <c r="AT559" s="307" t="str">
        <f>IF(OR(AC553="",AD559=""),"",SUMIFS(ResultsInd[Goal-B],ResultsInd[Category],AC553,ResultsInd[Stage],"Groups",ResultsInd[Player A],AD559)+SUMIFS(ResultsInd[Goal-A],ResultsInd[Category],AC553,ResultsInd[Stage],"Groups",ResultsInd[Player B],AD559))</f>
        <v/>
      </c>
      <c r="AU559" s="308" t="str">
        <f t="shared" si="488"/>
        <v/>
      </c>
      <c r="AV559" s="469" t="str">
        <f>IF(AG559="","",OR(VLOOKUP(AG559,AH554:AU560,3,FALSE),VLOOKUP(AG559,AH554:AU560,6,FALSE)))</f>
        <v/>
      </c>
      <c r="AW559" s="298" t="str">
        <f t="shared" si="486"/>
        <v/>
      </c>
      <c r="AX559" s="285" t="str">
        <f>IF(AG559="","",INDEX(AD554:AD560,MATCH(AG559,AH554:AH560,0)))</f>
        <v/>
      </c>
      <c r="AY559" s="286" t="str">
        <f>IF(AG559="","",VLOOKUP(AG559,AH554:AU560,COLUMN()-COLUMN(AR553),FALSE))</f>
        <v/>
      </c>
      <c r="AZ559" s="286" t="str">
        <f>IF(AG559="","",VLOOKUP(AG559,AH554:AU560,COLUMN()-COLUMN(AR553),FALSE))</f>
        <v/>
      </c>
      <c r="BA559" s="286" t="str">
        <f>IF(AG559="","",VLOOKUP(AG559,AH554:AU560,COLUMN()-COLUMN(AR553),FALSE))</f>
        <v/>
      </c>
      <c r="BB559" s="286" t="str">
        <f>IF(AG559="","",VLOOKUP(AG559,AH554:AU560,COLUMN()-COLUMN(AR553),FALSE))</f>
        <v/>
      </c>
      <c r="BC559" s="286" t="str">
        <f>IF(AG559="","",VLOOKUP(AG559,AH554:AU560,COLUMN()-COLUMN(AR553),FALSE))</f>
        <v/>
      </c>
      <c r="BD559" s="286" t="str">
        <f>IF(AG559="","",VLOOKUP(AG559,AH554:AU560,COLUMN()-COLUMN(AR553),FALSE))</f>
        <v/>
      </c>
      <c r="BE559" s="286" t="str">
        <f>IF(AG559="","",VLOOKUP(AG559,AH554:AU560,COLUMN()-COLUMN(AR553),FALSE))</f>
        <v/>
      </c>
      <c r="BF559" s="301" t="str">
        <f>IF(AG559="","",VLOOKUP(AG559,AH554:AU560,COLUMN()-COLUMN(AR553),FALSE))</f>
        <v/>
      </c>
    </row>
    <row r="560" spans="1:58" ht="12" thickBot="1" x14ac:dyDescent="0.25">
      <c r="A560" s="62" t="s">
        <v>890</v>
      </c>
      <c r="B560" s="62" t="s">
        <v>12216</v>
      </c>
      <c r="C560" s="62"/>
      <c r="D560" s="62"/>
      <c r="E560" s="345" t="s">
        <v>8697</v>
      </c>
      <c r="F560" s="345" t="s">
        <v>10426</v>
      </c>
      <c r="G560" s="113">
        <v>2</v>
      </c>
      <c r="H560" s="113">
        <v>1</v>
      </c>
      <c r="I560" s="114"/>
      <c r="J560" s="114"/>
      <c r="K560" s="114"/>
      <c r="L560" s="81"/>
      <c r="M560" s="265" t="b">
        <f>NOT(ISERROR(ResultsInd[[#This Row],[Goal-A]]+ResultsInd[[#This Row],[Goal-B]]))</f>
        <v>1</v>
      </c>
      <c r="N560" s="265">
        <f>VALUE(ResultsInd[[#This Row],[Score-A]])</f>
        <v>2</v>
      </c>
      <c r="O560" s="265">
        <f>VALUE(ResultsInd[[#This Row],[Score-B]])</f>
        <v>1</v>
      </c>
      <c r="P560" s="265">
        <f ca="1">IF(AND(ResultsInd[[#This Row],[Category]]&lt;&gt;"",ResultsInd[[#This Row],[Player A]]&lt;&gt;""),COUNTIF(INDIRECT(ResultsInd[[#This Row],[Category]]&amp;"List[Retained Player Name]"),ResultsInd[[#This Row],[Player A]]),"")</f>
        <v>1</v>
      </c>
      <c r="Q560" s="265">
        <f ca="1">IF(AND(ResultsInd[[#This Row],[Category]]&lt;&gt;"",ResultsInd[[#This Row],[Player B]]&lt;&gt;""),COUNTIF(INDIRECT(ResultsInd[[#This Row],[Category]]&amp;"List[Retained Player Name]"),ResultsInd[[#This Row],[Player B]]),"")</f>
        <v>1</v>
      </c>
      <c r="R5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0" s="265" t="str">
        <f>IF(ResultsInd[[#This Row],[Score_OK]],IF(ResultsInd[[#This Row],[Stage]]="Groups",ResultsInd[[#This Row],[Category]]&amp;"-"&amp;IF(ResultsInd[[#This Row],[Player B]]="","",IF(ResultsInd[[#This Row],[Score-A]]=ResultsInd[[#This Row],[Score-B]],ResultsInd[[#This Row],[Player A]],"")),""),"")</f>
        <v/>
      </c>
      <c r="T560" s="265" t="str">
        <f>IF(ResultsInd[[#This Row],[Score_OK]],IF(ResultsInd[[#This Row],[Stage]]="Groups",ResultsInd[[#This Row],[Category]]&amp;"-"&amp;IF(ResultsInd[[#This Row],[Player B]]="","",IF(ResultsInd[[#This Row],[Score-A]]=ResultsInd[[#This Row],[Score-B]],ResultsInd[[#This Row],[Player B]],"")),""),"")</f>
        <v/>
      </c>
      <c r="U5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OPEN-Mark Gauci</v>
      </c>
      <c r="W5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0" s="264" t="str">
        <f>IF(ResultsInd[[#This Row],[Category]]="","",VLOOKUP(ResultsInd[[#This Row],[Stage]],$P$1:$V$9,MATCH(ResultsInd[[#This Row],[Category]],$Q$1:$V$1,0)+1,FALSE))</f>
        <v>L32</v>
      </c>
      <c r="Z560" s="264" t="str">
        <f>IF(ResultsInd[[#This Row],[Score_OK]],IF(ResultsInd[[#This Row],[Level]]="R",ResultsInd[[#This Row],[Category]]&amp;"-"&amp;IF(ResultsInd[[#This Row],[LoseInKO]]=ResultsInd[[#This Row],[Category]]&amp;"-"&amp;ResultsInd[[#This Row],[Player A]],ResultsInd[[#This Row],[Player B]],ResultsInd[[#This Row],[Player A]]),""),"")</f>
        <v/>
      </c>
      <c r="AB560" s="8"/>
      <c r="AC560" s="12" t="str">
        <f t="shared" si="487"/>
        <v/>
      </c>
      <c r="AD560" s="312"/>
      <c r="AE560" s="313"/>
      <c r="AF560" s="314"/>
      <c r="AG560" s="294" t="str">
        <f>IF(AP560="","",SMALL(AH554:AH560,ROWS(AG554:AG560)))</f>
        <v/>
      </c>
      <c r="AH560" s="295" t="str">
        <f>IF(AP560="","",RANK(AL560,AL554:AL560)*1000+ROWS(AH554:AH560))</f>
        <v/>
      </c>
      <c r="AI560" s="318" t="str">
        <f t="shared" si="481"/>
        <v/>
      </c>
      <c r="AJ560" s="416" t="b">
        <f>AND(AO560&lt;&gt;"",AO560&gt;0,COUNTIF(AI554:AI560,AI560)&gt;1)</f>
        <v>0</v>
      </c>
      <c r="AK560" s="318" t="str">
        <f t="shared" si="482"/>
        <v/>
      </c>
      <c r="AL560" s="319" t="str">
        <f t="shared" si="483"/>
        <v/>
      </c>
      <c r="AM560" s="416" t="b">
        <f>AND(AO560&lt;&gt;"",AO560&gt;0,COUNTIF(AL554:AL560,AL560)&gt;1)</f>
        <v>0</v>
      </c>
      <c r="AN560" s="306" t="str">
        <f t="shared" si="484"/>
        <v/>
      </c>
      <c r="AO560" s="307" t="str">
        <f t="shared" si="485"/>
        <v/>
      </c>
      <c r="AP560" s="307" t="str">
        <f>IF(OR(AC553="",AD560=""),"",COUNTIF(ResultsInd[Win],AC553&amp;"-"&amp;AD560))</f>
        <v/>
      </c>
      <c r="AQ560" s="307" t="str">
        <f>IF(OR(AC553="",AD560=""),"",COUNTIF(ResultsInd[Draw1],AC553&amp;"-"&amp;AD560)+COUNTIF(ResultsInd[Draw2],AC553&amp;"-"&amp;AD560))</f>
        <v/>
      </c>
      <c r="AR560" s="307" t="str">
        <f>IF(OR(AC553="",AD560=""),"",COUNTIF(ResultsInd[Lose],AC553&amp;"-"&amp;AD560))</f>
        <v/>
      </c>
      <c r="AS560" s="307" t="str">
        <f>IF(OR(AC553="",AD560=""),"",SUMIFS(ResultsInd[Goal-A],ResultsInd[Category],AC553,ResultsInd[Stage],"Groups",ResultsInd[Player A],AD560)+SUMIFS(ResultsInd[Goal-B],ResultsInd[Category],AC553,ResultsInd[Stage],"Groups",ResultsInd[Player B],AD560))</f>
        <v/>
      </c>
      <c r="AT560" s="307" t="str">
        <f>IF(OR(AC553="",AD560=""),"",SUMIFS(ResultsInd[Goal-B],ResultsInd[Category],AC553,ResultsInd[Stage],"Groups",ResultsInd[Player A],AD560)+SUMIFS(ResultsInd[Goal-A],ResultsInd[Category],AC553,ResultsInd[Stage],"Groups",ResultsInd[Player B],AD560))</f>
        <v/>
      </c>
      <c r="AU560" s="308" t="str">
        <f t="shared" si="488"/>
        <v/>
      </c>
      <c r="AV560" s="469" t="str">
        <f>IF(AG560="","",OR(VLOOKUP(AG560,AH554:AU560,3,FALSE),VLOOKUP(AG560,AH554:AU560,6,FALSE)))</f>
        <v/>
      </c>
      <c r="AW560" s="299" t="str">
        <f t="shared" si="486"/>
        <v/>
      </c>
      <c r="AX560" s="287" t="str">
        <f>IF(AG560="","",INDEX(AD554:AD560,MATCH(AG560,AH554:AH560,0)))</f>
        <v/>
      </c>
      <c r="AY560" s="288" t="str">
        <f>IF(AG560="","",VLOOKUP(AG560,AH554:AU560,COLUMN()-COLUMN(AR553),FALSE))</f>
        <v/>
      </c>
      <c r="AZ560" s="288" t="str">
        <f>IF(AG560="","",VLOOKUP(AG560,AH554:AU560,COLUMN()-COLUMN(AR553),FALSE))</f>
        <v/>
      </c>
      <c r="BA560" s="288" t="str">
        <f>IF(AG560="","",VLOOKUP(AG560,AH554:AU560,COLUMN()-COLUMN(AR553),FALSE))</f>
        <v/>
      </c>
      <c r="BB560" s="288" t="str">
        <f>IF(AG560="","",VLOOKUP(AG560,AH554:AU560,COLUMN()-COLUMN(AR553),FALSE))</f>
        <v/>
      </c>
      <c r="BC560" s="288" t="str">
        <f>IF(AG560="","",VLOOKUP(AG560,AH554:AU560,COLUMN()-COLUMN(AR553),FALSE))</f>
        <v/>
      </c>
      <c r="BD560" s="288" t="str">
        <f>IF(AG560="","",VLOOKUP(AG560,AH554:AU560,COLUMN()-COLUMN(AR553),FALSE))</f>
        <v/>
      </c>
      <c r="BE560" s="288" t="str">
        <f>IF(AG560="","",VLOOKUP(AG560,AH554:AU560,COLUMN()-COLUMN(AR553),FALSE))</f>
        <v/>
      </c>
      <c r="BF560" s="302" t="str">
        <f>IF(AG560="","",VLOOKUP(AG560,AH554:AU560,COLUMN()-COLUMN(AR553),FALSE))</f>
        <v/>
      </c>
    </row>
    <row r="561" spans="1:58" ht="13.5" thickBot="1" x14ac:dyDescent="0.25">
      <c r="A561" s="62" t="s">
        <v>890</v>
      </c>
      <c r="B561" s="62" t="s">
        <v>12216</v>
      </c>
      <c r="C561" s="62"/>
      <c r="D561" s="62"/>
      <c r="E561" s="345" t="s">
        <v>13</v>
      </c>
      <c r="F561" s="345" t="s">
        <v>8610</v>
      </c>
      <c r="G561" s="113">
        <v>1</v>
      </c>
      <c r="H561" s="113">
        <v>3</v>
      </c>
      <c r="I561" s="114"/>
      <c r="J561" s="114"/>
      <c r="K561" s="114"/>
      <c r="L561" s="81"/>
      <c r="M561" s="265" t="b">
        <f>NOT(ISERROR(ResultsInd[[#This Row],[Goal-A]]+ResultsInd[[#This Row],[Goal-B]]))</f>
        <v>1</v>
      </c>
      <c r="N561" s="265">
        <f>VALUE(ResultsInd[[#This Row],[Score-A]])</f>
        <v>1</v>
      </c>
      <c r="O561" s="265">
        <f>VALUE(ResultsInd[[#This Row],[Score-B]])</f>
        <v>3</v>
      </c>
      <c r="P561" s="265">
        <f ca="1">IF(AND(ResultsInd[[#This Row],[Category]]&lt;&gt;"",ResultsInd[[#This Row],[Player A]]&lt;&gt;""),COUNTIF(INDIRECT(ResultsInd[[#This Row],[Category]]&amp;"List[Retained Player Name]"),ResultsInd[[#This Row],[Player A]]),"")</f>
        <v>1</v>
      </c>
      <c r="Q561" s="265">
        <f ca="1">IF(AND(ResultsInd[[#This Row],[Category]]&lt;&gt;"",ResultsInd[[#This Row],[Player B]]&lt;&gt;""),COUNTIF(INDIRECT(ResultsInd[[#This Row],[Category]]&amp;"List[Retained Player Name]"),ResultsInd[[#This Row],[Player B]]),"")</f>
        <v>1</v>
      </c>
      <c r="R5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1" s="265" t="str">
        <f>IF(ResultsInd[[#This Row],[Score_OK]],IF(ResultsInd[[#This Row],[Stage]]="Groups",ResultsInd[[#This Row],[Category]]&amp;"-"&amp;IF(ResultsInd[[#This Row],[Player B]]="","",IF(ResultsInd[[#This Row],[Score-A]]=ResultsInd[[#This Row],[Score-B]],ResultsInd[[#This Row],[Player A]],"")),""),"")</f>
        <v/>
      </c>
      <c r="T561" s="265" t="str">
        <f>IF(ResultsInd[[#This Row],[Score_OK]],IF(ResultsInd[[#This Row],[Stage]]="Groups",ResultsInd[[#This Row],[Category]]&amp;"-"&amp;IF(ResultsInd[[#This Row],[Player B]]="","",IF(ResultsInd[[#This Row],[Score-A]]=ResultsInd[[#This Row],[Score-B]],ResultsInd[[#This Row],[Player B]],"")),""),"")</f>
        <v/>
      </c>
      <c r="U5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OPEN-Saverio Bari</v>
      </c>
      <c r="W5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1" s="264" t="str">
        <f>IF(ResultsInd[[#This Row],[Category]]="","",VLOOKUP(ResultsInd[[#This Row],[Stage]],$P$1:$V$9,MATCH(ResultsInd[[#This Row],[Category]],$Q$1:$V$1,0)+1,FALSE))</f>
        <v>L32</v>
      </c>
      <c r="Z561" s="264" t="str">
        <f>IF(ResultsInd[[#This Row],[Score_OK]],IF(ResultsInd[[#This Row],[Level]]="R",ResultsInd[[#This Row],[Category]]&amp;"-"&amp;IF(ResultsInd[[#This Row],[LoseInKO]]=ResultsInd[[#This Row],[Category]]&amp;"-"&amp;ResultsInd[[#This Row],[Player A]],ResultsInd[[#This Row],[Player B]],ResultsInd[[#This Row],[Player A]]),""),"")</f>
        <v/>
      </c>
      <c r="AB561" s="8"/>
      <c r="AC561" s="8"/>
      <c r="AF561" s="170"/>
      <c r="AG561" s="101"/>
      <c r="AH561" s="101"/>
      <c r="AN561" s="170"/>
      <c r="AO561" s="170"/>
      <c r="AP561" s="170"/>
      <c r="AQ561" s="172"/>
      <c r="AR561" s="173"/>
      <c r="AS561" s="173"/>
      <c r="AT561" s="173"/>
      <c r="AU561" s="101"/>
      <c r="AV561" s="101"/>
      <c r="AW561" s="101"/>
      <c r="AX561" s="101"/>
      <c r="AY561" s="101"/>
      <c r="AZ561" s="101"/>
    </row>
    <row r="562" spans="1:58" ht="12" thickBot="1" x14ac:dyDescent="0.25">
      <c r="A562" s="62" t="s">
        <v>890</v>
      </c>
      <c r="B562" s="62" t="s">
        <v>12216</v>
      </c>
      <c r="C562" s="62"/>
      <c r="D562" s="62"/>
      <c r="E562" s="345" t="s">
        <v>9827</v>
      </c>
      <c r="F562" s="345" t="s">
        <v>8036</v>
      </c>
      <c r="G562" s="113">
        <v>1</v>
      </c>
      <c r="H562" s="113">
        <v>2</v>
      </c>
      <c r="I562" s="114"/>
      <c r="J562" s="114"/>
      <c r="K562" s="114"/>
      <c r="L562" s="81"/>
      <c r="M562" s="265" t="b">
        <f>NOT(ISERROR(ResultsInd[[#This Row],[Goal-A]]+ResultsInd[[#This Row],[Goal-B]]))</f>
        <v>1</v>
      </c>
      <c r="N562" s="265">
        <f>VALUE(ResultsInd[[#This Row],[Score-A]])</f>
        <v>1</v>
      </c>
      <c r="O562" s="265">
        <f>VALUE(ResultsInd[[#This Row],[Score-B]])</f>
        <v>2</v>
      </c>
      <c r="P562" s="265">
        <f ca="1">IF(AND(ResultsInd[[#This Row],[Category]]&lt;&gt;"",ResultsInd[[#This Row],[Player A]]&lt;&gt;""),COUNTIF(INDIRECT(ResultsInd[[#This Row],[Category]]&amp;"List[Retained Player Name]"),ResultsInd[[#This Row],[Player A]]),"")</f>
        <v>1</v>
      </c>
      <c r="Q562" s="265">
        <f ca="1">IF(AND(ResultsInd[[#This Row],[Category]]&lt;&gt;"",ResultsInd[[#This Row],[Player B]]&lt;&gt;""),COUNTIF(INDIRECT(ResultsInd[[#This Row],[Category]]&amp;"List[Retained Player Name]"),ResultsInd[[#This Row],[Player B]]),"")</f>
        <v>1</v>
      </c>
      <c r="R5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2" s="265" t="str">
        <f>IF(ResultsInd[[#This Row],[Score_OK]],IF(ResultsInd[[#This Row],[Stage]]="Groups",ResultsInd[[#This Row],[Category]]&amp;"-"&amp;IF(ResultsInd[[#This Row],[Player B]]="","",IF(ResultsInd[[#This Row],[Score-A]]=ResultsInd[[#This Row],[Score-B]],ResultsInd[[#This Row],[Player A]],"")),""),"")</f>
        <v/>
      </c>
      <c r="T562" s="265" t="str">
        <f>IF(ResultsInd[[#This Row],[Score_OK]],IF(ResultsInd[[#This Row],[Stage]]="Groups",ResultsInd[[#This Row],[Category]]&amp;"-"&amp;IF(ResultsInd[[#This Row],[Player B]]="","",IF(ResultsInd[[#This Row],[Score-A]]=ResultsInd[[#This Row],[Score-B]],ResultsInd[[#This Row],[Player B]],"")),""),"")</f>
        <v/>
      </c>
      <c r="U5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OPEN-Antonio Mettivieri</v>
      </c>
      <c r="W5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2" s="264" t="str">
        <f>IF(ResultsInd[[#This Row],[Category]]="","",VLOOKUP(ResultsInd[[#This Row],[Stage]],$P$1:$V$9,MATCH(ResultsInd[[#This Row],[Category]],$Q$1:$V$1,0)+1,FALSE))</f>
        <v>L32</v>
      </c>
      <c r="Z562" s="264" t="str">
        <f>IF(ResultsInd[[#This Row],[Score_OK]],IF(ResultsInd[[#This Row],[Level]]="R",ResultsInd[[#This Row],[Category]]&amp;"-"&amp;IF(ResultsInd[[#This Row],[LoseInKO]]=ResultsInd[[#This Row],[Category]]&amp;"-"&amp;ResultsInd[[#This Row],[Player A]],ResultsInd[[#This Row],[Player B]],ResultsInd[[#This Row],[Player A]]),""),"")</f>
        <v/>
      </c>
      <c r="AB562" s="281" t="str">
        <f>IF(AC562="","",COUNTIFS(AC$22:AC562,AC562,AD$22:AD562,"Players draw"))</f>
        <v/>
      </c>
      <c r="AC562" s="315"/>
      <c r="AD562" s="289" t="s">
        <v>14439</v>
      </c>
      <c r="AE562" s="290" t="s">
        <v>12279</v>
      </c>
      <c r="AF562" s="284" t="s">
        <v>12275</v>
      </c>
      <c r="AG562" s="296" t="s">
        <v>12276</v>
      </c>
      <c r="AH562" s="291" t="s">
        <v>12271</v>
      </c>
      <c r="AI562" s="291" t="s">
        <v>12272</v>
      </c>
      <c r="AJ562" s="414" t="s">
        <v>13154</v>
      </c>
      <c r="AK562" s="291" t="s">
        <v>12273</v>
      </c>
      <c r="AL562" s="297" t="s">
        <v>12274</v>
      </c>
      <c r="AM562" s="414" t="s">
        <v>13154</v>
      </c>
      <c r="AN562" s="303" t="s">
        <v>12199</v>
      </c>
      <c r="AO562" s="304" t="s">
        <v>12200</v>
      </c>
      <c r="AP562" s="304" t="s">
        <v>12201</v>
      </c>
      <c r="AQ562" s="304" t="s">
        <v>12202</v>
      </c>
      <c r="AR562" s="304" t="s">
        <v>12203</v>
      </c>
      <c r="AS562" s="304" t="s">
        <v>12204</v>
      </c>
      <c r="AT562" s="304" t="s">
        <v>12205</v>
      </c>
      <c r="AU562" s="305" t="s">
        <v>12206</v>
      </c>
      <c r="AV562" s="468"/>
      <c r="AW562" s="282" t="s">
        <v>12276</v>
      </c>
      <c r="AX562" s="282" t="s">
        <v>12280</v>
      </c>
      <c r="AY562" s="283" t="s">
        <v>12199</v>
      </c>
      <c r="AZ562" s="283" t="s">
        <v>12200</v>
      </c>
      <c r="BA562" s="283" t="s">
        <v>12201</v>
      </c>
      <c r="BB562" s="283" t="s">
        <v>12202</v>
      </c>
      <c r="BC562" s="283" t="s">
        <v>12203</v>
      </c>
      <c r="BD562" s="283" t="s">
        <v>12204</v>
      </c>
      <c r="BE562" s="283" t="s">
        <v>12205</v>
      </c>
      <c r="BF562" s="300" t="s">
        <v>12206</v>
      </c>
    </row>
    <row r="563" spans="1:58" ht="12" thickBot="1" x14ac:dyDescent="0.25">
      <c r="A563" s="62" t="s">
        <v>890</v>
      </c>
      <c r="B563" s="62" t="s">
        <v>12216</v>
      </c>
      <c r="C563" s="62"/>
      <c r="D563" s="62"/>
      <c r="E563" s="345" t="s">
        <v>10364</v>
      </c>
      <c r="F563" s="345" t="s">
        <v>9526</v>
      </c>
      <c r="G563" s="113">
        <v>2</v>
      </c>
      <c r="H563" s="113">
        <v>5</v>
      </c>
      <c r="I563" s="114"/>
      <c r="J563" s="114"/>
      <c r="K563" s="114"/>
      <c r="L563" s="81"/>
      <c r="M563" s="265" t="b">
        <f>NOT(ISERROR(ResultsInd[[#This Row],[Goal-A]]+ResultsInd[[#This Row],[Goal-B]]))</f>
        <v>1</v>
      </c>
      <c r="N563" s="265">
        <f>VALUE(ResultsInd[[#This Row],[Score-A]])</f>
        <v>2</v>
      </c>
      <c r="O563" s="265">
        <f>VALUE(ResultsInd[[#This Row],[Score-B]])</f>
        <v>5</v>
      </c>
      <c r="P563" s="265">
        <f ca="1">IF(AND(ResultsInd[[#This Row],[Category]]&lt;&gt;"",ResultsInd[[#This Row],[Player A]]&lt;&gt;""),COUNTIF(INDIRECT(ResultsInd[[#This Row],[Category]]&amp;"List[Retained Player Name]"),ResultsInd[[#This Row],[Player A]]),"")</f>
        <v>1</v>
      </c>
      <c r="Q563" s="265">
        <f ca="1">IF(AND(ResultsInd[[#This Row],[Category]]&lt;&gt;"",ResultsInd[[#This Row],[Player B]]&lt;&gt;""),COUNTIF(INDIRECT(ResultsInd[[#This Row],[Category]]&amp;"List[Retained Player Name]"),ResultsInd[[#This Row],[Player B]]),"")</f>
        <v>1</v>
      </c>
      <c r="R5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3" s="265" t="str">
        <f>IF(ResultsInd[[#This Row],[Score_OK]],IF(ResultsInd[[#This Row],[Stage]]="Groups",ResultsInd[[#This Row],[Category]]&amp;"-"&amp;IF(ResultsInd[[#This Row],[Player B]]="","",IF(ResultsInd[[#This Row],[Score-A]]=ResultsInd[[#This Row],[Score-B]],ResultsInd[[#This Row],[Player A]],"")),""),"")</f>
        <v/>
      </c>
      <c r="T563" s="265" t="str">
        <f>IF(ResultsInd[[#This Row],[Score_OK]],IF(ResultsInd[[#This Row],[Stage]]="Groups",ResultsInd[[#This Row],[Category]]&amp;"-"&amp;IF(ResultsInd[[#This Row],[Player B]]="","",IF(ResultsInd[[#This Row],[Score-A]]=ResultsInd[[#This Row],[Score-B]],ResultsInd[[#This Row],[Player B]],"")),""),"")</f>
        <v/>
      </c>
      <c r="U5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OPEN-Alessandro Amatelli</v>
      </c>
      <c r="W5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3" s="264" t="str">
        <f>IF(ResultsInd[[#This Row],[Category]]="","",VLOOKUP(ResultsInd[[#This Row],[Stage]],$P$1:$V$9,MATCH(ResultsInd[[#This Row],[Category]],$Q$1:$V$1,0)+1,FALSE))</f>
        <v>L32</v>
      </c>
      <c r="Z563" s="264" t="str">
        <f>IF(ResultsInd[[#This Row],[Score_OK]],IF(ResultsInd[[#This Row],[Level]]="R",ResultsInd[[#This Row],[Category]]&amp;"-"&amp;IF(ResultsInd[[#This Row],[LoseInKO]]=ResultsInd[[#This Row],[Category]]&amp;"-"&amp;ResultsInd[[#This Row],[Player A]],ResultsInd[[#This Row],[Player B]],ResultsInd[[#This Row],[Player A]]),""),"")</f>
        <v/>
      </c>
      <c r="AB563" s="8"/>
      <c r="AC563" s="12" t="str">
        <f>IF(AC562="","",AC562)</f>
        <v/>
      </c>
      <c r="AD563" s="309"/>
      <c r="AE563" s="320"/>
      <c r="AF563" s="311"/>
      <c r="AG563" s="292" t="str">
        <f>IF(AP563="","",SMALL(AH563:AH569,ROWS(AG563:AG563)))</f>
        <v/>
      </c>
      <c r="AH563" s="293" t="str">
        <f>IF(AP563="","",RANK(AL563,AL563:AL569)*1000+ROWS(AH563:AH563))</f>
        <v/>
      </c>
      <c r="AI563" s="316" t="str">
        <f t="shared" ref="AI563:AI569" si="489">IF(AP563="","",CritClassInd1_Points*AN563+CritClassInd1_Matches*AP563+CritClassInd1_Attaque*AS563+CritClassInd1_DiffButs*AU563)</f>
        <v/>
      </c>
      <c r="AJ563" s="415" t="b">
        <f>AND(AO563&lt;&gt;"",AO563&gt;0,COUNTIF(AI563:AI569,AI563)&gt;1)</f>
        <v>0</v>
      </c>
      <c r="AK563" s="316" t="str">
        <f t="shared" ref="AK563:AK569" si="490">IF(AP563="","",CritClassInd_ScorePart*AE563)</f>
        <v/>
      </c>
      <c r="AL563" s="317" t="str">
        <f t="shared" ref="AL563:AL569" si="491">IF(AP563="","",AI563+AK563+CritClassInd2_Points*AN563+CritClassInd2_Matches*AP563+CritClassInd2_Attaque*AS563+CritClassInd2_DiffButs*AU563+AF563)</f>
        <v/>
      </c>
      <c r="AM563" s="415" t="b">
        <f>AND(AO563&lt;&gt;"",AO563&gt;0,COUNTIF(AL563:AL569,AL563)&gt;1)</f>
        <v>0</v>
      </c>
      <c r="AN563" s="306" t="str">
        <f t="shared" ref="AN563:AN569" si="492">IF(AP563="","",(AP563*Points_Victoire)+AQ563*Points_Null)</f>
        <v/>
      </c>
      <c r="AO563" s="307" t="str">
        <f t="shared" ref="AO563:AO569" si="493">IF(AP563="","",SUM(AP563:AR563))</f>
        <v/>
      </c>
      <c r="AP563" s="307" t="str">
        <f>IF(OR(AC562="",AD563=""),"",COUNTIF(ResultsInd[Win],AC562&amp;"-"&amp;AD563))</f>
        <v/>
      </c>
      <c r="AQ563" s="307" t="str">
        <f>IF(OR(AC562="",AD563=""),"",COUNTIF(ResultsInd[Draw1],AC562&amp;"-"&amp;AD563)+COUNTIF(ResultsInd[Draw2],AC562&amp;"-"&amp;AD563))</f>
        <v/>
      </c>
      <c r="AR563" s="307" t="str">
        <f>IF(OR(AC562="",AD563=""),"",COUNTIF(ResultsInd[Lose],AC562&amp;"-"&amp;AD563))</f>
        <v/>
      </c>
      <c r="AS563" s="307" t="str">
        <f>IF(OR(AC562="",AD563=""),"",SUMIFS(ResultsInd[Goal-A],ResultsInd[Category],AC562,ResultsInd[Stage],"Groups",ResultsInd[Player A],AD563)+SUMIFS(ResultsInd[Goal-B],ResultsInd[Category],AC562,ResultsInd[Stage],"Groups",ResultsInd[Player B],AD563))</f>
        <v/>
      </c>
      <c r="AT563" s="307" t="str">
        <f>IF(OR(AC562="",AD563=""),"",SUMIFS(ResultsInd[Goal-B],ResultsInd[Category],AC562,ResultsInd[Stage],"Groups",ResultsInd[Player A],AD563)+SUMIFS(ResultsInd[Goal-A],ResultsInd[Category],AC562,ResultsInd[Stage],"Groups",ResultsInd[Player B],AD563))</f>
        <v/>
      </c>
      <c r="AU563" s="308" t="str">
        <f>IF(AP563="","",AS563-AT563)</f>
        <v/>
      </c>
      <c r="AV563" s="469" t="str">
        <f>IF(AG563="","",OR(VLOOKUP(AG563,AH563:AU569,3,FALSE),VLOOKUP(AG563,AH563:AU569,6,FALSE)))</f>
        <v/>
      </c>
      <c r="AW563" s="298" t="str">
        <f t="shared" ref="AW563:AW569" si="494">IF(AG563="","",INT(AG563/1000))</f>
        <v/>
      </c>
      <c r="AX563" s="285" t="str">
        <f>IF(AG563="","",INDEX(AD563:AD569,MATCH(AG563,AH563:AH569,0)))</f>
        <v/>
      </c>
      <c r="AY563" s="286" t="str">
        <f>IF(AG563="","",VLOOKUP(AG563,AH563:AU569,COLUMN()-COLUMN(AR562),FALSE))</f>
        <v/>
      </c>
      <c r="AZ563" s="286" t="str">
        <f>IF(AG563="","",VLOOKUP(AG563,AH563:AU569,COLUMN()-COLUMN(AR562),FALSE))</f>
        <v/>
      </c>
      <c r="BA563" s="286" t="str">
        <f>IF(AG563="","",VLOOKUP(AG563,AH563:AU569,COLUMN()-COLUMN(AR562),FALSE))</f>
        <v/>
      </c>
      <c r="BB563" s="286" t="str">
        <f>IF(AG563="","",VLOOKUP(AG563,AH563:AU569,COLUMN()-COLUMN(AR562),FALSE))</f>
        <v/>
      </c>
      <c r="BC563" s="286" t="str">
        <f>IF(AG563="","",VLOOKUP(AG563,AH563:AU569,COLUMN()-COLUMN(AR562),FALSE))</f>
        <v/>
      </c>
      <c r="BD563" s="286" t="str">
        <f>IF(AG563="","",VLOOKUP(AG563,AH563:AU569,COLUMN()-COLUMN(AR562),FALSE))</f>
        <v/>
      </c>
      <c r="BE563" s="286" t="str">
        <f>IF(AG563="","",VLOOKUP(AG563,AH563:AU569,COLUMN()-COLUMN(AR562),FALSE))</f>
        <v/>
      </c>
      <c r="BF563" s="301" t="str">
        <f>IF(AG563="","",VLOOKUP(AG563,AH563:AU569,COLUMN()-COLUMN(AR562),FALSE))</f>
        <v/>
      </c>
    </row>
    <row r="564" spans="1:58" ht="12" thickBot="1" x14ac:dyDescent="0.25">
      <c r="A564" s="62" t="s">
        <v>890</v>
      </c>
      <c r="B564" s="62" t="s">
        <v>12216</v>
      </c>
      <c r="C564" s="62"/>
      <c r="D564" s="62"/>
      <c r="E564" s="345" t="s">
        <v>10090</v>
      </c>
      <c r="F564" s="345" t="s">
        <v>8097</v>
      </c>
      <c r="G564" s="113">
        <v>1</v>
      </c>
      <c r="H564" s="113">
        <v>2</v>
      </c>
      <c r="I564" s="114" t="s">
        <v>14586</v>
      </c>
      <c r="J564" s="114"/>
      <c r="K564" s="114"/>
      <c r="L564" s="81"/>
      <c r="M564" s="265" t="b">
        <f>NOT(ISERROR(ResultsInd[[#This Row],[Goal-A]]+ResultsInd[[#This Row],[Goal-B]]))</f>
        <v>1</v>
      </c>
      <c r="N564" s="265">
        <f>VALUE(ResultsInd[[#This Row],[Score-A]])</f>
        <v>1</v>
      </c>
      <c r="O564" s="265">
        <f>VALUE(ResultsInd[[#This Row],[Score-B]])</f>
        <v>2</v>
      </c>
      <c r="P564" s="265">
        <f ca="1">IF(AND(ResultsInd[[#This Row],[Category]]&lt;&gt;"",ResultsInd[[#This Row],[Player A]]&lt;&gt;""),COUNTIF(INDIRECT(ResultsInd[[#This Row],[Category]]&amp;"List[Retained Player Name]"),ResultsInd[[#This Row],[Player A]]),"")</f>
        <v>1</v>
      </c>
      <c r="Q564" s="265">
        <f ca="1">IF(AND(ResultsInd[[#This Row],[Category]]&lt;&gt;"",ResultsInd[[#This Row],[Player B]]&lt;&gt;""),COUNTIF(INDIRECT(ResultsInd[[#This Row],[Category]]&amp;"List[Retained Player Name]"),ResultsInd[[#This Row],[Player B]]),"")</f>
        <v>1</v>
      </c>
      <c r="R5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4" s="265" t="str">
        <f>IF(ResultsInd[[#This Row],[Score_OK]],IF(ResultsInd[[#This Row],[Stage]]="Groups",ResultsInd[[#This Row],[Category]]&amp;"-"&amp;IF(ResultsInd[[#This Row],[Player B]]="","",IF(ResultsInd[[#This Row],[Score-A]]=ResultsInd[[#This Row],[Score-B]],ResultsInd[[#This Row],[Player A]],"")),""),"")</f>
        <v/>
      </c>
      <c r="T564" s="265" t="str">
        <f>IF(ResultsInd[[#This Row],[Score_OK]],IF(ResultsInd[[#This Row],[Stage]]="Groups",ResultsInd[[#This Row],[Category]]&amp;"-"&amp;IF(ResultsInd[[#This Row],[Player B]]="","",IF(ResultsInd[[#This Row],[Score-A]]=ResultsInd[[#This Row],[Score-B]],ResultsInd[[#This Row],[Player B]],"")),""),"")</f>
        <v/>
      </c>
      <c r="U5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OPEN-Andrea Di Vincenzo</v>
      </c>
      <c r="W5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4" s="264" t="str">
        <f>IF(ResultsInd[[#This Row],[Category]]="","",VLOOKUP(ResultsInd[[#This Row],[Stage]],$P$1:$V$9,MATCH(ResultsInd[[#This Row],[Category]],$Q$1:$V$1,0)+1,FALSE))</f>
        <v>L32</v>
      </c>
      <c r="Z564" s="264" t="str">
        <f>IF(ResultsInd[[#This Row],[Score_OK]],IF(ResultsInd[[#This Row],[Level]]="R",ResultsInd[[#This Row],[Category]]&amp;"-"&amp;IF(ResultsInd[[#This Row],[LoseInKO]]=ResultsInd[[#This Row],[Category]]&amp;"-"&amp;ResultsInd[[#This Row],[Player A]],ResultsInd[[#This Row],[Player B]],ResultsInd[[#This Row],[Player A]]),""),"")</f>
        <v/>
      </c>
      <c r="AB564" s="8"/>
      <c r="AC564" s="12" t="str">
        <f t="shared" ref="AC564:AC569" si="495">IF(AC563="","",AC563)</f>
        <v/>
      </c>
      <c r="AD564" s="309"/>
      <c r="AE564" s="320"/>
      <c r="AF564" s="311"/>
      <c r="AG564" s="292" t="str">
        <f>IF(AP564="","",SMALL(AH563:AH569,ROWS(AG563:AG564)))</f>
        <v/>
      </c>
      <c r="AH564" s="293" t="str">
        <f>IF(AP564="","",RANK(AL564,AL563:AL569)*1000+ROWS(AH563:AH564))</f>
        <v/>
      </c>
      <c r="AI564" s="316" t="str">
        <f t="shared" si="489"/>
        <v/>
      </c>
      <c r="AJ564" s="415" t="b">
        <f>AND(AO564&lt;&gt;"",AO564&gt;0,COUNTIF(AI563:AI569,AI564)&gt;1)</f>
        <v>0</v>
      </c>
      <c r="AK564" s="316" t="str">
        <f t="shared" si="490"/>
        <v/>
      </c>
      <c r="AL564" s="317" t="str">
        <f t="shared" si="491"/>
        <v/>
      </c>
      <c r="AM564" s="415" t="b">
        <f>AND(AO564&lt;&gt;"",AO564&gt;0,COUNTIF(AL563:AL569,AL564)&gt;1)</f>
        <v>0</v>
      </c>
      <c r="AN564" s="306" t="str">
        <f t="shared" si="492"/>
        <v/>
      </c>
      <c r="AO564" s="307" t="str">
        <f t="shared" si="493"/>
        <v/>
      </c>
      <c r="AP564" s="307" t="str">
        <f>IF(OR(AC562="",AD564=""),"",COUNTIF(ResultsInd[Win],AC562&amp;"-"&amp;AD564))</f>
        <v/>
      </c>
      <c r="AQ564" s="307" t="str">
        <f>IF(OR(AC562="",AD564=""),"",COUNTIF(ResultsInd[Draw1],AC562&amp;"-"&amp;AD564)+COUNTIF(ResultsInd[Draw2],AC562&amp;"-"&amp;AD564))</f>
        <v/>
      </c>
      <c r="AR564" s="307" t="str">
        <f>IF(OR(AC562="",AD564=""),"",COUNTIF(ResultsInd[Lose],AC562&amp;"-"&amp;AD564))</f>
        <v/>
      </c>
      <c r="AS564" s="307" t="str">
        <f>IF(OR(AC562="",AD564=""),"",SUMIFS(ResultsInd[Goal-A],ResultsInd[Category],AC562,ResultsInd[Stage],"Groups",ResultsInd[Player A],AD564)+SUMIFS(ResultsInd[Goal-B],ResultsInd[Category],AC562,ResultsInd[Stage],"Groups",ResultsInd[Player B],AD564))</f>
        <v/>
      </c>
      <c r="AT564" s="307" t="str">
        <f>IF(OR(AC562="",AD564=""),"",SUMIFS(ResultsInd[Goal-B],ResultsInd[Category],AC562,ResultsInd[Stage],"Groups",ResultsInd[Player A],AD564)+SUMIFS(ResultsInd[Goal-A],ResultsInd[Category],AC562,ResultsInd[Stage],"Groups",ResultsInd[Player B],AD564))</f>
        <v/>
      </c>
      <c r="AU564" s="308" t="str">
        <f t="shared" ref="AU564:AU569" si="496">IF(AP564="","",AS564-AT564)</f>
        <v/>
      </c>
      <c r="AV564" s="469" t="str">
        <f>IF(AG564="","",OR(VLOOKUP(AG564,AH563:AU569,3,FALSE),VLOOKUP(AG564,AH563:AU569,6,FALSE)))</f>
        <v/>
      </c>
      <c r="AW564" s="298" t="str">
        <f t="shared" si="494"/>
        <v/>
      </c>
      <c r="AX564" s="285" t="str">
        <f>IF(AG564="","",INDEX(AD563:AD569,MATCH(AG564,AH563:AH569,0)))</f>
        <v/>
      </c>
      <c r="AY564" s="286" t="str">
        <f>IF(AG564="","",VLOOKUP(AG564,AH563:AU569,COLUMN()-COLUMN(AR562),FALSE))</f>
        <v/>
      </c>
      <c r="AZ564" s="286" t="str">
        <f>IF(AG564="","",VLOOKUP(AG564,AH563:AU569,COLUMN()-COLUMN(AR562),FALSE))</f>
        <v/>
      </c>
      <c r="BA564" s="286" t="str">
        <f>IF(AG564="","",VLOOKUP(AG564,AH563:AU569,COLUMN()-COLUMN(AR562),FALSE))</f>
        <v/>
      </c>
      <c r="BB564" s="286" t="str">
        <f>IF(AG564="","",VLOOKUP(AG564,AH563:AU569,COLUMN()-COLUMN(AR562),FALSE))</f>
        <v/>
      </c>
      <c r="BC564" s="286" t="str">
        <f>IF(AG564="","",VLOOKUP(AG564,AH563:AU569,COLUMN()-COLUMN(AR562),FALSE))</f>
        <v/>
      </c>
      <c r="BD564" s="286" t="str">
        <f>IF(AG564="","",VLOOKUP(AG564,AH563:AU569,COLUMN()-COLUMN(AR562),FALSE))</f>
        <v/>
      </c>
      <c r="BE564" s="286" t="str">
        <f>IF(AG564="","",VLOOKUP(AG564,AH563:AU569,COLUMN()-COLUMN(AR562),FALSE))</f>
        <v/>
      </c>
      <c r="BF564" s="301" t="str">
        <f>IF(AG564="","",VLOOKUP(AG564,AH563:AU569,COLUMN()-COLUMN(AR562),FALSE))</f>
        <v/>
      </c>
    </row>
    <row r="565" spans="1:58" ht="12" thickBot="1" x14ac:dyDescent="0.25">
      <c r="A565" s="62" t="s">
        <v>890</v>
      </c>
      <c r="B565" s="62" t="s">
        <v>12216</v>
      </c>
      <c r="C565" s="62"/>
      <c r="D565" s="62"/>
      <c r="E565" s="345" t="s">
        <v>8141</v>
      </c>
      <c r="F565" s="345" t="s">
        <v>8117</v>
      </c>
      <c r="G565" s="113">
        <v>3</v>
      </c>
      <c r="H565" s="113">
        <v>1</v>
      </c>
      <c r="I565" s="114"/>
      <c r="J565" s="114"/>
      <c r="K565" s="114"/>
      <c r="L565" s="81"/>
      <c r="M565" s="265" t="b">
        <f>NOT(ISERROR(ResultsInd[[#This Row],[Goal-A]]+ResultsInd[[#This Row],[Goal-B]]))</f>
        <v>1</v>
      </c>
      <c r="N565" s="265">
        <f>VALUE(ResultsInd[[#This Row],[Score-A]])</f>
        <v>3</v>
      </c>
      <c r="O565" s="265">
        <f>VALUE(ResultsInd[[#This Row],[Score-B]])</f>
        <v>1</v>
      </c>
      <c r="P565" s="265">
        <f ca="1">IF(AND(ResultsInd[[#This Row],[Category]]&lt;&gt;"",ResultsInd[[#This Row],[Player A]]&lt;&gt;""),COUNTIF(INDIRECT(ResultsInd[[#This Row],[Category]]&amp;"List[Retained Player Name]"),ResultsInd[[#This Row],[Player A]]),"")</f>
        <v>1</v>
      </c>
      <c r="Q565" s="265">
        <f ca="1">IF(AND(ResultsInd[[#This Row],[Category]]&lt;&gt;"",ResultsInd[[#This Row],[Player B]]&lt;&gt;""),COUNTIF(INDIRECT(ResultsInd[[#This Row],[Category]]&amp;"List[Retained Player Name]"),ResultsInd[[#This Row],[Player B]]),"")</f>
        <v>1</v>
      </c>
      <c r="R5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5" s="265" t="str">
        <f>IF(ResultsInd[[#This Row],[Score_OK]],IF(ResultsInd[[#This Row],[Stage]]="Groups",ResultsInd[[#This Row],[Category]]&amp;"-"&amp;IF(ResultsInd[[#This Row],[Player B]]="","",IF(ResultsInd[[#This Row],[Score-A]]=ResultsInd[[#This Row],[Score-B]],ResultsInd[[#This Row],[Player A]],"")),""),"")</f>
        <v/>
      </c>
      <c r="T565" s="265" t="str">
        <f>IF(ResultsInd[[#This Row],[Score_OK]],IF(ResultsInd[[#This Row],[Stage]]="Groups",ResultsInd[[#This Row],[Category]]&amp;"-"&amp;IF(ResultsInd[[#This Row],[Player B]]="","",IF(ResultsInd[[#This Row],[Score-A]]=ResultsInd[[#This Row],[Score-B]],ResultsInd[[#This Row],[Player B]],"")),""),"")</f>
        <v/>
      </c>
      <c r="U5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OPEN-Maxime Muraille</v>
      </c>
      <c r="W5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5" s="264" t="str">
        <f>IF(ResultsInd[[#This Row],[Category]]="","",VLOOKUP(ResultsInd[[#This Row],[Stage]],$P$1:$V$9,MATCH(ResultsInd[[#This Row],[Category]],$Q$1:$V$1,0)+1,FALSE))</f>
        <v>L32</v>
      </c>
      <c r="Z565" s="264" t="str">
        <f>IF(ResultsInd[[#This Row],[Score_OK]],IF(ResultsInd[[#This Row],[Level]]="R",ResultsInd[[#This Row],[Category]]&amp;"-"&amp;IF(ResultsInd[[#This Row],[LoseInKO]]=ResultsInd[[#This Row],[Category]]&amp;"-"&amp;ResultsInd[[#This Row],[Player A]],ResultsInd[[#This Row],[Player B]],ResultsInd[[#This Row],[Player A]]),""),"")</f>
        <v/>
      </c>
      <c r="AB565" s="8"/>
      <c r="AC565" s="12" t="str">
        <f t="shared" si="495"/>
        <v/>
      </c>
      <c r="AD565" s="309"/>
      <c r="AE565" s="320"/>
      <c r="AF565" s="311"/>
      <c r="AG565" s="292" t="str">
        <f>IF(AP565="","",SMALL(AH563:AH569,ROWS(AG563:AG565)))</f>
        <v/>
      </c>
      <c r="AH565" s="293" t="str">
        <f>IF(AP565="","",RANK(AL565,AL563:AL569)*1000+ROWS(AH563:AH565))</f>
        <v/>
      </c>
      <c r="AI565" s="316" t="str">
        <f t="shared" si="489"/>
        <v/>
      </c>
      <c r="AJ565" s="415" t="b">
        <f>AND(AO565&lt;&gt;"",AO565&gt;0,COUNTIF(AI563:AI569,AI565)&gt;1)</f>
        <v>0</v>
      </c>
      <c r="AK565" s="316" t="str">
        <f t="shared" si="490"/>
        <v/>
      </c>
      <c r="AL565" s="317" t="str">
        <f t="shared" si="491"/>
        <v/>
      </c>
      <c r="AM565" s="415" t="b">
        <f>AND(AO565&lt;&gt;"",AO565&gt;0,COUNTIF(AL563:AL569,AL565)&gt;1)</f>
        <v>0</v>
      </c>
      <c r="AN565" s="306" t="str">
        <f t="shared" si="492"/>
        <v/>
      </c>
      <c r="AO565" s="307" t="str">
        <f t="shared" si="493"/>
        <v/>
      </c>
      <c r="AP565" s="307" t="str">
        <f>IF(OR(AC562="",AD565=""),"",COUNTIF(ResultsInd[Win],AC562&amp;"-"&amp;AD565))</f>
        <v/>
      </c>
      <c r="AQ565" s="307" t="str">
        <f>IF(OR(AC562="",AD565=""),"",COUNTIF(ResultsInd[Draw1],AC562&amp;"-"&amp;AD565)+COUNTIF(ResultsInd[Draw2],AC562&amp;"-"&amp;AD565))</f>
        <v/>
      </c>
      <c r="AR565" s="307" t="str">
        <f>IF(OR(AC562="",AD565=""),"",COUNTIF(ResultsInd[Lose],AC562&amp;"-"&amp;AD565))</f>
        <v/>
      </c>
      <c r="AS565" s="307" t="str">
        <f>IF(OR(AC562="",AD565=""),"",SUMIFS(ResultsInd[Goal-A],ResultsInd[Category],AC562,ResultsInd[Stage],"Groups",ResultsInd[Player A],AD565)+SUMIFS(ResultsInd[Goal-B],ResultsInd[Category],AC562,ResultsInd[Stage],"Groups",ResultsInd[Player B],AD565))</f>
        <v/>
      </c>
      <c r="AT565" s="307" t="str">
        <f>IF(OR(AC562="",AD565=""),"",SUMIFS(ResultsInd[Goal-B],ResultsInd[Category],AC562,ResultsInd[Stage],"Groups",ResultsInd[Player A],AD565)+SUMIFS(ResultsInd[Goal-A],ResultsInd[Category],AC562,ResultsInd[Stage],"Groups",ResultsInd[Player B],AD565))</f>
        <v/>
      </c>
      <c r="AU565" s="308" t="str">
        <f t="shared" si="496"/>
        <v/>
      </c>
      <c r="AV565" s="469" t="str">
        <f>IF(AG565="","",OR(VLOOKUP(AG565,AH563:AU569,3,FALSE),VLOOKUP(AG565,AH563:AU569,6,FALSE)))</f>
        <v/>
      </c>
      <c r="AW565" s="298" t="str">
        <f t="shared" si="494"/>
        <v/>
      </c>
      <c r="AX565" s="285" t="str">
        <f>IF(AG565="","",INDEX(AD563:AD569,MATCH(AG565,AH563:AH569,0)))</f>
        <v/>
      </c>
      <c r="AY565" s="286" t="str">
        <f>IF(AG565="","",VLOOKUP(AG565,AH563:AU569,COLUMN()-COLUMN(AR562),FALSE))</f>
        <v/>
      </c>
      <c r="AZ565" s="286" t="str">
        <f>IF(AG565="","",VLOOKUP(AG565,AH563:AU569,COLUMN()-COLUMN(AR562),FALSE))</f>
        <v/>
      </c>
      <c r="BA565" s="286" t="str">
        <f>IF(AG565="","",VLOOKUP(AG565,AH563:AU569,COLUMN()-COLUMN(AR562),FALSE))</f>
        <v/>
      </c>
      <c r="BB565" s="286" t="str">
        <f>IF(AG565="","",VLOOKUP(AG565,AH563:AU569,COLUMN()-COLUMN(AR562),FALSE))</f>
        <v/>
      </c>
      <c r="BC565" s="286" t="str">
        <f>IF(AG565="","",VLOOKUP(AG565,AH563:AU569,COLUMN()-COLUMN(AR562),FALSE))</f>
        <v/>
      </c>
      <c r="BD565" s="286" t="str">
        <f>IF(AG565="","",VLOOKUP(AG565,AH563:AU569,COLUMN()-COLUMN(AR562),FALSE))</f>
        <v/>
      </c>
      <c r="BE565" s="286" t="str">
        <f>IF(AG565="","",VLOOKUP(AG565,AH563:AU569,COLUMN()-COLUMN(AR562),FALSE))</f>
        <v/>
      </c>
      <c r="BF565" s="301" t="str">
        <f>IF(AG565="","",VLOOKUP(AG565,AH563:AU569,COLUMN()-COLUMN(AR562),FALSE))</f>
        <v/>
      </c>
    </row>
    <row r="566" spans="1:58" ht="12" thickBot="1" x14ac:dyDescent="0.25">
      <c r="A566" s="62" t="s">
        <v>890</v>
      </c>
      <c r="B566" s="62" t="s">
        <v>12216</v>
      </c>
      <c r="C566" s="62"/>
      <c r="D566" s="62"/>
      <c r="E566" s="345" t="s">
        <v>8075</v>
      </c>
      <c r="F566" s="345" t="s">
        <v>8095</v>
      </c>
      <c r="G566" s="113">
        <v>2</v>
      </c>
      <c r="H566" s="113">
        <v>4</v>
      </c>
      <c r="I566" s="114"/>
      <c r="J566" s="114"/>
      <c r="K566" s="114"/>
      <c r="L566" s="81"/>
      <c r="M566" s="265" t="b">
        <f>NOT(ISERROR(ResultsInd[[#This Row],[Goal-A]]+ResultsInd[[#This Row],[Goal-B]]))</f>
        <v>1</v>
      </c>
      <c r="N566" s="265">
        <f>VALUE(ResultsInd[[#This Row],[Score-A]])</f>
        <v>2</v>
      </c>
      <c r="O566" s="265">
        <f>VALUE(ResultsInd[[#This Row],[Score-B]])</f>
        <v>4</v>
      </c>
      <c r="P566" s="265">
        <f ca="1">IF(AND(ResultsInd[[#This Row],[Category]]&lt;&gt;"",ResultsInd[[#This Row],[Player A]]&lt;&gt;""),COUNTIF(INDIRECT(ResultsInd[[#This Row],[Category]]&amp;"List[Retained Player Name]"),ResultsInd[[#This Row],[Player A]]),"")</f>
        <v>1</v>
      </c>
      <c r="Q566" s="265">
        <f ca="1">IF(AND(ResultsInd[[#This Row],[Category]]&lt;&gt;"",ResultsInd[[#This Row],[Player B]]&lt;&gt;""),COUNTIF(INDIRECT(ResultsInd[[#This Row],[Category]]&amp;"List[Retained Player Name]"),ResultsInd[[#This Row],[Player B]]),"")</f>
        <v>1</v>
      </c>
      <c r="R5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6" s="265" t="str">
        <f>IF(ResultsInd[[#This Row],[Score_OK]],IF(ResultsInd[[#This Row],[Stage]]="Groups",ResultsInd[[#This Row],[Category]]&amp;"-"&amp;IF(ResultsInd[[#This Row],[Player B]]="","",IF(ResultsInd[[#This Row],[Score-A]]=ResultsInd[[#This Row],[Score-B]],ResultsInd[[#This Row],[Player A]],"")),""),"")</f>
        <v/>
      </c>
      <c r="T566" s="265" t="str">
        <f>IF(ResultsInd[[#This Row],[Score_OK]],IF(ResultsInd[[#This Row],[Stage]]="Groups",ResultsInd[[#This Row],[Category]]&amp;"-"&amp;IF(ResultsInd[[#This Row],[Player B]]="","",IF(ResultsInd[[#This Row],[Score-A]]=ResultsInd[[#This Row],[Score-B]],ResultsInd[[#This Row],[Player B]],"")),""),"")</f>
        <v/>
      </c>
      <c r="U5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OPEN-Corentin Bouchez</v>
      </c>
      <c r="W5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6" s="264" t="str">
        <f>IF(ResultsInd[[#This Row],[Category]]="","",VLOOKUP(ResultsInd[[#This Row],[Stage]],$P$1:$V$9,MATCH(ResultsInd[[#This Row],[Category]],$Q$1:$V$1,0)+1,FALSE))</f>
        <v>L32</v>
      </c>
      <c r="Z566" s="264" t="str">
        <f>IF(ResultsInd[[#This Row],[Score_OK]],IF(ResultsInd[[#This Row],[Level]]="R",ResultsInd[[#This Row],[Category]]&amp;"-"&amp;IF(ResultsInd[[#This Row],[LoseInKO]]=ResultsInd[[#This Row],[Category]]&amp;"-"&amp;ResultsInd[[#This Row],[Player A]],ResultsInd[[#This Row],[Player B]],ResultsInd[[#This Row],[Player A]]),""),"")</f>
        <v/>
      </c>
      <c r="AB566" s="91"/>
      <c r="AC566" s="12" t="str">
        <f t="shared" si="495"/>
        <v/>
      </c>
      <c r="AD566" s="309"/>
      <c r="AE566" s="310"/>
      <c r="AF566" s="311"/>
      <c r="AG566" s="292" t="str">
        <f>IF(AP566="","",SMALL(AH563:AH569,ROWS(AG563:AG566)))</f>
        <v/>
      </c>
      <c r="AH566" s="293" t="str">
        <f>IF(AP566="","",RANK(AL566,AL563:AL569)*1000+ROWS(AH563:AH566))</f>
        <v/>
      </c>
      <c r="AI566" s="316" t="str">
        <f t="shared" si="489"/>
        <v/>
      </c>
      <c r="AJ566" s="415" t="b">
        <f>AND(AO566&lt;&gt;"",AO566&gt;0,COUNTIF(AI563:AI569,AI566)&gt;1)</f>
        <v>0</v>
      </c>
      <c r="AK566" s="316" t="str">
        <f t="shared" si="490"/>
        <v/>
      </c>
      <c r="AL566" s="317" t="str">
        <f t="shared" si="491"/>
        <v/>
      </c>
      <c r="AM566" s="415" t="b">
        <f>AND(AO566&lt;&gt;"",AO566&gt;0,COUNTIF(AL563:AL569,AL566)&gt;1)</f>
        <v>0</v>
      </c>
      <c r="AN566" s="306" t="str">
        <f t="shared" si="492"/>
        <v/>
      </c>
      <c r="AO566" s="307" t="str">
        <f t="shared" si="493"/>
        <v/>
      </c>
      <c r="AP566" s="307" t="str">
        <f>IF(OR(AC562="",AD566=""),"",COUNTIF(ResultsInd[Win],AC562&amp;"-"&amp;AD566))</f>
        <v/>
      </c>
      <c r="AQ566" s="307" t="str">
        <f>IF(OR(AC562="",AD566=""),"",COUNTIF(ResultsInd[Draw1],AC562&amp;"-"&amp;AD566)+COUNTIF(ResultsInd[Draw2],AC562&amp;"-"&amp;AD566))</f>
        <v/>
      </c>
      <c r="AR566" s="307" t="str">
        <f>IF(OR(AC562="",AD566=""),"",COUNTIF(ResultsInd[Lose],AC562&amp;"-"&amp;AD566))</f>
        <v/>
      </c>
      <c r="AS566" s="307" t="str">
        <f>IF(OR(AC562="",AD566=""),"",SUMIFS(ResultsInd[Goal-A],ResultsInd[Category],AC562,ResultsInd[Stage],"Groups",ResultsInd[Player A],AD566)+SUMIFS(ResultsInd[Goal-B],ResultsInd[Category],AC562,ResultsInd[Stage],"Groups",ResultsInd[Player B],AD566))</f>
        <v/>
      </c>
      <c r="AT566" s="307" t="str">
        <f>IF(OR(AC562="",AD566=""),"",SUMIFS(ResultsInd[Goal-B],ResultsInd[Category],AC562,ResultsInd[Stage],"Groups",ResultsInd[Player A],AD566)+SUMIFS(ResultsInd[Goal-A],ResultsInd[Category],AC562,ResultsInd[Stage],"Groups",ResultsInd[Player B],AD566))</f>
        <v/>
      </c>
      <c r="AU566" s="308" t="str">
        <f t="shared" si="496"/>
        <v/>
      </c>
      <c r="AV566" s="469" t="str">
        <f>IF(AG566="","",OR(VLOOKUP(AG566,AH563:AU569,3,FALSE),VLOOKUP(AG566,AH563:AU569,6,FALSE)))</f>
        <v/>
      </c>
      <c r="AW566" s="298" t="str">
        <f t="shared" si="494"/>
        <v/>
      </c>
      <c r="AX566" s="285" t="str">
        <f>IF(AG566="","",INDEX(AD563:AD569,MATCH(AG566,AH563:AH569,0)))</f>
        <v/>
      </c>
      <c r="AY566" s="286" t="str">
        <f>IF(AG566="","",VLOOKUP(AG566,AH563:AU569,COLUMN()-COLUMN(AR562),FALSE))</f>
        <v/>
      </c>
      <c r="AZ566" s="286" t="str">
        <f>IF(AG566="","",VLOOKUP(AG566,AH563:AU569,COLUMN()-COLUMN(AR562),FALSE))</f>
        <v/>
      </c>
      <c r="BA566" s="286" t="str">
        <f>IF(AG566="","",VLOOKUP(AG566,AH563:AU569,COLUMN()-COLUMN(AR562),FALSE))</f>
        <v/>
      </c>
      <c r="BB566" s="286" t="str">
        <f>IF(AG566="","",VLOOKUP(AG566,AH563:AU569,COLUMN()-COLUMN(AR562),FALSE))</f>
        <v/>
      </c>
      <c r="BC566" s="286" t="str">
        <f>IF(AG566="","",VLOOKUP(AG566,AH563:AU569,COLUMN()-COLUMN(AR562),FALSE))</f>
        <v/>
      </c>
      <c r="BD566" s="286" t="str">
        <f>IF(AG566="","",VLOOKUP(AG566,AH563:AU569,COLUMN()-COLUMN(AR562),FALSE))</f>
        <v/>
      </c>
      <c r="BE566" s="286" t="str">
        <f>IF(AG566="","",VLOOKUP(AG566,AH563:AU569,COLUMN()-COLUMN(AR562),FALSE))</f>
        <v/>
      </c>
      <c r="BF566" s="301" t="str">
        <f>IF(AG566="","",VLOOKUP(AG566,AH563:AU569,COLUMN()-COLUMN(AR562),FALSE))</f>
        <v/>
      </c>
    </row>
    <row r="567" spans="1:58" ht="12" thickBot="1" x14ac:dyDescent="0.25">
      <c r="A567" s="62" t="s">
        <v>890</v>
      </c>
      <c r="B567" s="62" t="s">
        <v>12216</v>
      </c>
      <c r="C567" s="62"/>
      <c r="D567" s="62"/>
      <c r="E567" s="345" t="s">
        <v>8088</v>
      </c>
      <c r="F567" s="345" t="s">
        <v>8129</v>
      </c>
      <c r="G567" s="113">
        <v>1</v>
      </c>
      <c r="H567" s="113">
        <v>3</v>
      </c>
      <c r="I567" s="114"/>
      <c r="J567" s="114"/>
      <c r="K567" s="114"/>
      <c r="L567" s="81"/>
      <c r="M567" s="265" t="b">
        <f>NOT(ISERROR(ResultsInd[[#This Row],[Goal-A]]+ResultsInd[[#This Row],[Goal-B]]))</f>
        <v>1</v>
      </c>
      <c r="N567" s="265">
        <f>VALUE(ResultsInd[[#This Row],[Score-A]])</f>
        <v>1</v>
      </c>
      <c r="O567" s="265">
        <f>VALUE(ResultsInd[[#This Row],[Score-B]])</f>
        <v>3</v>
      </c>
      <c r="P567" s="265">
        <f ca="1">IF(AND(ResultsInd[[#This Row],[Category]]&lt;&gt;"",ResultsInd[[#This Row],[Player A]]&lt;&gt;""),COUNTIF(INDIRECT(ResultsInd[[#This Row],[Category]]&amp;"List[Retained Player Name]"),ResultsInd[[#This Row],[Player A]]),"")</f>
        <v>1</v>
      </c>
      <c r="Q567" s="265">
        <f ca="1">IF(AND(ResultsInd[[#This Row],[Category]]&lt;&gt;"",ResultsInd[[#This Row],[Player B]]&lt;&gt;""),COUNTIF(INDIRECT(ResultsInd[[#This Row],[Category]]&amp;"List[Retained Player Name]"),ResultsInd[[#This Row],[Player B]]),"")</f>
        <v>1</v>
      </c>
      <c r="R5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7" s="265" t="str">
        <f>IF(ResultsInd[[#This Row],[Score_OK]],IF(ResultsInd[[#This Row],[Stage]]="Groups",ResultsInd[[#This Row],[Category]]&amp;"-"&amp;IF(ResultsInd[[#This Row],[Player B]]="","",IF(ResultsInd[[#This Row],[Score-A]]=ResultsInd[[#This Row],[Score-B]],ResultsInd[[#This Row],[Player A]],"")),""),"")</f>
        <v/>
      </c>
      <c r="T567" s="265" t="str">
        <f>IF(ResultsInd[[#This Row],[Score_OK]],IF(ResultsInd[[#This Row],[Stage]]="Groups",ResultsInd[[#This Row],[Category]]&amp;"-"&amp;IF(ResultsInd[[#This Row],[Player B]]="","",IF(ResultsInd[[#This Row],[Score-A]]=ResultsInd[[#This Row],[Score-B]],ResultsInd[[#This Row],[Player B]],"")),""),"")</f>
        <v/>
      </c>
      <c r="U5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OPEN-Steffen Despretz</v>
      </c>
      <c r="W5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7" s="264" t="str">
        <f>IF(ResultsInd[[#This Row],[Category]]="","",VLOOKUP(ResultsInd[[#This Row],[Stage]],$P$1:$V$9,MATCH(ResultsInd[[#This Row],[Category]],$Q$1:$V$1,0)+1,FALSE))</f>
        <v>L32</v>
      </c>
      <c r="Z567" s="264" t="str">
        <f>IF(ResultsInd[[#This Row],[Score_OK]],IF(ResultsInd[[#This Row],[Level]]="R",ResultsInd[[#This Row],[Category]]&amp;"-"&amp;IF(ResultsInd[[#This Row],[LoseInKO]]=ResultsInd[[#This Row],[Category]]&amp;"-"&amp;ResultsInd[[#This Row],[Player A]],ResultsInd[[#This Row],[Player B]],ResultsInd[[#This Row],[Player A]]),""),"")</f>
        <v/>
      </c>
      <c r="AB567" s="91"/>
      <c r="AC567" s="12" t="str">
        <f t="shared" si="495"/>
        <v/>
      </c>
      <c r="AD567" s="309"/>
      <c r="AE567" s="310"/>
      <c r="AF567" s="311"/>
      <c r="AG567" s="292" t="str">
        <f>IF(AP567="","",SMALL(AH563:AH569,ROWS(AG563:AG567)))</f>
        <v/>
      </c>
      <c r="AH567" s="293" t="str">
        <f>IF(AP567="","",RANK(AL567,AL563:AL569)*1000+ROWS(AH563:AH567))</f>
        <v/>
      </c>
      <c r="AI567" s="316" t="str">
        <f t="shared" si="489"/>
        <v/>
      </c>
      <c r="AJ567" s="415" t="b">
        <f>AND(AO567&lt;&gt;"",AO567&gt;0,COUNTIF(AI563:AI569,AI567)&gt;1)</f>
        <v>0</v>
      </c>
      <c r="AK567" s="316" t="str">
        <f t="shared" si="490"/>
        <v/>
      </c>
      <c r="AL567" s="317" t="str">
        <f t="shared" si="491"/>
        <v/>
      </c>
      <c r="AM567" s="415" t="b">
        <f>AND(AO567&lt;&gt;"",AO567&gt;0,COUNTIF(AL563:AL569,AL567)&gt;1)</f>
        <v>0</v>
      </c>
      <c r="AN567" s="306" t="str">
        <f t="shared" si="492"/>
        <v/>
      </c>
      <c r="AO567" s="307" t="str">
        <f t="shared" si="493"/>
        <v/>
      </c>
      <c r="AP567" s="307" t="str">
        <f>IF(OR(AC562="",AD567=""),"",COUNTIF(ResultsInd[Win],AC562&amp;"-"&amp;AD567))</f>
        <v/>
      </c>
      <c r="AQ567" s="307" t="str">
        <f>IF(OR(AC562="",AD567=""),"",COUNTIF(ResultsInd[Draw1],AC562&amp;"-"&amp;AD567)+COUNTIF(ResultsInd[Draw2],AC562&amp;"-"&amp;AD567))</f>
        <v/>
      </c>
      <c r="AR567" s="307" t="str">
        <f>IF(OR(AC562="",AD567=""),"",COUNTIF(ResultsInd[Lose],AC562&amp;"-"&amp;AD567))</f>
        <v/>
      </c>
      <c r="AS567" s="307" t="str">
        <f>IF(OR(AC562="",AD567=""),"",SUMIFS(ResultsInd[Goal-A],ResultsInd[Category],AC562,ResultsInd[Stage],"Groups",ResultsInd[Player A],AD567)+SUMIFS(ResultsInd[Goal-B],ResultsInd[Category],AC562,ResultsInd[Stage],"Groups",ResultsInd[Player B],AD567))</f>
        <v/>
      </c>
      <c r="AT567" s="307" t="str">
        <f>IF(OR(AC562="",AD567=""),"",SUMIFS(ResultsInd[Goal-B],ResultsInd[Category],AC562,ResultsInd[Stage],"Groups",ResultsInd[Player A],AD567)+SUMIFS(ResultsInd[Goal-A],ResultsInd[Category],AC562,ResultsInd[Stage],"Groups",ResultsInd[Player B],AD567))</f>
        <v/>
      </c>
      <c r="AU567" s="308" t="str">
        <f t="shared" si="496"/>
        <v/>
      </c>
      <c r="AV567" s="469" t="str">
        <f>IF(AG567="","",OR(VLOOKUP(AG567,AH563:AU569,3,FALSE),VLOOKUP(AG567,AH563:AU569,6,FALSE)))</f>
        <v/>
      </c>
      <c r="AW567" s="298" t="str">
        <f t="shared" si="494"/>
        <v/>
      </c>
      <c r="AX567" s="285" t="str">
        <f>IF(AG567="","",INDEX(AD563:AD569,MATCH(AG567,AH563:AH569,0)))</f>
        <v/>
      </c>
      <c r="AY567" s="286" t="str">
        <f>IF(AG567="","",VLOOKUP(AG567,AH563:AU569,COLUMN()-COLUMN(AR562),FALSE))</f>
        <v/>
      </c>
      <c r="AZ567" s="286" t="str">
        <f>IF(AG567="","",VLOOKUP(AG567,AH563:AU569,COLUMN()-COLUMN(AR562),FALSE))</f>
        <v/>
      </c>
      <c r="BA567" s="286" t="str">
        <f>IF(AG567="","",VLOOKUP(AG567,AH563:AU569,COLUMN()-COLUMN(AR562),FALSE))</f>
        <v/>
      </c>
      <c r="BB567" s="286" t="str">
        <f>IF(AG567="","",VLOOKUP(AG567,AH563:AU569,COLUMN()-COLUMN(AR562),FALSE))</f>
        <v/>
      </c>
      <c r="BC567" s="286" t="str">
        <f>IF(AG567="","",VLOOKUP(AG567,AH563:AU569,COLUMN()-COLUMN(AR562),FALSE))</f>
        <v/>
      </c>
      <c r="BD567" s="286" t="str">
        <f>IF(AG567="","",VLOOKUP(AG567,AH563:AU569,COLUMN()-COLUMN(AR562),FALSE))</f>
        <v/>
      </c>
      <c r="BE567" s="286" t="str">
        <f>IF(AG567="","",VLOOKUP(AG567,AH563:AU569,COLUMN()-COLUMN(AR562),FALSE))</f>
        <v/>
      </c>
      <c r="BF567" s="301" t="str">
        <f>IF(AG567="","",VLOOKUP(AG567,AH563:AU569,COLUMN()-COLUMN(AR562),FALSE))</f>
        <v/>
      </c>
    </row>
    <row r="568" spans="1:58" ht="12" thickBot="1" x14ac:dyDescent="0.25">
      <c r="A568" s="62" t="s">
        <v>890</v>
      </c>
      <c r="B568" s="62" t="s">
        <v>12216</v>
      </c>
      <c r="C568" s="62"/>
      <c r="D568" s="62"/>
      <c r="E568" s="345" t="s">
        <v>10024</v>
      </c>
      <c r="F568" s="345" t="s">
        <v>8089</v>
      </c>
      <c r="G568" s="113">
        <v>3</v>
      </c>
      <c r="H568" s="113">
        <v>4</v>
      </c>
      <c r="I568" s="114"/>
      <c r="J568" s="114"/>
      <c r="K568" s="114"/>
      <c r="L568" s="81"/>
      <c r="M568" s="265" t="b">
        <f>NOT(ISERROR(ResultsInd[[#This Row],[Goal-A]]+ResultsInd[[#This Row],[Goal-B]]))</f>
        <v>1</v>
      </c>
      <c r="N568" s="265">
        <f>VALUE(ResultsInd[[#This Row],[Score-A]])</f>
        <v>3</v>
      </c>
      <c r="O568" s="265">
        <f>VALUE(ResultsInd[[#This Row],[Score-B]])</f>
        <v>4</v>
      </c>
      <c r="P568" s="265">
        <f ca="1">IF(AND(ResultsInd[[#This Row],[Category]]&lt;&gt;"",ResultsInd[[#This Row],[Player A]]&lt;&gt;""),COUNTIF(INDIRECT(ResultsInd[[#This Row],[Category]]&amp;"List[Retained Player Name]"),ResultsInd[[#This Row],[Player A]]),"")</f>
        <v>1</v>
      </c>
      <c r="Q568" s="265">
        <f ca="1">IF(AND(ResultsInd[[#This Row],[Category]]&lt;&gt;"",ResultsInd[[#This Row],[Player B]]&lt;&gt;""),COUNTIF(INDIRECT(ResultsInd[[#This Row],[Category]]&amp;"List[Retained Player Name]"),ResultsInd[[#This Row],[Player B]]),"")</f>
        <v>1</v>
      </c>
      <c r="R5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8" s="265" t="str">
        <f>IF(ResultsInd[[#This Row],[Score_OK]],IF(ResultsInd[[#This Row],[Stage]]="Groups",ResultsInd[[#This Row],[Category]]&amp;"-"&amp;IF(ResultsInd[[#This Row],[Player B]]="","",IF(ResultsInd[[#This Row],[Score-A]]=ResultsInd[[#This Row],[Score-B]],ResultsInd[[#This Row],[Player A]],"")),""),"")</f>
        <v/>
      </c>
      <c r="T568" s="265" t="str">
        <f>IF(ResultsInd[[#This Row],[Score_OK]],IF(ResultsInd[[#This Row],[Stage]]="Groups",ResultsInd[[#This Row],[Category]]&amp;"-"&amp;IF(ResultsInd[[#This Row],[Player B]]="","",IF(ResultsInd[[#This Row],[Score-A]]=ResultsInd[[#This Row],[Score-B]],ResultsInd[[#This Row],[Player B]],"")),""),"")</f>
        <v/>
      </c>
      <c r="U5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OPEN-Christian Fricano</v>
      </c>
      <c r="W5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5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568" s="264" t="str">
        <f>IF(ResultsInd[[#This Row],[Category]]="","",VLOOKUP(ResultsInd[[#This Row],[Stage]],$P$1:$V$9,MATCH(ResultsInd[[#This Row],[Category]],$Q$1:$V$1,0)+1,FALSE))</f>
        <v>L32</v>
      </c>
      <c r="Z568" s="264" t="str">
        <f>IF(ResultsInd[[#This Row],[Score_OK]],IF(ResultsInd[[#This Row],[Level]]="R",ResultsInd[[#This Row],[Category]]&amp;"-"&amp;IF(ResultsInd[[#This Row],[LoseInKO]]=ResultsInd[[#This Row],[Category]]&amp;"-"&amp;ResultsInd[[#This Row],[Player A]],ResultsInd[[#This Row],[Player B]],ResultsInd[[#This Row],[Player A]]),""),"")</f>
        <v/>
      </c>
      <c r="AB568" s="8"/>
      <c r="AC568" s="12" t="str">
        <f t="shared" si="495"/>
        <v/>
      </c>
      <c r="AD568" s="309"/>
      <c r="AE568" s="310"/>
      <c r="AF568" s="311"/>
      <c r="AG568" s="292" t="str">
        <f>IF(AP568="","",SMALL(AH563:AH569,ROWS(AG563:AG568)))</f>
        <v/>
      </c>
      <c r="AH568" s="293" t="str">
        <f>IF(AP568="","",RANK(AL568,AL563:AL569)*1000+ROWS(AH563:AH568))</f>
        <v/>
      </c>
      <c r="AI568" s="316" t="str">
        <f t="shared" si="489"/>
        <v/>
      </c>
      <c r="AJ568" s="415" t="b">
        <f>AND(AO568&lt;&gt;"",AO568&gt;0,COUNTIF(AI563:AI569,AI568)&gt;1)</f>
        <v>0</v>
      </c>
      <c r="AK568" s="316" t="str">
        <f t="shared" si="490"/>
        <v/>
      </c>
      <c r="AL568" s="317" t="str">
        <f t="shared" si="491"/>
        <v/>
      </c>
      <c r="AM568" s="415" t="b">
        <f>AND(AO568&lt;&gt;"",AO568&gt;0,COUNTIF(AL563:AL569,AL568)&gt;1)</f>
        <v>0</v>
      </c>
      <c r="AN568" s="306" t="str">
        <f t="shared" si="492"/>
        <v/>
      </c>
      <c r="AO568" s="307" t="str">
        <f t="shared" si="493"/>
        <v/>
      </c>
      <c r="AP568" s="307" t="str">
        <f>IF(OR(AC562="",AD568=""),"",COUNTIF(ResultsInd[Win],AC562&amp;"-"&amp;AD568))</f>
        <v/>
      </c>
      <c r="AQ568" s="307" t="str">
        <f>IF(OR(AC562="",AD568=""),"",COUNTIF(ResultsInd[Draw1],AC562&amp;"-"&amp;AD568)+COUNTIF(ResultsInd[Draw2],AC562&amp;"-"&amp;AD568))</f>
        <v/>
      </c>
      <c r="AR568" s="307" t="str">
        <f>IF(OR(AC562="",AD568=""),"",COUNTIF(ResultsInd[Lose],AC562&amp;"-"&amp;AD568))</f>
        <v/>
      </c>
      <c r="AS568" s="307" t="str">
        <f>IF(OR(AC562="",AD568=""),"",SUMIFS(ResultsInd[Goal-A],ResultsInd[Category],AC562,ResultsInd[Stage],"Groups",ResultsInd[Player A],AD568)+SUMIFS(ResultsInd[Goal-B],ResultsInd[Category],AC562,ResultsInd[Stage],"Groups",ResultsInd[Player B],AD568))</f>
        <v/>
      </c>
      <c r="AT568" s="307" t="str">
        <f>IF(OR(AC562="",AD568=""),"",SUMIFS(ResultsInd[Goal-B],ResultsInd[Category],AC562,ResultsInd[Stage],"Groups",ResultsInd[Player A],AD568)+SUMIFS(ResultsInd[Goal-A],ResultsInd[Category],AC562,ResultsInd[Stage],"Groups",ResultsInd[Player B],AD568))</f>
        <v/>
      </c>
      <c r="AU568" s="308" t="str">
        <f t="shared" si="496"/>
        <v/>
      </c>
      <c r="AV568" s="469" t="str">
        <f>IF(AG568="","",OR(VLOOKUP(AG568,AH563:AU569,3,FALSE),VLOOKUP(AG568,AH563:AU569,6,FALSE)))</f>
        <v/>
      </c>
      <c r="AW568" s="298" t="str">
        <f t="shared" si="494"/>
        <v/>
      </c>
      <c r="AX568" s="285" t="str">
        <f>IF(AG568="","",INDEX(AD563:AD569,MATCH(AG568,AH563:AH569,0)))</f>
        <v/>
      </c>
      <c r="AY568" s="286" t="str">
        <f>IF(AG568="","",VLOOKUP(AG568,AH563:AU569,COLUMN()-COLUMN(AR562),FALSE))</f>
        <v/>
      </c>
      <c r="AZ568" s="286" t="str">
        <f>IF(AG568="","",VLOOKUP(AG568,AH563:AU569,COLUMN()-COLUMN(AR562),FALSE))</f>
        <v/>
      </c>
      <c r="BA568" s="286" t="str">
        <f>IF(AG568="","",VLOOKUP(AG568,AH563:AU569,COLUMN()-COLUMN(AR562),FALSE))</f>
        <v/>
      </c>
      <c r="BB568" s="286" t="str">
        <f>IF(AG568="","",VLOOKUP(AG568,AH563:AU569,COLUMN()-COLUMN(AR562),FALSE))</f>
        <v/>
      </c>
      <c r="BC568" s="286" t="str">
        <f>IF(AG568="","",VLOOKUP(AG568,AH563:AU569,COLUMN()-COLUMN(AR562),FALSE))</f>
        <v/>
      </c>
      <c r="BD568" s="286" t="str">
        <f>IF(AG568="","",VLOOKUP(AG568,AH563:AU569,COLUMN()-COLUMN(AR562),FALSE))</f>
        <v/>
      </c>
      <c r="BE568" s="286" t="str">
        <f>IF(AG568="","",VLOOKUP(AG568,AH563:AU569,COLUMN()-COLUMN(AR562),FALSE))</f>
        <v/>
      </c>
      <c r="BF568" s="301" t="str">
        <f>IF(AG568="","",VLOOKUP(AG568,AH563:AU569,COLUMN()-COLUMN(AR562),FALSE))</f>
        <v/>
      </c>
    </row>
    <row r="569" spans="1:58" ht="12" thickBot="1" x14ac:dyDescent="0.25">
      <c r="A569" s="505" t="s">
        <v>12263</v>
      </c>
      <c r="B569" s="62" t="s">
        <v>12216</v>
      </c>
      <c r="C569" s="62"/>
      <c r="D569" s="62"/>
      <c r="E569" s="345" t="s">
        <v>12756</v>
      </c>
      <c r="F569" s="345" t="s">
        <v>13246</v>
      </c>
      <c r="G569" s="113">
        <v>3</v>
      </c>
      <c r="H569" s="113">
        <v>0</v>
      </c>
      <c r="I569" s="114"/>
      <c r="J569" s="114"/>
      <c r="K569" s="114"/>
      <c r="L569" s="81"/>
      <c r="M569" s="265" t="b">
        <f>NOT(ISERROR(ResultsInd[[#This Row],[Goal-A]]+ResultsInd[[#This Row],[Goal-B]]))</f>
        <v>1</v>
      </c>
      <c r="N569" s="265">
        <f>VALUE(ResultsInd[[#This Row],[Score-A]])</f>
        <v>3</v>
      </c>
      <c r="O569" s="265">
        <f>VALUE(ResultsInd[[#This Row],[Score-B]])</f>
        <v>0</v>
      </c>
      <c r="P569" s="265" t="e">
        <f ca="1">IF(AND(ResultsInd[[#This Row],[Category]]&lt;&gt;"",ResultsInd[[#This Row],[Player A]]&lt;&gt;""),COUNTIF(INDIRECT(ResultsInd[[#This Row],[Category]]&amp;"List[Retained Player Name]"),ResultsInd[[#This Row],[Player A]]),"")</f>
        <v>#REF!</v>
      </c>
      <c r="Q569" s="265" t="e">
        <f ca="1">IF(AND(ResultsInd[[#This Row],[Category]]&lt;&gt;"",ResultsInd[[#This Row],[Player B]]&lt;&gt;""),COUNTIF(INDIRECT(ResultsInd[[#This Row],[Category]]&amp;"List[Retained Player Name]"),ResultsInd[[#This Row],[Player B]]),"")</f>
        <v>#REF!</v>
      </c>
      <c r="R5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9" s="265" t="str">
        <f>IF(ResultsInd[[#This Row],[Score_OK]],IF(ResultsInd[[#This Row],[Stage]]="Groups",ResultsInd[[#This Row],[Category]]&amp;"-"&amp;IF(ResultsInd[[#This Row],[Player B]]="","",IF(ResultsInd[[#This Row],[Score-A]]=ResultsInd[[#This Row],[Score-B]],ResultsInd[[#This Row],[Player A]],"")),""),"")</f>
        <v/>
      </c>
      <c r="T569" s="265" t="str">
        <f>IF(ResultsInd[[#This Row],[Score_OK]],IF(ResultsInd[[#This Row],[Stage]]="Groups",ResultsInd[[#This Row],[Category]]&amp;"-"&amp;IF(ResultsInd[[#This Row],[Player B]]="","",IF(ResultsInd[[#This Row],[Score-A]]=ResultsInd[[#This Row],[Score-B]],ResultsInd[[#This Row],[Player B]],"")),""),"")</f>
        <v/>
      </c>
      <c r="U5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CONSOLATION-Kyle Jamieson</v>
      </c>
      <c r="W56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6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69" s="264" t="e">
        <f>IF(ResultsInd[[#This Row],[Category]]="","",VLOOKUP(ResultsInd[[#This Row],[Stage]],$P$1:$V$9,MATCH(ResultsInd[[#This Row],[Category]],$Q$1:$V$1,0)+1,FALSE))</f>
        <v>#N/A</v>
      </c>
      <c r="Z569" s="264" t="e">
        <f>IF(ResultsInd[[#This Row],[Score_OK]],IF(ResultsInd[[#This Row],[Level]]="R",ResultsInd[[#This Row],[Category]]&amp;"-"&amp;IF(ResultsInd[[#This Row],[LoseInKO]]=ResultsInd[[#This Row],[Category]]&amp;"-"&amp;ResultsInd[[#This Row],[Player A]],ResultsInd[[#This Row],[Player B]],ResultsInd[[#This Row],[Player A]]),""),"")</f>
        <v>#N/A</v>
      </c>
      <c r="AB569" s="8"/>
      <c r="AC569" s="12" t="str">
        <f t="shared" si="495"/>
        <v/>
      </c>
      <c r="AD569" s="312"/>
      <c r="AE569" s="313"/>
      <c r="AF569" s="314"/>
      <c r="AG569" s="294" t="str">
        <f>IF(AP569="","",SMALL(AH563:AH569,ROWS(AG563:AG569)))</f>
        <v/>
      </c>
      <c r="AH569" s="295" t="str">
        <f>IF(AP569="","",RANK(AL569,AL563:AL569)*1000+ROWS(AH563:AH569))</f>
        <v/>
      </c>
      <c r="AI569" s="318" t="str">
        <f t="shared" si="489"/>
        <v/>
      </c>
      <c r="AJ569" s="416" t="b">
        <f>AND(AO569&lt;&gt;"",AO569&gt;0,COUNTIF(AI563:AI569,AI569)&gt;1)</f>
        <v>0</v>
      </c>
      <c r="AK569" s="318" t="str">
        <f t="shared" si="490"/>
        <v/>
      </c>
      <c r="AL569" s="319" t="str">
        <f t="shared" si="491"/>
        <v/>
      </c>
      <c r="AM569" s="416" t="b">
        <f>AND(AO569&lt;&gt;"",AO569&gt;0,COUNTIF(AL563:AL569,AL569)&gt;1)</f>
        <v>0</v>
      </c>
      <c r="AN569" s="306" t="str">
        <f t="shared" si="492"/>
        <v/>
      </c>
      <c r="AO569" s="307" t="str">
        <f t="shared" si="493"/>
        <v/>
      </c>
      <c r="AP569" s="307" t="str">
        <f>IF(OR(AC562="",AD569=""),"",COUNTIF(ResultsInd[Win],AC562&amp;"-"&amp;AD569))</f>
        <v/>
      </c>
      <c r="AQ569" s="307" t="str">
        <f>IF(OR(AC562="",AD569=""),"",COUNTIF(ResultsInd[Draw1],AC562&amp;"-"&amp;AD569)+COUNTIF(ResultsInd[Draw2],AC562&amp;"-"&amp;AD569))</f>
        <v/>
      </c>
      <c r="AR569" s="307" t="str">
        <f>IF(OR(AC562="",AD569=""),"",COUNTIF(ResultsInd[Lose],AC562&amp;"-"&amp;AD569))</f>
        <v/>
      </c>
      <c r="AS569" s="307" t="str">
        <f>IF(OR(AC562="",AD569=""),"",SUMIFS(ResultsInd[Goal-A],ResultsInd[Category],AC562,ResultsInd[Stage],"Groups",ResultsInd[Player A],AD569)+SUMIFS(ResultsInd[Goal-B],ResultsInd[Category],AC562,ResultsInd[Stage],"Groups",ResultsInd[Player B],AD569))</f>
        <v/>
      </c>
      <c r="AT569" s="307" t="str">
        <f>IF(OR(AC562="",AD569=""),"",SUMIFS(ResultsInd[Goal-B],ResultsInd[Category],AC562,ResultsInd[Stage],"Groups",ResultsInd[Player A],AD569)+SUMIFS(ResultsInd[Goal-A],ResultsInd[Category],AC562,ResultsInd[Stage],"Groups",ResultsInd[Player B],AD569))</f>
        <v/>
      </c>
      <c r="AU569" s="308" t="str">
        <f t="shared" si="496"/>
        <v/>
      </c>
      <c r="AV569" s="469" t="str">
        <f>IF(AG569="","",OR(VLOOKUP(AG569,AH563:AU569,3,FALSE),VLOOKUP(AG569,AH563:AU569,6,FALSE)))</f>
        <v/>
      </c>
      <c r="AW569" s="299" t="str">
        <f t="shared" si="494"/>
        <v/>
      </c>
      <c r="AX569" s="287" t="str">
        <f>IF(AG569="","",INDEX(AD563:AD569,MATCH(AG569,AH563:AH569,0)))</f>
        <v/>
      </c>
      <c r="AY569" s="288" t="str">
        <f>IF(AG569="","",VLOOKUP(AG569,AH563:AU569,COLUMN()-COLUMN(AR562),FALSE))</f>
        <v/>
      </c>
      <c r="AZ569" s="288" t="str">
        <f>IF(AG569="","",VLOOKUP(AG569,AH563:AU569,COLUMN()-COLUMN(AR562),FALSE))</f>
        <v/>
      </c>
      <c r="BA569" s="288" t="str">
        <f>IF(AG569="","",VLOOKUP(AG569,AH563:AU569,COLUMN()-COLUMN(AR562),FALSE))</f>
        <v/>
      </c>
      <c r="BB569" s="288" t="str">
        <f>IF(AG569="","",VLOOKUP(AG569,AH563:AU569,COLUMN()-COLUMN(AR562),FALSE))</f>
        <v/>
      </c>
      <c r="BC569" s="288" t="str">
        <f>IF(AG569="","",VLOOKUP(AG569,AH563:AU569,COLUMN()-COLUMN(AR562),FALSE))</f>
        <v/>
      </c>
      <c r="BD569" s="288" t="str">
        <f>IF(AG569="","",VLOOKUP(AG569,AH563:AU569,COLUMN()-COLUMN(AR562),FALSE))</f>
        <v/>
      </c>
      <c r="BE569" s="288" t="str">
        <f>IF(AG569="","",VLOOKUP(AG569,AH563:AU569,COLUMN()-COLUMN(AR562),FALSE))</f>
        <v/>
      </c>
      <c r="BF569" s="302" t="str">
        <f>IF(AG569="","",VLOOKUP(AG569,AH563:AU569,COLUMN()-COLUMN(AR562),FALSE))</f>
        <v/>
      </c>
    </row>
    <row r="570" spans="1:58" ht="13.5" thickBot="1" x14ac:dyDescent="0.25">
      <c r="A570" s="505" t="s">
        <v>12263</v>
      </c>
      <c r="B570" s="62" t="s">
        <v>12216</v>
      </c>
      <c r="C570" s="62"/>
      <c r="D570" s="62"/>
      <c r="E570" s="345" t="s">
        <v>8552</v>
      </c>
      <c r="F570" s="345" t="s">
        <v>8168</v>
      </c>
      <c r="G570" s="113">
        <v>2</v>
      </c>
      <c r="H570" s="113">
        <v>4</v>
      </c>
      <c r="I570" s="114"/>
      <c r="J570" s="114"/>
      <c r="K570" s="114"/>
      <c r="L570" s="81"/>
      <c r="M570" s="265" t="b">
        <f>NOT(ISERROR(ResultsInd[[#This Row],[Goal-A]]+ResultsInd[[#This Row],[Goal-B]]))</f>
        <v>1</v>
      </c>
      <c r="N570" s="265">
        <f>VALUE(ResultsInd[[#This Row],[Score-A]])</f>
        <v>2</v>
      </c>
      <c r="O570" s="265">
        <f>VALUE(ResultsInd[[#This Row],[Score-B]])</f>
        <v>4</v>
      </c>
      <c r="P570" s="265" t="e">
        <f ca="1">IF(AND(ResultsInd[[#This Row],[Category]]&lt;&gt;"",ResultsInd[[#This Row],[Player A]]&lt;&gt;""),COUNTIF(INDIRECT(ResultsInd[[#This Row],[Category]]&amp;"List[Retained Player Name]"),ResultsInd[[#This Row],[Player A]]),"")</f>
        <v>#REF!</v>
      </c>
      <c r="Q570" s="265" t="e">
        <f ca="1">IF(AND(ResultsInd[[#This Row],[Category]]&lt;&gt;"",ResultsInd[[#This Row],[Player B]]&lt;&gt;""),COUNTIF(INDIRECT(ResultsInd[[#This Row],[Category]]&amp;"List[Retained Player Name]"),ResultsInd[[#This Row],[Player B]]),"")</f>
        <v>#REF!</v>
      </c>
      <c r="R5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0" s="265" t="str">
        <f>IF(ResultsInd[[#This Row],[Score_OK]],IF(ResultsInd[[#This Row],[Stage]]="Groups",ResultsInd[[#This Row],[Category]]&amp;"-"&amp;IF(ResultsInd[[#This Row],[Player B]]="","",IF(ResultsInd[[#This Row],[Score-A]]=ResultsInd[[#This Row],[Score-B]],ResultsInd[[#This Row],[Player A]],"")),""),"")</f>
        <v/>
      </c>
      <c r="T570" s="265" t="str">
        <f>IF(ResultsInd[[#This Row],[Score_OK]],IF(ResultsInd[[#This Row],[Stage]]="Groups",ResultsInd[[#This Row],[Category]]&amp;"-"&amp;IF(ResultsInd[[#This Row],[Player B]]="","",IF(ResultsInd[[#This Row],[Score-A]]=ResultsInd[[#This Row],[Score-B]],ResultsInd[[#This Row],[Player B]],"")),""),"")</f>
        <v/>
      </c>
      <c r="U5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CONSOLATION-Richard Badger</v>
      </c>
      <c r="W57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0" s="264" t="e">
        <f>IF(ResultsInd[[#This Row],[Category]]="","",VLOOKUP(ResultsInd[[#This Row],[Stage]],$P$1:$V$9,MATCH(ResultsInd[[#This Row],[Category]],$Q$1:$V$1,0)+1,FALSE))</f>
        <v>#N/A</v>
      </c>
      <c r="Z570" s="264" t="e">
        <f>IF(ResultsInd[[#This Row],[Score_OK]],IF(ResultsInd[[#This Row],[Level]]="R",ResultsInd[[#This Row],[Category]]&amp;"-"&amp;IF(ResultsInd[[#This Row],[LoseInKO]]=ResultsInd[[#This Row],[Category]]&amp;"-"&amp;ResultsInd[[#This Row],[Player A]],ResultsInd[[#This Row],[Player B]],ResultsInd[[#This Row],[Player A]]),""),"")</f>
        <v>#N/A</v>
      </c>
      <c r="AB570" s="8"/>
      <c r="AC570" s="8"/>
      <c r="AF570" s="170"/>
      <c r="AG570" s="101"/>
      <c r="AH570" s="101"/>
      <c r="AN570" s="170"/>
      <c r="AO570" s="170"/>
      <c r="AP570" s="170"/>
      <c r="AQ570" s="172"/>
      <c r="AR570" s="173"/>
      <c r="AS570" s="173"/>
      <c r="AT570" s="173"/>
      <c r="AU570" s="101"/>
      <c r="AV570" s="101"/>
      <c r="AW570" s="101"/>
      <c r="AX570" s="101"/>
      <c r="AY570" s="101"/>
      <c r="AZ570" s="101"/>
    </row>
    <row r="571" spans="1:58" ht="12" thickBot="1" x14ac:dyDescent="0.25">
      <c r="A571" s="505" t="s">
        <v>12263</v>
      </c>
      <c r="B571" s="62" t="s">
        <v>12216</v>
      </c>
      <c r="C571" s="62"/>
      <c r="D571" s="62"/>
      <c r="E571" s="345" t="s">
        <v>13243</v>
      </c>
      <c r="F571" s="345" t="s">
        <v>10420</v>
      </c>
      <c r="G571" s="113">
        <v>0</v>
      </c>
      <c r="H571" s="113">
        <v>12</v>
      </c>
      <c r="I571" s="114"/>
      <c r="J571" s="114"/>
      <c r="K571" s="114"/>
      <c r="L571" s="81"/>
      <c r="M571" s="265" t="b">
        <f>NOT(ISERROR(ResultsInd[[#This Row],[Goal-A]]+ResultsInd[[#This Row],[Goal-B]]))</f>
        <v>1</v>
      </c>
      <c r="N571" s="265">
        <f>VALUE(ResultsInd[[#This Row],[Score-A]])</f>
        <v>0</v>
      </c>
      <c r="O571" s="265">
        <f>VALUE(ResultsInd[[#This Row],[Score-B]])</f>
        <v>12</v>
      </c>
      <c r="P571" s="265" t="e">
        <f ca="1">IF(AND(ResultsInd[[#This Row],[Category]]&lt;&gt;"",ResultsInd[[#This Row],[Player A]]&lt;&gt;""),COUNTIF(INDIRECT(ResultsInd[[#This Row],[Category]]&amp;"List[Retained Player Name]"),ResultsInd[[#This Row],[Player A]]),"")</f>
        <v>#REF!</v>
      </c>
      <c r="Q571" s="265" t="e">
        <f ca="1">IF(AND(ResultsInd[[#This Row],[Category]]&lt;&gt;"",ResultsInd[[#This Row],[Player B]]&lt;&gt;""),COUNTIF(INDIRECT(ResultsInd[[#This Row],[Category]]&amp;"List[Retained Player Name]"),ResultsInd[[#This Row],[Player B]]),"")</f>
        <v>#REF!</v>
      </c>
      <c r="R5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1" s="265" t="str">
        <f>IF(ResultsInd[[#This Row],[Score_OK]],IF(ResultsInd[[#This Row],[Stage]]="Groups",ResultsInd[[#This Row],[Category]]&amp;"-"&amp;IF(ResultsInd[[#This Row],[Player B]]="","",IF(ResultsInd[[#This Row],[Score-A]]=ResultsInd[[#This Row],[Score-B]],ResultsInd[[#This Row],[Player A]],"")),""),"")</f>
        <v/>
      </c>
      <c r="T571" s="265" t="str">
        <f>IF(ResultsInd[[#This Row],[Score_OK]],IF(ResultsInd[[#This Row],[Stage]]="Groups",ResultsInd[[#This Row],[Category]]&amp;"-"&amp;IF(ResultsInd[[#This Row],[Player B]]="","",IF(ResultsInd[[#This Row],[Score-A]]=ResultsInd[[#This Row],[Score-B]],ResultsInd[[#This Row],[Player B]],"")),""),"")</f>
        <v/>
      </c>
      <c r="U5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CONSOLATION-Thomas Lacey</v>
      </c>
      <c r="W57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1" s="264" t="e">
        <f>IF(ResultsInd[[#This Row],[Category]]="","",VLOOKUP(ResultsInd[[#This Row],[Stage]],$P$1:$V$9,MATCH(ResultsInd[[#This Row],[Category]],$Q$1:$V$1,0)+1,FALSE))</f>
        <v>#N/A</v>
      </c>
      <c r="Z571" s="264" t="e">
        <f>IF(ResultsInd[[#This Row],[Score_OK]],IF(ResultsInd[[#This Row],[Level]]="R",ResultsInd[[#This Row],[Category]]&amp;"-"&amp;IF(ResultsInd[[#This Row],[LoseInKO]]=ResultsInd[[#This Row],[Category]]&amp;"-"&amp;ResultsInd[[#This Row],[Player A]],ResultsInd[[#This Row],[Player B]],ResultsInd[[#This Row],[Player A]]),""),"")</f>
        <v>#N/A</v>
      </c>
      <c r="AB571" s="281" t="str">
        <f>IF(AC571="","",COUNTIFS(AC$22:AC571,AC571,AD$22:AD571,"Players draw"))</f>
        <v/>
      </c>
      <c r="AC571" s="315"/>
      <c r="AD571" s="289" t="s">
        <v>14439</v>
      </c>
      <c r="AE571" s="290" t="s">
        <v>12279</v>
      </c>
      <c r="AF571" s="284" t="s">
        <v>12275</v>
      </c>
      <c r="AG571" s="296" t="s">
        <v>12276</v>
      </c>
      <c r="AH571" s="291" t="s">
        <v>12271</v>
      </c>
      <c r="AI571" s="291" t="s">
        <v>12272</v>
      </c>
      <c r="AJ571" s="414" t="s">
        <v>13154</v>
      </c>
      <c r="AK571" s="291" t="s">
        <v>12273</v>
      </c>
      <c r="AL571" s="297" t="s">
        <v>12274</v>
      </c>
      <c r="AM571" s="414" t="s">
        <v>13154</v>
      </c>
      <c r="AN571" s="303" t="s">
        <v>12199</v>
      </c>
      <c r="AO571" s="304" t="s">
        <v>12200</v>
      </c>
      <c r="AP571" s="304" t="s">
        <v>12201</v>
      </c>
      <c r="AQ571" s="304" t="s">
        <v>12202</v>
      </c>
      <c r="AR571" s="304" t="s">
        <v>12203</v>
      </c>
      <c r="AS571" s="304" t="s">
        <v>12204</v>
      </c>
      <c r="AT571" s="304" t="s">
        <v>12205</v>
      </c>
      <c r="AU571" s="305" t="s">
        <v>12206</v>
      </c>
      <c r="AV571" s="468"/>
      <c r="AW571" s="282" t="s">
        <v>12276</v>
      </c>
      <c r="AX571" s="282" t="s">
        <v>12280</v>
      </c>
      <c r="AY571" s="283" t="s">
        <v>12199</v>
      </c>
      <c r="AZ571" s="283" t="s">
        <v>12200</v>
      </c>
      <c r="BA571" s="283" t="s">
        <v>12201</v>
      </c>
      <c r="BB571" s="283" t="s">
        <v>12202</v>
      </c>
      <c r="BC571" s="283" t="s">
        <v>12203</v>
      </c>
      <c r="BD571" s="283" t="s">
        <v>12204</v>
      </c>
      <c r="BE571" s="283" t="s">
        <v>12205</v>
      </c>
      <c r="BF571" s="300" t="s">
        <v>12206</v>
      </c>
    </row>
    <row r="572" spans="1:58" ht="12" thickBot="1" x14ac:dyDescent="0.25">
      <c r="A572" s="505" t="s">
        <v>12263</v>
      </c>
      <c r="B572" s="62" t="s">
        <v>12216</v>
      </c>
      <c r="C572" s="62"/>
      <c r="D572" s="62"/>
      <c r="E572" s="345" t="s">
        <v>8200</v>
      </c>
      <c r="F572" s="345" t="s">
        <v>8694</v>
      </c>
      <c r="G572" s="113">
        <v>0</v>
      </c>
      <c r="H572" s="113">
        <v>3</v>
      </c>
      <c r="I572" s="114"/>
      <c r="J572" s="114"/>
      <c r="K572" s="114"/>
      <c r="L572" s="81"/>
      <c r="M572" s="265" t="b">
        <f>NOT(ISERROR(ResultsInd[[#This Row],[Goal-A]]+ResultsInd[[#This Row],[Goal-B]]))</f>
        <v>1</v>
      </c>
      <c r="N572" s="265">
        <f>VALUE(ResultsInd[[#This Row],[Score-A]])</f>
        <v>0</v>
      </c>
      <c r="O572" s="265">
        <f>VALUE(ResultsInd[[#This Row],[Score-B]])</f>
        <v>3</v>
      </c>
      <c r="P572" s="265" t="e">
        <f ca="1">IF(AND(ResultsInd[[#This Row],[Category]]&lt;&gt;"",ResultsInd[[#This Row],[Player A]]&lt;&gt;""),COUNTIF(INDIRECT(ResultsInd[[#This Row],[Category]]&amp;"List[Retained Player Name]"),ResultsInd[[#This Row],[Player A]]),"")</f>
        <v>#REF!</v>
      </c>
      <c r="Q572" s="265" t="e">
        <f ca="1">IF(AND(ResultsInd[[#This Row],[Category]]&lt;&gt;"",ResultsInd[[#This Row],[Player B]]&lt;&gt;""),COUNTIF(INDIRECT(ResultsInd[[#This Row],[Category]]&amp;"List[Retained Player Name]"),ResultsInd[[#This Row],[Player B]]),"")</f>
        <v>#REF!</v>
      </c>
      <c r="R5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2" s="265" t="str">
        <f>IF(ResultsInd[[#This Row],[Score_OK]],IF(ResultsInd[[#This Row],[Stage]]="Groups",ResultsInd[[#This Row],[Category]]&amp;"-"&amp;IF(ResultsInd[[#This Row],[Player B]]="","",IF(ResultsInd[[#This Row],[Score-A]]=ResultsInd[[#This Row],[Score-B]],ResultsInd[[#This Row],[Player A]],"")),""),"")</f>
        <v/>
      </c>
      <c r="T572" s="265" t="str">
        <f>IF(ResultsInd[[#This Row],[Score_OK]],IF(ResultsInd[[#This Row],[Stage]]="Groups",ResultsInd[[#This Row],[Category]]&amp;"-"&amp;IF(ResultsInd[[#This Row],[Player B]]="","",IF(ResultsInd[[#This Row],[Score-A]]=ResultsInd[[#This Row],[Score-B]],ResultsInd[[#This Row],[Player B]],"")),""),"")</f>
        <v/>
      </c>
      <c r="U5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CONSOLATION-Mathieu Crasset</v>
      </c>
      <c r="W57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2" s="264" t="e">
        <f>IF(ResultsInd[[#This Row],[Category]]="","",VLOOKUP(ResultsInd[[#This Row],[Stage]],$P$1:$V$9,MATCH(ResultsInd[[#This Row],[Category]],$Q$1:$V$1,0)+1,FALSE))</f>
        <v>#N/A</v>
      </c>
      <c r="Z572" s="264" t="e">
        <f>IF(ResultsInd[[#This Row],[Score_OK]],IF(ResultsInd[[#This Row],[Level]]="R",ResultsInd[[#This Row],[Category]]&amp;"-"&amp;IF(ResultsInd[[#This Row],[LoseInKO]]=ResultsInd[[#This Row],[Category]]&amp;"-"&amp;ResultsInd[[#This Row],[Player A]],ResultsInd[[#This Row],[Player B]],ResultsInd[[#This Row],[Player A]]),""),"")</f>
        <v>#N/A</v>
      </c>
      <c r="AB572" s="8"/>
      <c r="AC572" s="12" t="str">
        <f>IF(AC571="","",AC571)</f>
        <v/>
      </c>
      <c r="AD572" s="309"/>
      <c r="AE572" s="320"/>
      <c r="AF572" s="311"/>
      <c r="AG572" s="292" t="str">
        <f>IF(AP572="","",SMALL(AH572:AH578,ROWS(AG572:AG572)))</f>
        <v/>
      </c>
      <c r="AH572" s="293" t="str">
        <f>IF(AP572="","",RANK(AL572,AL572:AL578)*1000+ROWS(AH572:AH572))</f>
        <v/>
      </c>
      <c r="AI572" s="316" t="str">
        <f t="shared" ref="AI572:AI578" si="497">IF(AP572="","",CritClassInd1_Points*AN572+CritClassInd1_Matches*AP572+CritClassInd1_Attaque*AS572+CritClassInd1_DiffButs*AU572)</f>
        <v/>
      </c>
      <c r="AJ572" s="415" t="b">
        <f>AND(AO572&lt;&gt;"",AO572&gt;0,COUNTIF(AI572:AI578,AI572)&gt;1)</f>
        <v>0</v>
      </c>
      <c r="AK572" s="316" t="str">
        <f t="shared" ref="AK572:AK578" si="498">IF(AP572="","",CritClassInd_ScorePart*AE572)</f>
        <v/>
      </c>
      <c r="AL572" s="317" t="str">
        <f t="shared" ref="AL572:AL578" si="499">IF(AP572="","",AI572+AK572+CritClassInd2_Points*AN572+CritClassInd2_Matches*AP572+CritClassInd2_Attaque*AS572+CritClassInd2_DiffButs*AU572+AF572)</f>
        <v/>
      </c>
      <c r="AM572" s="415" t="b">
        <f>AND(AO572&lt;&gt;"",AO572&gt;0,COUNTIF(AL572:AL578,AL572)&gt;1)</f>
        <v>0</v>
      </c>
      <c r="AN572" s="306" t="str">
        <f t="shared" ref="AN572:AN578" si="500">IF(AP572="","",(AP572*Points_Victoire)+AQ572*Points_Null)</f>
        <v/>
      </c>
      <c r="AO572" s="307" t="str">
        <f t="shared" ref="AO572:AO578" si="501">IF(AP572="","",SUM(AP572:AR572))</f>
        <v/>
      </c>
      <c r="AP572" s="307" t="str">
        <f>IF(OR(AC571="",AD572=""),"",COUNTIF(ResultsInd[Win],AC571&amp;"-"&amp;AD572))</f>
        <v/>
      </c>
      <c r="AQ572" s="307" t="str">
        <f>IF(OR(AC571="",AD572=""),"",COUNTIF(ResultsInd[Draw1],AC571&amp;"-"&amp;AD572)+COUNTIF(ResultsInd[Draw2],AC571&amp;"-"&amp;AD572))</f>
        <v/>
      </c>
      <c r="AR572" s="307" t="str">
        <f>IF(OR(AC571="",AD572=""),"",COUNTIF(ResultsInd[Lose],AC571&amp;"-"&amp;AD572))</f>
        <v/>
      </c>
      <c r="AS572" s="307" t="str">
        <f>IF(OR(AC571="",AD572=""),"",SUMIFS(ResultsInd[Goal-A],ResultsInd[Category],AC571,ResultsInd[Stage],"Groups",ResultsInd[Player A],AD572)+SUMIFS(ResultsInd[Goal-B],ResultsInd[Category],AC571,ResultsInd[Stage],"Groups",ResultsInd[Player B],AD572))</f>
        <v/>
      </c>
      <c r="AT572" s="307" t="str">
        <f>IF(OR(AC571="",AD572=""),"",SUMIFS(ResultsInd[Goal-B],ResultsInd[Category],AC571,ResultsInd[Stage],"Groups",ResultsInd[Player A],AD572)+SUMIFS(ResultsInd[Goal-A],ResultsInd[Category],AC571,ResultsInd[Stage],"Groups",ResultsInd[Player B],AD572))</f>
        <v/>
      </c>
      <c r="AU572" s="308" t="str">
        <f>IF(AP572="","",AS572-AT572)</f>
        <v/>
      </c>
      <c r="AV572" s="469" t="str">
        <f>IF(AG572="","",OR(VLOOKUP(AG572,AH572:AU578,3,FALSE),VLOOKUP(AG572,AH572:AU578,6,FALSE)))</f>
        <v/>
      </c>
      <c r="AW572" s="298" t="str">
        <f t="shared" ref="AW572:AW578" si="502">IF(AG572="","",INT(AG572/1000))</f>
        <v/>
      </c>
      <c r="AX572" s="285" t="str">
        <f>IF(AG572="","",INDEX(AD572:AD578,MATCH(AG572,AH572:AH578,0)))</f>
        <v/>
      </c>
      <c r="AY572" s="286" t="str">
        <f>IF(AG572="","",VLOOKUP(AG572,AH572:AU578,COLUMN()-COLUMN(AR571),FALSE))</f>
        <v/>
      </c>
      <c r="AZ572" s="286" t="str">
        <f>IF(AG572="","",VLOOKUP(AG572,AH572:AU578,COLUMN()-COLUMN(AR571),FALSE))</f>
        <v/>
      </c>
      <c r="BA572" s="286" t="str">
        <f>IF(AG572="","",VLOOKUP(AG572,AH572:AU578,COLUMN()-COLUMN(AR571),FALSE))</f>
        <v/>
      </c>
      <c r="BB572" s="286" t="str">
        <f>IF(AG572="","",VLOOKUP(AG572,AH572:AU578,COLUMN()-COLUMN(AR571),FALSE))</f>
        <v/>
      </c>
      <c r="BC572" s="286" t="str">
        <f>IF(AG572="","",VLOOKUP(AG572,AH572:AU578,COLUMN()-COLUMN(AR571),FALSE))</f>
        <v/>
      </c>
      <c r="BD572" s="286" t="str">
        <f>IF(AG572="","",VLOOKUP(AG572,AH572:AU578,COLUMN()-COLUMN(AR571),FALSE))</f>
        <v/>
      </c>
      <c r="BE572" s="286" t="str">
        <f>IF(AG572="","",VLOOKUP(AG572,AH572:AU578,COLUMN()-COLUMN(AR571),FALSE))</f>
        <v/>
      </c>
      <c r="BF572" s="301" t="str">
        <f>IF(AG572="","",VLOOKUP(AG572,AH572:AU578,COLUMN()-COLUMN(AR571),FALSE))</f>
        <v/>
      </c>
    </row>
    <row r="573" spans="1:58" ht="12" thickBot="1" x14ac:dyDescent="0.25">
      <c r="A573" s="505" t="s">
        <v>12263</v>
      </c>
      <c r="B573" s="62" t="s">
        <v>12216</v>
      </c>
      <c r="C573" s="62"/>
      <c r="D573" s="62"/>
      <c r="E573" s="345" t="s">
        <v>8549</v>
      </c>
      <c r="F573" s="345" t="s">
        <v>8083</v>
      </c>
      <c r="G573" s="113">
        <v>3</v>
      </c>
      <c r="H573" s="113">
        <v>3</v>
      </c>
      <c r="I573" s="114"/>
      <c r="J573" s="114">
        <v>2</v>
      </c>
      <c r="K573" s="114">
        <v>3</v>
      </c>
      <c r="L573" s="81"/>
      <c r="M573" s="265" t="b">
        <f>NOT(ISERROR(ResultsInd[[#This Row],[Goal-A]]+ResultsInd[[#This Row],[Goal-B]]))</f>
        <v>1</v>
      </c>
      <c r="N573" s="265">
        <f>VALUE(ResultsInd[[#This Row],[Score-A]])</f>
        <v>3</v>
      </c>
      <c r="O573" s="265">
        <f>VALUE(ResultsInd[[#This Row],[Score-B]])</f>
        <v>3</v>
      </c>
      <c r="P573" s="265" t="e">
        <f ca="1">IF(AND(ResultsInd[[#This Row],[Category]]&lt;&gt;"",ResultsInd[[#This Row],[Player A]]&lt;&gt;""),COUNTIF(INDIRECT(ResultsInd[[#This Row],[Category]]&amp;"List[Retained Player Name]"),ResultsInd[[#This Row],[Player A]]),"")</f>
        <v>#REF!</v>
      </c>
      <c r="Q573" s="265" t="e">
        <f ca="1">IF(AND(ResultsInd[[#This Row],[Category]]&lt;&gt;"",ResultsInd[[#This Row],[Player B]]&lt;&gt;""),COUNTIF(INDIRECT(ResultsInd[[#This Row],[Category]]&amp;"List[Retained Player Name]"),ResultsInd[[#This Row],[Player B]]),"")</f>
        <v>#REF!</v>
      </c>
      <c r="R5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3" s="265" t="str">
        <f>IF(ResultsInd[[#This Row],[Score_OK]],IF(ResultsInd[[#This Row],[Stage]]="Groups",ResultsInd[[#This Row],[Category]]&amp;"-"&amp;IF(ResultsInd[[#This Row],[Player B]]="","",IF(ResultsInd[[#This Row],[Score-A]]=ResultsInd[[#This Row],[Score-B]],ResultsInd[[#This Row],[Player A]],"")),""),"")</f>
        <v/>
      </c>
      <c r="T573" s="265" t="str">
        <f>IF(ResultsInd[[#This Row],[Score_OK]],IF(ResultsInd[[#This Row],[Stage]]="Groups",ResultsInd[[#This Row],[Category]]&amp;"-"&amp;IF(ResultsInd[[#This Row],[Player B]]="","",IF(ResultsInd[[#This Row],[Score-A]]=ResultsInd[[#This Row],[Score-B]],ResultsInd[[#This Row],[Player B]],"")),""),"")</f>
        <v/>
      </c>
      <c r="U5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CONSOLATION-Mick Hammonds</v>
      </c>
      <c r="W57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3" s="264" t="e">
        <f>IF(ResultsInd[[#This Row],[Category]]="","",VLOOKUP(ResultsInd[[#This Row],[Stage]],$P$1:$V$9,MATCH(ResultsInd[[#This Row],[Category]],$Q$1:$V$1,0)+1,FALSE))</f>
        <v>#N/A</v>
      </c>
      <c r="Z573" s="264" t="e">
        <f>IF(ResultsInd[[#This Row],[Score_OK]],IF(ResultsInd[[#This Row],[Level]]="R",ResultsInd[[#This Row],[Category]]&amp;"-"&amp;IF(ResultsInd[[#This Row],[LoseInKO]]=ResultsInd[[#This Row],[Category]]&amp;"-"&amp;ResultsInd[[#This Row],[Player A]],ResultsInd[[#This Row],[Player B]],ResultsInd[[#This Row],[Player A]]),""),"")</f>
        <v>#N/A</v>
      </c>
      <c r="AB573" s="8"/>
      <c r="AC573" s="12" t="str">
        <f t="shared" ref="AC573:AC578" si="503">IF(AC572="","",AC572)</f>
        <v/>
      </c>
      <c r="AD573" s="309"/>
      <c r="AE573" s="320"/>
      <c r="AF573" s="311"/>
      <c r="AG573" s="292" t="str">
        <f>IF(AP573="","",SMALL(AH572:AH578,ROWS(AG572:AG573)))</f>
        <v/>
      </c>
      <c r="AH573" s="293" t="str">
        <f>IF(AP573="","",RANK(AL573,AL572:AL578)*1000+ROWS(AH572:AH573))</f>
        <v/>
      </c>
      <c r="AI573" s="316" t="str">
        <f t="shared" si="497"/>
        <v/>
      </c>
      <c r="AJ573" s="415" t="b">
        <f>AND(AO573&lt;&gt;"",AO573&gt;0,COUNTIF(AI572:AI578,AI573)&gt;1)</f>
        <v>0</v>
      </c>
      <c r="AK573" s="316" t="str">
        <f t="shared" si="498"/>
        <v/>
      </c>
      <c r="AL573" s="317" t="str">
        <f t="shared" si="499"/>
        <v/>
      </c>
      <c r="AM573" s="415" t="b">
        <f>AND(AO573&lt;&gt;"",AO573&gt;0,COUNTIF(AL572:AL578,AL573)&gt;1)</f>
        <v>0</v>
      </c>
      <c r="AN573" s="306" t="str">
        <f t="shared" si="500"/>
        <v/>
      </c>
      <c r="AO573" s="307" t="str">
        <f t="shared" si="501"/>
        <v/>
      </c>
      <c r="AP573" s="307" t="str">
        <f>IF(OR(AC571="",AD573=""),"",COUNTIF(ResultsInd[Win],AC571&amp;"-"&amp;AD573))</f>
        <v/>
      </c>
      <c r="AQ573" s="307" t="str">
        <f>IF(OR(AC571="",AD573=""),"",COUNTIF(ResultsInd[Draw1],AC571&amp;"-"&amp;AD573)+COUNTIF(ResultsInd[Draw2],AC571&amp;"-"&amp;AD573))</f>
        <v/>
      </c>
      <c r="AR573" s="307" t="str">
        <f>IF(OR(AC571="",AD573=""),"",COUNTIF(ResultsInd[Lose],AC571&amp;"-"&amp;AD573))</f>
        <v/>
      </c>
      <c r="AS573" s="307" t="str">
        <f>IF(OR(AC571="",AD573=""),"",SUMIFS(ResultsInd[Goal-A],ResultsInd[Category],AC571,ResultsInd[Stage],"Groups",ResultsInd[Player A],AD573)+SUMIFS(ResultsInd[Goal-B],ResultsInd[Category],AC571,ResultsInd[Stage],"Groups",ResultsInd[Player B],AD573))</f>
        <v/>
      </c>
      <c r="AT573" s="307" t="str">
        <f>IF(OR(AC571="",AD573=""),"",SUMIFS(ResultsInd[Goal-B],ResultsInd[Category],AC571,ResultsInd[Stage],"Groups",ResultsInd[Player A],AD573)+SUMIFS(ResultsInd[Goal-A],ResultsInd[Category],AC571,ResultsInd[Stage],"Groups",ResultsInd[Player B],AD573))</f>
        <v/>
      </c>
      <c r="AU573" s="308" t="str">
        <f t="shared" ref="AU573:AU578" si="504">IF(AP573="","",AS573-AT573)</f>
        <v/>
      </c>
      <c r="AV573" s="469" t="str">
        <f>IF(AG573="","",OR(VLOOKUP(AG573,AH572:AU578,3,FALSE),VLOOKUP(AG573,AH572:AU578,6,FALSE)))</f>
        <v/>
      </c>
      <c r="AW573" s="298" t="str">
        <f t="shared" si="502"/>
        <v/>
      </c>
      <c r="AX573" s="285" t="str">
        <f>IF(AG573="","",INDEX(AD572:AD578,MATCH(AG573,AH572:AH578,0)))</f>
        <v/>
      </c>
      <c r="AY573" s="286" t="str">
        <f>IF(AG573="","",VLOOKUP(AG573,AH572:AU578,COLUMN()-COLUMN(AR571),FALSE))</f>
        <v/>
      </c>
      <c r="AZ573" s="286" t="str">
        <f>IF(AG573="","",VLOOKUP(AG573,AH572:AU578,COLUMN()-COLUMN(AR571),FALSE))</f>
        <v/>
      </c>
      <c r="BA573" s="286" t="str">
        <f>IF(AG573="","",VLOOKUP(AG573,AH572:AU578,COLUMN()-COLUMN(AR571),FALSE))</f>
        <v/>
      </c>
      <c r="BB573" s="286" t="str">
        <f>IF(AG573="","",VLOOKUP(AG573,AH572:AU578,COLUMN()-COLUMN(AR571),FALSE))</f>
        <v/>
      </c>
      <c r="BC573" s="286" t="str">
        <f>IF(AG573="","",VLOOKUP(AG573,AH572:AU578,COLUMN()-COLUMN(AR571),FALSE))</f>
        <v/>
      </c>
      <c r="BD573" s="286" t="str">
        <f>IF(AG573="","",VLOOKUP(AG573,AH572:AU578,COLUMN()-COLUMN(AR571),FALSE))</f>
        <v/>
      </c>
      <c r="BE573" s="286" t="str">
        <f>IF(AG573="","",VLOOKUP(AG573,AH572:AU578,COLUMN()-COLUMN(AR571),FALSE))</f>
        <v/>
      </c>
      <c r="BF573" s="301" t="str">
        <f>IF(AG573="","",VLOOKUP(AG573,AH572:AU578,COLUMN()-COLUMN(AR571),FALSE))</f>
        <v/>
      </c>
    </row>
    <row r="574" spans="1:58" ht="12" thickBot="1" x14ac:dyDescent="0.25">
      <c r="A574" s="505" t="s">
        <v>12263</v>
      </c>
      <c r="B574" s="62" t="s">
        <v>12216</v>
      </c>
      <c r="C574" s="62"/>
      <c r="D574" s="62"/>
      <c r="E574" s="345" t="s">
        <v>10786</v>
      </c>
      <c r="F574" s="345" t="s">
        <v>10216</v>
      </c>
      <c r="G574" s="113">
        <v>0</v>
      </c>
      <c r="H574" s="113">
        <v>0</v>
      </c>
      <c r="I574" s="114"/>
      <c r="J574" s="114">
        <v>2</v>
      </c>
      <c r="K574" s="114">
        <v>1</v>
      </c>
      <c r="L574" s="81"/>
      <c r="M574" s="265" t="b">
        <f>NOT(ISERROR(ResultsInd[[#This Row],[Goal-A]]+ResultsInd[[#This Row],[Goal-B]]))</f>
        <v>1</v>
      </c>
      <c r="N574" s="265">
        <f>VALUE(ResultsInd[[#This Row],[Score-A]])</f>
        <v>0</v>
      </c>
      <c r="O574" s="265">
        <f>VALUE(ResultsInd[[#This Row],[Score-B]])</f>
        <v>0</v>
      </c>
      <c r="P574" s="265" t="e">
        <f ca="1">IF(AND(ResultsInd[[#This Row],[Category]]&lt;&gt;"",ResultsInd[[#This Row],[Player A]]&lt;&gt;""),COUNTIF(INDIRECT(ResultsInd[[#This Row],[Category]]&amp;"List[Retained Player Name]"),ResultsInd[[#This Row],[Player A]]),"")</f>
        <v>#REF!</v>
      </c>
      <c r="Q574" s="265" t="e">
        <f ca="1">IF(AND(ResultsInd[[#This Row],[Category]]&lt;&gt;"",ResultsInd[[#This Row],[Player B]]&lt;&gt;""),COUNTIF(INDIRECT(ResultsInd[[#This Row],[Category]]&amp;"List[Retained Player Name]"),ResultsInd[[#This Row],[Player B]]),"")</f>
        <v>#REF!</v>
      </c>
      <c r="R5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4" s="265" t="str">
        <f>IF(ResultsInd[[#This Row],[Score_OK]],IF(ResultsInd[[#This Row],[Stage]]="Groups",ResultsInd[[#This Row],[Category]]&amp;"-"&amp;IF(ResultsInd[[#This Row],[Player B]]="","",IF(ResultsInd[[#This Row],[Score-A]]=ResultsInd[[#This Row],[Score-B]],ResultsInd[[#This Row],[Player A]],"")),""),"")</f>
        <v/>
      </c>
      <c r="T574" s="265" t="str">
        <f>IF(ResultsInd[[#This Row],[Score_OK]],IF(ResultsInd[[#This Row],[Stage]]="Groups",ResultsInd[[#This Row],[Category]]&amp;"-"&amp;IF(ResultsInd[[#This Row],[Player B]]="","",IF(ResultsInd[[#This Row],[Score-A]]=ResultsInd[[#This Row],[Score-B]],ResultsInd[[#This Row],[Player B]],"")),""),"")</f>
        <v/>
      </c>
      <c r="U5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CONSOLATION-Fabrizio Cavazza</v>
      </c>
      <c r="W57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4" s="264" t="e">
        <f>IF(ResultsInd[[#This Row],[Category]]="","",VLOOKUP(ResultsInd[[#This Row],[Stage]],$P$1:$V$9,MATCH(ResultsInd[[#This Row],[Category]],$Q$1:$V$1,0)+1,FALSE))</f>
        <v>#N/A</v>
      </c>
      <c r="Z574" s="264" t="e">
        <f>IF(ResultsInd[[#This Row],[Score_OK]],IF(ResultsInd[[#This Row],[Level]]="R",ResultsInd[[#This Row],[Category]]&amp;"-"&amp;IF(ResultsInd[[#This Row],[LoseInKO]]=ResultsInd[[#This Row],[Category]]&amp;"-"&amp;ResultsInd[[#This Row],[Player A]],ResultsInd[[#This Row],[Player B]],ResultsInd[[#This Row],[Player A]]),""),"")</f>
        <v>#N/A</v>
      </c>
      <c r="AB574" s="8"/>
      <c r="AC574" s="12" t="str">
        <f t="shared" si="503"/>
        <v/>
      </c>
      <c r="AD574" s="309"/>
      <c r="AE574" s="320"/>
      <c r="AF574" s="311"/>
      <c r="AG574" s="292" t="str">
        <f>IF(AP574="","",SMALL(AH572:AH578,ROWS(AG572:AG574)))</f>
        <v/>
      </c>
      <c r="AH574" s="293" t="str">
        <f>IF(AP574="","",RANK(AL574,AL572:AL578)*1000+ROWS(AH572:AH574))</f>
        <v/>
      </c>
      <c r="AI574" s="316" t="str">
        <f t="shared" si="497"/>
        <v/>
      </c>
      <c r="AJ574" s="415" t="b">
        <f>AND(AO574&lt;&gt;"",AO574&gt;0,COUNTIF(AI572:AI578,AI574)&gt;1)</f>
        <v>0</v>
      </c>
      <c r="AK574" s="316" t="str">
        <f t="shared" si="498"/>
        <v/>
      </c>
      <c r="AL574" s="317" t="str">
        <f t="shared" si="499"/>
        <v/>
      </c>
      <c r="AM574" s="415" t="b">
        <f>AND(AO574&lt;&gt;"",AO574&gt;0,COUNTIF(AL572:AL578,AL574)&gt;1)</f>
        <v>0</v>
      </c>
      <c r="AN574" s="306" t="str">
        <f t="shared" si="500"/>
        <v/>
      </c>
      <c r="AO574" s="307" t="str">
        <f t="shared" si="501"/>
        <v/>
      </c>
      <c r="AP574" s="307" t="str">
        <f>IF(OR(AC571="",AD574=""),"",COUNTIF(ResultsInd[Win],AC571&amp;"-"&amp;AD574))</f>
        <v/>
      </c>
      <c r="AQ574" s="307" t="str">
        <f>IF(OR(AC571="",AD574=""),"",COUNTIF(ResultsInd[Draw1],AC571&amp;"-"&amp;AD574)+COUNTIF(ResultsInd[Draw2],AC571&amp;"-"&amp;AD574))</f>
        <v/>
      </c>
      <c r="AR574" s="307" t="str">
        <f>IF(OR(AC571="",AD574=""),"",COUNTIF(ResultsInd[Lose],AC571&amp;"-"&amp;AD574))</f>
        <v/>
      </c>
      <c r="AS574" s="307" t="str">
        <f>IF(OR(AC571="",AD574=""),"",SUMIFS(ResultsInd[Goal-A],ResultsInd[Category],AC571,ResultsInd[Stage],"Groups",ResultsInd[Player A],AD574)+SUMIFS(ResultsInd[Goal-B],ResultsInd[Category],AC571,ResultsInd[Stage],"Groups",ResultsInd[Player B],AD574))</f>
        <v/>
      </c>
      <c r="AT574" s="307" t="str">
        <f>IF(OR(AC571="",AD574=""),"",SUMIFS(ResultsInd[Goal-B],ResultsInd[Category],AC571,ResultsInd[Stage],"Groups",ResultsInd[Player A],AD574)+SUMIFS(ResultsInd[Goal-A],ResultsInd[Category],AC571,ResultsInd[Stage],"Groups",ResultsInd[Player B],AD574))</f>
        <v/>
      </c>
      <c r="AU574" s="308" t="str">
        <f t="shared" si="504"/>
        <v/>
      </c>
      <c r="AV574" s="469" t="str">
        <f>IF(AG574="","",OR(VLOOKUP(AG574,AH572:AU578,3,FALSE),VLOOKUP(AG574,AH572:AU578,6,FALSE)))</f>
        <v/>
      </c>
      <c r="AW574" s="298" t="str">
        <f t="shared" si="502"/>
        <v/>
      </c>
      <c r="AX574" s="285" t="str">
        <f>IF(AG574="","",INDEX(AD572:AD578,MATCH(AG574,AH572:AH578,0)))</f>
        <v/>
      </c>
      <c r="AY574" s="286" t="str">
        <f>IF(AG574="","",VLOOKUP(AG574,AH572:AU578,COLUMN()-COLUMN(AR571),FALSE))</f>
        <v/>
      </c>
      <c r="AZ574" s="286" t="str">
        <f>IF(AG574="","",VLOOKUP(AG574,AH572:AU578,COLUMN()-COLUMN(AR571),FALSE))</f>
        <v/>
      </c>
      <c r="BA574" s="286" t="str">
        <f>IF(AG574="","",VLOOKUP(AG574,AH572:AU578,COLUMN()-COLUMN(AR571),FALSE))</f>
        <v/>
      </c>
      <c r="BB574" s="286" t="str">
        <f>IF(AG574="","",VLOOKUP(AG574,AH572:AU578,COLUMN()-COLUMN(AR571),FALSE))</f>
        <v/>
      </c>
      <c r="BC574" s="286" t="str">
        <f>IF(AG574="","",VLOOKUP(AG574,AH572:AU578,COLUMN()-COLUMN(AR571),FALSE))</f>
        <v/>
      </c>
      <c r="BD574" s="286" t="str">
        <f>IF(AG574="","",VLOOKUP(AG574,AH572:AU578,COLUMN()-COLUMN(AR571),FALSE))</f>
        <v/>
      </c>
      <c r="BE574" s="286" t="str">
        <f>IF(AG574="","",VLOOKUP(AG574,AH572:AU578,COLUMN()-COLUMN(AR571),FALSE))</f>
        <v/>
      </c>
      <c r="BF574" s="301" t="str">
        <f>IF(AG574="","",VLOOKUP(AG574,AH572:AU578,COLUMN()-COLUMN(AR571),FALSE))</f>
        <v/>
      </c>
    </row>
    <row r="575" spans="1:58" ht="12" thickBot="1" x14ac:dyDescent="0.25">
      <c r="A575" s="505" t="s">
        <v>12263</v>
      </c>
      <c r="B575" s="62" t="s">
        <v>12216</v>
      </c>
      <c r="C575" s="62"/>
      <c r="D575" s="62"/>
      <c r="E575" s="345" t="s">
        <v>8109</v>
      </c>
      <c r="F575" s="345" t="s">
        <v>10281</v>
      </c>
      <c r="G575" s="113">
        <v>3</v>
      </c>
      <c r="H575" s="113">
        <v>3</v>
      </c>
      <c r="I575" s="114"/>
      <c r="J575" s="114">
        <v>3</v>
      </c>
      <c r="K575" s="114">
        <v>2</v>
      </c>
      <c r="L575" s="81"/>
      <c r="M575" s="265" t="b">
        <f>NOT(ISERROR(ResultsInd[[#This Row],[Goal-A]]+ResultsInd[[#This Row],[Goal-B]]))</f>
        <v>1</v>
      </c>
      <c r="N575" s="265">
        <f>VALUE(ResultsInd[[#This Row],[Score-A]])</f>
        <v>3</v>
      </c>
      <c r="O575" s="265">
        <f>VALUE(ResultsInd[[#This Row],[Score-B]])</f>
        <v>3</v>
      </c>
      <c r="P575" s="265" t="e">
        <f ca="1">IF(AND(ResultsInd[[#This Row],[Category]]&lt;&gt;"",ResultsInd[[#This Row],[Player A]]&lt;&gt;""),COUNTIF(INDIRECT(ResultsInd[[#This Row],[Category]]&amp;"List[Retained Player Name]"),ResultsInd[[#This Row],[Player A]]),"")</f>
        <v>#REF!</v>
      </c>
      <c r="Q575" s="265" t="e">
        <f ca="1">IF(AND(ResultsInd[[#This Row],[Category]]&lt;&gt;"",ResultsInd[[#This Row],[Player B]]&lt;&gt;""),COUNTIF(INDIRECT(ResultsInd[[#This Row],[Category]]&amp;"List[Retained Player Name]"),ResultsInd[[#This Row],[Player B]]),"")</f>
        <v>#REF!</v>
      </c>
      <c r="R5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5" s="265" t="str">
        <f>IF(ResultsInd[[#This Row],[Score_OK]],IF(ResultsInd[[#This Row],[Stage]]="Groups",ResultsInd[[#This Row],[Category]]&amp;"-"&amp;IF(ResultsInd[[#This Row],[Player B]]="","",IF(ResultsInd[[#This Row],[Score-A]]=ResultsInd[[#This Row],[Score-B]],ResultsInd[[#This Row],[Player A]],"")),""),"")</f>
        <v/>
      </c>
      <c r="T575" s="265" t="str">
        <f>IF(ResultsInd[[#This Row],[Score_OK]],IF(ResultsInd[[#This Row],[Stage]]="Groups",ResultsInd[[#This Row],[Category]]&amp;"-"&amp;IF(ResultsInd[[#This Row],[Player B]]="","",IF(ResultsInd[[#This Row],[Score-A]]=ResultsInd[[#This Row],[Score-B]],ResultsInd[[#This Row],[Player B]],"")),""),"")</f>
        <v/>
      </c>
      <c r="U5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CONSOLATION-Massimo Bolognino</v>
      </c>
      <c r="W57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5" s="264" t="e">
        <f>IF(ResultsInd[[#This Row],[Category]]="","",VLOOKUP(ResultsInd[[#This Row],[Stage]],$P$1:$V$9,MATCH(ResultsInd[[#This Row],[Category]],$Q$1:$V$1,0)+1,FALSE))</f>
        <v>#N/A</v>
      </c>
      <c r="Z575" s="264" t="e">
        <f>IF(ResultsInd[[#This Row],[Score_OK]],IF(ResultsInd[[#This Row],[Level]]="R",ResultsInd[[#This Row],[Category]]&amp;"-"&amp;IF(ResultsInd[[#This Row],[LoseInKO]]=ResultsInd[[#This Row],[Category]]&amp;"-"&amp;ResultsInd[[#This Row],[Player A]],ResultsInd[[#This Row],[Player B]],ResultsInd[[#This Row],[Player A]]),""),"")</f>
        <v>#N/A</v>
      </c>
      <c r="AB575" s="91"/>
      <c r="AC575" s="12" t="str">
        <f t="shared" si="503"/>
        <v/>
      </c>
      <c r="AD575" s="309"/>
      <c r="AE575" s="310"/>
      <c r="AF575" s="311"/>
      <c r="AG575" s="292" t="str">
        <f>IF(AP575="","",SMALL(AH572:AH578,ROWS(AG572:AG575)))</f>
        <v/>
      </c>
      <c r="AH575" s="293" t="str">
        <f>IF(AP575="","",RANK(AL575,AL572:AL578)*1000+ROWS(AH572:AH575))</f>
        <v/>
      </c>
      <c r="AI575" s="316" t="str">
        <f t="shared" si="497"/>
        <v/>
      </c>
      <c r="AJ575" s="415" t="b">
        <f>AND(AO575&lt;&gt;"",AO575&gt;0,COUNTIF(AI572:AI578,AI575)&gt;1)</f>
        <v>0</v>
      </c>
      <c r="AK575" s="316" t="str">
        <f t="shared" si="498"/>
        <v/>
      </c>
      <c r="AL575" s="317" t="str">
        <f t="shared" si="499"/>
        <v/>
      </c>
      <c r="AM575" s="415" t="b">
        <f>AND(AO575&lt;&gt;"",AO575&gt;0,COUNTIF(AL572:AL578,AL575)&gt;1)</f>
        <v>0</v>
      </c>
      <c r="AN575" s="306" t="str">
        <f t="shared" si="500"/>
        <v/>
      </c>
      <c r="AO575" s="307" t="str">
        <f t="shared" si="501"/>
        <v/>
      </c>
      <c r="AP575" s="307" t="str">
        <f>IF(OR(AC571="",AD575=""),"",COUNTIF(ResultsInd[Win],AC571&amp;"-"&amp;AD575))</f>
        <v/>
      </c>
      <c r="AQ575" s="307" t="str">
        <f>IF(OR(AC571="",AD575=""),"",COUNTIF(ResultsInd[Draw1],AC571&amp;"-"&amp;AD575)+COUNTIF(ResultsInd[Draw2],AC571&amp;"-"&amp;AD575))</f>
        <v/>
      </c>
      <c r="AR575" s="307" t="str">
        <f>IF(OR(AC571="",AD575=""),"",COUNTIF(ResultsInd[Lose],AC571&amp;"-"&amp;AD575))</f>
        <v/>
      </c>
      <c r="AS575" s="307" t="str">
        <f>IF(OR(AC571="",AD575=""),"",SUMIFS(ResultsInd[Goal-A],ResultsInd[Category],AC571,ResultsInd[Stage],"Groups",ResultsInd[Player A],AD575)+SUMIFS(ResultsInd[Goal-B],ResultsInd[Category],AC571,ResultsInd[Stage],"Groups",ResultsInd[Player B],AD575))</f>
        <v/>
      </c>
      <c r="AT575" s="307" t="str">
        <f>IF(OR(AC571="",AD575=""),"",SUMIFS(ResultsInd[Goal-B],ResultsInd[Category],AC571,ResultsInd[Stage],"Groups",ResultsInd[Player A],AD575)+SUMIFS(ResultsInd[Goal-A],ResultsInd[Category],AC571,ResultsInd[Stage],"Groups",ResultsInd[Player B],AD575))</f>
        <v/>
      </c>
      <c r="AU575" s="308" t="str">
        <f t="shared" si="504"/>
        <v/>
      </c>
      <c r="AV575" s="469" t="str">
        <f>IF(AG575="","",OR(VLOOKUP(AG575,AH572:AU578,3,FALSE),VLOOKUP(AG575,AH572:AU578,6,FALSE)))</f>
        <v/>
      </c>
      <c r="AW575" s="298" t="str">
        <f t="shared" si="502"/>
        <v/>
      </c>
      <c r="AX575" s="285" t="str">
        <f>IF(AG575="","",INDEX(AD572:AD578,MATCH(AG575,AH572:AH578,0)))</f>
        <v/>
      </c>
      <c r="AY575" s="286" t="str">
        <f>IF(AG575="","",VLOOKUP(AG575,AH572:AU578,COLUMN()-COLUMN(AR571),FALSE))</f>
        <v/>
      </c>
      <c r="AZ575" s="286" t="str">
        <f>IF(AG575="","",VLOOKUP(AG575,AH572:AU578,COLUMN()-COLUMN(AR571),FALSE))</f>
        <v/>
      </c>
      <c r="BA575" s="286" t="str">
        <f>IF(AG575="","",VLOOKUP(AG575,AH572:AU578,COLUMN()-COLUMN(AR571),FALSE))</f>
        <v/>
      </c>
      <c r="BB575" s="286" t="str">
        <f>IF(AG575="","",VLOOKUP(AG575,AH572:AU578,COLUMN()-COLUMN(AR571),FALSE))</f>
        <v/>
      </c>
      <c r="BC575" s="286" t="str">
        <f>IF(AG575="","",VLOOKUP(AG575,AH572:AU578,COLUMN()-COLUMN(AR571),FALSE))</f>
        <v/>
      </c>
      <c r="BD575" s="286" t="str">
        <f>IF(AG575="","",VLOOKUP(AG575,AH572:AU578,COLUMN()-COLUMN(AR571),FALSE))</f>
        <v/>
      </c>
      <c r="BE575" s="286" t="str">
        <f>IF(AG575="","",VLOOKUP(AG575,AH572:AU578,COLUMN()-COLUMN(AR571),FALSE))</f>
        <v/>
      </c>
      <c r="BF575" s="301" t="str">
        <f>IF(AG575="","",VLOOKUP(AG575,AH572:AU578,COLUMN()-COLUMN(AR571),FALSE))</f>
        <v/>
      </c>
    </row>
    <row r="576" spans="1:58" ht="12" thickBot="1" x14ac:dyDescent="0.25">
      <c r="A576" s="505" t="s">
        <v>12263</v>
      </c>
      <c r="B576" s="62" t="s">
        <v>12216</v>
      </c>
      <c r="C576" s="62"/>
      <c r="D576" s="62"/>
      <c r="E576" s="345" t="s">
        <v>8100</v>
      </c>
      <c r="F576" s="345" t="s">
        <v>13241</v>
      </c>
      <c r="G576" s="113">
        <v>3</v>
      </c>
      <c r="H576" s="113">
        <v>3</v>
      </c>
      <c r="I576" s="114"/>
      <c r="J576" s="114">
        <v>1</v>
      </c>
      <c r="K576" s="114">
        <v>3</v>
      </c>
      <c r="L576" s="81"/>
      <c r="M576" s="265" t="b">
        <f>NOT(ISERROR(ResultsInd[[#This Row],[Goal-A]]+ResultsInd[[#This Row],[Goal-B]]))</f>
        <v>1</v>
      </c>
      <c r="N576" s="265">
        <f>VALUE(ResultsInd[[#This Row],[Score-A]])</f>
        <v>3</v>
      </c>
      <c r="O576" s="265">
        <f>VALUE(ResultsInd[[#This Row],[Score-B]])</f>
        <v>3</v>
      </c>
      <c r="P576" s="265" t="e">
        <f ca="1">IF(AND(ResultsInd[[#This Row],[Category]]&lt;&gt;"",ResultsInd[[#This Row],[Player A]]&lt;&gt;""),COUNTIF(INDIRECT(ResultsInd[[#This Row],[Category]]&amp;"List[Retained Player Name]"),ResultsInd[[#This Row],[Player A]]),"")</f>
        <v>#REF!</v>
      </c>
      <c r="Q576" s="265" t="e">
        <f ca="1">IF(AND(ResultsInd[[#This Row],[Category]]&lt;&gt;"",ResultsInd[[#This Row],[Player B]]&lt;&gt;""),COUNTIF(INDIRECT(ResultsInd[[#This Row],[Category]]&amp;"List[Retained Player Name]"),ResultsInd[[#This Row],[Player B]]),"")</f>
        <v>#REF!</v>
      </c>
      <c r="R5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6" s="265" t="str">
        <f>IF(ResultsInd[[#This Row],[Score_OK]],IF(ResultsInd[[#This Row],[Stage]]="Groups",ResultsInd[[#This Row],[Category]]&amp;"-"&amp;IF(ResultsInd[[#This Row],[Player B]]="","",IF(ResultsInd[[#This Row],[Score-A]]=ResultsInd[[#This Row],[Score-B]],ResultsInd[[#This Row],[Player A]],"")),""),"")</f>
        <v/>
      </c>
      <c r="T576" s="265" t="str">
        <f>IF(ResultsInd[[#This Row],[Score_OK]],IF(ResultsInd[[#This Row],[Stage]]="Groups",ResultsInd[[#This Row],[Category]]&amp;"-"&amp;IF(ResultsInd[[#This Row],[Player B]]="","",IF(ResultsInd[[#This Row],[Score-A]]=ResultsInd[[#This Row],[Score-B]],ResultsInd[[#This Row],[Player B]],"")),""),"")</f>
        <v/>
      </c>
      <c r="U5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CONSOLATION-Ralf Gregoire</v>
      </c>
      <c r="W57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6" s="264" t="e">
        <f>IF(ResultsInd[[#This Row],[Category]]="","",VLOOKUP(ResultsInd[[#This Row],[Stage]],$P$1:$V$9,MATCH(ResultsInd[[#This Row],[Category]],$Q$1:$V$1,0)+1,FALSE))</f>
        <v>#N/A</v>
      </c>
      <c r="Z576" s="264" t="e">
        <f>IF(ResultsInd[[#This Row],[Score_OK]],IF(ResultsInd[[#This Row],[Level]]="R",ResultsInd[[#This Row],[Category]]&amp;"-"&amp;IF(ResultsInd[[#This Row],[LoseInKO]]=ResultsInd[[#This Row],[Category]]&amp;"-"&amp;ResultsInd[[#This Row],[Player A]],ResultsInd[[#This Row],[Player B]],ResultsInd[[#This Row],[Player A]]),""),"")</f>
        <v>#N/A</v>
      </c>
      <c r="AB576" s="91"/>
      <c r="AC576" s="12" t="str">
        <f t="shared" si="503"/>
        <v/>
      </c>
      <c r="AD576" s="309"/>
      <c r="AE576" s="310"/>
      <c r="AF576" s="311"/>
      <c r="AG576" s="292" t="str">
        <f>IF(AP576="","",SMALL(AH572:AH578,ROWS(AG572:AG576)))</f>
        <v/>
      </c>
      <c r="AH576" s="293" t="str">
        <f>IF(AP576="","",RANK(AL576,AL572:AL578)*1000+ROWS(AH572:AH576))</f>
        <v/>
      </c>
      <c r="AI576" s="316" t="str">
        <f t="shared" si="497"/>
        <v/>
      </c>
      <c r="AJ576" s="415" t="b">
        <f>AND(AO576&lt;&gt;"",AO576&gt;0,COUNTIF(AI572:AI578,AI576)&gt;1)</f>
        <v>0</v>
      </c>
      <c r="AK576" s="316" t="str">
        <f t="shared" si="498"/>
        <v/>
      </c>
      <c r="AL576" s="317" t="str">
        <f t="shared" si="499"/>
        <v/>
      </c>
      <c r="AM576" s="415" t="b">
        <f>AND(AO576&lt;&gt;"",AO576&gt;0,COUNTIF(AL572:AL578,AL576)&gt;1)</f>
        <v>0</v>
      </c>
      <c r="AN576" s="306" t="str">
        <f t="shared" si="500"/>
        <v/>
      </c>
      <c r="AO576" s="307" t="str">
        <f t="shared" si="501"/>
        <v/>
      </c>
      <c r="AP576" s="307" t="str">
        <f>IF(OR(AC571="",AD576=""),"",COUNTIF(ResultsInd[Win],AC571&amp;"-"&amp;AD576))</f>
        <v/>
      </c>
      <c r="AQ576" s="307" t="str">
        <f>IF(OR(AC571="",AD576=""),"",COUNTIF(ResultsInd[Draw1],AC571&amp;"-"&amp;AD576)+COUNTIF(ResultsInd[Draw2],AC571&amp;"-"&amp;AD576))</f>
        <v/>
      </c>
      <c r="AR576" s="307" t="str">
        <f>IF(OR(AC571="",AD576=""),"",COUNTIF(ResultsInd[Lose],AC571&amp;"-"&amp;AD576))</f>
        <v/>
      </c>
      <c r="AS576" s="307" t="str">
        <f>IF(OR(AC571="",AD576=""),"",SUMIFS(ResultsInd[Goal-A],ResultsInd[Category],AC571,ResultsInd[Stage],"Groups",ResultsInd[Player A],AD576)+SUMIFS(ResultsInd[Goal-B],ResultsInd[Category],AC571,ResultsInd[Stage],"Groups",ResultsInd[Player B],AD576))</f>
        <v/>
      </c>
      <c r="AT576" s="307" t="str">
        <f>IF(OR(AC571="",AD576=""),"",SUMIFS(ResultsInd[Goal-B],ResultsInd[Category],AC571,ResultsInd[Stage],"Groups",ResultsInd[Player A],AD576)+SUMIFS(ResultsInd[Goal-A],ResultsInd[Category],AC571,ResultsInd[Stage],"Groups",ResultsInd[Player B],AD576))</f>
        <v/>
      </c>
      <c r="AU576" s="308" t="str">
        <f t="shared" si="504"/>
        <v/>
      </c>
      <c r="AV576" s="469" t="str">
        <f>IF(AG576="","",OR(VLOOKUP(AG576,AH572:AU578,3,FALSE),VLOOKUP(AG576,AH572:AU578,6,FALSE)))</f>
        <v/>
      </c>
      <c r="AW576" s="298" t="str">
        <f t="shared" si="502"/>
        <v/>
      </c>
      <c r="AX576" s="285" t="str">
        <f>IF(AG576="","",INDEX(AD572:AD578,MATCH(AG576,AH572:AH578,0)))</f>
        <v/>
      </c>
      <c r="AY576" s="286" t="str">
        <f>IF(AG576="","",VLOOKUP(AG576,AH572:AU578,COLUMN()-COLUMN(AR571),FALSE))</f>
        <v/>
      </c>
      <c r="AZ576" s="286" t="str">
        <f>IF(AG576="","",VLOOKUP(AG576,AH572:AU578,COLUMN()-COLUMN(AR571),FALSE))</f>
        <v/>
      </c>
      <c r="BA576" s="286" t="str">
        <f>IF(AG576="","",VLOOKUP(AG576,AH572:AU578,COLUMN()-COLUMN(AR571),FALSE))</f>
        <v/>
      </c>
      <c r="BB576" s="286" t="str">
        <f>IF(AG576="","",VLOOKUP(AG576,AH572:AU578,COLUMN()-COLUMN(AR571),FALSE))</f>
        <v/>
      </c>
      <c r="BC576" s="286" t="str">
        <f>IF(AG576="","",VLOOKUP(AG576,AH572:AU578,COLUMN()-COLUMN(AR571),FALSE))</f>
        <v/>
      </c>
      <c r="BD576" s="286" t="str">
        <f>IF(AG576="","",VLOOKUP(AG576,AH572:AU578,COLUMN()-COLUMN(AR571),FALSE))</f>
        <v/>
      </c>
      <c r="BE576" s="286" t="str">
        <f>IF(AG576="","",VLOOKUP(AG576,AH572:AU578,COLUMN()-COLUMN(AR571),FALSE))</f>
        <v/>
      </c>
      <c r="BF576" s="301" t="str">
        <f>IF(AG576="","",VLOOKUP(AG576,AH572:AU578,COLUMN()-COLUMN(AR571),FALSE))</f>
        <v/>
      </c>
    </row>
    <row r="577" spans="1:58" ht="12" thickBot="1" x14ac:dyDescent="0.25">
      <c r="A577" s="505" t="s">
        <v>12263</v>
      </c>
      <c r="B577" s="62" t="s">
        <v>12216</v>
      </c>
      <c r="C577" s="62"/>
      <c r="D577" s="62"/>
      <c r="E577" s="345" t="s">
        <v>8699</v>
      </c>
      <c r="F577" s="345" t="s">
        <v>8713</v>
      </c>
      <c r="G577" s="113">
        <v>2</v>
      </c>
      <c r="H577" s="113">
        <v>2</v>
      </c>
      <c r="I577" s="114"/>
      <c r="J577" s="114">
        <v>1</v>
      </c>
      <c r="K577" s="114">
        <v>3</v>
      </c>
      <c r="L577" s="81"/>
      <c r="M577" s="265" t="b">
        <f>NOT(ISERROR(ResultsInd[[#This Row],[Goal-A]]+ResultsInd[[#This Row],[Goal-B]]))</f>
        <v>1</v>
      </c>
      <c r="N577" s="265">
        <f>VALUE(ResultsInd[[#This Row],[Score-A]])</f>
        <v>2</v>
      </c>
      <c r="O577" s="265">
        <f>VALUE(ResultsInd[[#This Row],[Score-B]])</f>
        <v>2</v>
      </c>
      <c r="P577" s="265" t="e">
        <f ca="1">IF(AND(ResultsInd[[#This Row],[Category]]&lt;&gt;"",ResultsInd[[#This Row],[Player A]]&lt;&gt;""),COUNTIF(INDIRECT(ResultsInd[[#This Row],[Category]]&amp;"List[Retained Player Name]"),ResultsInd[[#This Row],[Player A]]),"")</f>
        <v>#REF!</v>
      </c>
      <c r="Q577" s="265" t="e">
        <f ca="1">IF(AND(ResultsInd[[#This Row],[Category]]&lt;&gt;"",ResultsInd[[#This Row],[Player B]]&lt;&gt;""),COUNTIF(INDIRECT(ResultsInd[[#This Row],[Category]]&amp;"List[Retained Player Name]"),ResultsInd[[#This Row],[Player B]]),"")</f>
        <v>#REF!</v>
      </c>
      <c r="R5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7" s="265" t="str">
        <f>IF(ResultsInd[[#This Row],[Score_OK]],IF(ResultsInd[[#This Row],[Stage]]="Groups",ResultsInd[[#This Row],[Category]]&amp;"-"&amp;IF(ResultsInd[[#This Row],[Player B]]="","",IF(ResultsInd[[#This Row],[Score-A]]=ResultsInd[[#This Row],[Score-B]],ResultsInd[[#This Row],[Player A]],"")),""),"")</f>
        <v/>
      </c>
      <c r="T577" s="265" t="str">
        <f>IF(ResultsInd[[#This Row],[Score_OK]],IF(ResultsInd[[#This Row],[Stage]]="Groups",ResultsInd[[#This Row],[Category]]&amp;"-"&amp;IF(ResultsInd[[#This Row],[Player B]]="","",IF(ResultsInd[[#This Row],[Score-A]]=ResultsInd[[#This Row],[Score-B]],ResultsInd[[#This Row],[Player B]],"")),""),"")</f>
        <v/>
      </c>
      <c r="U5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CONSOLATION-David Zaki</v>
      </c>
      <c r="W57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7" s="264" t="e">
        <f>IF(ResultsInd[[#This Row],[Category]]="","",VLOOKUP(ResultsInd[[#This Row],[Stage]],$P$1:$V$9,MATCH(ResultsInd[[#This Row],[Category]],$Q$1:$V$1,0)+1,FALSE))</f>
        <v>#N/A</v>
      </c>
      <c r="Z577" s="264" t="e">
        <f>IF(ResultsInd[[#This Row],[Score_OK]],IF(ResultsInd[[#This Row],[Level]]="R",ResultsInd[[#This Row],[Category]]&amp;"-"&amp;IF(ResultsInd[[#This Row],[LoseInKO]]=ResultsInd[[#This Row],[Category]]&amp;"-"&amp;ResultsInd[[#This Row],[Player A]],ResultsInd[[#This Row],[Player B]],ResultsInd[[#This Row],[Player A]]),""),"")</f>
        <v>#N/A</v>
      </c>
      <c r="AB577" s="8"/>
      <c r="AC577" s="12" t="str">
        <f t="shared" si="503"/>
        <v/>
      </c>
      <c r="AD577" s="309"/>
      <c r="AE577" s="310"/>
      <c r="AF577" s="311"/>
      <c r="AG577" s="292" t="str">
        <f>IF(AP577="","",SMALL(AH572:AH578,ROWS(AG572:AG577)))</f>
        <v/>
      </c>
      <c r="AH577" s="293" t="str">
        <f>IF(AP577="","",RANK(AL577,AL572:AL578)*1000+ROWS(AH572:AH577))</f>
        <v/>
      </c>
      <c r="AI577" s="316" t="str">
        <f t="shared" si="497"/>
        <v/>
      </c>
      <c r="AJ577" s="415" t="b">
        <f>AND(AO577&lt;&gt;"",AO577&gt;0,COUNTIF(AI572:AI578,AI577)&gt;1)</f>
        <v>0</v>
      </c>
      <c r="AK577" s="316" t="str">
        <f t="shared" si="498"/>
        <v/>
      </c>
      <c r="AL577" s="317" t="str">
        <f t="shared" si="499"/>
        <v/>
      </c>
      <c r="AM577" s="415" t="b">
        <f>AND(AO577&lt;&gt;"",AO577&gt;0,COUNTIF(AL572:AL578,AL577)&gt;1)</f>
        <v>0</v>
      </c>
      <c r="AN577" s="306" t="str">
        <f t="shared" si="500"/>
        <v/>
      </c>
      <c r="AO577" s="307" t="str">
        <f t="shared" si="501"/>
        <v/>
      </c>
      <c r="AP577" s="307" t="str">
        <f>IF(OR(AC571="",AD577=""),"",COUNTIF(ResultsInd[Win],AC571&amp;"-"&amp;AD577))</f>
        <v/>
      </c>
      <c r="AQ577" s="307" t="str">
        <f>IF(OR(AC571="",AD577=""),"",COUNTIF(ResultsInd[Draw1],AC571&amp;"-"&amp;AD577)+COUNTIF(ResultsInd[Draw2],AC571&amp;"-"&amp;AD577))</f>
        <v/>
      </c>
      <c r="AR577" s="307" t="str">
        <f>IF(OR(AC571="",AD577=""),"",COUNTIF(ResultsInd[Lose],AC571&amp;"-"&amp;AD577))</f>
        <v/>
      </c>
      <c r="AS577" s="307" t="str">
        <f>IF(OR(AC571="",AD577=""),"",SUMIFS(ResultsInd[Goal-A],ResultsInd[Category],AC571,ResultsInd[Stage],"Groups",ResultsInd[Player A],AD577)+SUMIFS(ResultsInd[Goal-B],ResultsInd[Category],AC571,ResultsInd[Stage],"Groups",ResultsInd[Player B],AD577))</f>
        <v/>
      </c>
      <c r="AT577" s="307" t="str">
        <f>IF(OR(AC571="",AD577=""),"",SUMIFS(ResultsInd[Goal-B],ResultsInd[Category],AC571,ResultsInd[Stage],"Groups",ResultsInd[Player A],AD577)+SUMIFS(ResultsInd[Goal-A],ResultsInd[Category],AC571,ResultsInd[Stage],"Groups",ResultsInd[Player B],AD577))</f>
        <v/>
      </c>
      <c r="AU577" s="308" t="str">
        <f t="shared" si="504"/>
        <v/>
      </c>
      <c r="AV577" s="469" t="str">
        <f>IF(AG577="","",OR(VLOOKUP(AG577,AH572:AU578,3,FALSE),VLOOKUP(AG577,AH572:AU578,6,FALSE)))</f>
        <v/>
      </c>
      <c r="AW577" s="298" t="str">
        <f t="shared" si="502"/>
        <v/>
      </c>
      <c r="AX577" s="285" t="str">
        <f>IF(AG577="","",INDEX(AD572:AD578,MATCH(AG577,AH572:AH578,0)))</f>
        <v/>
      </c>
      <c r="AY577" s="286" t="str">
        <f>IF(AG577="","",VLOOKUP(AG577,AH572:AU578,COLUMN()-COLUMN(AR571),FALSE))</f>
        <v/>
      </c>
      <c r="AZ577" s="286" t="str">
        <f>IF(AG577="","",VLOOKUP(AG577,AH572:AU578,COLUMN()-COLUMN(AR571),FALSE))</f>
        <v/>
      </c>
      <c r="BA577" s="286" t="str">
        <f>IF(AG577="","",VLOOKUP(AG577,AH572:AU578,COLUMN()-COLUMN(AR571),FALSE))</f>
        <v/>
      </c>
      <c r="BB577" s="286" t="str">
        <f>IF(AG577="","",VLOOKUP(AG577,AH572:AU578,COLUMN()-COLUMN(AR571),FALSE))</f>
        <v/>
      </c>
      <c r="BC577" s="286" t="str">
        <f>IF(AG577="","",VLOOKUP(AG577,AH572:AU578,COLUMN()-COLUMN(AR571),FALSE))</f>
        <v/>
      </c>
      <c r="BD577" s="286" t="str">
        <f>IF(AG577="","",VLOOKUP(AG577,AH572:AU578,COLUMN()-COLUMN(AR571),FALSE))</f>
        <v/>
      </c>
      <c r="BE577" s="286" t="str">
        <f>IF(AG577="","",VLOOKUP(AG577,AH572:AU578,COLUMN()-COLUMN(AR571),FALSE))</f>
        <v/>
      </c>
      <c r="BF577" s="301" t="str">
        <f>IF(AG577="","",VLOOKUP(AG577,AH572:AU578,COLUMN()-COLUMN(AR571),FALSE))</f>
        <v/>
      </c>
    </row>
    <row r="578" spans="1:58" ht="12" thickBot="1" x14ac:dyDescent="0.25">
      <c r="A578" s="505" t="s">
        <v>12263</v>
      </c>
      <c r="B578" s="62" t="s">
        <v>12216</v>
      </c>
      <c r="C578" s="62"/>
      <c r="D578" s="62"/>
      <c r="E578" s="345" t="s">
        <v>8140</v>
      </c>
      <c r="F578" s="345" t="s">
        <v>10440</v>
      </c>
      <c r="G578" s="113">
        <v>1</v>
      </c>
      <c r="H578" s="113">
        <v>1</v>
      </c>
      <c r="I578" s="114"/>
      <c r="J578" s="114">
        <v>0</v>
      </c>
      <c r="K578" s="114">
        <v>2</v>
      </c>
      <c r="L578" s="81"/>
      <c r="M578" s="265" t="b">
        <f>NOT(ISERROR(ResultsInd[[#This Row],[Goal-A]]+ResultsInd[[#This Row],[Goal-B]]))</f>
        <v>1</v>
      </c>
      <c r="N578" s="265">
        <f>VALUE(ResultsInd[[#This Row],[Score-A]])</f>
        <v>1</v>
      </c>
      <c r="O578" s="265">
        <f>VALUE(ResultsInd[[#This Row],[Score-B]])</f>
        <v>1</v>
      </c>
      <c r="P578" s="265" t="e">
        <f ca="1">IF(AND(ResultsInd[[#This Row],[Category]]&lt;&gt;"",ResultsInd[[#This Row],[Player A]]&lt;&gt;""),COUNTIF(INDIRECT(ResultsInd[[#This Row],[Category]]&amp;"List[Retained Player Name]"),ResultsInd[[#This Row],[Player A]]),"")</f>
        <v>#REF!</v>
      </c>
      <c r="Q578" s="265" t="e">
        <f ca="1">IF(AND(ResultsInd[[#This Row],[Category]]&lt;&gt;"",ResultsInd[[#This Row],[Player B]]&lt;&gt;""),COUNTIF(INDIRECT(ResultsInd[[#This Row],[Category]]&amp;"List[Retained Player Name]"),ResultsInd[[#This Row],[Player B]]),"")</f>
        <v>#REF!</v>
      </c>
      <c r="R5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8" s="265" t="str">
        <f>IF(ResultsInd[[#This Row],[Score_OK]],IF(ResultsInd[[#This Row],[Stage]]="Groups",ResultsInd[[#This Row],[Category]]&amp;"-"&amp;IF(ResultsInd[[#This Row],[Player B]]="","",IF(ResultsInd[[#This Row],[Score-A]]=ResultsInd[[#This Row],[Score-B]],ResultsInd[[#This Row],[Player A]],"")),""),"")</f>
        <v/>
      </c>
      <c r="T578" s="265" t="str">
        <f>IF(ResultsInd[[#This Row],[Score_OK]],IF(ResultsInd[[#This Row],[Stage]]="Groups",ResultsInd[[#This Row],[Category]]&amp;"-"&amp;IF(ResultsInd[[#This Row],[Player B]]="","",IF(ResultsInd[[#This Row],[Score-A]]=ResultsInd[[#This Row],[Score-B]],ResultsInd[[#This Row],[Player B]],"")),""),"")</f>
        <v/>
      </c>
      <c r="U5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CONSOLATION-Quentin Van Glabeke</v>
      </c>
      <c r="W57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8" s="264" t="e">
        <f>IF(ResultsInd[[#This Row],[Category]]="","",VLOOKUP(ResultsInd[[#This Row],[Stage]],$P$1:$V$9,MATCH(ResultsInd[[#This Row],[Category]],$Q$1:$V$1,0)+1,FALSE))</f>
        <v>#N/A</v>
      </c>
      <c r="Z578" s="264" t="e">
        <f>IF(ResultsInd[[#This Row],[Score_OK]],IF(ResultsInd[[#This Row],[Level]]="R",ResultsInd[[#This Row],[Category]]&amp;"-"&amp;IF(ResultsInd[[#This Row],[LoseInKO]]=ResultsInd[[#This Row],[Category]]&amp;"-"&amp;ResultsInd[[#This Row],[Player A]],ResultsInd[[#This Row],[Player B]],ResultsInd[[#This Row],[Player A]]),""),"")</f>
        <v>#N/A</v>
      </c>
      <c r="AB578" s="8"/>
      <c r="AC578" s="12" t="str">
        <f t="shared" si="503"/>
        <v/>
      </c>
      <c r="AD578" s="312"/>
      <c r="AE578" s="313"/>
      <c r="AF578" s="314"/>
      <c r="AG578" s="294" t="str">
        <f>IF(AP578="","",SMALL(AH572:AH578,ROWS(AG572:AG578)))</f>
        <v/>
      </c>
      <c r="AH578" s="295" t="str">
        <f>IF(AP578="","",RANK(AL578,AL572:AL578)*1000+ROWS(AH572:AH578))</f>
        <v/>
      </c>
      <c r="AI578" s="318" t="str">
        <f t="shared" si="497"/>
        <v/>
      </c>
      <c r="AJ578" s="416" t="b">
        <f>AND(AO578&lt;&gt;"",AO578&gt;0,COUNTIF(AI572:AI578,AI578)&gt;1)</f>
        <v>0</v>
      </c>
      <c r="AK578" s="318" t="str">
        <f t="shared" si="498"/>
        <v/>
      </c>
      <c r="AL578" s="319" t="str">
        <f t="shared" si="499"/>
        <v/>
      </c>
      <c r="AM578" s="416" t="b">
        <f>AND(AO578&lt;&gt;"",AO578&gt;0,COUNTIF(AL572:AL578,AL578)&gt;1)</f>
        <v>0</v>
      </c>
      <c r="AN578" s="306" t="str">
        <f t="shared" si="500"/>
        <v/>
      </c>
      <c r="AO578" s="307" t="str">
        <f t="shared" si="501"/>
        <v/>
      </c>
      <c r="AP578" s="307" t="str">
        <f>IF(OR(AC571="",AD578=""),"",COUNTIF(ResultsInd[Win],AC571&amp;"-"&amp;AD578))</f>
        <v/>
      </c>
      <c r="AQ578" s="307" t="str">
        <f>IF(OR(AC571="",AD578=""),"",COUNTIF(ResultsInd[Draw1],AC571&amp;"-"&amp;AD578)+COUNTIF(ResultsInd[Draw2],AC571&amp;"-"&amp;AD578))</f>
        <v/>
      </c>
      <c r="AR578" s="307" t="str">
        <f>IF(OR(AC571="",AD578=""),"",COUNTIF(ResultsInd[Lose],AC571&amp;"-"&amp;AD578))</f>
        <v/>
      </c>
      <c r="AS578" s="307" t="str">
        <f>IF(OR(AC571="",AD578=""),"",SUMIFS(ResultsInd[Goal-A],ResultsInd[Category],AC571,ResultsInd[Stage],"Groups",ResultsInd[Player A],AD578)+SUMIFS(ResultsInd[Goal-B],ResultsInd[Category],AC571,ResultsInd[Stage],"Groups",ResultsInd[Player B],AD578))</f>
        <v/>
      </c>
      <c r="AT578" s="307" t="str">
        <f>IF(OR(AC571="",AD578=""),"",SUMIFS(ResultsInd[Goal-B],ResultsInd[Category],AC571,ResultsInd[Stage],"Groups",ResultsInd[Player A],AD578)+SUMIFS(ResultsInd[Goal-A],ResultsInd[Category],AC571,ResultsInd[Stage],"Groups",ResultsInd[Player B],AD578))</f>
        <v/>
      </c>
      <c r="AU578" s="308" t="str">
        <f t="shared" si="504"/>
        <v/>
      </c>
      <c r="AV578" s="469" t="str">
        <f>IF(AG578="","",OR(VLOOKUP(AG578,AH572:AU578,3,FALSE),VLOOKUP(AG578,AH572:AU578,6,FALSE)))</f>
        <v/>
      </c>
      <c r="AW578" s="299" t="str">
        <f t="shared" si="502"/>
        <v/>
      </c>
      <c r="AX578" s="287" t="str">
        <f>IF(AG578="","",INDEX(AD572:AD578,MATCH(AG578,AH572:AH578,0)))</f>
        <v/>
      </c>
      <c r="AY578" s="288" t="str">
        <f>IF(AG578="","",VLOOKUP(AG578,AH572:AU578,COLUMN()-COLUMN(AR571),FALSE))</f>
        <v/>
      </c>
      <c r="AZ578" s="288" t="str">
        <f>IF(AG578="","",VLOOKUP(AG578,AH572:AU578,COLUMN()-COLUMN(AR571),FALSE))</f>
        <v/>
      </c>
      <c r="BA578" s="288" t="str">
        <f>IF(AG578="","",VLOOKUP(AG578,AH572:AU578,COLUMN()-COLUMN(AR571),FALSE))</f>
        <v/>
      </c>
      <c r="BB578" s="288" t="str">
        <f>IF(AG578="","",VLOOKUP(AG578,AH572:AU578,COLUMN()-COLUMN(AR571),FALSE))</f>
        <v/>
      </c>
      <c r="BC578" s="288" t="str">
        <f>IF(AG578="","",VLOOKUP(AG578,AH572:AU578,COLUMN()-COLUMN(AR571),FALSE))</f>
        <v/>
      </c>
      <c r="BD578" s="288" t="str">
        <f>IF(AG578="","",VLOOKUP(AG578,AH572:AU578,COLUMN()-COLUMN(AR571),FALSE))</f>
        <v/>
      </c>
      <c r="BE578" s="288" t="str">
        <f>IF(AG578="","",VLOOKUP(AG578,AH572:AU578,COLUMN()-COLUMN(AR571),FALSE))</f>
        <v/>
      </c>
      <c r="BF578" s="302" t="str">
        <f>IF(AG578="","",VLOOKUP(AG578,AH572:AU578,COLUMN()-COLUMN(AR571),FALSE))</f>
        <v/>
      </c>
    </row>
    <row r="579" spans="1:58" ht="13.5" thickBot="1" x14ac:dyDescent="0.25">
      <c r="A579" s="505" t="s">
        <v>12263</v>
      </c>
      <c r="B579" s="62" t="s">
        <v>12216</v>
      </c>
      <c r="C579" s="62"/>
      <c r="D579" s="62"/>
      <c r="E579" s="345" t="s">
        <v>8178</v>
      </c>
      <c r="F579" s="345" t="s">
        <v>8082</v>
      </c>
      <c r="G579" s="113">
        <v>2</v>
      </c>
      <c r="H579" s="113">
        <v>3</v>
      </c>
      <c r="I579" s="114"/>
      <c r="J579" s="114"/>
      <c r="K579" s="114"/>
      <c r="L579" s="81"/>
      <c r="M579" s="265" t="b">
        <f>NOT(ISERROR(ResultsInd[[#This Row],[Goal-A]]+ResultsInd[[#This Row],[Goal-B]]))</f>
        <v>1</v>
      </c>
      <c r="N579" s="265">
        <f>VALUE(ResultsInd[[#This Row],[Score-A]])</f>
        <v>2</v>
      </c>
      <c r="O579" s="265">
        <f>VALUE(ResultsInd[[#This Row],[Score-B]])</f>
        <v>3</v>
      </c>
      <c r="P579" s="265" t="e">
        <f ca="1">IF(AND(ResultsInd[[#This Row],[Category]]&lt;&gt;"",ResultsInd[[#This Row],[Player A]]&lt;&gt;""),COUNTIF(INDIRECT(ResultsInd[[#This Row],[Category]]&amp;"List[Retained Player Name]"),ResultsInd[[#This Row],[Player A]]),"")</f>
        <v>#REF!</v>
      </c>
      <c r="Q579" s="265" t="e">
        <f ca="1">IF(AND(ResultsInd[[#This Row],[Category]]&lt;&gt;"",ResultsInd[[#This Row],[Player B]]&lt;&gt;""),COUNTIF(INDIRECT(ResultsInd[[#This Row],[Category]]&amp;"List[Retained Player Name]"),ResultsInd[[#This Row],[Player B]]),"")</f>
        <v>#REF!</v>
      </c>
      <c r="R5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9" s="265" t="str">
        <f>IF(ResultsInd[[#This Row],[Score_OK]],IF(ResultsInd[[#This Row],[Stage]]="Groups",ResultsInd[[#This Row],[Category]]&amp;"-"&amp;IF(ResultsInd[[#This Row],[Player B]]="","",IF(ResultsInd[[#This Row],[Score-A]]=ResultsInd[[#This Row],[Score-B]],ResultsInd[[#This Row],[Player A]],"")),""),"")</f>
        <v/>
      </c>
      <c r="T579" s="265" t="str">
        <f>IF(ResultsInd[[#This Row],[Score_OK]],IF(ResultsInd[[#This Row],[Stage]]="Groups",ResultsInd[[#This Row],[Category]]&amp;"-"&amp;IF(ResultsInd[[#This Row],[Player B]]="","",IF(ResultsInd[[#This Row],[Score-A]]=ResultsInd[[#This Row],[Score-B]],ResultsInd[[#This Row],[Player B]],"")),""),"")</f>
        <v/>
      </c>
      <c r="U5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CONSOLATION-Bruno Mottet</v>
      </c>
      <c r="W57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7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79" s="264" t="e">
        <f>IF(ResultsInd[[#This Row],[Category]]="","",VLOOKUP(ResultsInd[[#This Row],[Stage]],$P$1:$V$9,MATCH(ResultsInd[[#This Row],[Category]],$Q$1:$V$1,0)+1,FALSE))</f>
        <v>#N/A</v>
      </c>
      <c r="Z579" s="264" t="e">
        <f>IF(ResultsInd[[#This Row],[Score_OK]],IF(ResultsInd[[#This Row],[Level]]="R",ResultsInd[[#This Row],[Category]]&amp;"-"&amp;IF(ResultsInd[[#This Row],[LoseInKO]]=ResultsInd[[#This Row],[Category]]&amp;"-"&amp;ResultsInd[[#This Row],[Player A]],ResultsInd[[#This Row],[Player B]],ResultsInd[[#This Row],[Player A]]),""),"")</f>
        <v>#N/A</v>
      </c>
      <c r="AB579" s="8"/>
      <c r="AC579" s="8"/>
      <c r="AF579" s="170"/>
      <c r="AG579" s="101"/>
      <c r="AH579" s="101"/>
      <c r="AN579" s="170"/>
      <c r="AO579" s="170"/>
      <c r="AP579" s="170"/>
      <c r="AQ579" s="172"/>
      <c r="AR579" s="173"/>
      <c r="AS579" s="173"/>
      <c r="AT579" s="173"/>
      <c r="AU579" s="101"/>
      <c r="AV579" s="101"/>
      <c r="AW579" s="101"/>
      <c r="AX579" s="101"/>
      <c r="AY579" s="101"/>
      <c r="AZ579" s="101"/>
    </row>
    <row r="580" spans="1:58" ht="12" thickBot="1" x14ac:dyDescent="0.25">
      <c r="A580" s="505" t="s">
        <v>12263</v>
      </c>
      <c r="B580" s="62" t="s">
        <v>12216</v>
      </c>
      <c r="C580" s="62"/>
      <c r="D580" s="62"/>
      <c r="E580" s="345" t="s">
        <v>14521</v>
      </c>
      <c r="F580" s="345" t="s">
        <v>8680</v>
      </c>
      <c r="G580" s="113">
        <v>5</v>
      </c>
      <c r="H580" s="113">
        <v>0</v>
      </c>
      <c r="I580" s="114"/>
      <c r="J580" s="114"/>
      <c r="K580" s="114"/>
      <c r="L580" s="81"/>
      <c r="M580" s="265" t="b">
        <f>NOT(ISERROR(ResultsInd[[#This Row],[Goal-A]]+ResultsInd[[#This Row],[Goal-B]]))</f>
        <v>1</v>
      </c>
      <c r="N580" s="265">
        <f>VALUE(ResultsInd[[#This Row],[Score-A]])</f>
        <v>5</v>
      </c>
      <c r="O580" s="265">
        <f>VALUE(ResultsInd[[#This Row],[Score-B]])</f>
        <v>0</v>
      </c>
      <c r="P580" s="265" t="e">
        <f ca="1">IF(AND(ResultsInd[[#This Row],[Category]]&lt;&gt;"",ResultsInd[[#This Row],[Player A]]&lt;&gt;""),COUNTIF(INDIRECT(ResultsInd[[#This Row],[Category]]&amp;"List[Retained Player Name]"),ResultsInd[[#This Row],[Player A]]),"")</f>
        <v>#REF!</v>
      </c>
      <c r="Q580" s="265" t="e">
        <f ca="1">IF(AND(ResultsInd[[#This Row],[Category]]&lt;&gt;"",ResultsInd[[#This Row],[Player B]]&lt;&gt;""),COUNTIF(INDIRECT(ResultsInd[[#This Row],[Category]]&amp;"List[Retained Player Name]"),ResultsInd[[#This Row],[Player B]]),"")</f>
        <v>#REF!</v>
      </c>
      <c r="R5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0" s="265" t="str">
        <f>IF(ResultsInd[[#This Row],[Score_OK]],IF(ResultsInd[[#This Row],[Stage]]="Groups",ResultsInd[[#This Row],[Category]]&amp;"-"&amp;IF(ResultsInd[[#This Row],[Player B]]="","",IF(ResultsInd[[#This Row],[Score-A]]=ResultsInd[[#This Row],[Score-B]],ResultsInd[[#This Row],[Player A]],"")),""),"")</f>
        <v/>
      </c>
      <c r="T580" s="265" t="str">
        <f>IF(ResultsInd[[#This Row],[Score_OK]],IF(ResultsInd[[#This Row],[Stage]]="Groups",ResultsInd[[#This Row],[Category]]&amp;"-"&amp;IF(ResultsInd[[#This Row],[Player B]]="","",IF(ResultsInd[[#This Row],[Score-A]]=ResultsInd[[#This Row],[Score-B]],ResultsInd[[#This Row],[Player B]],"")),""),"")</f>
        <v/>
      </c>
      <c r="U5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CONSOLATION-Xavi Maso</v>
      </c>
      <c r="W58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0" s="264" t="e">
        <f>IF(ResultsInd[[#This Row],[Category]]="","",VLOOKUP(ResultsInd[[#This Row],[Stage]],$P$1:$V$9,MATCH(ResultsInd[[#This Row],[Category]],$Q$1:$V$1,0)+1,FALSE))</f>
        <v>#N/A</v>
      </c>
      <c r="Z580" s="264" t="e">
        <f>IF(ResultsInd[[#This Row],[Score_OK]],IF(ResultsInd[[#This Row],[Level]]="R",ResultsInd[[#This Row],[Category]]&amp;"-"&amp;IF(ResultsInd[[#This Row],[LoseInKO]]=ResultsInd[[#This Row],[Category]]&amp;"-"&amp;ResultsInd[[#This Row],[Player A]],ResultsInd[[#This Row],[Player B]],ResultsInd[[#This Row],[Player A]]),""),"")</f>
        <v>#N/A</v>
      </c>
      <c r="AB580" s="281" t="str">
        <f>IF(AC580="","",COUNTIFS(AC$22:AC580,AC580,AD$22:AD580,"Players draw"))</f>
        <v/>
      </c>
      <c r="AC580" s="315"/>
      <c r="AD580" s="289" t="s">
        <v>14439</v>
      </c>
      <c r="AE580" s="290" t="s">
        <v>12279</v>
      </c>
      <c r="AF580" s="284" t="s">
        <v>12275</v>
      </c>
      <c r="AG580" s="296" t="s">
        <v>12276</v>
      </c>
      <c r="AH580" s="291" t="s">
        <v>12271</v>
      </c>
      <c r="AI580" s="291" t="s">
        <v>12272</v>
      </c>
      <c r="AJ580" s="414" t="s">
        <v>13154</v>
      </c>
      <c r="AK580" s="291" t="s">
        <v>12273</v>
      </c>
      <c r="AL580" s="297" t="s">
        <v>12274</v>
      </c>
      <c r="AM580" s="414" t="s">
        <v>13154</v>
      </c>
      <c r="AN580" s="303" t="s">
        <v>12199</v>
      </c>
      <c r="AO580" s="304" t="s">
        <v>12200</v>
      </c>
      <c r="AP580" s="304" t="s">
        <v>12201</v>
      </c>
      <c r="AQ580" s="304" t="s">
        <v>12202</v>
      </c>
      <c r="AR580" s="304" t="s">
        <v>12203</v>
      </c>
      <c r="AS580" s="304" t="s">
        <v>12204</v>
      </c>
      <c r="AT580" s="304" t="s">
        <v>12205</v>
      </c>
      <c r="AU580" s="305" t="s">
        <v>12206</v>
      </c>
      <c r="AV580" s="468"/>
      <c r="AW580" s="282" t="s">
        <v>12276</v>
      </c>
      <c r="AX580" s="282" t="s">
        <v>12280</v>
      </c>
      <c r="AY580" s="283" t="s">
        <v>12199</v>
      </c>
      <c r="AZ580" s="283" t="s">
        <v>12200</v>
      </c>
      <c r="BA580" s="283" t="s">
        <v>12201</v>
      </c>
      <c r="BB580" s="283" t="s">
        <v>12202</v>
      </c>
      <c r="BC580" s="283" t="s">
        <v>12203</v>
      </c>
      <c r="BD580" s="283" t="s">
        <v>12204</v>
      </c>
      <c r="BE580" s="283" t="s">
        <v>12205</v>
      </c>
      <c r="BF580" s="300" t="s">
        <v>12206</v>
      </c>
    </row>
    <row r="581" spans="1:58" ht="12" thickBot="1" x14ac:dyDescent="0.25">
      <c r="A581" s="505" t="s">
        <v>12263</v>
      </c>
      <c r="B581" s="62" t="s">
        <v>12216</v>
      </c>
      <c r="C581" s="62"/>
      <c r="D581" s="62"/>
      <c r="E581" s="345" t="s">
        <v>8091</v>
      </c>
      <c r="F581" s="345" t="s">
        <v>8110</v>
      </c>
      <c r="G581" s="113">
        <v>3</v>
      </c>
      <c r="H581" s="113">
        <v>2</v>
      </c>
      <c r="I581" s="114"/>
      <c r="J581" s="114"/>
      <c r="K581" s="114"/>
      <c r="L581" s="81"/>
      <c r="M581" s="265" t="b">
        <f>NOT(ISERROR(ResultsInd[[#This Row],[Goal-A]]+ResultsInd[[#This Row],[Goal-B]]))</f>
        <v>1</v>
      </c>
      <c r="N581" s="265">
        <f>VALUE(ResultsInd[[#This Row],[Score-A]])</f>
        <v>3</v>
      </c>
      <c r="O581" s="265">
        <f>VALUE(ResultsInd[[#This Row],[Score-B]])</f>
        <v>2</v>
      </c>
      <c r="P581" s="265" t="e">
        <f ca="1">IF(AND(ResultsInd[[#This Row],[Category]]&lt;&gt;"",ResultsInd[[#This Row],[Player A]]&lt;&gt;""),COUNTIF(INDIRECT(ResultsInd[[#This Row],[Category]]&amp;"List[Retained Player Name]"),ResultsInd[[#This Row],[Player A]]),"")</f>
        <v>#REF!</v>
      </c>
      <c r="Q581" s="265" t="e">
        <f ca="1">IF(AND(ResultsInd[[#This Row],[Category]]&lt;&gt;"",ResultsInd[[#This Row],[Player B]]&lt;&gt;""),COUNTIF(INDIRECT(ResultsInd[[#This Row],[Category]]&amp;"List[Retained Player Name]"),ResultsInd[[#This Row],[Player B]]),"")</f>
        <v>#REF!</v>
      </c>
      <c r="R5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1" s="265" t="str">
        <f>IF(ResultsInd[[#This Row],[Score_OK]],IF(ResultsInd[[#This Row],[Stage]]="Groups",ResultsInd[[#This Row],[Category]]&amp;"-"&amp;IF(ResultsInd[[#This Row],[Player B]]="","",IF(ResultsInd[[#This Row],[Score-A]]=ResultsInd[[#This Row],[Score-B]],ResultsInd[[#This Row],[Player A]],"")),""),"")</f>
        <v/>
      </c>
      <c r="T581" s="265" t="str">
        <f>IF(ResultsInd[[#This Row],[Score_OK]],IF(ResultsInd[[#This Row],[Stage]]="Groups",ResultsInd[[#This Row],[Category]]&amp;"-"&amp;IF(ResultsInd[[#This Row],[Player B]]="","",IF(ResultsInd[[#This Row],[Score-A]]=ResultsInd[[#This Row],[Score-B]],ResultsInd[[#This Row],[Player B]],"")),""),"")</f>
        <v/>
      </c>
      <c r="U5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CONSOLATION-Kevin Lelubre</v>
      </c>
      <c r="W58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1" s="264" t="e">
        <f>IF(ResultsInd[[#This Row],[Category]]="","",VLOOKUP(ResultsInd[[#This Row],[Stage]],$P$1:$V$9,MATCH(ResultsInd[[#This Row],[Category]],$Q$1:$V$1,0)+1,FALSE))</f>
        <v>#N/A</v>
      </c>
      <c r="Z581" s="264" t="e">
        <f>IF(ResultsInd[[#This Row],[Score_OK]],IF(ResultsInd[[#This Row],[Level]]="R",ResultsInd[[#This Row],[Category]]&amp;"-"&amp;IF(ResultsInd[[#This Row],[LoseInKO]]=ResultsInd[[#This Row],[Category]]&amp;"-"&amp;ResultsInd[[#This Row],[Player A]],ResultsInd[[#This Row],[Player B]],ResultsInd[[#This Row],[Player A]]),""),"")</f>
        <v>#N/A</v>
      </c>
      <c r="AB581" s="8"/>
      <c r="AC581" s="12" t="str">
        <f>IF(AC580="","",AC580)</f>
        <v/>
      </c>
      <c r="AD581" s="309"/>
      <c r="AE581" s="320"/>
      <c r="AF581" s="311"/>
      <c r="AG581" s="292" t="str">
        <f>IF(AP581="","",SMALL(AH581:AH587,ROWS(AG581:AG581)))</f>
        <v/>
      </c>
      <c r="AH581" s="293" t="str">
        <f>IF(AP581="","",RANK(AL581,AL581:AL587)*1000+ROWS(AH581:AH581))</f>
        <v/>
      </c>
      <c r="AI581" s="316" t="str">
        <f t="shared" ref="AI581:AI587" si="505">IF(AP581="","",CritClassInd1_Points*AN581+CritClassInd1_Matches*AP581+CritClassInd1_Attaque*AS581+CritClassInd1_DiffButs*AU581)</f>
        <v/>
      </c>
      <c r="AJ581" s="415" t="b">
        <f>AND(AO581&lt;&gt;"",AO581&gt;0,COUNTIF(AI581:AI587,AI581)&gt;1)</f>
        <v>0</v>
      </c>
      <c r="AK581" s="316" t="str">
        <f t="shared" ref="AK581:AK587" si="506">IF(AP581="","",CritClassInd_ScorePart*AE581)</f>
        <v/>
      </c>
      <c r="AL581" s="317" t="str">
        <f t="shared" ref="AL581:AL587" si="507">IF(AP581="","",AI581+AK581+CritClassInd2_Points*AN581+CritClassInd2_Matches*AP581+CritClassInd2_Attaque*AS581+CritClassInd2_DiffButs*AU581+AF581)</f>
        <v/>
      </c>
      <c r="AM581" s="415" t="b">
        <f>AND(AO581&lt;&gt;"",AO581&gt;0,COUNTIF(AL581:AL587,AL581)&gt;1)</f>
        <v>0</v>
      </c>
      <c r="AN581" s="306" t="str">
        <f t="shared" ref="AN581:AN587" si="508">IF(AP581="","",(AP581*Points_Victoire)+AQ581*Points_Null)</f>
        <v/>
      </c>
      <c r="AO581" s="307" t="str">
        <f t="shared" ref="AO581:AO587" si="509">IF(AP581="","",SUM(AP581:AR581))</f>
        <v/>
      </c>
      <c r="AP581" s="307" t="str">
        <f>IF(OR(AC580="",AD581=""),"",COUNTIF(ResultsInd[Win],AC580&amp;"-"&amp;AD581))</f>
        <v/>
      </c>
      <c r="AQ581" s="307" t="str">
        <f>IF(OR(AC580="",AD581=""),"",COUNTIF(ResultsInd[Draw1],AC580&amp;"-"&amp;AD581)+COUNTIF(ResultsInd[Draw2],AC580&amp;"-"&amp;AD581))</f>
        <v/>
      </c>
      <c r="AR581" s="307" t="str">
        <f>IF(OR(AC580="",AD581=""),"",COUNTIF(ResultsInd[Lose],AC580&amp;"-"&amp;AD581))</f>
        <v/>
      </c>
      <c r="AS581" s="307" t="str">
        <f>IF(OR(AC580="",AD581=""),"",SUMIFS(ResultsInd[Goal-A],ResultsInd[Category],AC580,ResultsInd[Stage],"Groups",ResultsInd[Player A],AD581)+SUMIFS(ResultsInd[Goal-B],ResultsInd[Category],AC580,ResultsInd[Stage],"Groups",ResultsInd[Player B],AD581))</f>
        <v/>
      </c>
      <c r="AT581" s="307" t="str">
        <f>IF(OR(AC580="",AD581=""),"",SUMIFS(ResultsInd[Goal-B],ResultsInd[Category],AC580,ResultsInd[Stage],"Groups",ResultsInd[Player A],AD581)+SUMIFS(ResultsInd[Goal-A],ResultsInd[Category],AC580,ResultsInd[Stage],"Groups",ResultsInd[Player B],AD581))</f>
        <v/>
      </c>
      <c r="AU581" s="308" t="str">
        <f>IF(AP581="","",AS581-AT581)</f>
        <v/>
      </c>
      <c r="AV581" s="469" t="str">
        <f>IF(AG581="","",OR(VLOOKUP(AG581,AH581:AU587,3,FALSE),VLOOKUP(AG581,AH581:AU587,6,FALSE)))</f>
        <v/>
      </c>
      <c r="AW581" s="298" t="str">
        <f t="shared" ref="AW581:AW587" si="510">IF(AG581="","",INT(AG581/1000))</f>
        <v/>
      </c>
      <c r="AX581" s="285" t="str">
        <f>IF(AG581="","",INDEX(AD581:AD587,MATCH(AG581,AH581:AH587,0)))</f>
        <v/>
      </c>
      <c r="AY581" s="286" t="str">
        <f>IF(AG581="","",VLOOKUP(AG581,AH581:AU587,COLUMN()-COLUMN(AR580),FALSE))</f>
        <v/>
      </c>
      <c r="AZ581" s="286" t="str">
        <f>IF(AG581="","",VLOOKUP(AG581,AH581:AU587,COLUMN()-COLUMN(AR580),FALSE))</f>
        <v/>
      </c>
      <c r="BA581" s="286" t="str">
        <f>IF(AG581="","",VLOOKUP(AG581,AH581:AU587,COLUMN()-COLUMN(AR580),FALSE))</f>
        <v/>
      </c>
      <c r="BB581" s="286" t="str">
        <f>IF(AG581="","",VLOOKUP(AG581,AH581:AU587,COLUMN()-COLUMN(AR580),FALSE))</f>
        <v/>
      </c>
      <c r="BC581" s="286" t="str">
        <f>IF(AG581="","",VLOOKUP(AG581,AH581:AU587,COLUMN()-COLUMN(AR580),FALSE))</f>
        <v/>
      </c>
      <c r="BD581" s="286" t="str">
        <f>IF(AG581="","",VLOOKUP(AG581,AH581:AU587,COLUMN()-COLUMN(AR580),FALSE))</f>
        <v/>
      </c>
      <c r="BE581" s="286" t="str">
        <f>IF(AG581="","",VLOOKUP(AG581,AH581:AU587,COLUMN()-COLUMN(AR580),FALSE))</f>
        <v/>
      </c>
      <c r="BF581" s="301" t="str">
        <f>IF(AG581="","",VLOOKUP(AG581,AH581:AU587,COLUMN()-COLUMN(AR580),FALSE))</f>
        <v/>
      </c>
    </row>
    <row r="582" spans="1:58" ht="12" thickBot="1" x14ac:dyDescent="0.25">
      <c r="A582" s="505" t="s">
        <v>12263</v>
      </c>
      <c r="B582" s="62" t="s">
        <v>12216</v>
      </c>
      <c r="C582" s="62"/>
      <c r="D582" s="62"/>
      <c r="E582" s="345" t="s">
        <v>8144</v>
      </c>
      <c r="F582" s="345" t="s">
        <v>9194</v>
      </c>
      <c r="G582" s="113">
        <v>0</v>
      </c>
      <c r="H582" s="113">
        <v>1</v>
      </c>
      <c r="I582" s="114"/>
      <c r="J582" s="114"/>
      <c r="K582" s="114"/>
      <c r="L582" s="81"/>
      <c r="M582" s="265" t="b">
        <f>NOT(ISERROR(ResultsInd[[#This Row],[Goal-A]]+ResultsInd[[#This Row],[Goal-B]]))</f>
        <v>1</v>
      </c>
      <c r="N582" s="265">
        <f>VALUE(ResultsInd[[#This Row],[Score-A]])</f>
        <v>0</v>
      </c>
      <c r="O582" s="265">
        <f>VALUE(ResultsInd[[#This Row],[Score-B]])</f>
        <v>1</v>
      </c>
      <c r="P582" s="265" t="e">
        <f ca="1">IF(AND(ResultsInd[[#This Row],[Category]]&lt;&gt;"",ResultsInd[[#This Row],[Player A]]&lt;&gt;""),COUNTIF(INDIRECT(ResultsInd[[#This Row],[Category]]&amp;"List[Retained Player Name]"),ResultsInd[[#This Row],[Player A]]),"")</f>
        <v>#REF!</v>
      </c>
      <c r="Q582" s="265" t="e">
        <f ca="1">IF(AND(ResultsInd[[#This Row],[Category]]&lt;&gt;"",ResultsInd[[#This Row],[Player B]]&lt;&gt;""),COUNTIF(INDIRECT(ResultsInd[[#This Row],[Category]]&amp;"List[Retained Player Name]"),ResultsInd[[#This Row],[Player B]]),"")</f>
        <v>#REF!</v>
      </c>
      <c r="R5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2" s="265" t="str">
        <f>IF(ResultsInd[[#This Row],[Score_OK]],IF(ResultsInd[[#This Row],[Stage]]="Groups",ResultsInd[[#This Row],[Category]]&amp;"-"&amp;IF(ResultsInd[[#This Row],[Player B]]="","",IF(ResultsInd[[#This Row],[Score-A]]=ResultsInd[[#This Row],[Score-B]],ResultsInd[[#This Row],[Player A]],"")),""),"")</f>
        <v/>
      </c>
      <c r="T582" s="265" t="str">
        <f>IF(ResultsInd[[#This Row],[Score_OK]],IF(ResultsInd[[#This Row],[Stage]]="Groups",ResultsInd[[#This Row],[Category]]&amp;"-"&amp;IF(ResultsInd[[#This Row],[Player B]]="","",IF(ResultsInd[[#This Row],[Score-A]]=ResultsInd[[#This Row],[Score-B]],ResultsInd[[#This Row],[Player B]],"")),""),"")</f>
        <v/>
      </c>
      <c r="U5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CONSOLATION-Salvatore Visconti</v>
      </c>
      <c r="W58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2" s="264" t="e">
        <f>IF(ResultsInd[[#This Row],[Category]]="","",VLOOKUP(ResultsInd[[#This Row],[Stage]],$P$1:$V$9,MATCH(ResultsInd[[#This Row],[Category]],$Q$1:$V$1,0)+1,FALSE))</f>
        <v>#N/A</v>
      </c>
      <c r="Z582" s="264" t="e">
        <f>IF(ResultsInd[[#This Row],[Score_OK]],IF(ResultsInd[[#This Row],[Level]]="R",ResultsInd[[#This Row],[Category]]&amp;"-"&amp;IF(ResultsInd[[#This Row],[LoseInKO]]=ResultsInd[[#This Row],[Category]]&amp;"-"&amp;ResultsInd[[#This Row],[Player A]],ResultsInd[[#This Row],[Player B]],ResultsInd[[#This Row],[Player A]]),""),"")</f>
        <v>#N/A</v>
      </c>
      <c r="AB582" s="8"/>
      <c r="AC582" s="12" t="str">
        <f t="shared" ref="AC582:AC587" si="511">IF(AC581="","",AC581)</f>
        <v/>
      </c>
      <c r="AD582" s="309"/>
      <c r="AE582" s="320"/>
      <c r="AF582" s="311"/>
      <c r="AG582" s="292" t="str">
        <f>IF(AP582="","",SMALL(AH581:AH587,ROWS(AG581:AG582)))</f>
        <v/>
      </c>
      <c r="AH582" s="293" t="str">
        <f>IF(AP582="","",RANK(AL582,AL581:AL587)*1000+ROWS(AH581:AH582))</f>
        <v/>
      </c>
      <c r="AI582" s="316" t="str">
        <f t="shared" si="505"/>
        <v/>
      </c>
      <c r="AJ582" s="415" t="b">
        <f>AND(AO582&lt;&gt;"",AO582&gt;0,COUNTIF(AI581:AI587,AI582)&gt;1)</f>
        <v>0</v>
      </c>
      <c r="AK582" s="316" t="str">
        <f t="shared" si="506"/>
        <v/>
      </c>
      <c r="AL582" s="317" t="str">
        <f t="shared" si="507"/>
        <v/>
      </c>
      <c r="AM582" s="415" t="b">
        <f>AND(AO582&lt;&gt;"",AO582&gt;0,COUNTIF(AL581:AL587,AL582)&gt;1)</f>
        <v>0</v>
      </c>
      <c r="AN582" s="306" t="str">
        <f t="shared" si="508"/>
        <v/>
      </c>
      <c r="AO582" s="307" t="str">
        <f t="shared" si="509"/>
        <v/>
      </c>
      <c r="AP582" s="307" t="str">
        <f>IF(OR(AC580="",AD582=""),"",COUNTIF(ResultsInd[Win],AC580&amp;"-"&amp;AD582))</f>
        <v/>
      </c>
      <c r="AQ582" s="307" t="str">
        <f>IF(OR(AC580="",AD582=""),"",COUNTIF(ResultsInd[Draw1],AC580&amp;"-"&amp;AD582)+COUNTIF(ResultsInd[Draw2],AC580&amp;"-"&amp;AD582))</f>
        <v/>
      </c>
      <c r="AR582" s="307" t="str">
        <f>IF(OR(AC580="",AD582=""),"",COUNTIF(ResultsInd[Lose],AC580&amp;"-"&amp;AD582))</f>
        <v/>
      </c>
      <c r="AS582" s="307" t="str">
        <f>IF(OR(AC580="",AD582=""),"",SUMIFS(ResultsInd[Goal-A],ResultsInd[Category],AC580,ResultsInd[Stage],"Groups",ResultsInd[Player A],AD582)+SUMIFS(ResultsInd[Goal-B],ResultsInd[Category],AC580,ResultsInd[Stage],"Groups",ResultsInd[Player B],AD582))</f>
        <v/>
      </c>
      <c r="AT582" s="307" t="str">
        <f>IF(OR(AC580="",AD582=""),"",SUMIFS(ResultsInd[Goal-B],ResultsInd[Category],AC580,ResultsInd[Stage],"Groups",ResultsInd[Player A],AD582)+SUMIFS(ResultsInd[Goal-A],ResultsInd[Category],AC580,ResultsInd[Stage],"Groups",ResultsInd[Player B],AD582))</f>
        <v/>
      </c>
      <c r="AU582" s="308" t="str">
        <f t="shared" ref="AU582:AU587" si="512">IF(AP582="","",AS582-AT582)</f>
        <v/>
      </c>
      <c r="AV582" s="469" t="str">
        <f>IF(AG582="","",OR(VLOOKUP(AG582,AH581:AU587,3,FALSE),VLOOKUP(AG582,AH581:AU587,6,FALSE)))</f>
        <v/>
      </c>
      <c r="AW582" s="298" t="str">
        <f t="shared" si="510"/>
        <v/>
      </c>
      <c r="AX582" s="285" t="str">
        <f>IF(AG582="","",INDEX(AD581:AD587,MATCH(AG582,AH581:AH587,0)))</f>
        <v/>
      </c>
      <c r="AY582" s="286" t="str">
        <f>IF(AG582="","",VLOOKUP(AG582,AH581:AU587,COLUMN()-COLUMN(AR580),FALSE))</f>
        <v/>
      </c>
      <c r="AZ582" s="286" t="str">
        <f>IF(AG582="","",VLOOKUP(AG582,AH581:AU587,COLUMN()-COLUMN(AR580),FALSE))</f>
        <v/>
      </c>
      <c r="BA582" s="286" t="str">
        <f>IF(AG582="","",VLOOKUP(AG582,AH581:AU587,COLUMN()-COLUMN(AR580),FALSE))</f>
        <v/>
      </c>
      <c r="BB582" s="286" t="str">
        <f>IF(AG582="","",VLOOKUP(AG582,AH581:AU587,COLUMN()-COLUMN(AR580),FALSE))</f>
        <v/>
      </c>
      <c r="BC582" s="286" t="str">
        <f>IF(AG582="","",VLOOKUP(AG582,AH581:AU587,COLUMN()-COLUMN(AR580),FALSE))</f>
        <v/>
      </c>
      <c r="BD582" s="286" t="str">
        <f>IF(AG582="","",VLOOKUP(AG582,AH581:AU587,COLUMN()-COLUMN(AR580),FALSE))</f>
        <v/>
      </c>
      <c r="BE582" s="286" t="str">
        <f>IF(AG582="","",VLOOKUP(AG582,AH581:AU587,COLUMN()-COLUMN(AR580),FALSE))</f>
        <v/>
      </c>
      <c r="BF582" s="301" t="str">
        <f>IF(AG582="","",VLOOKUP(AG582,AH581:AU587,COLUMN()-COLUMN(AR580),FALSE))</f>
        <v/>
      </c>
    </row>
    <row r="583" spans="1:58" ht="12" thickBot="1" x14ac:dyDescent="0.25">
      <c r="A583" s="505" t="s">
        <v>12263</v>
      </c>
      <c r="B583" s="62" t="s">
        <v>12216</v>
      </c>
      <c r="C583" s="62"/>
      <c r="D583" s="62"/>
      <c r="E583" s="345" t="s">
        <v>8538</v>
      </c>
      <c r="F583" s="345" t="s">
        <v>8696</v>
      </c>
      <c r="G583" s="113">
        <v>1</v>
      </c>
      <c r="H583" s="113">
        <v>2</v>
      </c>
      <c r="I583" s="114"/>
      <c r="J583" s="114"/>
      <c r="K583" s="114"/>
      <c r="L583" s="81"/>
      <c r="M583" s="265" t="b">
        <f>NOT(ISERROR(ResultsInd[[#This Row],[Goal-A]]+ResultsInd[[#This Row],[Goal-B]]))</f>
        <v>1</v>
      </c>
      <c r="N583" s="265">
        <f>VALUE(ResultsInd[[#This Row],[Score-A]])</f>
        <v>1</v>
      </c>
      <c r="O583" s="265">
        <f>VALUE(ResultsInd[[#This Row],[Score-B]])</f>
        <v>2</v>
      </c>
      <c r="P583" s="265" t="e">
        <f ca="1">IF(AND(ResultsInd[[#This Row],[Category]]&lt;&gt;"",ResultsInd[[#This Row],[Player A]]&lt;&gt;""),COUNTIF(INDIRECT(ResultsInd[[#This Row],[Category]]&amp;"List[Retained Player Name]"),ResultsInd[[#This Row],[Player A]]),"")</f>
        <v>#REF!</v>
      </c>
      <c r="Q583" s="265" t="e">
        <f ca="1">IF(AND(ResultsInd[[#This Row],[Category]]&lt;&gt;"",ResultsInd[[#This Row],[Player B]]&lt;&gt;""),COUNTIF(INDIRECT(ResultsInd[[#This Row],[Category]]&amp;"List[Retained Player Name]"),ResultsInd[[#This Row],[Player B]]),"")</f>
        <v>#REF!</v>
      </c>
      <c r="R5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3" s="265" t="str">
        <f>IF(ResultsInd[[#This Row],[Score_OK]],IF(ResultsInd[[#This Row],[Stage]]="Groups",ResultsInd[[#This Row],[Category]]&amp;"-"&amp;IF(ResultsInd[[#This Row],[Player B]]="","",IF(ResultsInd[[#This Row],[Score-A]]=ResultsInd[[#This Row],[Score-B]],ResultsInd[[#This Row],[Player A]],"")),""),"")</f>
        <v/>
      </c>
      <c r="T583" s="265" t="str">
        <f>IF(ResultsInd[[#This Row],[Score_OK]],IF(ResultsInd[[#This Row],[Stage]]="Groups",ResultsInd[[#This Row],[Category]]&amp;"-"&amp;IF(ResultsInd[[#This Row],[Player B]]="","",IF(ResultsInd[[#This Row],[Score-A]]=ResultsInd[[#This Row],[Score-B]],ResultsInd[[#This Row],[Player B]],"")),""),"")</f>
        <v/>
      </c>
      <c r="U5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CONSOLATION-Brandon Lavender</v>
      </c>
      <c r="W58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3" s="264" t="e">
        <f>IF(ResultsInd[[#This Row],[Category]]="","",VLOOKUP(ResultsInd[[#This Row],[Stage]],$P$1:$V$9,MATCH(ResultsInd[[#This Row],[Category]],$Q$1:$V$1,0)+1,FALSE))</f>
        <v>#N/A</v>
      </c>
      <c r="Z583" s="264" t="e">
        <f>IF(ResultsInd[[#This Row],[Score_OK]],IF(ResultsInd[[#This Row],[Level]]="R",ResultsInd[[#This Row],[Category]]&amp;"-"&amp;IF(ResultsInd[[#This Row],[LoseInKO]]=ResultsInd[[#This Row],[Category]]&amp;"-"&amp;ResultsInd[[#This Row],[Player A]],ResultsInd[[#This Row],[Player B]],ResultsInd[[#This Row],[Player A]]),""),"")</f>
        <v>#N/A</v>
      </c>
      <c r="AB583" s="8"/>
      <c r="AC583" s="12" t="str">
        <f t="shared" si="511"/>
        <v/>
      </c>
      <c r="AD583" s="309"/>
      <c r="AE583" s="320"/>
      <c r="AF583" s="311"/>
      <c r="AG583" s="292" t="str">
        <f>IF(AP583="","",SMALL(AH581:AH587,ROWS(AG581:AG583)))</f>
        <v/>
      </c>
      <c r="AH583" s="293" t="str">
        <f>IF(AP583="","",RANK(AL583,AL581:AL587)*1000+ROWS(AH581:AH583))</f>
        <v/>
      </c>
      <c r="AI583" s="316" t="str">
        <f t="shared" si="505"/>
        <v/>
      </c>
      <c r="AJ583" s="415" t="b">
        <f>AND(AO583&lt;&gt;"",AO583&gt;0,COUNTIF(AI581:AI587,AI583)&gt;1)</f>
        <v>0</v>
      </c>
      <c r="AK583" s="316" t="str">
        <f t="shared" si="506"/>
        <v/>
      </c>
      <c r="AL583" s="317" t="str">
        <f t="shared" si="507"/>
        <v/>
      </c>
      <c r="AM583" s="415" t="b">
        <f>AND(AO583&lt;&gt;"",AO583&gt;0,COUNTIF(AL581:AL587,AL583)&gt;1)</f>
        <v>0</v>
      </c>
      <c r="AN583" s="306" t="str">
        <f t="shared" si="508"/>
        <v/>
      </c>
      <c r="AO583" s="307" t="str">
        <f t="shared" si="509"/>
        <v/>
      </c>
      <c r="AP583" s="307" t="str">
        <f>IF(OR(AC580="",AD583=""),"",COUNTIF(ResultsInd[Win],AC580&amp;"-"&amp;AD583))</f>
        <v/>
      </c>
      <c r="AQ583" s="307" t="str">
        <f>IF(OR(AC580="",AD583=""),"",COUNTIF(ResultsInd[Draw1],AC580&amp;"-"&amp;AD583)+COUNTIF(ResultsInd[Draw2],AC580&amp;"-"&amp;AD583))</f>
        <v/>
      </c>
      <c r="AR583" s="307" t="str">
        <f>IF(OR(AC580="",AD583=""),"",COUNTIF(ResultsInd[Lose],AC580&amp;"-"&amp;AD583))</f>
        <v/>
      </c>
      <c r="AS583" s="307" t="str">
        <f>IF(OR(AC580="",AD583=""),"",SUMIFS(ResultsInd[Goal-A],ResultsInd[Category],AC580,ResultsInd[Stage],"Groups",ResultsInd[Player A],AD583)+SUMIFS(ResultsInd[Goal-B],ResultsInd[Category],AC580,ResultsInd[Stage],"Groups",ResultsInd[Player B],AD583))</f>
        <v/>
      </c>
      <c r="AT583" s="307" t="str">
        <f>IF(OR(AC580="",AD583=""),"",SUMIFS(ResultsInd[Goal-B],ResultsInd[Category],AC580,ResultsInd[Stage],"Groups",ResultsInd[Player A],AD583)+SUMIFS(ResultsInd[Goal-A],ResultsInd[Category],AC580,ResultsInd[Stage],"Groups",ResultsInd[Player B],AD583))</f>
        <v/>
      </c>
      <c r="AU583" s="308" t="str">
        <f t="shared" si="512"/>
        <v/>
      </c>
      <c r="AV583" s="469" t="str">
        <f>IF(AG583="","",OR(VLOOKUP(AG583,AH581:AU587,3,FALSE),VLOOKUP(AG583,AH581:AU587,6,FALSE)))</f>
        <v/>
      </c>
      <c r="AW583" s="298" t="str">
        <f t="shared" si="510"/>
        <v/>
      </c>
      <c r="AX583" s="285" t="str">
        <f>IF(AG583="","",INDEX(AD581:AD587,MATCH(AG583,AH581:AH587,0)))</f>
        <v/>
      </c>
      <c r="AY583" s="286" t="str">
        <f>IF(AG583="","",VLOOKUP(AG583,AH581:AU587,COLUMN()-COLUMN(AR580),FALSE))</f>
        <v/>
      </c>
      <c r="AZ583" s="286" t="str">
        <f>IF(AG583="","",VLOOKUP(AG583,AH581:AU587,COLUMN()-COLUMN(AR580),FALSE))</f>
        <v/>
      </c>
      <c r="BA583" s="286" t="str">
        <f>IF(AG583="","",VLOOKUP(AG583,AH581:AU587,COLUMN()-COLUMN(AR580),FALSE))</f>
        <v/>
      </c>
      <c r="BB583" s="286" t="str">
        <f>IF(AG583="","",VLOOKUP(AG583,AH581:AU587,COLUMN()-COLUMN(AR580),FALSE))</f>
        <v/>
      </c>
      <c r="BC583" s="286" t="str">
        <f>IF(AG583="","",VLOOKUP(AG583,AH581:AU587,COLUMN()-COLUMN(AR580),FALSE))</f>
        <v/>
      </c>
      <c r="BD583" s="286" t="str">
        <f>IF(AG583="","",VLOOKUP(AG583,AH581:AU587,COLUMN()-COLUMN(AR580),FALSE))</f>
        <v/>
      </c>
      <c r="BE583" s="286" t="str">
        <f>IF(AG583="","",VLOOKUP(AG583,AH581:AU587,COLUMN()-COLUMN(AR580),FALSE))</f>
        <v/>
      </c>
      <c r="BF583" s="301" t="str">
        <f>IF(AG583="","",VLOOKUP(AG583,AH581:AU587,COLUMN()-COLUMN(AR580),FALSE))</f>
        <v/>
      </c>
    </row>
    <row r="584" spans="1:58" ht="12" thickBot="1" x14ac:dyDescent="0.25">
      <c r="A584" s="505" t="s">
        <v>12263</v>
      </c>
      <c r="B584" s="62" t="s">
        <v>12216</v>
      </c>
      <c r="C584" s="62"/>
      <c r="D584" s="62"/>
      <c r="E584" s="345" t="s">
        <v>10459</v>
      </c>
      <c r="F584" s="345" t="s">
        <v>8539</v>
      </c>
      <c r="G584" s="113">
        <v>1</v>
      </c>
      <c r="H584" s="113">
        <v>1</v>
      </c>
      <c r="I584" s="114"/>
      <c r="J584" s="114">
        <v>2</v>
      </c>
      <c r="K584" s="114">
        <v>3</v>
      </c>
      <c r="L584" s="81"/>
      <c r="M584" s="265" t="b">
        <f>NOT(ISERROR(ResultsInd[[#This Row],[Goal-A]]+ResultsInd[[#This Row],[Goal-B]]))</f>
        <v>1</v>
      </c>
      <c r="N584" s="265">
        <f>VALUE(ResultsInd[[#This Row],[Score-A]])</f>
        <v>1</v>
      </c>
      <c r="O584" s="265">
        <f>VALUE(ResultsInd[[#This Row],[Score-B]])</f>
        <v>1</v>
      </c>
      <c r="P584" s="265" t="e">
        <f ca="1">IF(AND(ResultsInd[[#This Row],[Category]]&lt;&gt;"",ResultsInd[[#This Row],[Player A]]&lt;&gt;""),COUNTIF(INDIRECT(ResultsInd[[#This Row],[Category]]&amp;"List[Retained Player Name]"),ResultsInd[[#This Row],[Player A]]),"")</f>
        <v>#REF!</v>
      </c>
      <c r="Q584" s="265" t="e">
        <f ca="1">IF(AND(ResultsInd[[#This Row],[Category]]&lt;&gt;"",ResultsInd[[#This Row],[Player B]]&lt;&gt;""),COUNTIF(INDIRECT(ResultsInd[[#This Row],[Category]]&amp;"List[Retained Player Name]"),ResultsInd[[#This Row],[Player B]]),"")</f>
        <v>#REF!</v>
      </c>
      <c r="R5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4" s="265" t="str">
        <f>IF(ResultsInd[[#This Row],[Score_OK]],IF(ResultsInd[[#This Row],[Stage]]="Groups",ResultsInd[[#This Row],[Category]]&amp;"-"&amp;IF(ResultsInd[[#This Row],[Player B]]="","",IF(ResultsInd[[#This Row],[Score-A]]=ResultsInd[[#This Row],[Score-B]],ResultsInd[[#This Row],[Player A]],"")),""),"")</f>
        <v/>
      </c>
      <c r="T584" s="265" t="str">
        <f>IF(ResultsInd[[#This Row],[Score_OK]],IF(ResultsInd[[#This Row],[Stage]]="Groups",ResultsInd[[#This Row],[Category]]&amp;"-"&amp;IF(ResultsInd[[#This Row],[Player B]]="","",IF(ResultsInd[[#This Row],[Score-A]]=ResultsInd[[#This Row],[Score-B]],ResultsInd[[#This Row],[Player B]],"")),""),"")</f>
        <v/>
      </c>
      <c r="U5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CONSOLATION-Nico Marks</v>
      </c>
      <c r="W58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4" s="264" t="e">
        <f>IF(ResultsInd[[#This Row],[Category]]="","",VLOOKUP(ResultsInd[[#This Row],[Stage]],$P$1:$V$9,MATCH(ResultsInd[[#This Row],[Category]],$Q$1:$V$1,0)+1,FALSE))</f>
        <v>#N/A</v>
      </c>
      <c r="Z584" s="264" t="e">
        <f>IF(ResultsInd[[#This Row],[Score_OK]],IF(ResultsInd[[#This Row],[Level]]="R",ResultsInd[[#This Row],[Category]]&amp;"-"&amp;IF(ResultsInd[[#This Row],[LoseInKO]]=ResultsInd[[#This Row],[Category]]&amp;"-"&amp;ResultsInd[[#This Row],[Player A]],ResultsInd[[#This Row],[Player B]],ResultsInd[[#This Row],[Player A]]),""),"")</f>
        <v>#N/A</v>
      </c>
      <c r="AB584" s="91"/>
      <c r="AC584" s="12" t="str">
        <f t="shared" si="511"/>
        <v/>
      </c>
      <c r="AD584" s="309"/>
      <c r="AE584" s="310"/>
      <c r="AF584" s="311"/>
      <c r="AG584" s="292" t="str">
        <f>IF(AP584="","",SMALL(AH581:AH587,ROWS(AG581:AG584)))</f>
        <v/>
      </c>
      <c r="AH584" s="293" t="str">
        <f>IF(AP584="","",RANK(AL584,AL581:AL587)*1000+ROWS(AH581:AH584))</f>
        <v/>
      </c>
      <c r="AI584" s="316" t="str">
        <f t="shared" si="505"/>
        <v/>
      </c>
      <c r="AJ584" s="415" t="b">
        <f>AND(AO584&lt;&gt;"",AO584&gt;0,COUNTIF(AI581:AI587,AI584)&gt;1)</f>
        <v>0</v>
      </c>
      <c r="AK584" s="316" t="str">
        <f t="shared" si="506"/>
        <v/>
      </c>
      <c r="AL584" s="317" t="str">
        <f t="shared" si="507"/>
        <v/>
      </c>
      <c r="AM584" s="415" t="b">
        <f>AND(AO584&lt;&gt;"",AO584&gt;0,COUNTIF(AL581:AL587,AL584)&gt;1)</f>
        <v>0</v>
      </c>
      <c r="AN584" s="306" t="str">
        <f t="shared" si="508"/>
        <v/>
      </c>
      <c r="AO584" s="307" t="str">
        <f t="shared" si="509"/>
        <v/>
      </c>
      <c r="AP584" s="307" t="str">
        <f>IF(OR(AC580="",AD584=""),"",COUNTIF(ResultsInd[Win],AC580&amp;"-"&amp;AD584))</f>
        <v/>
      </c>
      <c r="AQ584" s="307" t="str">
        <f>IF(OR(AC580="",AD584=""),"",COUNTIF(ResultsInd[Draw1],AC580&amp;"-"&amp;AD584)+COUNTIF(ResultsInd[Draw2],AC580&amp;"-"&amp;AD584))</f>
        <v/>
      </c>
      <c r="AR584" s="307" t="str">
        <f>IF(OR(AC580="",AD584=""),"",COUNTIF(ResultsInd[Lose],AC580&amp;"-"&amp;AD584))</f>
        <v/>
      </c>
      <c r="AS584" s="307" t="str">
        <f>IF(OR(AC580="",AD584=""),"",SUMIFS(ResultsInd[Goal-A],ResultsInd[Category],AC580,ResultsInd[Stage],"Groups",ResultsInd[Player A],AD584)+SUMIFS(ResultsInd[Goal-B],ResultsInd[Category],AC580,ResultsInd[Stage],"Groups",ResultsInd[Player B],AD584))</f>
        <v/>
      </c>
      <c r="AT584" s="307" t="str">
        <f>IF(OR(AC580="",AD584=""),"",SUMIFS(ResultsInd[Goal-B],ResultsInd[Category],AC580,ResultsInd[Stage],"Groups",ResultsInd[Player A],AD584)+SUMIFS(ResultsInd[Goal-A],ResultsInd[Category],AC580,ResultsInd[Stage],"Groups",ResultsInd[Player B],AD584))</f>
        <v/>
      </c>
      <c r="AU584" s="308" t="str">
        <f t="shared" si="512"/>
        <v/>
      </c>
      <c r="AV584" s="469" t="str">
        <f>IF(AG584="","",OR(VLOOKUP(AG584,AH581:AU587,3,FALSE),VLOOKUP(AG584,AH581:AU587,6,FALSE)))</f>
        <v/>
      </c>
      <c r="AW584" s="298" t="str">
        <f t="shared" si="510"/>
        <v/>
      </c>
      <c r="AX584" s="285" t="str">
        <f>IF(AG584="","",INDEX(AD581:AD587,MATCH(AG584,AH581:AH587,0)))</f>
        <v/>
      </c>
      <c r="AY584" s="286" t="str">
        <f>IF(AG584="","",VLOOKUP(AG584,AH581:AU587,COLUMN()-COLUMN(AR580),FALSE))</f>
        <v/>
      </c>
      <c r="AZ584" s="286" t="str">
        <f>IF(AG584="","",VLOOKUP(AG584,AH581:AU587,COLUMN()-COLUMN(AR580),FALSE))</f>
        <v/>
      </c>
      <c r="BA584" s="286" t="str">
        <f>IF(AG584="","",VLOOKUP(AG584,AH581:AU587,COLUMN()-COLUMN(AR580),FALSE))</f>
        <v/>
      </c>
      <c r="BB584" s="286" t="str">
        <f>IF(AG584="","",VLOOKUP(AG584,AH581:AU587,COLUMN()-COLUMN(AR580),FALSE))</f>
        <v/>
      </c>
      <c r="BC584" s="286" t="str">
        <f>IF(AG584="","",VLOOKUP(AG584,AH581:AU587,COLUMN()-COLUMN(AR580),FALSE))</f>
        <v/>
      </c>
      <c r="BD584" s="286" t="str">
        <f>IF(AG584="","",VLOOKUP(AG584,AH581:AU587,COLUMN()-COLUMN(AR580),FALSE))</f>
        <v/>
      </c>
      <c r="BE584" s="286" t="str">
        <f>IF(AG584="","",VLOOKUP(AG584,AH581:AU587,COLUMN()-COLUMN(AR580),FALSE))</f>
        <v/>
      </c>
      <c r="BF584" s="301" t="str">
        <f>IF(AG584="","",VLOOKUP(AG584,AH581:AU587,COLUMN()-COLUMN(AR580),FALSE))</f>
        <v/>
      </c>
    </row>
    <row r="585" spans="1:58" ht="12" thickBot="1" x14ac:dyDescent="0.25">
      <c r="A585" s="505" t="s">
        <v>12263</v>
      </c>
      <c r="B585" s="62" t="s">
        <v>12216</v>
      </c>
      <c r="C585" s="62"/>
      <c r="D585" s="62"/>
      <c r="E585" s="345" t="s">
        <v>12619</v>
      </c>
      <c r="F585" s="345" t="s">
        <v>10359</v>
      </c>
      <c r="G585" s="113">
        <v>0</v>
      </c>
      <c r="H585" s="113">
        <v>4</v>
      </c>
      <c r="I585" s="114"/>
      <c r="J585" s="114"/>
      <c r="K585" s="114"/>
      <c r="L585" s="81"/>
      <c r="M585" s="265" t="b">
        <f>NOT(ISERROR(ResultsInd[[#This Row],[Goal-A]]+ResultsInd[[#This Row],[Goal-B]]))</f>
        <v>1</v>
      </c>
      <c r="N585" s="265">
        <f>VALUE(ResultsInd[[#This Row],[Score-A]])</f>
        <v>0</v>
      </c>
      <c r="O585" s="265">
        <f>VALUE(ResultsInd[[#This Row],[Score-B]])</f>
        <v>4</v>
      </c>
      <c r="P585" s="265" t="e">
        <f ca="1">IF(AND(ResultsInd[[#This Row],[Category]]&lt;&gt;"",ResultsInd[[#This Row],[Player A]]&lt;&gt;""),COUNTIF(INDIRECT(ResultsInd[[#This Row],[Category]]&amp;"List[Retained Player Name]"),ResultsInd[[#This Row],[Player A]]),"")</f>
        <v>#REF!</v>
      </c>
      <c r="Q585" s="265" t="e">
        <f ca="1">IF(AND(ResultsInd[[#This Row],[Category]]&lt;&gt;"",ResultsInd[[#This Row],[Player B]]&lt;&gt;""),COUNTIF(INDIRECT(ResultsInd[[#This Row],[Category]]&amp;"List[Retained Player Name]"),ResultsInd[[#This Row],[Player B]]),"")</f>
        <v>#REF!</v>
      </c>
      <c r="R5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5" s="265" t="str">
        <f>IF(ResultsInd[[#This Row],[Score_OK]],IF(ResultsInd[[#This Row],[Stage]]="Groups",ResultsInd[[#This Row],[Category]]&amp;"-"&amp;IF(ResultsInd[[#This Row],[Player B]]="","",IF(ResultsInd[[#This Row],[Score-A]]=ResultsInd[[#This Row],[Score-B]],ResultsInd[[#This Row],[Player A]],"")),""),"")</f>
        <v/>
      </c>
      <c r="T585" s="265" t="str">
        <f>IF(ResultsInd[[#This Row],[Score_OK]],IF(ResultsInd[[#This Row],[Stage]]="Groups",ResultsInd[[#This Row],[Category]]&amp;"-"&amp;IF(ResultsInd[[#This Row],[Player B]]="","",IF(ResultsInd[[#This Row],[Score-A]]=ResultsInd[[#This Row],[Score-B]],ResultsInd[[#This Row],[Player B]],"")),""),"")</f>
        <v/>
      </c>
      <c r="U5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CONSOLATION-Richard Oranje</v>
      </c>
      <c r="W58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5" s="264" t="e">
        <f>IF(ResultsInd[[#This Row],[Category]]="","",VLOOKUP(ResultsInd[[#This Row],[Stage]],$P$1:$V$9,MATCH(ResultsInd[[#This Row],[Category]],$Q$1:$V$1,0)+1,FALSE))</f>
        <v>#N/A</v>
      </c>
      <c r="Z585" s="264" t="e">
        <f>IF(ResultsInd[[#This Row],[Score_OK]],IF(ResultsInd[[#This Row],[Level]]="R",ResultsInd[[#This Row],[Category]]&amp;"-"&amp;IF(ResultsInd[[#This Row],[LoseInKO]]=ResultsInd[[#This Row],[Category]]&amp;"-"&amp;ResultsInd[[#This Row],[Player A]],ResultsInd[[#This Row],[Player B]],ResultsInd[[#This Row],[Player A]]),""),"")</f>
        <v>#N/A</v>
      </c>
      <c r="AB585" s="91"/>
      <c r="AC585" s="12" t="str">
        <f t="shared" si="511"/>
        <v/>
      </c>
      <c r="AD585" s="309"/>
      <c r="AE585" s="310"/>
      <c r="AF585" s="311"/>
      <c r="AG585" s="292" t="str">
        <f>IF(AP585="","",SMALL(AH581:AH587,ROWS(AG581:AG585)))</f>
        <v/>
      </c>
      <c r="AH585" s="293" t="str">
        <f>IF(AP585="","",RANK(AL585,AL581:AL587)*1000+ROWS(AH581:AH585))</f>
        <v/>
      </c>
      <c r="AI585" s="316" t="str">
        <f t="shared" si="505"/>
        <v/>
      </c>
      <c r="AJ585" s="415" t="b">
        <f>AND(AO585&lt;&gt;"",AO585&gt;0,COUNTIF(AI581:AI587,AI585)&gt;1)</f>
        <v>0</v>
      </c>
      <c r="AK585" s="316" t="str">
        <f t="shared" si="506"/>
        <v/>
      </c>
      <c r="AL585" s="317" t="str">
        <f t="shared" si="507"/>
        <v/>
      </c>
      <c r="AM585" s="415" t="b">
        <f>AND(AO585&lt;&gt;"",AO585&gt;0,COUNTIF(AL581:AL587,AL585)&gt;1)</f>
        <v>0</v>
      </c>
      <c r="AN585" s="306" t="str">
        <f t="shared" si="508"/>
        <v/>
      </c>
      <c r="AO585" s="307" t="str">
        <f t="shared" si="509"/>
        <v/>
      </c>
      <c r="AP585" s="307" t="str">
        <f>IF(OR(AC580="",AD585=""),"",COUNTIF(ResultsInd[Win],AC580&amp;"-"&amp;AD585))</f>
        <v/>
      </c>
      <c r="AQ585" s="307" t="str">
        <f>IF(OR(AC580="",AD585=""),"",COUNTIF(ResultsInd[Draw1],AC580&amp;"-"&amp;AD585)+COUNTIF(ResultsInd[Draw2],AC580&amp;"-"&amp;AD585))</f>
        <v/>
      </c>
      <c r="AR585" s="307" t="str">
        <f>IF(OR(AC580="",AD585=""),"",COUNTIF(ResultsInd[Lose],AC580&amp;"-"&amp;AD585))</f>
        <v/>
      </c>
      <c r="AS585" s="307" t="str">
        <f>IF(OR(AC580="",AD585=""),"",SUMIFS(ResultsInd[Goal-A],ResultsInd[Category],AC580,ResultsInd[Stage],"Groups",ResultsInd[Player A],AD585)+SUMIFS(ResultsInd[Goal-B],ResultsInd[Category],AC580,ResultsInd[Stage],"Groups",ResultsInd[Player B],AD585))</f>
        <v/>
      </c>
      <c r="AT585" s="307" t="str">
        <f>IF(OR(AC580="",AD585=""),"",SUMIFS(ResultsInd[Goal-B],ResultsInd[Category],AC580,ResultsInd[Stage],"Groups",ResultsInd[Player A],AD585)+SUMIFS(ResultsInd[Goal-A],ResultsInd[Category],AC580,ResultsInd[Stage],"Groups",ResultsInd[Player B],AD585))</f>
        <v/>
      </c>
      <c r="AU585" s="308" t="str">
        <f t="shared" si="512"/>
        <v/>
      </c>
      <c r="AV585" s="469" t="str">
        <f>IF(AG585="","",OR(VLOOKUP(AG585,AH581:AU587,3,FALSE),VLOOKUP(AG585,AH581:AU587,6,FALSE)))</f>
        <v/>
      </c>
      <c r="AW585" s="298" t="str">
        <f t="shared" si="510"/>
        <v/>
      </c>
      <c r="AX585" s="285" t="str">
        <f>IF(AG585="","",INDEX(AD581:AD587,MATCH(AG585,AH581:AH587,0)))</f>
        <v/>
      </c>
      <c r="AY585" s="286" t="str">
        <f>IF(AG585="","",VLOOKUP(AG585,AH581:AU587,COLUMN()-COLUMN(AR580),FALSE))</f>
        <v/>
      </c>
      <c r="AZ585" s="286" t="str">
        <f>IF(AG585="","",VLOOKUP(AG585,AH581:AU587,COLUMN()-COLUMN(AR580),FALSE))</f>
        <v/>
      </c>
      <c r="BA585" s="286" t="str">
        <f>IF(AG585="","",VLOOKUP(AG585,AH581:AU587,COLUMN()-COLUMN(AR580),FALSE))</f>
        <v/>
      </c>
      <c r="BB585" s="286" t="str">
        <f>IF(AG585="","",VLOOKUP(AG585,AH581:AU587,COLUMN()-COLUMN(AR580),FALSE))</f>
        <v/>
      </c>
      <c r="BC585" s="286" t="str">
        <f>IF(AG585="","",VLOOKUP(AG585,AH581:AU587,COLUMN()-COLUMN(AR580),FALSE))</f>
        <v/>
      </c>
      <c r="BD585" s="286" t="str">
        <f>IF(AG585="","",VLOOKUP(AG585,AH581:AU587,COLUMN()-COLUMN(AR580),FALSE))</f>
        <v/>
      </c>
      <c r="BE585" s="286" t="str">
        <f>IF(AG585="","",VLOOKUP(AG585,AH581:AU587,COLUMN()-COLUMN(AR580),FALSE))</f>
        <v/>
      </c>
      <c r="BF585" s="301" t="str">
        <f>IF(AG585="","",VLOOKUP(AG585,AH581:AU587,COLUMN()-COLUMN(AR580),FALSE))</f>
        <v/>
      </c>
    </row>
    <row r="586" spans="1:58" ht="12" thickBot="1" x14ac:dyDescent="0.25">
      <c r="A586" s="505" t="s">
        <v>12263</v>
      </c>
      <c r="B586" s="62" t="s">
        <v>12216</v>
      </c>
      <c r="C586" s="62"/>
      <c r="D586" s="62"/>
      <c r="E586" s="345" t="s">
        <v>11270</v>
      </c>
      <c r="F586" s="345" t="s">
        <v>8131</v>
      </c>
      <c r="G586" s="113">
        <v>3</v>
      </c>
      <c r="H586" s="113">
        <v>0</v>
      </c>
      <c r="I586" s="114"/>
      <c r="J586" s="114"/>
      <c r="K586" s="114"/>
      <c r="L586" s="81"/>
      <c r="M586" s="265" t="b">
        <f>NOT(ISERROR(ResultsInd[[#This Row],[Goal-A]]+ResultsInd[[#This Row],[Goal-B]]))</f>
        <v>1</v>
      </c>
      <c r="N586" s="265">
        <f>VALUE(ResultsInd[[#This Row],[Score-A]])</f>
        <v>3</v>
      </c>
      <c r="O586" s="265">
        <f>VALUE(ResultsInd[[#This Row],[Score-B]])</f>
        <v>0</v>
      </c>
      <c r="P586" s="265" t="e">
        <f ca="1">IF(AND(ResultsInd[[#This Row],[Category]]&lt;&gt;"",ResultsInd[[#This Row],[Player A]]&lt;&gt;""),COUNTIF(INDIRECT(ResultsInd[[#This Row],[Category]]&amp;"List[Retained Player Name]"),ResultsInd[[#This Row],[Player A]]),"")</f>
        <v>#REF!</v>
      </c>
      <c r="Q586" s="265" t="e">
        <f ca="1">IF(AND(ResultsInd[[#This Row],[Category]]&lt;&gt;"",ResultsInd[[#This Row],[Player B]]&lt;&gt;""),COUNTIF(INDIRECT(ResultsInd[[#This Row],[Category]]&amp;"List[Retained Player Name]"),ResultsInd[[#This Row],[Player B]]),"")</f>
        <v>#REF!</v>
      </c>
      <c r="R5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6" s="265" t="str">
        <f>IF(ResultsInd[[#This Row],[Score_OK]],IF(ResultsInd[[#This Row],[Stage]]="Groups",ResultsInd[[#This Row],[Category]]&amp;"-"&amp;IF(ResultsInd[[#This Row],[Player B]]="","",IF(ResultsInd[[#This Row],[Score-A]]=ResultsInd[[#This Row],[Score-B]],ResultsInd[[#This Row],[Player A]],"")),""),"")</f>
        <v/>
      </c>
      <c r="T586" s="265" t="str">
        <f>IF(ResultsInd[[#This Row],[Score_OK]],IF(ResultsInd[[#This Row],[Stage]]="Groups",ResultsInd[[#This Row],[Category]]&amp;"-"&amp;IF(ResultsInd[[#This Row],[Player B]]="","",IF(ResultsInd[[#This Row],[Score-A]]=ResultsInd[[#This Row],[Score-B]],ResultsInd[[#This Row],[Player B]],"")),""),"")</f>
        <v/>
      </c>
      <c r="U5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CONSOLATION-Pol Serwy</v>
      </c>
      <c r="W58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6" s="264" t="e">
        <f>IF(ResultsInd[[#This Row],[Category]]="","",VLOOKUP(ResultsInd[[#This Row],[Stage]],$P$1:$V$9,MATCH(ResultsInd[[#This Row],[Category]],$Q$1:$V$1,0)+1,FALSE))</f>
        <v>#N/A</v>
      </c>
      <c r="Z586" s="264" t="e">
        <f>IF(ResultsInd[[#This Row],[Score_OK]],IF(ResultsInd[[#This Row],[Level]]="R",ResultsInd[[#This Row],[Category]]&amp;"-"&amp;IF(ResultsInd[[#This Row],[LoseInKO]]=ResultsInd[[#This Row],[Category]]&amp;"-"&amp;ResultsInd[[#This Row],[Player A]],ResultsInd[[#This Row],[Player B]],ResultsInd[[#This Row],[Player A]]),""),"")</f>
        <v>#N/A</v>
      </c>
      <c r="AB586" s="8"/>
      <c r="AC586" s="12" t="str">
        <f t="shared" si="511"/>
        <v/>
      </c>
      <c r="AD586" s="309"/>
      <c r="AE586" s="310"/>
      <c r="AF586" s="311"/>
      <c r="AG586" s="292" t="str">
        <f>IF(AP586="","",SMALL(AH581:AH587,ROWS(AG581:AG586)))</f>
        <v/>
      </c>
      <c r="AH586" s="293" t="str">
        <f>IF(AP586="","",RANK(AL586,AL581:AL587)*1000+ROWS(AH581:AH586))</f>
        <v/>
      </c>
      <c r="AI586" s="316" t="str">
        <f t="shared" si="505"/>
        <v/>
      </c>
      <c r="AJ586" s="415" t="b">
        <f>AND(AO586&lt;&gt;"",AO586&gt;0,COUNTIF(AI581:AI587,AI586)&gt;1)</f>
        <v>0</v>
      </c>
      <c r="AK586" s="316" t="str">
        <f t="shared" si="506"/>
        <v/>
      </c>
      <c r="AL586" s="317" t="str">
        <f t="shared" si="507"/>
        <v/>
      </c>
      <c r="AM586" s="415" t="b">
        <f>AND(AO586&lt;&gt;"",AO586&gt;0,COUNTIF(AL581:AL587,AL586)&gt;1)</f>
        <v>0</v>
      </c>
      <c r="AN586" s="306" t="str">
        <f t="shared" si="508"/>
        <v/>
      </c>
      <c r="AO586" s="307" t="str">
        <f t="shared" si="509"/>
        <v/>
      </c>
      <c r="AP586" s="307" t="str">
        <f>IF(OR(AC580="",AD586=""),"",COUNTIF(ResultsInd[Win],AC580&amp;"-"&amp;AD586))</f>
        <v/>
      </c>
      <c r="AQ586" s="307" t="str">
        <f>IF(OR(AC580="",AD586=""),"",COUNTIF(ResultsInd[Draw1],AC580&amp;"-"&amp;AD586)+COUNTIF(ResultsInd[Draw2],AC580&amp;"-"&amp;AD586))</f>
        <v/>
      </c>
      <c r="AR586" s="307" t="str">
        <f>IF(OR(AC580="",AD586=""),"",COUNTIF(ResultsInd[Lose],AC580&amp;"-"&amp;AD586))</f>
        <v/>
      </c>
      <c r="AS586" s="307" t="str">
        <f>IF(OR(AC580="",AD586=""),"",SUMIFS(ResultsInd[Goal-A],ResultsInd[Category],AC580,ResultsInd[Stage],"Groups",ResultsInd[Player A],AD586)+SUMIFS(ResultsInd[Goal-B],ResultsInd[Category],AC580,ResultsInd[Stage],"Groups",ResultsInd[Player B],AD586))</f>
        <v/>
      </c>
      <c r="AT586" s="307" t="str">
        <f>IF(OR(AC580="",AD586=""),"",SUMIFS(ResultsInd[Goal-B],ResultsInd[Category],AC580,ResultsInd[Stage],"Groups",ResultsInd[Player A],AD586)+SUMIFS(ResultsInd[Goal-A],ResultsInd[Category],AC580,ResultsInd[Stage],"Groups",ResultsInd[Player B],AD586))</f>
        <v/>
      </c>
      <c r="AU586" s="308" t="str">
        <f t="shared" si="512"/>
        <v/>
      </c>
      <c r="AV586" s="469" t="str">
        <f>IF(AG586="","",OR(VLOOKUP(AG586,AH581:AU587,3,FALSE),VLOOKUP(AG586,AH581:AU587,6,FALSE)))</f>
        <v/>
      </c>
      <c r="AW586" s="298" t="str">
        <f t="shared" si="510"/>
        <v/>
      </c>
      <c r="AX586" s="285" t="str">
        <f>IF(AG586="","",INDEX(AD581:AD587,MATCH(AG586,AH581:AH587,0)))</f>
        <v/>
      </c>
      <c r="AY586" s="286" t="str">
        <f>IF(AG586="","",VLOOKUP(AG586,AH581:AU587,COLUMN()-COLUMN(AR580),FALSE))</f>
        <v/>
      </c>
      <c r="AZ586" s="286" t="str">
        <f>IF(AG586="","",VLOOKUP(AG586,AH581:AU587,COLUMN()-COLUMN(AR580),FALSE))</f>
        <v/>
      </c>
      <c r="BA586" s="286" t="str">
        <f>IF(AG586="","",VLOOKUP(AG586,AH581:AU587,COLUMN()-COLUMN(AR580),FALSE))</f>
        <v/>
      </c>
      <c r="BB586" s="286" t="str">
        <f>IF(AG586="","",VLOOKUP(AG586,AH581:AU587,COLUMN()-COLUMN(AR580),FALSE))</f>
        <v/>
      </c>
      <c r="BC586" s="286" t="str">
        <f>IF(AG586="","",VLOOKUP(AG586,AH581:AU587,COLUMN()-COLUMN(AR580),FALSE))</f>
        <v/>
      </c>
      <c r="BD586" s="286" t="str">
        <f>IF(AG586="","",VLOOKUP(AG586,AH581:AU587,COLUMN()-COLUMN(AR580),FALSE))</f>
        <v/>
      </c>
      <c r="BE586" s="286" t="str">
        <f>IF(AG586="","",VLOOKUP(AG586,AH581:AU587,COLUMN()-COLUMN(AR580),FALSE))</f>
        <v/>
      </c>
      <c r="BF586" s="301" t="str">
        <f>IF(AG586="","",VLOOKUP(AG586,AH581:AU587,COLUMN()-COLUMN(AR580),FALSE))</f>
        <v/>
      </c>
    </row>
    <row r="587" spans="1:58" ht="12" thickBot="1" x14ac:dyDescent="0.25">
      <c r="A587" s="505" t="s">
        <v>12263</v>
      </c>
      <c r="B587" s="62" t="s">
        <v>12216</v>
      </c>
      <c r="C587" s="62"/>
      <c r="D587" s="62"/>
      <c r="E587" s="345" t="s">
        <v>13262</v>
      </c>
      <c r="F587" s="345" t="s">
        <v>8107</v>
      </c>
      <c r="G587" s="113">
        <v>0</v>
      </c>
      <c r="H587" s="113">
        <v>3</v>
      </c>
      <c r="I587" s="114"/>
      <c r="J587" s="114"/>
      <c r="K587" s="114"/>
      <c r="L587" s="81"/>
      <c r="M587" s="265" t="b">
        <f>NOT(ISERROR(ResultsInd[[#This Row],[Goal-A]]+ResultsInd[[#This Row],[Goal-B]]))</f>
        <v>1</v>
      </c>
      <c r="N587" s="265">
        <f>VALUE(ResultsInd[[#This Row],[Score-A]])</f>
        <v>0</v>
      </c>
      <c r="O587" s="265">
        <f>VALUE(ResultsInd[[#This Row],[Score-B]])</f>
        <v>3</v>
      </c>
      <c r="P587" s="265" t="e">
        <f ca="1">IF(AND(ResultsInd[[#This Row],[Category]]&lt;&gt;"",ResultsInd[[#This Row],[Player A]]&lt;&gt;""),COUNTIF(INDIRECT(ResultsInd[[#This Row],[Category]]&amp;"List[Retained Player Name]"),ResultsInd[[#This Row],[Player A]]),"")</f>
        <v>#REF!</v>
      </c>
      <c r="Q587" s="265" t="e">
        <f ca="1">IF(AND(ResultsInd[[#This Row],[Category]]&lt;&gt;"",ResultsInd[[#This Row],[Player B]]&lt;&gt;""),COUNTIF(INDIRECT(ResultsInd[[#This Row],[Category]]&amp;"List[Retained Player Name]"),ResultsInd[[#This Row],[Player B]]),"")</f>
        <v>#REF!</v>
      </c>
      <c r="R5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7" s="265" t="str">
        <f>IF(ResultsInd[[#This Row],[Score_OK]],IF(ResultsInd[[#This Row],[Stage]]="Groups",ResultsInd[[#This Row],[Category]]&amp;"-"&amp;IF(ResultsInd[[#This Row],[Player B]]="","",IF(ResultsInd[[#This Row],[Score-A]]=ResultsInd[[#This Row],[Score-B]],ResultsInd[[#This Row],[Player A]],"")),""),"")</f>
        <v/>
      </c>
      <c r="T587" s="265" t="str">
        <f>IF(ResultsInd[[#This Row],[Score_OK]],IF(ResultsInd[[#This Row],[Stage]]="Groups",ResultsInd[[#This Row],[Category]]&amp;"-"&amp;IF(ResultsInd[[#This Row],[Player B]]="","",IF(ResultsInd[[#This Row],[Score-A]]=ResultsInd[[#This Row],[Score-B]],ResultsInd[[#This Row],[Player B]],"")),""),"")</f>
        <v/>
      </c>
      <c r="U5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CONSOLATION-Martin Colwell</v>
      </c>
      <c r="W58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7" s="264" t="e">
        <f>IF(ResultsInd[[#This Row],[Category]]="","",VLOOKUP(ResultsInd[[#This Row],[Stage]],$P$1:$V$9,MATCH(ResultsInd[[#This Row],[Category]],$Q$1:$V$1,0)+1,FALSE))</f>
        <v>#N/A</v>
      </c>
      <c r="Z587" s="264" t="e">
        <f>IF(ResultsInd[[#This Row],[Score_OK]],IF(ResultsInd[[#This Row],[Level]]="R",ResultsInd[[#This Row],[Category]]&amp;"-"&amp;IF(ResultsInd[[#This Row],[LoseInKO]]=ResultsInd[[#This Row],[Category]]&amp;"-"&amp;ResultsInd[[#This Row],[Player A]],ResultsInd[[#This Row],[Player B]],ResultsInd[[#This Row],[Player A]]),""),"")</f>
        <v>#N/A</v>
      </c>
      <c r="AB587" s="8"/>
      <c r="AC587" s="12" t="str">
        <f t="shared" si="511"/>
        <v/>
      </c>
      <c r="AD587" s="312"/>
      <c r="AE587" s="313"/>
      <c r="AF587" s="314"/>
      <c r="AG587" s="294" t="str">
        <f>IF(AP587="","",SMALL(AH581:AH587,ROWS(AG581:AG587)))</f>
        <v/>
      </c>
      <c r="AH587" s="295" t="str">
        <f>IF(AP587="","",RANK(AL587,AL581:AL587)*1000+ROWS(AH581:AH587))</f>
        <v/>
      </c>
      <c r="AI587" s="318" t="str">
        <f t="shared" si="505"/>
        <v/>
      </c>
      <c r="AJ587" s="416" t="b">
        <f>AND(AO587&lt;&gt;"",AO587&gt;0,COUNTIF(AI581:AI587,AI587)&gt;1)</f>
        <v>0</v>
      </c>
      <c r="AK587" s="318" t="str">
        <f t="shared" si="506"/>
        <v/>
      </c>
      <c r="AL587" s="319" t="str">
        <f t="shared" si="507"/>
        <v/>
      </c>
      <c r="AM587" s="416" t="b">
        <f>AND(AO587&lt;&gt;"",AO587&gt;0,COUNTIF(AL581:AL587,AL587)&gt;1)</f>
        <v>0</v>
      </c>
      <c r="AN587" s="306" t="str">
        <f t="shared" si="508"/>
        <v/>
      </c>
      <c r="AO587" s="307" t="str">
        <f t="shared" si="509"/>
        <v/>
      </c>
      <c r="AP587" s="307" t="str">
        <f>IF(OR(AC580="",AD587=""),"",COUNTIF(ResultsInd[Win],AC580&amp;"-"&amp;AD587))</f>
        <v/>
      </c>
      <c r="AQ587" s="307" t="str">
        <f>IF(OR(AC580="",AD587=""),"",COUNTIF(ResultsInd[Draw1],AC580&amp;"-"&amp;AD587)+COUNTIF(ResultsInd[Draw2],AC580&amp;"-"&amp;AD587))</f>
        <v/>
      </c>
      <c r="AR587" s="307" t="str">
        <f>IF(OR(AC580="",AD587=""),"",COUNTIF(ResultsInd[Lose],AC580&amp;"-"&amp;AD587))</f>
        <v/>
      </c>
      <c r="AS587" s="307" t="str">
        <f>IF(OR(AC580="",AD587=""),"",SUMIFS(ResultsInd[Goal-A],ResultsInd[Category],AC580,ResultsInd[Stage],"Groups",ResultsInd[Player A],AD587)+SUMIFS(ResultsInd[Goal-B],ResultsInd[Category],AC580,ResultsInd[Stage],"Groups",ResultsInd[Player B],AD587))</f>
        <v/>
      </c>
      <c r="AT587" s="307" t="str">
        <f>IF(OR(AC580="",AD587=""),"",SUMIFS(ResultsInd[Goal-B],ResultsInd[Category],AC580,ResultsInd[Stage],"Groups",ResultsInd[Player A],AD587)+SUMIFS(ResultsInd[Goal-A],ResultsInd[Category],AC580,ResultsInd[Stage],"Groups",ResultsInd[Player B],AD587))</f>
        <v/>
      </c>
      <c r="AU587" s="308" t="str">
        <f t="shared" si="512"/>
        <v/>
      </c>
      <c r="AV587" s="469" t="str">
        <f>IF(AG587="","",OR(VLOOKUP(AG587,AH581:AU587,3,FALSE),VLOOKUP(AG587,AH581:AU587,6,FALSE)))</f>
        <v/>
      </c>
      <c r="AW587" s="299" t="str">
        <f t="shared" si="510"/>
        <v/>
      </c>
      <c r="AX587" s="287" t="str">
        <f>IF(AG587="","",INDEX(AD581:AD587,MATCH(AG587,AH581:AH587,0)))</f>
        <v/>
      </c>
      <c r="AY587" s="288" t="str">
        <f>IF(AG587="","",VLOOKUP(AG587,AH581:AU587,COLUMN()-COLUMN(AR580),FALSE))</f>
        <v/>
      </c>
      <c r="AZ587" s="288" t="str">
        <f>IF(AG587="","",VLOOKUP(AG587,AH581:AU587,COLUMN()-COLUMN(AR580),FALSE))</f>
        <v/>
      </c>
      <c r="BA587" s="288" t="str">
        <f>IF(AG587="","",VLOOKUP(AG587,AH581:AU587,COLUMN()-COLUMN(AR580),FALSE))</f>
        <v/>
      </c>
      <c r="BB587" s="288" t="str">
        <f>IF(AG587="","",VLOOKUP(AG587,AH581:AU587,COLUMN()-COLUMN(AR580),FALSE))</f>
        <v/>
      </c>
      <c r="BC587" s="288" t="str">
        <f>IF(AG587="","",VLOOKUP(AG587,AH581:AU587,COLUMN()-COLUMN(AR580),FALSE))</f>
        <v/>
      </c>
      <c r="BD587" s="288" t="str">
        <f>IF(AG587="","",VLOOKUP(AG587,AH581:AU587,COLUMN()-COLUMN(AR580),FALSE))</f>
        <v/>
      </c>
      <c r="BE587" s="288" t="str">
        <f>IF(AG587="","",VLOOKUP(AG587,AH581:AU587,COLUMN()-COLUMN(AR580),FALSE))</f>
        <v/>
      </c>
      <c r="BF587" s="302" t="str">
        <f>IF(AG587="","",VLOOKUP(AG587,AH581:AU587,COLUMN()-COLUMN(AR580),FALSE))</f>
        <v/>
      </c>
    </row>
    <row r="588" spans="1:58" ht="13.5" thickBot="1" x14ac:dyDescent="0.25">
      <c r="A588" s="505" t="s">
        <v>12263</v>
      </c>
      <c r="B588" s="62" t="s">
        <v>12216</v>
      </c>
      <c r="C588" s="62"/>
      <c r="D588" s="62"/>
      <c r="E588" s="345" t="s">
        <v>10792</v>
      </c>
      <c r="F588" s="345" t="s">
        <v>8547</v>
      </c>
      <c r="G588" s="113">
        <v>2</v>
      </c>
      <c r="H588" s="113">
        <v>3</v>
      </c>
      <c r="I588" s="114"/>
      <c r="J588" s="114"/>
      <c r="K588" s="114"/>
      <c r="L588" s="81"/>
      <c r="M588" s="265" t="b">
        <f>NOT(ISERROR(ResultsInd[[#This Row],[Goal-A]]+ResultsInd[[#This Row],[Goal-B]]))</f>
        <v>1</v>
      </c>
      <c r="N588" s="265">
        <f>VALUE(ResultsInd[[#This Row],[Score-A]])</f>
        <v>2</v>
      </c>
      <c r="O588" s="265">
        <f>VALUE(ResultsInd[[#This Row],[Score-B]])</f>
        <v>3</v>
      </c>
      <c r="P588" s="265" t="e">
        <f ca="1">IF(AND(ResultsInd[[#This Row],[Category]]&lt;&gt;"",ResultsInd[[#This Row],[Player A]]&lt;&gt;""),COUNTIF(INDIRECT(ResultsInd[[#This Row],[Category]]&amp;"List[Retained Player Name]"),ResultsInd[[#This Row],[Player A]]),"")</f>
        <v>#REF!</v>
      </c>
      <c r="Q588" s="265" t="e">
        <f ca="1">IF(AND(ResultsInd[[#This Row],[Category]]&lt;&gt;"",ResultsInd[[#This Row],[Player B]]&lt;&gt;""),COUNTIF(INDIRECT(ResultsInd[[#This Row],[Category]]&amp;"List[Retained Player Name]"),ResultsInd[[#This Row],[Player B]]),"")</f>
        <v>#REF!</v>
      </c>
      <c r="R5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8" s="265" t="str">
        <f>IF(ResultsInd[[#This Row],[Score_OK]],IF(ResultsInd[[#This Row],[Stage]]="Groups",ResultsInd[[#This Row],[Category]]&amp;"-"&amp;IF(ResultsInd[[#This Row],[Player B]]="","",IF(ResultsInd[[#This Row],[Score-A]]=ResultsInd[[#This Row],[Score-B]],ResultsInd[[#This Row],[Player A]],"")),""),"")</f>
        <v/>
      </c>
      <c r="T588" s="265" t="str">
        <f>IF(ResultsInd[[#This Row],[Score_OK]],IF(ResultsInd[[#This Row],[Stage]]="Groups",ResultsInd[[#This Row],[Category]]&amp;"-"&amp;IF(ResultsInd[[#This Row],[Player B]]="","",IF(ResultsInd[[#This Row],[Score-A]]=ResultsInd[[#This Row],[Score-B]],ResultsInd[[#This Row],[Player B]],"")),""),"")</f>
        <v/>
      </c>
      <c r="U5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CONSOLATION-Peter Alegi</v>
      </c>
      <c r="W58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8" s="264" t="e">
        <f>IF(ResultsInd[[#This Row],[Category]]="","",VLOOKUP(ResultsInd[[#This Row],[Stage]],$P$1:$V$9,MATCH(ResultsInd[[#This Row],[Category]],$Q$1:$V$1,0)+1,FALSE))</f>
        <v>#N/A</v>
      </c>
      <c r="Z588" s="264" t="e">
        <f>IF(ResultsInd[[#This Row],[Score_OK]],IF(ResultsInd[[#This Row],[Level]]="R",ResultsInd[[#This Row],[Category]]&amp;"-"&amp;IF(ResultsInd[[#This Row],[LoseInKO]]=ResultsInd[[#This Row],[Category]]&amp;"-"&amp;ResultsInd[[#This Row],[Player A]],ResultsInd[[#This Row],[Player B]],ResultsInd[[#This Row],[Player A]]),""),"")</f>
        <v>#N/A</v>
      </c>
      <c r="AB588" s="8"/>
      <c r="AC588" s="8"/>
      <c r="AF588" s="170"/>
      <c r="AG588" s="101"/>
      <c r="AH588" s="101"/>
      <c r="AN588" s="170"/>
      <c r="AO588" s="170"/>
      <c r="AP588" s="170"/>
      <c r="AQ588" s="172"/>
      <c r="AR588" s="173"/>
      <c r="AS588" s="173"/>
      <c r="AT588" s="173"/>
      <c r="AU588" s="101"/>
      <c r="AV588" s="101"/>
      <c r="AW588" s="101"/>
      <c r="AX588" s="101"/>
      <c r="AY588" s="101"/>
      <c r="AZ588" s="101"/>
    </row>
    <row r="589" spans="1:58" ht="12" thickBot="1" x14ac:dyDescent="0.25">
      <c r="A589" s="505" t="s">
        <v>12263</v>
      </c>
      <c r="B589" s="62" t="s">
        <v>12216</v>
      </c>
      <c r="C589" s="62"/>
      <c r="D589" s="62"/>
      <c r="E589" s="345" t="s">
        <v>10449</v>
      </c>
      <c r="F589" s="345" t="s">
        <v>8598</v>
      </c>
      <c r="G589" s="113">
        <v>0</v>
      </c>
      <c r="H589" s="113">
        <v>2</v>
      </c>
      <c r="I589" s="114"/>
      <c r="J589" s="114"/>
      <c r="K589" s="114"/>
      <c r="L589" s="81"/>
      <c r="M589" s="265" t="b">
        <f>NOT(ISERROR(ResultsInd[[#This Row],[Goal-A]]+ResultsInd[[#This Row],[Goal-B]]))</f>
        <v>1</v>
      </c>
      <c r="N589" s="265">
        <f>VALUE(ResultsInd[[#This Row],[Score-A]])</f>
        <v>0</v>
      </c>
      <c r="O589" s="265">
        <f>VALUE(ResultsInd[[#This Row],[Score-B]])</f>
        <v>2</v>
      </c>
      <c r="P589" s="265" t="e">
        <f ca="1">IF(AND(ResultsInd[[#This Row],[Category]]&lt;&gt;"",ResultsInd[[#This Row],[Player A]]&lt;&gt;""),COUNTIF(INDIRECT(ResultsInd[[#This Row],[Category]]&amp;"List[Retained Player Name]"),ResultsInd[[#This Row],[Player A]]),"")</f>
        <v>#REF!</v>
      </c>
      <c r="Q589" s="265" t="e">
        <f ca="1">IF(AND(ResultsInd[[#This Row],[Category]]&lt;&gt;"",ResultsInd[[#This Row],[Player B]]&lt;&gt;""),COUNTIF(INDIRECT(ResultsInd[[#This Row],[Category]]&amp;"List[Retained Player Name]"),ResultsInd[[#This Row],[Player B]]),"")</f>
        <v>#REF!</v>
      </c>
      <c r="R5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9" s="265" t="str">
        <f>IF(ResultsInd[[#This Row],[Score_OK]],IF(ResultsInd[[#This Row],[Stage]]="Groups",ResultsInd[[#This Row],[Category]]&amp;"-"&amp;IF(ResultsInd[[#This Row],[Player B]]="","",IF(ResultsInd[[#This Row],[Score-A]]=ResultsInd[[#This Row],[Score-B]],ResultsInd[[#This Row],[Player A]],"")),""),"")</f>
        <v/>
      </c>
      <c r="T589" s="265" t="str">
        <f>IF(ResultsInd[[#This Row],[Score_OK]],IF(ResultsInd[[#This Row],[Stage]]="Groups",ResultsInd[[#This Row],[Category]]&amp;"-"&amp;IF(ResultsInd[[#This Row],[Player B]]="","",IF(ResultsInd[[#This Row],[Score-A]]=ResultsInd[[#This Row],[Score-B]],ResultsInd[[#This Row],[Player B]],"")),""),"")</f>
        <v/>
      </c>
      <c r="U5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CONSOLATION-Valentino Zamara</v>
      </c>
      <c r="W58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8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89" s="264" t="e">
        <f>IF(ResultsInd[[#This Row],[Category]]="","",VLOOKUP(ResultsInd[[#This Row],[Stage]],$P$1:$V$9,MATCH(ResultsInd[[#This Row],[Category]],$Q$1:$V$1,0)+1,FALSE))</f>
        <v>#N/A</v>
      </c>
      <c r="Z589" s="264" t="e">
        <f>IF(ResultsInd[[#This Row],[Score_OK]],IF(ResultsInd[[#This Row],[Level]]="R",ResultsInd[[#This Row],[Category]]&amp;"-"&amp;IF(ResultsInd[[#This Row],[LoseInKO]]=ResultsInd[[#This Row],[Category]]&amp;"-"&amp;ResultsInd[[#This Row],[Player A]],ResultsInd[[#This Row],[Player B]],ResultsInd[[#This Row],[Player A]]),""),"")</f>
        <v>#N/A</v>
      </c>
      <c r="AB589" s="281" t="str">
        <f>IF(AC589="","",COUNTIFS(AC$22:AC589,AC589,AD$22:AD589,"Players draw"))</f>
        <v/>
      </c>
      <c r="AC589" s="315"/>
      <c r="AD589" s="289" t="s">
        <v>14439</v>
      </c>
      <c r="AE589" s="290" t="s">
        <v>12279</v>
      </c>
      <c r="AF589" s="284" t="s">
        <v>12275</v>
      </c>
      <c r="AG589" s="296" t="s">
        <v>12276</v>
      </c>
      <c r="AH589" s="291" t="s">
        <v>12271</v>
      </c>
      <c r="AI589" s="291" t="s">
        <v>12272</v>
      </c>
      <c r="AJ589" s="414" t="s">
        <v>13154</v>
      </c>
      <c r="AK589" s="291" t="s">
        <v>12273</v>
      </c>
      <c r="AL589" s="297" t="s">
        <v>12274</v>
      </c>
      <c r="AM589" s="414" t="s">
        <v>13154</v>
      </c>
      <c r="AN589" s="303" t="s">
        <v>12199</v>
      </c>
      <c r="AO589" s="304" t="s">
        <v>12200</v>
      </c>
      <c r="AP589" s="304" t="s">
        <v>12201</v>
      </c>
      <c r="AQ589" s="304" t="s">
        <v>12202</v>
      </c>
      <c r="AR589" s="304" t="s">
        <v>12203</v>
      </c>
      <c r="AS589" s="304" t="s">
        <v>12204</v>
      </c>
      <c r="AT589" s="304" t="s">
        <v>12205</v>
      </c>
      <c r="AU589" s="305" t="s">
        <v>12206</v>
      </c>
      <c r="AV589" s="468"/>
      <c r="AW589" s="282" t="s">
        <v>12276</v>
      </c>
      <c r="AX589" s="282" t="s">
        <v>12280</v>
      </c>
      <c r="AY589" s="283" t="s">
        <v>12199</v>
      </c>
      <c r="AZ589" s="283" t="s">
        <v>12200</v>
      </c>
      <c r="BA589" s="283" t="s">
        <v>12201</v>
      </c>
      <c r="BB589" s="283" t="s">
        <v>12202</v>
      </c>
      <c r="BC589" s="283" t="s">
        <v>12203</v>
      </c>
      <c r="BD589" s="283" t="s">
        <v>12204</v>
      </c>
      <c r="BE589" s="283" t="s">
        <v>12205</v>
      </c>
      <c r="BF589" s="300" t="s">
        <v>12206</v>
      </c>
    </row>
    <row r="590" spans="1:58" ht="12" thickBot="1" x14ac:dyDescent="0.25">
      <c r="A590" s="505" t="s">
        <v>12263</v>
      </c>
      <c r="B590" s="62" t="s">
        <v>12216</v>
      </c>
      <c r="C590" s="62"/>
      <c r="D590" s="62"/>
      <c r="E590" s="345" t="s">
        <v>8108</v>
      </c>
      <c r="F590" s="345" t="s">
        <v>10452</v>
      </c>
      <c r="G590" s="113">
        <v>3</v>
      </c>
      <c r="H590" s="113">
        <v>2</v>
      </c>
      <c r="I590" s="114"/>
      <c r="J590" s="114"/>
      <c r="K590" s="114"/>
      <c r="L590" s="81"/>
      <c r="M590" s="265" t="b">
        <f>NOT(ISERROR(ResultsInd[[#This Row],[Goal-A]]+ResultsInd[[#This Row],[Goal-B]]))</f>
        <v>1</v>
      </c>
      <c r="N590" s="265">
        <f>VALUE(ResultsInd[[#This Row],[Score-A]])</f>
        <v>3</v>
      </c>
      <c r="O590" s="265">
        <f>VALUE(ResultsInd[[#This Row],[Score-B]])</f>
        <v>2</v>
      </c>
      <c r="P590" s="265" t="e">
        <f ca="1">IF(AND(ResultsInd[[#This Row],[Category]]&lt;&gt;"",ResultsInd[[#This Row],[Player A]]&lt;&gt;""),COUNTIF(INDIRECT(ResultsInd[[#This Row],[Category]]&amp;"List[Retained Player Name]"),ResultsInd[[#This Row],[Player A]]),"")</f>
        <v>#REF!</v>
      </c>
      <c r="Q590" s="265" t="e">
        <f ca="1">IF(AND(ResultsInd[[#This Row],[Category]]&lt;&gt;"",ResultsInd[[#This Row],[Player B]]&lt;&gt;""),COUNTIF(INDIRECT(ResultsInd[[#This Row],[Category]]&amp;"List[Retained Player Name]"),ResultsInd[[#This Row],[Player B]]),"")</f>
        <v>#REF!</v>
      </c>
      <c r="R5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0" s="265" t="str">
        <f>IF(ResultsInd[[#This Row],[Score_OK]],IF(ResultsInd[[#This Row],[Stage]]="Groups",ResultsInd[[#This Row],[Category]]&amp;"-"&amp;IF(ResultsInd[[#This Row],[Player B]]="","",IF(ResultsInd[[#This Row],[Score-A]]=ResultsInd[[#This Row],[Score-B]],ResultsInd[[#This Row],[Player A]],"")),""),"")</f>
        <v/>
      </c>
      <c r="T590" s="265" t="str">
        <f>IF(ResultsInd[[#This Row],[Score_OK]],IF(ResultsInd[[#This Row],[Stage]]="Groups",ResultsInd[[#This Row],[Category]]&amp;"-"&amp;IF(ResultsInd[[#This Row],[Player B]]="","",IF(ResultsInd[[#This Row],[Score-A]]=ResultsInd[[#This Row],[Score-B]],ResultsInd[[#This Row],[Player B]],"")),""),"")</f>
        <v/>
      </c>
      <c r="U5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CONSOLATION-Marco De Bruin</v>
      </c>
      <c r="W59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0" s="264" t="e">
        <f>IF(ResultsInd[[#This Row],[Category]]="","",VLOOKUP(ResultsInd[[#This Row],[Stage]],$P$1:$V$9,MATCH(ResultsInd[[#This Row],[Category]],$Q$1:$V$1,0)+1,FALSE))</f>
        <v>#N/A</v>
      </c>
      <c r="Z590" s="264" t="e">
        <f>IF(ResultsInd[[#This Row],[Score_OK]],IF(ResultsInd[[#This Row],[Level]]="R",ResultsInd[[#This Row],[Category]]&amp;"-"&amp;IF(ResultsInd[[#This Row],[LoseInKO]]=ResultsInd[[#This Row],[Category]]&amp;"-"&amp;ResultsInd[[#This Row],[Player A]],ResultsInd[[#This Row],[Player B]],ResultsInd[[#This Row],[Player A]]),""),"")</f>
        <v>#N/A</v>
      </c>
      <c r="AB590" s="8"/>
      <c r="AC590" s="12" t="str">
        <f>IF(AC589="","",AC589)</f>
        <v/>
      </c>
      <c r="AD590" s="309"/>
      <c r="AE590" s="320"/>
      <c r="AF590" s="311"/>
      <c r="AG590" s="292" t="str">
        <f>IF(AP590="","",SMALL(AH590:AH596,ROWS(AG590:AG590)))</f>
        <v/>
      </c>
      <c r="AH590" s="293" t="str">
        <f>IF(AP590="","",RANK(AL590,AL590:AL596)*1000+ROWS(AH590:AH590))</f>
        <v/>
      </c>
      <c r="AI590" s="316" t="str">
        <f t="shared" ref="AI590:AI596" si="513">IF(AP590="","",CritClassInd1_Points*AN590+CritClassInd1_Matches*AP590+CritClassInd1_Attaque*AS590+CritClassInd1_DiffButs*AU590)</f>
        <v/>
      </c>
      <c r="AJ590" s="415" t="b">
        <f>AND(AO590&lt;&gt;"",AO590&gt;0,COUNTIF(AI590:AI596,AI590)&gt;1)</f>
        <v>0</v>
      </c>
      <c r="AK590" s="316" t="str">
        <f t="shared" ref="AK590:AK596" si="514">IF(AP590="","",CritClassInd_ScorePart*AE590)</f>
        <v/>
      </c>
      <c r="AL590" s="317" t="str">
        <f t="shared" ref="AL590:AL596" si="515">IF(AP590="","",AI590+AK590+CritClassInd2_Points*AN590+CritClassInd2_Matches*AP590+CritClassInd2_Attaque*AS590+CritClassInd2_DiffButs*AU590+AF590)</f>
        <v/>
      </c>
      <c r="AM590" s="415" t="b">
        <f>AND(AO590&lt;&gt;"",AO590&gt;0,COUNTIF(AL590:AL596,AL590)&gt;1)</f>
        <v>0</v>
      </c>
      <c r="AN590" s="306" t="str">
        <f t="shared" ref="AN590:AN596" si="516">IF(AP590="","",(AP590*Points_Victoire)+AQ590*Points_Null)</f>
        <v/>
      </c>
      <c r="AO590" s="307" t="str">
        <f t="shared" ref="AO590:AO596" si="517">IF(AP590="","",SUM(AP590:AR590))</f>
        <v/>
      </c>
      <c r="AP590" s="307" t="str">
        <f>IF(OR(AC589="",AD590=""),"",COUNTIF(ResultsInd[Win],AC589&amp;"-"&amp;AD590))</f>
        <v/>
      </c>
      <c r="AQ590" s="307" t="str">
        <f>IF(OR(AC589="",AD590=""),"",COUNTIF(ResultsInd[Draw1],AC589&amp;"-"&amp;AD590)+COUNTIF(ResultsInd[Draw2],AC589&amp;"-"&amp;AD590))</f>
        <v/>
      </c>
      <c r="AR590" s="307" t="str">
        <f>IF(OR(AC589="",AD590=""),"",COUNTIF(ResultsInd[Lose],AC589&amp;"-"&amp;AD590))</f>
        <v/>
      </c>
      <c r="AS590" s="307" t="str">
        <f>IF(OR(AC589="",AD590=""),"",SUMIFS(ResultsInd[Goal-A],ResultsInd[Category],AC589,ResultsInd[Stage],"Groups",ResultsInd[Player A],AD590)+SUMIFS(ResultsInd[Goal-B],ResultsInd[Category],AC589,ResultsInd[Stage],"Groups",ResultsInd[Player B],AD590))</f>
        <v/>
      </c>
      <c r="AT590" s="307" t="str">
        <f>IF(OR(AC589="",AD590=""),"",SUMIFS(ResultsInd[Goal-B],ResultsInd[Category],AC589,ResultsInd[Stage],"Groups",ResultsInd[Player A],AD590)+SUMIFS(ResultsInd[Goal-A],ResultsInd[Category],AC589,ResultsInd[Stage],"Groups",ResultsInd[Player B],AD590))</f>
        <v/>
      </c>
      <c r="AU590" s="308" t="str">
        <f>IF(AP590="","",AS590-AT590)</f>
        <v/>
      </c>
      <c r="AV590" s="469" t="str">
        <f>IF(AG590="","",OR(VLOOKUP(AG590,AH590:AU596,3,FALSE),VLOOKUP(AG590,AH590:AU596,6,FALSE)))</f>
        <v/>
      </c>
      <c r="AW590" s="298" t="str">
        <f t="shared" ref="AW590:AW596" si="518">IF(AG590="","",INT(AG590/1000))</f>
        <v/>
      </c>
      <c r="AX590" s="285" t="str">
        <f>IF(AG590="","",INDEX(AD590:AD596,MATCH(AG590,AH590:AH596,0)))</f>
        <v/>
      </c>
      <c r="AY590" s="286" t="str">
        <f>IF(AG590="","",VLOOKUP(AG590,AH590:AU596,COLUMN()-COLUMN(AR589),FALSE))</f>
        <v/>
      </c>
      <c r="AZ590" s="286" t="str">
        <f>IF(AG590="","",VLOOKUP(AG590,AH590:AU596,COLUMN()-COLUMN(AR589),FALSE))</f>
        <v/>
      </c>
      <c r="BA590" s="286" t="str">
        <f>IF(AG590="","",VLOOKUP(AG590,AH590:AU596,COLUMN()-COLUMN(AR589),FALSE))</f>
        <v/>
      </c>
      <c r="BB590" s="286" t="str">
        <f>IF(AG590="","",VLOOKUP(AG590,AH590:AU596,COLUMN()-COLUMN(AR589),FALSE))</f>
        <v/>
      </c>
      <c r="BC590" s="286" t="str">
        <f>IF(AG590="","",VLOOKUP(AG590,AH590:AU596,COLUMN()-COLUMN(AR589),FALSE))</f>
        <v/>
      </c>
      <c r="BD590" s="286" t="str">
        <f>IF(AG590="","",VLOOKUP(AG590,AH590:AU596,COLUMN()-COLUMN(AR589),FALSE))</f>
        <v/>
      </c>
      <c r="BE590" s="286" t="str">
        <f>IF(AG590="","",VLOOKUP(AG590,AH590:AU596,COLUMN()-COLUMN(AR589),FALSE))</f>
        <v/>
      </c>
      <c r="BF590" s="301" t="str">
        <f>IF(AG590="","",VLOOKUP(AG590,AH590:AU596,COLUMN()-COLUMN(AR589),FALSE))</f>
        <v/>
      </c>
    </row>
    <row r="591" spans="1:58" ht="12" thickBot="1" x14ac:dyDescent="0.25">
      <c r="A591" s="505" t="s">
        <v>12263</v>
      </c>
      <c r="B591" s="62" t="s">
        <v>12216</v>
      </c>
      <c r="C591" s="62"/>
      <c r="D591" s="62"/>
      <c r="E591" s="345" t="s">
        <v>11473</v>
      </c>
      <c r="F591" s="345" t="s">
        <v>10451</v>
      </c>
      <c r="G591" s="113">
        <v>0</v>
      </c>
      <c r="H591" s="113">
        <v>5</v>
      </c>
      <c r="I591" s="114"/>
      <c r="J591" s="114"/>
      <c r="K591" s="114"/>
      <c r="L591" s="81"/>
      <c r="M591" s="265" t="b">
        <f>NOT(ISERROR(ResultsInd[[#This Row],[Goal-A]]+ResultsInd[[#This Row],[Goal-B]]))</f>
        <v>1</v>
      </c>
      <c r="N591" s="265">
        <f>VALUE(ResultsInd[[#This Row],[Score-A]])</f>
        <v>0</v>
      </c>
      <c r="O591" s="265">
        <f>VALUE(ResultsInd[[#This Row],[Score-B]])</f>
        <v>5</v>
      </c>
      <c r="P591" s="265" t="e">
        <f ca="1">IF(AND(ResultsInd[[#This Row],[Category]]&lt;&gt;"",ResultsInd[[#This Row],[Player A]]&lt;&gt;""),COUNTIF(INDIRECT(ResultsInd[[#This Row],[Category]]&amp;"List[Retained Player Name]"),ResultsInd[[#This Row],[Player A]]),"")</f>
        <v>#REF!</v>
      </c>
      <c r="Q591" s="265" t="e">
        <f ca="1">IF(AND(ResultsInd[[#This Row],[Category]]&lt;&gt;"",ResultsInd[[#This Row],[Player B]]&lt;&gt;""),COUNTIF(INDIRECT(ResultsInd[[#This Row],[Category]]&amp;"List[Retained Player Name]"),ResultsInd[[#This Row],[Player B]]),"")</f>
        <v>#REF!</v>
      </c>
      <c r="R5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1" s="265" t="str">
        <f>IF(ResultsInd[[#This Row],[Score_OK]],IF(ResultsInd[[#This Row],[Stage]]="Groups",ResultsInd[[#This Row],[Category]]&amp;"-"&amp;IF(ResultsInd[[#This Row],[Player B]]="","",IF(ResultsInd[[#This Row],[Score-A]]=ResultsInd[[#This Row],[Score-B]],ResultsInd[[#This Row],[Player A]],"")),""),"")</f>
        <v/>
      </c>
      <c r="T591" s="265" t="str">
        <f>IF(ResultsInd[[#This Row],[Score_OK]],IF(ResultsInd[[#This Row],[Stage]]="Groups",ResultsInd[[#This Row],[Category]]&amp;"-"&amp;IF(ResultsInd[[#This Row],[Player B]]="","",IF(ResultsInd[[#This Row],[Score-A]]=ResultsInd[[#This Row],[Score-B]],ResultsInd[[#This Row],[Player B]],"")),""),"")</f>
        <v/>
      </c>
      <c r="U5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CONSOLATION-Xavier Aret</v>
      </c>
      <c r="W59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1" s="264" t="e">
        <f>IF(ResultsInd[[#This Row],[Category]]="","",VLOOKUP(ResultsInd[[#This Row],[Stage]],$P$1:$V$9,MATCH(ResultsInd[[#This Row],[Category]],$Q$1:$V$1,0)+1,FALSE))</f>
        <v>#N/A</v>
      </c>
      <c r="Z591" s="264" t="e">
        <f>IF(ResultsInd[[#This Row],[Score_OK]],IF(ResultsInd[[#This Row],[Level]]="R",ResultsInd[[#This Row],[Category]]&amp;"-"&amp;IF(ResultsInd[[#This Row],[LoseInKO]]=ResultsInd[[#This Row],[Category]]&amp;"-"&amp;ResultsInd[[#This Row],[Player A]],ResultsInd[[#This Row],[Player B]],ResultsInd[[#This Row],[Player A]]),""),"")</f>
        <v>#N/A</v>
      </c>
      <c r="AB591" s="8"/>
      <c r="AC591" s="12" t="str">
        <f t="shared" ref="AC591:AC596" si="519">IF(AC590="","",AC590)</f>
        <v/>
      </c>
      <c r="AD591" s="309"/>
      <c r="AE591" s="320"/>
      <c r="AF591" s="311"/>
      <c r="AG591" s="292" t="str">
        <f>IF(AP591="","",SMALL(AH590:AH596,ROWS(AG590:AG591)))</f>
        <v/>
      </c>
      <c r="AH591" s="293" t="str">
        <f>IF(AP591="","",RANK(AL591,AL590:AL596)*1000+ROWS(AH590:AH591))</f>
        <v/>
      </c>
      <c r="AI591" s="316" t="str">
        <f t="shared" si="513"/>
        <v/>
      </c>
      <c r="AJ591" s="415" t="b">
        <f>AND(AO591&lt;&gt;"",AO591&gt;0,COUNTIF(AI590:AI596,AI591)&gt;1)</f>
        <v>0</v>
      </c>
      <c r="AK591" s="316" t="str">
        <f t="shared" si="514"/>
        <v/>
      </c>
      <c r="AL591" s="317" t="str">
        <f t="shared" si="515"/>
        <v/>
      </c>
      <c r="AM591" s="415" t="b">
        <f>AND(AO591&lt;&gt;"",AO591&gt;0,COUNTIF(AL590:AL596,AL591)&gt;1)</f>
        <v>0</v>
      </c>
      <c r="AN591" s="306" t="str">
        <f t="shared" si="516"/>
        <v/>
      </c>
      <c r="AO591" s="307" t="str">
        <f t="shared" si="517"/>
        <v/>
      </c>
      <c r="AP591" s="307" t="str">
        <f>IF(OR(AC589="",AD591=""),"",COUNTIF(ResultsInd[Win],AC589&amp;"-"&amp;AD591))</f>
        <v/>
      </c>
      <c r="AQ591" s="307" t="str">
        <f>IF(OR(AC589="",AD591=""),"",COUNTIF(ResultsInd[Draw1],AC589&amp;"-"&amp;AD591)+COUNTIF(ResultsInd[Draw2],AC589&amp;"-"&amp;AD591))</f>
        <v/>
      </c>
      <c r="AR591" s="307" t="str">
        <f>IF(OR(AC589="",AD591=""),"",COUNTIF(ResultsInd[Lose],AC589&amp;"-"&amp;AD591))</f>
        <v/>
      </c>
      <c r="AS591" s="307" t="str">
        <f>IF(OR(AC589="",AD591=""),"",SUMIFS(ResultsInd[Goal-A],ResultsInd[Category],AC589,ResultsInd[Stage],"Groups",ResultsInd[Player A],AD591)+SUMIFS(ResultsInd[Goal-B],ResultsInd[Category],AC589,ResultsInd[Stage],"Groups",ResultsInd[Player B],AD591))</f>
        <v/>
      </c>
      <c r="AT591" s="307" t="str">
        <f>IF(OR(AC589="",AD591=""),"",SUMIFS(ResultsInd[Goal-B],ResultsInd[Category],AC589,ResultsInd[Stage],"Groups",ResultsInd[Player A],AD591)+SUMIFS(ResultsInd[Goal-A],ResultsInd[Category],AC589,ResultsInd[Stage],"Groups",ResultsInd[Player B],AD591))</f>
        <v/>
      </c>
      <c r="AU591" s="308" t="str">
        <f t="shared" ref="AU591:AU596" si="520">IF(AP591="","",AS591-AT591)</f>
        <v/>
      </c>
      <c r="AV591" s="469" t="str">
        <f>IF(AG591="","",OR(VLOOKUP(AG591,AH590:AU596,3,FALSE),VLOOKUP(AG591,AH590:AU596,6,FALSE)))</f>
        <v/>
      </c>
      <c r="AW591" s="298" t="str">
        <f t="shared" si="518"/>
        <v/>
      </c>
      <c r="AX591" s="285" t="str">
        <f>IF(AG591="","",INDEX(AD590:AD596,MATCH(AG591,AH590:AH596,0)))</f>
        <v/>
      </c>
      <c r="AY591" s="286" t="str">
        <f>IF(AG591="","",VLOOKUP(AG591,AH590:AU596,COLUMN()-COLUMN(AR589),FALSE))</f>
        <v/>
      </c>
      <c r="AZ591" s="286" t="str">
        <f>IF(AG591="","",VLOOKUP(AG591,AH590:AU596,COLUMN()-COLUMN(AR589),FALSE))</f>
        <v/>
      </c>
      <c r="BA591" s="286" t="str">
        <f>IF(AG591="","",VLOOKUP(AG591,AH590:AU596,COLUMN()-COLUMN(AR589),FALSE))</f>
        <v/>
      </c>
      <c r="BB591" s="286" t="str">
        <f>IF(AG591="","",VLOOKUP(AG591,AH590:AU596,COLUMN()-COLUMN(AR589),FALSE))</f>
        <v/>
      </c>
      <c r="BC591" s="286" t="str">
        <f>IF(AG591="","",VLOOKUP(AG591,AH590:AU596,COLUMN()-COLUMN(AR589),FALSE))</f>
        <v/>
      </c>
      <c r="BD591" s="286" t="str">
        <f>IF(AG591="","",VLOOKUP(AG591,AH590:AU596,COLUMN()-COLUMN(AR589),FALSE))</f>
        <v/>
      </c>
      <c r="BE591" s="286" t="str">
        <f>IF(AG591="","",VLOOKUP(AG591,AH590:AU596,COLUMN()-COLUMN(AR589),FALSE))</f>
        <v/>
      </c>
      <c r="BF591" s="301" t="str">
        <f>IF(AG591="","",VLOOKUP(AG591,AH590:AU596,COLUMN()-COLUMN(AR589),FALSE))</f>
        <v/>
      </c>
    </row>
    <row r="592" spans="1:58" ht="12" thickBot="1" x14ac:dyDescent="0.25">
      <c r="A592" s="505" t="s">
        <v>12263</v>
      </c>
      <c r="B592" s="62" t="s">
        <v>12216</v>
      </c>
      <c r="C592" s="62"/>
      <c r="D592" s="62"/>
      <c r="E592" s="345" t="s">
        <v>8093</v>
      </c>
      <c r="F592" s="345" t="s">
        <v>10584</v>
      </c>
      <c r="G592" s="113">
        <v>4</v>
      </c>
      <c r="H592" s="113">
        <v>0</v>
      </c>
      <c r="I592" s="114"/>
      <c r="J592" s="114"/>
      <c r="K592" s="114"/>
      <c r="L592" s="81"/>
      <c r="M592" s="265" t="b">
        <f>NOT(ISERROR(ResultsInd[[#This Row],[Goal-A]]+ResultsInd[[#This Row],[Goal-B]]))</f>
        <v>1</v>
      </c>
      <c r="N592" s="265">
        <f>VALUE(ResultsInd[[#This Row],[Score-A]])</f>
        <v>4</v>
      </c>
      <c r="O592" s="265">
        <f>VALUE(ResultsInd[[#This Row],[Score-B]])</f>
        <v>0</v>
      </c>
      <c r="P592" s="265" t="e">
        <f ca="1">IF(AND(ResultsInd[[#This Row],[Category]]&lt;&gt;"",ResultsInd[[#This Row],[Player A]]&lt;&gt;""),COUNTIF(INDIRECT(ResultsInd[[#This Row],[Category]]&amp;"List[Retained Player Name]"),ResultsInd[[#This Row],[Player A]]),"")</f>
        <v>#REF!</v>
      </c>
      <c r="Q592" s="265" t="e">
        <f ca="1">IF(AND(ResultsInd[[#This Row],[Category]]&lt;&gt;"",ResultsInd[[#This Row],[Player B]]&lt;&gt;""),COUNTIF(INDIRECT(ResultsInd[[#This Row],[Category]]&amp;"List[Retained Player Name]"),ResultsInd[[#This Row],[Player B]]),"")</f>
        <v>#REF!</v>
      </c>
      <c r="R5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2" s="265" t="str">
        <f>IF(ResultsInd[[#This Row],[Score_OK]],IF(ResultsInd[[#This Row],[Stage]]="Groups",ResultsInd[[#This Row],[Category]]&amp;"-"&amp;IF(ResultsInd[[#This Row],[Player B]]="","",IF(ResultsInd[[#This Row],[Score-A]]=ResultsInd[[#This Row],[Score-B]],ResultsInd[[#This Row],[Player A]],"")),""),"")</f>
        <v/>
      </c>
      <c r="T592" s="265" t="str">
        <f>IF(ResultsInd[[#This Row],[Score_OK]],IF(ResultsInd[[#This Row],[Stage]]="Groups",ResultsInd[[#This Row],[Category]]&amp;"-"&amp;IF(ResultsInd[[#This Row],[Player B]]="","",IF(ResultsInd[[#This Row],[Score-A]]=ResultsInd[[#This Row],[Score-B]],ResultsInd[[#This Row],[Player B]],"")),""),"")</f>
        <v/>
      </c>
      <c r="U5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CONSOLATION-John Moore</v>
      </c>
      <c r="W59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2" s="264" t="e">
        <f>IF(ResultsInd[[#This Row],[Category]]="","",VLOOKUP(ResultsInd[[#This Row],[Stage]],$P$1:$V$9,MATCH(ResultsInd[[#This Row],[Category]],$Q$1:$V$1,0)+1,FALSE))</f>
        <v>#N/A</v>
      </c>
      <c r="Z592" s="264" t="e">
        <f>IF(ResultsInd[[#This Row],[Score_OK]],IF(ResultsInd[[#This Row],[Level]]="R",ResultsInd[[#This Row],[Category]]&amp;"-"&amp;IF(ResultsInd[[#This Row],[LoseInKO]]=ResultsInd[[#This Row],[Category]]&amp;"-"&amp;ResultsInd[[#This Row],[Player A]],ResultsInd[[#This Row],[Player B]],ResultsInd[[#This Row],[Player A]]),""),"")</f>
        <v>#N/A</v>
      </c>
      <c r="AB592" s="8"/>
      <c r="AC592" s="12" t="str">
        <f t="shared" si="519"/>
        <v/>
      </c>
      <c r="AD592" s="309"/>
      <c r="AE592" s="320"/>
      <c r="AF592" s="311"/>
      <c r="AG592" s="292" t="str">
        <f>IF(AP592="","",SMALL(AH590:AH596,ROWS(AG590:AG592)))</f>
        <v/>
      </c>
      <c r="AH592" s="293" t="str">
        <f>IF(AP592="","",RANK(AL592,AL590:AL596)*1000+ROWS(AH590:AH592))</f>
        <v/>
      </c>
      <c r="AI592" s="316" t="str">
        <f t="shared" si="513"/>
        <v/>
      </c>
      <c r="AJ592" s="415" t="b">
        <f>AND(AO592&lt;&gt;"",AO592&gt;0,COUNTIF(AI590:AI596,AI592)&gt;1)</f>
        <v>0</v>
      </c>
      <c r="AK592" s="316" t="str">
        <f t="shared" si="514"/>
        <v/>
      </c>
      <c r="AL592" s="317" t="str">
        <f t="shared" si="515"/>
        <v/>
      </c>
      <c r="AM592" s="415" t="b">
        <f>AND(AO592&lt;&gt;"",AO592&gt;0,COUNTIF(AL590:AL596,AL592)&gt;1)</f>
        <v>0</v>
      </c>
      <c r="AN592" s="306" t="str">
        <f t="shared" si="516"/>
        <v/>
      </c>
      <c r="AO592" s="307" t="str">
        <f t="shared" si="517"/>
        <v/>
      </c>
      <c r="AP592" s="307" t="str">
        <f>IF(OR(AC589="",AD592=""),"",COUNTIF(ResultsInd[Win],AC589&amp;"-"&amp;AD592))</f>
        <v/>
      </c>
      <c r="AQ592" s="307" t="str">
        <f>IF(OR(AC589="",AD592=""),"",COUNTIF(ResultsInd[Draw1],AC589&amp;"-"&amp;AD592)+COUNTIF(ResultsInd[Draw2],AC589&amp;"-"&amp;AD592))</f>
        <v/>
      </c>
      <c r="AR592" s="307" t="str">
        <f>IF(OR(AC589="",AD592=""),"",COUNTIF(ResultsInd[Lose],AC589&amp;"-"&amp;AD592))</f>
        <v/>
      </c>
      <c r="AS592" s="307" t="str">
        <f>IF(OR(AC589="",AD592=""),"",SUMIFS(ResultsInd[Goal-A],ResultsInd[Category],AC589,ResultsInd[Stage],"Groups",ResultsInd[Player A],AD592)+SUMIFS(ResultsInd[Goal-B],ResultsInd[Category],AC589,ResultsInd[Stage],"Groups",ResultsInd[Player B],AD592))</f>
        <v/>
      </c>
      <c r="AT592" s="307" t="str">
        <f>IF(OR(AC589="",AD592=""),"",SUMIFS(ResultsInd[Goal-B],ResultsInd[Category],AC589,ResultsInd[Stage],"Groups",ResultsInd[Player A],AD592)+SUMIFS(ResultsInd[Goal-A],ResultsInd[Category],AC589,ResultsInd[Stage],"Groups",ResultsInd[Player B],AD592))</f>
        <v/>
      </c>
      <c r="AU592" s="308" t="str">
        <f t="shared" si="520"/>
        <v/>
      </c>
      <c r="AV592" s="469" t="str">
        <f>IF(AG592="","",OR(VLOOKUP(AG592,AH590:AU596,3,FALSE),VLOOKUP(AG592,AH590:AU596,6,FALSE)))</f>
        <v/>
      </c>
      <c r="AW592" s="298" t="str">
        <f t="shared" si="518"/>
        <v/>
      </c>
      <c r="AX592" s="285" t="str">
        <f>IF(AG592="","",INDEX(AD590:AD596,MATCH(AG592,AH590:AH596,0)))</f>
        <v/>
      </c>
      <c r="AY592" s="286" t="str">
        <f>IF(AG592="","",VLOOKUP(AG592,AH590:AU596,COLUMN()-COLUMN(AR589),FALSE))</f>
        <v/>
      </c>
      <c r="AZ592" s="286" t="str">
        <f>IF(AG592="","",VLOOKUP(AG592,AH590:AU596,COLUMN()-COLUMN(AR589),FALSE))</f>
        <v/>
      </c>
      <c r="BA592" s="286" t="str">
        <f>IF(AG592="","",VLOOKUP(AG592,AH590:AU596,COLUMN()-COLUMN(AR589),FALSE))</f>
        <v/>
      </c>
      <c r="BB592" s="286" t="str">
        <f>IF(AG592="","",VLOOKUP(AG592,AH590:AU596,COLUMN()-COLUMN(AR589),FALSE))</f>
        <v/>
      </c>
      <c r="BC592" s="286" t="str">
        <f>IF(AG592="","",VLOOKUP(AG592,AH590:AU596,COLUMN()-COLUMN(AR589),FALSE))</f>
        <v/>
      </c>
      <c r="BD592" s="286" t="str">
        <f>IF(AG592="","",VLOOKUP(AG592,AH590:AU596,COLUMN()-COLUMN(AR589),FALSE))</f>
        <v/>
      </c>
      <c r="BE592" s="286" t="str">
        <f>IF(AG592="","",VLOOKUP(AG592,AH590:AU596,COLUMN()-COLUMN(AR589),FALSE))</f>
        <v/>
      </c>
      <c r="BF592" s="301" t="str">
        <f>IF(AG592="","",VLOOKUP(AG592,AH590:AU596,COLUMN()-COLUMN(AR589),FALSE))</f>
        <v/>
      </c>
    </row>
    <row r="593" spans="1:58" ht="12" thickBot="1" x14ac:dyDescent="0.25">
      <c r="A593" s="505" t="s">
        <v>12263</v>
      </c>
      <c r="B593" s="62" t="s">
        <v>12216</v>
      </c>
      <c r="C593" s="62"/>
      <c r="D593" s="62"/>
      <c r="E593" s="345" t="s">
        <v>8090</v>
      </c>
      <c r="F593" s="345" t="s">
        <v>8747</v>
      </c>
      <c r="G593" s="113">
        <v>0</v>
      </c>
      <c r="H593" s="113">
        <v>3</v>
      </c>
      <c r="I593" s="114"/>
      <c r="J593" s="114"/>
      <c r="K593" s="114"/>
      <c r="L593" s="81"/>
      <c r="M593" s="265" t="b">
        <f>NOT(ISERROR(ResultsInd[[#This Row],[Goal-A]]+ResultsInd[[#This Row],[Goal-B]]))</f>
        <v>1</v>
      </c>
      <c r="N593" s="265">
        <f>VALUE(ResultsInd[[#This Row],[Score-A]])</f>
        <v>0</v>
      </c>
      <c r="O593" s="265">
        <f>VALUE(ResultsInd[[#This Row],[Score-B]])</f>
        <v>3</v>
      </c>
      <c r="P593" s="265" t="e">
        <f ca="1">IF(AND(ResultsInd[[#This Row],[Category]]&lt;&gt;"",ResultsInd[[#This Row],[Player A]]&lt;&gt;""),COUNTIF(INDIRECT(ResultsInd[[#This Row],[Category]]&amp;"List[Retained Player Name]"),ResultsInd[[#This Row],[Player A]]),"")</f>
        <v>#REF!</v>
      </c>
      <c r="Q593" s="265" t="e">
        <f ca="1">IF(AND(ResultsInd[[#This Row],[Category]]&lt;&gt;"",ResultsInd[[#This Row],[Player B]]&lt;&gt;""),COUNTIF(INDIRECT(ResultsInd[[#This Row],[Category]]&amp;"List[Retained Player Name]"),ResultsInd[[#This Row],[Player B]]),"")</f>
        <v>#REF!</v>
      </c>
      <c r="R5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3" s="265" t="str">
        <f>IF(ResultsInd[[#This Row],[Score_OK]],IF(ResultsInd[[#This Row],[Stage]]="Groups",ResultsInd[[#This Row],[Category]]&amp;"-"&amp;IF(ResultsInd[[#This Row],[Player B]]="","",IF(ResultsInd[[#This Row],[Score-A]]=ResultsInd[[#This Row],[Score-B]],ResultsInd[[#This Row],[Player A]],"")),""),"")</f>
        <v/>
      </c>
      <c r="T593" s="265" t="str">
        <f>IF(ResultsInd[[#This Row],[Score_OK]],IF(ResultsInd[[#This Row],[Stage]]="Groups",ResultsInd[[#This Row],[Category]]&amp;"-"&amp;IF(ResultsInd[[#This Row],[Player B]]="","",IF(ResultsInd[[#This Row],[Score-A]]=ResultsInd[[#This Row],[Score-B]],ResultsInd[[#This Row],[Player B]],"")),""),"")</f>
        <v/>
      </c>
      <c r="U5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CONSOLATION-Vito Di Ruggiero</v>
      </c>
      <c r="W59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3" s="264" t="e">
        <f>IF(ResultsInd[[#This Row],[Category]]="","",VLOOKUP(ResultsInd[[#This Row],[Stage]],$P$1:$V$9,MATCH(ResultsInd[[#This Row],[Category]],$Q$1:$V$1,0)+1,FALSE))</f>
        <v>#N/A</v>
      </c>
      <c r="Z593" s="264" t="e">
        <f>IF(ResultsInd[[#This Row],[Score_OK]],IF(ResultsInd[[#This Row],[Level]]="R",ResultsInd[[#This Row],[Category]]&amp;"-"&amp;IF(ResultsInd[[#This Row],[LoseInKO]]=ResultsInd[[#This Row],[Category]]&amp;"-"&amp;ResultsInd[[#This Row],[Player A]],ResultsInd[[#This Row],[Player B]],ResultsInd[[#This Row],[Player A]]),""),"")</f>
        <v>#N/A</v>
      </c>
      <c r="AB593" s="91"/>
      <c r="AC593" s="12" t="str">
        <f t="shared" si="519"/>
        <v/>
      </c>
      <c r="AD593" s="309"/>
      <c r="AE593" s="310"/>
      <c r="AF593" s="311"/>
      <c r="AG593" s="292" t="str">
        <f>IF(AP593="","",SMALL(AH590:AH596,ROWS(AG590:AG593)))</f>
        <v/>
      </c>
      <c r="AH593" s="293" t="str">
        <f>IF(AP593="","",RANK(AL593,AL590:AL596)*1000+ROWS(AH590:AH593))</f>
        <v/>
      </c>
      <c r="AI593" s="316" t="str">
        <f t="shared" si="513"/>
        <v/>
      </c>
      <c r="AJ593" s="415" t="b">
        <f>AND(AO593&lt;&gt;"",AO593&gt;0,COUNTIF(AI590:AI596,AI593)&gt;1)</f>
        <v>0</v>
      </c>
      <c r="AK593" s="316" t="str">
        <f t="shared" si="514"/>
        <v/>
      </c>
      <c r="AL593" s="317" t="str">
        <f t="shared" si="515"/>
        <v/>
      </c>
      <c r="AM593" s="415" t="b">
        <f>AND(AO593&lt;&gt;"",AO593&gt;0,COUNTIF(AL590:AL596,AL593)&gt;1)</f>
        <v>0</v>
      </c>
      <c r="AN593" s="306" t="str">
        <f t="shared" si="516"/>
        <v/>
      </c>
      <c r="AO593" s="307" t="str">
        <f t="shared" si="517"/>
        <v/>
      </c>
      <c r="AP593" s="307" t="str">
        <f>IF(OR(AC589="",AD593=""),"",COUNTIF(ResultsInd[Win],AC589&amp;"-"&amp;AD593))</f>
        <v/>
      </c>
      <c r="AQ593" s="307" t="str">
        <f>IF(OR(AC589="",AD593=""),"",COUNTIF(ResultsInd[Draw1],AC589&amp;"-"&amp;AD593)+COUNTIF(ResultsInd[Draw2],AC589&amp;"-"&amp;AD593))</f>
        <v/>
      </c>
      <c r="AR593" s="307" t="str">
        <f>IF(OR(AC589="",AD593=""),"",COUNTIF(ResultsInd[Lose],AC589&amp;"-"&amp;AD593))</f>
        <v/>
      </c>
      <c r="AS593" s="307" t="str">
        <f>IF(OR(AC589="",AD593=""),"",SUMIFS(ResultsInd[Goal-A],ResultsInd[Category],AC589,ResultsInd[Stage],"Groups",ResultsInd[Player A],AD593)+SUMIFS(ResultsInd[Goal-B],ResultsInd[Category],AC589,ResultsInd[Stage],"Groups",ResultsInd[Player B],AD593))</f>
        <v/>
      </c>
      <c r="AT593" s="307" t="str">
        <f>IF(OR(AC589="",AD593=""),"",SUMIFS(ResultsInd[Goal-B],ResultsInd[Category],AC589,ResultsInd[Stage],"Groups",ResultsInd[Player A],AD593)+SUMIFS(ResultsInd[Goal-A],ResultsInd[Category],AC589,ResultsInd[Stage],"Groups",ResultsInd[Player B],AD593))</f>
        <v/>
      </c>
      <c r="AU593" s="308" t="str">
        <f t="shared" si="520"/>
        <v/>
      </c>
      <c r="AV593" s="469" t="str">
        <f>IF(AG593="","",OR(VLOOKUP(AG593,AH590:AU596,3,FALSE),VLOOKUP(AG593,AH590:AU596,6,FALSE)))</f>
        <v/>
      </c>
      <c r="AW593" s="298" t="str">
        <f t="shared" si="518"/>
        <v/>
      </c>
      <c r="AX593" s="285" t="str">
        <f>IF(AG593="","",INDEX(AD590:AD596,MATCH(AG593,AH590:AH596,0)))</f>
        <v/>
      </c>
      <c r="AY593" s="286" t="str">
        <f>IF(AG593="","",VLOOKUP(AG593,AH590:AU596,COLUMN()-COLUMN(AR589),FALSE))</f>
        <v/>
      </c>
      <c r="AZ593" s="286" t="str">
        <f>IF(AG593="","",VLOOKUP(AG593,AH590:AU596,COLUMN()-COLUMN(AR589),FALSE))</f>
        <v/>
      </c>
      <c r="BA593" s="286" t="str">
        <f>IF(AG593="","",VLOOKUP(AG593,AH590:AU596,COLUMN()-COLUMN(AR589),FALSE))</f>
        <v/>
      </c>
      <c r="BB593" s="286" t="str">
        <f>IF(AG593="","",VLOOKUP(AG593,AH590:AU596,COLUMN()-COLUMN(AR589),FALSE))</f>
        <v/>
      </c>
      <c r="BC593" s="286" t="str">
        <f>IF(AG593="","",VLOOKUP(AG593,AH590:AU596,COLUMN()-COLUMN(AR589),FALSE))</f>
        <v/>
      </c>
      <c r="BD593" s="286" t="str">
        <f>IF(AG593="","",VLOOKUP(AG593,AH590:AU596,COLUMN()-COLUMN(AR589),FALSE))</f>
        <v/>
      </c>
      <c r="BE593" s="286" t="str">
        <f>IF(AG593="","",VLOOKUP(AG593,AH590:AU596,COLUMN()-COLUMN(AR589),FALSE))</f>
        <v/>
      </c>
      <c r="BF593" s="301" t="str">
        <f>IF(AG593="","",VLOOKUP(AG593,AH590:AU596,COLUMN()-COLUMN(AR589),FALSE))</f>
        <v/>
      </c>
    </row>
    <row r="594" spans="1:58" ht="12" thickBot="1" x14ac:dyDescent="0.25">
      <c r="A594" s="505" t="s">
        <v>12263</v>
      </c>
      <c r="B594" s="62" t="s">
        <v>12216</v>
      </c>
      <c r="C594" s="62"/>
      <c r="D594" s="62"/>
      <c r="E594" s="345" t="s">
        <v>8113</v>
      </c>
      <c r="F594" s="345" t="s">
        <v>8546</v>
      </c>
      <c r="G594" s="113">
        <v>1</v>
      </c>
      <c r="H594" s="113">
        <v>0</v>
      </c>
      <c r="I594" s="114"/>
      <c r="J594" s="114"/>
      <c r="K594" s="114"/>
      <c r="L594" s="81"/>
      <c r="M594" s="265" t="b">
        <f>NOT(ISERROR(ResultsInd[[#This Row],[Goal-A]]+ResultsInd[[#This Row],[Goal-B]]))</f>
        <v>1</v>
      </c>
      <c r="N594" s="265">
        <f>VALUE(ResultsInd[[#This Row],[Score-A]])</f>
        <v>1</v>
      </c>
      <c r="O594" s="265">
        <f>VALUE(ResultsInd[[#This Row],[Score-B]])</f>
        <v>0</v>
      </c>
      <c r="P594" s="265" t="e">
        <f ca="1">IF(AND(ResultsInd[[#This Row],[Category]]&lt;&gt;"",ResultsInd[[#This Row],[Player A]]&lt;&gt;""),COUNTIF(INDIRECT(ResultsInd[[#This Row],[Category]]&amp;"List[Retained Player Name]"),ResultsInd[[#This Row],[Player A]]),"")</f>
        <v>#REF!</v>
      </c>
      <c r="Q594" s="265" t="e">
        <f ca="1">IF(AND(ResultsInd[[#This Row],[Category]]&lt;&gt;"",ResultsInd[[#This Row],[Player B]]&lt;&gt;""),COUNTIF(INDIRECT(ResultsInd[[#This Row],[Category]]&amp;"List[Retained Player Name]"),ResultsInd[[#This Row],[Player B]]),"")</f>
        <v>#REF!</v>
      </c>
      <c r="R5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4" s="265" t="str">
        <f>IF(ResultsInd[[#This Row],[Score_OK]],IF(ResultsInd[[#This Row],[Stage]]="Groups",ResultsInd[[#This Row],[Category]]&amp;"-"&amp;IF(ResultsInd[[#This Row],[Player B]]="","",IF(ResultsInd[[#This Row],[Score-A]]=ResultsInd[[#This Row],[Score-B]],ResultsInd[[#This Row],[Player A]],"")),""),"")</f>
        <v/>
      </c>
      <c r="T594" s="265" t="str">
        <f>IF(ResultsInd[[#This Row],[Score_OK]],IF(ResultsInd[[#This Row],[Stage]]="Groups",ResultsInd[[#This Row],[Category]]&amp;"-"&amp;IF(ResultsInd[[#This Row],[Player B]]="","",IF(ResultsInd[[#This Row],[Score-A]]=ResultsInd[[#This Row],[Score-B]],ResultsInd[[#This Row],[Player B]],"")),""),"")</f>
        <v/>
      </c>
      <c r="U5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CONSOLATION-Malcolm Jamieson</v>
      </c>
      <c r="W59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4" s="264" t="e">
        <f>IF(ResultsInd[[#This Row],[Category]]="","",VLOOKUP(ResultsInd[[#This Row],[Stage]],$P$1:$V$9,MATCH(ResultsInd[[#This Row],[Category]],$Q$1:$V$1,0)+1,FALSE))</f>
        <v>#N/A</v>
      </c>
      <c r="Z594" s="264" t="e">
        <f>IF(ResultsInd[[#This Row],[Score_OK]],IF(ResultsInd[[#This Row],[Level]]="R",ResultsInd[[#This Row],[Category]]&amp;"-"&amp;IF(ResultsInd[[#This Row],[LoseInKO]]=ResultsInd[[#This Row],[Category]]&amp;"-"&amp;ResultsInd[[#This Row],[Player A]],ResultsInd[[#This Row],[Player B]],ResultsInd[[#This Row],[Player A]]),""),"")</f>
        <v>#N/A</v>
      </c>
      <c r="AB594" s="91"/>
      <c r="AC594" s="12" t="str">
        <f t="shared" si="519"/>
        <v/>
      </c>
      <c r="AD594" s="309"/>
      <c r="AE594" s="310"/>
      <c r="AF594" s="311"/>
      <c r="AG594" s="292" t="str">
        <f>IF(AP594="","",SMALL(AH590:AH596,ROWS(AG590:AG594)))</f>
        <v/>
      </c>
      <c r="AH594" s="293" t="str">
        <f>IF(AP594="","",RANK(AL594,AL590:AL596)*1000+ROWS(AH590:AH594))</f>
        <v/>
      </c>
      <c r="AI594" s="316" t="str">
        <f t="shared" si="513"/>
        <v/>
      </c>
      <c r="AJ594" s="415" t="b">
        <f>AND(AO594&lt;&gt;"",AO594&gt;0,COUNTIF(AI590:AI596,AI594)&gt;1)</f>
        <v>0</v>
      </c>
      <c r="AK594" s="316" t="str">
        <f t="shared" si="514"/>
        <v/>
      </c>
      <c r="AL594" s="317" t="str">
        <f t="shared" si="515"/>
        <v/>
      </c>
      <c r="AM594" s="415" t="b">
        <f>AND(AO594&lt;&gt;"",AO594&gt;0,COUNTIF(AL590:AL596,AL594)&gt;1)</f>
        <v>0</v>
      </c>
      <c r="AN594" s="306" t="str">
        <f t="shared" si="516"/>
        <v/>
      </c>
      <c r="AO594" s="307" t="str">
        <f t="shared" si="517"/>
        <v/>
      </c>
      <c r="AP594" s="307" t="str">
        <f>IF(OR(AC589="",AD594=""),"",COUNTIF(ResultsInd[Win],AC589&amp;"-"&amp;AD594))</f>
        <v/>
      </c>
      <c r="AQ594" s="307" t="str">
        <f>IF(OR(AC589="",AD594=""),"",COUNTIF(ResultsInd[Draw1],AC589&amp;"-"&amp;AD594)+COUNTIF(ResultsInd[Draw2],AC589&amp;"-"&amp;AD594))</f>
        <v/>
      </c>
      <c r="AR594" s="307" t="str">
        <f>IF(OR(AC589="",AD594=""),"",COUNTIF(ResultsInd[Lose],AC589&amp;"-"&amp;AD594))</f>
        <v/>
      </c>
      <c r="AS594" s="307" t="str">
        <f>IF(OR(AC589="",AD594=""),"",SUMIFS(ResultsInd[Goal-A],ResultsInd[Category],AC589,ResultsInd[Stage],"Groups",ResultsInd[Player A],AD594)+SUMIFS(ResultsInd[Goal-B],ResultsInd[Category],AC589,ResultsInd[Stage],"Groups",ResultsInd[Player B],AD594))</f>
        <v/>
      </c>
      <c r="AT594" s="307" t="str">
        <f>IF(OR(AC589="",AD594=""),"",SUMIFS(ResultsInd[Goal-B],ResultsInd[Category],AC589,ResultsInd[Stage],"Groups",ResultsInd[Player A],AD594)+SUMIFS(ResultsInd[Goal-A],ResultsInd[Category],AC589,ResultsInd[Stage],"Groups",ResultsInd[Player B],AD594))</f>
        <v/>
      </c>
      <c r="AU594" s="308" t="str">
        <f t="shared" si="520"/>
        <v/>
      </c>
      <c r="AV594" s="469" t="str">
        <f>IF(AG594="","",OR(VLOOKUP(AG594,AH590:AU596,3,FALSE),VLOOKUP(AG594,AH590:AU596,6,FALSE)))</f>
        <v/>
      </c>
      <c r="AW594" s="298" t="str">
        <f t="shared" si="518"/>
        <v/>
      </c>
      <c r="AX594" s="285" t="str">
        <f>IF(AG594="","",INDEX(AD590:AD596,MATCH(AG594,AH590:AH596,0)))</f>
        <v/>
      </c>
      <c r="AY594" s="286" t="str">
        <f>IF(AG594="","",VLOOKUP(AG594,AH590:AU596,COLUMN()-COLUMN(AR589),FALSE))</f>
        <v/>
      </c>
      <c r="AZ594" s="286" t="str">
        <f>IF(AG594="","",VLOOKUP(AG594,AH590:AU596,COLUMN()-COLUMN(AR589),FALSE))</f>
        <v/>
      </c>
      <c r="BA594" s="286" t="str">
        <f>IF(AG594="","",VLOOKUP(AG594,AH590:AU596,COLUMN()-COLUMN(AR589),FALSE))</f>
        <v/>
      </c>
      <c r="BB594" s="286" t="str">
        <f>IF(AG594="","",VLOOKUP(AG594,AH590:AU596,COLUMN()-COLUMN(AR589),FALSE))</f>
        <v/>
      </c>
      <c r="BC594" s="286" t="str">
        <f>IF(AG594="","",VLOOKUP(AG594,AH590:AU596,COLUMN()-COLUMN(AR589),FALSE))</f>
        <v/>
      </c>
      <c r="BD594" s="286" t="str">
        <f>IF(AG594="","",VLOOKUP(AG594,AH590:AU596,COLUMN()-COLUMN(AR589),FALSE))</f>
        <v/>
      </c>
      <c r="BE594" s="286" t="str">
        <f>IF(AG594="","",VLOOKUP(AG594,AH590:AU596,COLUMN()-COLUMN(AR589),FALSE))</f>
        <v/>
      </c>
      <c r="BF594" s="301" t="str">
        <f>IF(AG594="","",VLOOKUP(AG594,AH590:AU596,COLUMN()-COLUMN(AR589),FALSE))</f>
        <v/>
      </c>
    </row>
    <row r="595" spans="1:58" ht="12" thickBot="1" x14ac:dyDescent="0.25">
      <c r="A595" s="505" t="s">
        <v>12263</v>
      </c>
      <c r="B595" s="62" t="s">
        <v>12216</v>
      </c>
      <c r="C595" s="62"/>
      <c r="D595" s="62"/>
      <c r="E595" s="345" t="s">
        <v>8139</v>
      </c>
      <c r="F595" s="345" t="s">
        <v>8081</v>
      </c>
      <c r="G595" s="113">
        <v>5</v>
      </c>
      <c r="H595" s="113">
        <v>0</v>
      </c>
      <c r="I595" s="114"/>
      <c r="J595" s="114"/>
      <c r="K595" s="114"/>
      <c r="L595" s="81"/>
      <c r="M595" s="265" t="b">
        <f>NOT(ISERROR(ResultsInd[[#This Row],[Goal-A]]+ResultsInd[[#This Row],[Goal-B]]))</f>
        <v>1</v>
      </c>
      <c r="N595" s="265">
        <f>VALUE(ResultsInd[[#This Row],[Score-A]])</f>
        <v>5</v>
      </c>
      <c r="O595" s="265">
        <f>VALUE(ResultsInd[[#This Row],[Score-B]])</f>
        <v>0</v>
      </c>
      <c r="P595" s="265" t="e">
        <f ca="1">IF(AND(ResultsInd[[#This Row],[Category]]&lt;&gt;"",ResultsInd[[#This Row],[Player A]]&lt;&gt;""),COUNTIF(INDIRECT(ResultsInd[[#This Row],[Category]]&amp;"List[Retained Player Name]"),ResultsInd[[#This Row],[Player A]]),"")</f>
        <v>#REF!</v>
      </c>
      <c r="Q595" s="265" t="e">
        <f ca="1">IF(AND(ResultsInd[[#This Row],[Category]]&lt;&gt;"",ResultsInd[[#This Row],[Player B]]&lt;&gt;""),COUNTIF(INDIRECT(ResultsInd[[#This Row],[Category]]&amp;"List[Retained Player Name]"),ResultsInd[[#This Row],[Player B]]),"")</f>
        <v>#REF!</v>
      </c>
      <c r="R5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5" s="265" t="str">
        <f>IF(ResultsInd[[#This Row],[Score_OK]],IF(ResultsInd[[#This Row],[Stage]]="Groups",ResultsInd[[#This Row],[Category]]&amp;"-"&amp;IF(ResultsInd[[#This Row],[Player B]]="","",IF(ResultsInd[[#This Row],[Score-A]]=ResultsInd[[#This Row],[Score-B]],ResultsInd[[#This Row],[Player A]],"")),""),"")</f>
        <v/>
      </c>
      <c r="T595" s="265" t="str">
        <f>IF(ResultsInd[[#This Row],[Score_OK]],IF(ResultsInd[[#This Row],[Stage]]="Groups",ResultsInd[[#This Row],[Category]]&amp;"-"&amp;IF(ResultsInd[[#This Row],[Player B]]="","",IF(ResultsInd[[#This Row],[Score-A]]=ResultsInd[[#This Row],[Score-B]],ResultsInd[[#This Row],[Player B]],"")),""),"")</f>
        <v/>
      </c>
      <c r="U5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CONSOLATION-Jos Ceulemans</v>
      </c>
      <c r="W59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5" s="264" t="e">
        <f>IF(ResultsInd[[#This Row],[Category]]="","",VLOOKUP(ResultsInd[[#This Row],[Stage]],$P$1:$V$9,MATCH(ResultsInd[[#This Row],[Category]],$Q$1:$V$1,0)+1,FALSE))</f>
        <v>#N/A</v>
      </c>
      <c r="Z595" s="264" t="e">
        <f>IF(ResultsInd[[#This Row],[Score_OK]],IF(ResultsInd[[#This Row],[Level]]="R",ResultsInd[[#This Row],[Category]]&amp;"-"&amp;IF(ResultsInd[[#This Row],[LoseInKO]]=ResultsInd[[#This Row],[Category]]&amp;"-"&amp;ResultsInd[[#This Row],[Player A]],ResultsInd[[#This Row],[Player B]],ResultsInd[[#This Row],[Player A]]),""),"")</f>
        <v>#N/A</v>
      </c>
      <c r="AB595" s="8"/>
      <c r="AC595" s="12" t="str">
        <f t="shared" si="519"/>
        <v/>
      </c>
      <c r="AD595" s="309"/>
      <c r="AE595" s="310"/>
      <c r="AF595" s="311"/>
      <c r="AG595" s="292" t="str">
        <f>IF(AP595="","",SMALL(AH590:AH596,ROWS(AG590:AG595)))</f>
        <v/>
      </c>
      <c r="AH595" s="293" t="str">
        <f>IF(AP595="","",RANK(AL595,AL590:AL596)*1000+ROWS(AH590:AH595))</f>
        <v/>
      </c>
      <c r="AI595" s="316" t="str">
        <f t="shared" si="513"/>
        <v/>
      </c>
      <c r="AJ595" s="415" t="b">
        <f>AND(AO595&lt;&gt;"",AO595&gt;0,COUNTIF(AI590:AI596,AI595)&gt;1)</f>
        <v>0</v>
      </c>
      <c r="AK595" s="316" t="str">
        <f t="shared" si="514"/>
        <v/>
      </c>
      <c r="AL595" s="317" t="str">
        <f t="shared" si="515"/>
        <v/>
      </c>
      <c r="AM595" s="415" t="b">
        <f>AND(AO595&lt;&gt;"",AO595&gt;0,COUNTIF(AL590:AL596,AL595)&gt;1)</f>
        <v>0</v>
      </c>
      <c r="AN595" s="306" t="str">
        <f t="shared" si="516"/>
        <v/>
      </c>
      <c r="AO595" s="307" t="str">
        <f t="shared" si="517"/>
        <v/>
      </c>
      <c r="AP595" s="307" t="str">
        <f>IF(OR(AC589="",AD595=""),"",COUNTIF(ResultsInd[Win],AC589&amp;"-"&amp;AD595))</f>
        <v/>
      </c>
      <c r="AQ595" s="307" t="str">
        <f>IF(OR(AC589="",AD595=""),"",COUNTIF(ResultsInd[Draw1],AC589&amp;"-"&amp;AD595)+COUNTIF(ResultsInd[Draw2],AC589&amp;"-"&amp;AD595))</f>
        <v/>
      </c>
      <c r="AR595" s="307" t="str">
        <f>IF(OR(AC589="",AD595=""),"",COUNTIF(ResultsInd[Lose],AC589&amp;"-"&amp;AD595))</f>
        <v/>
      </c>
      <c r="AS595" s="307" t="str">
        <f>IF(OR(AC589="",AD595=""),"",SUMIFS(ResultsInd[Goal-A],ResultsInd[Category],AC589,ResultsInd[Stage],"Groups",ResultsInd[Player A],AD595)+SUMIFS(ResultsInd[Goal-B],ResultsInd[Category],AC589,ResultsInd[Stage],"Groups",ResultsInd[Player B],AD595))</f>
        <v/>
      </c>
      <c r="AT595" s="307" t="str">
        <f>IF(OR(AC589="",AD595=""),"",SUMIFS(ResultsInd[Goal-B],ResultsInd[Category],AC589,ResultsInd[Stage],"Groups",ResultsInd[Player A],AD595)+SUMIFS(ResultsInd[Goal-A],ResultsInd[Category],AC589,ResultsInd[Stage],"Groups",ResultsInd[Player B],AD595))</f>
        <v/>
      </c>
      <c r="AU595" s="308" t="str">
        <f t="shared" si="520"/>
        <v/>
      </c>
      <c r="AV595" s="469" t="str">
        <f>IF(AG595="","",OR(VLOOKUP(AG595,AH590:AU596,3,FALSE),VLOOKUP(AG595,AH590:AU596,6,FALSE)))</f>
        <v/>
      </c>
      <c r="AW595" s="298" t="str">
        <f t="shared" si="518"/>
        <v/>
      </c>
      <c r="AX595" s="285" t="str">
        <f>IF(AG595="","",INDEX(AD590:AD596,MATCH(AG595,AH590:AH596,0)))</f>
        <v/>
      </c>
      <c r="AY595" s="286" t="str">
        <f>IF(AG595="","",VLOOKUP(AG595,AH590:AU596,COLUMN()-COLUMN(AR589),FALSE))</f>
        <v/>
      </c>
      <c r="AZ595" s="286" t="str">
        <f>IF(AG595="","",VLOOKUP(AG595,AH590:AU596,COLUMN()-COLUMN(AR589),FALSE))</f>
        <v/>
      </c>
      <c r="BA595" s="286" t="str">
        <f>IF(AG595="","",VLOOKUP(AG595,AH590:AU596,COLUMN()-COLUMN(AR589),FALSE))</f>
        <v/>
      </c>
      <c r="BB595" s="286" t="str">
        <f>IF(AG595="","",VLOOKUP(AG595,AH590:AU596,COLUMN()-COLUMN(AR589),FALSE))</f>
        <v/>
      </c>
      <c r="BC595" s="286" t="str">
        <f>IF(AG595="","",VLOOKUP(AG595,AH590:AU596,COLUMN()-COLUMN(AR589),FALSE))</f>
        <v/>
      </c>
      <c r="BD595" s="286" t="str">
        <f>IF(AG595="","",VLOOKUP(AG595,AH590:AU596,COLUMN()-COLUMN(AR589),FALSE))</f>
        <v/>
      </c>
      <c r="BE595" s="286" t="str">
        <f>IF(AG595="","",VLOOKUP(AG595,AH590:AU596,COLUMN()-COLUMN(AR589),FALSE))</f>
        <v/>
      </c>
      <c r="BF595" s="301" t="str">
        <f>IF(AG595="","",VLOOKUP(AG595,AH590:AU596,COLUMN()-COLUMN(AR589),FALSE))</f>
        <v/>
      </c>
    </row>
    <row r="596" spans="1:58" ht="12" thickBot="1" x14ac:dyDescent="0.25">
      <c r="A596" s="505" t="s">
        <v>12263</v>
      </c>
      <c r="B596" s="62" t="s">
        <v>12216</v>
      </c>
      <c r="C596" s="62"/>
      <c r="D596" s="62"/>
      <c r="E596" s="345" t="s">
        <v>8554</v>
      </c>
      <c r="F596" s="345" t="s">
        <v>8133</v>
      </c>
      <c r="G596" s="113">
        <v>1</v>
      </c>
      <c r="H596" s="113">
        <v>0</v>
      </c>
      <c r="I596" s="114"/>
      <c r="J596" s="114"/>
      <c r="K596" s="114"/>
      <c r="L596" s="81"/>
      <c r="M596" s="265" t="b">
        <f>NOT(ISERROR(ResultsInd[[#This Row],[Goal-A]]+ResultsInd[[#This Row],[Goal-B]]))</f>
        <v>1</v>
      </c>
      <c r="N596" s="265">
        <f>VALUE(ResultsInd[[#This Row],[Score-A]])</f>
        <v>1</v>
      </c>
      <c r="O596" s="265">
        <f>VALUE(ResultsInd[[#This Row],[Score-B]])</f>
        <v>0</v>
      </c>
      <c r="P596" s="265" t="e">
        <f ca="1">IF(AND(ResultsInd[[#This Row],[Category]]&lt;&gt;"",ResultsInd[[#This Row],[Player A]]&lt;&gt;""),COUNTIF(INDIRECT(ResultsInd[[#This Row],[Category]]&amp;"List[Retained Player Name]"),ResultsInd[[#This Row],[Player A]]),"")</f>
        <v>#REF!</v>
      </c>
      <c r="Q596" s="265" t="e">
        <f ca="1">IF(AND(ResultsInd[[#This Row],[Category]]&lt;&gt;"",ResultsInd[[#This Row],[Player B]]&lt;&gt;""),COUNTIF(INDIRECT(ResultsInd[[#This Row],[Category]]&amp;"List[Retained Player Name]"),ResultsInd[[#This Row],[Player B]]),"")</f>
        <v>#REF!</v>
      </c>
      <c r="R5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6" s="265" t="str">
        <f>IF(ResultsInd[[#This Row],[Score_OK]],IF(ResultsInd[[#This Row],[Stage]]="Groups",ResultsInd[[#This Row],[Category]]&amp;"-"&amp;IF(ResultsInd[[#This Row],[Player B]]="","",IF(ResultsInd[[#This Row],[Score-A]]=ResultsInd[[#This Row],[Score-B]],ResultsInd[[#This Row],[Player A]],"")),""),"")</f>
        <v/>
      </c>
      <c r="T596" s="265" t="str">
        <f>IF(ResultsInd[[#This Row],[Score_OK]],IF(ResultsInd[[#This Row],[Stage]]="Groups",ResultsInd[[#This Row],[Category]]&amp;"-"&amp;IF(ResultsInd[[#This Row],[Player B]]="","",IF(ResultsInd[[#This Row],[Score-A]]=ResultsInd[[#This Row],[Score-B]],ResultsInd[[#This Row],[Player B]],"")),""),"")</f>
        <v/>
      </c>
      <c r="U5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CONSOLATION-Didier Stevenot</v>
      </c>
      <c r="W59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6" s="264" t="e">
        <f>IF(ResultsInd[[#This Row],[Category]]="","",VLOOKUP(ResultsInd[[#This Row],[Stage]],$P$1:$V$9,MATCH(ResultsInd[[#This Row],[Category]],$Q$1:$V$1,0)+1,FALSE))</f>
        <v>#N/A</v>
      </c>
      <c r="Z596" s="264" t="e">
        <f>IF(ResultsInd[[#This Row],[Score_OK]],IF(ResultsInd[[#This Row],[Level]]="R",ResultsInd[[#This Row],[Category]]&amp;"-"&amp;IF(ResultsInd[[#This Row],[LoseInKO]]=ResultsInd[[#This Row],[Category]]&amp;"-"&amp;ResultsInd[[#This Row],[Player A]],ResultsInd[[#This Row],[Player B]],ResultsInd[[#This Row],[Player A]]),""),"")</f>
        <v>#N/A</v>
      </c>
      <c r="AB596" s="8"/>
      <c r="AC596" s="12" t="str">
        <f t="shared" si="519"/>
        <v/>
      </c>
      <c r="AD596" s="312"/>
      <c r="AE596" s="313"/>
      <c r="AF596" s="314"/>
      <c r="AG596" s="294" t="str">
        <f>IF(AP596="","",SMALL(AH590:AH596,ROWS(AG590:AG596)))</f>
        <v/>
      </c>
      <c r="AH596" s="295" t="str">
        <f>IF(AP596="","",RANK(AL596,AL590:AL596)*1000+ROWS(AH590:AH596))</f>
        <v/>
      </c>
      <c r="AI596" s="318" t="str">
        <f t="shared" si="513"/>
        <v/>
      </c>
      <c r="AJ596" s="416" t="b">
        <f>AND(AO596&lt;&gt;"",AO596&gt;0,COUNTIF(AI590:AI596,AI596)&gt;1)</f>
        <v>0</v>
      </c>
      <c r="AK596" s="318" t="str">
        <f t="shared" si="514"/>
        <v/>
      </c>
      <c r="AL596" s="319" t="str">
        <f t="shared" si="515"/>
        <v/>
      </c>
      <c r="AM596" s="416" t="b">
        <f>AND(AO596&lt;&gt;"",AO596&gt;0,COUNTIF(AL590:AL596,AL596)&gt;1)</f>
        <v>0</v>
      </c>
      <c r="AN596" s="306" t="str">
        <f t="shared" si="516"/>
        <v/>
      </c>
      <c r="AO596" s="307" t="str">
        <f t="shared" si="517"/>
        <v/>
      </c>
      <c r="AP596" s="307" t="str">
        <f>IF(OR(AC589="",AD596=""),"",COUNTIF(ResultsInd[Win],AC589&amp;"-"&amp;AD596))</f>
        <v/>
      </c>
      <c r="AQ596" s="307" t="str">
        <f>IF(OR(AC589="",AD596=""),"",COUNTIF(ResultsInd[Draw1],AC589&amp;"-"&amp;AD596)+COUNTIF(ResultsInd[Draw2],AC589&amp;"-"&amp;AD596))</f>
        <v/>
      </c>
      <c r="AR596" s="307" t="str">
        <f>IF(OR(AC589="",AD596=""),"",COUNTIF(ResultsInd[Lose],AC589&amp;"-"&amp;AD596))</f>
        <v/>
      </c>
      <c r="AS596" s="307" t="str">
        <f>IF(OR(AC589="",AD596=""),"",SUMIFS(ResultsInd[Goal-A],ResultsInd[Category],AC589,ResultsInd[Stage],"Groups",ResultsInd[Player A],AD596)+SUMIFS(ResultsInd[Goal-B],ResultsInd[Category],AC589,ResultsInd[Stage],"Groups",ResultsInd[Player B],AD596))</f>
        <v/>
      </c>
      <c r="AT596" s="307" t="str">
        <f>IF(OR(AC589="",AD596=""),"",SUMIFS(ResultsInd[Goal-B],ResultsInd[Category],AC589,ResultsInd[Stage],"Groups",ResultsInd[Player A],AD596)+SUMIFS(ResultsInd[Goal-A],ResultsInd[Category],AC589,ResultsInd[Stage],"Groups",ResultsInd[Player B],AD596))</f>
        <v/>
      </c>
      <c r="AU596" s="308" t="str">
        <f t="shared" si="520"/>
        <v/>
      </c>
      <c r="AV596" s="469" t="str">
        <f>IF(AG596="","",OR(VLOOKUP(AG596,AH590:AU596,3,FALSE),VLOOKUP(AG596,AH590:AU596,6,FALSE)))</f>
        <v/>
      </c>
      <c r="AW596" s="299" t="str">
        <f t="shared" si="518"/>
        <v/>
      </c>
      <c r="AX596" s="287" t="str">
        <f>IF(AG596="","",INDEX(AD590:AD596,MATCH(AG596,AH590:AH596,0)))</f>
        <v/>
      </c>
      <c r="AY596" s="288" t="str">
        <f>IF(AG596="","",VLOOKUP(AG596,AH590:AU596,COLUMN()-COLUMN(AR589),FALSE))</f>
        <v/>
      </c>
      <c r="AZ596" s="288" t="str">
        <f>IF(AG596="","",VLOOKUP(AG596,AH590:AU596,COLUMN()-COLUMN(AR589),FALSE))</f>
        <v/>
      </c>
      <c r="BA596" s="288" t="str">
        <f>IF(AG596="","",VLOOKUP(AG596,AH590:AU596,COLUMN()-COLUMN(AR589),FALSE))</f>
        <v/>
      </c>
      <c r="BB596" s="288" t="str">
        <f>IF(AG596="","",VLOOKUP(AG596,AH590:AU596,COLUMN()-COLUMN(AR589),FALSE))</f>
        <v/>
      </c>
      <c r="BC596" s="288" t="str">
        <f>IF(AG596="","",VLOOKUP(AG596,AH590:AU596,COLUMN()-COLUMN(AR589),FALSE))</f>
        <v/>
      </c>
      <c r="BD596" s="288" t="str">
        <f>IF(AG596="","",VLOOKUP(AG596,AH590:AU596,COLUMN()-COLUMN(AR589),FALSE))</f>
        <v/>
      </c>
      <c r="BE596" s="288" t="str">
        <f>IF(AG596="","",VLOOKUP(AG596,AH590:AU596,COLUMN()-COLUMN(AR589),FALSE))</f>
        <v/>
      </c>
      <c r="BF596" s="302" t="str">
        <f>IF(AG596="","",VLOOKUP(AG596,AH590:AU596,COLUMN()-COLUMN(AR589),FALSE))</f>
        <v/>
      </c>
    </row>
    <row r="597" spans="1:58" ht="13.5" thickBot="1" x14ac:dyDescent="0.25">
      <c r="A597" s="505" t="s">
        <v>12263</v>
      </c>
      <c r="B597" s="62" t="s">
        <v>12216</v>
      </c>
      <c r="C597" s="62"/>
      <c r="D597" s="62"/>
      <c r="E597" s="345" t="s">
        <v>11908</v>
      </c>
      <c r="F597" s="345" t="s">
        <v>9853</v>
      </c>
      <c r="G597" s="113">
        <v>5</v>
      </c>
      <c r="H597" s="113">
        <v>0</v>
      </c>
      <c r="I597" s="114"/>
      <c r="J597" s="114"/>
      <c r="K597" s="114"/>
      <c r="L597" s="81"/>
      <c r="M597" s="265" t="b">
        <f>NOT(ISERROR(ResultsInd[[#This Row],[Goal-A]]+ResultsInd[[#This Row],[Goal-B]]))</f>
        <v>1</v>
      </c>
      <c r="N597" s="265">
        <f>VALUE(ResultsInd[[#This Row],[Score-A]])</f>
        <v>5</v>
      </c>
      <c r="O597" s="265">
        <f>VALUE(ResultsInd[[#This Row],[Score-B]])</f>
        <v>0</v>
      </c>
      <c r="P597" s="265" t="e">
        <f ca="1">IF(AND(ResultsInd[[#This Row],[Category]]&lt;&gt;"",ResultsInd[[#This Row],[Player A]]&lt;&gt;""),COUNTIF(INDIRECT(ResultsInd[[#This Row],[Category]]&amp;"List[Retained Player Name]"),ResultsInd[[#This Row],[Player A]]),"")</f>
        <v>#REF!</v>
      </c>
      <c r="Q597" s="265" t="e">
        <f ca="1">IF(AND(ResultsInd[[#This Row],[Category]]&lt;&gt;"",ResultsInd[[#This Row],[Player B]]&lt;&gt;""),COUNTIF(INDIRECT(ResultsInd[[#This Row],[Category]]&amp;"List[Retained Player Name]"),ResultsInd[[#This Row],[Player B]]),"")</f>
        <v>#REF!</v>
      </c>
      <c r="R5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7" s="265" t="str">
        <f>IF(ResultsInd[[#This Row],[Score_OK]],IF(ResultsInd[[#This Row],[Stage]]="Groups",ResultsInd[[#This Row],[Category]]&amp;"-"&amp;IF(ResultsInd[[#This Row],[Player B]]="","",IF(ResultsInd[[#This Row],[Score-A]]=ResultsInd[[#This Row],[Score-B]],ResultsInd[[#This Row],[Player A]],"")),""),"")</f>
        <v/>
      </c>
      <c r="T597" s="265" t="str">
        <f>IF(ResultsInd[[#This Row],[Score_OK]],IF(ResultsInd[[#This Row],[Stage]]="Groups",ResultsInd[[#This Row],[Category]]&amp;"-"&amp;IF(ResultsInd[[#This Row],[Player B]]="","",IF(ResultsInd[[#This Row],[Score-A]]=ResultsInd[[#This Row],[Score-B]],ResultsInd[[#This Row],[Player B]],"")),""),"")</f>
        <v/>
      </c>
      <c r="U5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CONSOLATION-Riccardo Marinucci</v>
      </c>
      <c r="W59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7" s="264" t="e">
        <f>IF(ResultsInd[[#This Row],[Category]]="","",VLOOKUP(ResultsInd[[#This Row],[Stage]],$P$1:$V$9,MATCH(ResultsInd[[#This Row],[Category]],$Q$1:$V$1,0)+1,FALSE))</f>
        <v>#N/A</v>
      </c>
      <c r="Z597" s="264" t="e">
        <f>IF(ResultsInd[[#This Row],[Score_OK]],IF(ResultsInd[[#This Row],[Level]]="R",ResultsInd[[#This Row],[Category]]&amp;"-"&amp;IF(ResultsInd[[#This Row],[LoseInKO]]=ResultsInd[[#This Row],[Category]]&amp;"-"&amp;ResultsInd[[#This Row],[Player A]],ResultsInd[[#This Row],[Player B]],ResultsInd[[#This Row],[Player A]]),""),"")</f>
        <v>#N/A</v>
      </c>
      <c r="AB597" s="8"/>
      <c r="AC597" s="8"/>
      <c r="AF597" s="170"/>
      <c r="AG597" s="101"/>
      <c r="AH597" s="101"/>
      <c r="AN597" s="170"/>
      <c r="AO597" s="170"/>
      <c r="AP597" s="170"/>
      <c r="AQ597" s="172"/>
      <c r="AR597" s="173"/>
      <c r="AS597" s="173"/>
      <c r="AT597" s="173"/>
      <c r="AU597" s="101"/>
      <c r="AV597" s="101"/>
      <c r="AW597" s="101"/>
      <c r="AX597" s="101"/>
      <c r="AY597" s="101"/>
      <c r="AZ597" s="101"/>
    </row>
    <row r="598" spans="1:58" ht="12" thickBot="1" x14ac:dyDescent="0.25">
      <c r="A598" s="505" t="s">
        <v>12263</v>
      </c>
      <c r="B598" s="62" t="s">
        <v>12216</v>
      </c>
      <c r="C598" s="62"/>
      <c r="D598" s="62"/>
      <c r="E598" s="345" t="s">
        <v>8643</v>
      </c>
      <c r="F598" s="345" t="s">
        <v>9229</v>
      </c>
      <c r="G598" s="113">
        <v>1</v>
      </c>
      <c r="H598" s="113">
        <v>2</v>
      </c>
      <c r="I598" s="114"/>
      <c r="J598" s="114"/>
      <c r="K598" s="114"/>
      <c r="L598" s="81"/>
      <c r="M598" s="265" t="b">
        <f>NOT(ISERROR(ResultsInd[[#This Row],[Goal-A]]+ResultsInd[[#This Row],[Goal-B]]))</f>
        <v>1</v>
      </c>
      <c r="N598" s="265">
        <f>VALUE(ResultsInd[[#This Row],[Score-A]])</f>
        <v>1</v>
      </c>
      <c r="O598" s="265">
        <f>VALUE(ResultsInd[[#This Row],[Score-B]])</f>
        <v>2</v>
      </c>
      <c r="P598" s="265" t="e">
        <f ca="1">IF(AND(ResultsInd[[#This Row],[Category]]&lt;&gt;"",ResultsInd[[#This Row],[Player A]]&lt;&gt;""),COUNTIF(INDIRECT(ResultsInd[[#This Row],[Category]]&amp;"List[Retained Player Name]"),ResultsInd[[#This Row],[Player A]]),"")</f>
        <v>#REF!</v>
      </c>
      <c r="Q598" s="265" t="e">
        <f ca="1">IF(AND(ResultsInd[[#This Row],[Category]]&lt;&gt;"",ResultsInd[[#This Row],[Player B]]&lt;&gt;""),COUNTIF(INDIRECT(ResultsInd[[#This Row],[Category]]&amp;"List[Retained Player Name]"),ResultsInd[[#This Row],[Player B]]),"")</f>
        <v>#REF!</v>
      </c>
      <c r="R5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8" s="265" t="str">
        <f>IF(ResultsInd[[#This Row],[Score_OK]],IF(ResultsInd[[#This Row],[Stage]]="Groups",ResultsInd[[#This Row],[Category]]&amp;"-"&amp;IF(ResultsInd[[#This Row],[Player B]]="","",IF(ResultsInd[[#This Row],[Score-A]]=ResultsInd[[#This Row],[Score-B]],ResultsInd[[#This Row],[Player A]],"")),""),"")</f>
        <v/>
      </c>
      <c r="T598" s="265" t="str">
        <f>IF(ResultsInd[[#This Row],[Score_OK]],IF(ResultsInd[[#This Row],[Stage]]="Groups",ResultsInd[[#This Row],[Category]]&amp;"-"&amp;IF(ResultsInd[[#This Row],[Player B]]="","",IF(ResultsInd[[#This Row],[Score-A]]=ResultsInd[[#This Row],[Score-B]],ResultsInd[[#This Row],[Player B]],"")),""),"")</f>
        <v/>
      </c>
      <c r="U5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CONSOLATION-Alberto Gómez</v>
      </c>
      <c r="W59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8" s="264" t="e">
        <f>IF(ResultsInd[[#This Row],[Category]]="","",VLOOKUP(ResultsInd[[#This Row],[Stage]],$P$1:$V$9,MATCH(ResultsInd[[#This Row],[Category]],$Q$1:$V$1,0)+1,FALSE))</f>
        <v>#N/A</v>
      </c>
      <c r="Z598" s="264" t="e">
        <f>IF(ResultsInd[[#This Row],[Score_OK]],IF(ResultsInd[[#This Row],[Level]]="R",ResultsInd[[#This Row],[Category]]&amp;"-"&amp;IF(ResultsInd[[#This Row],[LoseInKO]]=ResultsInd[[#This Row],[Category]]&amp;"-"&amp;ResultsInd[[#This Row],[Player A]],ResultsInd[[#This Row],[Player B]],ResultsInd[[#This Row],[Player A]]),""),"")</f>
        <v>#N/A</v>
      </c>
      <c r="AB598" s="281" t="str">
        <f>IF(AC598="","",COUNTIFS(AC$22:AC598,AC598,AD$22:AD598,"Players draw"))</f>
        <v/>
      </c>
      <c r="AC598" s="315"/>
      <c r="AD598" s="289" t="s">
        <v>14439</v>
      </c>
      <c r="AE598" s="290" t="s">
        <v>12279</v>
      </c>
      <c r="AF598" s="284" t="s">
        <v>12275</v>
      </c>
      <c r="AG598" s="296" t="s">
        <v>12276</v>
      </c>
      <c r="AH598" s="291" t="s">
        <v>12271</v>
      </c>
      <c r="AI598" s="291" t="s">
        <v>12272</v>
      </c>
      <c r="AJ598" s="414" t="s">
        <v>13154</v>
      </c>
      <c r="AK598" s="291" t="s">
        <v>12273</v>
      </c>
      <c r="AL598" s="297" t="s">
        <v>12274</v>
      </c>
      <c r="AM598" s="414" t="s">
        <v>13154</v>
      </c>
      <c r="AN598" s="303" t="s">
        <v>12199</v>
      </c>
      <c r="AO598" s="304" t="s">
        <v>12200</v>
      </c>
      <c r="AP598" s="304" t="s">
        <v>12201</v>
      </c>
      <c r="AQ598" s="304" t="s">
        <v>12202</v>
      </c>
      <c r="AR598" s="304" t="s">
        <v>12203</v>
      </c>
      <c r="AS598" s="304" t="s">
        <v>12204</v>
      </c>
      <c r="AT598" s="304" t="s">
        <v>12205</v>
      </c>
      <c r="AU598" s="305" t="s">
        <v>12206</v>
      </c>
      <c r="AV598" s="468"/>
      <c r="AW598" s="282" t="s">
        <v>12276</v>
      </c>
      <c r="AX598" s="282" t="s">
        <v>12280</v>
      </c>
      <c r="AY598" s="283" t="s">
        <v>12199</v>
      </c>
      <c r="AZ598" s="283" t="s">
        <v>12200</v>
      </c>
      <c r="BA598" s="283" t="s">
        <v>12201</v>
      </c>
      <c r="BB598" s="283" t="s">
        <v>12202</v>
      </c>
      <c r="BC598" s="283" t="s">
        <v>12203</v>
      </c>
      <c r="BD598" s="283" t="s">
        <v>12204</v>
      </c>
      <c r="BE598" s="283" t="s">
        <v>12205</v>
      </c>
      <c r="BF598" s="300" t="s">
        <v>12206</v>
      </c>
    </row>
    <row r="599" spans="1:58" ht="12" thickBot="1" x14ac:dyDescent="0.25">
      <c r="A599" s="505" t="s">
        <v>12263</v>
      </c>
      <c r="B599" s="62" t="s">
        <v>12216</v>
      </c>
      <c r="C599" s="62"/>
      <c r="D599" s="62"/>
      <c r="E599" s="345" t="s">
        <v>10886</v>
      </c>
      <c r="F599" s="345" t="s">
        <v>8588</v>
      </c>
      <c r="G599" s="113">
        <v>1</v>
      </c>
      <c r="H599" s="113">
        <v>0</v>
      </c>
      <c r="I599" s="114"/>
      <c r="J599" s="114"/>
      <c r="K599" s="114"/>
      <c r="L599" s="81"/>
      <c r="M599" s="265" t="b">
        <f>NOT(ISERROR(ResultsInd[[#This Row],[Goal-A]]+ResultsInd[[#This Row],[Goal-B]]))</f>
        <v>1</v>
      </c>
      <c r="N599" s="265">
        <f>VALUE(ResultsInd[[#This Row],[Score-A]])</f>
        <v>1</v>
      </c>
      <c r="O599" s="265">
        <f>VALUE(ResultsInd[[#This Row],[Score-B]])</f>
        <v>0</v>
      </c>
      <c r="P599" s="265" t="e">
        <f ca="1">IF(AND(ResultsInd[[#This Row],[Category]]&lt;&gt;"",ResultsInd[[#This Row],[Player A]]&lt;&gt;""),COUNTIF(INDIRECT(ResultsInd[[#This Row],[Category]]&amp;"List[Retained Player Name]"),ResultsInd[[#This Row],[Player A]]),"")</f>
        <v>#REF!</v>
      </c>
      <c r="Q599" s="265" t="e">
        <f ca="1">IF(AND(ResultsInd[[#This Row],[Category]]&lt;&gt;"",ResultsInd[[#This Row],[Player B]]&lt;&gt;""),COUNTIF(INDIRECT(ResultsInd[[#This Row],[Category]]&amp;"List[Retained Player Name]"),ResultsInd[[#This Row],[Player B]]),"")</f>
        <v>#REF!</v>
      </c>
      <c r="R5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9" s="265" t="str">
        <f>IF(ResultsInd[[#This Row],[Score_OK]],IF(ResultsInd[[#This Row],[Stage]]="Groups",ResultsInd[[#This Row],[Category]]&amp;"-"&amp;IF(ResultsInd[[#This Row],[Player B]]="","",IF(ResultsInd[[#This Row],[Score-A]]=ResultsInd[[#This Row],[Score-B]],ResultsInd[[#This Row],[Player A]],"")),""),"")</f>
        <v/>
      </c>
      <c r="T599" s="265" t="str">
        <f>IF(ResultsInd[[#This Row],[Score_OK]],IF(ResultsInd[[#This Row],[Stage]]="Groups",ResultsInd[[#This Row],[Category]]&amp;"-"&amp;IF(ResultsInd[[#This Row],[Player B]]="","",IF(ResultsInd[[#This Row],[Score-A]]=ResultsInd[[#This Row],[Score-B]],ResultsInd[[#This Row],[Player B]],"")),""),"")</f>
        <v/>
      </c>
      <c r="U5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CONSOLATION-Cayne Matthews</v>
      </c>
      <c r="W59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59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599" s="264" t="e">
        <f>IF(ResultsInd[[#This Row],[Category]]="","",VLOOKUP(ResultsInd[[#This Row],[Stage]],$P$1:$V$9,MATCH(ResultsInd[[#This Row],[Category]],$Q$1:$V$1,0)+1,FALSE))</f>
        <v>#N/A</v>
      </c>
      <c r="Z599" s="264" t="e">
        <f>IF(ResultsInd[[#This Row],[Score_OK]],IF(ResultsInd[[#This Row],[Level]]="R",ResultsInd[[#This Row],[Category]]&amp;"-"&amp;IF(ResultsInd[[#This Row],[LoseInKO]]=ResultsInd[[#This Row],[Category]]&amp;"-"&amp;ResultsInd[[#This Row],[Player A]],ResultsInd[[#This Row],[Player B]],ResultsInd[[#This Row],[Player A]]),""),"")</f>
        <v>#N/A</v>
      </c>
      <c r="AB599" s="8"/>
      <c r="AC599" s="12" t="str">
        <f>IF(AC598="","",AC598)</f>
        <v/>
      </c>
      <c r="AD599" s="309"/>
      <c r="AE599" s="320"/>
      <c r="AF599" s="311"/>
      <c r="AG599" s="292" t="str">
        <f>IF(AP599="","",SMALL(AH599:AH605,ROWS(AG599:AG599)))</f>
        <v/>
      </c>
      <c r="AH599" s="293" t="str">
        <f>IF(AP599="","",RANK(AL599,AL599:AL605)*1000+ROWS(AH599:AH599))</f>
        <v/>
      </c>
      <c r="AI599" s="316" t="str">
        <f t="shared" ref="AI599:AI605" si="521">IF(AP599="","",CritClassInd1_Points*AN599+CritClassInd1_Matches*AP599+CritClassInd1_Attaque*AS599+CritClassInd1_DiffButs*AU599)</f>
        <v/>
      </c>
      <c r="AJ599" s="415" t="b">
        <f>AND(AO599&lt;&gt;"",AO599&gt;0,COUNTIF(AI599:AI605,AI599)&gt;1)</f>
        <v>0</v>
      </c>
      <c r="AK599" s="316" t="str">
        <f t="shared" ref="AK599:AK605" si="522">IF(AP599="","",CritClassInd_ScorePart*AE599)</f>
        <v/>
      </c>
      <c r="AL599" s="317" t="str">
        <f t="shared" ref="AL599:AL605" si="523">IF(AP599="","",AI599+AK599+CritClassInd2_Points*AN599+CritClassInd2_Matches*AP599+CritClassInd2_Attaque*AS599+CritClassInd2_DiffButs*AU599+AF599)</f>
        <v/>
      </c>
      <c r="AM599" s="415" t="b">
        <f>AND(AO599&lt;&gt;"",AO599&gt;0,COUNTIF(AL599:AL605,AL599)&gt;1)</f>
        <v>0</v>
      </c>
      <c r="AN599" s="306" t="str">
        <f t="shared" ref="AN599:AN605" si="524">IF(AP599="","",(AP599*Points_Victoire)+AQ599*Points_Null)</f>
        <v/>
      </c>
      <c r="AO599" s="307" t="str">
        <f t="shared" ref="AO599:AO605" si="525">IF(AP599="","",SUM(AP599:AR599))</f>
        <v/>
      </c>
      <c r="AP599" s="307" t="str">
        <f>IF(OR(AC598="",AD599=""),"",COUNTIF(ResultsInd[Win],AC598&amp;"-"&amp;AD599))</f>
        <v/>
      </c>
      <c r="AQ599" s="307" t="str">
        <f>IF(OR(AC598="",AD599=""),"",COUNTIF(ResultsInd[Draw1],AC598&amp;"-"&amp;AD599)+COUNTIF(ResultsInd[Draw2],AC598&amp;"-"&amp;AD599))</f>
        <v/>
      </c>
      <c r="AR599" s="307" t="str">
        <f>IF(OR(AC598="",AD599=""),"",COUNTIF(ResultsInd[Lose],AC598&amp;"-"&amp;AD599))</f>
        <v/>
      </c>
      <c r="AS599" s="307" t="str">
        <f>IF(OR(AC598="",AD599=""),"",SUMIFS(ResultsInd[Goal-A],ResultsInd[Category],AC598,ResultsInd[Stage],"Groups",ResultsInd[Player A],AD599)+SUMIFS(ResultsInd[Goal-B],ResultsInd[Category],AC598,ResultsInd[Stage],"Groups",ResultsInd[Player B],AD599))</f>
        <v/>
      </c>
      <c r="AT599" s="307" t="str">
        <f>IF(OR(AC598="",AD599=""),"",SUMIFS(ResultsInd[Goal-B],ResultsInd[Category],AC598,ResultsInd[Stage],"Groups",ResultsInd[Player A],AD599)+SUMIFS(ResultsInd[Goal-A],ResultsInd[Category],AC598,ResultsInd[Stage],"Groups",ResultsInd[Player B],AD599))</f>
        <v/>
      </c>
      <c r="AU599" s="308" t="str">
        <f>IF(AP599="","",AS599-AT599)</f>
        <v/>
      </c>
      <c r="AV599" s="469" t="str">
        <f>IF(AG599="","",OR(VLOOKUP(AG599,AH599:AU605,3,FALSE),VLOOKUP(AG599,AH599:AU605,6,FALSE)))</f>
        <v/>
      </c>
      <c r="AW599" s="298" t="str">
        <f t="shared" ref="AW599:AW605" si="526">IF(AG599="","",INT(AG599/1000))</f>
        <v/>
      </c>
      <c r="AX599" s="285" t="str">
        <f>IF(AG599="","",INDEX(AD599:AD605,MATCH(AG599,AH599:AH605,0)))</f>
        <v/>
      </c>
      <c r="AY599" s="286" t="str">
        <f>IF(AG599="","",VLOOKUP(AG599,AH599:AU605,COLUMN()-COLUMN(AR598),FALSE))</f>
        <v/>
      </c>
      <c r="AZ599" s="286" t="str">
        <f>IF(AG599="","",VLOOKUP(AG599,AH599:AU605,COLUMN()-COLUMN(AR598),FALSE))</f>
        <v/>
      </c>
      <c r="BA599" s="286" t="str">
        <f>IF(AG599="","",VLOOKUP(AG599,AH599:AU605,COLUMN()-COLUMN(AR598),FALSE))</f>
        <v/>
      </c>
      <c r="BB599" s="286" t="str">
        <f>IF(AG599="","",VLOOKUP(AG599,AH599:AU605,COLUMN()-COLUMN(AR598),FALSE))</f>
        <v/>
      </c>
      <c r="BC599" s="286" t="str">
        <f>IF(AG599="","",VLOOKUP(AG599,AH599:AU605,COLUMN()-COLUMN(AR598),FALSE))</f>
        <v/>
      </c>
      <c r="BD599" s="286" t="str">
        <f>IF(AG599="","",VLOOKUP(AG599,AH599:AU605,COLUMN()-COLUMN(AR598),FALSE))</f>
        <v/>
      </c>
      <c r="BE599" s="286" t="str">
        <f>IF(AG599="","",VLOOKUP(AG599,AH599:AU605,COLUMN()-COLUMN(AR598),FALSE))</f>
        <v/>
      </c>
      <c r="BF599" s="301" t="str">
        <f>IF(AG599="","",VLOOKUP(AG599,AH599:AU605,COLUMN()-COLUMN(AR598),FALSE))</f>
        <v/>
      </c>
    </row>
    <row r="600" spans="1:58" ht="12" thickBot="1" x14ac:dyDescent="0.25">
      <c r="A600" s="62" t="s">
        <v>890</v>
      </c>
      <c r="B600" s="62" t="s">
        <v>12219</v>
      </c>
      <c r="C600" s="62"/>
      <c r="D600" s="62"/>
      <c r="E600" s="345" t="s">
        <v>10089</v>
      </c>
      <c r="F600" s="345" t="s">
        <v>9527</v>
      </c>
      <c r="G600" s="113">
        <v>1</v>
      </c>
      <c r="H600" s="113">
        <v>0</v>
      </c>
      <c r="I600" s="114" t="s">
        <v>14586</v>
      </c>
      <c r="J600" s="114"/>
      <c r="K600" s="114"/>
      <c r="L600" s="81"/>
      <c r="M600" s="265" t="b">
        <f>NOT(ISERROR(ResultsInd[[#This Row],[Goal-A]]+ResultsInd[[#This Row],[Goal-B]]))</f>
        <v>1</v>
      </c>
      <c r="N600" s="265">
        <f>VALUE(ResultsInd[[#This Row],[Score-A]])</f>
        <v>1</v>
      </c>
      <c r="O600" s="265">
        <f>VALUE(ResultsInd[[#This Row],[Score-B]])</f>
        <v>0</v>
      </c>
      <c r="P600" s="265">
        <f ca="1">IF(AND(ResultsInd[[#This Row],[Category]]&lt;&gt;"",ResultsInd[[#This Row],[Player A]]&lt;&gt;""),COUNTIF(INDIRECT(ResultsInd[[#This Row],[Category]]&amp;"List[Retained Player Name]"),ResultsInd[[#This Row],[Player A]]),"")</f>
        <v>1</v>
      </c>
      <c r="Q600" s="265">
        <f ca="1">IF(AND(ResultsInd[[#This Row],[Category]]&lt;&gt;"",ResultsInd[[#This Row],[Player B]]&lt;&gt;""),COUNTIF(INDIRECT(ResultsInd[[#This Row],[Category]]&amp;"List[Retained Player Name]"),ResultsInd[[#This Row],[Player B]]),"")</f>
        <v>1</v>
      </c>
      <c r="R6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0" s="265" t="str">
        <f>IF(ResultsInd[[#This Row],[Score_OK]],IF(ResultsInd[[#This Row],[Stage]]="Groups",ResultsInd[[#This Row],[Category]]&amp;"-"&amp;IF(ResultsInd[[#This Row],[Player B]]="","",IF(ResultsInd[[#This Row],[Score-A]]=ResultsInd[[#This Row],[Score-B]],ResultsInd[[#This Row],[Player A]],"")),""),"")</f>
        <v/>
      </c>
      <c r="T600" s="265" t="str">
        <f>IF(ResultsInd[[#This Row],[Score_OK]],IF(ResultsInd[[#This Row],[Stage]]="Groups",ResultsInd[[#This Row],[Category]]&amp;"-"&amp;IF(ResultsInd[[#This Row],[Player B]]="","",IF(ResultsInd[[#This Row],[Score-A]]=ResultsInd[[#This Row],[Score-B]],ResultsInd[[#This Row],[Player B]],"")),""),"")</f>
        <v/>
      </c>
      <c r="U6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OPEN-Paolo Zambello</v>
      </c>
      <c r="W6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0" s="264" t="str">
        <f>IF(ResultsInd[[#This Row],[Category]]="","",VLOOKUP(ResultsInd[[#This Row],[Stage]],$P$1:$V$9,MATCH(ResultsInd[[#This Row],[Category]],$Q$1:$V$1,0)+1,FALSE))</f>
        <v>L16</v>
      </c>
      <c r="Z600" s="264" t="str">
        <f>IF(ResultsInd[[#This Row],[Score_OK]],IF(ResultsInd[[#This Row],[Level]]="R",ResultsInd[[#This Row],[Category]]&amp;"-"&amp;IF(ResultsInd[[#This Row],[LoseInKO]]=ResultsInd[[#This Row],[Category]]&amp;"-"&amp;ResultsInd[[#This Row],[Player A]],ResultsInd[[#This Row],[Player B]],ResultsInd[[#This Row],[Player A]]),""),"")</f>
        <v/>
      </c>
      <c r="AB600" s="8"/>
      <c r="AC600" s="12" t="str">
        <f t="shared" ref="AC600:AC605" si="527">IF(AC599="","",AC599)</f>
        <v/>
      </c>
      <c r="AD600" s="309"/>
      <c r="AE600" s="320"/>
      <c r="AF600" s="311"/>
      <c r="AG600" s="292" t="str">
        <f>IF(AP600="","",SMALL(AH599:AH605,ROWS(AG599:AG600)))</f>
        <v/>
      </c>
      <c r="AH600" s="293" t="str">
        <f>IF(AP600="","",RANK(AL600,AL599:AL605)*1000+ROWS(AH599:AH600))</f>
        <v/>
      </c>
      <c r="AI600" s="316" t="str">
        <f t="shared" si="521"/>
        <v/>
      </c>
      <c r="AJ600" s="415" t="b">
        <f>AND(AO600&lt;&gt;"",AO600&gt;0,COUNTIF(AI599:AI605,AI600)&gt;1)</f>
        <v>0</v>
      </c>
      <c r="AK600" s="316" t="str">
        <f t="shared" si="522"/>
        <v/>
      </c>
      <c r="AL600" s="317" t="str">
        <f t="shared" si="523"/>
        <v/>
      </c>
      <c r="AM600" s="415" t="b">
        <f>AND(AO600&lt;&gt;"",AO600&gt;0,COUNTIF(AL599:AL605,AL600)&gt;1)</f>
        <v>0</v>
      </c>
      <c r="AN600" s="306" t="str">
        <f t="shared" si="524"/>
        <v/>
      </c>
      <c r="AO600" s="307" t="str">
        <f t="shared" si="525"/>
        <v/>
      </c>
      <c r="AP600" s="307" t="str">
        <f>IF(OR(AC598="",AD600=""),"",COUNTIF(ResultsInd[Win],AC598&amp;"-"&amp;AD600))</f>
        <v/>
      </c>
      <c r="AQ600" s="307" t="str">
        <f>IF(OR(AC598="",AD600=""),"",COUNTIF(ResultsInd[Draw1],AC598&amp;"-"&amp;AD600)+COUNTIF(ResultsInd[Draw2],AC598&amp;"-"&amp;AD600))</f>
        <v/>
      </c>
      <c r="AR600" s="307" t="str">
        <f>IF(OR(AC598="",AD600=""),"",COUNTIF(ResultsInd[Lose],AC598&amp;"-"&amp;AD600))</f>
        <v/>
      </c>
      <c r="AS600" s="307" t="str">
        <f>IF(OR(AC598="",AD600=""),"",SUMIFS(ResultsInd[Goal-A],ResultsInd[Category],AC598,ResultsInd[Stage],"Groups",ResultsInd[Player A],AD600)+SUMIFS(ResultsInd[Goal-B],ResultsInd[Category],AC598,ResultsInd[Stage],"Groups",ResultsInd[Player B],AD600))</f>
        <v/>
      </c>
      <c r="AT600" s="307" t="str">
        <f>IF(OR(AC598="",AD600=""),"",SUMIFS(ResultsInd[Goal-B],ResultsInd[Category],AC598,ResultsInd[Stage],"Groups",ResultsInd[Player A],AD600)+SUMIFS(ResultsInd[Goal-A],ResultsInd[Category],AC598,ResultsInd[Stage],"Groups",ResultsInd[Player B],AD600))</f>
        <v/>
      </c>
      <c r="AU600" s="308" t="str">
        <f t="shared" ref="AU600:AU605" si="528">IF(AP600="","",AS600-AT600)</f>
        <v/>
      </c>
      <c r="AV600" s="469" t="str">
        <f>IF(AG600="","",OR(VLOOKUP(AG600,AH599:AU605,3,FALSE),VLOOKUP(AG600,AH599:AU605,6,FALSE)))</f>
        <v/>
      </c>
      <c r="AW600" s="298" t="str">
        <f t="shared" si="526"/>
        <v/>
      </c>
      <c r="AX600" s="285" t="str">
        <f>IF(AG600="","",INDEX(AD599:AD605,MATCH(AG600,AH599:AH605,0)))</f>
        <v/>
      </c>
      <c r="AY600" s="286" t="str">
        <f>IF(AG600="","",VLOOKUP(AG600,AH599:AU605,COLUMN()-COLUMN(AR598),FALSE))</f>
        <v/>
      </c>
      <c r="AZ600" s="286" t="str">
        <f>IF(AG600="","",VLOOKUP(AG600,AH599:AU605,COLUMN()-COLUMN(AR598),FALSE))</f>
        <v/>
      </c>
      <c r="BA600" s="286" t="str">
        <f>IF(AG600="","",VLOOKUP(AG600,AH599:AU605,COLUMN()-COLUMN(AR598),FALSE))</f>
        <v/>
      </c>
      <c r="BB600" s="286" t="str">
        <f>IF(AG600="","",VLOOKUP(AG600,AH599:AU605,COLUMN()-COLUMN(AR598),FALSE))</f>
        <v/>
      </c>
      <c r="BC600" s="286" t="str">
        <f>IF(AG600="","",VLOOKUP(AG600,AH599:AU605,COLUMN()-COLUMN(AR598),FALSE))</f>
        <v/>
      </c>
      <c r="BD600" s="286" t="str">
        <f>IF(AG600="","",VLOOKUP(AG600,AH599:AU605,COLUMN()-COLUMN(AR598),FALSE))</f>
        <v/>
      </c>
      <c r="BE600" s="286" t="str">
        <f>IF(AG600="","",VLOOKUP(AG600,AH599:AU605,COLUMN()-COLUMN(AR598),FALSE))</f>
        <v/>
      </c>
      <c r="BF600" s="301" t="str">
        <f>IF(AG600="","",VLOOKUP(AG600,AH599:AU605,COLUMN()-COLUMN(AR598),FALSE))</f>
        <v/>
      </c>
    </row>
    <row r="601" spans="1:58" ht="12" thickBot="1" x14ac:dyDescent="0.25">
      <c r="A601" s="62" t="s">
        <v>890</v>
      </c>
      <c r="B601" s="62" t="s">
        <v>12219</v>
      </c>
      <c r="C601" s="62"/>
      <c r="D601" s="62"/>
      <c r="E601" s="345" t="s">
        <v>8628</v>
      </c>
      <c r="F601" s="345" t="s">
        <v>10509</v>
      </c>
      <c r="G601" s="113">
        <v>4</v>
      </c>
      <c r="H601" s="113">
        <v>3</v>
      </c>
      <c r="I601" s="114" t="s">
        <v>14586</v>
      </c>
      <c r="J601" s="114"/>
      <c r="K601" s="114"/>
      <c r="L601" s="81"/>
      <c r="M601" s="265" t="b">
        <f>NOT(ISERROR(ResultsInd[[#This Row],[Goal-A]]+ResultsInd[[#This Row],[Goal-B]]))</f>
        <v>1</v>
      </c>
      <c r="N601" s="265">
        <f>VALUE(ResultsInd[[#This Row],[Score-A]])</f>
        <v>4</v>
      </c>
      <c r="O601" s="265">
        <f>VALUE(ResultsInd[[#This Row],[Score-B]])</f>
        <v>3</v>
      </c>
      <c r="P601" s="265">
        <f ca="1">IF(AND(ResultsInd[[#This Row],[Category]]&lt;&gt;"",ResultsInd[[#This Row],[Player A]]&lt;&gt;""),COUNTIF(INDIRECT(ResultsInd[[#This Row],[Category]]&amp;"List[Retained Player Name]"),ResultsInd[[#This Row],[Player A]]),"")</f>
        <v>1</v>
      </c>
      <c r="Q601" s="265">
        <f ca="1">IF(AND(ResultsInd[[#This Row],[Category]]&lt;&gt;"",ResultsInd[[#This Row],[Player B]]&lt;&gt;""),COUNTIF(INDIRECT(ResultsInd[[#This Row],[Category]]&amp;"List[Retained Player Name]"),ResultsInd[[#This Row],[Player B]]),"")</f>
        <v>1</v>
      </c>
      <c r="R6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1" s="265" t="str">
        <f>IF(ResultsInd[[#This Row],[Score_OK]],IF(ResultsInd[[#This Row],[Stage]]="Groups",ResultsInd[[#This Row],[Category]]&amp;"-"&amp;IF(ResultsInd[[#This Row],[Player B]]="","",IF(ResultsInd[[#This Row],[Score-A]]=ResultsInd[[#This Row],[Score-B]],ResultsInd[[#This Row],[Player A]],"")),""),"")</f>
        <v/>
      </c>
      <c r="T601" s="265" t="str">
        <f>IF(ResultsInd[[#This Row],[Score_OK]],IF(ResultsInd[[#This Row],[Stage]]="Groups",ResultsInd[[#This Row],[Category]]&amp;"-"&amp;IF(ResultsInd[[#This Row],[Player B]]="","",IF(ResultsInd[[#This Row],[Score-A]]=ResultsInd[[#This Row],[Score-B]],ResultsInd[[#This Row],[Player B]],"")),""),"")</f>
        <v/>
      </c>
      <c r="U6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OPEN-Sérgio Loureiro</v>
      </c>
      <c r="W6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1" s="264" t="str">
        <f>IF(ResultsInd[[#This Row],[Category]]="","",VLOOKUP(ResultsInd[[#This Row],[Stage]],$P$1:$V$9,MATCH(ResultsInd[[#This Row],[Category]],$Q$1:$V$1,0)+1,FALSE))</f>
        <v>L16</v>
      </c>
      <c r="Z601" s="264" t="str">
        <f>IF(ResultsInd[[#This Row],[Score_OK]],IF(ResultsInd[[#This Row],[Level]]="R",ResultsInd[[#This Row],[Category]]&amp;"-"&amp;IF(ResultsInd[[#This Row],[LoseInKO]]=ResultsInd[[#This Row],[Category]]&amp;"-"&amp;ResultsInd[[#This Row],[Player A]],ResultsInd[[#This Row],[Player B]],ResultsInd[[#This Row],[Player A]]),""),"")</f>
        <v/>
      </c>
      <c r="AB601" s="8"/>
      <c r="AC601" s="12" t="str">
        <f t="shared" si="527"/>
        <v/>
      </c>
      <c r="AD601" s="309"/>
      <c r="AE601" s="320"/>
      <c r="AF601" s="311"/>
      <c r="AG601" s="292" t="str">
        <f>IF(AP601="","",SMALL(AH599:AH605,ROWS(AG599:AG601)))</f>
        <v/>
      </c>
      <c r="AH601" s="293" t="str">
        <f>IF(AP601="","",RANK(AL601,AL599:AL605)*1000+ROWS(AH599:AH601))</f>
        <v/>
      </c>
      <c r="AI601" s="316" t="str">
        <f t="shared" si="521"/>
        <v/>
      </c>
      <c r="AJ601" s="415" t="b">
        <f>AND(AO601&lt;&gt;"",AO601&gt;0,COUNTIF(AI599:AI605,AI601)&gt;1)</f>
        <v>0</v>
      </c>
      <c r="AK601" s="316" t="str">
        <f t="shared" si="522"/>
        <v/>
      </c>
      <c r="AL601" s="317" t="str">
        <f t="shared" si="523"/>
        <v/>
      </c>
      <c r="AM601" s="415" t="b">
        <f>AND(AO601&lt;&gt;"",AO601&gt;0,COUNTIF(AL599:AL605,AL601)&gt;1)</f>
        <v>0</v>
      </c>
      <c r="AN601" s="306" t="str">
        <f t="shared" si="524"/>
        <v/>
      </c>
      <c r="AO601" s="307" t="str">
        <f t="shared" si="525"/>
        <v/>
      </c>
      <c r="AP601" s="307" t="str">
        <f>IF(OR(AC598="",AD601=""),"",COUNTIF(ResultsInd[Win],AC598&amp;"-"&amp;AD601))</f>
        <v/>
      </c>
      <c r="AQ601" s="307" t="str">
        <f>IF(OR(AC598="",AD601=""),"",COUNTIF(ResultsInd[Draw1],AC598&amp;"-"&amp;AD601)+COUNTIF(ResultsInd[Draw2],AC598&amp;"-"&amp;AD601))</f>
        <v/>
      </c>
      <c r="AR601" s="307" t="str">
        <f>IF(OR(AC598="",AD601=""),"",COUNTIF(ResultsInd[Lose],AC598&amp;"-"&amp;AD601))</f>
        <v/>
      </c>
      <c r="AS601" s="307" t="str">
        <f>IF(OR(AC598="",AD601=""),"",SUMIFS(ResultsInd[Goal-A],ResultsInd[Category],AC598,ResultsInd[Stage],"Groups",ResultsInd[Player A],AD601)+SUMIFS(ResultsInd[Goal-B],ResultsInd[Category],AC598,ResultsInd[Stage],"Groups",ResultsInd[Player B],AD601))</f>
        <v/>
      </c>
      <c r="AT601" s="307" t="str">
        <f>IF(OR(AC598="",AD601=""),"",SUMIFS(ResultsInd[Goal-B],ResultsInd[Category],AC598,ResultsInd[Stage],"Groups",ResultsInd[Player A],AD601)+SUMIFS(ResultsInd[Goal-A],ResultsInd[Category],AC598,ResultsInd[Stage],"Groups",ResultsInd[Player B],AD601))</f>
        <v/>
      </c>
      <c r="AU601" s="308" t="str">
        <f t="shared" si="528"/>
        <v/>
      </c>
      <c r="AV601" s="469" t="str">
        <f>IF(AG601="","",OR(VLOOKUP(AG601,AH599:AU605,3,FALSE),VLOOKUP(AG601,AH599:AU605,6,FALSE)))</f>
        <v/>
      </c>
      <c r="AW601" s="298" t="str">
        <f t="shared" si="526"/>
        <v/>
      </c>
      <c r="AX601" s="285" t="str">
        <f>IF(AG601="","",INDEX(AD599:AD605,MATCH(AG601,AH599:AH605,0)))</f>
        <v/>
      </c>
      <c r="AY601" s="286" t="str">
        <f>IF(AG601="","",VLOOKUP(AG601,AH599:AU605,COLUMN()-COLUMN(AR598),FALSE))</f>
        <v/>
      </c>
      <c r="AZ601" s="286" t="str">
        <f>IF(AG601="","",VLOOKUP(AG601,AH599:AU605,COLUMN()-COLUMN(AR598),FALSE))</f>
        <v/>
      </c>
      <c r="BA601" s="286" t="str">
        <f>IF(AG601="","",VLOOKUP(AG601,AH599:AU605,COLUMN()-COLUMN(AR598),FALSE))</f>
        <v/>
      </c>
      <c r="BB601" s="286" t="str">
        <f>IF(AG601="","",VLOOKUP(AG601,AH599:AU605,COLUMN()-COLUMN(AR598),FALSE))</f>
        <v/>
      </c>
      <c r="BC601" s="286" t="str">
        <f>IF(AG601="","",VLOOKUP(AG601,AH599:AU605,COLUMN()-COLUMN(AR598),FALSE))</f>
        <v/>
      </c>
      <c r="BD601" s="286" t="str">
        <f>IF(AG601="","",VLOOKUP(AG601,AH599:AU605,COLUMN()-COLUMN(AR598),FALSE))</f>
        <v/>
      </c>
      <c r="BE601" s="286" t="str">
        <f>IF(AG601="","",VLOOKUP(AG601,AH599:AU605,COLUMN()-COLUMN(AR598),FALSE))</f>
        <v/>
      </c>
      <c r="BF601" s="301" t="str">
        <f>IF(AG601="","",VLOOKUP(AG601,AH599:AU605,COLUMN()-COLUMN(AR598),FALSE))</f>
        <v/>
      </c>
    </row>
    <row r="602" spans="1:58" ht="12" thickBot="1" x14ac:dyDescent="0.25">
      <c r="A602" s="62" t="s">
        <v>890</v>
      </c>
      <c r="B602" s="62" t="s">
        <v>12219</v>
      </c>
      <c r="C602" s="62"/>
      <c r="D602" s="62"/>
      <c r="E602" s="345" t="s">
        <v>10415</v>
      </c>
      <c r="F602" s="345" t="s">
        <v>8714</v>
      </c>
      <c r="G602" s="113">
        <v>3</v>
      </c>
      <c r="H602" s="113">
        <v>0</v>
      </c>
      <c r="I602" s="114"/>
      <c r="J602" s="114"/>
      <c r="K602" s="114"/>
      <c r="L602" s="81"/>
      <c r="M602" s="265" t="b">
        <f>NOT(ISERROR(ResultsInd[[#This Row],[Goal-A]]+ResultsInd[[#This Row],[Goal-B]]))</f>
        <v>1</v>
      </c>
      <c r="N602" s="265">
        <f>VALUE(ResultsInd[[#This Row],[Score-A]])</f>
        <v>3</v>
      </c>
      <c r="O602" s="265">
        <f>VALUE(ResultsInd[[#This Row],[Score-B]])</f>
        <v>0</v>
      </c>
      <c r="P602" s="265">
        <f ca="1">IF(AND(ResultsInd[[#This Row],[Category]]&lt;&gt;"",ResultsInd[[#This Row],[Player A]]&lt;&gt;""),COUNTIF(INDIRECT(ResultsInd[[#This Row],[Category]]&amp;"List[Retained Player Name]"),ResultsInd[[#This Row],[Player A]]),"")</f>
        <v>1</v>
      </c>
      <c r="Q602" s="265">
        <f ca="1">IF(AND(ResultsInd[[#This Row],[Category]]&lt;&gt;"",ResultsInd[[#This Row],[Player B]]&lt;&gt;""),COUNTIF(INDIRECT(ResultsInd[[#This Row],[Category]]&amp;"List[Retained Player Name]"),ResultsInd[[#This Row],[Player B]]),"")</f>
        <v>1</v>
      </c>
      <c r="R6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2" s="265" t="str">
        <f>IF(ResultsInd[[#This Row],[Score_OK]],IF(ResultsInd[[#This Row],[Stage]]="Groups",ResultsInd[[#This Row],[Category]]&amp;"-"&amp;IF(ResultsInd[[#This Row],[Player B]]="","",IF(ResultsInd[[#This Row],[Score-A]]=ResultsInd[[#This Row],[Score-B]],ResultsInd[[#This Row],[Player A]],"")),""),"")</f>
        <v/>
      </c>
      <c r="T602" s="265" t="str">
        <f>IF(ResultsInd[[#This Row],[Score_OK]],IF(ResultsInd[[#This Row],[Stage]]="Groups",ResultsInd[[#This Row],[Category]]&amp;"-"&amp;IF(ResultsInd[[#This Row],[Player B]]="","",IF(ResultsInd[[#This Row],[Score-A]]=ResultsInd[[#This Row],[Score-B]],ResultsInd[[#This Row],[Player B]],"")),""),"")</f>
        <v/>
      </c>
      <c r="U6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OPEN-Rémi Soret</v>
      </c>
      <c r="W6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2" s="264" t="str">
        <f>IF(ResultsInd[[#This Row],[Category]]="","",VLOOKUP(ResultsInd[[#This Row],[Stage]],$P$1:$V$9,MATCH(ResultsInd[[#This Row],[Category]],$Q$1:$V$1,0)+1,FALSE))</f>
        <v>L16</v>
      </c>
      <c r="Z602" s="264" t="str">
        <f>IF(ResultsInd[[#This Row],[Score_OK]],IF(ResultsInd[[#This Row],[Level]]="R",ResultsInd[[#This Row],[Category]]&amp;"-"&amp;IF(ResultsInd[[#This Row],[LoseInKO]]=ResultsInd[[#This Row],[Category]]&amp;"-"&amp;ResultsInd[[#This Row],[Player A]],ResultsInd[[#This Row],[Player B]],ResultsInd[[#This Row],[Player A]]),""),"")</f>
        <v/>
      </c>
      <c r="AB602" s="91"/>
      <c r="AC602" s="12" t="str">
        <f t="shared" si="527"/>
        <v/>
      </c>
      <c r="AD602" s="309"/>
      <c r="AE602" s="310"/>
      <c r="AF602" s="311"/>
      <c r="AG602" s="292" t="str">
        <f>IF(AP602="","",SMALL(AH599:AH605,ROWS(AG599:AG602)))</f>
        <v/>
      </c>
      <c r="AH602" s="293" t="str">
        <f>IF(AP602="","",RANK(AL602,AL599:AL605)*1000+ROWS(AH599:AH602))</f>
        <v/>
      </c>
      <c r="AI602" s="316" t="str">
        <f t="shared" si="521"/>
        <v/>
      </c>
      <c r="AJ602" s="415" t="b">
        <f>AND(AO602&lt;&gt;"",AO602&gt;0,COUNTIF(AI599:AI605,AI602)&gt;1)</f>
        <v>0</v>
      </c>
      <c r="AK602" s="316" t="str">
        <f t="shared" si="522"/>
        <v/>
      </c>
      <c r="AL602" s="317" t="str">
        <f t="shared" si="523"/>
        <v/>
      </c>
      <c r="AM602" s="415" t="b">
        <f>AND(AO602&lt;&gt;"",AO602&gt;0,COUNTIF(AL599:AL605,AL602)&gt;1)</f>
        <v>0</v>
      </c>
      <c r="AN602" s="306" t="str">
        <f t="shared" si="524"/>
        <v/>
      </c>
      <c r="AO602" s="307" t="str">
        <f t="shared" si="525"/>
        <v/>
      </c>
      <c r="AP602" s="307" t="str">
        <f>IF(OR(AC598="",AD602=""),"",COUNTIF(ResultsInd[Win],AC598&amp;"-"&amp;AD602))</f>
        <v/>
      </c>
      <c r="AQ602" s="307" t="str">
        <f>IF(OR(AC598="",AD602=""),"",COUNTIF(ResultsInd[Draw1],AC598&amp;"-"&amp;AD602)+COUNTIF(ResultsInd[Draw2],AC598&amp;"-"&amp;AD602))</f>
        <v/>
      </c>
      <c r="AR602" s="307" t="str">
        <f>IF(OR(AC598="",AD602=""),"",COUNTIF(ResultsInd[Lose],AC598&amp;"-"&amp;AD602))</f>
        <v/>
      </c>
      <c r="AS602" s="307" t="str">
        <f>IF(OR(AC598="",AD602=""),"",SUMIFS(ResultsInd[Goal-A],ResultsInd[Category],AC598,ResultsInd[Stage],"Groups",ResultsInd[Player A],AD602)+SUMIFS(ResultsInd[Goal-B],ResultsInd[Category],AC598,ResultsInd[Stage],"Groups",ResultsInd[Player B],AD602))</f>
        <v/>
      </c>
      <c r="AT602" s="307" t="str">
        <f>IF(OR(AC598="",AD602=""),"",SUMIFS(ResultsInd[Goal-B],ResultsInd[Category],AC598,ResultsInd[Stage],"Groups",ResultsInd[Player A],AD602)+SUMIFS(ResultsInd[Goal-A],ResultsInd[Category],AC598,ResultsInd[Stage],"Groups",ResultsInd[Player B],AD602))</f>
        <v/>
      </c>
      <c r="AU602" s="308" t="str">
        <f t="shared" si="528"/>
        <v/>
      </c>
      <c r="AV602" s="469" t="str">
        <f>IF(AG602="","",OR(VLOOKUP(AG602,AH599:AU605,3,FALSE),VLOOKUP(AG602,AH599:AU605,6,FALSE)))</f>
        <v/>
      </c>
      <c r="AW602" s="298" t="str">
        <f t="shared" si="526"/>
        <v/>
      </c>
      <c r="AX602" s="285" t="str">
        <f>IF(AG602="","",INDEX(AD599:AD605,MATCH(AG602,AH599:AH605,0)))</f>
        <v/>
      </c>
      <c r="AY602" s="286" t="str">
        <f>IF(AG602="","",VLOOKUP(AG602,AH599:AU605,COLUMN()-COLUMN(AR598),FALSE))</f>
        <v/>
      </c>
      <c r="AZ602" s="286" t="str">
        <f>IF(AG602="","",VLOOKUP(AG602,AH599:AU605,COLUMN()-COLUMN(AR598),FALSE))</f>
        <v/>
      </c>
      <c r="BA602" s="286" t="str">
        <f>IF(AG602="","",VLOOKUP(AG602,AH599:AU605,COLUMN()-COLUMN(AR598),FALSE))</f>
        <v/>
      </c>
      <c r="BB602" s="286" t="str">
        <f>IF(AG602="","",VLOOKUP(AG602,AH599:AU605,COLUMN()-COLUMN(AR598),FALSE))</f>
        <v/>
      </c>
      <c r="BC602" s="286" t="str">
        <f>IF(AG602="","",VLOOKUP(AG602,AH599:AU605,COLUMN()-COLUMN(AR598),FALSE))</f>
        <v/>
      </c>
      <c r="BD602" s="286" t="str">
        <f>IF(AG602="","",VLOOKUP(AG602,AH599:AU605,COLUMN()-COLUMN(AR598),FALSE))</f>
        <v/>
      </c>
      <c r="BE602" s="286" t="str">
        <f>IF(AG602="","",VLOOKUP(AG602,AH599:AU605,COLUMN()-COLUMN(AR598),FALSE))</f>
        <v/>
      </c>
      <c r="BF602" s="301" t="str">
        <f>IF(AG602="","",VLOOKUP(AG602,AH599:AU605,COLUMN()-COLUMN(AR598),FALSE))</f>
        <v/>
      </c>
    </row>
    <row r="603" spans="1:58" ht="12" thickBot="1" x14ac:dyDescent="0.25">
      <c r="A603" s="62" t="s">
        <v>890</v>
      </c>
      <c r="B603" s="62" t="s">
        <v>12219</v>
      </c>
      <c r="C603" s="62"/>
      <c r="D603" s="62"/>
      <c r="E603" s="345" t="s">
        <v>8629</v>
      </c>
      <c r="F603" s="345" t="s">
        <v>8697</v>
      </c>
      <c r="G603" s="113">
        <v>3</v>
      </c>
      <c r="H603" s="113">
        <v>0</v>
      </c>
      <c r="I603" s="114"/>
      <c r="J603" s="114"/>
      <c r="K603" s="114"/>
      <c r="L603" s="81"/>
      <c r="M603" s="265" t="b">
        <f>NOT(ISERROR(ResultsInd[[#This Row],[Goal-A]]+ResultsInd[[#This Row],[Goal-B]]))</f>
        <v>1</v>
      </c>
      <c r="N603" s="265">
        <f>VALUE(ResultsInd[[#This Row],[Score-A]])</f>
        <v>3</v>
      </c>
      <c r="O603" s="265">
        <f>VALUE(ResultsInd[[#This Row],[Score-B]])</f>
        <v>0</v>
      </c>
      <c r="P603" s="265">
        <f ca="1">IF(AND(ResultsInd[[#This Row],[Category]]&lt;&gt;"",ResultsInd[[#This Row],[Player A]]&lt;&gt;""),COUNTIF(INDIRECT(ResultsInd[[#This Row],[Category]]&amp;"List[Retained Player Name]"),ResultsInd[[#This Row],[Player A]]),"")</f>
        <v>1</v>
      </c>
      <c r="Q603" s="265">
        <f ca="1">IF(AND(ResultsInd[[#This Row],[Category]]&lt;&gt;"",ResultsInd[[#This Row],[Player B]]&lt;&gt;""),COUNTIF(INDIRECT(ResultsInd[[#This Row],[Category]]&amp;"List[Retained Player Name]"),ResultsInd[[#This Row],[Player B]]),"")</f>
        <v>1</v>
      </c>
      <c r="R6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3" s="265" t="str">
        <f>IF(ResultsInd[[#This Row],[Score_OK]],IF(ResultsInd[[#This Row],[Stage]]="Groups",ResultsInd[[#This Row],[Category]]&amp;"-"&amp;IF(ResultsInd[[#This Row],[Player B]]="","",IF(ResultsInd[[#This Row],[Score-A]]=ResultsInd[[#This Row],[Score-B]],ResultsInd[[#This Row],[Player A]],"")),""),"")</f>
        <v/>
      </c>
      <c r="T603" s="265" t="str">
        <f>IF(ResultsInd[[#This Row],[Score_OK]],IF(ResultsInd[[#This Row],[Stage]]="Groups",ResultsInd[[#This Row],[Category]]&amp;"-"&amp;IF(ResultsInd[[#This Row],[Player B]]="","",IF(ResultsInd[[#This Row],[Score-A]]=ResultsInd[[#This Row],[Score-B]],ResultsInd[[#This Row],[Player B]],"")),""),"")</f>
        <v/>
      </c>
      <c r="U6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OPEN-Axel Donval</v>
      </c>
      <c r="W6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3" s="264" t="str">
        <f>IF(ResultsInd[[#This Row],[Category]]="","",VLOOKUP(ResultsInd[[#This Row],[Stage]],$P$1:$V$9,MATCH(ResultsInd[[#This Row],[Category]],$Q$1:$V$1,0)+1,FALSE))</f>
        <v>L16</v>
      </c>
      <c r="Z603" s="264" t="str">
        <f>IF(ResultsInd[[#This Row],[Score_OK]],IF(ResultsInd[[#This Row],[Level]]="R",ResultsInd[[#This Row],[Category]]&amp;"-"&amp;IF(ResultsInd[[#This Row],[LoseInKO]]=ResultsInd[[#This Row],[Category]]&amp;"-"&amp;ResultsInd[[#This Row],[Player A]],ResultsInd[[#This Row],[Player B]],ResultsInd[[#This Row],[Player A]]),""),"")</f>
        <v/>
      </c>
      <c r="AB603" s="91"/>
      <c r="AC603" s="12" t="str">
        <f t="shared" si="527"/>
        <v/>
      </c>
      <c r="AD603" s="309"/>
      <c r="AE603" s="310"/>
      <c r="AF603" s="311"/>
      <c r="AG603" s="292" t="str">
        <f>IF(AP603="","",SMALL(AH599:AH605,ROWS(AG599:AG603)))</f>
        <v/>
      </c>
      <c r="AH603" s="293" t="str">
        <f>IF(AP603="","",RANK(AL603,AL599:AL605)*1000+ROWS(AH599:AH603))</f>
        <v/>
      </c>
      <c r="AI603" s="316" t="str">
        <f t="shared" si="521"/>
        <v/>
      </c>
      <c r="AJ603" s="415" t="b">
        <f>AND(AO603&lt;&gt;"",AO603&gt;0,COUNTIF(AI599:AI605,AI603)&gt;1)</f>
        <v>0</v>
      </c>
      <c r="AK603" s="316" t="str">
        <f t="shared" si="522"/>
        <v/>
      </c>
      <c r="AL603" s="317" t="str">
        <f t="shared" si="523"/>
        <v/>
      </c>
      <c r="AM603" s="415" t="b">
        <f>AND(AO603&lt;&gt;"",AO603&gt;0,COUNTIF(AL599:AL605,AL603)&gt;1)</f>
        <v>0</v>
      </c>
      <c r="AN603" s="306" t="str">
        <f t="shared" si="524"/>
        <v/>
      </c>
      <c r="AO603" s="307" t="str">
        <f t="shared" si="525"/>
        <v/>
      </c>
      <c r="AP603" s="307" t="str">
        <f>IF(OR(AC598="",AD603=""),"",COUNTIF(ResultsInd[Win],AC598&amp;"-"&amp;AD603))</f>
        <v/>
      </c>
      <c r="AQ603" s="307" t="str">
        <f>IF(OR(AC598="",AD603=""),"",COUNTIF(ResultsInd[Draw1],AC598&amp;"-"&amp;AD603)+COUNTIF(ResultsInd[Draw2],AC598&amp;"-"&amp;AD603))</f>
        <v/>
      </c>
      <c r="AR603" s="307" t="str">
        <f>IF(OR(AC598="",AD603=""),"",COUNTIF(ResultsInd[Lose],AC598&amp;"-"&amp;AD603))</f>
        <v/>
      </c>
      <c r="AS603" s="307" t="str">
        <f>IF(OR(AC598="",AD603=""),"",SUMIFS(ResultsInd[Goal-A],ResultsInd[Category],AC598,ResultsInd[Stage],"Groups",ResultsInd[Player A],AD603)+SUMIFS(ResultsInd[Goal-B],ResultsInd[Category],AC598,ResultsInd[Stage],"Groups",ResultsInd[Player B],AD603))</f>
        <v/>
      </c>
      <c r="AT603" s="307" t="str">
        <f>IF(OR(AC598="",AD603=""),"",SUMIFS(ResultsInd[Goal-B],ResultsInd[Category],AC598,ResultsInd[Stage],"Groups",ResultsInd[Player A],AD603)+SUMIFS(ResultsInd[Goal-A],ResultsInd[Category],AC598,ResultsInd[Stage],"Groups",ResultsInd[Player B],AD603))</f>
        <v/>
      </c>
      <c r="AU603" s="308" t="str">
        <f t="shared" si="528"/>
        <v/>
      </c>
      <c r="AV603" s="469" t="str">
        <f>IF(AG603="","",OR(VLOOKUP(AG603,AH599:AU605,3,FALSE),VLOOKUP(AG603,AH599:AU605,6,FALSE)))</f>
        <v/>
      </c>
      <c r="AW603" s="298" t="str">
        <f t="shared" si="526"/>
        <v/>
      </c>
      <c r="AX603" s="285" t="str">
        <f>IF(AG603="","",INDEX(AD599:AD605,MATCH(AG603,AH599:AH605,0)))</f>
        <v/>
      </c>
      <c r="AY603" s="286" t="str">
        <f>IF(AG603="","",VLOOKUP(AG603,AH599:AU605,COLUMN()-COLUMN(AR598),FALSE))</f>
        <v/>
      </c>
      <c r="AZ603" s="286" t="str">
        <f>IF(AG603="","",VLOOKUP(AG603,AH599:AU605,COLUMN()-COLUMN(AR598),FALSE))</f>
        <v/>
      </c>
      <c r="BA603" s="286" t="str">
        <f>IF(AG603="","",VLOOKUP(AG603,AH599:AU605,COLUMN()-COLUMN(AR598),FALSE))</f>
        <v/>
      </c>
      <c r="BB603" s="286" t="str">
        <f>IF(AG603="","",VLOOKUP(AG603,AH599:AU605,COLUMN()-COLUMN(AR598),FALSE))</f>
        <v/>
      </c>
      <c r="BC603" s="286" t="str">
        <f>IF(AG603="","",VLOOKUP(AG603,AH599:AU605,COLUMN()-COLUMN(AR598),FALSE))</f>
        <v/>
      </c>
      <c r="BD603" s="286" t="str">
        <f>IF(AG603="","",VLOOKUP(AG603,AH599:AU605,COLUMN()-COLUMN(AR598),FALSE))</f>
        <v/>
      </c>
      <c r="BE603" s="286" t="str">
        <f>IF(AG603="","",VLOOKUP(AG603,AH599:AU605,COLUMN()-COLUMN(AR598),FALSE))</f>
        <v/>
      </c>
      <c r="BF603" s="301" t="str">
        <f>IF(AG603="","",VLOOKUP(AG603,AH599:AU605,COLUMN()-COLUMN(AR598),FALSE))</f>
        <v/>
      </c>
    </row>
    <row r="604" spans="1:58" ht="12" thickBot="1" x14ac:dyDescent="0.25">
      <c r="A604" s="62" t="s">
        <v>890</v>
      </c>
      <c r="B604" s="62" t="s">
        <v>12219</v>
      </c>
      <c r="C604" s="62"/>
      <c r="D604" s="62"/>
      <c r="E604" s="345" t="s">
        <v>8610</v>
      </c>
      <c r="F604" s="345" t="s">
        <v>8036</v>
      </c>
      <c r="G604" s="113">
        <v>8</v>
      </c>
      <c r="H604" s="113">
        <v>2</v>
      </c>
      <c r="I604" s="114"/>
      <c r="J604" s="114"/>
      <c r="K604" s="114"/>
      <c r="L604" s="81"/>
      <c r="M604" s="265" t="b">
        <f>NOT(ISERROR(ResultsInd[[#This Row],[Goal-A]]+ResultsInd[[#This Row],[Goal-B]]))</f>
        <v>1</v>
      </c>
      <c r="N604" s="265">
        <f>VALUE(ResultsInd[[#This Row],[Score-A]])</f>
        <v>8</v>
      </c>
      <c r="O604" s="265">
        <f>VALUE(ResultsInd[[#This Row],[Score-B]])</f>
        <v>2</v>
      </c>
      <c r="P604" s="265">
        <f ca="1">IF(AND(ResultsInd[[#This Row],[Category]]&lt;&gt;"",ResultsInd[[#This Row],[Player A]]&lt;&gt;""),COUNTIF(INDIRECT(ResultsInd[[#This Row],[Category]]&amp;"List[Retained Player Name]"),ResultsInd[[#This Row],[Player A]]),"")</f>
        <v>1</v>
      </c>
      <c r="Q604" s="265">
        <f ca="1">IF(AND(ResultsInd[[#This Row],[Category]]&lt;&gt;"",ResultsInd[[#This Row],[Player B]]&lt;&gt;""),COUNTIF(INDIRECT(ResultsInd[[#This Row],[Category]]&amp;"List[Retained Player Name]"),ResultsInd[[#This Row],[Player B]]),"")</f>
        <v>1</v>
      </c>
      <c r="R6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4" s="265" t="str">
        <f>IF(ResultsInd[[#This Row],[Score_OK]],IF(ResultsInd[[#This Row],[Stage]]="Groups",ResultsInd[[#This Row],[Category]]&amp;"-"&amp;IF(ResultsInd[[#This Row],[Player B]]="","",IF(ResultsInd[[#This Row],[Score-A]]=ResultsInd[[#This Row],[Score-B]],ResultsInd[[#This Row],[Player A]],"")),""),"")</f>
        <v/>
      </c>
      <c r="T604" s="265" t="str">
        <f>IF(ResultsInd[[#This Row],[Score_OK]],IF(ResultsInd[[#This Row],[Stage]]="Groups",ResultsInd[[#This Row],[Category]]&amp;"-"&amp;IF(ResultsInd[[#This Row],[Player B]]="","",IF(ResultsInd[[#This Row],[Score-A]]=ResultsInd[[#This Row],[Score-B]],ResultsInd[[#This Row],[Player B]],"")),""),"")</f>
        <v/>
      </c>
      <c r="U6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OPEN-Wolfgang Leitner</v>
      </c>
      <c r="W6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4" s="264" t="str">
        <f>IF(ResultsInd[[#This Row],[Category]]="","",VLOOKUP(ResultsInd[[#This Row],[Stage]],$P$1:$V$9,MATCH(ResultsInd[[#This Row],[Category]],$Q$1:$V$1,0)+1,FALSE))</f>
        <v>L16</v>
      </c>
      <c r="Z604" s="264" t="str">
        <f>IF(ResultsInd[[#This Row],[Score_OK]],IF(ResultsInd[[#This Row],[Level]]="R",ResultsInd[[#This Row],[Category]]&amp;"-"&amp;IF(ResultsInd[[#This Row],[LoseInKO]]=ResultsInd[[#This Row],[Category]]&amp;"-"&amp;ResultsInd[[#This Row],[Player A]],ResultsInd[[#This Row],[Player B]],ResultsInd[[#This Row],[Player A]]),""),"")</f>
        <v/>
      </c>
      <c r="AB604" s="8"/>
      <c r="AC604" s="12" t="str">
        <f t="shared" si="527"/>
        <v/>
      </c>
      <c r="AD604" s="309"/>
      <c r="AE604" s="310"/>
      <c r="AF604" s="311"/>
      <c r="AG604" s="292" t="str">
        <f>IF(AP604="","",SMALL(AH599:AH605,ROWS(AG599:AG604)))</f>
        <v/>
      </c>
      <c r="AH604" s="293" t="str">
        <f>IF(AP604="","",RANK(AL604,AL599:AL605)*1000+ROWS(AH599:AH604))</f>
        <v/>
      </c>
      <c r="AI604" s="316" t="str">
        <f t="shared" si="521"/>
        <v/>
      </c>
      <c r="AJ604" s="415" t="b">
        <f>AND(AO604&lt;&gt;"",AO604&gt;0,COUNTIF(AI599:AI605,AI604)&gt;1)</f>
        <v>0</v>
      </c>
      <c r="AK604" s="316" t="str">
        <f t="shared" si="522"/>
        <v/>
      </c>
      <c r="AL604" s="317" t="str">
        <f t="shared" si="523"/>
        <v/>
      </c>
      <c r="AM604" s="415" t="b">
        <f>AND(AO604&lt;&gt;"",AO604&gt;0,COUNTIF(AL599:AL605,AL604)&gt;1)</f>
        <v>0</v>
      </c>
      <c r="AN604" s="306" t="str">
        <f t="shared" si="524"/>
        <v/>
      </c>
      <c r="AO604" s="307" t="str">
        <f t="shared" si="525"/>
        <v/>
      </c>
      <c r="AP604" s="307" t="str">
        <f>IF(OR(AC598="",AD604=""),"",COUNTIF(ResultsInd[Win],AC598&amp;"-"&amp;AD604))</f>
        <v/>
      </c>
      <c r="AQ604" s="307" t="str">
        <f>IF(OR(AC598="",AD604=""),"",COUNTIF(ResultsInd[Draw1],AC598&amp;"-"&amp;AD604)+COUNTIF(ResultsInd[Draw2],AC598&amp;"-"&amp;AD604))</f>
        <v/>
      </c>
      <c r="AR604" s="307" t="str">
        <f>IF(OR(AC598="",AD604=""),"",COUNTIF(ResultsInd[Lose],AC598&amp;"-"&amp;AD604))</f>
        <v/>
      </c>
      <c r="AS604" s="307" t="str">
        <f>IF(OR(AC598="",AD604=""),"",SUMIFS(ResultsInd[Goal-A],ResultsInd[Category],AC598,ResultsInd[Stage],"Groups",ResultsInd[Player A],AD604)+SUMIFS(ResultsInd[Goal-B],ResultsInd[Category],AC598,ResultsInd[Stage],"Groups",ResultsInd[Player B],AD604))</f>
        <v/>
      </c>
      <c r="AT604" s="307" t="str">
        <f>IF(OR(AC598="",AD604=""),"",SUMIFS(ResultsInd[Goal-B],ResultsInd[Category],AC598,ResultsInd[Stage],"Groups",ResultsInd[Player A],AD604)+SUMIFS(ResultsInd[Goal-A],ResultsInd[Category],AC598,ResultsInd[Stage],"Groups",ResultsInd[Player B],AD604))</f>
        <v/>
      </c>
      <c r="AU604" s="308" t="str">
        <f t="shared" si="528"/>
        <v/>
      </c>
      <c r="AV604" s="469" t="str">
        <f>IF(AG604="","",OR(VLOOKUP(AG604,AH599:AU605,3,FALSE),VLOOKUP(AG604,AH599:AU605,6,FALSE)))</f>
        <v/>
      </c>
      <c r="AW604" s="298" t="str">
        <f t="shared" si="526"/>
        <v/>
      </c>
      <c r="AX604" s="285" t="str">
        <f>IF(AG604="","",INDEX(AD599:AD605,MATCH(AG604,AH599:AH605,0)))</f>
        <v/>
      </c>
      <c r="AY604" s="286" t="str">
        <f>IF(AG604="","",VLOOKUP(AG604,AH599:AU605,COLUMN()-COLUMN(AR598),FALSE))</f>
        <v/>
      </c>
      <c r="AZ604" s="286" t="str">
        <f>IF(AG604="","",VLOOKUP(AG604,AH599:AU605,COLUMN()-COLUMN(AR598),FALSE))</f>
        <v/>
      </c>
      <c r="BA604" s="286" t="str">
        <f>IF(AG604="","",VLOOKUP(AG604,AH599:AU605,COLUMN()-COLUMN(AR598),FALSE))</f>
        <v/>
      </c>
      <c r="BB604" s="286" t="str">
        <f>IF(AG604="","",VLOOKUP(AG604,AH599:AU605,COLUMN()-COLUMN(AR598),FALSE))</f>
        <v/>
      </c>
      <c r="BC604" s="286" t="str">
        <f>IF(AG604="","",VLOOKUP(AG604,AH599:AU605,COLUMN()-COLUMN(AR598),FALSE))</f>
        <v/>
      </c>
      <c r="BD604" s="286" t="str">
        <f>IF(AG604="","",VLOOKUP(AG604,AH599:AU605,COLUMN()-COLUMN(AR598),FALSE))</f>
        <v/>
      </c>
      <c r="BE604" s="286" t="str">
        <f>IF(AG604="","",VLOOKUP(AG604,AH599:AU605,COLUMN()-COLUMN(AR598),FALSE))</f>
        <v/>
      </c>
      <c r="BF604" s="301" t="str">
        <f>IF(AG604="","",VLOOKUP(AG604,AH599:AU605,COLUMN()-COLUMN(AR598),FALSE))</f>
        <v/>
      </c>
    </row>
    <row r="605" spans="1:58" ht="12" thickBot="1" x14ac:dyDescent="0.25">
      <c r="A605" s="62" t="s">
        <v>890</v>
      </c>
      <c r="B605" s="62" t="s">
        <v>12219</v>
      </c>
      <c r="C605" s="62"/>
      <c r="D605" s="62"/>
      <c r="E605" s="345" t="s">
        <v>9526</v>
      </c>
      <c r="F605" s="345" t="s">
        <v>8097</v>
      </c>
      <c r="G605" s="113">
        <v>2</v>
      </c>
      <c r="H605" s="113">
        <v>1</v>
      </c>
      <c r="I605" s="114"/>
      <c r="J605" s="114"/>
      <c r="K605" s="114"/>
      <c r="L605" s="81"/>
      <c r="M605" s="265" t="b">
        <f>NOT(ISERROR(ResultsInd[[#This Row],[Goal-A]]+ResultsInd[[#This Row],[Goal-B]]))</f>
        <v>1</v>
      </c>
      <c r="N605" s="265">
        <f>VALUE(ResultsInd[[#This Row],[Score-A]])</f>
        <v>2</v>
      </c>
      <c r="O605" s="265">
        <f>VALUE(ResultsInd[[#This Row],[Score-B]])</f>
        <v>1</v>
      </c>
      <c r="P605" s="265">
        <f ca="1">IF(AND(ResultsInd[[#This Row],[Category]]&lt;&gt;"",ResultsInd[[#This Row],[Player A]]&lt;&gt;""),COUNTIF(INDIRECT(ResultsInd[[#This Row],[Category]]&amp;"List[Retained Player Name]"),ResultsInd[[#This Row],[Player A]]),"")</f>
        <v>1</v>
      </c>
      <c r="Q605" s="265">
        <f ca="1">IF(AND(ResultsInd[[#This Row],[Category]]&lt;&gt;"",ResultsInd[[#This Row],[Player B]]&lt;&gt;""),COUNTIF(INDIRECT(ResultsInd[[#This Row],[Category]]&amp;"List[Retained Player Name]"),ResultsInd[[#This Row],[Player B]]),"")</f>
        <v>1</v>
      </c>
      <c r="R6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5" s="265" t="str">
        <f>IF(ResultsInd[[#This Row],[Score_OK]],IF(ResultsInd[[#This Row],[Stage]]="Groups",ResultsInd[[#This Row],[Category]]&amp;"-"&amp;IF(ResultsInd[[#This Row],[Player B]]="","",IF(ResultsInd[[#This Row],[Score-A]]=ResultsInd[[#This Row],[Score-B]],ResultsInd[[#This Row],[Player A]],"")),""),"")</f>
        <v/>
      </c>
      <c r="T605" s="265" t="str">
        <f>IF(ResultsInd[[#This Row],[Score_OK]],IF(ResultsInd[[#This Row],[Stage]]="Groups",ResultsInd[[#This Row],[Category]]&amp;"-"&amp;IF(ResultsInd[[#This Row],[Player B]]="","",IF(ResultsInd[[#This Row],[Score-A]]=ResultsInd[[#This Row],[Score-B]],ResultsInd[[#This Row],[Player B]],"")),""),"")</f>
        <v/>
      </c>
      <c r="U6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OPEN-Bessim Golger</v>
      </c>
      <c r="W6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5" s="264" t="str">
        <f>IF(ResultsInd[[#This Row],[Category]]="","",VLOOKUP(ResultsInd[[#This Row],[Stage]],$P$1:$V$9,MATCH(ResultsInd[[#This Row],[Category]],$Q$1:$V$1,0)+1,FALSE))</f>
        <v>L16</v>
      </c>
      <c r="Z605" s="264" t="str">
        <f>IF(ResultsInd[[#This Row],[Score_OK]],IF(ResultsInd[[#This Row],[Level]]="R",ResultsInd[[#This Row],[Category]]&amp;"-"&amp;IF(ResultsInd[[#This Row],[LoseInKO]]=ResultsInd[[#This Row],[Category]]&amp;"-"&amp;ResultsInd[[#This Row],[Player A]],ResultsInd[[#This Row],[Player B]],ResultsInd[[#This Row],[Player A]]),""),"")</f>
        <v/>
      </c>
      <c r="AB605" s="8"/>
      <c r="AC605" s="12" t="str">
        <f t="shared" si="527"/>
        <v/>
      </c>
      <c r="AD605" s="312"/>
      <c r="AE605" s="313"/>
      <c r="AF605" s="314"/>
      <c r="AG605" s="294" t="str">
        <f>IF(AP605="","",SMALL(AH599:AH605,ROWS(AG599:AG605)))</f>
        <v/>
      </c>
      <c r="AH605" s="295" t="str">
        <f>IF(AP605="","",RANK(AL605,AL599:AL605)*1000+ROWS(AH599:AH605))</f>
        <v/>
      </c>
      <c r="AI605" s="318" t="str">
        <f t="shared" si="521"/>
        <v/>
      </c>
      <c r="AJ605" s="416" t="b">
        <f>AND(AO605&lt;&gt;"",AO605&gt;0,COUNTIF(AI599:AI605,AI605)&gt;1)</f>
        <v>0</v>
      </c>
      <c r="AK605" s="318" t="str">
        <f t="shared" si="522"/>
        <v/>
      </c>
      <c r="AL605" s="319" t="str">
        <f t="shared" si="523"/>
        <v/>
      </c>
      <c r="AM605" s="416" t="b">
        <f>AND(AO605&lt;&gt;"",AO605&gt;0,COUNTIF(AL599:AL605,AL605)&gt;1)</f>
        <v>0</v>
      </c>
      <c r="AN605" s="306" t="str">
        <f t="shared" si="524"/>
        <v/>
      </c>
      <c r="AO605" s="307" t="str">
        <f t="shared" si="525"/>
        <v/>
      </c>
      <c r="AP605" s="307" t="str">
        <f>IF(OR(AC598="",AD605=""),"",COUNTIF(ResultsInd[Win],AC598&amp;"-"&amp;AD605))</f>
        <v/>
      </c>
      <c r="AQ605" s="307" t="str">
        <f>IF(OR(AC598="",AD605=""),"",COUNTIF(ResultsInd[Draw1],AC598&amp;"-"&amp;AD605)+COUNTIF(ResultsInd[Draw2],AC598&amp;"-"&amp;AD605))</f>
        <v/>
      </c>
      <c r="AR605" s="307" t="str">
        <f>IF(OR(AC598="",AD605=""),"",COUNTIF(ResultsInd[Lose],AC598&amp;"-"&amp;AD605))</f>
        <v/>
      </c>
      <c r="AS605" s="307" t="str">
        <f>IF(OR(AC598="",AD605=""),"",SUMIFS(ResultsInd[Goal-A],ResultsInd[Category],AC598,ResultsInd[Stage],"Groups",ResultsInd[Player A],AD605)+SUMIFS(ResultsInd[Goal-B],ResultsInd[Category],AC598,ResultsInd[Stage],"Groups",ResultsInd[Player B],AD605))</f>
        <v/>
      </c>
      <c r="AT605" s="307" t="str">
        <f>IF(OR(AC598="",AD605=""),"",SUMIFS(ResultsInd[Goal-B],ResultsInd[Category],AC598,ResultsInd[Stage],"Groups",ResultsInd[Player A],AD605)+SUMIFS(ResultsInd[Goal-A],ResultsInd[Category],AC598,ResultsInd[Stage],"Groups",ResultsInd[Player B],AD605))</f>
        <v/>
      </c>
      <c r="AU605" s="308" t="str">
        <f t="shared" si="528"/>
        <v/>
      </c>
      <c r="AV605" s="469" t="str">
        <f>IF(AG605="","",OR(VLOOKUP(AG605,AH599:AU605,3,FALSE),VLOOKUP(AG605,AH599:AU605,6,FALSE)))</f>
        <v/>
      </c>
      <c r="AW605" s="299" t="str">
        <f t="shared" si="526"/>
        <v/>
      </c>
      <c r="AX605" s="287" t="str">
        <f>IF(AG605="","",INDEX(AD599:AD605,MATCH(AG605,AH599:AH605,0)))</f>
        <v/>
      </c>
      <c r="AY605" s="288" t="str">
        <f>IF(AG605="","",VLOOKUP(AG605,AH599:AU605,COLUMN()-COLUMN(AR598),FALSE))</f>
        <v/>
      </c>
      <c r="AZ605" s="288" t="str">
        <f>IF(AG605="","",VLOOKUP(AG605,AH599:AU605,COLUMN()-COLUMN(AR598),FALSE))</f>
        <v/>
      </c>
      <c r="BA605" s="288" t="str">
        <f>IF(AG605="","",VLOOKUP(AG605,AH599:AU605,COLUMN()-COLUMN(AR598),FALSE))</f>
        <v/>
      </c>
      <c r="BB605" s="288" t="str">
        <f>IF(AG605="","",VLOOKUP(AG605,AH599:AU605,COLUMN()-COLUMN(AR598),FALSE))</f>
        <v/>
      </c>
      <c r="BC605" s="288" t="str">
        <f>IF(AG605="","",VLOOKUP(AG605,AH599:AU605,COLUMN()-COLUMN(AR598),FALSE))</f>
        <v/>
      </c>
      <c r="BD605" s="288" t="str">
        <f>IF(AG605="","",VLOOKUP(AG605,AH599:AU605,COLUMN()-COLUMN(AR598),FALSE))</f>
        <v/>
      </c>
      <c r="BE605" s="288" t="str">
        <f>IF(AG605="","",VLOOKUP(AG605,AH599:AU605,COLUMN()-COLUMN(AR598),FALSE))</f>
        <v/>
      </c>
      <c r="BF605" s="302" t="str">
        <f>IF(AG605="","",VLOOKUP(AG605,AH599:AU605,COLUMN()-COLUMN(AR598),FALSE))</f>
        <v/>
      </c>
    </row>
    <row r="606" spans="1:58" ht="12.75" x14ac:dyDescent="0.2">
      <c r="A606" s="62" t="s">
        <v>890</v>
      </c>
      <c r="B606" s="62" t="s">
        <v>12219</v>
      </c>
      <c r="C606" s="62"/>
      <c r="D606" s="62"/>
      <c r="E606" s="345" t="s">
        <v>8141</v>
      </c>
      <c r="F606" s="345" t="s">
        <v>8095</v>
      </c>
      <c r="G606" s="113">
        <v>3</v>
      </c>
      <c r="H606" s="113">
        <v>4</v>
      </c>
      <c r="I606" s="114"/>
      <c r="J606" s="114"/>
      <c r="K606" s="114"/>
      <c r="L606" s="81"/>
      <c r="M606" s="265" t="b">
        <f>NOT(ISERROR(ResultsInd[[#This Row],[Goal-A]]+ResultsInd[[#This Row],[Goal-B]]))</f>
        <v>1</v>
      </c>
      <c r="N606" s="265">
        <f>VALUE(ResultsInd[[#This Row],[Score-A]])</f>
        <v>3</v>
      </c>
      <c r="O606" s="265">
        <f>VALUE(ResultsInd[[#This Row],[Score-B]])</f>
        <v>4</v>
      </c>
      <c r="P606" s="265">
        <f ca="1">IF(AND(ResultsInd[[#This Row],[Category]]&lt;&gt;"",ResultsInd[[#This Row],[Player A]]&lt;&gt;""),COUNTIF(INDIRECT(ResultsInd[[#This Row],[Category]]&amp;"List[Retained Player Name]"),ResultsInd[[#This Row],[Player A]]),"")</f>
        <v>1</v>
      </c>
      <c r="Q606" s="265">
        <f ca="1">IF(AND(ResultsInd[[#This Row],[Category]]&lt;&gt;"",ResultsInd[[#This Row],[Player B]]&lt;&gt;""),COUNTIF(INDIRECT(ResultsInd[[#This Row],[Category]]&amp;"List[Retained Player Name]"),ResultsInd[[#This Row],[Player B]]),"")</f>
        <v>1</v>
      </c>
      <c r="R6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6" s="265" t="str">
        <f>IF(ResultsInd[[#This Row],[Score_OK]],IF(ResultsInd[[#This Row],[Stage]]="Groups",ResultsInd[[#This Row],[Category]]&amp;"-"&amp;IF(ResultsInd[[#This Row],[Player B]]="","",IF(ResultsInd[[#This Row],[Score-A]]=ResultsInd[[#This Row],[Score-B]],ResultsInd[[#This Row],[Player A]],"")),""),"")</f>
        <v/>
      </c>
      <c r="T606" s="265" t="str">
        <f>IF(ResultsInd[[#This Row],[Score_OK]],IF(ResultsInd[[#This Row],[Stage]]="Groups",ResultsInd[[#This Row],[Category]]&amp;"-"&amp;IF(ResultsInd[[#This Row],[Player B]]="","",IF(ResultsInd[[#This Row],[Score-A]]=ResultsInd[[#This Row],[Score-B]],ResultsInd[[#This Row],[Player B]],"")),""),"")</f>
        <v/>
      </c>
      <c r="U6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OPEN-David Vantassel</v>
      </c>
      <c r="W6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6" s="264" t="str">
        <f>IF(ResultsInd[[#This Row],[Category]]="","",VLOOKUP(ResultsInd[[#This Row],[Stage]],$P$1:$V$9,MATCH(ResultsInd[[#This Row],[Category]],$Q$1:$V$1,0)+1,FALSE))</f>
        <v>L16</v>
      </c>
      <c r="Z606" s="264" t="str">
        <f>IF(ResultsInd[[#This Row],[Score_OK]],IF(ResultsInd[[#This Row],[Level]]="R",ResultsInd[[#This Row],[Category]]&amp;"-"&amp;IF(ResultsInd[[#This Row],[LoseInKO]]=ResultsInd[[#This Row],[Category]]&amp;"-"&amp;ResultsInd[[#This Row],[Player A]],ResultsInd[[#This Row],[Player B]],ResultsInd[[#This Row],[Player A]]),""),"")</f>
        <v/>
      </c>
      <c r="AB606" s="8"/>
      <c r="AC606" s="8"/>
      <c r="AF606" s="170"/>
      <c r="AG606" s="101"/>
      <c r="AH606" s="101"/>
      <c r="AN606" s="170"/>
      <c r="AO606" s="170"/>
      <c r="AP606" s="170"/>
      <c r="AQ606" s="172"/>
      <c r="AR606" s="173"/>
      <c r="AS606" s="173"/>
      <c r="AT606" s="173"/>
      <c r="AU606" s="101"/>
      <c r="AV606" s="101"/>
      <c r="AW606" s="101"/>
      <c r="AX606" s="101"/>
      <c r="AY606" s="101"/>
      <c r="AZ606" s="101"/>
    </row>
    <row r="607" spans="1:58" ht="12.75" x14ac:dyDescent="0.2">
      <c r="A607" s="62" t="s">
        <v>890</v>
      </c>
      <c r="B607" s="62" t="s">
        <v>12219</v>
      </c>
      <c r="C607" s="62"/>
      <c r="D607" s="62"/>
      <c r="E607" s="345" t="s">
        <v>8129</v>
      </c>
      <c r="F607" s="345" t="s">
        <v>8089</v>
      </c>
      <c r="G607" s="113">
        <v>1</v>
      </c>
      <c r="H607" s="113">
        <v>3</v>
      </c>
      <c r="I607" s="114"/>
      <c r="J607" s="114"/>
      <c r="K607" s="114"/>
      <c r="L607" s="81"/>
      <c r="M607" s="265" t="b">
        <f>NOT(ISERROR(ResultsInd[[#This Row],[Goal-A]]+ResultsInd[[#This Row],[Goal-B]]))</f>
        <v>1</v>
      </c>
      <c r="N607" s="265">
        <f>VALUE(ResultsInd[[#This Row],[Score-A]])</f>
        <v>1</v>
      </c>
      <c r="O607" s="265">
        <f>VALUE(ResultsInd[[#This Row],[Score-B]])</f>
        <v>3</v>
      </c>
      <c r="P607" s="265">
        <f ca="1">IF(AND(ResultsInd[[#This Row],[Category]]&lt;&gt;"",ResultsInd[[#This Row],[Player A]]&lt;&gt;""),COUNTIF(INDIRECT(ResultsInd[[#This Row],[Category]]&amp;"List[Retained Player Name]"),ResultsInd[[#This Row],[Player A]]),"")</f>
        <v>1</v>
      </c>
      <c r="Q607" s="265">
        <f ca="1">IF(AND(ResultsInd[[#This Row],[Category]]&lt;&gt;"",ResultsInd[[#This Row],[Player B]]&lt;&gt;""),COUNTIF(INDIRECT(ResultsInd[[#This Row],[Category]]&amp;"List[Retained Player Name]"),ResultsInd[[#This Row],[Player B]]),"")</f>
        <v>1</v>
      </c>
      <c r="R6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7" s="265" t="str">
        <f>IF(ResultsInd[[#This Row],[Score_OK]],IF(ResultsInd[[#This Row],[Stage]]="Groups",ResultsInd[[#This Row],[Category]]&amp;"-"&amp;IF(ResultsInd[[#This Row],[Player B]]="","",IF(ResultsInd[[#This Row],[Score-A]]=ResultsInd[[#This Row],[Score-B]],ResultsInd[[#This Row],[Player A]],"")),""),"")</f>
        <v/>
      </c>
      <c r="T607" s="265" t="str">
        <f>IF(ResultsInd[[#This Row],[Score_OK]],IF(ResultsInd[[#This Row],[Stage]]="Groups",ResultsInd[[#This Row],[Category]]&amp;"-"&amp;IF(ResultsInd[[#This Row],[Player B]]="","",IF(ResultsInd[[#This Row],[Score-A]]=ResultsInd[[#This Row],[Score-B]],ResultsInd[[#This Row],[Player B]],"")),""),"")</f>
        <v/>
      </c>
      <c r="U6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OPEN-Pascal Scheen</v>
      </c>
      <c r="W6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7" s="264" t="str">
        <f>IF(ResultsInd[[#This Row],[Category]]="","",VLOOKUP(ResultsInd[[#This Row],[Stage]],$P$1:$V$9,MATCH(ResultsInd[[#This Row],[Category]],$Q$1:$V$1,0)+1,FALSE))</f>
        <v>L16</v>
      </c>
      <c r="Z607" s="264" t="str">
        <f>IF(ResultsInd[[#This Row],[Score_OK]],IF(ResultsInd[[#This Row],[Level]]="R",ResultsInd[[#This Row],[Category]]&amp;"-"&amp;IF(ResultsInd[[#This Row],[LoseInKO]]=ResultsInd[[#This Row],[Category]]&amp;"-"&amp;ResultsInd[[#This Row],[Player A]],ResultsInd[[#This Row],[Player B]],ResultsInd[[#This Row],[Player A]]),""),"")</f>
        <v/>
      </c>
      <c r="AB607" s="8"/>
      <c r="AC607" s="8"/>
      <c r="AF607" s="170"/>
      <c r="AG607" s="101"/>
      <c r="AH607" s="101"/>
      <c r="AN607" s="170"/>
      <c r="AO607" s="170"/>
      <c r="AP607" s="170"/>
      <c r="AQ607" s="172"/>
      <c r="AR607" s="173"/>
      <c r="AS607" s="173"/>
      <c r="AT607" s="173"/>
      <c r="AU607" s="101"/>
      <c r="AV607" s="101"/>
      <c r="AW607" s="101"/>
      <c r="AX607" s="101"/>
      <c r="AY607" s="101"/>
      <c r="AZ607" s="101"/>
    </row>
    <row r="608" spans="1:58" ht="12.75" x14ac:dyDescent="0.2">
      <c r="A608" s="62" t="s">
        <v>12261</v>
      </c>
      <c r="B608" s="62" t="s">
        <v>12219</v>
      </c>
      <c r="C608" s="62"/>
      <c r="D608" s="62"/>
      <c r="E608" s="345" t="s">
        <v>8116</v>
      </c>
      <c r="F608" s="345" t="s">
        <v>8174</v>
      </c>
      <c r="G608" s="113">
        <v>1</v>
      </c>
      <c r="H608" s="113">
        <v>0</v>
      </c>
      <c r="I608" s="114" t="s">
        <v>14586</v>
      </c>
      <c r="J608" s="114"/>
      <c r="K608" s="114"/>
      <c r="L608" s="81"/>
      <c r="M608" s="265" t="b">
        <f>NOT(ISERROR(ResultsInd[[#This Row],[Goal-A]]+ResultsInd[[#This Row],[Goal-B]]))</f>
        <v>1</v>
      </c>
      <c r="N608" s="265">
        <f>VALUE(ResultsInd[[#This Row],[Score-A]])</f>
        <v>1</v>
      </c>
      <c r="O608" s="265">
        <f>VALUE(ResultsInd[[#This Row],[Score-B]])</f>
        <v>0</v>
      </c>
      <c r="P608" s="265">
        <f ca="1">IF(AND(ResultsInd[[#This Row],[Category]]&lt;&gt;"",ResultsInd[[#This Row],[Player A]]&lt;&gt;""),COUNTIF(INDIRECT(ResultsInd[[#This Row],[Category]]&amp;"List[Retained Player Name]"),ResultsInd[[#This Row],[Player A]]),"")</f>
        <v>1</v>
      </c>
      <c r="Q608" s="265">
        <f ca="1">IF(AND(ResultsInd[[#This Row],[Category]]&lt;&gt;"",ResultsInd[[#This Row],[Player B]]&lt;&gt;""),COUNTIF(INDIRECT(ResultsInd[[#This Row],[Category]]&amp;"List[Retained Player Name]"),ResultsInd[[#This Row],[Player B]]),"")</f>
        <v>1</v>
      </c>
      <c r="R6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8" s="265" t="str">
        <f>IF(ResultsInd[[#This Row],[Score_OK]],IF(ResultsInd[[#This Row],[Stage]]="Groups",ResultsInd[[#This Row],[Category]]&amp;"-"&amp;IF(ResultsInd[[#This Row],[Player B]]="","",IF(ResultsInd[[#This Row],[Score-A]]=ResultsInd[[#This Row],[Score-B]],ResultsInd[[#This Row],[Player A]],"")),""),"")</f>
        <v/>
      </c>
      <c r="T608" s="265" t="str">
        <f>IF(ResultsInd[[#This Row],[Score_OK]],IF(ResultsInd[[#This Row],[Stage]]="Groups",ResultsInd[[#This Row],[Category]]&amp;"-"&amp;IF(ResultsInd[[#This Row],[Player B]]="","",IF(ResultsInd[[#This Row],[Score-A]]=ResultsInd[[#This Row],[Score-B]],ResultsInd[[#This Row],[Player B]],"")),""),"")</f>
        <v/>
      </c>
      <c r="U6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VETERANS-David Wouters</v>
      </c>
      <c r="W6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8" s="264" t="str">
        <f>IF(ResultsInd[[#This Row],[Category]]="","",VLOOKUP(ResultsInd[[#This Row],[Stage]],$P$1:$V$9,MATCH(ResultsInd[[#This Row],[Category]],$Q$1:$V$1,0)+1,FALSE))</f>
        <v>L16</v>
      </c>
      <c r="Z608" s="264" t="str">
        <f>IF(ResultsInd[[#This Row],[Score_OK]],IF(ResultsInd[[#This Row],[Level]]="R",ResultsInd[[#This Row],[Category]]&amp;"-"&amp;IF(ResultsInd[[#This Row],[LoseInKO]]=ResultsInd[[#This Row],[Category]]&amp;"-"&amp;ResultsInd[[#This Row],[Player A]],ResultsInd[[#This Row],[Player B]],ResultsInd[[#This Row],[Player A]]),""),"")</f>
        <v/>
      </c>
      <c r="AB608" s="8"/>
      <c r="AC608" s="8"/>
      <c r="AN608" s="170"/>
      <c r="AO608" s="170"/>
      <c r="AP608" s="170"/>
      <c r="AQ608" s="172"/>
      <c r="AR608" s="173"/>
      <c r="AS608" s="173"/>
      <c r="AT608" s="173"/>
      <c r="AU608" s="101"/>
      <c r="AV608" s="101"/>
      <c r="AW608" s="101"/>
      <c r="AX608" s="101"/>
      <c r="AY608" s="101"/>
      <c r="AZ608" s="101"/>
    </row>
    <row r="609" spans="1:58" x14ac:dyDescent="0.2">
      <c r="A609" s="62" t="s">
        <v>12261</v>
      </c>
      <c r="B609" s="62" t="s">
        <v>12219</v>
      </c>
      <c r="C609" s="62"/>
      <c r="D609" s="62"/>
      <c r="E609" s="345" t="s">
        <v>9838</v>
      </c>
      <c r="F609" s="345" t="s">
        <v>8519</v>
      </c>
      <c r="G609" s="113">
        <v>1</v>
      </c>
      <c r="H609" s="113">
        <v>1</v>
      </c>
      <c r="I609" s="114"/>
      <c r="J609" s="114">
        <v>4</v>
      </c>
      <c r="K609" s="114">
        <v>5</v>
      </c>
      <c r="L609" s="81"/>
      <c r="M609" s="265" t="b">
        <f>NOT(ISERROR(ResultsInd[[#This Row],[Goal-A]]+ResultsInd[[#This Row],[Goal-B]]))</f>
        <v>1</v>
      </c>
      <c r="N609" s="265">
        <f>VALUE(ResultsInd[[#This Row],[Score-A]])</f>
        <v>1</v>
      </c>
      <c r="O609" s="265">
        <f>VALUE(ResultsInd[[#This Row],[Score-B]])</f>
        <v>1</v>
      </c>
      <c r="P609" s="265">
        <f ca="1">IF(AND(ResultsInd[[#This Row],[Category]]&lt;&gt;"",ResultsInd[[#This Row],[Player A]]&lt;&gt;""),COUNTIF(INDIRECT(ResultsInd[[#This Row],[Category]]&amp;"List[Retained Player Name]"),ResultsInd[[#This Row],[Player A]]),"")</f>
        <v>1</v>
      </c>
      <c r="Q609" s="265">
        <f ca="1">IF(AND(ResultsInd[[#This Row],[Category]]&lt;&gt;"",ResultsInd[[#This Row],[Player B]]&lt;&gt;""),COUNTIF(INDIRECT(ResultsInd[[#This Row],[Category]]&amp;"List[Retained Player Name]"),ResultsInd[[#This Row],[Player B]]),"")</f>
        <v>1</v>
      </c>
      <c r="R6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9" s="265" t="str">
        <f>IF(ResultsInd[[#This Row],[Score_OK]],IF(ResultsInd[[#This Row],[Stage]]="Groups",ResultsInd[[#This Row],[Category]]&amp;"-"&amp;IF(ResultsInd[[#This Row],[Player B]]="","",IF(ResultsInd[[#This Row],[Score-A]]=ResultsInd[[#This Row],[Score-B]],ResultsInd[[#This Row],[Player A]],"")),""),"")</f>
        <v/>
      </c>
      <c r="T609" s="265" t="str">
        <f>IF(ResultsInd[[#This Row],[Score_OK]],IF(ResultsInd[[#This Row],[Stage]]="Groups",ResultsInd[[#This Row],[Category]]&amp;"-"&amp;IF(ResultsInd[[#This Row],[Player B]]="","",IF(ResultsInd[[#This Row],[Score-A]]=ResultsInd[[#This Row],[Score-B]],ResultsInd[[#This Row],[Player B]],"")),""),"")</f>
        <v/>
      </c>
      <c r="U6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VETERANS-Francesco Mattiangeli</v>
      </c>
      <c r="W6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09" s="264" t="str">
        <f>IF(ResultsInd[[#This Row],[Category]]="","",VLOOKUP(ResultsInd[[#This Row],[Stage]],$P$1:$V$9,MATCH(ResultsInd[[#This Row],[Category]],$Q$1:$V$1,0)+1,FALSE))</f>
        <v>L16</v>
      </c>
      <c r="Z609" s="264" t="str">
        <f>IF(ResultsInd[[#This Row],[Score_OK]],IF(ResultsInd[[#This Row],[Level]]="R",ResultsInd[[#This Row],[Category]]&amp;"-"&amp;IF(ResultsInd[[#This Row],[LoseInKO]]=ResultsInd[[#This Row],[Category]]&amp;"-"&amp;ResultsInd[[#This Row],[Player A]],ResultsInd[[#This Row],[Player B]],ResultsInd[[#This Row],[Player A]]),""),"")</f>
        <v/>
      </c>
      <c r="AB609" s="8"/>
      <c r="AC609" s="8"/>
      <c r="AP609" s="8"/>
      <c r="AQ609" s="8"/>
      <c r="AR609" s="8"/>
      <c r="AS609" s="8"/>
      <c r="AT609" s="8"/>
      <c r="AU609" s="8"/>
      <c r="AV609" s="8"/>
      <c r="AW609" s="8"/>
      <c r="AX609" s="11"/>
      <c r="AY609" s="59"/>
      <c r="AZ609" s="59"/>
      <c r="BA609" s="59"/>
      <c r="BB609" s="59"/>
      <c r="BC609" s="59"/>
      <c r="BD609" s="59"/>
      <c r="BE609" s="59"/>
      <c r="BF609" s="59"/>
    </row>
    <row r="610" spans="1:58" x14ac:dyDescent="0.2">
      <c r="A610" s="62" t="s">
        <v>12261</v>
      </c>
      <c r="B610" s="62" t="s">
        <v>12219</v>
      </c>
      <c r="C610" s="62"/>
      <c r="D610" s="62"/>
      <c r="E610" s="345" t="s">
        <v>8752</v>
      </c>
      <c r="F610" s="345" t="s">
        <v>9576</v>
      </c>
      <c r="G610" s="113">
        <v>1</v>
      </c>
      <c r="H610" s="113">
        <v>0</v>
      </c>
      <c r="I610" s="114"/>
      <c r="J610" s="114"/>
      <c r="K610" s="114"/>
      <c r="L610" s="81"/>
      <c r="M610" s="265" t="b">
        <f>NOT(ISERROR(ResultsInd[[#This Row],[Goal-A]]+ResultsInd[[#This Row],[Goal-B]]))</f>
        <v>1</v>
      </c>
      <c r="N610" s="265">
        <f>VALUE(ResultsInd[[#This Row],[Score-A]])</f>
        <v>1</v>
      </c>
      <c r="O610" s="265">
        <f>VALUE(ResultsInd[[#This Row],[Score-B]])</f>
        <v>0</v>
      </c>
      <c r="P610" s="265">
        <f ca="1">IF(AND(ResultsInd[[#This Row],[Category]]&lt;&gt;"",ResultsInd[[#This Row],[Player A]]&lt;&gt;""),COUNTIF(INDIRECT(ResultsInd[[#This Row],[Category]]&amp;"List[Retained Player Name]"),ResultsInd[[#This Row],[Player A]]),"")</f>
        <v>1</v>
      </c>
      <c r="Q610" s="265">
        <f ca="1">IF(AND(ResultsInd[[#This Row],[Category]]&lt;&gt;"",ResultsInd[[#This Row],[Player B]]&lt;&gt;""),COUNTIF(INDIRECT(ResultsInd[[#This Row],[Category]]&amp;"List[Retained Player Name]"),ResultsInd[[#This Row],[Player B]]),"")</f>
        <v>1</v>
      </c>
      <c r="R6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0" s="265" t="str">
        <f>IF(ResultsInd[[#This Row],[Score_OK]],IF(ResultsInd[[#This Row],[Stage]]="Groups",ResultsInd[[#This Row],[Category]]&amp;"-"&amp;IF(ResultsInd[[#This Row],[Player B]]="","",IF(ResultsInd[[#This Row],[Score-A]]=ResultsInd[[#This Row],[Score-B]],ResultsInd[[#This Row],[Player A]],"")),""),"")</f>
        <v/>
      </c>
      <c r="T610" s="265" t="str">
        <f>IF(ResultsInd[[#This Row],[Score_OK]],IF(ResultsInd[[#This Row],[Stage]]="Groups",ResultsInd[[#This Row],[Category]]&amp;"-"&amp;IF(ResultsInd[[#This Row],[Player B]]="","",IF(ResultsInd[[#This Row],[Score-A]]=ResultsInd[[#This Row],[Score-B]],ResultsInd[[#This Row],[Player B]],"")),""),"")</f>
        <v/>
      </c>
      <c r="U6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VETERANS-Francesco Torano</v>
      </c>
      <c r="W6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10" s="264" t="str">
        <f>IF(ResultsInd[[#This Row],[Category]]="","",VLOOKUP(ResultsInd[[#This Row],[Stage]],$P$1:$V$9,MATCH(ResultsInd[[#This Row],[Category]],$Q$1:$V$1,0)+1,FALSE))</f>
        <v>L16</v>
      </c>
      <c r="Z610" s="264" t="str">
        <f>IF(ResultsInd[[#This Row],[Score_OK]],IF(ResultsInd[[#This Row],[Level]]="R",ResultsInd[[#This Row],[Category]]&amp;"-"&amp;IF(ResultsInd[[#This Row],[LoseInKO]]=ResultsInd[[#This Row],[Category]]&amp;"-"&amp;ResultsInd[[#This Row],[Player A]],ResultsInd[[#This Row],[Player B]],ResultsInd[[#This Row],[Player A]]),""),"")</f>
        <v/>
      </c>
      <c r="AB610" s="8"/>
      <c r="AC610" s="8"/>
      <c r="AP610" s="8"/>
      <c r="AQ610" s="8"/>
      <c r="AR610" s="8"/>
      <c r="AS610" s="8"/>
      <c r="AT610" s="8"/>
      <c r="AU610" s="8"/>
      <c r="AV610" s="8"/>
      <c r="AW610" s="8"/>
      <c r="AX610" s="11"/>
      <c r="AY610" s="59"/>
      <c r="AZ610" s="59"/>
      <c r="BA610" s="59"/>
      <c r="BB610" s="59"/>
      <c r="BC610" s="59"/>
      <c r="BD610" s="59"/>
      <c r="BE610" s="59"/>
      <c r="BF610" s="59"/>
    </row>
    <row r="611" spans="1:58" x14ac:dyDescent="0.2">
      <c r="A611" s="62" t="s">
        <v>12261</v>
      </c>
      <c r="B611" s="62" t="s">
        <v>12219</v>
      </c>
      <c r="C611" s="62"/>
      <c r="D611" s="62"/>
      <c r="E611" s="345" t="s">
        <v>8537</v>
      </c>
      <c r="F611" s="345" t="s">
        <v>10414</v>
      </c>
      <c r="G611" s="113">
        <v>1</v>
      </c>
      <c r="H611" s="113">
        <v>3</v>
      </c>
      <c r="I611" s="114"/>
      <c r="J611" s="114"/>
      <c r="K611" s="114"/>
      <c r="L611" s="81"/>
      <c r="M611" s="265" t="b">
        <f>NOT(ISERROR(ResultsInd[[#This Row],[Goal-A]]+ResultsInd[[#This Row],[Goal-B]]))</f>
        <v>1</v>
      </c>
      <c r="N611" s="265">
        <f>VALUE(ResultsInd[[#This Row],[Score-A]])</f>
        <v>1</v>
      </c>
      <c r="O611" s="265">
        <f>VALUE(ResultsInd[[#This Row],[Score-B]])</f>
        <v>3</v>
      </c>
      <c r="P611" s="265">
        <f ca="1">IF(AND(ResultsInd[[#This Row],[Category]]&lt;&gt;"",ResultsInd[[#This Row],[Player A]]&lt;&gt;""),COUNTIF(INDIRECT(ResultsInd[[#This Row],[Category]]&amp;"List[Retained Player Name]"),ResultsInd[[#This Row],[Player A]]),"")</f>
        <v>1</v>
      </c>
      <c r="Q611" s="265">
        <f ca="1">IF(AND(ResultsInd[[#This Row],[Category]]&lt;&gt;"",ResultsInd[[#This Row],[Player B]]&lt;&gt;""),COUNTIF(INDIRECT(ResultsInd[[#This Row],[Category]]&amp;"List[Retained Player Name]"),ResultsInd[[#This Row],[Player B]]),"")</f>
        <v>1</v>
      </c>
      <c r="R6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1" s="265" t="str">
        <f>IF(ResultsInd[[#This Row],[Score_OK]],IF(ResultsInd[[#This Row],[Stage]]="Groups",ResultsInd[[#This Row],[Category]]&amp;"-"&amp;IF(ResultsInd[[#This Row],[Player B]]="","",IF(ResultsInd[[#This Row],[Score-A]]=ResultsInd[[#This Row],[Score-B]],ResultsInd[[#This Row],[Player A]],"")),""),"")</f>
        <v/>
      </c>
      <c r="T611" s="265" t="str">
        <f>IF(ResultsInd[[#This Row],[Score_OK]],IF(ResultsInd[[#This Row],[Stage]]="Groups",ResultsInd[[#This Row],[Category]]&amp;"-"&amp;IF(ResultsInd[[#This Row],[Player B]]="","",IF(ResultsInd[[#This Row],[Score-A]]=ResultsInd[[#This Row],[Score-B]],ResultsInd[[#This Row],[Player B]],"")),""),"")</f>
        <v/>
      </c>
      <c r="U6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VETERANS-Bob Varney</v>
      </c>
      <c r="W6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11" s="264" t="str">
        <f>IF(ResultsInd[[#This Row],[Category]]="","",VLOOKUP(ResultsInd[[#This Row],[Stage]],$P$1:$V$9,MATCH(ResultsInd[[#This Row],[Category]],$Q$1:$V$1,0)+1,FALSE))</f>
        <v>L16</v>
      </c>
      <c r="Z611" s="264" t="str">
        <f>IF(ResultsInd[[#This Row],[Score_OK]],IF(ResultsInd[[#This Row],[Level]]="R",ResultsInd[[#This Row],[Category]]&amp;"-"&amp;IF(ResultsInd[[#This Row],[LoseInKO]]=ResultsInd[[#This Row],[Category]]&amp;"-"&amp;ResultsInd[[#This Row],[Player A]],ResultsInd[[#This Row],[Player B]],ResultsInd[[#This Row],[Player A]]),""),"")</f>
        <v/>
      </c>
      <c r="AB611" s="8"/>
      <c r="AC611" s="8"/>
      <c r="AP611" s="8"/>
      <c r="AQ611" s="8"/>
      <c r="AR611" s="8"/>
      <c r="AS611" s="8"/>
      <c r="AT611" s="8"/>
      <c r="AU611" s="8"/>
      <c r="AV611" s="8"/>
      <c r="AW611" s="8"/>
      <c r="AX611" s="11"/>
      <c r="AY611" s="59"/>
      <c r="AZ611" s="59"/>
      <c r="BA611" s="59"/>
      <c r="BB611" s="59"/>
      <c r="BC611" s="59"/>
      <c r="BD611" s="59"/>
      <c r="BE611" s="59"/>
      <c r="BF611" s="59"/>
    </row>
    <row r="612" spans="1:58" x14ac:dyDescent="0.2">
      <c r="A612" s="62" t="s">
        <v>12261</v>
      </c>
      <c r="B612" s="62" t="s">
        <v>12219</v>
      </c>
      <c r="C612" s="62"/>
      <c r="D612" s="62"/>
      <c r="E612" s="345" t="s">
        <v>10431</v>
      </c>
      <c r="F612" s="345" t="s">
        <v>10369</v>
      </c>
      <c r="G612" s="113">
        <v>2</v>
      </c>
      <c r="H612" s="113">
        <v>3</v>
      </c>
      <c r="I612" s="114" t="s">
        <v>14586</v>
      </c>
      <c r="J612" s="114"/>
      <c r="K612" s="114"/>
      <c r="L612" s="81"/>
      <c r="M612" s="265" t="b">
        <f>NOT(ISERROR(ResultsInd[[#This Row],[Goal-A]]+ResultsInd[[#This Row],[Goal-B]]))</f>
        <v>1</v>
      </c>
      <c r="N612" s="265">
        <f>VALUE(ResultsInd[[#This Row],[Score-A]])</f>
        <v>2</v>
      </c>
      <c r="O612" s="265">
        <f>VALUE(ResultsInd[[#This Row],[Score-B]])</f>
        <v>3</v>
      </c>
      <c r="P612" s="265">
        <f ca="1">IF(AND(ResultsInd[[#This Row],[Category]]&lt;&gt;"",ResultsInd[[#This Row],[Player A]]&lt;&gt;""),COUNTIF(INDIRECT(ResultsInd[[#This Row],[Category]]&amp;"List[Retained Player Name]"),ResultsInd[[#This Row],[Player A]]),"")</f>
        <v>1</v>
      </c>
      <c r="Q612" s="265">
        <f ca="1">IF(AND(ResultsInd[[#This Row],[Category]]&lt;&gt;"",ResultsInd[[#This Row],[Player B]]&lt;&gt;""),COUNTIF(INDIRECT(ResultsInd[[#This Row],[Category]]&amp;"List[Retained Player Name]"),ResultsInd[[#This Row],[Player B]]),"")</f>
        <v>1</v>
      </c>
      <c r="R6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2" s="265" t="str">
        <f>IF(ResultsInd[[#This Row],[Score_OK]],IF(ResultsInd[[#This Row],[Stage]]="Groups",ResultsInd[[#This Row],[Category]]&amp;"-"&amp;IF(ResultsInd[[#This Row],[Player B]]="","",IF(ResultsInd[[#This Row],[Score-A]]=ResultsInd[[#This Row],[Score-B]],ResultsInd[[#This Row],[Player A]],"")),""),"")</f>
        <v/>
      </c>
      <c r="T612" s="265" t="str">
        <f>IF(ResultsInd[[#This Row],[Score_OK]],IF(ResultsInd[[#This Row],[Stage]]="Groups",ResultsInd[[#This Row],[Category]]&amp;"-"&amp;IF(ResultsInd[[#This Row],[Player B]]="","",IF(ResultsInd[[#This Row],[Score-A]]=ResultsInd[[#This Row],[Score-B]],ResultsInd[[#This Row],[Player B]],"")),""),"")</f>
        <v/>
      </c>
      <c r="U6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VETERANS-Jason Pisani</v>
      </c>
      <c r="W6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12" s="264" t="str">
        <f>IF(ResultsInd[[#This Row],[Category]]="","",VLOOKUP(ResultsInd[[#This Row],[Stage]],$P$1:$V$9,MATCH(ResultsInd[[#This Row],[Category]],$Q$1:$V$1,0)+1,FALSE))</f>
        <v>L16</v>
      </c>
      <c r="Z612" s="264" t="str">
        <f>IF(ResultsInd[[#This Row],[Score_OK]],IF(ResultsInd[[#This Row],[Level]]="R",ResultsInd[[#This Row],[Category]]&amp;"-"&amp;IF(ResultsInd[[#This Row],[LoseInKO]]=ResultsInd[[#This Row],[Category]]&amp;"-"&amp;ResultsInd[[#This Row],[Player A]],ResultsInd[[#This Row],[Player B]],ResultsInd[[#This Row],[Player A]]),""),"")</f>
        <v/>
      </c>
      <c r="AB612" s="8"/>
      <c r="AC612" s="8"/>
      <c r="AP612" s="8"/>
      <c r="AQ612" s="8"/>
      <c r="AR612" s="8"/>
      <c r="AS612" s="8"/>
      <c r="AT612" s="8"/>
      <c r="AU612" s="8"/>
      <c r="AV612" s="8"/>
      <c r="AW612" s="8"/>
      <c r="AX612" s="11"/>
      <c r="AY612" s="59"/>
      <c r="AZ612" s="59"/>
      <c r="BA612" s="59"/>
      <c r="BB612" s="59"/>
      <c r="BC612" s="59"/>
      <c r="BD612" s="59"/>
      <c r="BE612" s="59"/>
      <c r="BF612" s="59"/>
    </row>
    <row r="613" spans="1:58" x14ac:dyDescent="0.2">
      <c r="A613" s="62" t="s">
        <v>12261</v>
      </c>
      <c r="B613" s="62" t="s">
        <v>12219</v>
      </c>
      <c r="C613" s="62"/>
      <c r="D613" s="62"/>
      <c r="E613" s="345" t="s">
        <v>8121</v>
      </c>
      <c r="F613" s="345" t="s">
        <v>9577</v>
      </c>
      <c r="G613" s="113">
        <v>0</v>
      </c>
      <c r="H613" s="113">
        <v>2</v>
      </c>
      <c r="I613" s="114"/>
      <c r="J613" s="114"/>
      <c r="K613" s="114"/>
      <c r="L613" s="81"/>
      <c r="M613" s="265" t="b">
        <f>NOT(ISERROR(ResultsInd[[#This Row],[Goal-A]]+ResultsInd[[#This Row],[Goal-B]]))</f>
        <v>1</v>
      </c>
      <c r="N613" s="265">
        <f>VALUE(ResultsInd[[#This Row],[Score-A]])</f>
        <v>0</v>
      </c>
      <c r="O613" s="265">
        <f>VALUE(ResultsInd[[#This Row],[Score-B]])</f>
        <v>2</v>
      </c>
      <c r="P613" s="265">
        <f ca="1">IF(AND(ResultsInd[[#This Row],[Category]]&lt;&gt;"",ResultsInd[[#This Row],[Player A]]&lt;&gt;""),COUNTIF(INDIRECT(ResultsInd[[#This Row],[Category]]&amp;"List[Retained Player Name]"),ResultsInd[[#This Row],[Player A]]),"")</f>
        <v>1</v>
      </c>
      <c r="Q613" s="265">
        <f ca="1">IF(AND(ResultsInd[[#This Row],[Category]]&lt;&gt;"",ResultsInd[[#This Row],[Player B]]&lt;&gt;""),COUNTIF(INDIRECT(ResultsInd[[#This Row],[Category]]&amp;"List[Retained Player Name]"),ResultsInd[[#This Row],[Player B]]),"")</f>
        <v>1</v>
      </c>
      <c r="R6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3" s="265" t="str">
        <f>IF(ResultsInd[[#This Row],[Score_OK]],IF(ResultsInd[[#This Row],[Stage]]="Groups",ResultsInd[[#This Row],[Category]]&amp;"-"&amp;IF(ResultsInd[[#This Row],[Player B]]="","",IF(ResultsInd[[#This Row],[Score-A]]=ResultsInd[[#This Row],[Score-B]],ResultsInd[[#This Row],[Player A]],"")),""),"")</f>
        <v/>
      </c>
      <c r="T613" s="265" t="str">
        <f>IF(ResultsInd[[#This Row],[Score_OK]],IF(ResultsInd[[#This Row],[Stage]]="Groups",ResultsInd[[#This Row],[Category]]&amp;"-"&amp;IF(ResultsInd[[#This Row],[Player B]]="","",IF(ResultsInd[[#This Row],[Score-A]]=ResultsInd[[#This Row],[Score-B]],ResultsInd[[#This Row],[Player B]],"")),""),"")</f>
        <v/>
      </c>
      <c r="U6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VETERANS-Olivier Pere</v>
      </c>
      <c r="W6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13" s="264" t="str">
        <f>IF(ResultsInd[[#This Row],[Category]]="","",VLOOKUP(ResultsInd[[#This Row],[Stage]],$P$1:$V$9,MATCH(ResultsInd[[#This Row],[Category]],$Q$1:$V$1,0)+1,FALSE))</f>
        <v>L16</v>
      </c>
      <c r="Z613" s="264" t="str">
        <f>IF(ResultsInd[[#This Row],[Score_OK]],IF(ResultsInd[[#This Row],[Level]]="R",ResultsInd[[#This Row],[Category]]&amp;"-"&amp;IF(ResultsInd[[#This Row],[LoseInKO]]=ResultsInd[[#This Row],[Category]]&amp;"-"&amp;ResultsInd[[#This Row],[Player A]],ResultsInd[[#This Row],[Player B]],ResultsInd[[#This Row],[Player A]]),""),"")</f>
        <v/>
      </c>
      <c r="AB613" s="8"/>
      <c r="AC613" s="8"/>
      <c r="AP613" s="8"/>
      <c r="AQ613" s="8"/>
      <c r="AR613" s="8"/>
      <c r="AS613" s="8"/>
      <c r="AT613" s="8"/>
      <c r="AU613" s="8"/>
      <c r="AV613" s="8"/>
      <c r="AW613" s="8"/>
      <c r="AX613" s="11"/>
      <c r="AY613" s="59"/>
      <c r="AZ613" s="59"/>
      <c r="BA613" s="59"/>
      <c r="BB613" s="59"/>
      <c r="BC613" s="59"/>
      <c r="BD613" s="59"/>
      <c r="BE613" s="59"/>
      <c r="BF613" s="59"/>
    </row>
    <row r="614" spans="1:58" x14ac:dyDescent="0.2">
      <c r="A614" s="62" t="s">
        <v>12261</v>
      </c>
      <c r="B614" s="62" t="s">
        <v>12219</v>
      </c>
      <c r="C614" s="62"/>
      <c r="D614" s="62"/>
      <c r="E614" s="345" t="s">
        <v>8600</v>
      </c>
      <c r="F614" s="345" t="s">
        <v>9744</v>
      </c>
      <c r="G614" s="113">
        <v>2</v>
      </c>
      <c r="H614" s="113">
        <v>1</v>
      </c>
      <c r="I614" s="114"/>
      <c r="J614" s="114"/>
      <c r="K614" s="114"/>
      <c r="L614" s="81"/>
      <c r="M614" s="265" t="b">
        <f>NOT(ISERROR(ResultsInd[[#This Row],[Goal-A]]+ResultsInd[[#This Row],[Goal-B]]))</f>
        <v>1</v>
      </c>
      <c r="N614" s="265">
        <f>VALUE(ResultsInd[[#This Row],[Score-A]])</f>
        <v>2</v>
      </c>
      <c r="O614" s="265">
        <f>VALUE(ResultsInd[[#This Row],[Score-B]])</f>
        <v>1</v>
      </c>
      <c r="P614" s="265">
        <f ca="1">IF(AND(ResultsInd[[#This Row],[Category]]&lt;&gt;"",ResultsInd[[#This Row],[Player A]]&lt;&gt;""),COUNTIF(INDIRECT(ResultsInd[[#This Row],[Category]]&amp;"List[Retained Player Name]"),ResultsInd[[#This Row],[Player A]]),"")</f>
        <v>1</v>
      </c>
      <c r="Q614" s="265">
        <f ca="1">IF(AND(ResultsInd[[#This Row],[Category]]&lt;&gt;"",ResultsInd[[#This Row],[Player B]]&lt;&gt;""),COUNTIF(INDIRECT(ResultsInd[[#This Row],[Category]]&amp;"List[Retained Player Name]"),ResultsInd[[#This Row],[Player B]]),"")</f>
        <v>1</v>
      </c>
      <c r="R6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4" s="265" t="str">
        <f>IF(ResultsInd[[#This Row],[Score_OK]],IF(ResultsInd[[#This Row],[Stage]]="Groups",ResultsInd[[#This Row],[Category]]&amp;"-"&amp;IF(ResultsInd[[#This Row],[Player B]]="","",IF(ResultsInd[[#This Row],[Score-A]]=ResultsInd[[#This Row],[Score-B]],ResultsInd[[#This Row],[Player A]],"")),""),"")</f>
        <v/>
      </c>
      <c r="T614" s="265" t="str">
        <f>IF(ResultsInd[[#This Row],[Score_OK]],IF(ResultsInd[[#This Row],[Stage]]="Groups",ResultsInd[[#This Row],[Category]]&amp;"-"&amp;IF(ResultsInd[[#This Row],[Player B]]="","",IF(ResultsInd[[#This Row],[Score-A]]=ResultsInd[[#This Row],[Score-B]],ResultsInd[[#This Row],[Player B]],"")),""),"")</f>
        <v/>
      </c>
      <c r="U6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VETERANS-Gerardo Patruno</v>
      </c>
      <c r="W6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14" s="264" t="str">
        <f>IF(ResultsInd[[#This Row],[Category]]="","",VLOOKUP(ResultsInd[[#This Row],[Stage]],$P$1:$V$9,MATCH(ResultsInd[[#This Row],[Category]],$Q$1:$V$1,0)+1,FALSE))</f>
        <v>L16</v>
      </c>
      <c r="Z614" s="264" t="str">
        <f>IF(ResultsInd[[#This Row],[Score_OK]],IF(ResultsInd[[#This Row],[Level]]="R",ResultsInd[[#This Row],[Category]]&amp;"-"&amp;IF(ResultsInd[[#This Row],[LoseInKO]]=ResultsInd[[#This Row],[Category]]&amp;"-"&amp;ResultsInd[[#This Row],[Player A]],ResultsInd[[#This Row],[Player B]],ResultsInd[[#This Row],[Player A]]),""),"")</f>
        <v/>
      </c>
      <c r="AB614" s="8"/>
      <c r="AC614" s="8"/>
      <c r="AP614" s="8"/>
      <c r="AQ614" s="8"/>
      <c r="AR614" s="8"/>
      <c r="AS614" s="8"/>
      <c r="AT614" s="8"/>
      <c r="AU614" s="8"/>
      <c r="AV614" s="8"/>
      <c r="AW614" s="8"/>
      <c r="AX614" s="11"/>
      <c r="AY614" s="59"/>
      <c r="AZ614" s="59"/>
      <c r="BA614" s="59"/>
      <c r="BB614" s="59"/>
      <c r="BC614" s="59"/>
      <c r="BD614" s="59"/>
      <c r="BE614" s="59"/>
      <c r="BF614" s="59"/>
    </row>
    <row r="615" spans="1:58" x14ac:dyDescent="0.2">
      <c r="A615" s="62" t="s">
        <v>12261</v>
      </c>
      <c r="B615" s="62" t="s">
        <v>12219</v>
      </c>
      <c r="C615" s="62"/>
      <c r="D615" s="62"/>
      <c r="E615" s="345" t="s">
        <v>10149</v>
      </c>
      <c r="F615" s="345" t="s">
        <v>10253</v>
      </c>
      <c r="G615" s="113">
        <v>1</v>
      </c>
      <c r="H615" s="113">
        <v>1</v>
      </c>
      <c r="I615" s="114"/>
      <c r="J615" s="114">
        <v>2</v>
      </c>
      <c r="K615" s="114">
        <v>4</v>
      </c>
      <c r="L615" s="81"/>
      <c r="M615" s="265" t="b">
        <f>NOT(ISERROR(ResultsInd[[#This Row],[Goal-A]]+ResultsInd[[#This Row],[Goal-B]]))</f>
        <v>1</v>
      </c>
      <c r="N615" s="265">
        <f>VALUE(ResultsInd[[#This Row],[Score-A]])</f>
        <v>1</v>
      </c>
      <c r="O615" s="265">
        <f>VALUE(ResultsInd[[#This Row],[Score-B]])</f>
        <v>1</v>
      </c>
      <c r="P615" s="265">
        <f ca="1">IF(AND(ResultsInd[[#This Row],[Category]]&lt;&gt;"",ResultsInd[[#This Row],[Player A]]&lt;&gt;""),COUNTIF(INDIRECT(ResultsInd[[#This Row],[Category]]&amp;"List[Retained Player Name]"),ResultsInd[[#This Row],[Player A]]),"")</f>
        <v>1</v>
      </c>
      <c r="Q615" s="265">
        <f ca="1">IF(AND(ResultsInd[[#This Row],[Category]]&lt;&gt;"",ResultsInd[[#This Row],[Player B]]&lt;&gt;""),COUNTIF(INDIRECT(ResultsInd[[#This Row],[Category]]&amp;"List[Retained Player Name]"),ResultsInd[[#This Row],[Player B]]),"")</f>
        <v>1</v>
      </c>
      <c r="R6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5" s="265" t="str">
        <f>IF(ResultsInd[[#This Row],[Score_OK]],IF(ResultsInd[[#This Row],[Stage]]="Groups",ResultsInd[[#This Row],[Category]]&amp;"-"&amp;IF(ResultsInd[[#This Row],[Player B]]="","",IF(ResultsInd[[#This Row],[Score-A]]=ResultsInd[[#This Row],[Score-B]],ResultsInd[[#This Row],[Player A]],"")),""),"")</f>
        <v/>
      </c>
      <c r="T615" s="265" t="str">
        <f>IF(ResultsInd[[#This Row],[Score_OK]],IF(ResultsInd[[#This Row],[Stage]]="Groups",ResultsInd[[#This Row],[Category]]&amp;"-"&amp;IF(ResultsInd[[#This Row],[Player B]]="","",IF(ResultsInd[[#This Row],[Score-A]]=ResultsInd[[#This Row],[Score-B]],ResultsInd[[#This Row],[Player B]],"")),""),"")</f>
        <v/>
      </c>
      <c r="U6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VETERANS-Massimiliano Croatti</v>
      </c>
      <c r="W6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15" s="264" t="str">
        <f>IF(ResultsInd[[#This Row],[Category]]="","",VLOOKUP(ResultsInd[[#This Row],[Stage]],$P$1:$V$9,MATCH(ResultsInd[[#This Row],[Category]],$Q$1:$V$1,0)+1,FALSE))</f>
        <v>L16</v>
      </c>
      <c r="Z615" s="264" t="str">
        <f>IF(ResultsInd[[#This Row],[Score_OK]],IF(ResultsInd[[#This Row],[Level]]="R",ResultsInd[[#This Row],[Category]]&amp;"-"&amp;IF(ResultsInd[[#This Row],[LoseInKO]]=ResultsInd[[#This Row],[Category]]&amp;"-"&amp;ResultsInd[[#This Row],[Player A]],ResultsInd[[#This Row],[Player B]],ResultsInd[[#This Row],[Player A]]),""),"")</f>
        <v/>
      </c>
      <c r="AB615" s="8"/>
      <c r="AC615" s="8"/>
      <c r="AE615" s="90"/>
      <c r="AF615" s="90"/>
      <c r="AP615" s="8"/>
      <c r="AQ615" s="8"/>
      <c r="AR615" s="8"/>
      <c r="AS615" s="8"/>
      <c r="AT615" s="8"/>
      <c r="AU615" s="8"/>
      <c r="AV615" s="8"/>
      <c r="AW615" s="8"/>
      <c r="AX615" s="8"/>
      <c r="AY615" s="90"/>
      <c r="AZ615" s="90"/>
      <c r="BA615" s="90"/>
      <c r="BB615" s="90"/>
      <c r="BC615" s="90"/>
      <c r="BD615" s="90"/>
      <c r="BE615" s="90"/>
      <c r="BF615" s="90"/>
    </row>
    <row r="616" spans="1:58" x14ac:dyDescent="0.2">
      <c r="A616" s="62" t="s">
        <v>12263</v>
      </c>
      <c r="B616" s="62" t="s">
        <v>12219</v>
      </c>
      <c r="C616" s="62"/>
      <c r="D616" s="62"/>
      <c r="E616" s="345" t="s">
        <v>12756</v>
      </c>
      <c r="F616" s="345" t="s">
        <v>8168</v>
      </c>
      <c r="G616" s="113">
        <v>1</v>
      </c>
      <c r="H616" s="113">
        <v>2</v>
      </c>
      <c r="I616" s="114"/>
      <c r="J616" s="114"/>
      <c r="K616" s="114"/>
      <c r="L616" s="81"/>
      <c r="M616" s="265" t="b">
        <f>NOT(ISERROR(ResultsInd[[#This Row],[Goal-A]]+ResultsInd[[#This Row],[Goal-B]]))</f>
        <v>1</v>
      </c>
      <c r="N616" s="265">
        <f>VALUE(ResultsInd[[#This Row],[Score-A]])</f>
        <v>1</v>
      </c>
      <c r="O616" s="265">
        <f>VALUE(ResultsInd[[#This Row],[Score-B]])</f>
        <v>2</v>
      </c>
      <c r="P616" s="265" t="e">
        <f ca="1">IF(AND(ResultsInd[[#This Row],[Category]]&lt;&gt;"",ResultsInd[[#This Row],[Player A]]&lt;&gt;""),COUNTIF(INDIRECT(ResultsInd[[#This Row],[Category]]&amp;"List[Retained Player Name]"),ResultsInd[[#This Row],[Player A]]),"")</f>
        <v>#REF!</v>
      </c>
      <c r="Q616" s="265" t="e">
        <f ca="1">IF(AND(ResultsInd[[#This Row],[Category]]&lt;&gt;"",ResultsInd[[#This Row],[Player B]]&lt;&gt;""),COUNTIF(INDIRECT(ResultsInd[[#This Row],[Category]]&amp;"List[Retained Player Name]"),ResultsInd[[#This Row],[Player B]]),"")</f>
        <v>#REF!</v>
      </c>
      <c r="R6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6" s="265" t="str">
        <f>IF(ResultsInd[[#This Row],[Score_OK]],IF(ResultsInd[[#This Row],[Stage]]="Groups",ResultsInd[[#This Row],[Category]]&amp;"-"&amp;IF(ResultsInd[[#This Row],[Player B]]="","",IF(ResultsInd[[#This Row],[Score-A]]=ResultsInd[[#This Row],[Score-B]],ResultsInd[[#This Row],[Player A]],"")),""),"")</f>
        <v/>
      </c>
      <c r="T616" s="265" t="str">
        <f>IF(ResultsInd[[#This Row],[Score_OK]],IF(ResultsInd[[#This Row],[Stage]]="Groups",ResultsInd[[#This Row],[Category]]&amp;"-"&amp;IF(ResultsInd[[#This Row],[Player B]]="","",IF(ResultsInd[[#This Row],[Score-A]]=ResultsInd[[#This Row],[Score-B]],ResultsInd[[#This Row],[Player B]],"")),""),"")</f>
        <v/>
      </c>
      <c r="U6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CONSOLATION-Ronald Scheffer</v>
      </c>
      <c r="W61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1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16" s="264" t="e">
        <f>IF(ResultsInd[[#This Row],[Category]]="","",VLOOKUP(ResultsInd[[#This Row],[Stage]],$P$1:$V$9,MATCH(ResultsInd[[#This Row],[Category]],$Q$1:$V$1,0)+1,FALSE))</f>
        <v>#N/A</v>
      </c>
      <c r="Z616" s="264" t="e">
        <f>IF(ResultsInd[[#This Row],[Score_OK]],IF(ResultsInd[[#This Row],[Level]]="R",ResultsInd[[#This Row],[Category]]&amp;"-"&amp;IF(ResultsInd[[#This Row],[LoseInKO]]=ResultsInd[[#This Row],[Category]]&amp;"-"&amp;ResultsInd[[#This Row],[Player A]],ResultsInd[[#This Row],[Player B]],ResultsInd[[#This Row],[Player A]]),""),"")</f>
        <v>#N/A</v>
      </c>
      <c r="AB616" s="8"/>
      <c r="AC616" s="8"/>
      <c r="AE616" s="90"/>
      <c r="AF616" s="90"/>
      <c r="AP616" s="8"/>
      <c r="AQ616" s="8"/>
      <c r="AR616" s="8"/>
      <c r="AS616" s="8"/>
      <c r="AT616" s="8"/>
      <c r="AU616" s="8"/>
      <c r="AV616" s="8"/>
      <c r="AW616" s="8"/>
      <c r="AX616" s="8"/>
      <c r="AY616" s="90"/>
      <c r="AZ616" s="90"/>
      <c r="BA616" s="90"/>
      <c r="BB616" s="90"/>
      <c r="BC616" s="90"/>
      <c r="BD616" s="90"/>
      <c r="BE616" s="90"/>
      <c r="BF616" s="90"/>
    </row>
    <row r="617" spans="1:58" x14ac:dyDescent="0.2">
      <c r="A617" s="62" t="s">
        <v>12263</v>
      </c>
      <c r="B617" s="62" t="s">
        <v>12219</v>
      </c>
      <c r="C617" s="62"/>
      <c r="D617" s="62"/>
      <c r="E617" s="345" t="s">
        <v>10420</v>
      </c>
      <c r="F617" s="345" t="s">
        <v>8694</v>
      </c>
      <c r="G617" s="113">
        <v>5</v>
      </c>
      <c r="H617" s="113">
        <v>3</v>
      </c>
      <c r="I617" s="114"/>
      <c r="J617" s="114"/>
      <c r="K617" s="114"/>
      <c r="L617" s="81"/>
      <c r="M617" s="265" t="b">
        <f>NOT(ISERROR(ResultsInd[[#This Row],[Goal-A]]+ResultsInd[[#This Row],[Goal-B]]))</f>
        <v>1</v>
      </c>
      <c r="N617" s="265">
        <f>VALUE(ResultsInd[[#This Row],[Score-A]])</f>
        <v>5</v>
      </c>
      <c r="O617" s="265">
        <f>VALUE(ResultsInd[[#This Row],[Score-B]])</f>
        <v>3</v>
      </c>
      <c r="P617" s="265" t="e">
        <f ca="1">IF(AND(ResultsInd[[#This Row],[Category]]&lt;&gt;"",ResultsInd[[#This Row],[Player A]]&lt;&gt;""),COUNTIF(INDIRECT(ResultsInd[[#This Row],[Category]]&amp;"List[Retained Player Name]"),ResultsInd[[#This Row],[Player A]]),"")</f>
        <v>#REF!</v>
      </c>
      <c r="Q617" s="265" t="e">
        <f ca="1">IF(AND(ResultsInd[[#This Row],[Category]]&lt;&gt;"",ResultsInd[[#This Row],[Player B]]&lt;&gt;""),COUNTIF(INDIRECT(ResultsInd[[#This Row],[Category]]&amp;"List[Retained Player Name]"),ResultsInd[[#This Row],[Player B]]),"")</f>
        <v>#REF!</v>
      </c>
      <c r="R6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7" s="265" t="str">
        <f>IF(ResultsInd[[#This Row],[Score_OK]],IF(ResultsInd[[#This Row],[Stage]]="Groups",ResultsInd[[#This Row],[Category]]&amp;"-"&amp;IF(ResultsInd[[#This Row],[Player B]]="","",IF(ResultsInd[[#This Row],[Score-A]]=ResultsInd[[#This Row],[Score-B]],ResultsInd[[#This Row],[Player A]],"")),""),"")</f>
        <v/>
      </c>
      <c r="T617" s="265" t="str">
        <f>IF(ResultsInd[[#This Row],[Score_OK]],IF(ResultsInd[[#This Row],[Stage]]="Groups",ResultsInd[[#This Row],[Category]]&amp;"-"&amp;IF(ResultsInd[[#This Row],[Player B]]="","",IF(ResultsInd[[#This Row],[Score-A]]=ResultsInd[[#This Row],[Score-B]],ResultsInd[[#This Row],[Player B]],"")),""),"")</f>
        <v/>
      </c>
      <c r="U6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CONSOLATION-Thierry Vivron</v>
      </c>
      <c r="W61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1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17" s="264" t="e">
        <f>IF(ResultsInd[[#This Row],[Category]]="","",VLOOKUP(ResultsInd[[#This Row],[Stage]],$P$1:$V$9,MATCH(ResultsInd[[#This Row],[Category]],$Q$1:$V$1,0)+1,FALSE))</f>
        <v>#N/A</v>
      </c>
      <c r="Z617" s="264" t="e">
        <f>IF(ResultsInd[[#This Row],[Score_OK]],IF(ResultsInd[[#This Row],[Level]]="R",ResultsInd[[#This Row],[Category]]&amp;"-"&amp;IF(ResultsInd[[#This Row],[LoseInKO]]=ResultsInd[[#This Row],[Category]]&amp;"-"&amp;ResultsInd[[#This Row],[Player A]],ResultsInd[[#This Row],[Player B]],ResultsInd[[#This Row],[Player A]]),""),"")</f>
        <v>#N/A</v>
      </c>
      <c r="AB617" s="8"/>
      <c r="AC617" s="8"/>
      <c r="AE617" s="90"/>
      <c r="AF617" s="90"/>
      <c r="AP617" s="8"/>
      <c r="AQ617" s="8"/>
      <c r="AR617" s="8"/>
      <c r="AS617" s="8"/>
      <c r="AT617" s="8"/>
      <c r="AU617" s="8"/>
      <c r="AV617" s="8"/>
      <c r="AW617" s="8"/>
      <c r="AX617" s="8"/>
      <c r="AY617" s="90"/>
      <c r="AZ617" s="90"/>
      <c r="BA617" s="90"/>
      <c r="BB617" s="90"/>
      <c r="BC617" s="90"/>
      <c r="BD617" s="90"/>
      <c r="BE617" s="90"/>
      <c r="BF617" s="90"/>
    </row>
    <row r="618" spans="1:58" x14ac:dyDescent="0.2">
      <c r="A618" s="62" t="s">
        <v>12263</v>
      </c>
      <c r="B618" s="62" t="s">
        <v>12219</v>
      </c>
      <c r="C618" s="62"/>
      <c r="D618" s="62"/>
      <c r="E618" s="345" t="s">
        <v>8083</v>
      </c>
      <c r="F618" s="345" t="s">
        <v>10786</v>
      </c>
      <c r="G618" s="113">
        <v>2</v>
      </c>
      <c r="H618" s="113">
        <v>2</v>
      </c>
      <c r="I618" s="114"/>
      <c r="J618" s="114">
        <v>2</v>
      </c>
      <c r="K618" s="114">
        <v>0</v>
      </c>
      <c r="L618" s="81"/>
      <c r="M618" s="265" t="b">
        <f>NOT(ISERROR(ResultsInd[[#This Row],[Goal-A]]+ResultsInd[[#This Row],[Goal-B]]))</f>
        <v>1</v>
      </c>
      <c r="N618" s="265">
        <f>VALUE(ResultsInd[[#This Row],[Score-A]])</f>
        <v>2</v>
      </c>
      <c r="O618" s="265">
        <f>VALUE(ResultsInd[[#This Row],[Score-B]])</f>
        <v>2</v>
      </c>
      <c r="P618" s="265" t="e">
        <f ca="1">IF(AND(ResultsInd[[#This Row],[Category]]&lt;&gt;"",ResultsInd[[#This Row],[Player A]]&lt;&gt;""),COUNTIF(INDIRECT(ResultsInd[[#This Row],[Category]]&amp;"List[Retained Player Name]"),ResultsInd[[#This Row],[Player A]]),"")</f>
        <v>#REF!</v>
      </c>
      <c r="Q618" s="265" t="e">
        <f ca="1">IF(AND(ResultsInd[[#This Row],[Category]]&lt;&gt;"",ResultsInd[[#This Row],[Player B]]&lt;&gt;""),COUNTIF(INDIRECT(ResultsInd[[#This Row],[Category]]&amp;"List[Retained Player Name]"),ResultsInd[[#This Row],[Player B]]),"")</f>
        <v>#REF!</v>
      </c>
      <c r="R6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8" s="265" t="str">
        <f>IF(ResultsInd[[#This Row],[Score_OK]],IF(ResultsInd[[#This Row],[Stage]]="Groups",ResultsInd[[#This Row],[Category]]&amp;"-"&amp;IF(ResultsInd[[#This Row],[Player B]]="","",IF(ResultsInd[[#This Row],[Score-A]]=ResultsInd[[#This Row],[Score-B]],ResultsInd[[#This Row],[Player A]],"")),""),"")</f>
        <v/>
      </c>
      <c r="T618" s="265" t="str">
        <f>IF(ResultsInd[[#This Row],[Score_OK]],IF(ResultsInd[[#This Row],[Stage]]="Groups",ResultsInd[[#This Row],[Category]]&amp;"-"&amp;IF(ResultsInd[[#This Row],[Player B]]="","",IF(ResultsInd[[#This Row],[Score-A]]=ResultsInd[[#This Row],[Score-B]],ResultsInd[[#This Row],[Player B]],"")),""),"")</f>
        <v/>
      </c>
      <c r="U6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CONSOLATION-Thomas PONTÉ</v>
      </c>
      <c r="W61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1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18" s="264" t="e">
        <f>IF(ResultsInd[[#This Row],[Category]]="","",VLOOKUP(ResultsInd[[#This Row],[Stage]],$P$1:$V$9,MATCH(ResultsInd[[#This Row],[Category]],$Q$1:$V$1,0)+1,FALSE))</f>
        <v>#N/A</v>
      </c>
      <c r="Z618" s="264" t="e">
        <f>IF(ResultsInd[[#This Row],[Score_OK]],IF(ResultsInd[[#This Row],[Level]]="R",ResultsInd[[#This Row],[Category]]&amp;"-"&amp;IF(ResultsInd[[#This Row],[LoseInKO]]=ResultsInd[[#This Row],[Category]]&amp;"-"&amp;ResultsInd[[#This Row],[Player A]],ResultsInd[[#This Row],[Player B]],ResultsInd[[#This Row],[Player A]]),""),"")</f>
        <v>#N/A</v>
      </c>
      <c r="AB618" s="8"/>
      <c r="AC618" s="8"/>
      <c r="AE618" s="90"/>
      <c r="AF618" s="90"/>
      <c r="AP618" s="8"/>
      <c r="AQ618" s="8"/>
      <c r="AR618" s="8"/>
      <c r="AS618" s="8"/>
      <c r="AT618" s="8"/>
      <c r="AU618" s="8"/>
      <c r="AV618" s="8"/>
      <c r="AW618" s="8"/>
      <c r="AX618" s="8"/>
      <c r="AY618" s="90"/>
      <c r="AZ618" s="90"/>
      <c r="BA618" s="90"/>
      <c r="BB618" s="90"/>
      <c r="BC618" s="90"/>
      <c r="BD618" s="90"/>
      <c r="BE618" s="90"/>
      <c r="BF618" s="90"/>
    </row>
    <row r="619" spans="1:58" x14ac:dyDescent="0.2">
      <c r="A619" s="62" t="s">
        <v>12263</v>
      </c>
      <c r="B619" s="62" t="s">
        <v>12219</v>
      </c>
      <c r="C619" s="62"/>
      <c r="D619" s="62"/>
      <c r="E619" s="345" t="s">
        <v>8109</v>
      </c>
      <c r="F619" s="345" t="s">
        <v>13241</v>
      </c>
      <c r="G619" s="113">
        <v>6</v>
      </c>
      <c r="H619" s="113">
        <v>2</v>
      </c>
      <c r="I619" s="114"/>
      <c r="J619" s="114"/>
      <c r="K619" s="114"/>
      <c r="L619" s="81"/>
      <c r="M619" s="265" t="b">
        <f>NOT(ISERROR(ResultsInd[[#This Row],[Goal-A]]+ResultsInd[[#This Row],[Goal-B]]))</f>
        <v>1</v>
      </c>
      <c r="N619" s="265">
        <f>VALUE(ResultsInd[[#This Row],[Score-A]])</f>
        <v>6</v>
      </c>
      <c r="O619" s="265">
        <f>VALUE(ResultsInd[[#This Row],[Score-B]])</f>
        <v>2</v>
      </c>
      <c r="P619" s="265" t="e">
        <f ca="1">IF(AND(ResultsInd[[#This Row],[Category]]&lt;&gt;"",ResultsInd[[#This Row],[Player A]]&lt;&gt;""),COUNTIF(INDIRECT(ResultsInd[[#This Row],[Category]]&amp;"List[Retained Player Name]"),ResultsInd[[#This Row],[Player A]]),"")</f>
        <v>#REF!</v>
      </c>
      <c r="Q619" s="265" t="e">
        <f ca="1">IF(AND(ResultsInd[[#This Row],[Category]]&lt;&gt;"",ResultsInd[[#This Row],[Player B]]&lt;&gt;""),COUNTIF(INDIRECT(ResultsInd[[#This Row],[Category]]&amp;"List[Retained Player Name]"),ResultsInd[[#This Row],[Player B]]),"")</f>
        <v>#REF!</v>
      </c>
      <c r="R6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9" s="265" t="str">
        <f>IF(ResultsInd[[#This Row],[Score_OK]],IF(ResultsInd[[#This Row],[Stage]]="Groups",ResultsInd[[#This Row],[Category]]&amp;"-"&amp;IF(ResultsInd[[#This Row],[Player B]]="","",IF(ResultsInd[[#This Row],[Score-A]]=ResultsInd[[#This Row],[Score-B]],ResultsInd[[#This Row],[Player A]],"")),""),"")</f>
        <v/>
      </c>
      <c r="T619" s="265" t="str">
        <f>IF(ResultsInd[[#This Row],[Score_OK]],IF(ResultsInd[[#This Row],[Stage]]="Groups",ResultsInd[[#This Row],[Category]]&amp;"-"&amp;IF(ResultsInd[[#This Row],[Player B]]="","",IF(ResultsInd[[#This Row],[Score-A]]=ResultsInd[[#This Row],[Score-B]],ResultsInd[[#This Row],[Player B]],"")),""),"")</f>
        <v/>
      </c>
      <c r="U6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CONSOLATION-Miguel Pereira</v>
      </c>
      <c r="W61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1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19" s="264" t="e">
        <f>IF(ResultsInd[[#This Row],[Category]]="","",VLOOKUP(ResultsInd[[#This Row],[Stage]],$P$1:$V$9,MATCH(ResultsInd[[#This Row],[Category]],$Q$1:$V$1,0)+1,FALSE))</f>
        <v>#N/A</v>
      </c>
      <c r="Z619" s="264" t="e">
        <f>IF(ResultsInd[[#This Row],[Score_OK]],IF(ResultsInd[[#This Row],[Level]]="R",ResultsInd[[#This Row],[Category]]&amp;"-"&amp;IF(ResultsInd[[#This Row],[LoseInKO]]=ResultsInd[[#This Row],[Category]]&amp;"-"&amp;ResultsInd[[#This Row],[Player A]],ResultsInd[[#This Row],[Player B]],ResultsInd[[#This Row],[Player A]]),""),"")</f>
        <v>#N/A</v>
      </c>
      <c r="AB619" s="8"/>
      <c r="AC619" s="8"/>
      <c r="AE619" s="90"/>
      <c r="AF619" s="90"/>
      <c r="AP619" s="8"/>
      <c r="AQ619" s="8"/>
      <c r="AR619" s="8"/>
      <c r="AS619" s="8"/>
      <c r="AT619" s="8"/>
      <c r="AU619" s="8"/>
      <c r="AV619" s="8"/>
      <c r="AW619" s="8"/>
      <c r="AX619" s="8"/>
      <c r="AY619" s="90"/>
      <c r="AZ619" s="90"/>
      <c r="BA619" s="90"/>
      <c r="BB619" s="90"/>
      <c r="BC619" s="90"/>
      <c r="BD619" s="90"/>
      <c r="BE619" s="90"/>
      <c r="BF619" s="90"/>
    </row>
    <row r="620" spans="1:58" x14ac:dyDescent="0.2">
      <c r="A620" s="62" t="s">
        <v>12263</v>
      </c>
      <c r="B620" s="62" t="s">
        <v>12219</v>
      </c>
      <c r="C620" s="62"/>
      <c r="D620" s="62"/>
      <c r="E620" s="345" t="s">
        <v>8713</v>
      </c>
      <c r="F620" s="345" t="s">
        <v>10440</v>
      </c>
      <c r="G620" s="113">
        <v>2</v>
      </c>
      <c r="H620" s="113">
        <v>0</v>
      </c>
      <c r="I620" s="114"/>
      <c r="J620" s="114"/>
      <c r="K620" s="114"/>
      <c r="L620" s="81"/>
      <c r="M620" s="265" t="b">
        <f>NOT(ISERROR(ResultsInd[[#This Row],[Goal-A]]+ResultsInd[[#This Row],[Goal-B]]))</f>
        <v>1</v>
      </c>
      <c r="N620" s="265">
        <f>VALUE(ResultsInd[[#This Row],[Score-A]])</f>
        <v>2</v>
      </c>
      <c r="O620" s="265">
        <f>VALUE(ResultsInd[[#This Row],[Score-B]])</f>
        <v>0</v>
      </c>
      <c r="P620" s="265" t="e">
        <f ca="1">IF(AND(ResultsInd[[#This Row],[Category]]&lt;&gt;"",ResultsInd[[#This Row],[Player A]]&lt;&gt;""),COUNTIF(INDIRECT(ResultsInd[[#This Row],[Category]]&amp;"List[Retained Player Name]"),ResultsInd[[#This Row],[Player A]]),"")</f>
        <v>#REF!</v>
      </c>
      <c r="Q620" s="265" t="e">
        <f ca="1">IF(AND(ResultsInd[[#This Row],[Category]]&lt;&gt;"",ResultsInd[[#This Row],[Player B]]&lt;&gt;""),COUNTIF(INDIRECT(ResultsInd[[#This Row],[Category]]&amp;"List[Retained Player Name]"),ResultsInd[[#This Row],[Player B]]),"")</f>
        <v>#REF!</v>
      </c>
      <c r="R6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0" s="265" t="str">
        <f>IF(ResultsInd[[#This Row],[Score_OK]],IF(ResultsInd[[#This Row],[Stage]]="Groups",ResultsInd[[#This Row],[Category]]&amp;"-"&amp;IF(ResultsInd[[#This Row],[Player B]]="","",IF(ResultsInd[[#This Row],[Score-A]]=ResultsInd[[#This Row],[Score-B]],ResultsInd[[#This Row],[Player A]],"")),""),"")</f>
        <v/>
      </c>
      <c r="T620" s="265" t="str">
        <f>IF(ResultsInd[[#This Row],[Score_OK]],IF(ResultsInd[[#This Row],[Stage]]="Groups",ResultsInd[[#This Row],[Category]]&amp;"-"&amp;IF(ResultsInd[[#This Row],[Player B]]="","",IF(ResultsInd[[#This Row],[Score-A]]=ResultsInd[[#This Row],[Score-B]],ResultsInd[[#This Row],[Player B]],"")),""),"")</f>
        <v/>
      </c>
      <c r="U6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CONSOLATION-Stanley Farrugia Randon</v>
      </c>
      <c r="W62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0" s="264" t="e">
        <f>IF(ResultsInd[[#This Row],[Category]]="","",VLOOKUP(ResultsInd[[#This Row],[Stage]],$P$1:$V$9,MATCH(ResultsInd[[#This Row],[Category]],$Q$1:$V$1,0)+1,FALSE))</f>
        <v>#N/A</v>
      </c>
      <c r="Z620" s="264" t="e">
        <f>IF(ResultsInd[[#This Row],[Score_OK]],IF(ResultsInd[[#This Row],[Level]]="R",ResultsInd[[#This Row],[Category]]&amp;"-"&amp;IF(ResultsInd[[#This Row],[LoseInKO]]=ResultsInd[[#This Row],[Category]]&amp;"-"&amp;ResultsInd[[#This Row],[Player A]],ResultsInd[[#This Row],[Player B]],ResultsInd[[#This Row],[Player A]]),""),"")</f>
        <v>#N/A</v>
      </c>
      <c r="AB620" s="8"/>
      <c r="AC620" s="8"/>
      <c r="AE620" s="90"/>
      <c r="AF620" s="90"/>
      <c r="AP620" s="8"/>
      <c r="AQ620" s="8"/>
      <c r="AR620" s="8"/>
      <c r="AS620" s="8"/>
      <c r="AT620" s="8"/>
      <c r="AU620" s="8"/>
      <c r="AV620" s="8"/>
      <c r="AW620" s="8"/>
      <c r="AX620" s="8"/>
      <c r="AY620" s="90"/>
      <c r="AZ620" s="90"/>
      <c r="BA620" s="90"/>
      <c r="BB620" s="90"/>
      <c r="BC620" s="90"/>
      <c r="BD620" s="90"/>
      <c r="BE620" s="90"/>
      <c r="BF620" s="90"/>
    </row>
    <row r="621" spans="1:58" x14ac:dyDescent="0.2">
      <c r="A621" s="62" t="s">
        <v>12263</v>
      </c>
      <c r="B621" s="62" t="s">
        <v>12219</v>
      </c>
      <c r="C621" s="62"/>
      <c r="D621" s="62"/>
      <c r="E621" s="345" t="s">
        <v>8082</v>
      </c>
      <c r="F621" s="345" t="s">
        <v>14521</v>
      </c>
      <c r="G621" s="113">
        <v>3</v>
      </c>
      <c r="H621" s="113">
        <v>0</v>
      </c>
      <c r="I621" s="114"/>
      <c r="J621" s="114"/>
      <c r="K621" s="114"/>
      <c r="L621" s="81"/>
      <c r="M621" s="265" t="b">
        <f>NOT(ISERROR(ResultsInd[[#This Row],[Goal-A]]+ResultsInd[[#This Row],[Goal-B]]))</f>
        <v>1</v>
      </c>
      <c r="N621" s="265">
        <f>VALUE(ResultsInd[[#This Row],[Score-A]])</f>
        <v>3</v>
      </c>
      <c r="O621" s="265">
        <f>VALUE(ResultsInd[[#This Row],[Score-B]])</f>
        <v>0</v>
      </c>
      <c r="P621" s="265" t="e">
        <f ca="1">IF(AND(ResultsInd[[#This Row],[Category]]&lt;&gt;"",ResultsInd[[#This Row],[Player A]]&lt;&gt;""),COUNTIF(INDIRECT(ResultsInd[[#This Row],[Category]]&amp;"List[Retained Player Name]"),ResultsInd[[#This Row],[Player A]]),"")</f>
        <v>#REF!</v>
      </c>
      <c r="Q621" s="265" t="e">
        <f ca="1">IF(AND(ResultsInd[[#This Row],[Category]]&lt;&gt;"",ResultsInd[[#This Row],[Player B]]&lt;&gt;""),COUNTIF(INDIRECT(ResultsInd[[#This Row],[Category]]&amp;"List[Retained Player Name]"),ResultsInd[[#This Row],[Player B]]),"")</f>
        <v>#REF!</v>
      </c>
      <c r="R6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1" s="265" t="str">
        <f>IF(ResultsInd[[#This Row],[Score_OK]],IF(ResultsInd[[#This Row],[Stage]]="Groups",ResultsInd[[#This Row],[Category]]&amp;"-"&amp;IF(ResultsInd[[#This Row],[Player B]]="","",IF(ResultsInd[[#This Row],[Score-A]]=ResultsInd[[#This Row],[Score-B]],ResultsInd[[#This Row],[Player A]],"")),""),"")</f>
        <v/>
      </c>
      <c r="T621" s="265" t="str">
        <f>IF(ResultsInd[[#This Row],[Score_OK]],IF(ResultsInd[[#This Row],[Stage]]="Groups",ResultsInd[[#This Row],[Category]]&amp;"-"&amp;IF(ResultsInd[[#This Row],[Player B]]="","",IF(ResultsInd[[#This Row],[Score-A]]=ResultsInd[[#This Row],[Score-B]],ResultsInd[[#This Row],[Player B]],"")),""),"")</f>
        <v/>
      </c>
      <c r="U6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CONSOLATION-Philippe Mairesse</v>
      </c>
      <c r="W62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1" s="264" t="e">
        <f>IF(ResultsInd[[#This Row],[Category]]="","",VLOOKUP(ResultsInd[[#This Row],[Stage]],$P$1:$V$9,MATCH(ResultsInd[[#This Row],[Category]],$Q$1:$V$1,0)+1,FALSE))</f>
        <v>#N/A</v>
      </c>
      <c r="Z621" s="264" t="e">
        <f>IF(ResultsInd[[#This Row],[Score_OK]],IF(ResultsInd[[#This Row],[Level]]="R",ResultsInd[[#This Row],[Category]]&amp;"-"&amp;IF(ResultsInd[[#This Row],[LoseInKO]]=ResultsInd[[#This Row],[Category]]&amp;"-"&amp;ResultsInd[[#This Row],[Player A]],ResultsInd[[#This Row],[Player B]],ResultsInd[[#This Row],[Player A]]),""),"")</f>
        <v>#N/A</v>
      </c>
      <c r="AB621" s="8"/>
      <c r="AC621" s="8"/>
      <c r="AE621" s="90"/>
      <c r="AF621" s="90"/>
      <c r="AP621" s="8"/>
      <c r="AQ621" s="8"/>
      <c r="AR621" s="8"/>
      <c r="AS621" s="8"/>
      <c r="AT621" s="8"/>
      <c r="AU621" s="8"/>
      <c r="AV621" s="8"/>
      <c r="AW621" s="8"/>
      <c r="AX621" s="8"/>
      <c r="AY621" s="90"/>
      <c r="AZ621" s="90"/>
      <c r="BA621" s="90"/>
      <c r="BB621" s="90"/>
      <c r="BC621" s="90"/>
      <c r="BD621" s="90"/>
      <c r="BE621" s="90"/>
      <c r="BF621" s="90"/>
    </row>
    <row r="622" spans="1:58" x14ac:dyDescent="0.2">
      <c r="A622" s="62" t="s">
        <v>12263</v>
      </c>
      <c r="B622" s="62" t="s">
        <v>12219</v>
      </c>
      <c r="C622" s="62"/>
      <c r="D622" s="62"/>
      <c r="E622" s="345" t="s">
        <v>14445</v>
      </c>
      <c r="F622" s="345" t="s">
        <v>8091</v>
      </c>
      <c r="G622" s="113">
        <v>1</v>
      </c>
      <c r="H622" s="113">
        <v>3</v>
      </c>
      <c r="I622" s="114"/>
      <c r="J622" s="114"/>
      <c r="K622" s="114"/>
      <c r="L622" s="81"/>
      <c r="M622" s="265" t="b">
        <f>NOT(ISERROR(ResultsInd[[#This Row],[Goal-A]]+ResultsInd[[#This Row],[Goal-B]]))</f>
        <v>1</v>
      </c>
      <c r="N622" s="265">
        <f>VALUE(ResultsInd[[#This Row],[Score-A]])</f>
        <v>1</v>
      </c>
      <c r="O622" s="265">
        <f>VALUE(ResultsInd[[#This Row],[Score-B]])</f>
        <v>3</v>
      </c>
      <c r="P622" s="265" t="e">
        <f ca="1">IF(AND(ResultsInd[[#This Row],[Category]]&lt;&gt;"",ResultsInd[[#This Row],[Player A]]&lt;&gt;""),COUNTIF(INDIRECT(ResultsInd[[#This Row],[Category]]&amp;"List[Retained Player Name]"),ResultsInd[[#This Row],[Player A]]),"")</f>
        <v>#REF!</v>
      </c>
      <c r="Q622" s="265" t="e">
        <f ca="1">IF(AND(ResultsInd[[#This Row],[Category]]&lt;&gt;"",ResultsInd[[#This Row],[Player B]]&lt;&gt;""),COUNTIF(INDIRECT(ResultsInd[[#This Row],[Category]]&amp;"List[Retained Player Name]"),ResultsInd[[#This Row],[Player B]]),"")</f>
        <v>#REF!</v>
      </c>
      <c r="R6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2" s="265" t="str">
        <f>IF(ResultsInd[[#This Row],[Score_OK]],IF(ResultsInd[[#This Row],[Stage]]="Groups",ResultsInd[[#This Row],[Category]]&amp;"-"&amp;IF(ResultsInd[[#This Row],[Player B]]="","",IF(ResultsInd[[#This Row],[Score-A]]=ResultsInd[[#This Row],[Score-B]],ResultsInd[[#This Row],[Player A]],"")),""),"")</f>
        <v/>
      </c>
      <c r="T622" s="265" t="str">
        <f>IF(ResultsInd[[#This Row],[Score_OK]],IF(ResultsInd[[#This Row],[Stage]]="Groups",ResultsInd[[#This Row],[Category]]&amp;"-"&amp;IF(ResultsInd[[#This Row],[Player B]]="","",IF(ResultsInd[[#This Row],[Score-A]]=ResultsInd[[#This Row],[Score-B]],ResultsInd[[#This Row],[Player B]],"")),""),"")</f>
        <v/>
      </c>
      <c r="U6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CONSOLATION-Jordan Bonte</v>
      </c>
      <c r="W62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2" s="264" t="e">
        <f>IF(ResultsInd[[#This Row],[Category]]="","",VLOOKUP(ResultsInd[[#This Row],[Stage]],$P$1:$V$9,MATCH(ResultsInd[[#This Row],[Category]],$Q$1:$V$1,0)+1,FALSE))</f>
        <v>#N/A</v>
      </c>
      <c r="Z622" s="264" t="e">
        <f>IF(ResultsInd[[#This Row],[Score_OK]],IF(ResultsInd[[#This Row],[Level]]="R",ResultsInd[[#This Row],[Category]]&amp;"-"&amp;IF(ResultsInd[[#This Row],[LoseInKO]]=ResultsInd[[#This Row],[Category]]&amp;"-"&amp;ResultsInd[[#This Row],[Player A]],ResultsInd[[#This Row],[Player B]],ResultsInd[[#This Row],[Player A]]),""),"")</f>
        <v>#N/A</v>
      </c>
      <c r="AB622" s="8"/>
      <c r="AC622" s="8"/>
      <c r="AE622" s="90"/>
      <c r="AF622" s="90"/>
      <c r="AP622" s="8"/>
      <c r="AQ622" s="8"/>
      <c r="AR622" s="8"/>
      <c r="AS622" s="8"/>
      <c r="AT622" s="8"/>
      <c r="AU622" s="8"/>
      <c r="AV622" s="8"/>
      <c r="AW622" s="8"/>
      <c r="AX622" s="8"/>
      <c r="AY622" s="90"/>
      <c r="AZ622" s="90"/>
      <c r="BA622" s="90"/>
      <c r="BB622" s="90"/>
      <c r="BC622" s="90"/>
      <c r="BD622" s="90"/>
      <c r="BE622" s="90"/>
      <c r="BF622" s="90"/>
    </row>
    <row r="623" spans="1:58" x14ac:dyDescent="0.2">
      <c r="A623" s="62" t="s">
        <v>12263</v>
      </c>
      <c r="B623" s="62" t="s">
        <v>12219</v>
      </c>
      <c r="C623" s="62"/>
      <c r="D623" s="62"/>
      <c r="E623" s="345" t="s">
        <v>9194</v>
      </c>
      <c r="F623" s="345" t="s">
        <v>8696</v>
      </c>
      <c r="G623" s="113">
        <v>4</v>
      </c>
      <c r="H623" s="113">
        <v>2</v>
      </c>
      <c r="I623" s="114"/>
      <c r="J623" s="114"/>
      <c r="K623" s="114"/>
      <c r="L623" s="81"/>
      <c r="M623" s="265" t="b">
        <f>NOT(ISERROR(ResultsInd[[#This Row],[Goal-A]]+ResultsInd[[#This Row],[Goal-B]]))</f>
        <v>1</v>
      </c>
      <c r="N623" s="265">
        <f>VALUE(ResultsInd[[#This Row],[Score-A]])</f>
        <v>4</v>
      </c>
      <c r="O623" s="265">
        <f>VALUE(ResultsInd[[#This Row],[Score-B]])</f>
        <v>2</v>
      </c>
      <c r="P623" s="265" t="e">
        <f ca="1">IF(AND(ResultsInd[[#This Row],[Category]]&lt;&gt;"",ResultsInd[[#This Row],[Player A]]&lt;&gt;""),COUNTIF(INDIRECT(ResultsInd[[#This Row],[Category]]&amp;"List[Retained Player Name]"),ResultsInd[[#This Row],[Player A]]),"")</f>
        <v>#REF!</v>
      </c>
      <c r="Q623" s="265" t="e">
        <f ca="1">IF(AND(ResultsInd[[#This Row],[Category]]&lt;&gt;"",ResultsInd[[#This Row],[Player B]]&lt;&gt;""),COUNTIF(INDIRECT(ResultsInd[[#This Row],[Category]]&amp;"List[Retained Player Name]"),ResultsInd[[#This Row],[Player B]]),"")</f>
        <v>#REF!</v>
      </c>
      <c r="R6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3" s="265" t="str">
        <f>IF(ResultsInd[[#This Row],[Score_OK]],IF(ResultsInd[[#This Row],[Stage]]="Groups",ResultsInd[[#This Row],[Category]]&amp;"-"&amp;IF(ResultsInd[[#This Row],[Player B]]="","",IF(ResultsInd[[#This Row],[Score-A]]=ResultsInd[[#This Row],[Score-B]],ResultsInd[[#This Row],[Player A]],"")),""),"")</f>
        <v/>
      </c>
      <c r="T623" s="265" t="str">
        <f>IF(ResultsInd[[#This Row],[Score_OK]],IF(ResultsInd[[#This Row],[Stage]]="Groups",ResultsInd[[#This Row],[Category]]&amp;"-"&amp;IF(ResultsInd[[#This Row],[Player B]]="","",IF(ResultsInd[[#This Row],[Score-A]]=ResultsInd[[#This Row],[Score-B]],ResultsInd[[#This Row],[Player B]],"")),""),"")</f>
        <v/>
      </c>
      <c r="U6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CONSOLATION-Jean-Marie Amberny</v>
      </c>
      <c r="W62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3" s="264" t="e">
        <f>IF(ResultsInd[[#This Row],[Category]]="","",VLOOKUP(ResultsInd[[#This Row],[Stage]],$P$1:$V$9,MATCH(ResultsInd[[#This Row],[Category]],$Q$1:$V$1,0)+1,FALSE))</f>
        <v>#N/A</v>
      </c>
      <c r="Z623" s="264" t="e">
        <f>IF(ResultsInd[[#This Row],[Score_OK]],IF(ResultsInd[[#This Row],[Level]]="R",ResultsInd[[#This Row],[Category]]&amp;"-"&amp;IF(ResultsInd[[#This Row],[LoseInKO]]=ResultsInd[[#This Row],[Category]]&amp;"-"&amp;ResultsInd[[#This Row],[Player A]],ResultsInd[[#This Row],[Player B]],ResultsInd[[#This Row],[Player A]]),""),"")</f>
        <v>#N/A</v>
      </c>
      <c r="AB623" s="8"/>
      <c r="AC623" s="8"/>
      <c r="AE623" s="90"/>
      <c r="AF623" s="90"/>
      <c r="AP623" s="8"/>
      <c r="AQ623" s="8"/>
      <c r="AR623" s="8"/>
      <c r="AS623" s="8"/>
      <c r="AT623" s="8"/>
      <c r="AU623" s="8"/>
      <c r="AV623" s="8"/>
      <c r="AW623" s="8"/>
      <c r="AX623" s="8"/>
      <c r="AY623" s="90"/>
      <c r="AZ623" s="90"/>
      <c r="BA623" s="90"/>
      <c r="BB623" s="90"/>
      <c r="BC623" s="90"/>
      <c r="BD623" s="90"/>
      <c r="BE623" s="90"/>
      <c r="BF623" s="90"/>
    </row>
    <row r="624" spans="1:58" x14ac:dyDescent="0.2">
      <c r="A624" s="62" t="s">
        <v>12263</v>
      </c>
      <c r="B624" s="62" t="s">
        <v>12219</v>
      </c>
      <c r="C624" s="62"/>
      <c r="D624" s="62"/>
      <c r="E624" s="345" t="s">
        <v>8539</v>
      </c>
      <c r="F624" s="345" t="s">
        <v>10359</v>
      </c>
      <c r="G624" s="113">
        <v>2</v>
      </c>
      <c r="H624" s="113">
        <v>1</v>
      </c>
      <c r="I624" s="114"/>
      <c r="J624" s="114"/>
      <c r="K624" s="114"/>
      <c r="L624" s="81"/>
      <c r="M624" s="265" t="b">
        <f>NOT(ISERROR(ResultsInd[[#This Row],[Goal-A]]+ResultsInd[[#This Row],[Goal-B]]))</f>
        <v>1</v>
      </c>
      <c r="N624" s="265">
        <f>VALUE(ResultsInd[[#This Row],[Score-A]])</f>
        <v>2</v>
      </c>
      <c r="O624" s="265">
        <f>VALUE(ResultsInd[[#This Row],[Score-B]])</f>
        <v>1</v>
      </c>
      <c r="P624" s="265" t="e">
        <f ca="1">IF(AND(ResultsInd[[#This Row],[Category]]&lt;&gt;"",ResultsInd[[#This Row],[Player A]]&lt;&gt;""),COUNTIF(INDIRECT(ResultsInd[[#This Row],[Category]]&amp;"List[Retained Player Name]"),ResultsInd[[#This Row],[Player A]]),"")</f>
        <v>#REF!</v>
      </c>
      <c r="Q624" s="265" t="e">
        <f ca="1">IF(AND(ResultsInd[[#This Row],[Category]]&lt;&gt;"",ResultsInd[[#This Row],[Player B]]&lt;&gt;""),COUNTIF(INDIRECT(ResultsInd[[#This Row],[Category]]&amp;"List[Retained Player Name]"),ResultsInd[[#This Row],[Player B]]),"")</f>
        <v>#REF!</v>
      </c>
      <c r="R6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4" s="265" t="str">
        <f>IF(ResultsInd[[#This Row],[Score_OK]],IF(ResultsInd[[#This Row],[Stage]]="Groups",ResultsInd[[#This Row],[Category]]&amp;"-"&amp;IF(ResultsInd[[#This Row],[Player B]]="","",IF(ResultsInd[[#This Row],[Score-A]]=ResultsInd[[#This Row],[Score-B]],ResultsInd[[#This Row],[Player A]],"")),""),"")</f>
        <v/>
      </c>
      <c r="T624" s="265" t="str">
        <f>IF(ResultsInd[[#This Row],[Score_OK]],IF(ResultsInd[[#This Row],[Stage]]="Groups",ResultsInd[[#This Row],[Category]]&amp;"-"&amp;IF(ResultsInd[[#This Row],[Player B]]="","",IF(ResultsInd[[#This Row],[Score-A]]=ResultsInd[[#This Row],[Score-B]],ResultsInd[[#This Row],[Player B]],"")),""),"")</f>
        <v/>
      </c>
      <c r="U6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CONSOLATION-Alessandro Arca</v>
      </c>
      <c r="W62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4" s="264" t="e">
        <f>IF(ResultsInd[[#This Row],[Category]]="","",VLOOKUP(ResultsInd[[#This Row],[Stage]],$P$1:$V$9,MATCH(ResultsInd[[#This Row],[Category]],$Q$1:$V$1,0)+1,FALSE))</f>
        <v>#N/A</v>
      </c>
      <c r="Z624" s="264" t="e">
        <f>IF(ResultsInd[[#This Row],[Score_OK]],IF(ResultsInd[[#This Row],[Level]]="R",ResultsInd[[#This Row],[Category]]&amp;"-"&amp;IF(ResultsInd[[#This Row],[LoseInKO]]=ResultsInd[[#This Row],[Category]]&amp;"-"&amp;ResultsInd[[#This Row],[Player A]],ResultsInd[[#This Row],[Player B]],ResultsInd[[#This Row],[Player A]]),""),"")</f>
        <v>#N/A</v>
      </c>
      <c r="AB624" s="8"/>
      <c r="AC624" s="8"/>
      <c r="AE624" s="90"/>
      <c r="AF624" s="90"/>
      <c r="AP624" s="8"/>
      <c r="AQ624" s="8"/>
      <c r="AR624" s="8"/>
      <c r="AS624" s="8"/>
      <c r="AT624" s="8"/>
      <c r="AU624" s="8"/>
      <c r="AV624" s="8"/>
      <c r="AW624" s="8"/>
      <c r="AX624" s="8"/>
      <c r="AY624" s="90"/>
      <c r="AZ624" s="90"/>
      <c r="BA624" s="90"/>
      <c r="BB624" s="90"/>
      <c r="BC624" s="90"/>
      <c r="BD624" s="90"/>
      <c r="BE624" s="90"/>
      <c r="BF624" s="90"/>
    </row>
    <row r="625" spans="1:58" x14ac:dyDescent="0.2">
      <c r="A625" s="62" t="s">
        <v>12263</v>
      </c>
      <c r="B625" s="62" t="s">
        <v>12219</v>
      </c>
      <c r="C625" s="62"/>
      <c r="D625" s="62"/>
      <c r="E625" s="345" t="s">
        <v>11270</v>
      </c>
      <c r="F625" s="345" t="s">
        <v>8107</v>
      </c>
      <c r="G625" s="113">
        <v>3</v>
      </c>
      <c r="H625" s="113">
        <v>0</v>
      </c>
      <c r="I625" s="114"/>
      <c r="J625" s="114"/>
      <c r="K625" s="114"/>
      <c r="L625" s="81"/>
      <c r="M625" s="265" t="b">
        <f>NOT(ISERROR(ResultsInd[[#This Row],[Goal-A]]+ResultsInd[[#This Row],[Goal-B]]))</f>
        <v>1</v>
      </c>
      <c r="N625" s="265">
        <f>VALUE(ResultsInd[[#This Row],[Score-A]])</f>
        <v>3</v>
      </c>
      <c r="O625" s="265">
        <f>VALUE(ResultsInd[[#This Row],[Score-B]])</f>
        <v>0</v>
      </c>
      <c r="P625" s="265" t="e">
        <f ca="1">IF(AND(ResultsInd[[#This Row],[Category]]&lt;&gt;"",ResultsInd[[#This Row],[Player A]]&lt;&gt;""),COUNTIF(INDIRECT(ResultsInd[[#This Row],[Category]]&amp;"List[Retained Player Name]"),ResultsInd[[#This Row],[Player A]]),"")</f>
        <v>#REF!</v>
      </c>
      <c r="Q625" s="265" t="e">
        <f ca="1">IF(AND(ResultsInd[[#This Row],[Category]]&lt;&gt;"",ResultsInd[[#This Row],[Player B]]&lt;&gt;""),COUNTIF(INDIRECT(ResultsInd[[#This Row],[Category]]&amp;"List[Retained Player Name]"),ResultsInd[[#This Row],[Player B]]),"")</f>
        <v>#REF!</v>
      </c>
      <c r="R6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5" s="265" t="str">
        <f>IF(ResultsInd[[#This Row],[Score_OK]],IF(ResultsInd[[#This Row],[Stage]]="Groups",ResultsInd[[#This Row],[Category]]&amp;"-"&amp;IF(ResultsInd[[#This Row],[Player B]]="","",IF(ResultsInd[[#This Row],[Score-A]]=ResultsInd[[#This Row],[Score-B]],ResultsInd[[#This Row],[Player A]],"")),""),"")</f>
        <v/>
      </c>
      <c r="T625" s="265" t="str">
        <f>IF(ResultsInd[[#This Row],[Score_OK]],IF(ResultsInd[[#This Row],[Stage]]="Groups",ResultsInd[[#This Row],[Category]]&amp;"-"&amp;IF(ResultsInd[[#This Row],[Player B]]="","",IF(ResultsInd[[#This Row],[Score-A]]=ResultsInd[[#This Row],[Score-B]],ResultsInd[[#This Row],[Player B]],"")),""),"")</f>
        <v/>
      </c>
      <c r="U6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CONSOLATION-Stéphane Lambert</v>
      </c>
      <c r="W62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5" s="264" t="e">
        <f>IF(ResultsInd[[#This Row],[Category]]="","",VLOOKUP(ResultsInd[[#This Row],[Stage]],$P$1:$V$9,MATCH(ResultsInd[[#This Row],[Category]],$Q$1:$V$1,0)+1,FALSE))</f>
        <v>#N/A</v>
      </c>
      <c r="Z625" s="264" t="e">
        <f>IF(ResultsInd[[#This Row],[Score_OK]],IF(ResultsInd[[#This Row],[Level]]="R",ResultsInd[[#This Row],[Category]]&amp;"-"&amp;IF(ResultsInd[[#This Row],[LoseInKO]]=ResultsInd[[#This Row],[Category]]&amp;"-"&amp;ResultsInd[[#This Row],[Player A]],ResultsInd[[#This Row],[Player B]],ResultsInd[[#This Row],[Player A]]),""),"")</f>
        <v>#N/A</v>
      </c>
      <c r="AB625" s="8"/>
      <c r="AC625" s="8"/>
      <c r="AE625" s="90"/>
      <c r="AF625" s="90"/>
      <c r="AP625" s="8"/>
      <c r="AQ625" s="8"/>
      <c r="AR625" s="8"/>
      <c r="AS625" s="8"/>
      <c r="AT625" s="8"/>
      <c r="AU625" s="8"/>
      <c r="AV625" s="8"/>
      <c r="AW625" s="8"/>
      <c r="AX625" s="8"/>
      <c r="AY625" s="90"/>
      <c r="AZ625" s="90"/>
      <c r="BA625" s="90"/>
      <c r="BB625" s="90"/>
      <c r="BC625" s="90"/>
      <c r="BD625" s="90"/>
      <c r="BE625" s="90"/>
      <c r="BF625" s="90"/>
    </row>
    <row r="626" spans="1:58" x14ac:dyDescent="0.2">
      <c r="A626" s="62" t="s">
        <v>12263</v>
      </c>
      <c r="B626" s="62" t="s">
        <v>12219</v>
      </c>
      <c r="C626" s="62"/>
      <c r="D626" s="62"/>
      <c r="E626" s="345" t="s">
        <v>8547</v>
      </c>
      <c r="F626" s="345" t="s">
        <v>8598</v>
      </c>
      <c r="G626" s="113">
        <v>1</v>
      </c>
      <c r="H626" s="113">
        <v>2</v>
      </c>
      <c r="I626" s="114"/>
      <c r="J626" s="114"/>
      <c r="K626" s="114"/>
      <c r="L626" s="81"/>
      <c r="M626" s="265" t="b">
        <f>NOT(ISERROR(ResultsInd[[#This Row],[Goal-A]]+ResultsInd[[#This Row],[Goal-B]]))</f>
        <v>1</v>
      </c>
      <c r="N626" s="265">
        <f>VALUE(ResultsInd[[#This Row],[Score-A]])</f>
        <v>1</v>
      </c>
      <c r="O626" s="265">
        <f>VALUE(ResultsInd[[#This Row],[Score-B]])</f>
        <v>2</v>
      </c>
      <c r="P626" s="265" t="e">
        <f ca="1">IF(AND(ResultsInd[[#This Row],[Category]]&lt;&gt;"",ResultsInd[[#This Row],[Player A]]&lt;&gt;""),COUNTIF(INDIRECT(ResultsInd[[#This Row],[Category]]&amp;"List[Retained Player Name]"),ResultsInd[[#This Row],[Player A]]),"")</f>
        <v>#REF!</v>
      </c>
      <c r="Q626" s="265" t="e">
        <f ca="1">IF(AND(ResultsInd[[#This Row],[Category]]&lt;&gt;"",ResultsInd[[#This Row],[Player B]]&lt;&gt;""),COUNTIF(INDIRECT(ResultsInd[[#This Row],[Category]]&amp;"List[Retained Player Name]"),ResultsInd[[#This Row],[Player B]]),"")</f>
        <v>#REF!</v>
      </c>
      <c r="R6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6" s="265" t="str">
        <f>IF(ResultsInd[[#This Row],[Score_OK]],IF(ResultsInd[[#This Row],[Stage]]="Groups",ResultsInd[[#This Row],[Category]]&amp;"-"&amp;IF(ResultsInd[[#This Row],[Player B]]="","",IF(ResultsInd[[#This Row],[Score-A]]=ResultsInd[[#This Row],[Score-B]],ResultsInd[[#This Row],[Player A]],"")),""),"")</f>
        <v/>
      </c>
      <c r="T626" s="265" t="str">
        <f>IF(ResultsInd[[#This Row],[Score_OK]],IF(ResultsInd[[#This Row],[Stage]]="Groups",ResultsInd[[#This Row],[Category]]&amp;"-"&amp;IF(ResultsInd[[#This Row],[Player B]]="","",IF(ResultsInd[[#This Row],[Score-A]]=ResultsInd[[#This Row],[Score-B]],ResultsInd[[#This Row],[Player B]],"")),""),"")</f>
        <v/>
      </c>
      <c r="U6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CONSOLATION-Jason Christopher</v>
      </c>
      <c r="W62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6" s="264" t="e">
        <f>IF(ResultsInd[[#This Row],[Category]]="","",VLOOKUP(ResultsInd[[#This Row],[Stage]],$P$1:$V$9,MATCH(ResultsInd[[#This Row],[Category]],$Q$1:$V$1,0)+1,FALSE))</f>
        <v>#N/A</v>
      </c>
      <c r="Z626" s="264" t="e">
        <f>IF(ResultsInd[[#This Row],[Score_OK]],IF(ResultsInd[[#This Row],[Level]]="R",ResultsInd[[#This Row],[Category]]&amp;"-"&amp;IF(ResultsInd[[#This Row],[LoseInKO]]=ResultsInd[[#This Row],[Category]]&amp;"-"&amp;ResultsInd[[#This Row],[Player A]],ResultsInd[[#This Row],[Player B]],ResultsInd[[#This Row],[Player A]]),""),"")</f>
        <v>#N/A</v>
      </c>
      <c r="AB626" s="8"/>
      <c r="AC626" s="8"/>
      <c r="AE626" s="90"/>
      <c r="AF626" s="90"/>
      <c r="AP626" s="8"/>
      <c r="AQ626" s="8"/>
      <c r="AR626" s="8"/>
      <c r="AS626" s="8"/>
      <c r="AT626" s="8"/>
      <c r="AU626" s="8"/>
      <c r="AV626" s="8"/>
      <c r="AW626" s="8"/>
      <c r="AX626" s="8"/>
      <c r="AY626" s="90"/>
      <c r="AZ626" s="90"/>
      <c r="BA626" s="90"/>
      <c r="BB626" s="90"/>
      <c r="BC626" s="90"/>
      <c r="BD626" s="90"/>
      <c r="BE626" s="90"/>
      <c r="BF626" s="90"/>
    </row>
    <row r="627" spans="1:58" x14ac:dyDescent="0.2">
      <c r="A627" s="62" t="s">
        <v>12263</v>
      </c>
      <c r="B627" s="62" t="s">
        <v>12219</v>
      </c>
      <c r="C627" s="62"/>
      <c r="D627" s="62"/>
      <c r="E627" s="345" t="s">
        <v>8108</v>
      </c>
      <c r="F627" s="345" t="s">
        <v>10451</v>
      </c>
      <c r="G627" s="113">
        <v>1</v>
      </c>
      <c r="H627" s="113">
        <v>0</v>
      </c>
      <c r="I627" s="114"/>
      <c r="J627" s="114"/>
      <c r="K627" s="114"/>
      <c r="L627" s="81"/>
      <c r="M627" s="265" t="b">
        <f>NOT(ISERROR(ResultsInd[[#This Row],[Goal-A]]+ResultsInd[[#This Row],[Goal-B]]))</f>
        <v>1</v>
      </c>
      <c r="N627" s="265">
        <f>VALUE(ResultsInd[[#This Row],[Score-A]])</f>
        <v>1</v>
      </c>
      <c r="O627" s="265">
        <f>VALUE(ResultsInd[[#This Row],[Score-B]])</f>
        <v>0</v>
      </c>
      <c r="P627" s="265" t="e">
        <f ca="1">IF(AND(ResultsInd[[#This Row],[Category]]&lt;&gt;"",ResultsInd[[#This Row],[Player A]]&lt;&gt;""),COUNTIF(INDIRECT(ResultsInd[[#This Row],[Category]]&amp;"List[Retained Player Name]"),ResultsInd[[#This Row],[Player A]]),"")</f>
        <v>#REF!</v>
      </c>
      <c r="Q627" s="265" t="e">
        <f ca="1">IF(AND(ResultsInd[[#This Row],[Category]]&lt;&gt;"",ResultsInd[[#This Row],[Player B]]&lt;&gt;""),COUNTIF(INDIRECT(ResultsInd[[#This Row],[Category]]&amp;"List[Retained Player Name]"),ResultsInd[[#This Row],[Player B]]),"")</f>
        <v>#REF!</v>
      </c>
      <c r="R6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7" s="265" t="str">
        <f>IF(ResultsInd[[#This Row],[Score_OK]],IF(ResultsInd[[#This Row],[Stage]]="Groups",ResultsInd[[#This Row],[Category]]&amp;"-"&amp;IF(ResultsInd[[#This Row],[Player B]]="","",IF(ResultsInd[[#This Row],[Score-A]]=ResultsInd[[#This Row],[Score-B]],ResultsInd[[#This Row],[Player A]],"")),""),"")</f>
        <v/>
      </c>
      <c r="T627" s="265" t="str">
        <f>IF(ResultsInd[[#This Row],[Score_OK]],IF(ResultsInd[[#This Row],[Stage]]="Groups",ResultsInd[[#This Row],[Category]]&amp;"-"&amp;IF(ResultsInd[[#This Row],[Player B]]="","",IF(ResultsInd[[#This Row],[Score-A]]=ResultsInd[[#This Row],[Score-B]],ResultsInd[[#This Row],[Player B]],"")),""),"")</f>
        <v/>
      </c>
      <c r="U6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CONSOLATION-René Bolte</v>
      </c>
      <c r="W62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7" s="264" t="e">
        <f>IF(ResultsInd[[#This Row],[Category]]="","",VLOOKUP(ResultsInd[[#This Row],[Stage]],$P$1:$V$9,MATCH(ResultsInd[[#This Row],[Category]],$Q$1:$V$1,0)+1,FALSE))</f>
        <v>#N/A</v>
      </c>
      <c r="Z627" s="264" t="e">
        <f>IF(ResultsInd[[#This Row],[Score_OK]],IF(ResultsInd[[#This Row],[Level]]="R",ResultsInd[[#This Row],[Category]]&amp;"-"&amp;IF(ResultsInd[[#This Row],[LoseInKO]]=ResultsInd[[#This Row],[Category]]&amp;"-"&amp;ResultsInd[[#This Row],[Player A]],ResultsInd[[#This Row],[Player B]],ResultsInd[[#This Row],[Player A]]),""),"")</f>
        <v>#N/A</v>
      </c>
      <c r="AB627" s="8"/>
      <c r="AC627" s="8"/>
      <c r="AE627" s="90"/>
      <c r="AF627" s="90"/>
      <c r="AP627" s="8"/>
      <c r="AQ627" s="8"/>
      <c r="AR627" s="8"/>
      <c r="AS627" s="8"/>
      <c r="AT627" s="8"/>
      <c r="AU627" s="8"/>
      <c r="AV627" s="8"/>
      <c r="AW627" s="8"/>
      <c r="AX627" s="8"/>
      <c r="AY627" s="90"/>
      <c r="AZ627" s="90"/>
      <c r="BA627" s="90"/>
      <c r="BB627" s="90"/>
      <c r="BC627" s="90"/>
      <c r="BD627" s="90"/>
      <c r="BE627" s="90"/>
      <c r="BF627" s="90"/>
    </row>
    <row r="628" spans="1:58" x14ac:dyDescent="0.2">
      <c r="A628" s="62" t="s">
        <v>12263</v>
      </c>
      <c r="B628" s="62" t="s">
        <v>12219</v>
      </c>
      <c r="C628" s="62"/>
      <c r="D628" s="62"/>
      <c r="E628" s="345" t="s">
        <v>8093</v>
      </c>
      <c r="F628" s="345" t="s">
        <v>8747</v>
      </c>
      <c r="G628" s="113">
        <v>3</v>
      </c>
      <c r="H628" s="113">
        <v>1</v>
      </c>
      <c r="I628" s="114"/>
      <c r="J628" s="114"/>
      <c r="K628" s="114"/>
      <c r="L628" s="81"/>
      <c r="M628" s="265" t="b">
        <f>NOT(ISERROR(ResultsInd[[#This Row],[Goal-A]]+ResultsInd[[#This Row],[Goal-B]]))</f>
        <v>1</v>
      </c>
      <c r="N628" s="265">
        <f>VALUE(ResultsInd[[#This Row],[Score-A]])</f>
        <v>3</v>
      </c>
      <c r="O628" s="265">
        <f>VALUE(ResultsInd[[#This Row],[Score-B]])</f>
        <v>1</v>
      </c>
      <c r="P628" s="265" t="e">
        <f ca="1">IF(AND(ResultsInd[[#This Row],[Category]]&lt;&gt;"",ResultsInd[[#This Row],[Player A]]&lt;&gt;""),COUNTIF(INDIRECT(ResultsInd[[#This Row],[Category]]&amp;"List[Retained Player Name]"),ResultsInd[[#This Row],[Player A]]),"")</f>
        <v>#REF!</v>
      </c>
      <c r="Q628" s="265" t="e">
        <f ca="1">IF(AND(ResultsInd[[#This Row],[Category]]&lt;&gt;"",ResultsInd[[#This Row],[Player B]]&lt;&gt;""),COUNTIF(INDIRECT(ResultsInd[[#This Row],[Category]]&amp;"List[Retained Player Name]"),ResultsInd[[#This Row],[Player B]]),"")</f>
        <v>#REF!</v>
      </c>
      <c r="R6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8" s="265" t="str">
        <f>IF(ResultsInd[[#This Row],[Score_OK]],IF(ResultsInd[[#This Row],[Stage]]="Groups",ResultsInd[[#This Row],[Category]]&amp;"-"&amp;IF(ResultsInd[[#This Row],[Player B]]="","",IF(ResultsInd[[#This Row],[Score-A]]=ResultsInd[[#This Row],[Score-B]],ResultsInd[[#This Row],[Player A]],"")),""),"")</f>
        <v/>
      </c>
      <c r="T628" s="265" t="str">
        <f>IF(ResultsInd[[#This Row],[Score_OK]],IF(ResultsInd[[#This Row],[Stage]]="Groups",ResultsInd[[#This Row],[Category]]&amp;"-"&amp;IF(ResultsInd[[#This Row],[Player B]]="","",IF(ResultsInd[[#This Row],[Score-A]]=ResultsInd[[#This Row],[Score-B]],ResultsInd[[#This Row],[Player B]],"")),""),"")</f>
        <v/>
      </c>
      <c r="U6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CONSOLATION-Jose Luis Bonavia</v>
      </c>
      <c r="W62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8" s="264" t="e">
        <f>IF(ResultsInd[[#This Row],[Category]]="","",VLOOKUP(ResultsInd[[#This Row],[Stage]],$P$1:$V$9,MATCH(ResultsInd[[#This Row],[Category]],$Q$1:$V$1,0)+1,FALSE))</f>
        <v>#N/A</v>
      </c>
      <c r="Z628" s="264" t="e">
        <f>IF(ResultsInd[[#This Row],[Score_OK]],IF(ResultsInd[[#This Row],[Level]]="R",ResultsInd[[#This Row],[Category]]&amp;"-"&amp;IF(ResultsInd[[#This Row],[LoseInKO]]=ResultsInd[[#This Row],[Category]]&amp;"-"&amp;ResultsInd[[#This Row],[Player A]],ResultsInd[[#This Row],[Player B]],ResultsInd[[#This Row],[Player A]]),""),"")</f>
        <v>#N/A</v>
      </c>
      <c r="AB628" s="8"/>
      <c r="AC628" s="8"/>
      <c r="AE628" s="90"/>
      <c r="AF628" s="90"/>
      <c r="AP628" s="8"/>
      <c r="AQ628" s="8"/>
      <c r="AR628" s="8"/>
      <c r="AS628" s="8"/>
      <c r="AT628" s="8"/>
      <c r="AU628" s="8"/>
      <c r="AV628" s="8"/>
      <c r="AW628" s="8"/>
      <c r="AX628" s="8"/>
      <c r="AY628" s="90"/>
      <c r="AZ628" s="90"/>
      <c r="BA628" s="90"/>
      <c r="BB628" s="90"/>
      <c r="BC628" s="90"/>
      <c r="BD628" s="90"/>
      <c r="BE628" s="90"/>
      <c r="BF628" s="90"/>
    </row>
    <row r="629" spans="1:58" x14ac:dyDescent="0.2">
      <c r="A629" s="62" t="s">
        <v>12263</v>
      </c>
      <c r="B629" s="62" t="s">
        <v>12219</v>
      </c>
      <c r="C629" s="62"/>
      <c r="D629" s="62"/>
      <c r="E629" s="345" t="s">
        <v>8113</v>
      </c>
      <c r="F629" s="345" t="s">
        <v>8139</v>
      </c>
      <c r="G629" s="113">
        <v>1</v>
      </c>
      <c r="H629" s="113">
        <v>1</v>
      </c>
      <c r="I629" s="114"/>
      <c r="J629" s="114">
        <v>1</v>
      </c>
      <c r="K629" s="114">
        <v>2</v>
      </c>
      <c r="L629" s="81"/>
      <c r="M629" s="265" t="b">
        <f>NOT(ISERROR(ResultsInd[[#This Row],[Goal-A]]+ResultsInd[[#This Row],[Goal-B]]))</f>
        <v>1</v>
      </c>
      <c r="N629" s="265">
        <f>VALUE(ResultsInd[[#This Row],[Score-A]])</f>
        <v>1</v>
      </c>
      <c r="O629" s="265">
        <f>VALUE(ResultsInd[[#This Row],[Score-B]])</f>
        <v>1</v>
      </c>
      <c r="P629" s="265" t="e">
        <f ca="1">IF(AND(ResultsInd[[#This Row],[Category]]&lt;&gt;"",ResultsInd[[#This Row],[Player A]]&lt;&gt;""),COUNTIF(INDIRECT(ResultsInd[[#This Row],[Category]]&amp;"List[Retained Player Name]"),ResultsInd[[#This Row],[Player A]]),"")</f>
        <v>#REF!</v>
      </c>
      <c r="Q629" s="265" t="e">
        <f ca="1">IF(AND(ResultsInd[[#This Row],[Category]]&lt;&gt;"",ResultsInd[[#This Row],[Player B]]&lt;&gt;""),COUNTIF(INDIRECT(ResultsInd[[#This Row],[Category]]&amp;"List[Retained Player Name]"),ResultsInd[[#This Row],[Player B]]),"")</f>
        <v>#REF!</v>
      </c>
      <c r="R6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9" s="265" t="str">
        <f>IF(ResultsInd[[#This Row],[Score_OK]],IF(ResultsInd[[#This Row],[Stage]]="Groups",ResultsInd[[#This Row],[Category]]&amp;"-"&amp;IF(ResultsInd[[#This Row],[Player B]]="","",IF(ResultsInd[[#This Row],[Score-A]]=ResultsInd[[#This Row],[Score-B]],ResultsInd[[#This Row],[Player A]],"")),""),"")</f>
        <v/>
      </c>
      <c r="T629" s="265" t="str">
        <f>IF(ResultsInd[[#This Row],[Score_OK]],IF(ResultsInd[[#This Row],[Stage]]="Groups",ResultsInd[[#This Row],[Category]]&amp;"-"&amp;IF(ResultsInd[[#This Row],[Player B]]="","",IF(ResultsInd[[#This Row],[Score-A]]=ResultsInd[[#This Row],[Score-B]],ResultsInd[[#This Row],[Player B]],"")),""),"")</f>
        <v/>
      </c>
      <c r="U6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CONSOLATION-Geert Leys</v>
      </c>
      <c r="W62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2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29" s="264" t="e">
        <f>IF(ResultsInd[[#This Row],[Category]]="","",VLOOKUP(ResultsInd[[#This Row],[Stage]],$P$1:$V$9,MATCH(ResultsInd[[#This Row],[Category]],$Q$1:$V$1,0)+1,FALSE))</f>
        <v>#N/A</v>
      </c>
      <c r="Z629" s="264" t="e">
        <f>IF(ResultsInd[[#This Row],[Score_OK]],IF(ResultsInd[[#This Row],[Level]]="R",ResultsInd[[#This Row],[Category]]&amp;"-"&amp;IF(ResultsInd[[#This Row],[LoseInKO]]=ResultsInd[[#This Row],[Category]]&amp;"-"&amp;ResultsInd[[#This Row],[Player A]],ResultsInd[[#This Row],[Player B]],ResultsInd[[#This Row],[Player A]]),""),"")</f>
        <v>#N/A</v>
      </c>
      <c r="AB629" s="8"/>
      <c r="AC629" s="8"/>
      <c r="AE629" s="90"/>
      <c r="AF629" s="90"/>
      <c r="AP629" s="8"/>
      <c r="AQ629" s="8"/>
      <c r="AR629" s="8"/>
      <c r="AS629" s="8"/>
      <c r="AT629" s="8"/>
      <c r="AU629" s="8"/>
      <c r="AV629" s="8"/>
      <c r="AW629" s="8"/>
      <c r="AX629" s="8"/>
      <c r="AY629" s="90"/>
      <c r="AZ629" s="90"/>
      <c r="BA629" s="90"/>
      <c r="BB629" s="90"/>
      <c r="BC629" s="90"/>
      <c r="BD629" s="90"/>
      <c r="BE629" s="90"/>
      <c r="BF629" s="90"/>
    </row>
    <row r="630" spans="1:58" x14ac:dyDescent="0.2">
      <c r="A630" s="62" t="s">
        <v>12263</v>
      </c>
      <c r="B630" s="62" t="s">
        <v>12219</v>
      </c>
      <c r="C630" s="62"/>
      <c r="D630" s="62"/>
      <c r="E630" s="345" t="s">
        <v>8554</v>
      </c>
      <c r="F630" s="345" t="s">
        <v>11908</v>
      </c>
      <c r="G630" s="113">
        <v>0</v>
      </c>
      <c r="H630" s="113">
        <v>3</v>
      </c>
      <c r="I630" s="114"/>
      <c r="J630" s="114"/>
      <c r="K630" s="114"/>
      <c r="L630" s="81"/>
      <c r="M630" s="265" t="b">
        <f>NOT(ISERROR(ResultsInd[[#This Row],[Goal-A]]+ResultsInd[[#This Row],[Goal-B]]))</f>
        <v>1</v>
      </c>
      <c r="N630" s="265">
        <f>VALUE(ResultsInd[[#This Row],[Score-A]])</f>
        <v>0</v>
      </c>
      <c r="O630" s="265">
        <f>VALUE(ResultsInd[[#This Row],[Score-B]])</f>
        <v>3</v>
      </c>
      <c r="P630" s="265" t="e">
        <f ca="1">IF(AND(ResultsInd[[#This Row],[Category]]&lt;&gt;"",ResultsInd[[#This Row],[Player A]]&lt;&gt;""),COUNTIF(INDIRECT(ResultsInd[[#This Row],[Category]]&amp;"List[Retained Player Name]"),ResultsInd[[#This Row],[Player A]]),"")</f>
        <v>#REF!</v>
      </c>
      <c r="Q630" s="265" t="e">
        <f ca="1">IF(AND(ResultsInd[[#This Row],[Category]]&lt;&gt;"",ResultsInd[[#This Row],[Player B]]&lt;&gt;""),COUNTIF(INDIRECT(ResultsInd[[#This Row],[Category]]&amp;"List[Retained Player Name]"),ResultsInd[[#This Row],[Player B]]),"")</f>
        <v>#REF!</v>
      </c>
      <c r="R6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0" s="265" t="str">
        <f>IF(ResultsInd[[#This Row],[Score_OK]],IF(ResultsInd[[#This Row],[Stage]]="Groups",ResultsInd[[#This Row],[Category]]&amp;"-"&amp;IF(ResultsInd[[#This Row],[Player B]]="","",IF(ResultsInd[[#This Row],[Score-A]]=ResultsInd[[#This Row],[Score-B]],ResultsInd[[#This Row],[Player A]],"")),""),"")</f>
        <v/>
      </c>
      <c r="T630" s="265" t="str">
        <f>IF(ResultsInd[[#This Row],[Score_OK]],IF(ResultsInd[[#This Row],[Stage]]="Groups",ResultsInd[[#This Row],[Category]]&amp;"-"&amp;IF(ResultsInd[[#This Row],[Player B]]="","",IF(ResultsInd[[#This Row],[Score-A]]=ResultsInd[[#This Row],[Score-B]],ResultsInd[[#This Row],[Player B]],"")),""),"")</f>
        <v/>
      </c>
      <c r="U6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CONSOLATION-Alan Lee</v>
      </c>
      <c r="W63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3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30" s="264" t="e">
        <f>IF(ResultsInd[[#This Row],[Category]]="","",VLOOKUP(ResultsInd[[#This Row],[Stage]],$P$1:$V$9,MATCH(ResultsInd[[#This Row],[Category]],$Q$1:$V$1,0)+1,FALSE))</f>
        <v>#N/A</v>
      </c>
      <c r="Z630" s="264" t="e">
        <f>IF(ResultsInd[[#This Row],[Score_OK]],IF(ResultsInd[[#This Row],[Level]]="R",ResultsInd[[#This Row],[Category]]&amp;"-"&amp;IF(ResultsInd[[#This Row],[LoseInKO]]=ResultsInd[[#This Row],[Category]]&amp;"-"&amp;ResultsInd[[#This Row],[Player A]],ResultsInd[[#This Row],[Player B]],ResultsInd[[#This Row],[Player A]]),""),"")</f>
        <v>#N/A</v>
      </c>
      <c r="AB630" s="8"/>
      <c r="AC630" s="8"/>
      <c r="AE630" s="90"/>
      <c r="AF630" s="90"/>
      <c r="AP630" s="8"/>
      <c r="AQ630" s="8"/>
      <c r="AR630" s="8"/>
      <c r="AS630" s="8"/>
      <c r="AT630" s="8"/>
      <c r="AU630" s="8"/>
      <c r="AV630" s="8"/>
      <c r="AW630" s="8"/>
      <c r="AX630" s="8"/>
      <c r="AY630" s="90"/>
      <c r="AZ630" s="90"/>
      <c r="BA630" s="90"/>
      <c r="BB630" s="90"/>
      <c r="BC630" s="90"/>
      <c r="BD630" s="90"/>
      <c r="BE630" s="90"/>
      <c r="BF630" s="90"/>
    </row>
    <row r="631" spans="1:58" x14ac:dyDescent="0.2">
      <c r="A631" s="62" t="s">
        <v>12263</v>
      </c>
      <c r="B631" s="62" t="s">
        <v>12219</v>
      </c>
      <c r="C631" s="62"/>
      <c r="D631" s="62"/>
      <c r="E631" s="345" t="s">
        <v>9229</v>
      </c>
      <c r="F631" s="345" t="s">
        <v>10886</v>
      </c>
      <c r="G631" s="113">
        <v>5</v>
      </c>
      <c r="H631" s="113">
        <v>1</v>
      </c>
      <c r="I631" s="114"/>
      <c r="J631" s="114"/>
      <c r="K631" s="114"/>
      <c r="L631" s="81"/>
      <c r="M631" s="265" t="b">
        <f>NOT(ISERROR(ResultsInd[[#This Row],[Goal-A]]+ResultsInd[[#This Row],[Goal-B]]))</f>
        <v>1</v>
      </c>
      <c r="N631" s="265">
        <f>VALUE(ResultsInd[[#This Row],[Score-A]])</f>
        <v>5</v>
      </c>
      <c r="O631" s="265">
        <f>VALUE(ResultsInd[[#This Row],[Score-B]])</f>
        <v>1</v>
      </c>
      <c r="P631" s="265" t="e">
        <f ca="1">IF(AND(ResultsInd[[#This Row],[Category]]&lt;&gt;"",ResultsInd[[#This Row],[Player A]]&lt;&gt;""),COUNTIF(INDIRECT(ResultsInd[[#This Row],[Category]]&amp;"List[Retained Player Name]"),ResultsInd[[#This Row],[Player A]]),"")</f>
        <v>#REF!</v>
      </c>
      <c r="Q631" s="265" t="e">
        <f ca="1">IF(AND(ResultsInd[[#This Row],[Category]]&lt;&gt;"",ResultsInd[[#This Row],[Player B]]&lt;&gt;""),COUNTIF(INDIRECT(ResultsInd[[#This Row],[Category]]&amp;"List[Retained Player Name]"),ResultsInd[[#This Row],[Player B]]),"")</f>
        <v>#REF!</v>
      </c>
      <c r="R6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1" s="265" t="str">
        <f>IF(ResultsInd[[#This Row],[Score_OK]],IF(ResultsInd[[#This Row],[Stage]]="Groups",ResultsInd[[#This Row],[Category]]&amp;"-"&amp;IF(ResultsInd[[#This Row],[Player B]]="","",IF(ResultsInd[[#This Row],[Score-A]]=ResultsInd[[#This Row],[Score-B]],ResultsInd[[#This Row],[Player A]],"")),""),"")</f>
        <v/>
      </c>
      <c r="T631" s="265" t="str">
        <f>IF(ResultsInd[[#This Row],[Score_OK]],IF(ResultsInd[[#This Row],[Stage]]="Groups",ResultsInd[[#This Row],[Category]]&amp;"-"&amp;IF(ResultsInd[[#This Row],[Player B]]="","",IF(ResultsInd[[#This Row],[Score-A]]=ResultsInd[[#This Row],[Score-B]],ResultsInd[[#This Row],[Player B]],"")),""),"")</f>
        <v/>
      </c>
      <c r="U6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CONSOLATION-Darren Barnes</v>
      </c>
      <c r="W63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3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31" s="264" t="e">
        <f>IF(ResultsInd[[#This Row],[Category]]="","",VLOOKUP(ResultsInd[[#This Row],[Stage]],$P$1:$V$9,MATCH(ResultsInd[[#This Row],[Category]],$Q$1:$V$1,0)+1,FALSE))</f>
        <v>#N/A</v>
      </c>
      <c r="Z631" s="264" t="e">
        <f>IF(ResultsInd[[#This Row],[Score_OK]],IF(ResultsInd[[#This Row],[Level]]="R",ResultsInd[[#This Row],[Category]]&amp;"-"&amp;IF(ResultsInd[[#This Row],[LoseInKO]]=ResultsInd[[#This Row],[Category]]&amp;"-"&amp;ResultsInd[[#This Row],[Player A]],ResultsInd[[#This Row],[Player B]],ResultsInd[[#This Row],[Player A]]),""),"")</f>
        <v>#N/A</v>
      </c>
      <c r="AB631" s="8"/>
      <c r="AC631" s="8"/>
      <c r="AE631" s="90"/>
      <c r="AF631" s="90"/>
      <c r="AP631" s="8"/>
      <c r="AQ631" s="8"/>
      <c r="AR631" s="8"/>
      <c r="AS631" s="8"/>
      <c r="AT631" s="8"/>
      <c r="AU631" s="8"/>
      <c r="AV631" s="8"/>
      <c r="AW631" s="8"/>
      <c r="AX631" s="8"/>
      <c r="AY631" s="90"/>
      <c r="AZ631" s="90"/>
      <c r="BA631" s="90"/>
      <c r="BB631" s="90"/>
      <c r="BC631" s="90"/>
      <c r="BD631" s="90"/>
      <c r="BE631" s="90"/>
      <c r="BF631" s="90"/>
    </row>
    <row r="632" spans="1:58" x14ac:dyDescent="0.2">
      <c r="A632" s="62" t="s">
        <v>1177</v>
      </c>
      <c r="B632" s="62" t="s">
        <v>12215</v>
      </c>
      <c r="C632" s="62"/>
      <c r="D632" s="62"/>
      <c r="E632" s="345" t="s">
        <v>12392</v>
      </c>
      <c r="F632" s="345" t="s">
        <v>8196</v>
      </c>
      <c r="G632" s="113">
        <v>2</v>
      </c>
      <c r="H632" s="113">
        <v>0</v>
      </c>
      <c r="I632" s="114"/>
      <c r="J632" s="114"/>
      <c r="K632" s="114"/>
      <c r="L632" s="81"/>
      <c r="M632" s="265" t="b">
        <f>NOT(ISERROR(ResultsInd[[#This Row],[Goal-A]]+ResultsInd[[#This Row],[Goal-B]]))</f>
        <v>1</v>
      </c>
      <c r="N632" s="265">
        <f>VALUE(ResultsInd[[#This Row],[Score-A]])</f>
        <v>2</v>
      </c>
      <c r="O632" s="265">
        <f>VALUE(ResultsInd[[#This Row],[Score-B]])</f>
        <v>0</v>
      </c>
      <c r="P632" s="265">
        <f ca="1">IF(AND(ResultsInd[[#This Row],[Category]]&lt;&gt;"",ResultsInd[[#This Row],[Player A]]&lt;&gt;""),COUNTIF(INDIRECT(ResultsInd[[#This Row],[Category]]&amp;"List[Retained Player Name]"),ResultsInd[[#This Row],[Player A]]),"")</f>
        <v>1</v>
      </c>
      <c r="Q632" s="265">
        <f ca="1">IF(AND(ResultsInd[[#This Row],[Category]]&lt;&gt;"",ResultsInd[[#This Row],[Player B]]&lt;&gt;""),COUNTIF(INDIRECT(ResultsInd[[#This Row],[Category]]&amp;"List[Retained Player Name]"),ResultsInd[[#This Row],[Player B]]),"")</f>
        <v>1</v>
      </c>
      <c r="R6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2" s="265" t="str">
        <f>IF(ResultsInd[[#This Row],[Score_OK]],IF(ResultsInd[[#This Row],[Stage]]="Groups",ResultsInd[[#This Row],[Category]]&amp;"-"&amp;IF(ResultsInd[[#This Row],[Player B]]="","",IF(ResultsInd[[#This Row],[Score-A]]=ResultsInd[[#This Row],[Score-B]],ResultsInd[[#This Row],[Player A]],"")),""),"")</f>
        <v/>
      </c>
      <c r="T632" s="265" t="str">
        <f>IF(ResultsInd[[#This Row],[Score_OK]],IF(ResultsInd[[#This Row],[Stage]]="Groups",ResultsInd[[#This Row],[Category]]&amp;"-"&amp;IF(ResultsInd[[#This Row],[Player B]]="","",IF(ResultsInd[[#This Row],[Score-A]]=ResultsInd[[#This Row],[Score-B]],ResultsInd[[#This Row],[Player B]],"")),""),"")</f>
        <v/>
      </c>
      <c r="U6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U12-Mael Denne</v>
      </c>
      <c r="W6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32" s="264" t="str">
        <f>IF(ResultsInd[[#This Row],[Category]]="","",VLOOKUP(ResultsInd[[#This Row],[Stage]],$P$1:$V$9,MATCH(ResultsInd[[#This Row],[Category]],$Q$1:$V$1,0)+1,FALSE))</f>
        <v>L16</v>
      </c>
      <c r="Z632" s="264" t="str">
        <f>IF(ResultsInd[[#This Row],[Score_OK]],IF(ResultsInd[[#This Row],[Level]]="R",ResultsInd[[#This Row],[Category]]&amp;"-"&amp;IF(ResultsInd[[#This Row],[LoseInKO]]=ResultsInd[[#This Row],[Category]]&amp;"-"&amp;ResultsInd[[#This Row],[Player A]],ResultsInd[[#This Row],[Player B]],ResultsInd[[#This Row],[Player A]]),""),"")</f>
        <v/>
      </c>
      <c r="AB632" s="8"/>
      <c r="AC632" s="8"/>
      <c r="AE632" s="90"/>
      <c r="AF632" s="90"/>
      <c r="AP632" s="8"/>
      <c r="AQ632" s="8"/>
      <c r="AR632" s="8"/>
      <c r="AS632" s="8"/>
      <c r="AT632" s="8"/>
      <c r="AU632" s="8"/>
      <c r="AV632" s="8"/>
      <c r="AW632" s="8"/>
      <c r="AX632" s="8"/>
      <c r="AY632" s="90"/>
      <c r="AZ632" s="90"/>
      <c r="BA632" s="90"/>
      <c r="BB632" s="90"/>
      <c r="BC632" s="90"/>
      <c r="BD632" s="90"/>
      <c r="BE632" s="90"/>
      <c r="BF632" s="90"/>
    </row>
    <row r="633" spans="1:58" x14ac:dyDescent="0.2">
      <c r="A633" s="62" t="s">
        <v>1177</v>
      </c>
      <c r="B633" s="62" t="s">
        <v>12215</v>
      </c>
      <c r="C633" s="62"/>
      <c r="D633" s="62"/>
      <c r="E633" s="345" t="s">
        <v>12390</v>
      </c>
      <c r="F633" s="345" t="s">
        <v>12380</v>
      </c>
      <c r="G633" s="113">
        <v>2</v>
      </c>
      <c r="H633" s="113">
        <v>0</v>
      </c>
      <c r="I633" s="114"/>
      <c r="J633" s="114"/>
      <c r="K633" s="114"/>
      <c r="L633" s="81"/>
      <c r="M633" s="265" t="b">
        <f>NOT(ISERROR(ResultsInd[[#This Row],[Goal-A]]+ResultsInd[[#This Row],[Goal-B]]))</f>
        <v>1</v>
      </c>
      <c r="N633" s="265">
        <f>VALUE(ResultsInd[[#This Row],[Score-A]])</f>
        <v>2</v>
      </c>
      <c r="O633" s="265">
        <f>VALUE(ResultsInd[[#This Row],[Score-B]])</f>
        <v>0</v>
      </c>
      <c r="P633" s="265">
        <f ca="1">IF(AND(ResultsInd[[#This Row],[Category]]&lt;&gt;"",ResultsInd[[#This Row],[Player A]]&lt;&gt;""),COUNTIF(INDIRECT(ResultsInd[[#This Row],[Category]]&amp;"List[Retained Player Name]"),ResultsInd[[#This Row],[Player A]]),"")</f>
        <v>1</v>
      </c>
      <c r="Q633" s="265">
        <f ca="1">IF(AND(ResultsInd[[#This Row],[Category]]&lt;&gt;"",ResultsInd[[#This Row],[Player B]]&lt;&gt;""),COUNTIF(INDIRECT(ResultsInd[[#This Row],[Category]]&amp;"List[Retained Player Name]"),ResultsInd[[#This Row],[Player B]]),"")</f>
        <v>1</v>
      </c>
      <c r="R6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3" s="265" t="str">
        <f>IF(ResultsInd[[#This Row],[Score_OK]],IF(ResultsInd[[#This Row],[Stage]]="Groups",ResultsInd[[#This Row],[Category]]&amp;"-"&amp;IF(ResultsInd[[#This Row],[Player B]]="","",IF(ResultsInd[[#This Row],[Score-A]]=ResultsInd[[#This Row],[Score-B]],ResultsInd[[#This Row],[Player A]],"")),""),"")</f>
        <v/>
      </c>
      <c r="T633" s="265" t="str">
        <f>IF(ResultsInd[[#This Row],[Score_OK]],IF(ResultsInd[[#This Row],[Stage]]="Groups",ResultsInd[[#This Row],[Category]]&amp;"-"&amp;IF(ResultsInd[[#This Row],[Player B]]="","",IF(ResultsInd[[#This Row],[Score-A]]=ResultsInd[[#This Row],[Score-B]],ResultsInd[[#This Row],[Player B]],"")),""),"")</f>
        <v/>
      </c>
      <c r="U6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U12-Mathis Goffin</v>
      </c>
      <c r="W6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33" s="264" t="str">
        <f>IF(ResultsInd[[#This Row],[Category]]="","",VLOOKUP(ResultsInd[[#This Row],[Stage]],$P$1:$V$9,MATCH(ResultsInd[[#This Row],[Category]],$Q$1:$V$1,0)+1,FALSE))</f>
        <v>L16</v>
      </c>
      <c r="Z633" s="264" t="str">
        <f>IF(ResultsInd[[#This Row],[Score_OK]],IF(ResultsInd[[#This Row],[Level]]="R",ResultsInd[[#This Row],[Category]]&amp;"-"&amp;IF(ResultsInd[[#This Row],[LoseInKO]]=ResultsInd[[#This Row],[Category]]&amp;"-"&amp;ResultsInd[[#This Row],[Player A]],ResultsInd[[#This Row],[Player B]],ResultsInd[[#This Row],[Player A]]),""),"")</f>
        <v/>
      </c>
      <c r="AB633" s="8"/>
      <c r="AC633" s="8"/>
      <c r="AE633" s="90"/>
      <c r="AF633" s="90"/>
      <c r="AP633" s="8"/>
      <c r="AQ633" s="8"/>
      <c r="AR633" s="8"/>
      <c r="AS633" s="8"/>
      <c r="AT633" s="8"/>
      <c r="AU633" s="8"/>
      <c r="AV633" s="8"/>
      <c r="AW633" s="8"/>
      <c r="AX633" s="8"/>
      <c r="AY633" s="90"/>
      <c r="AZ633" s="90"/>
      <c r="BA633" s="90"/>
      <c r="BB633" s="90"/>
      <c r="BC633" s="90"/>
      <c r="BD633" s="90"/>
      <c r="BE633" s="90"/>
      <c r="BF633" s="90"/>
    </row>
    <row r="634" spans="1:58" x14ac:dyDescent="0.2">
      <c r="A634" s="62" t="s">
        <v>1177</v>
      </c>
      <c r="B634" s="62" t="s">
        <v>12215</v>
      </c>
      <c r="C634" s="62"/>
      <c r="D634" s="62"/>
      <c r="E634" s="345" t="s">
        <v>12386</v>
      </c>
      <c r="F634" s="345" t="s">
        <v>13227</v>
      </c>
      <c r="G634" s="113">
        <v>0</v>
      </c>
      <c r="H634" s="113">
        <v>1</v>
      </c>
      <c r="I634" s="114"/>
      <c r="J634" s="114"/>
      <c r="K634" s="114"/>
      <c r="L634" s="81"/>
      <c r="M634" s="265" t="b">
        <f>NOT(ISERROR(ResultsInd[[#This Row],[Goal-A]]+ResultsInd[[#This Row],[Goal-B]]))</f>
        <v>1</v>
      </c>
      <c r="N634" s="265">
        <f>VALUE(ResultsInd[[#This Row],[Score-A]])</f>
        <v>0</v>
      </c>
      <c r="O634" s="265">
        <f>VALUE(ResultsInd[[#This Row],[Score-B]])</f>
        <v>1</v>
      </c>
      <c r="P634" s="265">
        <f ca="1">IF(AND(ResultsInd[[#This Row],[Category]]&lt;&gt;"",ResultsInd[[#This Row],[Player A]]&lt;&gt;""),COUNTIF(INDIRECT(ResultsInd[[#This Row],[Category]]&amp;"List[Retained Player Name]"),ResultsInd[[#This Row],[Player A]]),"")</f>
        <v>1</v>
      </c>
      <c r="Q634" s="265">
        <f ca="1">IF(AND(ResultsInd[[#This Row],[Category]]&lt;&gt;"",ResultsInd[[#This Row],[Player B]]&lt;&gt;""),COUNTIF(INDIRECT(ResultsInd[[#This Row],[Category]]&amp;"List[Retained Player Name]"),ResultsInd[[#This Row],[Player B]]),"")</f>
        <v>1</v>
      </c>
      <c r="R6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4" s="265" t="str">
        <f>IF(ResultsInd[[#This Row],[Score_OK]],IF(ResultsInd[[#This Row],[Stage]]="Groups",ResultsInd[[#This Row],[Category]]&amp;"-"&amp;IF(ResultsInd[[#This Row],[Player B]]="","",IF(ResultsInd[[#This Row],[Score-A]]=ResultsInd[[#This Row],[Score-B]],ResultsInd[[#This Row],[Player A]],"")),""),"")</f>
        <v/>
      </c>
      <c r="T634" s="265" t="str">
        <f>IF(ResultsInd[[#This Row],[Score_OK]],IF(ResultsInd[[#This Row],[Stage]]="Groups",ResultsInd[[#This Row],[Category]]&amp;"-"&amp;IF(ResultsInd[[#This Row],[Player B]]="","",IF(ResultsInd[[#This Row],[Score-A]]=ResultsInd[[#This Row],[Score-B]],ResultsInd[[#This Row],[Player B]],"")),""),"")</f>
        <v/>
      </c>
      <c r="U6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U12-Olivia Huet</v>
      </c>
      <c r="W6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34" s="264" t="str">
        <f>IF(ResultsInd[[#This Row],[Category]]="","",VLOOKUP(ResultsInd[[#This Row],[Stage]],$P$1:$V$9,MATCH(ResultsInd[[#This Row],[Category]],$Q$1:$V$1,0)+1,FALSE))</f>
        <v>L16</v>
      </c>
      <c r="Z634" s="264" t="str">
        <f>IF(ResultsInd[[#This Row],[Score_OK]],IF(ResultsInd[[#This Row],[Level]]="R",ResultsInd[[#This Row],[Category]]&amp;"-"&amp;IF(ResultsInd[[#This Row],[LoseInKO]]=ResultsInd[[#This Row],[Category]]&amp;"-"&amp;ResultsInd[[#This Row],[Player A]],ResultsInd[[#This Row],[Player B]],ResultsInd[[#This Row],[Player A]]),""),"")</f>
        <v/>
      </c>
      <c r="AB634" s="8"/>
      <c r="AC634" s="8"/>
      <c r="AE634" s="90"/>
      <c r="AF634" s="90"/>
      <c r="AP634" s="8"/>
      <c r="AQ634" s="8"/>
      <c r="AR634" s="8"/>
      <c r="AS634" s="8"/>
      <c r="AT634" s="8"/>
      <c r="AU634" s="8"/>
      <c r="AV634" s="8"/>
      <c r="AW634" s="8"/>
      <c r="AX634" s="8"/>
      <c r="AY634" s="90"/>
      <c r="AZ634" s="90"/>
      <c r="BA634" s="90"/>
      <c r="BB634" s="90"/>
      <c r="BC634" s="90"/>
      <c r="BD634" s="90"/>
      <c r="BE634" s="90"/>
      <c r="BF634" s="90"/>
    </row>
    <row r="635" spans="1:58" x14ac:dyDescent="0.2">
      <c r="A635" s="62" t="s">
        <v>1177</v>
      </c>
      <c r="B635" s="62" t="s">
        <v>12215</v>
      </c>
      <c r="C635" s="62"/>
      <c r="D635" s="62"/>
      <c r="E635" s="345" t="s">
        <v>14507</v>
      </c>
      <c r="F635" s="345" t="s">
        <v>8197</v>
      </c>
      <c r="G635" s="113">
        <v>2</v>
      </c>
      <c r="H635" s="113">
        <v>0</v>
      </c>
      <c r="I635" s="114"/>
      <c r="J635" s="114"/>
      <c r="K635" s="114"/>
      <c r="L635" s="81"/>
      <c r="M635" s="265" t="b">
        <f>NOT(ISERROR(ResultsInd[[#This Row],[Goal-A]]+ResultsInd[[#This Row],[Goal-B]]))</f>
        <v>1</v>
      </c>
      <c r="N635" s="265">
        <f>VALUE(ResultsInd[[#This Row],[Score-A]])</f>
        <v>2</v>
      </c>
      <c r="O635" s="265">
        <f>VALUE(ResultsInd[[#This Row],[Score-B]])</f>
        <v>0</v>
      </c>
      <c r="P635" s="265">
        <f ca="1">IF(AND(ResultsInd[[#This Row],[Category]]&lt;&gt;"",ResultsInd[[#This Row],[Player A]]&lt;&gt;""),COUNTIF(INDIRECT(ResultsInd[[#This Row],[Category]]&amp;"List[Retained Player Name]"),ResultsInd[[#This Row],[Player A]]),"")</f>
        <v>1</v>
      </c>
      <c r="Q635" s="265">
        <f ca="1">IF(AND(ResultsInd[[#This Row],[Category]]&lt;&gt;"",ResultsInd[[#This Row],[Player B]]&lt;&gt;""),COUNTIF(INDIRECT(ResultsInd[[#This Row],[Category]]&amp;"List[Retained Player Name]"),ResultsInd[[#This Row],[Player B]]),"")</f>
        <v>1</v>
      </c>
      <c r="R6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5" s="265" t="str">
        <f>IF(ResultsInd[[#This Row],[Score_OK]],IF(ResultsInd[[#This Row],[Stage]]="Groups",ResultsInd[[#This Row],[Category]]&amp;"-"&amp;IF(ResultsInd[[#This Row],[Player B]]="","",IF(ResultsInd[[#This Row],[Score-A]]=ResultsInd[[#This Row],[Score-B]],ResultsInd[[#This Row],[Player A]],"")),""),"")</f>
        <v/>
      </c>
      <c r="T635" s="265" t="str">
        <f>IF(ResultsInd[[#This Row],[Score_OK]],IF(ResultsInd[[#This Row],[Stage]]="Groups",ResultsInd[[#This Row],[Category]]&amp;"-"&amp;IF(ResultsInd[[#This Row],[Player B]]="","",IF(ResultsInd[[#This Row],[Score-A]]=ResultsInd[[#This Row],[Score-B]],ResultsInd[[#This Row],[Player B]],"")),""),"")</f>
        <v/>
      </c>
      <c r="U6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U12-Sophia Grosdent</v>
      </c>
      <c r="W6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6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635" s="264" t="str">
        <f>IF(ResultsInd[[#This Row],[Category]]="","",VLOOKUP(ResultsInd[[#This Row],[Stage]],$P$1:$V$9,MATCH(ResultsInd[[#This Row],[Category]],$Q$1:$V$1,0)+1,FALSE))</f>
        <v>L16</v>
      </c>
      <c r="Z635" s="264" t="str">
        <f>IF(ResultsInd[[#This Row],[Score_OK]],IF(ResultsInd[[#This Row],[Level]]="R",ResultsInd[[#This Row],[Category]]&amp;"-"&amp;IF(ResultsInd[[#This Row],[LoseInKO]]=ResultsInd[[#This Row],[Category]]&amp;"-"&amp;ResultsInd[[#This Row],[Player A]],ResultsInd[[#This Row],[Player B]],ResultsInd[[#This Row],[Player A]]),""),"")</f>
        <v/>
      </c>
      <c r="AB635" s="8"/>
      <c r="AC635" s="8"/>
      <c r="AE635" s="90"/>
      <c r="AF635" s="90"/>
      <c r="AP635" s="8"/>
      <c r="AQ635" s="8"/>
      <c r="AR635" s="8"/>
      <c r="AS635" s="8"/>
      <c r="AT635" s="8"/>
      <c r="AU635" s="8"/>
      <c r="AV635" s="8"/>
      <c r="AW635" s="8"/>
      <c r="AX635" s="8"/>
      <c r="AY635" s="90"/>
      <c r="AZ635" s="90"/>
      <c r="BA635" s="90"/>
      <c r="BB635" s="90"/>
      <c r="BC635" s="90"/>
      <c r="BD635" s="90"/>
      <c r="BE635" s="90"/>
      <c r="BF635" s="90"/>
    </row>
    <row r="636" spans="1:58" x14ac:dyDescent="0.2">
      <c r="A636" s="62" t="s">
        <v>890</v>
      </c>
      <c r="B636" s="62" t="s">
        <v>12212</v>
      </c>
      <c r="C636" s="62"/>
      <c r="D636" s="62"/>
      <c r="E636" s="345" t="s">
        <v>10089</v>
      </c>
      <c r="F636" s="345" t="s">
        <v>8628</v>
      </c>
      <c r="G636" s="113">
        <v>1</v>
      </c>
      <c r="H636" s="113">
        <v>2</v>
      </c>
      <c r="I636" s="114"/>
      <c r="J636" s="114"/>
      <c r="K636" s="114"/>
      <c r="L636" s="81"/>
      <c r="M636" s="265" t="b">
        <f>NOT(ISERROR(ResultsInd[[#This Row],[Goal-A]]+ResultsInd[[#This Row],[Goal-B]]))</f>
        <v>1</v>
      </c>
      <c r="N636" s="265">
        <f>VALUE(ResultsInd[[#This Row],[Score-A]])</f>
        <v>1</v>
      </c>
      <c r="O636" s="265">
        <f>VALUE(ResultsInd[[#This Row],[Score-B]])</f>
        <v>2</v>
      </c>
      <c r="P636" s="265">
        <f ca="1">IF(AND(ResultsInd[[#This Row],[Category]]&lt;&gt;"",ResultsInd[[#This Row],[Player A]]&lt;&gt;""),COUNTIF(INDIRECT(ResultsInd[[#This Row],[Category]]&amp;"List[Retained Player Name]"),ResultsInd[[#This Row],[Player A]]),"")</f>
        <v>1</v>
      </c>
      <c r="Q636" s="265">
        <f ca="1">IF(AND(ResultsInd[[#This Row],[Category]]&lt;&gt;"",ResultsInd[[#This Row],[Player B]]&lt;&gt;""),COUNTIF(INDIRECT(ResultsInd[[#This Row],[Category]]&amp;"List[Retained Player Name]"),ResultsInd[[#This Row],[Player B]]),"")</f>
        <v>1</v>
      </c>
      <c r="R6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6" s="265" t="str">
        <f>IF(ResultsInd[[#This Row],[Score_OK]],IF(ResultsInd[[#This Row],[Stage]]="Groups",ResultsInd[[#This Row],[Category]]&amp;"-"&amp;IF(ResultsInd[[#This Row],[Player B]]="","",IF(ResultsInd[[#This Row],[Score-A]]=ResultsInd[[#This Row],[Score-B]],ResultsInd[[#This Row],[Player A]],"")),""),"")</f>
        <v/>
      </c>
      <c r="T636" s="265" t="str">
        <f>IF(ResultsInd[[#This Row],[Score_OK]],IF(ResultsInd[[#This Row],[Stage]]="Groups",ResultsInd[[#This Row],[Category]]&amp;"-"&amp;IF(ResultsInd[[#This Row],[Player B]]="","",IF(ResultsInd[[#This Row],[Score-A]]=ResultsInd[[#This Row],[Score-B]],ResultsInd[[#This Row],[Player B]],"")),""),"")</f>
        <v/>
      </c>
      <c r="U6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OPEN-Marco Di Vito</v>
      </c>
      <c r="W6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36" s="264" t="str">
        <f>IF(ResultsInd[[#This Row],[Category]]="","",VLOOKUP(ResultsInd[[#This Row],[Stage]],$P$1:$V$9,MATCH(ResultsInd[[#This Row],[Category]],$Q$1:$V$1,0)+1,FALSE))</f>
        <v>Q</v>
      </c>
      <c r="Z636" s="264" t="str">
        <f>IF(ResultsInd[[#This Row],[Score_OK]],IF(ResultsInd[[#This Row],[Level]]="R",ResultsInd[[#This Row],[Category]]&amp;"-"&amp;IF(ResultsInd[[#This Row],[LoseInKO]]=ResultsInd[[#This Row],[Category]]&amp;"-"&amp;ResultsInd[[#This Row],[Player A]],ResultsInd[[#This Row],[Player B]],ResultsInd[[#This Row],[Player A]]),""),"")</f>
        <v/>
      </c>
      <c r="AB636" s="8"/>
      <c r="AC636" s="8"/>
      <c r="AE636" s="90"/>
      <c r="AF636" s="90"/>
      <c r="AP636" s="8"/>
      <c r="AQ636" s="8"/>
      <c r="AR636" s="8"/>
      <c r="AS636" s="8"/>
      <c r="AT636" s="8"/>
      <c r="AU636" s="8"/>
      <c r="AV636" s="8"/>
      <c r="AW636" s="8"/>
      <c r="AX636" s="8"/>
      <c r="AY636" s="90"/>
      <c r="AZ636" s="90"/>
      <c r="BA636" s="90"/>
      <c r="BB636" s="90"/>
      <c r="BC636" s="90"/>
      <c r="BD636" s="90"/>
      <c r="BE636" s="90"/>
      <c r="BF636" s="90"/>
    </row>
    <row r="637" spans="1:58" x14ac:dyDescent="0.2">
      <c r="A637" s="62" t="s">
        <v>890</v>
      </c>
      <c r="B637" s="62" t="s">
        <v>12212</v>
      </c>
      <c r="C637" s="62"/>
      <c r="D637" s="62"/>
      <c r="E637" s="345" t="s">
        <v>10415</v>
      </c>
      <c r="F637" s="345" t="s">
        <v>8629</v>
      </c>
      <c r="G637" s="113">
        <v>3</v>
      </c>
      <c r="H637" s="113">
        <v>0</v>
      </c>
      <c r="I637" s="114"/>
      <c r="J637" s="114"/>
      <c r="K637" s="114"/>
      <c r="L637" s="81"/>
      <c r="M637" s="265" t="b">
        <f>NOT(ISERROR(ResultsInd[[#This Row],[Goal-A]]+ResultsInd[[#This Row],[Goal-B]]))</f>
        <v>1</v>
      </c>
      <c r="N637" s="265">
        <f>VALUE(ResultsInd[[#This Row],[Score-A]])</f>
        <v>3</v>
      </c>
      <c r="O637" s="265">
        <f>VALUE(ResultsInd[[#This Row],[Score-B]])</f>
        <v>0</v>
      </c>
      <c r="P637" s="265">
        <f ca="1">IF(AND(ResultsInd[[#This Row],[Category]]&lt;&gt;"",ResultsInd[[#This Row],[Player A]]&lt;&gt;""),COUNTIF(INDIRECT(ResultsInd[[#This Row],[Category]]&amp;"List[Retained Player Name]"),ResultsInd[[#This Row],[Player A]]),"")</f>
        <v>1</v>
      </c>
      <c r="Q637" s="265">
        <f ca="1">IF(AND(ResultsInd[[#This Row],[Category]]&lt;&gt;"",ResultsInd[[#This Row],[Player B]]&lt;&gt;""),COUNTIF(INDIRECT(ResultsInd[[#This Row],[Category]]&amp;"List[Retained Player Name]"),ResultsInd[[#This Row],[Player B]]),"")</f>
        <v>1</v>
      </c>
      <c r="R6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7" s="265" t="str">
        <f>IF(ResultsInd[[#This Row],[Score_OK]],IF(ResultsInd[[#This Row],[Stage]]="Groups",ResultsInd[[#This Row],[Category]]&amp;"-"&amp;IF(ResultsInd[[#This Row],[Player B]]="","",IF(ResultsInd[[#This Row],[Score-A]]=ResultsInd[[#This Row],[Score-B]],ResultsInd[[#This Row],[Player A]],"")),""),"")</f>
        <v/>
      </c>
      <c r="T637" s="265" t="str">
        <f>IF(ResultsInd[[#This Row],[Score_OK]],IF(ResultsInd[[#This Row],[Stage]]="Groups",ResultsInd[[#This Row],[Category]]&amp;"-"&amp;IF(ResultsInd[[#This Row],[Player B]]="","",IF(ResultsInd[[#This Row],[Score-A]]=ResultsInd[[#This Row],[Score-B]],ResultsInd[[#This Row],[Player B]],"")),""),"")</f>
        <v/>
      </c>
      <c r="U6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OPEN-Antonio Jesús Casín</v>
      </c>
      <c r="W6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37" s="264" t="str">
        <f>IF(ResultsInd[[#This Row],[Category]]="","",VLOOKUP(ResultsInd[[#This Row],[Stage]],$P$1:$V$9,MATCH(ResultsInd[[#This Row],[Category]],$Q$1:$V$1,0)+1,FALSE))</f>
        <v>Q</v>
      </c>
      <c r="Z637" s="264" t="str">
        <f>IF(ResultsInd[[#This Row],[Score_OK]],IF(ResultsInd[[#This Row],[Level]]="R",ResultsInd[[#This Row],[Category]]&amp;"-"&amp;IF(ResultsInd[[#This Row],[LoseInKO]]=ResultsInd[[#This Row],[Category]]&amp;"-"&amp;ResultsInd[[#This Row],[Player A]],ResultsInd[[#This Row],[Player B]],ResultsInd[[#This Row],[Player A]]),""),"")</f>
        <v/>
      </c>
      <c r="AB637" s="8"/>
      <c r="AC637" s="8"/>
      <c r="AE637" s="90"/>
      <c r="AF637" s="90"/>
      <c r="AP637" s="8"/>
      <c r="AQ637" s="8"/>
      <c r="AR637" s="8"/>
      <c r="AS637" s="8"/>
      <c r="AT637" s="8"/>
      <c r="AU637" s="8"/>
      <c r="AV637" s="8"/>
      <c r="AW637" s="8"/>
      <c r="AX637" s="8"/>
      <c r="AY637" s="90"/>
      <c r="AZ637" s="90"/>
      <c r="BA637" s="90"/>
      <c r="BB637" s="90"/>
      <c r="BC637" s="90"/>
      <c r="BD637" s="90"/>
      <c r="BE637" s="90"/>
      <c r="BF637" s="90"/>
    </row>
    <row r="638" spans="1:58" x14ac:dyDescent="0.2">
      <c r="A638" s="62" t="s">
        <v>890</v>
      </c>
      <c r="B638" s="62" t="s">
        <v>12212</v>
      </c>
      <c r="C638" s="62"/>
      <c r="D638" s="62"/>
      <c r="E638" s="345" t="s">
        <v>8095</v>
      </c>
      <c r="F638" s="345" t="s">
        <v>9526</v>
      </c>
      <c r="G638" s="113">
        <v>7</v>
      </c>
      <c r="H638" s="113">
        <v>6</v>
      </c>
      <c r="I638" s="114" t="s">
        <v>14586</v>
      </c>
      <c r="J638" s="114"/>
      <c r="K638" s="114"/>
      <c r="L638" s="81"/>
      <c r="M638" s="265" t="b">
        <f>NOT(ISERROR(ResultsInd[[#This Row],[Goal-A]]+ResultsInd[[#This Row],[Goal-B]]))</f>
        <v>1</v>
      </c>
      <c r="N638" s="265">
        <f>VALUE(ResultsInd[[#This Row],[Score-A]])</f>
        <v>7</v>
      </c>
      <c r="O638" s="265">
        <f>VALUE(ResultsInd[[#This Row],[Score-B]])</f>
        <v>6</v>
      </c>
      <c r="P638" s="265">
        <f ca="1">IF(AND(ResultsInd[[#This Row],[Category]]&lt;&gt;"",ResultsInd[[#This Row],[Player A]]&lt;&gt;""),COUNTIF(INDIRECT(ResultsInd[[#This Row],[Category]]&amp;"List[Retained Player Name]"),ResultsInd[[#This Row],[Player A]]),"")</f>
        <v>1</v>
      </c>
      <c r="Q638" s="265">
        <f ca="1">IF(AND(ResultsInd[[#This Row],[Category]]&lt;&gt;"",ResultsInd[[#This Row],[Player B]]&lt;&gt;""),COUNTIF(INDIRECT(ResultsInd[[#This Row],[Category]]&amp;"List[Retained Player Name]"),ResultsInd[[#This Row],[Player B]]),"")</f>
        <v>1</v>
      </c>
      <c r="R6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8" s="265" t="str">
        <f>IF(ResultsInd[[#This Row],[Score_OK]],IF(ResultsInd[[#This Row],[Stage]]="Groups",ResultsInd[[#This Row],[Category]]&amp;"-"&amp;IF(ResultsInd[[#This Row],[Player B]]="","",IF(ResultsInd[[#This Row],[Score-A]]=ResultsInd[[#This Row],[Score-B]],ResultsInd[[#This Row],[Player A]],"")),""),"")</f>
        <v/>
      </c>
      <c r="T638" s="265" t="str">
        <f>IF(ResultsInd[[#This Row],[Score_OK]],IF(ResultsInd[[#This Row],[Stage]]="Groups",ResultsInd[[#This Row],[Category]]&amp;"-"&amp;IF(ResultsInd[[#This Row],[Player B]]="","",IF(ResultsInd[[#This Row],[Score-A]]=ResultsInd[[#This Row],[Score-B]],ResultsInd[[#This Row],[Player B]],"")),""),"")</f>
        <v/>
      </c>
      <c r="U6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OPEN-Luca Zambello</v>
      </c>
      <c r="W6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38" s="264" t="str">
        <f>IF(ResultsInd[[#This Row],[Category]]="","",VLOOKUP(ResultsInd[[#This Row],[Stage]],$P$1:$V$9,MATCH(ResultsInd[[#This Row],[Category]],$Q$1:$V$1,0)+1,FALSE))</f>
        <v>Q</v>
      </c>
      <c r="Z638" s="264" t="str">
        <f>IF(ResultsInd[[#This Row],[Score_OK]],IF(ResultsInd[[#This Row],[Level]]="R",ResultsInd[[#This Row],[Category]]&amp;"-"&amp;IF(ResultsInd[[#This Row],[LoseInKO]]=ResultsInd[[#This Row],[Category]]&amp;"-"&amp;ResultsInd[[#This Row],[Player A]],ResultsInd[[#This Row],[Player B]],ResultsInd[[#This Row],[Player A]]),""),"")</f>
        <v/>
      </c>
      <c r="AB638" s="8"/>
      <c r="AC638" s="8"/>
      <c r="AE638" s="90"/>
      <c r="AF638" s="90"/>
      <c r="AP638" s="8"/>
      <c r="AQ638" s="8"/>
      <c r="AR638" s="8"/>
      <c r="AS638" s="8"/>
      <c r="AT638" s="8"/>
      <c r="AU638" s="8"/>
      <c r="AV638" s="8"/>
      <c r="AW638" s="8"/>
      <c r="AX638" s="8"/>
      <c r="AY638" s="90"/>
      <c r="AZ638" s="90"/>
      <c r="BA638" s="90"/>
      <c r="BB638" s="90"/>
      <c r="BC638" s="90"/>
      <c r="BD638" s="90"/>
      <c r="BE638" s="90"/>
      <c r="BF638" s="90"/>
    </row>
    <row r="639" spans="1:58" x14ac:dyDescent="0.2">
      <c r="A639" s="62" t="s">
        <v>890</v>
      </c>
      <c r="B639" s="62" t="s">
        <v>12212</v>
      </c>
      <c r="C639" s="62"/>
      <c r="D639" s="62"/>
      <c r="E639" s="345" t="s">
        <v>8095</v>
      </c>
      <c r="F639" s="345" t="s">
        <v>8089</v>
      </c>
      <c r="G639" s="113">
        <v>1</v>
      </c>
      <c r="H639" s="113">
        <v>2</v>
      </c>
      <c r="I639" s="114"/>
      <c r="J639" s="114"/>
      <c r="K639" s="114"/>
      <c r="L639" s="81"/>
      <c r="M639" s="265" t="b">
        <f>NOT(ISERROR(ResultsInd[[#This Row],[Goal-A]]+ResultsInd[[#This Row],[Goal-B]]))</f>
        <v>1</v>
      </c>
      <c r="N639" s="265">
        <f>VALUE(ResultsInd[[#This Row],[Score-A]])</f>
        <v>1</v>
      </c>
      <c r="O639" s="265">
        <f>VALUE(ResultsInd[[#This Row],[Score-B]])</f>
        <v>2</v>
      </c>
      <c r="P639" s="265">
        <f ca="1">IF(AND(ResultsInd[[#This Row],[Category]]&lt;&gt;"",ResultsInd[[#This Row],[Player A]]&lt;&gt;""),COUNTIF(INDIRECT(ResultsInd[[#This Row],[Category]]&amp;"List[Retained Player Name]"),ResultsInd[[#This Row],[Player A]]),"")</f>
        <v>1</v>
      </c>
      <c r="Q639" s="265">
        <f ca="1">IF(AND(ResultsInd[[#This Row],[Category]]&lt;&gt;"",ResultsInd[[#This Row],[Player B]]&lt;&gt;""),COUNTIF(INDIRECT(ResultsInd[[#This Row],[Category]]&amp;"List[Retained Player Name]"),ResultsInd[[#This Row],[Player B]]),"")</f>
        <v>1</v>
      </c>
      <c r="R6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9" s="265" t="str">
        <f>IF(ResultsInd[[#This Row],[Score_OK]],IF(ResultsInd[[#This Row],[Stage]]="Groups",ResultsInd[[#This Row],[Category]]&amp;"-"&amp;IF(ResultsInd[[#This Row],[Player B]]="","",IF(ResultsInd[[#This Row],[Score-A]]=ResultsInd[[#This Row],[Score-B]],ResultsInd[[#This Row],[Player A]],"")),""),"")</f>
        <v/>
      </c>
      <c r="T639" s="265" t="str">
        <f>IF(ResultsInd[[#This Row],[Score_OK]],IF(ResultsInd[[#This Row],[Stage]]="Groups",ResultsInd[[#This Row],[Category]]&amp;"-"&amp;IF(ResultsInd[[#This Row],[Player B]]="","",IF(ResultsInd[[#This Row],[Score-A]]=ResultsInd[[#This Row],[Score-B]],ResultsInd[[#This Row],[Player B]],"")),""),"")</f>
        <v/>
      </c>
      <c r="U6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OPEN-Florian Giaux</v>
      </c>
      <c r="W6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39" s="264" t="str">
        <f>IF(ResultsInd[[#This Row],[Category]]="","",VLOOKUP(ResultsInd[[#This Row],[Stage]],$P$1:$V$9,MATCH(ResultsInd[[#This Row],[Category]],$Q$1:$V$1,0)+1,FALSE))</f>
        <v>Q</v>
      </c>
      <c r="Z639" s="264" t="str">
        <f>IF(ResultsInd[[#This Row],[Score_OK]],IF(ResultsInd[[#This Row],[Level]]="R",ResultsInd[[#This Row],[Category]]&amp;"-"&amp;IF(ResultsInd[[#This Row],[LoseInKO]]=ResultsInd[[#This Row],[Category]]&amp;"-"&amp;ResultsInd[[#This Row],[Player A]],ResultsInd[[#This Row],[Player B]],ResultsInd[[#This Row],[Player A]]),""),"")</f>
        <v/>
      </c>
      <c r="AB639" s="8"/>
      <c r="AC639" s="8"/>
      <c r="AE639" s="90"/>
      <c r="AF639" s="90"/>
      <c r="AP639" s="8"/>
      <c r="AQ639" s="8"/>
      <c r="AR639" s="8"/>
      <c r="AS639" s="8"/>
      <c r="AT639" s="8"/>
      <c r="AU639" s="8"/>
      <c r="AV639" s="8"/>
      <c r="AW639" s="8"/>
      <c r="AX639" s="8"/>
      <c r="AY639" s="90"/>
      <c r="AZ639" s="90"/>
      <c r="BA639" s="90"/>
      <c r="BB639" s="90"/>
      <c r="BC639" s="90"/>
      <c r="BD639" s="90"/>
      <c r="BE639" s="90"/>
      <c r="BF639" s="90"/>
    </row>
    <row r="640" spans="1:58" x14ac:dyDescent="0.2">
      <c r="A640" s="62" t="s">
        <v>12261</v>
      </c>
      <c r="B640" s="62" t="s">
        <v>12212</v>
      </c>
      <c r="C640" s="62"/>
      <c r="D640" s="62"/>
      <c r="E640" s="345" t="s">
        <v>8116</v>
      </c>
      <c r="F640" s="345" t="s">
        <v>8519</v>
      </c>
      <c r="G640" s="113">
        <v>0</v>
      </c>
      <c r="H640" s="113">
        <v>1</v>
      </c>
      <c r="I640" s="114"/>
      <c r="J640" s="114"/>
      <c r="K640" s="114"/>
      <c r="L640" s="81"/>
      <c r="M640" s="265" t="b">
        <f>NOT(ISERROR(ResultsInd[[#This Row],[Goal-A]]+ResultsInd[[#This Row],[Goal-B]]))</f>
        <v>1</v>
      </c>
      <c r="N640" s="265">
        <f>VALUE(ResultsInd[[#This Row],[Score-A]])</f>
        <v>0</v>
      </c>
      <c r="O640" s="265">
        <f>VALUE(ResultsInd[[#This Row],[Score-B]])</f>
        <v>1</v>
      </c>
      <c r="P640" s="265">
        <f ca="1">IF(AND(ResultsInd[[#This Row],[Category]]&lt;&gt;"",ResultsInd[[#This Row],[Player A]]&lt;&gt;""),COUNTIF(INDIRECT(ResultsInd[[#This Row],[Category]]&amp;"List[Retained Player Name]"),ResultsInd[[#This Row],[Player A]]),"")</f>
        <v>1</v>
      </c>
      <c r="Q640" s="265">
        <f ca="1">IF(AND(ResultsInd[[#This Row],[Category]]&lt;&gt;"",ResultsInd[[#This Row],[Player B]]&lt;&gt;""),COUNTIF(INDIRECT(ResultsInd[[#This Row],[Category]]&amp;"List[Retained Player Name]"),ResultsInd[[#This Row],[Player B]]),"")</f>
        <v>1</v>
      </c>
      <c r="R6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0" s="265" t="str">
        <f>IF(ResultsInd[[#This Row],[Score_OK]],IF(ResultsInd[[#This Row],[Stage]]="Groups",ResultsInd[[#This Row],[Category]]&amp;"-"&amp;IF(ResultsInd[[#This Row],[Player B]]="","",IF(ResultsInd[[#This Row],[Score-A]]=ResultsInd[[#This Row],[Score-B]],ResultsInd[[#This Row],[Player A]],"")),""),"")</f>
        <v/>
      </c>
      <c r="T640" s="265" t="str">
        <f>IF(ResultsInd[[#This Row],[Score_OK]],IF(ResultsInd[[#This Row],[Stage]]="Groups",ResultsInd[[#This Row],[Category]]&amp;"-"&amp;IF(ResultsInd[[#This Row],[Player B]]="","",IF(ResultsInd[[#This Row],[Score-A]]=ResultsInd[[#This Row],[Score-B]],ResultsInd[[#This Row],[Player B]],"")),""),"")</f>
        <v/>
      </c>
      <c r="U6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VETERANS-Benoît Massart</v>
      </c>
      <c r="W6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0" s="264" t="str">
        <f>IF(ResultsInd[[#This Row],[Category]]="","",VLOOKUP(ResultsInd[[#This Row],[Stage]],$P$1:$V$9,MATCH(ResultsInd[[#This Row],[Category]],$Q$1:$V$1,0)+1,FALSE))</f>
        <v>Q</v>
      </c>
      <c r="Z640" s="264" t="str">
        <f>IF(ResultsInd[[#This Row],[Score_OK]],IF(ResultsInd[[#This Row],[Level]]="R",ResultsInd[[#This Row],[Category]]&amp;"-"&amp;IF(ResultsInd[[#This Row],[LoseInKO]]=ResultsInd[[#This Row],[Category]]&amp;"-"&amp;ResultsInd[[#This Row],[Player A]],ResultsInd[[#This Row],[Player B]],ResultsInd[[#This Row],[Player A]]),""),"")</f>
        <v/>
      </c>
      <c r="AB640" s="8"/>
      <c r="AC640" s="8"/>
      <c r="AE640" s="90"/>
      <c r="AF640" s="90"/>
      <c r="AP640" s="8"/>
      <c r="AQ640" s="8"/>
      <c r="AR640" s="8"/>
      <c r="AS640" s="8"/>
      <c r="AT640" s="8"/>
      <c r="AU640" s="8"/>
      <c r="AV640" s="8"/>
      <c r="AW640" s="8"/>
      <c r="AX640" s="8"/>
      <c r="AY640" s="90"/>
      <c r="AZ640" s="90"/>
      <c r="BA640" s="90"/>
      <c r="BB640" s="90"/>
      <c r="BC640" s="90"/>
      <c r="BD640" s="90"/>
      <c r="BE640" s="90"/>
      <c r="BF640" s="90"/>
    </row>
    <row r="641" spans="1:58" x14ac:dyDescent="0.2">
      <c r="A641" s="62" t="s">
        <v>12261</v>
      </c>
      <c r="B641" s="62" t="s">
        <v>12212</v>
      </c>
      <c r="C641" s="62"/>
      <c r="D641" s="62"/>
      <c r="E641" s="345" t="s">
        <v>8752</v>
      </c>
      <c r="F641" s="345" t="s">
        <v>10414</v>
      </c>
      <c r="G641" s="113">
        <v>3</v>
      </c>
      <c r="H641" s="113">
        <v>3</v>
      </c>
      <c r="I641" s="114"/>
      <c r="J641" s="114">
        <v>3</v>
      </c>
      <c r="K641" s="114">
        <v>2</v>
      </c>
      <c r="L641" s="81"/>
      <c r="M641" s="265" t="b">
        <f>NOT(ISERROR(ResultsInd[[#This Row],[Goal-A]]+ResultsInd[[#This Row],[Goal-B]]))</f>
        <v>1</v>
      </c>
      <c r="N641" s="265">
        <f>VALUE(ResultsInd[[#This Row],[Score-A]])</f>
        <v>3</v>
      </c>
      <c r="O641" s="265">
        <f>VALUE(ResultsInd[[#This Row],[Score-B]])</f>
        <v>3</v>
      </c>
      <c r="P641" s="265">
        <f ca="1">IF(AND(ResultsInd[[#This Row],[Category]]&lt;&gt;"",ResultsInd[[#This Row],[Player A]]&lt;&gt;""),COUNTIF(INDIRECT(ResultsInd[[#This Row],[Category]]&amp;"List[Retained Player Name]"),ResultsInd[[#This Row],[Player A]]),"")</f>
        <v>1</v>
      </c>
      <c r="Q641" s="265">
        <f ca="1">IF(AND(ResultsInd[[#This Row],[Category]]&lt;&gt;"",ResultsInd[[#This Row],[Player B]]&lt;&gt;""),COUNTIF(INDIRECT(ResultsInd[[#This Row],[Category]]&amp;"List[Retained Player Name]"),ResultsInd[[#This Row],[Player B]]),"")</f>
        <v>1</v>
      </c>
      <c r="R6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1" s="265" t="str">
        <f>IF(ResultsInd[[#This Row],[Score_OK]],IF(ResultsInd[[#This Row],[Stage]]="Groups",ResultsInd[[#This Row],[Category]]&amp;"-"&amp;IF(ResultsInd[[#This Row],[Player B]]="","",IF(ResultsInd[[#This Row],[Score-A]]=ResultsInd[[#This Row],[Score-B]],ResultsInd[[#This Row],[Player A]],"")),""),"")</f>
        <v/>
      </c>
      <c r="T641" s="265" t="str">
        <f>IF(ResultsInd[[#This Row],[Score_OK]],IF(ResultsInd[[#This Row],[Stage]]="Groups",ResultsInd[[#This Row],[Category]]&amp;"-"&amp;IF(ResultsInd[[#This Row],[Player B]]="","",IF(ResultsInd[[#This Row],[Score-A]]=ResultsInd[[#This Row],[Score-B]],ResultsInd[[#This Row],[Player B]],"")),""),"")</f>
        <v/>
      </c>
      <c r="U6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VETERANS-Charles Aquilina</v>
      </c>
      <c r="W6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1" s="264" t="str">
        <f>IF(ResultsInd[[#This Row],[Category]]="","",VLOOKUP(ResultsInd[[#This Row],[Stage]],$P$1:$V$9,MATCH(ResultsInd[[#This Row],[Category]],$Q$1:$V$1,0)+1,FALSE))</f>
        <v>Q</v>
      </c>
      <c r="Z641" s="264" t="str">
        <f>IF(ResultsInd[[#This Row],[Score_OK]],IF(ResultsInd[[#This Row],[Level]]="R",ResultsInd[[#This Row],[Category]]&amp;"-"&amp;IF(ResultsInd[[#This Row],[LoseInKO]]=ResultsInd[[#This Row],[Category]]&amp;"-"&amp;ResultsInd[[#This Row],[Player A]],ResultsInd[[#This Row],[Player B]],ResultsInd[[#This Row],[Player A]]),""),"")</f>
        <v/>
      </c>
      <c r="AB641" s="8"/>
      <c r="AC641" s="8"/>
      <c r="AE641" s="90"/>
      <c r="AF641" s="90"/>
      <c r="AP641" s="8"/>
      <c r="AQ641" s="8"/>
      <c r="AR641" s="8"/>
      <c r="AS641" s="8"/>
      <c r="AT641" s="8"/>
      <c r="AU641" s="8"/>
      <c r="AV641" s="8"/>
      <c r="AW641" s="8"/>
      <c r="AX641" s="8"/>
      <c r="AY641" s="90"/>
      <c r="AZ641" s="90"/>
      <c r="BA641" s="90"/>
      <c r="BB641" s="90"/>
      <c r="BC641" s="90"/>
      <c r="BD641" s="90"/>
      <c r="BE641" s="90"/>
      <c r="BF641" s="90"/>
    </row>
    <row r="642" spans="1:58" x14ac:dyDescent="0.2">
      <c r="A642" s="62" t="s">
        <v>12261</v>
      </c>
      <c r="B642" s="62" t="s">
        <v>12212</v>
      </c>
      <c r="C642" s="62"/>
      <c r="D642" s="62"/>
      <c r="E642" s="345" t="s">
        <v>10369</v>
      </c>
      <c r="F642" s="345" t="s">
        <v>9577</v>
      </c>
      <c r="G642" s="113">
        <v>2</v>
      </c>
      <c r="H642" s="113">
        <v>1</v>
      </c>
      <c r="I642" s="114"/>
      <c r="J642" s="114"/>
      <c r="K642" s="114"/>
      <c r="L642" s="81"/>
      <c r="M642" s="265" t="b">
        <f>NOT(ISERROR(ResultsInd[[#This Row],[Goal-A]]+ResultsInd[[#This Row],[Goal-B]]))</f>
        <v>1</v>
      </c>
      <c r="N642" s="265">
        <f>VALUE(ResultsInd[[#This Row],[Score-A]])</f>
        <v>2</v>
      </c>
      <c r="O642" s="265">
        <f>VALUE(ResultsInd[[#This Row],[Score-B]])</f>
        <v>1</v>
      </c>
      <c r="P642" s="265">
        <f ca="1">IF(AND(ResultsInd[[#This Row],[Category]]&lt;&gt;"",ResultsInd[[#This Row],[Player A]]&lt;&gt;""),COUNTIF(INDIRECT(ResultsInd[[#This Row],[Category]]&amp;"List[Retained Player Name]"),ResultsInd[[#This Row],[Player A]]),"")</f>
        <v>1</v>
      </c>
      <c r="Q642" s="265">
        <f ca="1">IF(AND(ResultsInd[[#This Row],[Category]]&lt;&gt;"",ResultsInd[[#This Row],[Player B]]&lt;&gt;""),COUNTIF(INDIRECT(ResultsInd[[#This Row],[Category]]&amp;"List[Retained Player Name]"),ResultsInd[[#This Row],[Player B]]),"")</f>
        <v>1</v>
      </c>
      <c r="R6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2" s="265" t="str">
        <f>IF(ResultsInd[[#This Row],[Score_OK]],IF(ResultsInd[[#This Row],[Stage]]="Groups",ResultsInd[[#This Row],[Category]]&amp;"-"&amp;IF(ResultsInd[[#This Row],[Player B]]="","",IF(ResultsInd[[#This Row],[Score-A]]=ResultsInd[[#This Row],[Score-B]],ResultsInd[[#This Row],[Player A]],"")),""),"")</f>
        <v/>
      </c>
      <c r="T642" s="265" t="str">
        <f>IF(ResultsInd[[#This Row],[Score_OK]],IF(ResultsInd[[#This Row],[Stage]]="Groups",ResultsInd[[#This Row],[Category]]&amp;"-"&amp;IF(ResultsInd[[#This Row],[Player B]]="","",IF(ResultsInd[[#This Row],[Score-A]]=ResultsInd[[#This Row],[Score-B]],ResultsInd[[#This Row],[Player B]],"")),""),"")</f>
        <v/>
      </c>
      <c r="U6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VETERANS-Pasquale Torano</v>
      </c>
      <c r="W6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2" s="264" t="str">
        <f>IF(ResultsInd[[#This Row],[Category]]="","",VLOOKUP(ResultsInd[[#This Row],[Stage]],$P$1:$V$9,MATCH(ResultsInd[[#This Row],[Category]],$Q$1:$V$1,0)+1,FALSE))</f>
        <v>Q</v>
      </c>
      <c r="Z642" s="264" t="str">
        <f>IF(ResultsInd[[#This Row],[Score_OK]],IF(ResultsInd[[#This Row],[Level]]="R",ResultsInd[[#This Row],[Category]]&amp;"-"&amp;IF(ResultsInd[[#This Row],[LoseInKO]]=ResultsInd[[#This Row],[Category]]&amp;"-"&amp;ResultsInd[[#This Row],[Player A]],ResultsInd[[#This Row],[Player B]],ResultsInd[[#This Row],[Player A]]),""),"")</f>
        <v/>
      </c>
      <c r="AB642" s="8"/>
      <c r="AC642" s="8"/>
      <c r="AE642" s="90"/>
      <c r="AF642" s="90"/>
      <c r="AP642" s="8"/>
      <c r="AQ642" s="8"/>
      <c r="AR642" s="8"/>
      <c r="AS642" s="8"/>
      <c r="AT642" s="8"/>
      <c r="AU642" s="8"/>
      <c r="AV642" s="8"/>
      <c r="AW642" s="8"/>
      <c r="AX642" s="8"/>
      <c r="AY642" s="90"/>
      <c r="AZ642" s="90"/>
      <c r="BA642" s="90"/>
      <c r="BB642" s="90"/>
      <c r="BC642" s="90"/>
      <c r="BD642" s="90"/>
      <c r="BE642" s="90"/>
      <c r="BF642" s="90"/>
    </row>
    <row r="643" spans="1:58" x14ac:dyDescent="0.2">
      <c r="A643" s="62" t="s">
        <v>12261</v>
      </c>
      <c r="B643" s="62" t="s">
        <v>12212</v>
      </c>
      <c r="C643" s="62"/>
      <c r="D643" s="62"/>
      <c r="E643" s="345" t="s">
        <v>8600</v>
      </c>
      <c r="F643" s="345" t="s">
        <v>10253</v>
      </c>
      <c r="G643" s="113">
        <v>2</v>
      </c>
      <c r="H643" s="113">
        <v>3</v>
      </c>
      <c r="I643" s="114"/>
      <c r="J643" s="114"/>
      <c r="K643" s="114"/>
      <c r="L643" s="81"/>
      <c r="M643" s="265" t="b">
        <f>NOT(ISERROR(ResultsInd[[#This Row],[Goal-A]]+ResultsInd[[#This Row],[Goal-B]]))</f>
        <v>1</v>
      </c>
      <c r="N643" s="265">
        <f>VALUE(ResultsInd[[#This Row],[Score-A]])</f>
        <v>2</v>
      </c>
      <c r="O643" s="265">
        <f>VALUE(ResultsInd[[#This Row],[Score-B]])</f>
        <v>3</v>
      </c>
      <c r="P643" s="265">
        <f ca="1">IF(AND(ResultsInd[[#This Row],[Category]]&lt;&gt;"",ResultsInd[[#This Row],[Player A]]&lt;&gt;""),COUNTIF(INDIRECT(ResultsInd[[#This Row],[Category]]&amp;"List[Retained Player Name]"),ResultsInd[[#This Row],[Player A]]),"")</f>
        <v>1</v>
      </c>
      <c r="Q643" s="265">
        <f ca="1">IF(AND(ResultsInd[[#This Row],[Category]]&lt;&gt;"",ResultsInd[[#This Row],[Player B]]&lt;&gt;""),COUNTIF(INDIRECT(ResultsInd[[#This Row],[Category]]&amp;"List[Retained Player Name]"),ResultsInd[[#This Row],[Player B]]),"")</f>
        <v>1</v>
      </c>
      <c r="R6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3" s="265" t="str">
        <f>IF(ResultsInd[[#This Row],[Score_OK]],IF(ResultsInd[[#This Row],[Stage]]="Groups",ResultsInd[[#This Row],[Category]]&amp;"-"&amp;IF(ResultsInd[[#This Row],[Player B]]="","",IF(ResultsInd[[#This Row],[Score-A]]=ResultsInd[[#This Row],[Score-B]],ResultsInd[[#This Row],[Player A]],"")),""),"")</f>
        <v/>
      </c>
      <c r="T643" s="265" t="str">
        <f>IF(ResultsInd[[#This Row],[Score_OK]],IF(ResultsInd[[#This Row],[Stage]]="Groups",ResultsInd[[#This Row],[Category]]&amp;"-"&amp;IF(ResultsInd[[#This Row],[Player B]]="","",IF(ResultsInd[[#This Row],[Score-A]]=ResultsInd[[#This Row],[Score-B]],ResultsInd[[#This Row],[Player B]],"")),""),"")</f>
        <v/>
      </c>
      <c r="U6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VETERANS-Vicenç Prats</v>
      </c>
      <c r="W6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3" s="264" t="str">
        <f>IF(ResultsInd[[#This Row],[Category]]="","",VLOOKUP(ResultsInd[[#This Row],[Stage]],$P$1:$V$9,MATCH(ResultsInd[[#This Row],[Category]],$Q$1:$V$1,0)+1,FALSE))</f>
        <v>Q</v>
      </c>
      <c r="Z643" s="264" t="str">
        <f>IF(ResultsInd[[#This Row],[Score_OK]],IF(ResultsInd[[#This Row],[Level]]="R",ResultsInd[[#This Row],[Category]]&amp;"-"&amp;IF(ResultsInd[[#This Row],[LoseInKO]]=ResultsInd[[#This Row],[Category]]&amp;"-"&amp;ResultsInd[[#This Row],[Player A]],ResultsInd[[#This Row],[Player B]],ResultsInd[[#This Row],[Player A]]),""),"")</f>
        <v/>
      </c>
      <c r="AB643" s="8"/>
      <c r="AC643" s="8"/>
      <c r="AE643" s="90"/>
      <c r="AF643" s="90"/>
      <c r="AP643" s="8"/>
      <c r="AQ643" s="8"/>
      <c r="AR643" s="8"/>
      <c r="AS643" s="8"/>
      <c r="AT643" s="8"/>
      <c r="AU643" s="8"/>
      <c r="AV643" s="8"/>
      <c r="AW643" s="8"/>
      <c r="AX643" s="8"/>
      <c r="AY643" s="90"/>
      <c r="AZ643" s="90"/>
      <c r="BA643" s="90"/>
      <c r="BB643" s="90"/>
      <c r="BC643" s="90"/>
      <c r="BD643" s="90"/>
      <c r="BE643" s="90"/>
      <c r="BF643" s="90"/>
    </row>
    <row r="644" spans="1:58" x14ac:dyDescent="0.2">
      <c r="A644" s="62" t="s">
        <v>12262</v>
      </c>
      <c r="B644" s="62" t="s">
        <v>12212</v>
      </c>
      <c r="C644" s="62"/>
      <c r="D644" s="62"/>
      <c r="E644" s="345" t="s">
        <v>10542</v>
      </c>
      <c r="F644" s="345" t="s">
        <v>9263</v>
      </c>
      <c r="G644" s="113">
        <v>5</v>
      </c>
      <c r="H644" s="113">
        <v>1</v>
      </c>
      <c r="I644" s="114"/>
      <c r="J644" s="114"/>
      <c r="K644" s="114"/>
      <c r="L644" s="81"/>
      <c r="M644" s="265" t="b">
        <f>NOT(ISERROR(ResultsInd[[#This Row],[Goal-A]]+ResultsInd[[#This Row],[Goal-B]]))</f>
        <v>1</v>
      </c>
      <c r="N644" s="265">
        <f>VALUE(ResultsInd[[#This Row],[Score-A]])</f>
        <v>5</v>
      </c>
      <c r="O644" s="265">
        <f>VALUE(ResultsInd[[#This Row],[Score-B]])</f>
        <v>1</v>
      </c>
      <c r="P644" s="265">
        <f ca="1">IF(AND(ResultsInd[[#This Row],[Category]]&lt;&gt;"",ResultsInd[[#This Row],[Player A]]&lt;&gt;""),COUNTIF(INDIRECT(ResultsInd[[#This Row],[Category]]&amp;"List[Retained Player Name]"),ResultsInd[[#This Row],[Player A]]),"")</f>
        <v>1</v>
      </c>
      <c r="Q644" s="265">
        <f ca="1">IF(AND(ResultsInd[[#This Row],[Category]]&lt;&gt;"",ResultsInd[[#This Row],[Player B]]&lt;&gt;""),COUNTIF(INDIRECT(ResultsInd[[#This Row],[Category]]&amp;"List[Retained Player Name]"),ResultsInd[[#This Row],[Player B]]),"")</f>
        <v>1</v>
      </c>
      <c r="R6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4" s="265" t="str">
        <f>IF(ResultsInd[[#This Row],[Score_OK]],IF(ResultsInd[[#This Row],[Stage]]="Groups",ResultsInd[[#This Row],[Category]]&amp;"-"&amp;IF(ResultsInd[[#This Row],[Player B]]="","",IF(ResultsInd[[#This Row],[Score-A]]=ResultsInd[[#This Row],[Score-B]],ResultsInd[[#This Row],[Player A]],"")),""),"")</f>
        <v/>
      </c>
      <c r="T644" s="265" t="str">
        <f>IF(ResultsInd[[#This Row],[Score_OK]],IF(ResultsInd[[#This Row],[Stage]]="Groups",ResultsInd[[#This Row],[Category]]&amp;"-"&amp;IF(ResultsInd[[#This Row],[Player B]]="","",IF(ResultsInd[[#This Row],[Score-A]]=ResultsInd[[#This Row],[Score-B]],ResultsInd[[#This Row],[Player B]],"")),""),"")</f>
        <v/>
      </c>
      <c r="U6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LADIES-Chrysoula Pappa</v>
      </c>
      <c r="W6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4" s="264" t="str">
        <f>IF(ResultsInd[[#This Row],[Category]]="","",VLOOKUP(ResultsInd[[#This Row],[Stage]],$P$1:$V$9,MATCH(ResultsInd[[#This Row],[Category]],$Q$1:$V$1,0)+1,FALSE))</f>
        <v>Q</v>
      </c>
      <c r="Z644" s="264" t="str">
        <f>IF(ResultsInd[[#This Row],[Score_OK]],IF(ResultsInd[[#This Row],[Level]]="R",ResultsInd[[#This Row],[Category]]&amp;"-"&amp;IF(ResultsInd[[#This Row],[LoseInKO]]=ResultsInd[[#This Row],[Category]]&amp;"-"&amp;ResultsInd[[#This Row],[Player A]],ResultsInd[[#This Row],[Player B]],ResultsInd[[#This Row],[Player A]]),""),"")</f>
        <v/>
      </c>
      <c r="AB644" s="8"/>
      <c r="AC644" s="8"/>
      <c r="AE644" s="90"/>
      <c r="AF644" s="90"/>
      <c r="AP644" s="8"/>
      <c r="AQ644" s="8"/>
      <c r="AR644" s="8"/>
      <c r="AS644" s="8"/>
      <c r="AT644" s="8"/>
      <c r="AU644" s="8"/>
      <c r="AV644" s="8"/>
      <c r="AW644" s="8"/>
      <c r="AX644" s="8"/>
      <c r="AY644" s="90"/>
      <c r="AZ644" s="90"/>
      <c r="BA644" s="90"/>
      <c r="BB644" s="90"/>
      <c r="BC644" s="90"/>
      <c r="BD644" s="90"/>
      <c r="BE644" s="90"/>
      <c r="BF644" s="90"/>
    </row>
    <row r="645" spans="1:58" x14ac:dyDescent="0.2">
      <c r="A645" s="62" t="s">
        <v>12262</v>
      </c>
      <c r="B645" s="62" t="s">
        <v>12212</v>
      </c>
      <c r="C645" s="62"/>
      <c r="D645" s="62"/>
      <c r="E645" s="345" t="s">
        <v>8074</v>
      </c>
      <c r="F645" s="345" t="s">
        <v>12366</v>
      </c>
      <c r="G645" s="113">
        <v>0</v>
      </c>
      <c r="H645" s="113">
        <v>2</v>
      </c>
      <c r="I645" s="114"/>
      <c r="J645" s="114"/>
      <c r="K645" s="114"/>
      <c r="L645" s="81"/>
      <c r="M645" s="265" t="b">
        <f>NOT(ISERROR(ResultsInd[[#This Row],[Goal-A]]+ResultsInd[[#This Row],[Goal-B]]))</f>
        <v>1</v>
      </c>
      <c r="N645" s="265">
        <f>VALUE(ResultsInd[[#This Row],[Score-A]])</f>
        <v>0</v>
      </c>
      <c r="O645" s="265">
        <f>VALUE(ResultsInd[[#This Row],[Score-B]])</f>
        <v>2</v>
      </c>
      <c r="P645" s="265">
        <f ca="1">IF(AND(ResultsInd[[#This Row],[Category]]&lt;&gt;"",ResultsInd[[#This Row],[Player A]]&lt;&gt;""),COUNTIF(INDIRECT(ResultsInd[[#This Row],[Category]]&amp;"List[Retained Player Name]"),ResultsInd[[#This Row],[Player A]]),"")</f>
        <v>1</v>
      </c>
      <c r="Q645" s="265">
        <f ca="1">IF(AND(ResultsInd[[#This Row],[Category]]&lt;&gt;"",ResultsInd[[#This Row],[Player B]]&lt;&gt;""),COUNTIF(INDIRECT(ResultsInd[[#This Row],[Category]]&amp;"List[Retained Player Name]"),ResultsInd[[#This Row],[Player B]]),"")</f>
        <v>1</v>
      </c>
      <c r="R6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5" s="265" t="str">
        <f>IF(ResultsInd[[#This Row],[Score_OK]],IF(ResultsInd[[#This Row],[Stage]]="Groups",ResultsInd[[#This Row],[Category]]&amp;"-"&amp;IF(ResultsInd[[#This Row],[Player B]]="","",IF(ResultsInd[[#This Row],[Score-A]]=ResultsInd[[#This Row],[Score-B]],ResultsInd[[#This Row],[Player A]],"")),""),"")</f>
        <v/>
      </c>
      <c r="T645" s="265" t="str">
        <f>IF(ResultsInd[[#This Row],[Score_OK]],IF(ResultsInd[[#This Row],[Stage]]="Groups",ResultsInd[[#This Row],[Category]]&amp;"-"&amp;IF(ResultsInd[[#This Row],[Player B]]="","",IF(ResultsInd[[#This Row],[Score-A]]=ResultsInd[[#This Row],[Score-B]],ResultsInd[[#This Row],[Player B]],"")),""),"")</f>
        <v/>
      </c>
      <c r="U6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LADIES-Elodie Bertholet</v>
      </c>
      <c r="W6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5" s="264" t="str">
        <f>IF(ResultsInd[[#This Row],[Category]]="","",VLOOKUP(ResultsInd[[#This Row],[Stage]],$P$1:$V$9,MATCH(ResultsInd[[#This Row],[Category]],$Q$1:$V$1,0)+1,FALSE))</f>
        <v>Q</v>
      </c>
      <c r="Z645" s="264" t="str">
        <f>IF(ResultsInd[[#This Row],[Score_OK]],IF(ResultsInd[[#This Row],[Level]]="R",ResultsInd[[#This Row],[Category]]&amp;"-"&amp;IF(ResultsInd[[#This Row],[LoseInKO]]=ResultsInd[[#This Row],[Category]]&amp;"-"&amp;ResultsInd[[#This Row],[Player A]],ResultsInd[[#This Row],[Player B]],ResultsInd[[#This Row],[Player A]]),""),"")</f>
        <v/>
      </c>
      <c r="AB645" s="8"/>
      <c r="AC645" s="8"/>
      <c r="AE645" s="90"/>
      <c r="AF645" s="90"/>
      <c r="AP645" s="8"/>
      <c r="AQ645" s="8"/>
      <c r="AR645" s="8"/>
      <c r="AS645" s="8"/>
      <c r="AT645" s="8"/>
      <c r="AU645" s="8"/>
      <c r="AV645" s="8"/>
      <c r="AW645" s="8"/>
      <c r="AX645" s="8"/>
      <c r="AY645" s="90"/>
      <c r="AZ645" s="90"/>
      <c r="BA645" s="90"/>
      <c r="BB645" s="90"/>
      <c r="BC645" s="90"/>
      <c r="BD645" s="90"/>
      <c r="BE645" s="90"/>
      <c r="BF645" s="90"/>
    </row>
    <row r="646" spans="1:58" x14ac:dyDescent="0.2">
      <c r="A646" s="62" t="s">
        <v>12262</v>
      </c>
      <c r="B646" s="62" t="s">
        <v>12212</v>
      </c>
      <c r="C646" s="62"/>
      <c r="D646" s="62"/>
      <c r="E646" s="345" t="s">
        <v>8146</v>
      </c>
      <c r="F646" s="345" t="s">
        <v>8184</v>
      </c>
      <c r="G646" s="113">
        <v>2</v>
      </c>
      <c r="H646" s="113">
        <v>1</v>
      </c>
      <c r="I646" s="114"/>
      <c r="J646" s="114"/>
      <c r="K646" s="114"/>
      <c r="L646" s="81"/>
      <c r="M646" s="265" t="b">
        <f>NOT(ISERROR(ResultsInd[[#This Row],[Goal-A]]+ResultsInd[[#This Row],[Goal-B]]))</f>
        <v>1</v>
      </c>
      <c r="N646" s="265">
        <f>VALUE(ResultsInd[[#This Row],[Score-A]])</f>
        <v>2</v>
      </c>
      <c r="O646" s="265">
        <f>VALUE(ResultsInd[[#This Row],[Score-B]])</f>
        <v>1</v>
      </c>
      <c r="P646" s="265">
        <f ca="1">IF(AND(ResultsInd[[#This Row],[Category]]&lt;&gt;"",ResultsInd[[#This Row],[Player A]]&lt;&gt;""),COUNTIF(INDIRECT(ResultsInd[[#This Row],[Category]]&amp;"List[Retained Player Name]"),ResultsInd[[#This Row],[Player A]]),"")</f>
        <v>1</v>
      </c>
      <c r="Q646" s="265">
        <f ca="1">IF(AND(ResultsInd[[#This Row],[Category]]&lt;&gt;"",ResultsInd[[#This Row],[Player B]]&lt;&gt;""),COUNTIF(INDIRECT(ResultsInd[[#This Row],[Category]]&amp;"List[Retained Player Name]"),ResultsInd[[#This Row],[Player B]]),"")</f>
        <v>1</v>
      </c>
      <c r="R6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6" s="265" t="str">
        <f>IF(ResultsInd[[#This Row],[Score_OK]],IF(ResultsInd[[#This Row],[Stage]]="Groups",ResultsInd[[#This Row],[Category]]&amp;"-"&amp;IF(ResultsInd[[#This Row],[Player B]]="","",IF(ResultsInd[[#This Row],[Score-A]]=ResultsInd[[#This Row],[Score-B]],ResultsInd[[#This Row],[Player A]],"")),""),"")</f>
        <v/>
      </c>
      <c r="T646" s="265" t="str">
        <f>IF(ResultsInd[[#This Row],[Score_OK]],IF(ResultsInd[[#This Row],[Stage]]="Groups",ResultsInd[[#This Row],[Category]]&amp;"-"&amp;IF(ResultsInd[[#This Row],[Player B]]="","",IF(ResultsInd[[#This Row],[Score-A]]=ResultsInd[[#This Row],[Score-B]],ResultsInd[[#This Row],[Player B]],"")),""),"")</f>
        <v/>
      </c>
      <c r="U6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LADIES-Mélina Scheen</v>
      </c>
      <c r="W6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6" s="264" t="str">
        <f>IF(ResultsInd[[#This Row],[Category]]="","",VLOOKUP(ResultsInd[[#This Row],[Stage]],$P$1:$V$9,MATCH(ResultsInd[[#This Row],[Category]],$Q$1:$V$1,0)+1,FALSE))</f>
        <v>Q</v>
      </c>
      <c r="Z646" s="264" t="str">
        <f>IF(ResultsInd[[#This Row],[Score_OK]],IF(ResultsInd[[#This Row],[Level]]="R",ResultsInd[[#This Row],[Category]]&amp;"-"&amp;IF(ResultsInd[[#This Row],[LoseInKO]]=ResultsInd[[#This Row],[Category]]&amp;"-"&amp;ResultsInd[[#This Row],[Player A]],ResultsInd[[#This Row],[Player B]],ResultsInd[[#This Row],[Player A]]),""),"")</f>
        <v/>
      </c>
      <c r="AB646" s="8"/>
      <c r="AC646" s="8"/>
      <c r="AE646" s="90"/>
      <c r="AF646" s="90"/>
      <c r="AP646" s="8"/>
      <c r="AQ646" s="8"/>
      <c r="AR646" s="8"/>
      <c r="AS646" s="8"/>
      <c r="AT646" s="8"/>
      <c r="AU646" s="8"/>
      <c r="AV646" s="8"/>
      <c r="AW646" s="8"/>
      <c r="AX646" s="8"/>
      <c r="AY646" s="90"/>
      <c r="AZ646" s="90"/>
      <c r="BA646" s="90"/>
      <c r="BB646" s="90"/>
      <c r="BC646" s="90"/>
      <c r="BD646" s="90"/>
      <c r="BE646" s="90"/>
      <c r="BF646" s="90"/>
    </row>
    <row r="647" spans="1:58" x14ac:dyDescent="0.2">
      <c r="A647" s="62" t="s">
        <v>12262</v>
      </c>
      <c r="B647" s="62" t="s">
        <v>12212</v>
      </c>
      <c r="C647" s="62"/>
      <c r="D647" s="62"/>
      <c r="E647" s="345" t="s">
        <v>8071</v>
      </c>
      <c r="F647" s="345" t="s">
        <v>8704</v>
      </c>
      <c r="G647" s="113">
        <v>0</v>
      </c>
      <c r="H647" s="113">
        <v>3</v>
      </c>
      <c r="I647" s="114"/>
      <c r="J647" s="114"/>
      <c r="K647" s="114"/>
      <c r="L647" s="81"/>
      <c r="M647" s="265" t="b">
        <f>NOT(ISERROR(ResultsInd[[#This Row],[Goal-A]]+ResultsInd[[#This Row],[Goal-B]]))</f>
        <v>1</v>
      </c>
      <c r="N647" s="265">
        <f>VALUE(ResultsInd[[#This Row],[Score-A]])</f>
        <v>0</v>
      </c>
      <c r="O647" s="265">
        <f>VALUE(ResultsInd[[#This Row],[Score-B]])</f>
        <v>3</v>
      </c>
      <c r="P647" s="265">
        <f ca="1">IF(AND(ResultsInd[[#This Row],[Category]]&lt;&gt;"",ResultsInd[[#This Row],[Player A]]&lt;&gt;""),COUNTIF(INDIRECT(ResultsInd[[#This Row],[Category]]&amp;"List[Retained Player Name]"),ResultsInd[[#This Row],[Player A]]),"")</f>
        <v>1</v>
      </c>
      <c r="Q647" s="265">
        <f ca="1">IF(AND(ResultsInd[[#This Row],[Category]]&lt;&gt;"",ResultsInd[[#This Row],[Player B]]&lt;&gt;""),COUNTIF(INDIRECT(ResultsInd[[#This Row],[Category]]&amp;"List[Retained Player Name]"),ResultsInd[[#This Row],[Player B]]),"")</f>
        <v>1</v>
      </c>
      <c r="R6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7" s="265" t="str">
        <f>IF(ResultsInd[[#This Row],[Score_OK]],IF(ResultsInd[[#This Row],[Stage]]="Groups",ResultsInd[[#This Row],[Category]]&amp;"-"&amp;IF(ResultsInd[[#This Row],[Player B]]="","",IF(ResultsInd[[#This Row],[Score-A]]=ResultsInd[[#This Row],[Score-B]],ResultsInd[[#This Row],[Player A]],"")),""),"")</f>
        <v/>
      </c>
      <c r="T647" s="265" t="str">
        <f>IF(ResultsInd[[#This Row],[Score_OK]],IF(ResultsInd[[#This Row],[Stage]]="Groups",ResultsInd[[#This Row],[Category]]&amp;"-"&amp;IF(ResultsInd[[#This Row],[Player B]]="","",IF(ResultsInd[[#This Row],[Score-A]]=ResultsInd[[#This Row],[Score-B]],ResultsInd[[#This Row],[Player B]],"")),""),"")</f>
        <v/>
      </c>
      <c r="U6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LADIES-Katharina Waldorf-Busch</v>
      </c>
      <c r="W6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7" s="264" t="str">
        <f>IF(ResultsInd[[#This Row],[Category]]="","",VLOOKUP(ResultsInd[[#This Row],[Stage]],$P$1:$V$9,MATCH(ResultsInd[[#This Row],[Category]],$Q$1:$V$1,0)+1,FALSE))</f>
        <v>Q</v>
      </c>
      <c r="Z647" s="264" t="str">
        <f>IF(ResultsInd[[#This Row],[Score_OK]],IF(ResultsInd[[#This Row],[Level]]="R",ResultsInd[[#This Row],[Category]]&amp;"-"&amp;IF(ResultsInd[[#This Row],[LoseInKO]]=ResultsInd[[#This Row],[Category]]&amp;"-"&amp;ResultsInd[[#This Row],[Player A]],ResultsInd[[#This Row],[Player B]],ResultsInd[[#This Row],[Player A]]),""),"")</f>
        <v/>
      </c>
      <c r="AB647" s="8"/>
      <c r="AC647" s="8"/>
      <c r="AE647" s="90"/>
      <c r="AF647" s="90"/>
      <c r="AP647" s="8"/>
      <c r="AQ647" s="8"/>
      <c r="AR647" s="8"/>
      <c r="AS647" s="8"/>
      <c r="AT647" s="8"/>
      <c r="AU647" s="8"/>
      <c r="AV647" s="8"/>
      <c r="AW647" s="8"/>
      <c r="AX647" s="8"/>
      <c r="AY647" s="90"/>
      <c r="AZ647" s="90"/>
      <c r="BA647" s="90"/>
      <c r="BB647" s="90"/>
      <c r="BC647" s="90"/>
      <c r="BD647" s="90"/>
      <c r="BE647" s="90"/>
      <c r="BF647" s="90"/>
    </row>
    <row r="648" spans="1:58" x14ac:dyDescent="0.2">
      <c r="A648" s="62" t="s">
        <v>1023</v>
      </c>
      <c r="B648" s="62" t="s">
        <v>12212</v>
      </c>
      <c r="C648" s="62"/>
      <c r="D648" s="62"/>
      <c r="E648" s="345" t="s">
        <v>8722</v>
      </c>
      <c r="F648" s="345" t="s">
        <v>8721</v>
      </c>
      <c r="G648" s="113">
        <v>5</v>
      </c>
      <c r="H648" s="113">
        <v>1</v>
      </c>
      <c r="I648" s="114"/>
      <c r="J648" s="114"/>
      <c r="K648" s="114"/>
      <c r="L648" s="81"/>
      <c r="M648" s="265" t="b">
        <f>NOT(ISERROR(ResultsInd[[#This Row],[Goal-A]]+ResultsInd[[#This Row],[Goal-B]]))</f>
        <v>1</v>
      </c>
      <c r="N648" s="265">
        <f>VALUE(ResultsInd[[#This Row],[Score-A]])</f>
        <v>5</v>
      </c>
      <c r="O648" s="265">
        <f>VALUE(ResultsInd[[#This Row],[Score-B]])</f>
        <v>1</v>
      </c>
      <c r="P648" s="265">
        <f ca="1">IF(AND(ResultsInd[[#This Row],[Category]]&lt;&gt;"",ResultsInd[[#This Row],[Player A]]&lt;&gt;""),COUNTIF(INDIRECT(ResultsInd[[#This Row],[Category]]&amp;"List[Retained Player Name]"),ResultsInd[[#This Row],[Player A]]),"")</f>
        <v>1</v>
      </c>
      <c r="Q648" s="265">
        <f ca="1">IF(AND(ResultsInd[[#This Row],[Category]]&lt;&gt;"",ResultsInd[[#This Row],[Player B]]&lt;&gt;""),COUNTIF(INDIRECT(ResultsInd[[#This Row],[Category]]&amp;"List[Retained Player Name]"),ResultsInd[[#This Row],[Player B]]),"")</f>
        <v>1</v>
      </c>
      <c r="R6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8" s="265" t="str">
        <f>IF(ResultsInd[[#This Row],[Score_OK]],IF(ResultsInd[[#This Row],[Stage]]="Groups",ResultsInd[[#This Row],[Category]]&amp;"-"&amp;IF(ResultsInd[[#This Row],[Player B]]="","",IF(ResultsInd[[#This Row],[Score-A]]=ResultsInd[[#This Row],[Score-B]],ResultsInd[[#This Row],[Player A]],"")),""),"")</f>
        <v/>
      </c>
      <c r="T648" s="265" t="str">
        <f>IF(ResultsInd[[#This Row],[Score_OK]],IF(ResultsInd[[#This Row],[Stage]]="Groups",ResultsInd[[#This Row],[Category]]&amp;"-"&amp;IF(ResultsInd[[#This Row],[Player B]]="","",IF(ResultsInd[[#This Row],[Score-A]]=ResultsInd[[#This Row],[Score-B]],ResultsInd[[#This Row],[Player B]],"")),""),"")</f>
        <v/>
      </c>
      <c r="U6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U16-Rafaël Midoux</v>
      </c>
      <c r="W6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8" s="264" t="str">
        <f>IF(ResultsInd[[#This Row],[Category]]="","",VLOOKUP(ResultsInd[[#This Row],[Stage]],$P$1:$V$9,MATCH(ResultsInd[[#This Row],[Category]],$Q$1:$V$1,0)+1,FALSE))</f>
        <v>Q</v>
      </c>
      <c r="Z648" s="264" t="str">
        <f>IF(ResultsInd[[#This Row],[Score_OK]],IF(ResultsInd[[#This Row],[Level]]="R",ResultsInd[[#This Row],[Category]]&amp;"-"&amp;IF(ResultsInd[[#This Row],[LoseInKO]]=ResultsInd[[#This Row],[Category]]&amp;"-"&amp;ResultsInd[[#This Row],[Player A]],ResultsInd[[#This Row],[Player B]],ResultsInd[[#This Row],[Player A]]),""),"")</f>
        <v/>
      </c>
      <c r="AB648" s="8"/>
      <c r="AC648" s="8"/>
      <c r="AE648" s="90"/>
      <c r="AF648" s="90"/>
      <c r="AP648" s="8"/>
      <c r="AQ648" s="8"/>
      <c r="AR648" s="8"/>
      <c r="AS648" s="8"/>
      <c r="AT648" s="8"/>
      <c r="AU648" s="8"/>
      <c r="AV648" s="8"/>
      <c r="AW648" s="8"/>
      <c r="AX648" s="8"/>
      <c r="AY648" s="90"/>
      <c r="AZ648" s="90"/>
      <c r="BA648" s="90"/>
      <c r="BB648" s="90"/>
      <c r="BC648" s="90"/>
      <c r="BD648" s="90"/>
      <c r="BE648" s="90"/>
      <c r="BF648" s="90"/>
    </row>
    <row r="649" spans="1:58" x14ac:dyDescent="0.2">
      <c r="A649" s="62" t="s">
        <v>1023</v>
      </c>
      <c r="B649" s="62" t="s">
        <v>12212</v>
      </c>
      <c r="C649" s="62"/>
      <c r="D649" s="62"/>
      <c r="E649" s="345" t="s">
        <v>8162</v>
      </c>
      <c r="F649" s="345" t="s">
        <v>8193</v>
      </c>
      <c r="G649" s="113">
        <v>2</v>
      </c>
      <c r="H649" s="113">
        <v>1</v>
      </c>
      <c r="I649" s="114" t="s">
        <v>14586</v>
      </c>
      <c r="J649" s="114"/>
      <c r="K649" s="114"/>
      <c r="L649" s="81"/>
      <c r="M649" s="265" t="b">
        <f>NOT(ISERROR(ResultsInd[[#This Row],[Goal-A]]+ResultsInd[[#This Row],[Goal-B]]))</f>
        <v>1</v>
      </c>
      <c r="N649" s="265">
        <f>VALUE(ResultsInd[[#This Row],[Score-A]])</f>
        <v>2</v>
      </c>
      <c r="O649" s="265">
        <f>VALUE(ResultsInd[[#This Row],[Score-B]])</f>
        <v>1</v>
      </c>
      <c r="P649" s="265">
        <f ca="1">IF(AND(ResultsInd[[#This Row],[Category]]&lt;&gt;"",ResultsInd[[#This Row],[Player A]]&lt;&gt;""),COUNTIF(INDIRECT(ResultsInd[[#This Row],[Category]]&amp;"List[Retained Player Name]"),ResultsInd[[#This Row],[Player A]]),"")</f>
        <v>1</v>
      </c>
      <c r="Q649" s="265">
        <f ca="1">IF(AND(ResultsInd[[#This Row],[Category]]&lt;&gt;"",ResultsInd[[#This Row],[Player B]]&lt;&gt;""),COUNTIF(INDIRECT(ResultsInd[[#This Row],[Category]]&amp;"List[Retained Player Name]"),ResultsInd[[#This Row],[Player B]]),"")</f>
        <v>1</v>
      </c>
      <c r="R6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9" s="265" t="str">
        <f>IF(ResultsInd[[#This Row],[Score_OK]],IF(ResultsInd[[#This Row],[Stage]]="Groups",ResultsInd[[#This Row],[Category]]&amp;"-"&amp;IF(ResultsInd[[#This Row],[Player B]]="","",IF(ResultsInd[[#This Row],[Score-A]]=ResultsInd[[#This Row],[Score-B]],ResultsInd[[#This Row],[Player A]],"")),""),"")</f>
        <v/>
      </c>
      <c r="T649" s="265" t="str">
        <f>IF(ResultsInd[[#This Row],[Score_OK]],IF(ResultsInd[[#This Row],[Stage]]="Groups",ResultsInd[[#This Row],[Category]]&amp;"-"&amp;IF(ResultsInd[[#This Row],[Player B]]="","",IF(ResultsInd[[#This Row],[Score-A]]=ResultsInd[[#This Row],[Score-B]],ResultsInd[[#This Row],[Player B]],"")),""),"")</f>
        <v/>
      </c>
      <c r="U6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U16-Noah Dirick</v>
      </c>
      <c r="W6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49" s="264" t="str">
        <f>IF(ResultsInd[[#This Row],[Category]]="","",VLOOKUP(ResultsInd[[#This Row],[Stage]],$P$1:$V$9,MATCH(ResultsInd[[#This Row],[Category]],$Q$1:$V$1,0)+1,FALSE))</f>
        <v>Q</v>
      </c>
      <c r="Z649" s="264" t="str">
        <f>IF(ResultsInd[[#This Row],[Score_OK]],IF(ResultsInd[[#This Row],[Level]]="R",ResultsInd[[#This Row],[Category]]&amp;"-"&amp;IF(ResultsInd[[#This Row],[LoseInKO]]=ResultsInd[[#This Row],[Category]]&amp;"-"&amp;ResultsInd[[#This Row],[Player A]],ResultsInd[[#This Row],[Player B]],ResultsInd[[#This Row],[Player A]]),""),"")</f>
        <v/>
      </c>
      <c r="AB649" s="8"/>
      <c r="AC649" s="8"/>
      <c r="AE649" s="90"/>
      <c r="AF649" s="90"/>
      <c r="AP649" s="8"/>
      <c r="AQ649" s="8"/>
      <c r="AR649" s="8"/>
      <c r="AS649" s="8"/>
      <c r="AT649" s="8"/>
      <c r="AU649" s="8"/>
      <c r="AV649" s="8"/>
      <c r="AW649" s="8"/>
      <c r="AX649" s="8"/>
      <c r="AY649" s="90"/>
      <c r="AZ649" s="90"/>
      <c r="BA649" s="90"/>
      <c r="BB649" s="90"/>
      <c r="BC649" s="90"/>
      <c r="BD649" s="90"/>
      <c r="BE649" s="90"/>
      <c r="BF649" s="90"/>
    </row>
    <row r="650" spans="1:58" x14ac:dyDescent="0.2">
      <c r="A650" s="62" t="s">
        <v>1023</v>
      </c>
      <c r="B650" s="62" t="s">
        <v>12212</v>
      </c>
      <c r="C650" s="62"/>
      <c r="D650" s="62"/>
      <c r="E650" s="345" t="s">
        <v>10446</v>
      </c>
      <c r="F650" s="345" t="s">
        <v>8161</v>
      </c>
      <c r="G650" s="113">
        <v>4</v>
      </c>
      <c r="H650" s="113">
        <v>3</v>
      </c>
      <c r="I650" s="114" t="s">
        <v>14586</v>
      </c>
      <c r="J650" s="114"/>
      <c r="K650" s="114"/>
      <c r="L650" s="81"/>
      <c r="M650" s="265" t="b">
        <f>NOT(ISERROR(ResultsInd[[#This Row],[Goal-A]]+ResultsInd[[#This Row],[Goal-B]]))</f>
        <v>1</v>
      </c>
      <c r="N650" s="265">
        <f>VALUE(ResultsInd[[#This Row],[Score-A]])</f>
        <v>4</v>
      </c>
      <c r="O650" s="265">
        <f>VALUE(ResultsInd[[#This Row],[Score-B]])</f>
        <v>3</v>
      </c>
      <c r="P650" s="265">
        <f ca="1">IF(AND(ResultsInd[[#This Row],[Category]]&lt;&gt;"",ResultsInd[[#This Row],[Player A]]&lt;&gt;""),COUNTIF(INDIRECT(ResultsInd[[#This Row],[Category]]&amp;"List[Retained Player Name]"),ResultsInd[[#This Row],[Player A]]),"")</f>
        <v>1</v>
      </c>
      <c r="Q650" s="265">
        <f ca="1">IF(AND(ResultsInd[[#This Row],[Category]]&lt;&gt;"",ResultsInd[[#This Row],[Player B]]&lt;&gt;""),COUNTIF(INDIRECT(ResultsInd[[#This Row],[Category]]&amp;"List[Retained Player Name]"),ResultsInd[[#This Row],[Player B]]),"")</f>
        <v>1</v>
      </c>
      <c r="R6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0" s="265" t="str">
        <f>IF(ResultsInd[[#This Row],[Score_OK]],IF(ResultsInd[[#This Row],[Stage]]="Groups",ResultsInd[[#This Row],[Category]]&amp;"-"&amp;IF(ResultsInd[[#This Row],[Player B]]="","",IF(ResultsInd[[#This Row],[Score-A]]=ResultsInd[[#This Row],[Score-B]],ResultsInd[[#This Row],[Player A]],"")),""),"")</f>
        <v/>
      </c>
      <c r="T650" s="265" t="str">
        <f>IF(ResultsInd[[#This Row],[Score_OK]],IF(ResultsInd[[#This Row],[Stage]]="Groups",ResultsInd[[#This Row],[Category]]&amp;"-"&amp;IF(ResultsInd[[#This Row],[Player B]]="","",IF(ResultsInd[[#This Row],[Score-A]]=ResultsInd[[#This Row],[Score-B]],ResultsInd[[#This Row],[Player B]],"")),""),"")</f>
        <v/>
      </c>
      <c r="U6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U16-Benjamin Marain</v>
      </c>
      <c r="W6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50" s="264" t="str">
        <f>IF(ResultsInd[[#This Row],[Category]]="","",VLOOKUP(ResultsInd[[#This Row],[Stage]],$P$1:$V$9,MATCH(ResultsInd[[#This Row],[Category]],$Q$1:$V$1,0)+1,FALSE))</f>
        <v>Q</v>
      </c>
      <c r="Z650" s="264" t="str">
        <f>IF(ResultsInd[[#This Row],[Score_OK]],IF(ResultsInd[[#This Row],[Level]]="R",ResultsInd[[#This Row],[Category]]&amp;"-"&amp;IF(ResultsInd[[#This Row],[LoseInKO]]=ResultsInd[[#This Row],[Category]]&amp;"-"&amp;ResultsInd[[#This Row],[Player A]],ResultsInd[[#This Row],[Player B]],ResultsInd[[#This Row],[Player A]]),""),"")</f>
        <v/>
      </c>
      <c r="AB650" s="8"/>
      <c r="AC650" s="8"/>
      <c r="AE650" s="90"/>
      <c r="AF650" s="90"/>
      <c r="AP650" s="8"/>
      <c r="AQ650" s="8"/>
      <c r="AR650" s="8"/>
      <c r="AS650" s="8"/>
      <c r="AT650" s="8"/>
      <c r="AU650" s="8"/>
      <c r="AV650" s="8"/>
      <c r="AW650" s="8"/>
      <c r="AX650" s="8"/>
      <c r="AY650" s="90"/>
      <c r="AZ650" s="90"/>
      <c r="BA650" s="90"/>
      <c r="BB650" s="90"/>
      <c r="BC650" s="90"/>
      <c r="BD650" s="90"/>
      <c r="BE650" s="90"/>
      <c r="BF650" s="90"/>
    </row>
    <row r="651" spans="1:58" x14ac:dyDescent="0.2">
      <c r="A651" s="62" t="s">
        <v>1023</v>
      </c>
      <c r="B651" s="62" t="s">
        <v>12212</v>
      </c>
      <c r="C651" s="62"/>
      <c r="D651" s="62"/>
      <c r="E651" s="345" t="s">
        <v>8179</v>
      </c>
      <c r="F651" s="345" t="s">
        <v>8589</v>
      </c>
      <c r="G651" s="113">
        <v>1</v>
      </c>
      <c r="H651" s="113">
        <v>4</v>
      </c>
      <c r="I651" s="114"/>
      <c r="J651" s="114"/>
      <c r="K651" s="114"/>
      <c r="L651" s="81"/>
      <c r="M651" s="265" t="b">
        <f>NOT(ISERROR(ResultsInd[[#This Row],[Goal-A]]+ResultsInd[[#This Row],[Goal-B]]))</f>
        <v>1</v>
      </c>
      <c r="N651" s="265">
        <f>VALUE(ResultsInd[[#This Row],[Score-A]])</f>
        <v>1</v>
      </c>
      <c r="O651" s="265">
        <f>VALUE(ResultsInd[[#This Row],[Score-B]])</f>
        <v>4</v>
      </c>
      <c r="P651" s="265">
        <f ca="1">IF(AND(ResultsInd[[#This Row],[Category]]&lt;&gt;"",ResultsInd[[#This Row],[Player A]]&lt;&gt;""),COUNTIF(INDIRECT(ResultsInd[[#This Row],[Category]]&amp;"List[Retained Player Name]"),ResultsInd[[#This Row],[Player A]]),"")</f>
        <v>1</v>
      </c>
      <c r="Q651" s="265">
        <f ca="1">IF(AND(ResultsInd[[#This Row],[Category]]&lt;&gt;"",ResultsInd[[#This Row],[Player B]]&lt;&gt;""),COUNTIF(INDIRECT(ResultsInd[[#This Row],[Category]]&amp;"List[Retained Player Name]"),ResultsInd[[#This Row],[Player B]]),"")</f>
        <v>1</v>
      </c>
      <c r="R6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1" s="265" t="str">
        <f>IF(ResultsInd[[#This Row],[Score_OK]],IF(ResultsInd[[#This Row],[Stage]]="Groups",ResultsInd[[#This Row],[Category]]&amp;"-"&amp;IF(ResultsInd[[#This Row],[Player B]]="","",IF(ResultsInd[[#This Row],[Score-A]]=ResultsInd[[#This Row],[Score-B]],ResultsInd[[#This Row],[Player A]],"")),""),"")</f>
        <v/>
      </c>
      <c r="T651" s="265" t="str">
        <f>IF(ResultsInd[[#This Row],[Score_OK]],IF(ResultsInd[[#This Row],[Stage]]="Groups",ResultsInd[[#This Row],[Category]]&amp;"-"&amp;IF(ResultsInd[[#This Row],[Player B]]="","",IF(ResultsInd[[#This Row],[Score-A]]=ResultsInd[[#This Row],[Score-B]],ResultsInd[[#This Row],[Player B]],"")),""),"")</f>
        <v/>
      </c>
      <c r="U6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U16-Maxim Grosdent</v>
      </c>
      <c r="W6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51" s="264" t="str">
        <f>IF(ResultsInd[[#This Row],[Category]]="","",VLOOKUP(ResultsInd[[#This Row],[Stage]],$P$1:$V$9,MATCH(ResultsInd[[#This Row],[Category]],$Q$1:$V$1,0)+1,FALSE))</f>
        <v>Q</v>
      </c>
      <c r="Z651" s="264" t="str">
        <f>IF(ResultsInd[[#This Row],[Score_OK]],IF(ResultsInd[[#This Row],[Level]]="R",ResultsInd[[#This Row],[Category]]&amp;"-"&amp;IF(ResultsInd[[#This Row],[LoseInKO]]=ResultsInd[[#This Row],[Category]]&amp;"-"&amp;ResultsInd[[#This Row],[Player A]],ResultsInd[[#This Row],[Player B]],ResultsInd[[#This Row],[Player A]]),""),"")</f>
        <v/>
      </c>
      <c r="AB651" s="8"/>
      <c r="AC651" s="8"/>
      <c r="AE651" s="90"/>
      <c r="AF651" s="90"/>
      <c r="AP651" s="8"/>
      <c r="AQ651" s="8"/>
      <c r="AR651" s="8"/>
      <c r="AS651" s="8"/>
      <c r="AT651" s="8"/>
      <c r="AU651" s="8"/>
      <c r="AV651" s="8"/>
      <c r="AW651" s="8"/>
      <c r="AX651" s="8"/>
      <c r="AY651" s="90"/>
      <c r="AZ651" s="90"/>
      <c r="BA651" s="90"/>
      <c r="BB651" s="90"/>
      <c r="BC651" s="90"/>
      <c r="BD651" s="90"/>
      <c r="BE651" s="90"/>
      <c r="BF651" s="90"/>
    </row>
    <row r="652" spans="1:58" x14ac:dyDescent="0.2">
      <c r="A652" s="62" t="s">
        <v>1177</v>
      </c>
      <c r="B652" s="62" t="s">
        <v>12212</v>
      </c>
      <c r="C652" s="62"/>
      <c r="D652" s="62"/>
      <c r="E652" s="345" t="s">
        <v>11636</v>
      </c>
      <c r="F652" s="345" t="s">
        <v>13227</v>
      </c>
      <c r="G652" s="113">
        <v>10</v>
      </c>
      <c r="H652" s="113">
        <v>0</v>
      </c>
      <c r="I652" s="114"/>
      <c r="J652" s="114"/>
      <c r="K652" s="114"/>
      <c r="L652" s="81"/>
      <c r="M652" s="265" t="b">
        <f>NOT(ISERROR(ResultsInd[[#This Row],[Goal-A]]+ResultsInd[[#This Row],[Goal-B]]))</f>
        <v>1</v>
      </c>
      <c r="N652" s="265">
        <f>VALUE(ResultsInd[[#This Row],[Score-A]])</f>
        <v>10</v>
      </c>
      <c r="O652" s="265">
        <f>VALUE(ResultsInd[[#This Row],[Score-B]])</f>
        <v>0</v>
      </c>
      <c r="P652" s="265">
        <f ca="1">IF(AND(ResultsInd[[#This Row],[Category]]&lt;&gt;"",ResultsInd[[#This Row],[Player A]]&lt;&gt;""),COUNTIF(INDIRECT(ResultsInd[[#This Row],[Category]]&amp;"List[Retained Player Name]"),ResultsInd[[#This Row],[Player A]]),"")</f>
        <v>1</v>
      </c>
      <c r="Q652" s="265">
        <f ca="1">IF(AND(ResultsInd[[#This Row],[Category]]&lt;&gt;"",ResultsInd[[#This Row],[Player B]]&lt;&gt;""),COUNTIF(INDIRECT(ResultsInd[[#This Row],[Category]]&amp;"List[Retained Player Name]"),ResultsInd[[#This Row],[Player B]]),"")</f>
        <v>1</v>
      </c>
      <c r="R6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2" s="265" t="str">
        <f>IF(ResultsInd[[#This Row],[Score_OK]],IF(ResultsInd[[#This Row],[Stage]]="Groups",ResultsInd[[#This Row],[Category]]&amp;"-"&amp;IF(ResultsInd[[#This Row],[Player B]]="","",IF(ResultsInd[[#This Row],[Score-A]]=ResultsInd[[#This Row],[Score-B]],ResultsInd[[#This Row],[Player A]],"")),""),"")</f>
        <v/>
      </c>
      <c r="T652" s="265" t="str">
        <f>IF(ResultsInd[[#This Row],[Score_OK]],IF(ResultsInd[[#This Row],[Stage]]="Groups",ResultsInd[[#This Row],[Category]]&amp;"-"&amp;IF(ResultsInd[[#This Row],[Player B]]="","",IF(ResultsInd[[#This Row],[Score-A]]=ResultsInd[[#This Row],[Score-B]],ResultsInd[[#This Row],[Player B]],"")),""),"")</f>
        <v/>
      </c>
      <c r="U6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U12-Adam Guyaux</v>
      </c>
      <c r="W6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52" s="264" t="str">
        <f>IF(ResultsInd[[#This Row],[Category]]="","",VLOOKUP(ResultsInd[[#This Row],[Stage]],$P$1:$V$9,MATCH(ResultsInd[[#This Row],[Category]],$Q$1:$V$1,0)+1,FALSE))</f>
        <v>Q</v>
      </c>
      <c r="Z652" s="264" t="str">
        <f>IF(ResultsInd[[#This Row],[Score_OK]],IF(ResultsInd[[#This Row],[Level]]="R",ResultsInd[[#This Row],[Category]]&amp;"-"&amp;IF(ResultsInd[[#This Row],[LoseInKO]]=ResultsInd[[#This Row],[Category]]&amp;"-"&amp;ResultsInd[[#This Row],[Player A]],ResultsInd[[#This Row],[Player B]],ResultsInd[[#This Row],[Player A]]),""),"")</f>
        <v/>
      </c>
      <c r="AB652" s="8"/>
      <c r="AC652" s="8"/>
      <c r="AE652" s="90"/>
      <c r="AF652" s="90"/>
      <c r="AP652" s="8"/>
      <c r="AQ652" s="8"/>
      <c r="AR652" s="8"/>
      <c r="AS652" s="8"/>
      <c r="AT652" s="8"/>
      <c r="AU652" s="8"/>
      <c r="AV652" s="8"/>
      <c r="AW652" s="8"/>
      <c r="AX652" s="8"/>
      <c r="AY652" s="90"/>
      <c r="AZ652" s="90"/>
      <c r="BA652" s="90"/>
      <c r="BB652" s="90"/>
      <c r="BC652" s="90"/>
      <c r="BD652" s="90"/>
      <c r="BE652" s="90"/>
      <c r="BF652" s="90"/>
    </row>
    <row r="653" spans="1:58" x14ac:dyDescent="0.2">
      <c r="A653" s="62" t="s">
        <v>1177</v>
      </c>
      <c r="B653" s="62" t="s">
        <v>12212</v>
      </c>
      <c r="C653" s="62"/>
      <c r="D653" s="62"/>
      <c r="E653" s="345" t="s">
        <v>12390</v>
      </c>
      <c r="F653" s="345" t="s">
        <v>10007</v>
      </c>
      <c r="G653" s="113">
        <v>0</v>
      </c>
      <c r="H653" s="113">
        <v>6</v>
      </c>
      <c r="I653" s="114"/>
      <c r="J653" s="114"/>
      <c r="K653" s="114"/>
      <c r="L653" s="81"/>
      <c r="M653" s="265" t="b">
        <f>NOT(ISERROR(ResultsInd[[#This Row],[Goal-A]]+ResultsInd[[#This Row],[Goal-B]]))</f>
        <v>1</v>
      </c>
      <c r="N653" s="265">
        <f>VALUE(ResultsInd[[#This Row],[Score-A]])</f>
        <v>0</v>
      </c>
      <c r="O653" s="265">
        <f>VALUE(ResultsInd[[#This Row],[Score-B]])</f>
        <v>6</v>
      </c>
      <c r="P653" s="265">
        <f ca="1">IF(AND(ResultsInd[[#This Row],[Category]]&lt;&gt;"",ResultsInd[[#This Row],[Player A]]&lt;&gt;""),COUNTIF(INDIRECT(ResultsInd[[#This Row],[Category]]&amp;"List[Retained Player Name]"),ResultsInd[[#This Row],[Player A]]),"")</f>
        <v>1</v>
      </c>
      <c r="Q653" s="265">
        <f ca="1">IF(AND(ResultsInd[[#This Row],[Category]]&lt;&gt;"",ResultsInd[[#This Row],[Player B]]&lt;&gt;""),COUNTIF(INDIRECT(ResultsInd[[#This Row],[Category]]&amp;"List[Retained Player Name]"),ResultsInd[[#This Row],[Player B]]),"")</f>
        <v>1</v>
      </c>
      <c r="R6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3" s="265" t="str">
        <f>IF(ResultsInd[[#This Row],[Score_OK]],IF(ResultsInd[[#This Row],[Stage]]="Groups",ResultsInd[[#This Row],[Category]]&amp;"-"&amp;IF(ResultsInd[[#This Row],[Player B]]="","",IF(ResultsInd[[#This Row],[Score-A]]=ResultsInd[[#This Row],[Score-B]],ResultsInd[[#This Row],[Player A]],"")),""),"")</f>
        <v/>
      </c>
      <c r="T653" s="265" t="str">
        <f>IF(ResultsInd[[#This Row],[Score_OK]],IF(ResultsInd[[#This Row],[Stage]]="Groups",ResultsInd[[#This Row],[Category]]&amp;"-"&amp;IF(ResultsInd[[#This Row],[Player B]]="","",IF(ResultsInd[[#This Row],[Score-A]]=ResultsInd[[#This Row],[Score-B]],ResultsInd[[#This Row],[Player B]],"")),""),"")</f>
        <v/>
      </c>
      <c r="U6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U12-Mathis Joachim</v>
      </c>
      <c r="W6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53" s="264" t="str">
        <f>IF(ResultsInd[[#This Row],[Category]]="","",VLOOKUP(ResultsInd[[#This Row],[Stage]],$P$1:$V$9,MATCH(ResultsInd[[#This Row],[Category]],$Q$1:$V$1,0)+1,FALSE))</f>
        <v>Q</v>
      </c>
      <c r="Z653" s="264" t="str">
        <f>IF(ResultsInd[[#This Row],[Score_OK]],IF(ResultsInd[[#This Row],[Level]]="R",ResultsInd[[#This Row],[Category]]&amp;"-"&amp;IF(ResultsInd[[#This Row],[LoseInKO]]=ResultsInd[[#This Row],[Category]]&amp;"-"&amp;ResultsInd[[#This Row],[Player A]],ResultsInd[[#This Row],[Player B]],ResultsInd[[#This Row],[Player A]]),""),"")</f>
        <v/>
      </c>
      <c r="AB653" s="8"/>
      <c r="AC653" s="8"/>
      <c r="AE653" s="90"/>
      <c r="AF653" s="90"/>
      <c r="AP653" s="8"/>
      <c r="AQ653" s="8"/>
      <c r="AR653" s="8"/>
      <c r="AS653" s="8"/>
      <c r="AT653" s="8"/>
      <c r="AU653" s="8"/>
      <c r="AV653" s="8"/>
      <c r="AW653" s="8"/>
      <c r="AX653" s="8"/>
      <c r="AY653" s="90"/>
      <c r="AZ653" s="90"/>
      <c r="BA653" s="90"/>
      <c r="BB653" s="90"/>
      <c r="BC653" s="90"/>
      <c r="BD653" s="90"/>
      <c r="BE653" s="90"/>
      <c r="BF653" s="90"/>
    </row>
    <row r="654" spans="1:58" x14ac:dyDescent="0.2">
      <c r="A654" s="62" t="s">
        <v>1177</v>
      </c>
      <c r="B654" s="62" t="s">
        <v>12212</v>
      </c>
      <c r="C654" s="62"/>
      <c r="D654" s="62"/>
      <c r="E654" s="345" t="s">
        <v>13342</v>
      </c>
      <c r="F654" s="345" t="s">
        <v>12392</v>
      </c>
      <c r="G654" s="113">
        <v>3</v>
      </c>
      <c r="H654" s="113">
        <v>2</v>
      </c>
      <c r="I654" s="114" t="s">
        <v>14586</v>
      </c>
      <c r="J654" s="114"/>
      <c r="K654" s="114"/>
      <c r="L654" s="81"/>
      <c r="M654" s="265" t="b">
        <f>NOT(ISERROR(ResultsInd[[#This Row],[Goal-A]]+ResultsInd[[#This Row],[Goal-B]]))</f>
        <v>1</v>
      </c>
      <c r="N654" s="265">
        <f>VALUE(ResultsInd[[#This Row],[Score-A]])</f>
        <v>3</v>
      </c>
      <c r="O654" s="265">
        <f>VALUE(ResultsInd[[#This Row],[Score-B]])</f>
        <v>2</v>
      </c>
      <c r="P654" s="265">
        <f ca="1">IF(AND(ResultsInd[[#This Row],[Category]]&lt;&gt;"",ResultsInd[[#This Row],[Player A]]&lt;&gt;""),COUNTIF(INDIRECT(ResultsInd[[#This Row],[Category]]&amp;"List[Retained Player Name]"),ResultsInd[[#This Row],[Player A]]),"")</f>
        <v>1</v>
      </c>
      <c r="Q654" s="265">
        <f ca="1">IF(AND(ResultsInd[[#This Row],[Category]]&lt;&gt;"",ResultsInd[[#This Row],[Player B]]&lt;&gt;""),COUNTIF(INDIRECT(ResultsInd[[#This Row],[Category]]&amp;"List[Retained Player Name]"),ResultsInd[[#This Row],[Player B]]),"")</f>
        <v>1</v>
      </c>
      <c r="R6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4" s="265" t="str">
        <f>IF(ResultsInd[[#This Row],[Score_OK]],IF(ResultsInd[[#This Row],[Stage]]="Groups",ResultsInd[[#This Row],[Category]]&amp;"-"&amp;IF(ResultsInd[[#This Row],[Player B]]="","",IF(ResultsInd[[#This Row],[Score-A]]=ResultsInd[[#This Row],[Score-B]],ResultsInd[[#This Row],[Player A]],"")),""),"")</f>
        <v/>
      </c>
      <c r="T654" s="265" t="str">
        <f>IF(ResultsInd[[#This Row],[Score_OK]],IF(ResultsInd[[#This Row],[Stage]]="Groups",ResultsInd[[#This Row],[Category]]&amp;"-"&amp;IF(ResultsInd[[#This Row],[Player B]]="","",IF(ResultsInd[[#This Row],[Score-A]]=ResultsInd[[#This Row],[Score-B]],ResultsInd[[#This Row],[Player B]],"")),""),"")</f>
        <v/>
      </c>
      <c r="U6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U12-Romain Joris</v>
      </c>
      <c r="W6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54" s="264" t="str">
        <f>IF(ResultsInd[[#This Row],[Category]]="","",VLOOKUP(ResultsInd[[#This Row],[Stage]],$P$1:$V$9,MATCH(ResultsInd[[#This Row],[Category]],$Q$1:$V$1,0)+1,FALSE))</f>
        <v>Q</v>
      </c>
      <c r="Z654" s="264" t="str">
        <f>IF(ResultsInd[[#This Row],[Score_OK]],IF(ResultsInd[[#This Row],[Level]]="R",ResultsInd[[#This Row],[Category]]&amp;"-"&amp;IF(ResultsInd[[#This Row],[LoseInKO]]=ResultsInd[[#This Row],[Category]]&amp;"-"&amp;ResultsInd[[#This Row],[Player A]],ResultsInd[[#This Row],[Player B]],ResultsInd[[#This Row],[Player A]]),""),"")</f>
        <v/>
      </c>
      <c r="AB654" s="8"/>
      <c r="AC654" s="8"/>
      <c r="AE654" s="90"/>
      <c r="AF654" s="90"/>
      <c r="AP654" s="8"/>
      <c r="AQ654" s="8"/>
      <c r="AR654" s="8"/>
      <c r="AS654" s="8"/>
      <c r="AT654" s="8"/>
      <c r="AU654" s="8"/>
      <c r="AV654" s="8"/>
      <c r="AW654" s="8"/>
      <c r="AX654" s="8"/>
      <c r="AY654" s="90"/>
      <c r="AZ654" s="90"/>
      <c r="BA654" s="90"/>
      <c r="BB654" s="90"/>
      <c r="BC654" s="90"/>
      <c r="BD654" s="90"/>
      <c r="BE654" s="90"/>
      <c r="BF654" s="90"/>
    </row>
    <row r="655" spans="1:58" x14ac:dyDescent="0.2">
      <c r="A655" s="62" t="s">
        <v>1177</v>
      </c>
      <c r="B655" s="62" t="s">
        <v>12212</v>
      </c>
      <c r="C655" s="62"/>
      <c r="D655" s="62"/>
      <c r="E655" s="345" t="s">
        <v>14507</v>
      </c>
      <c r="F655" s="345" t="s">
        <v>10341</v>
      </c>
      <c r="G655" s="113">
        <v>2</v>
      </c>
      <c r="H655" s="113">
        <v>3</v>
      </c>
      <c r="I655" s="114"/>
      <c r="J655" s="114"/>
      <c r="K655" s="114"/>
      <c r="L655" s="81"/>
      <c r="M655" s="265" t="b">
        <f>NOT(ISERROR(ResultsInd[[#This Row],[Goal-A]]+ResultsInd[[#This Row],[Goal-B]]))</f>
        <v>1</v>
      </c>
      <c r="N655" s="265">
        <f>VALUE(ResultsInd[[#This Row],[Score-A]])</f>
        <v>2</v>
      </c>
      <c r="O655" s="265">
        <f>VALUE(ResultsInd[[#This Row],[Score-B]])</f>
        <v>3</v>
      </c>
      <c r="P655" s="265">
        <f ca="1">IF(AND(ResultsInd[[#This Row],[Category]]&lt;&gt;"",ResultsInd[[#This Row],[Player A]]&lt;&gt;""),COUNTIF(INDIRECT(ResultsInd[[#This Row],[Category]]&amp;"List[Retained Player Name]"),ResultsInd[[#This Row],[Player A]]),"")</f>
        <v>1</v>
      </c>
      <c r="Q655" s="265">
        <f ca="1">IF(AND(ResultsInd[[#This Row],[Category]]&lt;&gt;"",ResultsInd[[#This Row],[Player B]]&lt;&gt;""),COUNTIF(INDIRECT(ResultsInd[[#This Row],[Category]]&amp;"List[Retained Player Name]"),ResultsInd[[#This Row],[Player B]]),"")</f>
        <v>1</v>
      </c>
      <c r="R6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5" s="265" t="str">
        <f>IF(ResultsInd[[#This Row],[Score_OK]],IF(ResultsInd[[#This Row],[Stage]]="Groups",ResultsInd[[#This Row],[Category]]&amp;"-"&amp;IF(ResultsInd[[#This Row],[Player B]]="","",IF(ResultsInd[[#This Row],[Score-A]]=ResultsInd[[#This Row],[Score-B]],ResultsInd[[#This Row],[Player A]],"")),""),"")</f>
        <v/>
      </c>
      <c r="T655" s="265" t="str">
        <f>IF(ResultsInd[[#This Row],[Score_OK]],IF(ResultsInd[[#This Row],[Stage]]="Groups",ResultsInd[[#This Row],[Category]]&amp;"-"&amp;IF(ResultsInd[[#This Row],[Player B]]="","",IF(ResultsInd[[#This Row],[Score-A]]=ResultsInd[[#This Row],[Score-B]],ResultsInd[[#This Row],[Player B]],"")),""),"")</f>
        <v/>
      </c>
      <c r="U6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U12-Martin Joris</v>
      </c>
      <c r="W6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6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655" s="264" t="str">
        <f>IF(ResultsInd[[#This Row],[Category]]="","",VLOOKUP(ResultsInd[[#This Row],[Stage]],$P$1:$V$9,MATCH(ResultsInd[[#This Row],[Category]],$Q$1:$V$1,0)+1,FALSE))</f>
        <v>Q</v>
      </c>
      <c r="Z655" s="264" t="str">
        <f>IF(ResultsInd[[#This Row],[Score_OK]],IF(ResultsInd[[#This Row],[Level]]="R",ResultsInd[[#This Row],[Category]]&amp;"-"&amp;IF(ResultsInd[[#This Row],[LoseInKO]]=ResultsInd[[#This Row],[Category]]&amp;"-"&amp;ResultsInd[[#This Row],[Player A]],ResultsInd[[#This Row],[Player B]],ResultsInd[[#This Row],[Player A]]),""),"")</f>
        <v/>
      </c>
      <c r="AB655" s="8"/>
      <c r="AC655" s="8"/>
      <c r="AE655" s="90"/>
      <c r="AF655" s="90"/>
      <c r="AP655" s="8"/>
      <c r="AQ655" s="8"/>
      <c r="AR655" s="8"/>
      <c r="AS655" s="8"/>
      <c r="AT655" s="8"/>
      <c r="AU655" s="8"/>
      <c r="AV655" s="8"/>
      <c r="AW655" s="8"/>
      <c r="AX655" s="8"/>
      <c r="AY655" s="90"/>
      <c r="AZ655" s="90"/>
      <c r="BA655" s="90"/>
      <c r="BB655" s="90"/>
      <c r="BC655" s="90"/>
      <c r="BD655" s="90"/>
      <c r="BE655" s="90"/>
      <c r="BF655" s="90"/>
    </row>
    <row r="656" spans="1:58" x14ac:dyDescent="0.2">
      <c r="A656" s="62" t="s">
        <v>12263</v>
      </c>
      <c r="B656" s="62" t="s">
        <v>12212</v>
      </c>
      <c r="C656" s="62"/>
      <c r="D656" s="62"/>
      <c r="E656" s="345" t="s">
        <v>8168</v>
      </c>
      <c r="F656" s="345" t="s">
        <v>10420</v>
      </c>
      <c r="G656" s="113">
        <v>3</v>
      </c>
      <c r="H656" s="113">
        <v>5</v>
      </c>
      <c r="I656" s="114"/>
      <c r="J656" s="114"/>
      <c r="K656" s="114"/>
      <c r="L656" s="81"/>
      <c r="M656" s="265" t="b">
        <f>NOT(ISERROR(ResultsInd[[#This Row],[Goal-A]]+ResultsInd[[#This Row],[Goal-B]]))</f>
        <v>1</v>
      </c>
      <c r="N656" s="265">
        <f>VALUE(ResultsInd[[#This Row],[Score-A]])</f>
        <v>3</v>
      </c>
      <c r="O656" s="265">
        <f>VALUE(ResultsInd[[#This Row],[Score-B]])</f>
        <v>5</v>
      </c>
      <c r="P656" s="265" t="e">
        <f ca="1">IF(AND(ResultsInd[[#This Row],[Category]]&lt;&gt;"",ResultsInd[[#This Row],[Player A]]&lt;&gt;""),COUNTIF(INDIRECT(ResultsInd[[#This Row],[Category]]&amp;"List[Retained Player Name]"),ResultsInd[[#This Row],[Player A]]),"")</f>
        <v>#REF!</v>
      </c>
      <c r="Q656" s="265" t="e">
        <f ca="1">IF(AND(ResultsInd[[#This Row],[Category]]&lt;&gt;"",ResultsInd[[#This Row],[Player B]]&lt;&gt;""),COUNTIF(INDIRECT(ResultsInd[[#This Row],[Category]]&amp;"List[Retained Player Name]"),ResultsInd[[#This Row],[Player B]]),"")</f>
        <v>#REF!</v>
      </c>
      <c r="R6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6" s="265" t="str">
        <f>IF(ResultsInd[[#This Row],[Score_OK]],IF(ResultsInd[[#This Row],[Stage]]="Groups",ResultsInd[[#This Row],[Category]]&amp;"-"&amp;IF(ResultsInd[[#This Row],[Player B]]="","",IF(ResultsInd[[#This Row],[Score-A]]=ResultsInd[[#This Row],[Score-B]],ResultsInd[[#This Row],[Player A]],"")),""),"")</f>
        <v/>
      </c>
      <c r="T656" s="265" t="str">
        <f>IF(ResultsInd[[#This Row],[Score_OK]],IF(ResultsInd[[#This Row],[Stage]]="Groups",ResultsInd[[#This Row],[Category]]&amp;"-"&amp;IF(ResultsInd[[#This Row],[Player B]]="","",IF(ResultsInd[[#This Row],[Score-A]]=ResultsInd[[#This Row],[Score-B]],ResultsInd[[#This Row],[Player B]],"")),""),"")</f>
        <v/>
      </c>
      <c r="U6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CONSOLATION-Jean Grosdent</v>
      </c>
      <c r="W65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5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56" s="264" t="e">
        <f>IF(ResultsInd[[#This Row],[Category]]="","",VLOOKUP(ResultsInd[[#This Row],[Stage]],$P$1:$V$9,MATCH(ResultsInd[[#This Row],[Category]],$Q$1:$V$1,0)+1,FALSE))</f>
        <v>#N/A</v>
      </c>
      <c r="Z656" s="264" t="e">
        <f>IF(ResultsInd[[#This Row],[Score_OK]],IF(ResultsInd[[#This Row],[Level]]="R",ResultsInd[[#This Row],[Category]]&amp;"-"&amp;IF(ResultsInd[[#This Row],[LoseInKO]]=ResultsInd[[#This Row],[Category]]&amp;"-"&amp;ResultsInd[[#This Row],[Player A]],ResultsInd[[#This Row],[Player B]],ResultsInd[[#This Row],[Player A]]),""),"")</f>
        <v>#N/A</v>
      </c>
      <c r="AB656" s="8"/>
      <c r="AC656" s="8"/>
      <c r="AE656" s="90"/>
      <c r="AF656" s="90"/>
      <c r="AP656" s="8"/>
      <c r="AQ656" s="8"/>
      <c r="AR656" s="8"/>
      <c r="AS656" s="8"/>
      <c r="AT656" s="8"/>
      <c r="AU656" s="8"/>
      <c r="AV656" s="8"/>
      <c r="AW656" s="8"/>
      <c r="AX656" s="8"/>
      <c r="AY656" s="90"/>
      <c r="AZ656" s="90"/>
      <c r="BA656" s="90"/>
      <c r="BB656" s="90"/>
      <c r="BC656" s="90"/>
      <c r="BD656" s="90"/>
      <c r="BE656" s="90"/>
      <c r="BF656" s="90"/>
    </row>
    <row r="657" spans="1:58" x14ac:dyDescent="0.2">
      <c r="A657" s="62" t="s">
        <v>12263</v>
      </c>
      <c r="B657" s="62" t="s">
        <v>12212</v>
      </c>
      <c r="C657" s="62"/>
      <c r="D657" s="62"/>
      <c r="E657" s="345" t="s">
        <v>8083</v>
      </c>
      <c r="F657" s="345" t="s">
        <v>8109</v>
      </c>
      <c r="G657" s="113">
        <v>1</v>
      </c>
      <c r="H657" s="113">
        <v>4</v>
      </c>
      <c r="I657" s="114"/>
      <c r="J657" s="114"/>
      <c r="K657" s="114"/>
      <c r="L657" s="81"/>
      <c r="M657" s="265" t="b">
        <f>NOT(ISERROR(ResultsInd[[#This Row],[Goal-A]]+ResultsInd[[#This Row],[Goal-B]]))</f>
        <v>1</v>
      </c>
      <c r="N657" s="265">
        <f>VALUE(ResultsInd[[#This Row],[Score-A]])</f>
        <v>1</v>
      </c>
      <c r="O657" s="265">
        <f>VALUE(ResultsInd[[#This Row],[Score-B]])</f>
        <v>4</v>
      </c>
      <c r="P657" s="265" t="e">
        <f ca="1">IF(AND(ResultsInd[[#This Row],[Category]]&lt;&gt;"",ResultsInd[[#This Row],[Player A]]&lt;&gt;""),COUNTIF(INDIRECT(ResultsInd[[#This Row],[Category]]&amp;"List[Retained Player Name]"),ResultsInd[[#This Row],[Player A]]),"")</f>
        <v>#REF!</v>
      </c>
      <c r="Q657" s="265" t="e">
        <f ca="1">IF(AND(ResultsInd[[#This Row],[Category]]&lt;&gt;"",ResultsInd[[#This Row],[Player B]]&lt;&gt;""),COUNTIF(INDIRECT(ResultsInd[[#This Row],[Category]]&amp;"List[Retained Player Name]"),ResultsInd[[#This Row],[Player B]]),"")</f>
        <v>#REF!</v>
      </c>
      <c r="R6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7" s="265" t="str">
        <f>IF(ResultsInd[[#This Row],[Score_OK]],IF(ResultsInd[[#This Row],[Stage]]="Groups",ResultsInd[[#This Row],[Category]]&amp;"-"&amp;IF(ResultsInd[[#This Row],[Player B]]="","",IF(ResultsInd[[#This Row],[Score-A]]=ResultsInd[[#This Row],[Score-B]],ResultsInd[[#This Row],[Player A]],"")),""),"")</f>
        <v/>
      </c>
      <c r="T657" s="265" t="str">
        <f>IF(ResultsInd[[#This Row],[Score_OK]],IF(ResultsInd[[#This Row],[Stage]]="Groups",ResultsInd[[#This Row],[Category]]&amp;"-"&amp;IF(ResultsInd[[#This Row],[Player B]]="","",IF(ResultsInd[[#This Row],[Score-A]]=ResultsInd[[#This Row],[Score-B]],ResultsInd[[#This Row],[Player B]],"")),""),"")</f>
        <v/>
      </c>
      <c r="U6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CONSOLATION-Kenny De Schuyteneer</v>
      </c>
      <c r="W65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5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57" s="264" t="e">
        <f>IF(ResultsInd[[#This Row],[Category]]="","",VLOOKUP(ResultsInd[[#This Row],[Stage]],$P$1:$V$9,MATCH(ResultsInd[[#This Row],[Category]],$Q$1:$V$1,0)+1,FALSE))</f>
        <v>#N/A</v>
      </c>
      <c r="Z657" s="264" t="e">
        <f>IF(ResultsInd[[#This Row],[Score_OK]],IF(ResultsInd[[#This Row],[Level]]="R",ResultsInd[[#This Row],[Category]]&amp;"-"&amp;IF(ResultsInd[[#This Row],[LoseInKO]]=ResultsInd[[#This Row],[Category]]&amp;"-"&amp;ResultsInd[[#This Row],[Player A]],ResultsInd[[#This Row],[Player B]],ResultsInd[[#This Row],[Player A]]),""),"")</f>
        <v>#N/A</v>
      </c>
      <c r="AB657" s="8"/>
      <c r="AC657" s="8"/>
      <c r="AE657" s="90"/>
      <c r="AF657" s="90"/>
      <c r="AP657" s="8"/>
      <c r="AQ657" s="8"/>
      <c r="AR657" s="8"/>
      <c r="AS657" s="8"/>
      <c r="AT657" s="8"/>
      <c r="AU657" s="8"/>
      <c r="AV657" s="8"/>
      <c r="AW657" s="8"/>
      <c r="AX657" s="8"/>
      <c r="AY657" s="90"/>
      <c r="AZ657" s="90"/>
      <c r="BA657" s="90"/>
      <c r="BB657" s="90"/>
      <c r="BC657" s="90"/>
      <c r="BD657" s="90"/>
      <c r="BE657" s="90"/>
      <c r="BF657" s="90"/>
    </row>
    <row r="658" spans="1:58" x14ac:dyDescent="0.2">
      <c r="A658" s="62" t="s">
        <v>12263</v>
      </c>
      <c r="B658" s="62" t="s">
        <v>12212</v>
      </c>
      <c r="C658" s="62"/>
      <c r="D658" s="62"/>
      <c r="E658" s="345" t="s">
        <v>8713</v>
      </c>
      <c r="F658" s="345" t="s">
        <v>8082</v>
      </c>
      <c r="G658" s="113">
        <v>1</v>
      </c>
      <c r="H658" s="113">
        <v>3</v>
      </c>
      <c r="I658" s="114"/>
      <c r="J658" s="114"/>
      <c r="K658" s="114"/>
      <c r="L658" s="81"/>
      <c r="M658" s="265" t="b">
        <f>NOT(ISERROR(ResultsInd[[#This Row],[Goal-A]]+ResultsInd[[#This Row],[Goal-B]]))</f>
        <v>1</v>
      </c>
      <c r="N658" s="265">
        <f>VALUE(ResultsInd[[#This Row],[Score-A]])</f>
        <v>1</v>
      </c>
      <c r="O658" s="265">
        <f>VALUE(ResultsInd[[#This Row],[Score-B]])</f>
        <v>3</v>
      </c>
      <c r="P658" s="265" t="e">
        <f ca="1">IF(AND(ResultsInd[[#This Row],[Category]]&lt;&gt;"",ResultsInd[[#This Row],[Player A]]&lt;&gt;""),COUNTIF(INDIRECT(ResultsInd[[#This Row],[Category]]&amp;"List[Retained Player Name]"),ResultsInd[[#This Row],[Player A]]),"")</f>
        <v>#REF!</v>
      </c>
      <c r="Q658" s="265" t="e">
        <f ca="1">IF(AND(ResultsInd[[#This Row],[Category]]&lt;&gt;"",ResultsInd[[#This Row],[Player B]]&lt;&gt;""),COUNTIF(INDIRECT(ResultsInd[[#This Row],[Category]]&amp;"List[Retained Player Name]"),ResultsInd[[#This Row],[Player B]]),"")</f>
        <v>#REF!</v>
      </c>
      <c r="R6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8" s="265" t="str">
        <f>IF(ResultsInd[[#This Row],[Score_OK]],IF(ResultsInd[[#This Row],[Stage]]="Groups",ResultsInd[[#This Row],[Category]]&amp;"-"&amp;IF(ResultsInd[[#This Row],[Player B]]="","",IF(ResultsInd[[#This Row],[Score-A]]=ResultsInd[[#This Row],[Score-B]],ResultsInd[[#This Row],[Player A]],"")),""),"")</f>
        <v/>
      </c>
      <c r="T658" s="265" t="str">
        <f>IF(ResultsInd[[#This Row],[Score_OK]],IF(ResultsInd[[#This Row],[Stage]]="Groups",ResultsInd[[#This Row],[Category]]&amp;"-"&amp;IF(ResultsInd[[#This Row],[Player B]]="","",IF(ResultsInd[[#This Row],[Score-A]]=ResultsInd[[#This Row],[Score-B]],ResultsInd[[#This Row],[Player B]],"")),""),"")</f>
        <v/>
      </c>
      <c r="U6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CONSOLATION-Ludovic Midoux</v>
      </c>
      <c r="W65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58"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58" s="264" t="e">
        <f>IF(ResultsInd[[#This Row],[Category]]="","",VLOOKUP(ResultsInd[[#This Row],[Stage]],$P$1:$V$9,MATCH(ResultsInd[[#This Row],[Category]],$Q$1:$V$1,0)+1,FALSE))</f>
        <v>#N/A</v>
      </c>
      <c r="Z658" s="264" t="e">
        <f>IF(ResultsInd[[#This Row],[Score_OK]],IF(ResultsInd[[#This Row],[Level]]="R",ResultsInd[[#This Row],[Category]]&amp;"-"&amp;IF(ResultsInd[[#This Row],[LoseInKO]]=ResultsInd[[#This Row],[Category]]&amp;"-"&amp;ResultsInd[[#This Row],[Player A]],ResultsInd[[#This Row],[Player B]],ResultsInd[[#This Row],[Player A]]),""),"")</f>
        <v>#N/A</v>
      </c>
      <c r="AB658" s="8"/>
      <c r="AC658" s="8"/>
      <c r="AE658" s="90"/>
      <c r="AF658" s="90"/>
      <c r="AP658" s="8"/>
      <c r="AQ658" s="8"/>
      <c r="AR658" s="8"/>
      <c r="AS658" s="8"/>
      <c r="AT658" s="8"/>
      <c r="AU658" s="8"/>
      <c r="AV658" s="8"/>
      <c r="AW658" s="8"/>
      <c r="AX658" s="8"/>
      <c r="AY658" s="90"/>
      <c r="AZ658" s="90"/>
      <c r="BA658" s="90"/>
      <c r="BB658" s="90"/>
      <c r="BC658" s="90"/>
      <c r="BD658" s="90"/>
      <c r="BE658" s="90"/>
      <c r="BF658" s="90"/>
    </row>
    <row r="659" spans="1:58" x14ac:dyDescent="0.2">
      <c r="A659" s="62" t="s">
        <v>12263</v>
      </c>
      <c r="B659" s="62" t="s">
        <v>12212</v>
      </c>
      <c r="C659" s="62"/>
      <c r="D659" s="62"/>
      <c r="E659" s="345" t="s">
        <v>8091</v>
      </c>
      <c r="F659" s="345" t="s">
        <v>9194</v>
      </c>
      <c r="G659" s="113">
        <v>2</v>
      </c>
      <c r="H659" s="113">
        <v>2</v>
      </c>
      <c r="I659" s="114"/>
      <c r="J659" s="114">
        <v>1</v>
      </c>
      <c r="K659" s="114">
        <v>2</v>
      </c>
      <c r="L659" s="81"/>
      <c r="M659" s="265" t="b">
        <f>NOT(ISERROR(ResultsInd[[#This Row],[Goal-A]]+ResultsInd[[#This Row],[Goal-B]]))</f>
        <v>1</v>
      </c>
      <c r="N659" s="265">
        <f>VALUE(ResultsInd[[#This Row],[Score-A]])</f>
        <v>2</v>
      </c>
      <c r="O659" s="265">
        <f>VALUE(ResultsInd[[#This Row],[Score-B]])</f>
        <v>2</v>
      </c>
      <c r="P659" s="265" t="e">
        <f ca="1">IF(AND(ResultsInd[[#This Row],[Category]]&lt;&gt;"",ResultsInd[[#This Row],[Player A]]&lt;&gt;""),COUNTIF(INDIRECT(ResultsInd[[#This Row],[Category]]&amp;"List[Retained Player Name]"),ResultsInd[[#This Row],[Player A]]),"")</f>
        <v>#REF!</v>
      </c>
      <c r="Q659" s="265" t="e">
        <f ca="1">IF(AND(ResultsInd[[#This Row],[Category]]&lt;&gt;"",ResultsInd[[#This Row],[Player B]]&lt;&gt;""),COUNTIF(INDIRECT(ResultsInd[[#This Row],[Category]]&amp;"List[Retained Player Name]"),ResultsInd[[#This Row],[Player B]]),"")</f>
        <v>#REF!</v>
      </c>
      <c r="R6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9" s="265" t="str">
        <f>IF(ResultsInd[[#This Row],[Score_OK]],IF(ResultsInd[[#This Row],[Stage]]="Groups",ResultsInd[[#This Row],[Category]]&amp;"-"&amp;IF(ResultsInd[[#This Row],[Player B]]="","",IF(ResultsInd[[#This Row],[Score-A]]=ResultsInd[[#This Row],[Score-B]],ResultsInd[[#This Row],[Player A]],"")),""),"")</f>
        <v/>
      </c>
      <c r="T659" s="265" t="str">
        <f>IF(ResultsInd[[#This Row],[Score_OK]],IF(ResultsInd[[#This Row],[Stage]]="Groups",ResultsInd[[#This Row],[Category]]&amp;"-"&amp;IF(ResultsInd[[#This Row],[Player B]]="","",IF(ResultsInd[[#This Row],[Score-A]]=ResultsInd[[#This Row],[Score-B]],ResultsInd[[#This Row],[Player B]],"")),""),"")</f>
        <v/>
      </c>
      <c r="U6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CONSOLATION-Delphine Dieudonne</v>
      </c>
      <c r="W65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59"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59" s="264" t="e">
        <f>IF(ResultsInd[[#This Row],[Category]]="","",VLOOKUP(ResultsInd[[#This Row],[Stage]],$P$1:$V$9,MATCH(ResultsInd[[#This Row],[Category]],$Q$1:$V$1,0)+1,FALSE))</f>
        <v>#N/A</v>
      </c>
      <c r="Z659" s="264" t="e">
        <f>IF(ResultsInd[[#This Row],[Score_OK]],IF(ResultsInd[[#This Row],[Level]]="R",ResultsInd[[#This Row],[Category]]&amp;"-"&amp;IF(ResultsInd[[#This Row],[LoseInKO]]=ResultsInd[[#This Row],[Category]]&amp;"-"&amp;ResultsInd[[#This Row],[Player A]],ResultsInd[[#This Row],[Player B]],ResultsInd[[#This Row],[Player A]]),""),"")</f>
        <v>#N/A</v>
      </c>
      <c r="AB659" s="8"/>
      <c r="AC659" s="8"/>
      <c r="AE659" s="90"/>
      <c r="AF659" s="90"/>
      <c r="AP659" s="8"/>
      <c r="AQ659" s="8"/>
      <c r="AR659" s="8"/>
      <c r="AS659" s="8"/>
      <c r="AT659" s="8"/>
      <c r="AU659" s="8"/>
      <c r="AV659" s="8"/>
      <c r="AW659" s="8"/>
      <c r="AX659" s="8"/>
      <c r="AY659" s="90"/>
      <c r="AZ659" s="90"/>
      <c r="BA659" s="90"/>
      <c r="BB659" s="90"/>
      <c r="BC659" s="90"/>
      <c r="BD659" s="90"/>
      <c r="BE659" s="90"/>
      <c r="BF659" s="90"/>
    </row>
    <row r="660" spans="1:58" x14ac:dyDescent="0.2">
      <c r="A660" s="62" t="s">
        <v>12263</v>
      </c>
      <c r="B660" s="62" t="s">
        <v>12212</v>
      </c>
      <c r="C660" s="62"/>
      <c r="D660" s="62"/>
      <c r="E660" s="345" t="s">
        <v>8539</v>
      </c>
      <c r="F660" s="345" t="s">
        <v>11270</v>
      </c>
      <c r="G660" s="113">
        <v>3</v>
      </c>
      <c r="H660" s="113">
        <v>2</v>
      </c>
      <c r="I660" s="114"/>
      <c r="J660" s="114"/>
      <c r="K660" s="114"/>
      <c r="L660" s="81"/>
      <c r="M660" s="265" t="b">
        <f>NOT(ISERROR(ResultsInd[[#This Row],[Goal-A]]+ResultsInd[[#This Row],[Goal-B]]))</f>
        <v>1</v>
      </c>
      <c r="N660" s="265">
        <f>VALUE(ResultsInd[[#This Row],[Score-A]])</f>
        <v>3</v>
      </c>
      <c r="O660" s="265">
        <f>VALUE(ResultsInd[[#This Row],[Score-B]])</f>
        <v>2</v>
      </c>
      <c r="P660" s="265" t="e">
        <f ca="1">IF(AND(ResultsInd[[#This Row],[Category]]&lt;&gt;"",ResultsInd[[#This Row],[Player A]]&lt;&gt;""),COUNTIF(INDIRECT(ResultsInd[[#This Row],[Category]]&amp;"List[Retained Player Name]"),ResultsInd[[#This Row],[Player A]]),"")</f>
        <v>#REF!</v>
      </c>
      <c r="Q660" s="265" t="e">
        <f ca="1">IF(AND(ResultsInd[[#This Row],[Category]]&lt;&gt;"",ResultsInd[[#This Row],[Player B]]&lt;&gt;""),COUNTIF(INDIRECT(ResultsInd[[#This Row],[Category]]&amp;"List[Retained Player Name]"),ResultsInd[[#This Row],[Player B]]),"")</f>
        <v>#REF!</v>
      </c>
      <c r="R6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0" s="265" t="str">
        <f>IF(ResultsInd[[#This Row],[Score_OK]],IF(ResultsInd[[#This Row],[Stage]]="Groups",ResultsInd[[#This Row],[Category]]&amp;"-"&amp;IF(ResultsInd[[#This Row],[Player B]]="","",IF(ResultsInd[[#This Row],[Score-A]]=ResultsInd[[#This Row],[Score-B]],ResultsInd[[#This Row],[Player A]],"")),""),"")</f>
        <v/>
      </c>
      <c r="T660" s="265" t="str">
        <f>IF(ResultsInd[[#This Row],[Score_OK]],IF(ResultsInd[[#This Row],[Stage]]="Groups",ResultsInd[[#This Row],[Category]]&amp;"-"&amp;IF(ResultsInd[[#This Row],[Player B]]="","",IF(ResultsInd[[#This Row],[Score-A]]=ResultsInd[[#This Row],[Score-B]],ResultsInd[[#This Row],[Player B]],"")),""),"")</f>
        <v/>
      </c>
      <c r="U6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CONSOLATION-Frank Stiller</v>
      </c>
      <c r="W66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60"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60" s="264" t="e">
        <f>IF(ResultsInd[[#This Row],[Category]]="","",VLOOKUP(ResultsInd[[#This Row],[Stage]],$P$1:$V$9,MATCH(ResultsInd[[#This Row],[Category]],$Q$1:$V$1,0)+1,FALSE))</f>
        <v>#N/A</v>
      </c>
      <c r="Z660" s="264" t="e">
        <f>IF(ResultsInd[[#This Row],[Score_OK]],IF(ResultsInd[[#This Row],[Level]]="R",ResultsInd[[#This Row],[Category]]&amp;"-"&amp;IF(ResultsInd[[#This Row],[LoseInKO]]=ResultsInd[[#This Row],[Category]]&amp;"-"&amp;ResultsInd[[#This Row],[Player A]],ResultsInd[[#This Row],[Player B]],ResultsInd[[#This Row],[Player A]]),""),"")</f>
        <v>#N/A</v>
      </c>
      <c r="AB660" s="8"/>
      <c r="AC660" s="8"/>
      <c r="AE660" s="90"/>
      <c r="AF660" s="90"/>
      <c r="AP660" s="8"/>
      <c r="AQ660" s="8"/>
      <c r="AR660" s="8"/>
      <c r="AS660" s="8"/>
      <c r="AT660" s="8"/>
      <c r="AU660" s="8"/>
      <c r="AV660" s="8"/>
      <c r="AW660" s="8"/>
      <c r="AX660" s="8"/>
      <c r="AY660" s="90"/>
      <c r="AZ660" s="90"/>
      <c r="BA660" s="90"/>
      <c r="BB660" s="90"/>
      <c r="BC660" s="90"/>
      <c r="BD660" s="90"/>
      <c r="BE660" s="90"/>
      <c r="BF660" s="90"/>
    </row>
    <row r="661" spans="1:58" x14ac:dyDescent="0.2">
      <c r="A661" s="62" t="s">
        <v>12263</v>
      </c>
      <c r="B661" s="62" t="s">
        <v>12212</v>
      </c>
      <c r="C661" s="62"/>
      <c r="D661" s="62"/>
      <c r="E661" s="345" t="s">
        <v>8598</v>
      </c>
      <c r="F661" s="345" t="s">
        <v>8108</v>
      </c>
      <c r="G661" s="113">
        <v>2</v>
      </c>
      <c r="H661" s="113">
        <v>1</v>
      </c>
      <c r="I661" s="114"/>
      <c r="J661" s="114"/>
      <c r="K661" s="114"/>
      <c r="L661" s="81"/>
      <c r="M661" s="265" t="b">
        <f>NOT(ISERROR(ResultsInd[[#This Row],[Goal-A]]+ResultsInd[[#This Row],[Goal-B]]))</f>
        <v>1</v>
      </c>
      <c r="N661" s="265">
        <f>VALUE(ResultsInd[[#This Row],[Score-A]])</f>
        <v>2</v>
      </c>
      <c r="O661" s="265">
        <f>VALUE(ResultsInd[[#This Row],[Score-B]])</f>
        <v>1</v>
      </c>
      <c r="P661" s="265" t="e">
        <f ca="1">IF(AND(ResultsInd[[#This Row],[Category]]&lt;&gt;"",ResultsInd[[#This Row],[Player A]]&lt;&gt;""),COUNTIF(INDIRECT(ResultsInd[[#This Row],[Category]]&amp;"List[Retained Player Name]"),ResultsInd[[#This Row],[Player A]]),"")</f>
        <v>#REF!</v>
      </c>
      <c r="Q661" s="265" t="e">
        <f ca="1">IF(AND(ResultsInd[[#This Row],[Category]]&lt;&gt;"",ResultsInd[[#This Row],[Player B]]&lt;&gt;""),COUNTIF(INDIRECT(ResultsInd[[#This Row],[Category]]&amp;"List[Retained Player Name]"),ResultsInd[[#This Row],[Player B]]),"")</f>
        <v>#REF!</v>
      </c>
      <c r="R6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1" s="265" t="str">
        <f>IF(ResultsInd[[#This Row],[Score_OK]],IF(ResultsInd[[#This Row],[Stage]]="Groups",ResultsInd[[#This Row],[Category]]&amp;"-"&amp;IF(ResultsInd[[#This Row],[Player B]]="","",IF(ResultsInd[[#This Row],[Score-A]]=ResultsInd[[#This Row],[Score-B]],ResultsInd[[#This Row],[Player A]],"")),""),"")</f>
        <v/>
      </c>
      <c r="T661" s="265" t="str">
        <f>IF(ResultsInd[[#This Row],[Score_OK]],IF(ResultsInd[[#This Row],[Stage]]="Groups",ResultsInd[[#This Row],[Category]]&amp;"-"&amp;IF(ResultsInd[[#This Row],[Player B]]="","",IF(ResultsInd[[#This Row],[Score-A]]=ResultsInd[[#This Row],[Score-B]],ResultsInd[[#This Row],[Player B]],"")),""),"")</f>
        <v/>
      </c>
      <c r="U6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CONSOLATION-Frank Lannoy</v>
      </c>
      <c r="W66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61"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61" s="264" t="e">
        <f>IF(ResultsInd[[#This Row],[Category]]="","",VLOOKUP(ResultsInd[[#This Row],[Stage]],$P$1:$V$9,MATCH(ResultsInd[[#This Row],[Category]],$Q$1:$V$1,0)+1,FALSE))</f>
        <v>#N/A</v>
      </c>
      <c r="Z661" s="264" t="e">
        <f>IF(ResultsInd[[#This Row],[Score_OK]],IF(ResultsInd[[#This Row],[Level]]="R",ResultsInd[[#This Row],[Category]]&amp;"-"&amp;IF(ResultsInd[[#This Row],[LoseInKO]]=ResultsInd[[#This Row],[Category]]&amp;"-"&amp;ResultsInd[[#This Row],[Player A]],ResultsInd[[#This Row],[Player B]],ResultsInd[[#This Row],[Player A]]),""),"")</f>
        <v>#N/A</v>
      </c>
      <c r="AB661" s="8"/>
      <c r="AC661" s="8"/>
      <c r="AE661" s="90"/>
      <c r="AF661" s="90"/>
      <c r="AP661" s="8"/>
      <c r="AQ661" s="8"/>
      <c r="AR661" s="8"/>
      <c r="AS661" s="8"/>
      <c r="AT661" s="8"/>
      <c r="AU661" s="8"/>
      <c r="AV661" s="8"/>
      <c r="AW661" s="8"/>
      <c r="AX661" s="8"/>
      <c r="AY661" s="90"/>
      <c r="AZ661" s="90"/>
      <c r="BA661" s="90"/>
      <c r="BB661" s="90"/>
      <c r="BC661" s="90"/>
      <c r="BD661" s="90"/>
      <c r="BE661" s="90"/>
      <c r="BF661" s="90"/>
    </row>
    <row r="662" spans="1:58" x14ac:dyDescent="0.2">
      <c r="A662" s="62" t="s">
        <v>12263</v>
      </c>
      <c r="B662" s="62" t="s">
        <v>12212</v>
      </c>
      <c r="C662" s="62"/>
      <c r="D662" s="62"/>
      <c r="E662" s="345" t="s">
        <v>8093</v>
      </c>
      <c r="F662" s="345" t="s">
        <v>8139</v>
      </c>
      <c r="G662" s="113">
        <v>2</v>
      </c>
      <c r="H662" s="113">
        <v>0</v>
      </c>
      <c r="I662" s="114"/>
      <c r="J662" s="114"/>
      <c r="K662" s="114"/>
      <c r="L662" s="81"/>
      <c r="M662" s="265" t="b">
        <f>NOT(ISERROR(ResultsInd[[#This Row],[Goal-A]]+ResultsInd[[#This Row],[Goal-B]]))</f>
        <v>1</v>
      </c>
      <c r="N662" s="265">
        <f>VALUE(ResultsInd[[#This Row],[Score-A]])</f>
        <v>2</v>
      </c>
      <c r="O662" s="265">
        <f>VALUE(ResultsInd[[#This Row],[Score-B]])</f>
        <v>0</v>
      </c>
      <c r="P662" s="265" t="e">
        <f ca="1">IF(AND(ResultsInd[[#This Row],[Category]]&lt;&gt;"",ResultsInd[[#This Row],[Player A]]&lt;&gt;""),COUNTIF(INDIRECT(ResultsInd[[#This Row],[Category]]&amp;"List[Retained Player Name]"),ResultsInd[[#This Row],[Player A]]),"")</f>
        <v>#REF!</v>
      </c>
      <c r="Q662" s="265" t="e">
        <f ca="1">IF(AND(ResultsInd[[#This Row],[Category]]&lt;&gt;"",ResultsInd[[#This Row],[Player B]]&lt;&gt;""),COUNTIF(INDIRECT(ResultsInd[[#This Row],[Category]]&amp;"List[Retained Player Name]"),ResultsInd[[#This Row],[Player B]]),"")</f>
        <v>#REF!</v>
      </c>
      <c r="R6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2" s="265" t="str">
        <f>IF(ResultsInd[[#This Row],[Score_OK]],IF(ResultsInd[[#This Row],[Stage]]="Groups",ResultsInd[[#This Row],[Category]]&amp;"-"&amp;IF(ResultsInd[[#This Row],[Player B]]="","",IF(ResultsInd[[#This Row],[Score-A]]=ResultsInd[[#This Row],[Score-B]],ResultsInd[[#This Row],[Player A]],"")),""),"")</f>
        <v/>
      </c>
      <c r="T662" s="265" t="str">
        <f>IF(ResultsInd[[#This Row],[Score_OK]],IF(ResultsInd[[#This Row],[Stage]]="Groups",ResultsInd[[#This Row],[Category]]&amp;"-"&amp;IF(ResultsInd[[#This Row],[Player B]]="","",IF(ResultsInd[[#This Row],[Score-A]]=ResultsInd[[#This Row],[Score-B]],ResultsInd[[#This Row],[Player B]],"")),""),"")</f>
        <v/>
      </c>
      <c r="U6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CONSOLATION-Olivier Van Glabeke</v>
      </c>
      <c r="W66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6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62" s="264" t="e">
        <f>IF(ResultsInd[[#This Row],[Category]]="","",VLOOKUP(ResultsInd[[#This Row],[Stage]],$P$1:$V$9,MATCH(ResultsInd[[#This Row],[Category]],$Q$1:$V$1,0)+1,FALSE))</f>
        <v>#N/A</v>
      </c>
      <c r="Z662" s="264" t="e">
        <f>IF(ResultsInd[[#This Row],[Score_OK]],IF(ResultsInd[[#This Row],[Level]]="R",ResultsInd[[#This Row],[Category]]&amp;"-"&amp;IF(ResultsInd[[#This Row],[LoseInKO]]=ResultsInd[[#This Row],[Category]]&amp;"-"&amp;ResultsInd[[#This Row],[Player A]],ResultsInd[[#This Row],[Player B]],ResultsInd[[#This Row],[Player A]]),""),"")</f>
        <v>#N/A</v>
      </c>
      <c r="AB662" s="8"/>
      <c r="AC662" s="8"/>
      <c r="AE662" s="90"/>
      <c r="AF662" s="90"/>
      <c r="AP662" s="8"/>
      <c r="AQ662" s="8"/>
      <c r="AR662" s="8"/>
      <c r="AS662" s="8"/>
      <c r="AT662" s="8"/>
      <c r="AU662" s="8"/>
      <c r="AV662" s="8"/>
      <c r="AW662" s="8"/>
      <c r="AX662" s="8"/>
      <c r="AY662" s="90"/>
      <c r="AZ662" s="90"/>
      <c r="BA662" s="90"/>
      <c r="BB662" s="90"/>
      <c r="BC662" s="90"/>
      <c r="BD662" s="90"/>
      <c r="BE662" s="90"/>
      <c r="BF662" s="90"/>
    </row>
    <row r="663" spans="1:58" x14ac:dyDescent="0.2">
      <c r="A663" s="62" t="s">
        <v>12263</v>
      </c>
      <c r="B663" s="62" t="s">
        <v>12212</v>
      </c>
      <c r="C663" s="62"/>
      <c r="D663" s="62"/>
      <c r="E663" s="345" t="s">
        <v>11908</v>
      </c>
      <c r="F663" s="345" t="s">
        <v>9229</v>
      </c>
      <c r="G663" s="113">
        <v>0</v>
      </c>
      <c r="H663" s="113">
        <v>3</v>
      </c>
      <c r="I663" s="114"/>
      <c r="J663" s="114"/>
      <c r="K663" s="114"/>
      <c r="L663" s="81"/>
      <c r="M663" s="265" t="b">
        <f>NOT(ISERROR(ResultsInd[[#This Row],[Goal-A]]+ResultsInd[[#This Row],[Goal-B]]))</f>
        <v>1</v>
      </c>
      <c r="N663" s="265">
        <f>VALUE(ResultsInd[[#This Row],[Score-A]])</f>
        <v>0</v>
      </c>
      <c r="O663" s="265">
        <f>VALUE(ResultsInd[[#This Row],[Score-B]])</f>
        <v>3</v>
      </c>
      <c r="P663" s="265" t="e">
        <f ca="1">IF(AND(ResultsInd[[#This Row],[Category]]&lt;&gt;"",ResultsInd[[#This Row],[Player A]]&lt;&gt;""),COUNTIF(INDIRECT(ResultsInd[[#This Row],[Category]]&amp;"List[Retained Player Name]"),ResultsInd[[#This Row],[Player A]]),"")</f>
        <v>#REF!</v>
      </c>
      <c r="Q663" s="265" t="e">
        <f ca="1">IF(AND(ResultsInd[[#This Row],[Category]]&lt;&gt;"",ResultsInd[[#This Row],[Player B]]&lt;&gt;""),COUNTIF(INDIRECT(ResultsInd[[#This Row],[Category]]&amp;"List[Retained Player Name]"),ResultsInd[[#This Row],[Player B]]),"")</f>
        <v>#REF!</v>
      </c>
      <c r="R6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3" s="265" t="str">
        <f>IF(ResultsInd[[#This Row],[Score_OK]],IF(ResultsInd[[#This Row],[Stage]]="Groups",ResultsInd[[#This Row],[Category]]&amp;"-"&amp;IF(ResultsInd[[#This Row],[Player B]]="","",IF(ResultsInd[[#This Row],[Score-A]]=ResultsInd[[#This Row],[Score-B]],ResultsInd[[#This Row],[Player A]],"")),""),"")</f>
        <v/>
      </c>
      <c r="T663" s="265" t="str">
        <f>IF(ResultsInd[[#This Row],[Score_OK]],IF(ResultsInd[[#This Row],[Stage]]="Groups",ResultsInd[[#This Row],[Category]]&amp;"-"&amp;IF(ResultsInd[[#This Row],[Player B]]="","",IF(ResultsInd[[#This Row],[Score-A]]=ResultsInd[[#This Row],[Score-B]],ResultsInd[[#This Row],[Player B]],"")),""),"")</f>
        <v/>
      </c>
      <c r="U6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CONSOLATION-Steve Austin</v>
      </c>
      <c r="W66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6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63" s="264" t="e">
        <f>IF(ResultsInd[[#This Row],[Category]]="","",VLOOKUP(ResultsInd[[#This Row],[Stage]],$P$1:$V$9,MATCH(ResultsInd[[#This Row],[Category]],$Q$1:$V$1,0)+1,FALSE))</f>
        <v>#N/A</v>
      </c>
      <c r="Z663" s="264" t="e">
        <f>IF(ResultsInd[[#This Row],[Score_OK]],IF(ResultsInd[[#This Row],[Level]]="R",ResultsInd[[#This Row],[Category]]&amp;"-"&amp;IF(ResultsInd[[#This Row],[LoseInKO]]=ResultsInd[[#This Row],[Category]]&amp;"-"&amp;ResultsInd[[#This Row],[Player A]],ResultsInd[[#This Row],[Player B]],ResultsInd[[#This Row],[Player A]]),""),"")</f>
        <v>#N/A</v>
      </c>
      <c r="AB663" s="8"/>
      <c r="AC663" s="8"/>
      <c r="AE663" s="90"/>
      <c r="AF663" s="90"/>
      <c r="AP663" s="8"/>
      <c r="AQ663" s="8"/>
      <c r="AR663" s="8"/>
      <c r="AS663" s="8"/>
      <c r="AT663" s="8"/>
      <c r="AU663" s="8"/>
      <c r="AV663" s="8"/>
      <c r="AW663" s="8"/>
      <c r="AX663" s="8"/>
      <c r="AY663" s="90"/>
      <c r="AZ663" s="90"/>
      <c r="BA663" s="90"/>
      <c r="BB663" s="90"/>
      <c r="BC663" s="90"/>
      <c r="BD663" s="90"/>
      <c r="BE663" s="90"/>
      <c r="BF663" s="90"/>
    </row>
    <row r="664" spans="1:58" x14ac:dyDescent="0.2">
      <c r="A664" s="62" t="s">
        <v>890</v>
      </c>
      <c r="B664" s="62" t="s">
        <v>12220</v>
      </c>
      <c r="C664" s="62"/>
      <c r="D664" s="62"/>
      <c r="E664" s="345" t="s">
        <v>8628</v>
      </c>
      <c r="F664" s="345" t="s">
        <v>10415</v>
      </c>
      <c r="G664" s="113">
        <v>2</v>
      </c>
      <c r="H664" s="113">
        <v>3</v>
      </c>
      <c r="I664" s="114" t="s">
        <v>14586</v>
      </c>
      <c r="J664" s="114"/>
      <c r="K664" s="114"/>
      <c r="L664" s="81"/>
      <c r="M664" s="265" t="b">
        <f>NOT(ISERROR(ResultsInd[[#This Row],[Goal-A]]+ResultsInd[[#This Row],[Goal-B]]))</f>
        <v>1</v>
      </c>
      <c r="N664" s="265">
        <f>VALUE(ResultsInd[[#This Row],[Score-A]])</f>
        <v>2</v>
      </c>
      <c r="O664" s="265">
        <f>VALUE(ResultsInd[[#This Row],[Score-B]])</f>
        <v>3</v>
      </c>
      <c r="P664" s="265">
        <f ca="1">IF(AND(ResultsInd[[#This Row],[Category]]&lt;&gt;"",ResultsInd[[#This Row],[Player A]]&lt;&gt;""),COUNTIF(INDIRECT(ResultsInd[[#This Row],[Category]]&amp;"List[Retained Player Name]"),ResultsInd[[#This Row],[Player A]]),"")</f>
        <v>1</v>
      </c>
      <c r="Q664" s="265">
        <f ca="1">IF(AND(ResultsInd[[#This Row],[Category]]&lt;&gt;"",ResultsInd[[#This Row],[Player B]]&lt;&gt;""),COUNTIF(INDIRECT(ResultsInd[[#This Row],[Category]]&amp;"List[Retained Player Name]"),ResultsInd[[#This Row],[Player B]]),"")</f>
        <v>1</v>
      </c>
      <c r="R6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4" s="265" t="str">
        <f>IF(ResultsInd[[#This Row],[Score_OK]],IF(ResultsInd[[#This Row],[Stage]]="Groups",ResultsInd[[#This Row],[Category]]&amp;"-"&amp;IF(ResultsInd[[#This Row],[Player B]]="","",IF(ResultsInd[[#This Row],[Score-A]]=ResultsInd[[#This Row],[Score-B]],ResultsInd[[#This Row],[Player A]],"")),""),"")</f>
        <v/>
      </c>
      <c r="T664" s="265" t="str">
        <f>IF(ResultsInd[[#This Row],[Score_OK]],IF(ResultsInd[[#This Row],[Stage]]="Groups",ResultsInd[[#This Row],[Category]]&amp;"-"&amp;IF(ResultsInd[[#This Row],[Player B]]="","",IF(ResultsInd[[#This Row],[Score-A]]=ResultsInd[[#This Row],[Score-B]],ResultsInd[[#This Row],[Player B]],"")),""),"")</f>
        <v/>
      </c>
      <c r="U6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OPEN-David González</v>
      </c>
      <c r="W6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64" s="264" t="str">
        <f>IF(ResultsInd[[#This Row],[Category]]="","",VLOOKUP(ResultsInd[[#This Row],[Stage]],$P$1:$V$9,MATCH(ResultsInd[[#This Row],[Category]],$Q$1:$V$1,0)+1,FALSE))</f>
        <v>S</v>
      </c>
      <c r="Z664" s="264" t="str">
        <f>IF(ResultsInd[[#This Row],[Score_OK]],IF(ResultsInd[[#This Row],[Level]]="R",ResultsInd[[#This Row],[Category]]&amp;"-"&amp;IF(ResultsInd[[#This Row],[LoseInKO]]=ResultsInd[[#This Row],[Category]]&amp;"-"&amp;ResultsInd[[#This Row],[Player A]],ResultsInd[[#This Row],[Player B]],ResultsInd[[#This Row],[Player A]]),""),"")</f>
        <v/>
      </c>
      <c r="AB664" s="8"/>
      <c r="AC664" s="8"/>
      <c r="AE664" s="90"/>
      <c r="AF664" s="90"/>
      <c r="AP664" s="8"/>
      <c r="AQ664" s="8"/>
      <c r="AR664" s="8"/>
      <c r="AS664" s="8"/>
      <c r="AT664" s="8"/>
      <c r="AU664" s="8"/>
      <c r="AV664" s="8"/>
      <c r="AW664" s="8"/>
      <c r="AX664" s="8"/>
      <c r="AY664" s="90"/>
      <c r="AZ664" s="90"/>
      <c r="BA664" s="90"/>
      <c r="BB664" s="90"/>
      <c r="BC664" s="90"/>
      <c r="BD664" s="90"/>
      <c r="BE664" s="90"/>
      <c r="BF664" s="90"/>
    </row>
    <row r="665" spans="1:58" x14ac:dyDescent="0.2">
      <c r="A665" s="62" t="s">
        <v>890</v>
      </c>
      <c r="B665" s="62" t="s">
        <v>12220</v>
      </c>
      <c r="C665" s="62"/>
      <c r="D665" s="62"/>
      <c r="E665" s="345" t="s">
        <v>8610</v>
      </c>
      <c r="F665" s="345" t="s">
        <v>8089</v>
      </c>
      <c r="G665" s="113">
        <v>3</v>
      </c>
      <c r="H665" s="113">
        <v>2</v>
      </c>
      <c r="I665" s="114"/>
      <c r="J665" s="114"/>
      <c r="K665" s="114"/>
      <c r="L665" s="81"/>
      <c r="M665" s="265" t="b">
        <f>NOT(ISERROR(ResultsInd[[#This Row],[Goal-A]]+ResultsInd[[#This Row],[Goal-B]]))</f>
        <v>1</v>
      </c>
      <c r="N665" s="265">
        <f>VALUE(ResultsInd[[#This Row],[Score-A]])</f>
        <v>3</v>
      </c>
      <c r="O665" s="265">
        <f>VALUE(ResultsInd[[#This Row],[Score-B]])</f>
        <v>2</v>
      </c>
      <c r="P665" s="265">
        <f ca="1">IF(AND(ResultsInd[[#This Row],[Category]]&lt;&gt;"",ResultsInd[[#This Row],[Player A]]&lt;&gt;""),COUNTIF(INDIRECT(ResultsInd[[#This Row],[Category]]&amp;"List[Retained Player Name]"),ResultsInd[[#This Row],[Player A]]),"")</f>
        <v>1</v>
      </c>
      <c r="Q665" s="265">
        <f ca="1">IF(AND(ResultsInd[[#This Row],[Category]]&lt;&gt;"",ResultsInd[[#This Row],[Player B]]&lt;&gt;""),COUNTIF(INDIRECT(ResultsInd[[#This Row],[Category]]&amp;"List[Retained Player Name]"),ResultsInd[[#This Row],[Player B]]),"")</f>
        <v>1</v>
      </c>
      <c r="R6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5" s="265" t="str">
        <f>IF(ResultsInd[[#This Row],[Score_OK]],IF(ResultsInd[[#This Row],[Stage]]="Groups",ResultsInd[[#This Row],[Category]]&amp;"-"&amp;IF(ResultsInd[[#This Row],[Player B]]="","",IF(ResultsInd[[#This Row],[Score-A]]=ResultsInd[[#This Row],[Score-B]],ResultsInd[[#This Row],[Player A]],"")),""),"")</f>
        <v/>
      </c>
      <c r="T665" s="265" t="str">
        <f>IF(ResultsInd[[#This Row],[Score_OK]],IF(ResultsInd[[#This Row],[Stage]]="Groups",ResultsInd[[#This Row],[Category]]&amp;"-"&amp;IF(ResultsInd[[#This Row],[Player B]]="","",IF(ResultsInd[[#This Row],[Score-A]]=ResultsInd[[#This Row],[Score-B]],ResultsInd[[#This Row],[Player B]],"")),""),"")</f>
        <v/>
      </c>
      <c r="U6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OPEN-Christophe Dheur</v>
      </c>
      <c r="W6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65" s="264" t="str">
        <f>IF(ResultsInd[[#This Row],[Category]]="","",VLOOKUP(ResultsInd[[#This Row],[Stage]],$P$1:$V$9,MATCH(ResultsInd[[#This Row],[Category]],$Q$1:$V$1,0)+1,FALSE))</f>
        <v>S</v>
      </c>
      <c r="Z665" s="264" t="str">
        <f>IF(ResultsInd[[#This Row],[Score_OK]],IF(ResultsInd[[#This Row],[Level]]="R",ResultsInd[[#This Row],[Category]]&amp;"-"&amp;IF(ResultsInd[[#This Row],[LoseInKO]]=ResultsInd[[#This Row],[Category]]&amp;"-"&amp;ResultsInd[[#This Row],[Player A]],ResultsInd[[#This Row],[Player B]],ResultsInd[[#This Row],[Player A]]),""),"")</f>
        <v/>
      </c>
      <c r="AB665" s="8"/>
      <c r="AC665" s="8"/>
      <c r="AE665" s="90"/>
      <c r="AF665" s="90"/>
      <c r="AP665" s="8"/>
      <c r="AQ665" s="8"/>
      <c r="AR665" s="8"/>
      <c r="AS665" s="8"/>
      <c r="AT665" s="8"/>
      <c r="AU665" s="8"/>
      <c r="AV665" s="8"/>
      <c r="AW665" s="8"/>
      <c r="AX665" s="8"/>
      <c r="AY665" s="90"/>
      <c r="AZ665" s="90"/>
      <c r="BA665" s="90"/>
      <c r="BB665" s="90"/>
      <c r="BC665" s="90"/>
      <c r="BD665" s="90"/>
      <c r="BE665" s="90"/>
      <c r="BF665" s="90"/>
    </row>
    <row r="666" spans="1:58" x14ac:dyDescent="0.2">
      <c r="A666" s="62" t="s">
        <v>12261</v>
      </c>
      <c r="B666" s="62" t="s">
        <v>12220</v>
      </c>
      <c r="C666" s="62"/>
      <c r="D666" s="62"/>
      <c r="E666" s="345" t="s">
        <v>8519</v>
      </c>
      <c r="F666" s="345" t="s">
        <v>8752</v>
      </c>
      <c r="G666" s="113">
        <v>2</v>
      </c>
      <c r="H666" s="113">
        <v>3</v>
      </c>
      <c r="I666" s="114"/>
      <c r="J666" s="114"/>
      <c r="K666" s="114"/>
      <c r="L666" s="81"/>
      <c r="M666" s="265" t="b">
        <f>NOT(ISERROR(ResultsInd[[#This Row],[Goal-A]]+ResultsInd[[#This Row],[Goal-B]]))</f>
        <v>1</v>
      </c>
      <c r="N666" s="265">
        <f>VALUE(ResultsInd[[#This Row],[Score-A]])</f>
        <v>2</v>
      </c>
      <c r="O666" s="265">
        <f>VALUE(ResultsInd[[#This Row],[Score-B]])</f>
        <v>3</v>
      </c>
      <c r="P666" s="265">
        <f ca="1">IF(AND(ResultsInd[[#This Row],[Category]]&lt;&gt;"",ResultsInd[[#This Row],[Player A]]&lt;&gt;""),COUNTIF(INDIRECT(ResultsInd[[#This Row],[Category]]&amp;"List[Retained Player Name]"),ResultsInd[[#This Row],[Player A]]),"")</f>
        <v>1</v>
      </c>
      <c r="Q666" s="265">
        <f ca="1">IF(AND(ResultsInd[[#This Row],[Category]]&lt;&gt;"",ResultsInd[[#This Row],[Player B]]&lt;&gt;""),COUNTIF(INDIRECT(ResultsInd[[#This Row],[Category]]&amp;"List[Retained Player Name]"),ResultsInd[[#This Row],[Player B]]),"")</f>
        <v>1</v>
      </c>
      <c r="R6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6" s="265" t="str">
        <f>IF(ResultsInd[[#This Row],[Score_OK]],IF(ResultsInd[[#This Row],[Stage]]="Groups",ResultsInd[[#This Row],[Category]]&amp;"-"&amp;IF(ResultsInd[[#This Row],[Player B]]="","",IF(ResultsInd[[#This Row],[Score-A]]=ResultsInd[[#This Row],[Score-B]],ResultsInd[[#This Row],[Player A]],"")),""),"")</f>
        <v/>
      </c>
      <c r="T666" s="265" t="str">
        <f>IF(ResultsInd[[#This Row],[Score_OK]],IF(ResultsInd[[#This Row],[Stage]]="Groups",ResultsInd[[#This Row],[Category]]&amp;"-"&amp;IF(ResultsInd[[#This Row],[Player B]]="","",IF(ResultsInd[[#This Row],[Score-A]]=ResultsInd[[#This Row],[Score-B]],ResultsInd[[#This Row],[Player B]],"")),""),"")</f>
        <v/>
      </c>
      <c r="U6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VETERANS-Darren Clark</v>
      </c>
      <c r="W6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66" s="264" t="str">
        <f>IF(ResultsInd[[#This Row],[Category]]="","",VLOOKUP(ResultsInd[[#This Row],[Stage]],$P$1:$V$9,MATCH(ResultsInd[[#This Row],[Category]],$Q$1:$V$1,0)+1,FALSE))</f>
        <v>S</v>
      </c>
      <c r="Z666" s="264" t="str">
        <f>IF(ResultsInd[[#This Row],[Score_OK]],IF(ResultsInd[[#This Row],[Level]]="R",ResultsInd[[#This Row],[Category]]&amp;"-"&amp;IF(ResultsInd[[#This Row],[LoseInKO]]=ResultsInd[[#This Row],[Category]]&amp;"-"&amp;ResultsInd[[#This Row],[Player A]],ResultsInd[[#This Row],[Player B]],ResultsInd[[#This Row],[Player A]]),""),"")</f>
        <v/>
      </c>
      <c r="AB666" s="8"/>
      <c r="AC666" s="8"/>
      <c r="AE666" s="90"/>
      <c r="AF666" s="90"/>
      <c r="AP666" s="8"/>
      <c r="AQ666" s="8"/>
      <c r="AR666" s="8"/>
      <c r="AS666" s="8"/>
      <c r="AT666" s="8"/>
      <c r="AU666" s="8"/>
      <c r="AV666" s="8"/>
      <c r="AW666" s="8"/>
      <c r="AX666" s="8"/>
      <c r="AY666" s="90"/>
      <c r="AZ666" s="90"/>
      <c r="BA666" s="90"/>
      <c r="BB666" s="90"/>
      <c r="BC666" s="90"/>
      <c r="BD666" s="90"/>
      <c r="BE666" s="90"/>
      <c r="BF666" s="90"/>
    </row>
    <row r="667" spans="1:58" x14ac:dyDescent="0.2">
      <c r="A667" s="62" t="s">
        <v>12261</v>
      </c>
      <c r="B667" s="62" t="s">
        <v>12220</v>
      </c>
      <c r="C667" s="62"/>
      <c r="D667" s="62"/>
      <c r="E667" s="345" t="s">
        <v>10369</v>
      </c>
      <c r="F667" s="345" t="s">
        <v>10253</v>
      </c>
      <c r="G667" s="113">
        <v>1</v>
      </c>
      <c r="H667" s="113">
        <v>2</v>
      </c>
      <c r="I667" s="114"/>
      <c r="J667" s="114"/>
      <c r="K667" s="114"/>
      <c r="L667" s="81"/>
      <c r="M667" s="265" t="b">
        <f>NOT(ISERROR(ResultsInd[[#This Row],[Goal-A]]+ResultsInd[[#This Row],[Goal-B]]))</f>
        <v>1</v>
      </c>
      <c r="N667" s="265">
        <f>VALUE(ResultsInd[[#This Row],[Score-A]])</f>
        <v>1</v>
      </c>
      <c r="O667" s="265">
        <f>VALUE(ResultsInd[[#This Row],[Score-B]])</f>
        <v>2</v>
      </c>
      <c r="P667" s="265">
        <f ca="1">IF(AND(ResultsInd[[#This Row],[Category]]&lt;&gt;"",ResultsInd[[#This Row],[Player A]]&lt;&gt;""),COUNTIF(INDIRECT(ResultsInd[[#This Row],[Category]]&amp;"List[Retained Player Name]"),ResultsInd[[#This Row],[Player A]]),"")</f>
        <v>1</v>
      </c>
      <c r="Q667" s="265">
        <f ca="1">IF(AND(ResultsInd[[#This Row],[Category]]&lt;&gt;"",ResultsInd[[#This Row],[Player B]]&lt;&gt;""),COUNTIF(INDIRECT(ResultsInd[[#This Row],[Category]]&amp;"List[Retained Player Name]"),ResultsInd[[#This Row],[Player B]]),"")</f>
        <v>1</v>
      </c>
      <c r="R6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7" s="265" t="str">
        <f>IF(ResultsInd[[#This Row],[Score_OK]],IF(ResultsInd[[#This Row],[Stage]]="Groups",ResultsInd[[#This Row],[Category]]&amp;"-"&amp;IF(ResultsInd[[#This Row],[Player B]]="","",IF(ResultsInd[[#This Row],[Score-A]]=ResultsInd[[#This Row],[Score-B]],ResultsInd[[#This Row],[Player A]],"")),""),"")</f>
        <v/>
      </c>
      <c r="T667" s="265" t="str">
        <f>IF(ResultsInd[[#This Row],[Score_OK]],IF(ResultsInd[[#This Row],[Stage]]="Groups",ResultsInd[[#This Row],[Category]]&amp;"-"&amp;IF(ResultsInd[[#This Row],[Player B]]="","",IF(ResultsInd[[#This Row],[Score-A]]=ResultsInd[[#This Row],[Score-B]],ResultsInd[[#This Row],[Player B]],"")),""),"")</f>
        <v/>
      </c>
      <c r="U6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VETERANS-Carlo Alessi</v>
      </c>
      <c r="W6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67" s="264" t="str">
        <f>IF(ResultsInd[[#This Row],[Category]]="","",VLOOKUP(ResultsInd[[#This Row],[Stage]],$P$1:$V$9,MATCH(ResultsInd[[#This Row],[Category]],$Q$1:$V$1,0)+1,FALSE))</f>
        <v>S</v>
      </c>
      <c r="Z667" s="264" t="str">
        <f>IF(ResultsInd[[#This Row],[Score_OK]],IF(ResultsInd[[#This Row],[Level]]="R",ResultsInd[[#This Row],[Category]]&amp;"-"&amp;IF(ResultsInd[[#This Row],[LoseInKO]]=ResultsInd[[#This Row],[Category]]&amp;"-"&amp;ResultsInd[[#This Row],[Player A]],ResultsInd[[#This Row],[Player B]],ResultsInd[[#This Row],[Player A]]),""),"")</f>
        <v/>
      </c>
      <c r="AB667" s="8"/>
      <c r="AC667" s="8"/>
      <c r="AE667" s="90"/>
      <c r="AF667" s="90"/>
      <c r="AP667" s="8"/>
      <c r="AQ667" s="8"/>
      <c r="AR667" s="8"/>
      <c r="AS667" s="8"/>
      <c r="AT667" s="8"/>
      <c r="AU667" s="8"/>
      <c r="AV667" s="8"/>
      <c r="AW667" s="8"/>
      <c r="AX667" s="8"/>
      <c r="AY667" s="90"/>
      <c r="AZ667" s="90"/>
      <c r="BA667" s="90"/>
      <c r="BB667" s="90"/>
      <c r="BC667" s="90"/>
      <c r="BD667" s="90"/>
      <c r="BE667" s="90"/>
      <c r="BF667" s="90"/>
    </row>
    <row r="668" spans="1:58" x14ac:dyDescent="0.2">
      <c r="A668" s="62" t="s">
        <v>12262</v>
      </c>
      <c r="B668" s="62" t="s">
        <v>12220</v>
      </c>
      <c r="C668" s="62"/>
      <c r="D668" s="62"/>
      <c r="E668" s="345" t="s">
        <v>10542</v>
      </c>
      <c r="F668" s="345" t="s">
        <v>12366</v>
      </c>
      <c r="G668" s="113">
        <v>4</v>
      </c>
      <c r="H668" s="113">
        <v>0</v>
      </c>
      <c r="I668" s="114"/>
      <c r="J668" s="114"/>
      <c r="K668" s="114"/>
      <c r="L668" s="81"/>
      <c r="M668" s="265" t="b">
        <f>NOT(ISERROR(ResultsInd[[#This Row],[Goal-A]]+ResultsInd[[#This Row],[Goal-B]]))</f>
        <v>1</v>
      </c>
      <c r="N668" s="265">
        <f>VALUE(ResultsInd[[#This Row],[Score-A]])</f>
        <v>4</v>
      </c>
      <c r="O668" s="265">
        <f>VALUE(ResultsInd[[#This Row],[Score-B]])</f>
        <v>0</v>
      </c>
      <c r="P668" s="265">
        <f ca="1">IF(AND(ResultsInd[[#This Row],[Category]]&lt;&gt;"",ResultsInd[[#This Row],[Player A]]&lt;&gt;""),COUNTIF(INDIRECT(ResultsInd[[#This Row],[Category]]&amp;"List[Retained Player Name]"),ResultsInd[[#This Row],[Player A]]),"")</f>
        <v>1</v>
      </c>
      <c r="Q668" s="265">
        <f ca="1">IF(AND(ResultsInd[[#This Row],[Category]]&lt;&gt;"",ResultsInd[[#This Row],[Player B]]&lt;&gt;""),COUNTIF(INDIRECT(ResultsInd[[#This Row],[Category]]&amp;"List[Retained Player Name]"),ResultsInd[[#This Row],[Player B]]),"")</f>
        <v>1</v>
      </c>
      <c r="R6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8" s="265" t="str">
        <f>IF(ResultsInd[[#This Row],[Score_OK]],IF(ResultsInd[[#This Row],[Stage]]="Groups",ResultsInd[[#This Row],[Category]]&amp;"-"&amp;IF(ResultsInd[[#This Row],[Player B]]="","",IF(ResultsInd[[#This Row],[Score-A]]=ResultsInd[[#This Row],[Score-B]],ResultsInd[[#This Row],[Player A]],"")),""),"")</f>
        <v/>
      </c>
      <c r="T668" s="265" t="str">
        <f>IF(ResultsInd[[#This Row],[Score_OK]],IF(ResultsInd[[#This Row],[Stage]]="Groups",ResultsInd[[#This Row],[Category]]&amp;"-"&amp;IF(ResultsInd[[#This Row],[Player B]]="","",IF(ResultsInd[[#This Row],[Score-A]]=ResultsInd[[#This Row],[Score-B]],ResultsInd[[#This Row],[Player B]],"")),""),"")</f>
        <v/>
      </c>
      <c r="U6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LADIES-Emilie Despretz</v>
      </c>
      <c r="W6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68" s="264" t="str">
        <f>IF(ResultsInd[[#This Row],[Category]]="","",VLOOKUP(ResultsInd[[#This Row],[Stage]],$P$1:$V$9,MATCH(ResultsInd[[#This Row],[Category]],$Q$1:$V$1,0)+1,FALSE))</f>
        <v>S</v>
      </c>
      <c r="Z668" s="264" t="str">
        <f>IF(ResultsInd[[#This Row],[Score_OK]],IF(ResultsInd[[#This Row],[Level]]="R",ResultsInd[[#This Row],[Category]]&amp;"-"&amp;IF(ResultsInd[[#This Row],[LoseInKO]]=ResultsInd[[#This Row],[Category]]&amp;"-"&amp;ResultsInd[[#This Row],[Player A]],ResultsInd[[#This Row],[Player B]],ResultsInd[[#This Row],[Player A]]),""),"")</f>
        <v/>
      </c>
      <c r="AB668" s="8"/>
      <c r="AC668" s="8"/>
      <c r="AE668" s="90"/>
      <c r="AF668" s="90"/>
      <c r="AP668" s="8"/>
      <c r="AQ668" s="8"/>
      <c r="AR668" s="8"/>
      <c r="AS668" s="8"/>
      <c r="AT668" s="8"/>
      <c r="AU668" s="8"/>
      <c r="AV668" s="8"/>
      <c r="AW668" s="8"/>
      <c r="AX668" s="8"/>
      <c r="AY668" s="90"/>
      <c r="AZ668" s="90"/>
      <c r="BA668" s="90"/>
      <c r="BB668" s="90"/>
      <c r="BC668" s="90"/>
      <c r="BD668" s="90"/>
      <c r="BE668" s="90"/>
      <c r="BF668" s="90"/>
    </row>
    <row r="669" spans="1:58" x14ac:dyDescent="0.2">
      <c r="A669" s="62" t="s">
        <v>12262</v>
      </c>
      <c r="B669" s="62" t="s">
        <v>12220</v>
      </c>
      <c r="C669" s="62"/>
      <c r="D669" s="62"/>
      <c r="E669" s="345" t="s">
        <v>8146</v>
      </c>
      <c r="F669" s="345" t="s">
        <v>8704</v>
      </c>
      <c r="G669" s="113">
        <v>1</v>
      </c>
      <c r="H669" s="113">
        <v>4</v>
      </c>
      <c r="I669" s="114"/>
      <c r="J669" s="114"/>
      <c r="K669" s="114"/>
      <c r="L669" s="81"/>
      <c r="M669" s="265" t="b">
        <f>NOT(ISERROR(ResultsInd[[#This Row],[Goal-A]]+ResultsInd[[#This Row],[Goal-B]]))</f>
        <v>1</v>
      </c>
      <c r="N669" s="265">
        <f>VALUE(ResultsInd[[#This Row],[Score-A]])</f>
        <v>1</v>
      </c>
      <c r="O669" s="265">
        <f>VALUE(ResultsInd[[#This Row],[Score-B]])</f>
        <v>4</v>
      </c>
      <c r="P669" s="265">
        <f ca="1">IF(AND(ResultsInd[[#This Row],[Category]]&lt;&gt;"",ResultsInd[[#This Row],[Player A]]&lt;&gt;""),COUNTIF(INDIRECT(ResultsInd[[#This Row],[Category]]&amp;"List[Retained Player Name]"),ResultsInd[[#This Row],[Player A]]),"")</f>
        <v>1</v>
      </c>
      <c r="Q669" s="265">
        <f ca="1">IF(AND(ResultsInd[[#This Row],[Category]]&lt;&gt;"",ResultsInd[[#This Row],[Player B]]&lt;&gt;""),COUNTIF(INDIRECT(ResultsInd[[#This Row],[Category]]&amp;"List[Retained Player Name]"),ResultsInd[[#This Row],[Player B]]),"")</f>
        <v>1</v>
      </c>
      <c r="R6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9" s="265" t="str">
        <f>IF(ResultsInd[[#This Row],[Score_OK]],IF(ResultsInd[[#This Row],[Stage]]="Groups",ResultsInd[[#This Row],[Category]]&amp;"-"&amp;IF(ResultsInd[[#This Row],[Player B]]="","",IF(ResultsInd[[#This Row],[Score-A]]=ResultsInd[[#This Row],[Score-B]],ResultsInd[[#This Row],[Player A]],"")),""),"")</f>
        <v/>
      </c>
      <c r="T669" s="265" t="str">
        <f>IF(ResultsInd[[#This Row],[Score_OK]],IF(ResultsInd[[#This Row],[Stage]]="Groups",ResultsInd[[#This Row],[Category]]&amp;"-"&amp;IF(ResultsInd[[#This Row],[Player B]]="","",IF(ResultsInd[[#This Row],[Score-A]]=ResultsInd[[#This Row],[Score-B]],ResultsInd[[#This Row],[Player B]],"")),""),"")</f>
        <v/>
      </c>
      <c r="U6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LADIES-Léa Despretz</v>
      </c>
      <c r="W6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69" s="264" t="str">
        <f>IF(ResultsInd[[#This Row],[Category]]="","",VLOOKUP(ResultsInd[[#This Row],[Stage]],$P$1:$V$9,MATCH(ResultsInd[[#This Row],[Category]],$Q$1:$V$1,0)+1,FALSE))</f>
        <v>S</v>
      </c>
      <c r="Z669" s="264" t="str">
        <f>IF(ResultsInd[[#This Row],[Score_OK]],IF(ResultsInd[[#This Row],[Level]]="R",ResultsInd[[#This Row],[Category]]&amp;"-"&amp;IF(ResultsInd[[#This Row],[LoseInKO]]=ResultsInd[[#This Row],[Category]]&amp;"-"&amp;ResultsInd[[#This Row],[Player A]],ResultsInd[[#This Row],[Player B]],ResultsInd[[#This Row],[Player A]]),""),"")</f>
        <v/>
      </c>
      <c r="AB669" s="8"/>
      <c r="AC669" s="8"/>
      <c r="AE669" s="90"/>
      <c r="AF669" s="90"/>
      <c r="AP669" s="8"/>
      <c r="AQ669" s="8"/>
      <c r="AR669" s="8"/>
      <c r="AS669" s="8"/>
      <c r="AT669" s="8"/>
      <c r="AU669" s="8"/>
      <c r="AV669" s="8"/>
      <c r="AW669" s="8"/>
      <c r="AX669" s="8"/>
      <c r="AY669" s="90"/>
      <c r="AZ669" s="90"/>
      <c r="BA669" s="90"/>
      <c r="BB669" s="90"/>
      <c r="BC669" s="90"/>
      <c r="BD669" s="90"/>
      <c r="BE669" s="90"/>
      <c r="BF669" s="90"/>
    </row>
    <row r="670" spans="1:58" x14ac:dyDescent="0.2">
      <c r="A670" s="62" t="s">
        <v>930</v>
      </c>
      <c r="B670" s="62" t="s">
        <v>12220</v>
      </c>
      <c r="C670" s="62"/>
      <c r="D670" s="62"/>
      <c r="E670" s="345" t="s">
        <v>8120</v>
      </c>
      <c r="F670" s="345" t="s">
        <v>8167</v>
      </c>
      <c r="G670" s="113">
        <v>3</v>
      </c>
      <c r="H670" s="113">
        <v>2</v>
      </c>
      <c r="I670" s="114" t="s">
        <v>14586</v>
      </c>
      <c r="J670" s="114"/>
      <c r="K670" s="114"/>
      <c r="L670" s="81"/>
      <c r="M670" s="265" t="b">
        <f>NOT(ISERROR(ResultsInd[[#This Row],[Goal-A]]+ResultsInd[[#This Row],[Goal-B]]))</f>
        <v>1</v>
      </c>
      <c r="N670" s="265">
        <f>VALUE(ResultsInd[[#This Row],[Score-A]])</f>
        <v>3</v>
      </c>
      <c r="O670" s="265">
        <f>VALUE(ResultsInd[[#This Row],[Score-B]])</f>
        <v>2</v>
      </c>
      <c r="P670" s="265">
        <f ca="1">IF(AND(ResultsInd[[#This Row],[Category]]&lt;&gt;"",ResultsInd[[#This Row],[Player A]]&lt;&gt;""),COUNTIF(INDIRECT(ResultsInd[[#This Row],[Category]]&amp;"List[Retained Player Name]"),ResultsInd[[#This Row],[Player A]]),"")</f>
        <v>1</v>
      </c>
      <c r="Q670" s="265">
        <f ca="1">IF(AND(ResultsInd[[#This Row],[Category]]&lt;&gt;"",ResultsInd[[#This Row],[Player B]]&lt;&gt;""),COUNTIF(INDIRECT(ResultsInd[[#This Row],[Category]]&amp;"List[Retained Player Name]"),ResultsInd[[#This Row],[Player B]]),"")</f>
        <v>1</v>
      </c>
      <c r="R6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0" s="265" t="str">
        <f>IF(ResultsInd[[#This Row],[Score_OK]],IF(ResultsInd[[#This Row],[Stage]]="Groups",ResultsInd[[#This Row],[Category]]&amp;"-"&amp;IF(ResultsInd[[#This Row],[Player B]]="","",IF(ResultsInd[[#This Row],[Score-A]]=ResultsInd[[#This Row],[Score-B]],ResultsInd[[#This Row],[Player A]],"")),""),"")</f>
        <v/>
      </c>
      <c r="T670" s="265" t="str">
        <f>IF(ResultsInd[[#This Row],[Score_OK]],IF(ResultsInd[[#This Row],[Stage]]="Groups",ResultsInd[[#This Row],[Category]]&amp;"-"&amp;IF(ResultsInd[[#This Row],[Player B]]="","",IF(ResultsInd[[#This Row],[Score-A]]=ResultsInd[[#This Row],[Score-B]],ResultsInd[[#This Row],[Player B]],"")),""),"")</f>
        <v/>
      </c>
      <c r="U6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U20-Noah Denne</v>
      </c>
      <c r="W6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70" s="264" t="str">
        <f>IF(ResultsInd[[#This Row],[Category]]="","",VLOOKUP(ResultsInd[[#This Row],[Stage]],$P$1:$V$9,MATCH(ResultsInd[[#This Row],[Category]],$Q$1:$V$1,0)+1,FALSE))</f>
        <v>S</v>
      </c>
      <c r="Z670" s="264" t="str">
        <f>IF(ResultsInd[[#This Row],[Score_OK]],IF(ResultsInd[[#This Row],[Level]]="R",ResultsInd[[#This Row],[Category]]&amp;"-"&amp;IF(ResultsInd[[#This Row],[LoseInKO]]=ResultsInd[[#This Row],[Category]]&amp;"-"&amp;ResultsInd[[#This Row],[Player A]],ResultsInd[[#This Row],[Player B]],ResultsInd[[#This Row],[Player A]]),""),"")</f>
        <v/>
      </c>
      <c r="AB670" s="8"/>
      <c r="AC670" s="8"/>
      <c r="AE670" s="90"/>
      <c r="AF670" s="90"/>
      <c r="AP670" s="8"/>
      <c r="AQ670" s="8"/>
      <c r="AR670" s="8"/>
      <c r="AS670" s="8"/>
      <c r="AT670" s="8"/>
      <c r="AU670" s="8"/>
      <c r="AV670" s="8"/>
      <c r="AW670" s="8"/>
      <c r="AX670" s="8"/>
      <c r="AY670" s="90"/>
      <c r="AZ670" s="90"/>
      <c r="BA670" s="90"/>
      <c r="BB670" s="90"/>
      <c r="BC670" s="90"/>
      <c r="BD670" s="90"/>
      <c r="BE670" s="90"/>
      <c r="BF670" s="90"/>
    </row>
    <row r="671" spans="1:58" x14ac:dyDescent="0.2">
      <c r="A671" s="62" t="s">
        <v>930</v>
      </c>
      <c r="B671" s="62" t="s">
        <v>12220</v>
      </c>
      <c r="C671" s="62"/>
      <c r="D671" s="62"/>
      <c r="E671" s="345" t="s">
        <v>8194</v>
      </c>
      <c r="F671" s="345" t="s">
        <v>8716</v>
      </c>
      <c r="G671" s="113">
        <v>1</v>
      </c>
      <c r="H671" s="113">
        <v>2</v>
      </c>
      <c r="I671" s="114"/>
      <c r="J671" s="114"/>
      <c r="K671" s="114"/>
      <c r="L671" s="81"/>
      <c r="M671" s="265" t="b">
        <f>NOT(ISERROR(ResultsInd[[#This Row],[Goal-A]]+ResultsInd[[#This Row],[Goal-B]]))</f>
        <v>1</v>
      </c>
      <c r="N671" s="265">
        <f>VALUE(ResultsInd[[#This Row],[Score-A]])</f>
        <v>1</v>
      </c>
      <c r="O671" s="265">
        <f>VALUE(ResultsInd[[#This Row],[Score-B]])</f>
        <v>2</v>
      </c>
      <c r="P671" s="265">
        <f ca="1">IF(AND(ResultsInd[[#This Row],[Category]]&lt;&gt;"",ResultsInd[[#This Row],[Player A]]&lt;&gt;""),COUNTIF(INDIRECT(ResultsInd[[#This Row],[Category]]&amp;"List[Retained Player Name]"),ResultsInd[[#This Row],[Player A]]),"")</f>
        <v>1</v>
      </c>
      <c r="Q671" s="265">
        <f ca="1">IF(AND(ResultsInd[[#This Row],[Category]]&lt;&gt;"",ResultsInd[[#This Row],[Player B]]&lt;&gt;""),COUNTIF(INDIRECT(ResultsInd[[#This Row],[Category]]&amp;"List[Retained Player Name]"),ResultsInd[[#This Row],[Player B]]),"")</f>
        <v>1</v>
      </c>
      <c r="R6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1" s="265" t="str">
        <f>IF(ResultsInd[[#This Row],[Score_OK]],IF(ResultsInd[[#This Row],[Stage]]="Groups",ResultsInd[[#This Row],[Category]]&amp;"-"&amp;IF(ResultsInd[[#This Row],[Player B]]="","",IF(ResultsInd[[#This Row],[Score-A]]=ResultsInd[[#This Row],[Score-B]],ResultsInd[[#This Row],[Player A]],"")),""),"")</f>
        <v/>
      </c>
      <c r="T671" s="265" t="str">
        <f>IF(ResultsInd[[#This Row],[Score_OK]],IF(ResultsInd[[#This Row],[Stage]]="Groups",ResultsInd[[#This Row],[Category]]&amp;"-"&amp;IF(ResultsInd[[#This Row],[Player B]]="","",IF(ResultsInd[[#This Row],[Score-A]]=ResultsInd[[#This Row],[Score-B]],ResultsInd[[#This Row],[Player B]],"")),""),"")</f>
        <v/>
      </c>
      <c r="U6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U20-Noah Janssens</v>
      </c>
      <c r="W6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71" s="264" t="str">
        <f>IF(ResultsInd[[#This Row],[Category]]="","",VLOOKUP(ResultsInd[[#This Row],[Stage]],$P$1:$V$9,MATCH(ResultsInd[[#This Row],[Category]],$Q$1:$V$1,0)+1,FALSE))</f>
        <v>S</v>
      </c>
      <c r="Z671" s="264" t="str">
        <f>IF(ResultsInd[[#This Row],[Score_OK]],IF(ResultsInd[[#This Row],[Level]]="R",ResultsInd[[#This Row],[Category]]&amp;"-"&amp;IF(ResultsInd[[#This Row],[LoseInKO]]=ResultsInd[[#This Row],[Category]]&amp;"-"&amp;ResultsInd[[#This Row],[Player A]],ResultsInd[[#This Row],[Player B]],ResultsInd[[#This Row],[Player A]]),""),"")</f>
        <v/>
      </c>
      <c r="AB671" s="8"/>
      <c r="AC671" s="8"/>
      <c r="AE671" s="90"/>
      <c r="AF671" s="90"/>
      <c r="AP671" s="8"/>
      <c r="AQ671" s="8"/>
      <c r="AR671" s="8"/>
      <c r="AS671" s="8"/>
      <c r="AT671" s="8"/>
      <c r="AU671" s="8"/>
      <c r="AV671" s="8"/>
      <c r="AW671" s="8"/>
      <c r="AX671" s="8"/>
      <c r="AY671" s="90"/>
      <c r="AZ671" s="90"/>
      <c r="BA671" s="90"/>
      <c r="BB671" s="90"/>
      <c r="BC671" s="90"/>
      <c r="BD671" s="90"/>
      <c r="BE671" s="90"/>
      <c r="BF671" s="90"/>
    </row>
    <row r="672" spans="1:58" x14ac:dyDescent="0.2">
      <c r="A672" s="62" t="s">
        <v>1023</v>
      </c>
      <c r="B672" s="62" t="s">
        <v>12220</v>
      </c>
      <c r="C672" s="62"/>
      <c r="D672" s="62"/>
      <c r="E672" s="345" t="s">
        <v>8722</v>
      </c>
      <c r="F672" s="345" t="s">
        <v>8162</v>
      </c>
      <c r="G672" s="113">
        <v>4</v>
      </c>
      <c r="H672" s="113">
        <v>2</v>
      </c>
      <c r="I672" s="114"/>
      <c r="J672" s="114"/>
      <c r="K672" s="114"/>
      <c r="L672" s="81"/>
      <c r="M672" s="265" t="b">
        <f>NOT(ISERROR(ResultsInd[[#This Row],[Goal-A]]+ResultsInd[[#This Row],[Goal-B]]))</f>
        <v>1</v>
      </c>
      <c r="N672" s="265">
        <f>VALUE(ResultsInd[[#This Row],[Score-A]])</f>
        <v>4</v>
      </c>
      <c r="O672" s="265">
        <f>VALUE(ResultsInd[[#This Row],[Score-B]])</f>
        <v>2</v>
      </c>
      <c r="P672" s="265">
        <f ca="1">IF(AND(ResultsInd[[#This Row],[Category]]&lt;&gt;"",ResultsInd[[#This Row],[Player A]]&lt;&gt;""),COUNTIF(INDIRECT(ResultsInd[[#This Row],[Category]]&amp;"List[Retained Player Name]"),ResultsInd[[#This Row],[Player A]]),"")</f>
        <v>1</v>
      </c>
      <c r="Q672" s="265">
        <f ca="1">IF(AND(ResultsInd[[#This Row],[Category]]&lt;&gt;"",ResultsInd[[#This Row],[Player B]]&lt;&gt;""),COUNTIF(INDIRECT(ResultsInd[[#This Row],[Category]]&amp;"List[Retained Player Name]"),ResultsInd[[#This Row],[Player B]]),"")</f>
        <v>1</v>
      </c>
      <c r="R6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2" s="265" t="str">
        <f>IF(ResultsInd[[#This Row],[Score_OK]],IF(ResultsInd[[#This Row],[Stage]]="Groups",ResultsInd[[#This Row],[Category]]&amp;"-"&amp;IF(ResultsInd[[#This Row],[Player B]]="","",IF(ResultsInd[[#This Row],[Score-A]]=ResultsInd[[#This Row],[Score-B]],ResultsInd[[#This Row],[Player A]],"")),""),"")</f>
        <v/>
      </c>
      <c r="T672" s="265" t="str">
        <f>IF(ResultsInd[[#This Row],[Score_OK]],IF(ResultsInd[[#This Row],[Stage]]="Groups",ResultsInd[[#This Row],[Category]]&amp;"-"&amp;IF(ResultsInd[[#This Row],[Player B]]="","",IF(ResultsInd[[#This Row],[Score-A]]=ResultsInd[[#This Row],[Score-B]],ResultsInd[[#This Row],[Player B]],"")),""),"")</f>
        <v/>
      </c>
      <c r="U6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U16-Jérôme Cyganek</v>
      </c>
      <c r="W6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72" s="264" t="str">
        <f>IF(ResultsInd[[#This Row],[Category]]="","",VLOOKUP(ResultsInd[[#This Row],[Stage]],$P$1:$V$9,MATCH(ResultsInd[[#This Row],[Category]],$Q$1:$V$1,0)+1,FALSE))</f>
        <v>S</v>
      </c>
      <c r="Z672" s="264" t="str">
        <f>IF(ResultsInd[[#This Row],[Score_OK]],IF(ResultsInd[[#This Row],[Level]]="R",ResultsInd[[#This Row],[Category]]&amp;"-"&amp;IF(ResultsInd[[#This Row],[LoseInKO]]=ResultsInd[[#This Row],[Category]]&amp;"-"&amp;ResultsInd[[#This Row],[Player A]],ResultsInd[[#This Row],[Player B]],ResultsInd[[#This Row],[Player A]]),""),"")</f>
        <v/>
      </c>
      <c r="AB672" s="8"/>
      <c r="AC672" s="8"/>
      <c r="AE672" s="90"/>
      <c r="AF672" s="90"/>
      <c r="AP672" s="8"/>
      <c r="AQ672" s="8"/>
      <c r="AR672" s="8"/>
      <c r="AS672" s="8"/>
      <c r="AT672" s="8"/>
      <c r="AU672" s="8"/>
      <c r="AV672" s="8"/>
      <c r="AW672" s="8"/>
      <c r="AX672" s="8"/>
      <c r="AY672" s="90"/>
      <c r="AZ672" s="90"/>
      <c r="BA672" s="90"/>
      <c r="BB672" s="90"/>
      <c r="BC672" s="90"/>
      <c r="BD672" s="90"/>
      <c r="BE672" s="90"/>
      <c r="BF672" s="90"/>
    </row>
    <row r="673" spans="1:58" x14ac:dyDescent="0.2">
      <c r="A673" s="62" t="s">
        <v>1023</v>
      </c>
      <c r="B673" s="62" t="s">
        <v>12220</v>
      </c>
      <c r="C673" s="62"/>
      <c r="D673" s="62"/>
      <c r="E673" s="345" t="s">
        <v>10446</v>
      </c>
      <c r="F673" s="345" t="s">
        <v>8589</v>
      </c>
      <c r="G673" s="113">
        <v>7</v>
      </c>
      <c r="H673" s="113">
        <v>1</v>
      </c>
      <c r="I673" s="114"/>
      <c r="J673" s="114"/>
      <c r="K673" s="114"/>
      <c r="L673" s="81"/>
      <c r="M673" s="265" t="b">
        <f>NOT(ISERROR(ResultsInd[[#This Row],[Goal-A]]+ResultsInd[[#This Row],[Goal-B]]))</f>
        <v>1</v>
      </c>
      <c r="N673" s="265">
        <f>VALUE(ResultsInd[[#This Row],[Score-A]])</f>
        <v>7</v>
      </c>
      <c r="O673" s="265">
        <f>VALUE(ResultsInd[[#This Row],[Score-B]])</f>
        <v>1</v>
      </c>
      <c r="P673" s="265">
        <f ca="1">IF(AND(ResultsInd[[#This Row],[Category]]&lt;&gt;"",ResultsInd[[#This Row],[Player A]]&lt;&gt;""),COUNTIF(INDIRECT(ResultsInd[[#This Row],[Category]]&amp;"List[Retained Player Name]"),ResultsInd[[#This Row],[Player A]]),"")</f>
        <v>1</v>
      </c>
      <c r="Q673" s="265">
        <f ca="1">IF(AND(ResultsInd[[#This Row],[Category]]&lt;&gt;"",ResultsInd[[#This Row],[Player B]]&lt;&gt;""),COUNTIF(INDIRECT(ResultsInd[[#This Row],[Category]]&amp;"List[Retained Player Name]"),ResultsInd[[#This Row],[Player B]]),"")</f>
        <v>1</v>
      </c>
      <c r="R6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3" s="265" t="str">
        <f>IF(ResultsInd[[#This Row],[Score_OK]],IF(ResultsInd[[#This Row],[Stage]]="Groups",ResultsInd[[#This Row],[Category]]&amp;"-"&amp;IF(ResultsInd[[#This Row],[Player B]]="","",IF(ResultsInd[[#This Row],[Score-A]]=ResultsInd[[#This Row],[Score-B]],ResultsInd[[#This Row],[Player A]],"")),""),"")</f>
        <v/>
      </c>
      <c r="T673" s="265" t="str">
        <f>IF(ResultsInd[[#This Row],[Score_OK]],IF(ResultsInd[[#This Row],[Stage]]="Groups",ResultsInd[[#This Row],[Category]]&amp;"-"&amp;IF(ResultsInd[[#This Row],[Player B]]="","",IF(ResultsInd[[#This Row],[Score-A]]=ResultsInd[[#This Row],[Score-B]],ResultsInd[[#This Row],[Player B]],"")),""),"")</f>
        <v/>
      </c>
      <c r="U6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U16-Ruby Matthews</v>
      </c>
      <c r="W6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73" s="264" t="str">
        <f>IF(ResultsInd[[#This Row],[Category]]="","",VLOOKUP(ResultsInd[[#This Row],[Stage]],$P$1:$V$9,MATCH(ResultsInd[[#This Row],[Category]],$Q$1:$V$1,0)+1,FALSE))</f>
        <v>S</v>
      </c>
      <c r="Z673" s="264" t="str">
        <f>IF(ResultsInd[[#This Row],[Score_OK]],IF(ResultsInd[[#This Row],[Level]]="R",ResultsInd[[#This Row],[Category]]&amp;"-"&amp;IF(ResultsInd[[#This Row],[LoseInKO]]=ResultsInd[[#This Row],[Category]]&amp;"-"&amp;ResultsInd[[#This Row],[Player A]],ResultsInd[[#This Row],[Player B]],ResultsInd[[#This Row],[Player A]]),""),"")</f>
        <v/>
      </c>
      <c r="AB673" s="8"/>
      <c r="AC673" s="8"/>
      <c r="AE673" s="90"/>
      <c r="AF673" s="90"/>
      <c r="AP673" s="8"/>
      <c r="AQ673" s="8"/>
      <c r="AR673" s="8"/>
      <c r="AS673" s="8"/>
      <c r="AT673" s="8"/>
      <c r="AU673" s="8"/>
      <c r="AV673" s="8"/>
      <c r="AW673" s="8"/>
      <c r="AX673" s="8"/>
      <c r="AY673" s="90"/>
      <c r="AZ673" s="90"/>
      <c r="BA673" s="90"/>
      <c r="BB673" s="90"/>
      <c r="BC673" s="90"/>
      <c r="BD673" s="90"/>
      <c r="BE673" s="90"/>
      <c r="BF673" s="90"/>
    </row>
    <row r="674" spans="1:58" x14ac:dyDescent="0.2">
      <c r="A674" s="62" t="s">
        <v>1177</v>
      </c>
      <c r="B674" s="62" t="s">
        <v>12220</v>
      </c>
      <c r="C674" s="62"/>
      <c r="D674" s="62"/>
      <c r="E674" s="345" t="s">
        <v>11636</v>
      </c>
      <c r="F674" s="345" t="s">
        <v>10007</v>
      </c>
      <c r="G674" s="113">
        <v>2</v>
      </c>
      <c r="H674" s="113">
        <v>1</v>
      </c>
      <c r="I674" s="114"/>
      <c r="J674" s="114"/>
      <c r="K674" s="114"/>
      <c r="L674" s="81"/>
      <c r="M674" s="265" t="b">
        <f>NOT(ISERROR(ResultsInd[[#This Row],[Goal-A]]+ResultsInd[[#This Row],[Goal-B]]))</f>
        <v>1</v>
      </c>
      <c r="N674" s="265">
        <f>VALUE(ResultsInd[[#This Row],[Score-A]])</f>
        <v>2</v>
      </c>
      <c r="O674" s="265">
        <f>VALUE(ResultsInd[[#This Row],[Score-B]])</f>
        <v>1</v>
      </c>
      <c r="P674" s="265">
        <f ca="1">IF(AND(ResultsInd[[#This Row],[Category]]&lt;&gt;"",ResultsInd[[#This Row],[Player A]]&lt;&gt;""),COUNTIF(INDIRECT(ResultsInd[[#This Row],[Category]]&amp;"List[Retained Player Name]"),ResultsInd[[#This Row],[Player A]]),"")</f>
        <v>1</v>
      </c>
      <c r="Q674" s="265">
        <f ca="1">IF(AND(ResultsInd[[#This Row],[Category]]&lt;&gt;"",ResultsInd[[#This Row],[Player B]]&lt;&gt;""),COUNTIF(INDIRECT(ResultsInd[[#This Row],[Category]]&amp;"List[Retained Player Name]"),ResultsInd[[#This Row],[Player B]]),"")</f>
        <v>1</v>
      </c>
      <c r="R6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4" s="265" t="str">
        <f>IF(ResultsInd[[#This Row],[Score_OK]],IF(ResultsInd[[#This Row],[Stage]]="Groups",ResultsInd[[#This Row],[Category]]&amp;"-"&amp;IF(ResultsInd[[#This Row],[Player B]]="","",IF(ResultsInd[[#This Row],[Score-A]]=ResultsInd[[#This Row],[Score-B]],ResultsInd[[#This Row],[Player A]],"")),""),"")</f>
        <v/>
      </c>
      <c r="T674" s="265" t="str">
        <f>IF(ResultsInd[[#This Row],[Score_OK]],IF(ResultsInd[[#This Row],[Stage]]="Groups",ResultsInd[[#This Row],[Category]]&amp;"-"&amp;IF(ResultsInd[[#This Row],[Player B]]="","",IF(ResultsInd[[#This Row],[Score-A]]=ResultsInd[[#This Row],[Score-B]],ResultsInd[[#This Row],[Player B]],"")),""),"")</f>
        <v/>
      </c>
      <c r="U6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U12-Alessandro Gandin</v>
      </c>
      <c r="W6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74" s="264" t="str">
        <f>IF(ResultsInd[[#This Row],[Category]]="","",VLOOKUP(ResultsInd[[#This Row],[Stage]],$P$1:$V$9,MATCH(ResultsInd[[#This Row],[Category]],$Q$1:$V$1,0)+1,FALSE))</f>
        <v>S</v>
      </c>
      <c r="Z674" s="264" t="str">
        <f>IF(ResultsInd[[#This Row],[Score_OK]],IF(ResultsInd[[#This Row],[Level]]="R",ResultsInd[[#This Row],[Category]]&amp;"-"&amp;IF(ResultsInd[[#This Row],[LoseInKO]]=ResultsInd[[#This Row],[Category]]&amp;"-"&amp;ResultsInd[[#This Row],[Player A]],ResultsInd[[#This Row],[Player B]],ResultsInd[[#This Row],[Player A]]),""),"")</f>
        <v/>
      </c>
      <c r="AB674" s="8"/>
      <c r="AC674" s="8"/>
      <c r="AE674" s="90"/>
      <c r="AF674" s="90"/>
      <c r="AP674" s="8"/>
      <c r="AQ674" s="8"/>
      <c r="AR674" s="8"/>
      <c r="AS674" s="8"/>
      <c r="AT674" s="8"/>
      <c r="AU674" s="8"/>
      <c r="AV674" s="8"/>
      <c r="AW674" s="8"/>
      <c r="AX674" s="8"/>
      <c r="AY674" s="90"/>
      <c r="AZ674" s="90"/>
      <c r="BA674" s="90"/>
      <c r="BB674" s="90"/>
      <c r="BC674" s="90"/>
      <c r="BD674" s="90"/>
      <c r="BE674" s="90"/>
      <c r="BF674" s="90"/>
    </row>
    <row r="675" spans="1:58" x14ac:dyDescent="0.2">
      <c r="A675" s="62" t="s">
        <v>1177</v>
      </c>
      <c r="B675" s="62" t="s">
        <v>12220</v>
      </c>
      <c r="C675" s="62"/>
      <c r="D675" s="62"/>
      <c r="E675" s="345" t="s">
        <v>13342</v>
      </c>
      <c r="F675" s="345" t="s">
        <v>10341</v>
      </c>
      <c r="G675" s="113">
        <v>1</v>
      </c>
      <c r="H675" s="113">
        <v>3</v>
      </c>
      <c r="I675" s="114"/>
      <c r="J675" s="114"/>
      <c r="K675" s="114"/>
      <c r="L675" s="81"/>
      <c r="M675" s="265" t="b">
        <f>NOT(ISERROR(ResultsInd[[#This Row],[Goal-A]]+ResultsInd[[#This Row],[Goal-B]]))</f>
        <v>1</v>
      </c>
      <c r="N675" s="265">
        <f>VALUE(ResultsInd[[#This Row],[Score-A]])</f>
        <v>1</v>
      </c>
      <c r="O675" s="265">
        <f>VALUE(ResultsInd[[#This Row],[Score-B]])</f>
        <v>3</v>
      </c>
      <c r="P675" s="265">
        <f ca="1">IF(AND(ResultsInd[[#This Row],[Category]]&lt;&gt;"",ResultsInd[[#This Row],[Player A]]&lt;&gt;""),COUNTIF(INDIRECT(ResultsInd[[#This Row],[Category]]&amp;"List[Retained Player Name]"),ResultsInd[[#This Row],[Player A]]),"")</f>
        <v>1</v>
      </c>
      <c r="Q675" s="265">
        <f ca="1">IF(AND(ResultsInd[[#This Row],[Category]]&lt;&gt;"",ResultsInd[[#This Row],[Player B]]&lt;&gt;""),COUNTIF(INDIRECT(ResultsInd[[#This Row],[Category]]&amp;"List[Retained Player Name]"),ResultsInd[[#This Row],[Player B]]),"")</f>
        <v>1</v>
      </c>
      <c r="R6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5" s="265" t="str">
        <f>IF(ResultsInd[[#This Row],[Score_OK]],IF(ResultsInd[[#This Row],[Stage]]="Groups",ResultsInd[[#This Row],[Category]]&amp;"-"&amp;IF(ResultsInd[[#This Row],[Player B]]="","",IF(ResultsInd[[#This Row],[Score-A]]=ResultsInd[[#This Row],[Score-B]],ResultsInd[[#This Row],[Player A]],"")),""),"")</f>
        <v/>
      </c>
      <c r="T675" s="265" t="str">
        <f>IF(ResultsInd[[#This Row],[Score_OK]],IF(ResultsInd[[#This Row],[Stage]]="Groups",ResultsInd[[#This Row],[Category]]&amp;"-"&amp;IF(ResultsInd[[#This Row],[Player B]]="","",IF(ResultsInd[[#This Row],[Score-A]]=ResultsInd[[#This Row],[Score-B]],ResultsInd[[#This Row],[Player B]],"")),""),"")</f>
        <v/>
      </c>
      <c r="U6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U12-Alberto Baratucci</v>
      </c>
      <c r="W6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6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675" s="264" t="str">
        <f>IF(ResultsInd[[#This Row],[Category]]="","",VLOOKUP(ResultsInd[[#This Row],[Stage]],$P$1:$V$9,MATCH(ResultsInd[[#This Row],[Category]],$Q$1:$V$1,0)+1,FALSE))</f>
        <v>S</v>
      </c>
      <c r="Z675" s="264" t="str">
        <f>IF(ResultsInd[[#This Row],[Score_OK]],IF(ResultsInd[[#This Row],[Level]]="R",ResultsInd[[#This Row],[Category]]&amp;"-"&amp;IF(ResultsInd[[#This Row],[LoseInKO]]=ResultsInd[[#This Row],[Category]]&amp;"-"&amp;ResultsInd[[#This Row],[Player A]],ResultsInd[[#This Row],[Player B]],ResultsInd[[#This Row],[Player A]]),""),"")</f>
        <v/>
      </c>
      <c r="AB675" s="8"/>
      <c r="AC675" s="8"/>
      <c r="AE675" s="90"/>
      <c r="AF675" s="90"/>
      <c r="AP675" s="8"/>
      <c r="AQ675" s="8"/>
      <c r="AR675" s="8"/>
      <c r="AS675" s="8"/>
      <c r="AT675" s="8"/>
      <c r="AU675" s="8"/>
      <c r="AV675" s="8"/>
      <c r="AW675" s="8"/>
      <c r="AX675" s="8"/>
      <c r="AY675" s="90"/>
      <c r="AZ675" s="90"/>
      <c r="BA675" s="90"/>
      <c r="BB675" s="90"/>
      <c r="BC675" s="90"/>
      <c r="BD675" s="90"/>
      <c r="BE675" s="90"/>
      <c r="BF675" s="90"/>
    </row>
    <row r="676" spans="1:58" x14ac:dyDescent="0.2">
      <c r="A676" s="62" t="s">
        <v>890</v>
      </c>
      <c r="B676" s="62" t="s">
        <v>12221</v>
      </c>
      <c r="C676" s="62"/>
      <c r="D676" s="62"/>
      <c r="E676" s="345" t="s">
        <v>10415</v>
      </c>
      <c r="F676" s="345" t="s">
        <v>8610</v>
      </c>
      <c r="G676" s="113">
        <v>3</v>
      </c>
      <c r="H676" s="113">
        <v>1</v>
      </c>
      <c r="I676" s="114"/>
      <c r="J676" s="114"/>
      <c r="K676" s="114"/>
      <c r="L676" s="81"/>
      <c r="M676" s="265" t="b">
        <f>NOT(ISERROR(ResultsInd[[#This Row],[Goal-A]]+ResultsInd[[#This Row],[Goal-B]]))</f>
        <v>1</v>
      </c>
      <c r="N676" s="265">
        <f>VALUE(ResultsInd[[#This Row],[Score-A]])</f>
        <v>3</v>
      </c>
      <c r="O676" s="265">
        <f>VALUE(ResultsInd[[#This Row],[Score-B]])</f>
        <v>1</v>
      </c>
      <c r="P676" s="265">
        <f ca="1">IF(AND(ResultsInd[[#This Row],[Category]]&lt;&gt;"",ResultsInd[[#This Row],[Player A]]&lt;&gt;""),COUNTIF(INDIRECT(ResultsInd[[#This Row],[Category]]&amp;"List[Retained Player Name]"),ResultsInd[[#This Row],[Player A]]),"")</f>
        <v>1</v>
      </c>
      <c r="Q676" s="265">
        <f ca="1">IF(AND(ResultsInd[[#This Row],[Category]]&lt;&gt;"",ResultsInd[[#This Row],[Player B]]&lt;&gt;""),COUNTIF(INDIRECT(ResultsInd[[#This Row],[Category]]&amp;"List[Retained Player Name]"),ResultsInd[[#This Row],[Player B]]),"")</f>
        <v>1</v>
      </c>
      <c r="R6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6" s="265" t="str">
        <f>IF(ResultsInd[[#This Row],[Score_OK]],IF(ResultsInd[[#This Row],[Stage]]="Groups",ResultsInd[[#This Row],[Category]]&amp;"-"&amp;IF(ResultsInd[[#This Row],[Player B]]="","",IF(ResultsInd[[#This Row],[Score-A]]=ResultsInd[[#This Row],[Score-B]],ResultsInd[[#This Row],[Player A]],"")),""),"")</f>
        <v/>
      </c>
      <c r="T676" s="265" t="str">
        <f>IF(ResultsInd[[#This Row],[Score_OK]],IF(ResultsInd[[#This Row],[Stage]]="Groups",ResultsInd[[#This Row],[Category]]&amp;"-"&amp;IF(ResultsInd[[#This Row],[Player B]]="","",IF(ResultsInd[[#This Row],[Score-A]]=ResultsInd[[#This Row],[Score-B]],ResultsInd[[#This Row],[Player B]],"")),""),"")</f>
        <v/>
      </c>
      <c r="U6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OPEN-Carlos Flores</v>
      </c>
      <c r="W6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6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676" s="264" t="str">
        <f>IF(ResultsInd[[#This Row],[Category]]="","",VLOOKUP(ResultsInd[[#This Row],[Stage]],$P$1:$V$9,MATCH(ResultsInd[[#This Row],[Category]],$Q$1:$V$1,0)+1,FALSE))</f>
        <v>R</v>
      </c>
      <c r="Z676" s="264" t="str">
        <f>IF(ResultsInd[[#This Row],[Score_OK]],IF(ResultsInd[[#This Row],[Level]]="R",ResultsInd[[#This Row],[Category]]&amp;"-"&amp;IF(ResultsInd[[#This Row],[LoseInKO]]=ResultsInd[[#This Row],[Category]]&amp;"-"&amp;ResultsInd[[#This Row],[Player A]],ResultsInd[[#This Row],[Player B]],ResultsInd[[#This Row],[Player A]]),""),"")</f>
        <v>OPEN-Samuel Bartolo</v>
      </c>
      <c r="AB676" s="8"/>
      <c r="AC676" s="8"/>
      <c r="AE676" s="90"/>
      <c r="AF676" s="90"/>
      <c r="AP676" s="8"/>
      <c r="AQ676" s="8"/>
      <c r="AR676" s="8"/>
      <c r="AS676" s="8"/>
      <c r="AT676" s="8"/>
      <c r="AU676" s="8"/>
      <c r="AV676" s="8"/>
      <c r="AW676" s="8"/>
      <c r="AX676" s="8"/>
      <c r="AY676" s="90"/>
      <c r="AZ676" s="90"/>
      <c r="BA676" s="90"/>
      <c r="BB676" s="90"/>
      <c r="BC676" s="90"/>
      <c r="BD676" s="90"/>
      <c r="BE676" s="90"/>
      <c r="BF676" s="90"/>
    </row>
    <row r="677" spans="1:58" x14ac:dyDescent="0.2">
      <c r="A677" s="62" t="s">
        <v>12261</v>
      </c>
      <c r="B677" s="62" t="s">
        <v>12221</v>
      </c>
      <c r="C677" s="62"/>
      <c r="D677" s="62"/>
      <c r="E677" s="345" t="s">
        <v>8752</v>
      </c>
      <c r="F677" s="345" t="s">
        <v>10253</v>
      </c>
      <c r="G677" s="113">
        <v>4</v>
      </c>
      <c r="H677" s="113">
        <v>3</v>
      </c>
      <c r="I677" s="114" t="s">
        <v>14586</v>
      </c>
      <c r="J677" s="114"/>
      <c r="K677" s="114"/>
      <c r="L677" s="81"/>
      <c r="M677" s="265" t="b">
        <f>NOT(ISERROR(ResultsInd[[#This Row],[Goal-A]]+ResultsInd[[#This Row],[Goal-B]]))</f>
        <v>1</v>
      </c>
      <c r="N677" s="265">
        <f>VALUE(ResultsInd[[#This Row],[Score-A]])</f>
        <v>4</v>
      </c>
      <c r="O677" s="265">
        <f>VALUE(ResultsInd[[#This Row],[Score-B]])</f>
        <v>3</v>
      </c>
      <c r="P677" s="265">
        <f ca="1">IF(AND(ResultsInd[[#This Row],[Category]]&lt;&gt;"",ResultsInd[[#This Row],[Player A]]&lt;&gt;""),COUNTIF(INDIRECT(ResultsInd[[#This Row],[Category]]&amp;"List[Retained Player Name]"),ResultsInd[[#This Row],[Player A]]),"")</f>
        <v>1</v>
      </c>
      <c r="Q677" s="265">
        <f ca="1">IF(AND(ResultsInd[[#This Row],[Category]]&lt;&gt;"",ResultsInd[[#This Row],[Player B]]&lt;&gt;""),COUNTIF(INDIRECT(ResultsInd[[#This Row],[Category]]&amp;"List[Retained Player Name]"),ResultsInd[[#This Row],[Player B]]),"")</f>
        <v>1</v>
      </c>
      <c r="R6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7" s="265" t="str">
        <f>IF(ResultsInd[[#This Row],[Score_OK]],IF(ResultsInd[[#This Row],[Stage]]="Groups",ResultsInd[[#This Row],[Category]]&amp;"-"&amp;IF(ResultsInd[[#This Row],[Player B]]="","",IF(ResultsInd[[#This Row],[Score-A]]=ResultsInd[[#This Row],[Score-B]],ResultsInd[[#This Row],[Player A]],"")),""),"")</f>
        <v/>
      </c>
      <c r="T677" s="265" t="str">
        <f>IF(ResultsInd[[#This Row],[Score_OK]],IF(ResultsInd[[#This Row],[Stage]]="Groups",ResultsInd[[#This Row],[Category]]&amp;"-"&amp;IF(ResultsInd[[#This Row],[Player B]]="","",IF(ResultsInd[[#This Row],[Score-A]]=ResultsInd[[#This Row],[Score-B]],ResultsInd[[#This Row],[Player B]],"")),""),"")</f>
        <v/>
      </c>
      <c r="U6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VETERANS-Gianfranco Calonico</v>
      </c>
      <c r="W6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6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677" s="264" t="str">
        <f>IF(ResultsInd[[#This Row],[Category]]="","",VLOOKUP(ResultsInd[[#This Row],[Stage]],$P$1:$V$9,MATCH(ResultsInd[[#This Row],[Category]],$Q$1:$V$1,0)+1,FALSE))</f>
        <v>R</v>
      </c>
      <c r="Z677" s="264" t="str">
        <f>IF(ResultsInd[[#This Row],[Score_OK]],IF(ResultsInd[[#This Row],[Level]]="R",ResultsInd[[#This Row],[Category]]&amp;"-"&amp;IF(ResultsInd[[#This Row],[LoseInKO]]=ResultsInd[[#This Row],[Category]]&amp;"-"&amp;ResultsInd[[#This Row],[Player A]],ResultsInd[[#This Row],[Player B]],ResultsInd[[#This Row],[Player A]]),""),"")</f>
        <v>VETERANS-John Field</v>
      </c>
      <c r="AB677" s="8"/>
      <c r="AC677" s="8"/>
      <c r="AE677" s="90"/>
      <c r="AF677" s="90"/>
      <c r="AP677" s="8"/>
      <c r="AQ677" s="8"/>
      <c r="AR677" s="8"/>
      <c r="AS677" s="8"/>
      <c r="AT677" s="8"/>
      <c r="AU677" s="8"/>
      <c r="AV677" s="8"/>
      <c r="AW677" s="8"/>
      <c r="AX677" s="8"/>
      <c r="AY677" s="90"/>
      <c r="AZ677" s="90"/>
      <c r="BA677" s="90"/>
      <c r="BB677" s="90"/>
      <c r="BC677" s="90"/>
      <c r="BD677" s="90"/>
      <c r="BE677" s="90"/>
      <c r="BF677" s="90"/>
    </row>
    <row r="678" spans="1:58" x14ac:dyDescent="0.2">
      <c r="A678" s="62" t="s">
        <v>12262</v>
      </c>
      <c r="B678" s="62" t="s">
        <v>12221</v>
      </c>
      <c r="C678" s="62"/>
      <c r="D678" s="62"/>
      <c r="E678" s="345" t="s">
        <v>10542</v>
      </c>
      <c r="F678" s="345" t="s">
        <v>8704</v>
      </c>
      <c r="G678" s="113">
        <v>2</v>
      </c>
      <c r="H678" s="113">
        <v>2</v>
      </c>
      <c r="I678" s="114"/>
      <c r="J678" s="114">
        <v>2</v>
      </c>
      <c r="K678" s="114">
        <v>3</v>
      </c>
      <c r="L678" s="81"/>
      <c r="M678" s="265" t="b">
        <f>NOT(ISERROR(ResultsInd[[#This Row],[Goal-A]]+ResultsInd[[#This Row],[Goal-B]]))</f>
        <v>1</v>
      </c>
      <c r="N678" s="265">
        <f>VALUE(ResultsInd[[#This Row],[Score-A]])</f>
        <v>2</v>
      </c>
      <c r="O678" s="265">
        <f>VALUE(ResultsInd[[#This Row],[Score-B]])</f>
        <v>2</v>
      </c>
      <c r="P678" s="265">
        <f ca="1">IF(AND(ResultsInd[[#This Row],[Category]]&lt;&gt;"",ResultsInd[[#This Row],[Player A]]&lt;&gt;""),COUNTIF(INDIRECT(ResultsInd[[#This Row],[Category]]&amp;"List[Retained Player Name]"),ResultsInd[[#This Row],[Player A]]),"")</f>
        <v>1</v>
      </c>
      <c r="Q678" s="265">
        <f ca="1">IF(AND(ResultsInd[[#This Row],[Category]]&lt;&gt;"",ResultsInd[[#This Row],[Player B]]&lt;&gt;""),COUNTIF(INDIRECT(ResultsInd[[#This Row],[Category]]&amp;"List[Retained Player Name]"),ResultsInd[[#This Row],[Player B]]),"")</f>
        <v>1</v>
      </c>
      <c r="R6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8" s="265" t="str">
        <f>IF(ResultsInd[[#This Row],[Score_OK]],IF(ResultsInd[[#This Row],[Stage]]="Groups",ResultsInd[[#This Row],[Category]]&amp;"-"&amp;IF(ResultsInd[[#This Row],[Player B]]="","",IF(ResultsInd[[#This Row],[Score-A]]=ResultsInd[[#This Row],[Score-B]],ResultsInd[[#This Row],[Player A]],"")),""),"")</f>
        <v/>
      </c>
      <c r="T678" s="265" t="str">
        <f>IF(ResultsInd[[#This Row],[Score_OK]],IF(ResultsInd[[#This Row],[Stage]]="Groups",ResultsInd[[#This Row],[Category]]&amp;"-"&amp;IF(ResultsInd[[#This Row],[Player B]]="","",IF(ResultsInd[[#This Row],[Score-A]]=ResultsInd[[#This Row],[Score-B]],ResultsInd[[#This Row],[Player B]],"")),""),"")</f>
        <v/>
      </c>
      <c r="U6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LADIES-Carolina Villarigues</v>
      </c>
      <c r="W6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6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678" s="264" t="str">
        <f>IF(ResultsInd[[#This Row],[Category]]="","",VLOOKUP(ResultsInd[[#This Row],[Stage]],$P$1:$V$9,MATCH(ResultsInd[[#This Row],[Category]],$Q$1:$V$1,0)+1,FALSE))</f>
        <v>R</v>
      </c>
      <c r="Z678" s="264" t="str">
        <f>IF(ResultsInd[[#This Row],[Score_OK]],IF(ResultsInd[[#This Row],[Level]]="R",ResultsInd[[#This Row],[Category]]&amp;"-"&amp;IF(ResultsInd[[#This Row],[LoseInKO]]=ResultsInd[[#This Row],[Category]]&amp;"-"&amp;ResultsInd[[#This Row],[Player A]],ResultsInd[[#This Row],[Player B]],ResultsInd[[#This Row],[Player A]]),""),"")</f>
        <v>LADIES-Audrey Herbaut</v>
      </c>
      <c r="AB678" s="8"/>
      <c r="AC678" s="8"/>
      <c r="AE678" s="90"/>
      <c r="AF678" s="90"/>
      <c r="AP678" s="8"/>
      <c r="AQ678" s="8"/>
      <c r="AR678" s="8"/>
      <c r="AS678" s="8"/>
      <c r="AT678" s="8"/>
      <c r="AU678" s="8"/>
      <c r="AV678" s="8"/>
      <c r="AW678" s="8"/>
      <c r="AX678" s="8"/>
      <c r="AY678" s="90"/>
      <c r="AZ678" s="90"/>
      <c r="BA678" s="90"/>
      <c r="BB678" s="90"/>
      <c r="BC678" s="90"/>
      <c r="BD678" s="90"/>
      <c r="BE678" s="90"/>
      <c r="BF678" s="90"/>
    </row>
    <row r="679" spans="1:58" x14ac:dyDescent="0.2">
      <c r="A679" s="62" t="s">
        <v>930</v>
      </c>
      <c r="B679" s="62" t="s">
        <v>12221</v>
      </c>
      <c r="C679" s="62"/>
      <c r="D679" s="62"/>
      <c r="E679" s="345" t="s">
        <v>8120</v>
      </c>
      <c r="F679" s="345" t="s">
        <v>8716</v>
      </c>
      <c r="G679" s="113">
        <v>1</v>
      </c>
      <c r="H679" s="113">
        <v>1</v>
      </c>
      <c r="I679" s="114"/>
      <c r="J679" s="114">
        <v>2</v>
      </c>
      <c r="K679" s="114">
        <v>3</v>
      </c>
      <c r="L679" s="81"/>
      <c r="M679" s="265" t="b">
        <f>NOT(ISERROR(ResultsInd[[#This Row],[Goal-A]]+ResultsInd[[#This Row],[Goal-B]]))</f>
        <v>1</v>
      </c>
      <c r="N679" s="265">
        <f>VALUE(ResultsInd[[#This Row],[Score-A]])</f>
        <v>1</v>
      </c>
      <c r="O679" s="265">
        <f>VALUE(ResultsInd[[#This Row],[Score-B]])</f>
        <v>1</v>
      </c>
      <c r="P679" s="265">
        <f ca="1">IF(AND(ResultsInd[[#This Row],[Category]]&lt;&gt;"",ResultsInd[[#This Row],[Player A]]&lt;&gt;""),COUNTIF(INDIRECT(ResultsInd[[#This Row],[Category]]&amp;"List[Retained Player Name]"),ResultsInd[[#This Row],[Player A]]),"")</f>
        <v>1</v>
      </c>
      <c r="Q679" s="265">
        <f ca="1">IF(AND(ResultsInd[[#This Row],[Category]]&lt;&gt;"",ResultsInd[[#This Row],[Player B]]&lt;&gt;""),COUNTIF(INDIRECT(ResultsInd[[#This Row],[Category]]&amp;"List[Retained Player Name]"),ResultsInd[[#This Row],[Player B]]),"")</f>
        <v>1</v>
      </c>
      <c r="R6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9" s="265" t="str">
        <f>IF(ResultsInd[[#This Row],[Score_OK]],IF(ResultsInd[[#This Row],[Stage]]="Groups",ResultsInd[[#This Row],[Category]]&amp;"-"&amp;IF(ResultsInd[[#This Row],[Player B]]="","",IF(ResultsInd[[#This Row],[Score-A]]=ResultsInd[[#This Row],[Score-B]],ResultsInd[[#This Row],[Player A]],"")),""),"")</f>
        <v/>
      </c>
      <c r="T679" s="265" t="str">
        <f>IF(ResultsInd[[#This Row],[Score_OK]],IF(ResultsInd[[#This Row],[Stage]]="Groups",ResultsInd[[#This Row],[Category]]&amp;"-"&amp;IF(ResultsInd[[#This Row],[Player B]]="","",IF(ResultsInd[[#This Row],[Score-A]]=ResultsInd[[#This Row],[Score-B]],ResultsInd[[#This Row],[Player B]],"")),""),"")</f>
        <v/>
      </c>
      <c r="U6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U20-Lucas Pere</v>
      </c>
      <c r="W6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6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679" s="264" t="str">
        <f>IF(ResultsInd[[#This Row],[Category]]="","",VLOOKUP(ResultsInd[[#This Row],[Stage]],$P$1:$V$9,MATCH(ResultsInd[[#This Row],[Category]],$Q$1:$V$1,0)+1,FALSE))</f>
        <v>R</v>
      </c>
      <c r="Z679" s="264" t="str">
        <f>IF(ResultsInd[[#This Row],[Score_OK]],IF(ResultsInd[[#This Row],[Level]]="R",ResultsInd[[#This Row],[Category]]&amp;"-"&amp;IF(ResultsInd[[#This Row],[LoseInKO]]=ResultsInd[[#This Row],[Category]]&amp;"-"&amp;ResultsInd[[#This Row],[Player A]],ResultsInd[[#This Row],[Player B]],ResultsInd[[#This Row],[Player A]]),""),"")</f>
        <v>U20-Quentin Ausset</v>
      </c>
      <c r="AB679" s="8"/>
      <c r="AC679" s="8"/>
      <c r="AE679" s="90"/>
      <c r="AF679" s="90"/>
      <c r="AP679" s="8"/>
      <c r="AQ679" s="8"/>
      <c r="AR679" s="8"/>
      <c r="AS679" s="8"/>
      <c r="AT679" s="8"/>
      <c r="AU679" s="8"/>
      <c r="AV679" s="8"/>
      <c r="AW679" s="8"/>
      <c r="AX679" s="8"/>
      <c r="AY679" s="90"/>
      <c r="AZ679" s="90"/>
      <c r="BA679" s="90"/>
      <c r="BB679" s="90"/>
      <c r="BC679" s="90"/>
      <c r="BD679" s="90"/>
      <c r="BE679" s="90"/>
      <c r="BF679" s="90"/>
    </row>
    <row r="680" spans="1:58" x14ac:dyDescent="0.2">
      <c r="A680" s="62" t="s">
        <v>1023</v>
      </c>
      <c r="B680" s="62" t="s">
        <v>12221</v>
      </c>
      <c r="C680" s="62"/>
      <c r="D680" s="62"/>
      <c r="E680" s="345" t="s">
        <v>8722</v>
      </c>
      <c r="F680" s="345" t="s">
        <v>10446</v>
      </c>
      <c r="G680" s="113">
        <v>1</v>
      </c>
      <c r="H680" s="113">
        <v>5</v>
      </c>
      <c r="I680" s="114"/>
      <c r="J680" s="114"/>
      <c r="K680" s="114"/>
      <c r="L680" s="81"/>
      <c r="M680" s="265" t="b">
        <f>NOT(ISERROR(ResultsInd[[#This Row],[Goal-A]]+ResultsInd[[#This Row],[Goal-B]]))</f>
        <v>1</v>
      </c>
      <c r="N680" s="265">
        <f>VALUE(ResultsInd[[#This Row],[Score-A]])</f>
        <v>1</v>
      </c>
      <c r="O680" s="265">
        <f>VALUE(ResultsInd[[#This Row],[Score-B]])</f>
        <v>5</v>
      </c>
      <c r="P680" s="265">
        <f ca="1">IF(AND(ResultsInd[[#This Row],[Category]]&lt;&gt;"",ResultsInd[[#This Row],[Player A]]&lt;&gt;""),COUNTIF(INDIRECT(ResultsInd[[#This Row],[Category]]&amp;"List[Retained Player Name]"),ResultsInd[[#This Row],[Player A]]),"")</f>
        <v>1</v>
      </c>
      <c r="Q680" s="265">
        <f ca="1">IF(AND(ResultsInd[[#This Row],[Category]]&lt;&gt;"",ResultsInd[[#This Row],[Player B]]&lt;&gt;""),COUNTIF(INDIRECT(ResultsInd[[#This Row],[Category]]&amp;"List[Retained Player Name]"),ResultsInd[[#This Row],[Player B]]),"")</f>
        <v>1</v>
      </c>
      <c r="R6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0" s="265" t="str">
        <f>IF(ResultsInd[[#This Row],[Score_OK]],IF(ResultsInd[[#This Row],[Stage]]="Groups",ResultsInd[[#This Row],[Category]]&amp;"-"&amp;IF(ResultsInd[[#This Row],[Player B]]="","",IF(ResultsInd[[#This Row],[Score-A]]=ResultsInd[[#This Row],[Score-B]],ResultsInd[[#This Row],[Player A]],"")),""),"")</f>
        <v/>
      </c>
      <c r="T680" s="265" t="str">
        <f>IF(ResultsInd[[#This Row],[Score_OK]],IF(ResultsInd[[#This Row],[Stage]]="Groups",ResultsInd[[#This Row],[Category]]&amp;"-"&amp;IF(ResultsInd[[#This Row],[Player B]]="","",IF(ResultsInd[[#This Row],[Score-A]]=ResultsInd[[#This Row],[Score-B]],ResultsInd[[#This Row],[Player B]],"")),""),"")</f>
        <v/>
      </c>
      <c r="U6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U16-Louis Soret</v>
      </c>
      <c r="W6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6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680" s="264" t="str">
        <f>IF(ResultsInd[[#This Row],[Category]]="","",VLOOKUP(ResultsInd[[#This Row],[Stage]],$P$1:$V$9,MATCH(ResultsInd[[#This Row],[Category]],$Q$1:$V$1,0)+1,FALSE))</f>
        <v>R</v>
      </c>
      <c r="Z680" s="264" t="str">
        <f>IF(ResultsInd[[#This Row],[Score_OK]],IF(ResultsInd[[#This Row],[Level]]="R",ResultsInd[[#This Row],[Category]]&amp;"-"&amp;IF(ResultsInd[[#This Row],[LoseInKO]]=ResultsInd[[#This Row],[Category]]&amp;"-"&amp;ResultsInd[[#This Row],[Player A]],ResultsInd[[#This Row],[Player B]],ResultsInd[[#This Row],[Player A]]),""),"")</f>
        <v>U16-Robert Farrugia Randon</v>
      </c>
      <c r="AB680" s="8"/>
      <c r="AC680" s="8"/>
      <c r="AE680" s="90"/>
      <c r="AF680" s="90"/>
      <c r="AP680" s="8"/>
      <c r="AQ680" s="8"/>
      <c r="AR680" s="8"/>
      <c r="AS680" s="8"/>
      <c r="AT680" s="8"/>
      <c r="AU680" s="8"/>
      <c r="AV680" s="8"/>
      <c r="AW680" s="8"/>
      <c r="AX680" s="8"/>
      <c r="AY680" s="90"/>
      <c r="AZ680" s="90"/>
      <c r="BA680" s="90"/>
      <c r="BB680" s="90"/>
      <c r="BC680" s="90"/>
      <c r="BD680" s="90"/>
      <c r="BE680" s="90"/>
      <c r="BF680" s="90"/>
    </row>
    <row r="681" spans="1:58" x14ac:dyDescent="0.2">
      <c r="A681" s="62" t="s">
        <v>1177</v>
      </c>
      <c r="B681" s="62" t="s">
        <v>12221</v>
      </c>
      <c r="C681" s="62"/>
      <c r="D681" s="62"/>
      <c r="E681" s="345" t="s">
        <v>11636</v>
      </c>
      <c r="F681" s="345" t="s">
        <v>10341</v>
      </c>
      <c r="G681" s="113">
        <v>6</v>
      </c>
      <c r="H681" s="113">
        <v>0</v>
      </c>
      <c r="I681" s="114"/>
      <c r="J681" s="114"/>
      <c r="K681" s="114"/>
      <c r="L681" s="81"/>
      <c r="M681" s="265" t="b">
        <f>NOT(ISERROR(ResultsInd[[#This Row],[Goal-A]]+ResultsInd[[#This Row],[Goal-B]]))</f>
        <v>1</v>
      </c>
      <c r="N681" s="265">
        <f>VALUE(ResultsInd[[#This Row],[Score-A]])</f>
        <v>6</v>
      </c>
      <c r="O681" s="265">
        <f>VALUE(ResultsInd[[#This Row],[Score-B]])</f>
        <v>0</v>
      </c>
      <c r="P681" s="265">
        <f ca="1">IF(AND(ResultsInd[[#This Row],[Category]]&lt;&gt;"",ResultsInd[[#This Row],[Player A]]&lt;&gt;""),COUNTIF(INDIRECT(ResultsInd[[#This Row],[Category]]&amp;"List[Retained Player Name]"),ResultsInd[[#This Row],[Player A]]),"")</f>
        <v>1</v>
      </c>
      <c r="Q681" s="265">
        <f ca="1">IF(AND(ResultsInd[[#This Row],[Category]]&lt;&gt;"",ResultsInd[[#This Row],[Player B]]&lt;&gt;""),COUNTIF(INDIRECT(ResultsInd[[#This Row],[Category]]&amp;"List[Retained Player Name]"),ResultsInd[[#This Row],[Player B]]),"")</f>
        <v>1</v>
      </c>
      <c r="R6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1" s="265" t="str">
        <f>IF(ResultsInd[[#This Row],[Score_OK]],IF(ResultsInd[[#This Row],[Stage]]="Groups",ResultsInd[[#This Row],[Category]]&amp;"-"&amp;IF(ResultsInd[[#This Row],[Player B]]="","",IF(ResultsInd[[#This Row],[Score-A]]=ResultsInd[[#This Row],[Score-B]],ResultsInd[[#This Row],[Player A]],"")),""),"")</f>
        <v/>
      </c>
      <c r="T681" s="265" t="str">
        <f>IF(ResultsInd[[#This Row],[Score_OK]],IF(ResultsInd[[#This Row],[Stage]]="Groups",ResultsInd[[#This Row],[Category]]&amp;"-"&amp;IF(ResultsInd[[#This Row],[Player B]]="","",IF(ResultsInd[[#This Row],[Score-A]]=ResultsInd[[#This Row],[Score-B]],ResultsInd[[#This Row],[Player B]],"")),""),"")</f>
        <v/>
      </c>
      <c r="U6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U12-Davide Balito</v>
      </c>
      <c r="W6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6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681" s="264" t="str">
        <f>IF(ResultsInd[[#This Row],[Category]]="","",VLOOKUP(ResultsInd[[#This Row],[Stage]],$P$1:$V$9,MATCH(ResultsInd[[#This Row],[Category]],$Q$1:$V$1,0)+1,FALSE))</f>
        <v>R</v>
      </c>
      <c r="Z681" s="264" t="str">
        <f>IF(ResultsInd[[#This Row],[Score_OK]],IF(ResultsInd[[#This Row],[Level]]="R",ResultsInd[[#This Row],[Category]]&amp;"-"&amp;IF(ResultsInd[[#This Row],[LoseInKO]]=ResultsInd[[#This Row],[Category]]&amp;"-"&amp;ResultsInd[[#This Row],[Player A]],ResultsInd[[#This Row],[Player B]],ResultsInd[[#This Row],[Player A]]),""),"")</f>
        <v>U12-Max Pereira</v>
      </c>
      <c r="AB681" s="8"/>
      <c r="AC681" s="8"/>
      <c r="AE681" s="90"/>
      <c r="AF681" s="90"/>
      <c r="AP681" s="8"/>
      <c r="AQ681" s="8"/>
      <c r="AR681" s="8"/>
      <c r="AS681" s="8"/>
      <c r="AT681" s="8"/>
      <c r="AU681" s="8"/>
      <c r="AV681" s="8"/>
      <c r="AW681" s="8"/>
      <c r="AX681" s="8"/>
      <c r="AY681" s="90"/>
      <c r="AZ681" s="90"/>
      <c r="BA681" s="90"/>
      <c r="BB681" s="90"/>
      <c r="BC681" s="90"/>
      <c r="BD681" s="90"/>
      <c r="BE681" s="90"/>
      <c r="BF681" s="90"/>
    </row>
    <row r="682" spans="1:58" x14ac:dyDescent="0.2">
      <c r="A682" s="62" t="s">
        <v>12263</v>
      </c>
      <c r="B682" s="62" t="s">
        <v>12220</v>
      </c>
      <c r="C682" s="62"/>
      <c r="D682" s="62"/>
      <c r="E682" s="345" t="s">
        <v>10420</v>
      </c>
      <c r="F682" s="345" t="s">
        <v>8109</v>
      </c>
      <c r="G682" s="113">
        <v>3</v>
      </c>
      <c r="H682" s="113">
        <v>4</v>
      </c>
      <c r="I682" s="114" t="s">
        <v>14586</v>
      </c>
      <c r="J682" s="114"/>
      <c r="K682" s="114"/>
      <c r="L682" s="81"/>
      <c r="M682" s="265" t="b">
        <f>NOT(ISERROR(ResultsInd[[#This Row],[Goal-A]]+ResultsInd[[#This Row],[Goal-B]]))</f>
        <v>1</v>
      </c>
      <c r="N682" s="265">
        <f>VALUE(ResultsInd[[#This Row],[Score-A]])</f>
        <v>3</v>
      </c>
      <c r="O682" s="265">
        <f>VALUE(ResultsInd[[#This Row],[Score-B]])</f>
        <v>4</v>
      </c>
      <c r="P682" s="265" t="e">
        <f ca="1">IF(AND(ResultsInd[[#This Row],[Category]]&lt;&gt;"",ResultsInd[[#This Row],[Player A]]&lt;&gt;""),COUNTIF(INDIRECT(ResultsInd[[#This Row],[Category]]&amp;"List[Retained Player Name]"),ResultsInd[[#This Row],[Player A]]),"")</f>
        <v>#REF!</v>
      </c>
      <c r="Q682" s="265" t="e">
        <f ca="1">IF(AND(ResultsInd[[#This Row],[Category]]&lt;&gt;"",ResultsInd[[#This Row],[Player B]]&lt;&gt;""),COUNTIF(INDIRECT(ResultsInd[[#This Row],[Category]]&amp;"List[Retained Player Name]"),ResultsInd[[#This Row],[Player B]]),"")</f>
        <v>#REF!</v>
      </c>
      <c r="R6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2" s="265" t="str">
        <f>IF(ResultsInd[[#This Row],[Score_OK]],IF(ResultsInd[[#This Row],[Stage]]="Groups",ResultsInd[[#This Row],[Category]]&amp;"-"&amp;IF(ResultsInd[[#This Row],[Player B]]="","",IF(ResultsInd[[#This Row],[Score-A]]=ResultsInd[[#This Row],[Score-B]],ResultsInd[[#This Row],[Player A]],"")),""),"")</f>
        <v/>
      </c>
      <c r="T682" s="265" t="str">
        <f>IF(ResultsInd[[#This Row],[Score_OK]],IF(ResultsInd[[#This Row],[Stage]]="Groups",ResultsInd[[#This Row],[Category]]&amp;"-"&amp;IF(ResultsInd[[#This Row],[Player B]]="","",IF(ResultsInd[[#This Row],[Score-A]]=ResultsInd[[#This Row],[Score-B]],ResultsInd[[#This Row],[Player B]],"")),""),"")</f>
        <v/>
      </c>
      <c r="U6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CONSOLATION-Josef Camilleri</v>
      </c>
      <c r="W68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82"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82" s="264" t="e">
        <f>IF(ResultsInd[[#This Row],[Category]]="","",VLOOKUP(ResultsInd[[#This Row],[Stage]],$P$1:$V$9,MATCH(ResultsInd[[#This Row],[Category]],$Q$1:$V$1,0)+1,FALSE))</f>
        <v>#N/A</v>
      </c>
      <c r="Z682" s="264" t="e">
        <f>IF(ResultsInd[[#This Row],[Score_OK]],IF(ResultsInd[[#This Row],[Level]]="R",ResultsInd[[#This Row],[Category]]&amp;"-"&amp;IF(ResultsInd[[#This Row],[LoseInKO]]=ResultsInd[[#This Row],[Category]]&amp;"-"&amp;ResultsInd[[#This Row],[Player A]],ResultsInd[[#This Row],[Player B]],ResultsInd[[#This Row],[Player A]]),""),"")</f>
        <v>#N/A</v>
      </c>
      <c r="AB682" s="8"/>
      <c r="AC682" s="8"/>
      <c r="AE682" s="90"/>
      <c r="AF682" s="90"/>
      <c r="AP682" s="8"/>
      <c r="AQ682" s="8"/>
      <c r="AR682" s="8"/>
      <c r="AS682" s="8"/>
      <c r="AT682" s="8"/>
      <c r="AU682" s="8"/>
      <c r="AV682" s="8"/>
      <c r="AW682" s="8"/>
      <c r="AX682" s="8"/>
      <c r="AY682" s="90"/>
      <c r="AZ682" s="90"/>
      <c r="BA682" s="90"/>
      <c r="BB682" s="90"/>
      <c r="BC682" s="90"/>
      <c r="BD682" s="90"/>
      <c r="BE682" s="90"/>
      <c r="BF682" s="90"/>
    </row>
    <row r="683" spans="1:58" x14ac:dyDescent="0.2">
      <c r="A683" s="62" t="s">
        <v>12263</v>
      </c>
      <c r="B683" s="62" t="s">
        <v>12220</v>
      </c>
      <c r="C683" s="62"/>
      <c r="D683" s="62"/>
      <c r="E683" s="345" t="s">
        <v>8082</v>
      </c>
      <c r="F683" s="345" t="s">
        <v>9194</v>
      </c>
      <c r="G683" s="113">
        <v>0</v>
      </c>
      <c r="H683" s="113">
        <v>3</v>
      </c>
      <c r="I683" s="114"/>
      <c r="J683" s="114"/>
      <c r="K683" s="114"/>
      <c r="L683" s="81"/>
      <c r="M683" s="265" t="b">
        <f>NOT(ISERROR(ResultsInd[[#This Row],[Goal-A]]+ResultsInd[[#This Row],[Goal-B]]))</f>
        <v>1</v>
      </c>
      <c r="N683" s="265">
        <f>VALUE(ResultsInd[[#This Row],[Score-A]])</f>
        <v>0</v>
      </c>
      <c r="O683" s="265">
        <f>VALUE(ResultsInd[[#This Row],[Score-B]])</f>
        <v>3</v>
      </c>
      <c r="P683" s="265" t="e">
        <f ca="1">IF(AND(ResultsInd[[#This Row],[Category]]&lt;&gt;"",ResultsInd[[#This Row],[Player A]]&lt;&gt;""),COUNTIF(INDIRECT(ResultsInd[[#This Row],[Category]]&amp;"List[Retained Player Name]"),ResultsInd[[#This Row],[Player A]]),"")</f>
        <v>#REF!</v>
      </c>
      <c r="Q683" s="265" t="e">
        <f ca="1">IF(AND(ResultsInd[[#This Row],[Category]]&lt;&gt;"",ResultsInd[[#This Row],[Player B]]&lt;&gt;""),COUNTIF(INDIRECT(ResultsInd[[#This Row],[Category]]&amp;"List[Retained Player Name]"),ResultsInd[[#This Row],[Player B]]),"")</f>
        <v>#REF!</v>
      </c>
      <c r="R6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3" s="265" t="str">
        <f>IF(ResultsInd[[#This Row],[Score_OK]],IF(ResultsInd[[#This Row],[Stage]]="Groups",ResultsInd[[#This Row],[Category]]&amp;"-"&amp;IF(ResultsInd[[#This Row],[Player B]]="","",IF(ResultsInd[[#This Row],[Score-A]]=ResultsInd[[#This Row],[Score-B]],ResultsInd[[#This Row],[Player A]],"")),""),"")</f>
        <v/>
      </c>
      <c r="T683" s="265" t="str">
        <f>IF(ResultsInd[[#This Row],[Score_OK]],IF(ResultsInd[[#This Row],[Stage]]="Groups",ResultsInd[[#This Row],[Category]]&amp;"-"&amp;IF(ResultsInd[[#This Row],[Player B]]="","",IF(ResultsInd[[#This Row],[Score-A]]=ResultsInd[[#This Row],[Score-B]],ResultsInd[[#This Row],[Player B]],"")),""),"")</f>
        <v/>
      </c>
      <c r="U6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CONSOLATION-Pierre De Leeuw</v>
      </c>
      <c r="W68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83"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83" s="264" t="e">
        <f>IF(ResultsInd[[#This Row],[Category]]="","",VLOOKUP(ResultsInd[[#This Row],[Stage]],$P$1:$V$9,MATCH(ResultsInd[[#This Row],[Category]],$Q$1:$V$1,0)+1,FALSE))</f>
        <v>#N/A</v>
      </c>
      <c r="Z683" s="264" t="e">
        <f>IF(ResultsInd[[#This Row],[Score_OK]],IF(ResultsInd[[#This Row],[Level]]="R",ResultsInd[[#This Row],[Category]]&amp;"-"&amp;IF(ResultsInd[[#This Row],[LoseInKO]]=ResultsInd[[#This Row],[Category]]&amp;"-"&amp;ResultsInd[[#This Row],[Player A]],ResultsInd[[#This Row],[Player B]],ResultsInd[[#This Row],[Player A]]),""),"")</f>
        <v>#N/A</v>
      </c>
      <c r="AB683" s="8"/>
      <c r="AC683" s="8"/>
      <c r="AE683" s="90"/>
      <c r="AF683" s="90"/>
      <c r="AP683" s="8"/>
      <c r="AQ683" s="8"/>
      <c r="AR683" s="8"/>
      <c r="AS683" s="8"/>
      <c r="AT683" s="8"/>
      <c r="AU683" s="8"/>
      <c r="AV683" s="8"/>
      <c r="AW683" s="8"/>
      <c r="AX683" s="8"/>
      <c r="AY683" s="90"/>
      <c r="AZ683" s="90"/>
      <c r="BA683" s="90"/>
      <c r="BB683" s="90"/>
      <c r="BC683" s="90"/>
      <c r="BD683" s="90"/>
      <c r="BE683" s="90"/>
      <c r="BF683" s="90"/>
    </row>
    <row r="684" spans="1:58" x14ac:dyDescent="0.2">
      <c r="A684" s="62" t="s">
        <v>12263</v>
      </c>
      <c r="B684" s="62" t="s">
        <v>12221</v>
      </c>
      <c r="C684" s="62"/>
      <c r="D684" s="62"/>
      <c r="E684" s="345" t="s">
        <v>8109</v>
      </c>
      <c r="F684" s="345" t="s">
        <v>9194</v>
      </c>
      <c r="G684" s="113">
        <v>2</v>
      </c>
      <c r="H684" s="113">
        <v>2</v>
      </c>
      <c r="I684" s="114"/>
      <c r="J684" s="114">
        <v>5</v>
      </c>
      <c r="K684" s="114">
        <v>4</v>
      </c>
      <c r="L684" s="81"/>
      <c r="M684" s="265" t="b">
        <f>NOT(ISERROR(ResultsInd[[#This Row],[Goal-A]]+ResultsInd[[#This Row],[Goal-B]]))</f>
        <v>1</v>
      </c>
      <c r="N684" s="265">
        <f>VALUE(ResultsInd[[#This Row],[Score-A]])</f>
        <v>2</v>
      </c>
      <c r="O684" s="265">
        <f>VALUE(ResultsInd[[#This Row],[Score-B]])</f>
        <v>2</v>
      </c>
      <c r="P684" s="265" t="e">
        <f ca="1">IF(AND(ResultsInd[[#This Row],[Category]]&lt;&gt;"",ResultsInd[[#This Row],[Player A]]&lt;&gt;""),COUNTIF(INDIRECT(ResultsInd[[#This Row],[Category]]&amp;"List[Retained Player Name]"),ResultsInd[[#This Row],[Player A]]),"")</f>
        <v>#REF!</v>
      </c>
      <c r="Q684" s="265" t="e">
        <f ca="1">IF(AND(ResultsInd[[#This Row],[Category]]&lt;&gt;"",ResultsInd[[#This Row],[Player B]]&lt;&gt;""),COUNTIF(INDIRECT(ResultsInd[[#This Row],[Category]]&amp;"List[Retained Player Name]"),ResultsInd[[#This Row],[Player B]]),"")</f>
        <v>#REF!</v>
      </c>
      <c r="R6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4" s="265" t="str">
        <f>IF(ResultsInd[[#This Row],[Score_OK]],IF(ResultsInd[[#This Row],[Stage]]="Groups",ResultsInd[[#This Row],[Category]]&amp;"-"&amp;IF(ResultsInd[[#This Row],[Player B]]="","",IF(ResultsInd[[#This Row],[Score-A]]=ResultsInd[[#This Row],[Score-B]],ResultsInd[[#This Row],[Player A]],"")),""),"")</f>
        <v/>
      </c>
      <c r="T684" s="265" t="str">
        <f>IF(ResultsInd[[#This Row],[Score_OK]],IF(ResultsInd[[#This Row],[Stage]]="Groups",ResultsInd[[#This Row],[Category]]&amp;"-"&amp;IF(ResultsInd[[#This Row],[Player B]]="","",IF(ResultsInd[[#This Row],[Score-A]]=ResultsInd[[#This Row],[Score-B]],ResultsInd[[#This Row],[Player B]],"")),""),"")</f>
        <v/>
      </c>
      <c r="U6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CONSOLATION-Giannis Nikolaidis</v>
      </c>
      <c r="W68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84"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84" s="264" t="e">
        <f>IF(ResultsInd[[#This Row],[Category]]="","",VLOOKUP(ResultsInd[[#This Row],[Stage]],$P$1:$V$9,MATCH(ResultsInd[[#This Row],[Category]],$Q$1:$V$1,0)+1,FALSE))</f>
        <v>#N/A</v>
      </c>
      <c r="Z684" s="264" t="e">
        <f>IF(ResultsInd[[#This Row],[Score_OK]],IF(ResultsInd[[#This Row],[Level]]="R",ResultsInd[[#This Row],[Category]]&amp;"-"&amp;IF(ResultsInd[[#This Row],[LoseInKO]]=ResultsInd[[#This Row],[Category]]&amp;"-"&amp;ResultsInd[[#This Row],[Player A]],ResultsInd[[#This Row],[Player B]],ResultsInd[[#This Row],[Player A]]),""),"")</f>
        <v>#N/A</v>
      </c>
      <c r="AB684" s="8"/>
      <c r="AC684" s="8"/>
      <c r="AE684" s="90"/>
      <c r="AF684" s="90"/>
      <c r="AP684" s="8"/>
      <c r="AQ684" s="8"/>
      <c r="AR684" s="8"/>
      <c r="AS684" s="8"/>
      <c r="AT684" s="8"/>
      <c r="AU684" s="8"/>
      <c r="AV684" s="8"/>
      <c r="AW684" s="8"/>
      <c r="AX684" s="8"/>
      <c r="AY684" s="90"/>
      <c r="AZ684" s="90"/>
      <c r="BA684" s="90"/>
      <c r="BB684" s="90"/>
      <c r="BC684" s="90"/>
      <c r="BD684" s="90"/>
      <c r="BE684" s="90"/>
      <c r="BF684" s="90"/>
    </row>
    <row r="685" spans="1:58" x14ac:dyDescent="0.2">
      <c r="A685" s="62" t="s">
        <v>12263</v>
      </c>
      <c r="B685" s="62" t="s">
        <v>12220</v>
      </c>
      <c r="C685" s="62"/>
      <c r="D685" s="62"/>
      <c r="E685" s="345" t="s">
        <v>8539</v>
      </c>
      <c r="F685" s="345" t="s">
        <v>8598</v>
      </c>
      <c r="G685" s="113">
        <v>2</v>
      </c>
      <c r="H685" s="113">
        <v>2</v>
      </c>
      <c r="I685" s="114"/>
      <c r="J685" s="114">
        <v>1</v>
      </c>
      <c r="K685" s="114">
        <v>0</v>
      </c>
      <c r="L685" s="81"/>
      <c r="M685" s="265" t="b">
        <f>NOT(ISERROR(ResultsInd[[#This Row],[Goal-A]]+ResultsInd[[#This Row],[Goal-B]]))</f>
        <v>1</v>
      </c>
      <c r="N685" s="265">
        <f>VALUE(ResultsInd[[#This Row],[Score-A]])</f>
        <v>2</v>
      </c>
      <c r="O685" s="265">
        <f>VALUE(ResultsInd[[#This Row],[Score-B]])</f>
        <v>2</v>
      </c>
      <c r="P685" s="265" t="e">
        <f ca="1">IF(AND(ResultsInd[[#This Row],[Category]]&lt;&gt;"",ResultsInd[[#This Row],[Player A]]&lt;&gt;""),COUNTIF(INDIRECT(ResultsInd[[#This Row],[Category]]&amp;"List[Retained Player Name]"),ResultsInd[[#This Row],[Player A]]),"")</f>
        <v>#REF!</v>
      </c>
      <c r="Q685" s="265" t="e">
        <f ca="1">IF(AND(ResultsInd[[#This Row],[Category]]&lt;&gt;"",ResultsInd[[#This Row],[Player B]]&lt;&gt;""),COUNTIF(INDIRECT(ResultsInd[[#This Row],[Category]]&amp;"List[Retained Player Name]"),ResultsInd[[#This Row],[Player B]]),"")</f>
        <v>#REF!</v>
      </c>
      <c r="R6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5" s="265" t="str">
        <f>IF(ResultsInd[[#This Row],[Score_OK]],IF(ResultsInd[[#This Row],[Stage]]="Groups",ResultsInd[[#This Row],[Category]]&amp;"-"&amp;IF(ResultsInd[[#This Row],[Player B]]="","",IF(ResultsInd[[#This Row],[Score-A]]=ResultsInd[[#This Row],[Score-B]],ResultsInd[[#This Row],[Player A]],"")),""),"")</f>
        <v/>
      </c>
      <c r="T685" s="265" t="str">
        <f>IF(ResultsInd[[#This Row],[Score_OK]],IF(ResultsInd[[#This Row],[Stage]]="Groups",ResultsInd[[#This Row],[Category]]&amp;"-"&amp;IF(ResultsInd[[#This Row],[Player B]]="","",IF(ResultsInd[[#This Row],[Score-A]]=ResultsInd[[#This Row],[Score-B]],ResultsInd[[#This Row],[Player B]],"")),""),"")</f>
        <v/>
      </c>
      <c r="U6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CONSOLATION-Arturo Martínez</v>
      </c>
      <c r="W68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85"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85" s="264" t="e">
        <f>IF(ResultsInd[[#This Row],[Category]]="","",VLOOKUP(ResultsInd[[#This Row],[Stage]],$P$1:$V$9,MATCH(ResultsInd[[#This Row],[Category]],$Q$1:$V$1,0)+1,FALSE))</f>
        <v>#N/A</v>
      </c>
      <c r="Z685" s="264" t="e">
        <f>IF(ResultsInd[[#This Row],[Score_OK]],IF(ResultsInd[[#This Row],[Level]]="R",ResultsInd[[#This Row],[Category]]&amp;"-"&amp;IF(ResultsInd[[#This Row],[LoseInKO]]=ResultsInd[[#This Row],[Category]]&amp;"-"&amp;ResultsInd[[#This Row],[Player A]],ResultsInd[[#This Row],[Player B]],ResultsInd[[#This Row],[Player A]]),""),"")</f>
        <v>#N/A</v>
      </c>
      <c r="AB685" s="8"/>
      <c r="AC685" s="8"/>
      <c r="AE685" s="90"/>
      <c r="AF685" s="90"/>
      <c r="AP685" s="8"/>
      <c r="AQ685" s="8"/>
      <c r="AR685" s="8"/>
      <c r="AS685" s="8"/>
      <c r="AT685" s="8"/>
      <c r="AU685" s="8"/>
      <c r="AV685" s="8"/>
      <c r="AW685" s="8"/>
      <c r="AX685" s="8"/>
      <c r="AY685" s="90"/>
      <c r="AZ685" s="90"/>
      <c r="BA685" s="90"/>
      <c r="BB685" s="90"/>
      <c r="BC685" s="90"/>
      <c r="BD685" s="90"/>
      <c r="BE685" s="90"/>
      <c r="BF685" s="90"/>
    </row>
    <row r="686" spans="1:58" x14ac:dyDescent="0.2">
      <c r="A686" s="62" t="s">
        <v>12263</v>
      </c>
      <c r="B686" s="62" t="s">
        <v>12220</v>
      </c>
      <c r="C686" s="62"/>
      <c r="D686" s="62"/>
      <c r="E686" s="345" t="s">
        <v>8093</v>
      </c>
      <c r="F686" s="345" t="s">
        <v>9229</v>
      </c>
      <c r="G686" s="113">
        <v>2</v>
      </c>
      <c r="H686" s="113">
        <v>2</v>
      </c>
      <c r="I686" s="114"/>
      <c r="J686" s="114">
        <v>0</v>
      </c>
      <c r="K686" s="114">
        <v>2</v>
      </c>
      <c r="L686" s="81"/>
      <c r="M686" s="265" t="b">
        <f>NOT(ISERROR(ResultsInd[[#This Row],[Goal-A]]+ResultsInd[[#This Row],[Goal-B]]))</f>
        <v>1</v>
      </c>
      <c r="N686" s="265">
        <f>VALUE(ResultsInd[[#This Row],[Score-A]])</f>
        <v>2</v>
      </c>
      <c r="O686" s="265">
        <f>VALUE(ResultsInd[[#This Row],[Score-B]])</f>
        <v>2</v>
      </c>
      <c r="P686" s="265" t="e">
        <f ca="1">IF(AND(ResultsInd[[#This Row],[Category]]&lt;&gt;"",ResultsInd[[#This Row],[Player A]]&lt;&gt;""),COUNTIF(INDIRECT(ResultsInd[[#This Row],[Category]]&amp;"List[Retained Player Name]"),ResultsInd[[#This Row],[Player A]]),"")</f>
        <v>#REF!</v>
      </c>
      <c r="Q686" s="265" t="e">
        <f ca="1">IF(AND(ResultsInd[[#This Row],[Category]]&lt;&gt;"",ResultsInd[[#This Row],[Player B]]&lt;&gt;""),COUNTIF(INDIRECT(ResultsInd[[#This Row],[Category]]&amp;"List[Retained Player Name]"),ResultsInd[[#This Row],[Player B]]),"")</f>
        <v>#REF!</v>
      </c>
      <c r="R6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6" s="265" t="str">
        <f>IF(ResultsInd[[#This Row],[Score_OK]],IF(ResultsInd[[#This Row],[Stage]]="Groups",ResultsInd[[#This Row],[Category]]&amp;"-"&amp;IF(ResultsInd[[#This Row],[Player B]]="","",IF(ResultsInd[[#This Row],[Score-A]]=ResultsInd[[#This Row],[Score-B]],ResultsInd[[#This Row],[Player A]],"")),""),"")</f>
        <v/>
      </c>
      <c r="T686" s="265" t="str">
        <f>IF(ResultsInd[[#This Row],[Score_OK]],IF(ResultsInd[[#This Row],[Stage]]="Groups",ResultsInd[[#This Row],[Category]]&amp;"-"&amp;IF(ResultsInd[[#This Row],[Player B]]="","",IF(ResultsInd[[#This Row],[Score-A]]=ResultsInd[[#This Row],[Score-B]],ResultsInd[[#This Row],[Player B]],"")),""),"")</f>
        <v/>
      </c>
      <c r="U6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CONSOLATION-Olivier Dubois</v>
      </c>
      <c r="W68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86"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86" s="264" t="e">
        <f>IF(ResultsInd[[#This Row],[Category]]="","",VLOOKUP(ResultsInd[[#This Row],[Stage]],$P$1:$V$9,MATCH(ResultsInd[[#This Row],[Category]],$Q$1:$V$1,0)+1,FALSE))</f>
        <v>#N/A</v>
      </c>
      <c r="Z686" s="264" t="e">
        <f>IF(ResultsInd[[#This Row],[Score_OK]],IF(ResultsInd[[#This Row],[Level]]="R",ResultsInd[[#This Row],[Category]]&amp;"-"&amp;IF(ResultsInd[[#This Row],[LoseInKO]]=ResultsInd[[#This Row],[Category]]&amp;"-"&amp;ResultsInd[[#This Row],[Player A]],ResultsInd[[#This Row],[Player B]],ResultsInd[[#This Row],[Player A]]),""),"")</f>
        <v>#N/A</v>
      </c>
      <c r="AB686" s="8"/>
      <c r="AC686" s="8"/>
      <c r="AE686" s="90"/>
      <c r="AF686" s="90"/>
      <c r="AP686" s="8"/>
      <c r="AQ686" s="8"/>
      <c r="AR686" s="8"/>
      <c r="AS686" s="8"/>
      <c r="AT686" s="8"/>
      <c r="AU686" s="8"/>
      <c r="AV686" s="8"/>
      <c r="AW686" s="8"/>
      <c r="AX686" s="8"/>
      <c r="AY686" s="90"/>
      <c r="AZ686" s="90"/>
      <c r="BA686" s="90"/>
      <c r="BB686" s="90"/>
      <c r="BC686" s="90"/>
      <c r="BD686" s="90"/>
      <c r="BE686" s="90"/>
      <c r="BF686" s="90"/>
    </row>
    <row r="687" spans="1:58" x14ac:dyDescent="0.2">
      <c r="A687" s="62" t="s">
        <v>12263</v>
      </c>
      <c r="B687" s="62" t="s">
        <v>12221</v>
      </c>
      <c r="C687" s="62"/>
      <c r="D687" s="62"/>
      <c r="E687" s="345" t="s">
        <v>8539</v>
      </c>
      <c r="F687" s="345" t="s">
        <v>9229</v>
      </c>
      <c r="G687" s="113">
        <v>0</v>
      </c>
      <c r="H687" s="113">
        <v>1</v>
      </c>
      <c r="I687" s="114"/>
      <c r="J687" s="114"/>
      <c r="K687" s="114"/>
      <c r="L687" s="81"/>
      <c r="M687" s="265" t="b">
        <f>NOT(ISERROR(ResultsInd[[#This Row],[Goal-A]]+ResultsInd[[#This Row],[Goal-B]]))</f>
        <v>1</v>
      </c>
      <c r="N687" s="265">
        <f>VALUE(ResultsInd[[#This Row],[Score-A]])</f>
        <v>0</v>
      </c>
      <c r="O687" s="265">
        <f>VALUE(ResultsInd[[#This Row],[Score-B]])</f>
        <v>1</v>
      </c>
      <c r="P687" s="265" t="e">
        <f ca="1">IF(AND(ResultsInd[[#This Row],[Category]]&lt;&gt;"",ResultsInd[[#This Row],[Player A]]&lt;&gt;""),COUNTIF(INDIRECT(ResultsInd[[#This Row],[Category]]&amp;"List[Retained Player Name]"),ResultsInd[[#This Row],[Player A]]),"")</f>
        <v>#REF!</v>
      </c>
      <c r="Q687" s="265" t="e">
        <f ca="1">IF(AND(ResultsInd[[#This Row],[Category]]&lt;&gt;"",ResultsInd[[#This Row],[Player B]]&lt;&gt;""),COUNTIF(INDIRECT(ResultsInd[[#This Row],[Category]]&amp;"List[Retained Player Name]"),ResultsInd[[#This Row],[Player B]]),"")</f>
        <v>#REF!</v>
      </c>
      <c r="R6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7" s="265" t="str">
        <f>IF(ResultsInd[[#This Row],[Score_OK]],IF(ResultsInd[[#This Row],[Stage]]="Groups",ResultsInd[[#This Row],[Category]]&amp;"-"&amp;IF(ResultsInd[[#This Row],[Player B]]="","",IF(ResultsInd[[#This Row],[Score-A]]=ResultsInd[[#This Row],[Score-B]],ResultsInd[[#This Row],[Player A]],"")),""),"")</f>
        <v/>
      </c>
      <c r="T687" s="265" t="str">
        <f>IF(ResultsInd[[#This Row],[Score_OK]],IF(ResultsInd[[#This Row],[Stage]]="Groups",ResultsInd[[#This Row],[Category]]&amp;"-"&amp;IF(ResultsInd[[#This Row],[Player B]]="","",IF(ResultsInd[[#This Row],[Score-A]]=ResultsInd[[#This Row],[Score-B]],ResultsInd[[#This Row],[Player B]],"")),""),"")</f>
        <v/>
      </c>
      <c r="U6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CONSOLATION-Rudi Peterschinigg</v>
      </c>
      <c r="W68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#N/A</v>
      </c>
      <c r="X687" s="264"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#N/A</v>
      </c>
      <c r="Y687" s="264" t="e">
        <f>IF(ResultsInd[[#This Row],[Category]]="","",VLOOKUP(ResultsInd[[#This Row],[Stage]],$P$1:$V$9,MATCH(ResultsInd[[#This Row],[Category]],$Q$1:$V$1,0)+1,FALSE))</f>
        <v>#N/A</v>
      </c>
      <c r="Z687" s="264" t="e">
        <f>IF(ResultsInd[[#This Row],[Score_OK]],IF(ResultsInd[[#This Row],[Level]]="R",ResultsInd[[#This Row],[Category]]&amp;"-"&amp;IF(ResultsInd[[#This Row],[LoseInKO]]=ResultsInd[[#This Row],[Category]]&amp;"-"&amp;ResultsInd[[#This Row],[Player A]],ResultsInd[[#This Row],[Player B]],ResultsInd[[#This Row],[Player A]]),""),"")</f>
        <v>#N/A</v>
      </c>
      <c r="AB687" s="8"/>
      <c r="AC687" s="8"/>
      <c r="AE687" s="90"/>
      <c r="AF687" s="90"/>
      <c r="AP687" s="8"/>
      <c r="AQ687" s="8"/>
      <c r="AR687" s="8"/>
      <c r="AS687" s="8"/>
      <c r="AT687" s="8"/>
      <c r="AU687" s="8"/>
      <c r="AV687" s="8"/>
      <c r="AW687" s="8"/>
      <c r="AX687" s="8"/>
      <c r="AY687" s="90"/>
      <c r="AZ687" s="90"/>
      <c r="BA687" s="90"/>
      <c r="BB687" s="90"/>
      <c r="BC687" s="90"/>
      <c r="BD687" s="90"/>
      <c r="BE687" s="90"/>
      <c r="BF687" s="90"/>
    </row>
    <row r="688" spans="1:58" x14ac:dyDescent="0.2">
      <c r="A688" s="62"/>
      <c r="B688" s="62"/>
      <c r="C688" s="62"/>
      <c r="D688" s="62"/>
      <c r="E688" s="345"/>
      <c r="F688" s="345"/>
      <c r="G688" s="113"/>
      <c r="H688" s="113"/>
      <c r="I688" s="114"/>
      <c r="J688" s="114"/>
      <c r="K688" s="114"/>
      <c r="L688" s="81"/>
      <c r="M688" s="265" t="b">
        <f>NOT(ISERROR(ResultsInd[[#This Row],[Goal-A]]+ResultsInd[[#This Row],[Goal-B]]))</f>
        <v>1</v>
      </c>
      <c r="N688" s="265">
        <f>VALUE(ResultsInd[[#This Row],[Score-A]])</f>
        <v>0</v>
      </c>
      <c r="O688" s="265">
        <f>VALUE(ResultsInd[[#This Row],[Score-B]])</f>
        <v>0</v>
      </c>
      <c r="P688" s="265" t="str">
        <f ca="1">IF(AND(ResultsInd[[#This Row],[Category]]&lt;&gt;"",ResultsInd[[#This Row],[Player A]]&lt;&gt;""),COUNTIF(INDIRECT(ResultsInd[[#This Row],[Category]]&amp;"List[Retained Player Name]"),ResultsInd[[#This Row],[Player A]]),"")</f>
        <v/>
      </c>
      <c r="Q688" s="265" t="str">
        <f ca="1">IF(AND(ResultsInd[[#This Row],[Category]]&lt;&gt;"",ResultsInd[[#This Row],[Player B]]&lt;&gt;""),COUNTIF(INDIRECT(ResultsInd[[#This Row],[Category]]&amp;"List[Retained Player Name]"),ResultsInd[[#This Row],[Player B]]),"")</f>
        <v/>
      </c>
      <c r="R6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8" s="265" t="str">
        <f>IF(ResultsInd[[#This Row],[Score_OK]],IF(ResultsInd[[#This Row],[Stage]]="Groups",ResultsInd[[#This Row],[Category]]&amp;"-"&amp;IF(ResultsInd[[#This Row],[Player B]]="","",IF(ResultsInd[[#This Row],[Score-A]]=ResultsInd[[#This Row],[Score-B]],ResultsInd[[#This Row],[Player A]],"")),""),"")</f>
        <v/>
      </c>
      <c r="T688" s="265" t="str">
        <f>IF(ResultsInd[[#This Row],[Score_OK]],IF(ResultsInd[[#This Row],[Stage]]="Groups",ResultsInd[[#This Row],[Category]]&amp;"-"&amp;IF(ResultsInd[[#This Row],[Player B]]="","",IF(ResultsInd[[#This Row],[Score-A]]=ResultsInd[[#This Row],[Score-B]],ResultsInd[[#This Row],[Player B]],"")),""),"")</f>
        <v/>
      </c>
      <c r="U6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8" s="264" t="str">
        <f>IF(ResultsInd[[#This Row],[Category]]="","",VLOOKUP(ResultsInd[[#This Row],[Stage]],$P$1:$V$9,MATCH(ResultsInd[[#This Row],[Category]],$Q$1:$V$1,0)+1,FALSE))</f>
        <v/>
      </c>
      <c r="Z688" s="264" t="str">
        <f>IF(ResultsInd[[#This Row],[Score_OK]],IF(ResultsInd[[#This Row],[Level]]="R",ResultsInd[[#This Row],[Category]]&amp;"-"&amp;IF(ResultsInd[[#This Row],[LoseInKO]]=ResultsInd[[#This Row],[Category]]&amp;"-"&amp;ResultsInd[[#This Row],[Player A]],ResultsInd[[#This Row],[Player B]],ResultsInd[[#This Row],[Player A]]),""),"")</f>
        <v/>
      </c>
      <c r="AB688" s="8"/>
      <c r="AC688" s="8"/>
      <c r="AE688" s="90"/>
      <c r="AF688" s="90"/>
      <c r="AP688" s="8"/>
      <c r="AQ688" s="8"/>
      <c r="AR688" s="8"/>
      <c r="AS688" s="8"/>
      <c r="AT688" s="8"/>
      <c r="AU688" s="8"/>
      <c r="AV688" s="8"/>
      <c r="AW688" s="8"/>
      <c r="AX688" s="8"/>
      <c r="AY688" s="90"/>
      <c r="AZ688" s="90"/>
      <c r="BA688" s="90"/>
      <c r="BB688" s="90"/>
      <c r="BC688" s="90"/>
      <c r="BD688" s="90"/>
      <c r="BE688" s="90"/>
      <c r="BF688" s="90"/>
    </row>
    <row r="689" spans="1:58" x14ac:dyDescent="0.2">
      <c r="A689" s="62"/>
      <c r="B689" s="62"/>
      <c r="C689" s="62"/>
      <c r="D689" s="62"/>
      <c r="E689" s="345"/>
      <c r="F689" s="345"/>
      <c r="G689" s="113"/>
      <c r="H689" s="113"/>
      <c r="I689" s="114"/>
      <c r="J689" s="114"/>
      <c r="K689" s="114"/>
      <c r="L689" s="81"/>
      <c r="M689" s="265" t="b">
        <f>NOT(ISERROR(ResultsInd[[#This Row],[Goal-A]]+ResultsInd[[#This Row],[Goal-B]]))</f>
        <v>1</v>
      </c>
      <c r="N689" s="265">
        <f>VALUE(ResultsInd[[#This Row],[Score-A]])</f>
        <v>0</v>
      </c>
      <c r="O689" s="265">
        <f>VALUE(ResultsInd[[#This Row],[Score-B]])</f>
        <v>0</v>
      </c>
      <c r="P689" s="265" t="str">
        <f ca="1">IF(AND(ResultsInd[[#This Row],[Category]]&lt;&gt;"",ResultsInd[[#This Row],[Player A]]&lt;&gt;""),COUNTIF(INDIRECT(ResultsInd[[#This Row],[Category]]&amp;"List[Retained Player Name]"),ResultsInd[[#This Row],[Player A]]),"")</f>
        <v/>
      </c>
      <c r="Q689" s="265" t="str">
        <f ca="1">IF(AND(ResultsInd[[#This Row],[Category]]&lt;&gt;"",ResultsInd[[#This Row],[Player B]]&lt;&gt;""),COUNTIF(INDIRECT(ResultsInd[[#This Row],[Category]]&amp;"List[Retained Player Name]"),ResultsInd[[#This Row],[Player B]]),"")</f>
        <v/>
      </c>
      <c r="R6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9" s="265" t="str">
        <f>IF(ResultsInd[[#This Row],[Score_OK]],IF(ResultsInd[[#This Row],[Stage]]="Groups",ResultsInd[[#This Row],[Category]]&amp;"-"&amp;IF(ResultsInd[[#This Row],[Player B]]="","",IF(ResultsInd[[#This Row],[Score-A]]=ResultsInd[[#This Row],[Score-B]],ResultsInd[[#This Row],[Player A]],"")),""),"")</f>
        <v/>
      </c>
      <c r="T689" s="265" t="str">
        <f>IF(ResultsInd[[#This Row],[Score_OK]],IF(ResultsInd[[#This Row],[Stage]]="Groups",ResultsInd[[#This Row],[Category]]&amp;"-"&amp;IF(ResultsInd[[#This Row],[Player B]]="","",IF(ResultsInd[[#This Row],[Score-A]]=ResultsInd[[#This Row],[Score-B]],ResultsInd[[#This Row],[Player B]],"")),""),"")</f>
        <v/>
      </c>
      <c r="U6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9" s="264" t="str">
        <f>IF(ResultsInd[[#This Row],[Category]]="","",VLOOKUP(ResultsInd[[#This Row],[Stage]],$P$1:$V$9,MATCH(ResultsInd[[#This Row],[Category]],$Q$1:$V$1,0)+1,FALSE))</f>
        <v/>
      </c>
      <c r="Z689" s="264" t="str">
        <f>IF(ResultsInd[[#This Row],[Score_OK]],IF(ResultsInd[[#This Row],[Level]]="R",ResultsInd[[#This Row],[Category]]&amp;"-"&amp;IF(ResultsInd[[#This Row],[LoseInKO]]=ResultsInd[[#This Row],[Category]]&amp;"-"&amp;ResultsInd[[#This Row],[Player A]],ResultsInd[[#This Row],[Player B]],ResultsInd[[#This Row],[Player A]]),""),"")</f>
        <v/>
      </c>
      <c r="AB689" s="8"/>
      <c r="AC689" s="8"/>
      <c r="AE689" s="90"/>
      <c r="AF689" s="90"/>
      <c r="AP689" s="8"/>
      <c r="AQ689" s="8"/>
      <c r="AR689" s="8"/>
      <c r="AS689" s="8"/>
      <c r="AT689" s="8"/>
      <c r="AU689" s="8"/>
      <c r="AV689" s="8"/>
      <c r="AW689" s="8"/>
      <c r="AX689" s="8"/>
      <c r="AY689" s="90"/>
      <c r="AZ689" s="90"/>
      <c r="BA689" s="90"/>
      <c r="BB689" s="90"/>
      <c r="BC689" s="90"/>
      <c r="BD689" s="90"/>
      <c r="BE689" s="90"/>
      <c r="BF689" s="90"/>
    </row>
    <row r="690" spans="1:58" x14ac:dyDescent="0.2">
      <c r="A690" s="62"/>
      <c r="B690" s="62"/>
      <c r="C690" s="62"/>
      <c r="D690" s="62"/>
      <c r="E690" s="345"/>
      <c r="F690" s="345"/>
      <c r="G690" s="113"/>
      <c r="H690" s="113"/>
      <c r="I690" s="114"/>
      <c r="J690" s="114"/>
      <c r="K690" s="114"/>
      <c r="L690" s="81"/>
      <c r="M690" s="265" t="b">
        <f>NOT(ISERROR(ResultsInd[[#This Row],[Goal-A]]+ResultsInd[[#This Row],[Goal-B]]))</f>
        <v>1</v>
      </c>
      <c r="N690" s="265">
        <f>VALUE(ResultsInd[[#This Row],[Score-A]])</f>
        <v>0</v>
      </c>
      <c r="O690" s="265">
        <f>VALUE(ResultsInd[[#This Row],[Score-B]])</f>
        <v>0</v>
      </c>
      <c r="P690" s="265" t="str">
        <f ca="1">IF(AND(ResultsInd[[#This Row],[Category]]&lt;&gt;"",ResultsInd[[#This Row],[Player A]]&lt;&gt;""),COUNTIF(INDIRECT(ResultsInd[[#This Row],[Category]]&amp;"List[Retained Player Name]"),ResultsInd[[#This Row],[Player A]]),"")</f>
        <v/>
      </c>
      <c r="Q690" s="265" t="str">
        <f ca="1">IF(AND(ResultsInd[[#This Row],[Category]]&lt;&gt;"",ResultsInd[[#This Row],[Player B]]&lt;&gt;""),COUNTIF(INDIRECT(ResultsInd[[#This Row],[Category]]&amp;"List[Retained Player Name]"),ResultsInd[[#This Row],[Player B]]),"")</f>
        <v/>
      </c>
      <c r="R6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0" s="265" t="str">
        <f>IF(ResultsInd[[#This Row],[Score_OK]],IF(ResultsInd[[#This Row],[Stage]]="Groups",ResultsInd[[#This Row],[Category]]&amp;"-"&amp;IF(ResultsInd[[#This Row],[Player B]]="","",IF(ResultsInd[[#This Row],[Score-A]]=ResultsInd[[#This Row],[Score-B]],ResultsInd[[#This Row],[Player A]],"")),""),"")</f>
        <v/>
      </c>
      <c r="T690" s="265" t="str">
        <f>IF(ResultsInd[[#This Row],[Score_OK]],IF(ResultsInd[[#This Row],[Stage]]="Groups",ResultsInd[[#This Row],[Category]]&amp;"-"&amp;IF(ResultsInd[[#This Row],[Player B]]="","",IF(ResultsInd[[#This Row],[Score-A]]=ResultsInd[[#This Row],[Score-B]],ResultsInd[[#This Row],[Player B]],"")),""),"")</f>
        <v/>
      </c>
      <c r="U6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0" s="264" t="str">
        <f>IF(ResultsInd[[#This Row],[Category]]="","",VLOOKUP(ResultsInd[[#This Row],[Stage]],$P$1:$V$9,MATCH(ResultsInd[[#This Row],[Category]],$Q$1:$V$1,0)+1,FALSE))</f>
        <v/>
      </c>
      <c r="Z690" s="264" t="str">
        <f>IF(ResultsInd[[#This Row],[Score_OK]],IF(ResultsInd[[#This Row],[Level]]="R",ResultsInd[[#This Row],[Category]]&amp;"-"&amp;IF(ResultsInd[[#This Row],[LoseInKO]]=ResultsInd[[#This Row],[Category]]&amp;"-"&amp;ResultsInd[[#This Row],[Player A]],ResultsInd[[#This Row],[Player B]],ResultsInd[[#This Row],[Player A]]),""),"")</f>
        <v/>
      </c>
      <c r="AB690" s="8"/>
      <c r="AC690" s="8"/>
      <c r="AE690" s="90"/>
      <c r="AF690" s="90"/>
      <c r="AP690" s="8"/>
      <c r="AQ690" s="8"/>
      <c r="AR690" s="8"/>
      <c r="AS690" s="8"/>
      <c r="AT690" s="8"/>
      <c r="AU690" s="8"/>
      <c r="AV690" s="8"/>
      <c r="AW690" s="8"/>
      <c r="AX690" s="8"/>
      <c r="AY690" s="90"/>
      <c r="AZ690" s="90"/>
      <c r="BA690" s="90"/>
      <c r="BB690" s="90"/>
      <c r="BC690" s="90"/>
      <c r="BD690" s="90"/>
      <c r="BE690" s="90"/>
      <c r="BF690" s="90"/>
    </row>
    <row r="691" spans="1:58" x14ac:dyDescent="0.2">
      <c r="A691" s="62"/>
      <c r="B691" s="62"/>
      <c r="C691" s="62"/>
      <c r="D691" s="62"/>
      <c r="E691" s="345"/>
      <c r="F691" s="345"/>
      <c r="G691" s="113"/>
      <c r="H691" s="113"/>
      <c r="I691" s="114"/>
      <c r="J691" s="114"/>
      <c r="K691" s="114"/>
      <c r="L691" s="81"/>
      <c r="M691" s="265" t="b">
        <f>NOT(ISERROR(ResultsInd[[#This Row],[Goal-A]]+ResultsInd[[#This Row],[Goal-B]]))</f>
        <v>1</v>
      </c>
      <c r="N691" s="265">
        <f>VALUE(ResultsInd[[#This Row],[Score-A]])</f>
        <v>0</v>
      </c>
      <c r="O691" s="265">
        <f>VALUE(ResultsInd[[#This Row],[Score-B]])</f>
        <v>0</v>
      </c>
      <c r="P691" s="265" t="str">
        <f ca="1">IF(AND(ResultsInd[[#This Row],[Category]]&lt;&gt;"",ResultsInd[[#This Row],[Player A]]&lt;&gt;""),COUNTIF(INDIRECT(ResultsInd[[#This Row],[Category]]&amp;"List[Retained Player Name]"),ResultsInd[[#This Row],[Player A]]),"")</f>
        <v/>
      </c>
      <c r="Q691" s="265" t="str">
        <f ca="1">IF(AND(ResultsInd[[#This Row],[Category]]&lt;&gt;"",ResultsInd[[#This Row],[Player B]]&lt;&gt;""),COUNTIF(INDIRECT(ResultsInd[[#This Row],[Category]]&amp;"List[Retained Player Name]"),ResultsInd[[#This Row],[Player B]]),"")</f>
        <v/>
      </c>
      <c r="R6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1" s="265" t="str">
        <f>IF(ResultsInd[[#This Row],[Score_OK]],IF(ResultsInd[[#This Row],[Stage]]="Groups",ResultsInd[[#This Row],[Category]]&amp;"-"&amp;IF(ResultsInd[[#This Row],[Player B]]="","",IF(ResultsInd[[#This Row],[Score-A]]=ResultsInd[[#This Row],[Score-B]],ResultsInd[[#This Row],[Player A]],"")),""),"")</f>
        <v/>
      </c>
      <c r="T691" s="265" t="str">
        <f>IF(ResultsInd[[#This Row],[Score_OK]],IF(ResultsInd[[#This Row],[Stage]]="Groups",ResultsInd[[#This Row],[Category]]&amp;"-"&amp;IF(ResultsInd[[#This Row],[Player B]]="","",IF(ResultsInd[[#This Row],[Score-A]]=ResultsInd[[#This Row],[Score-B]],ResultsInd[[#This Row],[Player B]],"")),""),"")</f>
        <v/>
      </c>
      <c r="U6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1" s="264" t="str">
        <f>IF(ResultsInd[[#This Row],[Category]]="","",VLOOKUP(ResultsInd[[#This Row],[Stage]],$P$1:$V$9,MATCH(ResultsInd[[#This Row],[Category]],$Q$1:$V$1,0)+1,FALSE))</f>
        <v/>
      </c>
      <c r="Z691" s="264" t="str">
        <f>IF(ResultsInd[[#This Row],[Score_OK]],IF(ResultsInd[[#This Row],[Level]]="R",ResultsInd[[#This Row],[Category]]&amp;"-"&amp;IF(ResultsInd[[#This Row],[LoseInKO]]=ResultsInd[[#This Row],[Category]]&amp;"-"&amp;ResultsInd[[#This Row],[Player A]],ResultsInd[[#This Row],[Player B]],ResultsInd[[#This Row],[Player A]]),""),"")</f>
        <v/>
      </c>
      <c r="AB691" s="8"/>
      <c r="AC691" s="8"/>
      <c r="AE691" s="90"/>
      <c r="AF691" s="90"/>
      <c r="AP691" s="8"/>
      <c r="AQ691" s="8"/>
      <c r="AR691" s="8"/>
      <c r="AS691" s="8"/>
      <c r="AT691" s="8"/>
      <c r="AU691" s="8"/>
      <c r="AV691" s="8"/>
      <c r="AW691" s="8"/>
      <c r="AX691" s="8"/>
      <c r="AY691" s="90"/>
      <c r="AZ691" s="90"/>
      <c r="BA691" s="90"/>
      <c r="BB691" s="90"/>
      <c r="BC691" s="90"/>
      <c r="BD691" s="90"/>
      <c r="BE691" s="90"/>
      <c r="BF691" s="90"/>
    </row>
    <row r="692" spans="1:58" x14ac:dyDescent="0.2">
      <c r="A692" s="62"/>
      <c r="B692" s="62"/>
      <c r="C692" s="62"/>
      <c r="D692" s="62"/>
      <c r="E692" s="345"/>
      <c r="F692" s="345"/>
      <c r="G692" s="113"/>
      <c r="H692" s="113"/>
      <c r="I692" s="114"/>
      <c r="J692" s="114"/>
      <c r="K692" s="114"/>
      <c r="L692" s="81"/>
      <c r="M692" s="265" t="b">
        <f>NOT(ISERROR(ResultsInd[[#This Row],[Goal-A]]+ResultsInd[[#This Row],[Goal-B]]))</f>
        <v>1</v>
      </c>
      <c r="N692" s="265">
        <f>VALUE(ResultsInd[[#This Row],[Score-A]])</f>
        <v>0</v>
      </c>
      <c r="O692" s="265">
        <f>VALUE(ResultsInd[[#This Row],[Score-B]])</f>
        <v>0</v>
      </c>
      <c r="P692" s="265" t="str">
        <f ca="1">IF(AND(ResultsInd[[#This Row],[Category]]&lt;&gt;"",ResultsInd[[#This Row],[Player A]]&lt;&gt;""),COUNTIF(INDIRECT(ResultsInd[[#This Row],[Category]]&amp;"List[Retained Player Name]"),ResultsInd[[#This Row],[Player A]]),"")</f>
        <v/>
      </c>
      <c r="Q692" s="265" t="str">
        <f ca="1">IF(AND(ResultsInd[[#This Row],[Category]]&lt;&gt;"",ResultsInd[[#This Row],[Player B]]&lt;&gt;""),COUNTIF(INDIRECT(ResultsInd[[#This Row],[Category]]&amp;"List[Retained Player Name]"),ResultsInd[[#This Row],[Player B]]),"")</f>
        <v/>
      </c>
      <c r="R6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2" s="265" t="str">
        <f>IF(ResultsInd[[#This Row],[Score_OK]],IF(ResultsInd[[#This Row],[Stage]]="Groups",ResultsInd[[#This Row],[Category]]&amp;"-"&amp;IF(ResultsInd[[#This Row],[Player B]]="","",IF(ResultsInd[[#This Row],[Score-A]]=ResultsInd[[#This Row],[Score-B]],ResultsInd[[#This Row],[Player A]],"")),""),"")</f>
        <v/>
      </c>
      <c r="T692" s="265" t="str">
        <f>IF(ResultsInd[[#This Row],[Score_OK]],IF(ResultsInd[[#This Row],[Stage]]="Groups",ResultsInd[[#This Row],[Category]]&amp;"-"&amp;IF(ResultsInd[[#This Row],[Player B]]="","",IF(ResultsInd[[#This Row],[Score-A]]=ResultsInd[[#This Row],[Score-B]],ResultsInd[[#This Row],[Player B]],"")),""),"")</f>
        <v/>
      </c>
      <c r="U6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2" s="264" t="str">
        <f>IF(ResultsInd[[#This Row],[Category]]="","",VLOOKUP(ResultsInd[[#This Row],[Stage]],$P$1:$V$9,MATCH(ResultsInd[[#This Row],[Category]],$Q$1:$V$1,0)+1,FALSE))</f>
        <v/>
      </c>
      <c r="Z692" s="264" t="str">
        <f>IF(ResultsInd[[#This Row],[Score_OK]],IF(ResultsInd[[#This Row],[Level]]="R",ResultsInd[[#This Row],[Category]]&amp;"-"&amp;IF(ResultsInd[[#This Row],[LoseInKO]]=ResultsInd[[#This Row],[Category]]&amp;"-"&amp;ResultsInd[[#This Row],[Player A]],ResultsInd[[#This Row],[Player B]],ResultsInd[[#This Row],[Player A]]),""),"")</f>
        <v/>
      </c>
      <c r="AB692" s="8"/>
      <c r="AC692" s="8"/>
      <c r="AE692" s="90"/>
      <c r="AF692" s="90"/>
      <c r="AP692" s="8"/>
      <c r="AQ692" s="8"/>
      <c r="AR692" s="8"/>
      <c r="AS692" s="8"/>
      <c r="AT692" s="8"/>
      <c r="AU692" s="8"/>
      <c r="AV692" s="8"/>
      <c r="AW692" s="8"/>
      <c r="AX692" s="8"/>
      <c r="AY692" s="90"/>
      <c r="AZ692" s="90"/>
      <c r="BA692" s="90"/>
      <c r="BB692" s="90"/>
      <c r="BC692" s="90"/>
      <c r="BD692" s="90"/>
      <c r="BE692" s="90"/>
      <c r="BF692" s="90"/>
    </row>
    <row r="693" spans="1:58" x14ac:dyDescent="0.2">
      <c r="A693" s="62"/>
      <c r="B693" s="62"/>
      <c r="C693" s="62"/>
      <c r="D693" s="62"/>
      <c r="E693" s="345"/>
      <c r="F693" s="345"/>
      <c r="G693" s="113"/>
      <c r="H693" s="113"/>
      <c r="I693" s="114"/>
      <c r="J693" s="114"/>
      <c r="K693" s="114"/>
      <c r="L693" s="81"/>
      <c r="M693" s="265" t="b">
        <f>NOT(ISERROR(ResultsInd[[#This Row],[Goal-A]]+ResultsInd[[#This Row],[Goal-B]]))</f>
        <v>1</v>
      </c>
      <c r="N693" s="265">
        <f>VALUE(ResultsInd[[#This Row],[Score-A]])</f>
        <v>0</v>
      </c>
      <c r="O693" s="265">
        <f>VALUE(ResultsInd[[#This Row],[Score-B]])</f>
        <v>0</v>
      </c>
      <c r="P693" s="265" t="str">
        <f ca="1">IF(AND(ResultsInd[[#This Row],[Category]]&lt;&gt;"",ResultsInd[[#This Row],[Player A]]&lt;&gt;""),COUNTIF(INDIRECT(ResultsInd[[#This Row],[Category]]&amp;"List[Retained Player Name]"),ResultsInd[[#This Row],[Player A]]),"")</f>
        <v/>
      </c>
      <c r="Q693" s="265" t="str">
        <f ca="1">IF(AND(ResultsInd[[#This Row],[Category]]&lt;&gt;"",ResultsInd[[#This Row],[Player B]]&lt;&gt;""),COUNTIF(INDIRECT(ResultsInd[[#This Row],[Category]]&amp;"List[Retained Player Name]"),ResultsInd[[#This Row],[Player B]]),"")</f>
        <v/>
      </c>
      <c r="R6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3" s="265" t="str">
        <f>IF(ResultsInd[[#This Row],[Score_OK]],IF(ResultsInd[[#This Row],[Stage]]="Groups",ResultsInd[[#This Row],[Category]]&amp;"-"&amp;IF(ResultsInd[[#This Row],[Player B]]="","",IF(ResultsInd[[#This Row],[Score-A]]=ResultsInd[[#This Row],[Score-B]],ResultsInd[[#This Row],[Player A]],"")),""),"")</f>
        <v/>
      </c>
      <c r="T693" s="265" t="str">
        <f>IF(ResultsInd[[#This Row],[Score_OK]],IF(ResultsInd[[#This Row],[Stage]]="Groups",ResultsInd[[#This Row],[Category]]&amp;"-"&amp;IF(ResultsInd[[#This Row],[Player B]]="","",IF(ResultsInd[[#This Row],[Score-A]]=ResultsInd[[#This Row],[Score-B]],ResultsInd[[#This Row],[Player B]],"")),""),"")</f>
        <v/>
      </c>
      <c r="U6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3" s="264" t="str">
        <f>IF(ResultsInd[[#This Row],[Category]]="","",VLOOKUP(ResultsInd[[#This Row],[Stage]],$P$1:$V$9,MATCH(ResultsInd[[#This Row],[Category]],$Q$1:$V$1,0)+1,FALSE))</f>
        <v/>
      </c>
      <c r="Z693" s="264" t="str">
        <f>IF(ResultsInd[[#This Row],[Score_OK]],IF(ResultsInd[[#This Row],[Level]]="R",ResultsInd[[#This Row],[Category]]&amp;"-"&amp;IF(ResultsInd[[#This Row],[LoseInKO]]=ResultsInd[[#This Row],[Category]]&amp;"-"&amp;ResultsInd[[#This Row],[Player A]],ResultsInd[[#This Row],[Player B]],ResultsInd[[#This Row],[Player A]]),""),"")</f>
        <v/>
      </c>
      <c r="AB693" s="8"/>
      <c r="AC693" s="8"/>
      <c r="AE693" s="90"/>
      <c r="AF693" s="90"/>
      <c r="AP693" s="8"/>
      <c r="AQ693" s="8"/>
      <c r="AR693" s="8"/>
      <c r="AS693" s="8"/>
      <c r="AT693" s="8"/>
      <c r="AU693" s="8"/>
      <c r="AV693" s="8"/>
      <c r="AW693" s="8"/>
      <c r="AX693" s="8"/>
      <c r="AY693" s="90"/>
      <c r="AZ693" s="90"/>
      <c r="BA693" s="90"/>
      <c r="BB693" s="90"/>
      <c r="BC693" s="90"/>
      <c r="BD693" s="90"/>
      <c r="BE693" s="90"/>
      <c r="BF693" s="90"/>
    </row>
    <row r="694" spans="1:58" x14ac:dyDescent="0.2">
      <c r="A694" s="62"/>
      <c r="B694" s="62"/>
      <c r="C694" s="62"/>
      <c r="D694" s="62"/>
      <c r="E694" s="345"/>
      <c r="F694" s="345"/>
      <c r="G694" s="113"/>
      <c r="H694" s="113"/>
      <c r="I694" s="114"/>
      <c r="J694" s="114"/>
      <c r="K694" s="114"/>
      <c r="L694" s="81"/>
      <c r="M694" s="265" t="b">
        <f>NOT(ISERROR(ResultsInd[[#This Row],[Goal-A]]+ResultsInd[[#This Row],[Goal-B]]))</f>
        <v>1</v>
      </c>
      <c r="N694" s="265">
        <f>VALUE(ResultsInd[[#This Row],[Score-A]])</f>
        <v>0</v>
      </c>
      <c r="O694" s="265">
        <f>VALUE(ResultsInd[[#This Row],[Score-B]])</f>
        <v>0</v>
      </c>
      <c r="P694" s="265" t="str">
        <f ca="1">IF(AND(ResultsInd[[#This Row],[Category]]&lt;&gt;"",ResultsInd[[#This Row],[Player A]]&lt;&gt;""),COUNTIF(INDIRECT(ResultsInd[[#This Row],[Category]]&amp;"List[Retained Player Name]"),ResultsInd[[#This Row],[Player A]]),"")</f>
        <v/>
      </c>
      <c r="Q694" s="265" t="str">
        <f ca="1">IF(AND(ResultsInd[[#This Row],[Category]]&lt;&gt;"",ResultsInd[[#This Row],[Player B]]&lt;&gt;""),COUNTIF(INDIRECT(ResultsInd[[#This Row],[Category]]&amp;"List[Retained Player Name]"),ResultsInd[[#This Row],[Player B]]),"")</f>
        <v/>
      </c>
      <c r="R6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4" s="265" t="str">
        <f>IF(ResultsInd[[#This Row],[Score_OK]],IF(ResultsInd[[#This Row],[Stage]]="Groups",ResultsInd[[#This Row],[Category]]&amp;"-"&amp;IF(ResultsInd[[#This Row],[Player B]]="","",IF(ResultsInd[[#This Row],[Score-A]]=ResultsInd[[#This Row],[Score-B]],ResultsInd[[#This Row],[Player A]],"")),""),"")</f>
        <v/>
      </c>
      <c r="T694" s="265" t="str">
        <f>IF(ResultsInd[[#This Row],[Score_OK]],IF(ResultsInd[[#This Row],[Stage]]="Groups",ResultsInd[[#This Row],[Category]]&amp;"-"&amp;IF(ResultsInd[[#This Row],[Player B]]="","",IF(ResultsInd[[#This Row],[Score-A]]=ResultsInd[[#This Row],[Score-B]],ResultsInd[[#This Row],[Player B]],"")),""),"")</f>
        <v/>
      </c>
      <c r="U6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4" s="264" t="str">
        <f>IF(ResultsInd[[#This Row],[Category]]="","",VLOOKUP(ResultsInd[[#This Row],[Stage]],$P$1:$V$9,MATCH(ResultsInd[[#This Row],[Category]],$Q$1:$V$1,0)+1,FALSE))</f>
        <v/>
      </c>
      <c r="Z694" s="264" t="str">
        <f>IF(ResultsInd[[#This Row],[Score_OK]],IF(ResultsInd[[#This Row],[Level]]="R",ResultsInd[[#This Row],[Category]]&amp;"-"&amp;IF(ResultsInd[[#This Row],[LoseInKO]]=ResultsInd[[#This Row],[Category]]&amp;"-"&amp;ResultsInd[[#This Row],[Player A]],ResultsInd[[#This Row],[Player B]],ResultsInd[[#This Row],[Player A]]),""),"")</f>
        <v/>
      </c>
      <c r="AB694" s="8"/>
      <c r="AC694" s="8"/>
      <c r="AE694" s="90"/>
      <c r="AF694" s="90"/>
      <c r="AP694" s="8"/>
      <c r="AQ694" s="8"/>
      <c r="AR694" s="8"/>
      <c r="AS694" s="8"/>
      <c r="AT694" s="8"/>
      <c r="AU694" s="8"/>
      <c r="AV694" s="8"/>
      <c r="AW694" s="8"/>
      <c r="AX694" s="8"/>
      <c r="AY694" s="90"/>
      <c r="AZ694" s="90"/>
      <c r="BA694" s="90"/>
      <c r="BB694" s="90"/>
      <c r="BC694" s="90"/>
      <c r="BD694" s="90"/>
      <c r="BE694" s="90"/>
      <c r="BF694" s="90"/>
    </row>
    <row r="695" spans="1:58" x14ac:dyDescent="0.2">
      <c r="A695" s="62"/>
      <c r="B695" s="62"/>
      <c r="C695" s="62"/>
      <c r="D695" s="62"/>
      <c r="E695" s="345"/>
      <c r="F695" s="345"/>
      <c r="G695" s="113"/>
      <c r="H695" s="113"/>
      <c r="I695" s="114"/>
      <c r="J695" s="114"/>
      <c r="K695" s="114"/>
      <c r="L695" s="81"/>
      <c r="M695" s="265" t="b">
        <f>NOT(ISERROR(ResultsInd[[#This Row],[Goal-A]]+ResultsInd[[#This Row],[Goal-B]]))</f>
        <v>1</v>
      </c>
      <c r="N695" s="265">
        <f>VALUE(ResultsInd[[#This Row],[Score-A]])</f>
        <v>0</v>
      </c>
      <c r="O695" s="265">
        <f>VALUE(ResultsInd[[#This Row],[Score-B]])</f>
        <v>0</v>
      </c>
      <c r="P695" s="265" t="str">
        <f ca="1">IF(AND(ResultsInd[[#This Row],[Category]]&lt;&gt;"",ResultsInd[[#This Row],[Player A]]&lt;&gt;""),COUNTIF(INDIRECT(ResultsInd[[#This Row],[Category]]&amp;"List[Retained Player Name]"),ResultsInd[[#This Row],[Player A]]),"")</f>
        <v/>
      </c>
      <c r="Q695" s="265" t="str">
        <f ca="1">IF(AND(ResultsInd[[#This Row],[Category]]&lt;&gt;"",ResultsInd[[#This Row],[Player B]]&lt;&gt;""),COUNTIF(INDIRECT(ResultsInd[[#This Row],[Category]]&amp;"List[Retained Player Name]"),ResultsInd[[#This Row],[Player B]]),"")</f>
        <v/>
      </c>
      <c r="R6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5" s="265" t="str">
        <f>IF(ResultsInd[[#This Row],[Score_OK]],IF(ResultsInd[[#This Row],[Stage]]="Groups",ResultsInd[[#This Row],[Category]]&amp;"-"&amp;IF(ResultsInd[[#This Row],[Player B]]="","",IF(ResultsInd[[#This Row],[Score-A]]=ResultsInd[[#This Row],[Score-B]],ResultsInd[[#This Row],[Player A]],"")),""),"")</f>
        <v/>
      </c>
      <c r="T695" s="265" t="str">
        <f>IF(ResultsInd[[#This Row],[Score_OK]],IF(ResultsInd[[#This Row],[Stage]]="Groups",ResultsInd[[#This Row],[Category]]&amp;"-"&amp;IF(ResultsInd[[#This Row],[Player B]]="","",IF(ResultsInd[[#This Row],[Score-A]]=ResultsInd[[#This Row],[Score-B]],ResultsInd[[#This Row],[Player B]],"")),""),"")</f>
        <v/>
      </c>
      <c r="U6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5" s="264" t="str">
        <f>IF(ResultsInd[[#This Row],[Category]]="","",VLOOKUP(ResultsInd[[#This Row],[Stage]],$P$1:$V$9,MATCH(ResultsInd[[#This Row],[Category]],$Q$1:$V$1,0)+1,FALSE))</f>
        <v/>
      </c>
      <c r="Z695" s="264" t="str">
        <f>IF(ResultsInd[[#This Row],[Score_OK]],IF(ResultsInd[[#This Row],[Level]]="R",ResultsInd[[#This Row],[Category]]&amp;"-"&amp;IF(ResultsInd[[#This Row],[LoseInKO]]=ResultsInd[[#This Row],[Category]]&amp;"-"&amp;ResultsInd[[#This Row],[Player A]],ResultsInd[[#This Row],[Player B]],ResultsInd[[#This Row],[Player A]]),""),"")</f>
        <v/>
      </c>
      <c r="AB695" s="8"/>
      <c r="AC695" s="8"/>
      <c r="AE695" s="90"/>
      <c r="AF695" s="90"/>
      <c r="AP695" s="8"/>
      <c r="AQ695" s="8"/>
      <c r="AR695" s="8"/>
      <c r="AS695" s="8"/>
      <c r="AT695" s="8"/>
      <c r="AU695" s="8"/>
      <c r="AV695" s="8"/>
      <c r="AW695" s="8"/>
      <c r="AX695" s="8"/>
      <c r="AY695" s="90"/>
      <c r="AZ695" s="90"/>
      <c r="BA695" s="90"/>
      <c r="BB695" s="90"/>
      <c r="BC695" s="90"/>
      <c r="BD695" s="90"/>
      <c r="BE695" s="90"/>
      <c r="BF695" s="90"/>
    </row>
    <row r="696" spans="1:58" x14ac:dyDescent="0.2">
      <c r="A696" s="62"/>
      <c r="B696" s="62"/>
      <c r="C696" s="62"/>
      <c r="D696" s="62"/>
      <c r="E696" s="345"/>
      <c r="F696" s="345"/>
      <c r="G696" s="113"/>
      <c r="H696" s="113"/>
      <c r="I696" s="114"/>
      <c r="J696" s="114"/>
      <c r="K696" s="114"/>
      <c r="L696" s="81"/>
      <c r="M696" s="265" t="b">
        <f>NOT(ISERROR(ResultsInd[[#This Row],[Goal-A]]+ResultsInd[[#This Row],[Goal-B]]))</f>
        <v>1</v>
      </c>
      <c r="N696" s="265">
        <f>VALUE(ResultsInd[[#This Row],[Score-A]])</f>
        <v>0</v>
      </c>
      <c r="O696" s="265">
        <f>VALUE(ResultsInd[[#This Row],[Score-B]])</f>
        <v>0</v>
      </c>
      <c r="P696" s="265" t="str">
        <f ca="1">IF(AND(ResultsInd[[#This Row],[Category]]&lt;&gt;"",ResultsInd[[#This Row],[Player A]]&lt;&gt;""),COUNTIF(INDIRECT(ResultsInd[[#This Row],[Category]]&amp;"List[Retained Player Name]"),ResultsInd[[#This Row],[Player A]]),"")</f>
        <v/>
      </c>
      <c r="Q696" s="265" t="str">
        <f ca="1">IF(AND(ResultsInd[[#This Row],[Category]]&lt;&gt;"",ResultsInd[[#This Row],[Player B]]&lt;&gt;""),COUNTIF(INDIRECT(ResultsInd[[#This Row],[Category]]&amp;"List[Retained Player Name]"),ResultsInd[[#This Row],[Player B]]),"")</f>
        <v/>
      </c>
      <c r="R6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6" s="265" t="str">
        <f>IF(ResultsInd[[#This Row],[Score_OK]],IF(ResultsInd[[#This Row],[Stage]]="Groups",ResultsInd[[#This Row],[Category]]&amp;"-"&amp;IF(ResultsInd[[#This Row],[Player B]]="","",IF(ResultsInd[[#This Row],[Score-A]]=ResultsInd[[#This Row],[Score-B]],ResultsInd[[#This Row],[Player A]],"")),""),"")</f>
        <v/>
      </c>
      <c r="T696" s="265" t="str">
        <f>IF(ResultsInd[[#This Row],[Score_OK]],IF(ResultsInd[[#This Row],[Stage]]="Groups",ResultsInd[[#This Row],[Category]]&amp;"-"&amp;IF(ResultsInd[[#This Row],[Player B]]="","",IF(ResultsInd[[#This Row],[Score-A]]=ResultsInd[[#This Row],[Score-B]],ResultsInd[[#This Row],[Player B]],"")),""),"")</f>
        <v/>
      </c>
      <c r="U6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6" s="264" t="str">
        <f>IF(ResultsInd[[#This Row],[Category]]="","",VLOOKUP(ResultsInd[[#This Row],[Stage]],$P$1:$V$9,MATCH(ResultsInd[[#This Row],[Category]],$Q$1:$V$1,0)+1,FALSE))</f>
        <v/>
      </c>
      <c r="Z696" s="264" t="str">
        <f>IF(ResultsInd[[#This Row],[Score_OK]],IF(ResultsInd[[#This Row],[Level]]="R",ResultsInd[[#This Row],[Category]]&amp;"-"&amp;IF(ResultsInd[[#This Row],[LoseInKO]]=ResultsInd[[#This Row],[Category]]&amp;"-"&amp;ResultsInd[[#This Row],[Player A]],ResultsInd[[#This Row],[Player B]],ResultsInd[[#This Row],[Player A]]),""),"")</f>
        <v/>
      </c>
      <c r="AB696" s="8"/>
      <c r="AC696" s="8"/>
      <c r="AE696" s="90"/>
      <c r="AF696" s="90"/>
      <c r="AP696" s="8"/>
      <c r="AQ696" s="8"/>
      <c r="AR696" s="8"/>
      <c r="AS696" s="8"/>
      <c r="AT696" s="8"/>
      <c r="AU696" s="8"/>
      <c r="AV696" s="8"/>
      <c r="AW696" s="8"/>
      <c r="AX696" s="8"/>
      <c r="AY696" s="90"/>
      <c r="AZ696" s="90"/>
      <c r="BA696" s="90"/>
      <c r="BB696" s="90"/>
      <c r="BC696" s="90"/>
      <c r="BD696" s="90"/>
      <c r="BE696" s="90"/>
      <c r="BF696" s="90"/>
    </row>
    <row r="697" spans="1:58" x14ac:dyDescent="0.2">
      <c r="A697" s="62"/>
      <c r="B697" s="62"/>
      <c r="C697" s="62"/>
      <c r="D697" s="62"/>
      <c r="E697" s="345"/>
      <c r="F697" s="345"/>
      <c r="G697" s="113"/>
      <c r="H697" s="113"/>
      <c r="I697" s="114"/>
      <c r="J697" s="114"/>
      <c r="K697" s="114"/>
      <c r="L697" s="81"/>
      <c r="M697" s="265" t="b">
        <f>NOT(ISERROR(ResultsInd[[#This Row],[Goal-A]]+ResultsInd[[#This Row],[Goal-B]]))</f>
        <v>1</v>
      </c>
      <c r="N697" s="265">
        <f>VALUE(ResultsInd[[#This Row],[Score-A]])</f>
        <v>0</v>
      </c>
      <c r="O697" s="265">
        <f>VALUE(ResultsInd[[#This Row],[Score-B]])</f>
        <v>0</v>
      </c>
      <c r="P697" s="265" t="str">
        <f ca="1">IF(AND(ResultsInd[[#This Row],[Category]]&lt;&gt;"",ResultsInd[[#This Row],[Player A]]&lt;&gt;""),COUNTIF(INDIRECT(ResultsInd[[#This Row],[Category]]&amp;"List[Retained Player Name]"),ResultsInd[[#This Row],[Player A]]),"")</f>
        <v/>
      </c>
      <c r="Q697" s="265" t="str">
        <f ca="1">IF(AND(ResultsInd[[#This Row],[Category]]&lt;&gt;"",ResultsInd[[#This Row],[Player B]]&lt;&gt;""),COUNTIF(INDIRECT(ResultsInd[[#This Row],[Category]]&amp;"List[Retained Player Name]"),ResultsInd[[#This Row],[Player B]]),"")</f>
        <v/>
      </c>
      <c r="R6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7" s="265" t="str">
        <f>IF(ResultsInd[[#This Row],[Score_OK]],IF(ResultsInd[[#This Row],[Stage]]="Groups",ResultsInd[[#This Row],[Category]]&amp;"-"&amp;IF(ResultsInd[[#This Row],[Player B]]="","",IF(ResultsInd[[#This Row],[Score-A]]=ResultsInd[[#This Row],[Score-B]],ResultsInd[[#This Row],[Player A]],"")),""),"")</f>
        <v/>
      </c>
      <c r="T697" s="265" t="str">
        <f>IF(ResultsInd[[#This Row],[Score_OK]],IF(ResultsInd[[#This Row],[Stage]]="Groups",ResultsInd[[#This Row],[Category]]&amp;"-"&amp;IF(ResultsInd[[#This Row],[Player B]]="","",IF(ResultsInd[[#This Row],[Score-A]]=ResultsInd[[#This Row],[Score-B]],ResultsInd[[#This Row],[Player B]],"")),""),"")</f>
        <v/>
      </c>
      <c r="U6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7" s="264" t="str">
        <f>IF(ResultsInd[[#This Row],[Category]]="","",VLOOKUP(ResultsInd[[#This Row],[Stage]],$P$1:$V$9,MATCH(ResultsInd[[#This Row],[Category]],$Q$1:$V$1,0)+1,FALSE))</f>
        <v/>
      </c>
      <c r="Z697" s="264" t="str">
        <f>IF(ResultsInd[[#This Row],[Score_OK]],IF(ResultsInd[[#This Row],[Level]]="R",ResultsInd[[#This Row],[Category]]&amp;"-"&amp;IF(ResultsInd[[#This Row],[LoseInKO]]=ResultsInd[[#This Row],[Category]]&amp;"-"&amp;ResultsInd[[#This Row],[Player A]],ResultsInd[[#This Row],[Player B]],ResultsInd[[#This Row],[Player A]]),""),"")</f>
        <v/>
      </c>
      <c r="AB697" s="8"/>
      <c r="AC697" s="8"/>
      <c r="AE697" s="90"/>
      <c r="AF697" s="90"/>
      <c r="AP697" s="8"/>
      <c r="AQ697" s="8"/>
      <c r="AR697" s="8"/>
      <c r="AS697" s="8"/>
      <c r="AT697" s="8"/>
      <c r="AU697" s="8"/>
      <c r="AV697" s="8"/>
      <c r="AW697" s="8"/>
      <c r="AX697" s="8"/>
      <c r="AY697" s="90"/>
      <c r="AZ697" s="90"/>
      <c r="BA697" s="90"/>
      <c r="BB697" s="90"/>
      <c r="BC697" s="90"/>
      <c r="BD697" s="90"/>
      <c r="BE697" s="90"/>
      <c r="BF697" s="90"/>
    </row>
    <row r="698" spans="1:58" x14ac:dyDescent="0.2">
      <c r="A698" s="62"/>
      <c r="B698" s="62"/>
      <c r="C698" s="62"/>
      <c r="D698" s="62"/>
      <c r="E698" s="345"/>
      <c r="F698" s="345"/>
      <c r="G698" s="113"/>
      <c r="H698" s="113"/>
      <c r="I698" s="114"/>
      <c r="J698" s="114"/>
      <c r="K698" s="114"/>
      <c r="L698" s="81"/>
      <c r="M698" s="265" t="b">
        <f>NOT(ISERROR(ResultsInd[[#This Row],[Goal-A]]+ResultsInd[[#This Row],[Goal-B]]))</f>
        <v>1</v>
      </c>
      <c r="N698" s="265">
        <f>VALUE(ResultsInd[[#This Row],[Score-A]])</f>
        <v>0</v>
      </c>
      <c r="O698" s="265">
        <f>VALUE(ResultsInd[[#This Row],[Score-B]])</f>
        <v>0</v>
      </c>
      <c r="P698" s="265" t="str">
        <f ca="1">IF(AND(ResultsInd[[#This Row],[Category]]&lt;&gt;"",ResultsInd[[#This Row],[Player A]]&lt;&gt;""),COUNTIF(INDIRECT(ResultsInd[[#This Row],[Category]]&amp;"List[Retained Player Name]"),ResultsInd[[#This Row],[Player A]]),"")</f>
        <v/>
      </c>
      <c r="Q698" s="265" t="str">
        <f ca="1">IF(AND(ResultsInd[[#This Row],[Category]]&lt;&gt;"",ResultsInd[[#This Row],[Player B]]&lt;&gt;""),COUNTIF(INDIRECT(ResultsInd[[#This Row],[Category]]&amp;"List[Retained Player Name]"),ResultsInd[[#This Row],[Player B]]),"")</f>
        <v/>
      </c>
      <c r="R6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8" s="265" t="str">
        <f>IF(ResultsInd[[#This Row],[Score_OK]],IF(ResultsInd[[#This Row],[Stage]]="Groups",ResultsInd[[#This Row],[Category]]&amp;"-"&amp;IF(ResultsInd[[#This Row],[Player B]]="","",IF(ResultsInd[[#This Row],[Score-A]]=ResultsInd[[#This Row],[Score-B]],ResultsInd[[#This Row],[Player A]],"")),""),"")</f>
        <v/>
      </c>
      <c r="T698" s="265" t="str">
        <f>IF(ResultsInd[[#This Row],[Score_OK]],IF(ResultsInd[[#This Row],[Stage]]="Groups",ResultsInd[[#This Row],[Category]]&amp;"-"&amp;IF(ResultsInd[[#This Row],[Player B]]="","",IF(ResultsInd[[#This Row],[Score-A]]=ResultsInd[[#This Row],[Score-B]],ResultsInd[[#This Row],[Player B]],"")),""),"")</f>
        <v/>
      </c>
      <c r="U6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8" s="264" t="str">
        <f>IF(ResultsInd[[#This Row],[Category]]="","",VLOOKUP(ResultsInd[[#This Row],[Stage]],$P$1:$V$9,MATCH(ResultsInd[[#This Row],[Category]],$Q$1:$V$1,0)+1,FALSE))</f>
        <v/>
      </c>
      <c r="Z698" s="264" t="str">
        <f>IF(ResultsInd[[#This Row],[Score_OK]],IF(ResultsInd[[#This Row],[Level]]="R",ResultsInd[[#This Row],[Category]]&amp;"-"&amp;IF(ResultsInd[[#This Row],[LoseInKO]]=ResultsInd[[#This Row],[Category]]&amp;"-"&amp;ResultsInd[[#This Row],[Player A]],ResultsInd[[#This Row],[Player B]],ResultsInd[[#This Row],[Player A]]),""),"")</f>
        <v/>
      </c>
      <c r="AB698" s="8"/>
      <c r="AC698" s="8"/>
      <c r="AE698" s="90"/>
      <c r="AF698" s="90"/>
      <c r="AP698" s="8"/>
      <c r="AQ698" s="8"/>
      <c r="AR698" s="8"/>
      <c r="AS698" s="8"/>
      <c r="AT698" s="8"/>
      <c r="AU698" s="8"/>
      <c r="AV698" s="8"/>
      <c r="AW698" s="8"/>
      <c r="AX698" s="8"/>
      <c r="AY698" s="90"/>
      <c r="AZ698" s="90"/>
      <c r="BA698" s="90"/>
      <c r="BB698" s="90"/>
      <c r="BC698" s="90"/>
      <c r="BD698" s="90"/>
      <c r="BE698" s="90"/>
      <c r="BF698" s="90"/>
    </row>
    <row r="699" spans="1:58" x14ac:dyDescent="0.2">
      <c r="A699" s="62"/>
      <c r="B699" s="62"/>
      <c r="C699" s="62"/>
      <c r="D699" s="62"/>
      <c r="E699" s="345"/>
      <c r="F699" s="345"/>
      <c r="G699" s="113"/>
      <c r="H699" s="113"/>
      <c r="I699" s="114"/>
      <c r="J699" s="114"/>
      <c r="K699" s="114"/>
      <c r="L699" s="81"/>
      <c r="M699" s="265" t="b">
        <f>NOT(ISERROR(ResultsInd[[#This Row],[Goal-A]]+ResultsInd[[#This Row],[Goal-B]]))</f>
        <v>1</v>
      </c>
      <c r="N699" s="265">
        <f>VALUE(ResultsInd[[#This Row],[Score-A]])</f>
        <v>0</v>
      </c>
      <c r="O699" s="265">
        <f>VALUE(ResultsInd[[#This Row],[Score-B]])</f>
        <v>0</v>
      </c>
      <c r="P699" s="265" t="str">
        <f ca="1">IF(AND(ResultsInd[[#This Row],[Category]]&lt;&gt;"",ResultsInd[[#This Row],[Player A]]&lt;&gt;""),COUNTIF(INDIRECT(ResultsInd[[#This Row],[Category]]&amp;"List[Retained Player Name]"),ResultsInd[[#This Row],[Player A]]),"")</f>
        <v/>
      </c>
      <c r="Q699" s="265" t="str">
        <f ca="1">IF(AND(ResultsInd[[#This Row],[Category]]&lt;&gt;"",ResultsInd[[#This Row],[Player B]]&lt;&gt;""),COUNTIF(INDIRECT(ResultsInd[[#This Row],[Category]]&amp;"List[Retained Player Name]"),ResultsInd[[#This Row],[Player B]]),"")</f>
        <v/>
      </c>
      <c r="R6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9" s="265" t="str">
        <f>IF(ResultsInd[[#This Row],[Score_OK]],IF(ResultsInd[[#This Row],[Stage]]="Groups",ResultsInd[[#This Row],[Category]]&amp;"-"&amp;IF(ResultsInd[[#This Row],[Player B]]="","",IF(ResultsInd[[#This Row],[Score-A]]=ResultsInd[[#This Row],[Score-B]],ResultsInd[[#This Row],[Player A]],"")),""),"")</f>
        <v/>
      </c>
      <c r="T699" s="265" t="str">
        <f>IF(ResultsInd[[#This Row],[Score_OK]],IF(ResultsInd[[#This Row],[Stage]]="Groups",ResultsInd[[#This Row],[Category]]&amp;"-"&amp;IF(ResultsInd[[#This Row],[Player B]]="","",IF(ResultsInd[[#This Row],[Score-A]]=ResultsInd[[#This Row],[Score-B]],ResultsInd[[#This Row],[Player B]],"")),""),"")</f>
        <v/>
      </c>
      <c r="U6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9" s="264" t="str">
        <f>IF(ResultsInd[[#This Row],[Category]]="","",VLOOKUP(ResultsInd[[#This Row],[Stage]],$P$1:$V$9,MATCH(ResultsInd[[#This Row],[Category]],$Q$1:$V$1,0)+1,FALSE))</f>
        <v/>
      </c>
      <c r="Z699" s="264" t="str">
        <f>IF(ResultsInd[[#This Row],[Score_OK]],IF(ResultsInd[[#This Row],[Level]]="R",ResultsInd[[#This Row],[Category]]&amp;"-"&amp;IF(ResultsInd[[#This Row],[LoseInKO]]=ResultsInd[[#This Row],[Category]]&amp;"-"&amp;ResultsInd[[#This Row],[Player A]],ResultsInd[[#This Row],[Player B]],ResultsInd[[#This Row],[Player A]]),""),"")</f>
        <v/>
      </c>
      <c r="AB699" s="8"/>
      <c r="AC699" s="8"/>
      <c r="AE699" s="90"/>
      <c r="AF699" s="90"/>
      <c r="AP699" s="8"/>
      <c r="AQ699" s="8"/>
      <c r="AR699" s="8"/>
      <c r="AS699" s="8"/>
      <c r="AT699" s="8"/>
      <c r="AU699" s="8"/>
      <c r="AV699" s="8"/>
      <c r="AW699" s="8"/>
      <c r="AX699" s="8"/>
      <c r="AY699" s="90"/>
      <c r="AZ699" s="90"/>
      <c r="BA699" s="90"/>
      <c r="BB699" s="90"/>
      <c r="BC699" s="90"/>
      <c r="BD699" s="90"/>
      <c r="BE699" s="90"/>
      <c r="BF699" s="90"/>
    </row>
    <row r="700" spans="1:58" x14ac:dyDescent="0.2">
      <c r="A700" s="62"/>
      <c r="B700" s="62"/>
      <c r="C700" s="62"/>
      <c r="D700" s="62"/>
      <c r="E700" s="345"/>
      <c r="F700" s="345"/>
      <c r="G700" s="113"/>
      <c r="H700" s="113"/>
      <c r="I700" s="114"/>
      <c r="J700" s="114"/>
      <c r="K700" s="114"/>
      <c r="L700" s="81"/>
      <c r="M700" s="265" t="b">
        <f>NOT(ISERROR(ResultsInd[[#This Row],[Goal-A]]+ResultsInd[[#This Row],[Goal-B]]))</f>
        <v>1</v>
      </c>
      <c r="N700" s="265">
        <f>VALUE(ResultsInd[[#This Row],[Score-A]])</f>
        <v>0</v>
      </c>
      <c r="O700" s="265">
        <f>VALUE(ResultsInd[[#This Row],[Score-B]])</f>
        <v>0</v>
      </c>
      <c r="P700" s="265" t="str">
        <f ca="1">IF(AND(ResultsInd[[#This Row],[Category]]&lt;&gt;"",ResultsInd[[#This Row],[Player A]]&lt;&gt;""),COUNTIF(INDIRECT(ResultsInd[[#This Row],[Category]]&amp;"List[Retained Player Name]"),ResultsInd[[#This Row],[Player A]]),"")</f>
        <v/>
      </c>
      <c r="Q700" s="265" t="str">
        <f ca="1">IF(AND(ResultsInd[[#This Row],[Category]]&lt;&gt;"",ResultsInd[[#This Row],[Player B]]&lt;&gt;""),COUNTIF(INDIRECT(ResultsInd[[#This Row],[Category]]&amp;"List[Retained Player Name]"),ResultsInd[[#This Row],[Player B]]),"")</f>
        <v/>
      </c>
      <c r="R7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0" s="265" t="str">
        <f>IF(ResultsInd[[#This Row],[Score_OK]],IF(ResultsInd[[#This Row],[Stage]]="Groups",ResultsInd[[#This Row],[Category]]&amp;"-"&amp;IF(ResultsInd[[#This Row],[Player B]]="","",IF(ResultsInd[[#This Row],[Score-A]]=ResultsInd[[#This Row],[Score-B]],ResultsInd[[#This Row],[Player A]],"")),""),"")</f>
        <v/>
      </c>
      <c r="T700" s="265" t="str">
        <f>IF(ResultsInd[[#This Row],[Score_OK]],IF(ResultsInd[[#This Row],[Stage]]="Groups",ResultsInd[[#This Row],[Category]]&amp;"-"&amp;IF(ResultsInd[[#This Row],[Player B]]="","",IF(ResultsInd[[#This Row],[Score-A]]=ResultsInd[[#This Row],[Score-B]],ResultsInd[[#This Row],[Player B]],"")),""),"")</f>
        <v/>
      </c>
      <c r="U7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0" s="264" t="str">
        <f>IF(ResultsInd[[#This Row],[Category]]="","",VLOOKUP(ResultsInd[[#This Row],[Stage]],$P$1:$V$9,MATCH(ResultsInd[[#This Row],[Category]],$Q$1:$V$1,0)+1,FALSE))</f>
        <v/>
      </c>
      <c r="Z700" s="264" t="str">
        <f>IF(ResultsInd[[#This Row],[Score_OK]],IF(ResultsInd[[#This Row],[Level]]="R",ResultsInd[[#This Row],[Category]]&amp;"-"&amp;IF(ResultsInd[[#This Row],[LoseInKO]]=ResultsInd[[#This Row],[Category]]&amp;"-"&amp;ResultsInd[[#This Row],[Player A]],ResultsInd[[#This Row],[Player B]],ResultsInd[[#This Row],[Player A]]),""),"")</f>
        <v/>
      </c>
      <c r="AB700" s="8"/>
      <c r="AC700" s="8"/>
      <c r="AE700" s="90"/>
      <c r="AF700" s="90"/>
      <c r="AP700" s="8"/>
      <c r="AQ700" s="8"/>
      <c r="AR700" s="8"/>
      <c r="AS700" s="8"/>
      <c r="AT700" s="8"/>
      <c r="AU700" s="8"/>
      <c r="AV700" s="8"/>
      <c r="AW700" s="8"/>
      <c r="AX700" s="8"/>
      <c r="AY700" s="90"/>
      <c r="AZ700" s="90"/>
      <c r="BA700" s="90"/>
      <c r="BB700" s="90"/>
      <c r="BC700" s="90"/>
      <c r="BD700" s="90"/>
      <c r="BE700" s="90"/>
      <c r="BF700" s="90"/>
    </row>
    <row r="701" spans="1:58" x14ac:dyDescent="0.2">
      <c r="A701" s="62"/>
      <c r="B701" s="62"/>
      <c r="C701" s="62"/>
      <c r="D701" s="62"/>
      <c r="E701" s="345"/>
      <c r="F701" s="345"/>
      <c r="G701" s="113"/>
      <c r="H701" s="113"/>
      <c r="I701" s="114"/>
      <c r="J701" s="114"/>
      <c r="K701" s="114"/>
      <c r="L701" s="81"/>
      <c r="M701" s="265" t="b">
        <f>NOT(ISERROR(ResultsInd[[#This Row],[Goal-A]]+ResultsInd[[#This Row],[Goal-B]]))</f>
        <v>1</v>
      </c>
      <c r="N701" s="265">
        <f>VALUE(ResultsInd[[#This Row],[Score-A]])</f>
        <v>0</v>
      </c>
      <c r="O701" s="265">
        <f>VALUE(ResultsInd[[#This Row],[Score-B]])</f>
        <v>0</v>
      </c>
      <c r="P701" s="265" t="str">
        <f ca="1">IF(AND(ResultsInd[[#This Row],[Category]]&lt;&gt;"",ResultsInd[[#This Row],[Player A]]&lt;&gt;""),COUNTIF(INDIRECT(ResultsInd[[#This Row],[Category]]&amp;"List[Retained Player Name]"),ResultsInd[[#This Row],[Player A]]),"")</f>
        <v/>
      </c>
      <c r="Q701" s="265" t="str">
        <f ca="1">IF(AND(ResultsInd[[#This Row],[Category]]&lt;&gt;"",ResultsInd[[#This Row],[Player B]]&lt;&gt;""),COUNTIF(INDIRECT(ResultsInd[[#This Row],[Category]]&amp;"List[Retained Player Name]"),ResultsInd[[#This Row],[Player B]]),"")</f>
        <v/>
      </c>
      <c r="R7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1" s="265" t="str">
        <f>IF(ResultsInd[[#This Row],[Score_OK]],IF(ResultsInd[[#This Row],[Stage]]="Groups",ResultsInd[[#This Row],[Category]]&amp;"-"&amp;IF(ResultsInd[[#This Row],[Player B]]="","",IF(ResultsInd[[#This Row],[Score-A]]=ResultsInd[[#This Row],[Score-B]],ResultsInd[[#This Row],[Player A]],"")),""),"")</f>
        <v/>
      </c>
      <c r="T701" s="265" t="str">
        <f>IF(ResultsInd[[#This Row],[Score_OK]],IF(ResultsInd[[#This Row],[Stage]]="Groups",ResultsInd[[#This Row],[Category]]&amp;"-"&amp;IF(ResultsInd[[#This Row],[Player B]]="","",IF(ResultsInd[[#This Row],[Score-A]]=ResultsInd[[#This Row],[Score-B]],ResultsInd[[#This Row],[Player B]],"")),""),"")</f>
        <v/>
      </c>
      <c r="U7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1" s="264" t="str">
        <f>IF(ResultsInd[[#This Row],[Category]]="","",VLOOKUP(ResultsInd[[#This Row],[Stage]],$P$1:$V$9,MATCH(ResultsInd[[#This Row],[Category]],$Q$1:$V$1,0)+1,FALSE))</f>
        <v/>
      </c>
      <c r="Z701" s="264" t="str">
        <f>IF(ResultsInd[[#This Row],[Score_OK]],IF(ResultsInd[[#This Row],[Level]]="R",ResultsInd[[#This Row],[Category]]&amp;"-"&amp;IF(ResultsInd[[#This Row],[LoseInKO]]=ResultsInd[[#This Row],[Category]]&amp;"-"&amp;ResultsInd[[#This Row],[Player A]],ResultsInd[[#This Row],[Player B]],ResultsInd[[#This Row],[Player A]]),""),"")</f>
        <v/>
      </c>
      <c r="AB701" s="8"/>
      <c r="AC701" s="8"/>
      <c r="AE701" s="90"/>
      <c r="AF701" s="90"/>
      <c r="AP701" s="8"/>
      <c r="AQ701" s="8"/>
      <c r="AR701" s="8"/>
      <c r="AS701" s="8"/>
      <c r="AT701" s="8"/>
      <c r="AU701" s="8"/>
      <c r="AV701" s="8"/>
      <c r="AW701" s="8"/>
      <c r="AX701" s="8"/>
      <c r="AY701" s="90"/>
      <c r="AZ701" s="90"/>
      <c r="BA701" s="90"/>
      <c r="BB701" s="90"/>
      <c r="BC701" s="90"/>
      <c r="BD701" s="90"/>
      <c r="BE701" s="90"/>
      <c r="BF701" s="90"/>
    </row>
    <row r="702" spans="1:58" x14ac:dyDescent="0.2">
      <c r="A702" s="62"/>
      <c r="B702" s="62"/>
      <c r="C702" s="62"/>
      <c r="D702" s="62"/>
      <c r="E702" s="345"/>
      <c r="F702" s="345"/>
      <c r="G702" s="113"/>
      <c r="H702" s="113"/>
      <c r="I702" s="114"/>
      <c r="J702" s="114"/>
      <c r="K702" s="114"/>
      <c r="L702" s="81"/>
      <c r="M702" s="265" t="b">
        <f>NOT(ISERROR(ResultsInd[[#This Row],[Goal-A]]+ResultsInd[[#This Row],[Goal-B]]))</f>
        <v>1</v>
      </c>
      <c r="N702" s="265">
        <f>VALUE(ResultsInd[[#This Row],[Score-A]])</f>
        <v>0</v>
      </c>
      <c r="O702" s="265">
        <f>VALUE(ResultsInd[[#This Row],[Score-B]])</f>
        <v>0</v>
      </c>
      <c r="P702" s="265" t="str">
        <f ca="1">IF(AND(ResultsInd[[#This Row],[Category]]&lt;&gt;"",ResultsInd[[#This Row],[Player A]]&lt;&gt;""),COUNTIF(INDIRECT(ResultsInd[[#This Row],[Category]]&amp;"List[Retained Player Name]"),ResultsInd[[#This Row],[Player A]]),"")</f>
        <v/>
      </c>
      <c r="Q702" s="265" t="str">
        <f ca="1">IF(AND(ResultsInd[[#This Row],[Category]]&lt;&gt;"",ResultsInd[[#This Row],[Player B]]&lt;&gt;""),COUNTIF(INDIRECT(ResultsInd[[#This Row],[Category]]&amp;"List[Retained Player Name]"),ResultsInd[[#This Row],[Player B]]),"")</f>
        <v/>
      </c>
      <c r="R7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2" s="265" t="str">
        <f>IF(ResultsInd[[#This Row],[Score_OK]],IF(ResultsInd[[#This Row],[Stage]]="Groups",ResultsInd[[#This Row],[Category]]&amp;"-"&amp;IF(ResultsInd[[#This Row],[Player B]]="","",IF(ResultsInd[[#This Row],[Score-A]]=ResultsInd[[#This Row],[Score-B]],ResultsInd[[#This Row],[Player A]],"")),""),"")</f>
        <v/>
      </c>
      <c r="T702" s="265" t="str">
        <f>IF(ResultsInd[[#This Row],[Score_OK]],IF(ResultsInd[[#This Row],[Stage]]="Groups",ResultsInd[[#This Row],[Category]]&amp;"-"&amp;IF(ResultsInd[[#This Row],[Player B]]="","",IF(ResultsInd[[#This Row],[Score-A]]=ResultsInd[[#This Row],[Score-B]],ResultsInd[[#This Row],[Player B]],"")),""),"")</f>
        <v/>
      </c>
      <c r="U7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2" s="264" t="str">
        <f>IF(ResultsInd[[#This Row],[Category]]="","",VLOOKUP(ResultsInd[[#This Row],[Stage]],$P$1:$V$9,MATCH(ResultsInd[[#This Row],[Category]],$Q$1:$V$1,0)+1,FALSE))</f>
        <v/>
      </c>
      <c r="Z702" s="264" t="str">
        <f>IF(ResultsInd[[#This Row],[Score_OK]],IF(ResultsInd[[#This Row],[Level]]="R",ResultsInd[[#This Row],[Category]]&amp;"-"&amp;IF(ResultsInd[[#This Row],[LoseInKO]]=ResultsInd[[#This Row],[Category]]&amp;"-"&amp;ResultsInd[[#This Row],[Player A]],ResultsInd[[#This Row],[Player B]],ResultsInd[[#This Row],[Player A]]),""),"")</f>
        <v/>
      </c>
      <c r="AB702" s="8"/>
      <c r="AC702" s="8"/>
      <c r="AE702" s="90"/>
      <c r="AF702" s="90"/>
      <c r="AP702" s="8"/>
      <c r="AQ702" s="8"/>
      <c r="AR702" s="8"/>
      <c r="AS702" s="8"/>
      <c r="AT702" s="8"/>
      <c r="AU702" s="8"/>
      <c r="AV702" s="8"/>
      <c r="AW702" s="8"/>
      <c r="AX702" s="8"/>
      <c r="AY702" s="90"/>
      <c r="AZ702" s="90"/>
      <c r="BA702" s="90"/>
      <c r="BB702" s="90"/>
      <c r="BC702" s="90"/>
      <c r="BD702" s="90"/>
      <c r="BE702" s="90"/>
      <c r="BF702" s="90"/>
    </row>
    <row r="703" spans="1:58" x14ac:dyDescent="0.2">
      <c r="A703" s="62"/>
      <c r="B703" s="62"/>
      <c r="C703" s="62"/>
      <c r="D703" s="62"/>
      <c r="E703" s="345"/>
      <c r="F703" s="345"/>
      <c r="G703" s="113"/>
      <c r="H703" s="113"/>
      <c r="I703" s="114"/>
      <c r="J703" s="114"/>
      <c r="K703" s="114"/>
      <c r="L703" s="81"/>
      <c r="M703" s="265" t="b">
        <f>NOT(ISERROR(ResultsInd[[#This Row],[Goal-A]]+ResultsInd[[#This Row],[Goal-B]]))</f>
        <v>1</v>
      </c>
      <c r="N703" s="265">
        <f>VALUE(ResultsInd[[#This Row],[Score-A]])</f>
        <v>0</v>
      </c>
      <c r="O703" s="265">
        <f>VALUE(ResultsInd[[#This Row],[Score-B]])</f>
        <v>0</v>
      </c>
      <c r="P703" s="265" t="str">
        <f ca="1">IF(AND(ResultsInd[[#This Row],[Category]]&lt;&gt;"",ResultsInd[[#This Row],[Player A]]&lt;&gt;""),COUNTIF(INDIRECT(ResultsInd[[#This Row],[Category]]&amp;"List[Retained Player Name]"),ResultsInd[[#This Row],[Player A]]),"")</f>
        <v/>
      </c>
      <c r="Q703" s="265" t="str">
        <f ca="1">IF(AND(ResultsInd[[#This Row],[Category]]&lt;&gt;"",ResultsInd[[#This Row],[Player B]]&lt;&gt;""),COUNTIF(INDIRECT(ResultsInd[[#This Row],[Category]]&amp;"List[Retained Player Name]"),ResultsInd[[#This Row],[Player B]]),"")</f>
        <v/>
      </c>
      <c r="R7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3" s="265" t="str">
        <f>IF(ResultsInd[[#This Row],[Score_OK]],IF(ResultsInd[[#This Row],[Stage]]="Groups",ResultsInd[[#This Row],[Category]]&amp;"-"&amp;IF(ResultsInd[[#This Row],[Player B]]="","",IF(ResultsInd[[#This Row],[Score-A]]=ResultsInd[[#This Row],[Score-B]],ResultsInd[[#This Row],[Player A]],"")),""),"")</f>
        <v/>
      </c>
      <c r="T703" s="265" t="str">
        <f>IF(ResultsInd[[#This Row],[Score_OK]],IF(ResultsInd[[#This Row],[Stage]]="Groups",ResultsInd[[#This Row],[Category]]&amp;"-"&amp;IF(ResultsInd[[#This Row],[Player B]]="","",IF(ResultsInd[[#This Row],[Score-A]]=ResultsInd[[#This Row],[Score-B]],ResultsInd[[#This Row],[Player B]],"")),""),"")</f>
        <v/>
      </c>
      <c r="U7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3" s="264" t="str">
        <f>IF(ResultsInd[[#This Row],[Category]]="","",VLOOKUP(ResultsInd[[#This Row],[Stage]],$P$1:$V$9,MATCH(ResultsInd[[#This Row],[Category]],$Q$1:$V$1,0)+1,FALSE))</f>
        <v/>
      </c>
      <c r="Z703" s="264" t="str">
        <f>IF(ResultsInd[[#This Row],[Score_OK]],IF(ResultsInd[[#This Row],[Level]]="R",ResultsInd[[#This Row],[Category]]&amp;"-"&amp;IF(ResultsInd[[#This Row],[LoseInKO]]=ResultsInd[[#This Row],[Category]]&amp;"-"&amp;ResultsInd[[#This Row],[Player A]],ResultsInd[[#This Row],[Player B]],ResultsInd[[#This Row],[Player A]]),""),"")</f>
        <v/>
      </c>
      <c r="AB703" s="8"/>
      <c r="AC703" s="8"/>
      <c r="AE703" s="90"/>
      <c r="AF703" s="90"/>
      <c r="AP703" s="8"/>
      <c r="AQ703" s="8"/>
      <c r="AR703" s="8"/>
      <c r="AS703" s="8"/>
      <c r="AT703" s="8"/>
      <c r="AU703" s="8"/>
      <c r="AV703" s="8"/>
      <c r="AW703" s="8"/>
      <c r="AX703" s="8"/>
      <c r="AY703" s="90"/>
      <c r="AZ703" s="90"/>
      <c r="BA703" s="90"/>
      <c r="BB703" s="90"/>
      <c r="BC703" s="90"/>
      <c r="BD703" s="90"/>
      <c r="BE703" s="90"/>
      <c r="BF703" s="90"/>
    </row>
    <row r="704" spans="1:58" x14ac:dyDescent="0.2">
      <c r="A704" s="62"/>
      <c r="B704" s="62"/>
      <c r="C704" s="62"/>
      <c r="D704" s="62"/>
      <c r="E704" s="345"/>
      <c r="F704" s="345"/>
      <c r="G704" s="113"/>
      <c r="H704" s="113"/>
      <c r="I704" s="114"/>
      <c r="J704" s="114"/>
      <c r="K704" s="114"/>
      <c r="L704" s="81"/>
      <c r="M704" s="265" t="b">
        <f>NOT(ISERROR(ResultsInd[[#This Row],[Goal-A]]+ResultsInd[[#This Row],[Goal-B]]))</f>
        <v>1</v>
      </c>
      <c r="N704" s="265">
        <f>VALUE(ResultsInd[[#This Row],[Score-A]])</f>
        <v>0</v>
      </c>
      <c r="O704" s="265">
        <f>VALUE(ResultsInd[[#This Row],[Score-B]])</f>
        <v>0</v>
      </c>
      <c r="P704" s="265" t="str">
        <f ca="1">IF(AND(ResultsInd[[#This Row],[Category]]&lt;&gt;"",ResultsInd[[#This Row],[Player A]]&lt;&gt;""),COUNTIF(INDIRECT(ResultsInd[[#This Row],[Category]]&amp;"List[Retained Player Name]"),ResultsInd[[#This Row],[Player A]]),"")</f>
        <v/>
      </c>
      <c r="Q704" s="265" t="str">
        <f ca="1">IF(AND(ResultsInd[[#This Row],[Category]]&lt;&gt;"",ResultsInd[[#This Row],[Player B]]&lt;&gt;""),COUNTIF(INDIRECT(ResultsInd[[#This Row],[Category]]&amp;"List[Retained Player Name]"),ResultsInd[[#This Row],[Player B]]),"")</f>
        <v/>
      </c>
      <c r="R7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4" s="265" t="str">
        <f>IF(ResultsInd[[#This Row],[Score_OK]],IF(ResultsInd[[#This Row],[Stage]]="Groups",ResultsInd[[#This Row],[Category]]&amp;"-"&amp;IF(ResultsInd[[#This Row],[Player B]]="","",IF(ResultsInd[[#This Row],[Score-A]]=ResultsInd[[#This Row],[Score-B]],ResultsInd[[#This Row],[Player A]],"")),""),"")</f>
        <v/>
      </c>
      <c r="T704" s="265" t="str">
        <f>IF(ResultsInd[[#This Row],[Score_OK]],IF(ResultsInd[[#This Row],[Stage]]="Groups",ResultsInd[[#This Row],[Category]]&amp;"-"&amp;IF(ResultsInd[[#This Row],[Player B]]="","",IF(ResultsInd[[#This Row],[Score-A]]=ResultsInd[[#This Row],[Score-B]],ResultsInd[[#This Row],[Player B]],"")),""),"")</f>
        <v/>
      </c>
      <c r="U7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4" s="264" t="str">
        <f>IF(ResultsInd[[#This Row],[Category]]="","",VLOOKUP(ResultsInd[[#This Row],[Stage]],$P$1:$V$9,MATCH(ResultsInd[[#This Row],[Category]],$Q$1:$V$1,0)+1,FALSE))</f>
        <v/>
      </c>
      <c r="Z704" s="264" t="str">
        <f>IF(ResultsInd[[#This Row],[Score_OK]],IF(ResultsInd[[#This Row],[Level]]="R",ResultsInd[[#This Row],[Category]]&amp;"-"&amp;IF(ResultsInd[[#This Row],[LoseInKO]]=ResultsInd[[#This Row],[Category]]&amp;"-"&amp;ResultsInd[[#This Row],[Player A]],ResultsInd[[#This Row],[Player B]],ResultsInd[[#This Row],[Player A]]),""),"")</f>
        <v/>
      </c>
      <c r="AB704" s="8"/>
      <c r="AC704" s="8"/>
      <c r="AE704" s="90"/>
      <c r="AF704" s="90"/>
      <c r="AP704" s="8"/>
      <c r="AQ704" s="8"/>
      <c r="AR704" s="8"/>
      <c r="AS704" s="8"/>
      <c r="AT704" s="8"/>
      <c r="AU704" s="8"/>
      <c r="AV704" s="8"/>
      <c r="AW704" s="8"/>
      <c r="AX704" s="8"/>
      <c r="AY704" s="90"/>
      <c r="AZ704" s="90"/>
      <c r="BA704" s="90"/>
      <c r="BB704" s="90"/>
      <c r="BC704" s="90"/>
      <c r="BD704" s="90"/>
      <c r="BE704" s="90"/>
      <c r="BF704" s="90"/>
    </row>
    <row r="705" spans="1:58" x14ac:dyDescent="0.2">
      <c r="A705" s="62"/>
      <c r="B705" s="62"/>
      <c r="C705" s="62"/>
      <c r="D705" s="62"/>
      <c r="E705" s="345"/>
      <c r="F705" s="345"/>
      <c r="G705" s="113"/>
      <c r="H705" s="113"/>
      <c r="I705" s="114"/>
      <c r="J705" s="114"/>
      <c r="K705" s="114"/>
      <c r="L705" s="81"/>
      <c r="M705" s="265" t="b">
        <f>NOT(ISERROR(ResultsInd[[#This Row],[Goal-A]]+ResultsInd[[#This Row],[Goal-B]]))</f>
        <v>1</v>
      </c>
      <c r="N705" s="265">
        <f>VALUE(ResultsInd[[#This Row],[Score-A]])</f>
        <v>0</v>
      </c>
      <c r="O705" s="265">
        <f>VALUE(ResultsInd[[#This Row],[Score-B]])</f>
        <v>0</v>
      </c>
      <c r="P705" s="265" t="str">
        <f ca="1">IF(AND(ResultsInd[[#This Row],[Category]]&lt;&gt;"",ResultsInd[[#This Row],[Player A]]&lt;&gt;""),COUNTIF(INDIRECT(ResultsInd[[#This Row],[Category]]&amp;"List[Retained Player Name]"),ResultsInd[[#This Row],[Player A]]),"")</f>
        <v/>
      </c>
      <c r="Q705" s="265" t="str">
        <f ca="1">IF(AND(ResultsInd[[#This Row],[Category]]&lt;&gt;"",ResultsInd[[#This Row],[Player B]]&lt;&gt;""),COUNTIF(INDIRECT(ResultsInd[[#This Row],[Category]]&amp;"List[Retained Player Name]"),ResultsInd[[#This Row],[Player B]]),"")</f>
        <v/>
      </c>
      <c r="R7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5" s="265" t="str">
        <f>IF(ResultsInd[[#This Row],[Score_OK]],IF(ResultsInd[[#This Row],[Stage]]="Groups",ResultsInd[[#This Row],[Category]]&amp;"-"&amp;IF(ResultsInd[[#This Row],[Player B]]="","",IF(ResultsInd[[#This Row],[Score-A]]=ResultsInd[[#This Row],[Score-B]],ResultsInd[[#This Row],[Player A]],"")),""),"")</f>
        <v/>
      </c>
      <c r="T705" s="265" t="str">
        <f>IF(ResultsInd[[#This Row],[Score_OK]],IF(ResultsInd[[#This Row],[Stage]]="Groups",ResultsInd[[#This Row],[Category]]&amp;"-"&amp;IF(ResultsInd[[#This Row],[Player B]]="","",IF(ResultsInd[[#This Row],[Score-A]]=ResultsInd[[#This Row],[Score-B]],ResultsInd[[#This Row],[Player B]],"")),""),"")</f>
        <v/>
      </c>
      <c r="U7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5" s="264" t="str">
        <f>IF(ResultsInd[[#This Row],[Category]]="","",VLOOKUP(ResultsInd[[#This Row],[Stage]],$P$1:$V$9,MATCH(ResultsInd[[#This Row],[Category]],$Q$1:$V$1,0)+1,FALSE))</f>
        <v/>
      </c>
      <c r="Z705" s="264" t="str">
        <f>IF(ResultsInd[[#This Row],[Score_OK]],IF(ResultsInd[[#This Row],[Level]]="R",ResultsInd[[#This Row],[Category]]&amp;"-"&amp;IF(ResultsInd[[#This Row],[LoseInKO]]=ResultsInd[[#This Row],[Category]]&amp;"-"&amp;ResultsInd[[#This Row],[Player A]],ResultsInd[[#This Row],[Player B]],ResultsInd[[#This Row],[Player A]]),""),"")</f>
        <v/>
      </c>
      <c r="AB705" s="8"/>
      <c r="AC705" s="8"/>
      <c r="AE705" s="90"/>
      <c r="AF705" s="90"/>
      <c r="AP705" s="8"/>
      <c r="AQ705" s="8"/>
      <c r="AR705" s="8"/>
      <c r="AS705" s="8"/>
      <c r="AT705" s="8"/>
      <c r="AU705" s="8"/>
      <c r="AV705" s="8"/>
      <c r="AW705" s="8"/>
      <c r="AX705" s="8"/>
      <c r="AY705" s="90"/>
      <c r="AZ705" s="90"/>
      <c r="BA705" s="90"/>
      <c r="BB705" s="90"/>
      <c r="BC705" s="90"/>
      <c r="BD705" s="90"/>
      <c r="BE705" s="90"/>
      <c r="BF705" s="90"/>
    </row>
    <row r="706" spans="1:58" x14ac:dyDescent="0.2">
      <c r="A706" s="62"/>
      <c r="B706" s="62"/>
      <c r="C706" s="62"/>
      <c r="D706" s="62"/>
      <c r="E706" s="345"/>
      <c r="F706" s="345"/>
      <c r="G706" s="113"/>
      <c r="H706" s="113"/>
      <c r="I706" s="114"/>
      <c r="J706" s="114"/>
      <c r="K706" s="114"/>
      <c r="L706" s="81"/>
      <c r="M706" s="265" t="b">
        <f>NOT(ISERROR(ResultsInd[[#This Row],[Goal-A]]+ResultsInd[[#This Row],[Goal-B]]))</f>
        <v>1</v>
      </c>
      <c r="N706" s="265">
        <f>VALUE(ResultsInd[[#This Row],[Score-A]])</f>
        <v>0</v>
      </c>
      <c r="O706" s="265">
        <f>VALUE(ResultsInd[[#This Row],[Score-B]])</f>
        <v>0</v>
      </c>
      <c r="P706" s="265" t="str">
        <f ca="1">IF(AND(ResultsInd[[#This Row],[Category]]&lt;&gt;"",ResultsInd[[#This Row],[Player A]]&lt;&gt;""),COUNTIF(INDIRECT(ResultsInd[[#This Row],[Category]]&amp;"List[Retained Player Name]"),ResultsInd[[#This Row],[Player A]]),"")</f>
        <v/>
      </c>
      <c r="Q706" s="265" t="str">
        <f ca="1">IF(AND(ResultsInd[[#This Row],[Category]]&lt;&gt;"",ResultsInd[[#This Row],[Player B]]&lt;&gt;""),COUNTIF(INDIRECT(ResultsInd[[#This Row],[Category]]&amp;"List[Retained Player Name]"),ResultsInd[[#This Row],[Player B]]),"")</f>
        <v/>
      </c>
      <c r="R7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6" s="265" t="str">
        <f>IF(ResultsInd[[#This Row],[Score_OK]],IF(ResultsInd[[#This Row],[Stage]]="Groups",ResultsInd[[#This Row],[Category]]&amp;"-"&amp;IF(ResultsInd[[#This Row],[Player B]]="","",IF(ResultsInd[[#This Row],[Score-A]]=ResultsInd[[#This Row],[Score-B]],ResultsInd[[#This Row],[Player A]],"")),""),"")</f>
        <v/>
      </c>
      <c r="T706" s="265" t="str">
        <f>IF(ResultsInd[[#This Row],[Score_OK]],IF(ResultsInd[[#This Row],[Stage]]="Groups",ResultsInd[[#This Row],[Category]]&amp;"-"&amp;IF(ResultsInd[[#This Row],[Player B]]="","",IF(ResultsInd[[#This Row],[Score-A]]=ResultsInd[[#This Row],[Score-B]],ResultsInd[[#This Row],[Player B]],"")),""),"")</f>
        <v/>
      </c>
      <c r="U7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6" s="264" t="str">
        <f>IF(ResultsInd[[#This Row],[Category]]="","",VLOOKUP(ResultsInd[[#This Row],[Stage]],$P$1:$V$9,MATCH(ResultsInd[[#This Row],[Category]],$Q$1:$V$1,0)+1,FALSE))</f>
        <v/>
      </c>
      <c r="Z706" s="264" t="str">
        <f>IF(ResultsInd[[#This Row],[Score_OK]],IF(ResultsInd[[#This Row],[Level]]="R",ResultsInd[[#This Row],[Category]]&amp;"-"&amp;IF(ResultsInd[[#This Row],[LoseInKO]]=ResultsInd[[#This Row],[Category]]&amp;"-"&amp;ResultsInd[[#This Row],[Player A]],ResultsInd[[#This Row],[Player B]],ResultsInd[[#This Row],[Player A]]),""),"")</f>
        <v/>
      </c>
      <c r="AB706" s="8"/>
      <c r="AC706" s="8"/>
      <c r="AE706" s="90"/>
      <c r="AF706" s="90"/>
      <c r="AP706" s="8"/>
      <c r="AQ706" s="8"/>
      <c r="AR706" s="8"/>
      <c r="AS706" s="8"/>
      <c r="AT706" s="8"/>
      <c r="AU706" s="8"/>
      <c r="AV706" s="8"/>
      <c r="AW706" s="8"/>
      <c r="AX706" s="8"/>
      <c r="AY706" s="90"/>
      <c r="AZ706" s="90"/>
      <c r="BA706" s="90"/>
      <c r="BB706" s="90"/>
      <c r="BC706" s="90"/>
      <c r="BD706" s="90"/>
      <c r="BE706" s="90"/>
      <c r="BF706" s="90"/>
    </row>
    <row r="707" spans="1:58" x14ac:dyDescent="0.2">
      <c r="A707" s="62"/>
      <c r="B707" s="62"/>
      <c r="C707" s="62"/>
      <c r="D707" s="62"/>
      <c r="E707" s="345"/>
      <c r="F707" s="345"/>
      <c r="G707" s="113"/>
      <c r="H707" s="113"/>
      <c r="I707" s="114"/>
      <c r="J707" s="114"/>
      <c r="K707" s="114"/>
      <c r="L707" s="81"/>
      <c r="M707" s="265" t="b">
        <f>NOT(ISERROR(ResultsInd[[#This Row],[Goal-A]]+ResultsInd[[#This Row],[Goal-B]]))</f>
        <v>1</v>
      </c>
      <c r="N707" s="265">
        <f>VALUE(ResultsInd[[#This Row],[Score-A]])</f>
        <v>0</v>
      </c>
      <c r="O707" s="265">
        <f>VALUE(ResultsInd[[#This Row],[Score-B]])</f>
        <v>0</v>
      </c>
      <c r="P707" s="265" t="str">
        <f ca="1">IF(AND(ResultsInd[[#This Row],[Category]]&lt;&gt;"",ResultsInd[[#This Row],[Player A]]&lt;&gt;""),COUNTIF(INDIRECT(ResultsInd[[#This Row],[Category]]&amp;"List[Retained Player Name]"),ResultsInd[[#This Row],[Player A]]),"")</f>
        <v/>
      </c>
      <c r="Q707" s="265" t="str">
        <f ca="1">IF(AND(ResultsInd[[#This Row],[Category]]&lt;&gt;"",ResultsInd[[#This Row],[Player B]]&lt;&gt;""),COUNTIF(INDIRECT(ResultsInd[[#This Row],[Category]]&amp;"List[Retained Player Name]"),ResultsInd[[#This Row],[Player B]]),"")</f>
        <v/>
      </c>
      <c r="R7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7" s="265" t="str">
        <f>IF(ResultsInd[[#This Row],[Score_OK]],IF(ResultsInd[[#This Row],[Stage]]="Groups",ResultsInd[[#This Row],[Category]]&amp;"-"&amp;IF(ResultsInd[[#This Row],[Player B]]="","",IF(ResultsInd[[#This Row],[Score-A]]=ResultsInd[[#This Row],[Score-B]],ResultsInd[[#This Row],[Player A]],"")),""),"")</f>
        <v/>
      </c>
      <c r="T707" s="265" t="str">
        <f>IF(ResultsInd[[#This Row],[Score_OK]],IF(ResultsInd[[#This Row],[Stage]]="Groups",ResultsInd[[#This Row],[Category]]&amp;"-"&amp;IF(ResultsInd[[#This Row],[Player B]]="","",IF(ResultsInd[[#This Row],[Score-A]]=ResultsInd[[#This Row],[Score-B]],ResultsInd[[#This Row],[Player B]],"")),""),"")</f>
        <v/>
      </c>
      <c r="U7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7" s="264" t="str">
        <f>IF(ResultsInd[[#This Row],[Category]]="","",VLOOKUP(ResultsInd[[#This Row],[Stage]],$P$1:$V$9,MATCH(ResultsInd[[#This Row],[Category]],$Q$1:$V$1,0)+1,FALSE))</f>
        <v/>
      </c>
      <c r="Z707" s="264" t="str">
        <f>IF(ResultsInd[[#This Row],[Score_OK]],IF(ResultsInd[[#This Row],[Level]]="R",ResultsInd[[#This Row],[Category]]&amp;"-"&amp;IF(ResultsInd[[#This Row],[LoseInKO]]=ResultsInd[[#This Row],[Category]]&amp;"-"&amp;ResultsInd[[#This Row],[Player A]],ResultsInd[[#This Row],[Player B]],ResultsInd[[#This Row],[Player A]]),""),"")</f>
        <v/>
      </c>
      <c r="AB707" s="8"/>
      <c r="AC707" s="8"/>
      <c r="AE707" s="90"/>
      <c r="AF707" s="90"/>
      <c r="AP707" s="8"/>
      <c r="AQ707" s="8"/>
      <c r="AR707" s="8"/>
      <c r="AS707" s="8"/>
      <c r="AT707" s="8"/>
      <c r="AU707" s="8"/>
      <c r="AV707" s="8"/>
      <c r="AW707" s="8"/>
      <c r="AX707" s="8"/>
      <c r="AY707" s="90"/>
      <c r="AZ707" s="90"/>
      <c r="BA707" s="90"/>
      <c r="BB707" s="90"/>
      <c r="BC707" s="90"/>
      <c r="BD707" s="90"/>
      <c r="BE707" s="90"/>
      <c r="BF707" s="90"/>
    </row>
    <row r="708" spans="1:58" x14ac:dyDescent="0.2">
      <c r="A708" s="62"/>
      <c r="B708" s="62"/>
      <c r="C708" s="62"/>
      <c r="D708" s="62"/>
      <c r="E708" s="345"/>
      <c r="F708" s="345"/>
      <c r="G708" s="113"/>
      <c r="H708" s="113"/>
      <c r="I708" s="114"/>
      <c r="J708" s="114"/>
      <c r="K708" s="114"/>
      <c r="L708" s="81"/>
      <c r="M708" s="265" t="b">
        <f>NOT(ISERROR(ResultsInd[[#This Row],[Goal-A]]+ResultsInd[[#This Row],[Goal-B]]))</f>
        <v>1</v>
      </c>
      <c r="N708" s="265">
        <f>VALUE(ResultsInd[[#This Row],[Score-A]])</f>
        <v>0</v>
      </c>
      <c r="O708" s="265">
        <f>VALUE(ResultsInd[[#This Row],[Score-B]])</f>
        <v>0</v>
      </c>
      <c r="P708" s="265" t="str">
        <f ca="1">IF(AND(ResultsInd[[#This Row],[Category]]&lt;&gt;"",ResultsInd[[#This Row],[Player A]]&lt;&gt;""),COUNTIF(INDIRECT(ResultsInd[[#This Row],[Category]]&amp;"List[Retained Player Name]"),ResultsInd[[#This Row],[Player A]]),"")</f>
        <v/>
      </c>
      <c r="Q708" s="265" t="str">
        <f ca="1">IF(AND(ResultsInd[[#This Row],[Category]]&lt;&gt;"",ResultsInd[[#This Row],[Player B]]&lt;&gt;""),COUNTIF(INDIRECT(ResultsInd[[#This Row],[Category]]&amp;"List[Retained Player Name]"),ResultsInd[[#This Row],[Player B]]),"")</f>
        <v/>
      </c>
      <c r="R7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8" s="265" t="str">
        <f>IF(ResultsInd[[#This Row],[Score_OK]],IF(ResultsInd[[#This Row],[Stage]]="Groups",ResultsInd[[#This Row],[Category]]&amp;"-"&amp;IF(ResultsInd[[#This Row],[Player B]]="","",IF(ResultsInd[[#This Row],[Score-A]]=ResultsInd[[#This Row],[Score-B]],ResultsInd[[#This Row],[Player A]],"")),""),"")</f>
        <v/>
      </c>
      <c r="T708" s="265" t="str">
        <f>IF(ResultsInd[[#This Row],[Score_OK]],IF(ResultsInd[[#This Row],[Stage]]="Groups",ResultsInd[[#This Row],[Category]]&amp;"-"&amp;IF(ResultsInd[[#This Row],[Player B]]="","",IF(ResultsInd[[#This Row],[Score-A]]=ResultsInd[[#This Row],[Score-B]],ResultsInd[[#This Row],[Player B]],"")),""),"")</f>
        <v/>
      </c>
      <c r="U7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8" s="264" t="str">
        <f>IF(ResultsInd[[#This Row],[Category]]="","",VLOOKUP(ResultsInd[[#This Row],[Stage]],$P$1:$V$9,MATCH(ResultsInd[[#This Row],[Category]],$Q$1:$V$1,0)+1,FALSE))</f>
        <v/>
      </c>
      <c r="Z708" s="264" t="str">
        <f>IF(ResultsInd[[#This Row],[Score_OK]],IF(ResultsInd[[#This Row],[Level]]="R",ResultsInd[[#This Row],[Category]]&amp;"-"&amp;IF(ResultsInd[[#This Row],[LoseInKO]]=ResultsInd[[#This Row],[Category]]&amp;"-"&amp;ResultsInd[[#This Row],[Player A]],ResultsInd[[#This Row],[Player B]],ResultsInd[[#This Row],[Player A]]),""),"")</f>
        <v/>
      </c>
      <c r="AB708" s="8"/>
      <c r="AC708" s="8"/>
      <c r="AE708" s="90"/>
      <c r="AF708" s="90"/>
      <c r="AP708" s="8"/>
      <c r="AQ708" s="8"/>
      <c r="AR708" s="8"/>
      <c r="AS708" s="8"/>
      <c r="AT708" s="8"/>
      <c r="AU708" s="8"/>
      <c r="AV708" s="8"/>
      <c r="AW708" s="8"/>
      <c r="AX708" s="8"/>
      <c r="AY708" s="90"/>
      <c r="AZ708" s="90"/>
      <c r="BA708" s="90"/>
      <c r="BB708" s="90"/>
      <c r="BC708" s="90"/>
      <c r="BD708" s="90"/>
      <c r="BE708" s="90"/>
      <c r="BF708" s="90"/>
    </row>
    <row r="709" spans="1:58" x14ac:dyDescent="0.2">
      <c r="A709" s="62"/>
      <c r="B709" s="62"/>
      <c r="C709" s="62"/>
      <c r="D709" s="62"/>
      <c r="E709" s="345"/>
      <c r="F709" s="345"/>
      <c r="G709" s="113"/>
      <c r="H709" s="113"/>
      <c r="I709" s="114"/>
      <c r="J709" s="114"/>
      <c r="K709" s="114"/>
      <c r="L709" s="81"/>
      <c r="M709" s="265" t="b">
        <f>NOT(ISERROR(ResultsInd[[#This Row],[Goal-A]]+ResultsInd[[#This Row],[Goal-B]]))</f>
        <v>1</v>
      </c>
      <c r="N709" s="265">
        <f>VALUE(ResultsInd[[#This Row],[Score-A]])</f>
        <v>0</v>
      </c>
      <c r="O709" s="265">
        <f>VALUE(ResultsInd[[#This Row],[Score-B]])</f>
        <v>0</v>
      </c>
      <c r="P709" s="265" t="str">
        <f ca="1">IF(AND(ResultsInd[[#This Row],[Category]]&lt;&gt;"",ResultsInd[[#This Row],[Player A]]&lt;&gt;""),COUNTIF(INDIRECT(ResultsInd[[#This Row],[Category]]&amp;"List[Retained Player Name]"),ResultsInd[[#This Row],[Player A]]),"")</f>
        <v/>
      </c>
      <c r="Q709" s="265" t="str">
        <f ca="1">IF(AND(ResultsInd[[#This Row],[Category]]&lt;&gt;"",ResultsInd[[#This Row],[Player B]]&lt;&gt;""),COUNTIF(INDIRECT(ResultsInd[[#This Row],[Category]]&amp;"List[Retained Player Name]"),ResultsInd[[#This Row],[Player B]]),"")</f>
        <v/>
      </c>
      <c r="R7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9" s="265" t="str">
        <f>IF(ResultsInd[[#This Row],[Score_OK]],IF(ResultsInd[[#This Row],[Stage]]="Groups",ResultsInd[[#This Row],[Category]]&amp;"-"&amp;IF(ResultsInd[[#This Row],[Player B]]="","",IF(ResultsInd[[#This Row],[Score-A]]=ResultsInd[[#This Row],[Score-B]],ResultsInd[[#This Row],[Player A]],"")),""),"")</f>
        <v/>
      </c>
      <c r="T709" s="265" t="str">
        <f>IF(ResultsInd[[#This Row],[Score_OK]],IF(ResultsInd[[#This Row],[Stage]]="Groups",ResultsInd[[#This Row],[Category]]&amp;"-"&amp;IF(ResultsInd[[#This Row],[Player B]]="","",IF(ResultsInd[[#This Row],[Score-A]]=ResultsInd[[#This Row],[Score-B]],ResultsInd[[#This Row],[Player B]],"")),""),"")</f>
        <v/>
      </c>
      <c r="U7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9" s="264" t="str">
        <f>IF(ResultsInd[[#This Row],[Category]]="","",VLOOKUP(ResultsInd[[#This Row],[Stage]],$P$1:$V$9,MATCH(ResultsInd[[#This Row],[Category]],$Q$1:$V$1,0)+1,FALSE))</f>
        <v/>
      </c>
      <c r="Z709" s="264" t="str">
        <f>IF(ResultsInd[[#This Row],[Score_OK]],IF(ResultsInd[[#This Row],[Level]]="R",ResultsInd[[#This Row],[Category]]&amp;"-"&amp;IF(ResultsInd[[#This Row],[LoseInKO]]=ResultsInd[[#This Row],[Category]]&amp;"-"&amp;ResultsInd[[#This Row],[Player A]],ResultsInd[[#This Row],[Player B]],ResultsInd[[#This Row],[Player A]]),""),"")</f>
        <v/>
      </c>
      <c r="AB709" s="8"/>
      <c r="AC709" s="8"/>
      <c r="AE709" s="90"/>
      <c r="AF709" s="90"/>
      <c r="AP709" s="8"/>
      <c r="AQ709" s="8"/>
      <c r="AR709" s="8"/>
      <c r="AS709" s="8"/>
      <c r="AT709" s="8"/>
      <c r="AU709" s="8"/>
      <c r="AV709" s="8"/>
      <c r="AW709" s="8"/>
      <c r="AX709" s="8"/>
      <c r="AY709" s="90"/>
      <c r="AZ709" s="90"/>
      <c r="BA709" s="90"/>
      <c r="BB709" s="90"/>
      <c r="BC709" s="90"/>
      <c r="BD709" s="90"/>
      <c r="BE709" s="90"/>
      <c r="BF709" s="90"/>
    </row>
    <row r="710" spans="1:58" x14ac:dyDescent="0.2">
      <c r="A710" s="62"/>
      <c r="B710" s="62"/>
      <c r="C710" s="62"/>
      <c r="D710" s="62"/>
      <c r="E710" s="345"/>
      <c r="F710" s="345"/>
      <c r="G710" s="113"/>
      <c r="H710" s="113"/>
      <c r="I710" s="114"/>
      <c r="J710" s="114"/>
      <c r="K710" s="114"/>
      <c r="L710" s="81"/>
      <c r="M710" s="265" t="b">
        <f>NOT(ISERROR(ResultsInd[[#This Row],[Goal-A]]+ResultsInd[[#This Row],[Goal-B]]))</f>
        <v>1</v>
      </c>
      <c r="N710" s="265">
        <f>VALUE(ResultsInd[[#This Row],[Score-A]])</f>
        <v>0</v>
      </c>
      <c r="O710" s="265">
        <f>VALUE(ResultsInd[[#This Row],[Score-B]])</f>
        <v>0</v>
      </c>
      <c r="P710" s="265" t="str">
        <f ca="1">IF(AND(ResultsInd[[#This Row],[Category]]&lt;&gt;"",ResultsInd[[#This Row],[Player A]]&lt;&gt;""),COUNTIF(INDIRECT(ResultsInd[[#This Row],[Category]]&amp;"List[Retained Player Name]"),ResultsInd[[#This Row],[Player A]]),"")</f>
        <v/>
      </c>
      <c r="Q710" s="265" t="str">
        <f ca="1">IF(AND(ResultsInd[[#This Row],[Category]]&lt;&gt;"",ResultsInd[[#This Row],[Player B]]&lt;&gt;""),COUNTIF(INDIRECT(ResultsInd[[#This Row],[Category]]&amp;"List[Retained Player Name]"),ResultsInd[[#This Row],[Player B]]),"")</f>
        <v/>
      </c>
      <c r="R7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0" s="265" t="str">
        <f>IF(ResultsInd[[#This Row],[Score_OK]],IF(ResultsInd[[#This Row],[Stage]]="Groups",ResultsInd[[#This Row],[Category]]&amp;"-"&amp;IF(ResultsInd[[#This Row],[Player B]]="","",IF(ResultsInd[[#This Row],[Score-A]]=ResultsInd[[#This Row],[Score-B]],ResultsInd[[#This Row],[Player A]],"")),""),"")</f>
        <v/>
      </c>
      <c r="T710" s="265" t="str">
        <f>IF(ResultsInd[[#This Row],[Score_OK]],IF(ResultsInd[[#This Row],[Stage]]="Groups",ResultsInd[[#This Row],[Category]]&amp;"-"&amp;IF(ResultsInd[[#This Row],[Player B]]="","",IF(ResultsInd[[#This Row],[Score-A]]=ResultsInd[[#This Row],[Score-B]],ResultsInd[[#This Row],[Player B]],"")),""),"")</f>
        <v/>
      </c>
      <c r="U7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0" s="264" t="str">
        <f>IF(ResultsInd[[#This Row],[Category]]="","",VLOOKUP(ResultsInd[[#This Row],[Stage]],$P$1:$V$9,MATCH(ResultsInd[[#This Row],[Category]],$Q$1:$V$1,0)+1,FALSE))</f>
        <v/>
      </c>
      <c r="Z710" s="264" t="str">
        <f>IF(ResultsInd[[#This Row],[Score_OK]],IF(ResultsInd[[#This Row],[Level]]="R",ResultsInd[[#This Row],[Category]]&amp;"-"&amp;IF(ResultsInd[[#This Row],[LoseInKO]]=ResultsInd[[#This Row],[Category]]&amp;"-"&amp;ResultsInd[[#This Row],[Player A]],ResultsInd[[#This Row],[Player B]],ResultsInd[[#This Row],[Player A]]),""),"")</f>
        <v/>
      </c>
      <c r="AB710" s="8"/>
      <c r="AC710" s="8"/>
      <c r="AE710" s="90"/>
      <c r="AF710" s="90"/>
      <c r="AP710" s="8"/>
      <c r="AQ710" s="8"/>
      <c r="AR710" s="8"/>
      <c r="AS710" s="8"/>
      <c r="AT710" s="8"/>
      <c r="AU710" s="8"/>
      <c r="AV710" s="8"/>
      <c r="AW710" s="8"/>
      <c r="AX710" s="8"/>
      <c r="AY710" s="90"/>
      <c r="AZ710" s="90"/>
      <c r="BA710" s="90"/>
      <c r="BB710" s="90"/>
      <c r="BC710" s="90"/>
      <c r="BD710" s="90"/>
      <c r="BE710" s="90"/>
      <c r="BF710" s="90"/>
    </row>
    <row r="711" spans="1:58" x14ac:dyDescent="0.2">
      <c r="A711" s="62"/>
      <c r="B711" s="62"/>
      <c r="C711" s="62"/>
      <c r="D711" s="62"/>
      <c r="E711" s="345"/>
      <c r="F711" s="345"/>
      <c r="G711" s="113"/>
      <c r="H711" s="113"/>
      <c r="I711" s="114"/>
      <c r="J711" s="114"/>
      <c r="K711" s="114"/>
      <c r="L711" s="81"/>
      <c r="M711" s="265" t="b">
        <f>NOT(ISERROR(ResultsInd[[#This Row],[Goal-A]]+ResultsInd[[#This Row],[Goal-B]]))</f>
        <v>1</v>
      </c>
      <c r="N711" s="265">
        <f>VALUE(ResultsInd[[#This Row],[Score-A]])</f>
        <v>0</v>
      </c>
      <c r="O711" s="265">
        <f>VALUE(ResultsInd[[#This Row],[Score-B]])</f>
        <v>0</v>
      </c>
      <c r="P711" s="265" t="str">
        <f ca="1">IF(AND(ResultsInd[[#This Row],[Category]]&lt;&gt;"",ResultsInd[[#This Row],[Player A]]&lt;&gt;""),COUNTIF(INDIRECT(ResultsInd[[#This Row],[Category]]&amp;"List[Retained Player Name]"),ResultsInd[[#This Row],[Player A]]),"")</f>
        <v/>
      </c>
      <c r="Q711" s="265" t="str">
        <f ca="1">IF(AND(ResultsInd[[#This Row],[Category]]&lt;&gt;"",ResultsInd[[#This Row],[Player B]]&lt;&gt;""),COUNTIF(INDIRECT(ResultsInd[[#This Row],[Category]]&amp;"List[Retained Player Name]"),ResultsInd[[#This Row],[Player B]]),"")</f>
        <v/>
      </c>
      <c r="R7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1" s="265" t="str">
        <f>IF(ResultsInd[[#This Row],[Score_OK]],IF(ResultsInd[[#This Row],[Stage]]="Groups",ResultsInd[[#This Row],[Category]]&amp;"-"&amp;IF(ResultsInd[[#This Row],[Player B]]="","",IF(ResultsInd[[#This Row],[Score-A]]=ResultsInd[[#This Row],[Score-B]],ResultsInd[[#This Row],[Player A]],"")),""),"")</f>
        <v/>
      </c>
      <c r="T711" s="265" t="str">
        <f>IF(ResultsInd[[#This Row],[Score_OK]],IF(ResultsInd[[#This Row],[Stage]]="Groups",ResultsInd[[#This Row],[Category]]&amp;"-"&amp;IF(ResultsInd[[#This Row],[Player B]]="","",IF(ResultsInd[[#This Row],[Score-A]]=ResultsInd[[#This Row],[Score-B]],ResultsInd[[#This Row],[Player B]],"")),""),"")</f>
        <v/>
      </c>
      <c r="U7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1" s="264" t="str">
        <f>IF(ResultsInd[[#This Row],[Category]]="","",VLOOKUP(ResultsInd[[#This Row],[Stage]],$P$1:$V$9,MATCH(ResultsInd[[#This Row],[Category]],$Q$1:$V$1,0)+1,FALSE))</f>
        <v/>
      </c>
      <c r="Z711" s="264" t="str">
        <f>IF(ResultsInd[[#This Row],[Score_OK]],IF(ResultsInd[[#This Row],[Level]]="R",ResultsInd[[#This Row],[Category]]&amp;"-"&amp;IF(ResultsInd[[#This Row],[LoseInKO]]=ResultsInd[[#This Row],[Category]]&amp;"-"&amp;ResultsInd[[#This Row],[Player A]],ResultsInd[[#This Row],[Player B]],ResultsInd[[#This Row],[Player A]]),""),"")</f>
        <v/>
      </c>
      <c r="AB711" s="8"/>
      <c r="AC711" s="8"/>
      <c r="AE711" s="90"/>
      <c r="AF711" s="90"/>
      <c r="AP711" s="8"/>
      <c r="AQ711" s="8"/>
      <c r="AR711" s="8"/>
      <c r="AS711" s="8"/>
      <c r="AT711" s="8"/>
      <c r="AU711" s="8"/>
      <c r="AV711" s="8"/>
      <c r="AW711" s="8"/>
      <c r="AX711" s="8"/>
      <c r="AY711" s="90"/>
      <c r="AZ711" s="90"/>
      <c r="BA711" s="90"/>
      <c r="BB711" s="90"/>
      <c r="BC711" s="90"/>
      <c r="BD711" s="90"/>
      <c r="BE711" s="90"/>
      <c r="BF711" s="90"/>
    </row>
    <row r="712" spans="1:58" x14ac:dyDescent="0.2">
      <c r="A712" s="62"/>
      <c r="B712" s="62"/>
      <c r="C712" s="62"/>
      <c r="D712" s="62"/>
      <c r="E712" s="345"/>
      <c r="F712" s="345"/>
      <c r="G712" s="113"/>
      <c r="H712" s="113"/>
      <c r="I712" s="114"/>
      <c r="J712" s="114"/>
      <c r="K712" s="114"/>
      <c r="L712" s="81"/>
      <c r="M712" s="265" t="b">
        <f>NOT(ISERROR(ResultsInd[[#This Row],[Goal-A]]+ResultsInd[[#This Row],[Goal-B]]))</f>
        <v>1</v>
      </c>
      <c r="N712" s="265">
        <f>VALUE(ResultsInd[[#This Row],[Score-A]])</f>
        <v>0</v>
      </c>
      <c r="O712" s="265">
        <f>VALUE(ResultsInd[[#This Row],[Score-B]])</f>
        <v>0</v>
      </c>
      <c r="P712" s="265" t="str">
        <f ca="1">IF(AND(ResultsInd[[#This Row],[Category]]&lt;&gt;"",ResultsInd[[#This Row],[Player A]]&lt;&gt;""),COUNTIF(INDIRECT(ResultsInd[[#This Row],[Category]]&amp;"List[Retained Player Name]"),ResultsInd[[#This Row],[Player A]]),"")</f>
        <v/>
      </c>
      <c r="Q712" s="265" t="str">
        <f ca="1">IF(AND(ResultsInd[[#This Row],[Category]]&lt;&gt;"",ResultsInd[[#This Row],[Player B]]&lt;&gt;""),COUNTIF(INDIRECT(ResultsInd[[#This Row],[Category]]&amp;"List[Retained Player Name]"),ResultsInd[[#This Row],[Player B]]),"")</f>
        <v/>
      </c>
      <c r="R7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2" s="265" t="str">
        <f>IF(ResultsInd[[#This Row],[Score_OK]],IF(ResultsInd[[#This Row],[Stage]]="Groups",ResultsInd[[#This Row],[Category]]&amp;"-"&amp;IF(ResultsInd[[#This Row],[Player B]]="","",IF(ResultsInd[[#This Row],[Score-A]]=ResultsInd[[#This Row],[Score-B]],ResultsInd[[#This Row],[Player A]],"")),""),"")</f>
        <v/>
      </c>
      <c r="T712" s="265" t="str">
        <f>IF(ResultsInd[[#This Row],[Score_OK]],IF(ResultsInd[[#This Row],[Stage]]="Groups",ResultsInd[[#This Row],[Category]]&amp;"-"&amp;IF(ResultsInd[[#This Row],[Player B]]="","",IF(ResultsInd[[#This Row],[Score-A]]=ResultsInd[[#This Row],[Score-B]],ResultsInd[[#This Row],[Player B]],"")),""),"")</f>
        <v/>
      </c>
      <c r="U7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2" s="264" t="str">
        <f>IF(ResultsInd[[#This Row],[Category]]="","",VLOOKUP(ResultsInd[[#This Row],[Stage]],$P$1:$V$9,MATCH(ResultsInd[[#This Row],[Category]],$Q$1:$V$1,0)+1,FALSE))</f>
        <v/>
      </c>
      <c r="Z712" s="264" t="str">
        <f>IF(ResultsInd[[#This Row],[Score_OK]],IF(ResultsInd[[#This Row],[Level]]="R",ResultsInd[[#This Row],[Category]]&amp;"-"&amp;IF(ResultsInd[[#This Row],[LoseInKO]]=ResultsInd[[#This Row],[Category]]&amp;"-"&amp;ResultsInd[[#This Row],[Player A]],ResultsInd[[#This Row],[Player B]],ResultsInd[[#This Row],[Player A]]),""),"")</f>
        <v/>
      </c>
      <c r="AB712" s="8"/>
      <c r="AC712" s="8"/>
      <c r="AE712" s="90"/>
      <c r="AF712" s="90"/>
      <c r="AP712" s="8"/>
      <c r="AQ712" s="8"/>
      <c r="AR712" s="8"/>
      <c r="AS712" s="8"/>
      <c r="AT712" s="8"/>
      <c r="AU712" s="8"/>
      <c r="AV712" s="8"/>
      <c r="AW712" s="8"/>
      <c r="AX712" s="8"/>
      <c r="AY712" s="90"/>
      <c r="AZ712" s="90"/>
      <c r="BA712" s="90"/>
      <c r="BB712" s="90"/>
      <c r="BC712" s="90"/>
      <c r="BD712" s="90"/>
      <c r="BE712" s="90"/>
      <c r="BF712" s="90"/>
    </row>
    <row r="713" spans="1:58" x14ac:dyDescent="0.2">
      <c r="A713" s="62"/>
      <c r="B713" s="62"/>
      <c r="C713" s="62"/>
      <c r="D713" s="62"/>
      <c r="E713" s="345"/>
      <c r="F713" s="345"/>
      <c r="G713" s="113"/>
      <c r="H713" s="113"/>
      <c r="I713" s="114"/>
      <c r="J713" s="114"/>
      <c r="K713" s="114"/>
      <c r="L713" s="81"/>
      <c r="M713" s="265" t="b">
        <f>NOT(ISERROR(ResultsInd[[#This Row],[Goal-A]]+ResultsInd[[#This Row],[Goal-B]]))</f>
        <v>1</v>
      </c>
      <c r="N713" s="265">
        <f>VALUE(ResultsInd[[#This Row],[Score-A]])</f>
        <v>0</v>
      </c>
      <c r="O713" s="265">
        <f>VALUE(ResultsInd[[#This Row],[Score-B]])</f>
        <v>0</v>
      </c>
      <c r="P713" s="265" t="str">
        <f ca="1">IF(AND(ResultsInd[[#This Row],[Category]]&lt;&gt;"",ResultsInd[[#This Row],[Player A]]&lt;&gt;""),COUNTIF(INDIRECT(ResultsInd[[#This Row],[Category]]&amp;"List[Retained Player Name]"),ResultsInd[[#This Row],[Player A]]),"")</f>
        <v/>
      </c>
      <c r="Q713" s="265" t="str">
        <f ca="1">IF(AND(ResultsInd[[#This Row],[Category]]&lt;&gt;"",ResultsInd[[#This Row],[Player B]]&lt;&gt;""),COUNTIF(INDIRECT(ResultsInd[[#This Row],[Category]]&amp;"List[Retained Player Name]"),ResultsInd[[#This Row],[Player B]]),"")</f>
        <v/>
      </c>
      <c r="R7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3" s="265" t="str">
        <f>IF(ResultsInd[[#This Row],[Score_OK]],IF(ResultsInd[[#This Row],[Stage]]="Groups",ResultsInd[[#This Row],[Category]]&amp;"-"&amp;IF(ResultsInd[[#This Row],[Player B]]="","",IF(ResultsInd[[#This Row],[Score-A]]=ResultsInd[[#This Row],[Score-B]],ResultsInd[[#This Row],[Player A]],"")),""),"")</f>
        <v/>
      </c>
      <c r="T713" s="265" t="str">
        <f>IF(ResultsInd[[#This Row],[Score_OK]],IF(ResultsInd[[#This Row],[Stage]]="Groups",ResultsInd[[#This Row],[Category]]&amp;"-"&amp;IF(ResultsInd[[#This Row],[Player B]]="","",IF(ResultsInd[[#This Row],[Score-A]]=ResultsInd[[#This Row],[Score-B]],ResultsInd[[#This Row],[Player B]],"")),""),"")</f>
        <v/>
      </c>
      <c r="U7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3" s="264" t="str">
        <f>IF(ResultsInd[[#This Row],[Category]]="","",VLOOKUP(ResultsInd[[#This Row],[Stage]],$P$1:$V$9,MATCH(ResultsInd[[#This Row],[Category]],$Q$1:$V$1,0)+1,FALSE))</f>
        <v/>
      </c>
      <c r="Z713" s="264" t="str">
        <f>IF(ResultsInd[[#This Row],[Score_OK]],IF(ResultsInd[[#This Row],[Level]]="R",ResultsInd[[#This Row],[Category]]&amp;"-"&amp;IF(ResultsInd[[#This Row],[LoseInKO]]=ResultsInd[[#This Row],[Category]]&amp;"-"&amp;ResultsInd[[#This Row],[Player A]],ResultsInd[[#This Row],[Player B]],ResultsInd[[#This Row],[Player A]]),""),"")</f>
        <v/>
      </c>
      <c r="AB713" s="8"/>
      <c r="AC713" s="8"/>
      <c r="AE713" s="90"/>
      <c r="AF713" s="90"/>
      <c r="AP713" s="8"/>
      <c r="AQ713" s="8"/>
      <c r="AR713" s="8"/>
      <c r="AS713" s="8"/>
      <c r="AT713" s="8"/>
      <c r="AU713" s="8"/>
      <c r="AV713" s="8"/>
      <c r="AW713" s="8"/>
      <c r="AX713" s="8"/>
      <c r="AY713" s="90"/>
      <c r="AZ713" s="90"/>
      <c r="BA713" s="90"/>
      <c r="BB713" s="90"/>
      <c r="BC713" s="90"/>
      <c r="BD713" s="90"/>
      <c r="BE713" s="90"/>
      <c r="BF713" s="90"/>
    </row>
    <row r="714" spans="1:58" x14ac:dyDescent="0.2">
      <c r="A714" s="62"/>
      <c r="B714" s="62"/>
      <c r="C714" s="62"/>
      <c r="D714" s="62"/>
      <c r="E714" s="345"/>
      <c r="F714" s="345"/>
      <c r="G714" s="113"/>
      <c r="H714" s="113"/>
      <c r="I714" s="114"/>
      <c r="J714" s="114"/>
      <c r="K714" s="114"/>
      <c r="L714" s="81"/>
      <c r="M714" s="265" t="b">
        <f>NOT(ISERROR(ResultsInd[[#This Row],[Goal-A]]+ResultsInd[[#This Row],[Goal-B]]))</f>
        <v>1</v>
      </c>
      <c r="N714" s="265">
        <f>VALUE(ResultsInd[[#This Row],[Score-A]])</f>
        <v>0</v>
      </c>
      <c r="O714" s="265">
        <f>VALUE(ResultsInd[[#This Row],[Score-B]])</f>
        <v>0</v>
      </c>
      <c r="P714" s="265" t="str">
        <f ca="1">IF(AND(ResultsInd[[#This Row],[Category]]&lt;&gt;"",ResultsInd[[#This Row],[Player A]]&lt;&gt;""),COUNTIF(INDIRECT(ResultsInd[[#This Row],[Category]]&amp;"List[Retained Player Name]"),ResultsInd[[#This Row],[Player A]]),"")</f>
        <v/>
      </c>
      <c r="Q714" s="265" t="str">
        <f ca="1">IF(AND(ResultsInd[[#This Row],[Category]]&lt;&gt;"",ResultsInd[[#This Row],[Player B]]&lt;&gt;""),COUNTIF(INDIRECT(ResultsInd[[#This Row],[Category]]&amp;"List[Retained Player Name]"),ResultsInd[[#This Row],[Player B]]),"")</f>
        <v/>
      </c>
      <c r="R7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4" s="265" t="str">
        <f>IF(ResultsInd[[#This Row],[Score_OK]],IF(ResultsInd[[#This Row],[Stage]]="Groups",ResultsInd[[#This Row],[Category]]&amp;"-"&amp;IF(ResultsInd[[#This Row],[Player B]]="","",IF(ResultsInd[[#This Row],[Score-A]]=ResultsInd[[#This Row],[Score-B]],ResultsInd[[#This Row],[Player A]],"")),""),"")</f>
        <v/>
      </c>
      <c r="T714" s="265" t="str">
        <f>IF(ResultsInd[[#This Row],[Score_OK]],IF(ResultsInd[[#This Row],[Stage]]="Groups",ResultsInd[[#This Row],[Category]]&amp;"-"&amp;IF(ResultsInd[[#This Row],[Player B]]="","",IF(ResultsInd[[#This Row],[Score-A]]=ResultsInd[[#This Row],[Score-B]],ResultsInd[[#This Row],[Player B]],"")),""),"")</f>
        <v/>
      </c>
      <c r="U7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4" s="264" t="str">
        <f>IF(ResultsInd[[#This Row],[Category]]="","",VLOOKUP(ResultsInd[[#This Row],[Stage]],$P$1:$V$9,MATCH(ResultsInd[[#This Row],[Category]],$Q$1:$V$1,0)+1,FALSE))</f>
        <v/>
      </c>
      <c r="Z714" s="264" t="str">
        <f>IF(ResultsInd[[#This Row],[Score_OK]],IF(ResultsInd[[#This Row],[Level]]="R",ResultsInd[[#This Row],[Category]]&amp;"-"&amp;IF(ResultsInd[[#This Row],[LoseInKO]]=ResultsInd[[#This Row],[Category]]&amp;"-"&amp;ResultsInd[[#This Row],[Player A]],ResultsInd[[#This Row],[Player B]],ResultsInd[[#This Row],[Player A]]),""),"")</f>
        <v/>
      </c>
      <c r="AB714" s="8"/>
      <c r="AC714" s="8"/>
      <c r="AE714" s="90"/>
      <c r="AF714" s="90"/>
      <c r="AP714" s="8"/>
      <c r="AQ714" s="8"/>
      <c r="AR714" s="8"/>
      <c r="AS714" s="8"/>
      <c r="AT714" s="8"/>
      <c r="AU714" s="8"/>
      <c r="AV714" s="8"/>
      <c r="AW714" s="8"/>
      <c r="AX714" s="8"/>
      <c r="AY714" s="90"/>
      <c r="AZ714" s="90"/>
      <c r="BA714" s="90"/>
      <c r="BB714" s="90"/>
      <c r="BC714" s="90"/>
      <c r="BD714" s="90"/>
      <c r="BE714" s="90"/>
      <c r="BF714" s="90"/>
    </row>
    <row r="715" spans="1:58" x14ac:dyDescent="0.2">
      <c r="A715" s="62"/>
      <c r="B715" s="62"/>
      <c r="C715" s="62"/>
      <c r="D715" s="62"/>
      <c r="E715" s="345"/>
      <c r="F715" s="345"/>
      <c r="G715" s="113"/>
      <c r="H715" s="113"/>
      <c r="I715" s="114"/>
      <c r="J715" s="114"/>
      <c r="K715" s="114"/>
      <c r="L715" s="81"/>
      <c r="M715" s="265" t="b">
        <f>NOT(ISERROR(ResultsInd[[#This Row],[Goal-A]]+ResultsInd[[#This Row],[Goal-B]]))</f>
        <v>1</v>
      </c>
      <c r="N715" s="265">
        <f>VALUE(ResultsInd[[#This Row],[Score-A]])</f>
        <v>0</v>
      </c>
      <c r="O715" s="265">
        <f>VALUE(ResultsInd[[#This Row],[Score-B]])</f>
        <v>0</v>
      </c>
      <c r="P715" s="265" t="str">
        <f ca="1">IF(AND(ResultsInd[[#This Row],[Category]]&lt;&gt;"",ResultsInd[[#This Row],[Player A]]&lt;&gt;""),COUNTIF(INDIRECT(ResultsInd[[#This Row],[Category]]&amp;"List[Retained Player Name]"),ResultsInd[[#This Row],[Player A]]),"")</f>
        <v/>
      </c>
      <c r="Q715" s="265" t="str">
        <f ca="1">IF(AND(ResultsInd[[#This Row],[Category]]&lt;&gt;"",ResultsInd[[#This Row],[Player B]]&lt;&gt;""),COUNTIF(INDIRECT(ResultsInd[[#This Row],[Category]]&amp;"List[Retained Player Name]"),ResultsInd[[#This Row],[Player B]]),"")</f>
        <v/>
      </c>
      <c r="R7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5" s="265" t="str">
        <f>IF(ResultsInd[[#This Row],[Score_OK]],IF(ResultsInd[[#This Row],[Stage]]="Groups",ResultsInd[[#This Row],[Category]]&amp;"-"&amp;IF(ResultsInd[[#This Row],[Player B]]="","",IF(ResultsInd[[#This Row],[Score-A]]=ResultsInd[[#This Row],[Score-B]],ResultsInd[[#This Row],[Player A]],"")),""),"")</f>
        <v/>
      </c>
      <c r="T715" s="265" t="str">
        <f>IF(ResultsInd[[#This Row],[Score_OK]],IF(ResultsInd[[#This Row],[Stage]]="Groups",ResultsInd[[#This Row],[Category]]&amp;"-"&amp;IF(ResultsInd[[#This Row],[Player B]]="","",IF(ResultsInd[[#This Row],[Score-A]]=ResultsInd[[#This Row],[Score-B]],ResultsInd[[#This Row],[Player B]],"")),""),"")</f>
        <v/>
      </c>
      <c r="U7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5" s="264" t="str">
        <f>IF(ResultsInd[[#This Row],[Category]]="","",VLOOKUP(ResultsInd[[#This Row],[Stage]],$P$1:$V$9,MATCH(ResultsInd[[#This Row],[Category]],$Q$1:$V$1,0)+1,FALSE))</f>
        <v/>
      </c>
      <c r="Z715" s="264" t="str">
        <f>IF(ResultsInd[[#This Row],[Score_OK]],IF(ResultsInd[[#This Row],[Level]]="R",ResultsInd[[#This Row],[Category]]&amp;"-"&amp;IF(ResultsInd[[#This Row],[LoseInKO]]=ResultsInd[[#This Row],[Category]]&amp;"-"&amp;ResultsInd[[#This Row],[Player A]],ResultsInd[[#This Row],[Player B]],ResultsInd[[#This Row],[Player A]]),""),"")</f>
        <v/>
      </c>
      <c r="AB715" s="8"/>
      <c r="AC715" s="8"/>
      <c r="AE715" s="90"/>
      <c r="AF715" s="90"/>
      <c r="AP715" s="8"/>
      <c r="AQ715" s="8"/>
      <c r="AR715" s="8"/>
      <c r="AS715" s="8"/>
      <c r="AT715" s="8"/>
      <c r="AU715" s="8"/>
      <c r="AV715" s="8"/>
      <c r="AW715" s="8"/>
      <c r="AX715" s="8"/>
      <c r="AY715" s="90"/>
      <c r="AZ715" s="90"/>
      <c r="BA715" s="90"/>
      <c r="BB715" s="90"/>
      <c r="BC715" s="90"/>
      <c r="BD715" s="90"/>
      <c r="BE715" s="90"/>
      <c r="BF715" s="90"/>
    </row>
    <row r="716" spans="1:58" x14ac:dyDescent="0.2">
      <c r="A716" s="62"/>
      <c r="B716" s="62"/>
      <c r="C716" s="62"/>
      <c r="D716" s="62"/>
      <c r="E716" s="345"/>
      <c r="F716" s="345"/>
      <c r="G716" s="113"/>
      <c r="H716" s="113"/>
      <c r="I716" s="114"/>
      <c r="J716" s="114"/>
      <c r="K716" s="114"/>
      <c r="L716" s="81"/>
      <c r="M716" s="265" t="b">
        <f>NOT(ISERROR(ResultsInd[[#This Row],[Goal-A]]+ResultsInd[[#This Row],[Goal-B]]))</f>
        <v>1</v>
      </c>
      <c r="N716" s="265">
        <f>VALUE(ResultsInd[[#This Row],[Score-A]])</f>
        <v>0</v>
      </c>
      <c r="O716" s="265">
        <f>VALUE(ResultsInd[[#This Row],[Score-B]])</f>
        <v>0</v>
      </c>
      <c r="P716" s="265" t="str">
        <f ca="1">IF(AND(ResultsInd[[#This Row],[Category]]&lt;&gt;"",ResultsInd[[#This Row],[Player A]]&lt;&gt;""),COUNTIF(INDIRECT(ResultsInd[[#This Row],[Category]]&amp;"List[Retained Player Name]"),ResultsInd[[#This Row],[Player A]]),"")</f>
        <v/>
      </c>
      <c r="Q716" s="265" t="str">
        <f ca="1">IF(AND(ResultsInd[[#This Row],[Category]]&lt;&gt;"",ResultsInd[[#This Row],[Player B]]&lt;&gt;""),COUNTIF(INDIRECT(ResultsInd[[#This Row],[Category]]&amp;"List[Retained Player Name]"),ResultsInd[[#This Row],[Player B]]),"")</f>
        <v/>
      </c>
      <c r="R7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6" s="265" t="str">
        <f>IF(ResultsInd[[#This Row],[Score_OK]],IF(ResultsInd[[#This Row],[Stage]]="Groups",ResultsInd[[#This Row],[Category]]&amp;"-"&amp;IF(ResultsInd[[#This Row],[Player B]]="","",IF(ResultsInd[[#This Row],[Score-A]]=ResultsInd[[#This Row],[Score-B]],ResultsInd[[#This Row],[Player A]],"")),""),"")</f>
        <v/>
      </c>
      <c r="T716" s="265" t="str">
        <f>IF(ResultsInd[[#This Row],[Score_OK]],IF(ResultsInd[[#This Row],[Stage]]="Groups",ResultsInd[[#This Row],[Category]]&amp;"-"&amp;IF(ResultsInd[[#This Row],[Player B]]="","",IF(ResultsInd[[#This Row],[Score-A]]=ResultsInd[[#This Row],[Score-B]],ResultsInd[[#This Row],[Player B]],"")),""),"")</f>
        <v/>
      </c>
      <c r="U7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6" s="264" t="str">
        <f>IF(ResultsInd[[#This Row],[Category]]="","",VLOOKUP(ResultsInd[[#This Row],[Stage]],$P$1:$V$9,MATCH(ResultsInd[[#This Row],[Category]],$Q$1:$V$1,0)+1,FALSE))</f>
        <v/>
      </c>
      <c r="Z716" s="264" t="str">
        <f>IF(ResultsInd[[#This Row],[Score_OK]],IF(ResultsInd[[#This Row],[Level]]="R",ResultsInd[[#This Row],[Category]]&amp;"-"&amp;IF(ResultsInd[[#This Row],[LoseInKO]]=ResultsInd[[#This Row],[Category]]&amp;"-"&amp;ResultsInd[[#This Row],[Player A]],ResultsInd[[#This Row],[Player B]],ResultsInd[[#This Row],[Player A]]),""),"")</f>
        <v/>
      </c>
      <c r="AB716" s="8"/>
      <c r="AC716" s="8"/>
      <c r="AE716" s="90"/>
      <c r="AF716" s="90"/>
      <c r="AP716" s="8"/>
      <c r="AQ716" s="8"/>
      <c r="AR716" s="8"/>
      <c r="AS716" s="8"/>
      <c r="AT716" s="8"/>
      <c r="AU716" s="8"/>
      <c r="AV716" s="8"/>
      <c r="AW716" s="8"/>
      <c r="AX716" s="8"/>
      <c r="AY716" s="90"/>
      <c r="AZ716" s="90"/>
      <c r="BA716" s="90"/>
      <c r="BB716" s="90"/>
      <c r="BC716" s="90"/>
      <c r="BD716" s="90"/>
      <c r="BE716" s="90"/>
      <c r="BF716" s="90"/>
    </row>
    <row r="717" spans="1:58" x14ac:dyDescent="0.2">
      <c r="A717" s="62"/>
      <c r="B717" s="62"/>
      <c r="C717" s="62"/>
      <c r="D717" s="62"/>
      <c r="E717" s="345"/>
      <c r="F717" s="345"/>
      <c r="G717" s="113"/>
      <c r="H717" s="113"/>
      <c r="I717" s="114"/>
      <c r="J717" s="114"/>
      <c r="K717" s="114"/>
      <c r="L717" s="81"/>
      <c r="M717" s="265" t="b">
        <f>NOT(ISERROR(ResultsInd[[#This Row],[Goal-A]]+ResultsInd[[#This Row],[Goal-B]]))</f>
        <v>1</v>
      </c>
      <c r="N717" s="265">
        <f>VALUE(ResultsInd[[#This Row],[Score-A]])</f>
        <v>0</v>
      </c>
      <c r="O717" s="265">
        <f>VALUE(ResultsInd[[#This Row],[Score-B]])</f>
        <v>0</v>
      </c>
      <c r="P717" s="265" t="str">
        <f ca="1">IF(AND(ResultsInd[[#This Row],[Category]]&lt;&gt;"",ResultsInd[[#This Row],[Player A]]&lt;&gt;""),COUNTIF(INDIRECT(ResultsInd[[#This Row],[Category]]&amp;"List[Retained Player Name]"),ResultsInd[[#This Row],[Player A]]),"")</f>
        <v/>
      </c>
      <c r="Q717" s="265" t="str">
        <f ca="1">IF(AND(ResultsInd[[#This Row],[Category]]&lt;&gt;"",ResultsInd[[#This Row],[Player B]]&lt;&gt;""),COUNTIF(INDIRECT(ResultsInd[[#This Row],[Category]]&amp;"List[Retained Player Name]"),ResultsInd[[#This Row],[Player B]]),"")</f>
        <v/>
      </c>
      <c r="R7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7" s="265" t="str">
        <f>IF(ResultsInd[[#This Row],[Score_OK]],IF(ResultsInd[[#This Row],[Stage]]="Groups",ResultsInd[[#This Row],[Category]]&amp;"-"&amp;IF(ResultsInd[[#This Row],[Player B]]="","",IF(ResultsInd[[#This Row],[Score-A]]=ResultsInd[[#This Row],[Score-B]],ResultsInd[[#This Row],[Player A]],"")),""),"")</f>
        <v/>
      </c>
      <c r="T717" s="265" t="str">
        <f>IF(ResultsInd[[#This Row],[Score_OK]],IF(ResultsInd[[#This Row],[Stage]]="Groups",ResultsInd[[#This Row],[Category]]&amp;"-"&amp;IF(ResultsInd[[#This Row],[Player B]]="","",IF(ResultsInd[[#This Row],[Score-A]]=ResultsInd[[#This Row],[Score-B]],ResultsInd[[#This Row],[Player B]],"")),""),"")</f>
        <v/>
      </c>
      <c r="U7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7" s="264" t="str">
        <f>IF(ResultsInd[[#This Row],[Category]]="","",VLOOKUP(ResultsInd[[#This Row],[Stage]],$P$1:$V$9,MATCH(ResultsInd[[#This Row],[Category]],$Q$1:$V$1,0)+1,FALSE))</f>
        <v/>
      </c>
      <c r="Z717" s="264" t="str">
        <f>IF(ResultsInd[[#This Row],[Score_OK]],IF(ResultsInd[[#This Row],[Level]]="R",ResultsInd[[#This Row],[Category]]&amp;"-"&amp;IF(ResultsInd[[#This Row],[LoseInKO]]=ResultsInd[[#This Row],[Category]]&amp;"-"&amp;ResultsInd[[#This Row],[Player A]],ResultsInd[[#This Row],[Player B]],ResultsInd[[#This Row],[Player A]]),""),"")</f>
        <v/>
      </c>
      <c r="AB717" s="8"/>
      <c r="AC717" s="8"/>
      <c r="AE717" s="90"/>
      <c r="AF717" s="90"/>
      <c r="AP717" s="8"/>
      <c r="AQ717" s="8"/>
      <c r="AR717" s="8"/>
      <c r="AS717" s="8"/>
      <c r="AT717" s="8"/>
      <c r="AU717" s="8"/>
      <c r="AV717" s="8"/>
      <c r="AW717" s="8"/>
      <c r="AX717" s="8"/>
      <c r="AY717" s="90"/>
      <c r="AZ717" s="90"/>
      <c r="BA717" s="90"/>
      <c r="BB717" s="90"/>
      <c r="BC717" s="90"/>
      <c r="BD717" s="90"/>
      <c r="BE717" s="90"/>
      <c r="BF717" s="90"/>
    </row>
    <row r="718" spans="1:58" x14ac:dyDescent="0.2">
      <c r="A718" s="62"/>
      <c r="B718" s="62"/>
      <c r="C718" s="62"/>
      <c r="D718" s="62"/>
      <c r="E718" s="345"/>
      <c r="F718" s="345"/>
      <c r="G718" s="113"/>
      <c r="H718" s="113"/>
      <c r="I718" s="114"/>
      <c r="J718" s="114"/>
      <c r="K718" s="114"/>
      <c r="L718" s="81"/>
      <c r="M718" s="265" t="b">
        <f>NOT(ISERROR(ResultsInd[[#This Row],[Goal-A]]+ResultsInd[[#This Row],[Goal-B]]))</f>
        <v>1</v>
      </c>
      <c r="N718" s="265">
        <f>VALUE(ResultsInd[[#This Row],[Score-A]])</f>
        <v>0</v>
      </c>
      <c r="O718" s="265">
        <f>VALUE(ResultsInd[[#This Row],[Score-B]])</f>
        <v>0</v>
      </c>
      <c r="P718" s="265" t="str">
        <f ca="1">IF(AND(ResultsInd[[#This Row],[Category]]&lt;&gt;"",ResultsInd[[#This Row],[Player A]]&lt;&gt;""),COUNTIF(INDIRECT(ResultsInd[[#This Row],[Category]]&amp;"List[Retained Player Name]"),ResultsInd[[#This Row],[Player A]]),"")</f>
        <v/>
      </c>
      <c r="Q718" s="265" t="str">
        <f ca="1">IF(AND(ResultsInd[[#This Row],[Category]]&lt;&gt;"",ResultsInd[[#This Row],[Player B]]&lt;&gt;""),COUNTIF(INDIRECT(ResultsInd[[#This Row],[Category]]&amp;"List[Retained Player Name]"),ResultsInd[[#This Row],[Player B]]),"")</f>
        <v/>
      </c>
      <c r="R7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8" s="265" t="str">
        <f>IF(ResultsInd[[#This Row],[Score_OK]],IF(ResultsInd[[#This Row],[Stage]]="Groups",ResultsInd[[#This Row],[Category]]&amp;"-"&amp;IF(ResultsInd[[#This Row],[Player B]]="","",IF(ResultsInd[[#This Row],[Score-A]]=ResultsInd[[#This Row],[Score-B]],ResultsInd[[#This Row],[Player A]],"")),""),"")</f>
        <v/>
      </c>
      <c r="T718" s="265" t="str">
        <f>IF(ResultsInd[[#This Row],[Score_OK]],IF(ResultsInd[[#This Row],[Stage]]="Groups",ResultsInd[[#This Row],[Category]]&amp;"-"&amp;IF(ResultsInd[[#This Row],[Player B]]="","",IF(ResultsInd[[#This Row],[Score-A]]=ResultsInd[[#This Row],[Score-B]],ResultsInd[[#This Row],[Player B]],"")),""),"")</f>
        <v/>
      </c>
      <c r="U7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8" s="264" t="str">
        <f>IF(ResultsInd[[#This Row],[Category]]="","",VLOOKUP(ResultsInd[[#This Row],[Stage]],$P$1:$V$9,MATCH(ResultsInd[[#This Row],[Category]],$Q$1:$V$1,0)+1,FALSE))</f>
        <v/>
      </c>
      <c r="Z718" s="264" t="str">
        <f>IF(ResultsInd[[#This Row],[Score_OK]],IF(ResultsInd[[#This Row],[Level]]="R",ResultsInd[[#This Row],[Category]]&amp;"-"&amp;IF(ResultsInd[[#This Row],[LoseInKO]]=ResultsInd[[#This Row],[Category]]&amp;"-"&amp;ResultsInd[[#This Row],[Player A]],ResultsInd[[#This Row],[Player B]],ResultsInd[[#This Row],[Player A]]),""),"")</f>
        <v/>
      </c>
      <c r="AB718" s="8"/>
      <c r="AC718" s="8"/>
      <c r="AE718" s="90"/>
      <c r="AF718" s="90"/>
      <c r="AP718" s="8"/>
      <c r="AQ718" s="8"/>
      <c r="AR718" s="8"/>
      <c r="AS718" s="8"/>
      <c r="AT718" s="8"/>
      <c r="AU718" s="8"/>
      <c r="AV718" s="8"/>
      <c r="AW718" s="8"/>
      <c r="AX718" s="8"/>
      <c r="AY718" s="90"/>
      <c r="AZ718" s="90"/>
      <c r="BA718" s="90"/>
      <c r="BB718" s="90"/>
      <c r="BC718" s="90"/>
      <c r="BD718" s="90"/>
      <c r="BE718" s="90"/>
      <c r="BF718" s="90"/>
    </row>
    <row r="719" spans="1:58" x14ac:dyDescent="0.2">
      <c r="A719" s="62"/>
      <c r="B719" s="62"/>
      <c r="C719" s="62"/>
      <c r="D719" s="62"/>
      <c r="E719" s="345"/>
      <c r="F719" s="345"/>
      <c r="G719" s="113"/>
      <c r="H719" s="113"/>
      <c r="I719" s="114"/>
      <c r="J719" s="114"/>
      <c r="K719" s="114"/>
      <c r="L719" s="81"/>
      <c r="M719" s="265" t="b">
        <f>NOT(ISERROR(ResultsInd[[#This Row],[Goal-A]]+ResultsInd[[#This Row],[Goal-B]]))</f>
        <v>1</v>
      </c>
      <c r="N719" s="265">
        <f>VALUE(ResultsInd[[#This Row],[Score-A]])</f>
        <v>0</v>
      </c>
      <c r="O719" s="265">
        <f>VALUE(ResultsInd[[#This Row],[Score-B]])</f>
        <v>0</v>
      </c>
      <c r="P719" s="265" t="str">
        <f ca="1">IF(AND(ResultsInd[[#This Row],[Category]]&lt;&gt;"",ResultsInd[[#This Row],[Player A]]&lt;&gt;""),COUNTIF(INDIRECT(ResultsInd[[#This Row],[Category]]&amp;"List[Retained Player Name]"),ResultsInd[[#This Row],[Player A]]),"")</f>
        <v/>
      </c>
      <c r="Q719" s="265" t="str">
        <f ca="1">IF(AND(ResultsInd[[#This Row],[Category]]&lt;&gt;"",ResultsInd[[#This Row],[Player B]]&lt;&gt;""),COUNTIF(INDIRECT(ResultsInd[[#This Row],[Category]]&amp;"List[Retained Player Name]"),ResultsInd[[#This Row],[Player B]]),"")</f>
        <v/>
      </c>
      <c r="R7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9" s="265" t="str">
        <f>IF(ResultsInd[[#This Row],[Score_OK]],IF(ResultsInd[[#This Row],[Stage]]="Groups",ResultsInd[[#This Row],[Category]]&amp;"-"&amp;IF(ResultsInd[[#This Row],[Player B]]="","",IF(ResultsInd[[#This Row],[Score-A]]=ResultsInd[[#This Row],[Score-B]],ResultsInd[[#This Row],[Player A]],"")),""),"")</f>
        <v/>
      </c>
      <c r="T719" s="265" t="str">
        <f>IF(ResultsInd[[#This Row],[Score_OK]],IF(ResultsInd[[#This Row],[Stage]]="Groups",ResultsInd[[#This Row],[Category]]&amp;"-"&amp;IF(ResultsInd[[#This Row],[Player B]]="","",IF(ResultsInd[[#This Row],[Score-A]]=ResultsInd[[#This Row],[Score-B]],ResultsInd[[#This Row],[Player B]],"")),""),"")</f>
        <v/>
      </c>
      <c r="U7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9" s="264" t="str">
        <f>IF(ResultsInd[[#This Row],[Category]]="","",VLOOKUP(ResultsInd[[#This Row],[Stage]],$P$1:$V$9,MATCH(ResultsInd[[#This Row],[Category]],$Q$1:$V$1,0)+1,FALSE))</f>
        <v/>
      </c>
      <c r="Z719" s="264" t="str">
        <f>IF(ResultsInd[[#This Row],[Score_OK]],IF(ResultsInd[[#This Row],[Level]]="R",ResultsInd[[#This Row],[Category]]&amp;"-"&amp;IF(ResultsInd[[#This Row],[LoseInKO]]=ResultsInd[[#This Row],[Category]]&amp;"-"&amp;ResultsInd[[#This Row],[Player A]],ResultsInd[[#This Row],[Player B]],ResultsInd[[#This Row],[Player A]]),""),"")</f>
        <v/>
      </c>
      <c r="AB719" s="8"/>
      <c r="AC719" s="8"/>
      <c r="AE719" s="90"/>
      <c r="AF719" s="90"/>
      <c r="AP719" s="8"/>
      <c r="AQ719" s="8"/>
      <c r="AR719" s="8"/>
      <c r="AS719" s="8"/>
      <c r="AT719" s="8"/>
      <c r="AU719" s="8"/>
      <c r="AV719" s="8"/>
      <c r="AW719" s="8"/>
      <c r="AX719" s="8"/>
      <c r="AY719" s="90"/>
      <c r="AZ719" s="90"/>
      <c r="BA719" s="90"/>
      <c r="BB719" s="90"/>
      <c r="BC719" s="90"/>
      <c r="BD719" s="90"/>
      <c r="BE719" s="90"/>
      <c r="BF719" s="90"/>
    </row>
    <row r="720" spans="1:58" x14ac:dyDescent="0.2">
      <c r="A720" s="62"/>
      <c r="B720" s="62"/>
      <c r="C720" s="62"/>
      <c r="D720" s="62"/>
      <c r="E720" s="345"/>
      <c r="F720" s="345"/>
      <c r="G720" s="113"/>
      <c r="H720" s="113"/>
      <c r="I720" s="114"/>
      <c r="J720" s="114"/>
      <c r="K720" s="114"/>
      <c r="L720" s="81"/>
      <c r="M720" s="265" t="b">
        <f>NOT(ISERROR(ResultsInd[[#This Row],[Goal-A]]+ResultsInd[[#This Row],[Goal-B]]))</f>
        <v>1</v>
      </c>
      <c r="N720" s="265">
        <f>VALUE(ResultsInd[[#This Row],[Score-A]])</f>
        <v>0</v>
      </c>
      <c r="O720" s="265">
        <f>VALUE(ResultsInd[[#This Row],[Score-B]])</f>
        <v>0</v>
      </c>
      <c r="P720" s="265" t="str">
        <f ca="1">IF(AND(ResultsInd[[#This Row],[Category]]&lt;&gt;"",ResultsInd[[#This Row],[Player A]]&lt;&gt;""),COUNTIF(INDIRECT(ResultsInd[[#This Row],[Category]]&amp;"List[Retained Player Name]"),ResultsInd[[#This Row],[Player A]]),"")</f>
        <v/>
      </c>
      <c r="Q720" s="265" t="str">
        <f ca="1">IF(AND(ResultsInd[[#This Row],[Category]]&lt;&gt;"",ResultsInd[[#This Row],[Player B]]&lt;&gt;""),COUNTIF(INDIRECT(ResultsInd[[#This Row],[Category]]&amp;"List[Retained Player Name]"),ResultsInd[[#This Row],[Player B]]),"")</f>
        <v/>
      </c>
      <c r="R7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0" s="265" t="str">
        <f>IF(ResultsInd[[#This Row],[Score_OK]],IF(ResultsInd[[#This Row],[Stage]]="Groups",ResultsInd[[#This Row],[Category]]&amp;"-"&amp;IF(ResultsInd[[#This Row],[Player B]]="","",IF(ResultsInd[[#This Row],[Score-A]]=ResultsInd[[#This Row],[Score-B]],ResultsInd[[#This Row],[Player A]],"")),""),"")</f>
        <v/>
      </c>
      <c r="T720" s="265" t="str">
        <f>IF(ResultsInd[[#This Row],[Score_OK]],IF(ResultsInd[[#This Row],[Stage]]="Groups",ResultsInd[[#This Row],[Category]]&amp;"-"&amp;IF(ResultsInd[[#This Row],[Player B]]="","",IF(ResultsInd[[#This Row],[Score-A]]=ResultsInd[[#This Row],[Score-B]],ResultsInd[[#This Row],[Player B]],"")),""),"")</f>
        <v/>
      </c>
      <c r="U7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0" s="264" t="str">
        <f>IF(ResultsInd[[#This Row],[Category]]="","",VLOOKUP(ResultsInd[[#This Row],[Stage]],$P$1:$V$9,MATCH(ResultsInd[[#This Row],[Category]],$Q$1:$V$1,0)+1,FALSE))</f>
        <v/>
      </c>
      <c r="Z720" s="264" t="str">
        <f>IF(ResultsInd[[#This Row],[Score_OK]],IF(ResultsInd[[#This Row],[Level]]="R",ResultsInd[[#This Row],[Category]]&amp;"-"&amp;IF(ResultsInd[[#This Row],[LoseInKO]]=ResultsInd[[#This Row],[Category]]&amp;"-"&amp;ResultsInd[[#This Row],[Player A]],ResultsInd[[#This Row],[Player B]],ResultsInd[[#This Row],[Player A]]),""),"")</f>
        <v/>
      </c>
      <c r="AB720" s="8"/>
      <c r="AC720" s="8"/>
      <c r="AE720" s="90"/>
      <c r="AF720" s="90"/>
      <c r="AP720" s="8"/>
      <c r="AQ720" s="8"/>
      <c r="AR720" s="8"/>
      <c r="AS720" s="8"/>
      <c r="AT720" s="8"/>
      <c r="AU720" s="8"/>
      <c r="AV720" s="8"/>
      <c r="AW720" s="8"/>
      <c r="AX720" s="8"/>
      <c r="AY720" s="90"/>
      <c r="AZ720" s="90"/>
      <c r="BA720" s="90"/>
      <c r="BB720" s="90"/>
      <c r="BC720" s="90"/>
      <c r="BD720" s="90"/>
      <c r="BE720" s="90"/>
      <c r="BF720" s="90"/>
    </row>
    <row r="721" spans="1:58" x14ac:dyDescent="0.2">
      <c r="A721" s="62"/>
      <c r="B721" s="62"/>
      <c r="C721" s="62"/>
      <c r="D721" s="62"/>
      <c r="E721" s="345"/>
      <c r="F721" s="345"/>
      <c r="G721" s="113"/>
      <c r="H721" s="113"/>
      <c r="I721" s="114"/>
      <c r="J721" s="114"/>
      <c r="K721" s="114"/>
      <c r="L721" s="81"/>
      <c r="M721" s="265" t="b">
        <f>NOT(ISERROR(ResultsInd[[#This Row],[Goal-A]]+ResultsInd[[#This Row],[Goal-B]]))</f>
        <v>1</v>
      </c>
      <c r="N721" s="265">
        <f>VALUE(ResultsInd[[#This Row],[Score-A]])</f>
        <v>0</v>
      </c>
      <c r="O721" s="265">
        <f>VALUE(ResultsInd[[#This Row],[Score-B]])</f>
        <v>0</v>
      </c>
      <c r="P721" s="265" t="str">
        <f ca="1">IF(AND(ResultsInd[[#This Row],[Category]]&lt;&gt;"",ResultsInd[[#This Row],[Player A]]&lt;&gt;""),COUNTIF(INDIRECT(ResultsInd[[#This Row],[Category]]&amp;"List[Retained Player Name]"),ResultsInd[[#This Row],[Player A]]),"")</f>
        <v/>
      </c>
      <c r="Q721" s="265" t="str">
        <f ca="1">IF(AND(ResultsInd[[#This Row],[Category]]&lt;&gt;"",ResultsInd[[#This Row],[Player B]]&lt;&gt;""),COUNTIF(INDIRECT(ResultsInd[[#This Row],[Category]]&amp;"List[Retained Player Name]"),ResultsInd[[#This Row],[Player B]]),"")</f>
        <v/>
      </c>
      <c r="R7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1" s="265" t="str">
        <f>IF(ResultsInd[[#This Row],[Score_OK]],IF(ResultsInd[[#This Row],[Stage]]="Groups",ResultsInd[[#This Row],[Category]]&amp;"-"&amp;IF(ResultsInd[[#This Row],[Player B]]="","",IF(ResultsInd[[#This Row],[Score-A]]=ResultsInd[[#This Row],[Score-B]],ResultsInd[[#This Row],[Player A]],"")),""),"")</f>
        <v/>
      </c>
      <c r="T721" s="265" t="str">
        <f>IF(ResultsInd[[#This Row],[Score_OK]],IF(ResultsInd[[#This Row],[Stage]]="Groups",ResultsInd[[#This Row],[Category]]&amp;"-"&amp;IF(ResultsInd[[#This Row],[Player B]]="","",IF(ResultsInd[[#This Row],[Score-A]]=ResultsInd[[#This Row],[Score-B]],ResultsInd[[#This Row],[Player B]],"")),""),"")</f>
        <v/>
      </c>
      <c r="U7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1" s="264" t="str">
        <f>IF(ResultsInd[[#This Row],[Category]]="","",VLOOKUP(ResultsInd[[#This Row],[Stage]],$P$1:$V$9,MATCH(ResultsInd[[#This Row],[Category]],$Q$1:$V$1,0)+1,FALSE))</f>
        <v/>
      </c>
      <c r="Z721" s="264" t="str">
        <f>IF(ResultsInd[[#This Row],[Score_OK]],IF(ResultsInd[[#This Row],[Level]]="R",ResultsInd[[#This Row],[Category]]&amp;"-"&amp;IF(ResultsInd[[#This Row],[LoseInKO]]=ResultsInd[[#This Row],[Category]]&amp;"-"&amp;ResultsInd[[#This Row],[Player A]],ResultsInd[[#This Row],[Player B]],ResultsInd[[#This Row],[Player A]]),""),"")</f>
        <v/>
      </c>
      <c r="AB721" s="8"/>
      <c r="AC721" s="8"/>
      <c r="AE721" s="90"/>
      <c r="AF721" s="90"/>
      <c r="AP721" s="8"/>
      <c r="AQ721" s="8"/>
      <c r="AR721" s="8"/>
      <c r="AS721" s="8"/>
      <c r="AT721" s="8"/>
      <c r="AU721" s="8"/>
      <c r="AV721" s="8"/>
      <c r="AW721" s="8"/>
      <c r="AX721" s="8"/>
      <c r="AY721" s="90"/>
      <c r="AZ721" s="90"/>
      <c r="BA721" s="90"/>
      <c r="BB721" s="90"/>
      <c r="BC721" s="90"/>
      <c r="BD721" s="90"/>
      <c r="BE721" s="90"/>
      <c r="BF721" s="90"/>
    </row>
    <row r="722" spans="1:58" x14ac:dyDescent="0.2">
      <c r="A722" s="62"/>
      <c r="B722" s="62"/>
      <c r="C722" s="62"/>
      <c r="D722" s="62"/>
      <c r="E722" s="345"/>
      <c r="F722" s="345"/>
      <c r="G722" s="113"/>
      <c r="H722" s="113"/>
      <c r="I722" s="114"/>
      <c r="J722" s="114"/>
      <c r="K722" s="114"/>
      <c r="L722" s="81"/>
      <c r="M722" s="265" t="b">
        <f>NOT(ISERROR(ResultsInd[[#This Row],[Goal-A]]+ResultsInd[[#This Row],[Goal-B]]))</f>
        <v>1</v>
      </c>
      <c r="N722" s="265">
        <f>VALUE(ResultsInd[[#This Row],[Score-A]])</f>
        <v>0</v>
      </c>
      <c r="O722" s="265">
        <f>VALUE(ResultsInd[[#This Row],[Score-B]])</f>
        <v>0</v>
      </c>
      <c r="P722" s="265" t="str">
        <f ca="1">IF(AND(ResultsInd[[#This Row],[Category]]&lt;&gt;"",ResultsInd[[#This Row],[Player A]]&lt;&gt;""),COUNTIF(INDIRECT(ResultsInd[[#This Row],[Category]]&amp;"List[Retained Player Name]"),ResultsInd[[#This Row],[Player A]]),"")</f>
        <v/>
      </c>
      <c r="Q722" s="265" t="str">
        <f ca="1">IF(AND(ResultsInd[[#This Row],[Category]]&lt;&gt;"",ResultsInd[[#This Row],[Player B]]&lt;&gt;""),COUNTIF(INDIRECT(ResultsInd[[#This Row],[Category]]&amp;"List[Retained Player Name]"),ResultsInd[[#This Row],[Player B]]),"")</f>
        <v/>
      </c>
      <c r="R7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2" s="265" t="str">
        <f>IF(ResultsInd[[#This Row],[Score_OK]],IF(ResultsInd[[#This Row],[Stage]]="Groups",ResultsInd[[#This Row],[Category]]&amp;"-"&amp;IF(ResultsInd[[#This Row],[Player B]]="","",IF(ResultsInd[[#This Row],[Score-A]]=ResultsInd[[#This Row],[Score-B]],ResultsInd[[#This Row],[Player A]],"")),""),"")</f>
        <v/>
      </c>
      <c r="T722" s="265" t="str">
        <f>IF(ResultsInd[[#This Row],[Score_OK]],IF(ResultsInd[[#This Row],[Stage]]="Groups",ResultsInd[[#This Row],[Category]]&amp;"-"&amp;IF(ResultsInd[[#This Row],[Player B]]="","",IF(ResultsInd[[#This Row],[Score-A]]=ResultsInd[[#This Row],[Score-B]],ResultsInd[[#This Row],[Player B]],"")),""),"")</f>
        <v/>
      </c>
      <c r="U7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2" s="264" t="str">
        <f>IF(ResultsInd[[#This Row],[Category]]="","",VLOOKUP(ResultsInd[[#This Row],[Stage]],$P$1:$V$9,MATCH(ResultsInd[[#This Row],[Category]],$Q$1:$V$1,0)+1,FALSE))</f>
        <v/>
      </c>
      <c r="Z722" s="264" t="str">
        <f>IF(ResultsInd[[#This Row],[Score_OK]],IF(ResultsInd[[#This Row],[Level]]="R",ResultsInd[[#This Row],[Category]]&amp;"-"&amp;IF(ResultsInd[[#This Row],[LoseInKO]]=ResultsInd[[#This Row],[Category]]&amp;"-"&amp;ResultsInd[[#This Row],[Player A]],ResultsInd[[#This Row],[Player B]],ResultsInd[[#This Row],[Player A]]),""),"")</f>
        <v/>
      </c>
      <c r="AB722" s="8"/>
      <c r="AC722" s="8"/>
      <c r="AE722" s="90"/>
      <c r="AF722" s="90"/>
      <c r="AP722" s="8"/>
      <c r="AQ722" s="8"/>
      <c r="AR722" s="8"/>
      <c r="AS722" s="8"/>
      <c r="AT722" s="8"/>
      <c r="AU722" s="8"/>
      <c r="AV722" s="8"/>
      <c r="AW722" s="8"/>
      <c r="AX722" s="8"/>
      <c r="AY722" s="90"/>
      <c r="AZ722" s="90"/>
      <c r="BA722" s="90"/>
      <c r="BB722" s="90"/>
      <c r="BC722" s="90"/>
      <c r="BD722" s="90"/>
      <c r="BE722" s="90"/>
      <c r="BF722" s="90"/>
    </row>
    <row r="723" spans="1:58" x14ac:dyDescent="0.2">
      <c r="A723" s="62"/>
      <c r="B723" s="62"/>
      <c r="C723" s="62"/>
      <c r="D723" s="62"/>
      <c r="E723" s="345"/>
      <c r="F723" s="345"/>
      <c r="G723" s="113"/>
      <c r="H723" s="113"/>
      <c r="I723" s="114"/>
      <c r="J723" s="114"/>
      <c r="K723" s="114"/>
      <c r="L723" s="81"/>
      <c r="M723" s="265" t="b">
        <f>NOT(ISERROR(ResultsInd[[#This Row],[Goal-A]]+ResultsInd[[#This Row],[Goal-B]]))</f>
        <v>1</v>
      </c>
      <c r="N723" s="265">
        <f>VALUE(ResultsInd[[#This Row],[Score-A]])</f>
        <v>0</v>
      </c>
      <c r="O723" s="265">
        <f>VALUE(ResultsInd[[#This Row],[Score-B]])</f>
        <v>0</v>
      </c>
      <c r="P723" s="265" t="str">
        <f ca="1">IF(AND(ResultsInd[[#This Row],[Category]]&lt;&gt;"",ResultsInd[[#This Row],[Player A]]&lt;&gt;""),COUNTIF(INDIRECT(ResultsInd[[#This Row],[Category]]&amp;"List[Retained Player Name]"),ResultsInd[[#This Row],[Player A]]),"")</f>
        <v/>
      </c>
      <c r="Q723" s="265" t="str">
        <f ca="1">IF(AND(ResultsInd[[#This Row],[Category]]&lt;&gt;"",ResultsInd[[#This Row],[Player B]]&lt;&gt;""),COUNTIF(INDIRECT(ResultsInd[[#This Row],[Category]]&amp;"List[Retained Player Name]"),ResultsInd[[#This Row],[Player B]]),"")</f>
        <v/>
      </c>
      <c r="R7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3" s="265" t="str">
        <f>IF(ResultsInd[[#This Row],[Score_OK]],IF(ResultsInd[[#This Row],[Stage]]="Groups",ResultsInd[[#This Row],[Category]]&amp;"-"&amp;IF(ResultsInd[[#This Row],[Player B]]="","",IF(ResultsInd[[#This Row],[Score-A]]=ResultsInd[[#This Row],[Score-B]],ResultsInd[[#This Row],[Player A]],"")),""),"")</f>
        <v/>
      </c>
      <c r="T723" s="265" t="str">
        <f>IF(ResultsInd[[#This Row],[Score_OK]],IF(ResultsInd[[#This Row],[Stage]]="Groups",ResultsInd[[#This Row],[Category]]&amp;"-"&amp;IF(ResultsInd[[#This Row],[Player B]]="","",IF(ResultsInd[[#This Row],[Score-A]]=ResultsInd[[#This Row],[Score-B]],ResultsInd[[#This Row],[Player B]],"")),""),"")</f>
        <v/>
      </c>
      <c r="U7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3" s="264" t="str">
        <f>IF(ResultsInd[[#This Row],[Category]]="","",VLOOKUP(ResultsInd[[#This Row],[Stage]],$P$1:$V$9,MATCH(ResultsInd[[#This Row],[Category]],$Q$1:$V$1,0)+1,FALSE))</f>
        <v/>
      </c>
      <c r="Z723" s="264" t="str">
        <f>IF(ResultsInd[[#This Row],[Score_OK]],IF(ResultsInd[[#This Row],[Level]]="R",ResultsInd[[#This Row],[Category]]&amp;"-"&amp;IF(ResultsInd[[#This Row],[LoseInKO]]=ResultsInd[[#This Row],[Category]]&amp;"-"&amp;ResultsInd[[#This Row],[Player A]],ResultsInd[[#This Row],[Player B]],ResultsInd[[#This Row],[Player A]]),""),"")</f>
        <v/>
      </c>
      <c r="AB723" s="8"/>
      <c r="AC723" s="8"/>
      <c r="AE723" s="90"/>
      <c r="AF723" s="90"/>
      <c r="AP723" s="8"/>
      <c r="AQ723" s="8"/>
      <c r="AR723" s="8"/>
      <c r="AS723" s="8"/>
      <c r="AT723" s="8"/>
      <c r="AU723" s="8"/>
      <c r="AV723" s="8"/>
      <c r="AW723" s="8"/>
      <c r="AX723" s="8"/>
      <c r="AY723" s="90"/>
      <c r="AZ723" s="90"/>
      <c r="BA723" s="90"/>
      <c r="BB723" s="90"/>
      <c r="BC723" s="90"/>
      <c r="BD723" s="90"/>
      <c r="BE723" s="90"/>
      <c r="BF723" s="90"/>
    </row>
    <row r="724" spans="1:58" x14ac:dyDescent="0.2">
      <c r="A724" s="62"/>
      <c r="B724" s="62"/>
      <c r="C724" s="62"/>
      <c r="D724" s="62"/>
      <c r="E724" s="345"/>
      <c r="F724" s="345"/>
      <c r="G724" s="113"/>
      <c r="H724" s="113"/>
      <c r="I724" s="114"/>
      <c r="J724" s="114"/>
      <c r="K724" s="114"/>
      <c r="L724" s="81"/>
      <c r="M724" s="265" t="b">
        <f>NOT(ISERROR(ResultsInd[[#This Row],[Goal-A]]+ResultsInd[[#This Row],[Goal-B]]))</f>
        <v>1</v>
      </c>
      <c r="N724" s="265">
        <f>VALUE(ResultsInd[[#This Row],[Score-A]])</f>
        <v>0</v>
      </c>
      <c r="O724" s="265">
        <f>VALUE(ResultsInd[[#This Row],[Score-B]])</f>
        <v>0</v>
      </c>
      <c r="P724" s="265" t="str">
        <f ca="1">IF(AND(ResultsInd[[#This Row],[Category]]&lt;&gt;"",ResultsInd[[#This Row],[Player A]]&lt;&gt;""),COUNTIF(INDIRECT(ResultsInd[[#This Row],[Category]]&amp;"List[Retained Player Name]"),ResultsInd[[#This Row],[Player A]]),"")</f>
        <v/>
      </c>
      <c r="Q724" s="265" t="str">
        <f ca="1">IF(AND(ResultsInd[[#This Row],[Category]]&lt;&gt;"",ResultsInd[[#This Row],[Player B]]&lt;&gt;""),COUNTIF(INDIRECT(ResultsInd[[#This Row],[Category]]&amp;"List[Retained Player Name]"),ResultsInd[[#This Row],[Player B]]),"")</f>
        <v/>
      </c>
      <c r="R7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4" s="265" t="str">
        <f>IF(ResultsInd[[#This Row],[Score_OK]],IF(ResultsInd[[#This Row],[Stage]]="Groups",ResultsInd[[#This Row],[Category]]&amp;"-"&amp;IF(ResultsInd[[#This Row],[Player B]]="","",IF(ResultsInd[[#This Row],[Score-A]]=ResultsInd[[#This Row],[Score-B]],ResultsInd[[#This Row],[Player A]],"")),""),"")</f>
        <v/>
      </c>
      <c r="T724" s="265" t="str">
        <f>IF(ResultsInd[[#This Row],[Score_OK]],IF(ResultsInd[[#This Row],[Stage]]="Groups",ResultsInd[[#This Row],[Category]]&amp;"-"&amp;IF(ResultsInd[[#This Row],[Player B]]="","",IF(ResultsInd[[#This Row],[Score-A]]=ResultsInd[[#This Row],[Score-B]],ResultsInd[[#This Row],[Player B]],"")),""),"")</f>
        <v/>
      </c>
      <c r="U7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4" s="264" t="str">
        <f>IF(ResultsInd[[#This Row],[Category]]="","",VLOOKUP(ResultsInd[[#This Row],[Stage]],$P$1:$V$9,MATCH(ResultsInd[[#This Row],[Category]],$Q$1:$V$1,0)+1,FALSE))</f>
        <v/>
      </c>
      <c r="Z724" s="264" t="str">
        <f>IF(ResultsInd[[#This Row],[Score_OK]],IF(ResultsInd[[#This Row],[Level]]="R",ResultsInd[[#This Row],[Category]]&amp;"-"&amp;IF(ResultsInd[[#This Row],[LoseInKO]]=ResultsInd[[#This Row],[Category]]&amp;"-"&amp;ResultsInd[[#This Row],[Player A]],ResultsInd[[#This Row],[Player B]],ResultsInd[[#This Row],[Player A]]),""),"")</f>
        <v/>
      </c>
      <c r="AB724" s="8"/>
      <c r="AC724" s="8"/>
      <c r="AE724" s="90"/>
      <c r="AF724" s="90"/>
      <c r="AP724" s="8"/>
      <c r="AQ724" s="8"/>
      <c r="AR724" s="8"/>
      <c r="AS724" s="8"/>
      <c r="AT724" s="8"/>
      <c r="AU724" s="8"/>
      <c r="AV724" s="8"/>
      <c r="AW724" s="8"/>
      <c r="AX724" s="8"/>
      <c r="AY724" s="90"/>
      <c r="AZ724" s="90"/>
      <c r="BA724" s="90"/>
      <c r="BB724" s="90"/>
      <c r="BC724" s="90"/>
      <c r="BD724" s="90"/>
      <c r="BE724" s="90"/>
      <c r="BF724" s="90"/>
    </row>
    <row r="725" spans="1:58" x14ac:dyDescent="0.2">
      <c r="A725" s="62"/>
      <c r="B725" s="62"/>
      <c r="C725" s="62"/>
      <c r="D725" s="62"/>
      <c r="E725" s="345"/>
      <c r="F725" s="345"/>
      <c r="G725" s="113"/>
      <c r="H725" s="113"/>
      <c r="I725" s="114"/>
      <c r="J725" s="114"/>
      <c r="K725" s="114"/>
      <c r="L725" s="81"/>
      <c r="M725" s="265" t="b">
        <f>NOT(ISERROR(ResultsInd[[#This Row],[Goal-A]]+ResultsInd[[#This Row],[Goal-B]]))</f>
        <v>1</v>
      </c>
      <c r="N725" s="265">
        <f>VALUE(ResultsInd[[#This Row],[Score-A]])</f>
        <v>0</v>
      </c>
      <c r="O725" s="265">
        <f>VALUE(ResultsInd[[#This Row],[Score-B]])</f>
        <v>0</v>
      </c>
      <c r="P725" s="265" t="str">
        <f ca="1">IF(AND(ResultsInd[[#This Row],[Category]]&lt;&gt;"",ResultsInd[[#This Row],[Player A]]&lt;&gt;""),COUNTIF(INDIRECT(ResultsInd[[#This Row],[Category]]&amp;"List[Retained Player Name]"),ResultsInd[[#This Row],[Player A]]),"")</f>
        <v/>
      </c>
      <c r="Q725" s="265" t="str">
        <f ca="1">IF(AND(ResultsInd[[#This Row],[Category]]&lt;&gt;"",ResultsInd[[#This Row],[Player B]]&lt;&gt;""),COUNTIF(INDIRECT(ResultsInd[[#This Row],[Category]]&amp;"List[Retained Player Name]"),ResultsInd[[#This Row],[Player B]]),"")</f>
        <v/>
      </c>
      <c r="R7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5" s="265" t="str">
        <f>IF(ResultsInd[[#This Row],[Score_OK]],IF(ResultsInd[[#This Row],[Stage]]="Groups",ResultsInd[[#This Row],[Category]]&amp;"-"&amp;IF(ResultsInd[[#This Row],[Player B]]="","",IF(ResultsInd[[#This Row],[Score-A]]=ResultsInd[[#This Row],[Score-B]],ResultsInd[[#This Row],[Player A]],"")),""),"")</f>
        <v/>
      </c>
      <c r="T725" s="265" t="str">
        <f>IF(ResultsInd[[#This Row],[Score_OK]],IF(ResultsInd[[#This Row],[Stage]]="Groups",ResultsInd[[#This Row],[Category]]&amp;"-"&amp;IF(ResultsInd[[#This Row],[Player B]]="","",IF(ResultsInd[[#This Row],[Score-A]]=ResultsInd[[#This Row],[Score-B]],ResultsInd[[#This Row],[Player B]],"")),""),"")</f>
        <v/>
      </c>
      <c r="U7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5" s="264" t="str">
        <f>IF(ResultsInd[[#This Row],[Category]]="","",VLOOKUP(ResultsInd[[#This Row],[Stage]],$P$1:$V$9,MATCH(ResultsInd[[#This Row],[Category]],$Q$1:$V$1,0)+1,FALSE))</f>
        <v/>
      </c>
      <c r="Z725" s="264" t="str">
        <f>IF(ResultsInd[[#This Row],[Score_OK]],IF(ResultsInd[[#This Row],[Level]]="R",ResultsInd[[#This Row],[Category]]&amp;"-"&amp;IF(ResultsInd[[#This Row],[LoseInKO]]=ResultsInd[[#This Row],[Category]]&amp;"-"&amp;ResultsInd[[#This Row],[Player A]],ResultsInd[[#This Row],[Player B]],ResultsInd[[#This Row],[Player A]]),""),"")</f>
        <v/>
      </c>
      <c r="AB725" s="8"/>
      <c r="AC725" s="8"/>
      <c r="AE725" s="90"/>
      <c r="AF725" s="90"/>
      <c r="AP725" s="8"/>
      <c r="AQ725" s="8"/>
      <c r="AR725" s="8"/>
      <c r="AS725" s="8"/>
      <c r="AT725" s="8"/>
      <c r="AU725" s="8"/>
      <c r="AV725" s="8"/>
      <c r="AW725" s="8"/>
      <c r="AX725" s="8"/>
      <c r="AY725" s="90"/>
      <c r="AZ725" s="90"/>
      <c r="BA725" s="90"/>
      <c r="BB725" s="90"/>
      <c r="BC725" s="90"/>
      <c r="BD725" s="90"/>
      <c r="BE725" s="90"/>
      <c r="BF725" s="90"/>
    </row>
    <row r="726" spans="1:58" x14ac:dyDescent="0.2">
      <c r="A726" s="62"/>
      <c r="B726" s="62"/>
      <c r="C726" s="62"/>
      <c r="D726" s="62"/>
      <c r="E726" s="345"/>
      <c r="F726" s="345"/>
      <c r="G726" s="113"/>
      <c r="H726" s="113"/>
      <c r="I726" s="114"/>
      <c r="J726" s="114"/>
      <c r="K726" s="114"/>
      <c r="L726" s="81"/>
      <c r="M726" s="265" t="b">
        <f>NOT(ISERROR(ResultsInd[[#This Row],[Goal-A]]+ResultsInd[[#This Row],[Goal-B]]))</f>
        <v>1</v>
      </c>
      <c r="N726" s="265">
        <f>VALUE(ResultsInd[[#This Row],[Score-A]])</f>
        <v>0</v>
      </c>
      <c r="O726" s="265">
        <f>VALUE(ResultsInd[[#This Row],[Score-B]])</f>
        <v>0</v>
      </c>
      <c r="P726" s="265" t="str">
        <f ca="1">IF(AND(ResultsInd[[#This Row],[Category]]&lt;&gt;"",ResultsInd[[#This Row],[Player A]]&lt;&gt;""),COUNTIF(INDIRECT(ResultsInd[[#This Row],[Category]]&amp;"List[Retained Player Name]"),ResultsInd[[#This Row],[Player A]]),"")</f>
        <v/>
      </c>
      <c r="Q726" s="265" t="str">
        <f ca="1">IF(AND(ResultsInd[[#This Row],[Category]]&lt;&gt;"",ResultsInd[[#This Row],[Player B]]&lt;&gt;""),COUNTIF(INDIRECT(ResultsInd[[#This Row],[Category]]&amp;"List[Retained Player Name]"),ResultsInd[[#This Row],[Player B]]),"")</f>
        <v/>
      </c>
      <c r="R7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6" s="265" t="str">
        <f>IF(ResultsInd[[#This Row],[Score_OK]],IF(ResultsInd[[#This Row],[Stage]]="Groups",ResultsInd[[#This Row],[Category]]&amp;"-"&amp;IF(ResultsInd[[#This Row],[Player B]]="","",IF(ResultsInd[[#This Row],[Score-A]]=ResultsInd[[#This Row],[Score-B]],ResultsInd[[#This Row],[Player A]],"")),""),"")</f>
        <v/>
      </c>
      <c r="T726" s="265" t="str">
        <f>IF(ResultsInd[[#This Row],[Score_OK]],IF(ResultsInd[[#This Row],[Stage]]="Groups",ResultsInd[[#This Row],[Category]]&amp;"-"&amp;IF(ResultsInd[[#This Row],[Player B]]="","",IF(ResultsInd[[#This Row],[Score-A]]=ResultsInd[[#This Row],[Score-B]],ResultsInd[[#This Row],[Player B]],"")),""),"")</f>
        <v/>
      </c>
      <c r="U7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6" s="264" t="str">
        <f>IF(ResultsInd[[#This Row],[Category]]="","",VLOOKUP(ResultsInd[[#This Row],[Stage]],$P$1:$V$9,MATCH(ResultsInd[[#This Row],[Category]],$Q$1:$V$1,0)+1,FALSE))</f>
        <v/>
      </c>
      <c r="Z726" s="264" t="str">
        <f>IF(ResultsInd[[#This Row],[Score_OK]],IF(ResultsInd[[#This Row],[Level]]="R",ResultsInd[[#This Row],[Category]]&amp;"-"&amp;IF(ResultsInd[[#This Row],[LoseInKO]]=ResultsInd[[#This Row],[Category]]&amp;"-"&amp;ResultsInd[[#This Row],[Player A]],ResultsInd[[#This Row],[Player B]],ResultsInd[[#This Row],[Player A]]),""),"")</f>
        <v/>
      </c>
      <c r="AB726" s="8"/>
      <c r="AC726" s="8"/>
      <c r="AE726" s="90"/>
      <c r="AF726" s="90"/>
      <c r="AP726" s="8"/>
      <c r="AQ726" s="8"/>
      <c r="AR726" s="8"/>
      <c r="AS726" s="8"/>
      <c r="AT726" s="8"/>
      <c r="AU726" s="8"/>
      <c r="AV726" s="8"/>
      <c r="AW726" s="8"/>
      <c r="AX726" s="8"/>
      <c r="AY726" s="90"/>
      <c r="AZ726" s="90"/>
      <c r="BA726" s="90"/>
      <c r="BB726" s="90"/>
      <c r="BC726" s="90"/>
      <c r="BD726" s="90"/>
      <c r="BE726" s="90"/>
      <c r="BF726" s="90"/>
    </row>
    <row r="727" spans="1:58" x14ac:dyDescent="0.2">
      <c r="A727" s="62"/>
      <c r="B727" s="62"/>
      <c r="C727" s="62"/>
      <c r="D727" s="62"/>
      <c r="E727" s="345"/>
      <c r="F727" s="345"/>
      <c r="G727" s="113"/>
      <c r="H727" s="113"/>
      <c r="I727" s="114"/>
      <c r="J727" s="114"/>
      <c r="K727" s="114"/>
      <c r="L727" s="81"/>
      <c r="M727" s="265" t="b">
        <f>NOT(ISERROR(ResultsInd[[#This Row],[Goal-A]]+ResultsInd[[#This Row],[Goal-B]]))</f>
        <v>1</v>
      </c>
      <c r="N727" s="265">
        <f>VALUE(ResultsInd[[#This Row],[Score-A]])</f>
        <v>0</v>
      </c>
      <c r="O727" s="265">
        <f>VALUE(ResultsInd[[#This Row],[Score-B]])</f>
        <v>0</v>
      </c>
      <c r="P727" s="265" t="str">
        <f ca="1">IF(AND(ResultsInd[[#This Row],[Category]]&lt;&gt;"",ResultsInd[[#This Row],[Player A]]&lt;&gt;""),COUNTIF(INDIRECT(ResultsInd[[#This Row],[Category]]&amp;"List[Retained Player Name]"),ResultsInd[[#This Row],[Player A]]),"")</f>
        <v/>
      </c>
      <c r="Q727" s="265" t="str">
        <f ca="1">IF(AND(ResultsInd[[#This Row],[Category]]&lt;&gt;"",ResultsInd[[#This Row],[Player B]]&lt;&gt;""),COUNTIF(INDIRECT(ResultsInd[[#This Row],[Category]]&amp;"List[Retained Player Name]"),ResultsInd[[#This Row],[Player B]]),"")</f>
        <v/>
      </c>
      <c r="R7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7" s="265" t="str">
        <f>IF(ResultsInd[[#This Row],[Score_OK]],IF(ResultsInd[[#This Row],[Stage]]="Groups",ResultsInd[[#This Row],[Category]]&amp;"-"&amp;IF(ResultsInd[[#This Row],[Player B]]="","",IF(ResultsInd[[#This Row],[Score-A]]=ResultsInd[[#This Row],[Score-B]],ResultsInd[[#This Row],[Player A]],"")),""),"")</f>
        <v/>
      </c>
      <c r="T727" s="265" t="str">
        <f>IF(ResultsInd[[#This Row],[Score_OK]],IF(ResultsInd[[#This Row],[Stage]]="Groups",ResultsInd[[#This Row],[Category]]&amp;"-"&amp;IF(ResultsInd[[#This Row],[Player B]]="","",IF(ResultsInd[[#This Row],[Score-A]]=ResultsInd[[#This Row],[Score-B]],ResultsInd[[#This Row],[Player B]],"")),""),"")</f>
        <v/>
      </c>
      <c r="U7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7" s="264" t="str">
        <f>IF(ResultsInd[[#This Row],[Category]]="","",VLOOKUP(ResultsInd[[#This Row],[Stage]],$P$1:$V$9,MATCH(ResultsInd[[#This Row],[Category]],$Q$1:$V$1,0)+1,FALSE))</f>
        <v/>
      </c>
      <c r="Z727" s="264" t="str">
        <f>IF(ResultsInd[[#This Row],[Score_OK]],IF(ResultsInd[[#This Row],[Level]]="R",ResultsInd[[#This Row],[Category]]&amp;"-"&amp;IF(ResultsInd[[#This Row],[LoseInKO]]=ResultsInd[[#This Row],[Category]]&amp;"-"&amp;ResultsInd[[#This Row],[Player A]],ResultsInd[[#This Row],[Player B]],ResultsInd[[#This Row],[Player A]]),""),"")</f>
        <v/>
      </c>
      <c r="AB727" s="8"/>
      <c r="AC727" s="8"/>
      <c r="AE727" s="90"/>
      <c r="AF727" s="90"/>
      <c r="AP727" s="8"/>
      <c r="AQ727" s="8"/>
      <c r="AR727" s="8"/>
      <c r="AS727" s="8"/>
      <c r="AT727" s="8"/>
      <c r="AU727" s="8"/>
      <c r="AV727" s="8"/>
      <c r="AW727" s="8"/>
      <c r="AX727" s="8"/>
      <c r="AY727" s="90"/>
      <c r="AZ727" s="90"/>
      <c r="BA727" s="90"/>
      <c r="BB727" s="90"/>
      <c r="BC727" s="90"/>
      <c r="BD727" s="90"/>
      <c r="BE727" s="90"/>
      <c r="BF727" s="90"/>
    </row>
    <row r="728" spans="1:58" x14ac:dyDescent="0.2">
      <c r="A728" s="62"/>
      <c r="B728" s="62"/>
      <c r="C728" s="62"/>
      <c r="D728" s="62"/>
      <c r="E728" s="345"/>
      <c r="F728" s="345"/>
      <c r="G728" s="113"/>
      <c r="H728" s="113"/>
      <c r="I728" s="114"/>
      <c r="J728" s="114"/>
      <c r="K728" s="114"/>
      <c r="L728" s="81"/>
      <c r="M728" s="265" t="b">
        <f>NOT(ISERROR(ResultsInd[[#This Row],[Goal-A]]+ResultsInd[[#This Row],[Goal-B]]))</f>
        <v>1</v>
      </c>
      <c r="N728" s="265">
        <f>VALUE(ResultsInd[[#This Row],[Score-A]])</f>
        <v>0</v>
      </c>
      <c r="O728" s="265">
        <f>VALUE(ResultsInd[[#This Row],[Score-B]])</f>
        <v>0</v>
      </c>
      <c r="P728" s="265" t="str">
        <f ca="1">IF(AND(ResultsInd[[#This Row],[Category]]&lt;&gt;"",ResultsInd[[#This Row],[Player A]]&lt;&gt;""),COUNTIF(INDIRECT(ResultsInd[[#This Row],[Category]]&amp;"List[Retained Player Name]"),ResultsInd[[#This Row],[Player A]]),"")</f>
        <v/>
      </c>
      <c r="Q728" s="265" t="str">
        <f ca="1">IF(AND(ResultsInd[[#This Row],[Category]]&lt;&gt;"",ResultsInd[[#This Row],[Player B]]&lt;&gt;""),COUNTIF(INDIRECT(ResultsInd[[#This Row],[Category]]&amp;"List[Retained Player Name]"),ResultsInd[[#This Row],[Player B]]),"")</f>
        <v/>
      </c>
      <c r="R7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8" s="265" t="str">
        <f>IF(ResultsInd[[#This Row],[Score_OK]],IF(ResultsInd[[#This Row],[Stage]]="Groups",ResultsInd[[#This Row],[Category]]&amp;"-"&amp;IF(ResultsInd[[#This Row],[Player B]]="","",IF(ResultsInd[[#This Row],[Score-A]]=ResultsInd[[#This Row],[Score-B]],ResultsInd[[#This Row],[Player A]],"")),""),"")</f>
        <v/>
      </c>
      <c r="T728" s="265" t="str">
        <f>IF(ResultsInd[[#This Row],[Score_OK]],IF(ResultsInd[[#This Row],[Stage]]="Groups",ResultsInd[[#This Row],[Category]]&amp;"-"&amp;IF(ResultsInd[[#This Row],[Player B]]="","",IF(ResultsInd[[#This Row],[Score-A]]=ResultsInd[[#This Row],[Score-B]],ResultsInd[[#This Row],[Player B]],"")),""),"")</f>
        <v/>
      </c>
      <c r="U7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8" s="264" t="str">
        <f>IF(ResultsInd[[#This Row],[Category]]="","",VLOOKUP(ResultsInd[[#This Row],[Stage]],$P$1:$V$9,MATCH(ResultsInd[[#This Row],[Category]],$Q$1:$V$1,0)+1,FALSE))</f>
        <v/>
      </c>
      <c r="Z728" s="264" t="str">
        <f>IF(ResultsInd[[#This Row],[Score_OK]],IF(ResultsInd[[#This Row],[Level]]="R",ResultsInd[[#This Row],[Category]]&amp;"-"&amp;IF(ResultsInd[[#This Row],[LoseInKO]]=ResultsInd[[#This Row],[Category]]&amp;"-"&amp;ResultsInd[[#This Row],[Player A]],ResultsInd[[#This Row],[Player B]],ResultsInd[[#This Row],[Player A]]),""),"")</f>
        <v/>
      </c>
      <c r="AB728" s="8"/>
      <c r="AC728" s="8"/>
      <c r="AE728" s="90"/>
      <c r="AF728" s="90"/>
      <c r="AP728" s="8"/>
      <c r="AQ728" s="8"/>
      <c r="AR728" s="8"/>
      <c r="AS728" s="8"/>
      <c r="AT728" s="8"/>
      <c r="AU728" s="8"/>
      <c r="AV728" s="8"/>
      <c r="AW728" s="8"/>
      <c r="AX728" s="8"/>
      <c r="AY728" s="90"/>
      <c r="AZ728" s="90"/>
      <c r="BA728" s="90"/>
      <c r="BB728" s="90"/>
      <c r="BC728" s="90"/>
      <c r="BD728" s="90"/>
      <c r="BE728" s="90"/>
      <c r="BF728" s="90"/>
    </row>
    <row r="729" spans="1:58" x14ac:dyDescent="0.2">
      <c r="A729" s="62"/>
      <c r="B729" s="62"/>
      <c r="C729" s="62"/>
      <c r="D729" s="62"/>
      <c r="E729" s="345"/>
      <c r="F729" s="345"/>
      <c r="G729" s="113"/>
      <c r="H729" s="113"/>
      <c r="I729" s="114"/>
      <c r="J729" s="114"/>
      <c r="K729" s="114"/>
      <c r="L729" s="81"/>
      <c r="M729" s="265" t="b">
        <f>NOT(ISERROR(ResultsInd[[#This Row],[Goal-A]]+ResultsInd[[#This Row],[Goal-B]]))</f>
        <v>1</v>
      </c>
      <c r="N729" s="265">
        <f>VALUE(ResultsInd[[#This Row],[Score-A]])</f>
        <v>0</v>
      </c>
      <c r="O729" s="265">
        <f>VALUE(ResultsInd[[#This Row],[Score-B]])</f>
        <v>0</v>
      </c>
      <c r="P729" s="265" t="str">
        <f ca="1">IF(AND(ResultsInd[[#This Row],[Category]]&lt;&gt;"",ResultsInd[[#This Row],[Player A]]&lt;&gt;""),COUNTIF(INDIRECT(ResultsInd[[#This Row],[Category]]&amp;"List[Retained Player Name]"),ResultsInd[[#This Row],[Player A]]),"")</f>
        <v/>
      </c>
      <c r="Q729" s="265" t="str">
        <f ca="1">IF(AND(ResultsInd[[#This Row],[Category]]&lt;&gt;"",ResultsInd[[#This Row],[Player B]]&lt;&gt;""),COUNTIF(INDIRECT(ResultsInd[[#This Row],[Category]]&amp;"List[Retained Player Name]"),ResultsInd[[#This Row],[Player B]]),"")</f>
        <v/>
      </c>
      <c r="R7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9" s="265" t="str">
        <f>IF(ResultsInd[[#This Row],[Score_OK]],IF(ResultsInd[[#This Row],[Stage]]="Groups",ResultsInd[[#This Row],[Category]]&amp;"-"&amp;IF(ResultsInd[[#This Row],[Player B]]="","",IF(ResultsInd[[#This Row],[Score-A]]=ResultsInd[[#This Row],[Score-B]],ResultsInd[[#This Row],[Player A]],"")),""),"")</f>
        <v/>
      </c>
      <c r="T729" s="265" t="str">
        <f>IF(ResultsInd[[#This Row],[Score_OK]],IF(ResultsInd[[#This Row],[Stage]]="Groups",ResultsInd[[#This Row],[Category]]&amp;"-"&amp;IF(ResultsInd[[#This Row],[Player B]]="","",IF(ResultsInd[[#This Row],[Score-A]]=ResultsInd[[#This Row],[Score-B]],ResultsInd[[#This Row],[Player B]],"")),""),"")</f>
        <v/>
      </c>
      <c r="U7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9" s="264" t="str">
        <f>IF(ResultsInd[[#This Row],[Category]]="","",VLOOKUP(ResultsInd[[#This Row],[Stage]],$P$1:$V$9,MATCH(ResultsInd[[#This Row],[Category]],$Q$1:$V$1,0)+1,FALSE))</f>
        <v/>
      </c>
      <c r="Z729" s="264" t="str">
        <f>IF(ResultsInd[[#This Row],[Score_OK]],IF(ResultsInd[[#This Row],[Level]]="R",ResultsInd[[#This Row],[Category]]&amp;"-"&amp;IF(ResultsInd[[#This Row],[LoseInKO]]=ResultsInd[[#This Row],[Category]]&amp;"-"&amp;ResultsInd[[#This Row],[Player A]],ResultsInd[[#This Row],[Player B]],ResultsInd[[#This Row],[Player A]]),""),"")</f>
        <v/>
      </c>
      <c r="AB729" s="8"/>
      <c r="AC729" s="8"/>
      <c r="AE729" s="90"/>
      <c r="AF729" s="90"/>
      <c r="AP729" s="8"/>
      <c r="AQ729" s="8"/>
      <c r="AR729" s="8"/>
      <c r="AS729" s="8"/>
      <c r="AT729" s="8"/>
      <c r="AU729" s="8"/>
      <c r="AV729" s="8"/>
      <c r="AW729" s="8"/>
      <c r="AX729" s="8"/>
      <c r="AY729" s="90"/>
      <c r="AZ729" s="90"/>
      <c r="BA729" s="90"/>
      <c r="BB729" s="90"/>
      <c r="BC729" s="90"/>
      <c r="BD729" s="90"/>
      <c r="BE729" s="90"/>
      <c r="BF729" s="90"/>
    </row>
    <row r="730" spans="1:58" x14ac:dyDescent="0.2">
      <c r="A730" s="62"/>
      <c r="B730" s="62"/>
      <c r="C730" s="62"/>
      <c r="D730" s="62"/>
      <c r="E730" s="345"/>
      <c r="F730" s="345"/>
      <c r="G730" s="113"/>
      <c r="H730" s="113"/>
      <c r="I730" s="114"/>
      <c r="J730" s="114"/>
      <c r="K730" s="114"/>
      <c r="L730" s="81"/>
      <c r="M730" s="265" t="b">
        <f>NOT(ISERROR(ResultsInd[[#This Row],[Goal-A]]+ResultsInd[[#This Row],[Goal-B]]))</f>
        <v>1</v>
      </c>
      <c r="N730" s="265">
        <f>VALUE(ResultsInd[[#This Row],[Score-A]])</f>
        <v>0</v>
      </c>
      <c r="O730" s="265">
        <f>VALUE(ResultsInd[[#This Row],[Score-B]])</f>
        <v>0</v>
      </c>
      <c r="P730" s="265" t="str">
        <f ca="1">IF(AND(ResultsInd[[#This Row],[Category]]&lt;&gt;"",ResultsInd[[#This Row],[Player A]]&lt;&gt;""),COUNTIF(INDIRECT(ResultsInd[[#This Row],[Category]]&amp;"List[Retained Player Name]"),ResultsInd[[#This Row],[Player A]]),"")</f>
        <v/>
      </c>
      <c r="Q730" s="265" t="str">
        <f ca="1">IF(AND(ResultsInd[[#This Row],[Category]]&lt;&gt;"",ResultsInd[[#This Row],[Player B]]&lt;&gt;""),COUNTIF(INDIRECT(ResultsInd[[#This Row],[Category]]&amp;"List[Retained Player Name]"),ResultsInd[[#This Row],[Player B]]),"")</f>
        <v/>
      </c>
      <c r="R7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0" s="265" t="str">
        <f>IF(ResultsInd[[#This Row],[Score_OK]],IF(ResultsInd[[#This Row],[Stage]]="Groups",ResultsInd[[#This Row],[Category]]&amp;"-"&amp;IF(ResultsInd[[#This Row],[Player B]]="","",IF(ResultsInd[[#This Row],[Score-A]]=ResultsInd[[#This Row],[Score-B]],ResultsInd[[#This Row],[Player A]],"")),""),"")</f>
        <v/>
      </c>
      <c r="T730" s="265" t="str">
        <f>IF(ResultsInd[[#This Row],[Score_OK]],IF(ResultsInd[[#This Row],[Stage]]="Groups",ResultsInd[[#This Row],[Category]]&amp;"-"&amp;IF(ResultsInd[[#This Row],[Player B]]="","",IF(ResultsInd[[#This Row],[Score-A]]=ResultsInd[[#This Row],[Score-B]],ResultsInd[[#This Row],[Player B]],"")),""),"")</f>
        <v/>
      </c>
      <c r="U7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0" s="264" t="str">
        <f>IF(ResultsInd[[#This Row],[Category]]="","",VLOOKUP(ResultsInd[[#This Row],[Stage]],$P$1:$V$9,MATCH(ResultsInd[[#This Row],[Category]],$Q$1:$V$1,0)+1,FALSE))</f>
        <v/>
      </c>
      <c r="Z730" s="264" t="str">
        <f>IF(ResultsInd[[#This Row],[Score_OK]],IF(ResultsInd[[#This Row],[Level]]="R",ResultsInd[[#This Row],[Category]]&amp;"-"&amp;IF(ResultsInd[[#This Row],[LoseInKO]]=ResultsInd[[#This Row],[Category]]&amp;"-"&amp;ResultsInd[[#This Row],[Player A]],ResultsInd[[#This Row],[Player B]],ResultsInd[[#This Row],[Player A]]),""),"")</f>
        <v/>
      </c>
      <c r="AB730" s="8"/>
      <c r="AC730" s="8"/>
      <c r="AE730" s="90"/>
      <c r="AF730" s="90"/>
      <c r="AP730" s="8"/>
      <c r="AQ730" s="8"/>
      <c r="AR730" s="8"/>
      <c r="AS730" s="8"/>
      <c r="AT730" s="8"/>
      <c r="AU730" s="8"/>
      <c r="AV730" s="8"/>
      <c r="AW730" s="8"/>
      <c r="AX730" s="8"/>
      <c r="AY730" s="90"/>
      <c r="AZ730" s="90"/>
      <c r="BA730" s="90"/>
      <c r="BB730" s="90"/>
      <c r="BC730" s="90"/>
      <c r="BD730" s="90"/>
      <c r="BE730" s="90"/>
      <c r="BF730" s="90"/>
    </row>
    <row r="731" spans="1:58" x14ac:dyDescent="0.2">
      <c r="A731" s="62"/>
      <c r="B731" s="62"/>
      <c r="C731" s="62"/>
      <c r="D731" s="62"/>
      <c r="E731" s="345"/>
      <c r="F731" s="345"/>
      <c r="G731" s="113"/>
      <c r="H731" s="113"/>
      <c r="I731" s="114"/>
      <c r="J731" s="114"/>
      <c r="K731" s="114"/>
      <c r="L731" s="81"/>
      <c r="M731" s="265" t="b">
        <f>NOT(ISERROR(ResultsInd[[#This Row],[Goal-A]]+ResultsInd[[#This Row],[Goal-B]]))</f>
        <v>1</v>
      </c>
      <c r="N731" s="265">
        <f>VALUE(ResultsInd[[#This Row],[Score-A]])</f>
        <v>0</v>
      </c>
      <c r="O731" s="265">
        <f>VALUE(ResultsInd[[#This Row],[Score-B]])</f>
        <v>0</v>
      </c>
      <c r="P731" s="265" t="str">
        <f ca="1">IF(AND(ResultsInd[[#This Row],[Category]]&lt;&gt;"",ResultsInd[[#This Row],[Player A]]&lt;&gt;""),COUNTIF(INDIRECT(ResultsInd[[#This Row],[Category]]&amp;"List[Retained Player Name]"),ResultsInd[[#This Row],[Player A]]),"")</f>
        <v/>
      </c>
      <c r="Q731" s="265" t="str">
        <f ca="1">IF(AND(ResultsInd[[#This Row],[Category]]&lt;&gt;"",ResultsInd[[#This Row],[Player B]]&lt;&gt;""),COUNTIF(INDIRECT(ResultsInd[[#This Row],[Category]]&amp;"List[Retained Player Name]"),ResultsInd[[#This Row],[Player B]]),"")</f>
        <v/>
      </c>
      <c r="R7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1" s="265" t="str">
        <f>IF(ResultsInd[[#This Row],[Score_OK]],IF(ResultsInd[[#This Row],[Stage]]="Groups",ResultsInd[[#This Row],[Category]]&amp;"-"&amp;IF(ResultsInd[[#This Row],[Player B]]="","",IF(ResultsInd[[#This Row],[Score-A]]=ResultsInd[[#This Row],[Score-B]],ResultsInd[[#This Row],[Player A]],"")),""),"")</f>
        <v/>
      </c>
      <c r="T731" s="265" t="str">
        <f>IF(ResultsInd[[#This Row],[Score_OK]],IF(ResultsInd[[#This Row],[Stage]]="Groups",ResultsInd[[#This Row],[Category]]&amp;"-"&amp;IF(ResultsInd[[#This Row],[Player B]]="","",IF(ResultsInd[[#This Row],[Score-A]]=ResultsInd[[#This Row],[Score-B]],ResultsInd[[#This Row],[Player B]],"")),""),"")</f>
        <v/>
      </c>
      <c r="U7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1" s="264" t="str">
        <f>IF(ResultsInd[[#This Row],[Category]]="","",VLOOKUP(ResultsInd[[#This Row],[Stage]],$P$1:$V$9,MATCH(ResultsInd[[#This Row],[Category]],$Q$1:$V$1,0)+1,FALSE))</f>
        <v/>
      </c>
      <c r="Z731" s="264" t="str">
        <f>IF(ResultsInd[[#This Row],[Score_OK]],IF(ResultsInd[[#This Row],[Level]]="R",ResultsInd[[#This Row],[Category]]&amp;"-"&amp;IF(ResultsInd[[#This Row],[LoseInKO]]=ResultsInd[[#This Row],[Category]]&amp;"-"&amp;ResultsInd[[#This Row],[Player A]],ResultsInd[[#This Row],[Player B]],ResultsInd[[#This Row],[Player A]]),""),"")</f>
        <v/>
      </c>
      <c r="AB731" s="8"/>
      <c r="AC731" s="8"/>
      <c r="AE731" s="90"/>
      <c r="AF731" s="90"/>
      <c r="AP731" s="8"/>
      <c r="AQ731" s="8"/>
      <c r="AR731" s="8"/>
      <c r="AS731" s="8"/>
      <c r="AT731" s="8"/>
      <c r="AU731" s="8"/>
      <c r="AV731" s="8"/>
      <c r="AW731" s="8"/>
      <c r="AX731" s="8"/>
      <c r="AY731" s="90"/>
      <c r="AZ731" s="90"/>
      <c r="BA731" s="90"/>
      <c r="BB731" s="90"/>
      <c r="BC731" s="90"/>
      <c r="BD731" s="90"/>
      <c r="BE731" s="90"/>
      <c r="BF731" s="90"/>
    </row>
    <row r="732" spans="1:58" x14ac:dyDescent="0.2">
      <c r="A732" s="62"/>
      <c r="B732" s="62"/>
      <c r="C732" s="62"/>
      <c r="D732" s="62"/>
      <c r="E732" s="345"/>
      <c r="F732" s="345"/>
      <c r="G732" s="113"/>
      <c r="H732" s="113"/>
      <c r="I732" s="114"/>
      <c r="J732" s="114"/>
      <c r="K732" s="114"/>
      <c r="L732" s="81"/>
      <c r="M732" s="265" t="b">
        <f>NOT(ISERROR(ResultsInd[[#This Row],[Goal-A]]+ResultsInd[[#This Row],[Goal-B]]))</f>
        <v>1</v>
      </c>
      <c r="N732" s="265">
        <f>VALUE(ResultsInd[[#This Row],[Score-A]])</f>
        <v>0</v>
      </c>
      <c r="O732" s="265">
        <f>VALUE(ResultsInd[[#This Row],[Score-B]])</f>
        <v>0</v>
      </c>
      <c r="P732" s="265" t="str">
        <f ca="1">IF(AND(ResultsInd[[#This Row],[Category]]&lt;&gt;"",ResultsInd[[#This Row],[Player A]]&lt;&gt;""),COUNTIF(INDIRECT(ResultsInd[[#This Row],[Category]]&amp;"List[Retained Player Name]"),ResultsInd[[#This Row],[Player A]]),"")</f>
        <v/>
      </c>
      <c r="Q732" s="265" t="str">
        <f ca="1">IF(AND(ResultsInd[[#This Row],[Category]]&lt;&gt;"",ResultsInd[[#This Row],[Player B]]&lt;&gt;""),COUNTIF(INDIRECT(ResultsInd[[#This Row],[Category]]&amp;"List[Retained Player Name]"),ResultsInd[[#This Row],[Player B]]),"")</f>
        <v/>
      </c>
      <c r="R7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2" s="265" t="str">
        <f>IF(ResultsInd[[#This Row],[Score_OK]],IF(ResultsInd[[#This Row],[Stage]]="Groups",ResultsInd[[#This Row],[Category]]&amp;"-"&amp;IF(ResultsInd[[#This Row],[Player B]]="","",IF(ResultsInd[[#This Row],[Score-A]]=ResultsInd[[#This Row],[Score-B]],ResultsInd[[#This Row],[Player A]],"")),""),"")</f>
        <v/>
      </c>
      <c r="T732" s="265" t="str">
        <f>IF(ResultsInd[[#This Row],[Score_OK]],IF(ResultsInd[[#This Row],[Stage]]="Groups",ResultsInd[[#This Row],[Category]]&amp;"-"&amp;IF(ResultsInd[[#This Row],[Player B]]="","",IF(ResultsInd[[#This Row],[Score-A]]=ResultsInd[[#This Row],[Score-B]],ResultsInd[[#This Row],[Player B]],"")),""),"")</f>
        <v/>
      </c>
      <c r="U7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2" s="264" t="str">
        <f>IF(ResultsInd[[#This Row],[Category]]="","",VLOOKUP(ResultsInd[[#This Row],[Stage]],$P$1:$V$9,MATCH(ResultsInd[[#This Row],[Category]],$Q$1:$V$1,0)+1,FALSE))</f>
        <v/>
      </c>
      <c r="Z732" s="264" t="str">
        <f>IF(ResultsInd[[#This Row],[Score_OK]],IF(ResultsInd[[#This Row],[Level]]="R",ResultsInd[[#This Row],[Category]]&amp;"-"&amp;IF(ResultsInd[[#This Row],[LoseInKO]]=ResultsInd[[#This Row],[Category]]&amp;"-"&amp;ResultsInd[[#This Row],[Player A]],ResultsInd[[#This Row],[Player B]],ResultsInd[[#This Row],[Player A]]),""),"")</f>
        <v/>
      </c>
      <c r="AB732" s="8"/>
      <c r="AC732" s="8"/>
      <c r="AE732" s="90"/>
      <c r="AF732" s="90"/>
      <c r="AP732" s="8"/>
      <c r="AQ732" s="8"/>
      <c r="AR732" s="8"/>
      <c r="AS732" s="8"/>
      <c r="AT732" s="8"/>
      <c r="AU732" s="8"/>
      <c r="AV732" s="8"/>
      <c r="AW732" s="8"/>
      <c r="AX732" s="8"/>
      <c r="AY732" s="90"/>
      <c r="AZ732" s="90"/>
      <c r="BA732" s="90"/>
      <c r="BB732" s="90"/>
      <c r="BC732" s="90"/>
      <c r="BD732" s="90"/>
      <c r="BE732" s="90"/>
      <c r="BF732" s="90"/>
    </row>
    <row r="733" spans="1:58" x14ac:dyDescent="0.2">
      <c r="A733" s="62"/>
      <c r="B733" s="62"/>
      <c r="C733" s="62"/>
      <c r="D733" s="62"/>
      <c r="E733" s="345"/>
      <c r="F733" s="345"/>
      <c r="G733" s="113"/>
      <c r="H733" s="113"/>
      <c r="I733" s="114"/>
      <c r="J733" s="114"/>
      <c r="K733" s="114"/>
      <c r="L733" s="81"/>
      <c r="M733" s="265" t="b">
        <f>NOT(ISERROR(ResultsInd[[#This Row],[Goal-A]]+ResultsInd[[#This Row],[Goal-B]]))</f>
        <v>1</v>
      </c>
      <c r="N733" s="265">
        <f>VALUE(ResultsInd[[#This Row],[Score-A]])</f>
        <v>0</v>
      </c>
      <c r="O733" s="265">
        <f>VALUE(ResultsInd[[#This Row],[Score-B]])</f>
        <v>0</v>
      </c>
      <c r="P733" s="265" t="str">
        <f ca="1">IF(AND(ResultsInd[[#This Row],[Category]]&lt;&gt;"",ResultsInd[[#This Row],[Player A]]&lt;&gt;""),COUNTIF(INDIRECT(ResultsInd[[#This Row],[Category]]&amp;"List[Retained Player Name]"),ResultsInd[[#This Row],[Player A]]),"")</f>
        <v/>
      </c>
      <c r="Q733" s="265" t="str">
        <f ca="1">IF(AND(ResultsInd[[#This Row],[Category]]&lt;&gt;"",ResultsInd[[#This Row],[Player B]]&lt;&gt;""),COUNTIF(INDIRECT(ResultsInd[[#This Row],[Category]]&amp;"List[Retained Player Name]"),ResultsInd[[#This Row],[Player B]]),"")</f>
        <v/>
      </c>
      <c r="R7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3" s="265" t="str">
        <f>IF(ResultsInd[[#This Row],[Score_OK]],IF(ResultsInd[[#This Row],[Stage]]="Groups",ResultsInd[[#This Row],[Category]]&amp;"-"&amp;IF(ResultsInd[[#This Row],[Player B]]="","",IF(ResultsInd[[#This Row],[Score-A]]=ResultsInd[[#This Row],[Score-B]],ResultsInd[[#This Row],[Player A]],"")),""),"")</f>
        <v/>
      </c>
      <c r="T733" s="265" t="str">
        <f>IF(ResultsInd[[#This Row],[Score_OK]],IF(ResultsInd[[#This Row],[Stage]]="Groups",ResultsInd[[#This Row],[Category]]&amp;"-"&amp;IF(ResultsInd[[#This Row],[Player B]]="","",IF(ResultsInd[[#This Row],[Score-A]]=ResultsInd[[#This Row],[Score-B]],ResultsInd[[#This Row],[Player B]],"")),""),"")</f>
        <v/>
      </c>
      <c r="U7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3" s="264" t="str">
        <f>IF(ResultsInd[[#This Row],[Category]]="","",VLOOKUP(ResultsInd[[#This Row],[Stage]],$P$1:$V$9,MATCH(ResultsInd[[#This Row],[Category]],$Q$1:$V$1,0)+1,FALSE))</f>
        <v/>
      </c>
      <c r="Z733" s="264" t="str">
        <f>IF(ResultsInd[[#This Row],[Score_OK]],IF(ResultsInd[[#This Row],[Level]]="R",ResultsInd[[#This Row],[Category]]&amp;"-"&amp;IF(ResultsInd[[#This Row],[LoseInKO]]=ResultsInd[[#This Row],[Category]]&amp;"-"&amp;ResultsInd[[#This Row],[Player A]],ResultsInd[[#This Row],[Player B]],ResultsInd[[#This Row],[Player A]]),""),"")</f>
        <v/>
      </c>
      <c r="AB733" s="8"/>
      <c r="AC733" s="8"/>
      <c r="AE733" s="90"/>
      <c r="AF733" s="90"/>
      <c r="AP733" s="8"/>
      <c r="AQ733" s="8"/>
      <c r="AR733" s="8"/>
      <c r="AS733" s="8"/>
      <c r="AT733" s="8"/>
      <c r="AU733" s="8"/>
      <c r="AV733" s="8"/>
      <c r="AW733" s="8"/>
      <c r="AX733" s="8"/>
      <c r="AY733" s="90"/>
      <c r="AZ733" s="90"/>
      <c r="BA733" s="90"/>
      <c r="BB733" s="90"/>
      <c r="BC733" s="90"/>
      <c r="BD733" s="90"/>
      <c r="BE733" s="90"/>
      <c r="BF733" s="90"/>
    </row>
    <row r="734" spans="1:58" x14ac:dyDescent="0.2">
      <c r="A734" s="62"/>
      <c r="B734" s="62"/>
      <c r="C734" s="62"/>
      <c r="D734" s="62"/>
      <c r="E734" s="345"/>
      <c r="F734" s="345"/>
      <c r="G734" s="113"/>
      <c r="H734" s="113"/>
      <c r="I734" s="114"/>
      <c r="J734" s="114"/>
      <c r="K734" s="114"/>
      <c r="L734" s="81"/>
      <c r="M734" s="265" t="b">
        <f>NOT(ISERROR(ResultsInd[[#This Row],[Goal-A]]+ResultsInd[[#This Row],[Goal-B]]))</f>
        <v>1</v>
      </c>
      <c r="N734" s="265">
        <f>VALUE(ResultsInd[[#This Row],[Score-A]])</f>
        <v>0</v>
      </c>
      <c r="O734" s="265">
        <f>VALUE(ResultsInd[[#This Row],[Score-B]])</f>
        <v>0</v>
      </c>
      <c r="P734" s="265" t="str">
        <f ca="1">IF(AND(ResultsInd[[#This Row],[Category]]&lt;&gt;"",ResultsInd[[#This Row],[Player A]]&lt;&gt;""),COUNTIF(INDIRECT(ResultsInd[[#This Row],[Category]]&amp;"List[Retained Player Name]"),ResultsInd[[#This Row],[Player A]]),"")</f>
        <v/>
      </c>
      <c r="Q734" s="265" t="str">
        <f ca="1">IF(AND(ResultsInd[[#This Row],[Category]]&lt;&gt;"",ResultsInd[[#This Row],[Player B]]&lt;&gt;""),COUNTIF(INDIRECT(ResultsInd[[#This Row],[Category]]&amp;"List[Retained Player Name]"),ResultsInd[[#This Row],[Player B]]),"")</f>
        <v/>
      </c>
      <c r="R7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4" s="265" t="str">
        <f>IF(ResultsInd[[#This Row],[Score_OK]],IF(ResultsInd[[#This Row],[Stage]]="Groups",ResultsInd[[#This Row],[Category]]&amp;"-"&amp;IF(ResultsInd[[#This Row],[Player B]]="","",IF(ResultsInd[[#This Row],[Score-A]]=ResultsInd[[#This Row],[Score-B]],ResultsInd[[#This Row],[Player A]],"")),""),"")</f>
        <v/>
      </c>
      <c r="T734" s="265" t="str">
        <f>IF(ResultsInd[[#This Row],[Score_OK]],IF(ResultsInd[[#This Row],[Stage]]="Groups",ResultsInd[[#This Row],[Category]]&amp;"-"&amp;IF(ResultsInd[[#This Row],[Player B]]="","",IF(ResultsInd[[#This Row],[Score-A]]=ResultsInd[[#This Row],[Score-B]],ResultsInd[[#This Row],[Player B]],"")),""),"")</f>
        <v/>
      </c>
      <c r="U7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4" s="264" t="str">
        <f>IF(ResultsInd[[#This Row],[Category]]="","",VLOOKUP(ResultsInd[[#This Row],[Stage]],$P$1:$V$9,MATCH(ResultsInd[[#This Row],[Category]],$Q$1:$V$1,0)+1,FALSE))</f>
        <v/>
      </c>
      <c r="Z734" s="264" t="str">
        <f>IF(ResultsInd[[#This Row],[Score_OK]],IF(ResultsInd[[#This Row],[Level]]="R",ResultsInd[[#This Row],[Category]]&amp;"-"&amp;IF(ResultsInd[[#This Row],[LoseInKO]]=ResultsInd[[#This Row],[Category]]&amp;"-"&amp;ResultsInd[[#This Row],[Player A]],ResultsInd[[#This Row],[Player B]],ResultsInd[[#This Row],[Player A]]),""),"")</f>
        <v/>
      </c>
      <c r="AB734" s="8"/>
      <c r="AC734" s="8"/>
      <c r="AE734" s="90"/>
      <c r="AF734" s="90"/>
      <c r="AP734" s="8"/>
      <c r="AQ734" s="8"/>
      <c r="AR734" s="8"/>
      <c r="AS734" s="8"/>
      <c r="AT734" s="8"/>
      <c r="AU734" s="8"/>
      <c r="AV734" s="8"/>
      <c r="AW734" s="8"/>
      <c r="AX734" s="8"/>
      <c r="AY734" s="90"/>
      <c r="AZ734" s="90"/>
      <c r="BA734" s="90"/>
      <c r="BB734" s="90"/>
      <c r="BC734" s="90"/>
      <c r="BD734" s="90"/>
      <c r="BE734" s="90"/>
      <c r="BF734" s="90"/>
    </row>
    <row r="735" spans="1:58" x14ac:dyDescent="0.2">
      <c r="A735" s="62"/>
      <c r="B735" s="62"/>
      <c r="C735" s="62"/>
      <c r="D735" s="62"/>
      <c r="E735" s="345"/>
      <c r="F735" s="345"/>
      <c r="G735" s="113"/>
      <c r="H735" s="113"/>
      <c r="I735" s="114"/>
      <c r="J735" s="114"/>
      <c r="K735" s="114"/>
      <c r="L735" s="81"/>
      <c r="M735" s="265" t="b">
        <f>NOT(ISERROR(ResultsInd[[#This Row],[Goal-A]]+ResultsInd[[#This Row],[Goal-B]]))</f>
        <v>1</v>
      </c>
      <c r="N735" s="265">
        <f>VALUE(ResultsInd[[#This Row],[Score-A]])</f>
        <v>0</v>
      </c>
      <c r="O735" s="265">
        <f>VALUE(ResultsInd[[#This Row],[Score-B]])</f>
        <v>0</v>
      </c>
      <c r="P735" s="265" t="str">
        <f ca="1">IF(AND(ResultsInd[[#This Row],[Category]]&lt;&gt;"",ResultsInd[[#This Row],[Player A]]&lt;&gt;""),COUNTIF(INDIRECT(ResultsInd[[#This Row],[Category]]&amp;"List[Retained Player Name]"),ResultsInd[[#This Row],[Player A]]),"")</f>
        <v/>
      </c>
      <c r="Q735" s="265" t="str">
        <f ca="1">IF(AND(ResultsInd[[#This Row],[Category]]&lt;&gt;"",ResultsInd[[#This Row],[Player B]]&lt;&gt;""),COUNTIF(INDIRECT(ResultsInd[[#This Row],[Category]]&amp;"List[Retained Player Name]"),ResultsInd[[#This Row],[Player B]]),"")</f>
        <v/>
      </c>
      <c r="R7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5" s="265" t="str">
        <f>IF(ResultsInd[[#This Row],[Score_OK]],IF(ResultsInd[[#This Row],[Stage]]="Groups",ResultsInd[[#This Row],[Category]]&amp;"-"&amp;IF(ResultsInd[[#This Row],[Player B]]="","",IF(ResultsInd[[#This Row],[Score-A]]=ResultsInd[[#This Row],[Score-B]],ResultsInd[[#This Row],[Player A]],"")),""),"")</f>
        <v/>
      </c>
      <c r="T735" s="265" t="str">
        <f>IF(ResultsInd[[#This Row],[Score_OK]],IF(ResultsInd[[#This Row],[Stage]]="Groups",ResultsInd[[#This Row],[Category]]&amp;"-"&amp;IF(ResultsInd[[#This Row],[Player B]]="","",IF(ResultsInd[[#This Row],[Score-A]]=ResultsInd[[#This Row],[Score-B]],ResultsInd[[#This Row],[Player B]],"")),""),"")</f>
        <v/>
      </c>
      <c r="U7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5" s="264" t="str">
        <f>IF(ResultsInd[[#This Row],[Category]]="","",VLOOKUP(ResultsInd[[#This Row],[Stage]],$P$1:$V$9,MATCH(ResultsInd[[#This Row],[Category]],$Q$1:$V$1,0)+1,FALSE))</f>
        <v/>
      </c>
      <c r="Z735" s="264" t="str">
        <f>IF(ResultsInd[[#This Row],[Score_OK]],IF(ResultsInd[[#This Row],[Level]]="R",ResultsInd[[#This Row],[Category]]&amp;"-"&amp;IF(ResultsInd[[#This Row],[LoseInKO]]=ResultsInd[[#This Row],[Category]]&amp;"-"&amp;ResultsInd[[#This Row],[Player A]],ResultsInd[[#This Row],[Player B]],ResultsInd[[#This Row],[Player A]]),""),"")</f>
        <v/>
      </c>
      <c r="AB735" s="8"/>
      <c r="AC735" s="8"/>
      <c r="AE735" s="90"/>
      <c r="AF735" s="90"/>
      <c r="AP735" s="8"/>
      <c r="AQ735" s="8"/>
      <c r="AR735" s="8"/>
      <c r="AS735" s="8"/>
      <c r="AT735" s="8"/>
      <c r="AU735" s="8"/>
      <c r="AV735" s="8"/>
      <c r="AW735" s="8"/>
      <c r="AX735" s="8"/>
      <c r="AY735" s="90"/>
      <c r="AZ735" s="90"/>
      <c r="BA735" s="90"/>
      <c r="BB735" s="90"/>
      <c r="BC735" s="90"/>
      <c r="BD735" s="90"/>
      <c r="BE735" s="90"/>
      <c r="BF735" s="90"/>
    </row>
    <row r="736" spans="1:58" x14ac:dyDescent="0.2">
      <c r="A736" s="62"/>
      <c r="B736" s="62"/>
      <c r="C736" s="62"/>
      <c r="D736" s="62"/>
      <c r="E736" s="345"/>
      <c r="F736" s="345"/>
      <c r="G736" s="113"/>
      <c r="H736" s="113"/>
      <c r="I736" s="114"/>
      <c r="J736" s="114"/>
      <c r="K736" s="114"/>
      <c r="L736" s="81"/>
      <c r="M736" s="265" t="b">
        <f>NOT(ISERROR(ResultsInd[[#This Row],[Goal-A]]+ResultsInd[[#This Row],[Goal-B]]))</f>
        <v>1</v>
      </c>
      <c r="N736" s="265">
        <f>VALUE(ResultsInd[[#This Row],[Score-A]])</f>
        <v>0</v>
      </c>
      <c r="O736" s="265">
        <f>VALUE(ResultsInd[[#This Row],[Score-B]])</f>
        <v>0</v>
      </c>
      <c r="P736" s="265" t="str">
        <f ca="1">IF(AND(ResultsInd[[#This Row],[Category]]&lt;&gt;"",ResultsInd[[#This Row],[Player A]]&lt;&gt;""),COUNTIF(INDIRECT(ResultsInd[[#This Row],[Category]]&amp;"List[Retained Player Name]"),ResultsInd[[#This Row],[Player A]]),"")</f>
        <v/>
      </c>
      <c r="Q736" s="265" t="str">
        <f ca="1">IF(AND(ResultsInd[[#This Row],[Category]]&lt;&gt;"",ResultsInd[[#This Row],[Player B]]&lt;&gt;""),COUNTIF(INDIRECT(ResultsInd[[#This Row],[Category]]&amp;"List[Retained Player Name]"),ResultsInd[[#This Row],[Player B]]),"")</f>
        <v/>
      </c>
      <c r="R7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6" s="265" t="str">
        <f>IF(ResultsInd[[#This Row],[Score_OK]],IF(ResultsInd[[#This Row],[Stage]]="Groups",ResultsInd[[#This Row],[Category]]&amp;"-"&amp;IF(ResultsInd[[#This Row],[Player B]]="","",IF(ResultsInd[[#This Row],[Score-A]]=ResultsInd[[#This Row],[Score-B]],ResultsInd[[#This Row],[Player A]],"")),""),"")</f>
        <v/>
      </c>
      <c r="T736" s="265" t="str">
        <f>IF(ResultsInd[[#This Row],[Score_OK]],IF(ResultsInd[[#This Row],[Stage]]="Groups",ResultsInd[[#This Row],[Category]]&amp;"-"&amp;IF(ResultsInd[[#This Row],[Player B]]="","",IF(ResultsInd[[#This Row],[Score-A]]=ResultsInd[[#This Row],[Score-B]],ResultsInd[[#This Row],[Player B]],"")),""),"")</f>
        <v/>
      </c>
      <c r="U7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6" s="264" t="str">
        <f>IF(ResultsInd[[#This Row],[Category]]="","",VLOOKUP(ResultsInd[[#This Row],[Stage]],$P$1:$V$9,MATCH(ResultsInd[[#This Row],[Category]],$Q$1:$V$1,0)+1,FALSE))</f>
        <v/>
      </c>
      <c r="Z736" s="264" t="str">
        <f>IF(ResultsInd[[#This Row],[Score_OK]],IF(ResultsInd[[#This Row],[Level]]="R",ResultsInd[[#This Row],[Category]]&amp;"-"&amp;IF(ResultsInd[[#This Row],[LoseInKO]]=ResultsInd[[#This Row],[Category]]&amp;"-"&amp;ResultsInd[[#This Row],[Player A]],ResultsInd[[#This Row],[Player B]],ResultsInd[[#This Row],[Player A]]),""),"")</f>
        <v/>
      </c>
      <c r="AB736" s="8"/>
      <c r="AC736" s="8"/>
      <c r="AE736" s="90"/>
      <c r="AF736" s="90"/>
      <c r="AP736" s="8"/>
      <c r="AQ736" s="8"/>
      <c r="AR736" s="8"/>
      <c r="AS736" s="8"/>
      <c r="AT736" s="8"/>
      <c r="AU736" s="8"/>
      <c r="AV736" s="8"/>
      <c r="AW736" s="8"/>
      <c r="AX736" s="8"/>
      <c r="AY736" s="90"/>
      <c r="AZ736" s="90"/>
      <c r="BA736" s="90"/>
      <c r="BB736" s="90"/>
      <c r="BC736" s="90"/>
      <c r="BD736" s="90"/>
      <c r="BE736" s="90"/>
      <c r="BF736" s="90"/>
    </row>
    <row r="737" spans="1:58" x14ac:dyDescent="0.2">
      <c r="A737" s="62"/>
      <c r="B737" s="62"/>
      <c r="C737" s="62"/>
      <c r="D737" s="62"/>
      <c r="E737" s="345"/>
      <c r="F737" s="345"/>
      <c r="G737" s="113"/>
      <c r="H737" s="113"/>
      <c r="I737" s="114"/>
      <c r="J737" s="114"/>
      <c r="K737" s="114"/>
      <c r="L737" s="81"/>
      <c r="M737" s="265" t="b">
        <f>NOT(ISERROR(ResultsInd[[#This Row],[Goal-A]]+ResultsInd[[#This Row],[Goal-B]]))</f>
        <v>1</v>
      </c>
      <c r="N737" s="265">
        <f>VALUE(ResultsInd[[#This Row],[Score-A]])</f>
        <v>0</v>
      </c>
      <c r="O737" s="265">
        <f>VALUE(ResultsInd[[#This Row],[Score-B]])</f>
        <v>0</v>
      </c>
      <c r="P737" s="265" t="str">
        <f ca="1">IF(AND(ResultsInd[[#This Row],[Category]]&lt;&gt;"",ResultsInd[[#This Row],[Player A]]&lt;&gt;""),COUNTIF(INDIRECT(ResultsInd[[#This Row],[Category]]&amp;"List[Retained Player Name]"),ResultsInd[[#This Row],[Player A]]),"")</f>
        <v/>
      </c>
      <c r="Q737" s="265" t="str">
        <f ca="1">IF(AND(ResultsInd[[#This Row],[Category]]&lt;&gt;"",ResultsInd[[#This Row],[Player B]]&lt;&gt;""),COUNTIF(INDIRECT(ResultsInd[[#This Row],[Category]]&amp;"List[Retained Player Name]"),ResultsInd[[#This Row],[Player B]]),"")</f>
        <v/>
      </c>
      <c r="R7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7" s="265" t="str">
        <f>IF(ResultsInd[[#This Row],[Score_OK]],IF(ResultsInd[[#This Row],[Stage]]="Groups",ResultsInd[[#This Row],[Category]]&amp;"-"&amp;IF(ResultsInd[[#This Row],[Player B]]="","",IF(ResultsInd[[#This Row],[Score-A]]=ResultsInd[[#This Row],[Score-B]],ResultsInd[[#This Row],[Player A]],"")),""),"")</f>
        <v/>
      </c>
      <c r="T737" s="265" t="str">
        <f>IF(ResultsInd[[#This Row],[Score_OK]],IF(ResultsInd[[#This Row],[Stage]]="Groups",ResultsInd[[#This Row],[Category]]&amp;"-"&amp;IF(ResultsInd[[#This Row],[Player B]]="","",IF(ResultsInd[[#This Row],[Score-A]]=ResultsInd[[#This Row],[Score-B]],ResultsInd[[#This Row],[Player B]],"")),""),"")</f>
        <v/>
      </c>
      <c r="U7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7" s="264" t="str">
        <f>IF(ResultsInd[[#This Row],[Category]]="","",VLOOKUP(ResultsInd[[#This Row],[Stage]],$P$1:$V$9,MATCH(ResultsInd[[#This Row],[Category]],$Q$1:$V$1,0)+1,FALSE))</f>
        <v/>
      </c>
      <c r="Z737" s="264" t="str">
        <f>IF(ResultsInd[[#This Row],[Score_OK]],IF(ResultsInd[[#This Row],[Level]]="R",ResultsInd[[#This Row],[Category]]&amp;"-"&amp;IF(ResultsInd[[#This Row],[LoseInKO]]=ResultsInd[[#This Row],[Category]]&amp;"-"&amp;ResultsInd[[#This Row],[Player A]],ResultsInd[[#This Row],[Player B]],ResultsInd[[#This Row],[Player A]]),""),"")</f>
        <v/>
      </c>
      <c r="AB737" s="8"/>
      <c r="AC737" s="8"/>
      <c r="AE737" s="90"/>
      <c r="AF737" s="90"/>
      <c r="AP737" s="8"/>
      <c r="AQ737" s="8"/>
      <c r="AR737" s="8"/>
      <c r="AS737" s="8"/>
      <c r="AT737" s="8"/>
      <c r="AU737" s="8"/>
      <c r="AV737" s="8"/>
      <c r="AW737" s="8"/>
      <c r="AX737" s="8"/>
      <c r="AY737" s="90"/>
      <c r="AZ737" s="90"/>
      <c r="BA737" s="90"/>
      <c r="BB737" s="90"/>
      <c r="BC737" s="90"/>
      <c r="BD737" s="90"/>
      <c r="BE737" s="90"/>
      <c r="BF737" s="90"/>
    </row>
    <row r="738" spans="1:58" x14ac:dyDescent="0.2">
      <c r="A738" s="62"/>
      <c r="B738" s="62"/>
      <c r="C738" s="62"/>
      <c r="D738" s="62"/>
      <c r="E738" s="345"/>
      <c r="F738" s="345"/>
      <c r="G738" s="113"/>
      <c r="H738" s="113"/>
      <c r="I738" s="114"/>
      <c r="J738" s="114"/>
      <c r="K738" s="114"/>
      <c r="L738" s="81"/>
      <c r="M738" s="265" t="b">
        <f>NOT(ISERROR(ResultsInd[[#This Row],[Goal-A]]+ResultsInd[[#This Row],[Goal-B]]))</f>
        <v>1</v>
      </c>
      <c r="N738" s="265">
        <f>VALUE(ResultsInd[[#This Row],[Score-A]])</f>
        <v>0</v>
      </c>
      <c r="O738" s="265">
        <f>VALUE(ResultsInd[[#This Row],[Score-B]])</f>
        <v>0</v>
      </c>
      <c r="P738" s="265" t="str">
        <f ca="1">IF(AND(ResultsInd[[#This Row],[Category]]&lt;&gt;"",ResultsInd[[#This Row],[Player A]]&lt;&gt;""),COUNTIF(INDIRECT(ResultsInd[[#This Row],[Category]]&amp;"List[Retained Player Name]"),ResultsInd[[#This Row],[Player A]]),"")</f>
        <v/>
      </c>
      <c r="Q738" s="265" t="str">
        <f ca="1">IF(AND(ResultsInd[[#This Row],[Category]]&lt;&gt;"",ResultsInd[[#This Row],[Player B]]&lt;&gt;""),COUNTIF(INDIRECT(ResultsInd[[#This Row],[Category]]&amp;"List[Retained Player Name]"),ResultsInd[[#This Row],[Player B]]),"")</f>
        <v/>
      </c>
      <c r="R7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8" s="265" t="str">
        <f>IF(ResultsInd[[#This Row],[Score_OK]],IF(ResultsInd[[#This Row],[Stage]]="Groups",ResultsInd[[#This Row],[Category]]&amp;"-"&amp;IF(ResultsInd[[#This Row],[Player B]]="","",IF(ResultsInd[[#This Row],[Score-A]]=ResultsInd[[#This Row],[Score-B]],ResultsInd[[#This Row],[Player A]],"")),""),"")</f>
        <v/>
      </c>
      <c r="T738" s="265" t="str">
        <f>IF(ResultsInd[[#This Row],[Score_OK]],IF(ResultsInd[[#This Row],[Stage]]="Groups",ResultsInd[[#This Row],[Category]]&amp;"-"&amp;IF(ResultsInd[[#This Row],[Player B]]="","",IF(ResultsInd[[#This Row],[Score-A]]=ResultsInd[[#This Row],[Score-B]],ResultsInd[[#This Row],[Player B]],"")),""),"")</f>
        <v/>
      </c>
      <c r="U7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8" s="264" t="str">
        <f>IF(ResultsInd[[#This Row],[Category]]="","",VLOOKUP(ResultsInd[[#This Row],[Stage]],$P$1:$V$9,MATCH(ResultsInd[[#This Row],[Category]],$Q$1:$V$1,0)+1,FALSE))</f>
        <v/>
      </c>
      <c r="Z738" s="264" t="str">
        <f>IF(ResultsInd[[#This Row],[Score_OK]],IF(ResultsInd[[#This Row],[Level]]="R",ResultsInd[[#This Row],[Category]]&amp;"-"&amp;IF(ResultsInd[[#This Row],[LoseInKO]]=ResultsInd[[#This Row],[Category]]&amp;"-"&amp;ResultsInd[[#This Row],[Player A]],ResultsInd[[#This Row],[Player B]],ResultsInd[[#This Row],[Player A]]),""),"")</f>
        <v/>
      </c>
      <c r="AB738" s="8"/>
      <c r="AC738" s="8"/>
      <c r="AE738" s="90"/>
      <c r="AF738" s="90"/>
      <c r="AP738" s="8"/>
      <c r="AQ738" s="8"/>
      <c r="AR738" s="8"/>
      <c r="AS738" s="8"/>
      <c r="AT738" s="8"/>
      <c r="AU738" s="8"/>
      <c r="AV738" s="8"/>
      <c r="AW738" s="8"/>
      <c r="AX738" s="8"/>
      <c r="AY738" s="90"/>
      <c r="AZ738" s="90"/>
      <c r="BA738" s="90"/>
      <c r="BB738" s="90"/>
      <c r="BC738" s="90"/>
      <c r="BD738" s="90"/>
      <c r="BE738" s="90"/>
      <c r="BF738" s="90"/>
    </row>
    <row r="739" spans="1:58" x14ac:dyDescent="0.2">
      <c r="A739" s="62"/>
      <c r="B739" s="62"/>
      <c r="C739" s="62"/>
      <c r="D739" s="62"/>
      <c r="E739" s="345"/>
      <c r="F739" s="345"/>
      <c r="G739" s="113"/>
      <c r="H739" s="113"/>
      <c r="I739" s="114"/>
      <c r="J739" s="114"/>
      <c r="K739" s="114"/>
      <c r="L739" s="81"/>
      <c r="M739" s="265" t="b">
        <f>NOT(ISERROR(ResultsInd[[#This Row],[Goal-A]]+ResultsInd[[#This Row],[Goal-B]]))</f>
        <v>1</v>
      </c>
      <c r="N739" s="265">
        <f>VALUE(ResultsInd[[#This Row],[Score-A]])</f>
        <v>0</v>
      </c>
      <c r="O739" s="265">
        <f>VALUE(ResultsInd[[#This Row],[Score-B]])</f>
        <v>0</v>
      </c>
      <c r="P739" s="265" t="str">
        <f ca="1">IF(AND(ResultsInd[[#This Row],[Category]]&lt;&gt;"",ResultsInd[[#This Row],[Player A]]&lt;&gt;""),COUNTIF(INDIRECT(ResultsInd[[#This Row],[Category]]&amp;"List[Retained Player Name]"),ResultsInd[[#This Row],[Player A]]),"")</f>
        <v/>
      </c>
      <c r="Q739" s="265" t="str">
        <f ca="1">IF(AND(ResultsInd[[#This Row],[Category]]&lt;&gt;"",ResultsInd[[#This Row],[Player B]]&lt;&gt;""),COUNTIF(INDIRECT(ResultsInd[[#This Row],[Category]]&amp;"List[Retained Player Name]"),ResultsInd[[#This Row],[Player B]]),"")</f>
        <v/>
      </c>
      <c r="R7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9" s="265" t="str">
        <f>IF(ResultsInd[[#This Row],[Score_OK]],IF(ResultsInd[[#This Row],[Stage]]="Groups",ResultsInd[[#This Row],[Category]]&amp;"-"&amp;IF(ResultsInd[[#This Row],[Player B]]="","",IF(ResultsInd[[#This Row],[Score-A]]=ResultsInd[[#This Row],[Score-B]],ResultsInd[[#This Row],[Player A]],"")),""),"")</f>
        <v/>
      </c>
      <c r="T739" s="265" t="str">
        <f>IF(ResultsInd[[#This Row],[Score_OK]],IF(ResultsInd[[#This Row],[Stage]]="Groups",ResultsInd[[#This Row],[Category]]&amp;"-"&amp;IF(ResultsInd[[#This Row],[Player B]]="","",IF(ResultsInd[[#This Row],[Score-A]]=ResultsInd[[#This Row],[Score-B]],ResultsInd[[#This Row],[Player B]],"")),""),"")</f>
        <v/>
      </c>
      <c r="U7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9" s="264" t="str">
        <f>IF(ResultsInd[[#This Row],[Category]]="","",VLOOKUP(ResultsInd[[#This Row],[Stage]],$P$1:$V$9,MATCH(ResultsInd[[#This Row],[Category]],$Q$1:$V$1,0)+1,FALSE))</f>
        <v/>
      </c>
      <c r="Z739" s="264" t="str">
        <f>IF(ResultsInd[[#This Row],[Score_OK]],IF(ResultsInd[[#This Row],[Level]]="R",ResultsInd[[#This Row],[Category]]&amp;"-"&amp;IF(ResultsInd[[#This Row],[LoseInKO]]=ResultsInd[[#This Row],[Category]]&amp;"-"&amp;ResultsInd[[#This Row],[Player A]],ResultsInd[[#This Row],[Player B]],ResultsInd[[#This Row],[Player A]]),""),"")</f>
        <v/>
      </c>
      <c r="AB739" s="8"/>
      <c r="AC739" s="8"/>
      <c r="AE739" s="90"/>
      <c r="AF739" s="90"/>
      <c r="AP739" s="8"/>
      <c r="AQ739" s="8"/>
      <c r="AR739" s="8"/>
      <c r="AS739" s="8"/>
      <c r="AT739" s="8"/>
      <c r="AU739" s="8"/>
      <c r="AV739" s="8"/>
      <c r="AW739" s="8"/>
      <c r="AX739" s="8"/>
      <c r="AY739" s="90"/>
      <c r="AZ739" s="90"/>
      <c r="BA739" s="90"/>
      <c r="BB739" s="90"/>
      <c r="BC739" s="90"/>
      <c r="BD739" s="90"/>
      <c r="BE739" s="90"/>
      <c r="BF739" s="90"/>
    </row>
    <row r="740" spans="1:58" x14ac:dyDescent="0.2">
      <c r="A740" s="62"/>
      <c r="B740" s="62"/>
      <c r="C740" s="62"/>
      <c r="D740" s="62"/>
      <c r="E740" s="345"/>
      <c r="F740" s="345"/>
      <c r="G740" s="113"/>
      <c r="H740" s="113"/>
      <c r="I740" s="114"/>
      <c r="J740" s="114"/>
      <c r="K740" s="114"/>
      <c r="L740" s="81"/>
      <c r="M740" s="265" t="b">
        <f>NOT(ISERROR(ResultsInd[[#This Row],[Goal-A]]+ResultsInd[[#This Row],[Goal-B]]))</f>
        <v>1</v>
      </c>
      <c r="N740" s="265">
        <f>VALUE(ResultsInd[[#This Row],[Score-A]])</f>
        <v>0</v>
      </c>
      <c r="O740" s="265">
        <f>VALUE(ResultsInd[[#This Row],[Score-B]])</f>
        <v>0</v>
      </c>
      <c r="P740" s="265" t="str">
        <f ca="1">IF(AND(ResultsInd[[#This Row],[Category]]&lt;&gt;"",ResultsInd[[#This Row],[Player A]]&lt;&gt;""),COUNTIF(INDIRECT(ResultsInd[[#This Row],[Category]]&amp;"List[Retained Player Name]"),ResultsInd[[#This Row],[Player A]]),"")</f>
        <v/>
      </c>
      <c r="Q740" s="265" t="str">
        <f ca="1">IF(AND(ResultsInd[[#This Row],[Category]]&lt;&gt;"",ResultsInd[[#This Row],[Player B]]&lt;&gt;""),COUNTIF(INDIRECT(ResultsInd[[#This Row],[Category]]&amp;"List[Retained Player Name]"),ResultsInd[[#This Row],[Player B]]),"")</f>
        <v/>
      </c>
      <c r="R7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0" s="265" t="str">
        <f>IF(ResultsInd[[#This Row],[Score_OK]],IF(ResultsInd[[#This Row],[Stage]]="Groups",ResultsInd[[#This Row],[Category]]&amp;"-"&amp;IF(ResultsInd[[#This Row],[Player B]]="","",IF(ResultsInd[[#This Row],[Score-A]]=ResultsInd[[#This Row],[Score-B]],ResultsInd[[#This Row],[Player A]],"")),""),"")</f>
        <v/>
      </c>
      <c r="T740" s="265" t="str">
        <f>IF(ResultsInd[[#This Row],[Score_OK]],IF(ResultsInd[[#This Row],[Stage]]="Groups",ResultsInd[[#This Row],[Category]]&amp;"-"&amp;IF(ResultsInd[[#This Row],[Player B]]="","",IF(ResultsInd[[#This Row],[Score-A]]=ResultsInd[[#This Row],[Score-B]],ResultsInd[[#This Row],[Player B]],"")),""),"")</f>
        <v/>
      </c>
      <c r="U7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0" s="264" t="str">
        <f>IF(ResultsInd[[#This Row],[Category]]="","",VLOOKUP(ResultsInd[[#This Row],[Stage]],$P$1:$V$9,MATCH(ResultsInd[[#This Row],[Category]],$Q$1:$V$1,0)+1,FALSE))</f>
        <v/>
      </c>
      <c r="Z740" s="264" t="str">
        <f>IF(ResultsInd[[#This Row],[Score_OK]],IF(ResultsInd[[#This Row],[Level]]="R",ResultsInd[[#This Row],[Category]]&amp;"-"&amp;IF(ResultsInd[[#This Row],[LoseInKO]]=ResultsInd[[#This Row],[Category]]&amp;"-"&amp;ResultsInd[[#This Row],[Player A]],ResultsInd[[#This Row],[Player B]],ResultsInd[[#This Row],[Player A]]),""),"")</f>
        <v/>
      </c>
      <c r="AB740" s="8"/>
      <c r="AC740" s="8"/>
      <c r="AE740" s="90"/>
      <c r="AF740" s="90"/>
      <c r="AP740" s="8"/>
      <c r="AQ740" s="8"/>
      <c r="AR740" s="8"/>
      <c r="AS740" s="8"/>
      <c r="AT740" s="8"/>
      <c r="AU740" s="8"/>
      <c r="AV740" s="8"/>
      <c r="AW740" s="8"/>
      <c r="AX740" s="8"/>
      <c r="AY740" s="90"/>
      <c r="AZ740" s="90"/>
      <c r="BA740" s="90"/>
      <c r="BB740" s="90"/>
      <c r="BC740" s="90"/>
      <c r="BD740" s="90"/>
      <c r="BE740" s="90"/>
      <c r="BF740" s="90"/>
    </row>
    <row r="741" spans="1:58" x14ac:dyDescent="0.2">
      <c r="A741" s="62"/>
      <c r="B741" s="62"/>
      <c r="C741" s="62"/>
      <c r="D741" s="62"/>
      <c r="E741" s="345"/>
      <c r="F741" s="345"/>
      <c r="G741" s="113"/>
      <c r="H741" s="113"/>
      <c r="I741" s="114"/>
      <c r="J741" s="114"/>
      <c r="K741" s="114"/>
      <c r="L741" s="81"/>
      <c r="M741" s="265" t="b">
        <f>NOT(ISERROR(ResultsInd[[#This Row],[Goal-A]]+ResultsInd[[#This Row],[Goal-B]]))</f>
        <v>1</v>
      </c>
      <c r="N741" s="265">
        <f>VALUE(ResultsInd[[#This Row],[Score-A]])</f>
        <v>0</v>
      </c>
      <c r="O741" s="265">
        <f>VALUE(ResultsInd[[#This Row],[Score-B]])</f>
        <v>0</v>
      </c>
      <c r="P741" s="265" t="str">
        <f ca="1">IF(AND(ResultsInd[[#This Row],[Category]]&lt;&gt;"",ResultsInd[[#This Row],[Player A]]&lt;&gt;""),COUNTIF(INDIRECT(ResultsInd[[#This Row],[Category]]&amp;"List[Retained Player Name]"),ResultsInd[[#This Row],[Player A]]),"")</f>
        <v/>
      </c>
      <c r="Q741" s="265" t="str">
        <f ca="1">IF(AND(ResultsInd[[#This Row],[Category]]&lt;&gt;"",ResultsInd[[#This Row],[Player B]]&lt;&gt;""),COUNTIF(INDIRECT(ResultsInd[[#This Row],[Category]]&amp;"List[Retained Player Name]"),ResultsInd[[#This Row],[Player B]]),"")</f>
        <v/>
      </c>
      <c r="R7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1" s="265" t="str">
        <f>IF(ResultsInd[[#This Row],[Score_OK]],IF(ResultsInd[[#This Row],[Stage]]="Groups",ResultsInd[[#This Row],[Category]]&amp;"-"&amp;IF(ResultsInd[[#This Row],[Player B]]="","",IF(ResultsInd[[#This Row],[Score-A]]=ResultsInd[[#This Row],[Score-B]],ResultsInd[[#This Row],[Player A]],"")),""),"")</f>
        <v/>
      </c>
      <c r="T741" s="265" t="str">
        <f>IF(ResultsInd[[#This Row],[Score_OK]],IF(ResultsInd[[#This Row],[Stage]]="Groups",ResultsInd[[#This Row],[Category]]&amp;"-"&amp;IF(ResultsInd[[#This Row],[Player B]]="","",IF(ResultsInd[[#This Row],[Score-A]]=ResultsInd[[#This Row],[Score-B]],ResultsInd[[#This Row],[Player B]],"")),""),"")</f>
        <v/>
      </c>
      <c r="U7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1" s="264" t="str">
        <f>IF(ResultsInd[[#This Row],[Category]]="","",VLOOKUP(ResultsInd[[#This Row],[Stage]],$P$1:$V$9,MATCH(ResultsInd[[#This Row],[Category]],$Q$1:$V$1,0)+1,FALSE))</f>
        <v/>
      </c>
      <c r="Z741" s="264" t="str">
        <f>IF(ResultsInd[[#This Row],[Score_OK]],IF(ResultsInd[[#This Row],[Level]]="R",ResultsInd[[#This Row],[Category]]&amp;"-"&amp;IF(ResultsInd[[#This Row],[LoseInKO]]=ResultsInd[[#This Row],[Category]]&amp;"-"&amp;ResultsInd[[#This Row],[Player A]],ResultsInd[[#This Row],[Player B]],ResultsInd[[#This Row],[Player A]]),""),"")</f>
        <v/>
      </c>
      <c r="AB741" s="8"/>
      <c r="AC741" s="8"/>
      <c r="AE741" s="90"/>
      <c r="AF741" s="90"/>
      <c r="AP741" s="8"/>
      <c r="AQ741" s="8"/>
      <c r="AR741" s="8"/>
      <c r="AS741" s="8"/>
      <c r="AT741" s="8"/>
      <c r="AU741" s="8"/>
      <c r="AV741" s="8"/>
      <c r="AW741" s="8"/>
      <c r="AX741" s="8"/>
      <c r="AY741" s="90"/>
      <c r="AZ741" s="90"/>
      <c r="BA741" s="90"/>
      <c r="BB741" s="90"/>
      <c r="BC741" s="90"/>
      <c r="BD741" s="90"/>
      <c r="BE741" s="90"/>
      <c r="BF741" s="90"/>
    </row>
    <row r="742" spans="1:58" x14ac:dyDescent="0.2">
      <c r="A742" s="62"/>
      <c r="B742" s="62"/>
      <c r="C742" s="62"/>
      <c r="D742" s="62"/>
      <c r="E742" s="345"/>
      <c r="F742" s="345"/>
      <c r="G742" s="113"/>
      <c r="H742" s="113"/>
      <c r="I742" s="114"/>
      <c r="J742" s="114"/>
      <c r="K742" s="114"/>
      <c r="L742" s="81"/>
      <c r="M742" s="265" t="b">
        <f>NOT(ISERROR(ResultsInd[[#This Row],[Goal-A]]+ResultsInd[[#This Row],[Goal-B]]))</f>
        <v>1</v>
      </c>
      <c r="N742" s="265">
        <f>VALUE(ResultsInd[[#This Row],[Score-A]])</f>
        <v>0</v>
      </c>
      <c r="O742" s="265">
        <f>VALUE(ResultsInd[[#This Row],[Score-B]])</f>
        <v>0</v>
      </c>
      <c r="P742" s="265" t="str">
        <f ca="1">IF(AND(ResultsInd[[#This Row],[Category]]&lt;&gt;"",ResultsInd[[#This Row],[Player A]]&lt;&gt;""),COUNTIF(INDIRECT(ResultsInd[[#This Row],[Category]]&amp;"List[Retained Player Name]"),ResultsInd[[#This Row],[Player A]]),"")</f>
        <v/>
      </c>
      <c r="Q742" s="265" t="str">
        <f ca="1">IF(AND(ResultsInd[[#This Row],[Category]]&lt;&gt;"",ResultsInd[[#This Row],[Player B]]&lt;&gt;""),COUNTIF(INDIRECT(ResultsInd[[#This Row],[Category]]&amp;"List[Retained Player Name]"),ResultsInd[[#This Row],[Player B]]),"")</f>
        <v/>
      </c>
      <c r="R7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2" s="265" t="str">
        <f>IF(ResultsInd[[#This Row],[Score_OK]],IF(ResultsInd[[#This Row],[Stage]]="Groups",ResultsInd[[#This Row],[Category]]&amp;"-"&amp;IF(ResultsInd[[#This Row],[Player B]]="","",IF(ResultsInd[[#This Row],[Score-A]]=ResultsInd[[#This Row],[Score-B]],ResultsInd[[#This Row],[Player A]],"")),""),"")</f>
        <v/>
      </c>
      <c r="T742" s="265" t="str">
        <f>IF(ResultsInd[[#This Row],[Score_OK]],IF(ResultsInd[[#This Row],[Stage]]="Groups",ResultsInd[[#This Row],[Category]]&amp;"-"&amp;IF(ResultsInd[[#This Row],[Player B]]="","",IF(ResultsInd[[#This Row],[Score-A]]=ResultsInd[[#This Row],[Score-B]],ResultsInd[[#This Row],[Player B]],"")),""),"")</f>
        <v/>
      </c>
      <c r="U7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2" s="264" t="str">
        <f>IF(ResultsInd[[#This Row],[Category]]="","",VLOOKUP(ResultsInd[[#This Row],[Stage]],$P$1:$V$9,MATCH(ResultsInd[[#This Row],[Category]],$Q$1:$V$1,0)+1,FALSE))</f>
        <v/>
      </c>
      <c r="Z742" s="264" t="str">
        <f>IF(ResultsInd[[#This Row],[Score_OK]],IF(ResultsInd[[#This Row],[Level]]="R",ResultsInd[[#This Row],[Category]]&amp;"-"&amp;IF(ResultsInd[[#This Row],[LoseInKO]]=ResultsInd[[#This Row],[Category]]&amp;"-"&amp;ResultsInd[[#This Row],[Player A]],ResultsInd[[#This Row],[Player B]],ResultsInd[[#This Row],[Player A]]),""),"")</f>
        <v/>
      </c>
      <c r="AB742" s="8"/>
      <c r="AC742" s="8"/>
      <c r="AE742" s="90"/>
      <c r="AF742" s="90"/>
      <c r="AP742" s="8"/>
      <c r="AQ742" s="8"/>
      <c r="AR742" s="8"/>
      <c r="AS742" s="8"/>
      <c r="AT742" s="8"/>
      <c r="AU742" s="8"/>
      <c r="AV742" s="8"/>
      <c r="AW742" s="8"/>
      <c r="AX742" s="8"/>
      <c r="AY742" s="90"/>
      <c r="AZ742" s="90"/>
      <c r="BA742" s="90"/>
      <c r="BB742" s="90"/>
      <c r="BC742" s="90"/>
      <c r="BD742" s="90"/>
      <c r="BE742" s="90"/>
      <c r="BF742" s="90"/>
    </row>
    <row r="743" spans="1:58" x14ac:dyDescent="0.2">
      <c r="A743" s="62"/>
      <c r="B743" s="62"/>
      <c r="C743" s="62"/>
      <c r="D743" s="62"/>
      <c r="E743" s="345"/>
      <c r="F743" s="345"/>
      <c r="G743" s="113"/>
      <c r="H743" s="113"/>
      <c r="I743" s="114"/>
      <c r="J743" s="114"/>
      <c r="K743" s="114"/>
      <c r="L743" s="81"/>
      <c r="M743" s="265" t="b">
        <f>NOT(ISERROR(ResultsInd[[#This Row],[Goal-A]]+ResultsInd[[#This Row],[Goal-B]]))</f>
        <v>1</v>
      </c>
      <c r="N743" s="265">
        <f>VALUE(ResultsInd[[#This Row],[Score-A]])</f>
        <v>0</v>
      </c>
      <c r="O743" s="265">
        <f>VALUE(ResultsInd[[#This Row],[Score-B]])</f>
        <v>0</v>
      </c>
      <c r="P743" s="265" t="str">
        <f ca="1">IF(AND(ResultsInd[[#This Row],[Category]]&lt;&gt;"",ResultsInd[[#This Row],[Player A]]&lt;&gt;""),COUNTIF(INDIRECT(ResultsInd[[#This Row],[Category]]&amp;"List[Retained Player Name]"),ResultsInd[[#This Row],[Player A]]),"")</f>
        <v/>
      </c>
      <c r="Q743" s="265" t="str">
        <f ca="1">IF(AND(ResultsInd[[#This Row],[Category]]&lt;&gt;"",ResultsInd[[#This Row],[Player B]]&lt;&gt;""),COUNTIF(INDIRECT(ResultsInd[[#This Row],[Category]]&amp;"List[Retained Player Name]"),ResultsInd[[#This Row],[Player B]]),"")</f>
        <v/>
      </c>
      <c r="R7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3" s="265" t="str">
        <f>IF(ResultsInd[[#This Row],[Score_OK]],IF(ResultsInd[[#This Row],[Stage]]="Groups",ResultsInd[[#This Row],[Category]]&amp;"-"&amp;IF(ResultsInd[[#This Row],[Player B]]="","",IF(ResultsInd[[#This Row],[Score-A]]=ResultsInd[[#This Row],[Score-B]],ResultsInd[[#This Row],[Player A]],"")),""),"")</f>
        <v/>
      </c>
      <c r="T743" s="265" t="str">
        <f>IF(ResultsInd[[#This Row],[Score_OK]],IF(ResultsInd[[#This Row],[Stage]]="Groups",ResultsInd[[#This Row],[Category]]&amp;"-"&amp;IF(ResultsInd[[#This Row],[Player B]]="","",IF(ResultsInd[[#This Row],[Score-A]]=ResultsInd[[#This Row],[Score-B]],ResultsInd[[#This Row],[Player B]],"")),""),"")</f>
        <v/>
      </c>
      <c r="U7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3" s="264" t="str">
        <f>IF(ResultsInd[[#This Row],[Category]]="","",VLOOKUP(ResultsInd[[#This Row],[Stage]],$P$1:$V$9,MATCH(ResultsInd[[#This Row],[Category]],$Q$1:$V$1,0)+1,FALSE))</f>
        <v/>
      </c>
      <c r="Z743" s="264" t="str">
        <f>IF(ResultsInd[[#This Row],[Score_OK]],IF(ResultsInd[[#This Row],[Level]]="R",ResultsInd[[#This Row],[Category]]&amp;"-"&amp;IF(ResultsInd[[#This Row],[LoseInKO]]=ResultsInd[[#This Row],[Category]]&amp;"-"&amp;ResultsInd[[#This Row],[Player A]],ResultsInd[[#This Row],[Player B]],ResultsInd[[#This Row],[Player A]]),""),"")</f>
        <v/>
      </c>
      <c r="AB743" s="8"/>
      <c r="AC743" s="8"/>
      <c r="AE743" s="90"/>
      <c r="AF743" s="90"/>
      <c r="AP743" s="8"/>
      <c r="AQ743" s="8"/>
      <c r="AR743" s="8"/>
      <c r="AS743" s="8"/>
      <c r="AT743" s="8"/>
      <c r="AU743" s="8"/>
      <c r="AV743" s="8"/>
      <c r="AW743" s="8"/>
      <c r="AX743" s="8"/>
      <c r="AY743" s="90"/>
      <c r="AZ743" s="90"/>
      <c r="BA743" s="90"/>
      <c r="BB743" s="90"/>
      <c r="BC743" s="90"/>
      <c r="BD743" s="90"/>
      <c r="BE743" s="90"/>
      <c r="BF743" s="90"/>
    </row>
    <row r="744" spans="1:58" x14ac:dyDescent="0.2">
      <c r="A744" s="62"/>
      <c r="B744" s="62"/>
      <c r="C744" s="62"/>
      <c r="D744" s="62"/>
      <c r="E744" s="345"/>
      <c r="F744" s="345"/>
      <c r="G744" s="113"/>
      <c r="H744" s="113"/>
      <c r="I744" s="114"/>
      <c r="J744" s="114"/>
      <c r="K744" s="114"/>
      <c r="L744" s="81"/>
      <c r="M744" s="265" t="b">
        <f>NOT(ISERROR(ResultsInd[[#This Row],[Goal-A]]+ResultsInd[[#This Row],[Goal-B]]))</f>
        <v>1</v>
      </c>
      <c r="N744" s="265">
        <f>VALUE(ResultsInd[[#This Row],[Score-A]])</f>
        <v>0</v>
      </c>
      <c r="O744" s="265">
        <f>VALUE(ResultsInd[[#This Row],[Score-B]])</f>
        <v>0</v>
      </c>
      <c r="P744" s="265" t="str">
        <f ca="1">IF(AND(ResultsInd[[#This Row],[Category]]&lt;&gt;"",ResultsInd[[#This Row],[Player A]]&lt;&gt;""),COUNTIF(INDIRECT(ResultsInd[[#This Row],[Category]]&amp;"List[Retained Player Name]"),ResultsInd[[#This Row],[Player A]]),"")</f>
        <v/>
      </c>
      <c r="Q744" s="265" t="str">
        <f ca="1">IF(AND(ResultsInd[[#This Row],[Category]]&lt;&gt;"",ResultsInd[[#This Row],[Player B]]&lt;&gt;""),COUNTIF(INDIRECT(ResultsInd[[#This Row],[Category]]&amp;"List[Retained Player Name]"),ResultsInd[[#This Row],[Player B]]),"")</f>
        <v/>
      </c>
      <c r="R7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4" s="265" t="str">
        <f>IF(ResultsInd[[#This Row],[Score_OK]],IF(ResultsInd[[#This Row],[Stage]]="Groups",ResultsInd[[#This Row],[Category]]&amp;"-"&amp;IF(ResultsInd[[#This Row],[Player B]]="","",IF(ResultsInd[[#This Row],[Score-A]]=ResultsInd[[#This Row],[Score-B]],ResultsInd[[#This Row],[Player A]],"")),""),"")</f>
        <v/>
      </c>
      <c r="T744" s="265" t="str">
        <f>IF(ResultsInd[[#This Row],[Score_OK]],IF(ResultsInd[[#This Row],[Stage]]="Groups",ResultsInd[[#This Row],[Category]]&amp;"-"&amp;IF(ResultsInd[[#This Row],[Player B]]="","",IF(ResultsInd[[#This Row],[Score-A]]=ResultsInd[[#This Row],[Score-B]],ResultsInd[[#This Row],[Player B]],"")),""),"")</f>
        <v/>
      </c>
      <c r="U7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4" s="264" t="str">
        <f>IF(ResultsInd[[#This Row],[Category]]="","",VLOOKUP(ResultsInd[[#This Row],[Stage]],$P$1:$V$9,MATCH(ResultsInd[[#This Row],[Category]],$Q$1:$V$1,0)+1,FALSE))</f>
        <v/>
      </c>
      <c r="Z744" s="264" t="str">
        <f>IF(ResultsInd[[#This Row],[Score_OK]],IF(ResultsInd[[#This Row],[Level]]="R",ResultsInd[[#This Row],[Category]]&amp;"-"&amp;IF(ResultsInd[[#This Row],[LoseInKO]]=ResultsInd[[#This Row],[Category]]&amp;"-"&amp;ResultsInd[[#This Row],[Player A]],ResultsInd[[#This Row],[Player B]],ResultsInd[[#This Row],[Player A]]),""),"")</f>
        <v/>
      </c>
      <c r="AB744" s="8"/>
      <c r="AC744" s="8"/>
      <c r="AE744" s="90"/>
      <c r="AF744" s="90"/>
      <c r="AP744" s="8"/>
      <c r="AQ744" s="8"/>
      <c r="AR744" s="8"/>
      <c r="AS744" s="8"/>
      <c r="AT744" s="8"/>
      <c r="AU744" s="8"/>
      <c r="AV744" s="8"/>
      <c r="AW744" s="8"/>
      <c r="AX744" s="8"/>
      <c r="AY744" s="90"/>
      <c r="AZ744" s="90"/>
      <c r="BA744" s="90"/>
      <c r="BB744" s="90"/>
      <c r="BC744" s="90"/>
      <c r="BD744" s="90"/>
      <c r="BE744" s="90"/>
      <c r="BF744" s="90"/>
    </row>
    <row r="745" spans="1:58" x14ac:dyDescent="0.2">
      <c r="A745" s="62"/>
      <c r="B745" s="62"/>
      <c r="C745" s="62"/>
      <c r="D745" s="62"/>
      <c r="E745" s="345"/>
      <c r="F745" s="345"/>
      <c r="G745" s="113"/>
      <c r="H745" s="113"/>
      <c r="I745" s="114"/>
      <c r="J745" s="114"/>
      <c r="K745" s="114"/>
      <c r="L745" s="81"/>
      <c r="M745" s="265" t="b">
        <f>NOT(ISERROR(ResultsInd[[#This Row],[Goal-A]]+ResultsInd[[#This Row],[Goal-B]]))</f>
        <v>1</v>
      </c>
      <c r="N745" s="265">
        <f>VALUE(ResultsInd[[#This Row],[Score-A]])</f>
        <v>0</v>
      </c>
      <c r="O745" s="265">
        <f>VALUE(ResultsInd[[#This Row],[Score-B]])</f>
        <v>0</v>
      </c>
      <c r="P745" s="265" t="str">
        <f ca="1">IF(AND(ResultsInd[[#This Row],[Category]]&lt;&gt;"",ResultsInd[[#This Row],[Player A]]&lt;&gt;""),COUNTIF(INDIRECT(ResultsInd[[#This Row],[Category]]&amp;"List[Retained Player Name]"),ResultsInd[[#This Row],[Player A]]),"")</f>
        <v/>
      </c>
      <c r="Q745" s="265" t="str">
        <f ca="1">IF(AND(ResultsInd[[#This Row],[Category]]&lt;&gt;"",ResultsInd[[#This Row],[Player B]]&lt;&gt;""),COUNTIF(INDIRECT(ResultsInd[[#This Row],[Category]]&amp;"List[Retained Player Name]"),ResultsInd[[#This Row],[Player B]]),"")</f>
        <v/>
      </c>
      <c r="R7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5" s="265" t="str">
        <f>IF(ResultsInd[[#This Row],[Score_OK]],IF(ResultsInd[[#This Row],[Stage]]="Groups",ResultsInd[[#This Row],[Category]]&amp;"-"&amp;IF(ResultsInd[[#This Row],[Player B]]="","",IF(ResultsInd[[#This Row],[Score-A]]=ResultsInd[[#This Row],[Score-B]],ResultsInd[[#This Row],[Player A]],"")),""),"")</f>
        <v/>
      </c>
      <c r="T745" s="265" t="str">
        <f>IF(ResultsInd[[#This Row],[Score_OK]],IF(ResultsInd[[#This Row],[Stage]]="Groups",ResultsInd[[#This Row],[Category]]&amp;"-"&amp;IF(ResultsInd[[#This Row],[Player B]]="","",IF(ResultsInd[[#This Row],[Score-A]]=ResultsInd[[#This Row],[Score-B]],ResultsInd[[#This Row],[Player B]],"")),""),"")</f>
        <v/>
      </c>
      <c r="U7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5" s="264" t="str">
        <f>IF(ResultsInd[[#This Row],[Category]]="","",VLOOKUP(ResultsInd[[#This Row],[Stage]],$P$1:$V$9,MATCH(ResultsInd[[#This Row],[Category]],$Q$1:$V$1,0)+1,FALSE))</f>
        <v/>
      </c>
      <c r="Z745" s="264" t="str">
        <f>IF(ResultsInd[[#This Row],[Score_OK]],IF(ResultsInd[[#This Row],[Level]]="R",ResultsInd[[#This Row],[Category]]&amp;"-"&amp;IF(ResultsInd[[#This Row],[LoseInKO]]=ResultsInd[[#This Row],[Category]]&amp;"-"&amp;ResultsInd[[#This Row],[Player A]],ResultsInd[[#This Row],[Player B]],ResultsInd[[#This Row],[Player A]]),""),"")</f>
        <v/>
      </c>
      <c r="AB745" s="8"/>
      <c r="AC745" s="8"/>
      <c r="AE745" s="90"/>
      <c r="AF745" s="90"/>
      <c r="AP745" s="8"/>
      <c r="AQ745" s="8"/>
      <c r="AR745" s="8"/>
      <c r="AS745" s="8"/>
      <c r="AT745" s="8"/>
      <c r="AU745" s="8"/>
      <c r="AV745" s="8"/>
      <c r="AW745" s="8"/>
      <c r="AX745" s="8"/>
      <c r="AY745" s="90"/>
      <c r="AZ745" s="90"/>
      <c r="BA745" s="90"/>
      <c r="BB745" s="90"/>
      <c r="BC745" s="90"/>
      <c r="BD745" s="90"/>
      <c r="BE745" s="90"/>
      <c r="BF745" s="90"/>
    </row>
    <row r="746" spans="1:58" x14ac:dyDescent="0.2">
      <c r="A746" s="62"/>
      <c r="B746" s="62"/>
      <c r="C746" s="62"/>
      <c r="D746" s="62"/>
      <c r="E746" s="345"/>
      <c r="F746" s="345"/>
      <c r="G746" s="113"/>
      <c r="H746" s="113"/>
      <c r="I746" s="114"/>
      <c r="J746" s="114"/>
      <c r="K746" s="114"/>
      <c r="L746" s="81"/>
      <c r="M746" s="265" t="b">
        <f>NOT(ISERROR(ResultsInd[[#This Row],[Goal-A]]+ResultsInd[[#This Row],[Goal-B]]))</f>
        <v>1</v>
      </c>
      <c r="N746" s="265">
        <f>VALUE(ResultsInd[[#This Row],[Score-A]])</f>
        <v>0</v>
      </c>
      <c r="O746" s="265">
        <f>VALUE(ResultsInd[[#This Row],[Score-B]])</f>
        <v>0</v>
      </c>
      <c r="P746" s="265" t="str">
        <f ca="1">IF(AND(ResultsInd[[#This Row],[Category]]&lt;&gt;"",ResultsInd[[#This Row],[Player A]]&lt;&gt;""),COUNTIF(INDIRECT(ResultsInd[[#This Row],[Category]]&amp;"List[Retained Player Name]"),ResultsInd[[#This Row],[Player A]]),"")</f>
        <v/>
      </c>
      <c r="Q746" s="265" t="str">
        <f ca="1">IF(AND(ResultsInd[[#This Row],[Category]]&lt;&gt;"",ResultsInd[[#This Row],[Player B]]&lt;&gt;""),COUNTIF(INDIRECT(ResultsInd[[#This Row],[Category]]&amp;"List[Retained Player Name]"),ResultsInd[[#This Row],[Player B]]),"")</f>
        <v/>
      </c>
      <c r="R7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6" s="265" t="str">
        <f>IF(ResultsInd[[#This Row],[Score_OK]],IF(ResultsInd[[#This Row],[Stage]]="Groups",ResultsInd[[#This Row],[Category]]&amp;"-"&amp;IF(ResultsInd[[#This Row],[Player B]]="","",IF(ResultsInd[[#This Row],[Score-A]]=ResultsInd[[#This Row],[Score-B]],ResultsInd[[#This Row],[Player A]],"")),""),"")</f>
        <v/>
      </c>
      <c r="T746" s="265" t="str">
        <f>IF(ResultsInd[[#This Row],[Score_OK]],IF(ResultsInd[[#This Row],[Stage]]="Groups",ResultsInd[[#This Row],[Category]]&amp;"-"&amp;IF(ResultsInd[[#This Row],[Player B]]="","",IF(ResultsInd[[#This Row],[Score-A]]=ResultsInd[[#This Row],[Score-B]],ResultsInd[[#This Row],[Player B]],"")),""),"")</f>
        <v/>
      </c>
      <c r="U7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6" s="264" t="str">
        <f>IF(ResultsInd[[#This Row],[Category]]="","",VLOOKUP(ResultsInd[[#This Row],[Stage]],$P$1:$V$9,MATCH(ResultsInd[[#This Row],[Category]],$Q$1:$V$1,0)+1,FALSE))</f>
        <v/>
      </c>
      <c r="Z746" s="264" t="str">
        <f>IF(ResultsInd[[#This Row],[Score_OK]],IF(ResultsInd[[#This Row],[Level]]="R",ResultsInd[[#This Row],[Category]]&amp;"-"&amp;IF(ResultsInd[[#This Row],[LoseInKO]]=ResultsInd[[#This Row],[Category]]&amp;"-"&amp;ResultsInd[[#This Row],[Player A]],ResultsInd[[#This Row],[Player B]],ResultsInd[[#This Row],[Player A]]),""),"")</f>
        <v/>
      </c>
      <c r="AB746" s="8"/>
      <c r="AC746" s="8"/>
      <c r="AE746" s="90"/>
      <c r="AF746" s="90"/>
      <c r="AP746" s="8"/>
      <c r="AQ746" s="8"/>
      <c r="AR746" s="8"/>
      <c r="AS746" s="8"/>
      <c r="AT746" s="8"/>
      <c r="AU746" s="8"/>
      <c r="AV746" s="8"/>
      <c r="AW746" s="8"/>
      <c r="AX746" s="8"/>
      <c r="AY746" s="90"/>
      <c r="AZ746" s="90"/>
      <c r="BA746" s="90"/>
      <c r="BB746" s="90"/>
      <c r="BC746" s="90"/>
      <c r="BD746" s="90"/>
      <c r="BE746" s="90"/>
      <c r="BF746" s="90"/>
    </row>
    <row r="747" spans="1:58" x14ac:dyDescent="0.2">
      <c r="A747" s="62"/>
      <c r="B747" s="62"/>
      <c r="C747" s="62"/>
      <c r="D747" s="62"/>
      <c r="E747" s="345"/>
      <c r="F747" s="345"/>
      <c r="G747" s="113"/>
      <c r="H747" s="113"/>
      <c r="I747" s="114"/>
      <c r="J747" s="114"/>
      <c r="K747" s="114"/>
      <c r="L747" s="81"/>
      <c r="M747" s="265" t="b">
        <f>NOT(ISERROR(ResultsInd[[#This Row],[Goal-A]]+ResultsInd[[#This Row],[Goal-B]]))</f>
        <v>1</v>
      </c>
      <c r="N747" s="265">
        <f>VALUE(ResultsInd[[#This Row],[Score-A]])</f>
        <v>0</v>
      </c>
      <c r="O747" s="265">
        <f>VALUE(ResultsInd[[#This Row],[Score-B]])</f>
        <v>0</v>
      </c>
      <c r="P747" s="265" t="str">
        <f ca="1">IF(AND(ResultsInd[[#This Row],[Category]]&lt;&gt;"",ResultsInd[[#This Row],[Player A]]&lt;&gt;""),COUNTIF(INDIRECT(ResultsInd[[#This Row],[Category]]&amp;"List[Retained Player Name]"),ResultsInd[[#This Row],[Player A]]),"")</f>
        <v/>
      </c>
      <c r="Q747" s="265" t="str">
        <f ca="1">IF(AND(ResultsInd[[#This Row],[Category]]&lt;&gt;"",ResultsInd[[#This Row],[Player B]]&lt;&gt;""),COUNTIF(INDIRECT(ResultsInd[[#This Row],[Category]]&amp;"List[Retained Player Name]"),ResultsInd[[#This Row],[Player B]]),"")</f>
        <v/>
      </c>
      <c r="R7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7" s="265" t="str">
        <f>IF(ResultsInd[[#This Row],[Score_OK]],IF(ResultsInd[[#This Row],[Stage]]="Groups",ResultsInd[[#This Row],[Category]]&amp;"-"&amp;IF(ResultsInd[[#This Row],[Player B]]="","",IF(ResultsInd[[#This Row],[Score-A]]=ResultsInd[[#This Row],[Score-B]],ResultsInd[[#This Row],[Player A]],"")),""),"")</f>
        <v/>
      </c>
      <c r="T747" s="265" t="str">
        <f>IF(ResultsInd[[#This Row],[Score_OK]],IF(ResultsInd[[#This Row],[Stage]]="Groups",ResultsInd[[#This Row],[Category]]&amp;"-"&amp;IF(ResultsInd[[#This Row],[Player B]]="","",IF(ResultsInd[[#This Row],[Score-A]]=ResultsInd[[#This Row],[Score-B]],ResultsInd[[#This Row],[Player B]],"")),""),"")</f>
        <v/>
      </c>
      <c r="U7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7" s="264" t="str">
        <f>IF(ResultsInd[[#This Row],[Category]]="","",VLOOKUP(ResultsInd[[#This Row],[Stage]],$P$1:$V$9,MATCH(ResultsInd[[#This Row],[Category]],$Q$1:$V$1,0)+1,FALSE))</f>
        <v/>
      </c>
      <c r="Z747" s="264" t="str">
        <f>IF(ResultsInd[[#This Row],[Score_OK]],IF(ResultsInd[[#This Row],[Level]]="R",ResultsInd[[#This Row],[Category]]&amp;"-"&amp;IF(ResultsInd[[#This Row],[LoseInKO]]=ResultsInd[[#This Row],[Category]]&amp;"-"&amp;ResultsInd[[#This Row],[Player A]],ResultsInd[[#This Row],[Player B]],ResultsInd[[#This Row],[Player A]]),""),"")</f>
        <v/>
      </c>
      <c r="AB747" s="8"/>
      <c r="AC747" s="8"/>
      <c r="AE747" s="90"/>
      <c r="AF747" s="90"/>
      <c r="AP747" s="8"/>
      <c r="AQ747" s="8"/>
      <c r="AR747" s="8"/>
      <c r="AS747" s="8"/>
      <c r="AT747" s="8"/>
      <c r="AU747" s="8"/>
      <c r="AV747" s="8"/>
      <c r="AW747" s="8"/>
      <c r="AX747" s="8"/>
      <c r="AY747" s="90"/>
      <c r="AZ747" s="90"/>
      <c r="BA747" s="90"/>
      <c r="BB747" s="90"/>
      <c r="BC747" s="90"/>
      <c r="BD747" s="90"/>
      <c r="BE747" s="90"/>
      <c r="BF747" s="90"/>
    </row>
    <row r="748" spans="1:58" x14ac:dyDescent="0.2">
      <c r="A748" s="62"/>
      <c r="B748" s="62"/>
      <c r="C748" s="62"/>
      <c r="D748" s="62"/>
      <c r="E748" s="345"/>
      <c r="F748" s="345"/>
      <c r="G748" s="113"/>
      <c r="H748" s="113"/>
      <c r="I748" s="114"/>
      <c r="J748" s="114"/>
      <c r="K748" s="114"/>
      <c r="L748" s="81"/>
      <c r="M748" s="265" t="b">
        <f>NOT(ISERROR(ResultsInd[[#This Row],[Goal-A]]+ResultsInd[[#This Row],[Goal-B]]))</f>
        <v>1</v>
      </c>
      <c r="N748" s="265">
        <f>VALUE(ResultsInd[[#This Row],[Score-A]])</f>
        <v>0</v>
      </c>
      <c r="O748" s="265">
        <f>VALUE(ResultsInd[[#This Row],[Score-B]])</f>
        <v>0</v>
      </c>
      <c r="P748" s="265" t="str">
        <f ca="1">IF(AND(ResultsInd[[#This Row],[Category]]&lt;&gt;"",ResultsInd[[#This Row],[Player A]]&lt;&gt;""),COUNTIF(INDIRECT(ResultsInd[[#This Row],[Category]]&amp;"List[Retained Player Name]"),ResultsInd[[#This Row],[Player A]]),"")</f>
        <v/>
      </c>
      <c r="Q748" s="265" t="str">
        <f ca="1">IF(AND(ResultsInd[[#This Row],[Category]]&lt;&gt;"",ResultsInd[[#This Row],[Player B]]&lt;&gt;""),COUNTIF(INDIRECT(ResultsInd[[#This Row],[Category]]&amp;"List[Retained Player Name]"),ResultsInd[[#This Row],[Player B]]),"")</f>
        <v/>
      </c>
      <c r="R7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8" s="265" t="str">
        <f>IF(ResultsInd[[#This Row],[Score_OK]],IF(ResultsInd[[#This Row],[Stage]]="Groups",ResultsInd[[#This Row],[Category]]&amp;"-"&amp;IF(ResultsInd[[#This Row],[Player B]]="","",IF(ResultsInd[[#This Row],[Score-A]]=ResultsInd[[#This Row],[Score-B]],ResultsInd[[#This Row],[Player A]],"")),""),"")</f>
        <v/>
      </c>
      <c r="T748" s="265" t="str">
        <f>IF(ResultsInd[[#This Row],[Score_OK]],IF(ResultsInd[[#This Row],[Stage]]="Groups",ResultsInd[[#This Row],[Category]]&amp;"-"&amp;IF(ResultsInd[[#This Row],[Player B]]="","",IF(ResultsInd[[#This Row],[Score-A]]=ResultsInd[[#This Row],[Score-B]],ResultsInd[[#This Row],[Player B]],"")),""),"")</f>
        <v/>
      </c>
      <c r="U7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8" s="264" t="str">
        <f>IF(ResultsInd[[#This Row],[Category]]="","",VLOOKUP(ResultsInd[[#This Row],[Stage]],$P$1:$V$9,MATCH(ResultsInd[[#This Row],[Category]],$Q$1:$V$1,0)+1,FALSE))</f>
        <v/>
      </c>
      <c r="Z748" s="264" t="str">
        <f>IF(ResultsInd[[#This Row],[Score_OK]],IF(ResultsInd[[#This Row],[Level]]="R",ResultsInd[[#This Row],[Category]]&amp;"-"&amp;IF(ResultsInd[[#This Row],[LoseInKO]]=ResultsInd[[#This Row],[Category]]&amp;"-"&amp;ResultsInd[[#This Row],[Player A]],ResultsInd[[#This Row],[Player B]],ResultsInd[[#This Row],[Player A]]),""),"")</f>
        <v/>
      </c>
      <c r="AB748" s="8"/>
      <c r="AC748" s="8"/>
      <c r="AE748" s="90"/>
      <c r="AF748" s="90"/>
      <c r="AP748" s="8"/>
      <c r="AQ748" s="8"/>
      <c r="AR748" s="8"/>
      <c r="AS748" s="8"/>
      <c r="AT748" s="8"/>
      <c r="AU748" s="8"/>
      <c r="AV748" s="8"/>
      <c r="AW748" s="8"/>
      <c r="AX748" s="8"/>
      <c r="AY748" s="90"/>
      <c r="AZ748" s="90"/>
      <c r="BA748" s="90"/>
      <c r="BB748" s="90"/>
      <c r="BC748" s="90"/>
      <c r="BD748" s="90"/>
      <c r="BE748" s="90"/>
      <c r="BF748" s="90"/>
    </row>
    <row r="749" spans="1:58" x14ac:dyDescent="0.2">
      <c r="A749" s="62"/>
      <c r="B749" s="62"/>
      <c r="C749" s="62"/>
      <c r="D749" s="62"/>
      <c r="E749" s="345"/>
      <c r="F749" s="345"/>
      <c r="G749" s="113"/>
      <c r="H749" s="113"/>
      <c r="I749" s="114"/>
      <c r="J749" s="114"/>
      <c r="K749" s="114"/>
      <c r="L749" s="81"/>
      <c r="M749" s="265" t="b">
        <f>NOT(ISERROR(ResultsInd[[#This Row],[Goal-A]]+ResultsInd[[#This Row],[Goal-B]]))</f>
        <v>1</v>
      </c>
      <c r="N749" s="265">
        <f>VALUE(ResultsInd[[#This Row],[Score-A]])</f>
        <v>0</v>
      </c>
      <c r="O749" s="265">
        <f>VALUE(ResultsInd[[#This Row],[Score-B]])</f>
        <v>0</v>
      </c>
      <c r="P749" s="265" t="str">
        <f ca="1">IF(AND(ResultsInd[[#This Row],[Category]]&lt;&gt;"",ResultsInd[[#This Row],[Player A]]&lt;&gt;""),COUNTIF(INDIRECT(ResultsInd[[#This Row],[Category]]&amp;"List[Retained Player Name]"),ResultsInd[[#This Row],[Player A]]),"")</f>
        <v/>
      </c>
      <c r="Q749" s="265" t="str">
        <f ca="1">IF(AND(ResultsInd[[#This Row],[Category]]&lt;&gt;"",ResultsInd[[#This Row],[Player B]]&lt;&gt;""),COUNTIF(INDIRECT(ResultsInd[[#This Row],[Category]]&amp;"List[Retained Player Name]"),ResultsInd[[#This Row],[Player B]]),"")</f>
        <v/>
      </c>
      <c r="R7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9" s="265" t="str">
        <f>IF(ResultsInd[[#This Row],[Score_OK]],IF(ResultsInd[[#This Row],[Stage]]="Groups",ResultsInd[[#This Row],[Category]]&amp;"-"&amp;IF(ResultsInd[[#This Row],[Player B]]="","",IF(ResultsInd[[#This Row],[Score-A]]=ResultsInd[[#This Row],[Score-B]],ResultsInd[[#This Row],[Player A]],"")),""),"")</f>
        <v/>
      </c>
      <c r="T749" s="265" t="str">
        <f>IF(ResultsInd[[#This Row],[Score_OK]],IF(ResultsInd[[#This Row],[Stage]]="Groups",ResultsInd[[#This Row],[Category]]&amp;"-"&amp;IF(ResultsInd[[#This Row],[Player B]]="","",IF(ResultsInd[[#This Row],[Score-A]]=ResultsInd[[#This Row],[Score-B]],ResultsInd[[#This Row],[Player B]],"")),""),"")</f>
        <v/>
      </c>
      <c r="U7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9" s="264" t="str">
        <f>IF(ResultsInd[[#This Row],[Category]]="","",VLOOKUP(ResultsInd[[#This Row],[Stage]],$P$1:$V$9,MATCH(ResultsInd[[#This Row],[Category]],$Q$1:$V$1,0)+1,FALSE))</f>
        <v/>
      </c>
      <c r="Z749" s="264" t="str">
        <f>IF(ResultsInd[[#This Row],[Score_OK]],IF(ResultsInd[[#This Row],[Level]]="R",ResultsInd[[#This Row],[Category]]&amp;"-"&amp;IF(ResultsInd[[#This Row],[LoseInKO]]=ResultsInd[[#This Row],[Category]]&amp;"-"&amp;ResultsInd[[#This Row],[Player A]],ResultsInd[[#This Row],[Player B]],ResultsInd[[#This Row],[Player A]]),""),"")</f>
        <v/>
      </c>
      <c r="AB749" s="8"/>
      <c r="AC749" s="8"/>
      <c r="AE749" s="90"/>
      <c r="AF749" s="90"/>
      <c r="AP749" s="8"/>
      <c r="AQ749" s="8"/>
      <c r="AR749" s="8"/>
      <c r="AS749" s="8"/>
      <c r="AT749" s="8"/>
      <c r="AU749" s="8"/>
      <c r="AV749" s="8"/>
      <c r="AW749" s="8"/>
      <c r="AX749" s="8"/>
      <c r="AY749" s="90"/>
      <c r="AZ749" s="90"/>
      <c r="BA749" s="90"/>
      <c r="BB749" s="90"/>
      <c r="BC749" s="90"/>
      <c r="BD749" s="90"/>
      <c r="BE749" s="90"/>
      <c r="BF749" s="90"/>
    </row>
    <row r="750" spans="1:58" x14ac:dyDescent="0.2">
      <c r="A750" s="62"/>
      <c r="B750" s="62"/>
      <c r="C750" s="62"/>
      <c r="D750" s="62"/>
      <c r="E750" s="345"/>
      <c r="F750" s="345"/>
      <c r="G750" s="113"/>
      <c r="H750" s="113"/>
      <c r="I750" s="114"/>
      <c r="J750" s="114"/>
      <c r="K750" s="114"/>
      <c r="L750" s="81"/>
      <c r="M750" s="265" t="b">
        <f>NOT(ISERROR(ResultsInd[[#This Row],[Goal-A]]+ResultsInd[[#This Row],[Goal-B]]))</f>
        <v>1</v>
      </c>
      <c r="N750" s="265">
        <f>VALUE(ResultsInd[[#This Row],[Score-A]])</f>
        <v>0</v>
      </c>
      <c r="O750" s="265">
        <f>VALUE(ResultsInd[[#This Row],[Score-B]])</f>
        <v>0</v>
      </c>
      <c r="P750" s="265" t="str">
        <f ca="1">IF(AND(ResultsInd[[#This Row],[Category]]&lt;&gt;"",ResultsInd[[#This Row],[Player A]]&lt;&gt;""),COUNTIF(INDIRECT(ResultsInd[[#This Row],[Category]]&amp;"List[Retained Player Name]"),ResultsInd[[#This Row],[Player A]]),"")</f>
        <v/>
      </c>
      <c r="Q750" s="265" t="str">
        <f ca="1">IF(AND(ResultsInd[[#This Row],[Category]]&lt;&gt;"",ResultsInd[[#This Row],[Player B]]&lt;&gt;""),COUNTIF(INDIRECT(ResultsInd[[#This Row],[Category]]&amp;"List[Retained Player Name]"),ResultsInd[[#This Row],[Player B]]),"")</f>
        <v/>
      </c>
      <c r="R7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0" s="265" t="str">
        <f>IF(ResultsInd[[#This Row],[Score_OK]],IF(ResultsInd[[#This Row],[Stage]]="Groups",ResultsInd[[#This Row],[Category]]&amp;"-"&amp;IF(ResultsInd[[#This Row],[Player B]]="","",IF(ResultsInd[[#This Row],[Score-A]]=ResultsInd[[#This Row],[Score-B]],ResultsInd[[#This Row],[Player A]],"")),""),"")</f>
        <v/>
      </c>
      <c r="T750" s="265" t="str">
        <f>IF(ResultsInd[[#This Row],[Score_OK]],IF(ResultsInd[[#This Row],[Stage]]="Groups",ResultsInd[[#This Row],[Category]]&amp;"-"&amp;IF(ResultsInd[[#This Row],[Player B]]="","",IF(ResultsInd[[#This Row],[Score-A]]=ResultsInd[[#This Row],[Score-B]],ResultsInd[[#This Row],[Player B]],"")),""),"")</f>
        <v/>
      </c>
      <c r="U7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0" s="264" t="str">
        <f>IF(ResultsInd[[#This Row],[Category]]="","",VLOOKUP(ResultsInd[[#This Row],[Stage]],$P$1:$V$9,MATCH(ResultsInd[[#This Row],[Category]],$Q$1:$V$1,0)+1,FALSE))</f>
        <v/>
      </c>
      <c r="Z750" s="264" t="str">
        <f>IF(ResultsInd[[#This Row],[Score_OK]],IF(ResultsInd[[#This Row],[Level]]="R",ResultsInd[[#This Row],[Category]]&amp;"-"&amp;IF(ResultsInd[[#This Row],[LoseInKO]]=ResultsInd[[#This Row],[Category]]&amp;"-"&amp;ResultsInd[[#This Row],[Player A]],ResultsInd[[#This Row],[Player B]],ResultsInd[[#This Row],[Player A]]),""),"")</f>
        <v/>
      </c>
      <c r="AB750" s="8"/>
      <c r="AC750" s="8"/>
      <c r="AE750" s="90"/>
      <c r="AF750" s="90"/>
      <c r="AP750" s="8"/>
      <c r="AQ750" s="8"/>
      <c r="AR750" s="8"/>
      <c r="AS750" s="8"/>
      <c r="AT750" s="8"/>
      <c r="AU750" s="8"/>
      <c r="AV750" s="8"/>
      <c r="AW750" s="8"/>
      <c r="AX750" s="8"/>
      <c r="AY750" s="90"/>
      <c r="AZ750" s="90"/>
      <c r="BA750" s="90"/>
      <c r="BB750" s="90"/>
      <c r="BC750" s="90"/>
      <c r="BD750" s="90"/>
      <c r="BE750" s="90"/>
      <c r="BF750" s="90"/>
    </row>
    <row r="751" spans="1:58" x14ac:dyDescent="0.2">
      <c r="A751" s="62"/>
      <c r="B751" s="62"/>
      <c r="C751" s="62"/>
      <c r="D751" s="62"/>
      <c r="E751" s="345"/>
      <c r="F751" s="345"/>
      <c r="G751" s="113"/>
      <c r="H751" s="113"/>
      <c r="I751" s="114"/>
      <c r="J751" s="114"/>
      <c r="K751" s="114"/>
      <c r="L751" s="81"/>
      <c r="M751" s="265" t="b">
        <f>NOT(ISERROR(ResultsInd[[#This Row],[Goal-A]]+ResultsInd[[#This Row],[Goal-B]]))</f>
        <v>1</v>
      </c>
      <c r="N751" s="265">
        <f>VALUE(ResultsInd[[#This Row],[Score-A]])</f>
        <v>0</v>
      </c>
      <c r="O751" s="265">
        <f>VALUE(ResultsInd[[#This Row],[Score-B]])</f>
        <v>0</v>
      </c>
      <c r="P751" s="265" t="str">
        <f ca="1">IF(AND(ResultsInd[[#This Row],[Category]]&lt;&gt;"",ResultsInd[[#This Row],[Player A]]&lt;&gt;""),COUNTIF(INDIRECT(ResultsInd[[#This Row],[Category]]&amp;"List[Retained Player Name]"),ResultsInd[[#This Row],[Player A]]),"")</f>
        <v/>
      </c>
      <c r="Q751" s="265" t="str">
        <f ca="1">IF(AND(ResultsInd[[#This Row],[Category]]&lt;&gt;"",ResultsInd[[#This Row],[Player B]]&lt;&gt;""),COUNTIF(INDIRECT(ResultsInd[[#This Row],[Category]]&amp;"List[Retained Player Name]"),ResultsInd[[#This Row],[Player B]]),"")</f>
        <v/>
      </c>
      <c r="R7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1" s="265" t="str">
        <f>IF(ResultsInd[[#This Row],[Score_OK]],IF(ResultsInd[[#This Row],[Stage]]="Groups",ResultsInd[[#This Row],[Category]]&amp;"-"&amp;IF(ResultsInd[[#This Row],[Player B]]="","",IF(ResultsInd[[#This Row],[Score-A]]=ResultsInd[[#This Row],[Score-B]],ResultsInd[[#This Row],[Player A]],"")),""),"")</f>
        <v/>
      </c>
      <c r="T751" s="265" t="str">
        <f>IF(ResultsInd[[#This Row],[Score_OK]],IF(ResultsInd[[#This Row],[Stage]]="Groups",ResultsInd[[#This Row],[Category]]&amp;"-"&amp;IF(ResultsInd[[#This Row],[Player B]]="","",IF(ResultsInd[[#This Row],[Score-A]]=ResultsInd[[#This Row],[Score-B]],ResultsInd[[#This Row],[Player B]],"")),""),"")</f>
        <v/>
      </c>
      <c r="U7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1" s="264" t="str">
        <f>IF(ResultsInd[[#This Row],[Category]]="","",VLOOKUP(ResultsInd[[#This Row],[Stage]],$P$1:$V$9,MATCH(ResultsInd[[#This Row],[Category]],$Q$1:$V$1,0)+1,FALSE))</f>
        <v/>
      </c>
      <c r="Z751" s="264" t="str">
        <f>IF(ResultsInd[[#This Row],[Score_OK]],IF(ResultsInd[[#This Row],[Level]]="R",ResultsInd[[#This Row],[Category]]&amp;"-"&amp;IF(ResultsInd[[#This Row],[LoseInKO]]=ResultsInd[[#This Row],[Category]]&amp;"-"&amp;ResultsInd[[#This Row],[Player A]],ResultsInd[[#This Row],[Player B]],ResultsInd[[#This Row],[Player A]]),""),"")</f>
        <v/>
      </c>
      <c r="AB751" s="8"/>
      <c r="AC751" s="8"/>
      <c r="AE751" s="90"/>
      <c r="AF751" s="90"/>
      <c r="AP751" s="8"/>
      <c r="AQ751" s="8"/>
      <c r="AR751" s="8"/>
      <c r="AS751" s="8"/>
      <c r="AT751" s="8"/>
      <c r="AU751" s="8"/>
      <c r="AV751" s="8"/>
      <c r="AW751" s="8"/>
      <c r="AX751" s="8"/>
      <c r="AY751" s="90"/>
      <c r="AZ751" s="90"/>
      <c r="BA751" s="90"/>
      <c r="BB751" s="90"/>
      <c r="BC751" s="90"/>
      <c r="BD751" s="90"/>
      <c r="BE751" s="90"/>
      <c r="BF751" s="90"/>
    </row>
    <row r="752" spans="1:58" x14ac:dyDescent="0.2">
      <c r="A752" s="62"/>
      <c r="B752" s="62"/>
      <c r="C752" s="62"/>
      <c r="D752" s="62"/>
      <c r="E752" s="345"/>
      <c r="F752" s="345"/>
      <c r="G752" s="113"/>
      <c r="H752" s="113"/>
      <c r="I752" s="114"/>
      <c r="J752" s="114"/>
      <c r="K752" s="114"/>
      <c r="L752" s="81"/>
      <c r="M752" s="265" t="b">
        <f>NOT(ISERROR(ResultsInd[[#This Row],[Goal-A]]+ResultsInd[[#This Row],[Goal-B]]))</f>
        <v>1</v>
      </c>
      <c r="N752" s="265">
        <f>VALUE(ResultsInd[[#This Row],[Score-A]])</f>
        <v>0</v>
      </c>
      <c r="O752" s="265">
        <f>VALUE(ResultsInd[[#This Row],[Score-B]])</f>
        <v>0</v>
      </c>
      <c r="P752" s="265" t="str">
        <f ca="1">IF(AND(ResultsInd[[#This Row],[Category]]&lt;&gt;"",ResultsInd[[#This Row],[Player A]]&lt;&gt;""),COUNTIF(INDIRECT(ResultsInd[[#This Row],[Category]]&amp;"List[Retained Player Name]"),ResultsInd[[#This Row],[Player A]]),"")</f>
        <v/>
      </c>
      <c r="Q752" s="265" t="str">
        <f ca="1">IF(AND(ResultsInd[[#This Row],[Category]]&lt;&gt;"",ResultsInd[[#This Row],[Player B]]&lt;&gt;""),COUNTIF(INDIRECT(ResultsInd[[#This Row],[Category]]&amp;"List[Retained Player Name]"),ResultsInd[[#This Row],[Player B]]),"")</f>
        <v/>
      </c>
      <c r="R7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2" s="265" t="str">
        <f>IF(ResultsInd[[#This Row],[Score_OK]],IF(ResultsInd[[#This Row],[Stage]]="Groups",ResultsInd[[#This Row],[Category]]&amp;"-"&amp;IF(ResultsInd[[#This Row],[Player B]]="","",IF(ResultsInd[[#This Row],[Score-A]]=ResultsInd[[#This Row],[Score-B]],ResultsInd[[#This Row],[Player A]],"")),""),"")</f>
        <v/>
      </c>
      <c r="T752" s="265" t="str">
        <f>IF(ResultsInd[[#This Row],[Score_OK]],IF(ResultsInd[[#This Row],[Stage]]="Groups",ResultsInd[[#This Row],[Category]]&amp;"-"&amp;IF(ResultsInd[[#This Row],[Player B]]="","",IF(ResultsInd[[#This Row],[Score-A]]=ResultsInd[[#This Row],[Score-B]],ResultsInd[[#This Row],[Player B]],"")),""),"")</f>
        <v/>
      </c>
      <c r="U7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2" s="264" t="str">
        <f>IF(ResultsInd[[#This Row],[Category]]="","",VLOOKUP(ResultsInd[[#This Row],[Stage]],$P$1:$V$9,MATCH(ResultsInd[[#This Row],[Category]],$Q$1:$V$1,0)+1,FALSE))</f>
        <v/>
      </c>
      <c r="Z752" s="264" t="str">
        <f>IF(ResultsInd[[#This Row],[Score_OK]],IF(ResultsInd[[#This Row],[Level]]="R",ResultsInd[[#This Row],[Category]]&amp;"-"&amp;IF(ResultsInd[[#This Row],[LoseInKO]]=ResultsInd[[#This Row],[Category]]&amp;"-"&amp;ResultsInd[[#This Row],[Player A]],ResultsInd[[#This Row],[Player B]],ResultsInd[[#This Row],[Player A]]),""),"")</f>
        <v/>
      </c>
      <c r="AB752" s="8"/>
      <c r="AC752" s="8"/>
      <c r="AE752" s="90"/>
      <c r="AF752" s="90"/>
      <c r="AP752" s="8"/>
      <c r="AQ752" s="8"/>
      <c r="AR752" s="8"/>
      <c r="AS752" s="8"/>
      <c r="AT752" s="8"/>
      <c r="AU752" s="8"/>
      <c r="AV752" s="8"/>
      <c r="AW752" s="8"/>
      <c r="AX752" s="8"/>
      <c r="AY752" s="90"/>
      <c r="AZ752" s="90"/>
      <c r="BA752" s="90"/>
      <c r="BB752" s="90"/>
      <c r="BC752" s="90"/>
      <c r="BD752" s="90"/>
      <c r="BE752" s="90"/>
      <c r="BF752" s="90"/>
    </row>
    <row r="753" spans="1:58" x14ac:dyDescent="0.2">
      <c r="A753" s="62"/>
      <c r="B753" s="62"/>
      <c r="C753" s="62"/>
      <c r="D753" s="62"/>
      <c r="E753" s="345"/>
      <c r="F753" s="345"/>
      <c r="G753" s="113"/>
      <c r="H753" s="113"/>
      <c r="I753" s="114"/>
      <c r="J753" s="114"/>
      <c r="K753" s="114"/>
      <c r="L753" s="81"/>
      <c r="M753" s="265" t="b">
        <f>NOT(ISERROR(ResultsInd[[#This Row],[Goal-A]]+ResultsInd[[#This Row],[Goal-B]]))</f>
        <v>1</v>
      </c>
      <c r="N753" s="265">
        <f>VALUE(ResultsInd[[#This Row],[Score-A]])</f>
        <v>0</v>
      </c>
      <c r="O753" s="265">
        <f>VALUE(ResultsInd[[#This Row],[Score-B]])</f>
        <v>0</v>
      </c>
      <c r="P753" s="265" t="str">
        <f ca="1">IF(AND(ResultsInd[[#This Row],[Category]]&lt;&gt;"",ResultsInd[[#This Row],[Player A]]&lt;&gt;""),COUNTIF(INDIRECT(ResultsInd[[#This Row],[Category]]&amp;"List[Retained Player Name]"),ResultsInd[[#This Row],[Player A]]),"")</f>
        <v/>
      </c>
      <c r="Q753" s="265" t="str">
        <f ca="1">IF(AND(ResultsInd[[#This Row],[Category]]&lt;&gt;"",ResultsInd[[#This Row],[Player B]]&lt;&gt;""),COUNTIF(INDIRECT(ResultsInd[[#This Row],[Category]]&amp;"List[Retained Player Name]"),ResultsInd[[#This Row],[Player B]]),"")</f>
        <v/>
      </c>
      <c r="R7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3" s="265" t="str">
        <f>IF(ResultsInd[[#This Row],[Score_OK]],IF(ResultsInd[[#This Row],[Stage]]="Groups",ResultsInd[[#This Row],[Category]]&amp;"-"&amp;IF(ResultsInd[[#This Row],[Player B]]="","",IF(ResultsInd[[#This Row],[Score-A]]=ResultsInd[[#This Row],[Score-B]],ResultsInd[[#This Row],[Player A]],"")),""),"")</f>
        <v/>
      </c>
      <c r="T753" s="265" t="str">
        <f>IF(ResultsInd[[#This Row],[Score_OK]],IF(ResultsInd[[#This Row],[Stage]]="Groups",ResultsInd[[#This Row],[Category]]&amp;"-"&amp;IF(ResultsInd[[#This Row],[Player B]]="","",IF(ResultsInd[[#This Row],[Score-A]]=ResultsInd[[#This Row],[Score-B]],ResultsInd[[#This Row],[Player B]],"")),""),"")</f>
        <v/>
      </c>
      <c r="U7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3" s="264" t="str">
        <f>IF(ResultsInd[[#This Row],[Category]]="","",VLOOKUP(ResultsInd[[#This Row],[Stage]],$P$1:$V$9,MATCH(ResultsInd[[#This Row],[Category]],$Q$1:$V$1,0)+1,FALSE))</f>
        <v/>
      </c>
      <c r="Z753" s="264" t="str">
        <f>IF(ResultsInd[[#This Row],[Score_OK]],IF(ResultsInd[[#This Row],[Level]]="R",ResultsInd[[#This Row],[Category]]&amp;"-"&amp;IF(ResultsInd[[#This Row],[LoseInKO]]=ResultsInd[[#This Row],[Category]]&amp;"-"&amp;ResultsInd[[#This Row],[Player A]],ResultsInd[[#This Row],[Player B]],ResultsInd[[#This Row],[Player A]]),""),"")</f>
        <v/>
      </c>
      <c r="AB753" s="8"/>
      <c r="AC753" s="8"/>
      <c r="AE753" s="90"/>
      <c r="AF753" s="90"/>
      <c r="AP753" s="8"/>
      <c r="AQ753" s="8"/>
      <c r="AR753" s="8"/>
      <c r="AS753" s="8"/>
      <c r="AT753" s="8"/>
      <c r="AU753" s="8"/>
      <c r="AV753" s="8"/>
      <c r="AW753" s="8"/>
      <c r="AX753" s="8"/>
      <c r="AY753" s="90"/>
      <c r="AZ753" s="90"/>
      <c r="BA753" s="90"/>
      <c r="BB753" s="90"/>
      <c r="BC753" s="90"/>
      <c r="BD753" s="90"/>
      <c r="BE753" s="90"/>
      <c r="BF753" s="90"/>
    </row>
    <row r="754" spans="1:58" x14ac:dyDescent="0.2">
      <c r="A754" s="62"/>
      <c r="B754" s="62"/>
      <c r="C754" s="62"/>
      <c r="D754" s="62"/>
      <c r="E754" s="345"/>
      <c r="F754" s="345"/>
      <c r="G754" s="113"/>
      <c r="H754" s="113"/>
      <c r="I754" s="114"/>
      <c r="J754" s="114"/>
      <c r="K754" s="114"/>
      <c r="L754" s="81"/>
      <c r="M754" s="265" t="b">
        <f>NOT(ISERROR(ResultsInd[[#This Row],[Goal-A]]+ResultsInd[[#This Row],[Goal-B]]))</f>
        <v>1</v>
      </c>
      <c r="N754" s="265">
        <f>VALUE(ResultsInd[[#This Row],[Score-A]])</f>
        <v>0</v>
      </c>
      <c r="O754" s="265">
        <f>VALUE(ResultsInd[[#This Row],[Score-B]])</f>
        <v>0</v>
      </c>
      <c r="P754" s="265" t="str">
        <f ca="1">IF(AND(ResultsInd[[#This Row],[Category]]&lt;&gt;"",ResultsInd[[#This Row],[Player A]]&lt;&gt;""),COUNTIF(INDIRECT(ResultsInd[[#This Row],[Category]]&amp;"List[Retained Player Name]"),ResultsInd[[#This Row],[Player A]]),"")</f>
        <v/>
      </c>
      <c r="Q754" s="265" t="str">
        <f ca="1">IF(AND(ResultsInd[[#This Row],[Category]]&lt;&gt;"",ResultsInd[[#This Row],[Player B]]&lt;&gt;""),COUNTIF(INDIRECT(ResultsInd[[#This Row],[Category]]&amp;"List[Retained Player Name]"),ResultsInd[[#This Row],[Player B]]),"")</f>
        <v/>
      </c>
      <c r="R7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4" s="265" t="str">
        <f>IF(ResultsInd[[#This Row],[Score_OK]],IF(ResultsInd[[#This Row],[Stage]]="Groups",ResultsInd[[#This Row],[Category]]&amp;"-"&amp;IF(ResultsInd[[#This Row],[Player B]]="","",IF(ResultsInd[[#This Row],[Score-A]]=ResultsInd[[#This Row],[Score-B]],ResultsInd[[#This Row],[Player A]],"")),""),"")</f>
        <v/>
      </c>
      <c r="T754" s="265" t="str">
        <f>IF(ResultsInd[[#This Row],[Score_OK]],IF(ResultsInd[[#This Row],[Stage]]="Groups",ResultsInd[[#This Row],[Category]]&amp;"-"&amp;IF(ResultsInd[[#This Row],[Player B]]="","",IF(ResultsInd[[#This Row],[Score-A]]=ResultsInd[[#This Row],[Score-B]],ResultsInd[[#This Row],[Player B]],"")),""),"")</f>
        <v/>
      </c>
      <c r="U7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4" s="264" t="str">
        <f>IF(ResultsInd[[#This Row],[Category]]="","",VLOOKUP(ResultsInd[[#This Row],[Stage]],$P$1:$V$9,MATCH(ResultsInd[[#This Row],[Category]],$Q$1:$V$1,0)+1,FALSE))</f>
        <v/>
      </c>
      <c r="Z754" s="264" t="str">
        <f>IF(ResultsInd[[#This Row],[Score_OK]],IF(ResultsInd[[#This Row],[Level]]="R",ResultsInd[[#This Row],[Category]]&amp;"-"&amp;IF(ResultsInd[[#This Row],[LoseInKO]]=ResultsInd[[#This Row],[Category]]&amp;"-"&amp;ResultsInd[[#This Row],[Player A]],ResultsInd[[#This Row],[Player B]],ResultsInd[[#This Row],[Player A]]),""),"")</f>
        <v/>
      </c>
      <c r="AB754" s="8"/>
      <c r="AC754" s="8"/>
      <c r="AE754" s="90"/>
      <c r="AF754" s="90"/>
      <c r="AP754" s="8"/>
      <c r="AQ754" s="8"/>
      <c r="AR754" s="8"/>
      <c r="AS754" s="8"/>
      <c r="AT754" s="8"/>
      <c r="AU754" s="8"/>
      <c r="AV754" s="8"/>
      <c r="AW754" s="8"/>
      <c r="AX754" s="8"/>
      <c r="AY754" s="90"/>
      <c r="AZ754" s="90"/>
      <c r="BA754" s="90"/>
      <c r="BB754" s="90"/>
      <c r="BC754" s="90"/>
      <c r="BD754" s="90"/>
      <c r="BE754" s="90"/>
      <c r="BF754" s="90"/>
    </row>
    <row r="755" spans="1:58" x14ac:dyDescent="0.2">
      <c r="A755" s="62"/>
      <c r="B755" s="62"/>
      <c r="C755" s="62"/>
      <c r="D755" s="62"/>
      <c r="E755" s="345"/>
      <c r="F755" s="345"/>
      <c r="G755" s="113"/>
      <c r="H755" s="113"/>
      <c r="I755" s="114"/>
      <c r="J755" s="114"/>
      <c r="K755" s="114"/>
      <c r="L755" s="81"/>
      <c r="M755" s="265" t="b">
        <f>NOT(ISERROR(ResultsInd[[#This Row],[Goal-A]]+ResultsInd[[#This Row],[Goal-B]]))</f>
        <v>1</v>
      </c>
      <c r="N755" s="265">
        <f>VALUE(ResultsInd[[#This Row],[Score-A]])</f>
        <v>0</v>
      </c>
      <c r="O755" s="265">
        <f>VALUE(ResultsInd[[#This Row],[Score-B]])</f>
        <v>0</v>
      </c>
      <c r="P755" s="265" t="str">
        <f ca="1">IF(AND(ResultsInd[[#This Row],[Category]]&lt;&gt;"",ResultsInd[[#This Row],[Player A]]&lt;&gt;""),COUNTIF(INDIRECT(ResultsInd[[#This Row],[Category]]&amp;"List[Retained Player Name]"),ResultsInd[[#This Row],[Player A]]),"")</f>
        <v/>
      </c>
      <c r="Q755" s="265" t="str">
        <f ca="1">IF(AND(ResultsInd[[#This Row],[Category]]&lt;&gt;"",ResultsInd[[#This Row],[Player B]]&lt;&gt;""),COUNTIF(INDIRECT(ResultsInd[[#This Row],[Category]]&amp;"List[Retained Player Name]"),ResultsInd[[#This Row],[Player B]]),"")</f>
        <v/>
      </c>
      <c r="R7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5" s="265" t="str">
        <f>IF(ResultsInd[[#This Row],[Score_OK]],IF(ResultsInd[[#This Row],[Stage]]="Groups",ResultsInd[[#This Row],[Category]]&amp;"-"&amp;IF(ResultsInd[[#This Row],[Player B]]="","",IF(ResultsInd[[#This Row],[Score-A]]=ResultsInd[[#This Row],[Score-B]],ResultsInd[[#This Row],[Player A]],"")),""),"")</f>
        <v/>
      </c>
      <c r="T755" s="265" t="str">
        <f>IF(ResultsInd[[#This Row],[Score_OK]],IF(ResultsInd[[#This Row],[Stage]]="Groups",ResultsInd[[#This Row],[Category]]&amp;"-"&amp;IF(ResultsInd[[#This Row],[Player B]]="","",IF(ResultsInd[[#This Row],[Score-A]]=ResultsInd[[#This Row],[Score-B]],ResultsInd[[#This Row],[Player B]],"")),""),"")</f>
        <v/>
      </c>
      <c r="U7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5" s="264" t="str">
        <f>IF(ResultsInd[[#This Row],[Category]]="","",VLOOKUP(ResultsInd[[#This Row],[Stage]],$P$1:$V$9,MATCH(ResultsInd[[#This Row],[Category]],$Q$1:$V$1,0)+1,FALSE))</f>
        <v/>
      </c>
      <c r="Z755" s="264" t="str">
        <f>IF(ResultsInd[[#This Row],[Score_OK]],IF(ResultsInd[[#This Row],[Level]]="R",ResultsInd[[#This Row],[Category]]&amp;"-"&amp;IF(ResultsInd[[#This Row],[LoseInKO]]=ResultsInd[[#This Row],[Category]]&amp;"-"&amp;ResultsInd[[#This Row],[Player A]],ResultsInd[[#This Row],[Player B]],ResultsInd[[#This Row],[Player A]]),""),"")</f>
        <v/>
      </c>
      <c r="AB755" s="8"/>
      <c r="AC755" s="8"/>
      <c r="AE755" s="90"/>
      <c r="AF755" s="90"/>
      <c r="AP755" s="8"/>
      <c r="AQ755" s="8"/>
      <c r="AR755" s="8"/>
      <c r="AS755" s="8"/>
      <c r="AT755" s="8"/>
      <c r="AU755" s="8"/>
      <c r="AV755" s="8"/>
      <c r="AW755" s="8"/>
      <c r="AX755" s="8"/>
      <c r="AY755" s="90"/>
      <c r="AZ755" s="90"/>
      <c r="BA755" s="90"/>
      <c r="BB755" s="90"/>
      <c r="BC755" s="90"/>
      <c r="BD755" s="90"/>
      <c r="BE755" s="90"/>
      <c r="BF755" s="90"/>
    </row>
    <row r="756" spans="1:58" x14ac:dyDescent="0.2">
      <c r="A756" s="62"/>
      <c r="B756" s="62"/>
      <c r="C756" s="62"/>
      <c r="D756" s="62"/>
      <c r="E756" s="345"/>
      <c r="F756" s="345"/>
      <c r="G756" s="113"/>
      <c r="H756" s="113"/>
      <c r="I756" s="114"/>
      <c r="J756" s="114"/>
      <c r="K756" s="114"/>
      <c r="L756" s="81"/>
      <c r="M756" s="265" t="b">
        <f>NOT(ISERROR(ResultsInd[[#This Row],[Goal-A]]+ResultsInd[[#This Row],[Goal-B]]))</f>
        <v>1</v>
      </c>
      <c r="N756" s="265">
        <f>VALUE(ResultsInd[[#This Row],[Score-A]])</f>
        <v>0</v>
      </c>
      <c r="O756" s="265">
        <f>VALUE(ResultsInd[[#This Row],[Score-B]])</f>
        <v>0</v>
      </c>
      <c r="P756" s="265" t="str">
        <f ca="1">IF(AND(ResultsInd[[#This Row],[Category]]&lt;&gt;"",ResultsInd[[#This Row],[Player A]]&lt;&gt;""),COUNTIF(INDIRECT(ResultsInd[[#This Row],[Category]]&amp;"List[Retained Player Name]"),ResultsInd[[#This Row],[Player A]]),"")</f>
        <v/>
      </c>
      <c r="Q756" s="265" t="str">
        <f ca="1">IF(AND(ResultsInd[[#This Row],[Category]]&lt;&gt;"",ResultsInd[[#This Row],[Player B]]&lt;&gt;""),COUNTIF(INDIRECT(ResultsInd[[#This Row],[Category]]&amp;"List[Retained Player Name]"),ResultsInd[[#This Row],[Player B]]),"")</f>
        <v/>
      </c>
      <c r="R7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6" s="265" t="str">
        <f>IF(ResultsInd[[#This Row],[Score_OK]],IF(ResultsInd[[#This Row],[Stage]]="Groups",ResultsInd[[#This Row],[Category]]&amp;"-"&amp;IF(ResultsInd[[#This Row],[Player B]]="","",IF(ResultsInd[[#This Row],[Score-A]]=ResultsInd[[#This Row],[Score-B]],ResultsInd[[#This Row],[Player A]],"")),""),"")</f>
        <v/>
      </c>
      <c r="T756" s="265" t="str">
        <f>IF(ResultsInd[[#This Row],[Score_OK]],IF(ResultsInd[[#This Row],[Stage]]="Groups",ResultsInd[[#This Row],[Category]]&amp;"-"&amp;IF(ResultsInd[[#This Row],[Player B]]="","",IF(ResultsInd[[#This Row],[Score-A]]=ResultsInd[[#This Row],[Score-B]],ResultsInd[[#This Row],[Player B]],"")),""),"")</f>
        <v/>
      </c>
      <c r="U7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6" s="264" t="str">
        <f>IF(ResultsInd[[#This Row],[Category]]="","",VLOOKUP(ResultsInd[[#This Row],[Stage]],$P$1:$V$9,MATCH(ResultsInd[[#This Row],[Category]],$Q$1:$V$1,0)+1,FALSE))</f>
        <v/>
      </c>
      <c r="Z756" s="264" t="str">
        <f>IF(ResultsInd[[#This Row],[Score_OK]],IF(ResultsInd[[#This Row],[Level]]="R",ResultsInd[[#This Row],[Category]]&amp;"-"&amp;IF(ResultsInd[[#This Row],[LoseInKO]]=ResultsInd[[#This Row],[Category]]&amp;"-"&amp;ResultsInd[[#This Row],[Player A]],ResultsInd[[#This Row],[Player B]],ResultsInd[[#This Row],[Player A]]),""),"")</f>
        <v/>
      </c>
      <c r="AB756" s="8"/>
      <c r="AC756" s="8"/>
      <c r="AE756" s="90"/>
      <c r="AF756" s="90"/>
      <c r="AP756" s="8"/>
      <c r="AQ756" s="8"/>
      <c r="AR756" s="8"/>
      <c r="AS756" s="8"/>
      <c r="AT756" s="8"/>
      <c r="AU756" s="8"/>
      <c r="AV756" s="8"/>
      <c r="AW756" s="8"/>
      <c r="AX756" s="8"/>
      <c r="AY756" s="90"/>
      <c r="AZ756" s="90"/>
      <c r="BA756" s="90"/>
      <c r="BB756" s="90"/>
      <c r="BC756" s="90"/>
      <c r="BD756" s="90"/>
      <c r="BE756" s="90"/>
      <c r="BF756" s="90"/>
    </row>
    <row r="757" spans="1:58" x14ac:dyDescent="0.2">
      <c r="A757" s="62"/>
      <c r="B757" s="62"/>
      <c r="C757" s="62"/>
      <c r="D757" s="62"/>
      <c r="E757" s="345"/>
      <c r="F757" s="345"/>
      <c r="G757" s="113"/>
      <c r="H757" s="113"/>
      <c r="I757" s="114"/>
      <c r="J757" s="114"/>
      <c r="K757" s="114"/>
      <c r="L757" s="81"/>
      <c r="M757" s="265" t="b">
        <f>NOT(ISERROR(ResultsInd[[#This Row],[Goal-A]]+ResultsInd[[#This Row],[Goal-B]]))</f>
        <v>1</v>
      </c>
      <c r="N757" s="265">
        <f>VALUE(ResultsInd[[#This Row],[Score-A]])</f>
        <v>0</v>
      </c>
      <c r="O757" s="265">
        <f>VALUE(ResultsInd[[#This Row],[Score-B]])</f>
        <v>0</v>
      </c>
      <c r="P757" s="265" t="str">
        <f ca="1">IF(AND(ResultsInd[[#This Row],[Category]]&lt;&gt;"",ResultsInd[[#This Row],[Player A]]&lt;&gt;""),COUNTIF(INDIRECT(ResultsInd[[#This Row],[Category]]&amp;"List[Retained Player Name]"),ResultsInd[[#This Row],[Player A]]),"")</f>
        <v/>
      </c>
      <c r="Q757" s="265" t="str">
        <f ca="1">IF(AND(ResultsInd[[#This Row],[Category]]&lt;&gt;"",ResultsInd[[#This Row],[Player B]]&lt;&gt;""),COUNTIF(INDIRECT(ResultsInd[[#This Row],[Category]]&amp;"List[Retained Player Name]"),ResultsInd[[#This Row],[Player B]]),"")</f>
        <v/>
      </c>
      <c r="R7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7" s="265" t="str">
        <f>IF(ResultsInd[[#This Row],[Score_OK]],IF(ResultsInd[[#This Row],[Stage]]="Groups",ResultsInd[[#This Row],[Category]]&amp;"-"&amp;IF(ResultsInd[[#This Row],[Player B]]="","",IF(ResultsInd[[#This Row],[Score-A]]=ResultsInd[[#This Row],[Score-B]],ResultsInd[[#This Row],[Player A]],"")),""),"")</f>
        <v/>
      </c>
      <c r="T757" s="265" t="str">
        <f>IF(ResultsInd[[#This Row],[Score_OK]],IF(ResultsInd[[#This Row],[Stage]]="Groups",ResultsInd[[#This Row],[Category]]&amp;"-"&amp;IF(ResultsInd[[#This Row],[Player B]]="","",IF(ResultsInd[[#This Row],[Score-A]]=ResultsInd[[#This Row],[Score-B]],ResultsInd[[#This Row],[Player B]],"")),""),"")</f>
        <v/>
      </c>
      <c r="U7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7" s="264" t="str">
        <f>IF(ResultsInd[[#This Row],[Category]]="","",VLOOKUP(ResultsInd[[#This Row],[Stage]],$P$1:$V$9,MATCH(ResultsInd[[#This Row],[Category]],$Q$1:$V$1,0)+1,FALSE))</f>
        <v/>
      </c>
      <c r="Z757" s="264" t="str">
        <f>IF(ResultsInd[[#This Row],[Score_OK]],IF(ResultsInd[[#This Row],[Level]]="R",ResultsInd[[#This Row],[Category]]&amp;"-"&amp;IF(ResultsInd[[#This Row],[LoseInKO]]=ResultsInd[[#This Row],[Category]]&amp;"-"&amp;ResultsInd[[#This Row],[Player A]],ResultsInd[[#This Row],[Player B]],ResultsInd[[#This Row],[Player A]]),""),"")</f>
        <v/>
      </c>
      <c r="AB757" s="8"/>
      <c r="AC757" s="8"/>
      <c r="AE757" s="90"/>
      <c r="AF757" s="90"/>
      <c r="AP757" s="8"/>
      <c r="AQ757" s="8"/>
      <c r="AR757" s="8"/>
      <c r="AS757" s="8"/>
      <c r="AT757" s="8"/>
      <c r="AU757" s="8"/>
      <c r="AV757" s="8"/>
      <c r="AW757" s="8"/>
      <c r="AX757" s="8"/>
      <c r="AY757" s="90"/>
      <c r="AZ757" s="90"/>
      <c r="BA757" s="90"/>
      <c r="BB757" s="90"/>
      <c r="BC757" s="90"/>
      <c r="BD757" s="90"/>
      <c r="BE757" s="90"/>
      <c r="BF757" s="90"/>
    </row>
    <row r="758" spans="1:58" x14ac:dyDescent="0.2">
      <c r="A758" s="62"/>
      <c r="B758" s="62"/>
      <c r="C758" s="62"/>
      <c r="D758" s="62"/>
      <c r="E758" s="345"/>
      <c r="F758" s="345"/>
      <c r="G758" s="113"/>
      <c r="H758" s="113"/>
      <c r="I758" s="114"/>
      <c r="J758" s="114"/>
      <c r="K758" s="114"/>
      <c r="L758" s="81"/>
      <c r="M758" s="265" t="b">
        <f>NOT(ISERROR(ResultsInd[[#This Row],[Goal-A]]+ResultsInd[[#This Row],[Goal-B]]))</f>
        <v>1</v>
      </c>
      <c r="N758" s="265">
        <f>VALUE(ResultsInd[[#This Row],[Score-A]])</f>
        <v>0</v>
      </c>
      <c r="O758" s="265">
        <f>VALUE(ResultsInd[[#This Row],[Score-B]])</f>
        <v>0</v>
      </c>
      <c r="P758" s="265" t="str">
        <f ca="1">IF(AND(ResultsInd[[#This Row],[Category]]&lt;&gt;"",ResultsInd[[#This Row],[Player A]]&lt;&gt;""),COUNTIF(INDIRECT(ResultsInd[[#This Row],[Category]]&amp;"List[Retained Player Name]"),ResultsInd[[#This Row],[Player A]]),"")</f>
        <v/>
      </c>
      <c r="Q758" s="265" t="str">
        <f ca="1">IF(AND(ResultsInd[[#This Row],[Category]]&lt;&gt;"",ResultsInd[[#This Row],[Player B]]&lt;&gt;""),COUNTIF(INDIRECT(ResultsInd[[#This Row],[Category]]&amp;"List[Retained Player Name]"),ResultsInd[[#This Row],[Player B]]),"")</f>
        <v/>
      </c>
      <c r="R7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8" s="265" t="str">
        <f>IF(ResultsInd[[#This Row],[Score_OK]],IF(ResultsInd[[#This Row],[Stage]]="Groups",ResultsInd[[#This Row],[Category]]&amp;"-"&amp;IF(ResultsInd[[#This Row],[Player B]]="","",IF(ResultsInd[[#This Row],[Score-A]]=ResultsInd[[#This Row],[Score-B]],ResultsInd[[#This Row],[Player A]],"")),""),"")</f>
        <v/>
      </c>
      <c r="T758" s="265" t="str">
        <f>IF(ResultsInd[[#This Row],[Score_OK]],IF(ResultsInd[[#This Row],[Stage]]="Groups",ResultsInd[[#This Row],[Category]]&amp;"-"&amp;IF(ResultsInd[[#This Row],[Player B]]="","",IF(ResultsInd[[#This Row],[Score-A]]=ResultsInd[[#This Row],[Score-B]],ResultsInd[[#This Row],[Player B]],"")),""),"")</f>
        <v/>
      </c>
      <c r="U7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8" s="264" t="str">
        <f>IF(ResultsInd[[#This Row],[Category]]="","",VLOOKUP(ResultsInd[[#This Row],[Stage]],$P$1:$V$9,MATCH(ResultsInd[[#This Row],[Category]],$Q$1:$V$1,0)+1,FALSE))</f>
        <v/>
      </c>
      <c r="Z758" s="264" t="str">
        <f>IF(ResultsInd[[#This Row],[Score_OK]],IF(ResultsInd[[#This Row],[Level]]="R",ResultsInd[[#This Row],[Category]]&amp;"-"&amp;IF(ResultsInd[[#This Row],[LoseInKO]]=ResultsInd[[#This Row],[Category]]&amp;"-"&amp;ResultsInd[[#This Row],[Player A]],ResultsInd[[#This Row],[Player B]],ResultsInd[[#This Row],[Player A]]),""),"")</f>
        <v/>
      </c>
      <c r="AB758" s="8"/>
      <c r="AC758" s="8"/>
      <c r="AE758" s="90"/>
      <c r="AF758" s="90"/>
      <c r="AP758" s="8"/>
      <c r="AQ758" s="8"/>
      <c r="AR758" s="8"/>
      <c r="AS758" s="8"/>
      <c r="AT758" s="8"/>
      <c r="AU758" s="8"/>
      <c r="AV758" s="8"/>
      <c r="AW758" s="8"/>
      <c r="AX758" s="8"/>
      <c r="AY758" s="90"/>
      <c r="AZ758" s="90"/>
      <c r="BA758" s="90"/>
      <c r="BB758" s="90"/>
      <c r="BC758" s="90"/>
      <c r="BD758" s="90"/>
      <c r="BE758" s="90"/>
      <c r="BF758" s="90"/>
    </row>
    <row r="759" spans="1:58" x14ac:dyDescent="0.2">
      <c r="A759" s="62"/>
      <c r="B759" s="62"/>
      <c r="C759" s="62"/>
      <c r="D759" s="62"/>
      <c r="E759" s="345"/>
      <c r="F759" s="345"/>
      <c r="G759" s="113"/>
      <c r="H759" s="113"/>
      <c r="I759" s="114"/>
      <c r="J759" s="114"/>
      <c r="K759" s="114"/>
      <c r="L759" s="81"/>
      <c r="M759" s="265" t="b">
        <f>NOT(ISERROR(ResultsInd[[#This Row],[Goal-A]]+ResultsInd[[#This Row],[Goal-B]]))</f>
        <v>1</v>
      </c>
      <c r="N759" s="265">
        <f>VALUE(ResultsInd[[#This Row],[Score-A]])</f>
        <v>0</v>
      </c>
      <c r="O759" s="265">
        <f>VALUE(ResultsInd[[#This Row],[Score-B]])</f>
        <v>0</v>
      </c>
      <c r="P759" s="265" t="str">
        <f ca="1">IF(AND(ResultsInd[[#This Row],[Category]]&lt;&gt;"",ResultsInd[[#This Row],[Player A]]&lt;&gt;""),COUNTIF(INDIRECT(ResultsInd[[#This Row],[Category]]&amp;"List[Retained Player Name]"),ResultsInd[[#This Row],[Player A]]),"")</f>
        <v/>
      </c>
      <c r="Q759" s="265" t="str">
        <f ca="1">IF(AND(ResultsInd[[#This Row],[Category]]&lt;&gt;"",ResultsInd[[#This Row],[Player B]]&lt;&gt;""),COUNTIF(INDIRECT(ResultsInd[[#This Row],[Category]]&amp;"List[Retained Player Name]"),ResultsInd[[#This Row],[Player B]]),"")</f>
        <v/>
      </c>
      <c r="R7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9" s="265" t="str">
        <f>IF(ResultsInd[[#This Row],[Score_OK]],IF(ResultsInd[[#This Row],[Stage]]="Groups",ResultsInd[[#This Row],[Category]]&amp;"-"&amp;IF(ResultsInd[[#This Row],[Player B]]="","",IF(ResultsInd[[#This Row],[Score-A]]=ResultsInd[[#This Row],[Score-B]],ResultsInd[[#This Row],[Player A]],"")),""),"")</f>
        <v/>
      </c>
      <c r="T759" s="265" t="str">
        <f>IF(ResultsInd[[#This Row],[Score_OK]],IF(ResultsInd[[#This Row],[Stage]]="Groups",ResultsInd[[#This Row],[Category]]&amp;"-"&amp;IF(ResultsInd[[#This Row],[Player B]]="","",IF(ResultsInd[[#This Row],[Score-A]]=ResultsInd[[#This Row],[Score-B]],ResultsInd[[#This Row],[Player B]],"")),""),"")</f>
        <v/>
      </c>
      <c r="U7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9" s="264" t="str">
        <f>IF(ResultsInd[[#This Row],[Category]]="","",VLOOKUP(ResultsInd[[#This Row],[Stage]],$P$1:$V$9,MATCH(ResultsInd[[#This Row],[Category]],$Q$1:$V$1,0)+1,FALSE))</f>
        <v/>
      </c>
      <c r="Z759" s="264" t="str">
        <f>IF(ResultsInd[[#This Row],[Score_OK]],IF(ResultsInd[[#This Row],[Level]]="R",ResultsInd[[#This Row],[Category]]&amp;"-"&amp;IF(ResultsInd[[#This Row],[LoseInKO]]=ResultsInd[[#This Row],[Category]]&amp;"-"&amp;ResultsInd[[#This Row],[Player A]],ResultsInd[[#This Row],[Player B]],ResultsInd[[#This Row],[Player A]]),""),"")</f>
        <v/>
      </c>
      <c r="AB759" s="8"/>
      <c r="AC759" s="8"/>
      <c r="AE759" s="90"/>
      <c r="AF759" s="90"/>
      <c r="AP759" s="8"/>
      <c r="AQ759" s="8"/>
      <c r="AR759" s="8"/>
      <c r="AS759" s="8"/>
      <c r="AT759" s="8"/>
      <c r="AU759" s="8"/>
      <c r="AV759" s="8"/>
      <c r="AW759" s="8"/>
      <c r="AX759" s="8"/>
      <c r="AY759" s="90"/>
      <c r="AZ759" s="90"/>
      <c r="BA759" s="90"/>
      <c r="BB759" s="90"/>
      <c r="BC759" s="90"/>
      <c r="BD759" s="90"/>
      <c r="BE759" s="90"/>
      <c r="BF759" s="90"/>
    </row>
    <row r="760" spans="1:58" x14ac:dyDescent="0.2">
      <c r="A760" s="62"/>
      <c r="B760" s="62"/>
      <c r="C760" s="62"/>
      <c r="D760" s="62"/>
      <c r="E760" s="345"/>
      <c r="F760" s="345"/>
      <c r="G760" s="113"/>
      <c r="H760" s="113"/>
      <c r="I760" s="114"/>
      <c r="J760" s="114"/>
      <c r="K760" s="114"/>
      <c r="L760" s="81"/>
      <c r="M760" s="265" t="b">
        <f>NOT(ISERROR(ResultsInd[[#This Row],[Goal-A]]+ResultsInd[[#This Row],[Goal-B]]))</f>
        <v>1</v>
      </c>
      <c r="N760" s="265">
        <f>VALUE(ResultsInd[[#This Row],[Score-A]])</f>
        <v>0</v>
      </c>
      <c r="O760" s="265">
        <f>VALUE(ResultsInd[[#This Row],[Score-B]])</f>
        <v>0</v>
      </c>
      <c r="P760" s="265" t="str">
        <f ca="1">IF(AND(ResultsInd[[#This Row],[Category]]&lt;&gt;"",ResultsInd[[#This Row],[Player A]]&lt;&gt;""),COUNTIF(INDIRECT(ResultsInd[[#This Row],[Category]]&amp;"List[Retained Player Name]"),ResultsInd[[#This Row],[Player A]]),"")</f>
        <v/>
      </c>
      <c r="Q760" s="265" t="str">
        <f ca="1">IF(AND(ResultsInd[[#This Row],[Category]]&lt;&gt;"",ResultsInd[[#This Row],[Player B]]&lt;&gt;""),COUNTIF(INDIRECT(ResultsInd[[#This Row],[Category]]&amp;"List[Retained Player Name]"),ResultsInd[[#This Row],[Player B]]),"")</f>
        <v/>
      </c>
      <c r="R7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0" s="265" t="str">
        <f>IF(ResultsInd[[#This Row],[Score_OK]],IF(ResultsInd[[#This Row],[Stage]]="Groups",ResultsInd[[#This Row],[Category]]&amp;"-"&amp;IF(ResultsInd[[#This Row],[Player B]]="","",IF(ResultsInd[[#This Row],[Score-A]]=ResultsInd[[#This Row],[Score-B]],ResultsInd[[#This Row],[Player A]],"")),""),"")</f>
        <v/>
      </c>
      <c r="T760" s="265" t="str">
        <f>IF(ResultsInd[[#This Row],[Score_OK]],IF(ResultsInd[[#This Row],[Stage]]="Groups",ResultsInd[[#This Row],[Category]]&amp;"-"&amp;IF(ResultsInd[[#This Row],[Player B]]="","",IF(ResultsInd[[#This Row],[Score-A]]=ResultsInd[[#This Row],[Score-B]],ResultsInd[[#This Row],[Player B]],"")),""),"")</f>
        <v/>
      </c>
      <c r="U7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0" s="264" t="str">
        <f>IF(ResultsInd[[#This Row],[Category]]="","",VLOOKUP(ResultsInd[[#This Row],[Stage]],$P$1:$V$9,MATCH(ResultsInd[[#This Row],[Category]],$Q$1:$V$1,0)+1,FALSE))</f>
        <v/>
      </c>
      <c r="Z760" s="264" t="str">
        <f>IF(ResultsInd[[#This Row],[Score_OK]],IF(ResultsInd[[#This Row],[Level]]="R",ResultsInd[[#This Row],[Category]]&amp;"-"&amp;IF(ResultsInd[[#This Row],[LoseInKO]]=ResultsInd[[#This Row],[Category]]&amp;"-"&amp;ResultsInd[[#This Row],[Player A]],ResultsInd[[#This Row],[Player B]],ResultsInd[[#This Row],[Player A]]),""),"")</f>
        <v/>
      </c>
      <c r="AB760" s="8"/>
      <c r="AC760" s="8"/>
      <c r="AE760" s="90"/>
      <c r="AF760" s="90"/>
      <c r="AP760" s="8"/>
      <c r="AQ760" s="8"/>
      <c r="AR760" s="8"/>
      <c r="AS760" s="8"/>
      <c r="AT760" s="8"/>
      <c r="AU760" s="8"/>
      <c r="AV760" s="8"/>
      <c r="AW760" s="8"/>
      <c r="AX760" s="8"/>
      <c r="AY760" s="90"/>
      <c r="AZ760" s="90"/>
      <c r="BA760" s="90"/>
      <c r="BB760" s="90"/>
      <c r="BC760" s="90"/>
      <c r="BD760" s="90"/>
      <c r="BE760" s="90"/>
      <c r="BF760" s="90"/>
    </row>
    <row r="761" spans="1:58" x14ac:dyDescent="0.2">
      <c r="A761" s="62"/>
      <c r="B761" s="62"/>
      <c r="C761" s="62"/>
      <c r="D761" s="62"/>
      <c r="E761" s="345"/>
      <c r="F761" s="345"/>
      <c r="G761" s="113"/>
      <c r="H761" s="113"/>
      <c r="I761" s="114"/>
      <c r="J761" s="114"/>
      <c r="K761" s="114"/>
      <c r="L761" s="81"/>
      <c r="M761" s="265" t="b">
        <f>NOT(ISERROR(ResultsInd[[#This Row],[Goal-A]]+ResultsInd[[#This Row],[Goal-B]]))</f>
        <v>1</v>
      </c>
      <c r="N761" s="265">
        <f>VALUE(ResultsInd[[#This Row],[Score-A]])</f>
        <v>0</v>
      </c>
      <c r="O761" s="265">
        <f>VALUE(ResultsInd[[#This Row],[Score-B]])</f>
        <v>0</v>
      </c>
      <c r="P761" s="265" t="str">
        <f ca="1">IF(AND(ResultsInd[[#This Row],[Category]]&lt;&gt;"",ResultsInd[[#This Row],[Player A]]&lt;&gt;""),COUNTIF(INDIRECT(ResultsInd[[#This Row],[Category]]&amp;"List[Retained Player Name]"),ResultsInd[[#This Row],[Player A]]),"")</f>
        <v/>
      </c>
      <c r="Q761" s="265" t="str">
        <f ca="1">IF(AND(ResultsInd[[#This Row],[Category]]&lt;&gt;"",ResultsInd[[#This Row],[Player B]]&lt;&gt;""),COUNTIF(INDIRECT(ResultsInd[[#This Row],[Category]]&amp;"List[Retained Player Name]"),ResultsInd[[#This Row],[Player B]]),"")</f>
        <v/>
      </c>
      <c r="R7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1" s="265" t="str">
        <f>IF(ResultsInd[[#This Row],[Score_OK]],IF(ResultsInd[[#This Row],[Stage]]="Groups",ResultsInd[[#This Row],[Category]]&amp;"-"&amp;IF(ResultsInd[[#This Row],[Player B]]="","",IF(ResultsInd[[#This Row],[Score-A]]=ResultsInd[[#This Row],[Score-B]],ResultsInd[[#This Row],[Player A]],"")),""),"")</f>
        <v/>
      </c>
      <c r="T761" s="265" t="str">
        <f>IF(ResultsInd[[#This Row],[Score_OK]],IF(ResultsInd[[#This Row],[Stage]]="Groups",ResultsInd[[#This Row],[Category]]&amp;"-"&amp;IF(ResultsInd[[#This Row],[Player B]]="","",IF(ResultsInd[[#This Row],[Score-A]]=ResultsInd[[#This Row],[Score-B]],ResultsInd[[#This Row],[Player B]],"")),""),"")</f>
        <v/>
      </c>
      <c r="U7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1" s="264" t="str">
        <f>IF(ResultsInd[[#This Row],[Category]]="","",VLOOKUP(ResultsInd[[#This Row],[Stage]],$P$1:$V$9,MATCH(ResultsInd[[#This Row],[Category]],$Q$1:$V$1,0)+1,FALSE))</f>
        <v/>
      </c>
      <c r="Z761" s="264" t="str">
        <f>IF(ResultsInd[[#This Row],[Score_OK]],IF(ResultsInd[[#This Row],[Level]]="R",ResultsInd[[#This Row],[Category]]&amp;"-"&amp;IF(ResultsInd[[#This Row],[LoseInKO]]=ResultsInd[[#This Row],[Category]]&amp;"-"&amp;ResultsInd[[#This Row],[Player A]],ResultsInd[[#This Row],[Player B]],ResultsInd[[#This Row],[Player A]]),""),"")</f>
        <v/>
      </c>
      <c r="AB761" s="8"/>
      <c r="AC761" s="8"/>
      <c r="AE761" s="90"/>
      <c r="AF761" s="90"/>
      <c r="AP761" s="8"/>
      <c r="AQ761" s="8"/>
      <c r="AR761" s="8"/>
      <c r="AS761" s="8"/>
      <c r="AT761" s="8"/>
      <c r="AU761" s="8"/>
      <c r="AV761" s="8"/>
      <c r="AW761" s="8"/>
      <c r="AX761" s="8"/>
      <c r="AY761" s="90"/>
      <c r="AZ761" s="90"/>
      <c r="BA761" s="90"/>
      <c r="BB761" s="90"/>
      <c r="BC761" s="90"/>
      <c r="BD761" s="90"/>
      <c r="BE761" s="90"/>
      <c r="BF761" s="90"/>
    </row>
    <row r="762" spans="1:58" x14ac:dyDescent="0.2">
      <c r="A762" s="62"/>
      <c r="B762" s="62"/>
      <c r="C762" s="62"/>
      <c r="D762" s="62"/>
      <c r="E762" s="345"/>
      <c r="F762" s="345"/>
      <c r="G762" s="113"/>
      <c r="H762" s="113"/>
      <c r="I762" s="114"/>
      <c r="J762" s="114"/>
      <c r="K762" s="114"/>
      <c r="L762" s="81"/>
      <c r="M762" s="265" t="b">
        <f>NOT(ISERROR(ResultsInd[[#This Row],[Goal-A]]+ResultsInd[[#This Row],[Goal-B]]))</f>
        <v>1</v>
      </c>
      <c r="N762" s="265">
        <f>VALUE(ResultsInd[[#This Row],[Score-A]])</f>
        <v>0</v>
      </c>
      <c r="O762" s="265">
        <f>VALUE(ResultsInd[[#This Row],[Score-B]])</f>
        <v>0</v>
      </c>
      <c r="P762" s="265" t="str">
        <f ca="1">IF(AND(ResultsInd[[#This Row],[Category]]&lt;&gt;"",ResultsInd[[#This Row],[Player A]]&lt;&gt;""),COUNTIF(INDIRECT(ResultsInd[[#This Row],[Category]]&amp;"List[Retained Player Name]"),ResultsInd[[#This Row],[Player A]]),"")</f>
        <v/>
      </c>
      <c r="Q762" s="265" t="str">
        <f ca="1">IF(AND(ResultsInd[[#This Row],[Category]]&lt;&gt;"",ResultsInd[[#This Row],[Player B]]&lt;&gt;""),COUNTIF(INDIRECT(ResultsInd[[#This Row],[Category]]&amp;"List[Retained Player Name]"),ResultsInd[[#This Row],[Player B]]),"")</f>
        <v/>
      </c>
      <c r="R7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2" s="265" t="str">
        <f>IF(ResultsInd[[#This Row],[Score_OK]],IF(ResultsInd[[#This Row],[Stage]]="Groups",ResultsInd[[#This Row],[Category]]&amp;"-"&amp;IF(ResultsInd[[#This Row],[Player B]]="","",IF(ResultsInd[[#This Row],[Score-A]]=ResultsInd[[#This Row],[Score-B]],ResultsInd[[#This Row],[Player A]],"")),""),"")</f>
        <v/>
      </c>
      <c r="T762" s="265" t="str">
        <f>IF(ResultsInd[[#This Row],[Score_OK]],IF(ResultsInd[[#This Row],[Stage]]="Groups",ResultsInd[[#This Row],[Category]]&amp;"-"&amp;IF(ResultsInd[[#This Row],[Player B]]="","",IF(ResultsInd[[#This Row],[Score-A]]=ResultsInd[[#This Row],[Score-B]],ResultsInd[[#This Row],[Player B]],"")),""),"")</f>
        <v/>
      </c>
      <c r="U7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2" s="264" t="str">
        <f>IF(ResultsInd[[#This Row],[Category]]="","",VLOOKUP(ResultsInd[[#This Row],[Stage]],$P$1:$V$9,MATCH(ResultsInd[[#This Row],[Category]],$Q$1:$V$1,0)+1,FALSE))</f>
        <v/>
      </c>
      <c r="Z762" s="264" t="str">
        <f>IF(ResultsInd[[#This Row],[Score_OK]],IF(ResultsInd[[#This Row],[Level]]="R",ResultsInd[[#This Row],[Category]]&amp;"-"&amp;IF(ResultsInd[[#This Row],[LoseInKO]]=ResultsInd[[#This Row],[Category]]&amp;"-"&amp;ResultsInd[[#This Row],[Player A]],ResultsInd[[#This Row],[Player B]],ResultsInd[[#This Row],[Player A]]),""),"")</f>
        <v/>
      </c>
      <c r="AB762" s="8"/>
      <c r="AC762" s="8"/>
      <c r="AE762" s="90"/>
      <c r="AF762" s="90"/>
      <c r="AP762" s="8"/>
      <c r="AQ762" s="8"/>
      <c r="AR762" s="8"/>
      <c r="AS762" s="8"/>
      <c r="AT762" s="8"/>
      <c r="AU762" s="8"/>
      <c r="AV762" s="8"/>
      <c r="AW762" s="8"/>
      <c r="AX762" s="8"/>
      <c r="AY762" s="90"/>
      <c r="AZ762" s="90"/>
      <c r="BA762" s="90"/>
      <c r="BB762" s="90"/>
      <c r="BC762" s="90"/>
      <c r="BD762" s="90"/>
      <c r="BE762" s="90"/>
      <c r="BF762" s="90"/>
    </row>
    <row r="763" spans="1:58" x14ac:dyDescent="0.2">
      <c r="A763" s="62"/>
      <c r="B763" s="62"/>
      <c r="C763" s="62"/>
      <c r="D763" s="62"/>
      <c r="E763" s="345"/>
      <c r="F763" s="345"/>
      <c r="G763" s="113"/>
      <c r="H763" s="113"/>
      <c r="I763" s="114"/>
      <c r="J763" s="114"/>
      <c r="K763" s="114"/>
      <c r="L763" s="81"/>
      <c r="M763" s="265" t="b">
        <f>NOT(ISERROR(ResultsInd[[#This Row],[Goal-A]]+ResultsInd[[#This Row],[Goal-B]]))</f>
        <v>1</v>
      </c>
      <c r="N763" s="265">
        <f>VALUE(ResultsInd[[#This Row],[Score-A]])</f>
        <v>0</v>
      </c>
      <c r="O763" s="265">
        <f>VALUE(ResultsInd[[#This Row],[Score-B]])</f>
        <v>0</v>
      </c>
      <c r="P763" s="265" t="str">
        <f ca="1">IF(AND(ResultsInd[[#This Row],[Category]]&lt;&gt;"",ResultsInd[[#This Row],[Player A]]&lt;&gt;""),COUNTIF(INDIRECT(ResultsInd[[#This Row],[Category]]&amp;"List[Retained Player Name]"),ResultsInd[[#This Row],[Player A]]),"")</f>
        <v/>
      </c>
      <c r="Q763" s="265" t="str">
        <f ca="1">IF(AND(ResultsInd[[#This Row],[Category]]&lt;&gt;"",ResultsInd[[#This Row],[Player B]]&lt;&gt;""),COUNTIF(INDIRECT(ResultsInd[[#This Row],[Category]]&amp;"List[Retained Player Name]"),ResultsInd[[#This Row],[Player B]]),"")</f>
        <v/>
      </c>
      <c r="R7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3" s="265" t="str">
        <f>IF(ResultsInd[[#This Row],[Score_OK]],IF(ResultsInd[[#This Row],[Stage]]="Groups",ResultsInd[[#This Row],[Category]]&amp;"-"&amp;IF(ResultsInd[[#This Row],[Player B]]="","",IF(ResultsInd[[#This Row],[Score-A]]=ResultsInd[[#This Row],[Score-B]],ResultsInd[[#This Row],[Player A]],"")),""),"")</f>
        <v/>
      </c>
      <c r="T763" s="265" t="str">
        <f>IF(ResultsInd[[#This Row],[Score_OK]],IF(ResultsInd[[#This Row],[Stage]]="Groups",ResultsInd[[#This Row],[Category]]&amp;"-"&amp;IF(ResultsInd[[#This Row],[Player B]]="","",IF(ResultsInd[[#This Row],[Score-A]]=ResultsInd[[#This Row],[Score-B]],ResultsInd[[#This Row],[Player B]],"")),""),"")</f>
        <v/>
      </c>
      <c r="U7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3" s="264" t="str">
        <f>IF(ResultsInd[[#This Row],[Category]]="","",VLOOKUP(ResultsInd[[#This Row],[Stage]],$P$1:$V$9,MATCH(ResultsInd[[#This Row],[Category]],$Q$1:$V$1,0)+1,FALSE))</f>
        <v/>
      </c>
      <c r="Z763" s="264" t="str">
        <f>IF(ResultsInd[[#This Row],[Score_OK]],IF(ResultsInd[[#This Row],[Level]]="R",ResultsInd[[#This Row],[Category]]&amp;"-"&amp;IF(ResultsInd[[#This Row],[LoseInKO]]=ResultsInd[[#This Row],[Category]]&amp;"-"&amp;ResultsInd[[#This Row],[Player A]],ResultsInd[[#This Row],[Player B]],ResultsInd[[#This Row],[Player A]]),""),"")</f>
        <v/>
      </c>
      <c r="AB763" s="8"/>
      <c r="AC763" s="8"/>
      <c r="AE763" s="90"/>
      <c r="AF763" s="90"/>
      <c r="AP763" s="8"/>
      <c r="AQ763" s="8"/>
      <c r="AR763" s="8"/>
      <c r="AS763" s="8"/>
      <c r="AT763" s="8"/>
      <c r="AU763" s="8"/>
      <c r="AV763" s="8"/>
      <c r="AW763" s="8"/>
      <c r="AX763" s="8"/>
      <c r="AY763" s="90"/>
      <c r="AZ763" s="90"/>
      <c r="BA763" s="90"/>
      <c r="BB763" s="90"/>
      <c r="BC763" s="90"/>
      <c r="BD763" s="90"/>
      <c r="BE763" s="90"/>
      <c r="BF763" s="90"/>
    </row>
    <row r="764" spans="1:58" x14ac:dyDescent="0.2">
      <c r="A764" s="62"/>
      <c r="B764" s="62"/>
      <c r="C764" s="62"/>
      <c r="D764" s="62"/>
      <c r="E764" s="345"/>
      <c r="F764" s="345"/>
      <c r="G764" s="113"/>
      <c r="H764" s="113"/>
      <c r="I764" s="114"/>
      <c r="J764" s="114"/>
      <c r="K764" s="114"/>
      <c r="L764" s="81"/>
      <c r="M764" s="265" t="b">
        <f>NOT(ISERROR(ResultsInd[[#This Row],[Goal-A]]+ResultsInd[[#This Row],[Goal-B]]))</f>
        <v>1</v>
      </c>
      <c r="N764" s="265">
        <f>VALUE(ResultsInd[[#This Row],[Score-A]])</f>
        <v>0</v>
      </c>
      <c r="O764" s="265">
        <f>VALUE(ResultsInd[[#This Row],[Score-B]])</f>
        <v>0</v>
      </c>
      <c r="P764" s="265" t="str">
        <f ca="1">IF(AND(ResultsInd[[#This Row],[Category]]&lt;&gt;"",ResultsInd[[#This Row],[Player A]]&lt;&gt;""),COUNTIF(INDIRECT(ResultsInd[[#This Row],[Category]]&amp;"List[Retained Player Name]"),ResultsInd[[#This Row],[Player A]]),"")</f>
        <v/>
      </c>
      <c r="Q764" s="265" t="str">
        <f ca="1">IF(AND(ResultsInd[[#This Row],[Category]]&lt;&gt;"",ResultsInd[[#This Row],[Player B]]&lt;&gt;""),COUNTIF(INDIRECT(ResultsInd[[#This Row],[Category]]&amp;"List[Retained Player Name]"),ResultsInd[[#This Row],[Player B]]),"")</f>
        <v/>
      </c>
      <c r="R7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4" s="265" t="str">
        <f>IF(ResultsInd[[#This Row],[Score_OK]],IF(ResultsInd[[#This Row],[Stage]]="Groups",ResultsInd[[#This Row],[Category]]&amp;"-"&amp;IF(ResultsInd[[#This Row],[Player B]]="","",IF(ResultsInd[[#This Row],[Score-A]]=ResultsInd[[#This Row],[Score-B]],ResultsInd[[#This Row],[Player A]],"")),""),"")</f>
        <v/>
      </c>
      <c r="T764" s="265" t="str">
        <f>IF(ResultsInd[[#This Row],[Score_OK]],IF(ResultsInd[[#This Row],[Stage]]="Groups",ResultsInd[[#This Row],[Category]]&amp;"-"&amp;IF(ResultsInd[[#This Row],[Player B]]="","",IF(ResultsInd[[#This Row],[Score-A]]=ResultsInd[[#This Row],[Score-B]],ResultsInd[[#This Row],[Player B]],"")),""),"")</f>
        <v/>
      </c>
      <c r="U7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4" s="264" t="str">
        <f>IF(ResultsInd[[#This Row],[Category]]="","",VLOOKUP(ResultsInd[[#This Row],[Stage]],$P$1:$V$9,MATCH(ResultsInd[[#This Row],[Category]],$Q$1:$V$1,0)+1,FALSE))</f>
        <v/>
      </c>
      <c r="Z764" s="264" t="str">
        <f>IF(ResultsInd[[#This Row],[Score_OK]],IF(ResultsInd[[#This Row],[Level]]="R",ResultsInd[[#This Row],[Category]]&amp;"-"&amp;IF(ResultsInd[[#This Row],[LoseInKO]]=ResultsInd[[#This Row],[Category]]&amp;"-"&amp;ResultsInd[[#This Row],[Player A]],ResultsInd[[#This Row],[Player B]],ResultsInd[[#This Row],[Player A]]),""),"")</f>
        <v/>
      </c>
      <c r="AB764" s="8"/>
      <c r="AC764" s="8"/>
      <c r="AE764" s="90"/>
      <c r="AF764" s="90"/>
      <c r="AP764" s="8"/>
      <c r="AQ764" s="8"/>
      <c r="AR764" s="8"/>
      <c r="AS764" s="8"/>
      <c r="AT764" s="8"/>
      <c r="AU764" s="8"/>
      <c r="AV764" s="8"/>
      <c r="AW764" s="8"/>
      <c r="AX764" s="8"/>
      <c r="AY764" s="90"/>
      <c r="AZ764" s="90"/>
      <c r="BA764" s="90"/>
      <c r="BB764" s="90"/>
      <c r="BC764" s="90"/>
      <c r="BD764" s="90"/>
      <c r="BE764" s="90"/>
      <c r="BF764" s="90"/>
    </row>
    <row r="765" spans="1:58" x14ac:dyDescent="0.2">
      <c r="A765" s="62"/>
      <c r="B765" s="62"/>
      <c r="C765" s="62"/>
      <c r="D765" s="62"/>
      <c r="E765" s="345"/>
      <c r="F765" s="345"/>
      <c r="G765" s="113"/>
      <c r="H765" s="113"/>
      <c r="I765" s="114"/>
      <c r="J765" s="114"/>
      <c r="K765" s="114"/>
      <c r="L765" s="81"/>
      <c r="M765" s="265" t="b">
        <f>NOT(ISERROR(ResultsInd[[#This Row],[Goal-A]]+ResultsInd[[#This Row],[Goal-B]]))</f>
        <v>1</v>
      </c>
      <c r="N765" s="265">
        <f>VALUE(ResultsInd[[#This Row],[Score-A]])</f>
        <v>0</v>
      </c>
      <c r="O765" s="265">
        <f>VALUE(ResultsInd[[#This Row],[Score-B]])</f>
        <v>0</v>
      </c>
      <c r="P765" s="265" t="str">
        <f ca="1">IF(AND(ResultsInd[[#This Row],[Category]]&lt;&gt;"",ResultsInd[[#This Row],[Player A]]&lt;&gt;""),COUNTIF(INDIRECT(ResultsInd[[#This Row],[Category]]&amp;"List[Retained Player Name]"),ResultsInd[[#This Row],[Player A]]),"")</f>
        <v/>
      </c>
      <c r="Q765" s="265" t="str">
        <f ca="1">IF(AND(ResultsInd[[#This Row],[Category]]&lt;&gt;"",ResultsInd[[#This Row],[Player B]]&lt;&gt;""),COUNTIF(INDIRECT(ResultsInd[[#This Row],[Category]]&amp;"List[Retained Player Name]"),ResultsInd[[#This Row],[Player B]]),"")</f>
        <v/>
      </c>
      <c r="R7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5" s="265" t="str">
        <f>IF(ResultsInd[[#This Row],[Score_OK]],IF(ResultsInd[[#This Row],[Stage]]="Groups",ResultsInd[[#This Row],[Category]]&amp;"-"&amp;IF(ResultsInd[[#This Row],[Player B]]="","",IF(ResultsInd[[#This Row],[Score-A]]=ResultsInd[[#This Row],[Score-B]],ResultsInd[[#This Row],[Player A]],"")),""),"")</f>
        <v/>
      </c>
      <c r="T765" s="265" t="str">
        <f>IF(ResultsInd[[#This Row],[Score_OK]],IF(ResultsInd[[#This Row],[Stage]]="Groups",ResultsInd[[#This Row],[Category]]&amp;"-"&amp;IF(ResultsInd[[#This Row],[Player B]]="","",IF(ResultsInd[[#This Row],[Score-A]]=ResultsInd[[#This Row],[Score-B]],ResultsInd[[#This Row],[Player B]],"")),""),"")</f>
        <v/>
      </c>
      <c r="U7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5" s="264" t="str">
        <f>IF(ResultsInd[[#This Row],[Category]]="","",VLOOKUP(ResultsInd[[#This Row],[Stage]],$P$1:$V$9,MATCH(ResultsInd[[#This Row],[Category]],$Q$1:$V$1,0)+1,FALSE))</f>
        <v/>
      </c>
      <c r="Z765" s="264" t="str">
        <f>IF(ResultsInd[[#This Row],[Score_OK]],IF(ResultsInd[[#This Row],[Level]]="R",ResultsInd[[#This Row],[Category]]&amp;"-"&amp;IF(ResultsInd[[#This Row],[LoseInKO]]=ResultsInd[[#This Row],[Category]]&amp;"-"&amp;ResultsInd[[#This Row],[Player A]],ResultsInd[[#This Row],[Player B]],ResultsInd[[#This Row],[Player A]]),""),"")</f>
        <v/>
      </c>
      <c r="AB765" s="8"/>
      <c r="AC765" s="8"/>
      <c r="AE765" s="90"/>
      <c r="AF765" s="90"/>
      <c r="AP765" s="8"/>
      <c r="AQ765" s="8"/>
      <c r="AR765" s="8"/>
      <c r="AS765" s="8"/>
      <c r="AT765" s="8"/>
      <c r="AU765" s="8"/>
      <c r="AV765" s="8"/>
      <c r="AW765" s="8"/>
      <c r="AX765" s="8"/>
      <c r="AY765" s="90"/>
      <c r="AZ765" s="90"/>
      <c r="BA765" s="90"/>
      <c r="BB765" s="90"/>
      <c r="BC765" s="90"/>
      <c r="BD765" s="90"/>
      <c r="BE765" s="90"/>
      <c r="BF765" s="90"/>
    </row>
    <row r="766" spans="1:58" x14ac:dyDescent="0.2">
      <c r="A766" s="62"/>
      <c r="B766" s="62"/>
      <c r="C766" s="62"/>
      <c r="D766" s="62"/>
      <c r="E766" s="345"/>
      <c r="F766" s="345"/>
      <c r="G766" s="113"/>
      <c r="H766" s="113"/>
      <c r="I766" s="114"/>
      <c r="J766" s="114"/>
      <c r="K766" s="114"/>
      <c r="L766" s="81"/>
      <c r="M766" s="265" t="b">
        <f>NOT(ISERROR(ResultsInd[[#This Row],[Goal-A]]+ResultsInd[[#This Row],[Goal-B]]))</f>
        <v>1</v>
      </c>
      <c r="N766" s="265">
        <f>VALUE(ResultsInd[[#This Row],[Score-A]])</f>
        <v>0</v>
      </c>
      <c r="O766" s="265">
        <f>VALUE(ResultsInd[[#This Row],[Score-B]])</f>
        <v>0</v>
      </c>
      <c r="P766" s="265" t="str">
        <f ca="1">IF(AND(ResultsInd[[#This Row],[Category]]&lt;&gt;"",ResultsInd[[#This Row],[Player A]]&lt;&gt;""),COUNTIF(INDIRECT(ResultsInd[[#This Row],[Category]]&amp;"List[Retained Player Name]"),ResultsInd[[#This Row],[Player A]]),"")</f>
        <v/>
      </c>
      <c r="Q766" s="265" t="str">
        <f ca="1">IF(AND(ResultsInd[[#This Row],[Category]]&lt;&gt;"",ResultsInd[[#This Row],[Player B]]&lt;&gt;""),COUNTIF(INDIRECT(ResultsInd[[#This Row],[Category]]&amp;"List[Retained Player Name]"),ResultsInd[[#This Row],[Player B]]),"")</f>
        <v/>
      </c>
      <c r="R7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6" s="265" t="str">
        <f>IF(ResultsInd[[#This Row],[Score_OK]],IF(ResultsInd[[#This Row],[Stage]]="Groups",ResultsInd[[#This Row],[Category]]&amp;"-"&amp;IF(ResultsInd[[#This Row],[Player B]]="","",IF(ResultsInd[[#This Row],[Score-A]]=ResultsInd[[#This Row],[Score-B]],ResultsInd[[#This Row],[Player A]],"")),""),"")</f>
        <v/>
      </c>
      <c r="T766" s="265" t="str">
        <f>IF(ResultsInd[[#This Row],[Score_OK]],IF(ResultsInd[[#This Row],[Stage]]="Groups",ResultsInd[[#This Row],[Category]]&amp;"-"&amp;IF(ResultsInd[[#This Row],[Player B]]="","",IF(ResultsInd[[#This Row],[Score-A]]=ResultsInd[[#This Row],[Score-B]],ResultsInd[[#This Row],[Player B]],"")),""),"")</f>
        <v/>
      </c>
      <c r="U7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6" s="264" t="str">
        <f>IF(ResultsInd[[#This Row],[Category]]="","",VLOOKUP(ResultsInd[[#This Row],[Stage]],$P$1:$V$9,MATCH(ResultsInd[[#This Row],[Category]],$Q$1:$V$1,0)+1,FALSE))</f>
        <v/>
      </c>
      <c r="Z766" s="264" t="str">
        <f>IF(ResultsInd[[#This Row],[Score_OK]],IF(ResultsInd[[#This Row],[Level]]="R",ResultsInd[[#This Row],[Category]]&amp;"-"&amp;IF(ResultsInd[[#This Row],[LoseInKO]]=ResultsInd[[#This Row],[Category]]&amp;"-"&amp;ResultsInd[[#This Row],[Player A]],ResultsInd[[#This Row],[Player B]],ResultsInd[[#This Row],[Player A]]),""),"")</f>
        <v/>
      </c>
      <c r="AB766" s="8"/>
      <c r="AC766" s="8"/>
      <c r="AE766" s="90"/>
      <c r="AF766" s="90"/>
      <c r="AP766" s="8"/>
      <c r="AQ766" s="8"/>
      <c r="AR766" s="8"/>
      <c r="AS766" s="8"/>
      <c r="AT766" s="8"/>
      <c r="AU766" s="8"/>
      <c r="AV766" s="8"/>
      <c r="AW766" s="8"/>
      <c r="AX766" s="8"/>
      <c r="AY766" s="90"/>
      <c r="AZ766" s="90"/>
      <c r="BA766" s="90"/>
      <c r="BB766" s="90"/>
      <c r="BC766" s="90"/>
      <c r="BD766" s="90"/>
      <c r="BE766" s="90"/>
      <c r="BF766" s="90"/>
    </row>
    <row r="767" spans="1:58" x14ac:dyDescent="0.2">
      <c r="A767" s="62"/>
      <c r="B767" s="62"/>
      <c r="C767" s="62"/>
      <c r="D767" s="62"/>
      <c r="E767" s="345"/>
      <c r="F767" s="345"/>
      <c r="G767" s="113"/>
      <c r="H767" s="113"/>
      <c r="I767" s="114"/>
      <c r="J767" s="114"/>
      <c r="K767" s="114"/>
      <c r="L767" s="81"/>
      <c r="M767" s="265" t="b">
        <f>NOT(ISERROR(ResultsInd[[#This Row],[Goal-A]]+ResultsInd[[#This Row],[Goal-B]]))</f>
        <v>1</v>
      </c>
      <c r="N767" s="265">
        <f>VALUE(ResultsInd[[#This Row],[Score-A]])</f>
        <v>0</v>
      </c>
      <c r="O767" s="265">
        <f>VALUE(ResultsInd[[#This Row],[Score-B]])</f>
        <v>0</v>
      </c>
      <c r="P767" s="265" t="str">
        <f ca="1">IF(AND(ResultsInd[[#This Row],[Category]]&lt;&gt;"",ResultsInd[[#This Row],[Player A]]&lt;&gt;""),COUNTIF(INDIRECT(ResultsInd[[#This Row],[Category]]&amp;"List[Retained Player Name]"),ResultsInd[[#This Row],[Player A]]),"")</f>
        <v/>
      </c>
      <c r="Q767" s="265" t="str">
        <f ca="1">IF(AND(ResultsInd[[#This Row],[Category]]&lt;&gt;"",ResultsInd[[#This Row],[Player B]]&lt;&gt;""),COUNTIF(INDIRECT(ResultsInd[[#This Row],[Category]]&amp;"List[Retained Player Name]"),ResultsInd[[#This Row],[Player B]]),"")</f>
        <v/>
      </c>
      <c r="R7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7" s="265" t="str">
        <f>IF(ResultsInd[[#This Row],[Score_OK]],IF(ResultsInd[[#This Row],[Stage]]="Groups",ResultsInd[[#This Row],[Category]]&amp;"-"&amp;IF(ResultsInd[[#This Row],[Player B]]="","",IF(ResultsInd[[#This Row],[Score-A]]=ResultsInd[[#This Row],[Score-B]],ResultsInd[[#This Row],[Player A]],"")),""),"")</f>
        <v/>
      </c>
      <c r="T767" s="265" t="str">
        <f>IF(ResultsInd[[#This Row],[Score_OK]],IF(ResultsInd[[#This Row],[Stage]]="Groups",ResultsInd[[#This Row],[Category]]&amp;"-"&amp;IF(ResultsInd[[#This Row],[Player B]]="","",IF(ResultsInd[[#This Row],[Score-A]]=ResultsInd[[#This Row],[Score-B]],ResultsInd[[#This Row],[Player B]],"")),""),"")</f>
        <v/>
      </c>
      <c r="U7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7" s="264" t="str">
        <f>IF(ResultsInd[[#This Row],[Category]]="","",VLOOKUP(ResultsInd[[#This Row],[Stage]],$P$1:$V$9,MATCH(ResultsInd[[#This Row],[Category]],$Q$1:$V$1,0)+1,FALSE))</f>
        <v/>
      </c>
      <c r="Z767" s="264" t="str">
        <f>IF(ResultsInd[[#This Row],[Score_OK]],IF(ResultsInd[[#This Row],[Level]]="R",ResultsInd[[#This Row],[Category]]&amp;"-"&amp;IF(ResultsInd[[#This Row],[LoseInKO]]=ResultsInd[[#This Row],[Category]]&amp;"-"&amp;ResultsInd[[#This Row],[Player A]],ResultsInd[[#This Row],[Player B]],ResultsInd[[#This Row],[Player A]]),""),"")</f>
        <v/>
      </c>
      <c r="AB767" s="8"/>
      <c r="AC767" s="8"/>
      <c r="AE767" s="90"/>
      <c r="AF767" s="90"/>
      <c r="AP767" s="8"/>
      <c r="AQ767" s="8"/>
      <c r="AR767" s="8"/>
      <c r="AS767" s="8"/>
      <c r="AT767" s="8"/>
      <c r="AU767" s="8"/>
      <c r="AV767" s="8"/>
      <c r="AW767" s="8"/>
      <c r="AX767" s="8"/>
      <c r="AY767" s="90"/>
      <c r="AZ767" s="90"/>
      <c r="BA767" s="90"/>
      <c r="BB767" s="90"/>
      <c r="BC767" s="90"/>
      <c r="BD767" s="90"/>
      <c r="BE767" s="90"/>
      <c r="BF767" s="90"/>
    </row>
    <row r="768" spans="1:58" x14ac:dyDescent="0.2">
      <c r="A768" s="62"/>
      <c r="B768" s="62"/>
      <c r="C768" s="62"/>
      <c r="D768" s="62"/>
      <c r="E768" s="345"/>
      <c r="F768" s="345"/>
      <c r="G768" s="113"/>
      <c r="H768" s="113"/>
      <c r="I768" s="114"/>
      <c r="J768" s="114"/>
      <c r="K768" s="114"/>
      <c r="L768" s="81"/>
      <c r="M768" s="265" t="b">
        <f>NOT(ISERROR(ResultsInd[[#This Row],[Goal-A]]+ResultsInd[[#This Row],[Goal-B]]))</f>
        <v>1</v>
      </c>
      <c r="N768" s="265">
        <f>VALUE(ResultsInd[[#This Row],[Score-A]])</f>
        <v>0</v>
      </c>
      <c r="O768" s="265">
        <f>VALUE(ResultsInd[[#This Row],[Score-B]])</f>
        <v>0</v>
      </c>
      <c r="P768" s="265" t="str">
        <f ca="1">IF(AND(ResultsInd[[#This Row],[Category]]&lt;&gt;"",ResultsInd[[#This Row],[Player A]]&lt;&gt;""),COUNTIF(INDIRECT(ResultsInd[[#This Row],[Category]]&amp;"List[Retained Player Name]"),ResultsInd[[#This Row],[Player A]]),"")</f>
        <v/>
      </c>
      <c r="Q768" s="265" t="str">
        <f ca="1">IF(AND(ResultsInd[[#This Row],[Category]]&lt;&gt;"",ResultsInd[[#This Row],[Player B]]&lt;&gt;""),COUNTIF(INDIRECT(ResultsInd[[#This Row],[Category]]&amp;"List[Retained Player Name]"),ResultsInd[[#This Row],[Player B]]),"")</f>
        <v/>
      </c>
      <c r="R7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8" s="265" t="str">
        <f>IF(ResultsInd[[#This Row],[Score_OK]],IF(ResultsInd[[#This Row],[Stage]]="Groups",ResultsInd[[#This Row],[Category]]&amp;"-"&amp;IF(ResultsInd[[#This Row],[Player B]]="","",IF(ResultsInd[[#This Row],[Score-A]]=ResultsInd[[#This Row],[Score-B]],ResultsInd[[#This Row],[Player A]],"")),""),"")</f>
        <v/>
      </c>
      <c r="T768" s="265" t="str">
        <f>IF(ResultsInd[[#This Row],[Score_OK]],IF(ResultsInd[[#This Row],[Stage]]="Groups",ResultsInd[[#This Row],[Category]]&amp;"-"&amp;IF(ResultsInd[[#This Row],[Player B]]="","",IF(ResultsInd[[#This Row],[Score-A]]=ResultsInd[[#This Row],[Score-B]],ResultsInd[[#This Row],[Player B]],"")),""),"")</f>
        <v/>
      </c>
      <c r="U7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8" s="264" t="str">
        <f>IF(ResultsInd[[#This Row],[Category]]="","",VLOOKUP(ResultsInd[[#This Row],[Stage]],$P$1:$V$9,MATCH(ResultsInd[[#This Row],[Category]],$Q$1:$V$1,0)+1,FALSE))</f>
        <v/>
      </c>
      <c r="Z768" s="264" t="str">
        <f>IF(ResultsInd[[#This Row],[Score_OK]],IF(ResultsInd[[#This Row],[Level]]="R",ResultsInd[[#This Row],[Category]]&amp;"-"&amp;IF(ResultsInd[[#This Row],[LoseInKO]]=ResultsInd[[#This Row],[Category]]&amp;"-"&amp;ResultsInd[[#This Row],[Player A]],ResultsInd[[#This Row],[Player B]],ResultsInd[[#This Row],[Player A]]),""),"")</f>
        <v/>
      </c>
      <c r="AB768" s="8"/>
      <c r="AC768" s="8"/>
      <c r="AE768" s="90"/>
      <c r="AF768" s="90"/>
      <c r="AP768" s="8"/>
      <c r="AQ768" s="8"/>
      <c r="AR768" s="8"/>
      <c r="AS768" s="8"/>
      <c r="AT768" s="8"/>
      <c r="AU768" s="8"/>
      <c r="AV768" s="8"/>
      <c r="AW768" s="8"/>
      <c r="AX768" s="8"/>
      <c r="AY768" s="90"/>
      <c r="AZ768" s="90"/>
      <c r="BA768" s="90"/>
      <c r="BB768" s="90"/>
      <c r="BC768" s="90"/>
      <c r="BD768" s="90"/>
      <c r="BE768" s="90"/>
      <c r="BF768" s="90"/>
    </row>
    <row r="769" spans="1:58" x14ac:dyDescent="0.2">
      <c r="A769" s="62"/>
      <c r="B769" s="62"/>
      <c r="C769" s="62"/>
      <c r="D769" s="62"/>
      <c r="E769" s="345"/>
      <c r="F769" s="345"/>
      <c r="G769" s="113"/>
      <c r="H769" s="113"/>
      <c r="I769" s="114"/>
      <c r="J769" s="114"/>
      <c r="K769" s="114"/>
      <c r="L769" s="81"/>
      <c r="M769" s="265" t="b">
        <f>NOT(ISERROR(ResultsInd[[#This Row],[Goal-A]]+ResultsInd[[#This Row],[Goal-B]]))</f>
        <v>1</v>
      </c>
      <c r="N769" s="265">
        <f>VALUE(ResultsInd[[#This Row],[Score-A]])</f>
        <v>0</v>
      </c>
      <c r="O769" s="265">
        <f>VALUE(ResultsInd[[#This Row],[Score-B]])</f>
        <v>0</v>
      </c>
      <c r="P769" s="265" t="str">
        <f ca="1">IF(AND(ResultsInd[[#This Row],[Category]]&lt;&gt;"",ResultsInd[[#This Row],[Player A]]&lt;&gt;""),COUNTIF(INDIRECT(ResultsInd[[#This Row],[Category]]&amp;"List[Retained Player Name]"),ResultsInd[[#This Row],[Player A]]),"")</f>
        <v/>
      </c>
      <c r="Q769" s="265" t="str">
        <f ca="1">IF(AND(ResultsInd[[#This Row],[Category]]&lt;&gt;"",ResultsInd[[#This Row],[Player B]]&lt;&gt;""),COUNTIF(INDIRECT(ResultsInd[[#This Row],[Category]]&amp;"List[Retained Player Name]"),ResultsInd[[#This Row],[Player B]]),"")</f>
        <v/>
      </c>
      <c r="R7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9" s="265" t="str">
        <f>IF(ResultsInd[[#This Row],[Score_OK]],IF(ResultsInd[[#This Row],[Stage]]="Groups",ResultsInd[[#This Row],[Category]]&amp;"-"&amp;IF(ResultsInd[[#This Row],[Player B]]="","",IF(ResultsInd[[#This Row],[Score-A]]=ResultsInd[[#This Row],[Score-B]],ResultsInd[[#This Row],[Player A]],"")),""),"")</f>
        <v/>
      </c>
      <c r="T769" s="265" t="str">
        <f>IF(ResultsInd[[#This Row],[Score_OK]],IF(ResultsInd[[#This Row],[Stage]]="Groups",ResultsInd[[#This Row],[Category]]&amp;"-"&amp;IF(ResultsInd[[#This Row],[Player B]]="","",IF(ResultsInd[[#This Row],[Score-A]]=ResultsInd[[#This Row],[Score-B]],ResultsInd[[#This Row],[Player B]],"")),""),"")</f>
        <v/>
      </c>
      <c r="U7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9" s="264" t="str">
        <f>IF(ResultsInd[[#This Row],[Category]]="","",VLOOKUP(ResultsInd[[#This Row],[Stage]],$P$1:$V$9,MATCH(ResultsInd[[#This Row],[Category]],$Q$1:$V$1,0)+1,FALSE))</f>
        <v/>
      </c>
      <c r="Z769" s="264" t="str">
        <f>IF(ResultsInd[[#This Row],[Score_OK]],IF(ResultsInd[[#This Row],[Level]]="R",ResultsInd[[#This Row],[Category]]&amp;"-"&amp;IF(ResultsInd[[#This Row],[LoseInKO]]=ResultsInd[[#This Row],[Category]]&amp;"-"&amp;ResultsInd[[#This Row],[Player A]],ResultsInd[[#This Row],[Player B]],ResultsInd[[#This Row],[Player A]]),""),"")</f>
        <v/>
      </c>
      <c r="AB769" s="8"/>
      <c r="AC769" s="8"/>
      <c r="AE769" s="90"/>
      <c r="AF769" s="90"/>
      <c r="AP769" s="8"/>
      <c r="AQ769" s="8"/>
      <c r="AR769" s="8"/>
      <c r="AS769" s="8"/>
      <c r="AT769" s="8"/>
      <c r="AU769" s="8"/>
      <c r="AV769" s="8"/>
      <c r="AW769" s="8"/>
      <c r="AX769" s="8"/>
      <c r="AY769" s="90"/>
      <c r="AZ769" s="90"/>
      <c r="BA769" s="90"/>
      <c r="BB769" s="90"/>
      <c r="BC769" s="90"/>
      <c r="BD769" s="90"/>
      <c r="BE769" s="90"/>
      <c r="BF769" s="90"/>
    </row>
    <row r="770" spans="1:58" x14ac:dyDescent="0.2">
      <c r="A770" s="62"/>
      <c r="B770" s="62"/>
      <c r="C770" s="62"/>
      <c r="D770" s="62"/>
      <c r="E770" s="345"/>
      <c r="F770" s="345"/>
      <c r="G770" s="113"/>
      <c r="H770" s="113"/>
      <c r="I770" s="114"/>
      <c r="J770" s="114"/>
      <c r="K770" s="114"/>
      <c r="L770" s="81"/>
      <c r="M770" s="265" t="b">
        <f>NOT(ISERROR(ResultsInd[[#This Row],[Goal-A]]+ResultsInd[[#This Row],[Goal-B]]))</f>
        <v>1</v>
      </c>
      <c r="N770" s="265">
        <f>VALUE(ResultsInd[[#This Row],[Score-A]])</f>
        <v>0</v>
      </c>
      <c r="O770" s="265">
        <f>VALUE(ResultsInd[[#This Row],[Score-B]])</f>
        <v>0</v>
      </c>
      <c r="P770" s="265" t="str">
        <f ca="1">IF(AND(ResultsInd[[#This Row],[Category]]&lt;&gt;"",ResultsInd[[#This Row],[Player A]]&lt;&gt;""),COUNTIF(INDIRECT(ResultsInd[[#This Row],[Category]]&amp;"List[Retained Player Name]"),ResultsInd[[#This Row],[Player A]]),"")</f>
        <v/>
      </c>
      <c r="Q770" s="265" t="str">
        <f ca="1">IF(AND(ResultsInd[[#This Row],[Category]]&lt;&gt;"",ResultsInd[[#This Row],[Player B]]&lt;&gt;""),COUNTIF(INDIRECT(ResultsInd[[#This Row],[Category]]&amp;"List[Retained Player Name]"),ResultsInd[[#This Row],[Player B]]),"")</f>
        <v/>
      </c>
      <c r="R7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0" s="265" t="str">
        <f>IF(ResultsInd[[#This Row],[Score_OK]],IF(ResultsInd[[#This Row],[Stage]]="Groups",ResultsInd[[#This Row],[Category]]&amp;"-"&amp;IF(ResultsInd[[#This Row],[Player B]]="","",IF(ResultsInd[[#This Row],[Score-A]]=ResultsInd[[#This Row],[Score-B]],ResultsInd[[#This Row],[Player A]],"")),""),"")</f>
        <v/>
      </c>
      <c r="T770" s="265" t="str">
        <f>IF(ResultsInd[[#This Row],[Score_OK]],IF(ResultsInd[[#This Row],[Stage]]="Groups",ResultsInd[[#This Row],[Category]]&amp;"-"&amp;IF(ResultsInd[[#This Row],[Player B]]="","",IF(ResultsInd[[#This Row],[Score-A]]=ResultsInd[[#This Row],[Score-B]],ResultsInd[[#This Row],[Player B]],"")),""),"")</f>
        <v/>
      </c>
      <c r="U7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0" s="264" t="str">
        <f>IF(ResultsInd[[#This Row],[Category]]="","",VLOOKUP(ResultsInd[[#This Row],[Stage]],$P$1:$V$9,MATCH(ResultsInd[[#This Row],[Category]],$Q$1:$V$1,0)+1,FALSE))</f>
        <v/>
      </c>
      <c r="Z770" s="264" t="str">
        <f>IF(ResultsInd[[#This Row],[Score_OK]],IF(ResultsInd[[#This Row],[Level]]="R",ResultsInd[[#This Row],[Category]]&amp;"-"&amp;IF(ResultsInd[[#This Row],[LoseInKO]]=ResultsInd[[#This Row],[Category]]&amp;"-"&amp;ResultsInd[[#This Row],[Player A]],ResultsInd[[#This Row],[Player B]],ResultsInd[[#This Row],[Player A]]),""),"")</f>
        <v/>
      </c>
      <c r="AB770" s="8"/>
      <c r="AC770" s="8"/>
      <c r="AE770" s="90"/>
      <c r="AF770" s="90"/>
      <c r="AP770" s="8"/>
      <c r="AQ770" s="8"/>
      <c r="AR770" s="8"/>
      <c r="AS770" s="8"/>
      <c r="AT770" s="8"/>
      <c r="AU770" s="8"/>
      <c r="AV770" s="8"/>
      <c r="AW770" s="8"/>
      <c r="AX770" s="8"/>
      <c r="AY770" s="90"/>
      <c r="AZ770" s="90"/>
      <c r="BA770" s="90"/>
      <c r="BB770" s="90"/>
      <c r="BC770" s="90"/>
      <c r="BD770" s="90"/>
      <c r="BE770" s="90"/>
      <c r="BF770" s="90"/>
    </row>
    <row r="771" spans="1:58" x14ac:dyDescent="0.2">
      <c r="A771" s="62"/>
      <c r="B771" s="62"/>
      <c r="C771" s="62"/>
      <c r="D771" s="62"/>
      <c r="E771" s="345"/>
      <c r="F771" s="345"/>
      <c r="G771" s="113"/>
      <c r="H771" s="113"/>
      <c r="I771" s="114"/>
      <c r="J771" s="114"/>
      <c r="K771" s="114"/>
      <c r="L771" s="81"/>
      <c r="M771" s="265" t="b">
        <f>NOT(ISERROR(ResultsInd[[#This Row],[Goal-A]]+ResultsInd[[#This Row],[Goal-B]]))</f>
        <v>1</v>
      </c>
      <c r="N771" s="265">
        <f>VALUE(ResultsInd[[#This Row],[Score-A]])</f>
        <v>0</v>
      </c>
      <c r="O771" s="265">
        <f>VALUE(ResultsInd[[#This Row],[Score-B]])</f>
        <v>0</v>
      </c>
      <c r="P771" s="265" t="str">
        <f ca="1">IF(AND(ResultsInd[[#This Row],[Category]]&lt;&gt;"",ResultsInd[[#This Row],[Player A]]&lt;&gt;""),COUNTIF(INDIRECT(ResultsInd[[#This Row],[Category]]&amp;"List[Retained Player Name]"),ResultsInd[[#This Row],[Player A]]),"")</f>
        <v/>
      </c>
      <c r="Q771" s="265" t="str">
        <f ca="1">IF(AND(ResultsInd[[#This Row],[Category]]&lt;&gt;"",ResultsInd[[#This Row],[Player B]]&lt;&gt;""),COUNTIF(INDIRECT(ResultsInd[[#This Row],[Category]]&amp;"List[Retained Player Name]"),ResultsInd[[#This Row],[Player B]]),"")</f>
        <v/>
      </c>
      <c r="R7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1" s="265" t="str">
        <f>IF(ResultsInd[[#This Row],[Score_OK]],IF(ResultsInd[[#This Row],[Stage]]="Groups",ResultsInd[[#This Row],[Category]]&amp;"-"&amp;IF(ResultsInd[[#This Row],[Player B]]="","",IF(ResultsInd[[#This Row],[Score-A]]=ResultsInd[[#This Row],[Score-B]],ResultsInd[[#This Row],[Player A]],"")),""),"")</f>
        <v/>
      </c>
      <c r="T771" s="265" t="str">
        <f>IF(ResultsInd[[#This Row],[Score_OK]],IF(ResultsInd[[#This Row],[Stage]]="Groups",ResultsInd[[#This Row],[Category]]&amp;"-"&amp;IF(ResultsInd[[#This Row],[Player B]]="","",IF(ResultsInd[[#This Row],[Score-A]]=ResultsInd[[#This Row],[Score-B]],ResultsInd[[#This Row],[Player B]],"")),""),"")</f>
        <v/>
      </c>
      <c r="U7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1" s="264" t="str">
        <f>IF(ResultsInd[[#This Row],[Category]]="","",VLOOKUP(ResultsInd[[#This Row],[Stage]],$P$1:$V$9,MATCH(ResultsInd[[#This Row],[Category]],$Q$1:$V$1,0)+1,FALSE))</f>
        <v/>
      </c>
      <c r="Z771" s="264" t="str">
        <f>IF(ResultsInd[[#This Row],[Score_OK]],IF(ResultsInd[[#This Row],[Level]]="R",ResultsInd[[#This Row],[Category]]&amp;"-"&amp;IF(ResultsInd[[#This Row],[LoseInKO]]=ResultsInd[[#This Row],[Category]]&amp;"-"&amp;ResultsInd[[#This Row],[Player A]],ResultsInd[[#This Row],[Player B]],ResultsInd[[#This Row],[Player A]]),""),"")</f>
        <v/>
      </c>
      <c r="AB771" s="8"/>
      <c r="AC771" s="8"/>
      <c r="AE771" s="90"/>
      <c r="AF771" s="90"/>
      <c r="AP771" s="8"/>
      <c r="AQ771" s="8"/>
      <c r="AR771" s="8"/>
      <c r="AS771" s="8"/>
      <c r="AT771" s="8"/>
      <c r="AU771" s="8"/>
      <c r="AV771" s="8"/>
      <c r="AW771" s="8"/>
      <c r="AX771" s="8"/>
      <c r="AY771" s="90"/>
      <c r="AZ771" s="90"/>
      <c r="BA771" s="90"/>
      <c r="BB771" s="90"/>
      <c r="BC771" s="90"/>
      <c r="BD771" s="90"/>
      <c r="BE771" s="90"/>
      <c r="BF771" s="90"/>
    </row>
    <row r="772" spans="1:58" x14ac:dyDescent="0.2">
      <c r="A772" s="62"/>
      <c r="B772" s="62"/>
      <c r="C772" s="62"/>
      <c r="D772" s="62"/>
      <c r="E772" s="345"/>
      <c r="F772" s="345"/>
      <c r="G772" s="113"/>
      <c r="H772" s="113"/>
      <c r="I772" s="114"/>
      <c r="J772" s="114"/>
      <c r="K772" s="114"/>
      <c r="L772" s="81"/>
      <c r="M772" s="265" t="b">
        <f>NOT(ISERROR(ResultsInd[[#This Row],[Goal-A]]+ResultsInd[[#This Row],[Goal-B]]))</f>
        <v>1</v>
      </c>
      <c r="N772" s="265">
        <f>VALUE(ResultsInd[[#This Row],[Score-A]])</f>
        <v>0</v>
      </c>
      <c r="O772" s="265">
        <f>VALUE(ResultsInd[[#This Row],[Score-B]])</f>
        <v>0</v>
      </c>
      <c r="P772" s="265" t="str">
        <f ca="1">IF(AND(ResultsInd[[#This Row],[Category]]&lt;&gt;"",ResultsInd[[#This Row],[Player A]]&lt;&gt;""),COUNTIF(INDIRECT(ResultsInd[[#This Row],[Category]]&amp;"List[Retained Player Name]"),ResultsInd[[#This Row],[Player A]]),"")</f>
        <v/>
      </c>
      <c r="Q772" s="265" t="str">
        <f ca="1">IF(AND(ResultsInd[[#This Row],[Category]]&lt;&gt;"",ResultsInd[[#This Row],[Player B]]&lt;&gt;""),COUNTIF(INDIRECT(ResultsInd[[#This Row],[Category]]&amp;"List[Retained Player Name]"),ResultsInd[[#This Row],[Player B]]),"")</f>
        <v/>
      </c>
      <c r="R7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2" s="265" t="str">
        <f>IF(ResultsInd[[#This Row],[Score_OK]],IF(ResultsInd[[#This Row],[Stage]]="Groups",ResultsInd[[#This Row],[Category]]&amp;"-"&amp;IF(ResultsInd[[#This Row],[Player B]]="","",IF(ResultsInd[[#This Row],[Score-A]]=ResultsInd[[#This Row],[Score-B]],ResultsInd[[#This Row],[Player A]],"")),""),"")</f>
        <v/>
      </c>
      <c r="T772" s="265" t="str">
        <f>IF(ResultsInd[[#This Row],[Score_OK]],IF(ResultsInd[[#This Row],[Stage]]="Groups",ResultsInd[[#This Row],[Category]]&amp;"-"&amp;IF(ResultsInd[[#This Row],[Player B]]="","",IF(ResultsInd[[#This Row],[Score-A]]=ResultsInd[[#This Row],[Score-B]],ResultsInd[[#This Row],[Player B]],"")),""),"")</f>
        <v/>
      </c>
      <c r="U7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2" s="264" t="str">
        <f>IF(ResultsInd[[#This Row],[Category]]="","",VLOOKUP(ResultsInd[[#This Row],[Stage]],$P$1:$V$9,MATCH(ResultsInd[[#This Row],[Category]],$Q$1:$V$1,0)+1,FALSE))</f>
        <v/>
      </c>
      <c r="Z772" s="264" t="str">
        <f>IF(ResultsInd[[#This Row],[Score_OK]],IF(ResultsInd[[#This Row],[Level]]="R",ResultsInd[[#This Row],[Category]]&amp;"-"&amp;IF(ResultsInd[[#This Row],[LoseInKO]]=ResultsInd[[#This Row],[Category]]&amp;"-"&amp;ResultsInd[[#This Row],[Player A]],ResultsInd[[#This Row],[Player B]],ResultsInd[[#This Row],[Player A]]),""),"")</f>
        <v/>
      </c>
      <c r="AB772" s="8"/>
      <c r="AC772" s="8"/>
      <c r="AE772" s="90"/>
      <c r="AF772" s="90"/>
      <c r="AP772" s="8"/>
      <c r="AQ772" s="8"/>
      <c r="AR772" s="8"/>
      <c r="AS772" s="8"/>
      <c r="AT772" s="8"/>
      <c r="AU772" s="8"/>
      <c r="AV772" s="8"/>
      <c r="AW772" s="8"/>
      <c r="AX772" s="8"/>
      <c r="AY772" s="90"/>
      <c r="AZ772" s="90"/>
      <c r="BA772" s="90"/>
      <c r="BB772" s="90"/>
      <c r="BC772" s="90"/>
      <c r="BD772" s="90"/>
      <c r="BE772" s="90"/>
      <c r="BF772" s="90"/>
    </row>
    <row r="773" spans="1:58" x14ac:dyDescent="0.2">
      <c r="A773" s="62"/>
      <c r="B773" s="62"/>
      <c r="C773" s="62"/>
      <c r="D773" s="62"/>
      <c r="E773" s="345"/>
      <c r="F773" s="345"/>
      <c r="G773" s="113"/>
      <c r="H773" s="113"/>
      <c r="I773" s="114"/>
      <c r="J773" s="114"/>
      <c r="K773" s="114"/>
      <c r="L773" s="81"/>
      <c r="M773" s="265" t="b">
        <f>NOT(ISERROR(ResultsInd[[#This Row],[Goal-A]]+ResultsInd[[#This Row],[Goal-B]]))</f>
        <v>1</v>
      </c>
      <c r="N773" s="265">
        <f>VALUE(ResultsInd[[#This Row],[Score-A]])</f>
        <v>0</v>
      </c>
      <c r="O773" s="265">
        <f>VALUE(ResultsInd[[#This Row],[Score-B]])</f>
        <v>0</v>
      </c>
      <c r="P773" s="265" t="str">
        <f ca="1">IF(AND(ResultsInd[[#This Row],[Category]]&lt;&gt;"",ResultsInd[[#This Row],[Player A]]&lt;&gt;""),COUNTIF(INDIRECT(ResultsInd[[#This Row],[Category]]&amp;"List[Retained Player Name]"),ResultsInd[[#This Row],[Player A]]),"")</f>
        <v/>
      </c>
      <c r="Q773" s="265" t="str">
        <f ca="1">IF(AND(ResultsInd[[#This Row],[Category]]&lt;&gt;"",ResultsInd[[#This Row],[Player B]]&lt;&gt;""),COUNTIF(INDIRECT(ResultsInd[[#This Row],[Category]]&amp;"List[Retained Player Name]"),ResultsInd[[#This Row],[Player B]]),"")</f>
        <v/>
      </c>
      <c r="R7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3" s="265" t="str">
        <f>IF(ResultsInd[[#This Row],[Score_OK]],IF(ResultsInd[[#This Row],[Stage]]="Groups",ResultsInd[[#This Row],[Category]]&amp;"-"&amp;IF(ResultsInd[[#This Row],[Player B]]="","",IF(ResultsInd[[#This Row],[Score-A]]=ResultsInd[[#This Row],[Score-B]],ResultsInd[[#This Row],[Player A]],"")),""),"")</f>
        <v/>
      </c>
      <c r="T773" s="265" t="str">
        <f>IF(ResultsInd[[#This Row],[Score_OK]],IF(ResultsInd[[#This Row],[Stage]]="Groups",ResultsInd[[#This Row],[Category]]&amp;"-"&amp;IF(ResultsInd[[#This Row],[Player B]]="","",IF(ResultsInd[[#This Row],[Score-A]]=ResultsInd[[#This Row],[Score-B]],ResultsInd[[#This Row],[Player B]],"")),""),"")</f>
        <v/>
      </c>
      <c r="U7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3" s="264" t="str">
        <f>IF(ResultsInd[[#This Row],[Category]]="","",VLOOKUP(ResultsInd[[#This Row],[Stage]],$P$1:$V$9,MATCH(ResultsInd[[#This Row],[Category]],$Q$1:$V$1,0)+1,FALSE))</f>
        <v/>
      </c>
      <c r="Z773" s="264" t="str">
        <f>IF(ResultsInd[[#This Row],[Score_OK]],IF(ResultsInd[[#This Row],[Level]]="R",ResultsInd[[#This Row],[Category]]&amp;"-"&amp;IF(ResultsInd[[#This Row],[LoseInKO]]=ResultsInd[[#This Row],[Category]]&amp;"-"&amp;ResultsInd[[#This Row],[Player A]],ResultsInd[[#This Row],[Player B]],ResultsInd[[#This Row],[Player A]]),""),"")</f>
        <v/>
      </c>
      <c r="AB773" s="8"/>
      <c r="AC773" s="8"/>
      <c r="AE773" s="90"/>
      <c r="AF773" s="90"/>
      <c r="AP773" s="8"/>
      <c r="AQ773" s="8"/>
      <c r="AR773" s="8"/>
      <c r="AS773" s="8"/>
      <c r="AT773" s="8"/>
      <c r="AU773" s="8"/>
      <c r="AV773" s="8"/>
      <c r="AW773" s="8"/>
      <c r="AX773" s="8"/>
      <c r="AY773" s="90"/>
      <c r="AZ773" s="90"/>
      <c r="BA773" s="90"/>
      <c r="BB773" s="90"/>
      <c r="BC773" s="90"/>
      <c r="BD773" s="90"/>
      <c r="BE773" s="90"/>
      <c r="BF773" s="90"/>
    </row>
    <row r="774" spans="1:58" x14ac:dyDescent="0.2">
      <c r="A774" s="62"/>
      <c r="B774" s="62"/>
      <c r="C774" s="62"/>
      <c r="D774" s="62"/>
      <c r="E774" s="345"/>
      <c r="F774" s="345"/>
      <c r="G774" s="113"/>
      <c r="H774" s="113"/>
      <c r="I774" s="114"/>
      <c r="J774" s="114"/>
      <c r="K774" s="114"/>
      <c r="L774" s="81"/>
      <c r="M774" s="265" t="b">
        <f>NOT(ISERROR(ResultsInd[[#This Row],[Goal-A]]+ResultsInd[[#This Row],[Goal-B]]))</f>
        <v>1</v>
      </c>
      <c r="N774" s="265">
        <f>VALUE(ResultsInd[[#This Row],[Score-A]])</f>
        <v>0</v>
      </c>
      <c r="O774" s="265">
        <f>VALUE(ResultsInd[[#This Row],[Score-B]])</f>
        <v>0</v>
      </c>
      <c r="P774" s="265" t="str">
        <f ca="1">IF(AND(ResultsInd[[#This Row],[Category]]&lt;&gt;"",ResultsInd[[#This Row],[Player A]]&lt;&gt;""),COUNTIF(INDIRECT(ResultsInd[[#This Row],[Category]]&amp;"List[Retained Player Name]"),ResultsInd[[#This Row],[Player A]]),"")</f>
        <v/>
      </c>
      <c r="Q774" s="265" t="str">
        <f ca="1">IF(AND(ResultsInd[[#This Row],[Category]]&lt;&gt;"",ResultsInd[[#This Row],[Player B]]&lt;&gt;""),COUNTIF(INDIRECT(ResultsInd[[#This Row],[Category]]&amp;"List[Retained Player Name]"),ResultsInd[[#This Row],[Player B]]),"")</f>
        <v/>
      </c>
      <c r="R7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4" s="265" t="str">
        <f>IF(ResultsInd[[#This Row],[Score_OK]],IF(ResultsInd[[#This Row],[Stage]]="Groups",ResultsInd[[#This Row],[Category]]&amp;"-"&amp;IF(ResultsInd[[#This Row],[Player B]]="","",IF(ResultsInd[[#This Row],[Score-A]]=ResultsInd[[#This Row],[Score-B]],ResultsInd[[#This Row],[Player A]],"")),""),"")</f>
        <v/>
      </c>
      <c r="T774" s="265" t="str">
        <f>IF(ResultsInd[[#This Row],[Score_OK]],IF(ResultsInd[[#This Row],[Stage]]="Groups",ResultsInd[[#This Row],[Category]]&amp;"-"&amp;IF(ResultsInd[[#This Row],[Player B]]="","",IF(ResultsInd[[#This Row],[Score-A]]=ResultsInd[[#This Row],[Score-B]],ResultsInd[[#This Row],[Player B]],"")),""),"")</f>
        <v/>
      </c>
      <c r="U7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4" s="264" t="str">
        <f>IF(ResultsInd[[#This Row],[Category]]="","",VLOOKUP(ResultsInd[[#This Row],[Stage]],$P$1:$V$9,MATCH(ResultsInd[[#This Row],[Category]],$Q$1:$V$1,0)+1,FALSE))</f>
        <v/>
      </c>
      <c r="Z774" s="264" t="str">
        <f>IF(ResultsInd[[#This Row],[Score_OK]],IF(ResultsInd[[#This Row],[Level]]="R",ResultsInd[[#This Row],[Category]]&amp;"-"&amp;IF(ResultsInd[[#This Row],[LoseInKO]]=ResultsInd[[#This Row],[Category]]&amp;"-"&amp;ResultsInd[[#This Row],[Player A]],ResultsInd[[#This Row],[Player B]],ResultsInd[[#This Row],[Player A]]),""),"")</f>
        <v/>
      </c>
      <c r="AB774" s="8"/>
      <c r="AC774" s="8"/>
      <c r="AE774" s="90"/>
      <c r="AF774" s="90"/>
      <c r="AP774" s="8"/>
      <c r="AQ774" s="8"/>
      <c r="AR774" s="8"/>
      <c r="AS774" s="8"/>
      <c r="AT774" s="8"/>
      <c r="AU774" s="8"/>
      <c r="AV774" s="8"/>
      <c r="AW774" s="8"/>
      <c r="AX774" s="8"/>
      <c r="AY774" s="90"/>
      <c r="AZ774" s="90"/>
      <c r="BA774" s="90"/>
      <c r="BB774" s="90"/>
      <c r="BC774" s="90"/>
      <c r="BD774" s="90"/>
      <c r="BE774" s="90"/>
      <c r="BF774" s="90"/>
    </row>
    <row r="775" spans="1:58" x14ac:dyDescent="0.2">
      <c r="A775" s="62"/>
      <c r="B775" s="62"/>
      <c r="C775" s="62"/>
      <c r="D775" s="62"/>
      <c r="E775" s="345"/>
      <c r="F775" s="345"/>
      <c r="G775" s="113"/>
      <c r="H775" s="113"/>
      <c r="I775" s="114"/>
      <c r="J775" s="114"/>
      <c r="K775" s="114"/>
      <c r="L775" s="81"/>
      <c r="M775" s="265" t="b">
        <f>NOT(ISERROR(ResultsInd[[#This Row],[Goal-A]]+ResultsInd[[#This Row],[Goal-B]]))</f>
        <v>1</v>
      </c>
      <c r="N775" s="265">
        <f>VALUE(ResultsInd[[#This Row],[Score-A]])</f>
        <v>0</v>
      </c>
      <c r="O775" s="265">
        <f>VALUE(ResultsInd[[#This Row],[Score-B]])</f>
        <v>0</v>
      </c>
      <c r="P775" s="265" t="str">
        <f ca="1">IF(AND(ResultsInd[[#This Row],[Category]]&lt;&gt;"",ResultsInd[[#This Row],[Player A]]&lt;&gt;""),COUNTIF(INDIRECT(ResultsInd[[#This Row],[Category]]&amp;"List[Retained Player Name]"),ResultsInd[[#This Row],[Player A]]),"")</f>
        <v/>
      </c>
      <c r="Q775" s="265" t="str">
        <f ca="1">IF(AND(ResultsInd[[#This Row],[Category]]&lt;&gt;"",ResultsInd[[#This Row],[Player B]]&lt;&gt;""),COUNTIF(INDIRECT(ResultsInd[[#This Row],[Category]]&amp;"List[Retained Player Name]"),ResultsInd[[#This Row],[Player B]]),"")</f>
        <v/>
      </c>
      <c r="R7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5" s="265" t="str">
        <f>IF(ResultsInd[[#This Row],[Score_OK]],IF(ResultsInd[[#This Row],[Stage]]="Groups",ResultsInd[[#This Row],[Category]]&amp;"-"&amp;IF(ResultsInd[[#This Row],[Player B]]="","",IF(ResultsInd[[#This Row],[Score-A]]=ResultsInd[[#This Row],[Score-B]],ResultsInd[[#This Row],[Player A]],"")),""),"")</f>
        <v/>
      </c>
      <c r="T775" s="265" t="str">
        <f>IF(ResultsInd[[#This Row],[Score_OK]],IF(ResultsInd[[#This Row],[Stage]]="Groups",ResultsInd[[#This Row],[Category]]&amp;"-"&amp;IF(ResultsInd[[#This Row],[Player B]]="","",IF(ResultsInd[[#This Row],[Score-A]]=ResultsInd[[#This Row],[Score-B]],ResultsInd[[#This Row],[Player B]],"")),""),"")</f>
        <v/>
      </c>
      <c r="U7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5" s="264" t="str">
        <f>IF(ResultsInd[[#This Row],[Category]]="","",VLOOKUP(ResultsInd[[#This Row],[Stage]],$P$1:$V$9,MATCH(ResultsInd[[#This Row],[Category]],$Q$1:$V$1,0)+1,FALSE))</f>
        <v/>
      </c>
      <c r="Z775" s="264" t="str">
        <f>IF(ResultsInd[[#This Row],[Score_OK]],IF(ResultsInd[[#This Row],[Level]]="R",ResultsInd[[#This Row],[Category]]&amp;"-"&amp;IF(ResultsInd[[#This Row],[LoseInKO]]=ResultsInd[[#This Row],[Category]]&amp;"-"&amp;ResultsInd[[#This Row],[Player A]],ResultsInd[[#This Row],[Player B]],ResultsInd[[#This Row],[Player A]]),""),"")</f>
        <v/>
      </c>
      <c r="AB775" s="8"/>
      <c r="AC775" s="8"/>
      <c r="AE775" s="90"/>
      <c r="AF775" s="90"/>
      <c r="AP775" s="8"/>
      <c r="AQ775" s="8"/>
      <c r="AR775" s="8"/>
      <c r="AS775" s="8"/>
      <c r="AT775" s="8"/>
      <c r="AU775" s="8"/>
      <c r="AV775" s="8"/>
      <c r="AW775" s="8"/>
      <c r="AX775" s="8"/>
      <c r="AY775" s="90"/>
      <c r="AZ775" s="90"/>
      <c r="BA775" s="90"/>
      <c r="BB775" s="90"/>
      <c r="BC775" s="90"/>
      <c r="BD775" s="90"/>
      <c r="BE775" s="90"/>
      <c r="BF775" s="90"/>
    </row>
    <row r="776" spans="1:58" x14ac:dyDescent="0.2">
      <c r="A776" s="62"/>
      <c r="B776" s="62"/>
      <c r="C776" s="62"/>
      <c r="D776" s="62"/>
      <c r="E776" s="345"/>
      <c r="F776" s="345"/>
      <c r="G776" s="113"/>
      <c r="H776" s="113"/>
      <c r="I776" s="114"/>
      <c r="J776" s="114"/>
      <c r="K776" s="114"/>
      <c r="L776" s="81"/>
      <c r="M776" s="265" t="b">
        <f>NOT(ISERROR(ResultsInd[[#This Row],[Goal-A]]+ResultsInd[[#This Row],[Goal-B]]))</f>
        <v>1</v>
      </c>
      <c r="N776" s="265">
        <f>VALUE(ResultsInd[[#This Row],[Score-A]])</f>
        <v>0</v>
      </c>
      <c r="O776" s="265">
        <f>VALUE(ResultsInd[[#This Row],[Score-B]])</f>
        <v>0</v>
      </c>
      <c r="P776" s="265" t="str">
        <f ca="1">IF(AND(ResultsInd[[#This Row],[Category]]&lt;&gt;"",ResultsInd[[#This Row],[Player A]]&lt;&gt;""),COUNTIF(INDIRECT(ResultsInd[[#This Row],[Category]]&amp;"List[Retained Player Name]"),ResultsInd[[#This Row],[Player A]]),"")</f>
        <v/>
      </c>
      <c r="Q776" s="265" t="str">
        <f ca="1">IF(AND(ResultsInd[[#This Row],[Category]]&lt;&gt;"",ResultsInd[[#This Row],[Player B]]&lt;&gt;""),COUNTIF(INDIRECT(ResultsInd[[#This Row],[Category]]&amp;"List[Retained Player Name]"),ResultsInd[[#This Row],[Player B]]),"")</f>
        <v/>
      </c>
      <c r="R7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6" s="265" t="str">
        <f>IF(ResultsInd[[#This Row],[Score_OK]],IF(ResultsInd[[#This Row],[Stage]]="Groups",ResultsInd[[#This Row],[Category]]&amp;"-"&amp;IF(ResultsInd[[#This Row],[Player B]]="","",IF(ResultsInd[[#This Row],[Score-A]]=ResultsInd[[#This Row],[Score-B]],ResultsInd[[#This Row],[Player A]],"")),""),"")</f>
        <v/>
      </c>
      <c r="T776" s="265" t="str">
        <f>IF(ResultsInd[[#This Row],[Score_OK]],IF(ResultsInd[[#This Row],[Stage]]="Groups",ResultsInd[[#This Row],[Category]]&amp;"-"&amp;IF(ResultsInd[[#This Row],[Player B]]="","",IF(ResultsInd[[#This Row],[Score-A]]=ResultsInd[[#This Row],[Score-B]],ResultsInd[[#This Row],[Player B]],"")),""),"")</f>
        <v/>
      </c>
      <c r="U7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6" s="264" t="str">
        <f>IF(ResultsInd[[#This Row],[Category]]="","",VLOOKUP(ResultsInd[[#This Row],[Stage]],$P$1:$V$9,MATCH(ResultsInd[[#This Row],[Category]],$Q$1:$V$1,0)+1,FALSE))</f>
        <v/>
      </c>
      <c r="Z776" s="264" t="str">
        <f>IF(ResultsInd[[#This Row],[Score_OK]],IF(ResultsInd[[#This Row],[Level]]="R",ResultsInd[[#This Row],[Category]]&amp;"-"&amp;IF(ResultsInd[[#This Row],[LoseInKO]]=ResultsInd[[#This Row],[Category]]&amp;"-"&amp;ResultsInd[[#This Row],[Player A]],ResultsInd[[#This Row],[Player B]],ResultsInd[[#This Row],[Player A]]),""),"")</f>
        <v/>
      </c>
      <c r="AB776" s="8"/>
      <c r="AC776" s="8"/>
      <c r="AE776" s="90"/>
      <c r="AF776" s="90"/>
      <c r="AP776" s="8"/>
      <c r="AQ776" s="8"/>
      <c r="AR776" s="8"/>
      <c r="AS776" s="8"/>
      <c r="AT776" s="8"/>
      <c r="AU776" s="8"/>
      <c r="AV776" s="8"/>
      <c r="AW776" s="8"/>
      <c r="AX776" s="8"/>
      <c r="AY776" s="90"/>
      <c r="AZ776" s="90"/>
      <c r="BA776" s="90"/>
      <c r="BB776" s="90"/>
      <c r="BC776" s="90"/>
      <c r="BD776" s="90"/>
      <c r="BE776" s="90"/>
      <c r="BF776" s="90"/>
    </row>
    <row r="777" spans="1:58" x14ac:dyDescent="0.2">
      <c r="A777" s="62"/>
      <c r="B777" s="62"/>
      <c r="C777" s="62"/>
      <c r="D777" s="62"/>
      <c r="E777" s="345"/>
      <c r="F777" s="345"/>
      <c r="G777" s="113"/>
      <c r="H777" s="113"/>
      <c r="I777" s="114"/>
      <c r="J777" s="114"/>
      <c r="K777" s="114"/>
      <c r="L777" s="81"/>
      <c r="M777" s="265" t="b">
        <f>NOT(ISERROR(ResultsInd[[#This Row],[Goal-A]]+ResultsInd[[#This Row],[Goal-B]]))</f>
        <v>1</v>
      </c>
      <c r="N777" s="265">
        <f>VALUE(ResultsInd[[#This Row],[Score-A]])</f>
        <v>0</v>
      </c>
      <c r="O777" s="265">
        <f>VALUE(ResultsInd[[#This Row],[Score-B]])</f>
        <v>0</v>
      </c>
      <c r="P777" s="265" t="str">
        <f ca="1">IF(AND(ResultsInd[[#This Row],[Category]]&lt;&gt;"",ResultsInd[[#This Row],[Player A]]&lt;&gt;""),COUNTIF(INDIRECT(ResultsInd[[#This Row],[Category]]&amp;"List[Retained Player Name]"),ResultsInd[[#This Row],[Player A]]),"")</f>
        <v/>
      </c>
      <c r="Q777" s="265" t="str">
        <f ca="1">IF(AND(ResultsInd[[#This Row],[Category]]&lt;&gt;"",ResultsInd[[#This Row],[Player B]]&lt;&gt;""),COUNTIF(INDIRECT(ResultsInd[[#This Row],[Category]]&amp;"List[Retained Player Name]"),ResultsInd[[#This Row],[Player B]]),"")</f>
        <v/>
      </c>
      <c r="R7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7" s="265" t="str">
        <f>IF(ResultsInd[[#This Row],[Score_OK]],IF(ResultsInd[[#This Row],[Stage]]="Groups",ResultsInd[[#This Row],[Category]]&amp;"-"&amp;IF(ResultsInd[[#This Row],[Player B]]="","",IF(ResultsInd[[#This Row],[Score-A]]=ResultsInd[[#This Row],[Score-B]],ResultsInd[[#This Row],[Player A]],"")),""),"")</f>
        <v/>
      </c>
      <c r="T777" s="265" t="str">
        <f>IF(ResultsInd[[#This Row],[Score_OK]],IF(ResultsInd[[#This Row],[Stage]]="Groups",ResultsInd[[#This Row],[Category]]&amp;"-"&amp;IF(ResultsInd[[#This Row],[Player B]]="","",IF(ResultsInd[[#This Row],[Score-A]]=ResultsInd[[#This Row],[Score-B]],ResultsInd[[#This Row],[Player B]],"")),""),"")</f>
        <v/>
      </c>
      <c r="U7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7" s="264" t="str">
        <f>IF(ResultsInd[[#This Row],[Category]]="","",VLOOKUP(ResultsInd[[#This Row],[Stage]],$P$1:$V$9,MATCH(ResultsInd[[#This Row],[Category]],$Q$1:$V$1,0)+1,FALSE))</f>
        <v/>
      </c>
      <c r="Z777" s="264" t="str">
        <f>IF(ResultsInd[[#This Row],[Score_OK]],IF(ResultsInd[[#This Row],[Level]]="R",ResultsInd[[#This Row],[Category]]&amp;"-"&amp;IF(ResultsInd[[#This Row],[LoseInKO]]=ResultsInd[[#This Row],[Category]]&amp;"-"&amp;ResultsInd[[#This Row],[Player A]],ResultsInd[[#This Row],[Player B]],ResultsInd[[#This Row],[Player A]]),""),"")</f>
        <v/>
      </c>
      <c r="AB777" s="8"/>
      <c r="AC777" s="8"/>
      <c r="AE777" s="90"/>
      <c r="AF777" s="90"/>
      <c r="AP777" s="8"/>
      <c r="AQ777" s="8"/>
      <c r="AR777" s="8"/>
      <c r="AS777" s="8"/>
      <c r="AT777" s="8"/>
      <c r="AU777" s="8"/>
      <c r="AV777" s="8"/>
      <c r="AW777" s="8"/>
      <c r="AX777" s="8"/>
      <c r="AY777" s="90"/>
      <c r="AZ777" s="90"/>
      <c r="BA777" s="90"/>
      <c r="BB777" s="90"/>
      <c r="BC777" s="90"/>
      <c r="BD777" s="90"/>
      <c r="BE777" s="90"/>
      <c r="BF777" s="90"/>
    </row>
    <row r="778" spans="1:58" x14ac:dyDescent="0.2">
      <c r="A778" s="62"/>
      <c r="B778" s="62"/>
      <c r="C778" s="62"/>
      <c r="D778" s="62"/>
      <c r="E778" s="345"/>
      <c r="F778" s="345"/>
      <c r="G778" s="113"/>
      <c r="H778" s="113"/>
      <c r="I778" s="114"/>
      <c r="J778" s="114"/>
      <c r="K778" s="114"/>
      <c r="L778" s="81"/>
      <c r="M778" s="265" t="b">
        <f>NOT(ISERROR(ResultsInd[[#This Row],[Goal-A]]+ResultsInd[[#This Row],[Goal-B]]))</f>
        <v>1</v>
      </c>
      <c r="N778" s="265">
        <f>VALUE(ResultsInd[[#This Row],[Score-A]])</f>
        <v>0</v>
      </c>
      <c r="O778" s="265">
        <f>VALUE(ResultsInd[[#This Row],[Score-B]])</f>
        <v>0</v>
      </c>
      <c r="P778" s="265" t="str">
        <f ca="1">IF(AND(ResultsInd[[#This Row],[Category]]&lt;&gt;"",ResultsInd[[#This Row],[Player A]]&lt;&gt;""),COUNTIF(INDIRECT(ResultsInd[[#This Row],[Category]]&amp;"List[Retained Player Name]"),ResultsInd[[#This Row],[Player A]]),"")</f>
        <v/>
      </c>
      <c r="Q778" s="265" t="str">
        <f ca="1">IF(AND(ResultsInd[[#This Row],[Category]]&lt;&gt;"",ResultsInd[[#This Row],[Player B]]&lt;&gt;""),COUNTIF(INDIRECT(ResultsInd[[#This Row],[Category]]&amp;"List[Retained Player Name]"),ResultsInd[[#This Row],[Player B]]),"")</f>
        <v/>
      </c>
      <c r="R7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8" s="265" t="str">
        <f>IF(ResultsInd[[#This Row],[Score_OK]],IF(ResultsInd[[#This Row],[Stage]]="Groups",ResultsInd[[#This Row],[Category]]&amp;"-"&amp;IF(ResultsInd[[#This Row],[Player B]]="","",IF(ResultsInd[[#This Row],[Score-A]]=ResultsInd[[#This Row],[Score-B]],ResultsInd[[#This Row],[Player A]],"")),""),"")</f>
        <v/>
      </c>
      <c r="T778" s="265" t="str">
        <f>IF(ResultsInd[[#This Row],[Score_OK]],IF(ResultsInd[[#This Row],[Stage]]="Groups",ResultsInd[[#This Row],[Category]]&amp;"-"&amp;IF(ResultsInd[[#This Row],[Player B]]="","",IF(ResultsInd[[#This Row],[Score-A]]=ResultsInd[[#This Row],[Score-B]],ResultsInd[[#This Row],[Player B]],"")),""),"")</f>
        <v/>
      </c>
      <c r="U7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8" s="264" t="str">
        <f>IF(ResultsInd[[#This Row],[Category]]="","",VLOOKUP(ResultsInd[[#This Row],[Stage]],$P$1:$V$9,MATCH(ResultsInd[[#This Row],[Category]],$Q$1:$V$1,0)+1,FALSE))</f>
        <v/>
      </c>
      <c r="Z778" s="264" t="str">
        <f>IF(ResultsInd[[#This Row],[Score_OK]],IF(ResultsInd[[#This Row],[Level]]="R",ResultsInd[[#This Row],[Category]]&amp;"-"&amp;IF(ResultsInd[[#This Row],[LoseInKO]]=ResultsInd[[#This Row],[Category]]&amp;"-"&amp;ResultsInd[[#This Row],[Player A]],ResultsInd[[#This Row],[Player B]],ResultsInd[[#This Row],[Player A]]),""),"")</f>
        <v/>
      </c>
      <c r="AB778" s="8"/>
      <c r="AC778" s="8"/>
      <c r="AE778" s="90"/>
      <c r="AF778" s="90"/>
      <c r="AP778" s="8"/>
      <c r="AQ778" s="8"/>
      <c r="AR778" s="8"/>
      <c r="AS778" s="8"/>
      <c r="AT778" s="8"/>
      <c r="AU778" s="8"/>
      <c r="AV778" s="8"/>
      <c r="AW778" s="8"/>
      <c r="AX778" s="8"/>
      <c r="AY778" s="90"/>
      <c r="AZ778" s="90"/>
      <c r="BA778" s="90"/>
      <c r="BB778" s="90"/>
      <c r="BC778" s="90"/>
      <c r="BD778" s="90"/>
      <c r="BE778" s="90"/>
      <c r="BF778" s="90"/>
    </row>
    <row r="779" spans="1:58" x14ac:dyDescent="0.2">
      <c r="A779" s="62"/>
      <c r="B779" s="62"/>
      <c r="C779" s="62"/>
      <c r="D779" s="62"/>
      <c r="E779" s="345"/>
      <c r="F779" s="345"/>
      <c r="G779" s="113"/>
      <c r="H779" s="113"/>
      <c r="I779" s="114"/>
      <c r="J779" s="114"/>
      <c r="K779" s="114"/>
      <c r="L779" s="81"/>
      <c r="M779" s="265" t="b">
        <f>NOT(ISERROR(ResultsInd[[#This Row],[Goal-A]]+ResultsInd[[#This Row],[Goal-B]]))</f>
        <v>1</v>
      </c>
      <c r="N779" s="265">
        <f>VALUE(ResultsInd[[#This Row],[Score-A]])</f>
        <v>0</v>
      </c>
      <c r="O779" s="265">
        <f>VALUE(ResultsInd[[#This Row],[Score-B]])</f>
        <v>0</v>
      </c>
      <c r="P779" s="265" t="str">
        <f ca="1">IF(AND(ResultsInd[[#This Row],[Category]]&lt;&gt;"",ResultsInd[[#This Row],[Player A]]&lt;&gt;""),COUNTIF(INDIRECT(ResultsInd[[#This Row],[Category]]&amp;"List[Retained Player Name]"),ResultsInd[[#This Row],[Player A]]),"")</f>
        <v/>
      </c>
      <c r="Q779" s="265" t="str">
        <f ca="1">IF(AND(ResultsInd[[#This Row],[Category]]&lt;&gt;"",ResultsInd[[#This Row],[Player B]]&lt;&gt;""),COUNTIF(INDIRECT(ResultsInd[[#This Row],[Category]]&amp;"List[Retained Player Name]"),ResultsInd[[#This Row],[Player B]]),"")</f>
        <v/>
      </c>
      <c r="R7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9" s="265" t="str">
        <f>IF(ResultsInd[[#This Row],[Score_OK]],IF(ResultsInd[[#This Row],[Stage]]="Groups",ResultsInd[[#This Row],[Category]]&amp;"-"&amp;IF(ResultsInd[[#This Row],[Player B]]="","",IF(ResultsInd[[#This Row],[Score-A]]=ResultsInd[[#This Row],[Score-B]],ResultsInd[[#This Row],[Player A]],"")),""),"")</f>
        <v/>
      </c>
      <c r="T779" s="265" t="str">
        <f>IF(ResultsInd[[#This Row],[Score_OK]],IF(ResultsInd[[#This Row],[Stage]]="Groups",ResultsInd[[#This Row],[Category]]&amp;"-"&amp;IF(ResultsInd[[#This Row],[Player B]]="","",IF(ResultsInd[[#This Row],[Score-A]]=ResultsInd[[#This Row],[Score-B]],ResultsInd[[#This Row],[Player B]],"")),""),"")</f>
        <v/>
      </c>
      <c r="U7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9" s="264" t="str">
        <f>IF(ResultsInd[[#This Row],[Category]]="","",VLOOKUP(ResultsInd[[#This Row],[Stage]],$P$1:$V$9,MATCH(ResultsInd[[#This Row],[Category]],$Q$1:$V$1,0)+1,FALSE))</f>
        <v/>
      </c>
      <c r="Z779" s="264" t="str">
        <f>IF(ResultsInd[[#This Row],[Score_OK]],IF(ResultsInd[[#This Row],[Level]]="R",ResultsInd[[#This Row],[Category]]&amp;"-"&amp;IF(ResultsInd[[#This Row],[LoseInKO]]=ResultsInd[[#This Row],[Category]]&amp;"-"&amp;ResultsInd[[#This Row],[Player A]],ResultsInd[[#This Row],[Player B]],ResultsInd[[#This Row],[Player A]]),""),"")</f>
        <v/>
      </c>
      <c r="AB779" s="8"/>
      <c r="AC779" s="8"/>
      <c r="AE779" s="90"/>
      <c r="AF779" s="90"/>
      <c r="AP779" s="8"/>
      <c r="AQ779" s="8"/>
      <c r="AR779" s="8"/>
      <c r="AS779" s="8"/>
      <c r="AT779" s="8"/>
      <c r="AU779" s="8"/>
      <c r="AV779" s="8"/>
      <c r="AW779" s="8"/>
      <c r="AX779" s="8"/>
      <c r="AY779" s="90"/>
      <c r="AZ779" s="90"/>
      <c r="BA779" s="90"/>
      <c r="BB779" s="90"/>
      <c r="BC779" s="90"/>
      <c r="BD779" s="90"/>
      <c r="BE779" s="90"/>
      <c r="BF779" s="90"/>
    </row>
    <row r="780" spans="1:58" x14ac:dyDescent="0.2">
      <c r="A780" s="62"/>
      <c r="B780" s="62"/>
      <c r="C780" s="62"/>
      <c r="D780" s="62"/>
      <c r="E780" s="345"/>
      <c r="F780" s="345"/>
      <c r="G780" s="113"/>
      <c r="H780" s="113"/>
      <c r="I780" s="114"/>
      <c r="J780" s="114"/>
      <c r="K780" s="114"/>
      <c r="L780" s="81"/>
      <c r="M780" s="265" t="b">
        <f>NOT(ISERROR(ResultsInd[[#This Row],[Goal-A]]+ResultsInd[[#This Row],[Goal-B]]))</f>
        <v>1</v>
      </c>
      <c r="N780" s="265">
        <f>VALUE(ResultsInd[[#This Row],[Score-A]])</f>
        <v>0</v>
      </c>
      <c r="O780" s="265">
        <f>VALUE(ResultsInd[[#This Row],[Score-B]])</f>
        <v>0</v>
      </c>
      <c r="P780" s="265" t="str">
        <f ca="1">IF(AND(ResultsInd[[#This Row],[Category]]&lt;&gt;"",ResultsInd[[#This Row],[Player A]]&lt;&gt;""),COUNTIF(INDIRECT(ResultsInd[[#This Row],[Category]]&amp;"List[Retained Player Name]"),ResultsInd[[#This Row],[Player A]]),"")</f>
        <v/>
      </c>
      <c r="Q780" s="265" t="str">
        <f ca="1">IF(AND(ResultsInd[[#This Row],[Category]]&lt;&gt;"",ResultsInd[[#This Row],[Player B]]&lt;&gt;""),COUNTIF(INDIRECT(ResultsInd[[#This Row],[Category]]&amp;"List[Retained Player Name]"),ResultsInd[[#This Row],[Player B]]),"")</f>
        <v/>
      </c>
      <c r="R7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0" s="265" t="str">
        <f>IF(ResultsInd[[#This Row],[Score_OK]],IF(ResultsInd[[#This Row],[Stage]]="Groups",ResultsInd[[#This Row],[Category]]&amp;"-"&amp;IF(ResultsInd[[#This Row],[Player B]]="","",IF(ResultsInd[[#This Row],[Score-A]]=ResultsInd[[#This Row],[Score-B]],ResultsInd[[#This Row],[Player A]],"")),""),"")</f>
        <v/>
      </c>
      <c r="T780" s="265" t="str">
        <f>IF(ResultsInd[[#This Row],[Score_OK]],IF(ResultsInd[[#This Row],[Stage]]="Groups",ResultsInd[[#This Row],[Category]]&amp;"-"&amp;IF(ResultsInd[[#This Row],[Player B]]="","",IF(ResultsInd[[#This Row],[Score-A]]=ResultsInd[[#This Row],[Score-B]],ResultsInd[[#This Row],[Player B]],"")),""),"")</f>
        <v/>
      </c>
      <c r="U7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0" s="264" t="str">
        <f>IF(ResultsInd[[#This Row],[Category]]="","",VLOOKUP(ResultsInd[[#This Row],[Stage]],$P$1:$V$9,MATCH(ResultsInd[[#This Row],[Category]],$Q$1:$V$1,0)+1,FALSE))</f>
        <v/>
      </c>
      <c r="Z780" s="264" t="str">
        <f>IF(ResultsInd[[#This Row],[Score_OK]],IF(ResultsInd[[#This Row],[Level]]="R",ResultsInd[[#This Row],[Category]]&amp;"-"&amp;IF(ResultsInd[[#This Row],[LoseInKO]]=ResultsInd[[#This Row],[Category]]&amp;"-"&amp;ResultsInd[[#This Row],[Player A]],ResultsInd[[#This Row],[Player B]],ResultsInd[[#This Row],[Player A]]),""),"")</f>
        <v/>
      </c>
      <c r="AB780" s="8"/>
      <c r="AC780" s="8"/>
      <c r="AE780" s="90"/>
      <c r="AF780" s="90"/>
      <c r="AP780" s="8"/>
      <c r="AQ780" s="8"/>
      <c r="AR780" s="8"/>
      <c r="AS780" s="8"/>
      <c r="AT780" s="8"/>
      <c r="AU780" s="8"/>
      <c r="AV780" s="8"/>
      <c r="AW780" s="8"/>
      <c r="AX780" s="8"/>
      <c r="AY780" s="90"/>
      <c r="AZ780" s="90"/>
      <c r="BA780" s="90"/>
      <c r="BB780" s="90"/>
      <c r="BC780" s="90"/>
      <c r="BD780" s="90"/>
      <c r="BE780" s="90"/>
      <c r="BF780" s="90"/>
    </row>
    <row r="781" spans="1:58" x14ac:dyDescent="0.2">
      <c r="A781" s="62"/>
      <c r="B781" s="62"/>
      <c r="C781" s="62"/>
      <c r="D781" s="62"/>
      <c r="E781" s="345"/>
      <c r="F781" s="345"/>
      <c r="G781" s="113"/>
      <c r="H781" s="113"/>
      <c r="I781" s="114"/>
      <c r="J781" s="114"/>
      <c r="K781" s="114"/>
      <c r="L781" s="81"/>
      <c r="M781" s="265" t="b">
        <f>NOT(ISERROR(ResultsInd[[#This Row],[Goal-A]]+ResultsInd[[#This Row],[Goal-B]]))</f>
        <v>1</v>
      </c>
      <c r="N781" s="265">
        <f>VALUE(ResultsInd[[#This Row],[Score-A]])</f>
        <v>0</v>
      </c>
      <c r="O781" s="265">
        <f>VALUE(ResultsInd[[#This Row],[Score-B]])</f>
        <v>0</v>
      </c>
      <c r="P781" s="265" t="str">
        <f ca="1">IF(AND(ResultsInd[[#This Row],[Category]]&lt;&gt;"",ResultsInd[[#This Row],[Player A]]&lt;&gt;""),COUNTIF(INDIRECT(ResultsInd[[#This Row],[Category]]&amp;"List[Retained Player Name]"),ResultsInd[[#This Row],[Player A]]),"")</f>
        <v/>
      </c>
      <c r="Q781" s="265" t="str">
        <f ca="1">IF(AND(ResultsInd[[#This Row],[Category]]&lt;&gt;"",ResultsInd[[#This Row],[Player B]]&lt;&gt;""),COUNTIF(INDIRECT(ResultsInd[[#This Row],[Category]]&amp;"List[Retained Player Name]"),ResultsInd[[#This Row],[Player B]]),"")</f>
        <v/>
      </c>
      <c r="R7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1" s="265" t="str">
        <f>IF(ResultsInd[[#This Row],[Score_OK]],IF(ResultsInd[[#This Row],[Stage]]="Groups",ResultsInd[[#This Row],[Category]]&amp;"-"&amp;IF(ResultsInd[[#This Row],[Player B]]="","",IF(ResultsInd[[#This Row],[Score-A]]=ResultsInd[[#This Row],[Score-B]],ResultsInd[[#This Row],[Player A]],"")),""),"")</f>
        <v/>
      </c>
      <c r="T781" s="265" t="str">
        <f>IF(ResultsInd[[#This Row],[Score_OK]],IF(ResultsInd[[#This Row],[Stage]]="Groups",ResultsInd[[#This Row],[Category]]&amp;"-"&amp;IF(ResultsInd[[#This Row],[Player B]]="","",IF(ResultsInd[[#This Row],[Score-A]]=ResultsInd[[#This Row],[Score-B]],ResultsInd[[#This Row],[Player B]],"")),""),"")</f>
        <v/>
      </c>
      <c r="U7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1" s="264" t="str">
        <f>IF(ResultsInd[[#This Row],[Category]]="","",VLOOKUP(ResultsInd[[#This Row],[Stage]],$P$1:$V$9,MATCH(ResultsInd[[#This Row],[Category]],$Q$1:$V$1,0)+1,FALSE))</f>
        <v/>
      </c>
      <c r="Z781" s="264" t="str">
        <f>IF(ResultsInd[[#This Row],[Score_OK]],IF(ResultsInd[[#This Row],[Level]]="R",ResultsInd[[#This Row],[Category]]&amp;"-"&amp;IF(ResultsInd[[#This Row],[LoseInKO]]=ResultsInd[[#This Row],[Category]]&amp;"-"&amp;ResultsInd[[#This Row],[Player A]],ResultsInd[[#This Row],[Player B]],ResultsInd[[#This Row],[Player A]]),""),"")</f>
        <v/>
      </c>
      <c r="AB781" s="8"/>
      <c r="AC781" s="8"/>
      <c r="AE781" s="90"/>
      <c r="AF781" s="90"/>
      <c r="AP781" s="8"/>
      <c r="AQ781" s="8"/>
      <c r="AR781" s="8"/>
      <c r="AS781" s="8"/>
      <c r="AT781" s="8"/>
      <c r="AU781" s="8"/>
      <c r="AV781" s="8"/>
      <c r="AW781" s="8"/>
      <c r="AX781" s="8"/>
      <c r="AY781" s="90"/>
      <c r="AZ781" s="90"/>
      <c r="BA781" s="90"/>
      <c r="BB781" s="90"/>
      <c r="BC781" s="90"/>
      <c r="BD781" s="90"/>
      <c r="BE781" s="90"/>
      <c r="BF781" s="90"/>
    </row>
    <row r="782" spans="1:58" x14ac:dyDescent="0.2">
      <c r="A782" s="62"/>
      <c r="B782" s="62"/>
      <c r="C782" s="62"/>
      <c r="D782" s="62"/>
      <c r="E782" s="345"/>
      <c r="F782" s="345"/>
      <c r="G782" s="113"/>
      <c r="H782" s="113"/>
      <c r="I782" s="114"/>
      <c r="J782" s="114"/>
      <c r="K782" s="114"/>
      <c r="L782" s="81"/>
      <c r="M782" s="265" t="b">
        <f>NOT(ISERROR(ResultsInd[[#This Row],[Goal-A]]+ResultsInd[[#This Row],[Goal-B]]))</f>
        <v>1</v>
      </c>
      <c r="N782" s="265">
        <f>VALUE(ResultsInd[[#This Row],[Score-A]])</f>
        <v>0</v>
      </c>
      <c r="O782" s="265">
        <f>VALUE(ResultsInd[[#This Row],[Score-B]])</f>
        <v>0</v>
      </c>
      <c r="P782" s="265" t="str">
        <f ca="1">IF(AND(ResultsInd[[#This Row],[Category]]&lt;&gt;"",ResultsInd[[#This Row],[Player A]]&lt;&gt;""),COUNTIF(INDIRECT(ResultsInd[[#This Row],[Category]]&amp;"List[Retained Player Name]"),ResultsInd[[#This Row],[Player A]]),"")</f>
        <v/>
      </c>
      <c r="Q782" s="265" t="str">
        <f ca="1">IF(AND(ResultsInd[[#This Row],[Category]]&lt;&gt;"",ResultsInd[[#This Row],[Player B]]&lt;&gt;""),COUNTIF(INDIRECT(ResultsInd[[#This Row],[Category]]&amp;"List[Retained Player Name]"),ResultsInd[[#This Row],[Player B]]),"")</f>
        <v/>
      </c>
      <c r="R7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2" s="265" t="str">
        <f>IF(ResultsInd[[#This Row],[Score_OK]],IF(ResultsInd[[#This Row],[Stage]]="Groups",ResultsInd[[#This Row],[Category]]&amp;"-"&amp;IF(ResultsInd[[#This Row],[Player B]]="","",IF(ResultsInd[[#This Row],[Score-A]]=ResultsInd[[#This Row],[Score-B]],ResultsInd[[#This Row],[Player A]],"")),""),"")</f>
        <v/>
      </c>
      <c r="T782" s="265" t="str">
        <f>IF(ResultsInd[[#This Row],[Score_OK]],IF(ResultsInd[[#This Row],[Stage]]="Groups",ResultsInd[[#This Row],[Category]]&amp;"-"&amp;IF(ResultsInd[[#This Row],[Player B]]="","",IF(ResultsInd[[#This Row],[Score-A]]=ResultsInd[[#This Row],[Score-B]],ResultsInd[[#This Row],[Player B]],"")),""),"")</f>
        <v/>
      </c>
      <c r="U7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2" s="264" t="str">
        <f>IF(ResultsInd[[#This Row],[Category]]="","",VLOOKUP(ResultsInd[[#This Row],[Stage]],$P$1:$V$9,MATCH(ResultsInd[[#This Row],[Category]],$Q$1:$V$1,0)+1,FALSE))</f>
        <v/>
      </c>
      <c r="Z782" s="264" t="str">
        <f>IF(ResultsInd[[#This Row],[Score_OK]],IF(ResultsInd[[#This Row],[Level]]="R",ResultsInd[[#This Row],[Category]]&amp;"-"&amp;IF(ResultsInd[[#This Row],[LoseInKO]]=ResultsInd[[#This Row],[Category]]&amp;"-"&amp;ResultsInd[[#This Row],[Player A]],ResultsInd[[#This Row],[Player B]],ResultsInd[[#This Row],[Player A]]),""),"")</f>
        <v/>
      </c>
      <c r="AB782" s="8"/>
      <c r="AC782" s="8"/>
      <c r="AE782" s="90"/>
      <c r="AF782" s="90"/>
      <c r="AP782" s="8"/>
      <c r="AQ782" s="8"/>
      <c r="AR782" s="8"/>
      <c r="AS782" s="8"/>
      <c r="AT782" s="8"/>
      <c r="AU782" s="8"/>
      <c r="AV782" s="8"/>
      <c r="AW782" s="8"/>
      <c r="AX782" s="8"/>
      <c r="AY782" s="90"/>
      <c r="AZ782" s="90"/>
      <c r="BA782" s="90"/>
      <c r="BB782" s="90"/>
      <c r="BC782" s="90"/>
      <c r="BD782" s="90"/>
      <c r="BE782" s="90"/>
      <c r="BF782" s="90"/>
    </row>
    <row r="783" spans="1:58" x14ac:dyDescent="0.2">
      <c r="A783" s="62"/>
      <c r="B783" s="62"/>
      <c r="C783" s="62"/>
      <c r="D783" s="62"/>
      <c r="E783" s="345"/>
      <c r="F783" s="345"/>
      <c r="G783" s="113"/>
      <c r="H783" s="113"/>
      <c r="I783" s="114"/>
      <c r="J783" s="114"/>
      <c r="K783" s="114"/>
      <c r="L783" s="81"/>
      <c r="M783" s="265" t="b">
        <f>NOT(ISERROR(ResultsInd[[#This Row],[Goal-A]]+ResultsInd[[#This Row],[Goal-B]]))</f>
        <v>1</v>
      </c>
      <c r="N783" s="265">
        <f>VALUE(ResultsInd[[#This Row],[Score-A]])</f>
        <v>0</v>
      </c>
      <c r="O783" s="265">
        <f>VALUE(ResultsInd[[#This Row],[Score-B]])</f>
        <v>0</v>
      </c>
      <c r="P783" s="265" t="str">
        <f ca="1">IF(AND(ResultsInd[[#This Row],[Category]]&lt;&gt;"",ResultsInd[[#This Row],[Player A]]&lt;&gt;""),COUNTIF(INDIRECT(ResultsInd[[#This Row],[Category]]&amp;"List[Retained Player Name]"),ResultsInd[[#This Row],[Player A]]),"")</f>
        <v/>
      </c>
      <c r="Q783" s="265" t="str">
        <f ca="1">IF(AND(ResultsInd[[#This Row],[Category]]&lt;&gt;"",ResultsInd[[#This Row],[Player B]]&lt;&gt;""),COUNTIF(INDIRECT(ResultsInd[[#This Row],[Category]]&amp;"List[Retained Player Name]"),ResultsInd[[#This Row],[Player B]]),"")</f>
        <v/>
      </c>
      <c r="R7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3" s="265" t="str">
        <f>IF(ResultsInd[[#This Row],[Score_OK]],IF(ResultsInd[[#This Row],[Stage]]="Groups",ResultsInd[[#This Row],[Category]]&amp;"-"&amp;IF(ResultsInd[[#This Row],[Player B]]="","",IF(ResultsInd[[#This Row],[Score-A]]=ResultsInd[[#This Row],[Score-B]],ResultsInd[[#This Row],[Player A]],"")),""),"")</f>
        <v/>
      </c>
      <c r="T783" s="265" t="str">
        <f>IF(ResultsInd[[#This Row],[Score_OK]],IF(ResultsInd[[#This Row],[Stage]]="Groups",ResultsInd[[#This Row],[Category]]&amp;"-"&amp;IF(ResultsInd[[#This Row],[Player B]]="","",IF(ResultsInd[[#This Row],[Score-A]]=ResultsInd[[#This Row],[Score-B]],ResultsInd[[#This Row],[Player B]],"")),""),"")</f>
        <v/>
      </c>
      <c r="U7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3" s="264" t="str">
        <f>IF(ResultsInd[[#This Row],[Category]]="","",VLOOKUP(ResultsInd[[#This Row],[Stage]],$P$1:$V$9,MATCH(ResultsInd[[#This Row],[Category]],$Q$1:$V$1,0)+1,FALSE))</f>
        <v/>
      </c>
      <c r="Z783" s="264" t="str">
        <f>IF(ResultsInd[[#This Row],[Score_OK]],IF(ResultsInd[[#This Row],[Level]]="R",ResultsInd[[#This Row],[Category]]&amp;"-"&amp;IF(ResultsInd[[#This Row],[LoseInKO]]=ResultsInd[[#This Row],[Category]]&amp;"-"&amp;ResultsInd[[#This Row],[Player A]],ResultsInd[[#This Row],[Player B]],ResultsInd[[#This Row],[Player A]]),""),"")</f>
        <v/>
      </c>
      <c r="AB783" s="8"/>
      <c r="AC783" s="8"/>
      <c r="AE783" s="90"/>
      <c r="AF783" s="90"/>
      <c r="AP783" s="8"/>
      <c r="AQ783" s="8"/>
      <c r="AR783" s="8"/>
      <c r="AS783" s="8"/>
      <c r="AT783" s="8"/>
      <c r="AU783" s="8"/>
      <c r="AV783" s="8"/>
      <c r="AW783" s="8"/>
      <c r="AX783" s="8"/>
      <c r="AY783" s="90"/>
      <c r="AZ783" s="90"/>
      <c r="BA783" s="90"/>
      <c r="BB783" s="90"/>
      <c r="BC783" s="90"/>
      <c r="BD783" s="90"/>
      <c r="BE783" s="90"/>
      <c r="BF783" s="90"/>
    </row>
    <row r="784" spans="1:58" x14ac:dyDescent="0.2">
      <c r="A784" s="62"/>
      <c r="B784" s="62"/>
      <c r="C784" s="62"/>
      <c r="D784" s="62"/>
      <c r="E784" s="345"/>
      <c r="F784" s="345"/>
      <c r="G784" s="113"/>
      <c r="H784" s="113"/>
      <c r="I784" s="114"/>
      <c r="J784" s="114"/>
      <c r="K784" s="114"/>
      <c r="L784" s="81"/>
      <c r="M784" s="265" t="b">
        <f>NOT(ISERROR(ResultsInd[[#This Row],[Goal-A]]+ResultsInd[[#This Row],[Goal-B]]))</f>
        <v>1</v>
      </c>
      <c r="N784" s="265">
        <f>VALUE(ResultsInd[[#This Row],[Score-A]])</f>
        <v>0</v>
      </c>
      <c r="O784" s="265">
        <f>VALUE(ResultsInd[[#This Row],[Score-B]])</f>
        <v>0</v>
      </c>
      <c r="P784" s="265" t="str">
        <f ca="1">IF(AND(ResultsInd[[#This Row],[Category]]&lt;&gt;"",ResultsInd[[#This Row],[Player A]]&lt;&gt;""),COUNTIF(INDIRECT(ResultsInd[[#This Row],[Category]]&amp;"List[Retained Player Name]"),ResultsInd[[#This Row],[Player A]]),"")</f>
        <v/>
      </c>
      <c r="Q784" s="265" t="str">
        <f ca="1">IF(AND(ResultsInd[[#This Row],[Category]]&lt;&gt;"",ResultsInd[[#This Row],[Player B]]&lt;&gt;""),COUNTIF(INDIRECT(ResultsInd[[#This Row],[Category]]&amp;"List[Retained Player Name]"),ResultsInd[[#This Row],[Player B]]),"")</f>
        <v/>
      </c>
      <c r="R7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4" s="265" t="str">
        <f>IF(ResultsInd[[#This Row],[Score_OK]],IF(ResultsInd[[#This Row],[Stage]]="Groups",ResultsInd[[#This Row],[Category]]&amp;"-"&amp;IF(ResultsInd[[#This Row],[Player B]]="","",IF(ResultsInd[[#This Row],[Score-A]]=ResultsInd[[#This Row],[Score-B]],ResultsInd[[#This Row],[Player A]],"")),""),"")</f>
        <v/>
      </c>
      <c r="T784" s="265" t="str">
        <f>IF(ResultsInd[[#This Row],[Score_OK]],IF(ResultsInd[[#This Row],[Stage]]="Groups",ResultsInd[[#This Row],[Category]]&amp;"-"&amp;IF(ResultsInd[[#This Row],[Player B]]="","",IF(ResultsInd[[#This Row],[Score-A]]=ResultsInd[[#This Row],[Score-B]],ResultsInd[[#This Row],[Player B]],"")),""),"")</f>
        <v/>
      </c>
      <c r="U7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4" s="264" t="str">
        <f>IF(ResultsInd[[#This Row],[Category]]="","",VLOOKUP(ResultsInd[[#This Row],[Stage]],$P$1:$V$9,MATCH(ResultsInd[[#This Row],[Category]],$Q$1:$V$1,0)+1,FALSE))</f>
        <v/>
      </c>
      <c r="Z784" s="264" t="str">
        <f>IF(ResultsInd[[#This Row],[Score_OK]],IF(ResultsInd[[#This Row],[Level]]="R",ResultsInd[[#This Row],[Category]]&amp;"-"&amp;IF(ResultsInd[[#This Row],[LoseInKO]]=ResultsInd[[#This Row],[Category]]&amp;"-"&amp;ResultsInd[[#This Row],[Player A]],ResultsInd[[#This Row],[Player B]],ResultsInd[[#This Row],[Player A]]),""),"")</f>
        <v/>
      </c>
      <c r="AB784" s="8"/>
      <c r="AC784" s="8"/>
      <c r="AE784" s="90"/>
      <c r="AF784" s="90"/>
      <c r="AP784" s="8"/>
      <c r="AQ784" s="8"/>
      <c r="AR784" s="8"/>
      <c r="AS784" s="8"/>
      <c r="AT784" s="8"/>
      <c r="AU784" s="8"/>
      <c r="AV784" s="8"/>
      <c r="AW784" s="8"/>
      <c r="AX784" s="8"/>
      <c r="AY784" s="90"/>
      <c r="AZ784" s="90"/>
      <c r="BA784" s="90"/>
      <c r="BB784" s="90"/>
      <c r="BC784" s="90"/>
      <c r="BD784" s="90"/>
      <c r="BE784" s="90"/>
      <c r="BF784" s="90"/>
    </row>
    <row r="785" spans="1:58" x14ac:dyDescent="0.2">
      <c r="A785" s="62"/>
      <c r="B785" s="62"/>
      <c r="C785" s="62"/>
      <c r="D785" s="62"/>
      <c r="E785" s="345"/>
      <c r="F785" s="345"/>
      <c r="G785" s="113"/>
      <c r="H785" s="113"/>
      <c r="I785" s="114"/>
      <c r="J785" s="114"/>
      <c r="K785" s="114"/>
      <c r="L785" s="81"/>
      <c r="M785" s="265" t="b">
        <f>NOT(ISERROR(ResultsInd[[#This Row],[Goal-A]]+ResultsInd[[#This Row],[Goal-B]]))</f>
        <v>1</v>
      </c>
      <c r="N785" s="265">
        <f>VALUE(ResultsInd[[#This Row],[Score-A]])</f>
        <v>0</v>
      </c>
      <c r="O785" s="265">
        <f>VALUE(ResultsInd[[#This Row],[Score-B]])</f>
        <v>0</v>
      </c>
      <c r="P785" s="265" t="str">
        <f ca="1">IF(AND(ResultsInd[[#This Row],[Category]]&lt;&gt;"",ResultsInd[[#This Row],[Player A]]&lt;&gt;""),COUNTIF(INDIRECT(ResultsInd[[#This Row],[Category]]&amp;"List[Retained Player Name]"),ResultsInd[[#This Row],[Player A]]),"")</f>
        <v/>
      </c>
      <c r="Q785" s="265" t="str">
        <f ca="1">IF(AND(ResultsInd[[#This Row],[Category]]&lt;&gt;"",ResultsInd[[#This Row],[Player B]]&lt;&gt;""),COUNTIF(INDIRECT(ResultsInd[[#This Row],[Category]]&amp;"List[Retained Player Name]"),ResultsInd[[#This Row],[Player B]]),"")</f>
        <v/>
      </c>
      <c r="R7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5" s="265" t="str">
        <f>IF(ResultsInd[[#This Row],[Score_OK]],IF(ResultsInd[[#This Row],[Stage]]="Groups",ResultsInd[[#This Row],[Category]]&amp;"-"&amp;IF(ResultsInd[[#This Row],[Player B]]="","",IF(ResultsInd[[#This Row],[Score-A]]=ResultsInd[[#This Row],[Score-B]],ResultsInd[[#This Row],[Player A]],"")),""),"")</f>
        <v/>
      </c>
      <c r="T785" s="265" t="str">
        <f>IF(ResultsInd[[#This Row],[Score_OK]],IF(ResultsInd[[#This Row],[Stage]]="Groups",ResultsInd[[#This Row],[Category]]&amp;"-"&amp;IF(ResultsInd[[#This Row],[Player B]]="","",IF(ResultsInd[[#This Row],[Score-A]]=ResultsInd[[#This Row],[Score-B]],ResultsInd[[#This Row],[Player B]],"")),""),"")</f>
        <v/>
      </c>
      <c r="U7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5" s="264" t="str">
        <f>IF(ResultsInd[[#This Row],[Category]]="","",VLOOKUP(ResultsInd[[#This Row],[Stage]],$P$1:$V$9,MATCH(ResultsInd[[#This Row],[Category]],$Q$1:$V$1,0)+1,FALSE))</f>
        <v/>
      </c>
      <c r="Z785" s="264" t="str">
        <f>IF(ResultsInd[[#This Row],[Score_OK]],IF(ResultsInd[[#This Row],[Level]]="R",ResultsInd[[#This Row],[Category]]&amp;"-"&amp;IF(ResultsInd[[#This Row],[LoseInKO]]=ResultsInd[[#This Row],[Category]]&amp;"-"&amp;ResultsInd[[#This Row],[Player A]],ResultsInd[[#This Row],[Player B]],ResultsInd[[#This Row],[Player A]]),""),"")</f>
        <v/>
      </c>
      <c r="AB785" s="8"/>
      <c r="AC785" s="8"/>
      <c r="AE785" s="90"/>
      <c r="AF785" s="90"/>
      <c r="AP785" s="8"/>
      <c r="AQ785" s="8"/>
      <c r="AR785" s="8"/>
      <c r="AS785" s="8"/>
      <c r="AT785" s="8"/>
      <c r="AU785" s="8"/>
      <c r="AV785" s="8"/>
      <c r="AW785" s="8"/>
      <c r="AX785" s="8"/>
      <c r="AY785" s="90"/>
      <c r="AZ785" s="90"/>
      <c r="BA785" s="90"/>
      <c r="BB785" s="90"/>
      <c r="BC785" s="90"/>
      <c r="BD785" s="90"/>
      <c r="BE785" s="90"/>
      <c r="BF785" s="90"/>
    </row>
    <row r="786" spans="1:58" x14ac:dyDescent="0.2">
      <c r="A786" s="62"/>
      <c r="B786" s="62"/>
      <c r="C786" s="62"/>
      <c r="D786" s="62"/>
      <c r="E786" s="345"/>
      <c r="F786" s="345"/>
      <c r="G786" s="113"/>
      <c r="H786" s="113"/>
      <c r="I786" s="114"/>
      <c r="J786" s="114"/>
      <c r="K786" s="114"/>
      <c r="L786" s="81"/>
      <c r="M786" s="265" t="b">
        <f>NOT(ISERROR(ResultsInd[[#This Row],[Goal-A]]+ResultsInd[[#This Row],[Goal-B]]))</f>
        <v>1</v>
      </c>
      <c r="N786" s="265">
        <f>VALUE(ResultsInd[[#This Row],[Score-A]])</f>
        <v>0</v>
      </c>
      <c r="O786" s="265">
        <f>VALUE(ResultsInd[[#This Row],[Score-B]])</f>
        <v>0</v>
      </c>
      <c r="P786" s="265" t="str">
        <f ca="1">IF(AND(ResultsInd[[#This Row],[Category]]&lt;&gt;"",ResultsInd[[#This Row],[Player A]]&lt;&gt;""),COUNTIF(INDIRECT(ResultsInd[[#This Row],[Category]]&amp;"List[Retained Player Name]"),ResultsInd[[#This Row],[Player A]]),"")</f>
        <v/>
      </c>
      <c r="Q786" s="265" t="str">
        <f ca="1">IF(AND(ResultsInd[[#This Row],[Category]]&lt;&gt;"",ResultsInd[[#This Row],[Player B]]&lt;&gt;""),COUNTIF(INDIRECT(ResultsInd[[#This Row],[Category]]&amp;"List[Retained Player Name]"),ResultsInd[[#This Row],[Player B]]),"")</f>
        <v/>
      </c>
      <c r="R7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6" s="265" t="str">
        <f>IF(ResultsInd[[#This Row],[Score_OK]],IF(ResultsInd[[#This Row],[Stage]]="Groups",ResultsInd[[#This Row],[Category]]&amp;"-"&amp;IF(ResultsInd[[#This Row],[Player B]]="","",IF(ResultsInd[[#This Row],[Score-A]]=ResultsInd[[#This Row],[Score-B]],ResultsInd[[#This Row],[Player A]],"")),""),"")</f>
        <v/>
      </c>
      <c r="T786" s="265" t="str">
        <f>IF(ResultsInd[[#This Row],[Score_OK]],IF(ResultsInd[[#This Row],[Stage]]="Groups",ResultsInd[[#This Row],[Category]]&amp;"-"&amp;IF(ResultsInd[[#This Row],[Player B]]="","",IF(ResultsInd[[#This Row],[Score-A]]=ResultsInd[[#This Row],[Score-B]],ResultsInd[[#This Row],[Player B]],"")),""),"")</f>
        <v/>
      </c>
      <c r="U7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6" s="264" t="str">
        <f>IF(ResultsInd[[#This Row],[Category]]="","",VLOOKUP(ResultsInd[[#This Row],[Stage]],$P$1:$V$9,MATCH(ResultsInd[[#This Row],[Category]],$Q$1:$V$1,0)+1,FALSE))</f>
        <v/>
      </c>
      <c r="Z786" s="264" t="str">
        <f>IF(ResultsInd[[#This Row],[Score_OK]],IF(ResultsInd[[#This Row],[Level]]="R",ResultsInd[[#This Row],[Category]]&amp;"-"&amp;IF(ResultsInd[[#This Row],[LoseInKO]]=ResultsInd[[#This Row],[Category]]&amp;"-"&amp;ResultsInd[[#This Row],[Player A]],ResultsInd[[#This Row],[Player B]],ResultsInd[[#This Row],[Player A]]),""),"")</f>
        <v/>
      </c>
      <c r="AB786" s="8"/>
      <c r="AC786" s="8"/>
      <c r="AE786" s="90"/>
      <c r="AF786" s="90"/>
      <c r="AP786" s="8"/>
      <c r="AQ786" s="8"/>
      <c r="AR786" s="8"/>
      <c r="AS786" s="8"/>
      <c r="AT786" s="8"/>
      <c r="AU786" s="8"/>
      <c r="AV786" s="8"/>
      <c r="AW786" s="8"/>
      <c r="AX786" s="8"/>
      <c r="AY786" s="90"/>
      <c r="AZ786" s="90"/>
      <c r="BA786" s="90"/>
      <c r="BB786" s="90"/>
      <c r="BC786" s="90"/>
      <c r="BD786" s="90"/>
      <c r="BE786" s="90"/>
      <c r="BF786" s="90"/>
    </row>
    <row r="787" spans="1:58" x14ac:dyDescent="0.2">
      <c r="A787" s="62"/>
      <c r="B787" s="62"/>
      <c r="C787" s="62"/>
      <c r="D787" s="62"/>
      <c r="E787" s="345"/>
      <c r="F787" s="345"/>
      <c r="G787" s="113"/>
      <c r="H787" s="113"/>
      <c r="I787" s="114"/>
      <c r="J787" s="114"/>
      <c r="K787" s="114"/>
      <c r="L787" s="81"/>
      <c r="M787" s="265" t="b">
        <f>NOT(ISERROR(ResultsInd[[#This Row],[Goal-A]]+ResultsInd[[#This Row],[Goal-B]]))</f>
        <v>1</v>
      </c>
      <c r="N787" s="265">
        <f>VALUE(ResultsInd[[#This Row],[Score-A]])</f>
        <v>0</v>
      </c>
      <c r="O787" s="265">
        <f>VALUE(ResultsInd[[#This Row],[Score-B]])</f>
        <v>0</v>
      </c>
      <c r="P787" s="265" t="str">
        <f ca="1">IF(AND(ResultsInd[[#This Row],[Category]]&lt;&gt;"",ResultsInd[[#This Row],[Player A]]&lt;&gt;""),COUNTIF(INDIRECT(ResultsInd[[#This Row],[Category]]&amp;"List[Retained Player Name]"),ResultsInd[[#This Row],[Player A]]),"")</f>
        <v/>
      </c>
      <c r="Q787" s="265" t="str">
        <f ca="1">IF(AND(ResultsInd[[#This Row],[Category]]&lt;&gt;"",ResultsInd[[#This Row],[Player B]]&lt;&gt;""),COUNTIF(INDIRECT(ResultsInd[[#This Row],[Category]]&amp;"List[Retained Player Name]"),ResultsInd[[#This Row],[Player B]]),"")</f>
        <v/>
      </c>
      <c r="R7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7" s="265" t="str">
        <f>IF(ResultsInd[[#This Row],[Score_OK]],IF(ResultsInd[[#This Row],[Stage]]="Groups",ResultsInd[[#This Row],[Category]]&amp;"-"&amp;IF(ResultsInd[[#This Row],[Player B]]="","",IF(ResultsInd[[#This Row],[Score-A]]=ResultsInd[[#This Row],[Score-B]],ResultsInd[[#This Row],[Player A]],"")),""),"")</f>
        <v/>
      </c>
      <c r="T787" s="265" t="str">
        <f>IF(ResultsInd[[#This Row],[Score_OK]],IF(ResultsInd[[#This Row],[Stage]]="Groups",ResultsInd[[#This Row],[Category]]&amp;"-"&amp;IF(ResultsInd[[#This Row],[Player B]]="","",IF(ResultsInd[[#This Row],[Score-A]]=ResultsInd[[#This Row],[Score-B]],ResultsInd[[#This Row],[Player B]],"")),""),"")</f>
        <v/>
      </c>
      <c r="U7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7" s="264" t="str">
        <f>IF(ResultsInd[[#This Row],[Category]]="","",VLOOKUP(ResultsInd[[#This Row],[Stage]],$P$1:$V$9,MATCH(ResultsInd[[#This Row],[Category]],$Q$1:$V$1,0)+1,FALSE))</f>
        <v/>
      </c>
      <c r="Z787" s="264" t="str">
        <f>IF(ResultsInd[[#This Row],[Score_OK]],IF(ResultsInd[[#This Row],[Level]]="R",ResultsInd[[#This Row],[Category]]&amp;"-"&amp;IF(ResultsInd[[#This Row],[LoseInKO]]=ResultsInd[[#This Row],[Category]]&amp;"-"&amp;ResultsInd[[#This Row],[Player A]],ResultsInd[[#This Row],[Player B]],ResultsInd[[#This Row],[Player A]]),""),"")</f>
        <v/>
      </c>
      <c r="AB787" s="8"/>
      <c r="AC787" s="8"/>
      <c r="AE787" s="90"/>
      <c r="AF787" s="90"/>
      <c r="AP787" s="8"/>
      <c r="AQ787" s="8"/>
      <c r="AR787" s="8"/>
      <c r="AS787" s="8"/>
      <c r="AT787" s="8"/>
      <c r="AU787" s="8"/>
      <c r="AV787" s="8"/>
      <c r="AW787" s="8"/>
      <c r="AX787" s="8"/>
      <c r="AY787" s="90"/>
      <c r="AZ787" s="90"/>
      <c r="BA787" s="90"/>
      <c r="BB787" s="90"/>
      <c r="BC787" s="90"/>
      <c r="BD787" s="90"/>
      <c r="BE787" s="90"/>
      <c r="BF787" s="90"/>
    </row>
    <row r="788" spans="1:58" x14ac:dyDescent="0.2">
      <c r="A788" s="62"/>
      <c r="B788" s="62"/>
      <c r="C788" s="62"/>
      <c r="D788" s="62"/>
      <c r="E788" s="345"/>
      <c r="F788" s="345"/>
      <c r="G788" s="113"/>
      <c r="H788" s="113"/>
      <c r="I788" s="114"/>
      <c r="J788" s="114"/>
      <c r="K788" s="114"/>
      <c r="L788" s="81"/>
      <c r="M788" s="265" t="b">
        <f>NOT(ISERROR(ResultsInd[[#This Row],[Goal-A]]+ResultsInd[[#This Row],[Goal-B]]))</f>
        <v>1</v>
      </c>
      <c r="N788" s="265">
        <f>VALUE(ResultsInd[[#This Row],[Score-A]])</f>
        <v>0</v>
      </c>
      <c r="O788" s="265">
        <f>VALUE(ResultsInd[[#This Row],[Score-B]])</f>
        <v>0</v>
      </c>
      <c r="P788" s="265" t="str">
        <f ca="1">IF(AND(ResultsInd[[#This Row],[Category]]&lt;&gt;"",ResultsInd[[#This Row],[Player A]]&lt;&gt;""),COUNTIF(INDIRECT(ResultsInd[[#This Row],[Category]]&amp;"List[Retained Player Name]"),ResultsInd[[#This Row],[Player A]]),"")</f>
        <v/>
      </c>
      <c r="Q788" s="265" t="str">
        <f ca="1">IF(AND(ResultsInd[[#This Row],[Category]]&lt;&gt;"",ResultsInd[[#This Row],[Player B]]&lt;&gt;""),COUNTIF(INDIRECT(ResultsInd[[#This Row],[Category]]&amp;"List[Retained Player Name]"),ResultsInd[[#This Row],[Player B]]),"")</f>
        <v/>
      </c>
      <c r="R7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8" s="265" t="str">
        <f>IF(ResultsInd[[#This Row],[Score_OK]],IF(ResultsInd[[#This Row],[Stage]]="Groups",ResultsInd[[#This Row],[Category]]&amp;"-"&amp;IF(ResultsInd[[#This Row],[Player B]]="","",IF(ResultsInd[[#This Row],[Score-A]]=ResultsInd[[#This Row],[Score-B]],ResultsInd[[#This Row],[Player A]],"")),""),"")</f>
        <v/>
      </c>
      <c r="T788" s="265" t="str">
        <f>IF(ResultsInd[[#This Row],[Score_OK]],IF(ResultsInd[[#This Row],[Stage]]="Groups",ResultsInd[[#This Row],[Category]]&amp;"-"&amp;IF(ResultsInd[[#This Row],[Player B]]="","",IF(ResultsInd[[#This Row],[Score-A]]=ResultsInd[[#This Row],[Score-B]],ResultsInd[[#This Row],[Player B]],"")),""),"")</f>
        <v/>
      </c>
      <c r="U7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8" s="264" t="str">
        <f>IF(ResultsInd[[#This Row],[Category]]="","",VLOOKUP(ResultsInd[[#This Row],[Stage]],$P$1:$V$9,MATCH(ResultsInd[[#This Row],[Category]],$Q$1:$V$1,0)+1,FALSE))</f>
        <v/>
      </c>
      <c r="Z788" s="264" t="str">
        <f>IF(ResultsInd[[#This Row],[Score_OK]],IF(ResultsInd[[#This Row],[Level]]="R",ResultsInd[[#This Row],[Category]]&amp;"-"&amp;IF(ResultsInd[[#This Row],[LoseInKO]]=ResultsInd[[#This Row],[Category]]&amp;"-"&amp;ResultsInd[[#This Row],[Player A]],ResultsInd[[#This Row],[Player B]],ResultsInd[[#This Row],[Player A]]),""),"")</f>
        <v/>
      </c>
      <c r="AB788" s="8"/>
      <c r="AC788" s="8"/>
      <c r="AE788" s="90"/>
      <c r="AF788" s="90"/>
      <c r="AP788" s="8"/>
      <c r="AQ788" s="8"/>
      <c r="AR788" s="8"/>
      <c r="AS788" s="8"/>
      <c r="AT788" s="8"/>
      <c r="AU788" s="8"/>
      <c r="AV788" s="8"/>
      <c r="AW788" s="8"/>
      <c r="AX788" s="8"/>
      <c r="AY788" s="90"/>
      <c r="AZ788" s="90"/>
      <c r="BA788" s="90"/>
      <c r="BB788" s="90"/>
      <c r="BC788" s="90"/>
      <c r="BD788" s="90"/>
      <c r="BE788" s="90"/>
      <c r="BF788" s="90"/>
    </row>
    <row r="789" spans="1:58" x14ac:dyDescent="0.2">
      <c r="A789" s="62"/>
      <c r="B789" s="62"/>
      <c r="C789" s="62"/>
      <c r="D789" s="62"/>
      <c r="E789" s="345"/>
      <c r="F789" s="345"/>
      <c r="G789" s="113"/>
      <c r="H789" s="113"/>
      <c r="I789" s="114"/>
      <c r="J789" s="114"/>
      <c r="K789" s="114"/>
      <c r="L789" s="81"/>
      <c r="M789" s="265" t="b">
        <f>NOT(ISERROR(ResultsInd[[#This Row],[Goal-A]]+ResultsInd[[#This Row],[Goal-B]]))</f>
        <v>1</v>
      </c>
      <c r="N789" s="265">
        <f>VALUE(ResultsInd[[#This Row],[Score-A]])</f>
        <v>0</v>
      </c>
      <c r="O789" s="265">
        <f>VALUE(ResultsInd[[#This Row],[Score-B]])</f>
        <v>0</v>
      </c>
      <c r="P789" s="265" t="str">
        <f ca="1">IF(AND(ResultsInd[[#This Row],[Category]]&lt;&gt;"",ResultsInd[[#This Row],[Player A]]&lt;&gt;""),COUNTIF(INDIRECT(ResultsInd[[#This Row],[Category]]&amp;"List[Retained Player Name]"),ResultsInd[[#This Row],[Player A]]),"")</f>
        <v/>
      </c>
      <c r="Q789" s="265" t="str">
        <f ca="1">IF(AND(ResultsInd[[#This Row],[Category]]&lt;&gt;"",ResultsInd[[#This Row],[Player B]]&lt;&gt;""),COUNTIF(INDIRECT(ResultsInd[[#This Row],[Category]]&amp;"List[Retained Player Name]"),ResultsInd[[#This Row],[Player B]]),"")</f>
        <v/>
      </c>
      <c r="R7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9" s="265" t="str">
        <f>IF(ResultsInd[[#This Row],[Score_OK]],IF(ResultsInd[[#This Row],[Stage]]="Groups",ResultsInd[[#This Row],[Category]]&amp;"-"&amp;IF(ResultsInd[[#This Row],[Player B]]="","",IF(ResultsInd[[#This Row],[Score-A]]=ResultsInd[[#This Row],[Score-B]],ResultsInd[[#This Row],[Player A]],"")),""),"")</f>
        <v/>
      </c>
      <c r="T789" s="265" t="str">
        <f>IF(ResultsInd[[#This Row],[Score_OK]],IF(ResultsInd[[#This Row],[Stage]]="Groups",ResultsInd[[#This Row],[Category]]&amp;"-"&amp;IF(ResultsInd[[#This Row],[Player B]]="","",IF(ResultsInd[[#This Row],[Score-A]]=ResultsInd[[#This Row],[Score-B]],ResultsInd[[#This Row],[Player B]],"")),""),"")</f>
        <v/>
      </c>
      <c r="U7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9" s="264" t="str">
        <f>IF(ResultsInd[[#This Row],[Category]]="","",VLOOKUP(ResultsInd[[#This Row],[Stage]],$P$1:$V$9,MATCH(ResultsInd[[#This Row],[Category]],$Q$1:$V$1,0)+1,FALSE))</f>
        <v/>
      </c>
      <c r="Z789" s="264" t="str">
        <f>IF(ResultsInd[[#This Row],[Score_OK]],IF(ResultsInd[[#This Row],[Level]]="R",ResultsInd[[#This Row],[Category]]&amp;"-"&amp;IF(ResultsInd[[#This Row],[LoseInKO]]=ResultsInd[[#This Row],[Category]]&amp;"-"&amp;ResultsInd[[#This Row],[Player A]],ResultsInd[[#This Row],[Player B]],ResultsInd[[#This Row],[Player A]]),""),"")</f>
        <v/>
      </c>
      <c r="AB789" s="8"/>
      <c r="AC789" s="8"/>
      <c r="AE789" s="90"/>
      <c r="AF789" s="90"/>
      <c r="AP789" s="8"/>
      <c r="AQ789" s="8"/>
      <c r="AR789" s="8"/>
      <c r="AS789" s="8"/>
      <c r="AT789" s="8"/>
      <c r="AU789" s="8"/>
      <c r="AV789" s="8"/>
      <c r="AW789" s="8"/>
      <c r="AX789" s="8"/>
      <c r="AY789" s="90"/>
      <c r="AZ789" s="90"/>
      <c r="BA789" s="90"/>
      <c r="BB789" s="90"/>
      <c r="BC789" s="90"/>
      <c r="BD789" s="90"/>
      <c r="BE789" s="90"/>
      <c r="BF789" s="90"/>
    </row>
    <row r="790" spans="1:58" x14ac:dyDescent="0.2">
      <c r="A790" s="62"/>
      <c r="B790" s="62"/>
      <c r="C790" s="62"/>
      <c r="D790" s="62"/>
      <c r="E790" s="345"/>
      <c r="F790" s="345"/>
      <c r="G790" s="113"/>
      <c r="H790" s="113"/>
      <c r="I790" s="114"/>
      <c r="J790" s="114"/>
      <c r="K790" s="114"/>
      <c r="L790" s="81"/>
      <c r="M790" s="265" t="b">
        <f>NOT(ISERROR(ResultsInd[[#This Row],[Goal-A]]+ResultsInd[[#This Row],[Goal-B]]))</f>
        <v>1</v>
      </c>
      <c r="N790" s="265">
        <f>VALUE(ResultsInd[[#This Row],[Score-A]])</f>
        <v>0</v>
      </c>
      <c r="O790" s="265">
        <f>VALUE(ResultsInd[[#This Row],[Score-B]])</f>
        <v>0</v>
      </c>
      <c r="P790" s="265" t="str">
        <f ca="1">IF(AND(ResultsInd[[#This Row],[Category]]&lt;&gt;"",ResultsInd[[#This Row],[Player A]]&lt;&gt;""),COUNTIF(INDIRECT(ResultsInd[[#This Row],[Category]]&amp;"List[Retained Player Name]"),ResultsInd[[#This Row],[Player A]]),"")</f>
        <v/>
      </c>
      <c r="Q790" s="265" t="str">
        <f ca="1">IF(AND(ResultsInd[[#This Row],[Category]]&lt;&gt;"",ResultsInd[[#This Row],[Player B]]&lt;&gt;""),COUNTIF(INDIRECT(ResultsInd[[#This Row],[Category]]&amp;"List[Retained Player Name]"),ResultsInd[[#This Row],[Player B]]),"")</f>
        <v/>
      </c>
      <c r="R7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0" s="265" t="str">
        <f>IF(ResultsInd[[#This Row],[Score_OK]],IF(ResultsInd[[#This Row],[Stage]]="Groups",ResultsInd[[#This Row],[Category]]&amp;"-"&amp;IF(ResultsInd[[#This Row],[Player B]]="","",IF(ResultsInd[[#This Row],[Score-A]]=ResultsInd[[#This Row],[Score-B]],ResultsInd[[#This Row],[Player A]],"")),""),"")</f>
        <v/>
      </c>
      <c r="T790" s="265" t="str">
        <f>IF(ResultsInd[[#This Row],[Score_OK]],IF(ResultsInd[[#This Row],[Stage]]="Groups",ResultsInd[[#This Row],[Category]]&amp;"-"&amp;IF(ResultsInd[[#This Row],[Player B]]="","",IF(ResultsInd[[#This Row],[Score-A]]=ResultsInd[[#This Row],[Score-B]],ResultsInd[[#This Row],[Player B]],"")),""),"")</f>
        <v/>
      </c>
      <c r="U7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0" s="264" t="str">
        <f>IF(ResultsInd[[#This Row],[Category]]="","",VLOOKUP(ResultsInd[[#This Row],[Stage]],$P$1:$V$9,MATCH(ResultsInd[[#This Row],[Category]],$Q$1:$V$1,0)+1,FALSE))</f>
        <v/>
      </c>
      <c r="Z790" s="264" t="str">
        <f>IF(ResultsInd[[#This Row],[Score_OK]],IF(ResultsInd[[#This Row],[Level]]="R",ResultsInd[[#This Row],[Category]]&amp;"-"&amp;IF(ResultsInd[[#This Row],[LoseInKO]]=ResultsInd[[#This Row],[Category]]&amp;"-"&amp;ResultsInd[[#This Row],[Player A]],ResultsInd[[#This Row],[Player B]],ResultsInd[[#This Row],[Player A]]),""),"")</f>
        <v/>
      </c>
      <c r="AB790" s="8"/>
      <c r="AC790" s="8"/>
      <c r="AE790" s="90"/>
      <c r="AF790" s="90"/>
      <c r="AP790" s="8"/>
      <c r="AQ790" s="8"/>
      <c r="AR790" s="8"/>
      <c r="AS790" s="8"/>
      <c r="AT790" s="8"/>
      <c r="AU790" s="8"/>
      <c r="AV790" s="8"/>
      <c r="AW790" s="8"/>
      <c r="AX790" s="8"/>
      <c r="AY790" s="90"/>
      <c r="AZ790" s="90"/>
      <c r="BA790" s="90"/>
      <c r="BB790" s="90"/>
      <c r="BC790" s="90"/>
      <c r="BD790" s="90"/>
      <c r="BE790" s="90"/>
      <c r="BF790" s="90"/>
    </row>
    <row r="791" spans="1:58" x14ac:dyDescent="0.2">
      <c r="A791" s="62"/>
      <c r="B791" s="62"/>
      <c r="C791" s="62"/>
      <c r="D791" s="62"/>
      <c r="E791" s="345"/>
      <c r="F791" s="345"/>
      <c r="G791" s="113"/>
      <c r="H791" s="113"/>
      <c r="I791" s="114"/>
      <c r="J791" s="114"/>
      <c r="K791" s="114"/>
      <c r="L791" s="81"/>
      <c r="M791" s="265" t="b">
        <f>NOT(ISERROR(ResultsInd[[#This Row],[Goal-A]]+ResultsInd[[#This Row],[Goal-B]]))</f>
        <v>1</v>
      </c>
      <c r="N791" s="265">
        <f>VALUE(ResultsInd[[#This Row],[Score-A]])</f>
        <v>0</v>
      </c>
      <c r="O791" s="265">
        <f>VALUE(ResultsInd[[#This Row],[Score-B]])</f>
        <v>0</v>
      </c>
      <c r="P791" s="265" t="str">
        <f ca="1">IF(AND(ResultsInd[[#This Row],[Category]]&lt;&gt;"",ResultsInd[[#This Row],[Player A]]&lt;&gt;""),COUNTIF(INDIRECT(ResultsInd[[#This Row],[Category]]&amp;"List[Retained Player Name]"),ResultsInd[[#This Row],[Player A]]),"")</f>
        <v/>
      </c>
      <c r="Q791" s="265" t="str">
        <f ca="1">IF(AND(ResultsInd[[#This Row],[Category]]&lt;&gt;"",ResultsInd[[#This Row],[Player B]]&lt;&gt;""),COUNTIF(INDIRECT(ResultsInd[[#This Row],[Category]]&amp;"List[Retained Player Name]"),ResultsInd[[#This Row],[Player B]]),"")</f>
        <v/>
      </c>
      <c r="R7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1" s="265" t="str">
        <f>IF(ResultsInd[[#This Row],[Score_OK]],IF(ResultsInd[[#This Row],[Stage]]="Groups",ResultsInd[[#This Row],[Category]]&amp;"-"&amp;IF(ResultsInd[[#This Row],[Player B]]="","",IF(ResultsInd[[#This Row],[Score-A]]=ResultsInd[[#This Row],[Score-B]],ResultsInd[[#This Row],[Player A]],"")),""),"")</f>
        <v/>
      </c>
      <c r="T791" s="265" t="str">
        <f>IF(ResultsInd[[#This Row],[Score_OK]],IF(ResultsInd[[#This Row],[Stage]]="Groups",ResultsInd[[#This Row],[Category]]&amp;"-"&amp;IF(ResultsInd[[#This Row],[Player B]]="","",IF(ResultsInd[[#This Row],[Score-A]]=ResultsInd[[#This Row],[Score-B]],ResultsInd[[#This Row],[Player B]],"")),""),"")</f>
        <v/>
      </c>
      <c r="U7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1" s="264" t="str">
        <f>IF(ResultsInd[[#This Row],[Category]]="","",VLOOKUP(ResultsInd[[#This Row],[Stage]],$P$1:$V$9,MATCH(ResultsInd[[#This Row],[Category]],$Q$1:$V$1,0)+1,FALSE))</f>
        <v/>
      </c>
      <c r="Z791" s="264" t="str">
        <f>IF(ResultsInd[[#This Row],[Score_OK]],IF(ResultsInd[[#This Row],[Level]]="R",ResultsInd[[#This Row],[Category]]&amp;"-"&amp;IF(ResultsInd[[#This Row],[LoseInKO]]=ResultsInd[[#This Row],[Category]]&amp;"-"&amp;ResultsInd[[#This Row],[Player A]],ResultsInd[[#This Row],[Player B]],ResultsInd[[#This Row],[Player A]]),""),"")</f>
        <v/>
      </c>
      <c r="AB791" s="8"/>
      <c r="AC791" s="8"/>
      <c r="AE791" s="90"/>
      <c r="AF791" s="90"/>
      <c r="AP791" s="8"/>
      <c r="AQ791" s="8"/>
      <c r="AR791" s="8"/>
      <c r="AS791" s="8"/>
      <c r="AT791" s="8"/>
      <c r="AU791" s="8"/>
      <c r="AV791" s="8"/>
      <c r="AW791" s="8"/>
      <c r="AX791" s="8"/>
      <c r="AY791" s="90"/>
      <c r="AZ791" s="90"/>
      <c r="BA791" s="90"/>
      <c r="BB791" s="90"/>
      <c r="BC791" s="90"/>
      <c r="BD791" s="90"/>
      <c r="BE791" s="90"/>
      <c r="BF791" s="90"/>
    </row>
    <row r="792" spans="1:58" x14ac:dyDescent="0.2">
      <c r="A792" s="62"/>
      <c r="B792" s="62"/>
      <c r="C792" s="62"/>
      <c r="D792" s="62"/>
      <c r="E792" s="345"/>
      <c r="F792" s="345"/>
      <c r="G792" s="113"/>
      <c r="H792" s="113"/>
      <c r="I792" s="114"/>
      <c r="J792" s="114"/>
      <c r="K792" s="114"/>
      <c r="L792" s="81"/>
      <c r="M792" s="265" t="b">
        <f>NOT(ISERROR(ResultsInd[[#This Row],[Goal-A]]+ResultsInd[[#This Row],[Goal-B]]))</f>
        <v>1</v>
      </c>
      <c r="N792" s="265">
        <f>VALUE(ResultsInd[[#This Row],[Score-A]])</f>
        <v>0</v>
      </c>
      <c r="O792" s="265">
        <f>VALUE(ResultsInd[[#This Row],[Score-B]])</f>
        <v>0</v>
      </c>
      <c r="P792" s="265" t="str">
        <f ca="1">IF(AND(ResultsInd[[#This Row],[Category]]&lt;&gt;"",ResultsInd[[#This Row],[Player A]]&lt;&gt;""),COUNTIF(INDIRECT(ResultsInd[[#This Row],[Category]]&amp;"List[Retained Player Name]"),ResultsInd[[#This Row],[Player A]]),"")</f>
        <v/>
      </c>
      <c r="Q792" s="265" t="str">
        <f ca="1">IF(AND(ResultsInd[[#This Row],[Category]]&lt;&gt;"",ResultsInd[[#This Row],[Player B]]&lt;&gt;""),COUNTIF(INDIRECT(ResultsInd[[#This Row],[Category]]&amp;"List[Retained Player Name]"),ResultsInd[[#This Row],[Player B]]),"")</f>
        <v/>
      </c>
      <c r="R7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2" s="265" t="str">
        <f>IF(ResultsInd[[#This Row],[Score_OK]],IF(ResultsInd[[#This Row],[Stage]]="Groups",ResultsInd[[#This Row],[Category]]&amp;"-"&amp;IF(ResultsInd[[#This Row],[Player B]]="","",IF(ResultsInd[[#This Row],[Score-A]]=ResultsInd[[#This Row],[Score-B]],ResultsInd[[#This Row],[Player A]],"")),""),"")</f>
        <v/>
      </c>
      <c r="T792" s="265" t="str">
        <f>IF(ResultsInd[[#This Row],[Score_OK]],IF(ResultsInd[[#This Row],[Stage]]="Groups",ResultsInd[[#This Row],[Category]]&amp;"-"&amp;IF(ResultsInd[[#This Row],[Player B]]="","",IF(ResultsInd[[#This Row],[Score-A]]=ResultsInd[[#This Row],[Score-B]],ResultsInd[[#This Row],[Player B]],"")),""),"")</f>
        <v/>
      </c>
      <c r="U7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2" s="264" t="str">
        <f>IF(ResultsInd[[#This Row],[Category]]="","",VLOOKUP(ResultsInd[[#This Row],[Stage]],$P$1:$V$9,MATCH(ResultsInd[[#This Row],[Category]],$Q$1:$V$1,0)+1,FALSE))</f>
        <v/>
      </c>
      <c r="Z792" s="264" t="str">
        <f>IF(ResultsInd[[#This Row],[Score_OK]],IF(ResultsInd[[#This Row],[Level]]="R",ResultsInd[[#This Row],[Category]]&amp;"-"&amp;IF(ResultsInd[[#This Row],[LoseInKO]]=ResultsInd[[#This Row],[Category]]&amp;"-"&amp;ResultsInd[[#This Row],[Player A]],ResultsInd[[#This Row],[Player B]],ResultsInd[[#This Row],[Player A]]),""),"")</f>
        <v/>
      </c>
      <c r="AB792" s="8"/>
      <c r="AC792" s="8"/>
      <c r="AE792" s="90"/>
      <c r="AF792" s="90"/>
      <c r="AP792" s="8"/>
      <c r="AQ792" s="8"/>
      <c r="AR792" s="8"/>
      <c r="AS792" s="8"/>
      <c r="AT792" s="8"/>
      <c r="AU792" s="8"/>
      <c r="AV792" s="8"/>
      <c r="AW792" s="8"/>
      <c r="AX792" s="8"/>
      <c r="AY792" s="90"/>
      <c r="AZ792" s="90"/>
      <c r="BA792" s="90"/>
      <c r="BB792" s="90"/>
      <c r="BC792" s="90"/>
      <c r="BD792" s="90"/>
      <c r="BE792" s="90"/>
      <c r="BF792" s="90"/>
    </row>
    <row r="793" spans="1:58" x14ac:dyDescent="0.2">
      <c r="A793" s="62"/>
      <c r="B793" s="62"/>
      <c r="C793" s="62"/>
      <c r="D793" s="62"/>
      <c r="E793" s="345"/>
      <c r="F793" s="345"/>
      <c r="G793" s="113"/>
      <c r="H793" s="113"/>
      <c r="I793" s="114"/>
      <c r="J793" s="114"/>
      <c r="K793" s="114"/>
      <c r="L793" s="81"/>
      <c r="M793" s="265" t="b">
        <f>NOT(ISERROR(ResultsInd[[#This Row],[Goal-A]]+ResultsInd[[#This Row],[Goal-B]]))</f>
        <v>1</v>
      </c>
      <c r="N793" s="265">
        <f>VALUE(ResultsInd[[#This Row],[Score-A]])</f>
        <v>0</v>
      </c>
      <c r="O793" s="265">
        <f>VALUE(ResultsInd[[#This Row],[Score-B]])</f>
        <v>0</v>
      </c>
      <c r="P793" s="265" t="str">
        <f ca="1">IF(AND(ResultsInd[[#This Row],[Category]]&lt;&gt;"",ResultsInd[[#This Row],[Player A]]&lt;&gt;""),COUNTIF(INDIRECT(ResultsInd[[#This Row],[Category]]&amp;"List[Retained Player Name]"),ResultsInd[[#This Row],[Player A]]),"")</f>
        <v/>
      </c>
      <c r="Q793" s="265" t="str">
        <f ca="1">IF(AND(ResultsInd[[#This Row],[Category]]&lt;&gt;"",ResultsInd[[#This Row],[Player B]]&lt;&gt;""),COUNTIF(INDIRECT(ResultsInd[[#This Row],[Category]]&amp;"List[Retained Player Name]"),ResultsInd[[#This Row],[Player B]]),"")</f>
        <v/>
      </c>
      <c r="R7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3" s="265" t="str">
        <f>IF(ResultsInd[[#This Row],[Score_OK]],IF(ResultsInd[[#This Row],[Stage]]="Groups",ResultsInd[[#This Row],[Category]]&amp;"-"&amp;IF(ResultsInd[[#This Row],[Player B]]="","",IF(ResultsInd[[#This Row],[Score-A]]=ResultsInd[[#This Row],[Score-B]],ResultsInd[[#This Row],[Player A]],"")),""),"")</f>
        <v/>
      </c>
      <c r="T793" s="265" t="str">
        <f>IF(ResultsInd[[#This Row],[Score_OK]],IF(ResultsInd[[#This Row],[Stage]]="Groups",ResultsInd[[#This Row],[Category]]&amp;"-"&amp;IF(ResultsInd[[#This Row],[Player B]]="","",IF(ResultsInd[[#This Row],[Score-A]]=ResultsInd[[#This Row],[Score-B]],ResultsInd[[#This Row],[Player B]],"")),""),"")</f>
        <v/>
      </c>
      <c r="U7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3" s="264" t="str">
        <f>IF(ResultsInd[[#This Row],[Category]]="","",VLOOKUP(ResultsInd[[#This Row],[Stage]],$P$1:$V$9,MATCH(ResultsInd[[#This Row],[Category]],$Q$1:$V$1,0)+1,FALSE))</f>
        <v/>
      </c>
      <c r="Z793" s="264" t="str">
        <f>IF(ResultsInd[[#This Row],[Score_OK]],IF(ResultsInd[[#This Row],[Level]]="R",ResultsInd[[#This Row],[Category]]&amp;"-"&amp;IF(ResultsInd[[#This Row],[LoseInKO]]=ResultsInd[[#This Row],[Category]]&amp;"-"&amp;ResultsInd[[#This Row],[Player A]],ResultsInd[[#This Row],[Player B]],ResultsInd[[#This Row],[Player A]]),""),"")</f>
        <v/>
      </c>
      <c r="AB793" s="8"/>
      <c r="AC793" s="8"/>
      <c r="AE793" s="90"/>
      <c r="AF793" s="90"/>
      <c r="AP793" s="8"/>
      <c r="AQ793" s="8"/>
      <c r="AR793" s="8"/>
      <c r="AS793" s="8"/>
      <c r="AT793" s="8"/>
      <c r="AU793" s="8"/>
      <c r="AV793" s="8"/>
      <c r="AW793" s="8"/>
      <c r="AX793" s="8"/>
      <c r="AY793" s="90"/>
      <c r="AZ793" s="90"/>
      <c r="BA793" s="90"/>
      <c r="BB793" s="90"/>
      <c r="BC793" s="90"/>
      <c r="BD793" s="90"/>
      <c r="BE793" s="90"/>
      <c r="BF793" s="90"/>
    </row>
    <row r="794" spans="1:58" x14ac:dyDescent="0.2">
      <c r="A794" s="62"/>
      <c r="B794" s="62"/>
      <c r="C794" s="62"/>
      <c r="D794" s="62"/>
      <c r="E794" s="345"/>
      <c r="F794" s="345"/>
      <c r="G794" s="113"/>
      <c r="H794" s="113"/>
      <c r="I794" s="114"/>
      <c r="J794" s="114"/>
      <c r="K794" s="114"/>
      <c r="L794" s="81"/>
      <c r="M794" s="265" t="b">
        <f>NOT(ISERROR(ResultsInd[[#This Row],[Goal-A]]+ResultsInd[[#This Row],[Goal-B]]))</f>
        <v>1</v>
      </c>
      <c r="N794" s="265">
        <f>VALUE(ResultsInd[[#This Row],[Score-A]])</f>
        <v>0</v>
      </c>
      <c r="O794" s="265">
        <f>VALUE(ResultsInd[[#This Row],[Score-B]])</f>
        <v>0</v>
      </c>
      <c r="P794" s="265" t="str">
        <f ca="1">IF(AND(ResultsInd[[#This Row],[Category]]&lt;&gt;"",ResultsInd[[#This Row],[Player A]]&lt;&gt;""),COUNTIF(INDIRECT(ResultsInd[[#This Row],[Category]]&amp;"List[Retained Player Name]"),ResultsInd[[#This Row],[Player A]]),"")</f>
        <v/>
      </c>
      <c r="Q794" s="265" t="str">
        <f ca="1">IF(AND(ResultsInd[[#This Row],[Category]]&lt;&gt;"",ResultsInd[[#This Row],[Player B]]&lt;&gt;""),COUNTIF(INDIRECT(ResultsInd[[#This Row],[Category]]&amp;"List[Retained Player Name]"),ResultsInd[[#This Row],[Player B]]),"")</f>
        <v/>
      </c>
      <c r="R7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4" s="265" t="str">
        <f>IF(ResultsInd[[#This Row],[Score_OK]],IF(ResultsInd[[#This Row],[Stage]]="Groups",ResultsInd[[#This Row],[Category]]&amp;"-"&amp;IF(ResultsInd[[#This Row],[Player B]]="","",IF(ResultsInd[[#This Row],[Score-A]]=ResultsInd[[#This Row],[Score-B]],ResultsInd[[#This Row],[Player A]],"")),""),"")</f>
        <v/>
      </c>
      <c r="T794" s="265" t="str">
        <f>IF(ResultsInd[[#This Row],[Score_OK]],IF(ResultsInd[[#This Row],[Stage]]="Groups",ResultsInd[[#This Row],[Category]]&amp;"-"&amp;IF(ResultsInd[[#This Row],[Player B]]="","",IF(ResultsInd[[#This Row],[Score-A]]=ResultsInd[[#This Row],[Score-B]],ResultsInd[[#This Row],[Player B]],"")),""),"")</f>
        <v/>
      </c>
      <c r="U7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4" s="264" t="str">
        <f>IF(ResultsInd[[#This Row],[Category]]="","",VLOOKUP(ResultsInd[[#This Row],[Stage]],$P$1:$V$9,MATCH(ResultsInd[[#This Row],[Category]],$Q$1:$V$1,0)+1,FALSE))</f>
        <v/>
      </c>
      <c r="Z794" s="264" t="str">
        <f>IF(ResultsInd[[#This Row],[Score_OK]],IF(ResultsInd[[#This Row],[Level]]="R",ResultsInd[[#This Row],[Category]]&amp;"-"&amp;IF(ResultsInd[[#This Row],[LoseInKO]]=ResultsInd[[#This Row],[Category]]&amp;"-"&amp;ResultsInd[[#This Row],[Player A]],ResultsInd[[#This Row],[Player B]],ResultsInd[[#This Row],[Player A]]),""),"")</f>
        <v/>
      </c>
      <c r="AB794" s="8"/>
      <c r="AC794" s="8"/>
      <c r="AE794" s="90"/>
      <c r="AF794" s="90"/>
      <c r="AP794" s="8"/>
      <c r="AQ794" s="8"/>
      <c r="AR794" s="8"/>
      <c r="AS794" s="8"/>
      <c r="AT794" s="8"/>
      <c r="AU794" s="8"/>
      <c r="AV794" s="8"/>
      <c r="AW794" s="8"/>
      <c r="AX794" s="8"/>
      <c r="AY794" s="90"/>
      <c r="AZ794" s="90"/>
      <c r="BA794" s="90"/>
      <c r="BB794" s="90"/>
      <c r="BC794" s="90"/>
      <c r="BD794" s="90"/>
      <c r="BE794" s="90"/>
      <c r="BF794" s="90"/>
    </row>
    <row r="795" spans="1:58" x14ac:dyDescent="0.2">
      <c r="A795" s="62"/>
      <c r="B795" s="62"/>
      <c r="C795" s="62"/>
      <c r="D795" s="62"/>
      <c r="E795" s="345"/>
      <c r="F795" s="345"/>
      <c r="G795" s="113"/>
      <c r="H795" s="113"/>
      <c r="I795" s="114"/>
      <c r="J795" s="114"/>
      <c r="K795" s="114"/>
      <c r="L795" s="81"/>
      <c r="M795" s="265" t="b">
        <f>NOT(ISERROR(ResultsInd[[#This Row],[Goal-A]]+ResultsInd[[#This Row],[Goal-B]]))</f>
        <v>1</v>
      </c>
      <c r="N795" s="265">
        <f>VALUE(ResultsInd[[#This Row],[Score-A]])</f>
        <v>0</v>
      </c>
      <c r="O795" s="265">
        <f>VALUE(ResultsInd[[#This Row],[Score-B]])</f>
        <v>0</v>
      </c>
      <c r="P795" s="265" t="str">
        <f ca="1">IF(AND(ResultsInd[[#This Row],[Category]]&lt;&gt;"",ResultsInd[[#This Row],[Player A]]&lt;&gt;""),COUNTIF(INDIRECT(ResultsInd[[#This Row],[Category]]&amp;"List[Retained Player Name]"),ResultsInd[[#This Row],[Player A]]),"")</f>
        <v/>
      </c>
      <c r="Q795" s="265" t="str">
        <f ca="1">IF(AND(ResultsInd[[#This Row],[Category]]&lt;&gt;"",ResultsInd[[#This Row],[Player B]]&lt;&gt;""),COUNTIF(INDIRECT(ResultsInd[[#This Row],[Category]]&amp;"List[Retained Player Name]"),ResultsInd[[#This Row],[Player B]]),"")</f>
        <v/>
      </c>
      <c r="R7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5" s="265" t="str">
        <f>IF(ResultsInd[[#This Row],[Score_OK]],IF(ResultsInd[[#This Row],[Stage]]="Groups",ResultsInd[[#This Row],[Category]]&amp;"-"&amp;IF(ResultsInd[[#This Row],[Player B]]="","",IF(ResultsInd[[#This Row],[Score-A]]=ResultsInd[[#This Row],[Score-B]],ResultsInd[[#This Row],[Player A]],"")),""),"")</f>
        <v/>
      </c>
      <c r="T795" s="265" t="str">
        <f>IF(ResultsInd[[#This Row],[Score_OK]],IF(ResultsInd[[#This Row],[Stage]]="Groups",ResultsInd[[#This Row],[Category]]&amp;"-"&amp;IF(ResultsInd[[#This Row],[Player B]]="","",IF(ResultsInd[[#This Row],[Score-A]]=ResultsInd[[#This Row],[Score-B]],ResultsInd[[#This Row],[Player B]],"")),""),"")</f>
        <v/>
      </c>
      <c r="U7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5" s="264" t="str">
        <f>IF(ResultsInd[[#This Row],[Category]]="","",VLOOKUP(ResultsInd[[#This Row],[Stage]],$P$1:$V$9,MATCH(ResultsInd[[#This Row],[Category]],$Q$1:$V$1,0)+1,FALSE))</f>
        <v/>
      </c>
      <c r="Z795" s="264" t="str">
        <f>IF(ResultsInd[[#This Row],[Score_OK]],IF(ResultsInd[[#This Row],[Level]]="R",ResultsInd[[#This Row],[Category]]&amp;"-"&amp;IF(ResultsInd[[#This Row],[LoseInKO]]=ResultsInd[[#This Row],[Category]]&amp;"-"&amp;ResultsInd[[#This Row],[Player A]],ResultsInd[[#This Row],[Player B]],ResultsInd[[#This Row],[Player A]]),""),"")</f>
        <v/>
      </c>
      <c r="AB795" s="8"/>
      <c r="AC795" s="8"/>
      <c r="AE795" s="90"/>
      <c r="AF795" s="90"/>
      <c r="AP795" s="8"/>
      <c r="AQ795" s="8"/>
      <c r="AR795" s="8"/>
      <c r="AS795" s="8"/>
      <c r="AT795" s="8"/>
      <c r="AU795" s="8"/>
      <c r="AV795" s="8"/>
      <c r="AW795" s="8"/>
      <c r="AX795" s="8"/>
      <c r="AY795" s="90"/>
      <c r="AZ795" s="90"/>
      <c r="BA795" s="90"/>
      <c r="BB795" s="90"/>
      <c r="BC795" s="90"/>
      <c r="BD795" s="90"/>
      <c r="BE795" s="90"/>
      <c r="BF795" s="90"/>
    </row>
    <row r="796" spans="1:58" x14ac:dyDescent="0.2">
      <c r="A796" s="62"/>
      <c r="B796" s="62"/>
      <c r="C796" s="62"/>
      <c r="D796" s="62"/>
      <c r="E796" s="345"/>
      <c r="F796" s="345"/>
      <c r="G796" s="113"/>
      <c r="H796" s="113"/>
      <c r="I796" s="114"/>
      <c r="J796" s="114"/>
      <c r="K796" s="114"/>
      <c r="L796" s="81"/>
      <c r="M796" s="265" t="b">
        <f>NOT(ISERROR(ResultsInd[[#This Row],[Goal-A]]+ResultsInd[[#This Row],[Goal-B]]))</f>
        <v>1</v>
      </c>
      <c r="N796" s="265">
        <f>VALUE(ResultsInd[[#This Row],[Score-A]])</f>
        <v>0</v>
      </c>
      <c r="O796" s="265">
        <f>VALUE(ResultsInd[[#This Row],[Score-B]])</f>
        <v>0</v>
      </c>
      <c r="P796" s="265" t="str">
        <f ca="1">IF(AND(ResultsInd[[#This Row],[Category]]&lt;&gt;"",ResultsInd[[#This Row],[Player A]]&lt;&gt;""),COUNTIF(INDIRECT(ResultsInd[[#This Row],[Category]]&amp;"List[Retained Player Name]"),ResultsInd[[#This Row],[Player A]]),"")</f>
        <v/>
      </c>
      <c r="Q796" s="265" t="str">
        <f ca="1">IF(AND(ResultsInd[[#This Row],[Category]]&lt;&gt;"",ResultsInd[[#This Row],[Player B]]&lt;&gt;""),COUNTIF(INDIRECT(ResultsInd[[#This Row],[Category]]&amp;"List[Retained Player Name]"),ResultsInd[[#This Row],[Player B]]),"")</f>
        <v/>
      </c>
      <c r="R7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6" s="265" t="str">
        <f>IF(ResultsInd[[#This Row],[Score_OK]],IF(ResultsInd[[#This Row],[Stage]]="Groups",ResultsInd[[#This Row],[Category]]&amp;"-"&amp;IF(ResultsInd[[#This Row],[Player B]]="","",IF(ResultsInd[[#This Row],[Score-A]]=ResultsInd[[#This Row],[Score-B]],ResultsInd[[#This Row],[Player A]],"")),""),"")</f>
        <v/>
      </c>
      <c r="T796" s="265" t="str">
        <f>IF(ResultsInd[[#This Row],[Score_OK]],IF(ResultsInd[[#This Row],[Stage]]="Groups",ResultsInd[[#This Row],[Category]]&amp;"-"&amp;IF(ResultsInd[[#This Row],[Player B]]="","",IF(ResultsInd[[#This Row],[Score-A]]=ResultsInd[[#This Row],[Score-B]],ResultsInd[[#This Row],[Player B]],"")),""),"")</f>
        <v/>
      </c>
      <c r="U7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6" s="264" t="str">
        <f>IF(ResultsInd[[#This Row],[Category]]="","",VLOOKUP(ResultsInd[[#This Row],[Stage]],$P$1:$V$9,MATCH(ResultsInd[[#This Row],[Category]],$Q$1:$V$1,0)+1,FALSE))</f>
        <v/>
      </c>
      <c r="Z796" s="264" t="str">
        <f>IF(ResultsInd[[#This Row],[Score_OK]],IF(ResultsInd[[#This Row],[Level]]="R",ResultsInd[[#This Row],[Category]]&amp;"-"&amp;IF(ResultsInd[[#This Row],[LoseInKO]]=ResultsInd[[#This Row],[Category]]&amp;"-"&amp;ResultsInd[[#This Row],[Player A]],ResultsInd[[#This Row],[Player B]],ResultsInd[[#This Row],[Player A]]),""),"")</f>
        <v/>
      </c>
      <c r="AB796" s="8"/>
      <c r="AC796" s="8"/>
      <c r="AE796" s="90"/>
      <c r="AF796" s="90"/>
      <c r="AP796" s="8"/>
      <c r="AQ796" s="8"/>
      <c r="AR796" s="8"/>
      <c r="AS796" s="8"/>
      <c r="AT796" s="8"/>
      <c r="AU796" s="8"/>
      <c r="AV796" s="8"/>
      <c r="AW796" s="8"/>
      <c r="AX796" s="8"/>
      <c r="AY796" s="90"/>
      <c r="AZ796" s="90"/>
      <c r="BA796" s="90"/>
      <c r="BB796" s="90"/>
      <c r="BC796" s="90"/>
      <c r="BD796" s="90"/>
      <c r="BE796" s="90"/>
      <c r="BF796" s="90"/>
    </row>
    <row r="797" spans="1:58" x14ac:dyDescent="0.2">
      <c r="A797" s="62"/>
      <c r="B797" s="62"/>
      <c r="C797" s="62"/>
      <c r="D797" s="62"/>
      <c r="E797" s="345"/>
      <c r="F797" s="345"/>
      <c r="G797" s="113"/>
      <c r="H797" s="113"/>
      <c r="I797" s="114"/>
      <c r="J797" s="114"/>
      <c r="K797" s="114"/>
      <c r="L797" s="81"/>
      <c r="M797" s="265" t="b">
        <f>NOT(ISERROR(ResultsInd[[#This Row],[Goal-A]]+ResultsInd[[#This Row],[Goal-B]]))</f>
        <v>1</v>
      </c>
      <c r="N797" s="265">
        <f>VALUE(ResultsInd[[#This Row],[Score-A]])</f>
        <v>0</v>
      </c>
      <c r="O797" s="265">
        <f>VALUE(ResultsInd[[#This Row],[Score-B]])</f>
        <v>0</v>
      </c>
      <c r="P797" s="265" t="str">
        <f ca="1">IF(AND(ResultsInd[[#This Row],[Category]]&lt;&gt;"",ResultsInd[[#This Row],[Player A]]&lt;&gt;""),COUNTIF(INDIRECT(ResultsInd[[#This Row],[Category]]&amp;"List[Retained Player Name]"),ResultsInd[[#This Row],[Player A]]),"")</f>
        <v/>
      </c>
      <c r="Q797" s="265" t="str">
        <f ca="1">IF(AND(ResultsInd[[#This Row],[Category]]&lt;&gt;"",ResultsInd[[#This Row],[Player B]]&lt;&gt;""),COUNTIF(INDIRECT(ResultsInd[[#This Row],[Category]]&amp;"List[Retained Player Name]"),ResultsInd[[#This Row],[Player B]]),"")</f>
        <v/>
      </c>
      <c r="R7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7" s="265" t="str">
        <f>IF(ResultsInd[[#This Row],[Score_OK]],IF(ResultsInd[[#This Row],[Stage]]="Groups",ResultsInd[[#This Row],[Category]]&amp;"-"&amp;IF(ResultsInd[[#This Row],[Player B]]="","",IF(ResultsInd[[#This Row],[Score-A]]=ResultsInd[[#This Row],[Score-B]],ResultsInd[[#This Row],[Player A]],"")),""),"")</f>
        <v/>
      </c>
      <c r="T797" s="265" t="str">
        <f>IF(ResultsInd[[#This Row],[Score_OK]],IF(ResultsInd[[#This Row],[Stage]]="Groups",ResultsInd[[#This Row],[Category]]&amp;"-"&amp;IF(ResultsInd[[#This Row],[Player B]]="","",IF(ResultsInd[[#This Row],[Score-A]]=ResultsInd[[#This Row],[Score-B]],ResultsInd[[#This Row],[Player B]],"")),""),"")</f>
        <v/>
      </c>
      <c r="U7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7" s="264" t="str">
        <f>IF(ResultsInd[[#This Row],[Category]]="","",VLOOKUP(ResultsInd[[#This Row],[Stage]],$P$1:$V$9,MATCH(ResultsInd[[#This Row],[Category]],$Q$1:$V$1,0)+1,FALSE))</f>
        <v/>
      </c>
      <c r="Z797" s="264" t="str">
        <f>IF(ResultsInd[[#This Row],[Score_OK]],IF(ResultsInd[[#This Row],[Level]]="R",ResultsInd[[#This Row],[Category]]&amp;"-"&amp;IF(ResultsInd[[#This Row],[LoseInKO]]=ResultsInd[[#This Row],[Category]]&amp;"-"&amp;ResultsInd[[#This Row],[Player A]],ResultsInd[[#This Row],[Player B]],ResultsInd[[#This Row],[Player A]]),""),"")</f>
        <v/>
      </c>
      <c r="AB797" s="8"/>
      <c r="AC797" s="8"/>
      <c r="AE797" s="90"/>
      <c r="AF797" s="90"/>
      <c r="AP797" s="8"/>
      <c r="AQ797" s="8"/>
      <c r="AR797" s="8"/>
      <c r="AS797" s="8"/>
      <c r="AT797" s="8"/>
      <c r="AU797" s="8"/>
      <c r="AV797" s="8"/>
      <c r="AW797" s="8"/>
      <c r="AX797" s="8"/>
      <c r="AY797" s="90"/>
      <c r="AZ797" s="90"/>
      <c r="BA797" s="90"/>
      <c r="BB797" s="90"/>
      <c r="BC797" s="90"/>
      <c r="BD797" s="90"/>
      <c r="BE797" s="90"/>
      <c r="BF797" s="90"/>
    </row>
    <row r="798" spans="1:58" x14ac:dyDescent="0.2">
      <c r="A798" s="62"/>
      <c r="B798" s="62"/>
      <c r="C798" s="62"/>
      <c r="D798" s="62"/>
      <c r="E798" s="345"/>
      <c r="F798" s="345"/>
      <c r="G798" s="113"/>
      <c r="H798" s="113"/>
      <c r="I798" s="114"/>
      <c r="J798" s="114"/>
      <c r="K798" s="114"/>
      <c r="L798" s="81"/>
      <c r="M798" s="265" t="b">
        <f>NOT(ISERROR(ResultsInd[[#This Row],[Goal-A]]+ResultsInd[[#This Row],[Goal-B]]))</f>
        <v>1</v>
      </c>
      <c r="N798" s="265">
        <f>VALUE(ResultsInd[[#This Row],[Score-A]])</f>
        <v>0</v>
      </c>
      <c r="O798" s="265">
        <f>VALUE(ResultsInd[[#This Row],[Score-B]])</f>
        <v>0</v>
      </c>
      <c r="P798" s="265" t="str">
        <f ca="1">IF(AND(ResultsInd[[#This Row],[Category]]&lt;&gt;"",ResultsInd[[#This Row],[Player A]]&lt;&gt;""),COUNTIF(INDIRECT(ResultsInd[[#This Row],[Category]]&amp;"List[Retained Player Name]"),ResultsInd[[#This Row],[Player A]]),"")</f>
        <v/>
      </c>
      <c r="Q798" s="265" t="str">
        <f ca="1">IF(AND(ResultsInd[[#This Row],[Category]]&lt;&gt;"",ResultsInd[[#This Row],[Player B]]&lt;&gt;""),COUNTIF(INDIRECT(ResultsInd[[#This Row],[Category]]&amp;"List[Retained Player Name]"),ResultsInd[[#This Row],[Player B]]),"")</f>
        <v/>
      </c>
      <c r="R7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8" s="265" t="str">
        <f>IF(ResultsInd[[#This Row],[Score_OK]],IF(ResultsInd[[#This Row],[Stage]]="Groups",ResultsInd[[#This Row],[Category]]&amp;"-"&amp;IF(ResultsInd[[#This Row],[Player B]]="","",IF(ResultsInd[[#This Row],[Score-A]]=ResultsInd[[#This Row],[Score-B]],ResultsInd[[#This Row],[Player A]],"")),""),"")</f>
        <v/>
      </c>
      <c r="T798" s="265" t="str">
        <f>IF(ResultsInd[[#This Row],[Score_OK]],IF(ResultsInd[[#This Row],[Stage]]="Groups",ResultsInd[[#This Row],[Category]]&amp;"-"&amp;IF(ResultsInd[[#This Row],[Player B]]="","",IF(ResultsInd[[#This Row],[Score-A]]=ResultsInd[[#This Row],[Score-B]],ResultsInd[[#This Row],[Player B]],"")),""),"")</f>
        <v/>
      </c>
      <c r="U7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8" s="264" t="str">
        <f>IF(ResultsInd[[#This Row],[Category]]="","",VLOOKUP(ResultsInd[[#This Row],[Stage]],$P$1:$V$9,MATCH(ResultsInd[[#This Row],[Category]],$Q$1:$V$1,0)+1,FALSE))</f>
        <v/>
      </c>
      <c r="Z798" s="264" t="str">
        <f>IF(ResultsInd[[#This Row],[Score_OK]],IF(ResultsInd[[#This Row],[Level]]="R",ResultsInd[[#This Row],[Category]]&amp;"-"&amp;IF(ResultsInd[[#This Row],[LoseInKO]]=ResultsInd[[#This Row],[Category]]&amp;"-"&amp;ResultsInd[[#This Row],[Player A]],ResultsInd[[#This Row],[Player B]],ResultsInd[[#This Row],[Player A]]),""),"")</f>
        <v/>
      </c>
      <c r="AB798" s="8"/>
      <c r="AC798" s="8"/>
      <c r="AE798" s="90"/>
      <c r="AF798" s="90"/>
      <c r="AP798" s="8"/>
      <c r="AQ798" s="8"/>
      <c r="AR798" s="8"/>
      <c r="AS798" s="8"/>
      <c r="AT798" s="8"/>
      <c r="AU798" s="8"/>
      <c r="AV798" s="8"/>
      <c r="AW798" s="8"/>
      <c r="AX798" s="8"/>
      <c r="AY798" s="90"/>
      <c r="AZ798" s="90"/>
      <c r="BA798" s="90"/>
      <c r="BB798" s="90"/>
      <c r="BC798" s="90"/>
      <c r="BD798" s="90"/>
      <c r="BE798" s="90"/>
      <c r="BF798" s="90"/>
    </row>
    <row r="799" spans="1:58" x14ac:dyDescent="0.2">
      <c r="A799" s="62"/>
      <c r="B799" s="62"/>
      <c r="C799" s="62"/>
      <c r="D799" s="62"/>
      <c r="E799" s="345"/>
      <c r="F799" s="345"/>
      <c r="G799" s="113"/>
      <c r="H799" s="113"/>
      <c r="I799" s="114"/>
      <c r="J799" s="114"/>
      <c r="K799" s="114"/>
      <c r="L799" s="81"/>
      <c r="M799" s="265" t="b">
        <f>NOT(ISERROR(ResultsInd[[#This Row],[Goal-A]]+ResultsInd[[#This Row],[Goal-B]]))</f>
        <v>1</v>
      </c>
      <c r="N799" s="265">
        <f>VALUE(ResultsInd[[#This Row],[Score-A]])</f>
        <v>0</v>
      </c>
      <c r="O799" s="265">
        <f>VALUE(ResultsInd[[#This Row],[Score-B]])</f>
        <v>0</v>
      </c>
      <c r="P799" s="265" t="str">
        <f ca="1">IF(AND(ResultsInd[[#This Row],[Category]]&lt;&gt;"",ResultsInd[[#This Row],[Player A]]&lt;&gt;""),COUNTIF(INDIRECT(ResultsInd[[#This Row],[Category]]&amp;"List[Retained Player Name]"),ResultsInd[[#This Row],[Player A]]),"")</f>
        <v/>
      </c>
      <c r="Q799" s="265" t="str">
        <f ca="1">IF(AND(ResultsInd[[#This Row],[Category]]&lt;&gt;"",ResultsInd[[#This Row],[Player B]]&lt;&gt;""),COUNTIF(INDIRECT(ResultsInd[[#This Row],[Category]]&amp;"List[Retained Player Name]"),ResultsInd[[#This Row],[Player B]]),"")</f>
        <v/>
      </c>
      <c r="R7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9" s="265" t="str">
        <f>IF(ResultsInd[[#This Row],[Score_OK]],IF(ResultsInd[[#This Row],[Stage]]="Groups",ResultsInd[[#This Row],[Category]]&amp;"-"&amp;IF(ResultsInd[[#This Row],[Player B]]="","",IF(ResultsInd[[#This Row],[Score-A]]=ResultsInd[[#This Row],[Score-B]],ResultsInd[[#This Row],[Player A]],"")),""),"")</f>
        <v/>
      </c>
      <c r="T799" s="265" t="str">
        <f>IF(ResultsInd[[#This Row],[Score_OK]],IF(ResultsInd[[#This Row],[Stage]]="Groups",ResultsInd[[#This Row],[Category]]&amp;"-"&amp;IF(ResultsInd[[#This Row],[Player B]]="","",IF(ResultsInd[[#This Row],[Score-A]]=ResultsInd[[#This Row],[Score-B]],ResultsInd[[#This Row],[Player B]],"")),""),"")</f>
        <v/>
      </c>
      <c r="U7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9" s="264" t="str">
        <f>IF(ResultsInd[[#This Row],[Category]]="","",VLOOKUP(ResultsInd[[#This Row],[Stage]],$P$1:$V$9,MATCH(ResultsInd[[#This Row],[Category]],$Q$1:$V$1,0)+1,FALSE))</f>
        <v/>
      </c>
      <c r="Z799" s="264" t="str">
        <f>IF(ResultsInd[[#This Row],[Score_OK]],IF(ResultsInd[[#This Row],[Level]]="R",ResultsInd[[#This Row],[Category]]&amp;"-"&amp;IF(ResultsInd[[#This Row],[LoseInKO]]=ResultsInd[[#This Row],[Category]]&amp;"-"&amp;ResultsInd[[#This Row],[Player A]],ResultsInd[[#This Row],[Player B]],ResultsInd[[#This Row],[Player A]]),""),"")</f>
        <v/>
      </c>
      <c r="AB799" s="8"/>
      <c r="AC799" s="8"/>
      <c r="AE799" s="90"/>
      <c r="AF799" s="90"/>
      <c r="AP799" s="8"/>
      <c r="AQ799" s="8"/>
      <c r="AR799" s="8"/>
      <c r="AS799" s="8"/>
      <c r="AT799" s="8"/>
      <c r="AU799" s="8"/>
      <c r="AV799" s="8"/>
      <c r="AW799" s="8"/>
      <c r="AX799" s="8"/>
      <c r="AY799" s="90"/>
      <c r="AZ799" s="90"/>
      <c r="BA799" s="90"/>
      <c r="BB799" s="90"/>
      <c r="BC799" s="90"/>
      <c r="BD799" s="90"/>
      <c r="BE799" s="90"/>
      <c r="BF799" s="90"/>
    </row>
    <row r="800" spans="1:58" x14ac:dyDescent="0.2">
      <c r="A800" s="62"/>
      <c r="B800" s="62"/>
      <c r="C800" s="62"/>
      <c r="D800" s="62"/>
      <c r="E800" s="345"/>
      <c r="F800" s="345"/>
      <c r="G800" s="113"/>
      <c r="H800" s="113"/>
      <c r="I800" s="114"/>
      <c r="J800" s="114"/>
      <c r="K800" s="114"/>
      <c r="L800" s="81"/>
      <c r="M800" s="265" t="b">
        <f>NOT(ISERROR(ResultsInd[[#This Row],[Goal-A]]+ResultsInd[[#This Row],[Goal-B]]))</f>
        <v>1</v>
      </c>
      <c r="N800" s="265">
        <f>VALUE(ResultsInd[[#This Row],[Score-A]])</f>
        <v>0</v>
      </c>
      <c r="O800" s="265">
        <f>VALUE(ResultsInd[[#This Row],[Score-B]])</f>
        <v>0</v>
      </c>
      <c r="P800" s="265" t="str">
        <f ca="1">IF(AND(ResultsInd[[#This Row],[Category]]&lt;&gt;"",ResultsInd[[#This Row],[Player A]]&lt;&gt;""),COUNTIF(INDIRECT(ResultsInd[[#This Row],[Category]]&amp;"List[Retained Player Name]"),ResultsInd[[#This Row],[Player A]]),"")</f>
        <v/>
      </c>
      <c r="Q800" s="265" t="str">
        <f ca="1">IF(AND(ResultsInd[[#This Row],[Category]]&lt;&gt;"",ResultsInd[[#This Row],[Player B]]&lt;&gt;""),COUNTIF(INDIRECT(ResultsInd[[#This Row],[Category]]&amp;"List[Retained Player Name]"),ResultsInd[[#This Row],[Player B]]),"")</f>
        <v/>
      </c>
      <c r="R8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0" s="265" t="str">
        <f>IF(ResultsInd[[#This Row],[Score_OK]],IF(ResultsInd[[#This Row],[Stage]]="Groups",ResultsInd[[#This Row],[Category]]&amp;"-"&amp;IF(ResultsInd[[#This Row],[Player B]]="","",IF(ResultsInd[[#This Row],[Score-A]]=ResultsInd[[#This Row],[Score-B]],ResultsInd[[#This Row],[Player A]],"")),""),"")</f>
        <v/>
      </c>
      <c r="T800" s="265" t="str">
        <f>IF(ResultsInd[[#This Row],[Score_OK]],IF(ResultsInd[[#This Row],[Stage]]="Groups",ResultsInd[[#This Row],[Category]]&amp;"-"&amp;IF(ResultsInd[[#This Row],[Player B]]="","",IF(ResultsInd[[#This Row],[Score-A]]=ResultsInd[[#This Row],[Score-B]],ResultsInd[[#This Row],[Player B]],"")),""),"")</f>
        <v/>
      </c>
      <c r="U8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0" s="264" t="str">
        <f>IF(ResultsInd[[#This Row],[Category]]="","",VLOOKUP(ResultsInd[[#This Row],[Stage]],$P$1:$V$9,MATCH(ResultsInd[[#This Row],[Category]],$Q$1:$V$1,0)+1,FALSE))</f>
        <v/>
      </c>
      <c r="Z800" s="264" t="str">
        <f>IF(ResultsInd[[#This Row],[Score_OK]],IF(ResultsInd[[#This Row],[Level]]="R",ResultsInd[[#This Row],[Category]]&amp;"-"&amp;IF(ResultsInd[[#This Row],[LoseInKO]]=ResultsInd[[#This Row],[Category]]&amp;"-"&amp;ResultsInd[[#This Row],[Player A]],ResultsInd[[#This Row],[Player B]],ResultsInd[[#This Row],[Player A]]),""),"")</f>
        <v/>
      </c>
      <c r="AB800" s="8"/>
      <c r="AC800" s="8"/>
      <c r="AE800" s="90"/>
      <c r="AF800" s="90"/>
      <c r="AP800" s="8"/>
      <c r="AQ800" s="8"/>
      <c r="AR800" s="8"/>
      <c r="AS800" s="8"/>
      <c r="AT800" s="8"/>
      <c r="AU800" s="8"/>
      <c r="AV800" s="8"/>
      <c r="AW800" s="8"/>
      <c r="AX800" s="8"/>
      <c r="AY800" s="90"/>
      <c r="AZ800" s="90"/>
      <c r="BA800" s="90"/>
      <c r="BB800" s="90"/>
      <c r="BC800" s="90"/>
      <c r="BD800" s="90"/>
      <c r="BE800" s="90"/>
      <c r="BF800" s="90"/>
    </row>
    <row r="801" spans="1:58" x14ac:dyDescent="0.2">
      <c r="A801" s="62"/>
      <c r="B801" s="62"/>
      <c r="C801" s="62"/>
      <c r="D801" s="62"/>
      <c r="E801" s="345"/>
      <c r="F801" s="345"/>
      <c r="G801" s="113"/>
      <c r="H801" s="113"/>
      <c r="I801" s="114"/>
      <c r="J801" s="114"/>
      <c r="K801" s="114"/>
      <c r="L801" s="81"/>
      <c r="M801" s="265" t="b">
        <f>NOT(ISERROR(ResultsInd[[#This Row],[Goal-A]]+ResultsInd[[#This Row],[Goal-B]]))</f>
        <v>1</v>
      </c>
      <c r="N801" s="265">
        <f>VALUE(ResultsInd[[#This Row],[Score-A]])</f>
        <v>0</v>
      </c>
      <c r="O801" s="265">
        <f>VALUE(ResultsInd[[#This Row],[Score-B]])</f>
        <v>0</v>
      </c>
      <c r="P801" s="265" t="str">
        <f ca="1">IF(AND(ResultsInd[[#This Row],[Category]]&lt;&gt;"",ResultsInd[[#This Row],[Player A]]&lt;&gt;""),COUNTIF(INDIRECT(ResultsInd[[#This Row],[Category]]&amp;"List[Retained Player Name]"),ResultsInd[[#This Row],[Player A]]),"")</f>
        <v/>
      </c>
      <c r="Q801" s="265" t="str">
        <f ca="1">IF(AND(ResultsInd[[#This Row],[Category]]&lt;&gt;"",ResultsInd[[#This Row],[Player B]]&lt;&gt;""),COUNTIF(INDIRECT(ResultsInd[[#This Row],[Category]]&amp;"List[Retained Player Name]"),ResultsInd[[#This Row],[Player B]]),"")</f>
        <v/>
      </c>
      <c r="R8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1" s="265" t="str">
        <f>IF(ResultsInd[[#This Row],[Score_OK]],IF(ResultsInd[[#This Row],[Stage]]="Groups",ResultsInd[[#This Row],[Category]]&amp;"-"&amp;IF(ResultsInd[[#This Row],[Player B]]="","",IF(ResultsInd[[#This Row],[Score-A]]=ResultsInd[[#This Row],[Score-B]],ResultsInd[[#This Row],[Player A]],"")),""),"")</f>
        <v/>
      </c>
      <c r="T801" s="265" t="str">
        <f>IF(ResultsInd[[#This Row],[Score_OK]],IF(ResultsInd[[#This Row],[Stage]]="Groups",ResultsInd[[#This Row],[Category]]&amp;"-"&amp;IF(ResultsInd[[#This Row],[Player B]]="","",IF(ResultsInd[[#This Row],[Score-A]]=ResultsInd[[#This Row],[Score-B]],ResultsInd[[#This Row],[Player B]],"")),""),"")</f>
        <v/>
      </c>
      <c r="U8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1" s="264" t="str">
        <f>IF(ResultsInd[[#This Row],[Category]]="","",VLOOKUP(ResultsInd[[#This Row],[Stage]],$P$1:$V$9,MATCH(ResultsInd[[#This Row],[Category]],$Q$1:$V$1,0)+1,FALSE))</f>
        <v/>
      </c>
      <c r="Z801" s="264" t="str">
        <f>IF(ResultsInd[[#This Row],[Score_OK]],IF(ResultsInd[[#This Row],[Level]]="R",ResultsInd[[#This Row],[Category]]&amp;"-"&amp;IF(ResultsInd[[#This Row],[LoseInKO]]=ResultsInd[[#This Row],[Category]]&amp;"-"&amp;ResultsInd[[#This Row],[Player A]],ResultsInd[[#This Row],[Player B]],ResultsInd[[#This Row],[Player A]]),""),"")</f>
        <v/>
      </c>
      <c r="AB801" s="8"/>
      <c r="AC801" s="8"/>
      <c r="AE801" s="90"/>
      <c r="AF801" s="90"/>
      <c r="AP801" s="8"/>
      <c r="AQ801" s="8"/>
      <c r="AR801" s="8"/>
      <c r="AS801" s="8"/>
      <c r="AT801" s="8"/>
      <c r="AU801" s="8"/>
      <c r="AV801" s="8"/>
      <c r="AW801" s="8"/>
      <c r="AX801" s="8"/>
      <c r="AY801" s="90"/>
      <c r="AZ801" s="90"/>
      <c r="BA801" s="90"/>
      <c r="BB801" s="90"/>
      <c r="BC801" s="90"/>
      <c r="BD801" s="90"/>
      <c r="BE801" s="90"/>
      <c r="BF801" s="90"/>
    </row>
    <row r="802" spans="1:58" x14ac:dyDescent="0.2">
      <c r="A802" s="62"/>
      <c r="B802" s="62"/>
      <c r="C802" s="62"/>
      <c r="D802" s="62"/>
      <c r="E802" s="345"/>
      <c r="F802" s="345"/>
      <c r="G802" s="113"/>
      <c r="H802" s="113"/>
      <c r="I802" s="114"/>
      <c r="J802" s="114"/>
      <c r="K802" s="114"/>
      <c r="L802" s="81"/>
      <c r="M802" s="265" t="b">
        <f>NOT(ISERROR(ResultsInd[[#This Row],[Goal-A]]+ResultsInd[[#This Row],[Goal-B]]))</f>
        <v>1</v>
      </c>
      <c r="N802" s="265">
        <f>VALUE(ResultsInd[[#This Row],[Score-A]])</f>
        <v>0</v>
      </c>
      <c r="O802" s="265">
        <f>VALUE(ResultsInd[[#This Row],[Score-B]])</f>
        <v>0</v>
      </c>
      <c r="P802" s="265" t="str">
        <f ca="1">IF(AND(ResultsInd[[#This Row],[Category]]&lt;&gt;"",ResultsInd[[#This Row],[Player A]]&lt;&gt;""),COUNTIF(INDIRECT(ResultsInd[[#This Row],[Category]]&amp;"List[Retained Player Name]"),ResultsInd[[#This Row],[Player A]]),"")</f>
        <v/>
      </c>
      <c r="Q802" s="265" t="str">
        <f ca="1">IF(AND(ResultsInd[[#This Row],[Category]]&lt;&gt;"",ResultsInd[[#This Row],[Player B]]&lt;&gt;""),COUNTIF(INDIRECT(ResultsInd[[#This Row],[Category]]&amp;"List[Retained Player Name]"),ResultsInd[[#This Row],[Player B]]),"")</f>
        <v/>
      </c>
      <c r="R8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2" s="265" t="str">
        <f>IF(ResultsInd[[#This Row],[Score_OK]],IF(ResultsInd[[#This Row],[Stage]]="Groups",ResultsInd[[#This Row],[Category]]&amp;"-"&amp;IF(ResultsInd[[#This Row],[Player B]]="","",IF(ResultsInd[[#This Row],[Score-A]]=ResultsInd[[#This Row],[Score-B]],ResultsInd[[#This Row],[Player A]],"")),""),"")</f>
        <v/>
      </c>
      <c r="T802" s="265" t="str">
        <f>IF(ResultsInd[[#This Row],[Score_OK]],IF(ResultsInd[[#This Row],[Stage]]="Groups",ResultsInd[[#This Row],[Category]]&amp;"-"&amp;IF(ResultsInd[[#This Row],[Player B]]="","",IF(ResultsInd[[#This Row],[Score-A]]=ResultsInd[[#This Row],[Score-B]],ResultsInd[[#This Row],[Player B]],"")),""),"")</f>
        <v/>
      </c>
      <c r="U8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2" s="264" t="str">
        <f>IF(ResultsInd[[#This Row],[Category]]="","",VLOOKUP(ResultsInd[[#This Row],[Stage]],$P$1:$V$9,MATCH(ResultsInd[[#This Row],[Category]],$Q$1:$V$1,0)+1,FALSE))</f>
        <v/>
      </c>
      <c r="Z802" s="264" t="str">
        <f>IF(ResultsInd[[#This Row],[Score_OK]],IF(ResultsInd[[#This Row],[Level]]="R",ResultsInd[[#This Row],[Category]]&amp;"-"&amp;IF(ResultsInd[[#This Row],[LoseInKO]]=ResultsInd[[#This Row],[Category]]&amp;"-"&amp;ResultsInd[[#This Row],[Player A]],ResultsInd[[#This Row],[Player B]],ResultsInd[[#This Row],[Player A]]),""),"")</f>
        <v/>
      </c>
      <c r="AB802" s="8"/>
      <c r="AC802" s="8"/>
      <c r="AE802" s="90"/>
      <c r="AF802" s="90"/>
      <c r="AP802" s="8"/>
      <c r="AQ802" s="8"/>
      <c r="AR802" s="8"/>
      <c r="AS802" s="8"/>
      <c r="AT802" s="8"/>
      <c r="AU802" s="8"/>
      <c r="AV802" s="8"/>
      <c r="AW802" s="8"/>
      <c r="AX802" s="8"/>
      <c r="AY802" s="90"/>
      <c r="AZ802" s="90"/>
      <c r="BA802" s="90"/>
      <c r="BB802" s="90"/>
      <c r="BC802" s="90"/>
      <c r="BD802" s="90"/>
      <c r="BE802" s="90"/>
      <c r="BF802" s="90"/>
    </row>
    <row r="803" spans="1:58" x14ac:dyDescent="0.2">
      <c r="A803" s="62"/>
      <c r="B803" s="62"/>
      <c r="C803" s="62"/>
      <c r="D803" s="62"/>
      <c r="E803" s="345"/>
      <c r="F803" s="345"/>
      <c r="G803" s="113"/>
      <c r="H803" s="113"/>
      <c r="I803" s="114"/>
      <c r="J803" s="114"/>
      <c r="K803" s="114"/>
      <c r="L803" s="81"/>
      <c r="M803" s="265" t="b">
        <f>NOT(ISERROR(ResultsInd[[#This Row],[Goal-A]]+ResultsInd[[#This Row],[Goal-B]]))</f>
        <v>1</v>
      </c>
      <c r="N803" s="265">
        <f>VALUE(ResultsInd[[#This Row],[Score-A]])</f>
        <v>0</v>
      </c>
      <c r="O803" s="265">
        <f>VALUE(ResultsInd[[#This Row],[Score-B]])</f>
        <v>0</v>
      </c>
      <c r="P803" s="265" t="str">
        <f ca="1">IF(AND(ResultsInd[[#This Row],[Category]]&lt;&gt;"",ResultsInd[[#This Row],[Player A]]&lt;&gt;""),COUNTIF(INDIRECT(ResultsInd[[#This Row],[Category]]&amp;"List[Retained Player Name]"),ResultsInd[[#This Row],[Player A]]),"")</f>
        <v/>
      </c>
      <c r="Q803" s="265" t="str">
        <f ca="1">IF(AND(ResultsInd[[#This Row],[Category]]&lt;&gt;"",ResultsInd[[#This Row],[Player B]]&lt;&gt;""),COUNTIF(INDIRECT(ResultsInd[[#This Row],[Category]]&amp;"List[Retained Player Name]"),ResultsInd[[#This Row],[Player B]]),"")</f>
        <v/>
      </c>
      <c r="R8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3" s="265" t="str">
        <f>IF(ResultsInd[[#This Row],[Score_OK]],IF(ResultsInd[[#This Row],[Stage]]="Groups",ResultsInd[[#This Row],[Category]]&amp;"-"&amp;IF(ResultsInd[[#This Row],[Player B]]="","",IF(ResultsInd[[#This Row],[Score-A]]=ResultsInd[[#This Row],[Score-B]],ResultsInd[[#This Row],[Player A]],"")),""),"")</f>
        <v/>
      </c>
      <c r="T803" s="265" t="str">
        <f>IF(ResultsInd[[#This Row],[Score_OK]],IF(ResultsInd[[#This Row],[Stage]]="Groups",ResultsInd[[#This Row],[Category]]&amp;"-"&amp;IF(ResultsInd[[#This Row],[Player B]]="","",IF(ResultsInd[[#This Row],[Score-A]]=ResultsInd[[#This Row],[Score-B]],ResultsInd[[#This Row],[Player B]],"")),""),"")</f>
        <v/>
      </c>
      <c r="U8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3" s="264" t="str">
        <f>IF(ResultsInd[[#This Row],[Category]]="","",VLOOKUP(ResultsInd[[#This Row],[Stage]],$P$1:$V$9,MATCH(ResultsInd[[#This Row],[Category]],$Q$1:$V$1,0)+1,FALSE))</f>
        <v/>
      </c>
      <c r="Z803" s="264" t="str">
        <f>IF(ResultsInd[[#This Row],[Score_OK]],IF(ResultsInd[[#This Row],[Level]]="R",ResultsInd[[#This Row],[Category]]&amp;"-"&amp;IF(ResultsInd[[#This Row],[LoseInKO]]=ResultsInd[[#This Row],[Category]]&amp;"-"&amp;ResultsInd[[#This Row],[Player A]],ResultsInd[[#This Row],[Player B]],ResultsInd[[#This Row],[Player A]]),""),"")</f>
        <v/>
      </c>
      <c r="AB803" s="8"/>
      <c r="AC803" s="8"/>
      <c r="AE803" s="90"/>
      <c r="AF803" s="90"/>
      <c r="AP803" s="8"/>
      <c r="AQ803" s="8"/>
      <c r="AR803" s="8"/>
      <c r="AS803" s="8"/>
      <c r="AT803" s="8"/>
      <c r="AU803" s="8"/>
      <c r="AV803" s="8"/>
      <c r="AW803" s="8"/>
      <c r="AX803" s="8"/>
      <c r="AY803" s="90"/>
      <c r="AZ803" s="90"/>
      <c r="BA803" s="90"/>
      <c r="BB803" s="90"/>
      <c r="BC803" s="90"/>
      <c r="BD803" s="90"/>
      <c r="BE803" s="90"/>
      <c r="BF803" s="90"/>
    </row>
    <row r="804" spans="1:58" x14ac:dyDescent="0.2">
      <c r="A804" s="62"/>
      <c r="B804" s="62"/>
      <c r="C804" s="62"/>
      <c r="D804" s="62"/>
      <c r="E804" s="345"/>
      <c r="F804" s="345"/>
      <c r="G804" s="113"/>
      <c r="H804" s="113"/>
      <c r="I804" s="114"/>
      <c r="J804" s="114"/>
      <c r="K804" s="114"/>
      <c r="L804" s="81"/>
      <c r="M804" s="265" t="b">
        <f>NOT(ISERROR(ResultsInd[[#This Row],[Goal-A]]+ResultsInd[[#This Row],[Goal-B]]))</f>
        <v>1</v>
      </c>
      <c r="N804" s="265">
        <f>VALUE(ResultsInd[[#This Row],[Score-A]])</f>
        <v>0</v>
      </c>
      <c r="O804" s="265">
        <f>VALUE(ResultsInd[[#This Row],[Score-B]])</f>
        <v>0</v>
      </c>
      <c r="P804" s="265" t="str">
        <f ca="1">IF(AND(ResultsInd[[#This Row],[Category]]&lt;&gt;"",ResultsInd[[#This Row],[Player A]]&lt;&gt;""),COUNTIF(INDIRECT(ResultsInd[[#This Row],[Category]]&amp;"List[Retained Player Name]"),ResultsInd[[#This Row],[Player A]]),"")</f>
        <v/>
      </c>
      <c r="Q804" s="265" t="str">
        <f ca="1">IF(AND(ResultsInd[[#This Row],[Category]]&lt;&gt;"",ResultsInd[[#This Row],[Player B]]&lt;&gt;""),COUNTIF(INDIRECT(ResultsInd[[#This Row],[Category]]&amp;"List[Retained Player Name]"),ResultsInd[[#This Row],[Player B]]),"")</f>
        <v/>
      </c>
      <c r="R8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4" s="265" t="str">
        <f>IF(ResultsInd[[#This Row],[Score_OK]],IF(ResultsInd[[#This Row],[Stage]]="Groups",ResultsInd[[#This Row],[Category]]&amp;"-"&amp;IF(ResultsInd[[#This Row],[Player B]]="","",IF(ResultsInd[[#This Row],[Score-A]]=ResultsInd[[#This Row],[Score-B]],ResultsInd[[#This Row],[Player A]],"")),""),"")</f>
        <v/>
      </c>
      <c r="T804" s="265" t="str">
        <f>IF(ResultsInd[[#This Row],[Score_OK]],IF(ResultsInd[[#This Row],[Stage]]="Groups",ResultsInd[[#This Row],[Category]]&amp;"-"&amp;IF(ResultsInd[[#This Row],[Player B]]="","",IF(ResultsInd[[#This Row],[Score-A]]=ResultsInd[[#This Row],[Score-B]],ResultsInd[[#This Row],[Player B]],"")),""),"")</f>
        <v/>
      </c>
      <c r="U8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4" s="264" t="str">
        <f>IF(ResultsInd[[#This Row],[Category]]="","",VLOOKUP(ResultsInd[[#This Row],[Stage]],$P$1:$V$9,MATCH(ResultsInd[[#This Row],[Category]],$Q$1:$V$1,0)+1,FALSE))</f>
        <v/>
      </c>
      <c r="Z804" s="264" t="str">
        <f>IF(ResultsInd[[#This Row],[Score_OK]],IF(ResultsInd[[#This Row],[Level]]="R",ResultsInd[[#This Row],[Category]]&amp;"-"&amp;IF(ResultsInd[[#This Row],[LoseInKO]]=ResultsInd[[#This Row],[Category]]&amp;"-"&amp;ResultsInd[[#This Row],[Player A]],ResultsInd[[#This Row],[Player B]],ResultsInd[[#This Row],[Player A]]),""),"")</f>
        <v/>
      </c>
      <c r="AB804" s="8"/>
      <c r="AC804" s="8"/>
      <c r="AE804" s="90"/>
      <c r="AF804" s="90"/>
      <c r="AP804" s="8"/>
      <c r="AQ804" s="8"/>
      <c r="AR804" s="8"/>
      <c r="AS804" s="8"/>
      <c r="AT804" s="8"/>
      <c r="AU804" s="8"/>
      <c r="AV804" s="8"/>
      <c r="AW804" s="8"/>
      <c r="AX804" s="8"/>
      <c r="AY804" s="90"/>
      <c r="AZ804" s="90"/>
      <c r="BA804" s="90"/>
      <c r="BB804" s="90"/>
      <c r="BC804" s="90"/>
      <c r="BD804" s="90"/>
      <c r="BE804" s="90"/>
      <c r="BF804" s="90"/>
    </row>
    <row r="805" spans="1:58" x14ac:dyDescent="0.2">
      <c r="A805" s="62"/>
      <c r="B805" s="62"/>
      <c r="C805" s="62"/>
      <c r="D805" s="62"/>
      <c r="E805" s="345"/>
      <c r="F805" s="345"/>
      <c r="G805" s="113"/>
      <c r="H805" s="113"/>
      <c r="I805" s="114"/>
      <c r="J805" s="114"/>
      <c r="K805" s="114"/>
      <c r="L805" s="81"/>
      <c r="M805" s="265" t="b">
        <f>NOT(ISERROR(ResultsInd[[#This Row],[Goal-A]]+ResultsInd[[#This Row],[Goal-B]]))</f>
        <v>1</v>
      </c>
      <c r="N805" s="265">
        <f>VALUE(ResultsInd[[#This Row],[Score-A]])</f>
        <v>0</v>
      </c>
      <c r="O805" s="265">
        <f>VALUE(ResultsInd[[#This Row],[Score-B]])</f>
        <v>0</v>
      </c>
      <c r="P805" s="265" t="str">
        <f ca="1">IF(AND(ResultsInd[[#This Row],[Category]]&lt;&gt;"",ResultsInd[[#This Row],[Player A]]&lt;&gt;""),COUNTIF(INDIRECT(ResultsInd[[#This Row],[Category]]&amp;"List[Retained Player Name]"),ResultsInd[[#This Row],[Player A]]),"")</f>
        <v/>
      </c>
      <c r="Q805" s="265" t="str">
        <f ca="1">IF(AND(ResultsInd[[#This Row],[Category]]&lt;&gt;"",ResultsInd[[#This Row],[Player B]]&lt;&gt;""),COUNTIF(INDIRECT(ResultsInd[[#This Row],[Category]]&amp;"List[Retained Player Name]"),ResultsInd[[#This Row],[Player B]]),"")</f>
        <v/>
      </c>
      <c r="R8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5" s="265" t="str">
        <f>IF(ResultsInd[[#This Row],[Score_OK]],IF(ResultsInd[[#This Row],[Stage]]="Groups",ResultsInd[[#This Row],[Category]]&amp;"-"&amp;IF(ResultsInd[[#This Row],[Player B]]="","",IF(ResultsInd[[#This Row],[Score-A]]=ResultsInd[[#This Row],[Score-B]],ResultsInd[[#This Row],[Player A]],"")),""),"")</f>
        <v/>
      </c>
      <c r="T805" s="265" t="str">
        <f>IF(ResultsInd[[#This Row],[Score_OK]],IF(ResultsInd[[#This Row],[Stage]]="Groups",ResultsInd[[#This Row],[Category]]&amp;"-"&amp;IF(ResultsInd[[#This Row],[Player B]]="","",IF(ResultsInd[[#This Row],[Score-A]]=ResultsInd[[#This Row],[Score-B]],ResultsInd[[#This Row],[Player B]],"")),""),"")</f>
        <v/>
      </c>
      <c r="U8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5" s="264" t="str">
        <f>IF(ResultsInd[[#This Row],[Category]]="","",VLOOKUP(ResultsInd[[#This Row],[Stage]],$P$1:$V$9,MATCH(ResultsInd[[#This Row],[Category]],$Q$1:$V$1,0)+1,FALSE))</f>
        <v/>
      </c>
      <c r="Z805" s="264" t="str">
        <f>IF(ResultsInd[[#This Row],[Score_OK]],IF(ResultsInd[[#This Row],[Level]]="R",ResultsInd[[#This Row],[Category]]&amp;"-"&amp;IF(ResultsInd[[#This Row],[LoseInKO]]=ResultsInd[[#This Row],[Category]]&amp;"-"&amp;ResultsInd[[#This Row],[Player A]],ResultsInd[[#This Row],[Player B]],ResultsInd[[#This Row],[Player A]]),""),"")</f>
        <v/>
      </c>
      <c r="AB805" s="8"/>
      <c r="AC805" s="8"/>
      <c r="AE805" s="90"/>
      <c r="AF805" s="90"/>
      <c r="AP805" s="8"/>
      <c r="AQ805" s="8"/>
      <c r="AR805" s="8"/>
      <c r="AS805" s="8"/>
      <c r="AT805" s="8"/>
      <c r="AU805" s="8"/>
      <c r="AV805" s="8"/>
      <c r="AW805" s="8"/>
      <c r="AX805" s="8"/>
      <c r="AY805" s="90"/>
      <c r="AZ805" s="90"/>
      <c r="BA805" s="90"/>
      <c r="BB805" s="90"/>
      <c r="BC805" s="90"/>
      <c r="BD805" s="90"/>
      <c r="BE805" s="90"/>
      <c r="BF805" s="90"/>
    </row>
    <row r="806" spans="1:58" x14ac:dyDescent="0.2">
      <c r="A806" s="62"/>
      <c r="B806" s="62"/>
      <c r="C806" s="62"/>
      <c r="D806" s="62"/>
      <c r="E806" s="345"/>
      <c r="F806" s="345"/>
      <c r="G806" s="113"/>
      <c r="H806" s="113"/>
      <c r="I806" s="114"/>
      <c r="J806" s="114"/>
      <c r="K806" s="114"/>
      <c r="L806" s="81"/>
      <c r="M806" s="265" t="b">
        <f>NOT(ISERROR(ResultsInd[[#This Row],[Goal-A]]+ResultsInd[[#This Row],[Goal-B]]))</f>
        <v>1</v>
      </c>
      <c r="N806" s="265">
        <f>VALUE(ResultsInd[[#This Row],[Score-A]])</f>
        <v>0</v>
      </c>
      <c r="O806" s="265">
        <f>VALUE(ResultsInd[[#This Row],[Score-B]])</f>
        <v>0</v>
      </c>
      <c r="P806" s="265" t="str">
        <f ca="1">IF(AND(ResultsInd[[#This Row],[Category]]&lt;&gt;"",ResultsInd[[#This Row],[Player A]]&lt;&gt;""),COUNTIF(INDIRECT(ResultsInd[[#This Row],[Category]]&amp;"List[Retained Player Name]"),ResultsInd[[#This Row],[Player A]]),"")</f>
        <v/>
      </c>
      <c r="Q806" s="265" t="str">
        <f ca="1">IF(AND(ResultsInd[[#This Row],[Category]]&lt;&gt;"",ResultsInd[[#This Row],[Player B]]&lt;&gt;""),COUNTIF(INDIRECT(ResultsInd[[#This Row],[Category]]&amp;"List[Retained Player Name]"),ResultsInd[[#This Row],[Player B]]),"")</f>
        <v/>
      </c>
      <c r="R8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6" s="265" t="str">
        <f>IF(ResultsInd[[#This Row],[Score_OK]],IF(ResultsInd[[#This Row],[Stage]]="Groups",ResultsInd[[#This Row],[Category]]&amp;"-"&amp;IF(ResultsInd[[#This Row],[Player B]]="","",IF(ResultsInd[[#This Row],[Score-A]]=ResultsInd[[#This Row],[Score-B]],ResultsInd[[#This Row],[Player A]],"")),""),"")</f>
        <v/>
      </c>
      <c r="T806" s="265" t="str">
        <f>IF(ResultsInd[[#This Row],[Score_OK]],IF(ResultsInd[[#This Row],[Stage]]="Groups",ResultsInd[[#This Row],[Category]]&amp;"-"&amp;IF(ResultsInd[[#This Row],[Player B]]="","",IF(ResultsInd[[#This Row],[Score-A]]=ResultsInd[[#This Row],[Score-B]],ResultsInd[[#This Row],[Player B]],"")),""),"")</f>
        <v/>
      </c>
      <c r="U8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6" s="264" t="str">
        <f>IF(ResultsInd[[#This Row],[Category]]="","",VLOOKUP(ResultsInd[[#This Row],[Stage]],$P$1:$V$9,MATCH(ResultsInd[[#This Row],[Category]],$Q$1:$V$1,0)+1,FALSE))</f>
        <v/>
      </c>
      <c r="Z806" s="264" t="str">
        <f>IF(ResultsInd[[#This Row],[Score_OK]],IF(ResultsInd[[#This Row],[Level]]="R",ResultsInd[[#This Row],[Category]]&amp;"-"&amp;IF(ResultsInd[[#This Row],[LoseInKO]]=ResultsInd[[#This Row],[Category]]&amp;"-"&amp;ResultsInd[[#This Row],[Player A]],ResultsInd[[#This Row],[Player B]],ResultsInd[[#This Row],[Player A]]),""),"")</f>
        <v/>
      </c>
      <c r="AB806" s="8"/>
      <c r="AC806" s="8"/>
      <c r="AE806" s="90"/>
      <c r="AF806" s="90"/>
      <c r="AP806" s="8"/>
      <c r="AQ806" s="8"/>
      <c r="AR806" s="8"/>
      <c r="AS806" s="8"/>
      <c r="AT806" s="8"/>
      <c r="AU806" s="8"/>
      <c r="AV806" s="8"/>
      <c r="AW806" s="8"/>
      <c r="AX806" s="8"/>
      <c r="AY806" s="90"/>
      <c r="AZ806" s="90"/>
      <c r="BA806" s="90"/>
      <c r="BB806" s="90"/>
      <c r="BC806" s="90"/>
      <c r="BD806" s="90"/>
      <c r="BE806" s="90"/>
      <c r="BF806" s="90"/>
    </row>
    <row r="807" spans="1:58" x14ac:dyDescent="0.2">
      <c r="A807" s="62"/>
      <c r="B807" s="62"/>
      <c r="C807" s="62"/>
      <c r="D807" s="62"/>
      <c r="E807" s="345"/>
      <c r="F807" s="345"/>
      <c r="G807" s="113"/>
      <c r="H807" s="113"/>
      <c r="I807" s="114"/>
      <c r="J807" s="114"/>
      <c r="K807" s="114"/>
      <c r="L807" s="81"/>
      <c r="M807" s="265" t="b">
        <f>NOT(ISERROR(ResultsInd[[#This Row],[Goal-A]]+ResultsInd[[#This Row],[Goal-B]]))</f>
        <v>1</v>
      </c>
      <c r="N807" s="265">
        <f>VALUE(ResultsInd[[#This Row],[Score-A]])</f>
        <v>0</v>
      </c>
      <c r="O807" s="265">
        <f>VALUE(ResultsInd[[#This Row],[Score-B]])</f>
        <v>0</v>
      </c>
      <c r="P807" s="265" t="str">
        <f ca="1">IF(AND(ResultsInd[[#This Row],[Category]]&lt;&gt;"",ResultsInd[[#This Row],[Player A]]&lt;&gt;""),COUNTIF(INDIRECT(ResultsInd[[#This Row],[Category]]&amp;"List[Retained Player Name]"),ResultsInd[[#This Row],[Player A]]),"")</f>
        <v/>
      </c>
      <c r="Q807" s="265" t="str">
        <f ca="1">IF(AND(ResultsInd[[#This Row],[Category]]&lt;&gt;"",ResultsInd[[#This Row],[Player B]]&lt;&gt;""),COUNTIF(INDIRECT(ResultsInd[[#This Row],[Category]]&amp;"List[Retained Player Name]"),ResultsInd[[#This Row],[Player B]]),"")</f>
        <v/>
      </c>
      <c r="R8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7" s="265" t="str">
        <f>IF(ResultsInd[[#This Row],[Score_OK]],IF(ResultsInd[[#This Row],[Stage]]="Groups",ResultsInd[[#This Row],[Category]]&amp;"-"&amp;IF(ResultsInd[[#This Row],[Player B]]="","",IF(ResultsInd[[#This Row],[Score-A]]=ResultsInd[[#This Row],[Score-B]],ResultsInd[[#This Row],[Player A]],"")),""),"")</f>
        <v/>
      </c>
      <c r="T807" s="265" t="str">
        <f>IF(ResultsInd[[#This Row],[Score_OK]],IF(ResultsInd[[#This Row],[Stage]]="Groups",ResultsInd[[#This Row],[Category]]&amp;"-"&amp;IF(ResultsInd[[#This Row],[Player B]]="","",IF(ResultsInd[[#This Row],[Score-A]]=ResultsInd[[#This Row],[Score-B]],ResultsInd[[#This Row],[Player B]],"")),""),"")</f>
        <v/>
      </c>
      <c r="U8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7" s="264" t="str">
        <f>IF(ResultsInd[[#This Row],[Category]]="","",VLOOKUP(ResultsInd[[#This Row],[Stage]],$P$1:$V$9,MATCH(ResultsInd[[#This Row],[Category]],$Q$1:$V$1,0)+1,FALSE))</f>
        <v/>
      </c>
      <c r="Z807" s="264" t="str">
        <f>IF(ResultsInd[[#This Row],[Score_OK]],IF(ResultsInd[[#This Row],[Level]]="R",ResultsInd[[#This Row],[Category]]&amp;"-"&amp;IF(ResultsInd[[#This Row],[LoseInKO]]=ResultsInd[[#This Row],[Category]]&amp;"-"&amp;ResultsInd[[#This Row],[Player A]],ResultsInd[[#This Row],[Player B]],ResultsInd[[#This Row],[Player A]]),""),"")</f>
        <v/>
      </c>
      <c r="AB807" s="8"/>
      <c r="AC807" s="8"/>
      <c r="AE807" s="90"/>
      <c r="AF807" s="90"/>
      <c r="AP807" s="8"/>
      <c r="AQ807" s="8"/>
      <c r="AR807" s="8"/>
      <c r="AS807" s="8"/>
      <c r="AT807" s="8"/>
      <c r="AU807" s="8"/>
      <c r="AV807" s="8"/>
      <c r="AW807" s="8"/>
      <c r="AX807" s="8"/>
      <c r="AY807" s="90"/>
      <c r="AZ807" s="90"/>
      <c r="BA807" s="90"/>
      <c r="BB807" s="90"/>
      <c r="BC807" s="90"/>
      <c r="BD807" s="90"/>
      <c r="BE807" s="90"/>
      <c r="BF807" s="90"/>
    </row>
    <row r="808" spans="1:58" x14ac:dyDescent="0.2">
      <c r="A808" s="62"/>
      <c r="B808" s="62"/>
      <c r="C808" s="62"/>
      <c r="D808" s="62"/>
      <c r="E808" s="345"/>
      <c r="F808" s="345"/>
      <c r="G808" s="113"/>
      <c r="H808" s="113"/>
      <c r="I808" s="114"/>
      <c r="J808" s="114"/>
      <c r="K808" s="114"/>
      <c r="L808" s="81"/>
      <c r="M808" s="265" t="b">
        <f>NOT(ISERROR(ResultsInd[[#This Row],[Goal-A]]+ResultsInd[[#This Row],[Goal-B]]))</f>
        <v>1</v>
      </c>
      <c r="N808" s="265">
        <f>VALUE(ResultsInd[[#This Row],[Score-A]])</f>
        <v>0</v>
      </c>
      <c r="O808" s="265">
        <f>VALUE(ResultsInd[[#This Row],[Score-B]])</f>
        <v>0</v>
      </c>
      <c r="P808" s="265" t="str">
        <f ca="1">IF(AND(ResultsInd[[#This Row],[Category]]&lt;&gt;"",ResultsInd[[#This Row],[Player A]]&lt;&gt;""),COUNTIF(INDIRECT(ResultsInd[[#This Row],[Category]]&amp;"List[Retained Player Name]"),ResultsInd[[#This Row],[Player A]]),"")</f>
        <v/>
      </c>
      <c r="Q808" s="265" t="str">
        <f ca="1">IF(AND(ResultsInd[[#This Row],[Category]]&lt;&gt;"",ResultsInd[[#This Row],[Player B]]&lt;&gt;""),COUNTIF(INDIRECT(ResultsInd[[#This Row],[Category]]&amp;"List[Retained Player Name]"),ResultsInd[[#This Row],[Player B]]),"")</f>
        <v/>
      </c>
      <c r="R8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8" s="265" t="str">
        <f>IF(ResultsInd[[#This Row],[Score_OK]],IF(ResultsInd[[#This Row],[Stage]]="Groups",ResultsInd[[#This Row],[Category]]&amp;"-"&amp;IF(ResultsInd[[#This Row],[Player B]]="","",IF(ResultsInd[[#This Row],[Score-A]]=ResultsInd[[#This Row],[Score-B]],ResultsInd[[#This Row],[Player A]],"")),""),"")</f>
        <v/>
      </c>
      <c r="T808" s="265" t="str">
        <f>IF(ResultsInd[[#This Row],[Score_OK]],IF(ResultsInd[[#This Row],[Stage]]="Groups",ResultsInd[[#This Row],[Category]]&amp;"-"&amp;IF(ResultsInd[[#This Row],[Player B]]="","",IF(ResultsInd[[#This Row],[Score-A]]=ResultsInd[[#This Row],[Score-B]],ResultsInd[[#This Row],[Player B]],"")),""),"")</f>
        <v/>
      </c>
      <c r="U8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8" s="264" t="str">
        <f>IF(ResultsInd[[#This Row],[Category]]="","",VLOOKUP(ResultsInd[[#This Row],[Stage]],$P$1:$V$9,MATCH(ResultsInd[[#This Row],[Category]],$Q$1:$V$1,0)+1,FALSE))</f>
        <v/>
      </c>
      <c r="Z808" s="264" t="str">
        <f>IF(ResultsInd[[#This Row],[Score_OK]],IF(ResultsInd[[#This Row],[Level]]="R",ResultsInd[[#This Row],[Category]]&amp;"-"&amp;IF(ResultsInd[[#This Row],[LoseInKO]]=ResultsInd[[#This Row],[Category]]&amp;"-"&amp;ResultsInd[[#This Row],[Player A]],ResultsInd[[#This Row],[Player B]],ResultsInd[[#This Row],[Player A]]),""),"")</f>
        <v/>
      </c>
      <c r="AB808" s="8"/>
      <c r="AC808" s="8"/>
      <c r="AE808" s="90"/>
      <c r="AF808" s="90"/>
      <c r="AP808" s="8"/>
      <c r="AQ808" s="8"/>
      <c r="AR808" s="8"/>
      <c r="AS808" s="8"/>
      <c r="AT808" s="8"/>
      <c r="AU808" s="8"/>
      <c r="AV808" s="8"/>
      <c r="AW808" s="8"/>
      <c r="AX808" s="8"/>
      <c r="AY808" s="90"/>
      <c r="AZ808" s="90"/>
      <c r="BA808" s="90"/>
      <c r="BB808" s="90"/>
      <c r="BC808" s="90"/>
      <c r="BD808" s="90"/>
      <c r="BE808" s="90"/>
      <c r="BF808" s="90"/>
    </row>
    <row r="809" spans="1:58" x14ac:dyDescent="0.2">
      <c r="A809" s="62"/>
      <c r="B809" s="62"/>
      <c r="C809" s="62"/>
      <c r="D809" s="62"/>
      <c r="E809" s="345"/>
      <c r="F809" s="345"/>
      <c r="G809" s="113"/>
      <c r="H809" s="113"/>
      <c r="I809" s="114"/>
      <c r="J809" s="114"/>
      <c r="K809" s="114"/>
      <c r="L809" s="81"/>
      <c r="M809" s="265" t="b">
        <f>NOT(ISERROR(ResultsInd[[#This Row],[Goal-A]]+ResultsInd[[#This Row],[Goal-B]]))</f>
        <v>1</v>
      </c>
      <c r="N809" s="265">
        <f>VALUE(ResultsInd[[#This Row],[Score-A]])</f>
        <v>0</v>
      </c>
      <c r="O809" s="265">
        <f>VALUE(ResultsInd[[#This Row],[Score-B]])</f>
        <v>0</v>
      </c>
      <c r="P809" s="265" t="str">
        <f ca="1">IF(AND(ResultsInd[[#This Row],[Category]]&lt;&gt;"",ResultsInd[[#This Row],[Player A]]&lt;&gt;""),COUNTIF(INDIRECT(ResultsInd[[#This Row],[Category]]&amp;"List[Retained Player Name]"),ResultsInd[[#This Row],[Player A]]),"")</f>
        <v/>
      </c>
      <c r="Q809" s="265" t="str">
        <f ca="1">IF(AND(ResultsInd[[#This Row],[Category]]&lt;&gt;"",ResultsInd[[#This Row],[Player B]]&lt;&gt;""),COUNTIF(INDIRECT(ResultsInd[[#This Row],[Category]]&amp;"List[Retained Player Name]"),ResultsInd[[#This Row],[Player B]]),"")</f>
        <v/>
      </c>
      <c r="R8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9" s="265" t="str">
        <f>IF(ResultsInd[[#This Row],[Score_OK]],IF(ResultsInd[[#This Row],[Stage]]="Groups",ResultsInd[[#This Row],[Category]]&amp;"-"&amp;IF(ResultsInd[[#This Row],[Player B]]="","",IF(ResultsInd[[#This Row],[Score-A]]=ResultsInd[[#This Row],[Score-B]],ResultsInd[[#This Row],[Player A]],"")),""),"")</f>
        <v/>
      </c>
      <c r="T809" s="265" t="str">
        <f>IF(ResultsInd[[#This Row],[Score_OK]],IF(ResultsInd[[#This Row],[Stage]]="Groups",ResultsInd[[#This Row],[Category]]&amp;"-"&amp;IF(ResultsInd[[#This Row],[Player B]]="","",IF(ResultsInd[[#This Row],[Score-A]]=ResultsInd[[#This Row],[Score-B]],ResultsInd[[#This Row],[Player B]],"")),""),"")</f>
        <v/>
      </c>
      <c r="U8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9" s="264" t="str">
        <f>IF(ResultsInd[[#This Row],[Category]]="","",VLOOKUP(ResultsInd[[#This Row],[Stage]],$P$1:$V$9,MATCH(ResultsInd[[#This Row],[Category]],$Q$1:$V$1,0)+1,FALSE))</f>
        <v/>
      </c>
      <c r="Z809" s="264" t="str">
        <f>IF(ResultsInd[[#This Row],[Score_OK]],IF(ResultsInd[[#This Row],[Level]]="R",ResultsInd[[#This Row],[Category]]&amp;"-"&amp;IF(ResultsInd[[#This Row],[LoseInKO]]=ResultsInd[[#This Row],[Category]]&amp;"-"&amp;ResultsInd[[#This Row],[Player A]],ResultsInd[[#This Row],[Player B]],ResultsInd[[#This Row],[Player A]]),""),"")</f>
        <v/>
      </c>
      <c r="AB809" s="8"/>
      <c r="AC809" s="8"/>
      <c r="AE809" s="90"/>
      <c r="AF809" s="90"/>
      <c r="AP809" s="8"/>
      <c r="AQ809" s="8"/>
      <c r="AR809" s="8"/>
      <c r="AS809" s="8"/>
      <c r="AT809" s="8"/>
      <c r="AU809" s="8"/>
      <c r="AV809" s="8"/>
      <c r="AW809" s="8"/>
      <c r="AX809" s="8"/>
      <c r="AY809" s="90"/>
      <c r="AZ809" s="90"/>
      <c r="BA809" s="90"/>
      <c r="BB809" s="90"/>
      <c r="BC809" s="90"/>
      <c r="BD809" s="90"/>
      <c r="BE809" s="90"/>
      <c r="BF809" s="90"/>
    </row>
    <row r="810" spans="1:58" x14ac:dyDescent="0.2">
      <c r="A810" s="62"/>
      <c r="B810" s="62"/>
      <c r="C810" s="62"/>
      <c r="D810" s="62"/>
      <c r="E810" s="345"/>
      <c r="F810" s="345"/>
      <c r="G810" s="113"/>
      <c r="H810" s="113"/>
      <c r="I810" s="114"/>
      <c r="J810" s="114"/>
      <c r="K810" s="114"/>
      <c r="L810" s="81"/>
      <c r="M810" s="265" t="b">
        <f>NOT(ISERROR(ResultsInd[[#This Row],[Goal-A]]+ResultsInd[[#This Row],[Goal-B]]))</f>
        <v>1</v>
      </c>
      <c r="N810" s="265">
        <f>VALUE(ResultsInd[[#This Row],[Score-A]])</f>
        <v>0</v>
      </c>
      <c r="O810" s="265">
        <f>VALUE(ResultsInd[[#This Row],[Score-B]])</f>
        <v>0</v>
      </c>
      <c r="P810" s="265" t="str">
        <f ca="1">IF(AND(ResultsInd[[#This Row],[Category]]&lt;&gt;"",ResultsInd[[#This Row],[Player A]]&lt;&gt;""),COUNTIF(INDIRECT(ResultsInd[[#This Row],[Category]]&amp;"List[Retained Player Name]"),ResultsInd[[#This Row],[Player A]]),"")</f>
        <v/>
      </c>
      <c r="Q810" s="265" t="str">
        <f ca="1">IF(AND(ResultsInd[[#This Row],[Category]]&lt;&gt;"",ResultsInd[[#This Row],[Player B]]&lt;&gt;""),COUNTIF(INDIRECT(ResultsInd[[#This Row],[Category]]&amp;"List[Retained Player Name]"),ResultsInd[[#This Row],[Player B]]),"")</f>
        <v/>
      </c>
      <c r="R8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0" s="265" t="str">
        <f>IF(ResultsInd[[#This Row],[Score_OK]],IF(ResultsInd[[#This Row],[Stage]]="Groups",ResultsInd[[#This Row],[Category]]&amp;"-"&amp;IF(ResultsInd[[#This Row],[Player B]]="","",IF(ResultsInd[[#This Row],[Score-A]]=ResultsInd[[#This Row],[Score-B]],ResultsInd[[#This Row],[Player A]],"")),""),"")</f>
        <v/>
      </c>
      <c r="T810" s="265" t="str">
        <f>IF(ResultsInd[[#This Row],[Score_OK]],IF(ResultsInd[[#This Row],[Stage]]="Groups",ResultsInd[[#This Row],[Category]]&amp;"-"&amp;IF(ResultsInd[[#This Row],[Player B]]="","",IF(ResultsInd[[#This Row],[Score-A]]=ResultsInd[[#This Row],[Score-B]],ResultsInd[[#This Row],[Player B]],"")),""),"")</f>
        <v/>
      </c>
      <c r="U8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0" s="264" t="str">
        <f>IF(ResultsInd[[#This Row],[Category]]="","",VLOOKUP(ResultsInd[[#This Row],[Stage]],$P$1:$V$9,MATCH(ResultsInd[[#This Row],[Category]],$Q$1:$V$1,0)+1,FALSE))</f>
        <v/>
      </c>
      <c r="Z810" s="264" t="str">
        <f>IF(ResultsInd[[#This Row],[Score_OK]],IF(ResultsInd[[#This Row],[Level]]="R",ResultsInd[[#This Row],[Category]]&amp;"-"&amp;IF(ResultsInd[[#This Row],[LoseInKO]]=ResultsInd[[#This Row],[Category]]&amp;"-"&amp;ResultsInd[[#This Row],[Player A]],ResultsInd[[#This Row],[Player B]],ResultsInd[[#This Row],[Player A]]),""),"")</f>
        <v/>
      </c>
      <c r="AB810" s="8"/>
      <c r="AC810" s="8"/>
      <c r="AE810" s="90"/>
      <c r="AF810" s="90"/>
      <c r="AP810" s="8"/>
      <c r="AQ810" s="8"/>
      <c r="AR810" s="8"/>
      <c r="AS810" s="8"/>
      <c r="AT810" s="8"/>
      <c r="AU810" s="8"/>
      <c r="AV810" s="8"/>
      <c r="AW810" s="8"/>
      <c r="AX810" s="8"/>
      <c r="AY810" s="90"/>
      <c r="AZ810" s="90"/>
      <c r="BA810" s="90"/>
      <c r="BB810" s="90"/>
      <c r="BC810" s="90"/>
      <c r="BD810" s="90"/>
      <c r="BE810" s="90"/>
      <c r="BF810" s="90"/>
    </row>
    <row r="811" spans="1:58" x14ac:dyDescent="0.2">
      <c r="A811" s="62"/>
      <c r="B811" s="62"/>
      <c r="C811" s="62"/>
      <c r="D811" s="62"/>
      <c r="E811" s="345"/>
      <c r="F811" s="345"/>
      <c r="G811" s="113"/>
      <c r="H811" s="113"/>
      <c r="I811" s="114"/>
      <c r="J811" s="114"/>
      <c r="K811" s="114"/>
      <c r="L811" s="81"/>
      <c r="M811" s="265" t="b">
        <f>NOT(ISERROR(ResultsInd[[#This Row],[Goal-A]]+ResultsInd[[#This Row],[Goal-B]]))</f>
        <v>1</v>
      </c>
      <c r="N811" s="265">
        <f>VALUE(ResultsInd[[#This Row],[Score-A]])</f>
        <v>0</v>
      </c>
      <c r="O811" s="265">
        <f>VALUE(ResultsInd[[#This Row],[Score-B]])</f>
        <v>0</v>
      </c>
      <c r="P811" s="265" t="str">
        <f ca="1">IF(AND(ResultsInd[[#This Row],[Category]]&lt;&gt;"",ResultsInd[[#This Row],[Player A]]&lt;&gt;""),COUNTIF(INDIRECT(ResultsInd[[#This Row],[Category]]&amp;"List[Retained Player Name]"),ResultsInd[[#This Row],[Player A]]),"")</f>
        <v/>
      </c>
      <c r="Q811" s="265" t="str">
        <f ca="1">IF(AND(ResultsInd[[#This Row],[Category]]&lt;&gt;"",ResultsInd[[#This Row],[Player B]]&lt;&gt;""),COUNTIF(INDIRECT(ResultsInd[[#This Row],[Category]]&amp;"List[Retained Player Name]"),ResultsInd[[#This Row],[Player B]]),"")</f>
        <v/>
      </c>
      <c r="R8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1" s="265" t="str">
        <f>IF(ResultsInd[[#This Row],[Score_OK]],IF(ResultsInd[[#This Row],[Stage]]="Groups",ResultsInd[[#This Row],[Category]]&amp;"-"&amp;IF(ResultsInd[[#This Row],[Player B]]="","",IF(ResultsInd[[#This Row],[Score-A]]=ResultsInd[[#This Row],[Score-B]],ResultsInd[[#This Row],[Player A]],"")),""),"")</f>
        <v/>
      </c>
      <c r="T811" s="265" t="str">
        <f>IF(ResultsInd[[#This Row],[Score_OK]],IF(ResultsInd[[#This Row],[Stage]]="Groups",ResultsInd[[#This Row],[Category]]&amp;"-"&amp;IF(ResultsInd[[#This Row],[Player B]]="","",IF(ResultsInd[[#This Row],[Score-A]]=ResultsInd[[#This Row],[Score-B]],ResultsInd[[#This Row],[Player B]],"")),""),"")</f>
        <v/>
      </c>
      <c r="U8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1" s="264" t="str">
        <f>IF(ResultsInd[[#This Row],[Category]]="","",VLOOKUP(ResultsInd[[#This Row],[Stage]],$P$1:$V$9,MATCH(ResultsInd[[#This Row],[Category]],$Q$1:$V$1,0)+1,FALSE))</f>
        <v/>
      </c>
      <c r="Z811" s="264" t="str">
        <f>IF(ResultsInd[[#This Row],[Score_OK]],IF(ResultsInd[[#This Row],[Level]]="R",ResultsInd[[#This Row],[Category]]&amp;"-"&amp;IF(ResultsInd[[#This Row],[LoseInKO]]=ResultsInd[[#This Row],[Category]]&amp;"-"&amp;ResultsInd[[#This Row],[Player A]],ResultsInd[[#This Row],[Player B]],ResultsInd[[#This Row],[Player A]]),""),"")</f>
        <v/>
      </c>
      <c r="AB811" s="8"/>
      <c r="AC811" s="8"/>
      <c r="AE811" s="90"/>
      <c r="AF811" s="90"/>
      <c r="AP811" s="8"/>
      <c r="AQ811" s="8"/>
      <c r="AR811" s="8"/>
      <c r="AS811" s="8"/>
      <c r="AT811" s="8"/>
      <c r="AU811" s="8"/>
      <c r="AV811" s="8"/>
      <c r="AW811" s="8"/>
      <c r="AX811" s="8"/>
      <c r="AY811" s="90"/>
      <c r="AZ811" s="90"/>
      <c r="BA811" s="90"/>
      <c r="BB811" s="90"/>
      <c r="BC811" s="90"/>
      <c r="BD811" s="90"/>
      <c r="BE811" s="90"/>
      <c r="BF811" s="90"/>
    </row>
    <row r="812" spans="1:58" x14ac:dyDescent="0.2">
      <c r="A812" s="62"/>
      <c r="B812" s="62"/>
      <c r="C812" s="62"/>
      <c r="D812" s="62"/>
      <c r="E812" s="345"/>
      <c r="F812" s="345"/>
      <c r="G812" s="113"/>
      <c r="H812" s="113"/>
      <c r="I812" s="114"/>
      <c r="J812" s="114"/>
      <c r="K812" s="114"/>
      <c r="L812" s="81"/>
      <c r="M812" s="265" t="b">
        <f>NOT(ISERROR(ResultsInd[[#This Row],[Goal-A]]+ResultsInd[[#This Row],[Goal-B]]))</f>
        <v>1</v>
      </c>
      <c r="N812" s="265">
        <f>VALUE(ResultsInd[[#This Row],[Score-A]])</f>
        <v>0</v>
      </c>
      <c r="O812" s="265">
        <f>VALUE(ResultsInd[[#This Row],[Score-B]])</f>
        <v>0</v>
      </c>
      <c r="P812" s="265" t="str">
        <f ca="1">IF(AND(ResultsInd[[#This Row],[Category]]&lt;&gt;"",ResultsInd[[#This Row],[Player A]]&lt;&gt;""),COUNTIF(INDIRECT(ResultsInd[[#This Row],[Category]]&amp;"List[Retained Player Name]"),ResultsInd[[#This Row],[Player A]]),"")</f>
        <v/>
      </c>
      <c r="Q812" s="265" t="str">
        <f ca="1">IF(AND(ResultsInd[[#This Row],[Category]]&lt;&gt;"",ResultsInd[[#This Row],[Player B]]&lt;&gt;""),COUNTIF(INDIRECT(ResultsInd[[#This Row],[Category]]&amp;"List[Retained Player Name]"),ResultsInd[[#This Row],[Player B]]),"")</f>
        <v/>
      </c>
      <c r="R8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2" s="265" t="str">
        <f>IF(ResultsInd[[#This Row],[Score_OK]],IF(ResultsInd[[#This Row],[Stage]]="Groups",ResultsInd[[#This Row],[Category]]&amp;"-"&amp;IF(ResultsInd[[#This Row],[Player B]]="","",IF(ResultsInd[[#This Row],[Score-A]]=ResultsInd[[#This Row],[Score-B]],ResultsInd[[#This Row],[Player A]],"")),""),"")</f>
        <v/>
      </c>
      <c r="T812" s="265" t="str">
        <f>IF(ResultsInd[[#This Row],[Score_OK]],IF(ResultsInd[[#This Row],[Stage]]="Groups",ResultsInd[[#This Row],[Category]]&amp;"-"&amp;IF(ResultsInd[[#This Row],[Player B]]="","",IF(ResultsInd[[#This Row],[Score-A]]=ResultsInd[[#This Row],[Score-B]],ResultsInd[[#This Row],[Player B]],"")),""),"")</f>
        <v/>
      </c>
      <c r="U8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2" s="264" t="str">
        <f>IF(ResultsInd[[#This Row],[Category]]="","",VLOOKUP(ResultsInd[[#This Row],[Stage]],$P$1:$V$9,MATCH(ResultsInd[[#This Row],[Category]],$Q$1:$V$1,0)+1,FALSE))</f>
        <v/>
      </c>
      <c r="Z812" s="264" t="str">
        <f>IF(ResultsInd[[#This Row],[Score_OK]],IF(ResultsInd[[#This Row],[Level]]="R",ResultsInd[[#This Row],[Category]]&amp;"-"&amp;IF(ResultsInd[[#This Row],[LoseInKO]]=ResultsInd[[#This Row],[Category]]&amp;"-"&amp;ResultsInd[[#This Row],[Player A]],ResultsInd[[#This Row],[Player B]],ResultsInd[[#This Row],[Player A]]),""),"")</f>
        <v/>
      </c>
      <c r="AB812" s="8"/>
      <c r="AC812" s="8"/>
      <c r="AE812" s="90"/>
      <c r="AF812" s="90"/>
      <c r="AP812" s="8"/>
      <c r="AQ812" s="8"/>
      <c r="AR812" s="8"/>
      <c r="AS812" s="8"/>
      <c r="AT812" s="8"/>
      <c r="AU812" s="8"/>
      <c r="AV812" s="8"/>
      <c r="AW812" s="8"/>
      <c r="AX812" s="8"/>
      <c r="AY812" s="90"/>
      <c r="AZ812" s="90"/>
      <c r="BA812" s="90"/>
      <c r="BB812" s="90"/>
      <c r="BC812" s="90"/>
      <c r="BD812" s="90"/>
      <c r="BE812" s="90"/>
      <c r="BF812" s="90"/>
    </row>
    <row r="813" spans="1:58" x14ac:dyDescent="0.2">
      <c r="A813" s="62"/>
      <c r="B813" s="62"/>
      <c r="C813" s="62"/>
      <c r="D813" s="62"/>
      <c r="E813" s="345"/>
      <c r="F813" s="345"/>
      <c r="G813" s="113"/>
      <c r="H813" s="113"/>
      <c r="I813" s="114"/>
      <c r="J813" s="114"/>
      <c r="K813" s="114"/>
      <c r="L813" s="81"/>
      <c r="M813" s="265" t="b">
        <f>NOT(ISERROR(ResultsInd[[#This Row],[Goal-A]]+ResultsInd[[#This Row],[Goal-B]]))</f>
        <v>1</v>
      </c>
      <c r="N813" s="265">
        <f>VALUE(ResultsInd[[#This Row],[Score-A]])</f>
        <v>0</v>
      </c>
      <c r="O813" s="265">
        <f>VALUE(ResultsInd[[#This Row],[Score-B]])</f>
        <v>0</v>
      </c>
      <c r="P813" s="265" t="str">
        <f ca="1">IF(AND(ResultsInd[[#This Row],[Category]]&lt;&gt;"",ResultsInd[[#This Row],[Player A]]&lt;&gt;""),COUNTIF(INDIRECT(ResultsInd[[#This Row],[Category]]&amp;"List[Retained Player Name]"),ResultsInd[[#This Row],[Player A]]),"")</f>
        <v/>
      </c>
      <c r="Q813" s="265" t="str">
        <f ca="1">IF(AND(ResultsInd[[#This Row],[Category]]&lt;&gt;"",ResultsInd[[#This Row],[Player B]]&lt;&gt;""),COUNTIF(INDIRECT(ResultsInd[[#This Row],[Category]]&amp;"List[Retained Player Name]"),ResultsInd[[#This Row],[Player B]]),"")</f>
        <v/>
      </c>
      <c r="R8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3" s="265" t="str">
        <f>IF(ResultsInd[[#This Row],[Score_OK]],IF(ResultsInd[[#This Row],[Stage]]="Groups",ResultsInd[[#This Row],[Category]]&amp;"-"&amp;IF(ResultsInd[[#This Row],[Player B]]="","",IF(ResultsInd[[#This Row],[Score-A]]=ResultsInd[[#This Row],[Score-B]],ResultsInd[[#This Row],[Player A]],"")),""),"")</f>
        <v/>
      </c>
      <c r="T813" s="265" t="str">
        <f>IF(ResultsInd[[#This Row],[Score_OK]],IF(ResultsInd[[#This Row],[Stage]]="Groups",ResultsInd[[#This Row],[Category]]&amp;"-"&amp;IF(ResultsInd[[#This Row],[Player B]]="","",IF(ResultsInd[[#This Row],[Score-A]]=ResultsInd[[#This Row],[Score-B]],ResultsInd[[#This Row],[Player B]],"")),""),"")</f>
        <v/>
      </c>
      <c r="U8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3" s="264" t="str">
        <f>IF(ResultsInd[[#This Row],[Category]]="","",VLOOKUP(ResultsInd[[#This Row],[Stage]],$P$1:$V$9,MATCH(ResultsInd[[#This Row],[Category]],$Q$1:$V$1,0)+1,FALSE))</f>
        <v/>
      </c>
      <c r="Z813" s="264" t="str">
        <f>IF(ResultsInd[[#This Row],[Score_OK]],IF(ResultsInd[[#This Row],[Level]]="R",ResultsInd[[#This Row],[Category]]&amp;"-"&amp;IF(ResultsInd[[#This Row],[LoseInKO]]=ResultsInd[[#This Row],[Category]]&amp;"-"&amp;ResultsInd[[#This Row],[Player A]],ResultsInd[[#This Row],[Player B]],ResultsInd[[#This Row],[Player A]]),""),"")</f>
        <v/>
      </c>
      <c r="AB813" s="8"/>
      <c r="AC813" s="8"/>
      <c r="AE813" s="90"/>
      <c r="AF813" s="90"/>
      <c r="AP813" s="8"/>
      <c r="AQ813" s="8"/>
      <c r="AR813" s="8"/>
      <c r="AS813" s="8"/>
      <c r="AT813" s="8"/>
      <c r="AU813" s="8"/>
      <c r="AV813" s="8"/>
      <c r="AW813" s="8"/>
      <c r="AX813" s="8"/>
      <c r="AY813" s="90"/>
      <c r="AZ813" s="90"/>
      <c r="BA813" s="90"/>
      <c r="BB813" s="90"/>
      <c r="BC813" s="90"/>
      <c r="BD813" s="90"/>
      <c r="BE813" s="90"/>
      <c r="BF813" s="90"/>
    </row>
    <row r="814" spans="1:58" x14ac:dyDescent="0.2">
      <c r="A814" s="62"/>
      <c r="B814" s="62"/>
      <c r="C814" s="62"/>
      <c r="D814" s="62"/>
      <c r="E814" s="345"/>
      <c r="F814" s="345"/>
      <c r="G814" s="113"/>
      <c r="H814" s="113"/>
      <c r="I814" s="114"/>
      <c r="J814" s="114"/>
      <c r="K814" s="114"/>
      <c r="L814" s="81"/>
      <c r="M814" s="265" t="b">
        <f>NOT(ISERROR(ResultsInd[[#This Row],[Goal-A]]+ResultsInd[[#This Row],[Goal-B]]))</f>
        <v>1</v>
      </c>
      <c r="N814" s="265">
        <f>VALUE(ResultsInd[[#This Row],[Score-A]])</f>
        <v>0</v>
      </c>
      <c r="O814" s="265">
        <f>VALUE(ResultsInd[[#This Row],[Score-B]])</f>
        <v>0</v>
      </c>
      <c r="P814" s="265" t="str">
        <f ca="1">IF(AND(ResultsInd[[#This Row],[Category]]&lt;&gt;"",ResultsInd[[#This Row],[Player A]]&lt;&gt;""),COUNTIF(INDIRECT(ResultsInd[[#This Row],[Category]]&amp;"List[Retained Player Name]"),ResultsInd[[#This Row],[Player A]]),"")</f>
        <v/>
      </c>
      <c r="Q814" s="265" t="str">
        <f ca="1">IF(AND(ResultsInd[[#This Row],[Category]]&lt;&gt;"",ResultsInd[[#This Row],[Player B]]&lt;&gt;""),COUNTIF(INDIRECT(ResultsInd[[#This Row],[Category]]&amp;"List[Retained Player Name]"),ResultsInd[[#This Row],[Player B]]),"")</f>
        <v/>
      </c>
      <c r="R8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4" s="265" t="str">
        <f>IF(ResultsInd[[#This Row],[Score_OK]],IF(ResultsInd[[#This Row],[Stage]]="Groups",ResultsInd[[#This Row],[Category]]&amp;"-"&amp;IF(ResultsInd[[#This Row],[Player B]]="","",IF(ResultsInd[[#This Row],[Score-A]]=ResultsInd[[#This Row],[Score-B]],ResultsInd[[#This Row],[Player A]],"")),""),"")</f>
        <v/>
      </c>
      <c r="T814" s="265" t="str">
        <f>IF(ResultsInd[[#This Row],[Score_OK]],IF(ResultsInd[[#This Row],[Stage]]="Groups",ResultsInd[[#This Row],[Category]]&amp;"-"&amp;IF(ResultsInd[[#This Row],[Player B]]="","",IF(ResultsInd[[#This Row],[Score-A]]=ResultsInd[[#This Row],[Score-B]],ResultsInd[[#This Row],[Player B]],"")),""),"")</f>
        <v/>
      </c>
      <c r="U8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4" s="264" t="str">
        <f>IF(ResultsInd[[#This Row],[Category]]="","",VLOOKUP(ResultsInd[[#This Row],[Stage]],$P$1:$V$9,MATCH(ResultsInd[[#This Row],[Category]],$Q$1:$V$1,0)+1,FALSE))</f>
        <v/>
      </c>
      <c r="Z814" s="264" t="str">
        <f>IF(ResultsInd[[#This Row],[Score_OK]],IF(ResultsInd[[#This Row],[Level]]="R",ResultsInd[[#This Row],[Category]]&amp;"-"&amp;IF(ResultsInd[[#This Row],[LoseInKO]]=ResultsInd[[#This Row],[Category]]&amp;"-"&amp;ResultsInd[[#This Row],[Player A]],ResultsInd[[#This Row],[Player B]],ResultsInd[[#This Row],[Player A]]),""),"")</f>
        <v/>
      </c>
      <c r="AB814" s="8"/>
      <c r="AC814" s="8"/>
      <c r="AE814" s="90"/>
      <c r="AF814" s="90"/>
      <c r="AP814" s="8"/>
      <c r="AQ814" s="8"/>
      <c r="AR814" s="8"/>
      <c r="AS814" s="8"/>
      <c r="AT814" s="8"/>
      <c r="AU814" s="8"/>
      <c r="AV814" s="8"/>
      <c r="AW814" s="8"/>
      <c r="AX814" s="8"/>
      <c r="AY814" s="90"/>
      <c r="AZ814" s="90"/>
      <c r="BA814" s="90"/>
      <c r="BB814" s="90"/>
      <c r="BC814" s="90"/>
      <c r="BD814" s="90"/>
      <c r="BE814" s="90"/>
      <c r="BF814" s="90"/>
    </row>
    <row r="815" spans="1:58" x14ac:dyDescent="0.2">
      <c r="A815" s="62"/>
      <c r="B815" s="62"/>
      <c r="C815" s="62"/>
      <c r="D815" s="62"/>
      <c r="E815" s="345"/>
      <c r="F815" s="345"/>
      <c r="G815" s="113"/>
      <c r="H815" s="113"/>
      <c r="I815" s="114"/>
      <c r="J815" s="114"/>
      <c r="K815" s="114"/>
      <c r="L815" s="81"/>
      <c r="M815" s="265" t="b">
        <f>NOT(ISERROR(ResultsInd[[#This Row],[Goal-A]]+ResultsInd[[#This Row],[Goal-B]]))</f>
        <v>1</v>
      </c>
      <c r="N815" s="265">
        <f>VALUE(ResultsInd[[#This Row],[Score-A]])</f>
        <v>0</v>
      </c>
      <c r="O815" s="265">
        <f>VALUE(ResultsInd[[#This Row],[Score-B]])</f>
        <v>0</v>
      </c>
      <c r="P815" s="265" t="str">
        <f ca="1">IF(AND(ResultsInd[[#This Row],[Category]]&lt;&gt;"",ResultsInd[[#This Row],[Player A]]&lt;&gt;""),COUNTIF(INDIRECT(ResultsInd[[#This Row],[Category]]&amp;"List[Retained Player Name]"),ResultsInd[[#This Row],[Player A]]),"")</f>
        <v/>
      </c>
      <c r="Q815" s="265" t="str">
        <f ca="1">IF(AND(ResultsInd[[#This Row],[Category]]&lt;&gt;"",ResultsInd[[#This Row],[Player B]]&lt;&gt;""),COUNTIF(INDIRECT(ResultsInd[[#This Row],[Category]]&amp;"List[Retained Player Name]"),ResultsInd[[#This Row],[Player B]]),"")</f>
        <v/>
      </c>
      <c r="R8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5" s="265" t="str">
        <f>IF(ResultsInd[[#This Row],[Score_OK]],IF(ResultsInd[[#This Row],[Stage]]="Groups",ResultsInd[[#This Row],[Category]]&amp;"-"&amp;IF(ResultsInd[[#This Row],[Player B]]="","",IF(ResultsInd[[#This Row],[Score-A]]=ResultsInd[[#This Row],[Score-B]],ResultsInd[[#This Row],[Player A]],"")),""),"")</f>
        <v/>
      </c>
      <c r="T815" s="265" t="str">
        <f>IF(ResultsInd[[#This Row],[Score_OK]],IF(ResultsInd[[#This Row],[Stage]]="Groups",ResultsInd[[#This Row],[Category]]&amp;"-"&amp;IF(ResultsInd[[#This Row],[Player B]]="","",IF(ResultsInd[[#This Row],[Score-A]]=ResultsInd[[#This Row],[Score-B]],ResultsInd[[#This Row],[Player B]],"")),""),"")</f>
        <v/>
      </c>
      <c r="U8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5" s="264" t="str">
        <f>IF(ResultsInd[[#This Row],[Category]]="","",VLOOKUP(ResultsInd[[#This Row],[Stage]],$P$1:$V$9,MATCH(ResultsInd[[#This Row],[Category]],$Q$1:$V$1,0)+1,FALSE))</f>
        <v/>
      </c>
      <c r="Z815" s="264" t="str">
        <f>IF(ResultsInd[[#This Row],[Score_OK]],IF(ResultsInd[[#This Row],[Level]]="R",ResultsInd[[#This Row],[Category]]&amp;"-"&amp;IF(ResultsInd[[#This Row],[LoseInKO]]=ResultsInd[[#This Row],[Category]]&amp;"-"&amp;ResultsInd[[#This Row],[Player A]],ResultsInd[[#This Row],[Player B]],ResultsInd[[#This Row],[Player A]]),""),"")</f>
        <v/>
      </c>
      <c r="AB815" s="8"/>
      <c r="AC815" s="8"/>
      <c r="AE815" s="90"/>
      <c r="AF815" s="90"/>
      <c r="AP815" s="8"/>
      <c r="AQ815" s="8"/>
      <c r="AR815" s="8"/>
      <c r="AS815" s="8"/>
      <c r="AT815" s="8"/>
      <c r="AU815" s="8"/>
      <c r="AV815" s="8"/>
      <c r="AW815" s="8"/>
      <c r="AX815" s="8"/>
      <c r="AY815" s="90"/>
      <c r="AZ815" s="90"/>
      <c r="BA815" s="90"/>
      <c r="BB815" s="90"/>
      <c r="BC815" s="90"/>
      <c r="BD815" s="90"/>
      <c r="BE815" s="90"/>
      <c r="BF815" s="90"/>
    </row>
    <row r="816" spans="1:58" x14ac:dyDescent="0.2">
      <c r="A816" s="62"/>
      <c r="B816" s="62"/>
      <c r="C816" s="62"/>
      <c r="D816" s="62"/>
      <c r="E816" s="345"/>
      <c r="F816" s="345"/>
      <c r="G816" s="113"/>
      <c r="H816" s="113"/>
      <c r="I816" s="114"/>
      <c r="J816" s="114"/>
      <c r="K816" s="114"/>
      <c r="L816" s="81"/>
      <c r="M816" s="265" t="b">
        <f>NOT(ISERROR(ResultsInd[[#This Row],[Goal-A]]+ResultsInd[[#This Row],[Goal-B]]))</f>
        <v>1</v>
      </c>
      <c r="N816" s="265">
        <f>VALUE(ResultsInd[[#This Row],[Score-A]])</f>
        <v>0</v>
      </c>
      <c r="O816" s="265">
        <f>VALUE(ResultsInd[[#This Row],[Score-B]])</f>
        <v>0</v>
      </c>
      <c r="P816" s="265" t="str">
        <f ca="1">IF(AND(ResultsInd[[#This Row],[Category]]&lt;&gt;"",ResultsInd[[#This Row],[Player A]]&lt;&gt;""),COUNTIF(INDIRECT(ResultsInd[[#This Row],[Category]]&amp;"List[Retained Player Name]"),ResultsInd[[#This Row],[Player A]]),"")</f>
        <v/>
      </c>
      <c r="Q816" s="265" t="str">
        <f ca="1">IF(AND(ResultsInd[[#This Row],[Category]]&lt;&gt;"",ResultsInd[[#This Row],[Player B]]&lt;&gt;""),COUNTIF(INDIRECT(ResultsInd[[#This Row],[Category]]&amp;"List[Retained Player Name]"),ResultsInd[[#This Row],[Player B]]),"")</f>
        <v/>
      </c>
      <c r="R8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6" s="265" t="str">
        <f>IF(ResultsInd[[#This Row],[Score_OK]],IF(ResultsInd[[#This Row],[Stage]]="Groups",ResultsInd[[#This Row],[Category]]&amp;"-"&amp;IF(ResultsInd[[#This Row],[Player B]]="","",IF(ResultsInd[[#This Row],[Score-A]]=ResultsInd[[#This Row],[Score-B]],ResultsInd[[#This Row],[Player A]],"")),""),"")</f>
        <v/>
      </c>
      <c r="T816" s="265" t="str">
        <f>IF(ResultsInd[[#This Row],[Score_OK]],IF(ResultsInd[[#This Row],[Stage]]="Groups",ResultsInd[[#This Row],[Category]]&amp;"-"&amp;IF(ResultsInd[[#This Row],[Player B]]="","",IF(ResultsInd[[#This Row],[Score-A]]=ResultsInd[[#This Row],[Score-B]],ResultsInd[[#This Row],[Player B]],"")),""),"")</f>
        <v/>
      </c>
      <c r="U8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6" s="264" t="str">
        <f>IF(ResultsInd[[#This Row],[Category]]="","",VLOOKUP(ResultsInd[[#This Row],[Stage]],$P$1:$V$9,MATCH(ResultsInd[[#This Row],[Category]],$Q$1:$V$1,0)+1,FALSE))</f>
        <v/>
      </c>
      <c r="Z816" s="264" t="str">
        <f>IF(ResultsInd[[#This Row],[Score_OK]],IF(ResultsInd[[#This Row],[Level]]="R",ResultsInd[[#This Row],[Category]]&amp;"-"&amp;IF(ResultsInd[[#This Row],[LoseInKO]]=ResultsInd[[#This Row],[Category]]&amp;"-"&amp;ResultsInd[[#This Row],[Player A]],ResultsInd[[#This Row],[Player B]],ResultsInd[[#This Row],[Player A]]),""),"")</f>
        <v/>
      </c>
      <c r="AB816" s="8"/>
      <c r="AC816" s="8"/>
      <c r="AE816" s="90"/>
      <c r="AF816" s="90"/>
      <c r="AP816" s="8"/>
      <c r="AQ816" s="8"/>
      <c r="AR816" s="8"/>
      <c r="AS816" s="8"/>
      <c r="AT816" s="8"/>
      <c r="AU816" s="8"/>
      <c r="AV816" s="8"/>
      <c r="AW816" s="8"/>
      <c r="AX816" s="8"/>
      <c r="AY816" s="90"/>
      <c r="AZ816" s="90"/>
      <c r="BA816" s="90"/>
      <c r="BB816" s="90"/>
      <c r="BC816" s="90"/>
      <c r="BD816" s="90"/>
      <c r="BE816" s="90"/>
      <c r="BF816" s="90"/>
    </row>
    <row r="817" spans="1:58" x14ac:dyDescent="0.2">
      <c r="A817" s="62"/>
      <c r="B817" s="62"/>
      <c r="C817" s="62"/>
      <c r="D817" s="62"/>
      <c r="E817" s="345"/>
      <c r="F817" s="345"/>
      <c r="G817" s="113"/>
      <c r="H817" s="113"/>
      <c r="I817" s="114"/>
      <c r="J817" s="114"/>
      <c r="K817" s="114"/>
      <c r="L817" s="81"/>
      <c r="M817" s="265" t="b">
        <f>NOT(ISERROR(ResultsInd[[#This Row],[Goal-A]]+ResultsInd[[#This Row],[Goal-B]]))</f>
        <v>1</v>
      </c>
      <c r="N817" s="265">
        <f>VALUE(ResultsInd[[#This Row],[Score-A]])</f>
        <v>0</v>
      </c>
      <c r="O817" s="265">
        <f>VALUE(ResultsInd[[#This Row],[Score-B]])</f>
        <v>0</v>
      </c>
      <c r="P817" s="265" t="str">
        <f ca="1">IF(AND(ResultsInd[[#This Row],[Category]]&lt;&gt;"",ResultsInd[[#This Row],[Player A]]&lt;&gt;""),COUNTIF(INDIRECT(ResultsInd[[#This Row],[Category]]&amp;"List[Retained Player Name]"),ResultsInd[[#This Row],[Player A]]),"")</f>
        <v/>
      </c>
      <c r="Q817" s="265" t="str">
        <f ca="1">IF(AND(ResultsInd[[#This Row],[Category]]&lt;&gt;"",ResultsInd[[#This Row],[Player B]]&lt;&gt;""),COUNTIF(INDIRECT(ResultsInd[[#This Row],[Category]]&amp;"List[Retained Player Name]"),ResultsInd[[#This Row],[Player B]]),"")</f>
        <v/>
      </c>
      <c r="R8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7" s="265" t="str">
        <f>IF(ResultsInd[[#This Row],[Score_OK]],IF(ResultsInd[[#This Row],[Stage]]="Groups",ResultsInd[[#This Row],[Category]]&amp;"-"&amp;IF(ResultsInd[[#This Row],[Player B]]="","",IF(ResultsInd[[#This Row],[Score-A]]=ResultsInd[[#This Row],[Score-B]],ResultsInd[[#This Row],[Player A]],"")),""),"")</f>
        <v/>
      </c>
      <c r="T817" s="265" t="str">
        <f>IF(ResultsInd[[#This Row],[Score_OK]],IF(ResultsInd[[#This Row],[Stage]]="Groups",ResultsInd[[#This Row],[Category]]&amp;"-"&amp;IF(ResultsInd[[#This Row],[Player B]]="","",IF(ResultsInd[[#This Row],[Score-A]]=ResultsInd[[#This Row],[Score-B]],ResultsInd[[#This Row],[Player B]],"")),""),"")</f>
        <v/>
      </c>
      <c r="U8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7" s="264" t="str">
        <f>IF(ResultsInd[[#This Row],[Category]]="","",VLOOKUP(ResultsInd[[#This Row],[Stage]],$P$1:$V$9,MATCH(ResultsInd[[#This Row],[Category]],$Q$1:$V$1,0)+1,FALSE))</f>
        <v/>
      </c>
      <c r="Z817" s="264" t="str">
        <f>IF(ResultsInd[[#This Row],[Score_OK]],IF(ResultsInd[[#This Row],[Level]]="R",ResultsInd[[#This Row],[Category]]&amp;"-"&amp;IF(ResultsInd[[#This Row],[LoseInKO]]=ResultsInd[[#This Row],[Category]]&amp;"-"&amp;ResultsInd[[#This Row],[Player A]],ResultsInd[[#This Row],[Player B]],ResultsInd[[#This Row],[Player A]]),""),"")</f>
        <v/>
      </c>
      <c r="AB817" s="8"/>
      <c r="AC817" s="8"/>
      <c r="AE817" s="90"/>
      <c r="AF817" s="90"/>
      <c r="AP817" s="8"/>
      <c r="AQ817" s="8"/>
      <c r="AR817" s="8"/>
      <c r="AS817" s="8"/>
      <c r="AT817" s="8"/>
      <c r="AU817" s="8"/>
      <c r="AV817" s="8"/>
      <c r="AW817" s="8"/>
      <c r="AX817" s="8"/>
      <c r="AY817" s="90"/>
      <c r="AZ817" s="90"/>
      <c r="BA817" s="90"/>
      <c r="BB817" s="90"/>
      <c r="BC817" s="90"/>
      <c r="BD817" s="90"/>
      <c r="BE817" s="90"/>
      <c r="BF817" s="90"/>
    </row>
    <row r="818" spans="1:58" x14ac:dyDescent="0.2">
      <c r="A818" s="62"/>
      <c r="B818" s="62"/>
      <c r="C818" s="62"/>
      <c r="D818" s="62"/>
      <c r="E818" s="345"/>
      <c r="F818" s="345"/>
      <c r="G818" s="113"/>
      <c r="H818" s="113"/>
      <c r="I818" s="114"/>
      <c r="J818" s="114"/>
      <c r="K818" s="114"/>
      <c r="L818" s="81"/>
      <c r="M818" s="265" t="b">
        <f>NOT(ISERROR(ResultsInd[[#This Row],[Goal-A]]+ResultsInd[[#This Row],[Goal-B]]))</f>
        <v>1</v>
      </c>
      <c r="N818" s="265">
        <f>VALUE(ResultsInd[[#This Row],[Score-A]])</f>
        <v>0</v>
      </c>
      <c r="O818" s="265">
        <f>VALUE(ResultsInd[[#This Row],[Score-B]])</f>
        <v>0</v>
      </c>
      <c r="P818" s="265" t="str">
        <f ca="1">IF(AND(ResultsInd[[#This Row],[Category]]&lt;&gt;"",ResultsInd[[#This Row],[Player A]]&lt;&gt;""),COUNTIF(INDIRECT(ResultsInd[[#This Row],[Category]]&amp;"List[Retained Player Name]"),ResultsInd[[#This Row],[Player A]]),"")</f>
        <v/>
      </c>
      <c r="Q818" s="265" t="str">
        <f ca="1">IF(AND(ResultsInd[[#This Row],[Category]]&lt;&gt;"",ResultsInd[[#This Row],[Player B]]&lt;&gt;""),COUNTIF(INDIRECT(ResultsInd[[#This Row],[Category]]&amp;"List[Retained Player Name]"),ResultsInd[[#This Row],[Player B]]),"")</f>
        <v/>
      </c>
      <c r="R8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8" s="265" t="str">
        <f>IF(ResultsInd[[#This Row],[Score_OK]],IF(ResultsInd[[#This Row],[Stage]]="Groups",ResultsInd[[#This Row],[Category]]&amp;"-"&amp;IF(ResultsInd[[#This Row],[Player B]]="","",IF(ResultsInd[[#This Row],[Score-A]]=ResultsInd[[#This Row],[Score-B]],ResultsInd[[#This Row],[Player A]],"")),""),"")</f>
        <v/>
      </c>
      <c r="T818" s="265" t="str">
        <f>IF(ResultsInd[[#This Row],[Score_OK]],IF(ResultsInd[[#This Row],[Stage]]="Groups",ResultsInd[[#This Row],[Category]]&amp;"-"&amp;IF(ResultsInd[[#This Row],[Player B]]="","",IF(ResultsInd[[#This Row],[Score-A]]=ResultsInd[[#This Row],[Score-B]],ResultsInd[[#This Row],[Player B]],"")),""),"")</f>
        <v/>
      </c>
      <c r="U8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8" s="264" t="str">
        <f>IF(ResultsInd[[#This Row],[Category]]="","",VLOOKUP(ResultsInd[[#This Row],[Stage]],$P$1:$V$9,MATCH(ResultsInd[[#This Row],[Category]],$Q$1:$V$1,0)+1,FALSE))</f>
        <v/>
      </c>
      <c r="Z818" s="264" t="str">
        <f>IF(ResultsInd[[#This Row],[Score_OK]],IF(ResultsInd[[#This Row],[Level]]="R",ResultsInd[[#This Row],[Category]]&amp;"-"&amp;IF(ResultsInd[[#This Row],[LoseInKO]]=ResultsInd[[#This Row],[Category]]&amp;"-"&amp;ResultsInd[[#This Row],[Player A]],ResultsInd[[#This Row],[Player B]],ResultsInd[[#This Row],[Player A]]),""),"")</f>
        <v/>
      </c>
      <c r="AB818" s="8"/>
      <c r="AC818" s="8"/>
      <c r="AE818" s="90"/>
      <c r="AF818" s="90"/>
      <c r="AP818" s="8"/>
      <c r="AQ818" s="8"/>
      <c r="AR818" s="8"/>
      <c r="AS818" s="8"/>
      <c r="AT818" s="8"/>
      <c r="AU818" s="8"/>
      <c r="AV818" s="8"/>
      <c r="AW818" s="8"/>
      <c r="AX818" s="8"/>
      <c r="AY818" s="90"/>
      <c r="AZ818" s="90"/>
      <c r="BA818" s="90"/>
      <c r="BB818" s="90"/>
      <c r="BC818" s="90"/>
      <c r="BD818" s="90"/>
      <c r="BE818" s="90"/>
      <c r="BF818" s="90"/>
    </row>
    <row r="819" spans="1:58" x14ac:dyDescent="0.2">
      <c r="A819" s="62"/>
      <c r="B819" s="62"/>
      <c r="C819" s="62"/>
      <c r="D819" s="62"/>
      <c r="E819" s="345"/>
      <c r="F819" s="345"/>
      <c r="G819" s="113"/>
      <c r="H819" s="113"/>
      <c r="I819" s="114"/>
      <c r="J819" s="114"/>
      <c r="K819" s="114"/>
      <c r="L819" s="81"/>
      <c r="M819" s="265" t="b">
        <f>NOT(ISERROR(ResultsInd[[#This Row],[Goal-A]]+ResultsInd[[#This Row],[Goal-B]]))</f>
        <v>1</v>
      </c>
      <c r="N819" s="265">
        <f>VALUE(ResultsInd[[#This Row],[Score-A]])</f>
        <v>0</v>
      </c>
      <c r="O819" s="265">
        <f>VALUE(ResultsInd[[#This Row],[Score-B]])</f>
        <v>0</v>
      </c>
      <c r="P819" s="265" t="str">
        <f ca="1">IF(AND(ResultsInd[[#This Row],[Category]]&lt;&gt;"",ResultsInd[[#This Row],[Player A]]&lt;&gt;""),COUNTIF(INDIRECT(ResultsInd[[#This Row],[Category]]&amp;"List[Retained Player Name]"),ResultsInd[[#This Row],[Player A]]),"")</f>
        <v/>
      </c>
      <c r="Q819" s="265" t="str">
        <f ca="1">IF(AND(ResultsInd[[#This Row],[Category]]&lt;&gt;"",ResultsInd[[#This Row],[Player B]]&lt;&gt;""),COUNTIF(INDIRECT(ResultsInd[[#This Row],[Category]]&amp;"List[Retained Player Name]"),ResultsInd[[#This Row],[Player B]]),"")</f>
        <v/>
      </c>
      <c r="R8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9" s="265" t="str">
        <f>IF(ResultsInd[[#This Row],[Score_OK]],IF(ResultsInd[[#This Row],[Stage]]="Groups",ResultsInd[[#This Row],[Category]]&amp;"-"&amp;IF(ResultsInd[[#This Row],[Player B]]="","",IF(ResultsInd[[#This Row],[Score-A]]=ResultsInd[[#This Row],[Score-B]],ResultsInd[[#This Row],[Player A]],"")),""),"")</f>
        <v/>
      </c>
      <c r="T819" s="265" t="str">
        <f>IF(ResultsInd[[#This Row],[Score_OK]],IF(ResultsInd[[#This Row],[Stage]]="Groups",ResultsInd[[#This Row],[Category]]&amp;"-"&amp;IF(ResultsInd[[#This Row],[Player B]]="","",IF(ResultsInd[[#This Row],[Score-A]]=ResultsInd[[#This Row],[Score-B]],ResultsInd[[#This Row],[Player B]],"")),""),"")</f>
        <v/>
      </c>
      <c r="U8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9" s="264" t="str">
        <f>IF(ResultsInd[[#This Row],[Category]]="","",VLOOKUP(ResultsInd[[#This Row],[Stage]],$P$1:$V$9,MATCH(ResultsInd[[#This Row],[Category]],$Q$1:$V$1,0)+1,FALSE))</f>
        <v/>
      </c>
      <c r="Z819" s="264" t="str">
        <f>IF(ResultsInd[[#This Row],[Score_OK]],IF(ResultsInd[[#This Row],[Level]]="R",ResultsInd[[#This Row],[Category]]&amp;"-"&amp;IF(ResultsInd[[#This Row],[LoseInKO]]=ResultsInd[[#This Row],[Category]]&amp;"-"&amp;ResultsInd[[#This Row],[Player A]],ResultsInd[[#This Row],[Player B]],ResultsInd[[#This Row],[Player A]]),""),"")</f>
        <v/>
      </c>
      <c r="AB819" s="8"/>
      <c r="AC819" s="8"/>
      <c r="AE819" s="90"/>
      <c r="AF819" s="90"/>
      <c r="AP819" s="8"/>
      <c r="AQ819" s="8"/>
      <c r="AR819" s="8"/>
      <c r="AS819" s="8"/>
      <c r="AT819" s="8"/>
      <c r="AU819" s="8"/>
      <c r="AV819" s="8"/>
      <c r="AW819" s="8"/>
      <c r="AX819" s="8"/>
      <c r="AY819" s="90"/>
      <c r="AZ819" s="90"/>
      <c r="BA819" s="90"/>
      <c r="BB819" s="90"/>
      <c r="BC819" s="90"/>
      <c r="BD819" s="90"/>
      <c r="BE819" s="90"/>
      <c r="BF819" s="90"/>
    </row>
    <row r="820" spans="1:58" x14ac:dyDescent="0.2">
      <c r="A820" s="62"/>
      <c r="B820" s="62"/>
      <c r="C820" s="62"/>
      <c r="D820" s="62"/>
      <c r="E820" s="345"/>
      <c r="F820" s="345"/>
      <c r="G820" s="113"/>
      <c r="H820" s="113"/>
      <c r="I820" s="114"/>
      <c r="J820" s="114"/>
      <c r="K820" s="114"/>
      <c r="L820" s="81"/>
      <c r="M820" s="265" t="b">
        <f>NOT(ISERROR(ResultsInd[[#This Row],[Goal-A]]+ResultsInd[[#This Row],[Goal-B]]))</f>
        <v>1</v>
      </c>
      <c r="N820" s="265">
        <f>VALUE(ResultsInd[[#This Row],[Score-A]])</f>
        <v>0</v>
      </c>
      <c r="O820" s="265">
        <f>VALUE(ResultsInd[[#This Row],[Score-B]])</f>
        <v>0</v>
      </c>
      <c r="P820" s="265" t="str">
        <f ca="1">IF(AND(ResultsInd[[#This Row],[Category]]&lt;&gt;"",ResultsInd[[#This Row],[Player A]]&lt;&gt;""),COUNTIF(INDIRECT(ResultsInd[[#This Row],[Category]]&amp;"List[Retained Player Name]"),ResultsInd[[#This Row],[Player A]]),"")</f>
        <v/>
      </c>
      <c r="Q820" s="265" t="str">
        <f ca="1">IF(AND(ResultsInd[[#This Row],[Category]]&lt;&gt;"",ResultsInd[[#This Row],[Player B]]&lt;&gt;""),COUNTIF(INDIRECT(ResultsInd[[#This Row],[Category]]&amp;"List[Retained Player Name]"),ResultsInd[[#This Row],[Player B]]),"")</f>
        <v/>
      </c>
      <c r="R8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0" s="265" t="str">
        <f>IF(ResultsInd[[#This Row],[Score_OK]],IF(ResultsInd[[#This Row],[Stage]]="Groups",ResultsInd[[#This Row],[Category]]&amp;"-"&amp;IF(ResultsInd[[#This Row],[Player B]]="","",IF(ResultsInd[[#This Row],[Score-A]]=ResultsInd[[#This Row],[Score-B]],ResultsInd[[#This Row],[Player A]],"")),""),"")</f>
        <v/>
      </c>
      <c r="T820" s="265" t="str">
        <f>IF(ResultsInd[[#This Row],[Score_OK]],IF(ResultsInd[[#This Row],[Stage]]="Groups",ResultsInd[[#This Row],[Category]]&amp;"-"&amp;IF(ResultsInd[[#This Row],[Player B]]="","",IF(ResultsInd[[#This Row],[Score-A]]=ResultsInd[[#This Row],[Score-B]],ResultsInd[[#This Row],[Player B]],"")),""),"")</f>
        <v/>
      </c>
      <c r="U8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0" s="264" t="str">
        <f>IF(ResultsInd[[#This Row],[Category]]="","",VLOOKUP(ResultsInd[[#This Row],[Stage]],$P$1:$V$9,MATCH(ResultsInd[[#This Row],[Category]],$Q$1:$V$1,0)+1,FALSE))</f>
        <v/>
      </c>
      <c r="Z820" s="264" t="str">
        <f>IF(ResultsInd[[#This Row],[Score_OK]],IF(ResultsInd[[#This Row],[Level]]="R",ResultsInd[[#This Row],[Category]]&amp;"-"&amp;IF(ResultsInd[[#This Row],[LoseInKO]]=ResultsInd[[#This Row],[Category]]&amp;"-"&amp;ResultsInd[[#This Row],[Player A]],ResultsInd[[#This Row],[Player B]],ResultsInd[[#This Row],[Player A]]),""),"")</f>
        <v/>
      </c>
      <c r="AB820" s="8"/>
      <c r="AC820" s="8"/>
      <c r="AE820" s="90"/>
      <c r="AF820" s="90"/>
      <c r="AP820" s="8"/>
      <c r="AQ820" s="8"/>
      <c r="AR820" s="8"/>
      <c r="AS820" s="8"/>
      <c r="AT820" s="8"/>
      <c r="AU820" s="8"/>
      <c r="AV820" s="8"/>
      <c r="AW820" s="8"/>
      <c r="AX820" s="8"/>
      <c r="AY820" s="90"/>
      <c r="AZ820" s="90"/>
      <c r="BA820" s="90"/>
      <c r="BB820" s="90"/>
      <c r="BC820" s="90"/>
      <c r="BD820" s="90"/>
      <c r="BE820" s="90"/>
      <c r="BF820" s="90"/>
    </row>
    <row r="821" spans="1:58" x14ac:dyDescent="0.2">
      <c r="A821" s="62"/>
      <c r="B821" s="62"/>
      <c r="C821" s="62"/>
      <c r="D821" s="62"/>
      <c r="E821" s="345"/>
      <c r="F821" s="345"/>
      <c r="G821" s="113"/>
      <c r="H821" s="113"/>
      <c r="I821" s="114"/>
      <c r="J821" s="114"/>
      <c r="K821" s="114"/>
      <c r="L821" s="81"/>
      <c r="M821" s="265" t="b">
        <f>NOT(ISERROR(ResultsInd[[#This Row],[Goal-A]]+ResultsInd[[#This Row],[Goal-B]]))</f>
        <v>1</v>
      </c>
      <c r="N821" s="265">
        <f>VALUE(ResultsInd[[#This Row],[Score-A]])</f>
        <v>0</v>
      </c>
      <c r="O821" s="265">
        <f>VALUE(ResultsInd[[#This Row],[Score-B]])</f>
        <v>0</v>
      </c>
      <c r="P821" s="265" t="str">
        <f ca="1">IF(AND(ResultsInd[[#This Row],[Category]]&lt;&gt;"",ResultsInd[[#This Row],[Player A]]&lt;&gt;""),COUNTIF(INDIRECT(ResultsInd[[#This Row],[Category]]&amp;"List[Retained Player Name]"),ResultsInd[[#This Row],[Player A]]),"")</f>
        <v/>
      </c>
      <c r="Q821" s="265" t="str">
        <f ca="1">IF(AND(ResultsInd[[#This Row],[Category]]&lt;&gt;"",ResultsInd[[#This Row],[Player B]]&lt;&gt;""),COUNTIF(INDIRECT(ResultsInd[[#This Row],[Category]]&amp;"List[Retained Player Name]"),ResultsInd[[#This Row],[Player B]]),"")</f>
        <v/>
      </c>
      <c r="R8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1" s="265" t="str">
        <f>IF(ResultsInd[[#This Row],[Score_OK]],IF(ResultsInd[[#This Row],[Stage]]="Groups",ResultsInd[[#This Row],[Category]]&amp;"-"&amp;IF(ResultsInd[[#This Row],[Player B]]="","",IF(ResultsInd[[#This Row],[Score-A]]=ResultsInd[[#This Row],[Score-B]],ResultsInd[[#This Row],[Player A]],"")),""),"")</f>
        <v/>
      </c>
      <c r="T821" s="265" t="str">
        <f>IF(ResultsInd[[#This Row],[Score_OK]],IF(ResultsInd[[#This Row],[Stage]]="Groups",ResultsInd[[#This Row],[Category]]&amp;"-"&amp;IF(ResultsInd[[#This Row],[Player B]]="","",IF(ResultsInd[[#This Row],[Score-A]]=ResultsInd[[#This Row],[Score-B]],ResultsInd[[#This Row],[Player B]],"")),""),"")</f>
        <v/>
      </c>
      <c r="U8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1" s="264" t="str">
        <f>IF(ResultsInd[[#This Row],[Category]]="","",VLOOKUP(ResultsInd[[#This Row],[Stage]],$P$1:$V$9,MATCH(ResultsInd[[#This Row],[Category]],$Q$1:$V$1,0)+1,FALSE))</f>
        <v/>
      </c>
      <c r="Z821" s="264" t="str">
        <f>IF(ResultsInd[[#This Row],[Score_OK]],IF(ResultsInd[[#This Row],[Level]]="R",ResultsInd[[#This Row],[Category]]&amp;"-"&amp;IF(ResultsInd[[#This Row],[LoseInKO]]=ResultsInd[[#This Row],[Category]]&amp;"-"&amp;ResultsInd[[#This Row],[Player A]],ResultsInd[[#This Row],[Player B]],ResultsInd[[#This Row],[Player A]]),""),"")</f>
        <v/>
      </c>
      <c r="AB821" s="8"/>
      <c r="AC821" s="8"/>
      <c r="AE821" s="90"/>
      <c r="AF821" s="90"/>
      <c r="AP821" s="8"/>
      <c r="AQ821" s="8"/>
      <c r="AR821" s="8"/>
      <c r="AS821" s="8"/>
      <c r="AT821" s="8"/>
      <c r="AU821" s="8"/>
      <c r="AV821" s="8"/>
      <c r="AW821" s="8"/>
      <c r="AX821" s="8"/>
      <c r="AY821" s="90"/>
      <c r="AZ821" s="90"/>
      <c r="BA821" s="90"/>
      <c r="BB821" s="90"/>
      <c r="BC821" s="90"/>
      <c r="BD821" s="90"/>
      <c r="BE821" s="90"/>
      <c r="BF821" s="90"/>
    </row>
    <row r="822" spans="1:58" x14ac:dyDescent="0.2">
      <c r="A822" s="62"/>
      <c r="B822" s="62"/>
      <c r="C822" s="62"/>
      <c r="D822" s="62"/>
      <c r="E822" s="345"/>
      <c r="F822" s="345"/>
      <c r="G822" s="113"/>
      <c r="H822" s="113"/>
      <c r="I822" s="114"/>
      <c r="J822" s="114"/>
      <c r="K822" s="114"/>
      <c r="L822" s="81"/>
      <c r="M822" s="265" t="b">
        <f>NOT(ISERROR(ResultsInd[[#This Row],[Goal-A]]+ResultsInd[[#This Row],[Goal-B]]))</f>
        <v>1</v>
      </c>
      <c r="N822" s="265">
        <f>VALUE(ResultsInd[[#This Row],[Score-A]])</f>
        <v>0</v>
      </c>
      <c r="O822" s="265">
        <f>VALUE(ResultsInd[[#This Row],[Score-B]])</f>
        <v>0</v>
      </c>
      <c r="P822" s="265" t="str">
        <f ca="1">IF(AND(ResultsInd[[#This Row],[Category]]&lt;&gt;"",ResultsInd[[#This Row],[Player A]]&lt;&gt;""),COUNTIF(INDIRECT(ResultsInd[[#This Row],[Category]]&amp;"List[Retained Player Name]"),ResultsInd[[#This Row],[Player A]]),"")</f>
        <v/>
      </c>
      <c r="Q822" s="265" t="str">
        <f ca="1">IF(AND(ResultsInd[[#This Row],[Category]]&lt;&gt;"",ResultsInd[[#This Row],[Player B]]&lt;&gt;""),COUNTIF(INDIRECT(ResultsInd[[#This Row],[Category]]&amp;"List[Retained Player Name]"),ResultsInd[[#This Row],[Player B]]),"")</f>
        <v/>
      </c>
      <c r="R8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2" s="265" t="str">
        <f>IF(ResultsInd[[#This Row],[Score_OK]],IF(ResultsInd[[#This Row],[Stage]]="Groups",ResultsInd[[#This Row],[Category]]&amp;"-"&amp;IF(ResultsInd[[#This Row],[Player B]]="","",IF(ResultsInd[[#This Row],[Score-A]]=ResultsInd[[#This Row],[Score-B]],ResultsInd[[#This Row],[Player A]],"")),""),"")</f>
        <v/>
      </c>
      <c r="T822" s="265" t="str">
        <f>IF(ResultsInd[[#This Row],[Score_OK]],IF(ResultsInd[[#This Row],[Stage]]="Groups",ResultsInd[[#This Row],[Category]]&amp;"-"&amp;IF(ResultsInd[[#This Row],[Player B]]="","",IF(ResultsInd[[#This Row],[Score-A]]=ResultsInd[[#This Row],[Score-B]],ResultsInd[[#This Row],[Player B]],"")),""),"")</f>
        <v/>
      </c>
      <c r="U8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2" s="264" t="str">
        <f>IF(ResultsInd[[#This Row],[Category]]="","",VLOOKUP(ResultsInd[[#This Row],[Stage]],$P$1:$V$9,MATCH(ResultsInd[[#This Row],[Category]],$Q$1:$V$1,0)+1,FALSE))</f>
        <v/>
      </c>
      <c r="Z822" s="264" t="str">
        <f>IF(ResultsInd[[#This Row],[Score_OK]],IF(ResultsInd[[#This Row],[Level]]="R",ResultsInd[[#This Row],[Category]]&amp;"-"&amp;IF(ResultsInd[[#This Row],[LoseInKO]]=ResultsInd[[#This Row],[Category]]&amp;"-"&amp;ResultsInd[[#This Row],[Player A]],ResultsInd[[#This Row],[Player B]],ResultsInd[[#This Row],[Player A]]),""),"")</f>
        <v/>
      </c>
      <c r="AB822" s="8"/>
      <c r="AC822" s="8"/>
      <c r="AE822" s="90"/>
      <c r="AF822" s="90"/>
      <c r="AP822" s="8"/>
      <c r="AQ822" s="8"/>
      <c r="AR822" s="8"/>
      <c r="AS822" s="8"/>
      <c r="AT822" s="8"/>
      <c r="AU822" s="8"/>
      <c r="AV822" s="8"/>
      <c r="AW822" s="8"/>
      <c r="AX822" s="8"/>
      <c r="AY822" s="90"/>
      <c r="AZ822" s="90"/>
      <c r="BA822" s="90"/>
      <c r="BB822" s="90"/>
      <c r="BC822" s="90"/>
      <c r="BD822" s="90"/>
      <c r="BE822" s="90"/>
      <c r="BF822" s="90"/>
    </row>
    <row r="823" spans="1:58" x14ac:dyDescent="0.2">
      <c r="A823" s="62"/>
      <c r="B823" s="62"/>
      <c r="C823" s="62"/>
      <c r="D823" s="62"/>
      <c r="E823" s="345"/>
      <c r="F823" s="345"/>
      <c r="G823" s="113"/>
      <c r="H823" s="113"/>
      <c r="I823" s="114"/>
      <c r="J823" s="114"/>
      <c r="K823" s="114"/>
      <c r="L823" s="81"/>
      <c r="M823" s="265" t="b">
        <f>NOT(ISERROR(ResultsInd[[#This Row],[Goal-A]]+ResultsInd[[#This Row],[Goal-B]]))</f>
        <v>1</v>
      </c>
      <c r="N823" s="265">
        <f>VALUE(ResultsInd[[#This Row],[Score-A]])</f>
        <v>0</v>
      </c>
      <c r="O823" s="265">
        <f>VALUE(ResultsInd[[#This Row],[Score-B]])</f>
        <v>0</v>
      </c>
      <c r="P823" s="265" t="str">
        <f ca="1">IF(AND(ResultsInd[[#This Row],[Category]]&lt;&gt;"",ResultsInd[[#This Row],[Player A]]&lt;&gt;""),COUNTIF(INDIRECT(ResultsInd[[#This Row],[Category]]&amp;"List[Retained Player Name]"),ResultsInd[[#This Row],[Player A]]),"")</f>
        <v/>
      </c>
      <c r="Q823" s="265" t="str">
        <f ca="1">IF(AND(ResultsInd[[#This Row],[Category]]&lt;&gt;"",ResultsInd[[#This Row],[Player B]]&lt;&gt;""),COUNTIF(INDIRECT(ResultsInd[[#This Row],[Category]]&amp;"List[Retained Player Name]"),ResultsInd[[#This Row],[Player B]]),"")</f>
        <v/>
      </c>
      <c r="R8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3" s="265" t="str">
        <f>IF(ResultsInd[[#This Row],[Score_OK]],IF(ResultsInd[[#This Row],[Stage]]="Groups",ResultsInd[[#This Row],[Category]]&amp;"-"&amp;IF(ResultsInd[[#This Row],[Player B]]="","",IF(ResultsInd[[#This Row],[Score-A]]=ResultsInd[[#This Row],[Score-B]],ResultsInd[[#This Row],[Player A]],"")),""),"")</f>
        <v/>
      </c>
      <c r="T823" s="265" t="str">
        <f>IF(ResultsInd[[#This Row],[Score_OK]],IF(ResultsInd[[#This Row],[Stage]]="Groups",ResultsInd[[#This Row],[Category]]&amp;"-"&amp;IF(ResultsInd[[#This Row],[Player B]]="","",IF(ResultsInd[[#This Row],[Score-A]]=ResultsInd[[#This Row],[Score-B]],ResultsInd[[#This Row],[Player B]],"")),""),"")</f>
        <v/>
      </c>
      <c r="U8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3" s="264" t="str">
        <f>IF(ResultsInd[[#This Row],[Category]]="","",VLOOKUP(ResultsInd[[#This Row],[Stage]],$P$1:$V$9,MATCH(ResultsInd[[#This Row],[Category]],$Q$1:$V$1,0)+1,FALSE))</f>
        <v/>
      </c>
      <c r="Z823" s="264" t="str">
        <f>IF(ResultsInd[[#This Row],[Score_OK]],IF(ResultsInd[[#This Row],[Level]]="R",ResultsInd[[#This Row],[Category]]&amp;"-"&amp;IF(ResultsInd[[#This Row],[LoseInKO]]=ResultsInd[[#This Row],[Category]]&amp;"-"&amp;ResultsInd[[#This Row],[Player A]],ResultsInd[[#This Row],[Player B]],ResultsInd[[#This Row],[Player A]]),""),"")</f>
        <v/>
      </c>
      <c r="AB823" s="8"/>
      <c r="AC823" s="8"/>
      <c r="AE823" s="90"/>
      <c r="AF823" s="90"/>
      <c r="AP823" s="8"/>
      <c r="AQ823" s="8"/>
      <c r="AR823" s="8"/>
      <c r="AS823" s="8"/>
      <c r="AT823" s="8"/>
      <c r="AU823" s="8"/>
      <c r="AV823" s="8"/>
      <c r="AW823" s="8"/>
      <c r="AX823" s="8"/>
      <c r="AY823" s="90"/>
      <c r="AZ823" s="90"/>
      <c r="BA823" s="90"/>
      <c r="BB823" s="90"/>
      <c r="BC823" s="90"/>
      <c r="BD823" s="90"/>
      <c r="BE823" s="90"/>
      <c r="BF823" s="90"/>
    </row>
    <row r="824" spans="1:58" x14ac:dyDescent="0.2">
      <c r="A824" s="62"/>
      <c r="B824" s="62"/>
      <c r="C824" s="62"/>
      <c r="D824" s="62"/>
      <c r="E824" s="345"/>
      <c r="F824" s="345"/>
      <c r="G824" s="113"/>
      <c r="H824" s="113"/>
      <c r="I824" s="114"/>
      <c r="J824" s="114"/>
      <c r="K824" s="114"/>
      <c r="L824" s="81"/>
      <c r="M824" s="265" t="b">
        <f>NOT(ISERROR(ResultsInd[[#This Row],[Goal-A]]+ResultsInd[[#This Row],[Goal-B]]))</f>
        <v>1</v>
      </c>
      <c r="N824" s="265">
        <f>VALUE(ResultsInd[[#This Row],[Score-A]])</f>
        <v>0</v>
      </c>
      <c r="O824" s="265">
        <f>VALUE(ResultsInd[[#This Row],[Score-B]])</f>
        <v>0</v>
      </c>
      <c r="P824" s="265" t="str">
        <f ca="1">IF(AND(ResultsInd[[#This Row],[Category]]&lt;&gt;"",ResultsInd[[#This Row],[Player A]]&lt;&gt;""),COUNTIF(INDIRECT(ResultsInd[[#This Row],[Category]]&amp;"List[Retained Player Name]"),ResultsInd[[#This Row],[Player A]]),"")</f>
        <v/>
      </c>
      <c r="Q824" s="265" t="str">
        <f ca="1">IF(AND(ResultsInd[[#This Row],[Category]]&lt;&gt;"",ResultsInd[[#This Row],[Player B]]&lt;&gt;""),COUNTIF(INDIRECT(ResultsInd[[#This Row],[Category]]&amp;"List[Retained Player Name]"),ResultsInd[[#This Row],[Player B]]),"")</f>
        <v/>
      </c>
      <c r="R8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4" s="265" t="str">
        <f>IF(ResultsInd[[#This Row],[Score_OK]],IF(ResultsInd[[#This Row],[Stage]]="Groups",ResultsInd[[#This Row],[Category]]&amp;"-"&amp;IF(ResultsInd[[#This Row],[Player B]]="","",IF(ResultsInd[[#This Row],[Score-A]]=ResultsInd[[#This Row],[Score-B]],ResultsInd[[#This Row],[Player A]],"")),""),"")</f>
        <v/>
      </c>
      <c r="T824" s="265" t="str">
        <f>IF(ResultsInd[[#This Row],[Score_OK]],IF(ResultsInd[[#This Row],[Stage]]="Groups",ResultsInd[[#This Row],[Category]]&amp;"-"&amp;IF(ResultsInd[[#This Row],[Player B]]="","",IF(ResultsInd[[#This Row],[Score-A]]=ResultsInd[[#This Row],[Score-B]],ResultsInd[[#This Row],[Player B]],"")),""),"")</f>
        <v/>
      </c>
      <c r="U8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4" s="264" t="str">
        <f>IF(ResultsInd[[#This Row],[Category]]="","",VLOOKUP(ResultsInd[[#This Row],[Stage]],$P$1:$V$9,MATCH(ResultsInd[[#This Row],[Category]],$Q$1:$V$1,0)+1,FALSE))</f>
        <v/>
      </c>
      <c r="Z824" s="264" t="str">
        <f>IF(ResultsInd[[#This Row],[Score_OK]],IF(ResultsInd[[#This Row],[Level]]="R",ResultsInd[[#This Row],[Category]]&amp;"-"&amp;IF(ResultsInd[[#This Row],[LoseInKO]]=ResultsInd[[#This Row],[Category]]&amp;"-"&amp;ResultsInd[[#This Row],[Player A]],ResultsInd[[#This Row],[Player B]],ResultsInd[[#This Row],[Player A]]),""),"")</f>
        <v/>
      </c>
      <c r="AB824" s="8"/>
      <c r="AC824" s="8"/>
      <c r="AE824" s="90"/>
      <c r="AF824" s="90"/>
      <c r="AP824" s="8"/>
      <c r="AQ824" s="8"/>
      <c r="AR824" s="8"/>
      <c r="AS824" s="8"/>
      <c r="AT824" s="8"/>
      <c r="AU824" s="8"/>
      <c r="AV824" s="8"/>
      <c r="AW824" s="8"/>
      <c r="AX824" s="8"/>
      <c r="AY824" s="90"/>
      <c r="AZ824" s="90"/>
      <c r="BA824" s="90"/>
      <c r="BB824" s="90"/>
      <c r="BC824" s="90"/>
      <c r="BD824" s="90"/>
      <c r="BE824" s="90"/>
      <c r="BF824" s="90"/>
    </row>
    <row r="825" spans="1:58" x14ac:dyDescent="0.2">
      <c r="A825" s="62"/>
      <c r="B825" s="62"/>
      <c r="C825" s="62"/>
      <c r="D825" s="62"/>
      <c r="E825" s="345"/>
      <c r="F825" s="345"/>
      <c r="G825" s="113"/>
      <c r="H825" s="113"/>
      <c r="I825" s="114"/>
      <c r="J825" s="114"/>
      <c r="K825" s="114"/>
      <c r="L825" s="81"/>
      <c r="M825" s="265" t="b">
        <f>NOT(ISERROR(ResultsInd[[#This Row],[Goal-A]]+ResultsInd[[#This Row],[Goal-B]]))</f>
        <v>1</v>
      </c>
      <c r="N825" s="265">
        <f>VALUE(ResultsInd[[#This Row],[Score-A]])</f>
        <v>0</v>
      </c>
      <c r="O825" s="265">
        <f>VALUE(ResultsInd[[#This Row],[Score-B]])</f>
        <v>0</v>
      </c>
      <c r="P825" s="265" t="str">
        <f ca="1">IF(AND(ResultsInd[[#This Row],[Category]]&lt;&gt;"",ResultsInd[[#This Row],[Player A]]&lt;&gt;""),COUNTIF(INDIRECT(ResultsInd[[#This Row],[Category]]&amp;"List[Retained Player Name]"),ResultsInd[[#This Row],[Player A]]),"")</f>
        <v/>
      </c>
      <c r="Q825" s="265" t="str">
        <f ca="1">IF(AND(ResultsInd[[#This Row],[Category]]&lt;&gt;"",ResultsInd[[#This Row],[Player B]]&lt;&gt;""),COUNTIF(INDIRECT(ResultsInd[[#This Row],[Category]]&amp;"List[Retained Player Name]"),ResultsInd[[#This Row],[Player B]]),"")</f>
        <v/>
      </c>
      <c r="R8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5" s="265" t="str">
        <f>IF(ResultsInd[[#This Row],[Score_OK]],IF(ResultsInd[[#This Row],[Stage]]="Groups",ResultsInd[[#This Row],[Category]]&amp;"-"&amp;IF(ResultsInd[[#This Row],[Player B]]="","",IF(ResultsInd[[#This Row],[Score-A]]=ResultsInd[[#This Row],[Score-B]],ResultsInd[[#This Row],[Player A]],"")),""),"")</f>
        <v/>
      </c>
      <c r="T825" s="265" t="str">
        <f>IF(ResultsInd[[#This Row],[Score_OK]],IF(ResultsInd[[#This Row],[Stage]]="Groups",ResultsInd[[#This Row],[Category]]&amp;"-"&amp;IF(ResultsInd[[#This Row],[Player B]]="","",IF(ResultsInd[[#This Row],[Score-A]]=ResultsInd[[#This Row],[Score-B]],ResultsInd[[#This Row],[Player B]],"")),""),"")</f>
        <v/>
      </c>
      <c r="U8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5" s="264" t="str">
        <f>IF(ResultsInd[[#This Row],[Category]]="","",VLOOKUP(ResultsInd[[#This Row],[Stage]],$P$1:$V$9,MATCH(ResultsInd[[#This Row],[Category]],$Q$1:$V$1,0)+1,FALSE))</f>
        <v/>
      </c>
      <c r="Z825" s="264" t="str">
        <f>IF(ResultsInd[[#This Row],[Score_OK]],IF(ResultsInd[[#This Row],[Level]]="R",ResultsInd[[#This Row],[Category]]&amp;"-"&amp;IF(ResultsInd[[#This Row],[LoseInKO]]=ResultsInd[[#This Row],[Category]]&amp;"-"&amp;ResultsInd[[#This Row],[Player A]],ResultsInd[[#This Row],[Player B]],ResultsInd[[#This Row],[Player A]]),""),"")</f>
        <v/>
      </c>
      <c r="AB825" s="8"/>
      <c r="AC825" s="8"/>
      <c r="AE825" s="90"/>
      <c r="AF825" s="90"/>
      <c r="AP825" s="8"/>
      <c r="AQ825" s="8"/>
      <c r="AR825" s="8"/>
      <c r="AS825" s="8"/>
      <c r="AT825" s="8"/>
      <c r="AU825" s="8"/>
      <c r="AV825" s="8"/>
      <c r="AW825" s="8"/>
      <c r="AX825" s="8"/>
      <c r="AY825" s="90"/>
      <c r="AZ825" s="90"/>
      <c r="BA825" s="90"/>
      <c r="BB825" s="90"/>
      <c r="BC825" s="90"/>
      <c r="BD825" s="90"/>
      <c r="BE825" s="90"/>
      <c r="BF825" s="90"/>
    </row>
    <row r="826" spans="1:58" x14ac:dyDescent="0.2">
      <c r="A826" s="62"/>
      <c r="B826" s="62"/>
      <c r="C826" s="62"/>
      <c r="D826" s="62"/>
      <c r="E826" s="345"/>
      <c r="F826" s="345"/>
      <c r="G826" s="113"/>
      <c r="H826" s="113"/>
      <c r="I826" s="114"/>
      <c r="J826" s="114"/>
      <c r="K826" s="114"/>
      <c r="L826" s="81"/>
      <c r="M826" s="265" t="b">
        <f>NOT(ISERROR(ResultsInd[[#This Row],[Goal-A]]+ResultsInd[[#This Row],[Goal-B]]))</f>
        <v>1</v>
      </c>
      <c r="N826" s="265">
        <f>VALUE(ResultsInd[[#This Row],[Score-A]])</f>
        <v>0</v>
      </c>
      <c r="O826" s="265">
        <f>VALUE(ResultsInd[[#This Row],[Score-B]])</f>
        <v>0</v>
      </c>
      <c r="P826" s="265" t="str">
        <f ca="1">IF(AND(ResultsInd[[#This Row],[Category]]&lt;&gt;"",ResultsInd[[#This Row],[Player A]]&lt;&gt;""),COUNTIF(INDIRECT(ResultsInd[[#This Row],[Category]]&amp;"List[Retained Player Name]"),ResultsInd[[#This Row],[Player A]]),"")</f>
        <v/>
      </c>
      <c r="Q826" s="265" t="str">
        <f ca="1">IF(AND(ResultsInd[[#This Row],[Category]]&lt;&gt;"",ResultsInd[[#This Row],[Player B]]&lt;&gt;""),COUNTIF(INDIRECT(ResultsInd[[#This Row],[Category]]&amp;"List[Retained Player Name]"),ResultsInd[[#This Row],[Player B]]),"")</f>
        <v/>
      </c>
      <c r="R8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6" s="265" t="str">
        <f>IF(ResultsInd[[#This Row],[Score_OK]],IF(ResultsInd[[#This Row],[Stage]]="Groups",ResultsInd[[#This Row],[Category]]&amp;"-"&amp;IF(ResultsInd[[#This Row],[Player B]]="","",IF(ResultsInd[[#This Row],[Score-A]]=ResultsInd[[#This Row],[Score-B]],ResultsInd[[#This Row],[Player A]],"")),""),"")</f>
        <v/>
      </c>
      <c r="T826" s="265" t="str">
        <f>IF(ResultsInd[[#This Row],[Score_OK]],IF(ResultsInd[[#This Row],[Stage]]="Groups",ResultsInd[[#This Row],[Category]]&amp;"-"&amp;IF(ResultsInd[[#This Row],[Player B]]="","",IF(ResultsInd[[#This Row],[Score-A]]=ResultsInd[[#This Row],[Score-B]],ResultsInd[[#This Row],[Player B]],"")),""),"")</f>
        <v/>
      </c>
      <c r="U8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6" s="264" t="str">
        <f>IF(ResultsInd[[#This Row],[Category]]="","",VLOOKUP(ResultsInd[[#This Row],[Stage]],$P$1:$V$9,MATCH(ResultsInd[[#This Row],[Category]],$Q$1:$V$1,0)+1,FALSE))</f>
        <v/>
      </c>
      <c r="Z826" s="264" t="str">
        <f>IF(ResultsInd[[#This Row],[Score_OK]],IF(ResultsInd[[#This Row],[Level]]="R",ResultsInd[[#This Row],[Category]]&amp;"-"&amp;IF(ResultsInd[[#This Row],[LoseInKO]]=ResultsInd[[#This Row],[Category]]&amp;"-"&amp;ResultsInd[[#This Row],[Player A]],ResultsInd[[#This Row],[Player B]],ResultsInd[[#This Row],[Player A]]),""),"")</f>
        <v/>
      </c>
      <c r="AB826" s="8"/>
      <c r="AC826" s="8"/>
      <c r="AE826" s="90"/>
      <c r="AF826" s="90"/>
      <c r="AP826" s="8"/>
      <c r="AQ826" s="8"/>
      <c r="AR826" s="8"/>
      <c r="AS826" s="8"/>
      <c r="AT826" s="8"/>
      <c r="AU826" s="8"/>
      <c r="AV826" s="8"/>
      <c r="AW826" s="8"/>
      <c r="AX826" s="8"/>
      <c r="AY826" s="90"/>
      <c r="AZ826" s="90"/>
      <c r="BA826" s="90"/>
      <c r="BB826" s="90"/>
      <c r="BC826" s="90"/>
      <c r="BD826" s="90"/>
      <c r="BE826" s="90"/>
      <c r="BF826" s="90"/>
    </row>
    <row r="827" spans="1:58" x14ac:dyDescent="0.2">
      <c r="A827" s="62"/>
      <c r="B827" s="62"/>
      <c r="C827" s="62"/>
      <c r="D827" s="62"/>
      <c r="E827" s="345"/>
      <c r="F827" s="345"/>
      <c r="G827" s="113"/>
      <c r="H827" s="113"/>
      <c r="I827" s="114"/>
      <c r="J827" s="114"/>
      <c r="K827" s="114"/>
      <c r="L827" s="81"/>
      <c r="M827" s="265" t="b">
        <f>NOT(ISERROR(ResultsInd[[#This Row],[Goal-A]]+ResultsInd[[#This Row],[Goal-B]]))</f>
        <v>1</v>
      </c>
      <c r="N827" s="265">
        <f>VALUE(ResultsInd[[#This Row],[Score-A]])</f>
        <v>0</v>
      </c>
      <c r="O827" s="265">
        <f>VALUE(ResultsInd[[#This Row],[Score-B]])</f>
        <v>0</v>
      </c>
      <c r="P827" s="265" t="str">
        <f ca="1">IF(AND(ResultsInd[[#This Row],[Category]]&lt;&gt;"",ResultsInd[[#This Row],[Player A]]&lt;&gt;""),COUNTIF(INDIRECT(ResultsInd[[#This Row],[Category]]&amp;"List[Retained Player Name]"),ResultsInd[[#This Row],[Player A]]),"")</f>
        <v/>
      </c>
      <c r="Q827" s="265" t="str">
        <f ca="1">IF(AND(ResultsInd[[#This Row],[Category]]&lt;&gt;"",ResultsInd[[#This Row],[Player B]]&lt;&gt;""),COUNTIF(INDIRECT(ResultsInd[[#This Row],[Category]]&amp;"List[Retained Player Name]"),ResultsInd[[#This Row],[Player B]]),"")</f>
        <v/>
      </c>
      <c r="R8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7" s="265" t="str">
        <f>IF(ResultsInd[[#This Row],[Score_OK]],IF(ResultsInd[[#This Row],[Stage]]="Groups",ResultsInd[[#This Row],[Category]]&amp;"-"&amp;IF(ResultsInd[[#This Row],[Player B]]="","",IF(ResultsInd[[#This Row],[Score-A]]=ResultsInd[[#This Row],[Score-B]],ResultsInd[[#This Row],[Player A]],"")),""),"")</f>
        <v/>
      </c>
      <c r="T827" s="265" t="str">
        <f>IF(ResultsInd[[#This Row],[Score_OK]],IF(ResultsInd[[#This Row],[Stage]]="Groups",ResultsInd[[#This Row],[Category]]&amp;"-"&amp;IF(ResultsInd[[#This Row],[Player B]]="","",IF(ResultsInd[[#This Row],[Score-A]]=ResultsInd[[#This Row],[Score-B]],ResultsInd[[#This Row],[Player B]],"")),""),"")</f>
        <v/>
      </c>
      <c r="U8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7" s="264" t="str">
        <f>IF(ResultsInd[[#This Row],[Category]]="","",VLOOKUP(ResultsInd[[#This Row],[Stage]],$P$1:$V$9,MATCH(ResultsInd[[#This Row],[Category]],$Q$1:$V$1,0)+1,FALSE))</f>
        <v/>
      </c>
      <c r="Z827" s="264" t="str">
        <f>IF(ResultsInd[[#This Row],[Score_OK]],IF(ResultsInd[[#This Row],[Level]]="R",ResultsInd[[#This Row],[Category]]&amp;"-"&amp;IF(ResultsInd[[#This Row],[LoseInKO]]=ResultsInd[[#This Row],[Category]]&amp;"-"&amp;ResultsInd[[#This Row],[Player A]],ResultsInd[[#This Row],[Player B]],ResultsInd[[#This Row],[Player A]]),""),"")</f>
        <v/>
      </c>
      <c r="AB827" s="8"/>
      <c r="AC827" s="8"/>
      <c r="AE827" s="90"/>
      <c r="AF827" s="90"/>
      <c r="AP827" s="8"/>
      <c r="AQ827" s="8"/>
      <c r="AR827" s="8"/>
      <c r="AS827" s="8"/>
      <c r="AT827" s="8"/>
      <c r="AU827" s="8"/>
      <c r="AV827" s="8"/>
      <c r="AW827" s="8"/>
      <c r="AX827" s="8"/>
      <c r="AY827" s="90"/>
      <c r="AZ827" s="90"/>
      <c r="BA827" s="90"/>
      <c r="BB827" s="90"/>
      <c r="BC827" s="90"/>
      <c r="BD827" s="90"/>
      <c r="BE827" s="90"/>
      <c r="BF827" s="90"/>
    </row>
    <row r="828" spans="1:58" x14ac:dyDescent="0.2">
      <c r="A828" s="62"/>
      <c r="B828" s="62"/>
      <c r="C828" s="62"/>
      <c r="D828" s="62"/>
      <c r="E828" s="345"/>
      <c r="F828" s="345"/>
      <c r="G828" s="113"/>
      <c r="H828" s="113"/>
      <c r="I828" s="114"/>
      <c r="J828" s="114"/>
      <c r="K828" s="114"/>
      <c r="L828" s="81"/>
      <c r="M828" s="265" t="b">
        <f>NOT(ISERROR(ResultsInd[[#This Row],[Goal-A]]+ResultsInd[[#This Row],[Goal-B]]))</f>
        <v>1</v>
      </c>
      <c r="N828" s="265">
        <f>VALUE(ResultsInd[[#This Row],[Score-A]])</f>
        <v>0</v>
      </c>
      <c r="O828" s="265">
        <f>VALUE(ResultsInd[[#This Row],[Score-B]])</f>
        <v>0</v>
      </c>
      <c r="P828" s="265" t="str">
        <f ca="1">IF(AND(ResultsInd[[#This Row],[Category]]&lt;&gt;"",ResultsInd[[#This Row],[Player A]]&lt;&gt;""),COUNTIF(INDIRECT(ResultsInd[[#This Row],[Category]]&amp;"List[Retained Player Name]"),ResultsInd[[#This Row],[Player A]]),"")</f>
        <v/>
      </c>
      <c r="Q828" s="265" t="str">
        <f ca="1">IF(AND(ResultsInd[[#This Row],[Category]]&lt;&gt;"",ResultsInd[[#This Row],[Player B]]&lt;&gt;""),COUNTIF(INDIRECT(ResultsInd[[#This Row],[Category]]&amp;"List[Retained Player Name]"),ResultsInd[[#This Row],[Player B]]),"")</f>
        <v/>
      </c>
      <c r="R8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8" s="265" t="str">
        <f>IF(ResultsInd[[#This Row],[Score_OK]],IF(ResultsInd[[#This Row],[Stage]]="Groups",ResultsInd[[#This Row],[Category]]&amp;"-"&amp;IF(ResultsInd[[#This Row],[Player B]]="","",IF(ResultsInd[[#This Row],[Score-A]]=ResultsInd[[#This Row],[Score-B]],ResultsInd[[#This Row],[Player A]],"")),""),"")</f>
        <v/>
      </c>
      <c r="T828" s="265" t="str">
        <f>IF(ResultsInd[[#This Row],[Score_OK]],IF(ResultsInd[[#This Row],[Stage]]="Groups",ResultsInd[[#This Row],[Category]]&amp;"-"&amp;IF(ResultsInd[[#This Row],[Player B]]="","",IF(ResultsInd[[#This Row],[Score-A]]=ResultsInd[[#This Row],[Score-B]],ResultsInd[[#This Row],[Player B]],"")),""),"")</f>
        <v/>
      </c>
      <c r="U8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8" s="264" t="str">
        <f>IF(ResultsInd[[#This Row],[Category]]="","",VLOOKUP(ResultsInd[[#This Row],[Stage]],$P$1:$V$9,MATCH(ResultsInd[[#This Row],[Category]],$Q$1:$V$1,0)+1,FALSE))</f>
        <v/>
      </c>
      <c r="Z828" s="264" t="str">
        <f>IF(ResultsInd[[#This Row],[Score_OK]],IF(ResultsInd[[#This Row],[Level]]="R",ResultsInd[[#This Row],[Category]]&amp;"-"&amp;IF(ResultsInd[[#This Row],[LoseInKO]]=ResultsInd[[#This Row],[Category]]&amp;"-"&amp;ResultsInd[[#This Row],[Player A]],ResultsInd[[#This Row],[Player B]],ResultsInd[[#This Row],[Player A]]),""),"")</f>
        <v/>
      </c>
      <c r="AB828" s="8"/>
      <c r="AC828" s="8"/>
      <c r="AE828" s="90"/>
      <c r="AF828" s="90"/>
      <c r="AP828" s="8"/>
      <c r="AQ828" s="8"/>
      <c r="AR828" s="8"/>
      <c r="AS828" s="8"/>
      <c r="AT828" s="8"/>
      <c r="AU828" s="8"/>
      <c r="AV828" s="8"/>
      <c r="AW828" s="8"/>
      <c r="AX828" s="8"/>
      <c r="AY828" s="90"/>
      <c r="AZ828" s="90"/>
      <c r="BA828" s="90"/>
      <c r="BB828" s="90"/>
      <c r="BC828" s="90"/>
      <c r="BD828" s="90"/>
      <c r="BE828" s="90"/>
      <c r="BF828" s="90"/>
    </row>
    <row r="829" spans="1:58" x14ac:dyDescent="0.2">
      <c r="A829" s="62"/>
      <c r="B829" s="62"/>
      <c r="C829" s="62"/>
      <c r="D829" s="62"/>
      <c r="E829" s="345"/>
      <c r="F829" s="345"/>
      <c r="G829" s="113"/>
      <c r="H829" s="113"/>
      <c r="I829" s="114"/>
      <c r="J829" s="114"/>
      <c r="K829" s="114"/>
      <c r="L829" s="81"/>
      <c r="M829" s="265" t="b">
        <f>NOT(ISERROR(ResultsInd[[#This Row],[Goal-A]]+ResultsInd[[#This Row],[Goal-B]]))</f>
        <v>1</v>
      </c>
      <c r="N829" s="265">
        <f>VALUE(ResultsInd[[#This Row],[Score-A]])</f>
        <v>0</v>
      </c>
      <c r="O829" s="265">
        <f>VALUE(ResultsInd[[#This Row],[Score-B]])</f>
        <v>0</v>
      </c>
      <c r="P829" s="265" t="str">
        <f ca="1">IF(AND(ResultsInd[[#This Row],[Category]]&lt;&gt;"",ResultsInd[[#This Row],[Player A]]&lt;&gt;""),COUNTIF(INDIRECT(ResultsInd[[#This Row],[Category]]&amp;"List[Retained Player Name]"),ResultsInd[[#This Row],[Player A]]),"")</f>
        <v/>
      </c>
      <c r="Q829" s="265" t="str">
        <f ca="1">IF(AND(ResultsInd[[#This Row],[Category]]&lt;&gt;"",ResultsInd[[#This Row],[Player B]]&lt;&gt;""),COUNTIF(INDIRECT(ResultsInd[[#This Row],[Category]]&amp;"List[Retained Player Name]"),ResultsInd[[#This Row],[Player B]]),"")</f>
        <v/>
      </c>
      <c r="R8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9" s="265" t="str">
        <f>IF(ResultsInd[[#This Row],[Score_OK]],IF(ResultsInd[[#This Row],[Stage]]="Groups",ResultsInd[[#This Row],[Category]]&amp;"-"&amp;IF(ResultsInd[[#This Row],[Player B]]="","",IF(ResultsInd[[#This Row],[Score-A]]=ResultsInd[[#This Row],[Score-B]],ResultsInd[[#This Row],[Player A]],"")),""),"")</f>
        <v/>
      </c>
      <c r="T829" s="265" t="str">
        <f>IF(ResultsInd[[#This Row],[Score_OK]],IF(ResultsInd[[#This Row],[Stage]]="Groups",ResultsInd[[#This Row],[Category]]&amp;"-"&amp;IF(ResultsInd[[#This Row],[Player B]]="","",IF(ResultsInd[[#This Row],[Score-A]]=ResultsInd[[#This Row],[Score-B]],ResultsInd[[#This Row],[Player B]],"")),""),"")</f>
        <v/>
      </c>
      <c r="U8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9" s="264" t="str">
        <f>IF(ResultsInd[[#This Row],[Category]]="","",VLOOKUP(ResultsInd[[#This Row],[Stage]],$P$1:$V$9,MATCH(ResultsInd[[#This Row],[Category]],$Q$1:$V$1,0)+1,FALSE))</f>
        <v/>
      </c>
      <c r="Z829" s="264" t="str">
        <f>IF(ResultsInd[[#This Row],[Score_OK]],IF(ResultsInd[[#This Row],[Level]]="R",ResultsInd[[#This Row],[Category]]&amp;"-"&amp;IF(ResultsInd[[#This Row],[LoseInKO]]=ResultsInd[[#This Row],[Category]]&amp;"-"&amp;ResultsInd[[#This Row],[Player A]],ResultsInd[[#This Row],[Player B]],ResultsInd[[#This Row],[Player A]]),""),"")</f>
        <v/>
      </c>
      <c r="AB829" s="8"/>
      <c r="AC829" s="8"/>
      <c r="AE829" s="90"/>
      <c r="AF829" s="90"/>
      <c r="AP829" s="8"/>
      <c r="AQ829" s="8"/>
      <c r="AR829" s="8"/>
      <c r="AS829" s="8"/>
      <c r="AT829" s="8"/>
      <c r="AU829" s="8"/>
      <c r="AV829" s="8"/>
      <c r="AW829" s="8"/>
      <c r="AX829" s="8"/>
      <c r="AY829" s="90"/>
      <c r="AZ829" s="90"/>
      <c r="BA829" s="90"/>
      <c r="BB829" s="90"/>
      <c r="BC829" s="90"/>
      <c r="BD829" s="90"/>
      <c r="BE829" s="90"/>
      <c r="BF829" s="90"/>
    </row>
    <row r="830" spans="1:58" x14ac:dyDescent="0.2">
      <c r="A830" s="62"/>
      <c r="B830" s="62"/>
      <c r="C830" s="62"/>
      <c r="D830" s="62"/>
      <c r="E830" s="345"/>
      <c r="F830" s="345"/>
      <c r="G830" s="113"/>
      <c r="H830" s="113"/>
      <c r="I830" s="114"/>
      <c r="J830" s="114"/>
      <c r="K830" s="114"/>
      <c r="L830" s="81"/>
      <c r="M830" s="265" t="b">
        <f>NOT(ISERROR(ResultsInd[[#This Row],[Goal-A]]+ResultsInd[[#This Row],[Goal-B]]))</f>
        <v>1</v>
      </c>
      <c r="N830" s="265">
        <f>VALUE(ResultsInd[[#This Row],[Score-A]])</f>
        <v>0</v>
      </c>
      <c r="O830" s="265">
        <f>VALUE(ResultsInd[[#This Row],[Score-B]])</f>
        <v>0</v>
      </c>
      <c r="P830" s="265" t="str">
        <f ca="1">IF(AND(ResultsInd[[#This Row],[Category]]&lt;&gt;"",ResultsInd[[#This Row],[Player A]]&lt;&gt;""),COUNTIF(INDIRECT(ResultsInd[[#This Row],[Category]]&amp;"List[Retained Player Name]"),ResultsInd[[#This Row],[Player A]]),"")</f>
        <v/>
      </c>
      <c r="Q830" s="265" t="str">
        <f ca="1">IF(AND(ResultsInd[[#This Row],[Category]]&lt;&gt;"",ResultsInd[[#This Row],[Player B]]&lt;&gt;""),COUNTIF(INDIRECT(ResultsInd[[#This Row],[Category]]&amp;"List[Retained Player Name]"),ResultsInd[[#This Row],[Player B]]),"")</f>
        <v/>
      </c>
      <c r="R8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0" s="265" t="str">
        <f>IF(ResultsInd[[#This Row],[Score_OK]],IF(ResultsInd[[#This Row],[Stage]]="Groups",ResultsInd[[#This Row],[Category]]&amp;"-"&amp;IF(ResultsInd[[#This Row],[Player B]]="","",IF(ResultsInd[[#This Row],[Score-A]]=ResultsInd[[#This Row],[Score-B]],ResultsInd[[#This Row],[Player A]],"")),""),"")</f>
        <v/>
      </c>
      <c r="T830" s="265" t="str">
        <f>IF(ResultsInd[[#This Row],[Score_OK]],IF(ResultsInd[[#This Row],[Stage]]="Groups",ResultsInd[[#This Row],[Category]]&amp;"-"&amp;IF(ResultsInd[[#This Row],[Player B]]="","",IF(ResultsInd[[#This Row],[Score-A]]=ResultsInd[[#This Row],[Score-B]],ResultsInd[[#This Row],[Player B]],"")),""),"")</f>
        <v/>
      </c>
      <c r="U8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0" s="264" t="str">
        <f>IF(ResultsInd[[#This Row],[Category]]="","",VLOOKUP(ResultsInd[[#This Row],[Stage]],$P$1:$V$9,MATCH(ResultsInd[[#This Row],[Category]],$Q$1:$V$1,0)+1,FALSE))</f>
        <v/>
      </c>
      <c r="Z830" s="264" t="str">
        <f>IF(ResultsInd[[#This Row],[Score_OK]],IF(ResultsInd[[#This Row],[Level]]="R",ResultsInd[[#This Row],[Category]]&amp;"-"&amp;IF(ResultsInd[[#This Row],[LoseInKO]]=ResultsInd[[#This Row],[Category]]&amp;"-"&amp;ResultsInd[[#This Row],[Player A]],ResultsInd[[#This Row],[Player B]],ResultsInd[[#This Row],[Player A]]),""),"")</f>
        <v/>
      </c>
      <c r="AB830" s="8"/>
      <c r="AC830" s="8"/>
      <c r="AE830" s="90"/>
      <c r="AF830" s="90"/>
      <c r="AP830" s="8"/>
      <c r="AQ830" s="8"/>
      <c r="AR830" s="8"/>
      <c r="AS830" s="8"/>
      <c r="AT830" s="8"/>
      <c r="AU830" s="8"/>
      <c r="AV830" s="8"/>
      <c r="AW830" s="8"/>
      <c r="AX830" s="8"/>
      <c r="AY830" s="90"/>
      <c r="AZ830" s="90"/>
      <c r="BA830" s="90"/>
      <c r="BB830" s="90"/>
      <c r="BC830" s="90"/>
      <c r="BD830" s="90"/>
      <c r="BE830" s="90"/>
      <c r="BF830" s="90"/>
    </row>
    <row r="831" spans="1:58" x14ac:dyDescent="0.2">
      <c r="A831" s="62"/>
      <c r="B831" s="62"/>
      <c r="C831" s="62"/>
      <c r="D831" s="62"/>
      <c r="E831" s="345"/>
      <c r="F831" s="345"/>
      <c r="G831" s="113"/>
      <c r="H831" s="113"/>
      <c r="I831" s="114"/>
      <c r="J831" s="114"/>
      <c r="K831" s="114"/>
      <c r="L831" s="81"/>
      <c r="M831" s="265" t="b">
        <f>NOT(ISERROR(ResultsInd[[#This Row],[Goal-A]]+ResultsInd[[#This Row],[Goal-B]]))</f>
        <v>1</v>
      </c>
      <c r="N831" s="265">
        <f>VALUE(ResultsInd[[#This Row],[Score-A]])</f>
        <v>0</v>
      </c>
      <c r="O831" s="265">
        <f>VALUE(ResultsInd[[#This Row],[Score-B]])</f>
        <v>0</v>
      </c>
      <c r="P831" s="265" t="str">
        <f ca="1">IF(AND(ResultsInd[[#This Row],[Category]]&lt;&gt;"",ResultsInd[[#This Row],[Player A]]&lt;&gt;""),COUNTIF(INDIRECT(ResultsInd[[#This Row],[Category]]&amp;"List[Retained Player Name]"),ResultsInd[[#This Row],[Player A]]),"")</f>
        <v/>
      </c>
      <c r="Q831" s="265" t="str">
        <f ca="1">IF(AND(ResultsInd[[#This Row],[Category]]&lt;&gt;"",ResultsInd[[#This Row],[Player B]]&lt;&gt;""),COUNTIF(INDIRECT(ResultsInd[[#This Row],[Category]]&amp;"List[Retained Player Name]"),ResultsInd[[#This Row],[Player B]]),"")</f>
        <v/>
      </c>
      <c r="R8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1" s="265" t="str">
        <f>IF(ResultsInd[[#This Row],[Score_OK]],IF(ResultsInd[[#This Row],[Stage]]="Groups",ResultsInd[[#This Row],[Category]]&amp;"-"&amp;IF(ResultsInd[[#This Row],[Player B]]="","",IF(ResultsInd[[#This Row],[Score-A]]=ResultsInd[[#This Row],[Score-B]],ResultsInd[[#This Row],[Player A]],"")),""),"")</f>
        <v/>
      </c>
      <c r="T831" s="265" t="str">
        <f>IF(ResultsInd[[#This Row],[Score_OK]],IF(ResultsInd[[#This Row],[Stage]]="Groups",ResultsInd[[#This Row],[Category]]&amp;"-"&amp;IF(ResultsInd[[#This Row],[Player B]]="","",IF(ResultsInd[[#This Row],[Score-A]]=ResultsInd[[#This Row],[Score-B]],ResultsInd[[#This Row],[Player B]],"")),""),"")</f>
        <v/>
      </c>
      <c r="U8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1" s="264" t="str">
        <f>IF(ResultsInd[[#This Row],[Category]]="","",VLOOKUP(ResultsInd[[#This Row],[Stage]],$P$1:$V$9,MATCH(ResultsInd[[#This Row],[Category]],$Q$1:$V$1,0)+1,FALSE))</f>
        <v/>
      </c>
      <c r="Z831" s="264" t="str">
        <f>IF(ResultsInd[[#This Row],[Score_OK]],IF(ResultsInd[[#This Row],[Level]]="R",ResultsInd[[#This Row],[Category]]&amp;"-"&amp;IF(ResultsInd[[#This Row],[LoseInKO]]=ResultsInd[[#This Row],[Category]]&amp;"-"&amp;ResultsInd[[#This Row],[Player A]],ResultsInd[[#This Row],[Player B]],ResultsInd[[#This Row],[Player A]]),""),"")</f>
        <v/>
      </c>
      <c r="AB831" s="8"/>
      <c r="AC831" s="8"/>
      <c r="AE831" s="90"/>
      <c r="AF831" s="90"/>
      <c r="AP831" s="8"/>
      <c r="AQ831" s="8"/>
      <c r="AR831" s="8"/>
      <c r="AS831" s="8"/>
      <c r="AT831" s="8"/>
      <c r="AU831" s="8"/>
      <c r="AV831" s="8"/>
      <c r="AW831" s="8"/>
      <c r="AX831" s="8"/>
      <c r="AY831" s="90"/>
      <c r="AZ831" s="90"/>
      <c r="BA831" s="90"/>
      <c r="BB831" s="90"/>
      <c r="BC831" s="90"/>
      <c r="BD831" s="90"/>
      <c r="BE831" s="90"/>
      <c r="BF831" s="90"/>
    </row>
    <row r="832" spans="1:58" x14ac:dyDescent="0.2">
      <c r="A832" s="62"/>
      <c r="B832" s="62"/>
      <c r="C832" s="62"/>
      <c r="D832" s="62"/>
      <c r="E832" s="345"/>
      <c r="F832" s="345"/>
      <c r="G832" s="113"/>
      <c r="H832" s="113"/>
      <c r="I832" s="114"/>
      <c r="J832" s="114"/>
      <c r="K832" s="114"/>
      <c r="L832" s="81"/>
      <c r="M832" s="265" t="b">
        <f>NOT(ISERROR(ResultsInd[[#This Row],[Goal-A]]+ResultsInd[[#This Row],[Goal-B]]))</f>
        <v>1</v>
      </c>
      <c r="N832" s="265">
        <f>VALUE(ResultsInd[[#This Row],[Score-A]])</f>
        <v>0</v>
      </c>
      <c r="O832" s="265">
        <f>VALUE(ResultsInd[[#This Row],[Score-B]])</f>
        <v>0</v>
      </c>
      <c r="P832" s="265" t="str">
        <f ca="1">IF(AND(ResultsInd[[#This Row],[Category]]&lt;&gt;"",ResultsInd[[#This Row],[Player A]]&lt;&gt;""),COUNTIF(INDIRECT(ResultsInd[[#This Row],[Category]]&amp;"List[Retained Player Name]"),ResultsInd[[#This Row],[Player A]]),"")</f>
        <v/>
      </c>
      <c r="Q832" s="265" t="str">
        <f ca="1">IF(AND(ResultsInd[[#This Row],[Category]]&lt;&gt;"",ResultsInd[[#This Row],[Player B]]&lt;&gt;""),COUNTIF(INDIRECT(ResultsInd[[#This Row],[Category]]&amp;"List[Retained Player Name]"),ResultsInd[[#This Row],[Player B]]),"")</f>
        <v/>
      </c>
      <c r="R8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2" s="265" t="str">
        <f>IF(ResultsInd[[#This Row],[Score_OK]],IF(ResultsInd[[#This Row],[Stage]]="Groups",ResultsInd[[#This Row],[Category]]&amp;"-"&amp;IF(ResultsInd[[#This Row],[Player B]]="","",IF(ResultsInd[[#This Row],[Score-A]]=ResultsInd[[#This Row],[Score-B]],ResultsInd[[#This Row],[Player A]],"")),""),"")</f>
        <v/>
      </c>
      <c r="T832" s="265" t="str">
        <f>IF(ResultsInd[[#This Row],[Score_OK]],IF(ResultsInd[[#This Row],[Stage]]="Groups",ResultsInd[[#This Row],[Category]]&amp;"-"&amp;IF(ResultsInd[[#This Row],[Player B]]="","",IF(ResultsInd[[#This Row],[Score-A]]=ResultsInd[[#This Row],[Score-B]],ResultsInd[[#This Row],[Player B]],"")),""),"")</f>
        <v/>
      </c>
      <c r="U8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2" s="264" t="str">
        <f>IF(ResultsInd[[#This Row],[Category]]="","",VLOOKUP(ResultsInd[[#This Row],[Stage]],$P$1:$V$9,MATCH(ResultsInd[[#This Row],[Category]],$Q$1:$V$1,0)+1,FALSE))</f>
        <v/>
      </c>
      <c r="Z832" s="264" t="str">
        <f>IF(ResultsInd[[#This Row],[Score_OK]],IF(ResultsInd[[#This Row],[Level]]="R",ResultsInd[[#This Row],[Category]]&amp;"-"&amp;IF(ResultsInd[[#This Row],[LoseInKO]]=ResultsInd[[#This Row],[Category]]&amp;"-"&amp;ResultsInd[[#This Row],[Player A]],ResultsInd[[#This Row],[Player B]],ResultsInd[[#This Row],[Player A]]),""),"")</f>
        <v/>
      </c>
      <c r="AB832" s="8"/>
      <c r="AC832" s="8"/>
      <c r="AE832" s="90"/>
      <c r="AF832" s="90"/>
      <c r="AP832" s="8"/>
      <c r="AQ832" s="8"/>
      <c r="AR832" s="8"/>
      <c r="AS832" s="8"/>
      <c r="AT832" s="8"/>
      <c r="AU832" s="8"/>
      <c r="AV832" s="8"/>
      <c r="AW832" s="8"/>
      <c r="AX832" s="8"/>
      <c r="AY832" s="90"/>
      <c r="AZ832" s="90"/>
      <c r="BA832" s="90"/>
      <c r="BB832" s="90"/>
      <c r="BC832" s="90"/>
      <c r="BD832" s="90"/>
      <c r="BE832" s="90"/>
      <c r="BF832" s="90"/>
    </row>
    <row r="833" spans="1:58" x14ac:dyDescent="0.2">
      <c r="A833" s="62"/>
      <c r="B833" s="62"/>
      <c r="C833" s="62"/>
      <c r="D833" s="62"/>
      <c r="E833" s="345"/>
      <c r="F833" s="345"/>
      <c r="G833" s="113"/>
      <c r="H833" s="113"/>
      <c r="I833" s="114"/>
      <c r="J833" s="114"/>
      <c r="K833" s="114"/>
      <c r="L833" s="81"/>
      <c r="M833" s="265" t="b">
        <f>NOT(ISERROR(ResultsInd[[#This Row],[Goal-A]]+ResultsInd[[#This Row],[Goal-B]]))</f>
        <v>1</v>
      </c>
      <c r="N833" s="265">
        <f>VALUE(ResultsInd[[#This Row],[Score-A]])</f>
        <v>0</v>
      </c>
      <c r="O833" s="265">
        <f>VALUE(ResultsInd[[#This Row],[Score-B]])</f>
        <v>0</v>
      </c>
      <c r="P833" s="265" t="str">
        <f ca="1">IF(AND(ResultsInd[[#This Row],[Category]]&lt;&gt;"",ResultsInd[[#This Row],[Player A]]&lt;&gt;""),COUNTIF(INDIRECT(ResultsInd[[#This Row],[Category]]&amp;"List[Retained Player Name]"),ResultsInd[[#This Row],[Player A]]),"")</f>
        <v/>
      </c>
      <c r="Q833" s="265" t="str">
        <f ca="1">IF(AND(ResultsInd[[#This Row],[Category]]&lt;&gt;"",ResultsInd[[#This Row],[Player B]]&lt;&gt;""),COUNTIF(INDIRECT(ResultsInd[[#This Row],[Category]]&amp;"List[Retained Player Name]"),ResultsInd[[#This Row],[Player B]]),"")</f>
        <v/>
      </c>
      <c r="R8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3" s="265" t="str">
        <f>IF(ResultsInd[[#This Row],[Score_OK]],IF(ResultsInd[[#This Row],[Stage]]="Groups",ResultsInd[[#This Row],[Category]]&amp;"-"&amp;IF(ResultsInd[[#This Row],[Player B]]="","",IF(ResultsInd[[#This Row],[Score-A]]=ResultsInd[[#This Row],[Score-B]],ResultsInd[[#This Row],[Player A]],"")),""),"")</f>
        <v/>
      </c>
      <c r="T833" s="265" t="str">
        <f>IF(ResultsInd[[#This Row],[Score_OK]],IF(ResultsInd[[#This Row],[Stage]]="Groups",ResultsInd[[#This Row],[Category]]&amp;"-"&amp;IF(ResultsInd[[#This Row],[Player B]]="","",IF(ResultsInd[[#This Row],[Score-A]]=ResultsInd[[#This Row],[Score-B]],ResultsInd[[#This Row],[Player B]],"")),""),"")</f>
        <v/>
      </c>
      <c r="U8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3" s="264" t="str">
        <f>IF(ResultsInd[[#This Row],[Category]]="","",VLOOKUP(ResultsInd[[#This Row],[Stage]],$P$1:$V$9,MATCH(ResultsInd[[#This Row],[Category]],$Q$1:$V$1,0)+1,FALSE))</f>
        <v/>
      </c>
      <c r="Z833" s="264" t="str">
        <f>IF(ResultsInd[[#This Row],[Score_OK]],IF(ResultsInd[[#This Row],[Level]]="R",ResultsInd[[#This Row],[Category]]&amp;"-"&amp;IF(ResultsInd[[#This Row],[LoseInKO]]=ResultsInd[[#This Row],[Category]]&amp;"-"&amp;ResultsInd[[#This Row],[Player A]],ResultsInd[[#This Row],[Player B]],ResultsInd[[#This Row],[Player A]]),""),"")</f>
        <v/>
      </c>
      <c r="AB833" s="8"/>
      <c r="AC833" s="8"/>
      <c r="AE833" s="90"/>
      <c r="AF833" s="90"/>
      <c r="AP833" s="8"/>
      <c r="AQ833" s="8"/>
      <c r="AR833" s="8"/>
      <c r="AS833" s="8"/>
      <c r="AT833" s="8"/>
      <c r="AU833" s="8"/>
      <c r="AV833" s="8"/>
      <c r="AW833" s="8"/>
      <c r="AX833" s="8"/>
      <c r="AY833" s="90"/>
      <c r="AZ833" s="90"/>
      <c r="BA833" s="90"/>
      <c r="BB833" s="90"/>
      <c r="BC833" s="90"/>
      <c r="BD833" s="90"/>
      <c r="BE833" s="90"/>
      <c r="BF833" s="90"/>
    </row>
    <row r="834" spans="1:58" x14ac:dyDescent="0.2">
      <c r="A834" s="62"/>
      <c r="B834" s="62"/>
      <c r="C834" s="62"/>
      <c r="D834" s="62"/>
      <c r="E834" s="345"/>
      <c r="F834" s="345"/>
      <c r="G834" s="113"/>
      <c r="H834" s="113"/>
      <c r="I834" s="114"/>
      <c r="J834" s="114"/>
      <c r="K834" s="114"/>
      <c r="L834" s="81"/>
      <c r="M834" s="265" t="b">
        <f>NOT(ISERROR(ResultsInd[[#This Row],[Goal-A]]+ResultsInd[[#This Row],[Goal-B]]))</f>
        <v>1</v>
      </c>
      <c r="N834" s="265">
        <f>VALUE(ResultsInd[[#This Row],[Score-A]])</f>
        <v>0</v>
      </c>
      <c r="O834" s="265">
        <f>VALUE(ResultsInd[[#This Row],[Score-B]])</f>
        <v>0</v>
      </c>
      <c r="P834" s="265" t="str">
        <f ca="1">IF(AND(ResultsInd[[#This Row],[Category]]&lt;&gt;"",ResultsInd[[#This Row],[Player A]]&lt;&gt;""),COUNTIF(INDIRECT(ResultsInd[[#This Row],[Category]]&amp;"List[Retained Player Name]"),ResultsInd[[#This Row],[Player A]]),"")</f>
        <v/>
      </c>
      <c r="Q834" s="265" t="str">
        <f ca="1">IF(AND(ResultsInd[[#This Row],[Category]]&lt;&gt;"",ResultsInd[[#This Row],[Player B]]&lt;&gt;""),COUNTIF(INDIRECT(ResultsInd[[#This Row],[Category]]&amp;"List[Retained Player Name]"),ResultsInd[[#This Row],[Player B]]),"")</f>
        <v/>
      </c>
      <c r="R8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4" s="265" t="str">
        <f>IF(ResultsInd[[#This Row],[Score_OK]],IF(ResultsInd[[#This Row],[Stage]]="Groups",ResultsInd[[#This Row],[Category]]&amp;"-"&amp;IF(ResultsInd[[#This Row],[Player B]]="","",IF(ResultsInd[[#This Row],[Score-A]]=ResultsInd[[#This Row],[Score-B]],ResultsInd[[#This Row],[Player A]],"")),""),"")</f>
        <v/>
      </c>
      <c r="T834" s="265" t="str">
        <f>IF(ResultsInd[[#This Row],[Score_OK]],IF(ResultsInd[[#This Row],[Stage]]="Groups",ResultsInd[[#This Row],[Category]]&amp;"-"&amp;IF(ResultsInd[[#This Row],[Player B]]="","",IF(ResultsInd[[#This Row],[Score-A]]=ResultsInd[[#This Row],[Score-B]],ResultsInd[[#This Row],[Player B]],"")),""),"")</f>
        <v/>
      </c>
      <c r="U8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4" s="264" t="str">
        <f>IF(ResultsInd[[#This Row],[Category]]="","",VLOOKUP(ResultsInd[[#This Row],[Stage]],$P$1:$V$9,MATCH(ResultsInd[[#This Row],[Category]],$Q$1:$V$1,0)+1,FALSE))</f>
        <v/>
      </c>
      <c r="Z834" s="264" t="str">
        <f>IF(ResultsInd[[#This Row],[Score_OK]],IF(ResultsInd[[#This Row],[Level]]="R",ResultsInd[[#This Row],[Category]]&amp;"-"&amp;IF(ResultsInd[[#This Row],[LoseInKO]]=ResultsInd[[#This Row],[Category]]&amp;"-"&amp;ResultsInd[[#This Row],[Player A]],ResultsInd[[#This Row],[Player B]],ResultsInd[[#This Row],[Player A]]),""),"")</f>
        <v/>
      </c>
      <c r="AB834" s="8"/>
      <c r="AC834" s="8"/>
      <c r="AE834" s="90"/>
      <c r="AF834" s="90"/>
      <c r="AP834" s="8"/>
      <c r="AQ834" s="8"/>
      <c r="AR834" s="8"/>
      <c r="AS834" s="8"/>
      <c r="AT834" s="8"/>
      <c r="AU834" s="8"/>
      <c r="AV834" s="8"/>
      <c r="AW834" s="8"/>
      <c r="AX834" s="8"/>
      <c r="AY834" s="90"/>
      <c r="AZ834" s="90"/>
      <c r="BA834" s="90"/>
      <c r="BB834" s="90"/>
      <c r="BC834" s="90"/>
      <c r="BD834" s="90"/>
      <c r="BE834" s="90"/>
      <c r="BF834" s="90"/>
    </row>
    <row r="835" spans="1:58" x14ac:dyDescent="0.2">
      <c r="A835" s="62"/>
      <c r="B835" s="62"/>
      <c r="C835" s="62"/>
      <c r="D835" s="62"/>
      <c r="E835" s="345"/>
      <c r="F835" s="345"/>
      <c r="G835" s="113"/>
      <c r="H835" s="113"/>
      <c r="I835" s="114"/>
      <c r="J835" s="114"/>
      <c r="K835" s="114"/>
      <c r="L835" s="81"/>
      <c r="M835" s="265" t="b">
        <f>NOT(ISERROR(ResultsInd[[#This Row],[Goal-A]]+ResultsInd[[#This Row],[Goal-B]]))</f>
        <v>1</v>
      </c>
      <c r="N835" s="265">
        <f>VALUE(ResultsInd[[#This Row],[Score-A]])</f>
        <v>0</v>
      </c>
      <c r="O835" s="265">
        <f>VALUE(ResultsInd[[#This Row],[Score-B]])</f>
        <v>0</v>
      </c>
      <c r="P835" s="265" t="str">
        <f ca="1">IF(AND(ResultsInd[[#This Row],[Category]]&lt;&gt;"",ResultsInd[[#This Row],[Player A]]&lt;&gt;""),COUNTIF(INDIRECT(ResultsInd[[#This Row],[Category]]&amp;"List[Retained Player Name]"),ResultsInd[[#This Row],[Player A]]),"")</f>
        <v/>
      </c>
      <c r="Q835" s="265" t="str">
        <f ca="1">IF(AND(ResultsInd[[#This Row],[Category]]&lt;&gt;"",ResultsInd[[#This Row],[Player B]]&lt;&gt;""),COUNTIF(INDIRECT(ResultsInd[[#This Row],[Category]]&amp;"List[Retained Player Name]"),ResultsInd[[#This Row],[Player B]]),"")</f>
        <v/>
      </c>
      <c r="R8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5" s="265" t="str">
        <f>IF(ResultsInd[[#This Row],[Score_OK]],IF(ResultsInd[[#This Row],[Stage]]="Groups",ResultsInd[[#This Row],[Category]]&amp;"-"&amp;IF(ResultsInd[[#This Row],[Player B]]="","",IF(ResultsInd[[#This Row],[Score-A]]=ResultsInd[[#This Row],[Score-B]],ResultsInd[[#This Row],[Player A]],"")),""),"")</f>
        <v/>
      </c>
      <c r="T835" s="265" t="str">
        <f>IF(ResultsInd[[#This Row],[Score_OK]],IF(ResultsInd[[#This Row],[Stage]]="Groups",ResultsInd[[#This Row],[Category]]&amp;"-"&amp;IF(ResultsInd[[#This Row],[Player B]]="","",IF(ResultsInd[[#This Row],[Score-A]]=ResultsInd[[#This Row],[Score-B]],ResultsInd[[#This Row],[Player B]],"")),""),"")</f>
        <v/>
      </c>
      <c r="U8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5" s="264" t="str">
        <f>IF(ResultsInd[[#This Row],[Category]]="","",VLOOKUP(ResultsInd[[#This Row],[Stage]],$P$1:$V$9,MATCH(ResultsInd[[#This Row],[Category]],$Q$1:$V$1,0)+1,FALSE))</f>
        <v/>
      </c>
      <c r="Z835" s="264" t="str">
        <f>IF(ResultsInd[[#This Row],[Score_OK]],IF(ResultsInd[[#This Row],[Level]]="R",ResultsInd[[#This Row],[Category]]&amp;"-"&amp;IF(ResultsInd[[#This Row],[LoseInKO]]=ResultsInd[[#This Row],[Category]]&amp;"-"&amp;ResultsInd[[#This Row],[Player A]],ResultsInd[[#This Row],[Player B]],ResultsInd[[#This Row],[Player A]]),""),"")</f>
        <v/>
      </c>
      <c r="AB835" s="8"/>
      <c r="AC835" s="8"/>
      <c r="AE835" s="90"/>
      <c r="AF835" s="90"/>
      <c r="AP835" s="8"/>
      <c r="AQ835" s="8"/>
      <c r="AR835" s="8"/>
      <c r="AS835" s="8"/>
      <c r="AT835" s="8"/>
      <c r="AU835" s="8"/>
      <c r="AV835" s="8"/>
      <c r="AW835" s="8"/>
      <c r="AX835" s="8"/>
      <c r="AY835" s="90"/>
      <c r="AZ835" s="90"/>
      <c r="BA835" s="90"/>
      <c r="BB835" s="90"/>
      <c r="BC835" s="90"/>
      <c r="BD835" s="90"/>
      <c r="BE835" s="90"/>
      <c r="BF835" s="90"/>
    </row>
    <row r="836" spans="1:58" x14ac:dyDescent="0.2">
      <c r="A836" s="62"/>
      <c r="B836" s="62"/>
      <c r="C836" s="62"/>
      <c r="D836" s="62"/>
      <c r="E836" s="345"/>
      <c r="F836" s="345"/>
      <c r="G836" s="113"/>
      <c r="H836" s="113"/>
      <c r="I836" s="114"/>
      <c r="J836" s="114"/>
      <c r="K836" s="114"/>
      <c r="L836" s="81"/>
      <c r="M836" s="265" t="b">
        <f>NOT(ISERROR(ResultsInd[[#This Row],[Goal-A]]+ResultsInd[[#This Row],[Goal-B]]))</f>
        <v>1</v>
      </c>
      <c r="N836" s="265">
        <f>VALUE(ResultsInd[[#This Row],[Score-A]])</f>
        <v>0</v>
      </c>
      <c r="O836" s="265">
        <f>VALUE(ResultsInd[[#This Row],[Score-B]])</f>
        <v>0</v>
      </c>
      <c r="P836" s="265" t="str">
        <f ca="1">IF(AND(ResultsInd[[#This Row],[Category]]&lt;&gt;"",ResultsInd[[#This Row],[Player A]]&lt;&gt;""),COUNTIF(INDIRECT(ResultsInd[[#This Row],[Category]]&amp;"List[Retained Player Name]"),ResultsInd[[#This Row],[Player A]]),"")</f>
        <v/>
      </c>
      <c r="Q836" s="265" t="str">
        <f ca="1">IF(AND(ResultsInd[[#This Row],[Category]]&lt;&gt;"",ResultsInd[[#This Row],[Player B]]&lt;&gt;""),COUNTIF(INDIRECT(ResultsInd[[#This Row],[Category]]&amp;"List[Retained Player Name]"),ResultsInd[[#This Row],[Player B]]),"")</f>
        <v/>
      </c>
      <c r="R8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6" s="265" t="str">
        <f>IF(ResultsInd[[#This Row],[Score_OK]],IF(ResultsInd[[#This Row],[Stage]]="Groups",ResultsInd[[#This Row],[Category]]&amp;"-"&amp;IF(ResultsInd[[#This Row],[Player B]]="","",IF(ResultsInd[[#This Row],[Score-A]]=ResultsInd[[#This Row],[Score-B]],ResultsInd[[#This Row],[Player A]],"")),""),"")</f>
        <v/>
      </c>
      <c r="T836" s="265" t="str">
        <f>IF(ResultsInd[[#This Row],[Score_OK]],IF(ResultsInd[[#This Row],[Stage]]="Groups",ResultsInd[[#This Row],[Category]]&amp;"-"&amp;IF(ResultsInd[[#This Row],[Player B]]="","",IF(ResultsInd[[#This Row],[Score-A]]=ResultsInd[[#This Row],[Score-B]],ResultsInd[[#This Row],[Player B]],"")),""),"")</f>
        <v/>
      </c>
      <c r="U8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6" s="264" t="str">
        <f>IF(ResultsInd[[#This Row],[Category]]="","",VLOOKUP(ResultsInd[[#This Row],[Stage]],$P$1:$V$9,MATCH(ResultsInd[[#This Row],[Category]],$Q$1:$V$1,0)+1,FALSE))</f>
        <v/>
      </c>
      <c r="Z836" s="264" t="str">
        <f>IF(ResultsInd[[#This Row],[Score_OK]],IF(ResultsInd[[#This Row],[Level]]="R",ResultsInd[[#This Row],[Category]]&amp;"-"&amp;IF(ResultsInd[[#This Row],[LoseInKO]]=ResultsInd[[#This Row],[Category]]&amp;"-"&amp;ResultsInd[[#This Row],[Player A]],ResultsInd[[#This Row],[Player B]],ResultsInd[[#This Row],[Player A]]),""),"")</f>
        <v/>
      </c>
      <c r="AB836" s="8"/>
      <c r="AC836" s="8"/>
      <c r="AE836" s="90"/>
      <c r="AF836" s="90"/>
      <c r="AP836" s="8"/>
      <c r="AQ836" s="8"/>
      <c r="AR836" s="8"/>
      <c r="AS836" s="8"/>
      <c r="AT836" s="8"/>
      <c r="AU836" s="8"/>
      <c r="AV836" s="8"/>
      <c r="AW836" s="8"/>
      <c r="AX836" s="8"/>
      <c r="AY836" s="90"/>
      <c r="AZ836" s="90"/>
      <c r="BA836" s="90"/>
      <c r="BB836" s="90"/>
      <c r="BC836" s="90"/>
      <c r="BD836" s="90"/>
      <c r="BE836" s="90"/>
      <c r="BF836" s="90"/>
    </row>
    <row r="837" spans="1:58" x14ac:dyDescent="0.2">
      <c r="A837" s="62"/>
      <c r="B837" s="62"/>
      <c r="C837" s="62"/>
      <c r="D837" s="62"/>
      <c r="E837" s="345"/>
      <c r="F837" s="345"/>
      <c r="G837" s="113"/>
      <c r="H837" s="113"/>
      <c r="I837" s="114"/>
      <c r="J837" s="114"/>
      <c r="K837" s="114"/>
      <c r="L837" s="81"/>
      <c r="M837" s="265" t="b">
        <f>NOT(ISERROR(ResultsInd[[#This Row],[Goal-A]]+ResultsInd[[#This Row],[Goal-B]]))</f>
        <v>1</v>
      </c>
      <c r="N837" s="265">
        <f>VALUE(ResultsInd[[#This Row],[Score-A]])</f>
        <v>0</v>
      </c>
      <c r="O837" s="265">
        <f>VALUE(ResultsInd[[#This Row],[Score-B]])</f>
        <v>0</v>
      </c>
      <c r="P837" s="265" t="str">
        <f ca="1">IF(AND(ResultsInd[[#This Row],[Category]]&lt;&gt;"",ResultsInd[[#This Row],[Player A]]&lt;&gt;""),COUNTIF(INDIRECT(ResultsInd[[#This Row],[Category]]&amp;"List[Retained Player Name]"),ResultsInd[[#This Row],[Player A]]),"")</f>
        <v/>
      </c>
      <c r="Q837" s="265" t="str">
        <f ca="1">IF(AND(ResultsInd[[#This Row],[Category]]&lt;&gt;"",ResultsInd[[#This Row],[Player B]]&lt;&gt;""),COUNTIF(INDIRECT(ResultsInd[[#This Row],[Category]]&amp;"List[Retained Player Name]"),ResultsInd[[#This Row],[Player B]]),"")</f>
        <v/>
      </c>
      <c r="R8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7" s="265" t="str">
        <f>IF(ResultsInd[[#This Row],[Score_OK]],IF(ResultsInd[[#This Row],[Stage]]="Groups",ResultsInd[[#This Row],[Category]]&amp;"-"&amp;IF(ResultsInd[[#This Row],[Player B]]="","",IF(ResultsInd[[#This Row],[Score-A]]=ResultsInd[[#This Row],[Score-B]],ResultsInd[[#This Row],[Player A]],"")),""),"")</f>
        <v/>
      </c>
      <c r="T837" s="265" t="str">
        <f>IF(ResultsInd[[#This Row],[Score_OK]],IF(ResultsInd[[#This Row],[Stage]]="Groups",ResultsInd[[#This Row],[Category]]&amp;"-"&amp;IF(ResultsInd[[#This Row],[Player B]]="","",IF(ResultsInd[[#This Row],[Score-A]]=ResultsInd[[#This Row],[Score-B]],ResultsInd[[#This Row],[Player B]],"")),""),"")</f>
        <v/>
      </c>
      <c r="U8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7" s="264" t="str">
        <f>IF(ResultsInd[[#This Row],[Category]]="","",VLOOKUP(ResultsInd[[#This Row],[Stage]],$P$1:$V$9,MATCH(ResultsInd[[#This Row],[Category]],$Q$1:$V$1,0)+1,FALSE))</f>
        <v/>
      </c>
      <c r="Z837" s="264" t="str">
        <f>IF(ResultsInd[[#This Row],[Score_OK]],IF(ResultsInd[[#This Row],[Level]]="R",ResultsInd[[#This Row],[Category]]&amp;"-"&amp;IF(ResultsInd[[#This Row],[LoseInKO]]=ResultsInd[[#This Row],[Category]]&amp;"-"&amp;ResultsInd[[#This Row],[Player A]],ResultsInd[[#This Row],[Player B]],ResultsInd[[#This Row],[Player A]]),""),"")</f>
        <v/>
      </c>
      <c r="AB837" s="8"/>
      <c r="AC837" s="8"/>
      <c r="AE837" s="90"/>
      <c r="AF837" s="90"/>
      <c r="AP837" s="8"/>
      <c r="AQ837" s="8"/>
      <c r="AR837" s="8"/>
      <c r="AS837" s="8"/>
      <c r="AT837" s="8"/>
      <c r="AU837" s="8"/>
      <c r="AV837" s="8"/>
      <c r="AW837" s="8"/>
      <c r="AX837" s="8"/>
      <c r="AY837" s="90"/>
      <c r="AZ837" s="90"/>
      <c r="BA837" s="90"/>
      <c r="BB837" s="90"/>
      <c r="BC837" s="90"/>
      <c r="BD837" s="90"/>
      <c r="BE837" s="90"/>
      <c r="BF837" s="90"/>
    </row>
    <row r="838" spans="1:58" x14ac:dyDescent="0.2">
      <c r="A838" s="62"/>
      <c r="B838" s="62"/>
      <c r="C838" s="62"/>
      <c r="D838" s="62"/>
      <c r="E838" s="345"/>
      <c r="F838" s="345"/>
      <c r="G838" s="113"/>
      <c r="H838" s="113"/>
      <c r="I838" s="114"/>
      <c r="J838" s="114"/>
      <c r="K838" s="114"/>
      <c r="L838" s="81"/>
      <c r="M838" s="265" t="b">
        <f>NOT(ISERROR(ResultsInd[[#This Row],[Goal-A]]+ResultsInd[[#This Row],[Goal-B]]))</f>
        <v>1</v>
      </c>
      <c r="N838" s="265">
        <f>VALUE(ResultsInd[[#This Row],[Score-A]])</f>
        <v>0</v>
      </c>
      <c r="O838" s="265">
        <f>VALUE(ResultsInd[[#This Row],[Score-B]])</f>
        <v>0</v>
      </c>
      <c r="P838" s="265" t="str">
        <f ca="1">IF(AND(ResultsInd[[#This Row],[Category]]&lt;&gt;"",ResultsInd[[#This Row],[Player A]]&lt;&gt;""),COUNTIF(INDIRECT(ResultsInd[[#This Row],[Category]]&amp;"List[Retained Player Name]"),ResultsInd[[#This Row],[Player A]]),"")</f>
        <v/>
      </c>
      <c r="Q838" s="265" t="str">
        <f ca="1">IF(AND(ResultsInd[[#This Row],[Category]]&lt;&gt;"",ResultsInd[[#This Row],[Player B]]&lt;&gt;""),COUNTIF(INDIRECT(ResultsInd[[#This Row],[Category]]&amp;"List[Retained Player Name]"),ResultsInd[[#This Row],[Player B]]),"")</f>
        <v/>
      </c>
      <c r="R8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8" s="265" t="str">
        <f>IF(ResultsInd[[#This Row],[Score_OK]],IF(ResultsInd[[#This Row],[Stage]]="Groups",ResultsInd[[#This Row],[Category]]&amp;"-"&amp;IF(ResultsInd[[#This Row],[Player B]]="","",IF(ResultsInd[[#This Row],[Score-A]]=ResultsInd[[#This Row],[Score-B]],ResultsInd[[#This Row],[Player A]],"")),""),"")</f>
        <v/>
      </c>
      <c r="T838" s="265" t="str">
        <f>IF(ResultsInd[[#This Row],[Score_OK]],IF(ResultsInd[[#This Row],[Stage]]="Groups",ResultsInd[[#This Row],[Category]]&amp;"-"&amp;IF(ResultsInd[[#This Row],[Player B]]="","",IF(ResultsInd[[#This Row],[Score-A]]=ResultsInd[[#This Row],[Score-B]],ResultsInd[[#This Row],[Player B]],"")),""),"")</f>
        <v/>
      </c>
      <c r="U8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8" s="264" t="str">
        <f>IF(ResultsInd[[#This Row],[Category]]="","",VLOOKUP(ResultsInd[[#This Row],[Stage]],$P$1:$V$9,MATCH(ResultsInd[[#This Row],[Category]],$Q$1:$V$1,0)+1,FALSE))</f>
        <v/>
      </c>
      <c r="Z838" s="264" t="str">
        <f>IF(ResultsInd[[#This Row],[Score_OK]],IF(ResultsInd[[#This Row],[Level]]="R",ResultsInd[[#This Row],[Category]]&amp;"-"&amp;IF(ResultsInd[[#This Row],[LoseInKO]]=ResultsInd[[#This Row],[Category]]&amp;"-"&amp;ResultsInd[[#This Row],[Player A]],ResultsInd[[#This Row],[Player B]],ResultsInd[[#This Row],[Player A]]),""),"")</f>
        <v/>
      </c>
      <c r="AB838" s="8"/>
      <c r="AC838" s="8"/>
      <c r="AE838" s="90"/>
      <c r="AF838" s="90"/>
      <c r="AP838" s="8"/>
      <c r="AQ838" s="8"/>
      <c r="AR838" s="8"/>
      <c r="AS838" s="8"/>
      <c r="AT838" s="8"/>
      <c r="AU838" s="8"/>
      <c r="AV838" s="8"/>
      <c r="AW838" s="8"/>
      <c r="AX838" s="8"/>
      <c r="AY838" s="90"/>
      <c r="AZ838" s="90"/>
      <c r="BA838" s="90"/>
      <c r="BB838" s="90"/>
      <c r="BC838" s="90"/>
      <c r="BD838" s="90"/>
      <c r="BE838" s="90"/>
      <c r="BF838" s="90"/>
    </row>
    <row r="839" spans="1:58" x14ac:dyDescent="0.2">
      <c r="A839" s="62"/>
      <c r="B839" s="62"/>
      <c r="C839" s="62"/>
      <c r="D839" s="62"/>
      <c r="E839" s="345"/>
      <c r="F839" s="345"/>
      <c r="G839" s="113"/>
      <c r="H839" s="113"/>
      <c r="I839" s="114"/>
      <c r="J839" s="114"/>
      <c r="K839" s="114"/>
      <c r="L839" s="81"/>
      <c r="M839" s="265" t="b">
        <f>NOT(ISERROR(ResultsInd[[#This Row],[Goal-A]]+ResultsInd[[#This Row],[Goal-B]]))</f>
        <v>1</v>
      </c>
      <c r="N839" s="265">
        <f>VALUE(ResultsInd[[#This Row],[Score-A]])</f>
        <v>0</v>
      </c>
      <c r="O839" s="265">
        <f>VALUE(ResultsInd[[#This Row],[Score-B]])</f>
        <v>0</v>
      </c>
      <c r="P839" s="265" t="str">
        <f ca="1">IF(AND(ResultsInd[[#This Row],[Category]]&lt;&gt;"",ResultsInd[[#This Row],[Player A]]&lt;&gt;""),COUNTIF(INDIRECT(ResultsInd[[#This Row],[Category]]&amp;"List[Retained Player Name]"),ResultsInd[[#This Row],[Player A]]),"")</f>
        <v/>
      </c>
      <c r="Q839" s="265" t="str">
        <f ca="1">IF(AND(ResultsInd[[#This Row],[Category]]&lt;&gt;"",ResultsInd[[#This Row],[Player B]]&lt;&gt;""),COUNTIF(INDIRECT(ResultsInd[[#This Row],[Category]]&amp;"List[Retained Player Name]"),ResultsInd[[#This Row],[Player B]]),"")</f>
        <v/>
      </c>
      <c r="R8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9" s="265" t="str">
        <f>IF(ResultsInd[[#This Row],[Score_OK]],IF(ResultsInd[[#This Row],[Stage]]="Groups",ResultsInd[[#This Row],[Category]]&amp;"-"&amp;IF(ResultsInd[[#This Row],[Player B]]="","",IF(ResultsInd[[#This Row],[Score-A]]=ResultsInd[[#This Row],[Score-B]],ResultsInd[[#This Row],[Player A]],"")),""),"")</f>
        <v/>
      </c>
      <c r="T839" s="265" t="str">
        <f>IF(ResultsInd[[#This Row],[Score_OK]],IF(ResultsInd[[#This Row],[Stage]]="Groups",ResultsInd[[#This Row],[Category]]&amp;"-"&amp;IF(ResultsInd[[#This Row],[Player B]]="","",IF(ResultsInd[[#This Row],[Score-A]]=ResultsInd[[#This Row],[Score-B]],ResultsInd[[#This Row],[Player B]],"")),""),"")</f>
        <v/>
      </c>
      <c r="U8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9" s="264" t="str">
        <f>IF(ResultsInd[[#This Row],[Category]]="","",VLOOKUP(ResultsInd[[#This Row],[Stage]],$P$1:$V$9,MATCH(ResultsInd[[#This Row],[Category]],$Q$1:$V$1,0)+1,FALSE))</f>
        <v/>
      </c>
      <c r="Z839" s="264" t="str">
        <f>IF(ResultsInd[[#This Row],[Score_OK]],IF(ResultsInd[[#This Row],[Level]]="R",ResultsInd[[#This Row],[Category]]&amp;"-"&amp;IF(ResultsInd[[#This Row],[LoseInKO]]=ResultsInd[[#This Row],[Category]]&amp;"-"&amp;ResultsInd[[#This Row],[Player A]],ResultsInd[[#This Row],[Player B]],ResultsInd[[#This Row],[Player A]]),""),"")</f>
        <v/>
      </c>
      <c r="AB839" s="8"/>
      <c r="AC839" s="8"/>
      <c r="AE839" s="90"/>
      <c r="AF839" s="90"/>
      <c r="AP839" s="8"/>
      <c r="AQ839" s="8"/>
      <c r="AR839" s="8"/>
      <c r="AS839" s="8"/>
      <c r="AT839" s="8"/>
      <c r="AU839" s="8"/>
      <c r="AV839" s="8"/>
      <c r="AW839" s="8"/>
      <c r="AX839" s="8"/>
      <c r="AY839" s="90"/>
      <c r="AZ839" s="90"/>
      <c r="BA839" s="90"/>
      <c r="BB839" s="90"/>
      <c r="BC839" s="90"/>
      <c r="BD839" s="90"/>
      <c r="BE839" s="90"/>
      <c r="BF839" s="90"/>
    </row>
    <row r="840" spans="1:58" x14ac:dyDescent="0.2">
      <c r="A840" s="62"/>
      <c r="B840" s="62"/>
      <c r="C840" s="62"/>
      <c r="D840" s="62"/>
      <c r="E840" s="345"/>
      <c r="F840" s="345"/>
      <c r="G840" s="113"/>
      <c r="H840" s="113"/>
      <c r="I840" s="114"/>
      <c r="J840" s="114"/>
      <c r="K840" s="114"/>
      <c r="L840" s="81"/>
      <c r="M840" s="265" t="b">
        <f>NOT(ISERROR(ResultsInd[[#This Row],[Goal-A]]+ResultsInd[[#This Row],[Goal-B]]))</f>
        <v>1</v>
      </c>
      <c r="N840" s="265">
        <f>VALUE(ResultsInd[[#This Row],[Score-A]])</f>
        <v>0</v>
      </c>
      <c r="O840" s="265">
        <f>VALUE(ResultsInd[[#This Row],[Score-B]])</f>
        <v>0</v>
      </c>
      <c r="P840" s="265" t="str">
        <f ca="1">IF(AND(ResultsInd[[#This Row],[Category]]&lt;&gt;"",ResultsInd[[#This Row],[Player A]]&lt;&gt;""),COUNTIF(INDIRECT(ResultsInd[[#This Row],[Category]]&amp;"List[Retained Player Name]"),ResultsInd[[#This Row],[Player A]]),"")</f>
        <v/>
      </c>
      <c r="Q840" s="265" t="str">
        <f ca="1">IF(AND(ResultsInd[[#This Row],[Category]]&lt;&gt;"",ResultsInd[[#This Row],[Player B]]&lt;&gt;""),COUNTIF(INDIRECT(ResultsInd[[#This Row],[Category]]&amp;"List[Retained Player Name]"),ResultsInd[[#This Row],[Player B]]),"")</f>
        <v/>
      </c>
      <c r="R8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0" s="265" t="str">
        <f>IF(ResultsInd[[#This Row],[Score_OK]],IF(ResultsInd[[#This Row],[Stage]]="Groups",ResultsInd[[#This Row],[Category]]&amp;"-"&amp;IF(ResultsInd[[#This Row],[Player B]]="","",IF(ResultsInd[[#This Row],[Score-A]]=ResultsInd[[#This Row],[Score-B]],ResultsInd[[#This Row],[Player A]],"")),""),"")</f>
        <v/>
      </c>
      <c r="T840" s="265" t="str">
        <f>IF(ResultsInd[[#This Row],[Score_OK]],IF(ResultsInd[[#This Row],[Stage]]="Groups",ResultsInd[[#This Row],[Category]]&amp;"-"&amp;IF(ResultsInd[[#This Row],[Player B]]="","",IF(ResultsInd[[#This Row],[Score-A]]=ResultsInd[[#This Row],[Score-B]],ResultsInd[[#This Row],[Player B]],"")),""),"")</f>
        <v/>
      </c>
      <c r="U8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0" s="264" t="str">
        <f>IF(ResultsInd[[#This Row],[Category]]="","",VLOOKUP(ResultsInd[[#This Row],[Stage]],$P$1:$V$9,MATCH(ResultsInd[[#This Row],[Category]],$Q$1:$V$1,0)+1,FALSE))</f>
        <v/>
      </c>
      <c r="Z840" s="264" t="str">
        <f>IF(ResultsInd[[#This Row],[Score_OK]],IF(ResultsInd[[#This Row],[Level]]="R",ResultsInd[[#This Row],[Category]]&amp;"-"&amp;IF(ResultsInd[[#This Row],[LoseInKO]]=ResultsInd[[#This Row],[Category]]&amp;"-"&amp;ResultsInd[[#This Row],[Player A]],ResultsInd[[#This Row],[Player B]],ResultsInd[[#This Row],[Player A]]),""),"")</f>
        <v/>
      </c>
      <c r="AB840" s="8"/>
      <c r="AC840" s="8"/>
      <c r="AE840" s="90"/>
      <c r="AF840" s="90"/>
      <c r="AP840" s="8"/>
      <c r="AQ840" s="8"/>
      <c r="AR840" s="8"/>
      <c r="AS840" s="8"/>
      <c r="AT840" s="8"/>
      <c r="AU840" s="8"/>
      <c r="AV840" s="8"/>
      <c r="AW840" s="8"/>
      <c r="AX840" s="8"/>
      <c r="AY840" s="90"/>
      <c r="AZ840" s="90"/>
      <c r="BA840" s="90"/>
      <c r="BB840" s="90"/>
      <c r="BC840" s="90"/>
      <c r="BD840" s="90"/>
      <c r="BE840" s="90"/>
      <c r="BF840" s="90"/>
    </row>
    <row r="841" spans="1:58" x14ac:dyDescent="0.2">
      <c r="A841" s="62"/>
      <c r="B841" s="62"/>
      <c r="C841" s="62"/>
      <c r="D841" s="62"/>
      <c r="E841" s="345"/>
      <c r="F841" s="345"/>
      <c r="G841" s="113"/>
      <c r="H841" s="113"/>
      <c r="I841" s="114"/>
      <c r="J841" s="114"/>
      <c r="K841" s="114"/>
      <c r="L841" s="81"/>
      <c r="M841" s="265" t="b">
        <f>NOT(ISERROR(ResultsInd[[#This Row],[Goal-A]]+ResultsInd[[#This Row],[Goal-B]]))</f>
        <v>1</v>
      </c>
      <c r="N841" s="265">
        <f>VALUE(ResultsInd[[#This Row],[Score-A]])</f>
        <v>0</v>
      </c>
      <c r="O841" s="265">
        <f>VALUE(ResultsInd[[#This Row],[Score-B]])</f>
        <v>0</v>
      </c>
      <c r="P841" s="265" t="str">
        <f ca="1">IF(AND(ResultsInd[[#This Row],[Category]]&lt;&gt;"",ResultsInd[[#This Row],[Player A]]&lt;&gt;""),COUNTIF(INDIRECT(ResultsInd[[#This Row],[Category]]&amp;"List[Retained Player Name]"),ResultsInd[[#This Row],[Player A]]),"")</f>
        <v/>
      </c>
      <c r="Q841" s="265" t="str">
        <f ca="1">IF(AND(ResultsInd[[#This Row],[Category]]&lt;&gt;"",ResultsInd[[#This Row],[Player B]]&lt;&gt;""),COUNTIF(INDIRECT(ResultsInd[[#This Row],[Category]]&amp;"List[Retained Player Name]"),ResultsInd[[#This Row],[Player B]]),"")</f>
        <v/>
      </c>
      <c r="R8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1" s="265" t="str">
        <f>IF(ResultsInd[[#This Row],[Score_OK]],IF(ResultsInd[[#This Row],[Stage]]="Groups",ResultsInd[[#This Row],[Category]]&amp;"-"&amp;IF(ResultsInd[[#This Row],[Player B]]="","",IF(ResultsInd[[#This Row],[Score-A]]=ResultsInd[[#This Row],[Score-B]],ResultsInd[[#This Row],[Player A]],"")),""),"")</f>
        <v/>
      </c>
      <c r="T841" s="265" t="str">
        <f>IF(ResultsInd[[#This Row],[Score_OK]],IF(ResultsInd[[#This Row],[Stage]]="Groups",ResultsInd[[#This Row],[Category]]&amp;"-"&amp;IF(ResultsInd[[#This Row],[Player B]]="","",IF(ResultsInd[[#This Row],[Score-A]]=ResultsInd[[#This Row],[Score-B]],ResultsInd[[#This Row],[Player B]],"")),""),"")</f>
        <v/>
      </c>
      <c r="U8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1" s="264" t="str">
        <f>IF(ResultsInd[[#This Row],[Category]]="","",VLOOKUP(ResultsInd[[#This Row],[Stage]],$P$1:$V$9,MATCH(ResultsInd[[#This Row],[Category]],$Q$1:$V$1,0)+1,FALSE))</f>
        <v/>
      </c>
      <c r="Z841" s="264" t="str">
        <f>IF(ResultsInd[[#This Row],[Score_OK]],IF(ResultsInd[[#This Row],[Level]]="R",ResultsInd[[#This Row],[Category]]&amp;"-"&amp;IF(ResultsInd[[#This Row],[LoseInKO]]=ResultsInd[[#This Row],[Category]]&amp;"-"&amp;ResultsInd[[#This Row],[Player A]],ResultsInd[[#This Row],[Player B]],ResultsInd[[#This Row],[Player A]]),""),"")</f>
        <v/>
      </c>
      <c r="AB841" s="8"/>
      <c r="AC841" s="8"/>
      <c r="AE841" s="90"/>
      <c r="AF841" s="90"/>
      <c r="AP841" s="8"/>
      <c r="AQ841" s="8"/>
      <c r="AR841" s="8"/>
      <c r="AS841" s="8"/>
      <c r="AT841" s="8"/>
      <c r="AU841" s="8"/>
      <c r="AV841" s="8"/>
      <c r="AW841" s="8"/>
      <c r="AX841" s="8"/>
      <c r="AY841" s="90"/>
      <c r="AZ841" s="90"/>
      <c r="BA841" s="90"/>
      <c r="BB841" s="90"/>
      <c r="BC841" s="90"/>
      <c r="BD841" s="90"/>
      <c r="BE841" s="90"/>
      <c r="BF841" s="90"/>
    </row>
    <row r="842" spans="1:58" x14ac:dyDescent="0.2">
      <c r="A842" s="62"/>
      <c r="B842" s="62"/>
      <c r="C842" s="62"/>
      <c r="D842" s="62"/>
      <c r="E842" s="345"/>
      <c r="F842" s="345"/>
      <c r="G842" s="113"/>
      <c r="H842" s="113"/>
      <c r="I842" s="114"/>
      <c r="J842" s="114"/>
      <c r="K842" s="114"/>
      <c r="L842" s="81"/>
      <c r="M842" s="265" t="b">
        <f>NOT(ISERROR(ResultsInd[[#This Row],[Goal-A]]+ResultsInd[[#This Row],[Goal-B]]))</f>
        <v>1</v>
      </c>
      <c r="N842" s="265">
        <f>VALUE(ResultsInd[[#This Row],[Score-A]])</f>
        <v>0</v>
      </c>
      <c r="O842" s="265">
        <f>VALUE(ResultsInd[[#This Row],[Score-B]])</f>
        <v>0</v>
      </c>
      <c r="P842" s="265" t="str">
        <f ca="1">IF(AND(ResultsInd[[#This Row],[Category]]&lt;&gt;"",ResultsInd[[#This Row],[Player A]]&lt;&gt;""),COUNTIF(INDIRECT(ResultsInd[[#This Row],[Category]]&amp;"List[Retained Player Name]"),ResultsInd[[#This Row],[Player A]]),"")</f>
        <v/>
      </c>
      <c r="Q842" s="265" t="str">
        <f ca="1">IF(AND(ResultsInd[[#This Row],[Category]]&lt;&gt;"",ResultsInd[[#This Row],[Player B]]&lt;&gt;""),COUNTIF(INDIRECT(ResultsInd[[#This Row],[Category]]&amp;"List[Retained Player Name]"),ResultsInd[[#This Row],[Player B]]),"")</f>
        <v/>
      </c>
      <c r="R8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2" s="265" t="str">
        <f>IF(ResultsInd[[#This Row],[Score_OK]],IF(ResultsInd[[#This Row],[Stage]]="Groups",ResultsInd[[#This Row],[Category]]&amp;"-"&amp;IF(ResultsInd[[#This Row],[Player B]]="","",IF(ResultsInd[[#This Row],[Score-A]]=ResultsInd[[#This Row],[Score-B]],ResultsInd[[#This Row],[Player A]],"")),""),"")</f>
        <v/>
      </c>
      <c r="T842" s="265" t="str">
        <f>IF(ResultsInd[[#This Row],[Score_OK]],IF(ResultsInd[[#This Row],[Stage]]="Groups",ResultsInd[[#This Row],[Category]]&amp;"-"&amp;IF(ResultsInd[[#This Row],[Player B]]="","",IF(ResultsInd[[#This Row],[Score-A]]=ResultsInd[[#This Row],[Score-B]],ResultsInd[[#This Row],[Player B]],"")),""),"")</f>
        <v/>
      </c>
      <c r="U8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2" s="264" t="str">
        <f>IF(ResultsInd[[#This Row],[Category]]="","",VLOOKUP(ResultsInd[[#This Row],[Stage]],$P$1:$V$9,MATCH(ResultsInd[[#This Row],[Category]],$Q$1:$V$1,0)+1,FALSE))</f>
        <v/>
      </c>
      <c r="Z842" s="264" t="str">
        <f>IF(ResultsInd[[#This Row],[Score_OK]],IF(ResultsInd[[#This Row],[Level]]="R",ResultsInd[[#This Row],[Category]]&amp;"-"&amp;IF(ResultsInd[[#This Row],[LoseInKO]]=ResultsInd[[#This Row],[Category]]&amp;"-"&amp;ResultsInd[[#This Row],[Player A]],ResultsInd[[#This Row],[Player B]],ResultsInd[[#This Row],[Player A]]),""),"")</f>
        <v/>
      </c>
      <c r="AB842" s="8"/>
      <c r="AC842" s="8"/>
      <c r="AE842" s="90"/>
      <c r="AF842" s="90"/>
      <c r="AP842" s="8"/>
      <c r="AQ842" s="8"/>
      <c r="AR842" s="8"/>
      <c r="AS842" s="8"/>
      <c r="AT842" s="8"/>
      <c r="AU842" s="8"/>
      <c r="AV842" s="8"/>
      <c r="AW842" s="8"/>
      <c r="AX842" s="8"/>
      <c r="AY842" s="90"/>
      <c r="AZ842" s="90"/>
      <c r="BA842" s="90"/>
      <c r="BB842" s="90"/>
      <c r="BC842" s="90"/>
      <c r="BD842" s="90"/>
      <c r="BE842" s="90"/>
      <c r="BF842" s="90"/>
    </row>
    <row r="843" spans="1:58" x14ac:dyDescent="0.2">
      <c r="A843" s="62"/>
      <c r="B843" s="62"/>
      <c r="C843" s="62"/>
      <c r="D843" s="62"/>
      <c r="E843" s="345"/>
      <c r="F843" s="345"/>
      <c r="G843" s="113"/>
      <c r="H843" s="113"/>
      <c r="I843" s="114"/>
      <c r="J843" s="114"/>
      <c r="K843" s="114"/>
      <c r="L843" s="81"/>
      <c r="M843" s="265" t="b">
        <f>NOT(ISERROR(ResultsInd[[#This Row],[Goal-A]]+ResultsInd[[#This Row],[Goal-B]]))</f>
        <v>1</v>
      </c>
      <c r="N843" s="265">
        <f>VALUE(ResultsInd[[#This Row],[Score-A]])</f>
        <v>0</v>
      </c>
      <c r="O843" s="265">
        <f>VALUE(ResultsInd[[#This Row],[Score-B]])</f>
        <v>0</v>
      </c>
      <c r="P843" s="265" t="str">
        <f ca="1">IF(AND(ResultsInd[[#This Row],[Category]]&lt;&gt;"",ResultsInd[[#This Row],[Player A]]&lt;&gt;""),COUNTIF(INDIRECT(ResultsInd[[#This Row],[Category]]&amp;"List[Retained Player Name]"),ResultsInd[[#This Row],[Player A]]),"")</f>
        <v/>
      </c>
      <c r="Q843" s="265" t="str">
        <f ca="1">IF(AND(ResultsInd[[#This Row],[Category]]&lt;&gt;"",ResultsInd[[#This Row],[Player B]]&lt;&gt;""),COUNTIF(INDIRECT(ResultsInd[[#This Row],[Category]]&amp;"List[Retained Player Name]"),ResultsInd[[#This Row],[Player B]]),"")</f>
        <v/>
      </c>
      <c r="R8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3" s="265" t="str">
        <f>IF(ResultsInd[[#This Row],[Score_OK]],IF(ResultsInd[[#This Row],[Stage]]="Groups",ResultsInd[[#This Row],[Category]]&amp;"-"&amp;IF(ResultsInd[[#This Row],[Player B]]="","",IF(ResultsInd[[#This Row],[Score-A]]=ResultsInd[[#This Row],[Score-B]],ResultsInd[[#This Row],[Player A]],"")),""),"")</f>
        <v/>
      </c>
      <c r="T843" s="265" t="str">
        <f>IF(ResultsInd[[#This Row],[Score_OK]],IF(ResultsInd[[#This Row],[Stage]]="Groups",ResultsInd[[#This Row],[Category]]&amp;"-"&amp;IF(ResultsInd[[#This Row],[Player B]]="","",IF(ResultsInd[[#This Row],[Score-A]]=ResultsInd[[#This Row],[Score-B]],ResultsInd[[#This Row],[Player B]],"")),""),"")</f>
        <v/>
      </c>
      <c r="U8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3" s="264" t="str">
        <f>IF(ResultsInd[[#This Row],[Category]]="","",VLOOKUP(ResultsInd[[#This Row],[Stage]],$P$1:$V$9,MATCH(ResultsInd[[#This Row],[Category]],$Q$1:$V$1,0)+1,FALSE))</f>
        <v/>
      </c>
      <c r="Z843" s="264" t="str">
        <f>IF(ResultsInd[[#This Row],[Score_OK]],IF(ResultsInd[[#This Row],[Level]]="R",ResultsInd[[#This Row],[Category]]&amp;"-"&amp;IF(ResultsInd[[#This Row],[LoseInKO]]=ResultsInd[[#This Row],[Category]]&amp;"-"&amp;ResultsInd[[#This Row],[Player A]],ResultsInd[[#This Row],[Player B]],ResultsInd[[#This Row],[Player A]]),""),"")</f>
        <v/>
      </c>
      <c r="AB843" s="8"/>
      <c r="AC843" s="8"/>
      <c r="AE843" s="90"/>
      <c r="AF843" s="90"/>
      <c r="AP843" s="8"/>
      <c r="AQ843" s="8"/>
      <c r="AR843" s="8"/>
      <c r="AS843" s="8"/>
      <c r="AT843" s="8"/>
      <c r="AU843" s="8"/>
      <c r="AV843" s="8"/>
      <c r="AW843" s="8"/>
      <c r="AX843" s="8"/>
      <c r="AY843" s="90"/>
      <c r="AZ843" s="90"/>
      <c r="BA843" s="90"/>
      <c r="BB843" s="90"/>
      <c r="BC843" s="90"/>
      <c r="BD843" s="90"/>
      <c r="BE843" s="90"/>
      <c r="BF843" s="90"/>
    </row>
    <row r="844" spans="1:58" x14ac:dyDescent="0.2">
      <c r="A844" s="62"/>
      <c r="B844" s="62"/>
      <c r="C844" s="62"/>
      <c r="D844" s="62"/>
      <c r="E844" s="345"/>
      <c r="F844" s="345"/>
      <c r="G844" s="113"/>
      <c r="H844" s="113"/>
      <c r="I844" s="114"/>
      <c r="J844" s="114"/>
      <c r="K844" s="114"/>
      <c r="L844" s="81"/>
      <c r="M844" s="265" t="b">
        <f>NOT(ISERROR(ResultsInd[[#This Row],[Goal-A]]+ResultsInd[[#This Row],[Goal-B]]))</f>
        <v>1</v>
      </c>
      <c r="N844" s="265">
        <f>VALUE(ResultsInd[[#This Row],[Score-A]])</f>
        <v>0</v>
      </c>
      <c r="O844" s="265">
        <f>VALUE(ResultsInd[[#This Row],[Score-B]])</f>
        <v>0</v>
      </c>
      <c r="P844" s="265" t="str">
        <f ca="1">IF(AND(ResultsInd[[#This Row],[Category]]&lt;&gt;"",ResultsInd[[#This Row],[Player A]]&lt;&gt;""),COUNTIF(INDIRECT(ResultsInd[[#This Row],[Category]]&amp;"List[Retained Player Name]"),ResultsInd[[#This Row],[Player A]]),"")</f>
        <v/>
      </c>
      <c r="Q844" s="265" t="str">
        <f ca="1">IF(AND(ResultsInd[[#This Row],[Category]]&lt;&gt;"",ResultsInd[[#This Row],[Player B]]&lt;&gt;""),COUNTIF(INDIRECT(ResultsInd[[#This Row],[Category]]&amp;"List[Retained Player Name]"),ResultsInd[[#This Row],[Player B]]),"")</f>
        <v/>
      </c>
      <c r="R8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4" s="265" t="str">
        <f>IF(ResultsInd[[#This Row],[Score_OK]],IF(ResultsInd[[#This Row],[Stage]]="Groups",ResultsInd[[#This Row],[Category]]&amp;"-"&amp;IF(ResultsInd[[#This Row],[Player B]]="","",IF(ResultsInd[[#This Row],[Score-A]]=ResultsInd[[#This Row],[Score-B]],ResultsInd[[#This Row],[Player A]],"")),""),"")</f>
        <v/>
      </c>
      <c r="T844" s="265" t="str">
        <f>IF(ResultsInd[[#This Row],[Score_OK]],IF(ResultsInd[[#This Row],[Stage]]="Groups",ResultsInd[[#This Row],[Category]]&amp;"-"&amp;IF(ResultsInd[[#This Row],[Player B]]="","",IF(ResultsInd[[#This Row],[Score-A]]=ResultsInd[[#This Row],[Score-B]],ResultsInd[[#This Row],[Player B]],"")),""),"")</f>
        <v/>
      </c>
      <c r="U8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4" s="264" t="str">
        <f>IF(ResultsInd[[#This Row],[Category]]="","",VLOOKUP(ResultsInd[[#This Row],[Stage]],$P$1:$V$9,MATCH(ResultsInd[[#This Row],[Category]],$Q$1:$V$1,0)+1,FALSE))</f>
        <v/>
      </c>
      <c r="Z844" s="264" t="str">
        <f>IF(ResultsInd[[#This Row],[Score_OK]],IF(ResultsInd[[#This Row],[Level]]="R",ResultsInd[[#This Row],[Category]]&amp;"-"&amp;IF(ResultsInd[[#This Row],[LoseInKO]]=ResultsInd[[#This Row],[Category]]&amp;"-"&amp;ResultsInd[[#This Row],[Player A]],ResultsInd[[#This Row],[Player B]],ResultsInd[[#This Row],[Player A]]),""),"")</f>
        <v/>
      </c>
      <c r="AB844" s="8"/>
      <c r="AC844" s="8"/>
      <c r="AE844" s="90"/>
      <c r="AF844" s="90"/>
      <c r="AP844" s="8"/>
      <c r="AQ844" s="8"/>
      <c r="AR844" s="8"/>
      <c r="AS844" s="8"/>
      <c r="AT844" s="8"/>
      <c r="AU844" s="8"/>
      <c r="AV844" s="8"/>
      <c r="AW844" s="8"/>
      <c r="AX844" s="8"/>
      <c r="AY844" s="90"/>
      <c r="AZ844" s="90"/>
      <c r="BA844" s="90"/>
      <c r="BB844" s="90"/>
      <c r="BC844" s="90"/>
      <c r="BD844" s="90"/>
      <c r="BE844" s="90"/>
      <c r="BF844" s="90"/>
    </row>
    <row r="845" spans="1:58" x14ac:dyDescent="0.2">
      <c r="A845" s="62"/>
      <c r="B845" s="62"/>
      <c r="C845" s="62"/>
      <c r="D845" s="62"/>
      <c r="E845" s="345"/>
      <c r="F845" s="345"/>
      <c r="G845" s="113"/>
      <c r="H845" s="113"/>
      <c r="I845" s="114"/>
      <c r="J845" s="114"/>
      <c r="K845" s="114"/>
      <c r="L845" s="81"/>
      <c r="M845" s="265" t="b">
        <f>NOT(ISERROR(ResultsInd[[#This Row],[Goal-A]]+ResultsInd[[#This Row],[Goal-B]]))</f>
        <v>1</v>
      </c>
      <c r="N845" s="265">
        <f>VALUE(ResultsInd[[#This Row],[Score-A]])</f>
        <v>0</v>
      </c>
      <c r="O845" s="265">
        <f>VALUE(ResultsInd[[#This Row],[Score-B]])</f>
        <v>0</v>
      </c>
      <c r="P845" s="265" t="str">
        <f ca="1">IF(AND(ResultsInd[[#This Row],[Category]]&lt;&gt;"",ResultsInd[[#This Row],[Player A]]&lt;&gt;""),COUNTIF(INDIRECT(ResultsInd[[#This Row],[Category]]&amp;"List[Retained Player Name]"),ResultsInd[[#This Row],[Player A]]),"")</f>
        <v/>
      </c>
      <c r="Q845" s="265" t="str">
        <f ca="1">IF(AND(ResultsInd[[#This Row],[Category]]&lt;&gt;"",ResultsInd[[#This Row],[Player B]]&lt;&gt;""),COUNTIF(INDIRECT(ResultsInd[[#This Row],[Category]]&amp;"List[Retained Player Name]"),ResultsInd[[#This Row],[Player B]]),"")</f>
        <v/>
      </c>
      <c r="R8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5" s="265" t="str">
        <f>IF(ResultsInd[[#This Row],[Score_OK]],IF(ResultsInd[[#This Row],[Stage]]="Groups",ResultsInd[[#This Row],[Category]]&amp;"-"&amp;IF(ResultsInd[[#This Row],[Player B]]="","",IF(ResultsInd[[#This Row],[Score-A]]=ResultsInd[[#This Row],[Score-B]],ResultsInd[[#This Row],[Player A]],"")),""),"")</f>
        <v/>
      </c>
      <c r="T845" s="265" t="str">
        <f>IF(ResultsInd[[#This Row],[Score_OK]],IF(ResultsInd[[#This Row],[Stage]]="Groups",ResultsInd[[#This Row],[Category]]&amp;"-"&amp;IF(ResultsInd[[#This Row],[Player B]]="","",IF(ResultsInd[[#This Row],[Score-A]]=ResultsInd[[#This Row],[Score-B]],ResultsInd[[#This Row],[Player B]],"")),""),"")</f>
        <v/>
      </c>
      <c r="U8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5" s="264" t="str">
        <f>IF(ResultsInd[[#This Row],[Category]]="","",VLOOKUP(ResultsInd[[#This Row],[Stage]],$P$1:$V$9,MATCH(ResultsInd[[#This Row],[Category]],$Q$1:$V$1,0)+1,FALSE))</f>
        <v/>
      </c>
      <c r="Z845" s="264" t="str">
        <f>IF(ResultsInd[[#This Row],[Score_OK]],IF(ResultsInd[[#This Row],[Level]]="R",ResultsInd[[#This Row],[Category]]&amp;"-"&amp;IF(ResultsInd[[#This Row],[LoseInKO]]=ResultsInd[[#This Row],[Category]]&amp;"-"&amp;ResultsInd[[#This Row],[Player A]],ResultsInd[[#This Row],[Player B]],ResultsInd[[#This Row],[Player A]]),""),"")</f>
        <v/>
      </c>
      <c r="AB845" s="8"/>
      <c r="AC845" s="8"/>
      <c r="AE845" s="90"/>
      <c r="AF845" s="90"/>
      <c r="AP845" s="8"/>
      <c r="AQ845" s="8"/>
      <c r="AR845" s="8"/>
      <c r="AS845" s="8"/>
      <c r="AT845" s="8"/>
      <c r="AU845" s="8"/>
      <c r="AV845" s="8"/>
      <c r="AW845" s="8"/>
      <c r="AX845" s="8"/>
      <c r="AY845" s="90"/>
      <c r="AZ845" s="90"/>
      <c r="BA845" s="90"/>
      <c r="BB845" s="90"/>
      <c r="BC845" s="90"/>
      <c r="BD845" s="90"/>
      <c r="BE845" s="90"/>
      <c r="BF845" s="90"/>
    </row>
    <row r="846" spans="1:58" x14ac:dyDescent="0.2">
      <c r="A846" s="62"/>
      <c r="B846" s="62"/>
      <c r="C846" s="62"/>
      <c r="D846" s="62"/>
      <c r="E846" s="345"/>
      <c r="F846" s="345"/>
      <c r="G846" s="113"/>
      <c r="H846" s="113"/>
      <c r="I846" s="114"/>
      <c r="J846" s="114"/>
      <c r="K846" s="114"/>
      <c r="L846" s="81"/>
      <c r="M846" s="265" t="b">
        <f>NOT(ISERROR(ResultsInd[[#This Row],[Goal-A]]+ResultsInd[[#This Row],[Goal-B]]))</f>
        <v>1</v>
      </c>
      <c r="N846" s="265">
        <f>VALUE(ResultsInd[[#This Row],[Score-A]])</f>
        <v>0</v>
      </c>
      <c r="O846" s="265">
        <f>VALUE(ResultsInd[[#This Row],[Score-B]])</f>
        <v>0</v>
      </c>
      <c r="P846" s="265" t="str">
        <f ca="1">IF(AND(ResultsInd[[#This Row],[Category]]&lt;&gt;"",ResultsInd[[#This Row],[Player A]]&lt;&gt;""),COUNTIF(INDIRECT(ResultsInd[[#This Row],[Category]]&amp;"List[Retained Player Name]"),ResultsInd[[#This Row],[Player A]]),"")</f>
        <v/>
      </c>
      <c r="Q846" s="265" t="str">
        <f ca="1">IF(AND(ResultsInd[[#This Row],[Category]]&lt;&gt;"",ResultsInd[[#This Row],[Player B]]&lt;&gt;""),COUNTIF(INDIRECT(ResultsInd[[#This Row],[Category]]&amp;"List[Retained Player Name]"),ResultsInd[[#This Row],[Player B]]),"")</f>
        <v/>
      </c>
      <c r="R8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6" s="265" t="str">
        <f>IF(ResultsInd[[#This Row],[Score_OK]],IF(ResultsInd[[#This Row],[Stage]]="Groups",ResultsInd[[#This Row],[Category]]&amp;"-"&amp;IF(ResultsInd[[#This Row],[Player B]]="","",IF(ResultsInd[[#This Row],[Score-A]]=ResultsInd[[#This Row],[Score-B]],ResultsInd[[#This Row],[Player A]],"")),""),"")</f>
        <v/>
      </c>
      <c r="T846" s="265" t="str">
        <f>IF(ResultsInd[[#This Row],[Score_OK]],IF(ResultsInd[[#This Row],[Stage]]="Groups",ResultsInd[[#This Row],[Category]]&amp;"-"&amp;IF(ResultsInd[[#This Row],[Player B]]="","",IF(ResultsInd[[#This Row],[Score-A]]=ResultsInd[[#This Row],[Score-B]],ResultsInd[[#This Row],[Player B]],"")),""),"")</f>
        <v/>
      </c>
      <c r="U8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6" s="264" t="str">
        <f>IF(ResultsInd[[#This Row],[Category]]="","",VLOOKUP(ResultsInd[[#This Row],[Stage]],$P$1:$V$9,MATCH(ResultsInd[[#This Row],[Category]],$Q$1:$V$1,0)+1,FALSE))</f>
        <v/>
      </c>
      <c r="Z846" s="264" t="str">
        <f>IF(ResultsInd[[#This Row],[Score_OK]],IF(ResultsInd[[#This Row],[Level]]="R",ResultsInd[[#This Row],[Category]]&amp;"-"&amp;IF(ResultsInd[[#This Row],[LoseInKO]]=ResultsInd[[#This Row],[Category]]&amp;"-"&amp;ResultsInd[[#This Row],[Player A]],ResultsInd[[#This Row],[Player B]],ResultsInd[[#This Row],[Player A]]),""),"")</f>
        <v/>
      </c>
      <c r="AB846" s="8"/>
      <c r="AC846" s="8"/>
      <c r="AE846" s="90"/>
      <c r="AF846" s="90"/>
      <c r="AP846" s="8"/>
      <c r="AQ846" s="8"/>
      <c r="AR846" s="8"/>
      <c r="AS846" s="8"/>
      <c r="AT846" s="8"/>
      <c r="AU846" s="8"/>
      <c r="AV846" s="8"/>
      <c r="AW846" s="8"/>
      <c r="AX846" s="8"/>
      <c r="AY846" s="90"/>
      <c r="AZ846" s="90"/>
      <c r="BA846" s="90"/>
      <c r="BB846" s="90"/>
      <c r="BC846" s="90"/>
      <c r="BD846" s="90"/>
      <c r="BE846" s="90"/>
      <c r="BF846" s="90"/>
    </row>
    <row r="847" spans="1:58" x14ac:dyDescent="0.2">
      <c r="A847" s="62"/>
      <c r="B847" s="62"/>
      <c r="C847" s="62"/>
      <c r="D847" s="62"/>
      <c r="E847" s="345"/>
      <c r="F847" s="345"/>
      <c r="G847" s="113"/>
      <c r="H847" s="113"/>
      <c r="I847" s="114"/>
      <c r="J847" s="114"/>
      <c r="K847" s="114"/>
      <c r="L847" s="81"/>
      <c r="M847" s="265" t="b">
        <f>NOT(ISERROR(ResultsInd[[#This Row],[Goal-A]]+ResultsInd[[#This Row],[Goal-B]]))</f>
        <v>1</v>
      </c>
      <c r="N847" s="265">
        <f>VALUE(ResultsInd[[#This Row],[Score-A]])</f>
        <v>0</v>
      </c>
      <c r="O847" s="265">
        <f>VALUE(ResultsInd[[#This Row],[Score-B]])</f>
        <v>0</v>
      </c>
      <c r="P847" s="265" t="str">
        <f ca="1">IF(AND(ResultsInd[[#This Row],[Category]]&lt;&gt;"",ResultsInd[[#This Row],[Player A]]&lt;&gt;""),COUNTIF(INDIRECT(ResultsInd[[#This Row],[Category]]&amp;"List[Retained Player Name]"),ResultsInd[[#This Row],[Player A]]),"")</f>
        <v/>
      </c>
      <c r="Q847" s="265" t="str">
        <f ca="1">IF(AND(ResultsInd[[#This Row],[Category]]&lt;&gt;"",ResultsInd[[#This Row],[Player B]]&lt;&gt;""),COUNTIF(INDIRECT(ResultsInd[[#This Row],[Category]]&amp;"List[Retained Player Name]"),ResultsInd[[#This Row],[Player B]]),"")</f>
        <v/>
      </c>
      <c r="R8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7" s="265" t="str">
        <f>IF(ResultsInd[[#This Row],[Score_OK]],IF(ResultsInd[[#This Row],[Stage]]="Groups",ResultsInd[[#This Row],[Category]]&amp;"-"&amp;IF(ResultsInd[[#This Row],[Player B]]="","",IF(ResultsInd[[#This Row],[Score-A]]=ResultsInd[[#This Row],[Score-B]],ResultsInd[[#This Row],[Player A]],"")),""),"")</f>
        <v/>
      </c>
      <c r="T847" s="265" t="str">
        <f>IF(ResultsInd[[#This Row],[Score_OK]],IF(ResultsInd[[#This Row],[Stage]]="Groups",ResultsInd[[#This Row],[Category]]&amp;"-"&amp;IF(ResultsInd[[#This Row],[Player B]]="","",IF(ResultsInd[[#This Row],[Score-A]]=ResultsInd[[#This Row],[Score-B]],ResultsInd[[#This Row],[Player B]],"")),""),"")</f>
        <v/>
      </c>
      <c r="U8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7" s="264" t="str">
        <f>IF(ResultsInd[[#This Row],[Category]]="","",VLOOKUP(ResultsInd[[#This Row],[Stage]],$P$1:$V$9,MATCH(ResultsInd[[#This Row],[Category]],$Q$1:$V$1,0)+1,FALSE))</f>
        <v/>
      </c>
      <c r="Z847" s="264" t="str">
        <f>IF(ResultsInd[[#This Row],[Score_OK]],IF(ResultsInd[[#This Row],[Level]]="R",ResultsInd[[#This Row],[Category]]&amp;"-"&amp;IF(ResultsInd[[#This Row],[LoseInKO]]=ResultsInd[[#This Row],[Category]]&amp;"-"&amp;ResultsInd[[#This Row],[Player A]],ResultsInd[[#This Row],[Player B]],ResultsInd[[#This Row],[Player A]]),""),"")</f>
        <v/>
      </c>
      <c r="AB847" s="8"/>
      <c r="AC847" s="8"/>
      <c r="AE847" s="90"/>
      <c r="AF847" s="90"/>
      <c r="AP847" s="8"/>
      <c r="AQ847" s="8"/>
      <c r="AR847" s="8"/>
      <c r="AS847" s="8"/>
      <c r="AT847" s="8"/>
      <c r="AU847" s="8"/>
      <c r="AV847" s="8"/>
      <c r="AW847" s="8"/>
      <c r="AX847" s="8"/>
      <c r="AY847" s="90"/>
      <c r="AZ847" s="90"/>
      <c r="BA847" s="90"/>
      <c r="BB847" s="90"/>
      <c r="BC847" s="90"/>
      <c r="BD847" s="90"/>
      <c r="BE847" s="90"/>
      <c r="BF847" s="90"/>
    </row>
    <row r="848" spans="1:58" x14ac:dyDescent="0.2">
      <c r="A848" s="62"/>
      <c r="B848" s="62"/>
      <c r="C848" s="62"/>
      <c r="D848" s="62"/>
      <c r="E848" s="345"/>
      <c r="F848" s="345"/>
      <c r="G848" s="113"/>
      <c r="H848" s="113"/>
      <c r="I848" s="114"/>
      <c r="J848" s="114"/>
      <c r="K848" s="114"/>
      <c r="L848" s="81"/>
      <c r="M848" s="265" t="b">
        <f>NOT(ISERROR(ResultsInd[[#This Row],[Goal-A]]+ResultsInd[[#This Row],[Goal-B]]))</f>
        <v>1</v>
      </c>
      <c r="N848" s="265">
        <f>VALUE(ResultsInd[[#This Row],[Score-A]])</f>
        <v>0</v>
      </c>
      <c r="O848" s="265">
        <f>VALUE(ResultsInd[[#This Row],[Score-B]])</f>
        <v>0</v>
      </c>
      <c r="P848" s="265" t="str">
        <f ca="1">IF(AND(ResultsInd[[#This Row],[Category]]&lt;&gt;"",ResultsInd[[#This Row],[Player A]]&lt;&gt;""),COUNTIF(INDIRECT(ResultsInd[[#This Row],[Category]]&amp;"List[Retained Player Name]"),ResultsInd[[#This Row],[Player A]]),"")</f>
        <v/>
      </c>
      <c r="Q848" s="265" t="str">
        <f ca="1">IF(AND(ResultsInd[[#This Row],[Category]]&lt;&gt;"",ResultsInd[[#This Row],[Player B]]&lt;&gt;""),COUNTIF(INDIRECT(ResultsInd[[#This Row],[Category]]&amp;"List[Retained Player Name]"),ResultsInd[[#This Row],[Player B]]),"")</f>
        <v/>
      </c>
      <c r="R8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8" s="265" t="str">
        <f>IF(ResultsInd[[#This Row],[Score_OK]],IF(ResultsInd[[#This Row],[Stage]]="Groups",ResultsInd[[#This Row],[Category]]&amp;"-"&amp;IF(ResultsInd[[#This Row],[Player B]]="","",IF(ResultsInd[[#This Row],[Score-A]]=ResultsInd[[#This Row],[Score-B]],ResultsInd[[#This Row],[Player A]],"")),""),"")</f>
        <v/>
      </c>
      <c r="T848" s="265" t="str">
        <f>IF(ResultsInd[[#This Row],[Score_OK]],IF(ResultsInd[[#This Row],[Stage]]="Groups",ResultsInd[[#This Row],[Category]]&amp;"-"&amp;IF(ResultsInd[[#This Row],[Player B]]="","",IF(ResultsInd[[#This Row],[Score-A]]=ResultsInd[[#This Row],[Score-B]],ResultsInd[[#This Row],[Player B]],"")),""),"")</f>
        <v/>
      </c>
      <c r="U8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8" s="264" t="str">
        <f>IF(ResultsInd[[#This Row],[Category]]="","",VLOOKUP(ResultsInd[[#This Row],[Stage]],$P$1:$V$9,MATCH(ResultsInd[[#This Row],[Category]],$Q$1:$V$1,0)+1,FALSE))</f>
        <v/>
      </c>
      <c r="Z848" s="264" t="str">
        <f>IF(ResultsInd[[#This Row],[Score_OK]],IF(ResultsInd[[#This Row],[Level]]="R",ResultsInd[[#This Row],[Category]]&amp;"-"&amp;IF(ResultsInd[[#This Row],[LoseInKO]]=ResultsInd[[#This Row],[Category]]&amp;"-"&amp;ResultsInd[[#This Row],[Player A]],ResultsInd[[#This Row],[Player B]],ResultsInd[[#This Row],[Player A]]),""),"")</f>
        <v/>
      </c>
      <c r="AB848" s="8"/>
      <c r="AC848" s="8"/>
      <c r="AE848" s="90"/>
      <c r="AF848" s="90"/>
      <c r="AP848" s="8"/>
      <c r="AQ848" s="8"/>
      <c r="AR848" s="8"/>
      <c r="AS848" s="8"/>
      <c r="AT848" s="8"/>
      <c r="AU848" s="8"/>
      <c r="AV848" s="8"/>
      <c r="AW848" s="8"/>
      <c r="AX848" s="8"/>
      <c r="AY848" s="90"/>
      <c r="AZ848" s="90"/>
      <c r="BA848" s="90"/>
      <c r="BB848" s="90"/>
      <c r="BC848" s="90"/>
      <c r="BD848" s="90"/>
      <c r="BE848" s="90"/>
      <c r="BF848" s="90"/>
    </row>
    <row r="849" spans="1:58" x14ac:dyDescent="0.2">
      <c r="A849" s="62"/>
      <c r="B849" s="62"/>
      <c r="C849" s="62"/>
      <c r="D849" s="62"/>
      <c r="E849" s="345"/>
      <c r="F849" s="345"/>
      <c r="G849" s="113"/>
      <c r="H849" s="113"/>
      <c r="I849" s="114"/>
      <c r="J849" s="114"/>
      <c r="K849" s="114"/>
      <c r="L849" s="81"/>
      <c r="M849" s="265" t="b">
        <f>NOT(ISERROR(ResultsInd[[#This Row],[Goal-A]]+ResultsInd[[#This Row],[Goal-B]]))</f>
        <v>1</v>
      </c>
      <c r="N849" s="265">
        <f>VALUE(ResultsInd[[#This Row],[Score-A]])</f>
        <v>0</v>
      </c>
      <c r="O849" s="265">
        <f>VALUE(ResultsInd[[#This Row],[Score-B]])</f>
        <v>0</v>
      </c>
      <c r="P849" s="265" t="str">
        <f ca="1">IF(AND(ResultsInd[[#This Row],[Category]]&lt;&gt;"",ResultsInd[[#This Row],[Player A]]&lt;&gt;""),COUNTIF(INDIRECT(ResultsInd[[#This Row],[Category]]&amp;"List[Retained Player Name]"),ResultsInd[[#This Row],[Player A]]),"")</f>
        <v/>
      </c>
      <c r="Q849" s="265" t="str">
        <f ca="1">IF(AND(ResultsInd[[#This Row],[Category]]&lt;&gt;"",ResultsInd[[#This Row],[Player B]]&lt;&gt;""),COUNTIF(INDIRECT(ResultsInd[[#This Row],[Category]]&amp;"List[Retained Player Name]"),ResultsInd[[#This Row],[Player B]]),"")</f>
        <v/>
      </c>
      <c r="R8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9" s="265" t="str">
        <f>IF(ResultsInd[[#This Row],[Score_OK]],IF(ResultsInd[[#This Row],[Stage]]="Groups",ResultsInd[[#This Row],[Category]]&amp;"-"&amp;IF(ResultsInd[[#This Row],[Player B]]="","",IF(ResultsInd[[#This Row],[Score-A]]=ResultsInd[[#This Row],[Score-B]],ResultsInd[[#This Row],[Player A]],"")),""),"")</f>
        <v/>
      </c>
      <c r="T849" s="265" t="str">
        <f>IF(ResultsInd[[#This Row],[Score_OK]],IF(ResultsInd[[#This Row],[Stage]]="Groups",ResultsInd[[#This Row],[Category]]&amp;"-"&amp;IF(ResultsInd[[#This Row],[Player B]]="","",IF(ResultsInd[[#This Row],[Score-A]]=ResultsInd[[#This Row],[Score-B]],ResultsInd[[#This Row],[Player B]],"")),""),"")</f>
        <v/>
      </c>
      <c r="U8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9" s="264" t="str">
        <f>IF(ResultsInd[[#This Row],[Category]]="","",VLOOKUP(ResultsInd[[#This Row],[Stage]],$P$1:$V$9,MATCH(ResultsInd[[#This Row],[Category]],$Q$1:$V$1,0)+1,FALSE))</f>
        <v/>
      </c>
      <c r="Z849" s="264" t="str">
        <f>IF(ResultsInd[[#This Row],[Score_OK]],IF(ResultsInd[[#This Row],[Level]]="R",ResultsInd[[#This Row],[Category]]&amp;"-"&amp;IF(ResultsInd[[#This Row],[LoseInKO]]=ResultsInd[[#This Row],[Category]]&amp;"-"&amp;ResultsInd[[#This Row],[Player A]],ResultsInd[[#This Row],[Player B]],ResultsInd[[#This Row],[Player A]]),""),"")</f>
        <v/>
      </c>
      <c r="AB849" s="8"/>
      <c r="AC849" s="8"/>
      <c r="AE849" s="90"/>
      <c r="AF849" s="90"/>
      <c r="AP849" s="8"/>
      <c r="AQ849" s="8"/>
      <c r="AR849" s="8"/>
      <c r="AS849" s="8"/>
      <c r="AT849" s="8"/>
      <c r="AU849" s="8"/>
      <c r="AV849" s="8"/>
      <c r="AW849" s="8"/>
      <c r="AX849" s="8"/>
      <c r="AY849" s="90"/>
      <c r="AZ849" s="90"/>
      <c r="BA849" s="90"/>
      <c r="BB849" s="90"/>
      <c r="BC849" s="90"/>
      <c r="BD849" s="90"/>
      <c r="BE849" s="90"/>
      <c r="BF849" s="90"/>
    </row>
    <row r="850" spans="1:58" x14ac:dyDescent="0.2">
      <c r="A850" s="62"/>
      <c r="B850" s="62"/>
      <c r="C850" s="62"/>
      <c r="D850" s="62"/>
      <c r="E850" s="345"/>
      <c r="F850" s="345"/>
      <c r="G850" s="113"/>
      <c r="H850" s="113"/>
      <c r="I850" s="114"/>
      <c r="J850" s="114"/>
      <c r="K850" s="114"/>
      <c r="L850" s="81"/>
      <c r="M850" s="265" t="b">
        <f>NOT(ISERROR(ResultsInd[[#This Row],[Goal-A]]+ResultsInd[[#This Row],[Goal-B]]))</f>
        <v>1</v>
      </c>
      <c r="N850" s="265">
        <f>VALUE(ResultsInd[[#This Row],[Score-A]])</f>
        <v>0</v>
      </c>
      <c r="O850" s="265">
        <f>VALUE(ResultsInd[[#This Row],[Score-B]])</f>
        <v>0</v>
      </c>
      <c r="P850" s="265" t="str">
        <f ca="1">IF(AND(ResultsInd[[#This Row],[Category]]&lt;&gt;"",ResultsInd[[#This Row],[Player A]]&lt;&gt;""),COUNTIF(INDIRECT(ResultsInd[[#This Row],[Category]]&amp;"List[Retained Player Name]"),ResultsInd[[#This Row],[Player A]]),"")</f>
        <v/>
      </c>
      <c r="Q850" s="265" t="str">
        <f ca="1">IF(AND(ResultsInd[[#This Row],[Category]]&lt;&gt;"",ResultsInd[[#This Row],[Player B]]&lt;&gt;""),COUNTIF(INDIRECT(ResultsInd[[#This Row],[Category]]&amp;"List[Retained Player Name]"),ResultsInd[[#This Row],[Player B]]),"")</f>
        <v/>
      </c>
      <c r="R8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0" s="265" t="str">
        <f>IF(ResultsInd[[#This Row],[Score_OK]],IF(ResultsInd[[#This Row],[Stage]]="Groups",ResultsInd[[#This Row],[Category]]&amp;"-"&amp;IF(ResultsInd[[#This Row],[Player B]]="","",IF(ResultsInd[[#This Row],[Score-A]]=ResultsInd[[#This Row],[Score-B]],ResultsInd[[#This Row],[Player A]],"")),""),"")</f>
        <v/>
      </c>
      <c r="T850" s="265" t="str">
        <f>IF(ResultsInd[[#This Row],[Score_OK]],IF(ResultsInd[[#This Row],[Stage]]="Groups",ResultsInd[[#This Row],[Category]]&amp;"-"&amp;IF(ResultsInd[[#This Row],[Player B]]="","",IF(ResultsInd[[#This Row],[Score-A]]=ResultsInd[[#This Row],[Score-B]],ResultsInd[[#This Row],[Player B]],"")),""),"")</f>
        <v/>
      </c>
      <c r="U8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0" s="264" t="str">
        <f>IF(ResultsInd[[#This Row],[Category]]="","",VLOOKUP(ResultsInd[[#This Row],[Stage]],$P$1:$V$9,MATCH(ResultsInd[[#This Row],[Category]],$Q$1:$V$1,0)+1,FALSE))</f>
        <v/>
      </c>
      <c r="Z850" s="264" t="str">
        <f>IF(ResultsInd[[#This Row],[Score_OK]],IF(ResultsInd[[#This Row],[Level]]="R",ResultsInd[[#This Row],[Category]]&amp;"-"&amp;IF(ResultsInd[[#This Row],[LoseInKO]]=ResultsInd[[#This Row],[Category]]&amp;"-"&amp;ResultsInd[[#This Row],[Player A]],ResultsInd[[#This Row],[Player B]],ResultsInd[[#This Row],[Player A]]),""),"")</f>
        <v/>
      </c>
      <c r="AB850" s="8"/>
      <c r="AC850" s="8"/>
      <c r="AE850" s="90"/>
      <c r="AF850" s="90"/>
      <c r="AP850" s="8"/>
      <c r="AQ850" s="8"/>
      <c r="AR850" s="8"/>
      <c r="AS850" s="8"/>
      <c r="AT850" s="8"/>
      <c r="AU850" s="8"/>
      <c r="AV850" s="8"/>
      <c r="AW850" s="8"/>
      <c r="AX850" s="8"/>
      <c r="AY850" s="90"/>
      <c r="AZ850" s="90"/>
      <c r="BA850" s="90"/>
      <c r="BB850" s="90"/>
      <c r="BC850" s="90"/>
      <c r="BD850" s="90"/>
      <c r="BE850" s="90"/>
      <c r="BF850" s="90"/>
    </row>
    <row r="851" spans="1:58" x14ac:dyDescent="0.2">
      <c r="A851" s="62"/>
      <c r="B851" s="62"/>
      <c r="C851" s="62"/>
      <c r="D851" s="62"/>
      <c r="E851" s="345"/>
      <c r="F851" s="345"/>
      <c r="G851" s="113"/>
      <c r="H851" s="113"/>
      <c r="I851" s="114"/>
      <c r="J851" s="114"/>
      <c r="K851" s="114"/>
      <c r="L851" s="81"/>
      <c r="M851" s="265" t="b">
        <f>NOT(ISERROR(ResultsInd[[#This Row],[Goal-A]]+ResultsInd[[#This Row],[Goal-B]]))</f>
        <v>1</v>
      </c>
      <c r="N851" s="265">
        <f>VALUE(ResultsInd[[#This Row],[Score-A]])</f>
        <v>0</v>
      </c>
      <c r="O851" s="265">
        <f>VALUE(ResultsInd[[#This Row],[Score-B]])</f>
        <v>0</v>
      </c>
      <c r="P851" s="265" t="str">
        <f ca="1">IF(AND(ResultsInd[[#This Row],[Category]]&lt;&gt;"",ResultsInd[[#This Row],[Player A]]&lt;&gt;""),COUNTIF(INDIRECT(ResultsInd[[#This Row],[Category]]&amp;"List[Retained Player Name]"),ResultsInd[[#This Row],[Player A]]),"")</f>
        <v/>
      </c>
      <c r="Q851" s="265" t="str">
        <f ca="1">IF(AND(ResultsInd[[#This Row],[Category]]&lt;&gt;"",ResultsInd[[#This Row],[Player B]]&lt;&gt;""),COUNTIF(INDIRECT(ResultsInd[[#This Row],[Category]]&amp;"List[Retained Player Name]"),ResultsInd[[#This Row],[Player B]]),"")</f>
        <v/>
      </c>
      <c r="R8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1" s="265" t="str">
        <f>IF(ResultsInd[[#This Row],[Score_OK]],IF(ResultsInd[[#This Row],[Stage]]="Groups",ResultsInd[[#This Row],[Category]]&amp;"-"&amp;IF(ResultsInd[[#This Row],[Player B]]="","",IF(ResultsInd[[#This Row],[Score-A]]=ResultsInd[[#This Row],[Score-B]],ResultsInd[[#This Row],[Player A]],"")),""),"")</f>
        <v/>
      </c>
      <c r="T851" s="265" t="str">
        <f>IF(ResultsInd[[#This Row],[Score_OK]],IF(ResultsInd[[#This Row],[Stage]]="Groups",ResultsInd[[#This Row],[Category]]&amp;"-"&amp;IF(ResultsInd[[#This Row],[Player B]]="","",IF(ResultsInd[[#This Row],[Score-A]]=ResultsInd[[#This Row],[Score-B]],ResultsInd[[#This Row],[Player B]],"")),""),"")</f>
        <v/>
      </c>
      <c r="U8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1" s="264" t="str">
        <f>IF(ResultsInd[[#This Row],[Category]]="","",VLOOKUP(ResultsInd[[#This Row],[Stage]],$P$1:$V$9,MATCH(ResultsInd[[#This Row],[Category]],$Q$1:$V$1,0)+1,FALSE))</f>
        <v/>
      </c>
      <c r="Z851" s="264" t="str">
        <f>IF(ResultsInd[[#This Row],[Score_OK]],IF(ResultsInd[[#This Row],[Level]]="R",ResultsInd[[#This Row],[Category]]&amp;"-"&amp;IF(ResultsInd[[#This Row],[LoseInKO]]=ResultsInd[[#This Row],[Category]]&amp;"-"&amp;ResultsInd[[#This Row],[Player A]],ResultsInd[[#This Row],[Player B]],ResultsInd[[#This Row],[Player A]]),""),"")</f>
        <v/>
      </c>
      <c r="AB851" s="8"/>
      <c r="AC851" s="8"/>
      <c r="AE851" s="90"/>
      <c r="AF851" s="90"/>
      <c r="AP851" s="8"/>
      <c r="AQ851" s="8"/>
      <c r="AR851" s="8"/>
      <c r="AS851" s="8"/>
      <c r="AT851" s="8"/>
      <c r="AU851" s="8"/>
      <c r="AV851" s="8"/>
      <c r="AW851" s="8"/>
      <c r="AX851" s="8"/>
      <c r="AY851" s="90"/>
      <c r="AZ851" s="90"/>
      <c r="BA851" s="90"/>
      <c r="BB851" s="90"/>
      <c r="BC851" s="90"/>
      <c r="BD851" s="90"/>
      <c r="BE851" s="90"/>
      <c r="BF851" s="90"/>
    </row>
    <row r="852" spans="1:58" x14ac:dyDescent="0.2">
      <c r="A852" s="62"/>
      <c r="B852" s="62"/>
      <c r="C852" s="62"/>
      <c r="D852" s="62"/>
      <c r="E852" s="345"/>
      <c r="F852" s="345"/>
      <c r="G852" s="113"/>
      <c r="H852" s="113"/>
      <c r="I852" s="114"/>
      <c r="J852" s="114"/>
      <c r="K852" s="114"/>
      <c r="L852" s="81"/>
      <c r="M852" s="265" t="b">
        <f>NOT(ISERROR(ResultsInd[[#This Row],[Goal-A]]+ResultsInd[[#This Row],[Goal-B]]))</f>
        <v>1</v>
      </c>
      <c r="N852" s="265">
        <f>VALUE(ResultsInd[[#This Row],[Score-A]])</f>
        <v>0</v>
      </c>
      <c r="O852" s="265">
        <f>VALUE(ResultsInd[[#This Row],[Score-B]])</f>
        <v>0</v>
      </c>
      <c r="P852" s="265" t="str">
        <f ca="1">IF(AND(ResultsInd[[#This Row],[Category]]&lt;&gt;"",ResultsInd[[#This Row],[Player A]]&lt;&gt;""),COUNTIF(INDIRECT(ResultsInd[[#This Row],[Category]]&amp;"List[Retained Player Name]"),ResultsInd[[#This Row],[Player A]]),"")</f>
        <v/>
      </c>
      <c r="Q852" s="265" t="str">
        <f ca="1">IF(AND(ResultsInd[[#This Row],[Category]]&lt;&gt;"",ResultsInd[[#This Row],[Player B]]&lt;&gt;""),COUNTIF(INDIRECT(ResultsInd[[#This Row],[Category]]&amp;"List[Retained Player Name]"),ResultsInd[[#This Row],[Player B]]),"")</f>
        <v/>
      </c>
      <c r="R8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2" s="265" t="str">
        <f>IF(ResultsInd[[#This Row],[Score_OK]],IF(ResultsInd[[#This Row],[Stage]]="Groups",ResultsInd[[#This Row],[Category]]&amp;"-"&amp;IF(ResultsInd[[#This Row],[Player B]]="","",IF(ResultsInd[[#This Row],[Score-A]]=ResultsInd[[#This Row],[Score-B]],ResultsInd[[#This Row],[Player A]],"")),""),"")</f>
        <v/>
      </c>
      <c r="T852" s="265" t="str">
        <f>IF(ResultsInd[[#This Row],[Score_OK]],IF(ResultsInd[[#This Row],[Stage]]="Groups",ResultsInd[[#This Row],[Category]]&amp;"-"&amp;IF(ResultsInd[[#This Row],[Player B]]="","",IF(ResultsInd[[#This Row],[Score-A]]=ResultsInd[[#This Row],[Score-B]],ResultsInd[[#This Row],[Player B]],"")),""),"")</f>
        <v/>
      </c>
      <c r="U8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2" s="264" t="str">
        <f>IF(ResultsInd[[#This Row],[Category]]="","",VLOOKUP(ResultsInd[[#This Row],[Stage]],$P$1:$V$9,MATCH(ResultsInd[[#This Row],[Category]],$Q$1:$V$1,0)+1,FALSE))</f>
        <v/>
      </c>
      <c r="Z852" s="264" t="str">
        <f>IF(ResultsInd[[#This Row],[Score_OK]],IF(ResultsInd[[#This Row],[Level]]="R",ResultsInd[[#This Row],[Category]]&amp;"-"&amp;IF(ResultsInd[[#This Row],[LoseInKO]]=ResultsInd[[#This Row],[Category]]&amp;"-"&amp;ResultsInd[[#This Row],[Player A]],ResultsInd[[#This Row],[Player B]],ResultsInd[[#This Row],[Player A]]),""),"")</f>
        <v/>
      </c>
      <c r="AB852" s="8"/>
      <c r="AC852" s="8"/>
      <c r="AE852" s="90"/>
      <c r="AF852" s="90"/>
      <c r="AP852" s="8"/>
      <c r="AQ852" s="8"/>
      <c r="AR852" s="8"/>
      <c r="AS852" s="8"/>
      <c r="AT852" s="8"/>
      <c r="AU852" s="8"/>
      <c r="AV852" s="8"/>
      <c r="AW852" s="8"/>
      <c r="AX852" s="8"/>
      <c r="AY852" s="90"/>
      <c r="AZ852" s="90"/>
      <c r="BA852" s="90"/>
      <c r="BB852" s="90"/>
      <c r="BC852" s="90"/>
      <c r="BD852" s="90"/>
      <c r="BE852" s="90"/>
      <c r="BF852" s="90"/>
    </row>
    <row r="853" spans="1:58" x14ac:dyDescent="0.2">
      <c r="A853" s="62"/>
      <c r="B853" s="62"/>
      <c r="C853" s="62"/>
      <c r="D853" s="62"/>
      <c r="E853" s="345"/>
      <c r="F853" s="345"/>
      <c r="G853" s="113"/>
      <c r="H853" s="113"/>
      <c r="I853" s="114"/>
      <c r="J853" s="114"/>
      <c r="K853" s="114"/>
      <c r="L853" s="81"/>
      <c r="M853" s="265" t="b">
        <f>NOT(ISERROR(ResultsInd[[#This Row],[Goal-A]]+ResultsInd[[#This Row],[Goal-B]]))</f>
        <v>1</v>
      </c>
      <c r="N853" s="265">
        <f>VALUE(ResultsInd[[#This Row],[Score-A]])</f>
        <v>0</v>
      </c>
      <c r="O853" s="265">
        <f>VALUE(ResultsInd[[#This Row],[Score-B]])</f>
        <v>0</v>
      </c>
      <c r="P853" s="265" t="str">
        <f ca="1">IF(AND(ResultsInd[[#This Row],[Category]]&lt;&gt;"",ResultsInd[[#This Row],[Player A]]&lt;&gt;""),COUNTIF(INDIRECT(ResultsInd[[#This Row],[Category]]&amp;"List[Retained Player Name]"),ResultsInd[[#This Row],[Player A]]),"")</f>
        <v/>
      </c>
      <c r="Q853" s="265" t="str">
        <f ca="1">IF(AND(ResultsInd[[#This Row],[Category]]&lt;&gt;"",ResultsInd[[#This Row],[Player B]]&lt;&gt;""),COUNTIF(INDIRECT(ResultsInd[[#This Row],[Category]]&amp;"List[Retained Player Name]"),ResultsInd[[#This Row],[Player B]]),"")</f>
        <v/>
      </c>
      <c r="R8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3" s="265" t="str">
        <f>IF(ResultsInd[[#This Row],[Score_OK]],IF(ResultsInd[[#This Row],[Stage]]="Groups",ResultsInd[[#This Row],[Category]]&amp;"-"&amp;IF(ResultsInd[[#This Row],[Player B]]="","",IF(ResultsInd[[#This Row],[Score-A]]=ResultsInd[[#This Row],[Score-B]],ResultsInd[[#This Row],[Player A]],"")),""),"")</f>
        <v/>
      </c>
      <c r="T853" s="265" t="str">
        <f>IF(ResultsInd[[#This Row],[Score_OK]],IF(ResultsInd[[#This Row],[Stage]]="Groups",ResultsInd[[#This Row],[Category]]&amp;"-"&amp;IF(ResultsInd[[#This Row],[Player B]]="","",IF(ResultsInd[[#This Row],[Score-A]]=ResultsInd[[#This Row],[Score-B]],ResultsInd[[#This Row],[Player B]],"")),""),"")</f>
        <v/>
      </c>
      <c r="U8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3" s="264" t="str">
        <f>IF(ResultsInd[[#This Row],[Category]]="","",VLOOKUP(ResultsInd[[#This Row],[Stage]],$P$1:$V$9,MATCH(ResultsInd[[#This Row],[Category]],$Q$1:$V$1,0)+1,FALSE))</f>
        <v/>
      </c>
      <c r="Z853" s="264" t="str">
        <f>IF(ResultsInd[[#This Row],[Score_OK]],IF(ResultsInd[[#This Row],[Level]]="R",ResultsInd[[#This Row],[Category]]&amp;"-"&amp;IF(ResultsInd[[#This Row],[LoseInKO]]=ResultsInd[[#This Row],[Category]]&amp;"-"&amp;ResultsInd[[#This Row],[Player A]],ResultsInd[[#This Row],[Player B]],ResultsInd[[#This Row],[Player A]]),""),"")</f>
        <v/>
      </c>
      <c r="AB853" s="8"/>
      <c r="AC853" s="8"/>
      <c r="AE853" s="90"/>
      <c r="AF853" s="90"/>
      <c r="AP853" s="8"/>
      <c r="AQ853" s="8"/>
      <c r="AR853" s="8"/>
      <c r="AS853" s="8"/>
      <c r="AT853" s="8"/>
      <c r="AU853" s="8"/>
      <c r="AV853" s="8"/>
      <c r="AW853" s="8"/>
      <c r="AX853" s="8"/>
      <c r="AY853" s="90"/>
      <c r="AZ853" s="90"/>
      <c r="BA853" s="90"/>
      <c r="BB853" s="90"/>
      <c r="BC853" s="90"/>
      <c r="BD853" s="90"/>
      <c r="BE853" s="90"/>
      <c r="BF853" s="90"/>
    </row>
    <row r="854" spans="1:58" x14ac:dyDescent="0.2">
      <c r="A854" s="62"/>
      <c r="B854" s="62"/>
      <c r="C854" s="62"/>
      <c r="D854" s="62"/>
      <c r="E854" s="345"/>
      <c r="F854" s="345"/>
      <c r="G854" s="113"/>
      <c r="H854" s="113"/>
      <c r="I854" s="114"/>
      <c r="J854" s="114"/>
      <c r="K854" s="114"/>
      <c r="L854" s="81"/>
      <c r="M854" s="265" t="b">
        <f>NOT(ISERROR(ResultsInd[[#This Row],[Goal-A]]+ResultsInd[[#This Row],[Goal-B]]))</f>
        <v>1</v>
      </c>
      <c r="N854" s="265">
        <f>VALUE(ResultsInd[[#This Row],[Score-A]])</f>
        <v>0</v>
      </c>
      <c r="O854" s="265">
        <f>VALUE(ResultsInd[[#This Row],[Score-B]])</f>
        <v>0</v>
      </c>
      <c r="P854" s="265" t="str">
        <f ca="1">IF(AND(ResultsInd[[#This Row],[Category]]&lt;&gt;"",ResultsInd[[#This Row],[Player A]]&lt;&gt;""),COUNTIF(INDIRECT(ResultsInd[[#This Row],[Category]]&amp;"List[Retained Player Name]"),ResultsInd[[#This Row],[Player A]]),"")</f>
        <v/>
      </c>
      <c r="Q854" s="265" t="str">
        <f ca="1">IF(AND(ResultsInd[[#This Row],[Category]]&lt;&gt;"",ResultsInd[[#This Row],[Player B]]&lt;&gt;""),COUNTIF(INDIRECT(ResultsInd[[#This Row],[Category]]&amp;"List[Retained Player Name]"),ResultsInd[[#This Row],[Player B]]),"")</f>
        <v/>
      </c>
      <c r="R8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4" s="265" t="str">
        <f>IF(ResultsInd[[#This Row],[Score_OK]],IF(ResultsInd[[#This Row],[Stage]]="Groups",ResultsInd[[#This Row],[Category]]&amp;"-"&amp;IF(ResultsInd[[#This Row],[Player B]]="","",IF(ResultsInd[[#This Row],[Score-A]]=ResultsInd[[#This Row],[Score-B]],ResultsInd[[#This Row],[Player A]],"")),""),"")</f>
        <v/>
      </c>
      <c r="T854" s="265" t="str">
        <f>IF(ResultsInd[[#This Row],[Score_OK]],IF(ResultsInd[[#This Row],[Stage]]="Groups",ResultsInd[[#This Row],[Category]]&amp;"-"&amp;IF(ResultsInd[[#This Row],[Player B]]="","",IF(ResultsInd[[#This Row],[Score-A]]=ResultsInd[[#This Row],[Score-B]],ResultsInd[[#This Row],[Player B]],"")),""),"")</f>
        <v/>
      </c>
      <c r="U8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4" s="264" t="str">
        <f>IF(ResultsInd[[#This Row],[Category]]="","",VLOOKUP(ResultsInd[[#This Row],[Stage]],$P$1:$V$9,MATCH(ResultsInd[[#This Row],[Category]],$Q$1:$V$1,0)+1,FALSE))</f>
        <v/>
      </c>
      <c r="Z854" s="264" t="str">
        <f>IF(ResultsInd[[#This Row],[Score_OK]],IF(ResultsInd[[#This Row],[Level]]="R",ResultsInd[[#This Row],[Category]]&amp;"-"&amp;IF(ResultsInd[[#This Row],[LoseInKO]]=ResultsInd[[#This Row],[Category]]&amp;"-"&amp;ResultsInd[[#This Row],[Player A]],ResultsInd[[#This Row],[Player B]],ResultsInd[[#This Row],[Player A]]),""),"")</f>
        <v/>
      </c>
      <c r="AB854" s="8"/>
      <c r="AC854" s="8"/>
      <c r="AE854" s="90"/>
      <c r="AF854" s="90"/>
      <c r="AP854" s="8"/>
      <c r="AQ854" s="8"/>
      <c r="AR854" s="8"/>
      <c r="AS854" s="8"/>
      <c r="AT854" s="8"/>
      <c r="AU854" s="8"/>
      <c r="AV854" s="8"/>
      <c r="AW854" s="8"/>
      <c r="AX854" s="8"/>
      <c r="AY854" s="90"/>
      <c r="AZ854" s="90"/>
      <c r="BA854" s="90"/>
      <c r="BB854" s="90"/>
      <c r="BC854" s="90"/>
      <c r="BD854" s="90"/>
      <c r="BE854" s="90"/>
      <c r="BF854" s="90"/>
    </row>
    <row r="855" spans="1:58" x14ac:dyDescent="0.2">
      <c r="A855" s="62"/>
      <c r="B855" s="62"/>
      <c r="C855" s="62"/>
      <c r="D855" s="62"/>
      <c r="E855" s="345"/>
      <c r="F855" s="345"/>
      <c r="G855" s="113"/>
      <c r="H855" s="113"/>
      <c r="I855" s="114"/>
      <c r="J855" s="114"/>
      <c r="K855" s="114"/>
      <c r="L855" s="81"/>
      <c r="M855" s="265" t="b">
        <f>NOT(ISERROR(ResultsInd[[#This Row],[Goal-A]]+ResultsInd[[#This Row],[Goal-B]]))</f>
        <v>1</v>
      </c>
      <c r="N855" s="265">
        <f>VALUE(ResultsInd[[#This Row],[Score-A]])</f>
        <v>0</v>
      </c>
      <c r="O855" s="265">
        <f>VALUE(ResultsInd[[#This Row],[Score-B]])</f>
        <v>0</v>
      </c>
      <c r="P855" s="265" t="str">
        <f ca="1">IF(AND(ResultsInd[[#This Row],[Category]]&lt;&gt;"",ResultsInd[[#This Row],[Player A]]&lt;&gt;""),COUNTIF(INDIRECT(ResultsInd[[#This Row],[Category]]&amp;"List[Retained Player Name]"),ResultsInd[[#This Row],[Player A]]),"")</f>
        <v/>
      </c>
      <c r="Q855" s="265" t="str">
        <f ca="1">IF(AND(ResultsInd[[#This Row],[Category]]&lt;&gt;"",ResultsInd[[#This Row],[Player B]]&lt;&gt;""),COUNTIF(INDIRECT(ResultsInd[[#This Row],[Category]]&amp;"List[Retained Player Name]"),ResultsInd[[#This Row],[Player B]]),"")</f>
        <v/>
      </c>
      <c r="R8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5" s="265" t="str">
        <f>IF(ResultsInd[[#This Row],[Score_OK]],IF(ResultsInd[[#This Row],[Stage]]="Groups",ResultsInd[[#This Row],[Category]]&amp;"-"&amp;IF(ResultsInd[[#This Row],[Player B]]="","",IF(ResultsInd[[#This Row],[Score-A]]=ResultsInd[[#This Row],[Score-B]],ResultsInd[[#This Row],[Player A]],"")),""),"")</f>
        <v/>
      </c>
      <c r="T855" s="265" t="str">
        <f>IF(ResultsInd[[#This Row],[Score_OK]],IF(ResultsInd[[#This Row],[Stage]]="Groups",ResultsInd[[#This Row],[Category]]&amp;"-"&amp;IF(ResultsInd[[#This Row],[Player B]]="","",IF(ResultsInd[[#This Row],[Score-A]]=ResultsInd[[#This Row],[Score-B]],ResultsInd[[#This Row],[Player B]],"")),""),"")</f>
        <v/>
      </c>
      <c r="U8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5" s="264" t="str">
        <f>IF(ResultsInd[[#This Row],[Category]]="","",VLOOKUP(ResultsInd[[#This Row],[Stage]],$P$1:$V$9,MATCH(ResultsInd[[#This Row],[Category]],$Q$1:$V$1,0)+1,FALSE))</f>
        <v/>
      </c>
      <c r="Z855" s="264" t="str">
        <f>IF(ResultsInd[[#This Row],[Score_OK]],IF(ResultsInd[[#This Row],[Level]]="R",ResultsInd[[#This Row],[Category]]&amp;"-"&amp;IF(ResultsInd[[#This Row],[LoseInKO]]=ResultsInd[[#This Row],[Category]]&amp;"-"&amp;ResultsInd[[#This Row],[Player A]],ResultsInd[[#This Row],[Player B]],ResultsInd[[#This Row],[Player A]]),""),"")</f>
        <v/>
      </c>
      <c r="AB855" s="8"/>
      <c r="AC855" s="8"/>
      <c r="AE855" s="90"/>
      <c r="AF855" s="90"/>
      <c r="AP855" s="8"/>
      <c r="AQ855" s="8"/>
      <c r="AR855" s="8"/>
      <c r="AS855" s="8"/>
      <c r="AT855" s="8"/>
      <c r="AU855" s="8"/>
      <c r="AV855" s="8"/>
      <c r="AW855" s="8"/>
      <c r="AX855" s="8"/>
      <c r="AY855" s="90"/>
      <c r="AZ855" s="90"/>
      <c r="BA855" s="90"/>
      <c r="BB855" s="90"/>
      <c r="BC855" s="90"/>
      <c r="BD855" s="90"/>
      <c r="BE855" s="90"/>
      <c r="BF855" s="90"/>
    </row>
    <row r="856" spans="1:58" x14ac:dyDescent="0.2">
      <c r="A856" s="62"/>
      <c r="B856" s="62"/>
      <c r="C856" s="62"/>
      <c r="D856" s="62"/>
      <c r="E856" s="345"/>
      <c r="F856" s="345"/>
      <c r="G856" s="113"/>
      <c r="H856" s="113"/>
      <c r="I856" s="114"/>
      <c r="J856" s="114"/>
      <c r="K856" s="114"/>
      <c r="L856" s="81"/>
      <c r="M856" s="265" t="b">
        <f>NOT(ISERROR(ResultsInd[[#This Row],[Goal-A]]+ResultsInd[[#This Row],[Goal-B]]))</f>
        <v>1</v>
      </c>
      <c r="N856" s="265">
        <f>VALUE(ResultsInd[[#This Row],[Score-A]])</f>
        <v>0</v>
      </c>
      <c r="O856" s="265">
        <f>VALUE(ResultsInd[[#This Row],[Score-B]])</f>
        <v>0</v>
      </c>
      <c r="P856" s="265" t="str">
        <f ca="1">IF(AND(ResultsInd[[#This Row],[Category]]&lt;&gt;"",ResultsInd[[#This Row],[Player A]]&lt;&gt;""),COUNTIF(INDIRECT(ResultsInd[[#This Row],[Category]]&amp;"List[Retained Player Name]"),ResultsInd[[#This Row],[Player A]]),"")</f>
        <v/>
      </c>
      <c r="Q856" s="265" t="str">
        <f ca="1">IF(AND(ResultsInd[[#This Row],[Category]]&lt;&gt;"",ResultsInd[[#This Row],[Player B]]&lt;&gt;""),COUNTIF(INDIRECT(ResultsInd[[#This Row],[Category]]&amp;"List[Retained Player Name]"),ResultsInd[[#This Row],[Player B]]),"")</f>
        <v/>
      </c>
      <c r="R8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6" s="265" t="str">
        <f>IF(ResultsInd[[#This Row],[Score_OK]],IF(ResultsInd[[#This Row],[Stage]]="Groups",ResultsInd[[#This Row],[Category]]&amp;"-"&amp;IF(ResultsInd[[#This Row],[Player B]]="","",IF(ResultsInd[[#This Row],[Score-A]]=ResultsInd[[#This Row],[Score-B]],ResultsInd[[#This Row],[Player A]],"")),""),"")</f>
        <v/>
      </c>
      <c r="T856" s="265" t="str">
        <f>IF(ResultsInd[[#This Row],[Score_OK]],IF(ResultsInd[[#This Row],[Stage]]="Groups",ResultsInd[[#This Row],[Category]]&amp;"-"&amp;IF(ResultsInd[[#This Row],[Player B]]="","",IF(ResultsInd[[#This Row],[Score-A]]=ResultsInd[[#This Row],[Score-B]],ResultsInd[[#This Row],[Player B]],"")),""),"")</f>
        <v/>
      </c>
      <c r="U8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6" s="264" t="str">
        <f>IF(ResultsInd[[#This Row],[Category]]="","",VLOOKUP(ResultsInd[[#This Row],[Stage]],$P$1:$V$9,MATCH(ResultsInd[[#This Row],[Category]],$Q$1:$V$1,0)+1,FALSE))</f>
        <v/>
      </c>
      <c r="Z856" s="264" t="str">
        <f>IF(ResultsInd[[#This Row],[Score_OK]],IF(ResultsInd[[#This Row],[Level]]="R",ResultsInd[[#This Row],[Category]]&amp;"-"&amp;IF(ResultsInd[[#This Row],[LoseInKO]]=ResultsInd[[#This Row],[Category]]&amp;"-"&amp;ResultsInd[[#This Row],[Player A]],ResultsInd[[#This Row],[Player B]],ResultsInd[[#This Row],[Player A]]),""),"")</f>
        <v/>
      </c>
      <c r="AB856" s="8"/>
      <c r="AC856" s="8"/>
      <c r="AE856" s="90"/>
      <c r="AF856" s="90"/>
      <c r="AP856" s="8"/>
      <c r="AQ856" s="8"/>
      <c r="AR856" s="8"/>
      <c r="AS856" s="8"/>
      <c r="AT856" s="8"/>
      <c r="AU856" s="8"/>
      <c r="AV856" s="8"/>
      <c r="AW856" s="8"/>
      <c r="AX856" s="8"/>
      <c r="AY856" s="90"/>
      <c r="AZ856" s="90"/>
      <c r="BA856" s="90"/>
      <c r="BB856" s="90"/>
      <c r="BC856" s="90"/>
      <c r="BD856" s="90"/>
      <c r="BE856" s="90"/>
      <c r="BF856" s="90"/>
    </row>
    <row r="857" spans="1:58" x14ac:dyDescent="0.2">
      <c r="A857" s="62"/>
      <c r="B857" s="62"/>
      <c r="C857" s="62"/>
      <c r="D857" s="62"/>
      <c r="E857" s="345"/>
      <c r="F857" s="345"/>
      <c r="G857" s="113"/>
      <c r="H857" s="113"/>
      <c r="I857" s="114"/>
      <c r="J857" s="114"/>
      <c r="K857" s="114"/>
      <c r="L857" s="81"/>
      <c r="M857" s="265" t="b">
        <f>NOT(ISERROR(ResultsInd[[#This Row],[Goal-A]]+ResultsInd[[#This Row],[Goal-B]]))</f>
        <v>1</v>
      </c>
      <c r="N857" s="265">
        <f>VALUE(ResultsInd[[#This Row],[Score-A]])</f>
        <v>0</v>
      </c>
      <c r="O857" s="265">
        <f>VALUE(ResultsInd[[#This Row],[Score-B]])</f>
        <v>0</v>
      </c>
      <c r="P857" s="265" t="str">
        <f ca="1">IF(AND(ResultsInd[[#This Row],[Category]]&lt;&gt;"",ResultsInd[[#This Row],[Player A]]&lt;&gt;""),COUNTIF(INDIRECT(ResultsInd[[#This Row],[Category]]&amp;"List[Retained Player Name]"),ResultsInd[[#This Row],[Player A]]),"")</f>
        <v/>
      </c>
      <c r="Q857" s="265" t="str">
        <f ca="1">IF(AND(ResultsInd[[#This Row],[Category]]&lt;&gt;"",ResultsInd[[#This Row],[Player B]]&lt;&gt;""),COUNTIF(INDIRECT(ResultsInd[[#This Row],[Category]]&amp;"List[Retained Player Name]"),ResultsInd[[#This Row],[Player B]]),"")</f>
        <v/>
      </c>
      <c r="R8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7" s="265" t="str">
        <f>IF(ResultsInd[[#This Row],[Score_OK]],IF(ResultsInd[[#This Row],[Stage]]="Groups",ResultsInd[[#This Row],[Category]]&amp;"-"&amp;IF(ResultsInd[[#This Row],[Player B]]="","",IF(ResultsInd[[#This Row],[Score-A]]=ResultsInd[[#This Row],[Score-B]],ResultsInd[[#This Row],[Player A]],"")),""),"")</f>
        <v/>
      </c>
      <c r="T857" s="265" t="str">
        <f>IF(ResultsInd[[#This Row],[Score_OK]],IF(ResultsInd[[#This Row],[Stage]]="Groups",ResultsInd[[#This Row],[Category]]&amp;"-"&amp;IF(ResultsInd[[#This Row],[Player B]]="","",IF(ResultsInd[[#This Row],[Score-A]]=ResultsInd[[#This Row],[Score-B]],ResultsInd[[#This Row],[Player B]],"")),""),"")</f>
        <v/>
      </c>
      <c r="U8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7" s="264" t="str">
        <f>IF(ResultsInd[[#This Row],[Category]]="","",VLOOKUP(ResultsInd[[#This Row],[Stage]],$P$1:$V$9,MATCH(ResultsInd[[#This Row],[Category]],$Q$1:$V$1,0)+1,FALSE))</f>
        <v/>
      </c>
      <c r="Z857" s="264" t="str">
        <f>IF(ResultsInd[[#This Row],[Score_OK]],IF(ResultsInd[[#This Row],[Level]]="R",ResultsInd[[#This Row],[Category]]&amp;"-"&amp;IF(ResultsInd[[#This Row],[LoseInKO]]=ResultsInd[[#This Row],[Category]]&amp;"-"&amp;ResultsInd[[#This Row],[Player A]],ResultsInd[[#This Row],[Player B]],ResultsInd[[#This Row],[Player A]]),""),"")</f>
        <v/>
      </c>
      <c r="AB857" s="8"/>
      <c r="AC857" s="8"/>
      <c r="AE857" s="90"/>
      <c r="AF857" s="90"/>
      <c r="AP857" s="8"/>
      <c r="AQ857" s="8"/>
      <c r="AR857" s="8"/>
      <c r="AS857" s="8"/>
      <c r="AT857" s="8"/>
      <c r="AU857" s="8"/>
      <c r="AV857" s="8"/>
      <c r="AW857" s="8"/>
      <c r="AX857" s="8"/>
      <c r="AY857" s="90"/>
      <c r="AZ857" s="90"/>
      <c r="BA857" s="90"/>
      <c r="BB857" s="90"/>
      <c r="BC857" s="90"/>
      <c r="BD857" s="90"/>
      <c r="BE857" s="90"/>
      <c r="BF857" s="90"/>
    </row>
    <row r="858" spans="1:58" x14ac:dyDescent="0.2">
      <c r="A858" s="62"/>
      <c r="B858" s="62"/>
      <c r="C858" s="62"/>
      <c r="D858" s="62"/>
      <c r="E858" s="345"/>
      <c r="F858" s="345"/>
      <c r="G858" s="113"/>
      <c r="H858" s="113"/>
      <c r="I858" s="114"/>
      <c r="J858" s="114"/>
      <c r="K858" s="114"/>
      <c r="L858" s="81"/>
      <c r="M858" s="265" t="b">
        <f>NOT(ISERROR(ResultsInd[[#This Row],[Goal-A]]+ResultsInd[[#This Row],[Goal-B]]))</f>
        <v>1</v>
      </c>
      <c r="N858" s="265">
        <f>VALUE(ResultsInd[[#This Row],[Score-A]])</f>
        <v>0</v>
      </c>
      <c r="O858" s="265">
        <f>VALUE(ResultsInd[[#This Row],[Score-B]])</f>
        <v>0</v>
      </c>
      <c r="P858" s="265" t="str">
        <f ca="1">IF(AND(ResultsInd[[#This Row],[Category]]&lt;&gt;"",ResultsInd[[#This Row],[Player A]]&lt;&gt;""),COUNTIF(INDIRECT(ResultsInd[[#This Row],[Category]]&amp;"List[Retained Player Name]"),ResultsInd[[#This Row],[Player A]]),"")</f>
        <v/>
      </c>
      <c r="Q858" s="265" t="str">
        <f ca="1">IF(AND(ResultsInd[[#This Row],[Category]]&lt;&gt;"",ResultsInd[[#This Row],[Player B]]&lt;&gt;""),COUNTIF(INDIRECT(ResultsInd[[#This Row],[Category]]&amp;"List[Retained Player Name]"),ResultsInd[[#This Row],[Player B]]),"")</f>
        <v/>
      </c>
      <c r="R8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8" s="265" t="str">
        <f>IF(ResultsInd[[#This Row],[Score_OK]],IF(ResultsInd[[#This Row],[Stage]]="Groups",ResultsInd[[#This Row],[Category]]&amp;"-"&amp;IF(ResultsInd[[#This Row],[Player B]]="","",IF(ResultsInd[[#This Row],[Score-A]]=ResultsInd[[#This Row],[Score-B]],ResultsInd[[#This Row],[Player A]],"")),""),"")</f>
        <v/>
      </c>
      <c r="T858" s="265" t="str">
        <f>IF(ResultsInd[[#This Row],[Score_OK]],IF(ResultsInd[[#This Row],[Stage]]="Groups",ResultsInd[[#This Row],[Category]]&amp;"-"&amp;IF(ResultsInd[[#This Row],[Player B]]="","",IF(ResultsInd[[#This Row],[Score-A]]=ResultsInd[[#This Row],[Score-B]],ResultsInd[[#This Row],[Player B]],"")),""),"")</f>
        <v/>
      </c>
      <c r="U8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8" s="264" t="str">
        <f>IF(ResultsInd[[#This Row],[Category]]="","",VLOOKUP(ResultsInd[[#This Row],[Stage]],$P$1:$V$9,MATCH(ResultsInd[[#This Row],[Category]],$Q$1:$V$1,0)+1,FALSE))</f>
        <v/>
      </c>
      <c r="Z858" s="264" t="str">
        <f>IF(ResultsInd[[#This Row],[Score_OK]],IF(ResultsInd[[#This Row],[Level]]="R",ResultsInd[[#This Row],[Category]]&amp;"-"&amp;IF(ResultsInd[[#This Row],[LoseInKO]]=ResultsInd[[#This Row],[Category]]&amp;"-"&amp;ResultsInd[[#This Row],[Player A]],ResultsInd[[#This Row],[Player B]],ResultsInd[[#This Row],[Player A]]),""),"")</f>
        <v/>
      </c>
      <c r="AB858" s="8"/>
      <c r="AC858" s="8"/>
      <c r="AE858" s="90"/>
      <c r="AF858" s="90"/>
      <c r="AP858" s="8"/>
      <c r="AQ858" s="8"/>
      <c r="AR858" s="8"/>
      <c r="AS858" s="8"/>
      <c r="AT858" s="8"/>
      <c r="AU858" s="8"/>
      <c r="AV858" s="8"/>
      <c r="AW858" s="8"/>
      <c r="AX858" s="8"/>
      <c r="AY858" s="90"/>
      <c r="AZ858" s="90"/>
      <c r="BA858" s="90"/>
      <c r="BB858" s="90"/>
      <c r="BC858" s="90"/>
      <c r="BD858" s="90"/>
      <c r="BE858" s="90"/>
      <c r="BF858" s="90"/>
    </row>
    <row r="859" spans="1:58" x14ac:dyDescent="0.2">
      <c r="A859" s="62"/>
      <c r="B859" s="62"/>
      <c r="C859" s="62"/>
      <c r="D859" s="62"/>
      <c r="E859" s="345"/>
      <c r="F859" s="345"/>
      <c r="G859" s="113"/>
      <c r="H859" s="113"/>
      <c r="I859" s="114"/>
      <c r="J859" s="114"/>
      <c r="K859" s="114"/>
      <c r="L859" s="81"/>
      <c r="M859" s="265" t="b">
        <f>NOT(ISERROR(ResultsInd[[#This Row],[Goal-A]]+ResultsInd[[#This Row],[Goal-B]]))</f>
        <v>1</v>
      </c>
      <c r="N859" s="265">
        <f>VALUE(ResultsInd[[#This Row],[Score-A]])</f>
        <v>0</v>
      </c>
      <c r="O859" s="265">
        <f>VALUE(ResultsInd[[#This Row],[Score-B]])</f>
        <v>0</v>
      </c>
      <c r="P859" s="265" t="str">
        <f ca="1">IF(AND(ResultsInd[[#This Row],[Category]]&lt;&gt;"",ResultsInd[[#This Row],[Player A]]&lt;&gt;""),COUNTIF(INDIRECT(ResultsInd[[#This Row],[Category]]&amp;"List[Retained Player Name]"),ResultsInd[[#This Row],[Player A]]),"")</f>
        <v/>
      </c>
      <c r="Q859" s="265" t="str">
        <f ca="1">IF(AND(ResultsInd[[#This Row],[Category]]&lt;&gt;"",ResultsInd[[#This Row],[Player B]]&lt;&gt;""),COUNTIF(INDIRECT(ResultsInd[[#This Row],[Category]]&amp;"List[Retained Player Name]"),ResultsInd[[#This Row],[Player B]]),"")</f>
        <v/>
      </c>
      <c r="R8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9" s="265" t="str">
        <f>IF(ResultsInd[[#This Row],[Score_OK]],IF(ResultsInd[[#This Row],[Stage]]="Groups",ResultsInd[[#This Row],[Category]]&amp;"-"&amp;IF(ResultsInd[[#This Row],[Player B]]="","",IF(ResultsInd[[#This Row],[Score-A]]=ResultsInd[[#This Row],[Score-B]],ResultsInd[[#This Row],[Player A]],"")),""),"")</f>
        <v/>
      </c>
      <c r="T859" s="265" t="str">
        <f>IF(ResultsInd[[#This Row],[Score_OK]],IF(ResultsInd[[#This Row],[Stage]]="Groups",ResultsInd[[#This Row],[Category]]&amp;"-"&amp;IF(ResultsInd[[#This Row],[Player B]]="","",IF(ResultsInd[[#This Row],[Score-A]]=ResultsInd[[#This Row],[Score-B]],ResultsInd[[#This Row],[Player B]],"")),""),"")</f>
        <v/>
      </c>
      <c r="U8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9" s="264" t="str">
        <f>IF(ResultsInd[[#This Row],[Category]]="","",VLOOKUP(ResultsInd[[#This Row],[Stage]],$P$1:$V$9,MATCH(ResultsInd[[#This Row],[Category]],$Q$1:$V$1,0)+1,FALSE))</f>
        <v/>
      </c>
      <c r="Z859" s="264" t="str">
        <f>IF(ResultsInd[[#This Row],[Score_OK]],IF(ResultsInd[[#This Row],[Level]]="R",ResultsInd[[#This Row],[Category]]&amp;"-"&amp;IF(ResultsInd[[#This Row],[LoseInKO]]=ResultsInd[[#This Row],[Category]]&amp;"-"&amp;ResultsInd[[#This Row],[Player A]],ResultsInd[[#This Row],[Player B]],ResultsInd[[#This Row],[Player A]]),""),"")</f>
        <v/>
      </c>
      <c r="AB859" s="8"/>
      <c r="AC859" s="8"/>
      <c r="AE859" s="90"/>
      <c r="AF859" s="90"/>
      <c r="AP859" s="8"/>
      <c r="AQ859" s="8"/>
      <c r="AR859" s="8"/>
      <c r="AS859" s="8"/>
      <c r="AT859" s="8"/>
      <c r="AU859" s="8"/>
      <c r="AV859" s="8"/>
      <c r="AW859" s="8"/>
      <c r="AX859" s="8"/>
      <c r="AY859" s="90"/>
      <c r="AZ859" s="90"/>
      <c r="BA859" s="90"/>
      <c r="BB859" s="90"/>
      <c r="BC859" s="90"/>
      <c r="BD859" s="90"/>
      <c r="BE859" s="90"/>
      <c r="BF859" s="90"/>
    </row>
    <row r="860" spans="1:58" x14ac:dyDescent="0.2">
      <c r="A860" s="62"/>
      <c r="B860" s="62"/>
      <c r="C860" s="62"/>
      <c r="D860" s="62"/>
      <c r="E860" s="345"/>
      <c r="F860" s="345"/>
      <c r="G860" s="113"/>
      <c r="H860" s="113"/>
      <c r="I860" s="114"/>
      <c r="J860" s="114"/>
      <c r="K860" s="114"/>
      <c r="L860" s="81"/>
      <c r="M860" s="265" t="b">
        <f>NOT(ISERROR(ResultsInd[[#This Row],[Goal-A]]+ResultsInd[[#This Row],[Goal-B]]))</f>
        <v>1</v>
      </c>
      <c r="N860" s="265">
        <f>VALUE(ResultsInd[[#This Row],[Score-A]])</f>
        <v>0</v>
      </c>
      <c r="O860" s="265">
        <f>VALUE(ResultsInd[[#This Row],[Score-B]])</f>
        <v>0</v>
      </c>
      <c r="P860" s="265" t="str">
        <f ca="1">IF(AND(ResultsInd[[#This Row],[Category]]&lt;&gt;"",ResultsInd[[#This Row],[Player A]]&lt;&gt;""),COUNTIF(INDIRECT(ResultsInd[[#This Row],[Category]]&amp;"List[Retained Player Name]"),ResultsInd[[#This Row],[Player A]]),"")</f>
        <v/>
      </c>
      <c r="Q860" s="265" t="str">
        <f ca="1">IF(AND(ResultsInd[[#This Row],[Category]]&lt;&gt;"",ResultsInd[[#This Row],[Player B]]&lt;&gt;""),COUNTIF(INDIRECT(ResultsInd[[#This Row],[Category]]&amp;"List[Retained Player Name]"),ResultsInd[[#This Row],[Player B]]),"")</f>
        <v/>
      </c>
      <c r="R8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0" s="265" t="str">
        <f>IF(ResultsInd[[#This Row],[Score_OK]],IF(ResultsInd[[#This Row],[Stage]]="Groups",ResultsInd[[#This Row],[Category]]&amp;"-"&amp;IF(ResultsInd[[#This Row],[Player B]]="","",IF(ResultsInd[[#This Row],[Score-A]]=ResultsInd[[#This Row],[Score-B]],ResultsInd[[#This Row],[Player A]],"")),""),"")</f>
        <v/>
      </c>
      <c r="T860" s="265" t="str">
        <f>IF(ResultsInd[[#This Row],[Score_OK]],IF(ResultsInd[[#This Row],[Stage]]="Groups",ResultsInd[[#This Row],[Category]]&amp;"-"&amp;IF(ResultsInd[[#This Row],[Player B]]="","",IF(ResultsInd[[#This Row],[Score-A]]=ResultsInd[[#This Row],[Score-B]],ResultsInd[[#This Row],[Player B]],"")),""),"")</f>
        <v/>
      </c>
      <c r="U8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0" s="264" t="str">
        <f>IF(ResultsInd[[#This Row],[Category]]="","",VLOOKUP(ResultsInd[[#This Row],[Stage]],$P$1:$V$9,MATCH(ResultsInd[[#This Row],[Category]],$Q$1:$V$1,0)+1,FALSE))</f>
        <v/>
      </c>
      <c r="Z860" s="264" t="str">
        <f>IF(ResultsInd[[#This Row],[Score_OK]],IF(ResultsInd[[#This Row],[Level]]="R",ResultsInd[[#This Row],[Category]]&amp;"-"&amp;IF(ResultsInd[[#This Row],[LoseInKO]]=ResultsInd[[#This Row],[Category]]&amp;"-"&amp;ResultsInd[[#This Row],[Player A]],ResultsInd[[#This Row],[Player B]],ResultsInd[[#This Row],[Player A]]),""),"")</f>
        <v/>
      </c>
      <c r="AB860" s="8"/>
      <c r="AC860" s="8"/>
      <c r="AE860" s="90"/>
      <c r="AF860" s="90"/>
      <c r="AP860" s="8"/>
      <c r="AQ860" s="8"/>
      <c r="AR860" s="8"/>
      <c r="AS860" s="8"/>
      <c r="AT860" s="8"/>
      <c r="AU860" s="8"/>
      <c r="AV860" s="8"/>
      <c r="AW860" s="8"/>
      <c r="AX860" s="8"/>
      <c r="AY860" s="90"/>
      <c r="AZ860" s="90"/>
      <c r="BA860" s="90"/>
      <c r="BB860" s="90"/>
      <c r="BC860" s="90"/>
      <c r="BD860" s="90"/>
      <c r="BE860" s="90"/>
      <c r="BF860" s="90"/>
    </row>
    <row r="861" spans="1:58" x14ac:dyDescent="0.2">
      <c r="A861" s="62"/>
      <c r="B861" s="62"/>
      <c r="C861" s="62"/>
      <c r="D861" s="62"/>
      <c r="E861" s="345"/>
      <c r="F861" s="345"/>
      <c r="G861" s="113"/>
      <c r="H861" s="113"/>
      <c r="I861" s="114"/>
      <c r="J861" s="114"/>
      <c r="K861" s="114"/>
      <c r="L861" s="81"/>
      <c r="M861" s="265" t="b">
        <f>NOT(ISERROR(ResultsInd[[#This Row],[Goal-A]]+ResultsInd[[#This Row],[Goal-B]]))</f>
        <v>1</v>
      </c>
      <c r="N861" s="265">
        <f>VALUE(ResultsInd[[#This Row],[Score-A]])</f>
        <v>0</v>
      </c>
      <c r="O861" s="265">
        <f>VALUE(ResultsInd[[#This Row],[Score-B]])</f>
        <v>0</v>
      </c>
      <c r="P861" s="265" t="str">
        <f ca="1">IF(AND(ResultsInd[[#This Row],[Category]]&lt;&gt;"",ResultsInd[[#This Row],[Player A]]&lt;&gt;""),COUNTIF(INDIRECT(ResultsInd[[#This Row],[Category]]&amp;"List[Retained Player Name]"),ResultsInd[[#This Row],[Player A]]),"")</f>
        <v/>
      </c>
      <c r="Q861" s="265" t="str">
        <f ca="1">IF(AND(ResultsInd[[#This Row],[Category]]&lt;&gt;"",ResultsInd[[#This Row],[Player B]]&lt;&gt;""),COUNTIF(INDIRECT(ResultsInd[[#This Row],[Category]]&amp;"List[Retained Player Name]"),ResultsInd[[#This Row],[Player B]]),"")</f>
        <v/>
      </c>
      <c r="R8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1" s="265" t="str">
        <f>IF(ResultsInd[[#This Row],[Score_OK]],IF(ResultsInd[[#This Row],[Stage]]="Groups",ResultsInd[[#This Row],[Category]]&amp;"-"&amp;IF(ResultsInd[[#This Row],[Player B]]="","",IF(ResultsInd[[#This Row],[Score-A]]=ResultsInd[[#This Row],[Score-B]],ResultsInd[[#This Row],[Player A]],"")),""),"")</f>
        <v/>
      </c>
      <c r="T861" s="265" t="str">
        <f>IF(ResultsInd[[#This Row],[Score_OK]],IF(ResultsInd[[#This Row],[Stage]]="Groups",ResultsInd[[#This Row],[Category]]&amp;"-"&amp;IF(ResultsInd[[#This Row],[Player B]]="","",IF(ResultsInd[[#This Row],[Score-A]]=ResultsInd[[#This Row],[Score-B]],ResultsInd[[#This Row],[Player B]],"")),""),"")</f>
        <v/>
      </c>
      <c r="U8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1" s="264" t="str">
        <f>IF(ResultsInd[[#This Row],[Category]]="","",VLOOKUP(ResultsInd[[#This Row],[Stage]],$P$1:$V$9,MATCH(ResultsInd[[#This Row],[Category]],$Q$1:$V$1,0)+1,FALSE))</f>
        <v/>
      </c>
      <c r="Z861" s="264" t="str">
        <f>IF(ResultsInd[[#This Row],[Score_OK]],IF(ResultsInd[[#This Row],[Level]]="R",ResultsInd[[#This Row],[Category]]&amp;"-"&amp;IF(ResultsInd[[#This Row],[LoseInKO]]=ResultsInd[[#This Row],[Category]]&amp;"-"&amp;ResultsInd[[#This Row],[Player A]],ResultsInd[[#This Row],[Player B]],ResultsInd[[#This Row],[Player A]]),""),"")</f>
        <v/>
      </c>
      <c r="AB861" s="8"/>
      <c r="AC861" s="8"/>
      <c r="AE861" s="90"/>
      <c r="AF861" s="90"/>
      <c r="AP861" s="8"/>
      <c r="AQ861" s="8"/>
      <c r="AR861" s="8"/>
      <c r="AS861" s="8"/>
      <c r="AT861" s="8"/>
      <c r="AU861" s="8"/>
      <c r="AV861" s="8"/>
      <c r="AW861" s="8"/>
      <c r="AX861" s="8"/>
      <c r="AY861" s="90"/>
      <c r="AZ861" s="90"/>
      <c r="BA861" s="90"/>
      <c r="BB861" s="90"/>
      <c r="BC861" s="90"/>
      <c r="BD861" s="90"/>
      <c r="BE861" s="90"/>
      <c r="BF861" s="90"/>
    </row>
    <row r="862" spans="1:58" x14ac:dyDescent="0.2">
      <c r="A862" s="62"/>
      <c r="B862" s="62"/>
      <c r="C862" s="62"/>
      <c r="D862" s="62"/>
      <c r="E862" s="345"/>
      <c r="F862" s="345"/>
      <c r="G862" s="113"/>
      <c r="H862" s="113"/>
      <c r="I862" s="114"/>
      <c r="J862" s="114"/>
      <c r="K862" s="114"/>
      <c r="L862" s="81"/>
      <c r="M862" s="265" t="b">
        <f>NOT(ISERROR(ResultsInd[[#This Row],[Goal-A]]+ResultsInd[[#This Row],[Goal-B]]))</f>
        <v>1</v>
      </c>
      <c r="N862" s="265">
        <f>VALUE(ResultsInd[[#This Row],[Score-A]])</f>
        <v>0</v>
      </c>
      <c r="O862" s="265">
        <f>VALUE(ResultsInd[[#This Row],[Score-B]])</f>
        <v>0</v>
      </c>
      <c r="P862" s="265" t="str">
        <f ca="1">IF(AND(ResultsInd[[#This Row],[Category]]&lt;&gt;"",ResultsInd[[#This Row],[Player A]]&lt;&gt;""),COUNTIF(INDIRECT(ResultsInd[[#This Row],[Category]]&amp;"List[Retained Player Name]"),ResultsInd[[#This Row],[Player A]]),"")</f>
        <v/>
      </c>
      <c r="Q862" s="265" t="str">
        <f ca="1">IF(AND(ResultsInd[[#This Row],[Category]]&lt;&gt;"",ResultsInd[[#This Row],[Player B]]&lt;&gt;""),COUNTIF(INDIRECT(ResultsInd[[#This Row],[Category]]&amp;"List[Retained Player Name]"),ResultsInd[[#This Row],[Player B]]),"")</f>
        <v/>
      </c>
      <c r="R8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2" s="265" t="str">
        <f>IF(ResultsInd[[#This Row],[Score_OK]],IF(ResultsInd[[#This Row],[Stage]]="Groups",ResultsInd[[#This Row],[Category]]&amp;"-"&amp;IF(ResultsInd[[#This Row],[Player B]]="","",IF(ResultsInd[[#This Row],[Score-A]]=ResultsInd[[#This Row],[Score-B]],ResultsInd[[#This Row],[Player A]],"")),""),"")</f>
        <v/>
      </c>
      <c r="T862" s="265" t="str">
        <f>IF(ResultsInd[[#This Row],[Score_OK]],IF(ResultsInd[[#This Row],[Stage]]="Groups",ResultsInd[[#This Row],[Category]]&amp;"-"&amp;IF(ResultsInd[[#This Row],[Player B]]="","",IF(ResultsInd[[#This Row],[Score-A]]=ResultsInd[[#This Row],[Score-B]],ResultsInd[[#This Row],[Player B]],"")),""),"")</f>
        <v/>
      </c>
      <c r="U8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2" s="264" t="str">
        <f>IF(ResultsInd[[#This Row],[Category]]="","",VLOOKUP(ResultsInd[[#This Row],[Stage]],$P$1:$V$9,MATCH(ResultsInd[[#This Row],[Category]],$Q$1:$V$1,0)+1,FALSE))</f>
        <v/>
      </c>
      <c r="Z862" s="264" t="str">
        <f>IF(ResultsInd[[#This Row],[Score_OK]],IF(ResultsInd[[#This Row],[Level]]="R",ResultsInd[[#This Row],[Category]]&amp;"-"&amp;IF(ResultsInd[[#This Row],[LoseInKO]]=ResultsInd[[#This Row],[Category]]&amp;"-"&amp;ResultsInd[[#This Row],[Player A]],ResultsInd[[#This Row],[Player B]],ResultsInd[[#This Row],[Player A]]),""),"")</f>
        <v/>
      </c>
      <c r="AB862" s="8"/>
      <c r="AC862" s="8"/>
      <c r="AE862" s="90"/>
      <c r="AF862" s="90"/>
      <c r="AP862" s="8"/>
      <c r="AQ862" s="8"/>
      <c r="AR862" s="8"/>
      <c r="AS862" s="8"/>
      <c r="AT862" s="8"/>
      <c r="AU862" s="8"/>
      <c r="AV862" s="8"/>
      <c r="AW862" s="8"/>
      <c r="AX862" s="8"/>
      <c r="AY862" s="90"/>
      <c r="AZ862" s="90"/>
      <c r="BA862" s="90"/>
      <c r="BB862" s="90"/>
      <c r="BC862" s="90"/>
      <c r="BD862" s="90"/>
      <c r="BE862" s="90"/>
      <c r="BF862" s="90"/>
    </row>
    <row r="863" spans="1:58" x14ac:dyDescent="0.2">
      <c r="A863" s="62"/>
      <c r="B863" s="62"/>
      <c r="C863" s="62"/>
      <c r="D863" s="62"/>
      <c r="E863" s="345"/>
      <c r="F863" s="345"/>
      <c r="G863" s="113"/>
      <c r="H863" s="113"/>
      <c r="I863" s="114"/>
      <c r="J863" s="114"/>
      <c r="K863" s="114"/>
      <c r="L863" s="81"/>
      <c r="M863" s="265" t="b">
        <f>NOT(ISERROR(ResultsInd[[#This Row],[Goal-A]]+ResultsInd[[#This Row],[Goal-B]]))</f>
        <v>1</v>
      </c>
      <c r="N863" s="265">
        <f>VALUE(ResultsInd[[#This Row],[Score-A]])</f>
        <v>0</v>
      </c>
      <c r="O863" s="265">
        <f>VALUE(ResultsInd[[#This Row],[Score-B]])</f>
        <v>0</v>
      </c>
      <c r="P863" s="265" t="str">
        <f ca="1">IF(AND(ResultsInd[[#This Row],[Category]]&lt;&gt;"",ResultsInd[[#This Row],[Player A]]&lt;&gt;""),COUNTIF(INDIRECT(ResultsInd[[#This Row],[Category]]&amp;"List[Retained Player Name]"),ResultsInd[[#This Row],[Player A]]),"")</f>
        <v/>
      </c>
      <c r="Q863" s="265" t="str">
        <f ca="1">IF(AND(ResultsInd[[#This Row],[Category]]&lt;&gt;"",ResultsInd[[#This Row],[Player B]]&lt;&gt;""),COUNTIF(INDIRECT(ResultsInd[[#This Row],[Category]]&amp;"List[Retained Player Name]"),ResultsInd[[#This Row],[Player B]]),"")</f>
        <v/>
      </c>
      <c r="R8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3" s="265" t="str">
        <f>IF(ResultsInd[[#This Row],[Score_OK]],IF(ResultsInd[[#This Row],[Stage]]="Groups",ResultsInd[[#This Row],[Category]]&amp;"-"&amp;IF(ResultsInd[[#This Row],[Player B]]="","",IF(ResultsInd[[#This Row],[Score-A]]=ResultsInd[[#This Row],[Score-B]],ResultsInd[[#This Row],[Player A]],"")),""),"")</f>
        <v/>
      </c>
      <c r="T863" s="265" t="str">
        <f>IF(ResultsInd[[#This Row],[Score_OK]],IF(ResultsInd[[#This Row],[Stage]]="Groups",ResultsInd[[#This Row],[Category]]&amp;"-"&amp;IF(ResultsInd[[#This Row],[Player B]]="","",IF(ResultsInd[[#This Row],[Score-A]]=ResultsInd[[#This Row],[Score-B]],ResultsInd[[#This Row],[Player B]],"")),""),"")</f>
        <v/>
      </c>
      <c r="U8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3" s="264" t="str">
        <f>IF(ResultsInd[[#This Row],[Category]]="","",VLOOKUP(ResultsInd[[#This Row],[Stage]],$P$1:$V$9,MATCH(ResultsInd[[#This Row],[Category]],$Q$1:$V$1,0)+1,FALSE))</f>
        <v/>
      </c>
      <c r="Z863" s="264" t="str">
        <f>IF(ResultsInd[[#This Row],[Score_OK]],IF(ResultsInd[[#This Row],[Level]]="R",ResultsInd[[#This Row],[Category]]&amp;"-"&amp;IF(ResultsInd[[#This Row],[LoseInKO]]=ResultsInd[[#This Row],[Category]]&amp;"-"&amp;ResultsInd[[#This Row],[Player A]],ResultsInd[[#This Row],[Player B]],ResultsInd[[#This Row],[Player A]]),""),"")</f>
        <v/>
      </c>
      <c r="AB863" s="8"/>
      <c r="AC863" s="8"/>
      <c r="AE863" s="90"/>
      <c r="AF863" s="90"/>
      <c r="AP863" s="8"/>
      <c r="AQ863" s="8"/>
      <c r="AR863" s="8"/>
      <c r="AS863" s="8"/>
      <c r="AT863" s="8"/>
      <c r="AU863" s="8"/>
      <c r="AV863" s="8"/>
      <c r="AW863" s="8"/>
      <c r="AX863" s="8"/>
      <c r="AY863" s="90"/>
      <c r="AZ863" s="90"/>
      <c r="BA863" s="90"/>
      <c r="BB863" s="90"/>
      <c r="BC863" s="90"/>
      <c r="BD863" s="90"/>
      <c r="BE863" s="90"/>
      <c r="BF863" s="90"/>
    </row>
    <row r="864" spans="1:58" x14ac:dyDescent="0.2">
      <c r="A864" s="62"/>
      <c r="B864" s="62"/>
      <c r="C864" s="62"/>
      <c r="D864" s="62"/>
      <c r="E864" s="345"/>
      <c r="F864" s="345"/>
      <c r="G864" s="113"/>
      <c r="H864" s="113"/>
      <c r="I864" s="114"/>
      <c r="J864" s="114"/>
      <c r="K864" s="114"/>
      <c r="L864" s="81"/>
      <c r="M864" s="265" t="b">
        <f>NOT(ISERROR(ResultsInd[[#This Row],[Goal-A]]+ResultsInd[[#This Row],[Goal-B]]))</f>
        <v>1</v>
      </c>
      <c r="N864" s="265">
        <f>VALUE(ResultsInd[[#This Row],[Score-A]])</f>
        <v>0</v>
      </c>
      <c r="O864" s="265">
        <f>VALUE(ResultsInd[[#This Row],[Score-B]])</f>
        <v>0</v>
      </c>
      <c r="P864" s="265" t="str">
        <f ca="1">IF(AND(ResultsInd[[#This Row],[Category]]&lt;&gt;"",ResultsInd[[#This Row],[Player A]]&lt;&gt;""),COUNTIF(INDIRECT(ResultsInd[[#This Row],[Category]]&amp;"List[Retained Player Name]"),ResultsInd[[#This Row],[Player A]]),"")</f>
        <v/>
      </c>
      <c r="Q864" s="265" t="str">
        <f ca="1">IF(AND(ResultsInd[[#This Row],[Category]]&lt;&gt;"",ResultsInd[[#This Row],[Player B]]&lt;&gt;""),COUNTIF(INDIRECT(ResultsInd[[#This Row],[Category]]&amp;"List[Retained Player Name]"),ResultsInd[[#This Row],[Player B]]),"")</f>
        <v/>
      </c>
      <c r="R8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4" s="265" t="str">
        <f>IF(ResultsInd[[#This Row],[Score_OK]],IF(ResultsInd[[#This Row],[Stage]]="Groups",ResultsInd[[#This Row],[Category]]&amp;"-"&amp;IF(ResultsInd[[#This Row],[Player B]]="","",IF(ResultsInd[[#This Row],[Score-A]]=ResultsInd[[#This Row],[Score-B]],ResultsInd[[#This Row],[Player A]],"")),""),"")</f>
        <v/>
      </c>
      <c r="T864" s="265" t="str">
        <f>IF(ResultsInd[[#This Row],[Score_OK]],IF(ResultsInd[[#This Row],[Stage]]="Groups",ResultsInd[[#This Row],[Category]]&amp;"-"&amp;IF(ResultsInd[[#This Row],[Player B]]="","",IF(ResultsInd[[#This Row],[Score-A]]=ResultsInd[[#This Row],[Score-B]],ResultsInd[[#This Row],[Player B]],"")),""),"")</f>
        <v/>
      </c>
      <c r="U8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4" s="264" t="str">
        <f>IF(ResultsInd[[#This Row],[Category]]="","",VLOOKUP(ResultsInd[[#This Row],[Stage]],$P$1:$V$9,MATCH(ResultsInd[[#This Row],[Category]],$Q$1:$V$1,0)+1,FALSE))</f>
        <v/>
      </c>
      <c r="Z864" s="264" t="str">
        <f>IF(ResultsInd[[#This Row],[Score_OK]],IF(ResultsInd[[#This Row],[Level]]="R",ResultsInd[[#This Row],[Category]]&amp;"-"&amp;IF(ResultsInd[[#This Row],[LoseInKO]]=ResultsInd[[#This Row],[Category]]&amp;"-"&amp;ResultsInd[[#This Row],[Player A]],ResultsInd[[#This Row],[Player B]],ResultsInd[[#This Row],[Player A]]),""),"")</f>
        <v/>
      </c>
      <c r="AB864" s="8"/>
      <c r="AC864" s="8"/>
      <c r="AE864" s="90"/>
      <c r="AF864" s="90"/>
      <c r="AP864" s="8"/>
      <c r="AQ864" s="8"/>
      <c r="AR864" s="8"/>
      <c r="AS864" s="8"/>
      <c r="AT864" s="8"/>
      <c r="AU864" s="8"/>
      <c r="AV864" s="8"/>
      <c r="AW864" s="8"/>
      <c r="AX864" s="8"/>
      <c r="AY864" s="90"/>
      <c r="AZ864" s="90"/>
      <c r="BA864" s="90"/>
      <c r="BB864" s="90"/>
      <c r="BC864" s="90"/>
      <c r="BD864" s="90"/>
      <c r="BE864" s="90"/>
      <c r="BF864" s="90"/>
    </row>
    <row r="865" spans="1:58" x14ac:dyDescent="0.2">
      <c r="A865" s="62"/>
      <c r="B865" s="62"/>
      <c r="C865" s="62"/>
      <c r="D865" s="62"/>
      <c r="E865" s="345"/>
      <c r="F865" s="345"/>
      <c r="G865" s="113"/>
      <c r="H865" s="113"/>
      <c r="I865" s="114"/>
      <c r="J865" s="114"/>
      <c r="K865" s="114"/>
      <c r="L865" s="81"/>
      <c r="M865" s="265" t="b">
        <f>NOT(ISERROR(ResultsInd[[#This Row],[Goal-A]]+ResultsInd[[#This Row],[Goal-B]]))</f>
        <v>1</v>
      </c>
      <c r="N865" s="265">
        <f>VALUE(ResultsInd[[#This Row],[Score-A]])</f>
        <v>0</v>
      </c>
      <c r="O865" s="265">
        <f>VALUE(ResultsInd[[#This Row],[Score-B]])</f>
        <v>0</v>
      </c>
      <c r="P865" s="265" t="str">
        <f ca="1">IF(AND(ResultsInd[[#This Row],[Category]]&lt;&gt;"",ResultsInd[[#This Row],[Player A]]&lt;&gt;""),COUNTIF(INDIRECT(ResultsInd[[#This Row],[Category]]&amp;"List[Retained Player Name]"),ResultsInd[[#This Row],[Player A]]),"")</f>
        <v/>
      </c>
      <c r="Q865" s="265" t="str">
        <f ca="1">IF(AND(ResultsInd[[#This Row],[Category]]&lt;&gt;"",ResultsInd[[#This Row],[Player B]]&lt;&gt;""),COUNTIF(INDIRECT(ResultsInd[[#This Row],[Category]]&amp;"List[Retained Player Name]"),ResultsInd[[#This Row],[Player B]]),"")</f>
        <v/>
      </c>
      <c r="R8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5" s="265" t="str">
        <f>IF(ResultsInd[[#This Row],[Score_OK]],IF(ResultsInd[[#This Row],[Stage]]="Groups",ResultsInd[[#This Row],[Category]]&amp;"-"&amp;IF(ResultsInd[[#This Row],[Player B]]="","",IF(ResultsInd[[#This Row],[Score-A]]=ResultsInd[[#This Row],[Score-B]],ResultsInd[[#This Row],[Player A]],"")),""),"")</f>
        <v/>
      </c>
      <c r="T865" s="265" t="str">
        <f>IF(ResultsInd[[#This Row],[Score_OK]],IF(ResultsInd[[#This Row],[Stage]]="Groups",ResultsInd[[#This Row],[Category]]&amp;"-"&amp;IF(ResultsInd[[#This Row],[Player B]]="","",IF(ResultsInd[[#This Row],[Score-A]]=ResultsInd[[#This Row],[Score-B]],ResultsInd[[#This Row],[Player B]],"")),""),"")</f>
        <v/>
      </c>
      <c r="U8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5" s="264" t="str">
        <f>IF(ResultsInd[[#This Row],[Category]]="","",VLOOKUP(ResultsInd[[#This Row],[Stage]],$P$1:$V$9,MATCH(ResultsInd[[#This Row],[Category]],$Q$1:$V$1,0)+1,FALSE))</f>
        <v/>
      </c>
      <c r="Z865" s="264" t="str">
        <f>IF(ResultsInd[[#This Row],[Score_OK]],IF(ResultsInd[[#This Row],[Level]]="R",ResultsInd[[#This Row],[Category]]&amp;"-"&amp;IF(ResultsInd[[#This Row],[LoseInKO]]=ResultsInd[[#This Row],[Category]]&amp;"-"&amp;ResultsInd[[#This Row],[Player A]],ResultsInd[[#This Row],[Player B]],ResultsInd[[#This Row],[Player A]]),""),"")</f>
        <v/>
      </c>
      <c r="AB865" s="8"/>
      <c r="AC865" s="8"/>
      <c r="AE865" s="90"/>
      <c r="AF865" s="90"/>
      <c r="AP865" s="8"/>
      <c r="AQ865" s="8"/>
      <c r="AR865" s="8"/>
      <c r="AS865" s="8"/>
      <c r="AT865" s="8"/>
      <c r="AU865" s="8"/>
      <c r="AV865" s="8"/>
      <c r="AW865" s="8"/>
      <c r="AX865" s="8"/>
      <c r="AY865" s="90"/>
      <c r="AZ865" s="90"/>
      <c r="BA865" s="90"/>
      <c r="BB865" s="90"/>
      <c r="BC865" s="90"/>
      <c r="BD865" s="90"/>
      <c r="BE865" s="90"/>
      <c r="BF865" s="90"/>
    </row>
    <row r="866" spans="1:58" x14ac:dyDescent="0.2">
      <c r="A866" s="62"/>
      <c r="B866" s="62"/>
      <c r="C866" s="62"/>
      <c r="D866" s="62"/>
      <c r="E866" s="345"/>
      <c r="F866" s="345"/>
      <c r="G866" s="113"/>
      <c r="H866" s="113"/>
      <c r="I866" s="114"/>
      <c r="J866" s="114"/>
      <c r="K866" s="114"/>
      <c r="L866" s="81"/>
      <c r="M866" s="265" t="b">
        <f>NOT(ISERROR(ResultsInd[[#This Row],[Goal-A]]+ResultsInd[[#This Row],[Goal-B]]))</f>
        <v>1</v>
      </c>
      <c r="N866" s="265">
        <f>VALUE(ResultsInd[[#This Row],[Score-A]])</f>
        <v>0</v>
      </c>
      <c r="O866" s="265">
        <f>VALUE(ResultsInd[[#This Row],[Score-B]])</f>
        <v>0</v>
      </c>
      <c r="P866" s="265" t="str">
        <f ca="1">IF(AND(ResultsInd[[#This Row],[Category]]&lt;&gt;"",ResultsInd[[#This Row],[Player A]]&lt;&gt;""),COUNTIF(INDIRECT(ResultsInd[[#This Row],[Category]]&amp;"List[Retained Player Name]"),ResultsInd[[#This Row],[Player A]]),"")</f>
        <v/>
      </c>
      <c r="Q866" s="265" t="str">
        <f ca="1">IF(AND(ResultsInd[[#This Row],[Category]]&lt;&gt;"",ResultsInd[[#This Row],[Player B]]&lt;&gt;""),COUNTIF(INDIRECT(ResultsInd[[#This Row],[Category]]&amp;"List[Retained Player Name]"),ResultsInd[[#This Row],[Player B]]),"")</f>
        <v/>
      </c>
      <c r="R8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6" s="265" t="str">
        <f>IF(ResultsInd[[#This Row],[Score_OK]],IF(ResultsInd[[#This Row],[Stage]]="Groups",ResultsInd[[#This Row],[Category]]&amp;"-"&amp;IF(ResultsInd[[#This Row],[Player B]]="","",IF(ResultsInd[[#This Row],[Score-A]]=ResultsInd[[#This Row],[Score-B]],ResultsInd[[#This Row],[Player A]],"")),""),"")</f>
        <v/>
      </c>
      <c r="T866" s="265" t="str">
        <f>IF(ResultsInd[[#This Row],[Score_OK]],IF(ResultsInd[[#This Row],[Stage]]="Groups",ResultsInd[[#This Row],[Category]]&amp;"-"&amp;IF(ResultsInd[[#This Row],[Player B]]="","",IF(ResultsInd[[#This Row],[Score-A]]=ResultsInd[[#This Row],[Score-B]],ResultsInd[[#This Row],[Player B]],"")),""),"")</f>
        <v/>
      </c>
      <c r="U8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6" s="264" t="str">
        <f>IF(ResultsInd[[#This Row],[Category]]="","",VLOOKUP(ResultsInd[[#This Row],[Stage]],$P$1:$V$9,MATCH(ResultsInd[[#This Row],[Category]],$Q$1:$V$1,0)+1,FALSE))</f>
        <v/>
      </c>
      <c r="Z866" s="264" t="str">
        <f>IF(ResultsInd[[#This Row],[Score_OK]],IF(ResultsInd[[#This Row],[Level]]="R",ResultsInd[[#This Row],[Category]]&amp;"-"&amp;IF(ResultsInd[[#This Row],[LoseInKO]]=ResultsInd[[#This Row],[Category]]&amp;"-"&amp;ResultsInd[[#This Row],[Player A]],ResultsInd[[#This Row],[Player B]],ResultsInd[[#This Row],[Player A]]),""),"")</f>
        <v/>
      </c>
      <c r="AB866" s="8"/>
      <c r="AC866" s="8"/>
      <c r="AE866" s="90"/>
      <c r="AF866" s="90"/>
      <c r="AP866" s="8"/>
      <c r="AQ866" s="8"/>
      <c r="AR866" s="8"/>
      <c r="AS866" s="8"/>
      <c r="AT866" s="8"/>
      <c r="AU866" s="8"/>
      <c r="AV866" s="8"/>
      <c r="AW866" s="8"/>
      <c r="AX866" s="8"/>
      <c r="AY866" s="90"/>
      <c r="AZ866" s="90"/>
      <c r="BA866" s="90"/>
      <c r="BB866" s="90"/>
      <c r="BC866" s="90"/>
      <c r="BD866" s="90"/>
      <c r="BE866" s="90"/>
      <c r="BF866" s="90"/>
    </row>
    <row r="867" spans="1:58" x14ac:dyDescent="0.2">
      <c r="A867" s="62"/>
      <c r="B867" s="62"/>
      <c r="C867" s="62"/>
      <c r="D867" s="62"/>
      <c r="E867" s="345"/>
      <c r="F867" s="345"/>
      <c r="G867" s="113"/>
      <c r="H867" s="113"/>
      <c r="I867" s="114"/>
      <c r="J867" s="114"/>
      <c r="K867" s="114"/>
      <c r="L867" s="81"/>
      <c r="M867" s="265" t="b">
        <f>NOT(ISERROR(ResultsInd[[#This Row],[Goal-A]]+ResultsInd[[#This Row],[Goal-B]]))</f>
        <v>1</v>
      </c>
      <c r="N867" s="265">
        <f>VALUE(ResultsInd[[#This Row],[Score-A]])</f>
        <v>0</v>
      </c>
      <c r="O867" s="265">
        <f>VALUE(ResultsInd[[#This Row],[Score-B]])</f>
        <v>0</v>
      </c>
      <c r="P867" s="265" t="str">
        <f ca="1">IF(AND(ResultsInd[[#This Row],[Category]]&lt;&gt;"",ResultsInd[[#This Row],[Player A]]&lt;&gt;""),COUNTIF(INDIRECT(ResultsInd[[#This Row],[Category]]&amp;"List[Retained Player Name]"),ResultsInd[[#This Row],[Player A]]),"")</f>
        <v/>
      </c>
      <c r="Q867" s="265" t="str">
        <f ca="1">IF(AND(ResultsInd[[#This Row],[Category]]&lt;&gt;"",ResultsInd[[#This Row],[Player B]]&lt;&gt;""),COUNTIF(INDIRECT(ResultsInd[[#This Row],[Category]]&amp;"List[Retained Player Name]"),ResultsInd[[#This Row],[Player B]]),"")</f>
        <v/>
      </c>
      <c r="R8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7" s="265" t="str">
        <f>IF(ResultsInd[[#This Row],[Score_OK]],IF(ResultsInd[[#This Row],[Stage]]="Groups",ResultsInd[[#This Row],[Category]]&amp;"-"&amp;IF(ResultsInd[[#This Row],[Player B]]="","",IF(ResultsInd[[#This Row],[Score-A]]=ResultsInd[[#This Row],[Score-B]],ResultsInd[[#This Row],[Player A]],"")),""),"")</f>
        <v/>
      </c>
      <c r="T867" s="265" t="str">
        <f>IF(ResultsInd[[#This Row],[Score_OK]],IF(ResultsInd[[#This Row],[Stage]]="Groups",ResultsInd[[#This Row],[Category]]&amp;"-"&amp;IF(ResultsInd[[#This Row],[Player B]]="","",IF(ResultsInd[[#This Row],[Score-A]]=ResultsInd[[#This Row],[Score-B]],ResultsInd[[#This Row],[Player B]],"")),""),"")</f>
        <v/>
      </c>
      <c r="U8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7" s="264" t="str">
        <f>IF(ResultsInd[[#This Row],[Category]]="","",VLOOKUP(ResultsInd[[#This Row],[Stage]],$P$1:$V$9,MATCH(ResultsInd[[#This Row],[Category]],$Q$1:$V$1,0)+1,FALSE))</f>
        <v/>
      </c>
      <c r="Z867" s="264" t="str">
        <f>IF(ResultsInd[[#This Row],[Score_OK]],IF(ResultsInd[[#This Row],[Level]]="R",ResultsInd[[#This Row],[Category]]&amp;"-"&amp;IF(ResultsInd[[#This Row],[LoseInKO]]=ResultsInd[[#This Row],[Category]]&amp;"-"&amp;ResultsInd[[#This Row],[Player A]],ResultsInd[[#This Row],[Player B]],ResultsInd[[#This Row],[Player A]]),""),"")</f>
        <v/>
      </c>
      <c r="AB867" s="8"/>
      <c r="AC867" s="8"/>
      <c r="AE867" s="90"/>
      <c r="AF867" s="90"/>
      <c r="AP867" s="8"/>
      <c r="AQ867" s="8"/>
      <c r="AR867" s="8"/>
      <c r="AS867" s="8"/>
      <c r="AT867" s="8"/>
      <c r="AU867" s="8"/>
      <c r="AV867" s="8"/>
      <c r="AW867" s="8"/>
      <c r="AX867" s="8"/>
      <c r="AY867" s="90"/>
      <c r="AZ867" s="90"/>
      <c r="BA867" s="90"/>
      <c r="BB867" s="90"/>
      <c r="BC867" s="90"/>
      <c r="BD867" s="90"/>
      <c r="BE867" s="90"/>
      <c r="BF867" s="90"/>
    </row>
    <row r="868" spans="1:58" x14ac:dyDescent="0.2">
      <c r="A868" s="62"/>
      <c r="B868" s="62"/>
      <c r="C868" s="62"/>
      <c r="D868" s="62"/>
      <c r="E868" s="345"/>
      <c r="F868" s="345"/>
      <c r="G868" s="113"/>
      <c r="H868" s="113"/>
      <c r="I868" s="114"/>
      <c r="J868" s="114"/>
      <c r="K868" s="114"/>
      <c r="L868" s="81"/>
      <c r="M868" s="265" t="b">
        <f>NOT(ISERROR(ResultsInd[[#This Row],[Goal-A]]+ResultsInd[[#This Row],[Goal-B]]))</f>
        <v>1</v>
      </c>
      <c r="N868" s="265">
        <f>VALUE(ResultsInd[[#This Row],[Score-A]])</f>
        <v>0</v>
      </c>
      <c r="O868" s="265">
        <f>VALUE(ResultsInd[[#This Row],[Score-B]])</f>
        <v>0</v>
      </c>
      <c r="P868" s="265" t="str">
        <f ca="1">IF(AND(ResultsInd[[#This Row],[Category]]&lt;&gt;"",ResultsInd[[#This Row],[Player A]]&lt;&gt;""),COUNTIF(INDIRECT(ResultsInd[[#This Row],[Category]]&amp;"List[Retained Player Name]"),ResultsInd[[#This Row],[Player A]]),"")</f>
        <v/>
      </c>
      <c r="Q868" s="265" t="str">
        <f ca="1">IF(AND(ResultsInd[[#This Row],[Category]]&lt;&gt;"",ResultsInd[[#This Row],[Player B]]&lt;&gt;""),COUNTIF(INDIRECT(ResultsInd[[#This Row],[Category]]&amp;"List[Retained Player Name]"),ResultsInd[[#This Row],[Player B]]),"")</f>
        <v/>
      </c>
      <c r="R8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8" s="265" t="str">
        <f>IF(ResultsInd[[#This Row],[Score_OK]],IF(ResultsInd[[#This Row],[Stage]]="Groups",ResultsInd[[#This Row],[Category]]&amp;"-"&amp;IF(ResultsInd[[#This Row],[Player B]]="","",IF(ResultsInd[[#This Row],[Score-A]]=ResultsInd[[#This Row],[Score-B]],ResultsInd[[#This Row],[Player A]],"")),""),"")</f>
        <v/>
      </c>
      <c r="T868" s="265" t="str">
        <f>IF(ResultsInd[[#This Row],[Score_OK]],IF(ResultsInd[[#This Row],[Stage]]="Groups",ResultsInd[[#This Row],[Category]]&amp;"-"&amp;IF(ResultsInd[[#This Row],[Player B]]="","",IF(ResultsInd[[#This Row],[Score-A]]=ResultsInd[[#This Row],[Score-B]],ResultsInd[[#This Row],[Player B]],"")),""),"")</f>
        <v/>
      </c>
      <c r="U8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8" s="264" t="str">
        <f>IF(ResultsInd[[#This Row],[Category]]="","",VLOOKUP(ResultsInd[[#This Row],[Stage]],$P$1:$V$9,MATCH(ResultsInd[[#This Row],[Category]],$Q$1:$V$1,0)+1,FALSE))</f>
        <v/>
      </c>
      <c r="Z868" s="264" t="str">
        <f>IF(ResultsInd[[#This Row],[Score_OK]],IF(ResultsInd[[#This Row],[Level]]="R",ResultsInd[[#This Row],[Category]]&amp;"-"&amp;IF(ResultsInd[[#This Row],[LoseInKO]]=ResultsInd[[#This Row],[Category]]&amp;"-"&amp;ResultsInd[[#This Row],[Player A]],ResultsInd[[#This Row],[Player B]],ResultsInd[[#This Row],[Player A]]),""),"")</f>
        <v/>
      </c>
      <c r="AB868" s="8"/>
      <c r="AC868" s="8"/>
      <c r="AE868" s="90"/>
      <c r="AF868" s="90"/>
      <c r="AP868" s="8"/>
      <c r="AQ868" s="8"/>
      <c r="AR868" s="8"/>
      <c r="AS868" s="8"/>
      <c r="AT868" s="8"/>
      <c r="AU868" s="8"/>
      <c r="AV868" s="8"/>
      <c r="AW868" s="8"/>
      <c r="AX868" s="8"/>
      <c r="AY868" s="90"/>
      <c r="AZ868" s="90"/>
      <c r="BA868" s="90"/>
      <c r="BB868" s="90"/>
      <c r="BC868" s="90"/>
      <c r="BD868" s="90"/>
      <c r="BE868" s="90"/>
      <c r="BF868" s="90"/>
    </row>
    <row r="869" spans="1:58" x14ac:dyDescent="0.2">
      <c r="A869" s="62"/>
      <c r="B869" s="62"/>
      <c r="C869" s="62"/>
      <c r="D869" s="62"/>
      <c r="E869" s="345"/>
      <c r="F869" s="345"/>
      <c r="G869" s="113"/>
      <c r="H869" s="113"/>
      <c r="I869" s="114"/>
      <c r="J869" s="114"/>
      <c r="K869" s="114"/>
      <c r="L869" s="81"/>
      <c r="M869" s="265" t="b">
        <f>NOT(ISERROR(ResultsInd[[#This Row],[Goal-A]]+ResultsInd[[#This Row],[Goal-B]]))</f>
        <v>1</v>
      </c>
      <c r="N869" s="265">
        <f>VALUE(ResultsInd[[#This Row],[Score-A]])</f>
        <v>0</v>
      </c>
      <c r="O869" s="265">
        <f>VALUE(ResultsInd[[#This Row],[Score-B]])</f>
        <v>0</v>
      </c>
      <c r="P869" s="265" t="str">
        <f ca="1">IF(AND(ResultsInd[[#This Row],[Category]]&lt;&gt;"",ResultsInd[[#This Row],[Player A]]&lt;&gt;""),COUNTIF(INDIRECT(ResultsInd[[#This Row],[Category]]&amp;"List[Retained Player Name]"),ResultsInd[[#This Row],[Player A]]),"")</f>
        <v/>
      </c>
      <c r="Q869" s="265" t="str">
        <f ca="1">IF(AND(ResultsInd[[#This Row],[Category]]&lt;&gt;"",ResultsInd[[#This Row],[Player B]]&lt;&gt;""),COUNTIF(INDIRECT(ResultsInd[[#This Row],[Category]]&amp;"List[Retained Player Name]"),ResultsInd[[#This Row],[Player B]]),"")</f>
        <v/>
      </c>
      <c r="R8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9" s="265" t="str">
        <f>IF(ResultsInd[[#This Row],[Score_OK]],IF(ResultsInd[[#This Row],[Stage]]="Groups",ResultsInd[[#This Row],[Category]]&amp;"-"&amp;IF(ResultsInd[[#This Row],[Player B]]="","",IF(ResultsInd[[#This Row],[Score-A]]=ResultsInd[[#This Row],[Score-B]],ResultsInd[[#This Row],[Player A]],"")),""),"")</f>
        <v/>
      </c>
      <c r="T869" s="265" t="str">
        <f>IF(ResultsInd[[#This Row],[Score_OK]],IF(ResultsInd[[#This Row],[Stage]]="Groups",ResultsInd[[#This Row],[Category]]&amp;"-"&amp;IF(ResultsInd[[#This Row],[Player B]]="","",IF(ResultsInd[[#This Row],[Score-A]]=ResultsInd[[#This Row],[Score-B]],ResultsInd[[#This Row],[Player B]],"")),""),"")</f>
        <v/>
      </c>
      <c r="U8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9" s="264" t="str">
        <f>IF(ResultsInd[[#This Row],[Category]]="","",VLOOKUP(ResultsInd[[#This Row],[Stage]],$P$1:$V$9,MATCH(ResultsInd[[#This Row],[Category]],$Q$1:$V$1,0)+1,FALSE))</f>
        <v/>
      </c>
      <c r="Z869" s="264" t="str">
        <f>IF(ResultsInd[[#This Row],[Score_OK]],IF(ResultsInd[[#This Row],[Level]]="R",ResultsInd[[#This Row],[Category]]&amp;"-"&amp;IF(ResultsInd[[#This Row],[LoseInKO]]=ResultsInd[[#This Row],[Category]]&amp;"-"&amp;ResultsInd[[#This Row],[Player A]],ResultsInd[[#This Row],[Player B]],ResultsInd[[#This Row],[Player A]]),""),"")</f>
        <v/>
      </c>
      <c r="AB869" s="8"/>
      <c r="AC869" s="8"/>
      <c r="AE869" s="90"/>
      <c r="AF869" s="90"/>
      <c r="AP869" s="8"/>
      <c r="AQ869" s="8"/>
      <c r="AR869" s="8"/>
      <c r="AS869" s="8"/>
      <c r="AT869" s="8"/>
      <c r="AU869" s="8"/>
      <c r="AV869" s="8"/>
      <c r="AW869" s="8"/>
      <c r="AX869" s="8"/>
      <c r="AY869" s="90"/>
      <c r="AZ869" s="90"/>
      <c r="BA869" s="90"/>
      <c r="BB869" s="90"/>
      <c r="BC869" s="90"/>
      <c r="BD869" s="90"/>
      <c r="BE869" s="90"/>
      <c r="BF869" s="90"/>
    </row>
    <row r="870" spans="1:58" x14ac:dyDescent="0.2">
      <c r="A870" s="62"/>
      <c r="B870" s="62"/>
      <c r="C870" s="62"/>
      <c r="D870" s="62"/>
      <c r="E870" s="345"/>
      <c r="F870" s="345"/>
      <c r="G870" s="113"/>
      <c r="H870" s="113"/>
      <c r="I870" s="114"/>
      <c r="J870" s="114"/>
      <c r="K870" s="114"/>
      <c r="L870" s="81"/>
      <c r="M870" s="265" t="b">
        <f>NOT(ISERROR(ResultsInd[[#This Row],[Goal-A]]+ResultsInd[[#This Row],[Goal-B]]))</f>
        <v>1</v>
      </c>
      <c r="N870" s="265">
        <f>VALUE(ResultsInd[[#This Row],[Score-A]])</f>
        <v>0</v>
      </c>
      <c r="O870" s="265">
        <f>VALUE(ResultsInd[[#This Row],[Score-B]])</f>
        <v>0</v>
      </c>
      <c r="P870" s="265" t="str">
        <f ca="1">IF(AND(ResultsInd[[#This Row],[Category]]&lt;&gt;"",ResultsInd[[#This Row],[Player A]]&lt;&gt;""),COUNTIF(INDIRECT(ResultsInd[[#This Row],[Category]]&amp;"List[Retained Player Name]"),ResultsInd[[#This Row],[Player A]]),"")</f>
        <v/>
      </c>
      <c r="Q870" s="265" t="str">
        <f ca="1">IF(AND(ResultsInd[[#This Row],[Category]]&lt;&gt;"",ResultsInd[[#This Row],[Player B]]&lt;&gt;""),COUNTIF(INDIRECT(ResultsInd[[#This Row],[Category]]&amp;"List[Retained Player Name]"),ResultsInd[[#This Row],[Player B]]),"")</f>
        <v/>
      </c>
      <c r="R8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0" s="265" t="str">
        <f>IF(ResultsInd[[#This Row],[Score_OK]],IF(ResultsInd[[#This Row],[Stage]]="Groups",ResultsInd[[#This Row],[Category]]&amp;"-"&amp;IF(ResultsInd[[#This Row],[Player B]]="","",IF(ResultsInd[[#This Row],[Score-A]]=ResultsInd[[#This Row],[Score-B]],ResultsInd[[#This Row],[Player A]],"")),""),"")</f>
        <v/>
      </c>
      <c r="T870" s="265" t="str">
        <f>IF(ResultsInd[[#This Row],[Score_OK]],IF(ResultsInd[[#This Row],[Stage]]="Groups",ResultsInd[[#This Row],[Category]]&amp;"-"&amp;IF(ResultsInd[[#This Row],[Player B]]="","",IF(ResultsInd[[#This Row],[Score-A]]=ResultsInd[[#This Row],[Score-B]],ResultsInd[[#This Row],[Player B]],"")),""),"")</f>
        <v/>
      </c>
      <c r="U8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0" s="264" t="str">
        <f>IF(ResultsInd[[#This Row],[Category]]="","",VLOOKUP(ResultsInd[[#This Row],[Stage]],$P$1:$V$9,MATCH(ResultsInd[[#This Row],[Category]],$Q$1:$V$1,0)+1,FALSE))</f>
        <v/>
      </c>
      <c r="Z870" s="264" t="str">
        <f>IF(ResultsInd[[#This Row],[Score_OK]],IF(ResultsInd[[#This Row],[Level]]="R",ResultsInd[[#This Row],[Category]]&amp;"-"&amp;IF(ResultsInd[[#This Row],[LoseInKO]]=ResultsInd[[#This Row],[Category]]&amp;"-"&amp;ResultsInd[[#This Row],[Player A]],ResultsInd[[#This Row],[Player B]],ResultsInd[[#This Row],[Player A]]),""),"")</f>
        <v/>
      </c>
      <c r="AB870" s="8"/>
      <c r="AC870" s="8"/>
      <c r="AE870" s="90"/>
      <c r="AF870" s="90"/>
      <c r="AP870" s="8"/>
      <c r="AQ870" s="8"/>
      <c r="AR870" s="8"/>
      <c r="AS870" s="8"/>
      <c r="AT870" s="8"/>
      <c r="AU870" s="8"/>
      <c r="AV870" s="8"/>
      <c r="AW870" s="8"/>
      <c r="AX870" s="8"/>
      <c r="AY870" s="90"/>
      <c r="AZ870" s="90"/>
      <c r="BA870" s="90"/>
      <c r="BB870" s="90"/>
      <c r="BC870" s="90"/>
      <c r="BD870" s="90"/>
      <c r="BE870" s="90"/>
      <c r="BF870" s="90"/>
    </row>
    <row r="871" spans="1:58" x14ac:dyDescent="0.2">
      <c r="A871" s="62"/>
      <c r="B871" s="62"/>
      <c r="C871" s="62"/>
      <c r="D871" s="62"/>
      <c r="E871" s="345"/>
      <c r="F871" s="345"/>
      <c r="G871" s="113"/>
      <c r="H871" s="113"/>
      <c r="I871" s="114"/>
      <c r="J871" s="114"/>
      <c r="K871" s="114"/>
      <c r="L871" s="81"/>
      <c r="M871" s="265" t="b">
        <f>NOT(ISERROR(ResultsInd[[#This Row],[Goal-A]]+ResultsInd[[#This Row],[Goal-B]]))</f>
        <v>1</v>
      </c>
      <c r="N871" s="265">
        <f>VALUE(ResultsInd[[#This Row],[Score-A]])</f>
        <v>0</v>
      </c>
      <c r="O871" s="265">
        <f>VALUE(ResultsInd[[#This Row],[Score-B]])</f>
        <v>0</v>
      </c>
      <c r="P871" s="265" t="str">
        <f ca="1">IF(AND(ResultsInd[[#This Row],[Category]]&lt;&gt;"",ResultsInd[[#This Row],[Player A]]&lt;&gt;""),COUNTIF(INDIRECT(ResultsInd[[#This Row],[Category]]&amp;"List[Retained Player Name]"),ResultsInd[[#This Row],[Player A]]),"")</f>
        <v/>
      </c>
      <c r="Q871" s="265" t="str">
        <f ca="1">IF(AND(ResultsInd[[#This Row],[Category]]&lt;&gt;"",ResultsInd[[#This Row],[Player B]]&lt;&gt;""),COUNTIF(INDIRECT(ResultsInd[[#This Row],[Category]]&amp;"List[Retained Player Name]"),ResultsInd[[#This Row],[Player B]]),"")</f>
        <v/>
      </c>
      <c r="R8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1" s="265" t="str">
        <f>IF(ResultsInd[[#This Row],[Score_OK]],IF(ResultsInd[[#This Row],[Stage]]="Groups",ResultsInd[[#This Row],[Category]]&amp;"-"&amp;IF(ResultsInd[[#This Row],[Player B]]="","",IF(ResultsInd[[#This Row],[Score-A]]=ResultsInd[[#This Row],[Score-B]],ResultsInd[[#This Row],[Player A]],"")),""),"")</f>
        <v/>
      </c>
      <c r="T871" s="265" t="str">
        <f>IF(ResultsInd[[#This Row],[Score_OK]],IF(ResultsInd[[#This Row],[Stage]]="Groups",ResultsInd[[#This Row],[Category]]&amp;"-"&amp;IF(ResultsInd[[#This Row],[Player B]]="","",IF(ResultsInd[[#This Row],[Score-A]]=ResultsInd[[#This Row],[Score-B]],ResultsInd[[#This Row],[Player B]],"")),""),"")</f>
        <v/>
      </c>
      <c r="U8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1" s="264" t="str">
        <f>IF(ResultsInd[[#This Row],[Category]]="","",VLOOKUP(ResultsInd[[#This Row],[Stage]],$P$1:$V$9,MATCH(ResultsInd[[#This Row],[Category]],$Q$1:$V$1,0)+1,FALSE))</f>
        <v/>
      </c>
      <c r="Z871" s="264" t="str">
        <f>IF(ResultsInd[[#This Row],[Score_OK]],IF(ResultsInd[[#This Row],[Level]]="R",ResultsInd[[#This Row],[Category]]&amp;"-"&amp;IF(ResultsInd[[#This Row],[LoseInKO]]=ResultsInd[[#This Row],[Category]]&amp;"-"&amp;ResultsInd[[#This Row],[Player A]],ResultsInd[[#This Row],[Player B]],ResultsInd[[#This Row],[Player A]]),""),"")</f>
        <v/>
      </c>
      <c r="AB871" s="8"/>
      <c r="AC871" s="8"/>
      <c r="AE871" s="90"/>
      <c r="AF871" s="90"/>
      <c r="AP871" s="8"/>
      <c r="AQ871" s="8"/>
      <c r="AR871" s="8"/>
      <c r="AS871" s="8"/>
      <c r="AT871" s="8"/>
      <c r="AU871" s="8"/>
      <c r="AV871" s="8"/>
      <c r="AW871" s="8"/>
      <c r="AX871" s="8"/>
      <c r="AY871" s="90"/>
      <c r="AZ871" s="90"/>
      <c r="BA871" s="90"/>
      <c r="BB871" s="90"/>
      <c r="BC871" s="90"/>
      <c r="BD871" s="90"/>
      <c r="BE871" s="90"/>
      <c r="BF871" s="90"/>
    </row>
    <row r="872" spans="1:58" x14ac:dyDescent="0.2">
      <c r="A872" s="62"/>
      <c r="B872" s="62"/>
      <c r="C872" s="62"/>
      <c r="D872" s="62"/>
      <c r="E872" s="345"/>
      <c r="F872" s="345"/>
      <c r="G872" s="113"/>
      <c r="H872" s="113"/>
      <c r="I872" s="114"/>
      <c r="J872" s="114"/>
      <c r="K872" s="114"/>
      <c r="L872" s="81"/>
      <c r="M872" s="265" t="b">
        <f>NOT(ISERROR(ResultsInd[[#This Row],[Goal-A]]+ResultsInd[[#This Row],[Goal-B]]))</f>
        <v>1</v>
      </c>
      <c r="N872" s="265">
        <f>VALUE(ResultsInd[[#This Row],[Score-A]])</f>
        <v>0</v>
      </c>
      <c r="O872" s="265">
        <f>VALUE(ResultsInd[[#This Row],[Score-B]])</f>
        <v>0</v>
      </c>
      <c r="P872" s="265" t="str">
        <f ca="1">IF(AND(ResultsInd[[#This Row],[Category]]&lt;&gt;"",ResultsInd[[#This Row],[Player A]]&lt;&gt;""),COUNTIF(INDIRECT(ResultsInd[[#This Row],[Category]]&amp;"List[Retained Player Name]"),ResultsInd[[#This Row],[Player A]]),"")</f>
        <v/>
      </c>
      <c r="Q872" s="265" t="str">
        <f ca="1">IF(AND(ResultsInd[[#This Row],[Category]]&lt;&gt;"",ResultsInd[[#This Row],[Player B]]&lt;&gt;""),COUNTIF(INDIRECT(ResultsInd[[#This Row],[Category]]&amp;"List[Retained Player Name]"),ResultsInd[[#This Row],[Player B]]),"")</f>
        <v/>
      </c>
      <c r="R8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2" s="265" t="str">
        <f>IF(ResultsInd[[#This Row],[Score_OK]],IF(ResultsInd[[#This Row],[Stage]]="Groups",ResultsInd[[#This Row],[Category]]&amp;"-"&amp;IF(ResultsInd[[#This Row],[Player B]]="","",IF(ResultsInd[[#This Row],[Score-A]]=ResultsInd[[#This Row],[Score-B]],ResultsInd[[#This Row],[Player A]],"")),""),"")</f>
        <v/>
      </c>
      <c r="T872" s="265" t="str">
        <f>IF(ResultsInd[[#This Row],[Score_OK]],IF(ResultsInd[[#This Row],[Stage]]="Groups",ResultsInd[[#This Row],[Category]]&amp;"-"&amp;IF(ResultsInd[[#This Row],[Player B]]="","",IF(ResultsInd[[#This Row],[Score-A]]=ResultsInd[[#This Row],[Score-B]],ResultsInd[[#This Row],[Player B]],"")),""),"")</f>
        <v/>
      </c>
      <c r="U8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2" s="264" t="str">
        <f>IF(ResultsInd[[#This Row],[Category]]="","",VLOOKUP(ResultsInd[[#This Row],[Stage]],$P$1:$V$9,MATCH(ResultsInd[[#This Row],[Category]],$Q$1:$V$1,0)+1,FALSE))</f>
        <v/>
      </c>
      <c r="Z872" s="264" t="str">
        <f>IF(ResultsInd[[#This Row],[Score_OK]],IF(ResultsInd[[#This Row],[Level]]="R",ResultsInd[[#This Row],[Category]]&amp;"-"&amp;IF(ResultsInd[[#This Row],[LoseInKO]]=ResultsInd[[#This Row],[Category]]&amp;"-"&amp;ResultsInd[[#This Row],[Player A]],ResultsInd[[#This Row],[Player B]],ResultsInd[[#This Row],[Player A]]),""),"")</f>
        <v/>
      </c>
      <c r="AB872" s="8"/>
      <c r="AC872" s="8"/>
      <c r="AE872" s="90"/>
      <c r="AF872" s="90"/>
      <c r="AP872" s="8"/>
      <c r="AQ872" s="8"/>
      <c r="AR872" s="8"/>
      <c r="AS872" s="8"/>
      <c r="AT872" s="8"/>
      <c r="AU872" s="8"/>
      <c r="AV872" s="8"/>
      <c r="AW872" s="8"/>
      <c r="AX872" s="8"/>
      <c r="AY872" s="90"/>
      <c r="AZ872" s="90"/>
      <c r="BA872" s="90"/>
      <c r="BB872" s="90"/>
      <c r="BC872" s="90"/>
      <c r="BD872" s="90"/>
      <c r="BE872" s="90"/>
      <c r="BF872" s="90"/>
    </row>
    <row r="873" spans="1:58" x14ac:dyDescent="0.2">
      <c r="A873" s="62"/>
      <c r="B873" s="62"/>
      <c r="C873" s="62"/>
      <c r="D873" s="62"/>
      <c r="E873" s="345"/>
      <c r="F873" s="345"/>
      <c r="G873" s="113"/>
      <c r="H873" s="113"/>
      <c r="I873" s="114"/>
      <c r="J873" s="114"/>
      <c r="K873" s="114"/>
      <c r="L873" s="81"/>
      <c r="M873" s="265" t="b">
        <f>NOT(ISERROR(ResultsInd[[#This Row],[Goal-A]]+ResultsInd[[#This Row],[Goal-B]]))</f>
        <v>1</v>
      </c>
      <c r="N873" s="265">
        <f>VALUE(ResultsInd[[#This Row],[Score-A]])</f>
        <v>0</v>
      </c>
      <c r="O873" s="265">
        <f>VALUE(ResultsInd[[#This Row],[Score-B]])</f>
        <v>0</v>
      </c>
      <c r="P873" s="265" t="str">
        <f ca="1">IF(AND(ResultsInd[[#This Row],[Category]]&lt;&gt;"",ResultsInd[[#This Row],[Player A]]&lt;&gt;""),COUNTIF(INDIRECT(ResultsInd[[#This Row],[Category]]&amp;"List[Retained Player Name]"),ResultsInd[[#This Row],[Player A]]),"")</f>
        <v/>
      </c>
      <c r="Q873" s="265" t="str">
        <f ca="1">IF(AND(ResultsInd[[#This Row],[Category]]&lt;&gt;"",ResultsInd[[#This Row],[Player B]]&lt;&gt;""),COUNTIF(INDIRECT(ResultsInd[[#This Row],[Category]]&amp;"List[Retained Player Name]"),ResultsInd[[#This Row],[Player B]]),"")</f>
        <v/>
      </c>
      <c r="R8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3" s="265" t="str">
        <f>IF(ResultsInd[[#This Row],[Score_OK]],IF(ResultsInd[[#This Row],[Stage]]="Groups",ResultsInd[[#This Row],[Category]]&amp;"-"&amp;IF(ResultsInd[[#This Row],[Player B]]="","",IF(ResultsInd[[#This Row],[Score-A]]=ResultsInd[[#This Row],[Score-B]],ResultsInd[[#This Row],[Player A]],"")),""),"")</f>
        <v/>
      </c>
      <c r="T873" s="265" t="str">
        <f>IF(ResultsInd[[#This Row],[Score_OK]],IF(ResultsInd[[#This Row],[Stage]]="Groups",ResultsInd[[#This Row],[Category]]&amp;"-"&amp;IF(ResultsInd[[#This Row],[Player B]]="","",IF(ResultsInd[[#This Row],[Score-A]]=ResultsInd[[#This Row],[Score-B]],ResultsInd[[#This Row],[Player B]],"")),""),"")</f>
        <v/>
      </c>
      <c r="U8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3" s="264" t="str">
        <f>IF(ResultsInd[[#This Row],[Category]]="","",VLOOKUP(ResultsInd[[#This Row],[Stage]],$P$1:$V$9,MATCH(ResultsInd[[#This Row],[Category]],$Q$1:$V$1,0)+1,FALSE))</f>
        <v/>
      </c>
      <c r="Z873" s="264" t="str">
        <f>IF(ResultsInd[[#This Row],[Score_OK]],IF(ResultsInd[[#This Row],[Level]]="R",ResultsInd[[#This Row],[Category]]&amp;"-"&amp;IF(ResultsInd[[#This Row],[LoseInKO]]=ResultsInd[[#This Row],[Category]]&amp;"-"&amp;ResultsInd[[#This Row],[Player A]],ResultsInd[[#This Row],[Player B]],ResultsInd[[#This Row],[Player A]]),""),"")</f>
        <v/>
      </c>
      <c r="AB873" s="8"/>
      <c r="AC873" s="8"/>
      <c r="AE873" s="90"/>
      <c r="AF873" s="90"/>
      <c r="AP873" s="8"/>
      <c r="AQ873" s="8"/>
      <c r="AR873" s="8"/>
      <c r="AS873" s="8"/>
      <c r="AT873" s="8"/>
      <c r="AU873" s="8"/>
      <c r="AV873" s="8"/>
      <c r="AW873" s="8"/>
      <c r="AX873" s="8"/>
      <c r="AY873" s="90"/>
      <c r="AZ873" s="90"/>
      <c r="BA873" s="90"/>
      <c r="BB873" s="90"/>
      <c r="BC873" s="90"/>
      <c r="BD873" s="90"/>
      <c r="BE873" s="90"/>
      <c r="BF873" s="90"/>
    </row>
    <row r="874" spans="1:58" x14ac:dyDescent="0.2">
      <c r="A874" s="62"/>
      <c r="B874" s="62"/>
      <c r="C874" s="62"/>
      <c r="D874" s="62"/>
      <c r="E874" s="345"/>
      <c r="F874" s="345"/>
      <c r="G874" s="113"/>
      <c r="H874" s="113"/>
      <c r="I874" s="114"/>
      <c r="J874" s="114"/>
      <c r="K874" s="114"/>
      <c r="L874" s="81"/>
      <c r="M874" s="265" t="b">
        <f>NOT(ISERROR(ResultsInd[[#This Row],[Goal-A]]+ResultsInd[[#This Row],[Goal-B]]))</f>
        <v>1</v>
      </c>
      <c r="N874" s="265">
        <f>VALUE(ResultsInd[[#This Row],[Score-A]])</f>
        <v>0</v>
      </c>
      <c r="O874" s="265">
        <f>VALUE(ResultsInd[[#This Row],[Score-B]])</f>
        <v>0</v>
      </c>
      <c r="P874" s="265" t="str">
        <f ca="1">IF(AND(ResultsInd[[#This Row],[Category]]&lt;&gt;"",ResultsInd[[#This Row],[Player A]]&lt;&gt;""),COUNTIF(INDIRECT(ResultsInd[[#This Row],[Category]]&amp;"List[Retained Player Name]"),ResultsInd[[#This Row],[Player A]]),"")</f>
        <v/>
      </c>
      <c r="Q874" s="265" t="str">
        <f ca="1">IF(AND(ResultsInd[[#This Row],[Category]]&lt;&gt;"",ResultsInd[[#This Row],[Player B]]&lt;&gt;""),COUNTIF(INDIRECT(ResultsInd[[#This Row],[Category]]&amp;"List[Retained Player Name]"),ResultsInd[[#This Row],[Player B]]),"")</f>
        <v/>
      </c>
      <c r="R8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4" s="265" t="str">
        <f>IF(ResultsInd[[#This Row],[Score_OK]],IF(ResultsInd[[#This Row],[Stage]]="Groups",ResultsInd[[#This Row],[Category]]&amp;"-"&amp;IF(ResultsInd[[#This Row],[Player B]]="","",IF(ResultsInd[[#This Row],[Score-A]]=ResultsInd[[#This Row],[Score-B]],ResultsInd[[#This Row],[Player A]],"")),""),"")</f>
        <v/>
      </c>
      <c r="T874" s="265" t="str">
        <f>IF(ResultsInd[[#This Row],[Score_OK]],IF(ResultsInd[[#This Row],[Stage]]="Groups",ResultsInd[[#This Row],[Category]]&amp;"-"&amp;IF(ResultsInd[[#This Row],[Player B]]="","",IF(ResultsInd[[#This Row],[Score-A]]=ResultsInd[[#This Row],[Score-B]],ResultsInd[[#This Row],[Player B]],"")),""),"")</f>
        <v/>
      </c>
      <c r="U8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4" s="264" t="str">
        <f>IF(ResultsInd[[#This Row],[Category]]="","",VLOOKUP(ResultsInd[[#This Row],[Stage]],$P$1:$V$9,MATCH(ResultsInd[[#This Row],[Category]],$Q$1:$V$1,0)+1,FALSE))</f>
        <v/>
      </c>
      <c r="Z874" s="264" t="str">
        <f>IF(ResultsInd[[#This Row],[Score_OK]],IF(ResultsInd[[#This Row],[Level]]="R",ResultsInd[[#This Row],[Category]]&amp;"-"&amp;IF(ResultsInd[[#This Row],[LoseInKO]]=ResultsInd[[#This Row],[Category]]&amp;"-"&amp;ResultsInd[[#This Row],[Player A]],ResultsInd[[#This Row],[Player B]],ResultsInd[[#This Row],[Player A]]),""),"")</f>
        <v/>
      </c>
      <c r="AB874" s="8"/>
      <c r="AC874" s="8"/>
      <c r="AE874" s="90"/>
      <c r="AF874" s="90"/>
      <c r="AP874" s="8"/>
      <c r="AQ874" s="8"/>
      <c r="AR874" s="8"/>
      <c r="AS874" s="8"/>
      <c r="AT874" s="8"/>
      <c r="AU874" s="8"/>
      <c r="AV874" s="8"/>
      <c r="AW874" s="8"/>
      <c r="AX874" s="8"/>
      <c r="AY874" s="90"/>
      <c r="AZ874" s="90"/>
      <c r="BA874" s="90"/>
      <c r="BB874" s="90"/>
      <c r="BC874" s="90"/>
      <c r="BD874" s="90"/>
      <c r="BE874" s="90"/>
      <c r="BF874" s="90"/>
    </row>
    <row r="875" spans="1:58" x14ac:dyDescent="0.2">
      <c r="A875" s="62"/>
      <c r="B875" s="62"/>
      <c r="C875" s="62"/>
      <c r="D875" s="62"/>
      <c r="E875" s="345"/>
      <c r="F875" s="345"/>
      <c r="G875" s="113"/>
      <c r="H875" s="113"/>
      <c r="I875" s="114"/>
      <c r="J875" s="114"/>
      <c r="K875" s="114"/>
      <c r="L875" s="81"/>
      <c r="M875" s="265" t="b">
        <f>NOT(ISERROR(ResultsInd[[#This Row],[Goal-A]]+ResultsInd[[#This Row],[Goal-B]]))</f>
        <v>1</v>
      </c>
      <c r="N875" s="265">
        <f>VALUE(ResultsInd[[#This Row],[Score-A]])</f>
        <v>0</v>
      </c>
      <c r="O875" s="265">
        <f>VALUE(ResultsInd[[#This Row],[Score-B]])</f>
        <v>0</v>
      </c>
      <c r="P875" s="265" t="str">
        <f ca="1">IF(AND(ResultsInd[[#This Row],[Category]]&lt;&gt;"",ResultsInd[[#This Row],[Player A]]&lt;&gt;""),COUNTIF(INDIRECT(ResultsInd[[#This Row],[Category]]&amp;"List[Retained Player Name]"),ResultsInd[[#This Row],[Player A]]),"")</f>
        <v/>
      </c>
      <c r="Q875" s="265" t="str">
        <f ca="1">IF(AND(ResultsInd[[#This Row],[Category]]&lt;&gt;"",ResultsInd[[#This Row],[Player B]]&lt;&gt;""),COUNTIF(INDIRECT(ResultsInd[[#This Row],[Category]]&amp;"List[Retained Player Name]"),ResultsInd[[#This Row],[Player B]]),"")</f>
        <v/>
      </c>
      <c r="R8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5" s="265" t="str">
        <f>IF(ResultsInd[[#This Row],[Score_OK]],IF(ResultsInd[[#This Row],[Stage]]="Groups",ResultsInd[[#This Row],[Category]]&amp;"-"&amp;IF(ResultsInd[[#This Row],[Player B]]="","",IF(ResultsInd[[#This Row],[Score-A]]=ResultsInd[[#This Row],[Score-B]],ResultsInd[[#This Row],[Player A]],"")),""),"")</f>
        <v/>
      </c>
      <c r="T875" s="265" t="str">
        <f>IF(ResultsInd[[#This Row],[Score_OK]],IF(ResultsInd[[#This Row],[Stage]]="Groups",ResultsInd[[#This Row],[Category]]&amp;"-"&amp;IF(ResultsInd[[#This Row],[Player B]]="","",IF(ResultsInd[[#This Row],[Score-A]]=ResultsInd[[#This Row],[Score-B]],ResultsInd[[#This Row],[Player B]],"")),""),"")</f>
        <v/>
      </c>
      <c r="U8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5" s="264" t="str">
        <f>IF(ResultsInd[[#This Row],[Category]]="","",VLOOKUP(ResultsInd[[#This Row],[Stage]],$P$1:$V$9,MATCH(ResultsInd[[#This Row],[Category]],$Q$1:$V$1,0)+1,FALSE))</f>
        <v/>
      </c>
      <c r="Z875" s="264" t="str">
        <f>IF(ResultsInd[[#This Row],[Score_OK]],IF(ResultsInd[[#This Row],[Level]]="R",ResultsInd[[#This Row],[Category]]&amp;"-"&amp;IF(ResultsInd[[#This Row],[LoseInKO]]=ResultsInd[[#This Row],[Category]]&amp;"-"&amp;ResultsInd[[#This Row],[Player A]],ResultsInd[[#This Row],[Player B]],ResultsInd[[#This Row],[Player A]]),""),"")</f>
        <v/>
      </c>
      <c r="AB875" s="8"/>
      <c r="AC875" s="8"/>
      <c r="AE875" s="90"/>
      <c r="AF875" s="90"/>
      <c r="AP875" s="8"/>
      <c r="AQ875" s="8"/>
      <c r="AR875" s="8"/>
      <c r="AS875" s="8"/>
      <c r="AT875" s="8"/>
      <c r="AU875" s="8"/>
      <c r="AV875" s="8"/>
      <c r="AW875" s="8"/>
      <c r="AX875" s="8"/>
      <c r="AY875" s="90"/>
      <c r="AZ875" s="90"/>
      <c r="BA875" s="90"/>
      <c r="BB875" s="90"/>
      <c r="BC875" s="90"/>
      <c r="BD875" s="90"/>
      <c r="BE875" s="90"/>
      <c r="BF875" s="90"/>
    </row>
    <row r="876" spans="1:58" x14ac:dyDescent="0.2">
      <c r="A876" s="62"/>
      <c r="B876" s="62"/>
      <c r="C876" s="62"/>
      <c r="D876" s="62"/>
      <c r="E876" s="345"/>
      <c r="F876" s="345"/>
      <c r="G876" s="113"/>
      <c r="H876" s="113"/>
      <c r="I876" s="114"/>
      <c r="J876" s="114"/>
      <c r="K876" s="114"/>
      <c r="L876" s="81"/>
      <c r="M876" s="265" t="b">
        <f>NOT(ISERROR(ResultsInd[[#This Row],[Goal-A]]+ResultsInd[[#This Row],[Goal-B]]))</f>
        <v>1</v>
      </c>
      <c r="N876" s="265">
        <f>VALUE(ResultsInd[[#This Row],[Score-A]])</f>
        <v>0</v>
      </c>
      <c r="O876" s="265">
        <f>VALUE(ResultsInd[[#This Row],[Score-B]])</f>
        <v>0</v>
      </c>
      <c r="P876" s="265" t="str">
        <f ca="1">IF(AND(ResultsInd[[#This Row],[Category]]&lt;&gt;"",ResultsInd[[#This Row],[Player A]]&lt;&gt;""),COUNTIF(INDIRECT(ResultsInd[[#This Row],[Category]]&amp;"List[Retained Player Name]"),ResultsInd[[#This Row],[Player A]]),"")</f>
        <v/>
      </c>
      <c r="Q876" s="265" t="str">
        <f ca="1">IF(AND(ResultsInd[[#This Row],[Category]]&lt;&gt;"",ResultsInd[[#This Row],[Player B]]&lt;&gt;""),COUNTIF(INDIRECT(ResultsInd[[#This Row],[Category]]&amp;"List[Retained Player Name]"),ResultsInd[[#This Row],[Player B]]),"")</f>
        <v/>
      </c>
      <c r="R8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6" s="265" t="str">
        <f>IF(ResultsInd[[#This Row],[Score_OK]],IF(ResultsInd[[#This Row],[Stage]]="Groups",ResultsInd[[#This Row],[Category]]&amp;"-"&amp;IF(ResultsInd[[#This Row],[Player B]]="","",IF(ResultsInd[[#This Row],[Score-A]]=ResultsInd[[#This Row],[Score-B]],ResultsInd[[#This Row],[Player A]],"")),""),"")</f>
        <v/>
      </c>
      <c r="T876" s="265" t="str">
        <f>IF(ResultsInd[[#This Row],[Score_OK]],IF(ResultsInd[[#This Row],[Stage]]="Groups",ResultsInd[[#This Row],[Category]]&amp;"-"&amp;IF(ResultsInd[[#This Row],[Player B]]="","",IF(ResultsInd[[#This Row],[Score-A]]=ResultsInd[[#This Row],[Score-B]],ResultsInd[[#This Row],[Player B]],"")),""),"")</f>
        <v/>
      </c>
      <c r="U8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6" s="264" t="str">
        <f>IF(ResultsInd[[#This Row],[Category]]="","",VLOOKUP(ResultsInd[[#This Row],[Stage]],$P$1:$V$9,MATCH(ResultsInd[[#This Row],[Category]],$Q$1:$V$1,0)+1,FALSE))</f>
        <v/>
      </c>
      <c r="Z876" s="264" t="str">
        <f>IF(ResultsInd[[#This Row],[Score_OK]],IF(ResultsInd[[#This Row],[Level]]="R",ResultsInd[[#This Row],[Category]]&amp;"-"&amp;IF(ResultsInd[[#This Row],[LoseInKO]]=ResultsInd[[#This Row],[Category]]&amp;"-"&amp;ResultsInd[[#This Row],[Player A]],ResultsInd[[#This Row],[Player B]],ResultsInd[[#This Row],[Player A]]),""),"")</f>
        <v/>
      </c>
      <c r="AB876" s="8"/>
      <c r="AC876" s="8"/>
      <c r="AE876" s="90"/>
      <c r="AF876" s="90"/>
      <c r="AP876" s="8"/>
      <c r="AQ876" s="8"/>
      <c r="AR876" s="8"/>
      <c r="AS876" s="8"/>
      <c r="AT876" s="8"/>
      <c r="AU876" s="8"/>
      <c r="AV876" s="8"/>
      <c r="AW876" s="8"/>
      <c r="AX876" s="8"/>
      <c r="AY876" s="90"/>
      <c r="AZ876" s="90"/>
      <c r="BA876" s="90"/>
      <c r="BB876" s="90"/>
      <c r="BC876" s="90"/>
      <c r="BD876" s="90"/>
      <c r="BE876" s="90"/>
      <c r="BF876" s="90"/>
    </row>
    <row r="877" spans="1:58" x14ac:dyDescent="0.2">
      <c r="A877" s="62"/>
      <c r="B877" s="62"/>
      <c r="C877" s="62"/>
      <c r="D877" s="62"/>
      <c r="E877" s="345"/>
      <c r="F877" s="345"/>
      <c r="G877" s="113"/>
      <c r="H877" s="113"/>
      <c r="I877" s="114"/>
      <c r="J877" s="114"/>
      <c r="K877" s="114"/>
      <c r="L877" s="81"/>
      <c r="M877" s="265" t="b">
        <f>NOT(ISERROR(ResultsInd[[#This Row],[Goal-A]]+ResultsInd[[#This Row],[Goal-B]]))</f>
        <v>1</v>
      </c>
      <c r="N877" s="265">
        <f>VALUE(ResultsInd[[#This Row],[Score-A]])</f>
        <v>0</v>
      </c>
      <c r="O877" s="265">
        <f>VALUE(ResultsInd[[#This Row],[Score-B]])</f>
        <v>0</v>
      </c>
      <c r="P877" s="265" t="str">
        <f ca="1">IF(AND(ResultsInd[[#This Row],[Category]]&lt;&gt;"",ResultsInd[[#This Row],[Player A]]&lt;&gt;""),COUNTIF(INDIRECT(ResultsInd[[#This Row],[Category]]&amp;"List[Retained Player Name]"),ResultsInd[[#This Row],[Player A]]),"")</f>
        <v/>
      </c>
      <c r="Q877" s="265" t="str">
        <f ca="1">IF(AND(ResultsInd[[#This Row],[Category]]&lt;&gt;"",ResultsInd[[#This Row],[Player B]]&lt;&gt;""),COUNTIF(INDIRECT(ResultsInd[[#This Row],[Category]]&amp;"List[Retained Player Name]"),ResultsInd[[#This Row],[Player B]]),"")</f>
        <v/>
      </c>
      <c r="R8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7" s="265" t="str">
        <f>IF(ResultsInd[[#This Row],[Score_OK]],IF(ResultsInd[[#This Row],[Stage]]="Groups",ResultsInd[[#This Row],[Category]]&amp;"-"&amp;IF(ResultsInd[[#This Row],[Player B]]="","",IF(ResultsInd[[#This Row],[Score-A]]=ResultsInd[[#This Row],[Score-B]],ResultsInd[[#This Row],[Player A]],"")),""),"")</f>
        <v/>
      </c>
      <c r="T877" s="265" t="str">
        <f>IF(ResultsInd[[#This Row],[Score_OK]],IF(ResultsInd[[#This Row],[Stage]]="Groups",ResultsInd[[#This Row],[Category]]&amp;"-"&amp;IF(ResultsInd[[#This Row],[Player B]]="","",IF(ResultsInd[[#This Row],[Score-A]]=ResultsInd[[#This Row],[Score-B]],ResultsInd[[#This Row],[Player B]],"")),""),"")</f>
        <v/>
      </c>
      <c r="U8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7" s="264" t="str">
        <f>IF(ResultsInd[[#This Row],[Category]]="","",VLOOKUP(ResultsInd[[#This Row],[Stage]],$P$1:$V$9,MATCH(ResultsInd[[#This Row],[Category]],$Q$1:$V$1,0)+1,FALSE))</f>
        <v/>
      </c>
      <c r="Z877" s="264" t="str">
        <f>IF(ResultsInd[[#This Row],[Score_OK]],IF(ResultsInd[[#This Row],[Level]]="R",ResultsInd[[#This Row],[Category]]&amp;"-"&amp;IF(ResultsInd[[#This Row],[LoseInKO]]=ResultsInd[[#This Row],[Category]]&amp;"-"&amp;ResultsInd[[#This Row],[Player A]],ResultsInd[[#This Row],[Player B]],ResultsInd[[#This Row],[Player A]]),""),"")</f>
        <v/>
      </c>
      <c r="AB877" s="8"/>
      <c r="AC877" s="8"/>
      <c r="AE877" s="90"/>
      <c r="AF877" s="90"/>
      <c r="AP877" s="8"/>
      <c r="AQ877" s="8"/>
      <c r="AR877" s="8"/>
      <c r="AS877" s="8"/>
      <c r="AT877" s="8"/>
      <c r="AU877" s="8"/>
      <c r="AV877" s="8"/>
      <c r="AW877" s="8"/>
      <c r="AX877" s="8"/>
      <c r="AY877" s="90"/>
      <c r="AZ877" s="90"/>
      <c r="BA877" s="90"/>
      <c r="BB877" s="90"/>
      <c r="BC877" s="90"/>
      <c r="BD877" s="90"/>
      <c r="BE877" s="90"/>
      <c r="BF877" s="90"/>
    </row>
    <row r="878" spans="1:58" x14ac:dyDescent="0.2">
      <c r="A878" s="62"/>
      <c r="B878" s="62"/>
      <c r="C878" s="62"/>
      <c r="D878" s="62"/>
      <c r="E878" s="345"/>
      <c r="F878" s="345"/>
      <c r="G878" s="113"/>
      <c r="H878" s="113"/>
      <c r="I878" s="114"/>
      <c r="J878" s="114"/>
      <c r="K878" s="114"/>
      <c r="L878" s="81"/>
      <c r="M878" s="265" t="b">
        <f>NOT(ISERROR(ResultsInd[[#This Row],[Goal-A]]+ResultsInd[[#This Row],[Goal-B]]))</f>
        <v>1</v>
      </c>
      <c r="N878" s="265">
        <f>VALUE(ResultsInd[[#This Row],[Score-A]])</f>
        <v>0</v>
      </c>
      <c r="O878" s="265">
        <f>VALUE(ResultsInd[[#This Row],[Score-B]])</f>
        <v>0</v>
      </c>
      <c r="P878" s="265" t="str">
        <f ca="1">IF(AND(ResultsInd[[#This Row],[Category]]&lt;&gt;"",ResultsInd[[#This Row],[Player A]]&lt;&gt;""),COUNTIF(INDIRECT(ResultsInd[[#This Row],[Category]]&amp;"List[Retained Player Name]"),ResultsInd[[#This Row],[Player A]]),"")</f>
        <v/>
      </c>
      <c r="Q878" s="265" t="str">
        <f ca="1">IF(AND(ResultsInd[[#This Row],[Category]]&lt;&gt;"",ResultsInd[[#This Row],[Player B]]&lt;&gt;""),COUNTIF(INDIRECT(ResultsInd[[#This Row],[Category]]&amp;"List[Retained Player Name]"),ResultsInd[[#This Row],[Player B]]),"")</f>
        <v/>
      </c>
      <c r="R8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8" s="265" t="str">
        <f>IF(ResultsInd[[#This Row],[Score_OK]],IF(ResultsInd[[#This Row],[Stage]]="Groups",ResultsInd[[#This Row],[Category]]&amp;"-"&amp;IF(ResultsInd[[#This Row],[Player B]]="","",IF(ResultsInd[[#This Row],[Score-A]]=ResultsInd[[#This Row],[Score-B]],ResultsInd[[#This Row],[Player A]],"")),""),"")</f>
        <v/>
      </c>
      <c r="T878" s="265" t="str">
        <f>IF(ResultsInd[[#This Row],[Score_OK]],IF(ResultsInd[[#This Row],[Stage]]="Groups",ResultsInd[[#This Row],[Category]]&amp;"-"&amp;IF(ResultsInd[[#This Row],[Player B]]="","",IF(ResultsInd[[#This Row],[Score-A]]=ResultsInd[[#This Row],[Score-B]],ResultsInd[[#This Row],[Player B]],"")),""),"")</f>
        <v/>
      </c>
      <c r="U8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8" s="264" t="str">
        <f>IF(ResultsInd[[#This Row],[Category]]="","",VLOOKUP(ResultsInd[[#This Row],[Stage]],$P$1:$V$9,MATCH(ResultsInd[[#This Row],[Category]],$Q$1:$V$1,0)+1,FALSE))</f>
        <v/>
      </c>
      <c r="Z878" s="264" t="str">
        <f>IF(ResultsInd[[#This Row],[Score_OK]],IF(ResultsInd[[#This Row],[Level]]="R",ResultsInd[[#This Row],[Category]]&amp;"-"&amp;IF(ResultsInd[[#This Row],[LoseInKO]]=ResultsInd[[#This Row],[Category]]&amp;"-"&amp;ResultsInd[[#This Row],[Player A]],ResultsInd[[#This Row],[Player B]],ResultsInd[[#This Row],[Player A]]),""),"")</f>
        <v/>
      </c>
      <c r="AB878" s="8"/>
      <c r="AC878" s="8"/>
      <c r="AE878" s="90"/>
      <c r="AF878" s="90"/>
      <c r="AP878" s="8"/>
      <c r="AQ878" s="8"/>
      <c r="AR878" s="8"/>
      <c r="AS878" s="8"/>
      <c r="AT878" s="8"/>
      <c r="AU878" s="8"/>
      <c r="AV878" s="8"/>
      <c r="AW878" s="8"/>
      <c r="AX878" s="8"/>
      <c r="AY878" s="90"/>
      <c r="AZ878" s="90"/>
      <c r="BA878" s="90"/>
      <c r="BB878" s="90"/>
      <c r="BC878" s="90"/>
      <c r="BD878" s="90"/>
      <c r="BE878" s="90"/>
      <c r="BF878" s="90"/>
    </row>
    <row r="879" spans="1:58" x14ac:dyDescent="0.2">
      <c r="A879" s="62"/>
      <c r="B879" s="62"/>
      <c r="C879" s="62"/>
      <c r="D879" s="62"/>
      <c r="E879" s="345"/>
      <c r="F879" s="345"/>
      <c r="G879" s="113"/>
      <c r="H879" s="113"/>
      <c r="I879" s="114"/>
      <c r="J879" s="114"/>
      <c r="K879" s="114"/>
      <c r="L879" s="81"/>
      <c r="M879" s="265" t="b">
        <f>NOT(ISERROR(ResultsInd[[#This Row],[Goal-A]]+ResultsInd[[#This Row],[Goal-B]]))</f>
        <v>1</v>
      </c>
      <c r="N879" s="265">
        <f>VALUE(ResultsInd[[#This Row],[Score-A]])</f>
        <v>0</v>
      </c>
      <c r="O879" s="265">
        <f>VALUE(ResultsInd[[#This Row],[Score-B]])</f>
        <v>0</v>
      </c>
      <c r="P879" s="265" t="str">
        <f ca="1">IF(AND(ResultsInd[[#This Row],[Category]]&lt;&gt;"",ResultsInd[[#This Row],[Player A]]&lt;&gt;""),COUNTIF(INDIRECT(ResultsInd[[#This Row],[Category]]&amp;"List[Retained Player Name]"),ResultsInd[[#This Row],[Player A]]),"")</f>
        <v/>
      </c>
      <c r="Q879" s="265" t="str">
        <f ca="1">IF(AND(ResultsInd[[#This Row],[Category]]&lt;&gt;"",ResultsInd[[#This Row],[Player B]]&lt;&gt;""),COUNTIF(INDIRECT(ResultsInd[[#This Row],[Category]]&amp;"List[Retained Player Name]"),ResultsInd[[#This Row],[Player B]]),"")</f>
        <v/>
      </c>
      <c r="R8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9" s="265" t="str">
        <f>IF(ResultsInd[[#This Row],[Score_OK]],IF(ResultsInd[[#This Row],[Stage]]="Groups",ResultsInd[[#This Row],[Category]]&amp;"-"&amp;IF(ResultsInd[[#This Row],[Player B]]="","",IF(ResultsInd[[#This Row],[Score-A]]=ResultsInd[[#This Row],[Score-B]],ResultsInd[[#This Row],[Player A]],"")),""),"")</f>
        <v/>
      </c>
      <c r="T879" s="265" t="str">
        <f>IF(ResultsInd[[#This Row],[Score_OK]],IF(ResultsInd[[#This Row],[Stage]]="Groups",ResultsInd[[#This Row],[Category]]&amp;"-"&amp;IF(ResultsInd[[#This Row],[Player B]]="","",IF(ResultsInd[[#This Row],[Score-A]]=ResultsInd[[#This Row],[Score-B]],ResultsInd[[#This Row],[Player B]],"")),""),"")</f>
        <v/>
      </c>
      <c r="U8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9" s="264" t="str">
        <f>IF(ResultsInd[[#This Row],[Category]]="","",VLOOKUP(ResultsInd[[#This Row],[Stage]],$P$1:$V$9,MATCH(ResultsInd[[#This Row],[Category]],$Q$1:$V$1,0)+1,FALSE))</f>
        <v/>
      </c>
      <c r="Z879" s="264" t="str">
        <f>IF(ResultsInd[[#This Row],[Score_OK]],IF(ResultsInd[[#This Row],[Level]]="R",ResultsInd[[#This Row],[Category]]&amp;"-"&amp;IF(ResultsInd[[#This Row],[LoseInKO]]=ResultsInd[[#This Row],[Category]]&amp;"-"&amp;ResultsInd[[#This Row],[Player A]],ResultsInd[[#This Row],[Player B]],ResultsInd[[#This Row],[Player A]]),""),"")</f>
        <v/>
      </c>
      <c r="AB879" s="8"/>
      <c r="AC879" s="8"/>
      <c r="AE879" s="90"/>
      <c r="AF879" s="90"/>
      <c r="AP879" s="8"/>
      <c r="AQ879" s="8"/>
      <c r="AR879" s="8"/>
      <c r="AS879" s="8"/>
      <c r="AT879" s="8"/>
      <c r="AU879" s="8"/>
      <c r="AV879" s="8"/>
      <c r="AW879" s="8"/>
      <c r="AX879" s="8"/>
      <c r="AY879" s="90"/>
      <c r="AZ879" s="90"/>
      <c r="BA879" s="90"/>
      <c r="BB879" s="90"/>
      <c r="BC879" s="90"/>
      <c r="BD879" s="90"/>
      <c r="BE879" s="90"/>
      <c r="BF879" s="90"/>
    </row>
    <row r="880" spans="1:58" x14ac:dyDescent="0.2">
      <c r="A880" s="62"/>
      <c r="B880" s="62"/>
      <c r="C880" s="62"/>
      <c r="D880" s="62"/>
      <c r="E880" s="345"/>
      <c r="F880" s="345"/>
      <c r="G880" s="113"/>
      <c r="H880" s="113"/>
      <c r="I880" s="114"/>
      <c r="J880" s="114"/>
      <c r="K880" s="114"/>
      <c r="L880" s="81"/>
      <c r="M880" s="265" t="b">
        <f>NOT(ISERROR(ResultsInd[[#This Row],[Goal-A]]+ResultsInd[[#This Row],[Goal-B]]))</f>
        <v>1</v>
      </c>
      <c r="N880" s="265">
        <f>VALUE(ResultsInd[[#This Row],[Score-A]])</f>
        <v>0</v>
      </c>
      <c r="O880" s="265">
        <f>VALUE(ResultsInd[[#This Row],[Score-B]])</f>
        <v>0</v>
      </c>
      <c r="P880" s="265" t="str">
        <f ca="1">IF(AND(ResultsInd[[#This Row],[Category]]&lt;&gt;"",ResultsInd[[#This Row],[Player A]]&lt;&gt;""),COUNTIF(INDIRECT(ResultsInd[[#This Row],[Category]]&amp;"List[Retained Player Name]"),ResultsInd[[#This Row],[Player A]]),"")</f>
        <v/>
      </c>
      <c r="Q880" s="265" t="str">
        <f ca="1">IF(AND(ResultsInd[[#This Row],[Category]]&lt;&gt;"",ResultsInd[[#This Row],[Player B]]&lt;&gt;""),COUNTIF(INDIRECT(ResultsInd[[#This Row],[Category]]&amp;"List[Retained Player Name]"),ResultsInd[[#This Row],[Player B]]),"")</f>
        <v/>
      </c>
      <c r="R8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0" s="265" t="str">
        <f>IF(ResultsInd[[#This Row],[Score_OK]],IF(ResultsInd[[#This Row],[Stage]]="Groups",ResultsInd[[#This Row],[Category]]&amp;"-"&amp;IF(ResultsInd[[#This Row],[Player B]]="","",IF(ResultsInd[[#This Row],[Score-A]]=ResultsInd[[#This Row],[Score-B]],ResultsInd[[#This Row],[Player A]],"")),""),"")</f>
        <v/>
      </c>
      <c r="T880" s="265" t="str">
        <f>IF(ResultsInd[[#This Row],[Score_OK]],IF(ResultsInd[[#This Row],[Stage]]="Groups",ResultsInd[[#This Row],[Category]]&amp;"-"&amp;IF(ResultsInd[[#This Row],[Player B]]="","",IF(ResultsInd[[#This Row],[Score-A]]=ResultsInd[[#This Row],[Score-B]],ResultsInd[[#This Row],[Player B]],"")),""),"")</f>
        <v/>
      </c>
      <c r="U8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0" s="264" t="str">
        <f>IF(ResultsInd[[#This Row],[Category]]="","",VLOOKUP(ResultsInd[[#This Row],[Stage]],$P$1:$V$9,MATCH(ResultsInd[[#This Row],[Category]],$Q$1:$V$1,0)+1,FALSE))</f>
        <v/>
      </c>
      <c r="Z880" s="264" t="str">
        <f>IF(ResultsInd[[#This Row],[Score_OK]],IF(ResultsInd[[#This Row],[Level]]="R",ResultsInd[[#This Row],[Category]]&amp;"-"&amp;IF(ResultsInd[[#This Row],[LoseInKO]]=ResultsInd[[#This Row],[Category]]&amp;"-"&amp;ResultsInd[[#This Row],[Player A]],ResultsInd[[#This Row],[Player B]],ResultsInd[[#This Row],[Player A]]),""),"")</f>
        <v/>
      </c>
      <c r="AB880" s="8"/>
      <c r="AC880" s="8"/>
      <c r="AE880" s="90"/>
      <c r="AF880" s="90"/>
      <c r="AP880" s="8"/>
      <c r="AQ880" s="8"/>
      <c r="AR880" s="8"/>
      <c r="AS880" s="8"/>
      <c r="AT880" s="8"/>
      <c r="AU880" s="8"/>
      <c r="AV880" s="8"/>
      <c r="AW880" s="8"/>
      <c r="AX880" s="8"/>
      <c r="AY880" s="90"/>
      <c r="AZ880" s="90"/>
      <c r="BA880" s="90"/>
      <c r="BB880" s="90"/>
      <c r="BC880" s="90"/>
      <c r="BD880" s="90"/>
      <c r="BE880" s="90"/>
      <c r="BF880" s="90"/>
    </row>
    <row r="881" spans="1:58" x14ac:dyDescent="0.2">
      <c r="A881" s="62"/>
      <c r="B881" s="62"/>
      <c r="C881" s="62"/>
      <c r="D881" s="62"/>
      <c r="E881" s="345"/>
      <c r="F881" s="345"/>
      <c r="G881" s="113"/>
      <c r="H881" s="113"/>
      <c r="I881" s="114"/>
      <c r="J881" s="114"/>
      <c r="K881" s="114"/>
      <c r="L881" s="81"/>
      <c r="M881" s="265" t="b">
        <f>NOT(ISERROR(ResultsInd[[#This Row],[Goal-A]]+ResultsInd[[#This Row],[Goal-B]]))</f>
        <v>1</v>
      </c>
      <c r="N881" s="265">
        <f>VALUE(ResultsInd[[#This Row],[Score-A]])</f>
        <v>0</v>
      </c>
      <c r="O881" s="265">
        <f>VALUE(ResultsInd[[#This Row],[Score-B]])</f>
        <v>0</v>
      </c>
      <c r="P881" s="265" t="str">
        <f ca="1">IF(AND(ResultsInd[[#This Row],[Category]]&lt;&gt;"",ResultsInd[[#This Row],[Player A]]&lt;&gt;""),COUNTIF(INDIRECT(ResultsInd[[#This Row],[Category]]&amp;"List[Retained Player Name]"),ResultsInd[[#This Row],[Player A]]),"")</f>
        <v/>
      </c>
      <c r="Q881" s="265" t="str">
        <f ca="1">IF(AND(ResultsInd[[#This Row],[Category]]&lt;&gt;"",ResultsInd[[#This Row],[Player B]]&lt;&gt;""),COUNTIF(INDIRECT(ResultsInd[[#This Row],[Category]]&amp;"List[Retained Player Name]"),ResultsInd[[#This Row],[Player B]]),"")</f>
        <v/>
      </c>
      <c r="R8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1" s="265" t="str">
        <f>IF(ResultsInd[[#This Row],[Score_OK]],IF(ResultsInd[[#This Row],[Stage]]="Groups",ResultsInd[[#This Row],[Category]]&amp;"-"&amp;IF(ResultsInd[[#This Row],[Player B]]="","",IF(ResultsInd[[#This Row],[Score-A]]=ResultsInd[[#This Row],[Score-B]],ResultsInd[[#This Row],[Player A]],"")),""),"")</f>
        <v/>
      </c>
      <c r="T881" s="265" t="str">
        <f>IF(ResultsInd[[#This Row],[Score_OK]],IF(ResultsInd[[#This Row],[Stage]]="Groups",ResultsInd[[#This Row],[Category]]&amp;"-"&amp;IF(ResultsInd[[#This Row],[Player B]]="","",IF(ResultsInd[[#This Row],[Score-A]]=ResultsInd[[#This Row],[Score-B]],ResultsInd[[#This Row],[Player B]],"")),""),"")</f>
        <v/>
      </c>
      <c r="U8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1" s="264" t="str">
        <f>IF(ResultsInd[[#This Row],[Category]]="","",VLOOKUP(ResultsInd[[#This Row],[Stage]],$P$1:$V$9,MATCH(ResultsInd[[#This Row],[Category]],$Q$1:$V$1,0)+1,FALSE))</f>
        <v/>
      </c>
      <c r="Z881" s="264" t="str">
        <f>IF(ResultsInd[[#This Row],[Score_OK]],IF(ResultsInd[[#This Row],[Level]]="R",ResultsInd[[#This Row],[Category]]&amp;"-"&amp;IF(ResultsInd[[#This Row],[LoseInKO]]=ResultsInd[[#This Row],[Category]]&amp;"-"&amp;ResultsInd[[#This Row],[Player A]],ResultsInd[[#This Row],[Player B]],ResultsInd[[#This Row],[Player A]]),""),"")</f>
        <v/>
      </c>
      <c r="AB881" s="8"/>
      <c r="AC881" s="8"/>
      <c r="AE881" s="90"/>
      <c r="AF881" s="90"/>
      <c r="AP881" s="8"/>
      <c r="AQ881" s="8"/>
      <c r="AR881" s="8"/>
      <c r="AS881" s="8"/>
      <c r="AT881" s="8"/>
      <c r="AU881" s="8"/>
      <c r="AV881" s="8"/>
      <c r="AW881" s="8"/>
      <c r="AX881" s="8"/>
      <c r="AY881" s="90"/>
      <c r="AZ881" s="90"/>
      <c r="BA881" s="90"/>
      <c r="BB881" s="90"/>
      <c r="BC881" s="90"/>
      <c r="BD881" s="90"/>
      <c r="BE881" s="90"/>
      <c r="BF881" s="90"/>
    </row>
    <row r="882" spans="1:58" x14ac:dyDescent="0.2">
      <c r="A882" s="62"/>
      <c r="B882" s="62"/>
      <c r="C882" s="62"/>
      <c r="D882" s="62"/>
      <c r="E882" s="345"/>
      <c r="F882" s="345"/>
      <c r="G882" s="113"/>
      <c r="H882" s="113"/>
      <c r="I882" s="114"/>
      <c r="J882" s="114"/>
      <c r="K882" s="114"/>
      <c r="L882" s="81"/>
      <c r="M882" s="265" t="b">
        <f>NOT(ISERROR(ResultsInd[[#This Row],[Goal-A]]+ResultsInd[[#This Row],[Goal-B]]))</f>
        <v>1</v>
      </c>
      <c r="N882" s="265">
        <f>VALUE(ResultsInd[[#This Row],[Score-A]])</f>
        <v>0</v>
      </c>
      <c r="O882" s="265">
        <f>VALUE(ResultsInd[[#This Row],[Score-B]])</f>
        <v>0</v>
      </c>
      <c r="P882" s="265" t="str">
        <f ca="1">IF(AND(ResultsInd[[#This Row],[Category]]&lt;&gt;"",ResultsInd[[#This Row],[Player A]]&lt;&gt;""),COUNTIF(INDIRECT(ResultsInd[[#This Row],[Category]]&amp;"List[Retained Player Name]"),ResultsInd[[#This Row],[Player A]]),"")</f>
        <v/>
      </c>
      <c r="Q882" s="265" t="str">
        <f ca="1">IF(AND(ResultsInd[[#This Row],[Category]]&lt;&gt;"",ResultsInd[[#This Row],[Player B]]&lt;&gt;""),COUNTIF(INDIRECT(ResultsInd[[#This Row],[Category]]&amp;"List[Retained Player Name]"),ResultsInd[[#This Row],[Player B]]),"")</f>
        <v/>
      </c>
      <c r="R8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2" s="265" t="str">
        <f>IF(ResultsInd[[#This Row],[Score_OK]],IF(ResultsInd[[#This Row],[Stage]]="Groups",ResultsInd[[#This Row],[Category]]&amp;"-"&amp;IF(ResultsInd[[#This Row],[Player B]]="","",IF(ResultsInd[[#This Row],[Score-A]]=ResultsInd[[#This Row],[Score-B]],ResultsInd[[#This Row],[Player A]],"")),""),"")</f>
        <v/>
      </c>
      <c r="T882" s="265" t="str">
        <f>IF(ResultsInd[[#This Row],[Score_OK]],IF(ResultsInd[[#This Row],[Stage]]="Groups",ResultsInd[[#This Row],[Category]]&amp;"-"&amp;IF(ResultsInd[[#This Row],[Player B]]="","",IF(ResultsInd[[#This Row],[Score-A]]=ResultsInd[[#This Row],[Score-B]],ResultsInd[[#This Row],[Player B]],"")),""),"")</f>
        <v/>
      </c>
      <c r="U8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2" s="264" t="str">
        <f>IF(ResultsInd[[#This Row],[Category]]="","",VLOOKUP(ResultsInd[[#This Row],[Stage]],$P$1:$V$9,MATCH(ResultsInd[[#This Row],[Category]],$Q$1:$V$1,0)+1,FALSE))</f>
        <v/>
      </c>
      <c r="Z882" s="264" t="str">
        <f>IF(ResultsInd[[#This Row],[Score_OK]],IF(ResultsInd[[#This Row],[Level]]="R",ResultsInd[[#This Row],[Category]]&amp;"-"&amp;IF(ResultsInd[[#This Row],[LoseInKO]]=ResultsInd[[#This Row],[Category]]&amp;"-"&amp;ResultsInd[[#This Row],[Player A]],ResultsInd[[#This Row],[Player B]],ResultsInd[[#This Row],[Player A]]),""),"")</f>
        <v/>
      </c>
      <c r="AB882" s="8"/>
      <c r="AC882" s="8"/>
      <c r="AE882" s="90"/>
      <c r="AF882" s="90"/>
      <c r="AP882" s="8"/>
      <c r="AQ882" s="8"/>
      <c r="AR882" s="8"/>
      <c r="AS882" s="8"/>
      <c r="AT882" s="8"/>
      <c r="AU882" s="8"/>
      <c r="AV882" s="8"/>
      <c r="AW882" s="8"/>
      <c r="AX882" s="8"/>
      <c r="AY882" s="90"/>
      <c r="AZ882" s="90"/>
      <c r="BA882" s="90"/>
      <c r="BB882" s="90"/>
      <c r="BC882" s="90"/>
      <c r="BD882" s="90"/>
      <c r="BE882" s="90"/>
      <c r="BF882" s="90"/>
    </row>
    <row r="883" spans="1:58" x14ac:dyDescent="0.2">
      <c r="A883" s="62"/>
      <c r="B883" s="62"/>
      <c r="C883" s="62"/>
      <c r="D883" s="62"/>
      <c r="E883" s="345"/>
      <c r="F883" s="345"/>
      <c r="G883" s="113"/>
      <c r="H883" s="113"/>
      <c r="I883" s="114"/>
      <c r="J883" s="114"/>
      <c r="K883" s="114"/>
      <c r="L883" s="81"/>
      <c r="M883" s="265" t="b">
        <f>NOT(ISERROR(ResultsInd[[#This Row],[Goal-A]]+ResultsInd[[#This Row],[Goal-B]]))</f>
        <v>1</v>
      </c>
      <c r="N883" s="265">
        <f>VALUE(ResultsInd[[#This Row],[Score-A]])</f>
        <v>0</v>
      </c>
      <c r="O883" s="265">
        <f>VALUE(ResultsInd[[#This Row],[Score-B]])</f>
        <v>0</v>
      </c>
      <c r="P883" s="265" t="str">
        <f ca="1">IF(AND(ResultsInd[[#This Row],[Category]]&lt;&gt;"",ResultsInd[[#This Row],[Player A]]&lt;&gt;""),COUNTIF(INDIRECT(ResultsInd[[#This Row],[Category]]&amp;"List[Retained Player Name]"),ResultsInd[[#This Row],[Player A]]),"")</f>
        <v/>
      </c>
      <c r="Q883" s="265" t="str">
        <f ca="1">IF(AND(ResultsInd[[#This Row],[Category]]&lt;&gt;"",ResultsInd[[#This Row],[Player B]]&lt;&gt;""),COUNTIF(INDIRECT(ResultsInd[[#This Row],[Category]]&amp;"List[Retained Player Name]"),ResultsInd[[#This Row],[Player B]]),"")</f>
        <v/>
      </c>
      <c r="R8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3" s="265" t="str">
        <f>IF(ResultsInd[[#This Row],[Score_OK]],IF(ResultsInd[[#This Row],[Stage]]="Groups",ResultsInd[[#This Row],[Category]]&amp;"-"&amp;IF(ResultsInd[[#This Row],[Player B]]="","",IF(ResultsInd[[#This Row],[Score-A]]=ResultsInd[[#This Row],[Score-B]],ResultsInd[[#This Row],[Player A]],"")),""),"")</f>
        <v/>
      </c>
      <c r="T883" s="265" t="str">
        <f>IF(ResultsInd[[#This Row],[Score_OK]],IF(ResultsInd[[#This Row],[Stage]]="Groups",ResultsInd[[#This Row],[Category]]&amp;"-"&amp;IF(ResultsInd[[#This Row],[Player B]]="","",IF(ResultsInd[[#This Row],[Score-A]]=ResultsInd[[#This Row],[Score-B]],ResultsInd[[#This Row],[Player B]],"")),""),"")</f>
        <v/>
      </c>
      <c r="U8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3" s="264" t="str">
        <f>IF(ResultsInd[[#This Row],[Category]]="","",VLOOKUP(ResultsInd[[#This Row],[Stage]],$P$1:$V$9,MATCH(ResultsInd[[#This Row],[Category]],$Q$1:$V$1,0)+1,FALSE))</f>
        <v/>
      </c>
      <c r="Z883" s="264" t="str">
        <f>IF(ResultsInd[[#This Row],[Score_OK]],IF(ResultsInd[[#This Row],[Level]]="R",ResultsInd[[#This Row],[Category]]&amp;"-"&amp;IF(ResultsInd[[#This Row],[LoseInKO]]=ResultsInd[[#This Row],[Category]]&amp;"-"&amp;ResultsInd[[#This Row],[Player A]],ResultsInd[[#This Row],[Player B]],ResultsInd[[#This Row],[Player A]]),""),"")</f>
        <v/>
      </c>
      <c r="AB883" s="8"/>
      <c r="AC883" s="8"/>
      <c r="AE883" s="90"/>
      <c r="AF883" s="90"/>
      <c r="AP883" s="8"/>
      <c r="AQ883" s="8"/>
      <c r="AR883" s="8"/>
      <c r="AS883" s="8"/>
      <c r="AT883" s="8"/>
      <c r="AU883" s="8"/>
      <c r="AV883" s="8"/>
      <c r="AW883" s="8"/>
      <c r="AX883" s="8"/>
      <c r="AY883" s="90"/>
      <c r="AZ883" s="90"/>
      <c r="BA883" s="90"/>
      <c r="BB883" s="90"/>
      <c r="BC883" s="90"/>
      <c r="BD883" s="90"/>
      <c r="BE883" s="90"/>
      <c r="BF883" s="90"/>
    </row>
    <row r="884" spans="1:58" x14ac:dyDescent="0.2">
      <c r="A884" s="62"/>
      <c r="B884" s="62"/>
      <c r="C884" s="62"/>
      <c r="D884" s="62"/>
      <c r="E884" s="345"/>
      <c r="F884" s="345"/>
      <c r="G884" s="113"/>
      <c r="H884" s="113"/>
      <c r="I884" s="114"/>
      <c r="J884" s="114"/>
      <c r="K884" s="114"/>
      <c r="L884" s="81"/>
      <c r="M884" s="265" t="b">
        <f>NOT(ISERROR(ResultsInd[[#This Row],[Goal-A]]+ResultsInd[[#This Row],[Goal-B]]))</f>
        <v>1</v>
      </c>
      <c r="N884" s="265">
        <f>VALUE(ResultsInd[[#This Row],[Score-A]])</f>
        <v>0</v>
      </c>
      <c r="O884" s="265">
        <f>VALUE(ResultsInd[[#This Row],[Score-B]])</f>
        <v>0</v>
      </c>
      <c r="P884" s="265" t="str">
        <f ca="1">IF(AND(ResultsInd[[#This Row],[Category]]&lt;&gt;"",ResultsInd[[#This Row],[Player A]]&lt;&gt;""),COUNTIF(INDIRECT(ResultsInd[[#This Row],[Category]]&amp;"List[Retained Player Name]"),ResultsInd[[#This Row],[Player A]]),"")</f>
        <v/>
      </c>
      <c r="Q884" s="265" t="str">
        <f ca="1">IF(AND(ResultsInd[[#This Row],[Category]]&lt;&gt;"",ResultsInd[[#This Row],[Player B]]&lt;&gt;""),COUNTIF(INDIRECT(ResultsInd[[#This Row],[Category]]&amp;"List[Retained Player Name]"),ResultsInd[[#This Row],[Player B]]),"")</f>
        <v/>
      </c>
      <c r="R8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4" s="265" t="str">
        <f>IF(ResultsInd[[#This Row],[Score_OK]],IF(ResultsInd[[#This Row],[Stage]]="Groups",ResultsInd[[#This Row],[Category]]&amp;"-"&amp;IF(ResultsInd[[#This Row],[Player B]]="","",IF(ResultsInd[[#This Row],[Score-A]]=ResultsInd[[#This Row],[Score-B]],ResultsInd[[#This Row],[Player A]],"")),""),"")</f>
        <v/>
      </c>
      <c r="T884" s="265" t="str">
        <f>IF(ResultsInd[[#This Row],[Score_OK]],IF(ResultsInd[[#This Row],[Stage]]="Groups",ResultsInd[[#This Row],[Category]]&amp;"-"&amp;IF(ResultsInd[[#This Row],[Player B]]="","",IF(ResultsInd[[#This Row],[Score-A]]=ResultsInd[[#This Row],[Score-B]],ResultsInd[[#This Row],[Player B]],"")),""),"")</f>
        <v/>
      </c>
      <c r="U8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4" s="264" t="str">
        <f>IF(ResultsInd[[#This Row],[Category]]="","",VLOOKUP(ResultsInd[[#This Row],[Stage]],$P$1:$V$9,MATCH(ResultsInd[[#This Row],[Category]],$Q$1:$V$1,0)+1,FALSE))</f>
        <v/>
      </c>
      <c r="Z884" s="264" t="str">
        <f>IF(ResultsInd[[#This Row],[Score_OK]],IF(ResultsInd[[#This Row],[Level]]="R",ResultsInd[[#This Row],[Category]]&amp;"-"&amp;IF(ResultsInd[[#This Row],[LoseInKO]]=ResultsInd[[#This Row],[Category]]&amp;"-"&amp;ResultsInd[[#This Row],[Player A]],ResultsInd[[#This Row],[Player B]],ResultsInd[[#This Row],[Player A]]),""),"")</f>
        <v/>
      </c>
      <c r="AB884" s="8"/>
      <c r="AC884" s="8"/>
      <c r="AE884" s="90"/>
      <c r="AF884" s="90"/>
      <c r="AP884" s="8"/>
      <c r="AQ884" s="8"/>
      <c r="AR884" s="8"/>
      <c r="AS884" s="8"/>
      <c r="AT884" s="8"/>
      <c r="AU884" s="8"/>
      <c r="AV884" s="8"/>
      <c r="AW884" s="8"/>
      <c r="AX884" s="8"/>
      <c r="AY884" s="90"/>
      <c r="AZ884" s="90"/>
      <c r="BA884" s="90"/>
      <c r="BB884" s="90"/>
      <c r="BC884" s="90"/>
      <c r="BD884" s="90"/>
      <c r="BE884" s="90"/>
      <c r="BF884" s="90"/>
    </row>
    <row r="885" spans="1:58" x14ac:dyDescent="0.2">
      <c r="A885" s="62"/>
      <c r="B885" s="62"/>
      <c r="C885" s="62"/>
      <c r="D885" s="62"/>
      <c r="E885" s="345"/>
      <c r="F885" s="345"/>
      <c r="G885" s="113"/>
      <c r="H885" s="113"/>
      <c r="I885" s="114"/>
      <c r="J885" s="114"/>
      <c r="K885" s="114"/>
      <c r="L885" s="81"/>
      <c r="M885" s="265" t="b">
        <f>NOT(ISERROR(ResultsInd[[#This Row],[Goal-A]]+ResultsInd[[#This Row],[Goal-B]]))</f>
        <v>1</v>
      </c>
      <c r="N885" s="265">
        <f>VALUE(ResultsInd[[#This Row],[Score-A]])</f>
        <v>0</v>
      </c>
      <c r="O885" s="265">
        <f>VALUE(ResultsInd[[#This Row],[Score-B]])</f>
        <v>0</v>
      </c>
      <c r="P885" s="265" t="str">
        <f ca="1">IF(AND(ResultsInd[[#This Row],[Category]]&lt;&gt;"",ResultsInd[[#This Row],[Player A]]&lt;&gt;""),COUNTIF(INDIRECT(ResultsInd[[#This Row],[Category]]&amp;"List[Retained Player Name]"),ResultsInd[[#This Row],[Player A]]),"")</f>
        <v/>
      </c>
      <c r="Q885" s="265" t="str">
        <f ca="1">IF(AND(ResultsInd[[#This Row],[Category]]&lt;&gt;"",ResultsInd[[#This Row],[Player B]]&lt;&gt;""),COUNTIF(INDIRECT(ResultsInd[[#This Row],[Category]]&amp;"List[Retained Player Name]"),ResultsInd[[#This Row],[Player B]]),"")</f>
        <v/>
      </c>
      <c r="R8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5" s="265" t="str">
        <f>IF(ResultsInd[[#This Row],[Score_OK]],IF(ResultsInd[[#This Row],[Stage]]="Groups",ResultsInd[[#This Row],[Category]]&amp;"-"&amp;IF(ResultsInd[[#This Row],[Player B]]="","",IF(ResultsInd[[#This Row],[Score-A]]=ResultsInd[[#This Row],[Score-B]],ResultsInd[[#This Row],[Player A]],"")),""),"")</f>
        <v/>
      </c>
      <c r="T885" s="265" t="str">
        <f>IF(ResultsInd[[#This Row],[Score_OK]],IF(ResultsInd[[#This Row],[Stage]]="Groups",ResultsInd[[#This Row],[Category]]&amp;"-"&amp;IF(ResultsInd[[#This Row],[Player B]]="","",IF(ResultsInd[[#This Row],[Score-A]]=ResultsInd[[#This Row],[Score-B]],ResultsInd[[#This Row],[Player B]],"")),""),"")</f>
        <v/>
      </c>
      <c r="U8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5" s="264" t="str">
        <f>IF(ResultsInd[[#This Row],[Category]]="","",VLOOKUP(ResultsInd[[#This Row],[Stage]],$P$1:$V$9,MATCH(ResultsInd[[#This Row],[Category]],$Q$1:$V$1,0)+1,FALSE))</f>
        <v/>
      </c>
      <c r="Z885" s="264" t="str">
        <f>IF(ResultsInd[[#This Row],[Score_OK]],IF(ResultsInd[[#This Row],[Level]]="R",ResultsInd[[#This Row],[Category]]&amp;"-"&amp;IF(ResultsInd[[#This Row],[LoseInKO]]=ResultsInd[[#This Row],[Category]]&amp;"-"&amp;ResultsInd[[#This Row],[Player A]],ResultsInd[[#This Row],[Player B]],ResultsInd[[#This Row],[Player A]]),""),"")</f>
        <v/>
      </c>
      <c r="AB885" s="8"/>
      <c r="AC885" s="8"/>
      <c r="AE885" s="90"/>
      <c r="AF885" s="90"/>
      <c r="AP885" s="8"/>
      <c r="AQ885" s="8"/>
      <c r="AR885" s="8"/>
      <c r="AS885" s="8"/>
      <c r="AT885" s="8"/>
      <c r="AU885" s="8"/>
      <c r="AV885" s="8"/>
      <c r="AW885" s="8"/>
      <c r="AX885" s="8"/>
      <c r="AY885" s="90"/>
      <c r="AZ885" s="90"/>
      <c r="BA885" s="90"/>
      <c r="BB885" s="90"/>
      <c r="BC885" s="90"/>
      <c r="BD885" s="90"/>
      <c r="BE885" s="90"/>
      <c r="BF885" s="90"/>
    </row>
    <row r="886" spans="1:58" x14ac:dyDescent="0.2">
      <c r="A886" s="62"/>
      <c r="B886" s="62"/>
      <c r="C886" s="62"/>
      <c r="D886" s="62"/>
      <c r="E886" s="345"/>
      <c r="F886" s="345"/>
      <c r="G886" s="113"/>
      <c r="H886" s="113"/>
      <c r="I886" s="114"/>
      <c r="J886" s="114"/>
      <c r="K886" s="114"/>
      <c r="L886" s="81"/>
      <c r="M886" s="265" t="b">
        <f>NOT(ISERROR(ResultsInd[[#This Row],[Goal-A]]+ResultsInd[[#This Row],[Goal-B]]))</f>
        <v>1</v>
      </c>
      <c r="N886" s="265">
        <f>VALUE(ResultsInd[[#This Row],[Score-A]])</f>
        <v>0</v>
      </c>
      <c r="O886" s="265">
        <f>VALUE(ResultsInd[[#This Row],[Score-B]])</f>
        <v>0</v>
      </c>
      <c r="P886" s="265" t="str">
        <f ca="1">IF(AND(ResultsInd[[#This Row],[Category]]&lt;&gt;"",ResultsInd[[#This Row],[Player A]]&lt;&gt;""),COUNTIF(INDIRECT(ResultsInd[[#This Row],[Category]]&amp;"List[Retained Player Name]"),ResultsInd[[#This Row],[Player A]]),"")</f>
        <v/>
      </c>
      <c r="Q886" s="265" t="str">
        <f ca="1">IF(AND(ResultsInd[[#This Row],[Category]]&lt;&gt;"",ResultsInd[[#This Row],[Player B]]&lt;&gt;""),COUNTIF(INDIRECT(ResultsInd[[#This Row],[Category]]&amp;"List[Retained Player Name]"),ResultsInd[[#This Row],[Player B]]),"")</f>
        <v/>
      </c>
      <c r="R8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6" s="265" t="str">
        <f>IF(ResultsInd[[#This Row],[Score_OK]],IF(ResultsInd[[#This Row],[Stage]]="Groups",ResultsInd[[#This Row],[Category]]&amp;"-"&amp;IF(ResultsInd[[#This Row],[Player B]]="","",IF(ResultsInd[[#This Row],[Score-A]]=ResultsInd[[#This Row],[Score-B]],ResultsInd[[#This Row],[Player A]],"")),""),"")</f>
        <v/>
      </c>
      <c r="T886" s="265" t="str">
        <f>IF(ResultsInd[[#This Row],[Score_OK]],IF(ResultsInd[[#This Row],[Stage]]="Groups",ResultsInd[[#This Row],[Category]]&amp;"-"&amp;IF(ResultsInd[[#This Row],[Player B]]="","",IF(ResultsInd[[#This Row],[Score-A]]=ResultsInd[[#This Row],[Score-B]],ResultsInd[[#This Row],[Player B]],"")),""),"")</f>
        <v/>
      </c>
      <c r="U8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6" s="264" t="str">
        <f>IF(ResultsInd[[#This Row],[Category]]="","",VLOOKUP(ResultsInd[[#This Row],[Stage]],$P$1:$V$9,MATCH(ResultsInd[[#This Row],[Category]],$Q$1:$V$1,0)+1,FALSE))</f>
        <v/>
      </c>
      <c r="Z886" s="264" t="str">
        <f>IF(ResultsInd[[#This Row],[Score_OK]],IF(ResultsInd[[#This Row],[Level]]="R",ResultsInd[[#This Row],[Category]]&amp;"-"&amp;IF(ResultsInd[[#This Row],[LoseInKO]]=ResultsInd[[#This Row],[Category]]&amp;"-"&amp;ResultsInd[[#This Row],[Player A]],ResultsInd[[#This Row],[Player B]],ResultsInd[[#This Row],[Player A]]),""),"")</f>
        <v/>
      </c>
      <c r="AB886" s="8"/>
      <c r="AC886" s="8"/>
      <c r="AE886" s="90"/>
      <c r="AF886" s="90"/>
      <c r="AP886" s="8"/>
      <c r="AQ886" s="8"/>
      <c r="AR886" s="8"/>
      <c r="AS886" s="8"/>
      <c r="AT886" s="8"/>
      <c r="AU886" s="8"/>
      <c r="AV886" s="8"/>
      <c r="AW886" s="8"/>
      <c r="AX886" s="8"/>
      <c r="AY886" s="90"/>
      <c r="AZ886" s="90"/>
      <c r="BA886" s="90"/>
      <c r="BB886" s="90"/>
      <c r="BC886" s="90"/>
      <c r="BD886" s="90"/>
      <c r="BE886" s="90"/>
      <c r="BF886" s="90"/>
    </row>
    <row r="887" spans="1:58" x14ac:dyDescent="0.2">
      <c r="A887" s="62"/>
      <c r="B887" s="62"/>
      <c r="C887" s="62"/>
      <c r="D887" s="62"/>
      <c r="E887" s="345"/>
      <c r="F887" s="345"/>
      <c r="G887" s="113"/>
      <c r="H887" s="113"/>
      <c r="I887" s="114"/>
      <c r="J887" s="114"/>
      <c r="K887" s="114"/>
      <c r="L887" s="81"/>
      <c r="M887" s="265" t="b">
        <f>NOT(ISERROR(ResultsInd[[#This Row],[Goal-A]]+ResultsInd[[#This Row],[Goal-B]]))</f>
        <v>1</v>
      </c>
      <c r="N887" s="265">
        <f>VALUE(ResultsInd[[#This Row],[Score-A]])</f>
        <v>0</v>
      </c>
      <c r="O887" s="265">
        <f>VALUE(ResultsInd[[#This Row],[Score-B]])</f>
        <v>0</v>
      </c>
      <c r="P887" s="265" t="str">
        <f ca="1">IF(AND(ResultsInd[[#This Row],[Category]]&lt;&gt;"",ResultsInd[[#This Row],[Player A]]&lt;&gt;""),COUNTIF(INDIRECT(ResultsInd[[#This Row],[Category]]&amp;"List[Retained Player Name]"),ResultsInd[[#This Row],[Player A]]),"")</f>
        <v/>
      </c>
      <c r="Q887" s="265" t="str">
        <f ca="1">IF(AND(ResultsInd[[#This Row],[Category]]&lt;&gt;"",ResultsInd[[#This Row],[Player B]]&lt;&gt;""),COUNTIF(INDIRECT(ResultsInd[[#This Row],[Category]]&amp;"List[Retained Player Name]"),ResultsInd[[#This Row],[Player B]]),"")</f>
        <v/>
      </c>
      <c r="R8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7" s="265" t="str">
        <f>IF(ResultsInd[[#This Row],[Score_OK]],IF(ResultsInd[[#This Row],[Stage]]="Groups",ResultsInd[[#This Row],[Category]]&amp;"-"&amp;IF(ResultsInd[[#This Row],[Player B]]="","",IF(ResultsInd[[#This Row],[Score-A]]=ResultsInd[[#This Row],[Score-B]],ResultsInd[[#This Row],[Player A]],"")),""),"")</f>
        <v/>
      </c>
      <c r="T887" s="265" t="str">
        <f>IF(ResultsInd[[#This Row],[Score_OK]],IF(ResultsInd[[#This Row],[Stage]]="Groups",ResultsInd[[#This Row],[Category]]&amp;"-"&amp;IF(ResultsInd[[#This Row],[Player B]]="","",IF(ResultsInd[[#This Row],[Score-A]]=ResultsInd[[#This Row],[Score-B]],ResultsInd[[#This Row],[Player B]],"")),""),"")</f>
        <v/>
      </c>
      <c r="U8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7" s="264" t="str">
        <f>IF(ResultsInd[[#This Row],[Category]]="","",VLOOKUP(ResultsInd[[#This Row],[Stage]],$P$1:$V$9,MATCH(ResultsInd[[#This Row],[Category]],$Q$1:$V$1,0)+1,FALSE))</f>
        <v/>
      </c>
      <c r="Z887" s="264" t="str">
        <f>IF(ResultsInd[[#This Row],[Score_OK]],IF(ResultsInd[[#This Row],[Level]]="R",ResultsInd[[#This Row],[Category]]&amp;"-"&amp;IF(ResultsInd[[#This Row],[LoseInKO]]=ResultsInd[[#This Row],[Category]]&amp;"-"&amp;ResultsInd[[#This Row],[Player A]],ResultsInd[[#This Row],[Player B]],ResultsInd[[#This Row],[Player A]]),""),"")</f>
        <v/>
      </c>
      <c r="AB887" s="8"/>
      <c r="AC887" s="8"/>
      <c r="AE887" s="90"/>
      <c r="AF887" s="90"/>
      <c r="AP887" s="8"/>
      <c r="AQ887" s="8"/>
      <c r="AR887" s="8"/>
      <c r="AS887" s="8"/>
      <c r="AT887" s="8"/>
      <c r="AU887" s="8"/>
      <c r="AV887" s="8"/>
      <c r="AW887" s="8"/>
      <c r="AX887" s="8"/>
      <c r="AY887" s="90"/>
      <c r="AZ887" s="90"/>
      <c r="BA887" s="90"/>
      <c r="BB887" s="90"/>
      <c r="BC887" s="90"/>
      <c r="BD887" s="90"/>
      <c r="BE887" s="90"/>
      <c r="BF887" s="90"/>
    </row>
    <row r="888" spans="1:58" x14ac:dyDescent="0.2">
      <c r="A888" s="62"/>
      <c r="B888" s="62"/>
      <c r="C888" s="62"/>
      <c r="D888" s="62"/>
      <c r="E888" s="345"/>
      <c r="F888" s="345"/>
      <c r="G888" s="113"/>
      <c r="H888" s="113"/>
      <c r="I888" s="114"/>
      <c r="J888" s="114"/>
      <c r="K888" s="114"/>
      <c r="L888" s="81"/>
      <c r="M888" s="265" t="b">
        <f>NOT(ISERROR(ResultsInd[[#This Row],[Goal-A]]+ResultsInd[[#This Row],[Goal-B]]))</f>
        <v>1</v>
      </c>
      <c r="N888" s="265">
        <f>VALUE(ResultsInd[[#This Row],[Score-A]])</f>
        <v>0</v>
      </c>
      <c r="O888" s="265">
        <f>VALUE(ResultsInd[[#This Row],[Score-B]])</f>
        <v>0</v>
      </c>
      <c r="P888" s="265" t="str">
        <f ca="1">IF(AND(ResultsInd[[#This Row],[Category]]&lt;&gt;"",ResultsInd[[#This Row],[Player A]]&lt;&gt;""),COUNTIF(INDIRECT(ResultsInd[[#This Row],[Category]]&amp;"List[Retained Player Name]"),ResultsInd[[#This Row],[Player A]]),"")</f>
        <v/>
      </c>
      <c r="Q888" s="265" t="str">
        <f ca="1">IF(AND(ResultsInd[[#This Row],[Category]]&lt;&gt;"",ResultsInd[[#This Row],[Player B]]&lt;&gt;""),COUNTIF(INDIRECT(ResultsInd[[#This Row],[Category]]&amp;"List[Retained Player Name]"),ResultsInd[[#This Row],[Player B]]),"")</f>
        <v/>
      </c>
      <c r="R8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8" s="265" t="str">
        <f>IF(ResultsInd[[#This Row],[Score_OK]],IF(ResultsInd[[#This Row],[Stage]]="Groups",ResultsInd[[#This Row],[Category]]&amp;"-"&amp;IF(ResultsInd[[#This Row],[Player B]]="","",IF(ResultsInd[[#This Row],[Score-A]]=ResultsInd[[#This Row],[Score-B]],ResultsInd[[#This Row],[Player A]],"")),""),"")</f>
        <v/>
      </c>
      <c r="T888" s="265" t="str">
        <f>IF(ResultsInd[[#This Row],[Score_OK]],IF(ResultsInd[[#This Row],[Stage]]="Groups",ResultsInd[[#This Row],[Category]]&amp;"-"&amp;IF(ResultsInd[[#This Row],[Player B]]="","",IF(ResultsInd[[#This Row],[Score-A]]=ResultsInd[[#This Row],[Score-B]],ResultsInd[[#This Row],[Player B]],"")),""),"")</f>
        <v/>
      </c>
      <c r="U8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8" s="264" t="str">
        <f>IF(ResultsInd[[#This Row],[Category]]="","",VLOOKUP(ResultsInd[[#This Row],[Stage]],$P$1:$V$9,MATCH(ResultsInd[[#This Row],[Category]],$Q$1:$V$1,0)+1,FALSE))</f>
        <v/>
      </c>
      <c r="Z888" s="264" t="str">
        <f>IF(ResultsInd[[#This Row],[Score_OK]],IF(ResultsInd[[#This Row],[Level]]="R",ResultsInd[[#This Row],[Category]]&amp;"-"&amp;IF(ResultsInd[[#This Row],[LoseInKO]]=ResultsInd[[#This Row],[Category]]&amp;"-"&amp;ResultsInd[[#This Row],[Player A]],ResultsInd[[#This Row],[Player B]],ResultsInd[[#This Row],[Player A]]),""),"")</f>
        <v/>
      </c>
      <c r="AB888" s="8"/>
      <c r="AC888" s="8"/>
      <c r="AE888" s="90"/>
      <c r="AF888" s="90"/>
      <c r="AP888" s="8"/>
      <c r="AQ888" s="8"/>
      <c r="AR888" s="8"/>
      <c r="AS888" s="8"/>
      <c r="AT888" s="8"/>
      <c r="AU888" s="8"/>
      <c r="AV888" s="8"/>
      <c r="AW888" s="8"/>
      <c r="AX888" s="8"/>
      <c r="AY888" s="90"/>
      <c r="AZ888" s="90"/>
      <c r="BA888" s="90"/>
      <c r="BB888" s="90"/>
      <c r="BC888" s="90"/>
      <c r="BD888" s="90"/>
      <c r="BE888" s="90"/>
      <c r="BF888" s="90"/>
    </row>
    <row r="889" spans="1:58" x14ac:dyDescent="0.2">
      <c r="A889" s="62"/>
      <c r="B889" s="62"/>
      <c r="C889" s="62"/>
      <c r="D889" s="62"/>
      <c r="E889" s="345"/>
      <c r="F889" s="345"/>
      <c r="G889" s="113"/>
      <c r="H889" s="113"/>
      <c r="I889" s="114"/>
      <c r="J889" s="114"/>
      <c r="K889" s="114"/>
      <c r="L889" s="81"/>
      <c r="M889" s="265" t="b">
        <f>NOT(ISERROR(ResultsInd[[#This Row],[Goal-A]]+ResultsInd[[#This Row],[Goal-B]]))</f>
        <v>1</v>
      </c>
      <c r="N889" s="265">
        <f>VALUE(ResultsInd[[#This Row],[Score-A]])</f>
        <v>0</v>
      </c>
      <c r="O889" s="265">
        <f>VALUE(ResultsInd[[#This Row],[Score-B]])</f>
        <v>0</v>
      </c>
      <c r="P889" s="265" t="str">
        <f ca="1">IF(AND(ResultsInd[[#This Row],[Category]]&lt;&gt;"",ResultsInd[[#This Row],[Player A]]&lt;&gt;""),COUNTIF(INDIRECT(ResultsInd[[#This Row],[Category]]&amp;"List[Retained Player Name]"),ResultsInd[[#This Row],[Player A]]),"")</f>
        <v/>
      </c>
      <c r="Q889" s="265" t="str">
        <f ca="1">IF(AND(ResultsInd[[#This Row],[Category]]&lt;&gt;"",ResultsInd[[#This Row],[Player B]]&lt;&gt;""),COUNTIF(INDIRECT(ResultsInd[[#This Row],[Category]]&amp;"List[Retained Player Name]"),ResultsInd[[#This Row],[Player B]]),"")</f>
        <v/>
      </c>
      <c r="R8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9" s="265" t="str">
        <f>IF(ResultsInd[[#This Row],[Score_OK]],IF(ResultsInd[[#This Row],[Stage]]="Groups",ResultsInd[[#This Row],[Category]]&amp;"-"&amp;IF(ResultsInd[[#This Row],[Player B]]="","",IF(ResultsInd[[#This Row],[Score-A]]=ResultsInd[[#This Row],[Score-B]],ResultsInd[[#This Row],[Player A]],"")),""),"")</f>
        <v/>
      </c>
      <c r="T889" s="265" t="str">
        <f>IF(ResultsInd[[#This Row],[Score_OK]],IF(ResultsInd[[#This Row],[Stage]]="Groups",ResultsInd[[#This Row],[Category]]&amp;"-"&amp;IF(ResultsInd[[#This Row],[Player B]]="","",IF(ResultsInd[[#This Row],[Score-A]]=ResultsInd[[#This Row],[Score-B]],ResultsInd[[#This Row],[Player B]],"")),""),"")</f>
        <v/>
      </c>
      <c r="U8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9" s="264" t="str">
        <f>IF(ResultsInd[[#This Row],[Category]]="","",VLOOKUP(ResultsInd[[#This Row],[Stage]],$P$1:$V$9,MATCH(ResultsInd[[#This Row],[Category]],$Q$1:$V$1,0)+1,FALSE))</f>
        <v/>
      </c>
      <c r="Z889" s="264" t="str">
        <f>IF(ResultsInd[[#This Row],[Score_OK]],IF(ResultsInd[[#This Row],[Level]]="R",ResultsInd[[#This Row],[Category]]&amp;"-"&amp;IF(ResultsInd[[#This Row],[LoseInKO]]=ResultsInd[[#This Row],[Category]]&amp;"-"&amp;ResultsInd[[#This Row],[Player A]],ResultsInd[[#This Row],[Player B]],ResultsInd[[#This Row],[Player A]]),""),"")</f>
        <v/>
      </c>
      <c r="AB889" s="8"/>
      <c r="AC889" s="8"/>
      <c r="AE889" s="90"/>
      <c r="AF889" s="90"/>
      <c r="AP889" s="8"/>
      <c r="AQ889" s="8"/>
      <c r="AR889" s="8"/>
      <c r="AS889" s="8"/>
      <c r="AT889" s="8"/>
      <c r="AU889" s="8"/>
      <c r="AV889" s="8"/>
      <c r="AW889" s="8"/>
      <c r="AX889" s="8"/>
      <c r="AY889" s="90"/>
      <c r="AZ889" s="90"/>
      <c r="BA889" s="90"/>
      <c r="BB889" s="90"/>
      <c r="BC889" s="90"/>
      <c r="BD889" s="90"/>
      <c r="BE889" s="90"/>
      <c r="BF889" s="90"/>
    </row>
    <row r="890" spans="1:58" x14ac:dyDescent="0.2">
      <c r="A890" s="62"/>
      <c r="B890" s="62"/>
      <c r="C890" s="62"/>
      <c r="D890" s="62"/>
      <c r="E890" s="345"/>
      <c r="F890" s="345"/>
      <c r="G890" s="113"/>
      <c r="H890" s="113"/>
      <c r="I890" s="114"/>
      <c r="J890" s="114"/>
      <c r="K890" s="114"/>
      <c r="L890" s="81"/>
      <c r="M890" s="265" t="b">
        <f>NOT(ISERROR(ResultsInd[[#This Row],[Goal-A]]+ResultsInd[[#This Row],[Goal-B]]))</f>
        <v>1</v>
      </c>
      <c r="N890" s="265">
        <f>VALUE(ResultsInd[[#This Row],[Score-A]])</f>
        <v>0</v>
      </c>
      <c r="O890" s="265">
        <f>VALUE(ResultsInd[[#This Row],[Score-B]])</f>
        <v>0</v>
      </c>
      <c r="P890" s="265" t="str">
        <f ca="1">IF(AND(ResultsInd[[#This Row],[Category]]&lt;&gt;"",ResultsInd[[#This Row],[Player A]]&lt;&gt;""),COUNTIF(INDIRECT(ResultsInd[[#This Row],[Category]]&amp;"List[Retained Player Name]"),ResultsInd[[#This Row],[Player A]]),"")</f>
        <v/>
      </c>
      <c r="Q890" s="265" t="str">
        <f ca="1">IF(AND(ResultsInd[[#This Row],[Category]]&lt;&gt;"",ResultsInd[[#This Row],[Player B]]&lt;&gt;""),COUNTIF(INDIRECT(ResultsInd[[#This Row],[Category]]&amp;"List[Retained Player Name]"),ResultsInd[[#This Row],[Player B]]),"")</f>
        <v/>
      </c>
      <c r="R8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0" s="265" t="str">
        <f>IF(ResultsInd[[#This Row],[Score_OK]],IF(ResultsInd[[#This Row],[Stage]]="Groups",ResultsInd[[#This Row],[Category]]&amp;"-"&amp;IF(ResultsInd[[#This Row],[Player B]]="","",IF(ResultsInd[[#This Row],[Score-A]]=ResultsInd[[#This Row],[Score-B]],ResultsInd[[#This Row],[Player A]],"")),""),"")</f>
        <v/>
      </c>
      <c r="T890" s="265" t="str">
        <f>IF(ResultsInd[[#This Row],[Score_OK]],IF(ResultsInd[[#This Row],[Stage]]="Groups",ResultsInd[[#This Row],[Category]]&amp;"-"&amp;IF(ResultsInd[[#This Row],[Player B]]="","",IF(ResultsInd[[#This Row],[Score-A]]=ResultsInd[[#This Row],[Score-B]],ResultsInd[[#This Row],[Player B]],"")),""),"")</f>
        <v/>
      </c>
      <c r="U8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0" s="264" t="str">
        <f>IF(ResultsInd[[#This Row],[Category]]="","",VLOOKUP(ResultsInd[[#This Row],[Stage]],$P$1:$V$9,MATCH(ResultsInd[[#This Row],[Category]],$Q$1:$V$1,0)+1,FALSE))</f>
        <v/>
      </c>
      <c r="Z890" s="264" t="str">
        <f>IF(ResultsInd[[#This Row],[Score_OK]],IF(ResultsInd[[#This Row],[Level]]="R",ResultsInd[[#This Row],[Category]]&amp;"-"&amp;IF(ResultsInd[[#This Row],[LoseInKO]]=ResultsInd[[#This Row],[Category]]&amp;"-"&amp;ResultsInd[[#This Row],[Player A]],ResultsInd[[#This Row],[Player B]],ResultsInd[[#This Row],[Player A]]),""),"")</f>
        <v/>
      </c>
      <c r="AB890" s="8"/>
      <c r="AC890" s="8"/>
      <c r="AE890" s="90"/>
      <c r="AF890" s="90"/>
      <c r="AP890" s="8"/>
      <c r="AQ890" s="8"/>
      <c r="AR890" s="8"/>
      <c r="AS890" s="8"/>
      <c r="AT890" s="8"/>
      <c r="AU890" s="8"/>
      <c r="AV890" s="8"/>
      <c r="AW890" s="8"/>
      <c r="AX890" s="8"/>
      <c r="AY890" s="90"/>
      <c r="AZ890" s="90"/>
      <c r="BA890" s="90"/>
      <c r="BB890" s="90"/>
      <c r="BC890" s="90"/>
      <c r="BD890" s="90"/>
      <c r="BE890" s="90"/>
      <c r="BF890" s="90"/>
    </row>
    <row r="891" spans="1:58" x14ac:dyDescent="0.2">
      <c r="A891" s="62"/>
      <c r="B891" s="62"/>
      <c r="C891" s="62"/>
      <c r="D891" s="62"/>
      <c r="E891" s="345"/>
      <c r="F891" s="345"/>
      <c r="G891" s="113"/>
      <c r="H891" s="113"/>
      <c r="I891" s="114"/>
      <c r="J891" s="114"/>
      <c r="K891" s="114"/>
      <c r="L891" s="81"/>
      <c r="M891" s="265" t="b">
        <f>NOT(ISERROR(ResultsInd[[#This Row],[Goal-A]]+ResultsInd[[#This Row],[Goal-B]]))</f>
        <v>1</v>
      </c>
      <c r="N891" s="265">
        <f>VALUE(ResultsInd[[#This Row],[Score-A]])</f>
        <v>0</v>
      </c>
      <c r="O891" s="265">
        <f>VALUE(ResultsInd[[#This Row],[Score-B]])</f>
        <v>0</v>
      </c>
      <c r="P891" s="265" t="str">
        <f ca="1">IF(AND(ResultsInd[[#This Row],[Category]]&lt;&gt;"",ResultsInd[[#This Row],[Player A]]&lt;&gt;""),COUNTIF(INDIRECT(ResultsInd[[#This Row],[Category]]&amp;"List[Retained Player Name]"),ResultsInd[[#This Row],[Player A]]),"")</f>
        <v/>
      </c>
      <c r="Q891" s="265" t="str">
        <f ca="1">IF(AND(ResultsInd[[#This Row],[Category]]&lt;&gt;"",ResultsInd[[#This Row],[Player B]]&lt;&gt;""),COUNTIF(INDIRECT(ResultsInd[[#This Row],[Category]]&amp;"List[Retained Player Name]"),ResultsInd[[#This Row],[Player B]]),"")</f>
        <v/>
      </c>
      <c r="R8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1" s="265" t="str">
        <f>IF(ResultsInd[[#This Row],[Score_OK]],IF(ResultsInd[[#This Row],[Stage]]="Groups",ResultsInd[[#This Row],[Category]]&amp;"-"&amp;IF(ResultsInd[[#This Row],[Player B]]="","",IF(ResultsInd[[#This Row],[Score-A]]=ResultsInd[[#This Row],[Score-B]],ResultsInd[[#This Row],[Player A]],"")),""),"")</f>
        <v/>
      </c>
      <c r="T891" s="265" t="str">
        <f>IF(ResultsInd[[#This Row],[Score_OK]],IF(ResultsInd[[#This Row],[Stage]]="Groups",ResultsInd[[#This Row],[Category]]&amp;"-"&amp;IF(ResultsInd[[#This Row],[Player B]]="","",IF(ResultsInd[[#This Row],[Score-A]]=ResultsInd[[#This Row],[Score-B]],ResultsInd[[#This Row],[Player B]],"")),""),"")</f>
        <v/>
      </c>
      <c r="U8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1" s="264" t="str">
        <f>IF(ResultsInd[[#This Row],[Category]]="","",VLOOKUP(ResultsInd[[#This Row],[Stage]],$P$1:$V$9,MATCH(ResultsInd[[#This Row],[Category]],$Q$1:$V$1,0)+1,FALSE))</f>
        <v/>
      </c>
      <c r="Z891" s="264" t="str">
        <f>IF(ResultsInd[[#This Row],[Score_OK]],IF(ResultsInd[[#This Row],[Level]]="R",ResultsInd[[#This Row],[Category]]&amp;"-"&amp;IF(ResultsInd[[#This Row],[LoseInKO]]=ResultsInd[[#This Row],[Category]]&amp;"-"&amp;ResultsInd[[#This Row],[Player A]],ResultsInd[[#This Row],[Player B]],ResultsInd[[#This Row],[Player A]]),""),"")</f>
        <v/>
      </c>
      <c r="AB891" s="8"/>
      <c r="AC891" s="8"/>
      <c r="AE891" s="90"/>
      <c r="AF891" s="90"/>
      <c r="AP891" s="8"/>
      <c r="AQ891" s="8"/>
      <c r="AR891" s="8"/>
      <c r="AS891" s="8"/>
      <c r="AT891" s="8"/>
      <c r="AU891" s="8"/>
      <c r="AV891" s="8"/>
      <c r="AW891" s="8"/>
      <c r="AX891" s="8"/>
      <c r="AY891" s="90"/>
      <c r="AZ891" s="90"/>
      <c r="BA891" s="90"/>
      <c r="BB891" s="90"/>
      <c r="BC891" s="90"/>
      <c r="BD891" s="90"/>
      <c r="BE891" s="90"/>
      <c r="BF891" s="90"/>
    </row>
    <row r="892" spans="1:58" x14ac:dyDescent="0.2">
      <c r="A892" s="62"/>
      <c r="B892" s="62"/>
      <c r="C892" s="62"/>
      <c r="D892" s="62"/>
      <c r="E892" s="345"/>
      <c r="F892" s="345"/>
      <c r="G892" s="113"/>
      <c r="H892" s="113"/>
      <c r="I892" s="114"/>
      <c r="J892" s="114"/>
      <c r="K892" s="114"/>
      <c r="L892" s="81"/>
      <c r="M892" s="265" t="b">
        <f>NOT(ISERROR(ResultsInd[[#This Row],[Goal-A]]+ResultsInd[[#This Row],[Goal-B]]))</f>
        <v>1</v>
      </c>
      <c r="N892" s="265">
        <f>VALUE(ResultsInd[[#This Row],[Score-A]])</f>
        <v>0</v>
      </c>
      <c r="O892" s="265">
        <f>VALUE(ResultsInd[[#This Row],[Score-B]])</f>
        <v>0</v>
      </c>
      <c r="P892" s="265" t="str">
        <f ca="1">IF(AND(ResultsInd[[#This Row],[Category]]&lt;&gt;"",ResultsInd[[#This Row],[Player A]]&lt;&gt;""),COUNTIF(INDIRECT(ResultsInd[[#This Row],[Category]]&amp;"List[Retained Player Name]"),ResultsInd[[#This Row],[Player A]]),"")</f>
        <v/>
      </c>
      <c r="Q892" s="265" t="str">
        <f ca="1">IF(AND(ResultsInd[[#This Row],[Category]]&lt;&gt;"",ResultsInd[[#This Row],[Player B]]&lt;&gt;""),COUNTIF(INDIRECT(ResultsInd[[#This Row],[Category]]&amp;"List[Retained Player Name]"),ResultsInd[[#This Row],[Player B]]),"")</f>
        <v/>
      </c>
      <c r="R8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2" s="265" t="str">
        <f>IF(ResultsInd[[#This Row],[Score_OK]],IF(ResultsInd[[#This Row],[Stage]]="Groups",ResultsInd[[#This Row],[Category]]&amp;"-"&amp;IF(ResultsInd[[#This Row],[Player B]]="","",IF(ResultsInd[[#This Row],[Score-A]]=ResultsInd[[#This Row],[Score-B]],ResultsInd[[#This Row],[Player A]],"")),""),"")</f>
        <v/>
      </c>
      <c r="T892" s="265" t="str">
        <f>IF(ResultsInd[[#This Row],[Score_OK]],IF(ResultsInd[[#This Row],[Stage]]="Groups",ResultsInd[[#This Row],[Category]]&amp;"-"&amp;IF(ResultsInd[[#This Row],[Player B]]="","",IF(ResultsInd[[#This Row],[Score-A]]=ResultsInd[[#This Row],[Score-B]],ResultsInd[[#This Row],[Player B]],"")),""),"")</f>
        <v/>
      </c>
      <c r="U8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2" s="264" t="str">
        <f>IF(ResultsInd[[#This Row],[Category]]="","",VLOOKUP(ResultsInd[[#This Row],[Stage]],$P$1:$V$9,MATCH(ResultsInd[[#This Row],[Category]],$Q$1:$V$1,0)+1,FALSE))</f>
        <v/>
      </c>
      <c r="Z892" s="264" t="str">
        <f>IF(ResultsInd[[#This Row],[Score_OK]],IF(ResultsInd[[#This Row],[Level]]="R",ResultsInd[[#This Row],[Category]]&amp;"-"&amp;IF(ResultsInd[[#This Row],[LoseInKO]]=ResultsInd[[#This Row],[Category]]&amp;"-"&amp;ResultsInd[[#This Row],[Player A]],ResultsInd[[#This Row],[Player B]],ResultsInd[[#This Row],[Player A]]),""),"")</f>
        <v/>
      </c>
      <c r="AB892" s="8"/>
      <c r="AC892" s="8"/>
      <c r="AE892" s="90"/>
      <c r="AF892" s="90"/>
      <c r="AP892" s="8"/>
      <c r="AQ892" s="8"/>
      <c r="AR892" s="8"/>
      <c r="AS892" s="8"/>
      <c r="AT892" s="8"/>
      <c r="AU892" s="8"/>
      <c r="AV892" s="8"/>
      <c r="AW892" s="8"/>
      <c r="AX892" s="8"/>
      <c r="AY892" s="90"/>
      <c r="AZ892" s="90"/>
      <c r="BA892" s="90"/>
      <c r="BB892" s="90"/>
      <c r="BC892" s="90"/>
      <c r="BD892" s="90"/>
      <c r="BE892" s="90"/>
      <c r="BF892" s="90"/>
    </row>
    <row r="893" spans="1:58" x14ac:dyDescent="0.2">
      <c r="A893" s="62"/>
      <c r="B893" s="62"/>
      <c r="C893" s="62"/>
      <c r="D893" s="62"/>
      <c r="E893" s="345"/>
      <c r="F893" s="345"/>
      <c r="G893" s="113"/>
      <c r="H893" s="113"/>
      <c r="I893" s="114"/>
      <c r="J893" s="114"/>
      <c r="K893" s="114"/>
      <c r="L893" s="81"/>
      <c r="M893" s="265" t="b">
        <f>NOT(ISERROR(ResultsInd[[#This Row],[Goal-A]]+ResultsInd[[#This Row],[Goal-B]]))</f>
        <v>1</v>
      </c>
      <c r="N893" s="265">
        <f>VALUE(ResultsInd[[#This Row],[Score-A]])</f>
        <v>0</v>
      </c>
      <c r="O893" s="265">
        <f>VALUE(ResultsInd[[#This Row],[Score-B]])</f>
        <v>0</v>
      </c>
      <c r="P893" s="265" t="str">
        <f ca="1">IF(AND(ResultsInd[[#This Row],[Category]]&lt;&gt;"",ResultsInd[[#This Row],[Player A]]&lt;&gt;""),COUNTIF(INDIRECT(ResultsInd[[#This Row],[Category]]&amp;"List[Retained Player Name]"),ResultsInd[[#This Row],[Player A]]),"")</f>
        <v/>
      </c>
      <c r="Q893" s="265" t="str">
        <f ca="1">IF(AND(ResultsInd[[#This Row],[Category]]&lt;&gt;"",ResultsInd[[#This Row],[Player B]]&lt;&gt;""),COUNTIF(INDIRECT(ResultsInd[[#This Row],[Category]]&amp;"List[Retained Player Name]"),ResultsInd[[#This Row],[Player B]]),"")</f>
        <v/>
      </c>
      <c r="R8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3" s="265" t="str">
        <f>IF(ResultsInd[[#This Row],[Score_OK]],IF(ResultsInd[[#This Row],[Stage]]="Groups",ResultsInd[[#This Row],[Category]]&amp;"-"&amp;IF(ResultsInd[[#This Row],[Player B]]="","",IF(ResultsInd[[#This Row],[Score-A]]=ResultsInd[[#This Row],[Score-B]],ResultsInd[[#This Row],[Player A]],"")),""),"")</f>
        <v/>
      </c>
      <c r="T893" s="265" t="str">
        <f>IF(ResultsInd[[#This Row],[Score_OK]],IF(ResultsInd[[#This Row],[Stage]]="Groups",ResultsInd[[#This Row],[Category]]&amp;"-"&amp;IF(ResultsInd[[#This Row],[Player B]]="","",IF(ResultsInd[[#This Row],[Score-A]]=ResultsInd[[#This Row],[Score-B]],ResultsInd[[#This Row],[Player B]],"")),""),"")</f>
        <v/>
      </c>
      <c r="U8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3" s="264" t="str">
        <f>IF(ResultsInd[[#This Row],[Category]]="","",VLOOKUP(ResultsInd[[#This Row],[Stage]],$P$1:$V$9,MATCH(ResultsInd[[#This Row],[Category]],$Q$1:$V$1,0)+1,FALSE))</f>
        <v/>
      </c>
      <c r="Z893" s="264" t="str">
        <f>IF(ResultsInd[[#This Row],[Score_OK]],IF(ResultsInd[[#This Row],[Level]]="R",ResultsInd[[#This Row],[Category]]&amp;"-"&amp;IF(ResultsInd[[#This Row],[LoseInKO]]=ResultsInd[[#This Row],[Category]]&amp;"-"&amp;ResultsInd[[#This Row],[Player A]],ResultsInd[[#This Row],[Player B]],ResultsInd[[#This Row],[Player A]]),""),"")</f>
        <v/>
      </c>
      <c r="AB893" s="8"/>
      <c r="AC893" s="8"/>
      <c r="AE893" s="90"/>
      <c r="AF893" s="90"/>
      <c r="AP893" s="8"/>
      <c r="AQ893" s="8"/>
      <c r="AR893" s="8"/>
      <c r="AS893" s="8"/>
      <c r="AT893" s="8"/>
      <c r="AU893" s="8"/>
      <c r="AV893" s="8"/>
      <c r="AW893" s="8"/>
      <c r="AX893" s="8"/>
      <c r="AY893" s="90"/>
      <c r="AZ893" s="90"/>
      <c r="BA893" s="90"/>
      <c r="BB893" s="90"/>
      <c r="BC893" s="90"/>
      <c r="BD893" s="90"/>
      <c r="BE893" s="90"/>
      <c r="BF893" s="90"/>
    </row>
    <row r="894" spans="1:58" x14ac:dyDescent="0.2">
      <c r="A894" s="62"/>
      <c r="B894" s="62"/>
      <c r="C894" s="62"/>
      <c r="D894" s="62"/>
      <c r="E894" s="345"/>
      <c r="F894" s="345"/>
      <c r="G894" s="113"/>
      <c r="H894" s="113"/>
      <c r="I894" s="114"/>
      <c r="J894" s="114"/>
      <c r="K894" s="114"/>
      <c r="L894" s="81"/>
      <c r="M894" s="265" t="b">
        <f>NOT(ISERROR(ResultsInd[[#This Row],[Goal-A]]+ResultsInd[[#This Row],[Goal-B]]))</f>
        <v>1</v>
      </c>
      <c r="N894" s="265">
        <f>VALUE(ResultsInd[[#This Row],[Score-A]])</f>
        <v>0</v>
      </c>
      <c r="O894" s="265">
        <f>VALUE(ResultsInd[[#This Row],[Score-B]])</f>
        <v>0</v>
      </c>
      <c r="P894" s="265" t="str">
        <f ca="1">IF(AND(ResultsInd[[#This Row],[Category]]&lt;&gt;"",ResultsInd[[#This Row],[Player A]]&lt;&gt;""),COUNTIF(INDIRECT(ResultsInd[[#This Row],[Category]]&amp;"List[Retained Player Name]"),ResultsInd[[#This Row],[Player A]]),"")</f>
        <v/>
      </c>
      <c r="Q894" s="265" t="str">
        <f ca="1">IF(AND(ResultsInd[[#This Row],[Category]]&lt;&gt;"",ResultsInd[[#This Row],[Player B]]&lt;&gt;""),COUNTIF(INDIRECT(ResultsInd[[#This Row],[Category]]&amp;"List[Retained Player Name]"),ResultsInd[[#This Row],[Player B]]),"")</f>
        <v/>
      </c>
      <c r="R8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4" s="265" t="str">
        <f>IF(ResultsInd[[#This Row],[Score_OK]],IF(ResultsInd[[#This Row],[Stage]]="Groups",ResultsInd[[#This Row],[Category]]&amp;"-"&amp;IF(ResultsInd[[#This Row],[Player B]]="","",IF(ResultsInd[[#This Row],[Score-A]]=ResultsInd[[#This Row],[Score-B]],ResultsInd[[#This Row],[Player A]],"")),""),"")</f>
        <v/>
      </c>
      <c r="T894" s="265" t="str">
        <f>IF(ResultsInd[[#This Row],[Score_OK]],IF(ResultsInd[[#This Row],[Stage]]="Groups",ResultsInd[[#This Row],[Category]]&amp;"-"&amp;IF(ResultsInd[[#This Row],[Player B]]="","",IF(ResultsInd[[#This Row],[Score-A]]=ResultsInd[[#This Row],[Score-B]],ResultsInd[[#This Row],[Player B]],"")),""),"")</f>
        <v/>
      </c>
      <c r="U8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4" s="264" t="str">
        <f>IF(ResultsInd[[#This Row],[Category]]="","",VLOOKUP(ResultsInd[[#This Row],[Stage]],$P$1:$V$9,MATCH(ResultsInd[[#This Row],[Category]],$Q$1:$V$1,0)+1,FALSE))</f>
        <v/>
      </c>
      <c r="Z894" s="264" t="str">
        <f>IF(ResultsInd[[#This Row],[Score_OK]],IF(ResultsInd[[#This Row],[Level]]="R",ResultsInd[[#This Row],[Category]]&amp;"-"&amp;IF(ResultsInd[[#This Row],[LoseInKO]]=ResultsInd[[#This Row],[Category]]&amp;"-"&amp;ResultsInd[[#This Row],[Player A]],ResultsInd[[#This Row],[Player B]],ResultsInd[[#This Row],[Player A]]),""),"")</f>
        <v/>
      </c>
      <c r="AB894" s="8"/>
      <c r="AC894" s="8"/>
      <c r="AE894" s="90"/>
      <c r="AF894" s="90"/>
      <c r="AP894" s="8"/>
      <c r="AQ894" s="8"/>
      <c r="AR894" s="8"/>
      <c r="AS894" s="8"/>
      <c r="AT894" s="8"/>
      <c r="AU894" s="8"/>
      <c r="AV894" s="8"/>
      <c r="AW894" s="8"/>
      <c r="AX894" s="8"/>
      <c r="AY894" s="90"/>
      <c r="AZ894" s="90"/>
      <c r="BA894" s="90"/>
      <c r="BB894" s="90"/>
      <c r="BC894" s="90"/>
      <c r="BD894" s="90"/>
      <c r="BE894" s="90"/>
      <c r="BF894" s="90"/>
    </row>
    <row r="895" spans="1:58" x14ac:dyDescent="0.2">
      <c r="A895" s="62"/>
      <c r="B895" s="62"/>
      <c r="C895" s="62"/>
      <c r="D895" s="62"/>
      <c r="E895" s="345"/>
      <c r="F895" s="345"/>
      <c r="G895" s="113"/>
      <c r="H895" s="113"/>
      <c r="I895" s="114"/>
      <c r="J895" s="114"/>
      <c r="K895" s="114"/>
      <c r="L895" s="81"/>
      <c r="M895" s="265" t="b">
        <f>NOT(ISERROR(ResultsInd[[#This Row],[Goal-A]]+ResultsInd[[#This Row],[Goal-B]]))</f>
        <v>1</v>
      </c>
      <c r="N895" s="265">
        <f>VALUE(ResultsInd[[#This Row],[Score-A]])</f>
        <v>0</v>
      </c>
      <c r="O895" s="265">
        <f>VALUE(ResultsInd[[#This Row],[Score-B]])</f>
        <v>0</v>
      </c>
      <c r="P895" s="265" t="str">
        <f ca="1">IF(AND(ResultsInd[[#This Row],[Category]]&lt;&gt;"",ResultsInd[[#This Row],[Player A]]&lt;&gt;""),COUNTIF(INDIRECT(ResultsInd[[#This Row],[Category]]&amp;"List[Retained Player Name]"),ResultsInd[[#This Row],[Player A]]),"")</f>
        <v/>
      </c>
      <c r="Q895" s="265" t="str">
        <f ca="1">IF(AND(ResultsInd[[#This Row],[Category]]&lt;&gt;"",ResultsInd[[#This Row],[Player B]]&lt;&gt;""),COUNTIF(INDIRECT(ResultsInd[[#This Row],[Category]]&amp;"List[Retained Player Name]"),ResultsInd[[#This Row],[Player B]]),"")</f>
        <v/>
      </c>
      <c r="R8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5" s="265" t="str">
        <f>IF(ResultsInd[[#This Row],[Score_OK]],IF(ResultsInd[[#This Row],[Stage]]="Groups",ResultsInd[[#This Row],[Category]]&amp;"-"&amp;IF(ResultsInd[[#This Row],[Player B]]="","",IF(ResultsInd[[#This Row],[Score-A]]=ResultsInd[[#This Row],[Score-B]],ResultsInd[[#This Row],[Player A]],"")),""),"")</f>
        <v/>
      </c>
      <c r="T895" s="265" t="str">
        <f>IF(ResultsInd[[#This Row],[Score_OK]],IF(ResultsInd[[#This Row],[Stage]]="Groups",ResultsInd[[#This Row],[Category]]&amp;"-"&amp;IF(ResultsInd[[#This Row],[Player B]]="","",IF(ResultsInd[[#This Row],[Score-A]]=ResultsInd[[#This Row],[Score-B]],ResultsInd[[#This Row],[Player B]],"")),""),"")</f>
        <v/>
      </c>
      <c r="U8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5" s="264" t="str">
        <f>IF(ResultsInd[[#This Row],[Category]]="","",VLOOKUP(ResultsInd[[#This Row],[Stage]],$P$1:$V$9,MATCH(ResultsInd[[#This Row],[Category]],$Q$1:$V$1,0)+1,FALSE))</f>
        <v/>
      </c>
      <c r="Z895" s="264" t="str">
        <f>IF(ResultsInd[[#This Row],[Score_OK]],IF(ResultsInd[[#This Row],[Level]]="R",ResultsInd[[#This Row],[Category]]&amp;"-"&amp;IF(ResultsInd[[#This Row],[LoseInKO]]=ResultsInd[[#This Row],[Category]]&amp;"-"&amp;ResultsInd[[#This Row],[Player A]],ResultsInd[[#This Row],[Player B]],ResultsInd[[#This Row],[Player A]]),""),"")</f>
        <v/>
      </c>
      <c r="AB895" s="8"/>
      <c r="AC895" s="8"/>
      <c r="AE895" s="90"/>
      <c r="AF895" s="90"/>
      <c r="AP895" s="8"/>
      <c r="AQ895" s="8"/>
      <c r="AR895" s="8"/>
      <c r="AS895" s="8"/>
      <c r="AT895" s="8"/>
      <c r="AU895" s="8"/>
      <c r="AV895" s="8"/>
      <c r="AW895" s="8"/>
      <c r="AX895" s="8"/>
      <c r="AY895" s="90"/>
      <c r="AZ895" s="90"/>
      <c r="BA895" s="90"/>
      <c r="BB895" s="90"/>
      <c r="BC895" s="90"/>
      <c r="BD895" s="90"/>
      <c r="BE895" s="90"/>
      <c r="BF895" s="90"/>
    </row>
    <row r="896" spans="1:58" x14ac:dyDescent="0.2">
      <c r="A896" s="62"/>
      <c r="B896" s="62"/>
      <c r="C896" s="62"/>
      <c r="D896" s="62"/>
      <c r="E896" s="345"/>
      <c r="F896" s="345"/>
      <c r="G896" s="113"/>
      <c r="H896" s="113"/>
      <c r="I896" s="114"/>
      <c r="J896" s="114"/>
      <c r="K896" s="114"/>
      <c r="L896" s="81"/>
      <c r="M896" s="265" t="b">
        <f>NOT(ISERROR(ResultsInd[[#This Row],[Goal-A]]+ResultsInd[[#This Row],[Goal-B]]))</f>
        <v>1</v>
      </c>
      <c r="N896" s="265">
        <f>VALUE(ResultsInd[[#This Row],[Score-A]])</f>
        <v>0</v>
      </c>
      <c r="O896" s="265">
        <f>VALUE(ResultsInd[[#This Row],[Score-B]])</f>
        <v>0</v>
      </c>
      <c r="P896" s="265" t="str">
        <f ca="1">IF(AND(ResultsInd[[#This Row],[Category]]&lt;&gt;"",ResultsInd[[#This Row],[Player A]]&lt;&gt;""),COUNTIF(INDIRECT(ResultsInd[[#This Row],[Category]]&amp;"List[Retained Player Name]"),ResultsInd[[#This Row],[Player A]]),"")</f>
        <v/>
      </c>
      <c r="Q896" s="265" t="str">
        <f ca="1">IF(AND(ResultsInd[[#This Row],[Category]]&lt;&gt;"",ResultsInd[[#This Row],[Player B]]&lt;&gt;""),COUNTIF(INDIRECT(ResultsInd[[#This Row],[Category]]&amp;"List[Retained Player Name]"),ResultsInd[[#This Row],[Player B]]),"")</f>
        <v/>
      </c>
      <c r="R8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6" s="265" t="str">
        <f>IF(ResultsInd[[#This Row],[Score_OK]],IF(ResultsInd[[#This Row],[Stage]]="Groups",ResultsInd[[#This Row],[Category]]&amp;"-"&amp;IF(ResultsInd[[#This Row],[Player B]]="","",IF(ResultsInd[[#This Row],[Score-A]]=ResultsInd[[#This Row],[Score-B]],ResultsInd[[#This Row],[Player A]],"")),""),"")</f>
        <v/>
      </c>
      <c r="T896" s="265" t="str">
        <f>IF(ResultsInd[[#This Row],[Score_OK]],IF(ResultsInd[[#This Row],[Stage]]="Groups",ResultsInd[[#This Row],[Category]]&amp;"-"&amp;IF(ResultsInd[[#This Row],[Player B]]="","",IF(ResultsInd[[#This Row],[Score-A]]=ResultsInd[[#This Row],[Score-B]],ResultsInd[[#This Row],[Player B]],"")),""),"")</f>
        <v/>
      </c>
      <c r="U8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6" s="264" t="str">
        <f>IF(ResultsInd[[#This Row],[Category]]="","",VLOOKUP(ResultsInd[[#This Row],[Stage]],$P$1:$V$9,MATCH(ResultsInd[[#This Row],[Category]],$Q$1:$V$1,0)+1,FALSE))</f>
        <v/>
      </c>
      <c r="Z896" s="264" t="str">
        <f>IF(ResultsInd[[#This Row],[Score_OK]],IF(ResultsInd[[#This Row],[Level]]="R",ResultsInd[[#This Row],[Category]]&amp;"-"&amp;IF(ResultsInd[[#This Row],[LoseInKO]]=ResultsInd[[#This Row],[Category]]&amp;"-"&amp;ResultsInd[[#This Row],[Player A]],ResultsInd[[#This Row],[Player B]],ResultsInd[[#This Row],[Player A]]),""),"")</f>
        <v/>
      </c>
      <c r="AB896" s="8"/>
      <c r="AC896" s="8"/>
      <c r="AE896" s="90"/>
      <c r="AF896" s="90"/>
      <c r="AP896" s="8"/>
      <c r="AQ896" s="8"/>
      <c r="AR896" s="8"/>
      <c r="AS896" s="8"/>
      <c r="AT896" s="8"/>
      <c r="AU896" s="8"/>
      <c r="AV896" s="8"/>
      <c r="AW896" s="8"/>
      <c r="AX896" s="8"/>
      <c r="AY896" s="90"/>
      <c r="AZ896" s="90"/>
      <c r="BA896" s="90"/>
      <c r="BB896" s="90"/>
      <c r="BC896" s="90"/>
      <c r="BD896" s="90"/>
      <c r="BE896" s="90"/>
      <c r="BF896" s="90"/>
    </row>
    <row r="897" spans="1:58" x14ac:dyDescent="0.2">
      <c r="A897" s="62"/>
      <c r="B897" s="62"/>
      <c r="C897" s="62"/>
      <c r="D897" s="62"/>
      <c r="E897" s="345"/>
      <c r="F897" s="345"/>
      <c r="G897" s="113"/>
      <c r="H897" s="113"/>
      <c r="I897" s="114"/>
      <c r="J897" s="114"/>
      <c r="K897" s="114"/>
      <c r="L897" s="81"/>
      <c r="M897" s="265" t="b">
        <f>NOT(ISERROR(ResultsInd[[#This Row],[Goal-A]]+ResultsInd[[#This Row],[Goal-B]]))</f>
        <v>1</v>
      </c>
      <c r="N897" s="265">
        <f>VALUE(ResultsInd[[#This Row],[Score-A]])</f>
        <v>0</v>
      </c>
      <c r="O897" s="265">
        <f>VALUE(ResultsInd[[#This Row],[Score-B]])</f>
        <v>0</v>
      </c>
      <c r="P897" s="265" t="str">
        <f ca="1">IF(AND(ResultsInd[[#This Row],[Category]]&lt;&gt;"",ResultsInd[[#This Row],[Player A]]&lt;&gt;""),COUNTIF(INDIRECT(ResultsInd[[#This Row],[Category]]&amp;"List[Retained Player Name]"),ResultsInd[[#This Row],[Player A]]),"")</f>
        <v/>
      </c>
      <c r="Q897" s="265" t="str">
        <f ca="1">IF(AND(ResultsInd[[#This Row],[Category]]&lt;&gt;"",ResultsInd[[#This Row],[Player B]]&lt;&gt;""),COUNTIF(INDIRECT(ResultsInd[[#This Row],[Category]]&amp;"List[Retained Player Name]"),ResultsInd[[#This Row],[Player B]]),"")</f>
        <v/>
      </c>
      <c r="R8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7" s="265" t="str">
        <f>IF(ResultsInd[[#This Row],[Score_OK]],IF(ResultsInd[[#This Row],[Stage]]="Groups",ResultsInd[[#This Row],[Category]]&amp;"-"&amp;IF(ResultsInd[[#This Row],[Player B]]="","",IF(ResultsInd[[#This Row],[Score-A]]=ResultsInd[[#This Row],[Score-B]],ResultsInd[[#This Row],[Player A]],"")),""),"")</f>
        <v/>
      </c>
      <c r="T897" s="265" t="str">
        <f>IF(ResultsInd[[#This Row],[Score_OK]],IF(ResultsInd[[#This Row],[Stage]]="Groups",ResultsInd[[#This Row],[Category]]&amp;"-"&amp;IF(ResultsInd[[#This Row],[Player B]]="","",IF(ResultsInd[[#This Row],[Score-A]]=ResultsInd[[#This Row],[Score-B]],ResultsInd[[#This Row],[Player B]],"")),""),"")</f>
        <v/>
      </c>
      <c r="U8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7" s="264" t="str">
        <f>IF(ResultsInd[[#This Row],[Category]]="","",VLOOKUP(ResultsInd[[#This Row],[Stage]],$P$1:$V$9,MATCH(ResultsInd[[#This Row],[Category]],$Q$1:$V$1,0)+1,FALSE))</f>
        <v/>
      </c>
      <c r="Z897" s="264" t="str">
        <f>IF(ResultsInd[[#This Row],[Score_OK]],IF(ResultsInd[[#This Row],[Level]]="R",ResultsInd[[#This Row],[Category]]&amp;"-"&amp;IF(ResultsInd[[#This Row],[LoseInKO]]=ResultsInd[[#This Row],[Category]]&amp;"-"&amp;ResultsInd[[#This Row],[Player A]],ResultsInd[[#This Row],[Player B]],ResultsInd[[#This Row],[Player A]]),""),"")</f>
        <v/>
      </c>
      <c r="AB897" s="8"/>
      <c r="AC897" s="8"/>
      <c r="AE897" s="90"/>
      <c r="AF897" s="90"/>
      <c r="AP897" s="8"/>
      <c r="AQ897" s="8"/>
      <c r="AR897" s="8"/>
      <c r="AS897" s="8"/>
      <c r="AT897" s="8"/>
      <c r="AU897" s="8"/>
      <c r="AV897" s="8"/>
      <c r="AW897" s="8"/>
      <c r="AX897" s="8"/>
      <c r="AY897" s="90"/>
      <c r="AZ897" s="90"/>
      <c r="BA897" s="90"/>
      <c r="BB897" s="90"/>
      <c r="BC897" s="90"/>
      <c r="BD897" s="90"/>
      <c r="BE897" s="90"/>
      <c r="BF897" s="90"/>
    </row>
    <row r="898" spans="1:58" x14ac:dyDescent="0.2">
      <c r="A898" s="62"/>
      <c r="B898" s="62"/>
      <c r="C898" s="62"/>
      <c r="D898" s="62"/>
      <c r="E898" s="345"/>
      <c r="F898" s="345"/>
      <c r="G898" s="113"/>
      <c r="H898" s="113"/>
      <c r="I898" s="114"/>
      <c r="J898" s="114"/>
      <c r="K898" s="114"/>
      <c r="L898" s="81"/>
      <c r="M898" s="265" t="b">
        <f>NOT(ISERROR(ResultsInd[[#This Row],[Goal-A]]+ResultsInd[[#This Row],[Goal-B]]))</f>
        <v>1</v>
      </c>
      <c r="N898" s="265">
        <f>VALUE(ResultsInd[[#This Row],[Score-A]])</f>
        <v>0</v>
      </c>
      <c r="O898" s="265">
        <f>VALUE(ResultsInd[[#This Row],[Score-B]])</f>
        <v>0</v>
      </c>
      <c r="P898" s="265" t="str">
        <f ca="1">IF(AND(ResultsInd[[#This Row],[Category]]&lt;&gt;"",ResultsInd[[#This Row],[Player A]]&lt;&gt;""),COUNTIF(INDIRECT(ResultsInd[[#This Row],[Category]]&amp;"List[Retained Player Name]"),ResultsInd[[#This Row],[Player A]]),"")</f>
        <v/>
      </c>
      <c r="Q898" s="265" t="str">
        <f ca="1">IF(AND(ResultsInd[[#This Row],[Category]]&lt;&gt;"",ResultsInd[[#This Row],[Player B]]&lt;&gt;""),COUNTIF(INDIRECT(ResultsInd[[#This Row],[Category]]&amp;"List[Retained Player Name]"),ResultsInd[[#This Row],[Player B]]),"")</f>
        <v/>
      </c>
      <c r="R8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8" s="265" t="str">
        <f>IF(ResultsInd[[#This Row],[Score_OK]],IF(ResultsInd[[#This Row],[Stage]]="Groups",ResultsInd[[#This Row],[Category]]&amp;"-"&amp;IF(ResultsInd[[#This Row],[Player B]]="","",IF(ResultsInd[[#This Row],[Score-A]]=ResultsInd[[#This Row],[Score-B]],ResultsInd[[#This Row],[Player A]],"")),""),"")</f>
        <v/>
      </c>
      <c r="T898" s="265" t="str">
        <f>IF(ResultsInd[[#This Row],[Score_OK]],IF(ResultsInd[[#This Row],[Stage]]="Groups",ResultsInd[[#This Row],[Category]]&amp;"-"&amp;IF(ResultsInd[[#This Row],[Player B]]="","",IF(ResultsInd[[#This Row],[Score-A]]=ResultsInd[[#This Row],[Score-B]],ResultsInd[[#This Row],[Player B]],"")),""),"")</f>
        <v/>
      </c>
      <c r="U8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8" s="264" t="str">
        <f>IF(ResultsInd[[#This Row],[Category]]="","",VLOOKUP(ResultsInd[[#This Row],[Stage]],$P$1:$V$9,MATCH(ResultsInd[[#This Row],[Category]],$Q$1:$V$1,0)+1,FALSE))</f>
        <v/>
      </c>
      <c r="Z898" s="264" t="str">
        <f>IF(ResultsInd[[#This Row],[Score_OK]],IF(ResultsInd[[#This Row],[Level]]="R",ResultsInd[[#This Row],[Category]]&amp;"-"&amp;IF(ResultsInd[[#This Row],[LoseInKO]]=ResultsInd[[#This Row],[Category]]&amp;"-"&amp;ResultsInd[[#This Row],[Player A]],ResultsInd[[#This Row],[Player B]],ResultsInd[[#This Row],[Player A]]),""),"")</f>
        <v/>
      </c>
      <c r="AB898" s="8"/>
      <c r="AC898" s="8"/>
      <c r="AE898" s="90"/>
      <c r="AF898" s="90"/>
      <c r="AP898" s="8"/>
      <c r="AQ898" s="8"/>
      <c r="AR898" s="8"/>
      <c r="AS898" s="8"/>
      <c r="AT898" s="8"/>
      <c r="AU898" s="8"/>
      <c r="AV898" s="8"/>
      <c r="AW898" s="8"/>
      <c r="AX898" s="8"/>
      <c r="AY898" s="90"/>
      <c r="AZ898" s="90"/>
      <c r="BA898" s="90"/>
      <c r="BB898" s="90"/>
      <c r="BC898" s="90"/>
      <c r="BD898" s="90"/>
      <c r="BE898" s="90"/>
      <c r="BF898" s="90"/>
    </row>
    <row r="899" spans="1:58" x14ac:dyDescent="0.2">
      <c r="A899" s="62"/>
      <c r="B899" s="62"/>
      <c r="C899" s="62"/>
      <c r="D899" s="62"/>
      <c r="E899" s="345"/>
      <c r="F899" s="345"/>
      <c r="G899" s="113"/>
      <c r="H899" s="113"/>
      <c r="I899" s="114"/>
      <c r="J899" s="114"/>
      <c r="K899" s="114"/>
      <c r="L899" s="81"/>
      <c r="M899" s="265" t="b">
        <f>NOT(ISERROR(ResultsInd[[#This Row],[Goal-A]]+ResultsInd[[#This Row],[Goal-B]]))</f>
        <v>1</v>
      </c>
      <c r="N899" s="265">
        <f>VALUE(ResultsInd[[#This Row],[Score-A]])</f>
        <v>0</v>
      </c>
      <c r="O899" s="265">
        <f>VALUE(ResultsInd[[#This Row],[Score-B]])</f>
        <v>0</v>
      </c>
      <c r="P899" s="265" t="str">
        <f ca="1">IF(AND(ResultsInd[[#This Row],[Category]]&lt;&gt;"",ResultsInd[[#This Row],[Player A]]&lt;&gt;""),COUNTIF(INDIRECT(ResultsInd[[#This Row],[Category]]&amp;"List[Retained Player Name]"),ResultsInd[[#This Row],[Player A]]),"")</f>
        <v/>
      </c>
      <c r="Q899" s="265" t="str">
        <f ca="1">IF(AND(ResultsInd[[#This Row],[Category]]&lt;&gt;"",ResultsInd[[#This Row],[Player B]]&lt;&gt;""),COUNTIF(INDIRECT(ResultsInd[[#This Row],[Category]]&amp;"List[Retained Player Name]"),ResultsInd[[#This Row],[Player B]]),"")</f>
        <v/>
      </c>
      <c r="R8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9" s="265" t="str">
        <f>IF(ResultsInd[[#This Row],[Score_OK]],IF(ResultsInd[[#This Row],[Stage]]="Groups",ResultsInd[[#This Row],[Category]]&amp;"-"&amp;IF(ResultsInd[[#This Row],[Player B]]="","",IF(ResultsInd[[#This Row],[Score-A]]=ResultsInd[[#This Row],[Score-B]],ResultsInd[[#This Row],[Player A]],"")),""),"")</f>
        <v/>
      </c>
      <c r="T899" s="265" t="str">
        <f>IF(ResultsInd[[#This Row],[Score_OK]],IF(ResultsInd[[#This Row],[Stage]]="Groups",ResultsInd[[#This Row],[Category]]&amp;"-"&amp;IF(ResultsInd[[#This Row],[Player B]]="","",IF(ResultsInd[[#This Row],[Score-A]]=ResultsInd[[#This Row],[Score-B]],ResultsInd[[#This Row],[Player B]],"")),""),"")</f>
        <v/>
      </c>
      <c r="U8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9" s="264" t="str">
        <f>IF(ResultsInd[[#This Row],[Category]]="","",VLOOKUP(ResultsInd[[#This Row],[Stage]],$P$1:$V$9,MATCH(ResultsInd[[#This Row],[Category]],$Q$1:$V$1,0)+1,FALSE))</f>
        <v/>
      </c>
      <c r="Z899" s="264" t="str">
        <f>IF(ResultsInd[[#This Row],[Score_OK]],IF(ResultsInd[[#This Row],[Level]]="R",ResultsInd[[#This Row],[Category]]&amp;"-"&amp;IF(ResultsInd[[#This Row],[LoseInKO]]=ResultsInd[[#This Row],[Category]]&amp;"-"&amp;ResultsInd[[#This Row],[Player A]],ResultsInd[[#This Row],[Player B]],ResultsInd[[#This Row],[Player A]]),""),"")</f>
        <v/>
      </c>
      <c r="AB899" s="8"/>
      <c r="AC899" s="8"/>
      <c r="AE899" s="90"/>
      <c r="AF899" s="90"/>
      <c r="AP899" s="8"/>
      <c r="AQ899" s="8"/>
      <c r="AR899" s="8"/>
      <c r="AS899" s="8"/>
      <c r="AT899" s="8"/>
      <c r="AU899" s="8"/>
      <c r="AV899" s="8"/>
      <c r="AW899" s="8"/>
      <c r="AX899" s="8"/>
      <c r="AY899" s="90"/>
      <c r="AZ899" s="90"/>
      <c r="BA899" s="90"/>
      <c r="BB899" s="90"/>
      <c r="BC899" s="90"/>
      <c r="BD899" s="90"/>
      <c r="BE899" s="90"/>
      <c r="BF899" s="90"/>
    </row>
    <row r="900" spans="1:58" x14ac:dyDescent="0.2">
      <c r="A900" s="62"/>
      <c r="B900" s="62"/>
      <c r="C900" s="62"/>
      <c r="D900" s="62"/>
      <c r="E900" s="345"/>
      <c r="F900" s="345"/>
      <c r="G900" s="113"/>
      <c r="H900" s="113"/>
      <c r="I900" s="114"/>
      <c r="J900" s="114"/>
      <c r="K900" s="114"/>
      <c r="L900" s="81"/>
      <c r="M900" s="265" t="b">
        <f>NOT(ISERROR(ResultsInd[[#This Row],[Goal-A]]+ResultsInd[[#This Row],[Goal-B]]))</f>
        <v>1</v>
      </c>
      <c r="N900" s="265">
        <f>VALUE(ResultsInd[[#This Row],[Score-A]])</f>
        <v>0</v>
      </c>
      <c r="O900" s="265">
        <f>VALUE(ResultsInd[[#This Row],[Score-B]])</f>
        <v>0</v>
      </c>
      <c r="P900" s="265" t="str">
        <f ca="1">IF(AND(ResultsInd[[#This Row],[Category]]&lt;&gt;"",ResultsInd[[#This Row],[Player A]]&lt;&gt;""),COUNTIF(INDIRECT(ResultsInd[[#This Row],[Category]]&amp;"List[Retained Player Name]"),ResultsInd[[#This Row],[Player A]]),"")</f>
        <v/>
      </c>
      <c r="Q900" s="265" t="str">
        <f ca="1">IF(AND(ResultsInd[[#This Row],[Category]]&lt;&gt;"",ResultsInd[[#This Row],[Player B]]&lt;&gt;""),COUNTIF(INDIRECT(ResultsInd[[#This Row],[Category]]&amp;"List[Retained Player Name]"),ResultsInd[[#This Row],[Player B]]),"")</f>
        <v/>
      </c>
      <c r="R9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0" s="265" t="str">
        <f>IF(ResultsInd[[#This Row],[Score_OK]],IF(ResultsInd[[#This Row],[Stage]]="Groups",ResultsInd[[#This Row],[Category]]&amp;"-"&amp;IF(ResultsInd[[#This Row],[Player B]]="","",IF(ResultsInd[[#This Row],[Score-A]]=ResultsInd[[#This Row],[Score-B]],ResultsInd[[#This Row],[Player A]],"")),""),"")</f>
        <v/>
      </c>
      <c r="T900" s="265" t="str">
        <f>IF(ResultsInd[[#This Row],[Score_OK]],IF(ResultsInd[[#This Row],[Stage]]="Groups",ResultsInd[[#This Row],[Category]]&amp;"-"&amp;IF(ResultsInd[[#This Row],[Player B]]="","",IF(ResultsInd[[#This Row],[Score-A]]=ResultsInd[[#This Row],[Score-B]],ResultsInd[[#This Row],[Player B]],"")),""),"")</f>
        <v/>
      </c>
      <c r="U9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0" s="264" t="str">
        <f>IF(ResultsInd[[#This Row],[Category]]="","",VLOOKUP(ResultsInd[[#This Row],[Stage]],$P$1:$V$9,MATCH(ResultsInd[[#This Row],[Category]],$Q$1:$V$1,0)+1,FALSE))</f>
        <v/>
      </c>
      <c r="Z900" s="264" t="str">
        <f>IF(ResultsInd[[#This Row],[Score_OK]],IF(ResultsInd[[#This Row],[Level]]="R",ResultsInd[[#This Row],[Category]]&amp;"-"&amp;IF(ResultsInd[[#This Row],[LoseInKO]]=ResultsInd[[#This Row],[Category]]&amp;"-"&amp;ResultsInd[[#This Row],[Player A]],ResultsInd[[#This Row],[Player B]],ResultsInd[[#This Row],[Player A]]),""),"")</f>
        <v/>
      </c>
      <c r="AB900" s="8"/>
      <c r="AC900" s="8"/>
      <c r="AE900" s="90"/>
      <c r="AF900" s="90"/>
      <c r="AP900" s="8"/>
      <c r="AQ900" s="8"/>
      <c r="AR900" s="8"/>
      <c r="AS900" s="8"/>
      <c r="AT900" s="8"/>
      <c r="AU900" s="8"/>
      <c r="AV900" s="8"/>
      <c r="AW900" s="8"/>
      <c r="AX900" s="8"/>
      <c r="AY900" s="90"/>
      <c r="AZ900" s="90"/>
      <c r="BA900" s="90"/>
      <c r="BB900" s="90"/>
      <c r="BC900" s="90"/>
      <c r="BD900" s="90"/>
      <c r="BE900" s="90"/>
      <c r="BF900" s="90"/>
    </row>
    <row r="901" spans="1:58" x14ac:dyDescent="0.2">
      <c r="A901" s="62"/>
      <c r="B901" s="62"/>
      <c r="C901" s="62"/>
      <c r="D901" s="62"/>
      <c r="E901" s="345"/>
      <c r="F901" s="345"/>
      <c r="G901" s="113"/>
      <c r="H901" s="113"/>
      <c r="I901" s="114"/>
      <c r="J901" s="114"/>
      <c r="K901" s="114"/>
      <c r="L901" s="81"/>
      <c r="M901" s="265" t="b">
        <f>NOT(ISERROR(ResultsInd[[#This Row],[Goal-A]]+ResultsInd[[#This Row],[Goal-B]]))</f>
        <v>1</v>
      </c>
      <c r="N901" s="265">
        <f>VALUE(ResultsInd[[#This Row],[Score-A]])</f>
        <v>0</v>
      </c>
      <c r="O901" s="265">
        <f>VALUE(ResultsInd[[#This Row],[Score-B]])</f>
        <v>0</v>
      </c>
      <c r="P901" s="265" t="str">
        <f ca="1">IF(AND(ResultsInd[[#This Row],[Category]]&lt;&gt;"",ResultsInd[[#This Row],[Player A]]&lt;&gt;""),COUNTIF(INDIRECT(ResultsInd[[#This Row],[Category]]&amp;"List[Retained Player Name]"),ResultsInd[[#This Row],[Player A]]),"")</f>
        <v/>
      </c>
      <c r="Q901" s="265" t="str">
        <f ca="1">IF(AND(ResultsInd[[#This Row],[Category]]&lt;&gt;"",ResultsInd[[#This Row],[Player B]]&lt;&gt;""),COUNTIF(INDIRECT(ResultsInd[[#This Row],[Category]]&amp;"List[Retained Player Name]"),ResultsInd[[#This Row],[Player B]]),"")</f>
        <v/>
      </c>
      <c r="R9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1" s="265" t="str">
        <f>IF(ResultsInd[[#This Row],[Score_OK]],IF(ResultsInd[[#This Row],[Stage]]="Groups",ResultsInd[[#This Row],[Category]]&amp;"-"&amp;IF(ResultsInd[[#This Row],[Player B]]="","",IF(ResultsInd[[#This Row],[Score-A]]=ResultsInd[[#This Row],[Score-B]],ResultsInd[[#This Row],[Player A]],"")),""),"")</f>
        <v/>
      </c>
      <c r="T901" s="265" t="str">
        <f>IF(ResultsInd[[#This Row],[Score_OK]],IF(ResultsInd[[#This Row],[Stage]]="Groups",ResultsInd[[#This Row],[Category]]&amp;"-"&amp;IF(ResultsInd[[#This Row],[Player B]]="","",IF(ResultsInd[[#This Row],[Score-A]]=ResultsInd[[#This Row],[Score-B]],ResultsInd[[#This Row],[Player B]],"")),""),"")</f>
        <v/>
      </c>
      <c r="U9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1" s="264" t="str">
        <f>IF(ResultsInd[[#This Row],[Category]]="","",VLOOKUP(ResultsInd[[#This Row],[Stage]],$P$1:$V$9,MATCH(ResultsInd[[#This Row],[Category]],$Q$1:$V$1,0)+1,FALSE))</f>
        <v/>
      </c>
      <c r="Z901" s="264" t="str">
        <f>IF(ResultsInd[[#This Row],[Score_OK]],IF(ResultsInd[[#This Row],[Level]]="R",ResultsInd[[#This Row],[Category]]&amp;"-"&amp;IF(ResultsInd[[#This Row],[LoseInKO]]=ResultsInd[[#This Row],[Category]]&amp;"-"&amp;ResultsInd[[#This Row],[Player A]],ResultsInd[[#This Row],[Player B]],ResultsInd[[#This Row],[Player A]]),""),"")</f>
        <v/>
      </c>
      <c r="AB901" s="8"/>
      <c r="AC901" s="8"/>
      <c r="AE901" s="90"/>
      <c r="AF901" s="90"/>
      <c r="AP901" s="8"/>
      <c r="AQ901" s="8"/>
      <c r="AR901" s="8"/>
      <c r="AS901" s="8"/>
      <c r="AT901" s="8"/>
      <c r="AU901" s="8"/>
      <c r="AV901" s="8"/>
      <c r="AW901" s="8"/>
      <c r="AX901" s="8"/>
      <c r="AY901" s="90"/>
      <c r="AZ901" s="90"/>
      <c r="BA901" s="90"/>
      <c r="BB901" s="90"/>
      <c r="BC901" s="90"/>
      <c r="BD901" s="90"/>
      <c r="BE901" s="90"/>
      <c r="BF901" s="90"/>
    </row>
    <row r="902" spans="1:58" x14ac:dyDescent="0.2">
      <c r="A902" s="62"/>
      <c r="B902" s="62"/>
      <c r="C902" s="62"/>
      <c r="D902" s="62"/>
      <c r="E902" s="345"/>
      <c r="F902" s="345"/>
      <c r="G902" s="113"/>
      <c r="H902" s="113"/>
      <c r="I902" s="114"/>
      <c r="J902" s="114"/>
      <c r="K902" s="114"/>
      <c r="L902" s="81"/>
      <c r="M902" s="265" t="b">
        <f>NOT(ISERROR(ResultsInd[[#This Row],[Goal-A]]+ResultsInd[[#This Row],[Goal-B]]))</f>
        <v>1</v>
      </c>
      <c r="N902" s="265">
        <f>VALUE(ResultsInd[[#This Row],[Score-A]])</f>
        <v>0</v>
      </c>
      <c r="O902" s="265">
        <f>VALUE(ResultsInd[[#This Row],[Score-B]])</f>
        <v>0</v>
      </c>
      <c r="P902" s="265" t="str">
        <f ca="1">IF(AND(ResultsInd[[#This Row],[Category]]&lt;&gt;"",ResultsInd[[#This Row],[Player A]]&lt;&gt;""),COUNTIF(INDIRECT(ResultsInd[[#This Row],[Category]]&amp;"List[Retained Player Name]"),ResultsInd[[#This Row],[Player A]]),"")</f>
        <v/>
      </c>
      <c r="Q902" s="265" t="str">
        <f ca="1">IF(AND(ResultsInd[[#This Row],[Category]]&lt;&gt;"",ResultsInd[[#This Row],[Player B]]&lt;&gt;""),COUNTIF(INDIRECT(ResultsInd[[#This Row],[Category]]&amp;"List[Retained Player Name]"),ResultsInd[[#This Row],[Player B]]),"")</f>
        <v/>
      </c>
      <c r="R9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2" s="265" t="str">
        <f>IF(ResultsInd[[#This Row],[Score_OK]],IF(ResultsInd[[#This Row],[Stage]]="Groups",ResultsInd[[#This Row],[Category]]&amp;"-"&amp;IF(ResultsInd[[#This Row],[Player B]]="","",IF(ResultsInd[[#This Row],[Score-A]]=ResultsInd[[#This Row],[Score-B]],ResultsInd[[#This Row],[Player A]],"")),""),"")</f>
        <v/>
      </c>
      <c r="T902" s="265" t="str">
        <f>IF(ResultsInd[[#This Row],[Score_OK]],IF(ResultsInd[[#This Row],[Stage]]="Groups",ResultsInd[[#This Row],[Category]]&amp;"-"&amp;IF(ResultsInd[[#This Row],[Player B]]="","",IF(ResultsInd[[#This Row],[Score-A]]=ResultsInd[[#This Row],[Score-B]],ResultsInd[[#This Row],[Player B]],"")),""),"")</f>
        <v/>
      </c>
      <c r="U9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2" s="264" t="str">
        <f>IF(ResultsInd[[#This Row],[Category]]="","",VLOOKUP(ResultsInd[[#This Row],[Stage]],$P$1:$V$9,MATCH(ResultsInd[[#This Row],[Category]],$Q$1:$V$1,0)+1,FALSE))</f>
        <v/>
      </c>
      <c r="Z902" s="264" t="str">
        <f>IF(ResultsInd[[#This Row],[Score_OK]],IF(ResultsInd[[#This Row],[Level]]="R",ResultsInd[[#This Row],[Category]]&amp;"-"&amp;IF(ResultsInd[[#This Row],[LoseInKO]]=ResultsInd[[#This Row],[Category]]&amp;"-"&amp;ResultsInd[[#This Row],[Player A]],ResultsInd[[#This Row],[Player B]],ResultsInd[[#This Row],[Player A]]),""),"")</f>
        <v/>
      </c>
      <c r="AB902" s="8"/>
      <c r="AC902" s="8"/>
      <c r="AE902" s="90"/>
      <c r="AF902" s="90"/>
      <c r="AP902" s="8"/>
      <c r="AQ902" s="8"/>
      <c r="AR902" s="8"/>
      <c r="AS902" s="8"/>
      <c r="AT902" s="8"/>
      <c r="AU902" s="8"/>
      <c r="AV902" s="8"/>
      <c r="AW902" s="8"/>
      <c r="AX902" s="8"/>
      <c r="AY902" s="90"/>
      <c r="AZ902" s="90"/>
      <c r="BA902" s="90"/>
      <c r="BB902" s="90"/>
      <c r="BC902" s="90"/>
      <c r="BD902" s="90"/>
      <c r="BE902" s="90"/>
      <c r="BF902" s="90"/>
    </row>
    <row r="903" spans="1:58" x14ac:dyDescent="0.2">
      <c r="A903" s="62"/>
      <c r="B903" s="62"/>
      <c r="C903" s="62"/>
      <c r="D903" s="62"/>
      <c r="E903" s="345"/>
      <c r="F903" s="345"/>
      <c r="G903" s="113"/>
      <c r="H903" s="113"/>
      <c r="I903" s="114"/>
      <c r="J903" s="114"/>
      <c r="K903" s="114"/>
      <c r="L903" s="81"/>
      <c r="M903" s="265" t="b">
        <f>NOT(ISERROR(ResultsInd[[#This Row],[Goal-A]]+ResultsInd[[#This Row],[Goal-B]]))</f>
        <v>1</v>
      </c>
      <c r="N903" s="265">
        <f>VALUE(ResultsInd[[#This Row],[Score-A]])</f>
        <v>0</v>
      </c>
      <c r="O903" s="265">
        <f>VALUE(ResultsInd[[#This Row],[Score-B]])</f>
        <v>0</v>
      </c>
      <c r="P903" s="265" t="str">
        <f ca="1">IF(AND(ResultsInd[[#This Row],[Category]]&lt;&gt;"",ResultsInd[[#This Row],[Player A]]&lt;&gt;""),COUNTIF(INDIRECT(ResultsInd[[#This Row],[Category]]&amp;"List[Retained Player Name]"),ResultsInd[[#This Row],[Player A]]),"")</f>
        <v/>
      </c>
      <c r="Q903" s="265" t="str">
        <f ca="1">IF(AND(ResultsInd[[#This Row],[Category]]&lt;&gt;"",ResultsInd[[#This Row],[Player B]]&lt;&gt;""),COUNTIF(INDIRECT(ResultsInd[[#This Row],[Category]]&amp;"List[Retained Player Name]"),ResultsInd[[#This Row],[Player B]]),"")</f>
        <v/>
      </c>
      <c r="R9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3" s="265" t="str">
        <f>IF(ResultsInd[[#This Row],[Score_OK]],IF(ResultsInd[[#This Row],[Stage]]="Groups",ResultsInd[[#This Row],[Category]]&amp;"-"&amp;IF(ResultsInd[[#This Row],[Player B]]="","",IF(ResultsInd[[#This Row],[Score-A]]=ResultsInd[[#This Row],[Score-B]],ResultsInd[[#This Row],[Player A]],"")),""),"")</f>
        <v/>
      </c>
      <c r="T903" s="265" t="str">
        <f>IF(ResultsInd[[#This Row],[Score_OK]],IF(ResultsInd[[#This Row],[Stage]]="Groups",ResultsInd[[#This Row],[Category]]&amp;"-"&amp;IF(ResultsInd[[#This Row],[Player B]]="","",IF(ResultsInd[[#This Row],[Score-A]]=ResultsInd[[#This Row],[Score-B]],ResultsInd[[#This Row],[Player B]],"")),""),"")</f>
        <v/>
      </c>
      <c r="U9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3" s="264" t="str">
        <f>IF(ResultsInd[[#This Row],[Category]]="","",VLOOKUP(ResultsInd[[#This Row],[Stage]],$P$1:$V$9,MATCH(ResultsInd[[#This Row],[Category]],$Q$1:$V$1,0)+1,FALSE))</f>
        <v/>
      </c>
      <c r="Z903" s="264" t="str">
        <f>IF(ResultsInd[[#This Row],[Score_OK]],IF(ResultsInd[[#This Row],[Level]]="R",ResultsInd[[#This Row],[Category]]&amp;"-"&amp;IF(ResultsInd[[#This Row],[LoseInKO]]=ResultsInd[[#This Row],[Category]]&amp;"-"&amp;ResultsInd[[#This Row],[Player A]],ResultsInd[[#This Row],[Player B]],ResultsInd[[#This Row],[Player A]]),""),"")</f>
        <v/>
      </c>
      <c r="AB903" s="8"/>
      <c r="AC903" s="8"/>
      <c r="AE903" s="90"/>
      <c r="AF903" s="90"/>
      <c r="AP903" s="8"/>
      <c r="AQ903" s="8"/>
      <c r="AR903" s="8"/>
      <c r="AS903" s="8"/>
      <c r="AT903" s="8"/>
      <c r="AU903" s="8"/>
      <c r="AV903" s="8"/>
      <c r="AW903" s="8"/>
      <c r="AX903" s="8"/>
      <c r="AY903" s="90"/>
      <c r="AZ903" s="90"/>
      <c r="BA903" s="90"/>
      <c r="BB903" s="90"/>
      <c r="BC903" s="90"/>
      <c r="BD903" s="90"/>
      <c r="BE903" s="90"/>
      <c r="BF903" s="90"/>
    </row>
    <row r="904" spans="1:58" x14ac:dyDescent="0.2">
      <c r="A904" s="62"/>
      <c r="B904" s="62"/>
      <c r="C904" s="62"/>
      <c r="D904" s="62"/>
      <c r="E904" s="345"/>
      <c r="F904" s="345"/>
      <c r="G904" s="113"/>
      <c r="H904" s="113"/>
      <c r="I904" s="114"/>
      <c r="J904" s="114"/>
      <c r="K904" s="114"/>
      <c r="L904" s="81"/>
      <c r="M904" s="265" t="b">
        <f>NOT(ISERROR(ResultsInd[[#This Row],[Goal-A]]+ResultsInd[[#This Row],[Goal-B]]))</f>
        <v>1</v>
      </c>
      <c r="N904" s="265">
        <f>VALUE(ResultsInd[[#This Row],[Score-A]])</f>
        <v>0</v>
      </c>
      <c r="O904" s="265">
        <f>VALUE(ResultsInd[[#This Row],[Score-B]])</f>
        <v>0</v>
      </c>
      <c r="P904" s="265" t="str">
        <f ca="1">IF(AND(ResultsInd[[#This Row],[Category]]&lt;&gt;"",ResultsInd[[#This Row],[Player A]]&lt;&gt;""),COUNTIF(INDIRECT(ResultsInd[[#This Row],[Category]]&amp;"List[Retained Player Name]"),ResultsInd[[#This Row],[Player A]]),"")</f>
        <v/>
      </c>
      <c r="Q904" s="265" t="str">
        <f ca="1">IF(AND(ResultsInd[[#This Row],[Category]]&lt;&gt;"",ResultsInd[[#This Row],[Player B]]&lt;&gt;""),COUNTIF(INDIRECT(ResultsInd[[#This Row],[Category]]&amp;"List[Retained Player Name]"),ResultsInd[[#This Row],[Player B]]),"")</f>
        <v/>
      </c>
      <c r="R9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4" s="265" t="str">
        <f>IF(ResultsInd[[#This Row],[Score_OK]],IF(ResultsInd[[#This Row],[Stage]]="Groups",ResultsInd[[#This Row],[Category]]&amp;"-"&amp;IF(ResultsInd[[#This Row],[Player B]]="","",IF(ResultsInd[[#This Row],[Score-A]]=ResultsInd[[#This Row],[Score-B]],ResultsInd[[#This Row],[Player A]],"")),""),"")</f>
        <v/>
      </c>
      <c r="T904" s="265" t="str">
        <f>IF(ResultsInd[[#This Row],[Score_OK]],IF(ResultsInd[[#This Row],[Stage]]="Groups",ResultsInd[[#This Row],[Category]]&amp;"-"&amp;IF(ResultsInd[[#This Row],[Player B]]="","",IF(ResultsInd[[#This Row],[Score-A]]=ResultsInd[[#This Row],[Score-B]],ResultsInd[[#This Row],[Player B]],"")),""),"")</f>
        <v/>
      </c>
      <c r="U9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4" s="264" t="str">
        <f>IF(ResultsInd[[#This Row],[Category]]="","",VLOOKUP(ResultsInd[[#This Row],[Stage]],$P$1:$V$9,MATCH(ResultsInd[[#This Row],[Category]],$Q$1:$V$1,0)+1,FALSE))</f>
        <v/>
      </c>
      <c r="Z904" s="264" t="str">
        <f>IF(ResultsInd[[#This Row],[Score_OK]],IF(ResultsInd[[#This Row],[Level]]="R",ResultsInd[[#This Row],[Category]]&amp;"-"&amp;IF(ResultsInd[[#This Row],[LoseInKO]]=ResultsInd[[#This Row],[Category]]&amp;"-"&amp;ResultsInd[[#This Row],[Player A]],ResultsInd[[#This Row],[Player B]],ResultsInd[[#This Row],[Player A]]),""),"")</f>
        <v/>
      </c>
      <c r="AB904" s="8"/>
      <c r="AC904" s="8"/>
      <c r="AE904" s="90"/>
      <c r="AF904" s="90"/>
      <c r="AP904" s="8"/>
      <c r="AQ904" s="8"/>
      <c r="AR904" s="8"/>
      <c r="AS904" s="8"/>
      <c r="AT904" s="8"/>
      <c r="AU904" s="8"/>
      <c r="AV904" s="8"/>
      <c r="AW904" s="8"/>
      <c r="AX904" s="8"/>
      <c r="AY904" s="90"/>
      <c r="AZ904" s="90"/>
      <c r="BA904" s="90"/>
      <c r="BB904" s="90"/>
      <c r="BC904" s="90"/>
      <c r="BD904" s="90"/>
      <c r="BE904" s="90"/>
      <c r="BF904" s="90"/>
    </row>
    <row r="905" spans="1:58" x14ac:dyDescent="0.2">
      <c r="A905" s="62"/>
      <c r="B905" s="62"/>
      <c r="C905" s="62"/>
      <c r="D905" s="62"/>
      <c r="E905" s="345"/>
      <c r="F905" s="345"/>
      <c r="G905" s="113"/>
      <c r="H905" s="113"/>
      <c r="I905" s="114"/>
      <c r="J905" s="114"/>
      <c r="K905" s="114"/>
      <c r="L905" s="81"/>
      <c r="M905" s="265" t="b">
        <f>NOT(ISERROR(ResultsInd[[#This Row],[Goal-A]]+ResultsInd[[#This Row],[Goal-B]]))</f>
        <v>1</v>
      </c>
      <c r="N905" s="265">
        <f>VALUE(ResultsInd[[#This Row],[Score-A]])</f>
        <v>0</v>
      </c>
      <c r="O905" s="265">
        <f>VALUE(ResultsInd[[#This Row],[Score-B]])</f>
        <v>0</v>
      </c>
      <c r="P905" s="265" t="str">
        <f ca="1">IF(AND(ResultsInd[[#This Row],[Category]]&lt;&gt;"",ResultsInd[[#This Row],[Player A]]&lt;&gt;""),COUNTIF(INDIRECT(ResultsInd[[#This Row],[Category]]&amp;"List[Retained Player Name]"),ResultsInd[[#This Row],[Player A]]),"")</f>
        <v/>
      </c>
      <c r="Q905" s="265" t="str">
        <f ca="1">IF(AND(ResultsInd[[#This Row],[Category]]&lt;&gt;"",ResultsInd[[#This Row],[Player B]]&lt;&gt;""),COUNTIF(INDIRECT(ResultsInd[[#This Row],[Category]]&amp;"List[Retained Player Name]"),ResultsInd[[#This Row],[Player B]]),"")</f>
        <v/>
      </c>
      <c r="R9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5" s="265" t="str">
        <f>IF(ResultsInd[[#This Row],[Score_OK]],IF(ResultsInd[[#This Row],[Stage]]="Groups",ResultsInd[[#This Row],[Category]]&amp;"-"&amp;IF(ResultsInd[[#This Row],[Player B]]="","",IF(ResultsInd[[#This Row],[Score-A]]=ResultsInd[[#This Row],[Score-B]],ResultsInd[[#This Row],[Player A]],"")),""),"")</f>
        <v/>
      </c>
      <c r="T905" s="265" t="str">
        <f>IF(ResultsInd[[#This Row],[Score_OK]],IF(ResultsInd[[#This Row],[Stage]]="Groups",ResultsInd[[#This Row],[Category]]&amp;"-"&amp;IF(ResultsInd[[#This Row],[Player B]]="","",IF(ResultsInd[[#This Row],[Score-A]]=ResultsInd[[#This Row],[Score-B]],ResultsInd[[#This Row],[Player B]],"")),""),"")</f>
        <v/>
      </c>
      <c r="U9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5" s="264" t="str">
        <f>IF(ResultsInd[[#This Row],[Category]]="","",VLOOKUP(ResultsInd[[#This Row],[Stage]],$P$1:$V$9,MATCH(ResultsInd[[#This Row],[Category]],$Q$1:$V$1,0)+1,FALSE))</f>
        <v/>
      </c>
      <c r="Z905" s="264" t="str">
        <f>IF(ResultsInd[[#This Row],[Score_OK]],IF(ResultsInd[[#This Row],[Level]]="R",ResultsInd[[#This Row],[Category]]&amp;"-"&amp;IF(ResultsInd[[#This Row],[LoseInKO]]=ResultsInd[[#This Row],[Category]]&amp;"-"&amp;ResultsInd[[#This Row],[Player A]],ResultsInd[[#This Row],[Player B]],ResultsInd[[#This Row],[Player A]]),""),"")</f>
        <v/>
      </c>
      <c r="AB905" s="8"/>
      <c r="AC905" s="8"/>
      <c r="AE905" s="90"/>
      <c r="AF905" s="90"/>
      <c r="AP905" s="8"/>
      <c r="AQ905" s="8"/>
      <c r="AR905" s="8"/>
      <c r="AS905" s="8"/>
      <c r="AT905" s="8"/>
      <c r="AU905" s="8"/>
      <c r="AV905" s="8"/>
      <c r="AW905" s="8"/>
      <c r="AX905" s="8"/>
      <c r="AY905" s="90"/>
      <c r="AZ905" s="90"/>
      <c r="BA905" s="90"/>
      <c r="BB905" s="90"/>
      <c r="BC905" s="90"/>
      <c r="BD905" s="90"/>
      <c r="BE905" s="90"/>
      <c r="BF905" s="90"/>
    </row>
    <row r="906" spans="1:58" x14ac:dyDescent="0.2">
      <c r="A906" s="62"/>
      <c r="B906" s="62"/>
      <c r="C906" s="62"/>
      <c r="D906" s="62"/>
      <c r="E906" s="345"/>
      <c r="F906" s="345"/>
      <c r="G906" s="113"/>
      <c r="H906" s="113"/>
      <c r="I906" s="114"/>
      <c r="J906" s="114"/>
      <c r="K906" s="114"/>
      <c r="L906" s="81"/>
      <c r="M906" s="265" t="b">
        <f>NOT(ISERROR(ResultsInd[[#This Row],[Goal-A]]+ResultsInd[[#This Row],[Goal-B]]))</f>
        <v>1</v>
      </c>
      <c r="N906" s="265">
        <f>VALUE(ResultsInd[[#This Row],[Score-A]])</f>
        <v>0</v>
      </c>
      <c r="O906" s="265">
        <f>VALUE(ResultsInd[[#This Row],[Score-B]])</f>
        <v>0</v>
      </c>
      <c r="P906" s="265" t="str">
        <f ca="1">IF(AND(ResultsInd[[#This Row],[Category]]&lt;&gt;"",ResultsInd[[#This Row],[Player A]]&lt;&gt;""),COUNTIF(INDIRECT(ResultsInd[[#This Row],[Category]]&amp;"List[Retained Player Name]"),ResultsInd[[#This Row],[Player A]]),"")</f>
        <v/>
      </c>
      <c r="Q906" s="265" t="str">
        <f ca="1">IF(AND(ResultsInd[[#This Row],[Category]]&lt;&gt;"",ResultsInd[[#This Row],[Player B]]&lt;&gt;""),COUNTIF(INDIRECT(ResultsInd[[#This Row],[Category]]&amp;"List[Retained Player Name]"),ResultsInd[[#This Row],[Player B]]),"")</f>
        <v/>
      </c>
      <c r="R9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6" s="265" t="str">
        <f>IF(ResultsInd[[#This Row],[Score_OK]],IF(ResultsInd[[#This Row],[Stage]]="Groups",ResultsInd[[#This Row],[Category]]&amp;"-"&amp;IF(ResultsInd[[#This Row],[Player B]]="","",IF(ResultsInd[[#This Row],[Score-A]]=ResultsInd[[#This Row],[Score-B]],ResultsInd[[#This Row],[Player A]],"")),""),"")</f>
        <v/>
      </c>
      <c r="T906" s="265" t="str">
        <f>IF(ResultsInd[[#This Row],[Score_OK]],IF(ResultsInd[[#This Row],[Stage]]="Groups",ResultsInd[[#This Row],[Category]]&amp;"-"&amp;IF(ResultsInd[[#This Row],[Player B]]="","",IF(ResultsInd[[#This Row],[Score-A]]=ResultsInd[[#This Row],[Score-B]],ResultsInd[[#This Row],[Player B]],"")),""),"")</f>
        <v/>
      </c>
      <c r="U9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6" s="264" t="str">
        <f>IF(ResultsInd[[#This Row],[Category]]="","",VLOOKUP(ResultsInd[[#This Row],[Stage]],$P$1:$V$9,MATCH(ResultsInd[[#This Row],[Category]],$Q$1:$V$1,0)+1,FALSE))</f>
        <v/>
      </c>
      <c r="Z906" s="264" t="str">
        <f>IF(ResultsInd[[#This Row],[Score_OK]],IF(ResultsInd[[#This Row],[Level]]="R",ResultsInd[[#This Row],[Category]]&amp;"-"&amp;IF(ResultsInd[[#This Row],[LoseInKO]]=ResultsInd[[#This Row],[Category]]&amp;"-"&amp;ResultsInd[[#This Row],[Player A]],ResultsInd[[#This Row],[Player B]],ResultsInd[[#This Row],[Player A]]),""),"")</f>
        <v/>
      </c>
      <c r="AB906" s="8"/>
      <c r="AC906" s="8"/>
      <c r="AE906" s="90"/>
      <c r="AF906" s="90"/>
      <c r="AP906" s="8"/>
      <c r="AQ906" s="8"/>
      <c r="AR906" s="8"/>
      <c r="AS906" s="8"/>
      <c r="AT906" s="8"/>
      <c r="AU906" s="8"/>
      <c r="AV906" s="8"/>
      <c r="AW906" s="8"/>
      <c r="AX906" s="8"/>
      <c r="AY906" s="90"/>
      <c r="AZ906" s="90"/>
      <c r="BA906" s="90"/>
      <c r="BB906" s="90"/>
      <c r="BC906" s="90"/>
      <c r="BD906" s="90"/>
      <c r="BE906" s="90"/>
      <c r="BF906" s="90"/>
    </row>
    <row r="907" spans="1:58" x14ac:dyDescent="0.2">
      <c r="A907" s="62"/>
      <c r="B907" s="62"/>
      <c r="C907" s="62"/>
      <c r="D907" s="62"/>
      <c r="E907" s="345"/>
      <c r="F907" s="345"/>
      <c r="G907" s="113"/>
      <c r="H907" s="113"/>
      <c r="I907" s="114"/>
      <c r="J907" s="114"/>
      <c r="K907" s="114"/>
      <c r="L907" s="81"/>
      <c r="M907" s="265" t="b">
        <f>NOT(ISERROR(ResultsInd[[#This Row],[Goal-A]]+ResultsInd[[#This Row],[Goal-B]]))</f>
        <v>1</v>
      </c>
      <c r="N907" s="265">
        <f>VALUE(ResultsInd[[#This Row],[Score-A]])</f>
        <v>0</v>
      </c>
      <c r="O907" s="265">
        <f>VALUE(ResultsInd[[#This Row],[Score-B]])</f>
        <v>0</v>
      </c>
      <c r="P907" s="265" t="str">
        <f ca="1">IF(AND(ResultsInd[[#This Row],[Category]]&lt;&gt;"",ResultsInd[[#This Row],[Player A]]&lt;&gt;""),COUNTIF(INDIRECT(ResultsInd[[#This Row],[Category]]&amp;"List[Retained Player Name]"),ResultsInd[[#This Row],[Player A]]),"")</f>
        <v/>
      </c>
      <c r="Q907" s="265" t="str">
        <f ca="1">IF(AND(ResultsInd[[#This Row],[Category]]&lt;&gt;"",ResultsInd[[#This Row],[Player B]]&lt;&gt;""),COUNTIF(INDIRECT(ResultsInd[[#This Row],[Category]]&amp;"List[Retained Player Name]"),ResultsInd[[#This Row],[Player B]]),"")</f>
        <v/>
      </c>
      <c r="R9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7" s="265" t="str">
        <f>IF(ResultsInd[[#This Row],[Score_OK]],IF(ResultsInd[[#This Row],[Stage]]="Groups",ResultsInd[[#This Row],[Category]]&amp;"-"&amp;IF(ResultsInd[[#This Row],[Player B]]="","",IF(ResultsInd[[#This Row],[Score-A]]=ResultsInd[[#This Row],[Score-B]],ResultsInd[[#This Row],[Player A]],"")),""),"")</f>
        <v/>
      </c>
      <c r="T907" s="265" t="str">
        <f>IF(ResultsInd[[#This Row],[Score_OK]],IF(ResultsInd[[#This Row],[Stage]]="Groups",ResultsInd[[#This Row],[Category]]&amp;"-"&amp;IF(ResultsInd[[#This Row],[Player B]]="","",IF(ResultsInd[[#This Row],[Score-A]]=ResultsInd[[#This Row],[Score-B]],ResultsInd[[#This Row],[Player B]],"")),""),"")</f>
        <v/>
      </c>
      <c r="U9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7" s="264" t="str">
        <f>IF(ResultsInd[[#This Row],[Category]]="","",VLOOKUP(ResultsInd[[#This Row],[Stage]],$P$1:$V$9,MATCH(ResultsInd[[#This Row],[Category]],$Q$1:$V$1,0)+1,FALSE))</f>
        <v/>
      </c>
      <c r="Z907" s="264" t="str">
        <f>IF(ResultsInd[[#This Row],[Score_OK]],IF(ResultsInd[[#This Row],[Level]]="R",ResultsInd[[#This Row],[Category]]&amp;"-"&amp;IF(ResultsInd[[#This Row],[LoseInKO]]=ResultsInd[[#This Row],[Category]]&amp;"-"&amp;ResultsInd[[#This Row],[Player A]],ResultsInd[[#This Row],[Player B]],ResultsInd[[#This Row],[Player A]]),""),"")</f>
        <v/>
      </c>
      <c r="AB907" s="8"/>
      <c r="AC907" s="8"/>
      <c r="AE907" s="90"/>
      <c r="AF907" s="90"/>
      <c r="AP907" s="8"/>
      <c r="AQ907" s="8"/>
      <c r="AR907" s="8"/>
      <c r="AS907" s="8"/>
      <c r="AT907" s="8"/>
      <c r="AU907" s="8"/>
      <c r="AV907" s="8"/>
      <c r="AW907" s="8"/>
      <c r="AX907" s="8"/>
      <c r="AY907" s="90"/>
      <c r="AZ907" s="90"/>
      <c r="BA907" s="90"/>
      <c r="BB907" s="90"/>
      <c r="BC907" s="90"/>
      <c r="BD907" s="90"/>
      <c r="BE907" s="90"/>
      <c r="BF907" s="90"/>
    </row>
    <row r="908" spans="1:58" x14ac:dyDescent="0.2">
      <c r="A908" s="62"/>
      <c r="B908" s="62"/>
      <c r="C908" s="62"/>
      <c r="D908" s="62"/>
      <c r="E908" s="345"/>
      <c r="F908" s="345"/>
      <c r="G908" s="113"/>
      <c r="H908" s="113"/>
      <c r="I908" s="114"/>
      <c r="J908" s="114"/>
      <c r="K908" s="114"/>
      <c r="L908" s="81"/>
      <c r="M908" s="265" t="b">
        <f>NOT(ISERROR(ResultsInd[[#This Row],[Goal-A]]+ResultsInd[[#This Row],[Goal-B]]))</f>
        <v>1</v>
      </c>
      <c r="N908" s="265">
        <f>VALUE(ResultsInd[[#This Row],[Score-A]])</f>
        <v>0</v>
      </c>
      <c r="O908" s="265">
        <f>VALUE(ResultsInd[[#This Row],[Score-B]])</f>
        <v>0</v>
      </c>
      <c r="P908" s="265" t="str">
        <f ca="1">IF(AND(ResultsInd[[#This Row],[Category]]&lt;&gt;"",ResultsInd[[#This Row],[Player A]]&lt;&gt;""),COUNTIF(INDIRECT(ResultsInd[[#This Row],[Category]]&amp;"List[Retained Player Name]"),ResultsInd[[#This Row],[Player A]]),"")</f>
        <v/>
      </c>
      <c r="Q908" s="265" t="str">
        <f ca="1">IF(AND(ResultsInd[[#This Row],[Category]]&lt;&gt;"",ResultsInd[[#This Row],[Player B]]&lt;&gt;""),COUNTIF(INDIRECT(ResultsInd[[#This Row],[Category]]&amp;"List[Retained Player Name]"),ResultsInd[[#This Row],[Player B]]),"")</f>
        <v/>
      </c>
      <c r="R9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8" s="265" t="str">
        <f>IF(ResultsInd[[#This Row],[Score_OK]],IF(ResultsInd[[#This Row],[Stage]]="Groups",ResultsInd[[#This Row],[Category]]&amp;"-"&amp;IF(ResultsInd[[#This Row],[Player B]]="","",IF(ResultsInd[[#This Row],[Score-A]]=ResultsInd[[#This Row],[Score-B]],ResultsInd[[#This Row],[Player A]],"")),""),"")</f>
        <v/>
      </c>
      <c r="T908" s="265" t="str">
        <f>IF(ResultsInd[[#This Row],[Score_OK]],IF(ResultsInd[[#This Row],[Stage]]="Groups",ResultsInd[[#This Row],[Category]]&amp;"-"&amp;IF(ResultsInd[[#This Row],[Player B]]="","",IF(ResultsInd[[#This Row],[Score-A]]=ResultsInd[[#This Row],[Score-B]],ResultsInd[[#This Row],[Player B]],"")),""),"")</f>
        <v/>
      </c>
      <c r="U9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8" s="264" t="str">
        <f>IF(ResultsInd[[#This Row],[Category]]="","",VLOOKUP(ResultsInd[[#This Row],[Stage]],$P$1:$V$9,MATCH(ResultsInd[[#This Row],[Category]],$Q$1:$V$1,0)+1,FALSE))</f>
        <v/>
      </c>
      <c r="Z908" s="264" t="str">
        <f>IF(ResultsInd[[#This Row],[Score_OK]],IF(ResultsInd[[#This Row],[Level]]="R",ResultsInd[[#This Row],[Category]]&amp;"-"&amp;IF(ResultsInd[[#This Row],[LoseInKO]]=ResultsInd[[#This Row],[Category]]&amp;"-"&amp;ResultsInd[[#This Row],[Player A]],ResultsInd[[#This Row],[Player B]],ResultsInd[[#This Row],[Player A]]),""),"")</f>
        <v/>
      </c>
      <c r="AB908" s="8"/>
      <c r="AC908" s="8"/>
      <c r="AE908" s="90"/>
      <c r="AF908" s="90"/>
      <c r="AP908" s="8"/>
      <c r="AQ908" s="8"/>
      <c r="AR908" s="8"/>
      <c r="AS908" s="8"/>
      <c r="AT908" s="8"/>
      <c r="AU908" s="8"/>
      <c r="AV908" s="8"/>
      <c r="AW908" s="8"/>
      <c r="AX908" s="8"/>
      <c r="AY908" s="90"/>
      <c r="AZ908" s="90"/>
      <c r="BA908" s="90"/>
      <c r="BB908" s="90"/>
      <c r="BC908" s="90"/>
      <c r="BD908" s="90"/>
      <c r="BE908" s="90"/>
      <c r="BF908" s="90"/>
    </row>
    <row r="909" spans="1:58" x14ac:dyDescent="0.2">
      <c r="A909" s="62"/>
      <c r="B909" s="62"/>
      <c r="C909" s="62"/>
      <c r="D909" s="62"/>
      <c r="E909" s="345"/>
      <c r="F909" s="345"/>
      <c r="G909" s="113"/>
      <c r="H909" s="113"/>
      <c r="I909" s="114"/>
      <c r="J909" s="114"/>
      <c r="K909" s="114"/>
      <c r="L909" s="81"/>
      <c r="M909" s="265" t="b">
        <f>NOT(ISERROR(ResultsInd[[#This Row],[Goal-A]]+ResultsInd[[#This Row],[Goal-B]]))</f>
        <v>1</v>
      </c>
      <c r="N909" s="265">
        <f>VALUE(ResultsInd[[#This Row],[Score-A]])</f>
        <v>0</v>
      </c>
      <c r="O909" s="265">
        <f>VALUE(ResultsInd[[#This Row],[Score-B]])</f>
        <v>0</v>
      </c>
      <c r="P909" s="265" t="str">
        <f ca="1">IF(AND(ResultsInd[[#This Row],[Category]]&lt;&gt;"",ResultsInd[[#This Row],[Player A]]&lt;&gt;""),COUNTIF(INDIRECT(ResultsInd[[#This Row],[Category]]&amp;"List[Retained Player Name]"),ResultsInd[[#This Row],[Player A]]),"")</f>
        <v/>
      </c>
      <c r="Q909" s="265" t="str">
        <f ca="1">IF(AND(ResultsInd[[#This Row],[Category]]&lt;&gt;"",ResultsInd[[#This Row],[Player B]]&lt;&gt;""),COUNTIF(INDIRECT(ResultsInd[[#This Row],[Category]]&amp;"List[Retained Player Name]"),ResultsInd[[#This Row],[Player B]]),"")</f>
        <v/>
      </c>
      <c r="R9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9" s="265" t="str">
        <f>IF(ResultsInd[[#This Row],[Score_OK]],IF(ResultsInd[[#This Row],[Stage]]="Groups",ResultsInd[[#This Row],[Category]]&amp;"-"&amp;IF(ResultsInd[[#This Row],[Player B]]="","",IF(ResultsInd[[#This Row],[Score-A]]=ResultsInd[[#This Row],[Score-B]],ResultsInd[[#This Row],[Player A]],"")),""),"")</f>
        <v/>
      </c>
      <c r="T909" s="265" t="str">
        <f>IF(ResultsInd[[#This Row],[Score_OK]],IF(ResultsInd[[#This Row],[Stage]]="Groups",ResultsInd[[#This Row],[Category]]&amp;"-"&amp;IF(ResultsInd[[#This Row],[Player B]]="","",IF(ResultsInd[[#This Row],[Score-A]]=ResultsInd[[#This Row],[Score-B]],ResultsInd[[#This Row],[Player B]],"")),""),"")</f>
        <v/>
      </c>
      <c r="U9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9" s="264" t="str">
        <f>IF(ResultsInd[[#This Row],[Category]]="","",VLOOKUP(ResultsInd[[#This Row],[Stage]],$P$1:$V$9,MATCH(ResultsInd[[#This Row],[Category]],$Q$1:$V$1,0)+1,FALSE))</f>
        <v/>
      </c>
      <c r="Z909" s="264" t="str">
        <f>IF(ResultsInd[[#This Row],[Score_OK]],IF(ResultsInd[[#This Row],[Level]]="R",ResultsInd[[#This Row],[Category]]&amp;"-"&amp;IF(ResultsInd[[#This Row],[LoseInKO]]=ResultsInd[[#This Row],[Category]]&amp;"-"&amp;ResultsInd[[#This Row],[Player A]],ResultsInd[[#This Row],[Player B]],ResultsInd[[#This Row],[Player A]]),""),"")</f>
        <v/>
      </c>
      <c r="AB909" s="8"/>
      <c r="AC909" s="8"/>
      <c r="AE909" s="90"/>
      <c r="AF909" s="90"/>
      <c r="AP909" s="8"/>
      <c r="AQ909" s="8"/>
      <c r="AR909" s="8"/>
      <c r="AS909" s="8"/>
      <c r="AT909" s="8"/>
      <c r="AU909" s="8"/>
      <c r="AV909" s="8"/>
      <c r="AW909" s="8"/>
      <c r="AX909" s="8"/>
      <c r="AY909" s="90"/>
      <c r="AZ909" s="90"/>
      <c r="BA909" s="90"/>
      <c r="BB909" s="90"/>
      <c r="BC909" s="90"/>
      <c r="BD909" s="90"/>
      <c r="BE909" s="90"/>
      <c r="BF909" s="90"/>
    </row>
    <row r="910" spans="1:58" x14ac:dyDescent="0.2">
      <c r="A910" s="62"/>
      <c r="B910" s="62"/>
      <c r="C910" s="62"/>
      <c r="D910" s="62"/>
      <c r="E910" s="345"/>
      <c r="F910" s="345"/>
      <c r="G910" s="113"/>
      <c r="H910" s="113"/>
      <c r="I910" s="114"/>
      <c r="J910" s="114"/>
      <c r="K910" s="114"/>
      <c r="L910" s="81"/>
      <c r="M910" s="265" t="b">
        <f>NOT(ISERROR(ResultsInd[[#This Row],[Goal-A]]+ResultsInd[[#This Row],[Goal-B]]))</f>
        <v>1</v>
      </c>
      <c r="N910" s="265">
        <f>VALUE(ResultsInd[[#This Row],[Score-A]])</f>
        <v>0</v>
      </c>
      <c r="O910" s="265">
        <f>VALUE(ResultsInd[[#This Row],[Score-B]])</f>
        <v>0</v>
      </c>
      <c r="P910" s="265" t="str">
        <f ca="1">IF(AND(ResultsInd[[#This Row],[Category]]&lt;&gt;"",ResultsInd[[#This Row],[Player A]]&lt;&gt;""),COUNTIF(INDIRECT(ResultsInd[[#This Row],[Category]]&amp;"List[Retained Player Name]"),ResultsInd[[#This Row],[Player A]]),"")</f>
        <v/>
      </c>
      <c r="Q910" s="265" t="str">
        <f ca="1">IF(AND(ResultsInd[[#This Row],[Category]]&lt;&gt;"",ResultsInd[[#This Row],[Player B]]&lt;&gt;""),COUNTIF(INDIRECT(ResultsInd[[#This Row],[Category]]&amp;"List[Retained Player Name]"),ResultsInd[[#This Row],[Player B]]),"")</f>
        <v/>
      </c>
      <c r="R9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0" s="265" t="str">
        <f>IF(ResultsInd[[#This Row],[Score_OK]],IF(ResultsInd[[#This Row],[Stage]]="Groups",ResultsInd[[#This Row],[Category]]&amp;"-"&amp;IF(ResultsInd[[#This Row],[Player B]]="","",IF(ResultsInd[[#This Row],[Score-A]]=ResultsInd[[#This Row],[Score-B]],ResultsInd[[#This Row],[Player A]],"")),""),"")</f>
        <v/>
      </c>
      <c r="T910" s="265" t="str">
        <f>IF(ResultsInd[[#This Row],[Score_OK]],IF(ResultsInd[[#This Row],[Stage]]="Groups",ResultsInd[[#This Row],[Category]]&amp;"-"&amp;IF(ResultsInd[[#This Row],[Player B]]="","",IF(ResultsInd[[#This Row],[Score-A]]=ResultsInd[[#This Row],[Score-B]],ResultsInd[[#This Row],[Player B]],"")),""),"")</f>
        <v/>
      </c>
      <c r="U9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0" s="264" t="str">
        <f>IF(ResultsInd[[#This Row],[Category]]="","",VLOOKUP(ResultsInd[[#This Row],[Stage]],$P$1:$V$9,MATCH(ResultsInd[[#This Row],[Category]],$Q$1:$V$1,0)+1,FALSE))</f>
        <v/>
      </c>
      <c r="Z910" s="264" t="str">
        <f>IF(ResultsInd[[#This Row],[Score_OK]],IF(ResultsInd[[#This Row],[Level]]="R",ResultsInd[[#This Row],[Category]]&amp;"-"&amp;IF(ResultsInd[[#This Row],[LoseInKO]]=ResultsInd[[#This Row],[Category]]&amp;"-"&amp;ResultsInd[[#This Row],[Player A]],ResultsInd[[#This Row],[Player B]],ResultsInd[[#This Row],[Player A]]),""),"")</f>
        <v/>
      </c>
      <c r="AB910" s="8"/>
      <c r="AC910" s="8"/>
      <c r="AE910" s="90"/>
      <c r="AF910" s="90"/>
      <c r="AP910" s="8"/>
      <c r="AQ910" s="8"/>
      <c r="AR910" s="8"/>
      <c r="AS910" s="8"/>
      <c r="AT910" s="8"/>
      <c r="AU910" s="8"/>
      <c r="AV910" s="8"/>
      <c r="AW910" s="8"/>
      <c r="AX910" s="8"/>
      <c r="AY910" s="90"/>
      <c r="AZ910" s="90"/>
      <c r="BA910" s="90"/>
      <c r="BB910" s="90"/>
      <c r="BC910" s="90"/>
      <c r="BD910" s="90"/>
      <c r="BE910" s="90"/>
      <c r="BF910" s="90"/>
    </row>
    <row r="911" spans="1:58" x14ac:dyDescent="0.2">
      <c r="A911" s="62"/>
      <c r="B911" s="62"/>
      <c r="C911" s="62"/>
      <c r="D911" s="62"/>
      <c r="E911" s="345"/>
      <c r="F911" s="345"/>
      <c r="G911" s="113"/>
      <c r="H911" s="113"/>
      <c r="I911" s="114"/>
      <c r="J911" s="114"/>
      <c r="K911" s="114"/>
      <c r="L911" s="81"/>
      <c r="M911" s="265" t="b">
        <f>NOT(ISERROR(ResultsInd[[#This Row],[Goal-A]]+ResultsInd[[#This Row],[Goal-B]]))</f>
        <v>1</v>
      </c>
      <c r="N911" s="265">
        <f>VALUE(ResultsInd[[#This Row],[Score-A]])</f>
        <v>0</v>
      </c>
      <c r="O911" s="265">
        <f>VALUE(ResultsInd[[#This Row],[Score-B]])</f>
        <v>0</v>
      </c>
      <c r="P911" s="265" t="str">
        <f ca="1">IF(AND(ResultsInd[[#This Row],[Category]]&lt;&gt;"",ResultsInd[[#This Row],[Player A]]&lt;&gt;""),COUNTIF(INDIRECT(ResultsInd[[#This Row],[Category]]&amp;"List[Retained Player Name]"),ResultsInd[[#This Row],[Player A]]),"")</f>
        <v/>
      </c>
      <c r="Q911" s="265" t="str">
        <f ca="1">IF(AND(ResultsInd[[#This Row],[Category]]&lt;&gt;"",ResultsInd[[#This Row],[Player B]]&lt;&gt;""),COUNTIF(INDIRECT(ResultsInd[[#This Row],[Category]]&amp;"List[Retained Player Name]"),ResultsInd[[#This Row],[Player B]]),"")</f>
        <v/>
      </c>
      <c r="R9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1" s="265" t="str">
        <f>IF(ResultsInd[[#This Row],[Score_OK]],IF(ResultsInd[[#This Row],[Stage]]="Groups",ResultsInd[[#This Row],[Category]]&amp;"-"&amp;IF(ResultsInd[[#This Row],[Player B]]="","",IF(ResultsInd[[#This Row],[Score-A]]=ResultsInd[[#This Row],[Score-B]],ResultsInd[[#This Row],[Player A]],"")),""),"")</f>
        <v/>
      </c>
      <c r="T911" s="265" t="str">
        <f>IF(ResultsInd[[#This Row],[Score_OK]],IF(ResultsInd[[#This Row],[Stage]]="Groups",ResultsInd[[#This Row],[Category]]&amp;"-"&amp;IF(ResultsInd[[#This Row],[Player B]]="","",IF(ResultsInd[[#This Row],[Score-A]]=ResultsInd[[#This Row],[Score-B]],ResultsInd[[#This Row],[Player B]],"")),""),"")</f>
        <v/>
      </c>
      <c r="U9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1" s="264" t="str">
        <f>IF(ResultsInd[[#This Row],[Category]]="","",VLOOKUP(ResultsInd[[#This Row],[Stage]],$P$1:$V$9,MATCH(ResultsInd[[#This Row],[Category]],$Q$1:$V$1,0)+1,FALSE))</f>
        <v/>
      </c>
      <c r="Z911" s="264" t="str">
        <f>IF(ResultsInd[[#This Row],[Score_OK]],IF(ResultsInd[[#This Row],[Level]]="R",ResultsInd[[#This Row],[Category]]&amp;"-"&amp;IF(ResultsInd[[#This Row],[LoseInKO]]=ResultsInd[[#This Row],[Category]]&amp;"-"&amp;ResultsInd[[#This Row],[Player A]],ResultsInd[[#This Row],[Player B]],ResultsInd[[#This Row],[Player A]]),""),"")</f>
        <v/>
      </c>
      <c r="AB911" s="8"/>
      <c r="AC911" s="8"/>
      <c r="AE911" s="90"/>
      <c r="AF911" s="90"/>
      <c r="AP911" s="8"/>
      <c r="AQ911" s="8"/>
      <c r="AR911" s="8"/>
      <c r="AS911" s="8"/>
      <c r="AT911" s="8"/>
      <c r="AU911" s="8"/>
      <c r="AV911" s="8"/>
      <c r="AW911" s="8"/>
      <c r="AX911" s="8"/>
      <c r="AY911" s="90"/>
      <c r="AZ911" s="90"/>
      <c r="BA911" s="90"/>
      <c r="BB911" s="90"/>
      <c r="BC911" s="90"/>
      <c r="BD911" s="90"/>
      <c r="BE911" s="90"/>
      <c r="BF911" s="90"/>
    </row>
    <row r="912" spans="1:58" x14ac:dyDescent="0.2">
      <c r="A912" s="62"/>
      <c r="B912" s="62"/>
      <c r="C912" s="62"/>
      <c r="D912" s="62"/>
      <c r="E912" s="345"/>
      <c r="F912" s="345"/>
      <c r="G912" s="113"/>
      <c r="H912" s="113"/>
      <c r="I912" s="114"/>
      <c r="J912" s="114"/>
      <c r="K912" s="114"/>
      <c r="L912" s="81"/>
      <c r="M912" s="265" t="b">
        <f>NOT(ISERROR(ResultsInd[[#This Row],[Goal-A]]+ResultsInd[[#This Row],[Goal-B]]))</f>
        <v>1</v>
      </c>
      <c r="N912" s="265">
        <f>VALUE(ResultsInd[[#This Row],[Score-A]])</f>
        <v>0</v>
      </c>
      <c r="O912" s="265">
        <f>VALUE(ResultsInd[[#This Row],[Score-B]])</f>
        <v>0</v>
      </c>
      <c r="P912" s="265" t="str">
        <f ca="1">IF(AND(ResultsInd[[#This Row],[Category]]&lt;&gt;"",ResultsInd[[#This Row],[Player A]]&lt;&gt;""),COUNTIF(INDIRECT(ResultsInd[[#This Row],[Category]]&amp;"List[Retained Player Name]"),ResultsInd[[#This Row],[Player A]]),"")</f>
        <v/>
      </c>
      <c r="Q912" s="265" t="str">
        <f ca="1">IF(AND(ResultsInd[[#This Row],[Category]]&lt;&gt;"",ResultsInd[[#This Row],[Player B]]&lt;&gt;""),COUNTIF(INDIRECT(ResultsInd[[#This Row],[Category]]&amp;"List[Retained Player Name]"),ResultsInd[[#This Row],[Player B]]),"")</f>
        <v/>
      </c>
      <c r="R9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2" s="265" t="str">
        <f>IF(ResultsInd[[#This Row],[Score_OK]],IF(ResultsInd[[#This Row],[Stage]]="Groups",ResultsInd[[#This Row],[Category]]&amp;"-"&amp;IF(ResultsInd[[#This Row],[Player B]]="","",IF(ResultsInd[[#This Row],[Score-A]]=ResultsInd[[#This Row],[Score-B]],ResultsInd[[#This Row],[Player A]],"")),""),"")</f>
        <v/>
      </c>
      <c r="T912" s="265" t="str">
        <f>IF(ResultsInd[[#This Row],[Score_OK]],IF(ResultsInd[[#This Row],[Stage]]="Groups",ResultsInd[[#This Row],[Category]]&amp;"-"&amp;IF(ResultsInd[[#This Row],[Player B]]="","",IF(ResultsInd[[#This Row],[Score-A]]=ResultsInd[[#This Row],[Score-B]],ResultsInd[[#This Row],[Player B]],"")),""),"")</f>
        <v/>
      </c>
      <c r="U9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2" s="264" t="str">
        <f>IF(ResultsInd[[#This Row],[Category]]="","",VLOOKUP(ResultsInd[[#This Row],[Stage]],$P$1:$V$9,MATCH(ResultsInd[[#This Row],[Category]],$Q$1:$V$1,0)+1,FALSE))</f>
        <v/>
      </c>
      <c r="Z912" s="264" t="str">
        <f>IF(ResultsInd[[#This Row],[Score_OK]],IF(ResultsInd[[#This Row],[Level]]="R",ResultsInd[[#This Row],[Category]]&amp;"-"&amp;IF(ResultsInd[[#This Row],[LoseInKO]]=ResultsInd[[#This Row],[Category]]&amp;"-"&amp;ResultsInd[[#This Row],[Player A]],ResultsInd[[#This Row],[Player B]],ResultsInd[[#This Row],[Player A]]),""),"")</f>
        <v/>
      </c>
      <c r="AB912" s="8"/>
      <c r="AC912" s="8"/>
      <c r="AE912" s="90"/>
      <c r="AF912" s="90"/>
      <c r="AP912" s="8"/>
      <c r="AQ912" s="8"/>
      <c r="AR912" s="8"/>
      <c r="AS912" s="8"/>
      <c r="AT912" s="8"/>
      <c r="AU912" s="8"/>
      <c r="AV912" s="8"/>
      <c r="AW912" s="8"/>
      <c r="AX912" s="8"/>
      <c r="AY912" s="90"/>
      <c r="AZ912" s="90"/>
      <c r="BA912" s="90"/>
      <c r="BB912" s="90"/>
      <c r="BC912" s="90"/>
      <c r="BD912" s="90"/>
      <c r="BE912" s="90"/>
      <c r="BF912" s="90"/>
    </row>
    <row r="913" spans="1:58" x14ac:dyDescent="0.2">
      <c r="A913" s="62"/>
      <c r="B913" s="62"/>
      <c r="C913" s="62"/>
      <c r="D913" s="62"/>
      <c r="E913" s="345"/>
      <c r="F913" s="345"/>
      <c r="G913" s="113"/>
      <c r="H913" s="113"/>
      <c r="I913" s="114"/>
      <c r="J913" s="114"/>
      <c r="K913" s="114"/>
      <c r="L913" s="81"/>
      <c r="M913" s="265" t="b">
        <f>NOT(ISERROR(ResultsInd[[#This Row],[Goal-A]]+ResultsInd[[#This Row],[Goal-B]]))</f>
        <v>1</v>
      </c>
      <c r="N913" s="265">
        <f>VALUE(ResultsInd[[#This Row],[Score-A]])</f>
        <v>0</v>
      </c>
      <c r="O913" s="265">
        <f>VALUE(ResultsInd[[#This Row],[Score-B]])</f>
        <v>0</v>
      </c>
      <c r="P913" s="265" t="str">
        <f ca="1">IF(AND(ResultsInd[[#This Row],[Category]]&lt;&gt;"",ResultsInd[[#This Row],[Player A]]&lt;&gt;""),COUNTIF(INDIRECT(ResultsInd[[#This Row],[Category]]&amp;"List[Retained Player Name]"),ResultsInd[[#This Row],[Player A]]),"")</f>
        <v/>
      </c>
      <c r="Q913" s="265" t="str">
        <f ca="1">IF(AND(ResultsInd[[#This Row],[Category]]&lt;&gt;"",ResultsInd[[#This Row],[Player B]]&lt;&gt;""),COUNTIF(INDIRECT(ResultsInd[[#This Row],[Category]]&amp;"List[Retained Player Name]"),ResultsInd[[#This Row],[Player B]]),"")</f>
        <v/>
      </c>
      <c r="R9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3" s="265" t="str">
        <f>IF(ResultsInd[[#This Row],[Score_OK]],IF(ResultsInd[[#This Row],[Stage]]="Groups",ResultsInd[[#This Row],[Category]]&amp;"-"&amp;IF(ResultsInd[[#This Row],[Player B]]="","",IF(ResultsInd[[#This Row],[Score-A]]=ResultsInd[[#This Row],[Score-B]],ResultsInd[[#This Row],[Player A]],"")),""),"")</f>
        <v/>
      </c>
      <c r="T913" s="265" t="str">
        <f>IF(ResultsInd[[#This Row],[Score_OK]],IF(ResultsInd[[#This Row],[Stage]]="Groups",ResultsInd[[#This Row],[Category]]&amp;"-"&amp;IF(ResultsInd[[#This Row],[Player B]]="","",IF(ResultsInd[[#This Row],[Score-A]]=ResultsInd[[#This Row],[Score-B]],ResultsInd[[#This Row],[Player B]],"")),""),"")</f>
        <v/>
      </c>
      <c r="U9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3" s="264" t="str">
        <f>IF(ResultsInd[[#This Row],[Category]]="","",VLOOKUP(ResultsInd[[#This Row],[Stage]],$P$1:$V$9,MATCH(ResultsInd[[#This Row],[Category]],$Q$1:$V$1,0)+1,FALSE))</f>
        <v/>
      </c>
      <c r="Z913" s="264" t="str">
        <f>IF(ResultsInd[[#This Row],[Score_OK]],IF(ResultsInd[[#This Row],[Level]]="R",ResultsInd[[#This Row],[Category]]&amp;"-"&amp;IF(ResultsInd[[#This Row],[LoseInKO]]=ResultsInd[[#This Row],[Category]]&amp;"-"&amp;ResultsInd[[#This Row],[Player A]],ResultsInd[[#This Row],[Player B]],ResultsInd[[#This Row],[Player A]]),""),"")</f>
        <v/>
      </c>
      <c r="AB913" s="8"/>
      <c r="AC913" s="8"/>
      <c r="AE913" s="90"/>
      <c r="AF913" s="90"/>
      <c r="AP913" s="8"/>
      <c r="AQ913" s="8"/>
      <c r="AR913" s="8"/>
      <c r="AS913" s="8"/>
      <c r="AT913" s="8"/>
      <c r="AU913" s="8"/>
      <c r="AV913" s="8"/>
      <c r="AW913" s="8"/>
      <c r="AX913" s="8"/>
      <c r="AY913" s="90"/>
      <c r="AZ913" s="90"/>
      <c r="BA913" s="90"/>
      <c r="BB913" s="90"/>
      <c r="BC913" s="90"/>
      <c r="BD913" s="90"/>
      <c r="BE913" s="90"/>
      <c r="BF913" s="90"/>
    </row>
    <row r="914" spans="1:58" x14ac:dyDescent="0.2">
      <c r="A914" s="62"/>
      <c r="B914" s="62"/>
      <c r="C914" s="62"/>
      <c r="D914" s="62"/>
      <c r="E914" s="345"/>
      <c r="F914" s="345"/>
      <c r="G914" s="113"/>
      <c r="H914" s="113"/>
      <c r="I914" s="114"/>
      <c r="J914" s="114"/>
      <c r="K914" s="114"/>
      <c r="L914" s="81"/>
      <c r="M914" s="265" t="b">
        <f>NOT(ISERROR(ResultsInd[[#This Row],[Goal-A]]+ResultsInd[[#This Row],[Goal-B]]))</f>
        <v>1</v>
      </c>
      <c r="N914" s="265">
        <f>VALUE(ResultsInd[[#This Row],[Score-A]])</f>
        <v>0</v>
      </c>
      <c r="O914" s="265">
        <f>VALUE(ResultsInd[[#This Row],[Score-B]])</f>
        <v>0</v>
      </c>
      <c r="P914" s="265" t="str">
        <f ca="1">IF(AND(ResultsInd[[#This Row],[Category]]&lt;&gt;"",ResultsInd[[#This Row],[Player A]]&lt;&gt;""),COUNTIF(INDIRECT(ResultsInd[[#This Row],[Category]]&amp;"List[Retained Player Name]"),ResultsInd[[#This Row],[Player A]]),"")</f>
        <v/>
      </c>
      <c r="Q914" s="265" t="str">
        <f ca="1">IF(AND(ResultsInd[[#This Row],[Category]]&lt;&gt;"",ResultsInd[[#This Row],[Player B]]&lt;&gt;""),COUNTIF(INDIRECT(ResultsInd[[#This Row],[Category]]&amp;"List[Retained Player Name]"),ResultsInd[[#This Row],[Player B]]),"")</f>
        <v/>
      </c>
      <c r="R9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4" s="265" t="str">
        <f>IF(ResultsInd[[#This Row],[Score_OK]],IF(ResultsInd[[#This Row],[Stage]]="Groups",ResultsInd[[#This Row],[Category]]&amp;"-"&amp;IF(ResultsInd[[#This Row],[Player B]]="","",IF(ResultsInd[[#This Row],[Score-A]]=ResultsInd[[#This Row],[Score-B]],ResultsInd[[#This Row],[Player A]],"")),""),"")</f>
        <v/>
      </c>
      <c r="T914" s="265" t="str">
        <f>IF(ResultsInd[[#This Row],[Score_OK]],IF(ResultsInd[[#This Row],[Stage]]="Groups",ResultsInd[[#This Row],[Category]]&amp;"-"&amp;IF(ResultsInd[[#This Row],[Player B]]="","",IF(ResultsInd[[#This Row],[Score-A]]=ResultsInd[[#This Row],[Score-B]],ResultsInd[[#This Row],[Player B]],"")),""),"")</f>
        <v/>
      </c>
      <c r="U9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4" s="264" t="str">
        <f>IF(ResultsInd[[#This Row],[Category]]="","",VLOOKUP(ResultsInd[[#This Row],[Stage]],$P$1:$V$9,MATCH(ResultsInd[[#This Row],[Category]],$Q$1:$V$1,0)+1,FALSE))</f>
        <v/>
      </c>
      <c r="Z914" s="264" t="str">
        <f>IF(ResultsInd[[#This Row],[Score_OK]],IF(ResultsInd[[#This Row],[Level]]="R",ResultsInd[[#This Row],[Category]]&amp;"-"&amp;IF(ResultsInd[[#This Row],[LoseInKO]]=ResultsInd[[#This Row],[Category]]&amp;"-"&amp;ResultsInd[[#This Row],[Player A]],ResultsInd[[#This Row],[Player B]],ResultsInd[[#This Row],[Player A]]),""),"")</f>
        <v/>
      </c>
      <c r="AB914" s="8"/>
      <c r="AC914" s="8"/>
      <c r="AE914" s="90"/>
      <c r="AF914" s="90"/>
      <c r="AP914" s="8"/>
      <c r="AQ914" s="8"/>
      <c r="AR914" s="8"/>
      <c r="AS914" s="8"/>
      <c r="AT914" s="8"/>
      <c r="AU914" s="8"/>
      <c r="AV914" s="8"/>
      <c r="AW914" s="8"/>
      <c r="AX914" s="8"/>
      <c r="AY914" s="90"/>
      <c r="AZ914" s="90"/>
      <c r="BA914" s="90"/>
      <c r="BB914" s="90"/>
      <c r="BC914" s="90"/>
      <c r="BD914" s="90"/>
      <c r="BE914" s="90"/>
      <c r="BF914" s="90"/>
    </row>
    <row r="915" spans="1:58" x14ac:dyDescent="0.2">
      <c r="A915" s="62"/>
      <c r="B915" s="62"/>
      <c r="C915" s="62"/>
      <c r="D915" s="62"/>
      <c r="E915" s="345"/>
      <c r="F915" s="345"/>
      <c r="G915" s="113"/>
      <c r="H915" s="113"/>
      <c r="I915" s="114"/>
      <c r="J915" s="114"/>
      <c r="K915" s="114"/>
      <c r="L915" s="81"/>
      <c r="M915" s="265" t="b">
        <f>NOT(ISERROR(ResultsInd[[#This Row],[Goal-A]]+ResultsInd[[#This Row],[Goal-B]]))</f>
        <v>1</v>
      </c>
      <c r="N915" s="265">
        <f>VALUE(ResultsInd[[#This Row],[Score-A]])</f>
        <v>0</v>
      </c>
      <c r="O915" s="265">
        <f>VALUE(ResultsInd[[#This Row],[Score-B]])</f>
        <v>0</v>
      </c>
      <c r="P915" s="265" t="str">
        <f ca="1">IF(AND(ResultsInd[[#This Row],[Category]]&lt;&gt;"",ResultsInd[[#This Row],[Player A]]&lt;&gt;""),COUNTIF(INDIRECT(ResultsInd[[#This Row],[Category]]&amp;"List[Retained Player Name]"),ResultsInd[[#This Row],[Player A]]),"")</f>
        <v/>
      </c>
      <c r="Q915" s="265" t="str">
        <f ca="1">IF(AND(ResultsInd[[#This Row],[Category]]&lt;&gt;"",ResultsInd[[#This Row],[Player B]]&lt;&gt;""),COUNTIF(INDIRECT(ResultsInd[[#This Row],[Category]]&amp;"List[Retained Player Name]"),ResultsInd[[#This Row],[Player B]]),"")</f>
        <v/>
      </c>
      <c r="R9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5" s="265" t="str">
        <f>IF(ResultsInd[[#This Row],[Score_OK]],IF(ResultsInd[[#This Row],[Stage]]="Groups",ResultsInd[[#This Row],[Category]]&amp;"-"&amp;IF(ResultsInd[[#This Row],[Player B]]="","",IF(ResultsInd[[#This Row],[Score-A]]=ResultsInd[[#This Row],[Score-B]],ResultsInd[[#This Row],[Player A]],"")),""),"")</f>
        <v/>
      </c>
      <c r="T915" s="265" t="str">
        <f>IF(ResultsInd[[#This Row],[Score_OK]],IF(ResultsInd[[#This Row],[Stage]]="Groups",ResultsInd[[#This Row],[Category]]&amp;"-"&amp;IF(ResultsInd[[#This Row],[Player B]]="","",IF(ResultsInd[[#This Row],[Score-A]]=ResultsInd[[#This Row],[Score-B]],ResultsInd[[#This Row],[Player B]],"")),""),"")</f>
        <v/>
      </c>
      <c r="U9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5" s="264" t="str">
        <f>IF(ResultsInd[[#This Row],[Category]]="","",VLOOKUP(ResultsInd[[#This Row],[Stage]],$P$1:$V$9,MATCH(ResultsInd[[#This Row],[Category]],$Q$1:$V$1,0)+1,FALSE))</f>
        <v/>
      </c>
      <c r="Z915" s="264" t="str">
        <f>IF(ResultsInd[[#This Row],[Score_OK]],IF(ResultsInd[[#This Row],[Level]]="R",ResultsInd[[#This Row],[Category]]&amp;"-"&amp;IF(ResultsInd[[#This Row],[LoseInKO]]=ResultsInd[[#This Row],[Category]]&amp;"-"&amp;ResultsInd[[#This Row],[Player A]],ResultsInd[[#This Row],[Player B]],ResultsInd[[#This Row],[Player A]]),""),"")</f>
        <v/>
      </c>
      <c r="AB915" s="8"/>
      <c r="AC915" s="8"/>
      <c r="AE915" s="90"/>
      <c r="AF915" s="90"/>
      <c r="AP915" s="8"/>
      <c r="AQ915" s="8"/>
      <c r="AR915" s="8"/>
      <c r="AS915" s="8"/>
      <c r="AT915" s="8"/>
      <c r="AU915" s="8"/>
      <c r="AV915" s="8"/>
      <c r="AW915" s="8"/>
      <c r="AX915" s="8"/>
      <c r="AY915" s="90"/>
      <c r="AZ915" s="90"/>
      <c r="BA915" s="90"/>
      <c r="BB915" s="90"/>
      <c r="BC915" s="90"/>
      <c r="BD915" s="90"/>
      <c r="BE915" s="90"/>
      <c r="BF915" s="90"/>
    </row>
    <row r="916" spans="1:58" x14ac:dyDescent="0.2">
      <c r="A916" s="62"/>
      <c r="B916" s="62"/>
      <c r="C916" s="62"/>
      <c r="D916" s="62"/>
      <c r="E916" s="345"/>
      <c r="F916" s="345"/>
      <c r="G916" s="113"/>
      <c r="H916" s="113"/>
      <c r="I916" s="114"/>
      <c r="J916" s="114"/>
      <c r="K916" s="114"/>
      <c r="L916" s="81"/>
      <c r="M916" s="265" t="b">
        <f>NOT(ISERROR(ResultsInd[[#This Row],[Goal-A]]+ResultsInd[[#This Row],[Goal-B]]))</f>
        <v>1</v>
      </c>
      <c r="N916" s="265">
        <f>VALUE(ResultsInd[[#This Row],[Score-A]])</f>
        <v>0</v>
      </c>
      <c r="O916" s="265">
        <f>VALUE(ResultsInd[[#This Row],[Score-B]])</f>
        <v>0</v>
      </c>
      <c r="P916" s="265" t="str">
        <f ca="1">IF(AND(ResultsInd[[#This Row],[Category]]&lt;&gt;"",ResultsInd[[#This Row],[Player A]]&lt;&gt;""),COUNTIF(INDIRECT(ResultsInd[[#This Row],[Category]]&amp;"List[Retained Player Name]"),ResultsInd[[#This Row],[Player A]]),"")</f>
        <v/>
      </c>
      <c r="Q916" s="265" t="str">
        <f ca="1">IF(AND(ResultsInd[[#This Row],[Category]]&lt;&gt;"",ResultsInd[[#This Row],[Player B]]&lt;&gt;""),COUNTIF(INDIRECT(ResultsInd[[#This Row],[Category]]&amp;"List[Retained Player Name]"),ResultsInd[[#This Row],[Player B]]),"")</f>
        <v/>
      </c>
      <c r="R9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6" s="265" t="str">
        <f>IF(ResultsInd[[#This Row],[Score_OK]],IF(ResultsInd[[#This Row],[Stage]]="Groups",ResultsInd[[#This Row],[Category]]&amp;"-"&amp;IF(ResultsInd[[#This Row],[Player B]]="","",IF(ResultsInd[[#This Row],[Score-A]]=ResultsInd[[#This Row],[Score-B]],ResultsInd[[#This Row],[Player A]],"")),""),"")</f>
        <v/>
      </c>
      <c r="T916" s="265" t="str">
        <f>IF(ResultsInd[[#This Row],[Score_OK]],IF(ResultsInd[[#This Row],[Stage]]="Groups",ResultsInd[[#This Row],[Category]]&amp;"-"&amp;IF(ResultsInd[[#This Row],[Player B]]="","",IF(ResultsInd[[#This Row],[Score-A]]=ResultsInd[[#This Row],[Score-B]],ResultsInd[[#This Row],[Player B]],"")),""),"")</f>
        <v/>
      </c>
      <c r="U9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6" s="264" t="str">
        <f>IF(ResultsInd[[#This Row],[Category]]="","",VLOOKUP(ResultsInd[[#This Row],[Stage]],$P$1:$V$9,MATCH(ResultsInd[[#This Row],[Category]],$Q$1:$V$1,0)+1,FALSE))</f>
        <v/>
      </c>
      <c r="Z916" s="264" t="str">
        <f>IF(ResultsInd[[#This Row],[Score_OK]],IF(ResultsInd[[#This Row],[Level]]="R",ResultsInd[[#This Row],[Category]]&amp;"-"&amp;IF(ResultsInd[[#This Row],[LoseInKO]]=ResultsInd[[#This Row],[Category]]&amp;"-"&amp;ResultsInd[[#This Row],[Player A]],ResultsInd[[#This Row],[Player B]],ResultsInd[[#This Row],[Player A]]),""),"")</f>
        <v/>
      </c>
      <c r="AB916" s="8"/>
      <c r="AC916" s="8"/>
      <c r="AE916" s="90"/>
      <c r="AF916" s="90"/>
      <c r="AP916" s="8"/>
      <c r="AQ916" s="8"/>
      <c r="AR916" s="8"/>
      <c r="AS916" s="8"/>
      <c r="AT916" s="8"/>
      <c r="AU916" s="8"/>
      <c r="AV916" s="8"/>
      <c r="AW916" s="8"/>
      <c r="AX916" s="8"/>
      <c r="AY916" s="90"/>
      <c r="AZ916" s="90"/>
      <c r="BA916" s="90"/>
      <c r="BB916" s="90"/>
      <c r="BC916" s="90"/>
      <c r="BD916" s="90"/>
      <c r="BE916" s="90"/>
      <c r="BF916" s="90"/>
    </row>
    <row r="917" spans="1:58" x14ac:dyDescent="0.2">
      <c r="A917" s="62"/>
      <c r="B917" s="62"/>
      <c r="C917" s="62"/>
      <c r="D917" s="62"/>
      <c r="E917" s="345"/>
      <c r="F917" s="345"/>
      <c r="G917" s="113"/>
      <c r="H917" s="113"/>
      <c r="I917" s="114"/>
      <c r="J917" s="114"/>
      <c r="K917" s="114"/>
      <c r="L917" s="81"/>
      <c r="M917" s="265" t="b">
        <f>NOT(ISERROR(ResultsInd[[#This Row],[Goal-A]]+ResultsInd[[#This Row],[Goal-B]]))</f>
        <v>1</v>
      </c>
      <c r="N917" s="265">
        <f>VALUE(ResultsInd[[#This Row],[Score-A]])</f>
        <v>0</v>
      </c>
      <c r="O917" s="265">
        <f>VALUE(ResultsInd[[#This Row],[Score-B]])</f>
        <v>0</v>
      </c>
      <c r="P917" s="265" t="str">
        <f ca="1">IF(AND(ResultsInd[[#This Row],[Category]]&lt;&gt;"",ResultsInd[[#This Row],[Player A]]&lt;&gt;""),COUNTIF(INDIRECT(ResultsInd[[#This Row],[Category]]&amp;"List[Retained Player Name]"),ResultsInd[[#This Row],[Player A]]),"")</f>
        <v/>
      </c>
      <c r="Q917" s="265" t="str">
        <f ca="1">IF(AND(ResultsInd[[#This Row],[Category]]&lt;&gt;"",ResultsInd[[#This Row],[Player B]]&lt;&gt;""),COUNTIF(INDIRECT(ResultsInd[[#This Row],[Category]]&amp;"List[Retained Player Name]"),ResultsInd[[#This Row],[Player B]]),"")</f>
        <v/>
      </c>
      <c r="R9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7" s="265" t="str">
        <f>IF(ResultsInd[[#This Row],[Score_OK]],IF(ResultsInd[[#This Row],[Stage]]="Groups",ResultsInd[[#This Row],[Category]]&amp;"-"&amp;IF(ResultsInd[[#This Row],[Player B]]="","",IF(ResultsInd[[#This Row],[Score-A]]=ResultsInd[[#This Row],[Score-B]],ResultsInd[[#This Row],[Player A]],"")),""),"")</f>
        <v/>
      </c>
      <c r="T917" s="265" t="str">
        <f>IF(ResultsInd[[#This Row],[Score_OK]],IF(ResultsInd[[#This Row],[Stage]]="Groups",ResultsInd[[#This Row],[Category]]&amp;"-"&amp;IF(ResultsInd[[#This Row],[Player B]]="","",IF(ResultsInd[[#This Row],[Score-A]]=ResultsInd[[#This Row],[Score-B]],ResultsInd[[#This Row],[Player B]],"")),""),"")</f>
        <v/>
      </c>
      <c r="U9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7" s="264" t="str">
        <f>IF(ResultsInd[[#This Row],[Category]]="","",VLOOKUP(ResultsInd[[#This Row],[Stage]],$P$1:$V$9,MATCH(ResultsInd[[#This Row],[Category]],$Q$1:$V$1,0)+1,FALSE))</f>
        <v/>
      </c>
      <c r="Z917" s="264" t="str">
        <f>IF(ResultsInd[[#This Row],[Score_OK]],IF(ResultsInd[[#This Row],[Level]]="R",ResultsInd[[#This Row],[Category]]&amp;"-"&amp;IF(ResultsInd[[#This Row],[LoseInKO]]=ResultsInd[[#This Row],[Category]]&amp;"-"&amp;ResultsInd[[#This Row],[Player A]],ResultsInd[[#This Row],[Player B]],ResultsInd[[#This Row],[Player A]]),""),"")</f>
        <v/>
      </c>
      <c r="AB917" s="8"/>
      <c r="AC917" s="8"/>
      <c r="AE917" s="90"/>
      <c r="AF917" s="90"/>
      <c r="AP917" s="8"/>
      <c r="AQ917" s="8"/>
      <c r="AR917" s="8"/>
      <c r="AS917" s="8"/>
      <c r="AT917" s="8"/>
      <c r="AU917" s="8"/>
      <c r="AV917" s="8"/>
      <c r="AW917" s="8"/>
      <c r="AX917" s="8"/>
      <c r="AY917" s="90"/>
      <c r="AZ917" s="90"/>
      <c r="BA917" s="90"/>
      <c r="BB917" s="90"/>
      <c r="BC917" s="90"/>
      <c r="BD917" s="90"/>
      <c r="BE917" s="90"/>
      <c r="BF917" s="90"/>
    </row>
    <row r="918" spans="1:58" x14ac:dyDescent="0.2">
      <c r="A918" s="62"/>
      <c r="B918" s="62"/>
      <c r="C918" s="62"/>
      <c r="D918" s="62"/>
      <c r="E918" s="345"/>
      <c r="F918" s="345"/>
      <c r="G918" s="113"/>
      <c r="H918" s="113"/>
      <c r="I918" s="114"/>
      <c r="J918" s="114"/>
      <c r="K918" s="114"/>
      <c r="L918" s="81"/>
      <c r="M918" s="265" t="b">
        <f>NOT(ISERROR(ResultsInd[[#This Row],[Goal-A]]+ResultsInd[[#This Row],[Goal-B]]))</f>
        <v>1</v>
      </c>
      <c r="N918" s="265">
        <f>VALUE(ResultsInd[[#This Row],[Score-A]])</f>
        <v>0</v>
      </c>
      <c r="O918" s="265">
        <f>VALUE(ResultsInd[[#This Row],[Score-B]])</f>
        <v>0</v>
      </c>
      <c r="P918" s="265" t="str">
        <f ca="1">IF(AND(ResultsInd[[#This Row],[Category]]&lt;&gt;"",ResultsInd[[#This Row],[Player A]]&lt;&gt;""),COUNTIF(INDIRECT(ResultsInd[[#This Row],[Category]]&amp;"List[Retained Player Name]"),ResultsInd[[#This Row],[Player A]]),"")</f>
        <v/>
      </c>
      <c r="Q918" s="265" t="str">
        <f ca="1">IF(AND(ResultsInd[[#This Row],[Category]]&lt;&gt;"",ResultsInd[[#This Row],[Player B]]&lt;&gt;""),COUNTIF(INDIRECT(ResultsInd[[#This Row],[Category]]&amp;"List[Retained Player Name]"),ResultsInd[[#This Row],[Player B]]),"")</f>
        <v/>
      </c>
      <c r="R9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8" s="265" t="str">
        <f>IF(ResultsInd[[#This Row],[Score_OK]],IF(ResultsInd[[#This Row],[Stage]]="Groups",ResultsInd[[#This Row],[Category]]&amp;"-"&amp;IF(ResultsInd[[#This Row],[Player B]]="","",IF(ResultsInd[[#This Row],[Score-A]]=ResultsInd[[#This Row],[Score-B]],ResultsInd[[#This Row],[Player A]],"")),""),"")</f>
        <v/>
      </c>
      <c r="T918" s="265" t="str">
        <f>IF(ResultsInd[[#This Row],[Score_OK]],IF(ResultsInd[[#This Row],[Stage]]="Groups",ResultsInd[[#This Row],[Category]]&amp;"-"&amp;IF(ResultsInd[[#This Row],[Player B]]="","",IF(ResultsInd[[#This Row],[Score-A]]=ResultsInd[[#This Row],[Score-B]],ResultsInd[[#This Row],[Player B]],"")),""),"")</f>
        <v/>
      </c>
      <c r="U9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8" s="264" t="str">
        <f>IF(ResultsInd[[#This Row],[Category]]="","",VLOOKUP(ResultsInd[[#This Row],[Stage]],$P$1:$V$9,MATCH(ResultsInd[[#This Row],[Category]],$Q$1:$V$1,0)+1,FALSE))</f>
        <v/>
      </c>
      <c r="Z918" s="264" t="str">
        <f>IF(ResultsInd[[#This Row],[Score_OK]],IF(ResultsInd[[#This Row],[Level]]="R",ResultsInd[[#This Row],[Category]]&amp;"-"&amp;IF(ResultsInd[[#This Row],[LoseInKO]]=ResultsInd[[#This Row],[Category]]&amp;"-"&amp;ResultsInd[[#This Row],[Player A]],ResultsInd[[#This Row],[Player B]],ResultsInd[[#This Row],[Player A]]),""),"")</f>
        <v/>
      </c>
      <c r="AB918" s="8"/>
      <c r="AC918" s="8"/>
      <c r="AE918" s="90"/>
      <c r="AF918" s="90"/>
      <c r="AP918" s="8"/>
      <c r="AQ918" s="8"/>
      <c r="AR918" s="8"/>
      <c r="AS918" s="8"/>
      <c r="AT918" s="8"/>
      <c r="AU918" s="8"/>
      <c r="AV918" s="8"/>
      <c r="AW918" s="8"/>
      <c r="AX918" s="8"/>
      <c r="AY918" s="90"/>
      <c r="AZ918" s="90"/>
      <c r="BA918" s="90"/>
      <c r="BB918" s="90"/>
      <c r="BC918" s="90"/>
      <c r="BD918" s="90"/>
      <c r="BE918" s="90"/>
      <c r="BF918" s="90"/>
    </row>
    <row r="919" spans="1:58" x14ac:dyDescent="0.2">
      <c r="A919" s="62"/>
      <c r="B919" s="62"/>
      <c r="C919" s="62"/>
      <c r="D919" s="62"/>
      <c r="E919" s="345"/>
      <c r="F919" s="345"/>
      <c r="G919" s="113"/>
      <c r="H919" s="113"/>
      <c r="I919" s="114"/>
      <c r="J919" s="114"/>
      <c r="K919" s="114"/>
      <c r="L919" s="81"/>
      <c r="M919" s="265" t="b">
        <f>NOT(ISERROR(ResultsInd[[#This Row],[Goal-A]]+ResultsInd[[#This Row],[Goal-B]]))</f>
        <v>1</v>
      </c>
      <c r="N919" s="265">
        <f>VALUE(ResultsInd[[#This Row],[Score-A]])</f>
        <v>0</v>
      </c>
      <c r="O919" s="265">
        <f>VALUE(ResultsInd[[#This Row],[Score-B]])</f>
        <v>0</v>
      </c>
      <c r="P919" s="265" t="str">
        <f ca="1">IF(AND(ResultsInd[[#This Row],[Category]]&lt;&gt;"",ResultsInd[[#This Row],[Player A]]&lt;&gt;""),COUNTIF(INDIRECT(ResultsInd[[#This Row],[Category]]&amp;"List[Retained Player Name]"),ResultsInd[[#This Row],[Player A]]),"")</f>
        <v/>
      </c>
      <c r="Q919" s="265" t="str">
        <f ca="1">IF(AND(ResultsInd[[#This Row],[Category]]&lt;&gt;"",ResultsInd[[#This Row],[Player B]]&lt;&gt;""),COUNTIF(INDIRECT(ResultsInd[[#This Row],[Category]]&amp;"List[Retained Player Name]"),ResultsInd[[#This Row],[Player B]]),"")</f>
        <v/>
      </c>
      <c r="R9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9" s="265" t="str">
        <f>IF(ResultsInd[[#This Row],[Score_OK]],IF(ResultsInd[[#This Row],[Stage]]="Groups",ResultsInd[[#This Row],[Category]]&amp;"-"&amp;IF(ResultsInd[[#This Row],[Player B]]="","",IF(ResultsInd[[#This Row],[Score-A]]=ResultsInd[[#This Row],[Score-B]],ResultsInd[[#This Row],[Player A]],"")),""),"")</f>
        <v/>
      </c>
      <c r="T919" s="265" t="str">
        <f>IF(ResultsInd[[#This Row],[Score_OK]],IF(ResultsInd[[#This Row],[Stage]]="Groups",ResultsInd[[#This Row],[Category]]&amp;"-"&amp;IF(ResultsInd[[#This Row],[Player B]]="","",IF(ResultsInd[[#This Row],[Score-A]]=ResultsInd[[#This Row],[Score-B]],ResultsInd[[#This Row],[Player B]],"")),""),"")</f>
        <v/>
      </c>
      <c r="U9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9" s="264" t="str">
        <f>IF(ResultsInd[[#This Row],[Category]]="","",VLOOKUP(ResultsInd[[#This Row],[Stage]],$P$1:$V$9,MATCH(ResultsInd[[#This Row],[Category]],$Q$1:$V$1,0)+1,FALSE))</f>
        <v/>
      </c>
      <c r="Z919" s="264" t="str">
        <f>IF(ResultsInd[[#This Row],[Score_OK]],IF(ResultsInd[[#This Row],[Level]]="R",ResultsInd[[#This Row],[Category]]&amp;"-"&amp;IF(ResultsInd[[#This Row],[LoseInKO]]=ResultsInd[[#This Row],[Category]]&amp;"-"&amp;ResultsInd[[#This Row],[Player A]],ResultsInd[[#This Row],[Player B]],ResultsInd[[#This Row],[Player A]]),""),"")</f>
        <v/>
      </c>
      <c r="AB919" s="8"/>
      <c r="AC919" s="8"/>
      <c r="AE919" s="90"/>
      <c r="AF919" s="90"/>
      <c r="AP919" s="8"/>
      <c r="AQ919" s="8"/>
      <c r="AR919" s="8"/>
      <c r="AS919" s="8"/>
      <c r="AT919" s="8"/>
      <c r="AU919" s="8"/>
      <c r="AV919" s="8"/>
      <c r="AW919" s="8"/>
      <c r="AX919" s="8"/>
      <c r="AY919" s="90"/>
      <c r="AZ919" s="90"/>
      <c r="BA919" s="90"/>
      <c r="BB919" s="90"/>
      <c r="BC919" s="90"/>
      <c r="BD919" s="90"/>
      <c r="BE919" s="90"/>
      <c r="BF919" s="90"/>
    </row>
    <row r="920" spans="1:58" x14ac:dyDescent="0.2">
      <c r="A920" s="62"/>
      <c r="B920" s="62"/>
      <c r="C920" s="62"/>
      <c r="D920" s="62"/>
      <c r="E920" s="345"/>
      <c r="F920" s="345"/>
      <c r="G920" s="113"/>
      <c r="H920" s="113"/>
      <c r="I920" s="114"/>
      <c r="J920" s="114"/>
      <c r="K920" s="114"/>
      <c r="L920" s="81"/>
      <c r="M920" s="265" t="b">
        <f>NOT(ISERROR(ResultsInd[[#This Row],[Goal-A]]+ResultsInd[[#This Row],[Goal-B]]))</f>
        <v>1</v>
      </c>
      <c r="N920" s="265">
        <f>VALUE(ResultsInd[[#This Row],[Score-A]])</f>
        <v>0</v>
      </c>
      <c r="O920" s="265">
        <f>VALUE(ResultsInd[[#This Row],[Score-B]])</f>
        <v>0</v>
      </c>
      <c r="P920" s="265" t="str">
        <f ca="1">IF(AND(ResultsInd[[#This Row],[Category]]&lt;&gt;"",ResultsInd[[#This Row],[Player A]]&lt;&gt;""),COUNTIF(INDIRECT(ResultsInd[[#This Row],[Category]]&amp;"List[Retained Player Name]"),ResultsInd[[#This Row],[Player A]]),"")</f>
        <v/>
      </c>
      <c r="Q920" s="265" t="str">
        <f ca="1">IF(AND(ResultsInd[[#This Row],[Category]]&lt;&gt;"",ResultsInd[[#This Row],[Player B]]&lt;&gt;""),COUNTIF(INDIRECT(ResultsInd[[#This Row],[Category]]&amp;"List[Retained Player Name]"),ResultsInd[[#This Row],[Player B]]),"")</f>
        <v/>
      </c>
      <c r="R9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0" s="265" t="str">
        <f>IF(ResultsInd[[#This Row],[Score_OK]],IF(ResultsInd[[#This Row],[Stage]]="Groups",ResultsInd[[#This Row],[Category]]&amp;"-"&amp;IF(ResultsInd[[#This Row],[Player B]]="","",IF(ResultsInd[[#This Row],[Score-A]]=ResultsInd[[#This Row],[Score-B]],ResultsInd[[#This Row],[Player A]],"")),""),"")</f>
        <v/>
      </c>
      <c r="T920" s="265" t="str">
        <f>IF(ResultsInd[[#This Row],[Score_OK]],IF(ResultsInd[[#This Row],[Stage]]="Groups",ResultsInd[[#This Row],[Category]]&amp;"-"&amp;IF(ResultsInd[[#This Row],[Player B]]="","",IF(ResultsInd[[#This Row],[Score-A]]=ResultsInd[[#This Row],[Score-B]],ResultsInd[[#This Row],[Player B]],"")),""),"")</f>
        <v/>
      </c>
      <c r="U9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0" s="264" t="str">
        <f>IF(ResultsInd[[#This Row],[Category]]="","",VLOOKUP(ResultsInd[[#This Row],[Stage]],$P$1:$V$9,MATCH(ResultsInd[[#This Row],[Category]],$Q$1:$V$1,0)+1,FALSE))</f>
        <v/>
      </c>
      <c r="Z920" s="264" t="str">
        <f>IF(ResultsInd[[#This Row],[Score_OK]],IF(ResultsInd[[#This Row],[Level]]="R",ResultsInd[[#This Row],[Category]]&amp;"-"&amp;IF(ResultsInd[[#This Row],[LoseInKO]]=ResultsInd[[#This Row],[Category]]&amp;"-"&amp;ResultsInd[[#This Row],[Player A]],ResultsInd[[#This Row],[Player B]],ResultsInd[[#This Row],[Player A]]),""),"")</f>
        <v/>
      </c>
      <c r="AB920" s="8"/>
      <c r="AC920" s="8"/>
      <c r="AE920" s="90"/>
      <c r="AF920" s="90"/>
      <c r="AP920" s="8"/>
      <c r="AQ920" s="8"/>
      <c r="AR920" s="8"/>
      <c r="AS920" s="8"/>
      <c r="AT920" s="8"/>
      <c r="AU920" s="8"/>
      <c r="AV920" s="8"/>
      <c r="AW920" s="8"/>
      <c r="AX920" s="8"/>
      <c r="AY920" s="90"/>
      <c r="AZ920" s="90"/>
      <c r="BA920" s="90"/>
      <c r="BB920" s="90"/>
      <c r="BC920" s="90"/>
      <c r="BD920" s="90"/>
      <c r="BE920" s="90"/>
      <c r="BF920" s="90"/>
    </row>
    <row r="921" spans="1:58" x14ac:dyDescent="0.2">
      <c r="A921" s="62"/>
      <c r="B921" s="62"/>
      <c r="C921" s="62"/>
      <c r="D921" s="62"/>
      <c r="E921" s="345"/>
      <c r="F921" s="345"/>
      <c r="G921" s="113"/>
      <c r="H921" s="113"/>
      <c r="I921" s="114"/>
      <c r="J921" s="114"/>
      <c r="K921" s="114"/>
      <c r="L921" s="81"/>
      <c r="M921" s="265" t="b">
        <f>NOT(ISERROR(ResultsInd[[#This Row],[Goal-A]]+ResultsInd[[#This Row],[Goal-B]]))</f>
        <v>1</v>
      </c>
      <c r="N921" s="265">
        <f>VALUE(ResultsInd[[#This Row],[Score-A]])</f>
        <v>0</v>
      </c>
      <c r="O921" s="265">
        <f>VALUE(ResultsInd[[#This Row],[Score-B]])</f>
        <v>0</v>
      </c>
      <c r="P921" s="265" t="str">
        <f ca="1">IF(AND(ResultsInd[[#This Row],[Category]]&lt;&gt;"",ResultsInd[[#This Row],[Player A]]&lt;&gt;""),COUNTIF(INDIRECT(ResultsInd[[#This Row],[Category]]&amp;"List[Retained Player Name]"),ResultsInd[[#This Row],[Player A]]),"")</f>
        <v/>
      </c>
      <c r="Q921" s="265" t="str">
        <f ca="1">IF(AND(ResultsInd[[#This Row],[Category]]&lt;&gt;"",ResultsInd[[#This Row],[Player B]]&lt;&gt;""),COUNTIF(INDIRECT(ResultsInd[[#This Row],[Category]]&amp;"List[Retained Player Name]"),ResultsInd[[#This Row],[Player B]]),"")</f>
        <v/>
      </c>
      <c r="R9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1" s="265" t="str">
        <f>IF(ResultsInd[[#This Row],[Score_OK]],IF(ResultsInd[[#This Row],[Stage]]="Groups",ResultsInd[[#This Row],[Category]]&amp;"-"&amp;IF(ResultsInd[[#This Row],[Player B]]="","",IF(ResultsInd[[#This Row],[Score-A]]=ResultsInd[[#This Row],[Score-B]],ResultsInd[[#This Row],[Player A]],"")),""),"")</f>
        <v/>
      </c>
      <c r="T921" s="265" t="str">
        <f>IF(ResultsInd[[#This Row],[Score_OK]],IF(ResultsInd[[#This Row],[Stage]]="Groups",ResultsInd[[#This Row],[Category]]&amp;"-"&amp;IF(ResultsInd[[#This Row],[Player B]]="","",IF(ResultsInd[[#This Row],[Score-A]]=ResultsInd[[#This Row],[Score-B]],ResultsInd[[#This Row],[Player B]],"")),""),"")</f>
        <v/>
      </c>
      <c r="U9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1" s="264" t="str">
        <f>IF(ResultsInd[[#This Row],[Category]]="","",VLOOKUP(ResultsInd[[#This Row],[Stage]],$P$1:$V$9,MATCH(ResultsInd[[#This Row],[Category]],$Q$1:$V$1,0)+1,FALSE))</f>
        <v/>
      </c>
      <c r="Z921" s="264" t="str">
        <f>IF(ResultsInd[[#This Row],[Score_OK]],IF(ResultsInd[[#This Row],[Level]]="R",ResultsInd[[#This Row],[Category]]&amp;"-"&amp;IF(ResultsInd[[#This Row],[LoseInKO]]=ResultsInd[[#This Row],[Category]]&amp;"-"&amp;ResultsInd[[#This Row],[Player A]],ResultsInd[[#This Row],[Player B]],ResultsInd[[#This Row],[Player A]]),""),"")</f>
        <v/>
      </c>
      <c r="AB921" s="8"/>
      <c r="AC921" s="8"/>
      <c r="AE921" s="90"/>
      <c r="AF921" s="90"/>
      <c r="AP921" s="8"/>
      <c r="AQ921" s="8"/>
      <c r="AR921" s="8"/>
      <c r="AS921" s="8"/>
      <c r="AT921" s="8"/>
      <c r="AU921" s="8"/>
      <c r="AV921" s="8"/>
      <c r="AW921" s="8"/>
      <c r="AX921" s="8"/>
      <c r="AY921" s="90"/>
      <c r="AZ921" s="90"/>
      <c r="BA921" s="90"/>
      <c r="BB921" s="90"/>
      <c r="BC921" s="90"/>
      <c r="BD921" s="90"/>
      <c r="BE921" s="90"/>
      <c r="BF921" s="90"/>
    </row>
    <row r="922" spans="1:58" x14ac:dyDescent="0.2">
      <c r="A922" s="62"/>
      <c r="B922" s="62"/>
      <c r="C922" s="62"/>
      <c r="D922" s="62"/>
      <c r="E922" s="345"/>
      <c r="F922" s="345"/>
      <c r="G922" s="113"/>
      <c r="H922" s="113"/>
      <c r="I922" s="114"/>
      <c r="J922" s="114"/>
      <c r="K922" s="114"/>
      <c r="L922" s="81"/>
      <c r="M922" s="265" t="b">
        <f>NOT(ISERROR(ResultsInd[[#This Row],[Goal-A]]+ResultsInd[[#This Row],[Goal-B]]))</f>
        <v>1</v>
      </c>
      <c r="N922" s="265">
        <f>VALUE(ResultsInd[[#This Row],[Score-A]])</f>
        <v>0</v>
      </c>
      <c r="O922" s="265">
        <f>VALUE(ResultsInd[[#This Row],[Score-B]])</f>
        <v>0</v>
      </c>
      <c r="P922" s="265" t="str">
        <f ca="1">IF(AND(ResultsInd[[#This Row],[Category]]&lt;&gt;"",ResultsInd[[#This Row],[Player A]]&lt;&gt;""),COUNTIF(INDIRECT(ResultsInd[[#This Row],[Category]]&amp;"List[Retained Player Name]"),ResultsInd[[#This Row],[Player A]]),"")</f>
        <v/>
      </c>
      <c r="Q922" s="265" t="str">
        <f ca="1">IF(AND(ResultsInd[[#This Row],[Category]]&lt;&gt;"",ResultsInd[[#This Row],[Player B]]&lt;&gt;""),COUNTIF(INDIRECT(ResultsInd[[#This Row],[Category]]&amp;"List[Retained Player Name]"),ResultsInd[[#This Row],[Player B]]),"")</f>
        <v/>
      </c>
      <c r="R9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2" s="265" t="str">
        <f>IF(ResultsInd[[#This Row],[Score_OK]],IF(ResultsInd[[#This Row],[Stage]]="Groups",ResultsInd[[#This Row],[Category]]&amp;"-"&amp;IF(ResultsInd[[#This Row],[Player B]]="","",IF(ResultsInd[[#This Row],[Score-A]]=ResultsInd[[#This Row],[Score-B]],ResultsInd[[#This Row],[Player A]],"")),""),"")</f>
        <v/>
      </c>
      <c r="T922" s="265" t="str">
        <f>IF(ResultsInd[[#This Row],[Score_OK]],IF(ResultsInd[[#This Row],[Stage]]="Groups",ResultsInd[[#This Row],[Category]]&amp;"-"&amp;IF(ResultsInd[[#This Row],[Player B]]="","",IF(ResultsInd[[#This Row],[Score-A]]=ResultsInd[[#This Row],[Score-B]],ResultsInd[[#This Row],[Player B]],"")),""),"")</f>
        <v/>
      </c>
      <c r="U9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2" s="264" t="str">
        <f>IF(ResultsInd[[#This Row],[Category]]="","",VLOOKUP(ResultsInd[[#This Row],[Stage]],$P$1:$V$9,MATCH(ResultsInd[[#This Row],[Category]],$Q$1:$V$1,0)+1,FALSE))</f>
        <v/>
      </c>
      <c r="Z922" s="264" t="str">
        <f>IF(ResultsInd[[#This Row],[Score_OK]],IF(ResultsInd[[#This Row],[Level]]="R",ResultsInd[[#This Row],[Category]]&amp;"-"&amp;IF(ResultsInd[[#This Row],[LoseInKO]]=ResultsInd[[#This Row],[Category]]&amp;"-"&amp;ResultsInd[[#This Row],[Player A]],ResultsInd[[#This Row],[Player B]],ResultsInd[[#This Row],[Player A]]),""),"")</f>
        <v/>
      </c>
      <c r="AB922" s="8"/>
      <c r="AC922" s="8"/>
      <c r="AE922" s="90"/>
      <c r="AF922" s="90"/>
      <c r="AP922" s="8"/>
      <c r="AQ922" s="8"/>
      <c r="AR922" s="8"/>
      <c r="AS922" s="8"/>
      <c r="AT922" s="8"/>
      <c r="AU922" s="8"/>
      <c r="AV922" s="8"/>
      <c r="AW922" s="8"/>
      <c r="AX922" s="8"/>
      <c r="AY922" s="90"/>
      <c r="AZ922" s="90"/>
      <c r="BA922" s="90"/>
      <c r="BB922" s="90"/>
      <c r="BC922" s="90"/>
      <c r="BD922" s="90"/>
      <c r="BE922" s="90"/>
      <c r="BF922" s="90"/>
    </row>
    <row r="923" spans="1:58" x14ac:dyDescent="0.2">
      <c r="A923" s="62"/>
      <c r="B923" s="62"/>
      <c r="C923" s="62"/>
      <c r="D923" s="62"/>
      <c r="E923" s="345"/>
      <c r="F923" s="345"/>
      <c r="G923" s="113"/>
      <c r="H923" s="113"/>
      <c r="I923" s="114"/>
      <c r="J923" s="114"/>
      <c r="K923" s="114"/>
      <c r="L923" s="81"/>
      <c r="M923" s="265" t="b">
        <f>NOT(ISERROR(ResultsInd[[#This Row],[Goal-A]]+ResultsInd[[#This Row],[Goal-B]]))</f>
        <v>1</v>
      </c>
      <c r="N923" s="265">
        <f>VALUE(ResultsInd[[#This Row],[Score-A]])</f>
        <v>0</v>
      </c>
      <c r="O923" s="265">
        <f>VALUE(ResultsInd[[#This Row],[Score-B]])</f>
        <v>0</v>
      </c>
      <c r="P923" s="265" t="str">
        <f ca="1">IF(AND(ResultsInd[[#This Row],[Category]]&lt;&gt;"",ResultsInd[[#This Row],[Player A]]&lt;&gt;""),COUNTIF(INDIRECT(ResultsInd[[#This Row],[Category]]&amp;"List[Retained Player Name]"),ResultsInd[[#This Row],[Player A]]),"")</f>
        <v/>
      </c>
      <c r="Q923" s="265" t="str">
        <f ca="1">IF(AND(ResultsInd[[#This Row],[Category]]&lt;&gt;"",ResultsInd[[#This Row],[Player B]]&lt;&gt;""),COUNTIF(INDIRECT(ResultsInd[[#This Row],[Category]]&amp;"List[Retained Player Name]"),ResultsInd[[#This Row],[Player B]]),"")</f>
        <v/>
      </c>
      <c r="R9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3" s="265" t="str">
        <f>IF(ResultsInd[[#This Row],[Score_OK]],IF(ResultsInd[[#This Row],[Stage]]="Groups",ResultsInd[[#This Row],[Category]]&amp;"-"&amp;IF(ResultsInd[[#This Row],[Player B]]="","",IF(ResultsInd[[#This Row],[Score-A]]=ResultsInd[[#This Row],[Score-B]],ResultsInd[[#This Row],[Player A]],"")),""),"")</f>
        <v/>
      </c>
      <c r="T923" s="265" t="str">
        <f>IF(ResultsInd[[#This Row],[Score_OK]],IF(ResultsInd[[#This Row],[Stage]]="Groups",ResultsInd[[#This Row],[Category]]&amp;"-"&amp;IF(ResultsInd[[#This Row],[Player B]]="","",IF(ResultsInd[[#This Row],[Score-A]]=ResultsInd[[#This Row],[Score-B]],ResultsInd[[#This Row],[Player B]],"")),""),"")</f>
        <v/>
      </c>
      <c r="U9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3" s="264" t="str">
        <f>IF(ResultsInd[[#This Row],[Category]]="","",VLOOKUP(ResultsInd[[#This Row],[Stage]],$P$1:$V$9,MATCH(ResultsInd[[#This Row],[Category]],$Q$1:$V$1,0)+1,FALSE))</f>
        <v/>
      </c>
      <c r="Z923" s="264" t="str">
        <f>IF(ResultsInd[[#This Row],[Score_OK]],IF(ResultsInd[[#This Row],[Level]]="R",ResultsInd[[#This Row],[Category]]&amp;"-"&amp;IF(ResultsInd[[#This Row],[LoseInKO]]=ResultsInd[[#This Row],[Category]]&amp;"-"&amp;ResultsInd[[#This Row],[Player A]],ResultsInd[[#This Row],[Player B]],ResultsInd[[#This Row],[Player A]]),""),"")</f>
        <v/>
      </c>
      <c r="AB923" s="8"/>
      <c r="AC923" s="8"/>
      <c r="AE923" s="90"/>
      <c r="AF923" s="90"/>
      <c r="AP923" s="8"/>
      <c r="AQ923" s="8"/>
      <c r="AR923" s="8"/>
      <c r="AS923" s="8"/>
      <c r="AT923" s="8"/>
      <c r="AU923" s="8"/>
      <c r="AV923" s="8"/>
      <c r="AW923" s="8"/>
      <c r="AX923" s="8"/>
      <c r="AY923" s="90"/>
      <c r="AZ923" s="90"/>
      <c r="BA923" s="90"/>
      <c r="BB923" s="90"/>
      <c r="BC923" s="90"/>
      <c r="BD923" s="90"/>
      <c r="BE923" s="90"/>
      <c r="BF923" s="90"/>
    </row>
    <row r="924" spans="1:58" x14ac:dyDescent="0.2">
      <c r="A924" s="62"/>
      <c r="B924" s="62"/>
      <c r="C924" s="62"/>
      <c r="D924" s="62"/>
      <c r="E924" s="345"/>
      <c r="F924" s="345"/>
      <c r="G924" s="113"/>
      <c r="H924" s="113"/>
      <c r="I924" s="114"/>
      <c r="J924" s="114"/>
      <c r="K924" s="114"/>
      <c r="L924" s="81"/>
      <c r="M924" s="265" t="b">
        <f>NOT(ISERROR(ResultsInd[[#This Row],[Goal-A]]+ResultsInd[[#This Row],[Goal-B]]))</f>
        <v>1</v>
      </c>
      <c r="N924" s="265">
        <f>VALUE(ResultsInd[[#This Row],[Score-A]])</f>
        <v>0</v>
      </c>
      <c r="O924" s="265">
        <f>VALUE(ResultsInd[[#This Row],[Score-B]])</f>
        <v>0</v>
      </c>
      <c r="P924" s="265" t="str">
        <f ca="1">IF(AND(ResultsInd[[#This Row],[Category]]&lt;&gt;"",ResultsInd[[#This Row],[Player A]]&lt;&gt;""),COUNTIF(INDIRECT(ResultsInd[[#This Row],[Category]]&amp;"List[Retained Player Name]"),ResultsInd[[#This Row],[Player A]]),"")</f>
        <v/>
      </c>
      <c r="Q924" s="265" t="str">
        <f ca="1">IF(AND(ResultsInd[[#This Row],[Category]]&lt;&gt;"",ResultsInd[[#This Row],[Player B]]&lt;&gt;""),COUNTIF(INDIRECT(ResultsInd[[#This Row],[Category]]&amp;"List[Retained Player Name]"),ResultsInd[[#This Row],[Player B]]),"")</f>
        <v/>
      </c>
      <c r="R9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4" s="265" t="str">
        <f>IF(ResultsInd[[#This Row],[Score_OK]],IF(ResultsInd[[#This Row],[Stage]]="Groups",ResultsInd[[#This Row],[Category]]&amp;"-"&amp;IF(ResultsInd[[#This Row],[Player B]]="","",IF(ResultsInd[[#This Row],[Score-A]]=ResultsInd[[#This Row],[Score-B]],ResultsInd[[#This Row],[Player A]],"")),""),"")</f>
        <v/>
      </c>
      <c r="T924" s="265" t="str">
        <f>IF(ResultsInd[[#This Row],[Score_OK]],IF(ResultsInd[[#This Row],[Stage]]="Groups",ResultsInd[[#This Row],[Category]]&amp;"-"&amp;IF(ResultsInd[[#This Row],[Player B]]="","",IF(ResultsInd[[#This Row],[Score-A]]=ResultsInd[[#This Row],[Score-B]],ResultsInd[[#This Row],[Player B]],"")),""),"")</f>
        <v/>
      </c>
      <c r="U9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4" s="264" t="str">
        <f>IF(ResultsInd[[#This Row],[Category]]="","",VLOOKUP(ResultsInd[[#This Row],[Stage]],$P$1:$V$9,MATCH(ResultsInd[[#This Row],[Category]],$Q$1:$V$1,0)+1,FALSE))</f>
        <v/>
      </c>
      <c r="Z924" s="264" t="str">
        <f>IF(ResultsInd[[#This Row],[Score_OK]],IF(ResultsInd[[#This Row],[Level]]="R",ResultsInd[[#This Row],[Category]]&amp;"-"&amp;IF(ResultsInd[[#This Row],[LoseInKO]]=ResultsInd[[#This Row],[Category]]&amp;"-"&amp;ResultsInd[[#This Row],[Player A]],ResultsInd[[#This Row],[Player B]],ResultsInd[[#This Row],[Player A]]),""),"")</f>
        <v/>
      </c>
      <c r="AB924" s="8"/>
      <c r="AC924" s="8"/>
      <c r="AE924" s="90"/>
      <c r="AF924" s="90"/>
      <c r="AP924" s="8"/>
      <c r="AQ924" s="8"/>
      <c r="AR924" s="8"/>
      <c r="AS924" s="8"/>
      <c r="AT924" s="8"/>
      <c r="AU924" s="8"/>
      <c r="AV924" s="8"/>
      <c r="AW924" s="8"/>
      <c r="AX924" s="8"/>
      <c r="AY924" s="90"/>
      <c r="AZ924" s="90"/>
      <c r="BA924" s="90"/>
      <c r="BB924" s="90"/>
      <c r="BC924" s="90"/>
      <c r="BD924" s="90"/>
      <c r="BE924" s="90"/>
      <c r="BF924" s="90"/>
    </row>
    <row r="925" spans="1:58" x14ac:dyDescent="0.2">
      <c r="A925" s="62"/>
      <c r="B925" s="62"/>
      <c r="C925" s="62"/>
      <c r="D925" s="62"/>
      <c r="E925" s="345"/>
      <c r="F925" s="345"/>
      <c r="G925" s="113"/>
      <c r="H925" s="113"/>
      <c r="I925" s="114"/>
      <c r="J925" s="114"/>
      <c r="K925" s="114"/>
      <c r="L925" s="81"/>
      <c r="M925" s="265" t="b">
        <f>NOT(ISERROR(ResultsInd[[#This Row],[Goal-A]]+ResultsInd[[#This Row],[Goal-B]]))</f>
        <v>1</v>
      </c>
      <c r="N925" s="265">
        <f>VALUE(ResultsInd[[#This Row],[Score-A]])</f>
        <v>0</v>
      </c>
      <c r="O925" s="265">
        <f>VALUE(ResultsInd[[#This Row],[Score-B]])</f>
        <v>0</v>
      </c>
      <c r="P925" s="265" t="str">
        <f ca="1">IF(AND(ResultsInd[[#This Row],[Category]]&lt;&gt;"",ResultsInd[[#This Row],[Player A]]&lt;&gt;""),COUNTIF(INDIRECT(ResultsInd[[#This Row],[Category]]&amp;"List[Retained Player Name]"),ResultsInd[[#This Row],[Player A]]),"")</f>
        <v/>
      </c>
      <c r="Q925" s="265" t="str">
        <f ca="1">IF(AND(ResultsInd[[#This Row],[Category]]&lt;&gt;"",ResultsInd[[#This Row],[Player B]]&lt;&gt;""),COUNTIF(INDIRECT(ResultsInd[[#This Row],[Category]]&amp;"List[Retained Player Name]"),ResultsInd[[#This Row],[Player B]]),"")</f>
        <v/>
      </c>
      <c r="R9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5" s="265" t="str">
        <f>IF(ResultsInd[[#This Row],[Score_OK]],IF(ResultsInd[[#This Row],[Stage]]="Groups",ResultsInd[[#This Row],[Category]]&amp;"-"&amp;IF(ResultsInd[[#This Row],[Player B]]="","",IF(ResultsInd[[#This Row],[Score-A]]=ResultsInd[[#This Row],[Score-B]],ResultsInd[[#This Row],[Player A]],"")),""),"")</f>
        <v/>
      </c>
      <c r="T925" s="265" t="str">
        <f>IF(ResultsInd[[#This Row],[Score_OK]],IF(ResultsInd[[#This Row],[Stage]]="Groups",ResultsInd[[#This Row],[Category]]&amp;"-"&amp;IF(ResultsInd[[#This Row],[Player B]]="","",IF(ResultsInd[[#This Row],[Score-A]]=ResultsInd[[#This Row],[Score-B]],ResultsInd[[#This Row],[Player B]],"")),""),"")</f>
        <v/>
      </c>
      <c r="U9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5" s="264" t="str">
        <f>IF(ResultsInd[[#This Row],[Category]]="","",VLOOKUP(ResultsInd[[#This Row],[Stage]],$P$1:$V$9,MATCH(ResultsInd[[#This Row],[Category]],$Q$1:$V$1,0)+1,FALSE))</f>
        <v/>
      </c>
      <c r="Z925" s="264" t="str">
        <f>IF(ResultsInd[[#This Row],[Score_OK]],IF(ResultsInd[[#This Row],[Level]]="R",ResultsInd[[#This Row],[Category]]&amp;"-"&amp;IF(ResultsInd[[#This Row],[LoseInKO]]=ResultsInd[[#This Row],[Category]]&amp;"-"&amp;ResultsInd[[#This Row],[Player A]],ResultsInd[[#This Row],[Player B]],ResultsInd[[#This Row],[Player A]]),""),"")</f>
        <v/>
      </c>
      <c r="AB925" s="8"/>
      <c r="AC925" s="8"/>
      <c r="AE925" s="90"/>
      <c r="AF925" s="90"/>
      <c r="AP925" s="8"/>
      <c r="AQ925" s="8"/>
      <c r="AR925" s="8"/>
      <c r="AS925" s="8"/>
      <c r="AT925" s="8"/>
      <c r="AU925" s="8"/>
      <c r="AV925" s="8"/>
      <c r="AW925" s="8"/>
      <c r="AX925" s="8"/>
      <c r="AY925" s="90"/>
      <c r="AZ925" s="90"/>
      <c r="BA925" s="90"/>
      <c r="BB925" s="90"/>
      <c r="BC925" s="90"/>
      <c r="BD925" s="90"/>
      <c r="BE925" s="90"/>
      <c r="BF925" s="90"/>
    </row>
    <row r="926" spans="1:58" x14ac:dyDescent="0.2">
      <c r="A926" s="62"/>
      <c r="B926" s="62"/>
      <c r="C926" s="62"/>
      <c r="D926" s="62"/>
      <c r="E926" s="345"/>
      <c r="F926" s="345"/>
      <c r="G926" s="113"/>
      <c r="H926" s="113"/>
      <c r="I926" s="114"/>
      <c r="J926" s="114"/>
      <c r="K926" s="114"/>
      <c r="L926" s="81"/>
      <c r="M926" s="265" t="b">
        <f>NOT(ISERROR(ResultsInd[[#This Row],[Goal-A]]+ResultsInd[[#This Row],[Goal-B]]))</f>
        <v>1</v>
      </c>
      <c r="N926" s="265">
        <f>VALUE(ResultsInd[[#This Row],[Score-A]])</f>
        <v>0</v>
      </c>
      <c r="O926" s="265">
        <f>VALUE(ResultsInd[[#This Row],[Score-B]])</f>
        <v>0</v>
      </c>
      <c r="P926" s="265" t="str">
        <f ca="1">IF(AND(ResultsInd[[#This Row],[Category]]&lt;&gt;"",ResultsInd[[#This Row],[Player A]]&lt;&gt;""),COUNTIF(INDIRECT(ResultsInd[[#This Row],[Category]]&amp;"List[Retained Player Name]"),ResultsInd[[#This Row],[Player A]]),"")</f>
        <v/>
      </c>
      <c r="Q926" s="265" t="str">
        <f ca="1">IF(AND(ResultsInd[[#This Row],[Category]]&lt;&gt;"",ResultsInd[[#This Row],[Player B]]&lt;&gt;""),COUNTIF(INDIRECT(ResultsInd[[#This Row],[Category]]&amp;"List[Retained Player Name]"),ResultsInd[[#This Row],[Player B]]),"")</f>
        <v/>
      </c>
      <c r="R9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6" s="265" t="str">
        <f>IF(ResultsInd[[#This Row],[Score_OK]],IF(ResultsInd[[#This Row],[Stage]]="Groups",ResultsInd[[#This Row],[Category]]&amp;"-"&amp;IF(ResultsInd[[#This Row],[Player B]]="","",IF(ResultsInd[[#This Row],[Score-A]]=ResultsInd[[#This Row],[Score-B]],ResultsInd[[#This Row],[Player A]],"")),""),"")</f>
        <v/>
      </c>
      <c r="T926" s="265" t="str">
        <f>IF(ResultsInd[[#This Row],[Score_OK]],IF(ResultsInd[[#This Row],[Stage]]="Groups",ResultsInd[[#This Row],[Category]]&amp;"-"&amp;IF(ResultsInd[[#This Row],[Player B]]="","",IF(ResultsInd[[#This Row],[Score-A]]=ResultsInd[[#This Row],[Score-B]],ResultsInd[[#This Row],[Player B]],"")),""),"")</f>
        <v/>
      </c>
      <c r="U9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6" s="264" t="str">
        <f>IF(ResultsInd[[#This Row],[Category]]="","",VLOOKUP(ResultsInd[[#This Row],[Stage]],$P$1:$V$9,MATCH(ResultsInd[[#This Row],[Category]],$Q$1:$V$1,0)+1,FALSE))</f>
        <v/>
      </c>
      <c r="Z926" s="264" t="str">
        <f>IF(ResultsInd[[#This Row],[Score_OK]],IF(ResultsInd[[#This Row],[Level]]="R",ResultsInd[[#This Row],[Category]]&amp;"-"&amp;IF(ResultsInd[[#This Row],[LoseInKO]]=ResultsInd[[#This Row],[Category]]&amp;"-"&amp;ResultsInd[[#This Row],[Player A]],ResultsInd[[#This Row],[Player B]],ResultsInd[[#This Row],[Player A]]),""),"")</f>
        <v/>
      </c>
      <c r="AB926" s="8"/>
      <c r="AC926" s="8"/>
      <c r="AE926" s="90"/>
      <c r="AF926" s="90"/>
      <c r="AP926" s="8"/>
      <c r="AQ926" s="8"/>
      <c r="AR926" s="8"/>
      <c r="AS926" s="8"/>
      <c r="AT926" s="8"/>
      <c r="AU926" s="8"/>
      <c r="AV926" s="8"/>
      <c r="AW926" s="8"/>
      <c r="AX926" s="8"/>
      <c r="AY926" s="90"/>
      <c r="AZ926" s="90"/>
      <c r="BA926" s="90"/>
      <c r="BB926" s="90"/>
      <c r="BC926" s="90"/>
      <c r="BD926" s="90"/>
      <c r="BE926" s="90"/>
      <c r="BF926" s="90"/>
    </row>
    <row r="927" spans="1:58" x14ac:dyDescent="0.2">
      <c r="A927" s="62"/>
      <c r="B927" s="62"/>
      <c r="C927" s="62"/>
      <c r="D927" s="62"/>
      <c r="E927" s="345"/>
      <c r="F927" s="345"/>
      <c r="G927" s="113"/>
      <c r="H927" s="113"/>
      <c r="I927" s="114"/>
      <c r="J927" s="114"/>
      <c r="K927" s="114"/>
      <c r="L927" s="81"/>
      <c r="M927" s="265" t="b">
        <f>NOT(ISERROR(ResultsInd[[#This Row],[Goal-A]]+ResultsInd[[#This Row],[Goal-B]]))</f>
        <v>1</v>
      </c>
      <c r="N927" s="265">
        <f>VALUE(ResultsInd[[#This Row],[Score-A]])</f>
        <v>0</v>
      </c>
      <c r="O927" s="265">
        <f>VALUE(ResultsInd[[#This Row],[Score-B]])</f>
        <v>0</v>
      </c>
      <c r="P927" s="265" t="str">
        <f ca="1">IF(AND(ResultsInd[[#This Row],[Category]]&lt;&gt;"",ResultsInd[[#This Row],[Player A]]&lt;&gt;""),COUNTIF(INDIRECT(ResultsInd[[#This Row],[Category]]&amp;"List[Retained Player Name]"),ResultsInd[[#This Row],[Player A]]),"")</f>
        <v/>
      </c>
      <c r="Q927" s="265" t="str">
        <f ca="1">IF(AND(ResultsInd[[#This Row],[Category]]&lt;&gt;"",ResultsInd[[#This Row],[Player B]]&lt;&gt;""),COUNTIF(INDIRECT(ResultsInd[[#This Row],[Category]]&amp;"List[Retained Player Name]"),ResultsInd[[#This Row],[Player B]]),"")</f>
        <v/>
      </c>
      <c r="R9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7" s="265" t="str">
        <f>IF(ResultsInd[[#This Row],[Score_OK]],IF(ResultsInd[[#This Row],[Stage]]="Groups",ResultsInd[[#This Row],[Category]]&amp;"-"&amp;IF(ResultsInd[[#This Row],[Player B]]="","",IF(ResultsInd[[#This Row],[Score-A]]=ResultsInd[[#This Row],[Score-B]],ResultsInd[[#This Row],[Player A]],"")),""),"")</f>
        <v/>
      </c>
      <c r="T927" s="265" t="str">
        <f>IF(ResultsInd[[#This Row],[Score_OK]],IF(ResultsInd[[#This Row],[Stage]]="Groups",ResultsInd[[#This Row],[Category]]&amp;"-"&amp;IF(ResultsInd[[#This Row],[Player B]]="","",IF(ResultsInd[[#This Row],[Score-A]]=ResultsInd[[#This Row],[Score-B]],ResultsInd[[#This Row],[Player B]],"")),""),"")</f>
        <v/>
      </c>
      <c r="U9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7" s="264" t="str">
        <f>IF(ResultsInd[[#This Row],[Category]]="","",VLOOKUP(ResultsInd[[#This Row],[Stage]],$P$1:$V$9,MATCH(ResultsInd[[#This Row],[Category]],$Q$1:$V$1,0)+1,FALSE))</f>
        <v/>
      </c>
      <c r="Z927" s="264" t="str">
        <f>IF(ResultsInd[[#This Row],[Score_OK]],IF(ResultsInd[[#This Row],[Level]]="R",ResultsInd[[#This Row],[Category]]&amp;"-"&amp;IF(ResultsInd[[#This Row],[LoseInKO]]=ResultsInd[[#This Row],[Category]]&amp;"-"&amp;ResultsInd[[#This Row],[Player A]],ResultsInd[[#This Row],[Player B]],ResultsInd[[#This Row],[Player A]]),""),"")</f>
        <v/>
      </c>
      <c r="AB927" s="8"/>
      <c r="AC927" s="8"/>
      <c r="AE927" s="90"/>
      <c r="AF927" s="90"/>
      <c r="AP927" s="8"/>
      <c r="AQ927" s="8"/>
      <c r="AR927" s="8"/>
      <c r="AS927" s="8"/>
      <c r="AT927" s="8"/>
      <c r="AU927" s="8"/>
      <c r="AV927" s="8"/>
      <c r="AW927" s="8"/>
      <c r="AX927" s="8"/>
      <c r="AY927" s="90"/>
      <c r="AZ927" s="90"/>
      <c r="BA927" s="90"/>
      <c r="BB927" s="90"/>
      <c r="BC927" s="90"/>
      <c r="BD927" s="90"/>
      <c r="BE927" s="90"/>
      <c r="BF927" s="90"/>
    </row>
    <row r="928" spans="1:58" x14ac:dyDescent="0.2">
      <c r="A928" s="62"/>
      <c r="B928" s="62"/>
      <c r="C928" s="62"/>
      <c r="D928" s="62"/>
      <c r="E928" s="345"/>
      <c r="F928" s="345"/>
      <c r="G928" s="113"/>
      <c r="H928" s="113"/>
      <c r="I928" s="114"/>
      <c r="J928" s="114"/>
      <c r="K928" s="114"/>
      <c r="L928" s="81"/>
      <c r="M928" s="265" t="b">
        <f>NOT(ISERROR(ResultsInd[[#This Row],[Goal-A]]+ResultsInd[[#This Row],[Goal-B]]))</f>
        <v>1</v>
      </c>
      <c r="N928" s="265">
        <f>VALUE(ResultsInd[[#This Row],[Score-A]])</f>
        <v>0</v>
      </c>
      <c r="O928" s="265">
        <f>VALUE(ResultsInd[[#This Row],[Score-B]])</f>
        <v>0</v>
      </c>
      <c r="P928" s="265" t="str">
        <f ca="1">IF(AND(ResultsInd[[#This Row],[Category]]&lt;&gt;"",ResultsInd[[#This Row],[Player A]]&lt;&gt;""),COUNTIF(INDIRECT(ResultsInd[[#This Row],[Category]]&amp;"List[Retained Player Name]"),ResultsInd[[#This Row],[Player A]]),"")</f>
        <v/>
      </c>
      <c r="Q928" s="265" t="str">
        <f ca="1">IF(AND(ResultsInd[[#This Row],[Category]]&lt;&gt;"",ResultsInd[[#This Row],[Player B]]&lt;&gt;""),COUNTIF(INDIRECT(ResultsInd[[#This Row],[Category]]&amp;"List[Retained Player Name]"),ResultsInd[[#This Row],[Player B]]),"")</f>
        <v/>
      </c>
      <c r="R9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8" s="265" t="str">
        <f>IF(ResultsInd[[#This Row],[Score_OK]],IF(ResultsInd[[#This Row],[Stage]]="Groups",ResultsInd[[#This Row],[Category]]&amp;"-"&amp;IF(ResultsInd[[#This Row],[Player B]]="","",IF(ResultsInd[[#This Row],[Score-A]]=ResultsInd[[#This Row],[Score-B]],ResultsInd[[#This Row],[Player A]],"")),""),"")</f>
        <v/>
      </c>
      <c r="T928" s="265" t="str">
        <f>IF(ResultsInd[[#This Row],[Score_OK]],IF(ResultsInd[[#This Row],[Stage]]="Groups",ResultsInd[[#This Row],[Category]]&amp;"-"&amp;IF(ResultsInd[[#This Row],[Player B]]="","",IF(ResultsInd[[#This Row],[Score-A]]=ResultsInd[[#This Row],[Score-B]],ResultsInd[[#This Row],[Player B]],"")),""),"")</f>
        <v/>
      </c>
      <c r="U9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8" s="264" t="str">
        <f>IF(ResultsInd[[#This Row],[Category]]="","",VLOOKUP(ResultsInd[[#This Row],[Stage]],$P$1:$V$9,MATCH(ResultsInd[[#This Row],[Category]],$Q$1:$V$1,0)+1,FALSE))</f>
        <v/>
      </c>
      <c r="Z928" s="264" t="str">
        <f>IF(ResultsInd[[#This Row],[Score_OK]],IF(ResultsInd[[#This Row],[Level]]="R",ResultsInd[[#This Row],[Category]]&amp;"-"&amp;IF(ResultsInd[[#This Row],[LoseInKO]]=ResultsInd[[#This Row],[Category]]&amp;"-"&amp;ResultsInd[[#This Row],[Player A]],ResultsInd[[#This Row],[Player B]],ResultsInd[[#This Row],[Player A]]),""),"")</f>
        <v/>
      </c>
      <c r="AB928" s="8"/>
      <c r="AC928" s="8"/>
      <c r="AE928" s="90"/>
      <c r="AF928" s="90"/>
      <c r="AP928" s="8"/>
      <c r="AQ928" s="8"/>
      <c r="AR928" s="8"/>
      <c r="AS928" s="8"/>
      <c r="AT928" s="8"/>
      <c r="AU928" s="8"/>
      <c r="AV928" s="8"/>
      <c r="AW928" s="8"/>
      <c r="AX928" s="8"/>
      <c r="AY928" s="90"/>
      <c r="AZ928" s="90"/>
      <c r="BA928" s="90"/>
      <c r="BB928" s="90"/>
      <c r="BC928" s="90"/>
      <c r="BD928" s="90"/>
      <c r="BE928" s="90"/>
      <c r="BF928" s="90"/>
    </row>
    <row r="929" spans="1:58" x14ac:dyDescent="0.2">
      <c r="A929" s="62"/>
      <c r="B929" s="62"/>
      <c r="C929" s="62"/>
      <c r="D929" s="62"/>
      <c r="E929" s="345"/>
      <c r="F929" s="345"/>
      <c r="G929" s="113"/>
      <c r="H929" s="113"/>
      <c r="I929" s="114"/>
      <c r="J929" s="114"/>
      <c r="K929" s="114"/>
      <c r="L929" s="81"/>
      <c r="M929" s="265" t="b">
        <f>NOT(ISERROR(ResultsInd[[#This Row],[Goal-A]]+ResultsInd[[#This Row],[Goal-B]]))</f>
        <v>1</v>
      </c>
      <c r="N929" s="265">
        <f>VALUE(ResultsInd[[#This Row],[Score-A]])</f>
        <v>0</v>
      </c>
      <c r="O929" s="265">
        <f>VALUE(ResultsInd[[#This Row],[Score-B]])</f>
        <v>0</v>
      </c>
      <c r="P929" s="265" t="str">
        <f ca="1">IF(AND(ResultsInd[[#This Row],[Category]]&lt;&gt;"",ResultsInd[[#This Row],[Player A]]&lt;&gt;""),COUNTIF(INDIRECT(ResultsInd[[#This Row],[Category]]&amp;"List[Retained Player Name]"),ResultsInd[[#This Row],[Player A]]),"")</f>
        <v/>
      </c>
      <c r="Q929" s="265" t="str">
        <f ca="1">IF(AND(ResultsInd[[#This Row],[Category]]&lt;&gt;"",ResultsInd[[#This Row],[Player B]]&lt;&gt;""),COUNTIF(INDIRECT(ResultsInd[[#This Row],[Category]]&amp;"List[Retained Player Name]"),ResultsInd[[#This Row],[Player B]]),"")</f>
        <v/>
      </c>
      <c r="R9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9" s="265" t="str">
        <f>IF(ResultsInd[[#This Row],[Score_OK]],IF(ResultsInd[[#This Row],[Stage]]="Groups",ResultsInd[[#This Row],[Category]]&amp;"-"&amp;IF(ResultsInd[[#This Row],[Player B]]="","",IF(ResultsInd[[#This Row],[Score-A]]=ResultsInd[[#This Row],[Score-B]],ResultsInd[[#This Row],[Player A]],"")),""),"")</f>
        <v/>
      </c>
      <c r="T929" s="265" t="str">
        <f>IF(ResultsInd[[#This Row],[Score_OK]],IF(ResultsInd[[#This Row],[Stage]]="Groups",ResultsInd[[#This Row],[Category]]&amp;"-"&amp;IF(ResultsInd[[#This Row],[Player B]]="","",IF(ResultsInd[[#This Row],[Score-A]]=ResultsInd[[#This Row],[Score-B]],ResultsInd[[#This Row],[Player B]],"")),""),"")</f>
        <v/>
      </c>
      <c r="U9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9" s="264" t="str">
        <f>IF(ResultsInd[[#This Row],[Category]]="","",VLOOKUP(ResultsInd[[#This Row],[Stage]],$P$1:$V$9,MATCH(ResultsInd[[#This Row],[Category]],$Q$1:$V$1,0)+1,FALSE))</f>
        <v/>
      </c>
      <c r="Z929" s="264" t="str">
        <f>IF(ResultsInd[[#This Row],[Score_OK]],IF(ResultsInd[[#This Row],[Level]]="R",ResultsInd[[#This Row],[Category]]&amp;"-"&amp;IF(ResultsInd[[#This Row],[LoseInKO]]=ResultsInd[[#This Row],[Category]]&amp;"-"&amp;ResultsInd[[#This Row],[Player A]],ResultsInd[[#This Row],[Player B]],ResultsInd[[#This Row],[Player A]]),""),"")</f>
        <v/>
      </c>
      <c r="AB929" s="8"/>
      <c r="AC929" s="8"/>
      <c r="AE929" s="90"/>
      <c r="AF929" s="90"/>
      <c r="AP929" s="8"/>
      <c r="AQ929" s="8"/>
      <c r="AR929" s="8"/>
      <c r="AS929" s="8"/>
      <c r="AT929" s="8"/>
      <c r="AU929" s="8"/>
      <c r="AV929" s="8"/>
      <c r="AW929" s="8"/>
      <c r="AX929" s="8"/>
      <c r="AY929" s="90"/>
      <c r="AZ929" s="90"/>
      <c r="BA929" s="90"/>
      <c r="BB929" s="90"/>
      <c r="BC929" s="90"/>
      <c r="BD929" s="90"/>
      <c r="BE929" s="90"/>
      <c r="BF929" s="90"/>
    </row>
    <row r="930" spans="1:58" x14ac:dyDescent="0.2">
      <c r="A930" s="62"/>
      <c r="B930" s="62"/>
      <c r="C930" s="62"/>
      <c r="D930" s="62"/>
      <c r="E930" s="345"/>
      <c r="F930" s="345"/>
      <c r="G930" s="113"/>
      <c r="H930" s="113"/>
      <c r="I930" s="114"/>
      <c r="J930" s="114"/>
      <c r="K930" s="114"/>
      <c r="L930" s="81"/>
      <c r="M930" s="265" t="b">
        <f>NOT(ISERROR(ResultsInd[[#This Row],[Goal-A]]+ResultsInd[[#This Row],[Goal-B]]))</f>
        <v>1</v>
      </c>
      <c r="N930" s="265">
        <f>VALUE(ResultsInd[[#This Row],[Score-A]])</f>
        <v>0</v>
      </c>
      <c r="O930" s="265">
        <f>VALUE(ResultsInd[[#This Row],[Score-B]])</f>
        <v>0</v>
      </c>
      <c r="P930" s="265" t="str">
        <f ca="1">IF(AND(ResultsInd[[#This Row],[Category]]&lt;&gt;"",ResultsInd[[#This Row],[Player A]]&lt;&gt;""),COUNTIF(INDIRECT(ResultsInd[[#This Row],[Category]]&amp;"List[Retained Player Name]"),ResultsInd[[#This Row],[Player A]]),"")</f>
        <v/>
      </c>
      <c r="Q930" s="265" t="str">
        <f ca="1">IF(AND(ResultsInd[[#This Row],[Category]]&lt;&gt;"",ResultsInd[[#This Row],[Player B]]&lt;&gt;""),COUNTIF(INDIRECT(ResultsInd[[#This Row],[Category]]&amp;"List[Retained Player Name]"),ResultsInd[[#This Row],[Player B]]),"")</f>
        <v/>
      </c>
      <c r="R9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0" s="265" t="str">
        <f>IF(ResultsInd[[#This Row],[Score_OK]],IF(ResultsInd[[#This Row],[Stage]]="Groups",ResultsInd[[#This Row],[Category]]&amp;"-"&amp;IF(ResultsInd[[#This Row],[Player B]]="","",IF(ResultsInd[[#This Row],[Score-A]]=ResultsInd[[#This Row],[Score-B]],ResultsInd[[#This Row],[Player A]],"")),""),"")</f>
        <v/>
      </c>
      <c r="T930" s="265" t="str">
        <f>IF(ResultsInd[[#This Row],[Score_OK]],IF(ResultsInd[[#This Row],[Stage]]="Groups",ResultsInd[[#This Row],[Category]]&amp;"-"&amp;IF(ResultsInd[[#This Row],[Player B]]="","",IF(ResultsInd[[#This Row],[Score-A]]=ResultsInd[[#This Row],[Score-B]],ResultsInd[[#This Row],[Player B]],"")),""),"")</f>
        <v/>
      </c>
      <c r="U9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0" s="264" t="str">
        <f>IF(ResultsInd[[#This Row],[Category]]="","",VLOOKUP(ResultsInd[[#This Row],[Stage]],$P$1:$V$9,MATCH(ResultsInd[[#This Row],[Category]],$Q$1:$V$1,0)+1,FALSE))</f>
        <v/>
      </c>
      <c r="Z930" s="264" t="str">
        <f>IF(ResultsInd[[#This Row],[Score_OK]],IF(ResultsInd[[#This Row],[Level]]="R",ResultsInd[[#This Row],[Category]]&amp;"-"&amp;IF(ResultsInd[[#This Row],[LoseInKO]]=ResultsInd[[#This Row],[Category]]&amp;"-"&amp;ResultsInd[[#This Row],[Player A]],ResultsInd[[#This Row],[Player B]],ResultsInd[[#This Row],[Player A]]),""),"")</f>
        <v/>
      </c>
      <c r="AB930" s="8"/>
      <c r="AC930" s="8"/>
      <c r="AE930" s="90"/>
      <c r="AF930" s="90"/>
      <c r="AP930" s="8"/>
      <c r="AQ930" s="8"/>
      <c r="AR930" s="8"/>
      <c r="AS930" s="8"/>
      <c r="AT930" s="8"/>
      <c r="AU930" s="8"/>
      <c r="AV930" s="8"/>
      <c r="AW930" s="8"/>
      <c r="AX930" s="8"/>
      <c r="AY930" s="90"/>
      <c r="AZ930" s="90"/>
      <c r="BA930" s="90"/>
      <c r="BB930" s="90"/>
      <c r="BC930" s="90"/>
      <c r="BD930" s="90"/>
      <c r="BE930" s="90"/>
      <c r="BF930" s="90"/>
    </row>
    <row r="931" spans="1:58" x14ac:dyDescent="0.2">
      <c r="A931" s="62"/>
      <c r="B931" s="62"/>
      <c r="C931" s="62"/>
      <c r="D931" s="62"/>
      <c r="E931" s="345"/>
      <c r="F931" s="345"/>
      <c r="G931" s="113"/>
      <c r="H931" s="113"/>
      <c r="I931" s="114"/>
      <c r="J931" s="114"/>
      <c r="K931" s="114"/>
      <c r="L931" s="81"/>
      <c r="M931" s="265" t="b">
        <f>NOT(ISERROR(ResultsInd[[#This Row],[Goal-A]]+ResultsInd[[#This Row],[Goal-B]]))</f>
        <v>1</v>
      </c>
      <c r="N931" s="265">
        <f>VALUE(ResultsInd[[#This Row],[Score-A]])</f>
        <v>0</v>
      </c>
      <c r="O931" s="265">
        <f>VALUE(ResultsInd[[#This Row],[Score-B]])</f>
        <v>0</v>
      </c>
      <c r="P931" s="265" t="str">
        <f ca="1">IF(AND(ResultsInd[[#This Row],[Category]]&lt;&gt;"",ResultsInd[[#This Row],[Player A]]&lt;&gt;""),COUNTIF(INDIRECT(ResultsInd[[#This Row],[Category]]&amp;"List[Retained Player Name]"),ResultsInd[[#This Row],[Player A]]),"")</f>
        <v/>
      </c>
      <c r="Q931" s="265" t="str">
        <f ca="1">IF(AND(ResultsInd[[#This Row],[Category]]&lt;&gt;"",ResultsInd[[#This Row],[Player B]]&lt;&gt;""),COUNTIF(INDIRECT(ResultsInd[[#This Row],[Category]]&amp;"List[Retained Player Name]"),ResultsInd[[#This Row],[Player B]]),"")</f>
        <v/>
      </c>
      <c r="R9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1" s="265" t="str">
        <f>IF(ResultsInd[[#This Row],[Score_OK]],IF(ResultsInd[[#This Row],[Stage]]="Groups",ResultsInd[[#This Row],[Category]]&amp;"-"&amp;IF(ResultsInd[[#This Row],[Player B]]="","",IF(ResultsInd[[#This Row],[Score-A]]=ResultsInd[[#This Row],[Score-B]],ResultsInd[[#This Row],[Player A]],"")),""),"")</f>
        <v/>
      </c>
      <c r="T931" s="265" t="str">
        <f>IF(ResultsInd[[#This Row],[Score_OK]],IF(ResultsInd[[#This Row],[Stage]]="Groups",ResultsInd[[#This Row],[Category]]&amp;"-"&amp;IF(ResultsInd[[#This Row],[Player B]]="","",IF(ResultsInd[[#This Row],[Score-A]]=ResultsInd[[#This Row],[Score-B]],ResultsInd[[#This Row],[Player B]],"")),""),"")</f>
        <v/>
      </c>
      <c r="U9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1" s="264" t="str">
        <f>IF(ResultsInd[[#This Row],[Category]]="","",VLOOKUP(ResultsInd[[#This Row],[Stage]],$P$1:$V$9,MATCH(ResultsInd[[#This Row],[Category]],$Q$1:$V$1,0)+1,FALSE))</f>
        <v/>
      </c>
      <c r="Z931" s="264" t="str">
        <f>IF(ResultsInd[[#This Row],[Score_OK]],IF(ResultsInd[[#This Row],[Level]]="R",ResultsInd[[#This Row],[Category]]&amp;"-"&amp;IF(ResultsInd[[#This Row],[LoseInKO]]=ResultsInd[[#This Row],[Category]]&amp;"-"&amp;ResultsInd[[#This Row],[Player A]],ResultsInd[[#This Row],[Player B]],ResultsInd[[#This Row],[Player A]]),""),"")</f>
        <v/>
      </c>
      <c r="AB931" s="8"/>
      <c r="AC931" s="8"/>
      <c r="AE931" s="90"/>
      <c r="AF931" s="90"/>
      <c r="AP931" s="8"/>
      <c r="AQ931" s="8"/>
      <c r="AR931" s="8"/>
      <c r="AS931" s="8"/>
      <c r="AT931" s="8"/>
      <c r="AU931" s="8"/>
      <c r="AV931" s="8"/>
      <c r="AW931" s="8"/>
      <c r="AX931" s="8"/>
      <c r="AY931" s="90"/>
      <c r="AZ931" s="90"/>
      <c r="BA931" s="90"/>
      <c r="BB931" s="90"/>
      <c r="BC931" s="90"/>
      <c r="BD931" s="90"/>
      <c r="BE931" s="90"/>
      <c r="BF931" s="90"/>
    </row>
    <row r="932" spans="1:58" x14ac:dyDescent="0.2">
      <c r="A932" s="62"/>
      <c r="B932" s="62"/>
      <c r="C932" s="62"/>
      <c r="D932" s="62"/>
      <c r="E932" s="345"/>
      <c r="F932" s="345"/>
      <c r="G932" s="113"/>
      <c r="H932" s="113"/>
      <c r="I932" s="114"/>
      <c r="J932" s="114"/>
      <c r="K932" s="114"/>
      <c r="L932" s="81"/>
      <c r="M932" s="265" t="b">
        <f>NOT(ISERROR(ResultsInd[[#This Row],[Goal-A]]+ResultsInd[[#This Row],[Goal-B]]))</f>
        <v>1</v>
      </c>
      <c r="N932" s="265">
        <f>VALUE(ResultsInd[[#This Row],[Score-A]])</f>
        <v>0</v>
      </c>
      <c r="O932" s="265">
        <f>VALUE(ResultsInd[[#This Row],[Score-B]])</f>
        <v>0</v>
      </c>
      <c r="P932" s="265" t="str">
        <f ca="1">IF(AND(ResultsInd[[#This Row],[Category]]&lt;&gt;"",ResultsInd[[#This Row],[Player A]]&lt;&gt;""),COUNTIF(INDIRECT(ResultsInd[[#This Row],[Category]]&amp;"List[Retained Player Name]"),ResultsInd[[#This Row],[Player A]]),"")</f>
        <v/>
      </c>
      <c r="Q932" s="265" t="str">
        <f ca="1">IF(AND(ResultsInd[[#This Row],[Category]]&lt;&gt;"",ResultsInd[[#This Row],[Player B]]&lt;&gt;""),COUNTIF(INDIRECT(ResultsInd[[#This Row],[Category]]&amp;"List[Retained Player Name]"),ResultsInd[[#This Row],[Player B]]),"")</f>
        <v/>
      </c>
      <c r="R9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2" s="265" t="str">
        <f>IF(ResultsInd[[#This Row],[Score_OK]],IF(ResultsInd[[#This Row],[Stage]]="Groups",ResultsInd[[#This Row],[Category]]&amp;"-"&amp;IF(ResultsInd[[#This Row],[Player B]]="","",IF(ResultsInd[[#This Row],[Score-A]]=ResultsInd[[#This Row],[Score-B]],ResultsInd[[#This Row],[Player A]],"")),""),"")</f>
        <v/>
      </c>
      <c r="T932" s="265" t="str">
        <f>IF(ResultsInd[[#This Row],[Score_OK]],IF(ResultsInd[[#This Row],[Stage]]="Groups",ResultsInd[[#This Row],[Category]]&amp;"-"&amp;IF(ResultsInd[[#This Row],[Player B]]="","",IF(ResultsInd[[#This Row],[Score-A]]=ResultsInd[[#This Row],[Score-B]],ResultsInd[[#This Row],[Player B]],"")),""),"")</f>
        <v/>
      </c>
      <c r="U9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2" s="264" t="str">
        <f>IF(ResultsInd[[#This Row],[Category]]="","",VLOOKUP(ResultsInd[[#This Row],[Stage]],$P$1:$V$9,MATCH(ResultsInd[[#This Row],[Category]],$Q$1:$V$1,0)+1,FALSE))</f>
        <v/>
      </c>
      <c r="Z932" s="264" t="str">
        <f>IF(ResultsInd[[#This Row],[Score_OK]],IF(ResultsInd[[#This Row],[Level]]="R",ResultsInd[[#This Row],[Category]]&amp;"-"&amp;IF(ResultsInd[[#This Row],[LoseInKO]]=ResultsInd[[#This Row],[Category]]&amp;"-"&amp;ResultsInd[[#This Row],[Player A]],ResultsInd[[#This Row],[Player B]],ResultsInd[[#This Row],[Player A]]),""),"")</f>
        <v/>
      </c>
      <c r="AB932" s="8"/>
      <c r="AC932" s="8"/>
      <c r="AE932" s="90"/>
      <c r="AF932" s="90"/>
      <c r="AP932" s="8"/>
      <c r="AQ932" s="8"/>
      <c r="AR932" s="8"/>
      <c r="AS932" s="8"/>
      <c r="AT932" s="8"/>
      <c r="AU932" s="8"/>
      <c r="AV932" s="8"/>
      <c r="AW932" s="8"/>
      <c r="AX932" s="8"/>
      <c r="AY932" s="90"/>
      <c r="AZ932" s="90"/>
      <c r="BA932" s="90"/>
      <c r="BB932" s="90"/>
      <c r="BC932" s="90"/>
      <c r="BD932" s="90"/>
      <c r="BE932" s="90"/>
      <c r="BF932" s="90"/>
    </row>
    <row r="933" spans="1:58" x14ac:dyDescent="0.2">
      <c r="A933" s="62"/>
      <c r="B933" s="62"/>
      <c r="C933" s="62"/>
      <c r="D933" s="62"/>
      <c r="E933" s="345"/>
      <c r="F933" s="345"/>
      <c r="G933" s="113"/>
      <c r="H933" s="113"/>
      <c r="I933" s="114"/>
      <c r="J933" s="114"/>
      <c r="K933" s="114"/>
      <c r="L933" s="81"/>
      <c r="M933" s="265" t="b">
        <f>NOT(ISERROR(ResultsInd[[#This Row],[Goal-A]]+ResultsInd[[#This Row],[Goal-B]]))</f>
        <v>1</v>
      </c>
      <c r="N933" s="265">
        <f>VALUE(ResultsInd[[#This Row],[Score-A]])</f>
        <v>0</v>
      </c>
      <c r="O933" s="265">
        <f>VALUE(ResultsInd[[#This Row],[Score-B]])</f>
        <v>0</v>
      </c>
      <c r="P933" s="265" t="str">
        <f ca="1">IF(AND(ResultsInd[[#This Row],[Category]]&lt;&gt;"",ResultsInd[[#This Row],[Player A]]&lt;&gt;""),COUNTIF(INDIRECT(ResultsInd[[#This Row],[Category]]&amp;"List[Retained Player Name]"),ResultsInd[[#This Row],[Player A]]),"")</f>
        <v/>
      </c>
      <c r="Q933" s="265" t="str">
        <f ca="1">IF(AND(ResultsInd[[#This Row],[Category]]&lt;&gt;"",ResultsInd[[#This Row],[Player B]]&lt;&gt;""),COUNTIF(INDIRECT(ResultsInd[[#This Row],[Category]]&amp;"List[Retained Player Name]"),ResultsInd[[#This Row],[Player B]]),"")</f>
        <v/>
      </c>
      <c r="R9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3" s="265" t="str">
        <f>IF(ResultsInd[[#This Row],[Score_OK]],IF(ResultsInd[[#This Row],[Stage]]="Groups",ResultsInd[[#This Row],[Category]]&amp;"-"&amp;IF(ResultsInd[[#This Row],[Player B]]="","",IF(ResultsInd[[#This Row],[Score-A]]=ResultsInd[[#This Row],[Score-B]],ResultsInd[[#This Row],[Player A]],"")),""),"")</f>
        <v/>
      </c>
      <c r="T933" s="265" t="str">
        <f>IF(ResultsInd[[#This Row],[Score_OK]],IF(ResultsInd[[#This Row],[Stage]]="Groups",ResultsInd[[#This Row],[Category]]&amp;"-"&amp;IF(ResultsInd[[#This Row],[Player B]]="","",IF(ResultsInd[[#This Row],[Score-A]]=ResultsInd[[#This Row],[Score-B]],ResultsInd[[#This Row],[Player B]],"")),""),"")</f>
        <v/>
      </c>
      <c r="U9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3" s="264" t="str">
        <f>IF(ResultsInd[[#This Row],[Category]]="","",VLOOKUP(ResultsInd[[#This Row],[Stage]],$P$1:$V$9,MATCH(ResultsInd[[#This Row],[Category]],$Q$1:$V$1,0)+1,FALSE))</f>
        <v/>
      </c>
      <c r="Z933" s="264" t="str">
        <f>IF(ResultsInd[[#This Row],[Score_OK]],IF(ResultsInd[[#This Row],[Level]]="R",ResultsInd[[#This Row],[Category]]&amp;"-"&amp;IF(ResultsInd[[#This Row],[LoseInKO]]=ResultsInd[[#This Row],[Category]]&amp;"-"&amp;ResultsInd[[#This Row],[Player A]],ResultsInd[[#This Row],[Player B]],ResultsInd[[#This Row],[Player A]]),""),"")</f>
        <v/>
      </c>
      <c r="AB933" s="8"/>
      <c r="AC933" s="8"/>
      <c r="AE933" s="90"/>
      <c r="AF933" s="90"/>
      <c r="AP933" s="8"/>
      <c r="AQ933" s="8"/>
      <c r="AR933" s="8"/>
      <c r="AS933" s="8"/>
      <c r="AT933" s="8"/>
      <c r="AU933" s="8"/>
      <c r="AV933" s="8"/>
      <c r="AW933" s="8"/>
      <c r="AX933" s="8"/>
      <c r="AY933" s="90"/>
      <c r="AZ933" s="90"/>
      <c r="BA933" s="90"/>
      <c r="BB933" s="90"/>
      <c r="BC933" s="90"/>
      <c r="BD933" s="90"/>
      <c r="BE933" s="90"/>
      <c r="BF933" s="90"/>
    </row>
    <row r="934" spans="1:58" x14ac:dyDescent="0.2">
      <c r="A934" s="62"/>
      <c r="B934" s="62"/>
      <c r="C934" s="62"/>
      <c r="D934" s="62"/>
      <c r="E934" s="345"/>
      <c r="F934" s="345"/>
      <c r="G934" s="113"/>
      <c r="H934" s="113"/>
      <c r="I934" s="114"/>
      <c r="J934" s="114"/>
      <c r="K934" s="114"/>
      <c r="L934" s="81"/>
      <c r="M934" s="265" t="b">
        <f>NOT(ISERROR(ResultsInd[[#This Row],[Goal-A]]+ResultsInd[[#This Row],[Goal-B]]))</f>
        <v>1</v>
      </c>
      <c r="N934" s="265">
        <f>VALUE(ResultsInd[[#This Row],[Score-A]])</f>
        <v>0</v>
      </c>
      <c r="O934" s="265">
        <f>VALUE(ResultsInd[[#This Row],[Score-B]])</f>
        <v>0</v>
      </c>
      <c r="P934" s="265" t="str">
        <f ca="1">IF(AND(ResultsInd[[#This Row],[Category]]&lt;&gt;"",ResultsInd[[#This Row],[Player A]]&lt;&gt;""),COUNTIF(INDIRECT(ResultsInd[[#This Row],[Category]]&amp;"List[Retained Player Name]"),ResultsInd[[#This Row],[Player A]]),"")</f>
        <v/>
      </c>
      <c r="Q934" s="265" t="str">
        <f ca="1">IF(AND(ResultsInd[[#This Row],[Category]]&lt;&gt;"",ResultsInd[[#This Row],[Player B]]&lt;&gt;""),COUNTIF(INDIRECT(ResultsInd[[#This Row],[Category]]&amp;"List[Retained Player Name]"),ResultsInd[[#This Row],[Player B]]),"")</f>
        <v/>
      </c>
      <c r="R9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4" s="265" t="str">
        <f>IF(ResultsInd[[#This Row],[Score_OK]],IF(ResultsInd[[#This Row],[Stage]]="Groups",ResultsInd[[#This Row],[Category]]&amp;"-"&amp;IF(ResultsInd[[#This Row],[Player B]]="","",IF(ResultsInd[[#This Row],[Score-A]]=ResultsInd[[#This Row],[Score-B]],ResultsInd[[#This Row],[Player A]],"")),""),"")</f>
        <v/>
      </c>
      <c r="T934" s="265" t="str">
        <f>IF(ResultsInd[[#This Row],[Score_OK]],IF(ResultsInd[[#This Row],[Stage]]="Groups",ResultsInd[[#This Row],[Category]]&amp;"-"&amp;IF(ResultsInd[[#This Row],[Player B]]="","",IF(ResultsInd[[#This Row],[Score-A]]=ResultsInd[[#This Row],[Score-B]],ResultsInd[[#This Row],[Player B]],"")),""),"")</f>
        <v/>
      </c>
      <c r="U9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4" s="264" t="str">
        <f>IF(ResultsInd[[#This Row],[Category]]="","",VLOOKUP(ResultsInd[[#This Row],[Stage]],$P$1:$V$9,MATCH(ResultsInd[[#This Row],[Category]],$Q$1:$V$1,0)+1,FALSE))</f>
        <v/>
      </c>
      <c r="Z934" s="264" t="str">
        <f>IF(ResultsInd[[#This Row],[Score_OK]],IF(ResultsInd[[#This Row],[Level]]="R",ResultsInd[[#This Row],[Category]]&amp;"-"&amp;IF(ResultsInd[[#This Row],[LoseInKO]]=ResultsInd[[#This Row],[Category]]&amp;"-"&amp;ResultsInd[[#This Row],[Player A]],ResultsInd[[#This Row],[Player B]],ResultsInd[[#This Row],[Player A]]),""),"")</f>
        <v/>
      </c>
      <c r="AB934" s="8"/>
      <c r="AC934" s="8"/>
      <c r="AE934" s="90"/>
      <c r="AF934" s="90"/>
      <c r="AP934" s="8"/>
      <c r="AQ934" s="8"/>
      <c r="AR934" s="8"/>
      <c r="AS934" s="8"/>
      <c r="AT934" s="8"/>
      <c r="AU934" s="8"/>
      <c r="AV934" s="8"/>
      <c r="AW934" s="8"/>
      <c r="AX934" s="8"/>
      <c r="AY934" s="90"/>
      <c r="AZ934" s="90"/>
      <c r="BA934" s="90"/>
      <c r="BB934" s="90"/>
      <c r="BC934" s="90"/>
      <c r="BD934" s="90"/>
      <c r="BE934" s="90"/>
      <c r="BF934" s="90"/>
    </row>
    <row r="935" spans="1:58" x14ac:dyDescent="0.2">
      <c r="A935" s="62"/>
      <c r="B935" s="62"/>
      <c r="C935" s="62"/>
      <c r="D935" s="62"/>
      <c r="E935" s="345"/>
      <c r="F935" s="345"/>
      <c r="G935" s="113"/>
      <c r="H935" s="113"/>
      <c r="I935" s="114"/>
      <c r="J935" s="114"/>
      <c r="K935" s="114"/>
      <c r="L935" s="81"/>
      <c r="M935" s="265" t="b">
        <f>NOT(ISERROR(ResultsInd[[#This Row],[Goal-A]]+ResultsInd[[#This Row],[Goal-B]]))</f>
        <v>1</v>
      </c>
      <c r="N935" s="265">
        <f>VALUE(ResultsInd[[#This Row],[Score-A]])</f>
        <v>0</v>
      </c>
      <c r="O935" s="265">
        <f>VALUE(ResultsInd[[#This Row],[Score-B]])</f>
        <v>0</v>
      </c>
      <c r="P935" s="265" t="str">
        <f ca="1">IF(AND(ResultsInd[[#This Row],[Category]]&lt;&gt;"",ResultsInd[[#This Row],[Player A]]&lt;&gt;""),COUNTIF(INDIRECT(ResultsInd[[#This Row],[Category]]&amp;"List[Retained Player Name]"),ResultsInd[[#This Row],[Player A]]),"")</f>
        <v/>
      </c>
      <c r="Q935" s="265" t="str">
        <f ca="1">IF(AND(ResultsInd[[#This Row],[Category]]&lt;&gt;"",ResultsInd[[#This Row],[Player B]]&lt;&gt;""),COUNTIF(INDIRECT(ResultsInd[[#This Row],[Category]]&amp;"List[Retained Player Name]"),ResultsInd[[#This Row],[Player B]]),"")</f>
        <v/>
      </c>
      <c r="R9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5" s="265" t="str">
        <f>IF(ResultsInd[[#This Row],[Score_OK]],IF(ResultsInd[[#This Row],[Stage]]="Groups",ResultsInd[[#This Row],[Category]]&amp;"-"&amp;IF(ResultsInd[[#This Row],[Player B]]="","",IF(ResultsInd[[#This Row],[Score-A]]=ResultsInd[[#This Row],[Score-B]],ResultsInd[[#This Row],[Player A]],"")),""),"")</f>
        <v/>
      </c>
      <c r="T935" s="265" t="str">
        <f>IF(ResultsInd[[#This Row],[Score_OK]],IF(ResultsInd[[#This Row],[Stage]]="Groups",ResultsInd[[#This Row],[Category]]&amp;"-"&amp;IF(ResultsInd[[#This Row],[Player B]]="","",IF(ResultsInd[[#This Row],[Score-A]]=ResultsInd[[#This Row],[Score-B]],ResultsInd[[#This Row],[Player B]],"")),""),"")</f>
        <v/>
      </c>
      <c r="U9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5" s="264" t="str">
        <f>IF(ResultsInd[[#This Row],[Category]]="","",VLOOKUP(ResultsInd[[#This Row],[Stage]],$P$1:$V$9,MATCH(ResultsInd[[#This Row],[Category]],$Q$1:$V$1,0)+1,FALSE))</f>
        <v/>
      </c>
      <c r="Z935" s="264" t="str">
        <f>IF(ResultsInd[[#This Row],[Score_OK]],IF(ResultsInd[[#This Row],[Level]]="R",ResultsInd[[#This Row],[Category]]&amp;"-"&amp;IF(ResultsInd[[#This Row],[LoseInKO]]=ResultsInd[[#This Row],[Category]]&amp;"-"&amp;ResultsInd[[#This Row],[Player A]],ResultsInd[[#This Row],[Player B]],ResultsInd[[#This Row],[Player A]]),""),"")</f>
        <v/>
      </c>
      <c r="AB935" s="8"/>
      <c r="AC935" s="8"/>
      <c r="AE935" s="90"/>
      <c r="AF935" s="90"/>
      <c r="AP935" s="8"/>
      <c r="AQ935" s="8"/>
      <c r="AR935" s="8"/>
      <c r="AS935" s="8"/>
      <c r="AT935" s="8"/>
      <c r="AU935" s="8"/>
      <c r="AV935" s="8"/>
      <c r="AW935" s="8"/>
      <c r="AX935" s="8"/>
      <c r="AY935" s="90"/>
      <c r="AZ935" s="90"/>
      <c r="BA935" s="90"/>
      <c r="BB935" s="90"/>
      <c r="BC935" s="90"/>
      <c r="BD935" s="90"/>
      <c r="BE935" s="90"/>
      <c r="BF935" s="90"/>
    </row>
    <row r="936" spans="1:58" x14ac:dyDescent="0.2">
      <c r="A936" s="62"/>
      <c r="B936" s="62"/>
      <c r="C936" s="62"/>
      <c r="D936" s="62"/>
      <c r="E936" s="345"/>
      <c r="F936" s="345"/>
      <c r="G936" s="113"/>
      <c r="H936" s="113"/>
      <c r="I936" s="114"/>
      <c r="J936" s="114"/>
      <c r="K936" s="114"/>
      <c r="L936" s="81"/>
      <c r="M936" s="265" t="b">
        <f>NOT(ISERROR(ResultsInd[[#This Row],[Goal-A]]+ResultsInd[[#This Row],[Goal-B]]))</f>
        <v>1</v>
      </c>
      <c r="N936" s="265">
        <f>VALUE(ResultsInd[[#This Row],[Score-A]])</f>
        <v>0</v>
      </c>
      <c r="O936" s="265">
        <f>VALUE(ResultsInd[[#This Row],[Score-B]])</f>
        <v>0</v>
      </c>
      <c r="P936" s="265" t="str">
        <f ca="1">IF(AND(ResultsInd[[#This Row],[Category]]&lt;&gt;"",ResultsInd[[#This Row],[Player A]]&lt;&gt;""),COUNTIF(INDIRECT(ResultsInd[[#This Row],[Category]]&amp;"List[Retained Player Name]"),ResultsInd[[#This Row],[Player A]]),"")</f>
        <v/>
      </c>
      <c r="Q936" s="265" t="str">
        <f ca="1">IF(AND(ResultsInd[[#This Row],[Category]]&lt;&gt;"",ResultsInd[[#This Row],[Player B]]&lt;&gt;""),COUNTIF(INDIRECT(ResultsInd[[#This Row],[Category]]&amp;"List[Retained Player Name]"),ResultsInd[[#This Row],[Player B]]),"")</f>
        <v/>
      </c>
      <c r="R9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6" s="265" t="str">
        <f>IF(ResultsInd[[#This Row],[Score_OK]],IF(ResultsInd[[#This Row],[Stage]]="Groups",ResultsInd[[#This Row],[Category]]&amp;"-"&amp;IF(ResultsInd[[#This Row],[Player B]]="","",IF(ResultsInd[[#This Row],[Score-A]]=ResultsInd[[#This Row],[Score-B]],ResultsInd[[#This Row],[Player A]],"")),""),"")</f>
        <v/>
      </c>
      <c r="T936" s="265" t="str">
        <f>IF(ResultsInd[[#This Row],[Score_OK]],IF(ResultsInd[[#This Row],[Stage]]="Groups",ResultsInd[[#This Row],[Category]]&amp;"-"&amp;IF(ResultsInd[[#This Row],[Player B]]="","",IF(ResultsInd[[#This Row],[Score-A]]=ResultsInd[[#This Row],[Score-B]],ResultsInd[[#This Row],[Player B]],"")),""),"")</f>
        <v/>
      </c>
      <c r="U9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6" s="264" t="str">
        <f>IF(ResultsInd[[#This Row],[Category]]="","",VLOOKUP(ResultsInd[[#This Row],[Stage]],$P$1:$V$9,MATCH(ResultsInd[[#This Row],[Category]],$Q$1:$V$1,0)+1,FALSE))</f>
        <v/>
      </c>
      <c r="Z936" s="264" t="str">
        <f>IF(ResultsInd[[#This Row],[Score_OK]],IF(ResultsInd[[#This Row],[Level]]="R",ResultsInd[[#This Row],[Category]]&amp;"-"&amp;IF(ResultsInd[[#This Row],[LoseInKO]]=ResultsInd[[#This Row],[Category]]&amp;"-"&amp;ResultsInd[[#This Row],[Player A]],ResultsInd[[#This Row],[Player B]],ResultsInd[[#This Row],[Player A]]),""),"")</f>
        <v/>
      </c>
      <c r="AB936" s="8"/>
      <c r="AC936" s="8"/>
      <c r="AE936" s="90"/>
      <c r="AF936" s="90"/>
      <c r="AP936" s="8"/>
      <c r="AQ936" s="8"/>
      <c r="AR936" s="8"/>
      <c r="AS936" s="8"/>
      <c r="AT936" s="8"/>
      <c r="AU936" s="8"/>
      <c r="AV936" s="8"/>
      <c r="AW936" s="8"/>
      <c r="AX936" s="8"/>
      <c r="AY936" s="90"/>
      <c r="AZ936" s="90"/>
      <c r="BA936" s="90"/>
      <c r="BB936" s="90"/>
      <c r="BC936" s="90"/>
      <c r="BD936" s="90"/>
      <c r="BE936" s="90"/>
      <c r="BF936" s="90"/>
    </row>
    <row r="937" spans="1:58" x14ac:dyDescent="0.2">
      <c r="A937" s="62"/>
      <c r="B937" s="62"/>
      <c r="C937" s="62"/>
      <c r="D937" s="62"/>
      <c r="E937" s="345"/>
      <c r="F937" s="345"/>
      <c r="G937" s="113"/>
      <c r="H937" s="113"/>
      <c r="I937" s="114"/>
      <c r="J937" s="114"/>
      <c r="K937" s="114"/>
      <c r="L937" s="81"/>
      <c r="M937" s="265" t="b">
        <f>NOT(ISERROR(ResultsInd[[#This Row],[Goal-A]]+ResultsInd[[#This Row],[Goal-B]]))</f>
        <v>1</v>
      </c>
      <c r="N937" s="265">
        <f>VALUE(ResultsInd[[#This Row],[Score-A]])</f>
        <v>0</v>
      </c>
      <c r="O937" s="265">
        <f>VALUE(ResultsInd[[#This Row],[Score-B]])</f>
        <v>0</v>
      </c>
      <c r="P937" s="265" t="str">
        <f ca="1">IF(AND(ResultsInd[[#This Row],[Category]]&lt;&gt;"",ResultsInd[[#This Row],[Player A]]&lt;&gt;""),COUNTIF(INDIRECT(ResultsInd[[#This Row],[Category]]&amp;"List[Retained Player Name]"),ResultsInd[[#This Row],[Player A]]),"")</f>
        <v/>
      </c>
      <c r="Q937" s="265" t="str">
        <f ca="1">IF(AND(ResultsInd[[#This Row],[Category]]&lt;&gt;"",ResultsInd[[#This Row],[Player B]]&lt;&gt;""),COUNTIF(INDIRECT(ResultsInd[[#This Row],[Category]]&amp;"List[Retained Player Name]"),ResultsInd[[#This Row],[Player B]]),"")</f>
        <v/>
      </c>
      <c r="R9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7" s="265" t="str">
        <f>IF(ResultsInd[[#This Row],[Score_OK]],IF(ResultsInd[[#This Row],[Stage]]="Groups",ResultsInd[[#This Row],[Category]]&amp;"-"&amp;IF(ResultsInd[[#This Row],[Player B]]="","",IF(ResultsInd[[#This Row],[Score-A]]=ResultsInd[[#This Row],[Score-B]],ResultsInd[[#This Row],[Player A]],"")),""),"")</f>
        <v/>
      </c>
      <c r="T937" s="265" t="str">
        <f>IF(ResultsInd[[#This Row],[Score_OK]],IF(ResultsInd[[#This Row],[Stage]]="Groups",ResultsInd[[#This Row],[Category]]&amp;"-"&amp;IF(ResultsInd[[#This Row],[Player B]]="","",IF(ResultsInd[[#This Row],[Score-A]]=ResultsInd[[#This Row],[Score-B]],ResultsInd[[#This Row],[Player B]],"")),""),"")</f>
        <v/>
      </c>
      <c r="U9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7" s="264" t="str">
        <f>IF(ResultsInd[[#This Row],[Category]]="","",VLOOKUP(ResultsInd[[#This Row],[Stage]],$P$1:$V$9,MATCH(ResultsInd[[#This Row],[Category]],$Q$1:$V$1,0)+1,FALSE))</f>
        <v/>
      </c>
      <c r="Z937" s="264" t="str">
        <f>IF(ResultsInd[[#This Row],[Score_OK]],IF(ResultsInd[[#This Row],[Level]]="R",ResultsInd[[#This Row],[Category]]&amp;"-"&amp;IF(ResultsInd[[#This Row],[LoseInKO]]=ResultsInd[[#This Row],[Category]]&amp;"-"&amp;ResultsInd[[#This Row],[Player A]],ResultsInd[[#This Row],[Player B]],ResultsInd[[#This Row],[Player A]]),""),"")</f>
        <v/>
      </c>
      <c r="AB937" s="8"/>
      <c r="AC937" s="8"/>
      <c r="AE937" s="90"/>
      <c r="AF937" s="90"/>
      <c r="AP937" s="8"/>
      <c r="AQ937" s="8"/>
      <c r="AR937" s="8"/>
      <c r="AS937" s="8"/>
      <c r="AT937" s="8"/>
      <c r="AU937" s="8"/>
      <c r="AV937" s="8"/>
      <c r="AW937" s="8"/>
      <c r="AX937" s="8"/>
      <c r="AY937" s="90"/>
      <c r="AZ937" s="90"/>
      <c r="BA937" s="90"/>
      <c r="BB937" s="90"/>
      <c r="BC937" s="90"/>
      <c r="BD937" s="90"/>
      <c r="BE937" s="90"/>
      <c r="BF937" s="90"/>
    </row>
    <row r="938" spans="1:58" x14ac:dyDescent="0.2">
      <c r="A938" s="62"/>
      <c r="B938" s="62"/>
      <c r="C938" s="62"/>
      <c r="D938" s="62"/>
      <c r="E938" s="345"/>
      <c r="F938" s="345"/>
      <c r="G938" s="113"/>
      <c r="H938" s="113"/>
      <c r="I938" s="114"/>
      <c r="J938" s="114"/>
      <c r="K938" s="114"/>
      <c r="L938" s="81"/>
      <c r="M938" s="265" t="b">
        <f>NOT(ISERROR(ResultsInd[[#This Row],[Goal-A]]+ResultsInd[[#This Row],[Goal-B]]))</f>
        <v>1</v>
      </c>
      <c r="N938" s="265">
        <f>VALUE(ResultsInd[[#This Row],[Score-A]])</f>
        <v>0</v>
      </c>
      <c r="O938" s="265">
        <f>VALUE(ResultsInd[[#This Row],[Score-B]])</f>
        <v>0</v>
      </c>
      <c r="P938" s="265" t="str">
        <f ca="1">IF(AND(ResultsInd[[#This Row],[Category]]&lt;&gt;"",ResultsInd[[#This Row],[Player A]]&lt;&gt;""),COUNTIF(INDIRECT(ResultsInd[[#This Row],[Category]]&amp;"List[Retained Player Name]"),ResultsInd[[#This Row],[Player A]]),"")</f>
        <v/>
      </c>
      <c r="Q938" s="265" t="str">
        <f ca="1">IF(AND(ResultsInd[[#This Row],[Category]]&lt;&gt;"",ResultsInd[[#This Row],[Player B]]&lt;&gt;""),COUNTIF(INDIRECT(ResultsInd[[#This Row],[Category]]&amp;"List[Retained Player Name]"),ResultsInd[[#This Row],[Player B]]),"")</f>
        <v/>
      </c>
      <c r="R9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8" s="265" t="str">
        <f>IF(ResultsInd[[#This Row],[Score_OK]],IF(ResultsInd[[#This Row],[Stage]]="Groups",ResultsInd[[#This Row],[Category]]&amp;"-"&amp;IF(ResultsInd[[#This Row],[Player B]]="","",IF(ResultsInd[[#This Row],[Score-A]]=ResultsInd[[#This Row],[Score-B]],ResultsInd[[#This Row],[Player A]],"")),""),"")</f>
        <v/>
      </c>
      <c r="T938" s="265" t="str">
        <f>IF(ResultsInd[[#This Row],[Score_OK]],IF(ResultsInd[[#This Row],[Stage]]="Groups",ResultsInd[[#This Row],[Category]]&amp;"-"&amp;IF(ResultsInd[[#This Row],[Player B]]="","",IF(ResultsInd[[#This Row],[Score-A]]=ResultsInd[[#This Row],[Score-B]],ResultsInd[[#This Row],[Player B]],"")),""),"")</f>
        <v/>
      </c>
      <c r="U9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8" s="264" t="str">
        <f>IF(ResultsInd[[#This Row],[Category]]="","",VLOOKUP(ResultsInd[[#This Row],[Stage]],$P$1:$V$9,MATCH(ResultsInd[[#This Row],[Category]],$Q$1:$V$1,0)+1,FALSE))</f>
        <v/>
      </c>
      <c r="Z938" s="264" t="str">
        <f>IF(ResultsInd[[#This Row],[Score_OK]],IF(ResultsInd[[#This Row],[Level]]="R",ResultsInd[[#This Row],[Category]]&amp;"-"&amp;IF(ResultsInd[[#This Row],[LoseInKO]]=ResultsInd[[#This Row],[Category]]&amp;"-"&amp;ResultsInd[[#This Row],[Player A]],ResultsInd[[#This Row],[Player B]],ResultsInd[[#This Row],[Player A]]),""),"")</f>
        <v/>
      </c>
      <c r="AB938" s="8"/>
      <c r="AC938" s="8"/>
      <c r="AE938" s="90"/>
      <c r="AF938" s="90"/>
      <c r="AP938" s="8"/>
      <c r="AQ938" s="8"/>
      <c r="AR938" s="8"/>
      <c r="AS938" s="8"/>
      <c r="AT938" s="8"/>
      <c r="AU938" s="8"/>
      <c r="AV938" s="8"/>
      <c r="AW938" s="8"/>
      <c r="AX938" s="8"/>
      <c r="AY938" s="90"/>
      <c r="AZ938" s="90"/>
      <c r="BA938" s="90"/>
      <c r="BB938" s="90"/>
      <c r="BC938" s="90"/>
      <c r="BD938" s="90"/>
      <c r="BE938" s="90"/>
      <c r="BF938" s="90"/>
    </row>
    <row r="939" spans="1:58" x14ac:dyDescent="0.2">
      <c r="A939" s="62"/>
      <c r="B939" s="62"/>
      <c r="C939" s="62"/>
      <c r="D939" s="62"/>
      <c r="E939" s="345"/>
      <c r="F939" s="345"/>
      <c r="G939" s="113"/>
      <c r="H939" s="113"/>
      <c r="I939" s="114"/>
      <c r="J939" s="114"/>
      <c r="K939" s="114"/>
      <c r="L939" s="81"/>
      <c r="M939" s="265" t="b">
        <f>NOT(ISERROR(ResultsInd[[#This Row],[Goal-A]]+ResultsInd[[#This Row],[Goal-B]]))</f>
        <v>1</v>
      </c>
      <c r="N939" s="265">
        <f>VALUE(ResultsInd[[#This Row],[Score-A]])</f>
        <v>0</v>
      </c>
      <c r="O939" s="265">
        <f>VALUE(ResultsInd[[#This Row],[Score-B]])</f>
        <v>0</v>
      </c>
      <c r="P939" s="265" t="str">
        <f ca="1">IF(AND(ResultsInd[[#This Row],[Category]]&lt;&gt;"",ResultsInd[[#This Row],[Player A]]&lt;&gt;""),COUNTIF(INDIRECT(ResultsInd[[#This Row],[Category]]&amp;"List[Retained Player Name]"),ResultsInd[[#This Row],[Player A]]),"")</f>
        <v/>
      </c>
      <c r="Q939" s="265" t="str">
        <f ca="1">IF(AND(ResultsInd[[#This Row],[Category]]&lt;&gt;"",ResultsInd[[#This Row],[Player B]]&lt;&gt;""),COUNTIF(INDIRECT(ResultsInd[[#This Row],[Category]]&amp;"List[Retained Player Name]"),ResultsInd[[#This Row],[Player B]]),"")</f>
        <v/>
      </c>
      <c r="R9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9" s="265" t="str">
        <f>IF(ResultsInd[[#This Row],[Score_OK]],IF(ResultsInd[[#This Row],[Stage]]="Groups",ResultsInd[[#This Row],[Category]]&amp;"-"&amp;IF(ResultsInd[[#This Row],[Player B]]="","",IF(ResultsInd[[#This Row],[Score-A]]=ResultsInd[[#This Row],[Score-B]],ResultsInd[[#This Row],[Player A]],"")),""),"")</f>
        <v/>
      </c>
      <c r="T939" s="265" t="str">
        <f>IF(ResultsInd[[#This Row],[Score_OK]],IF(ResultsInd[[#This Row],[Stage]]="Groups",ResultsInd[[#This Row],[Category]]&amp;"-"&amp;IF(ResultsInd[[#This Row],[Player B]]="","",IF(ResultsInd[[#This Row],[Score-A]]=ResultsInd[[#This Row],[Score-B]],ResultsInd[[#This Row],[Player B]],"")),""),"")</f>
        <v/>
      </c>
      <c r="U9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9" s="264" t="str">
        <f>IF(ResultsInd[[#This Row],[Category]]="","",VLOOKUP(ResultsInd[[#This Row],[Stage]],$P$1:$V$9,MATCH(ResultsInd[[#This Row],[Category]],$Q$1:$V$1,0)+1,FALSE))</f>
        <v/>
      </c>
      <c r="Z939" s="264" t="str">
        <f>IF(ResultsInd[[#This Row],[Score_OK]],IF(ResultsInd[[#This Row],[Level]]="R",ResultsInd[[#This Row],[Category]]&amp;"-"&amp;IF(ResultsInd[[#This Row],[LoseInKO]]=ResultsInd[[#This Row],[Category]]&amp;"-"&amp;ResultsInd[[#This Row],[Player A]],ResultsInd[[#This Row],[Player B]],ResultsInd[[#This Row],[Player A]]),""),"")</f>
        <v/>
      </c>
      <c r="AB939" s="8"/>
      <c r="AC939" s="8"/>
      <c r="AE939" s="90"/>
      <c r="AF939" s="90"/>
      <c r="AP939" s="8"/>
      <c r="AQ939" s="8"/>
      <c r="AR939" s="8"/>
      <c r="AS939" s="8"/>
      <c r="AT939" s="8"/>
      <c r="AU939" s="8"/>
      <c r="AV939" s="8"/>
      <c r="AW939" s="8"/>
      <c r="AX939" s="8"/>
      <c r="AY939" s="90"/>
      <c r="AZ939" s="90"/>
      <c r="BA939" s="90"/>
      <c r="BB939" s="90"/>
      <c r="BC939" s="90"/>
      <c r="BD939" s="90"/>
      <c r="BE939" s="90"/>
      <c r="BF939" s="90"/>
    </row>
    <row r="940" spans="1:58" x14ac:dyDescent="0.2">
      <c r="A940" s="62"/>
      <c r="B940" s="62"/>
      <c r="C940" s="62"/>
      <c r="D940" s="62"/>
      <c r="E940" s="345"/>
      <c r="F940" s="345"/>
      <c r="G940" s="113"/>
      <c r="H940" s="113"/>
      <c r="I940" s="114"/>
      <c r="J940" s="114"/>
      <c r="K940" s="114"/>
      <c r="L940" s="81"/>
      <c r="M940" s="265" t="b">
        <f>NOT(ISERROR(ResultsInd[[#This Row],[Goal-A]]+ResultsInd[[#This Row],[Goal-B]]))</f>
        <v>1</v>
      </c>
      <c r="N940" s="265">
        <f>VALUE(ResultsInd[[#This Row],[Score-A]])</f>
        <v>0</v>
      </c>
      <c r="O940" s="265">
        <f>VALUE(ResultsInd[[#This Row],[Score-B]])</f>
        <v>0</v>
      </c>
      <c r="P940" s="265" t="str">
        <f ca="1">IF(AND(ResultsInd[[#This Row],[Category]]&lt;&gt;"",ResultsInd[[#This Row],[Player A]]&lt;&gt;""),COUNTIF(INDIRECT(ResultsInd[[#This Row],[Category]]&amp;"List[Retained Player Name]"),ResultsInd[[#This Row],[Player A]]),"")</f>
        <v/>
      </c>
      <c r="Q940" s="265" t="str">
        <f ca="1">IF(AND(ResultsInd[[#This Row],[Category]]&lt;&gt;"",ResultsInd[[#This Row],[Player B]]&lt;&gt;""),COUNTIF(INDIRECT(ResultsInd[[#This Row],[Category]]&amp;"List[Retained Player Name]"),ResultsInd[[#This Row],[Player B]]),"")</f>
        <v/>
      </c>
      <c r="R9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0" s="265" t="str">
        <f>IF(ResultsInd[[#This Row],[Score_OK]],IF(ResultsInd[[#This Row],[Stage]]="Groups",ResultsInd[[#This Row],[Category]]&amp;"-"&amp;IF(ResultsInd[[#This Row],[Player B]]="","",IF(ResultsInd[[#This Row],[Score-A]]=ResultsInd[[#This Row],[Score-B]],ResultsInd[[#This Row],[Player A]],"")),""),"")</f>
        <v/>
      </c>
      <c r="T940" s="265" t="str">
        <f>IF(ResultsInd[[#This Row],[Score_OK]],IF(ResultsInd[[#This Row],[Stage]]="Groups",ResultsInd[[#This Row],[Category]]&amp;"-"&amp;IF(ResultsInd[[#This Row],[Player B]]="","",IF(ResultsInd[[#This Row],[Score-A]]=ResultsInd[[#This Row],[Score-B]],ResultsInd[[#This Row],[Player B]],"")),""),"")</f>
        <v/>
      </c>
      <c r="U9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0" s="264" t="str">
        <f>IF(ResultsInd[[#This Row],[Category]]="","",VLOOKUP(ResultsInd[[#This Row],[Stage]],$P$1:$V$9,MATCH(ResultsInd[[#This Row],[Category]],$Q$1:$V$1,0)+1,FALSE))</f>
        <v/>
      </c>
      <c r="Z940" s="264" t="str">
        <f>IF(ResultsInd[[#This Row],[Score_OK]],IF(ResultsInd[[#This Row],[Level]]="R",ResultsInd[[#This Row],[Category]]&amp;"-"&amp;IF(ResultsInd[[#This Row],[LoseInKO]]=ResultsInd[[#This Row],[Category]]&amp;"-"&amp;ResultsInd[[#This Row],[Player A]],ResultsInd[[#This Row],[Player B]],ResultsInd[[#This Row],[Player A]]),""),"")</f>
        <v/>
      </c>
      <c r="AB940" s="8"/>
      <c r="AC940" s="8"/>
      <c r="AE940" s="90"/>
      <c r="AF940" s="90"/>
      <c r="AP940" s="8"/>
      <c r="AQ940" s="8"/>
      <c r="AR940" s="8"/>
      <c r="AS940" s="8"/>
      <c r="AT940" s="8"/>
      <c r="AU940" s="8"/>
      <c r="AV940" s="8"/>
      <c r="AW940" s="8"/>
      <c r="AX940" s="8"/>
      <c r="AY940" s="90"/>
      <c r="AZ940" s="90"/>
      <c r="BA940" s="90"/>
      <c r="BB940" s="90"/>
      <c r="BC940" s="90"/>
      <c r="BD940" s="90"/>
      <c r="BE940" s="90"/>
      <c r="BF940" s="90"/>
    </row>
    <row r="941" spans="1:58" x14ac:dyDescent="0.2">
      <c r="A941" s="62"/>
      <c r="B941" s="62"/>
      <c r="C941" s="62"/>
      <c r="D941" s="62"/>
      <c r="E941" s="345"/>
      <c r="F941" s="345"/>
      <c r="G941" s="113"/>
      <c r="H941" s="113"/>
      <c r="I941" s="114"/>
      <c r="J941" s="114"/>
      <c r="K941" s="114"/>
      <c r="L941" s="81"/>
      <c r="M941" s="265" t="b">
        <f>NOT(ISERROR(ResultsInd[[#This Row],[Goal-A]]+ResultsInd[[#This Row],[Goal-B]]))</f>
        <v>1</v>
      </c>
      <c r="N941" s="265">
        <f>VALUE(ResultsInd[[#This Row],[Score-A]])</f>
        <v>0</v>
      </c>
      <c r="O941" s="265">
        <f>VALUE(ResultsInd[[#This Row],[Score-B]])</f>
        <v>0</v>
      </c>
      <c r="P941" s="265" t="str">
        <f ca="1">IF(AND(ResultsInd[[#This Row],[Category]]&lt;&gt;"",ResultsInd[[#This Row],[Player A]]&lt;&gt;""),COUNTIF(INDIRECT(ResultsInd[[#This Row],[Category]]&amp;"List[Retained Player Name]"),ResultsInd[[#This Row],[Player A]]),"")</f>
        <v/>
      </c>
      <c r="Q941" s="265" t="str">
        <f ca="1">IF(AND(ResultsInd[[#This Row],[Category]]&lt;&gt;"",ResultsInd[[#This Row],[Player B]]&lt;&gt;""),COUNTIF(INDIRECT(ResultsInd[[#This Row],[Category]]&amp;"List[Retained Player Name]"),ResultsInd[[#This Row],[Player B]]),"")</f>
        <v/>
      </c>
      <c r="R9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1" s="265" t="str">
        <f>IF(ResultsInd[[#This Row],[Score_OK]],IF(ResultsInd[[#This Row],[Stage]]="Groups",ResultsInd[[#This Row],[Category]]&amp;"-"&amp;IF(ResultsInd[[#This Row],[Player B]]="","",IF(ResultsInd[[#This Row],[Score-A]]=ResultsInd[[#This Row],[Score-B]],ResultsInd[[#This Row],[Player A]],"")),""),"")</f>
        <v/>
      </c>
      <c r="T941" s="265" t="str">
        <f>IF(ResultsInd[[#This Row],[Score_OK]],IF(ResultsInd[[#This Row],[Stage]]="Groups",ResultsInd[[#This Row],[Category]]&amp;"-"&amp;IF(ResultsInd[[#This Row],[Player B]]="","",IF(ResultsInd[[#This Row],[Score-A]]=ResultsInd[[#This Row],[Score-B]],ResultsInd[[#This Row],[Player B]],"")),""),"")</f>
        <v/>
      </c>
      <c r="U9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1" s="264" t="str">
        <f>IF(ResultsInd[[#This Row],[Category]]="","",VLOOKUP(ResultsInd[[#This Row],[Stage]],$P$1:$V$9,MATCH(ResultsInd[[#This Row],[Category]],$Q$1:$V$1,0)+1,FALSE))</f>
        <v/>
      </c>
      <c r="Z941" s="264" t="str">
        <f>IF(ResultsInd[[#This Row],[Score_OK]],IF(ResultsInd[[#This Row],[Level]]="R",ResultsInd[[#This Row],[Category]]&amp;"-"&amp;IF(ResultsInd[[#This Row],[LoseInKO]]=ResultsInd[[#This Row],[Category]]&amp;"-"&amp;ResultsInd[[#This Row],[Player A]],ResultsInd[[#This Row],[Player B]],ResultsInd[[#This Row],[Player A]]),""),"")</f>
        <v/>
      </c>
      <c r="AB941" s="8"/>
      <c r="AC941" s="8"/>
      <c r="AE941" s="90"/>
      <c r="AF941" s="90"/>
      <c r="AP941" s="8"/>
      <c r="AQ941" s="8"/>
      <c r="AR941" s="8"/>
      <c r="AS941" s="8"/>
      <c r="AT941" s="8"/>
      <c r="AU941" s="8"/>
      <c r="AV941" s="8"/>
      <c r="AW941" s="8"/>
      <c r="AX941" s="8"/>
      <c r="AY941" s="90"/>
      <c r="AZ941" s="90"/>
      <c r="BA941" s="90"/>
      <c r="BB941" s="90"/>
      <c r="BC941" s="90"/>
      <c r="BD941" s="90"/>
      <c r="BE941" s="90"/>
      <c r="BF941" s="90"/>
    </row>
    <row r="942" spans="1:58" x14ac:dyDescent="0.2">
      <c r="A942" s="62"/>
      <c r="B942" s="62"/>
      <c r="C942" s="62"/>
      <c r="D942" s="62"/>
      <c r="E942" s="345"/>
      <c r="F942" s="345"/>
      <c r="G942" s="113"/>
      <c r="H942" s="113"/>
      <c r="I942" s="114"/>
      <c r="J942" s="114"/>
      <c r="K942" s="114"/>
      <c r="L942" s="81"/>
      <c r="M942" s="265" t="b">
        <f>NOT(ISERROR(ResultsInd[[#This Row],[Goal-A]]+ResultsInd[[#This Row],[Goal-B]]))</f>
        <v>1</v>
      </c>
      <c r="N942" s="265">
        <f>VALUE(ResultsInd[[#This Row],[Score-A]])</f>
        <v>0</v>
      </c>
      <c r="O942" s="265">
        <f>VALUE(ResultsInd[[#This Row],[Score-B]])</f>
        <v>0</v>
      </c>
      <c r="P942" s="265" t="str">
        <f ca="1">IF(AND(ResultsInd[[#This Row],[Category]]&lt;&gt;"",ResultsInd[[#This Row],[Player A]]&lt;&gt;""),COUNTIF(INDIRECT(ResultsInd[[#This Row],[Category]]&amp;"List[Retained Player Name]"),ResultsInd[[#This Row],[Player A]]),"")</f>
        <v/>
      </c>
      <c r="Q942" s="265" t="str">
        <f ca="1">IF(AND(ResultsInd[[#This Row],[Category]]&lt;&gt;"",ResultsInd[[#This Row],[Player B]]&lt;&gt;""),COUNTIF(INDIRECT(ResultsInd[[#This Row],[Category]]&amp;"List[Retained Player Name]"),ResultsInd[[#This Row],[Player B]]),"")</f>
        <v/>
      </c>
      <c r="R9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2" s="265" t="str">
        <f>IF(ResultsInd[[#This Row],[Score_OK]],IF(ResultsInd[[#This Row],[Stage]]="Groups",ResultsInd[[#This Row],[Category]]&amp;"-"&amp;IF(ResultsInd[[#This Row],[Player B]]="","",IF(ResultsInd[[#This Row],[Score-A]]=ResultsInd[[#This Row],[Score-B]],ResultsInd[[#This Row],[Player A]],"")),""),"")</f>
        <v/>
      </c>
      <c r="T942" s="265" t="str">
        <f>IF(ResultsInd[[#This Row],[Score_OK]],IF(ResultsInd[[#This Row],[Stage]]="Groups",ResultsInd[[#This Row],[Category]]&amp;"-"&amp;IF(ResultsInd[[#This Row],[Player B]]="","",IF(ResultsInd[[#This Row],[Score-A]]=ResultsInd[[#This Row],[Score-B]],ResultsInd[[#This Row],[Player B]],"")),""),"")</f>
        <v/>
      </c>
      <c r="U9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2" s="264" t="str">
        <f>IF(ResultsInd[[#This Row],[Category]]="","",VLOOKUP(ResultsInd[[#This Row],[Stage]],$P$1:$V$9,MATCH(ResultsInd[[#This Row],[Category]],$Q$1:$V$1,0)+1,FALSE))</f>
        <v/>
      </c>
      <c r="Z942" s="264" t="str">
        <f>IF(ResultsInd[[#This Row],[Score_OK]],IF(ResultsInd[[#This Row],[Level]]="R",ResultsInd[[#This Row],[Category]]&amp;"-"&amp;IF(ResultsInd[[#This Row],[LoseInKO]]=ResultsInd[[#This Row],[Category]]&amp;"-"&amp;ResultsInd[[#This Row],[Player A]],ResultsInd[[#This Row],[Player B]],ResultsInd[[#This Row],[Player A]]),""),"")</f>
        <v/>
      </c>
      <c r="AB942" s="8"/>
      <c r="AC942" s="8"/>
      <c r="AE942" s="90"/>
      <c r="AF942" s="90"/>
      <c r="AP942" s="8"/>
      <c r="AQ942" s="8"/>
      <c r="AR942" s="8"/>
      <c r="AS942" s="8"/>
      <c r="AT942" s="8"/>
      <c r="AU942" s="8"/>
      <c r="AV942" s="8"/>
      <c r="AW942" s="8"/>
      <c r="AX942" s="8"/>
      <c r="AY942" s="90"/>
      <c r="AZ942" s="90"/>
      <c r="BA942" s="90"/>
      <c r="BB942" s="90"/>
      <c r="BC942" s="90"/>
      <c r="BD942" s="90"/>
      <c r="BE942" s="90"/>
      <c r="BF942" s="90"/>
    </row>
    <row r="943" spans="1:58" x14ac:dyDescent="0.2">
      <c r="A943" s="62"/>
      <c r="B943" s="62"/>
      <c r="C943" s="62"/>
      <c r="D943" s="62"/>
      <c r="E943" s="345"/>
      <c r="F943" s="345"/>
      <c r="G943" s="113"/>
      <c r="H943" s="113"/>
      <c r="I943" s="114"/>
      <c r="J943" s="114"/>
      <c r="K943" s="114"/>
      <c r="L943" s="81"/>
      <c r="M943" s="265" t="b">
        <f>NOT(ISERROR(ResultsInd[[#This Row],[Goal-A]]+ResultsInd[[#This Row],[Goal-B]]))</f>
        <v>1</v>
      </c>
      <c r="N943" s="265">
        <f>VALUE(ResultsInd[[#This Row],[Score-A]])</f>
        <v>0</v>
      </c>
      <c r="O943" s="265">
        <f>VALUE(ResultsInd[[#This Row],[Score-B]])</f>
        <v>0</v>
      </c>
      <c r="P943" s="265" t="str">
        <f ca="1">IF(AND(ResultsInd[[#This Row],[Category]]&lt;&gt;"",ResultsInd[[#This Row],[Player A]]&lt;&gt;""),COUNTIF(INDIRECT(ResultsInd[[#This Row],[Category]]&amp;"List[Retained Player Name]"),ResultsInd[[#This Row],[Player A]]),"")</f>
        <v/>
      </c>
      <c r="Q943" s="265" t="str">
        <f ca="1">IF(AND(ResultsInd[[#This Row],[Category]]&lt;&gt;"",ResultsInd[[#This Row],[Player B]]&lt;&gt;""),COUNTIF(INDIRECT(ResultsInd[[#This Row],[Category]]&amp;"List[Retained Player Name]"),ResultsInd[[#This Row],[Player B]]),"")</f>
        <v/>
      </c>
      <c r="R9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3" s="265" t="str">
        <f>IF(ResultsInd[[#This Row],[Score_OK]],IF(ResultsInd[[#This Row],[Stage]]="Groups",ResultsInd[[#This Row],[Category]]&amp;"-"&amp;IF(ResultsInd[[#This Row],[Player B]]="","",IF(ResultsInd[[#This Row],[Score-A]]=ResultsInd[[#This Row],[Score-B]],ResultsInd[[#This Row],[Player A]],"")),""),"")</f>
        <v/>
      </c>
      <c r="T943" s="265" t="str">
        <f>IF(ResultsInd[[#This Row],[Score_OK]],IF(ResultsInd[[#This Row],[Stage]]="Groups",ResultsInd[[#This Row],[Category]]&amp;"-"&amp;IF(ResultsInd[[#This Row],[Player B]]="","",IF(ResultsInd[[#This Row],[Score-A]]=ResultsInd[[#This Row],[Score-B]],ResultsInd[[#This Row],[Player B]],"")),""),"")</f>
        <v/>
      </c>
      <c r="U9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3" s="264" t="str">
        <f>IF(ResultsInd[[#This Row],[Category]]="","",VLOOKUP(ResultsInd[[#This Row],[Stage]],$P$1:$V$9,MATCH(ResultsInd[[#This Row],[Category]],$Q$1:$V$1,0)+1,FALSE))</f>
        <v/>
      </c>
      <c r="Z943" s="264" t="str">
        <f>IF(ResultsInd[[#This Row],[Score_OK]],IF(ResultsInd[[#This Row],[Level]]="R",ResultsInd[[#This Row],[Category]]&amp;"-"&amp;IF(ResultsInd[[#This Row],[LoseInKO]]=ResultsInd[[#This Row],[Category]]&amp;"-"&amp;ResultsInd[[#This Row],[Player A]],ResultsInd[[#This Row],[Player B]],ResultsInd[[#This Row],[Player A]]),""),"")</f>
        <v/>
      </c>
      <c r="AB943" s="8"/>
      <c r="AC943" s="8"/>
      <c r="AE943" s="90"/>
      <c r="AF943" s="90"/>
      <c r="AP943" s="8"/>
      <c r="AQ943" s="8"/>
      <c r="AR943" s="8"/>
      <c r="AS943" s="8"/>
      <c r="AT943" s="8"/>
      <c r="AU943" s="8"/>
      <c r="AV943" s="8"/>
      <c r="AW943" s="8"/>
      <c r="AX943" s="8"/>
      <c r="AY943" s="90"/>
      <c r="AZ943" s="90"/>
      <c r="BA943" s="90"/>
      <c r="BB943" s="90"/>
      <c r="BC943" s="90"/>
      <c r="BD943" s="90"/>
      <c r="BE943" s="90"/>
      <c r="BF943" s="90"/>
    </row>
    <row r="944" spans="1:58" x14ac:dyDescent="0.2">
      <c r="A944" s="62"/>
      <c r="B944" s="62"/>
      <c r="C944" s="62"/>
      <c r="D944" s="62"/>
      <c r="E944" s="345"/>
      <c r="F944" s="345"/>
      <c r="G944" s="113"/>
      <c r="H944" s="113"/>
      <c r="I944" s="114"/>
      <c r="J944" s="114"/>
      <c r="K944" s="114"/>
      <c r="L944" s="81"/>
      <c r="M944" s="265" t="b">
        <f>NOT(ISERROR(ResultsInd[[#This Row],[Goal-A]]+ResultsInd[[#This Row],[Goal-B]]))</f>
        <v>1</v>
      </c>
      <c r="N944" s="265">
        <f>VALUE(ResultsInd[[#This Row],[Score-A]])</f>
        <v>0</v>
      </c>
      <c r="O944" s="265">
        <f>VALUE(ResultsInd[[#This Row],[Score-B]])</f>
        <v>0</v>
      </c>
      <c r="P944" s="265" t="str">
        <f ca="1">IF(AND(ResultsInd[[#This Row],[Category]]&lt;&gt;"",ResultsInd[[#This Row],[Player A]]&lt;&gt;""),COUNTIF(INDIRECT(ResultsInd[[#This Row],[Category]]&amp;"List[Retained Player Name]"),ResultsInd[[#This Row],[Player A]]),"")</f>
        <v/>
      </c>
      <c r="Q944" s="265" t="str">
        <f ca="1">IF(AND(ResultsInd[[#This Row],[Category]]&lt;&gt;"",ResultsInd[[#This Row],[Player B]]&lt;&gt;""),COUNTIF(INDIRECT(ResultsInd[[#This Row],[Category]]&amp;"List[Retained Player Name]"),ResultsInd[[#This Row],[Player B]]),"")</f>
        <v/>
      </c>
      <c r="R9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4" s="265" t="str">
        <f>IF(ResultsInd[[#This Row],[Score_OK]],IF(ResultsInd[[#This Row],[Stage]]="Groups",ResultsInd[[#This Row],[Category]]&amp;"-"&amp;IF(ResultsInd[[#This Row],[Player B]]="","",IF(ResultsInd[[#This Row],[Score-A]]=ResultsInd[[#This Row],[Score-B]],ResultsInd[[#This Row],[Player A]],"")),""),"")</f>
        <v/>
      </c>
      <c r="T944" s="265" t="str">
        <f>IF(ResultsInd[[#This Row],[Score_OK]],IF(ResultsInd[[#This Row],[Stage]]="Groups",ResultsInd[[#This Row],[Category]]&amp;"-"&amp;IF(ResultsInd[[#This Row],[Player B]]="","",IF(ResultsInd[[#This Row],[Score-A]]=ResultsInd[[#This Row],[Score-B]],ResultsInd[[#This Row],[Player B]],"")),""),"")</f>
        <v/>
      </c>
      <c r="U9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4" s="264" t="str">
        <f>IF(ResultsInd[[#This Row],[Category]]="","",VLOOKUP(ResultsInd[[#This Row],[Stage]],$P$1:$V$9,MATCH(ResultsInd[[#This Row],[Category]],$Q$1:$V$1,0)+1,FALSE))</f>
        <v/>
      </c>
      <c r="Z944" s="264" t="str">
        <f>IF(ResultsInd[[#This Row],[Score_OK]],IF(ResultsInd[[#This Row],[Level]]="R",ResultsInd[[#This Row],[Category]]&amp;"-"&amp;IF(ResultsInd[[#This Row],[LoseInKO]]=ResultsInd[[#This Row],[Category]]&amp;"-"&amp;ResultsInd[[#This Row],[Player A]],ResultsInd[[#This Row],[Player B]],ResultsInd[[#This Row],[Player A]]),""),"")</f>
        <v/>
      </c>
      <c r="AB944" s="8"/>
      <c r="AC944" s="8"/>
      <c r="AE944" s="90"/>
      <c r="AF944" s="90"/>
      <c r="AP944" s="8"/>
      <c r="AQ944" s="8"/>
      <c r="AR944" s="8"/>
      <c r="AS944" s="8"/>
      <c r="AT944" s="8"/>
      <c r="AU944" s="8"/>
      <c r="AV944" s="8"/>
      <c r="AW944" s="8"/>
      <c r="AX944" s="8"/>
      <c r="AY944" s="90"/>
      <c r="AZ944" s="90"/>
      <c r="BA944" s="90"/>
      <c r="BB944" s="90"/>
      <c r="BC944" s="90"/>
      <c r="BD944" s="90"/>
      <c r="BE944" s="90"/>
      <c r="BF944" s="90"/>
    </row>
    <row r="945" spans="1:58" x14ac:dyDescent="0.2">
      <c r="A945" s="62"/>
      <c r="B945" s="62"/>
      <c r="C945" s="62"/>
      <c r="D945" s="62"/>
      <c r="E945" s="345"/>
      <c r="F945" s="345"/>
      <c r="G945" s="113"/>
      <c r="H945" s="113"/>
      <c r="I945" s="114"/>
      <c r="J945" s="114"/>
      <c r="K945" s="114"/>
      <c r="L945" s="81"/>
      <c r="M945" s="265" t="b">
        <f>NOT(ISERROR(ResultsInd[[#This Row],[Goal-A]]+ResultsInd[[#This Row],[Goal-B]]))</f>
        <v>1</v>
      </c>
      <c r="N945" s="265">
        <f>VALUE(ResultsInd[[#This Row],[Score-A]])</f>
        <v>0</v>
      </c>
      <c r="O945" s="265">
        <f>VALUE(ResultsInd[[#This Row],[Score-B]])</f>
        <v>0</v>
      </c>
      <c r="P945" s="265" t="str">
        <f ca="1">IF(AND(ResultsInd[[#This Row],[Category]]&lt;&gt;"",ResultsInd[[#This Row],[Player A]]&lt;&gt;""),COUNTIF(INDIRECT(ResultsInd[[#This Row],[Category]]&amp;"List[Retained Player Name]"),ResultsInd[[#This Row],[Player A]]),"")</f>
        <v/>
      </c>
      <c r="Q945" s="265" t="str">
        <f ca="1">IF(AND(ResultsInd[[#This Row],[Category]]&lt;&gt;"",ResultsInd[[#This Row],[Player B]]&lt;&gt;""),COUNTIF(INDIRECT(ResultsInd[[#This Row],[Category]]&amp;"List[Retained Player Name]"),ResultsInd[[#This Row],[Player B]]),"")</f>
        <v/>
      </c>
      <c r="R9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5" s="265" t="str">
        <f>IF(ResultsInd[[#This Row],[Score_OK]],IF(ResultsInd[[#This Row],[Stage]]="Groups",ResultsInd[[#This Row],[Category]]&amp;"-"&amp;IF(ResultsInd[[#This Row],[Player B]]="","",IF(ResultsInd[[#This Row],[Score-A]]=ResultsInd[[#This Row],[Score-B]],ResultsInd[[#This Row],[Player A]],"")),""),"")</f>
        <v/>
      </c>
      <c r="T945" s="265" t="str">
        <f>IF(ResultsInd[[#This Row],[Score_OK]],IF(ResultsInd[[#This Row],[Stage]]="Groups",ResultsInd[[#This Row],[Category]]&amp;"-"&amp;IF(ResultsInd[[#This Row],[Player B]]="","",IF(ResultsInd[[#This Row],[Score-A]]=ResultsInd[[#This Row],[Score-B]],ResultsInd[[#This Row],[Player B]],"")),""),"")</f>
        <v/>
      </c>
      <c r="U9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5" s="264" t="str">
        <f>IF(ResultsInd[[#This Row],[Category]]="","",VLOOKUP(ResultsInd[[#This Row],[Stage]],$P$1:$V$9,MATCH(ResultsInd[[#This Row],[Category]],$Q$1:$V$1,0)+1,FALSE))</f>
        <v/>
      </c>
      <c r="Z945" s="264" t="str">
        <f>IF(ResultsInd[[#This Row],[Score_OK]],IF(ResultsInd[[#This Row],[Level]]="R",ResultsInd[[#This Row],[Category]]&amp;"-"&amp;IF(ResultsInd[[#This Row],[LoseInKO]]=ResultsInd[[#This Row],[Category]]&amp;"-"&amp;ResultsInd[[#This Row],[Player A]],ResultsInd[[#This Row],[Player B]],ResultsInd[[#This Row],[Player A]]),""),"")</f>
        <v/>
      </c>
      <c r="AB945" s="8"/>
      <c r="AC945" s="8"/>
      <c r="AE945" s="90"/>
      <c r="AF945" s="90"/>
      <c r="AP945" s="8"/>
      <c r="AQ945" s="8"/>
      <c r="AR945" s="8"/>
      <c r="AS945" s="8"/>
      <c r="AT945" s="8"/>
      <c r="AU945" s="8"/>
      <c r="AV945" s="8"/>
      <c r="AW945" s="8"/>
      <c r="AX945" s="8"/>
      <c r="AY945" s="90"/>
      <c r="AZ945" s="90"/>
      <c r="BA945" s="90"/>
      <c r="BB945" s="90"/>
      <c r="BC945" s="90"/>
      <c r="BD945" s="90"/>
      <c r="BE945" s="90"/>
      <c r="BF945" s="90"/>
    </row>
    <row r="946" spans="1:58" x14ac:dyDescent="0.2">
      <c r="A946" s="62"/>
      <c r="B946" s="62"/>
      <c r="C946" s="62"/>
      <c r="D946" s="62"/>
      <c r="E946" s="345"/>
      <c r="F946" s="345"/>
      <c r="G946" s="113"/>
      <c r="H946" s="113"/>
      <c r="I946" s="114"/>
      <c r="J946" s="114"/>
      <c r="K946" s="114"/>
      <c r="L946" s="81"/>
      <c r="M946" s="265" t="b">
        <f>NOT(ISERROR(ResultsInd[[#This Row],[Goal-A]]+ResultsInd[[#This Row],[Goal-B]]))</f>
        <v>1</v>
      </c>
      <c r="N946" s="265">
        <f>VALUE(ResultsInd[[#This Row],[Score-A]])</f>
        <v>0</v>
      </c>
      <c r="O946" s="265">
        <f>VALUE(ResultsInd[[#This Row],[Score-B]])</f>
        <v>0</v>
      </c>
      <c r="P946" s="265" t="str">
        <f ca="1">IF(AND(ResultsInd[[#This Row],[Category]]&lt;&gt;"",ResultsInd[[#This Row],[Player A]]&lt;&gt;""),COUNTIF(INDIRECT(ResultsInd[[#This Row],[Category]]&amp;"List[Retained Player Name]"),ResultsInd[[#This Row],[Player A]]),"")</f>
        <v/>
      </c>
      <c r="Q946" s="265" t="str">
        <f ca="1">IF(AND(ResultsInd[[#This Row],[Category]]&lt;&gt;"",ResultsInd[[#This Row],[Player B]]&lt;&gt;""),COUNTIF(INDIRECT(ResultsInd[[#This Row],[Category]]&amp;"List[Retained Player Name]"),ResultsInd[[#This Row],[Player B]]),"")</f>
        <v/>
      </c>
      <c r="R9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6" s="265" t="str">
        <f>IF(ResultsInd[[#This Row],[Score_OK]],IF(ResultsInd[[#This Row],[Stage]]="Groups",ResultsInd[[#This Row],[Category]]&amp;"-"&amp;IF(ResultsInd[[#This Row],[Player B]]="","",IF(ResultsInd[[#This Row],[Score-A]]=ResultsInd[[#This Row],[Score-B]],ResultsInd[[#This Row],[Player A]],"")),""),"")</f>
        <v/>
      </c>
      <c r="T946" s="265" t="str">
        <f>IF(ResultsInd[[#This Row],[Score_OK]],IF(ResultsInd[[#This Row],[Stage]]="Groups",ResultsInd[[#This Row],[Category]]&amp;"-"&amp;IF(ResultsInd[[#This Row],[Player B]]="","",IF(ResultsInd[[#This Row],[Score-A]]=ResultsInd[[#This Row],[Score-B]],ResultsInd[[#This Row],[Player B]],"")),""),"")</f>
        <v/>
      </c>
      <c r="U9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6" s="264" t="str">
        <f>IF(ResultsInd[[#This Row],[Category]]="","",VLOOKUP(ResultsInd[[#This Row],[Stage]],$P$1:$V$9,MATCH(ResultsInd[[#This Row],[Category]],$Q$1:$V$1,0)+1,FALSE))</f>
        <v/>
      </c>
      <c r="Z946" s="264" t="str">
        <f>IF(ResultsInd[[#This Row],[Score_OK]],IF(ResultsInd[[#This Row],[Level]]="R",ResultsInd[[#This Row],[Category]]&amp;"-"&amp;IF(ResultsInd[[#This Row],[LoseInKO]]=ResultsInd[[#This Row],[Category]]&amp;"-"&amp;ResultsInd[[#This Row],[Player A]],ResultsInd[[#This Row],[Player B]],ResultsInd[[#This Row],[Player A]]),""),"")</f>
        <v/>
      </c>
      <c r="AB946" s="8"/>
      <c r="AC946" s="8"/>
      <c r="AE946" s="90"/>
      <c r="AF946" s="90"/>
      <c r="AP946" s="8"/>
      <c r="AQ946" s="8"/>
      <c r="AR946" s="8"/>
      <c r="AS946" s="8"/>
      <c r="AT946" s="8"/>
      <c r="AU946" s="8"/>
      <c r="AV946" s="8"/>
      <c r="AW946" s="8"/>
      <c r="AX946" s="8"/>
      <c r="AY946" s="90"/>
      <c r="AZ946" s="90"/>
      <c r="BA946" s="90"/>
      <c r="BB946" s="90"/>
      <c r="BC946" s="90"/>
      <c r="BD946" s="90"/>
      <c r="BE946" s="90"/>
      <c r="BF946" s="90"/>
    </row>
    <row r="947" spans="1:58" x14ac:dyDescent="0.2">
      <c r="A947" s="62"/>
      <c r="B947" s="62"/>
      <c r="C947" s="62"/>
      <c r="D947" s="62"/>
      <c r="E947" s="345"/>
      <c r="F947" s="345"/>
      <c r="G947" s="113"/>
      <c r="H947" s="113"/>
      <c r="I947" s="114"/>
      <c r="J947" s="114"/>
      <c r="K947" s="114"/>
      <c r="L947" s="81"/>
      <c r="M947" s="265" t="b">
        <f>NOT(ISERROR(ResultsInd[[#This Row],[Goal-A]]+ResultsInd[[#This Row],[Goal-B]]))</f>
        <v>1</v>
      </c>
      <c r="N947" s="265">
        <f>VALUE(ResultsInd[[#This Row],[Score-A]])</f>
        <v>0</v>
      </c>
      <c r="O947" s="265">
        <f>VALUE(ResultsInd[[#This Row],[Score-B]])</f>
        <v>0</v>
      </c>
      <c r="P947" s="265" t="str">
        <f ca="1">IF(AND(ResultsInd[[#This Row],[Category]]&lt;&gt;"",ResultsInd[[#This Row],[Player A]]&lt;&gt;""),COUNTIF(INDIRECT(ResultsInd[[#This Row],[Category]]&amp;"List[Retained Player Name]"),ResultsInd[[#This Row],[Player A]]),"")</f>
        <v/>
      </c>
      <c r="Q947" s="265" t="str">
        <f ca="1">IF(AND(ResultsInd[[#This Row],[Category]]&lt;&gt;"",ResultsInd[[#This Row],[Player B]]&lt;&gt;""),COUNTIF(INDIRECT(ResultsInd[[#This Row],[Category]]&amp;"List[Retained Player Name]"),ResultsInd[[#This Row],[Player B]]),"")</f>
        <v/>
      </c>
      <c r="R9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7" s="265" t="str">
        <f>IF(ResultsInd[[#This Row],[Score_OK]],IF(ResultsInd[[#This Row],[Stage]]="Groups",ResultsInd[[#This Row],[Category]]&amp;"-"&amp;IF(ResultsInd[[#This Row],[Player B]]="","",IF(ResultsInd[[#This Row],[Score-A]]=ResultsInd[[#This Row],[Score-B]],ResultsInd[[#This Row],[Player A]],"")),""),"")</f>
        <v/>
      </c>
      <c r="T947" s="265" t="str">
        <f>IF(ResultsInd[[#This Row],[Score_OK]],IF(ResultsInd[[#This Row],[Stage]]="Groups",ResultsInd[[#This Row],[Category]]&amp;"-"&amp;IF(ResultsInd[[#This Row],[Player B]]="","",IF(ResultsInd[[#This Row],[Score-A]]=ResultsInd[[#This Row],[Score-B]],ResultsInd[[#This Row],[Player B]],"")),""),"")</f>
        <v/>
      </c>
      <c r="U9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7" s="264" t="str">
        <f>IF(ResultsInd[[#This Row],[Category]]="","",VLOOKUP(ResultsInd[[#This Row],[Stage]],$P$1:$V$9,MATCH(ResultsInd[[#This Row],[Category]],$Q$1:$V$1,0)+1,FALSE))</f>
        <v/>
      </c>
      <c r="Z947" s="264" t="str">
        <f>IF(ResultsInd[[#This Row],[Score_OK]],IF(ResultsInd[[#This Row],[Level]]="R",ResultsInd[[#This Row],[Category]]&amp;"-"&amp;IF(ResultsInd[[#This Row],[LoseInKO]]=ResultsInd[[#This Row],[Category]]&amp;"-"&amp;ResultsInd[[#This Row],[Player A]],ResultsInd[[#This Row],[Player B]],ResultsInd[[#This Row],[Player A]]),""),"")</f>
        <v/>
      </c>
      <c r="AB947" s="8"/>
      <c r="AC947" s="8"/>
      <c r="AE947" s="90"/>
      <c r="AF947" s="90"/>
      <c r="AP947" s="8"/>
      <c r="AQ947" s="8"/>
      <c r="AR947" s="8"/>
      <c r="AS947" s="8"/>
      <c r="AT947" s="8"/>
      <c r="AU947" s="8"/>
      <c r="AV947" s="8"/>
      <c r="AW947" s="8"/>
      <c r="AX947" s="8"/>
      <c r="AY947" s="90"/>
      <c r="AZ947" s="90"/>
      <c r="BA947" s="90"/>
      <c r="BB947" s="90"/>
      <c r="BC947" s="90"/>
      <c r="BD947" s="90"/>
      <c r="BE947" s="90"/>
      <c r="BF947" s="90"/>
    </row>
    <row r="948" spans="1:58" x14ac:dyDescent="0.2">
      <c r="A948" s="62"/>
      <c r="B948" s="62"/>
      <c r="C948" s="62"/>
      <c r="D948" s="62"/>
      <c r="E948" s="345"/>
      <c r="F948" s="345"/>
      <c r="G948" s="113"/>
      <c r="H948" s="113"/>
      <c r="I948" s="114"/>
      <c r="J948" s="114"/>
      <c r="K948" s="114"/>
      <c r="L948" s="81"/>
      <c r="M948" s="265" t="b">
        <f>NOT(ISERROR(ResultsInd[[#This Row],[Goal-A]]+ResultsInd[[#This Row],[Goal-B]]))</f>
        <v>1</v>
      </c>
      <c r="N948" s="265">
        <f>VALUE(ResultsInd[[#This Row],[Score-A]])</f>
        <v>0</v>
      </c>
      <c r="O948" s="265">
        <f>VALUE(ResultsInd[[#This Row],[Score-B]])</f>
        <v>0</v>
      </c>
      <c r="P948" s="265" t="str">
        <f ca="1">IF(AND(ResultsInd[[#This Row],[Category]]&lt;&gt;"",ResultsInd[[#This Row],[Player A]]&lt;&gt;""),COUNTIF(INDIRECT(ResultsInd[[#This Row],[Category]]&amp;"List[Retained Player Name]"),ResultsInd[[#This Row],[Player A]]),"")</f>
        <v/>
      </c>
      <c r="Q948" s="265" t="str">
        <f ca="1">IF(AND(ResultsInd[[#This Row],[Category]]&lt;&gt;"",ResultsInd[[#This Row],[Player B]]&lt;&gt;""),COUNTIF(INDIRECT(ResultsInd[[#This Row],[Category]]&amp;"List[Retained Player Name]"),ResultsInd[[#This Row],[Player B]]),"")</f>
        <v/>
      </c>
      <c r="R9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8" s="265" t="str">
        <f>IF(ResultsInd[[#This Row],[Score_OK]],IF(ResultsInd[[#This Row],[Stage]]="Groups",ResultsInd[[#This Row],[Category]]&amp;"-"&amp;IF(ResultsInd[[#This Row],[Player B]]="","",IF(ResultsInd[[#This Row],[Score-A]]=ResultsInd[[#This Row],[Score-B]],ResultsInd[[#This Row],[Player A]],"")),""),"")</f>
        <v/>
      </c>
      <c r="T948" s="265" t="str">
        <f>IF(ResultsInd[[#This Row],[Score_OK]],IF(ResultsInd[[#This Row],[Stage]]="Groups",ResultsInd[[#This Row],[Category]]&amp;"-"&amp;IF(ResultsInd[[#This Row],[Player B]]="","",IF(ResultsInd[[#This Row],[Score-A]]=ResultsInd[[#This Row],[Score-B]],ResultsInd[[#This Row],[Player B]],"")),""),"")</f>
        <v/>
      </c>
      <c r="U9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8" s="264" t="str">
        <f>IF(ResultsInd[[#This Row],[Category]]="","",VLOOKUP(ResultsInd[[#This Row],[Stage]],$P$1:$V$9,MATCH(ResultsInd[[#This Row],[Category]],$Q$1:$V$1,0)+1,FALSE))</f>
        <v/>
      </c>
      <c r="Z948" s="264" t="str">
        <f>IF(ResultsInd[[#This Row],[Score_OK]],IF(ResultsInd[[#This Row],[Level]]="R",ResultsInd[[#This Row],[Category]]&amp;"-"&amp;IF(ResultsInd[[#This Row],[LoseInKO]]=ResultsInd[[#This Row],[Category]]&amp;"-"&amp;ResultsInd[[#This Row],[Player A]],ResultsInd[[#This Row],[Player B]],ResultsInd[[#This Row],[Player A]]),""),"")</f>
        <v/>
      </c>
      <c r="AB948" s="8"/>
      <c r="AC948" s="8"/>
      <c r="AE948" s="90"/>
      <c r="AF948" s="90"/>
      <c r="AP948" s="8"/>
      <c r="AQ948" s="8"/>
      <c r="AR948" s="8"/>
      <c r="AS948" s="8"/>
      <c r="AT948" s="8"/>
      <c r="AU948" s="8"/>
      <c r="AV948" s="8"/>
      <c r="AW948" s="8"/>
      <c r="AX948" s="8"/>
      <c r="AY948" s="90"/>
      <c r="AZ948" s="90"/>
      <c r="BA948" s="90"/>
      <c r="BB948" s="90"/>
      <c r="BC948" s="90"/>
      <c r="BD948" s="90"/>
      <c r="BE948" s="90"/>
      <c r="BF948" s="90"/>
    </row>
    <row r="949" spans="1:58" x14ac:dyDescent="0.2">
      <c r="A949" s="62"/>
      <c r="B949" s="62"/>
      <c r="C949" s="62"/>
      <c r="D949" s="62"/>
      <c r="E949" s="345"/>
      <c r="F949" s="345"/>
      <c r="G949" s="113"/>
      <c r="H949" s="113"/>
      <c r="I949" s="114"/>
      <c r="J949" s="114"/>
      <c r="K949" s="114"/>
      <c r="L949" s="81"/>
      <c r="M949" s="265" t="b">
        <f>NOT(ISERROR(ResultsInd[[#This Row],[Goal-A]]+ResultsInd[[#This Row],[Goal-B]]))</f>
        <v>1</v>
      </c>
      <c r="N949" s="265">
        <f>VALUE(ResultsInd[[#This Row],[Score-A]])</f>
        <v>0</v>
      </c>
      <c r="O949" s="265">
        <f>VALUE(ResultsInd[[#This Row],[Score-B]])</f>
        <v>0</v>
      </c>
      <c r="P949" s="265" t="str">
        <f ca="1">IF(AND(ResultsInd[[#This Row],[Category]]&lt;&gt;"",ResultsInd[[#This Row],[Player A]]&lt;&gt;""),COUNTIF(INDIRECT(ResultsInd[[#This Row],[Category]]&amp;"List[Retained Player Name]"),ResultsInd[[#This Row],[Player A]]),"")</f>
        <v/>
      </c>
      <c r="Q949" s="265" t="str">
        <f ca="1">IF(AND(ResultsInd[[#This Row],[Category]]&lt;&gt;"",ResultsInd[[#This Row],[Player B]]&lt;&gt;""),COUNTIF(INDIRECT(ResultsInd[[#This Row],[Category]]&amp;"List[Retained Player Name]"),ResultsInd[[#This Row],[Player B]]),"")</f>
        <v/>
      </c>
      <c r="R9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9" s="265" t="str">
        <f>IF(ResultsInd[[#This Row],[Score_OK]],IF(ResultsInd[[#This Row],[Stage]]="Groups",ResultsInd[[#This Row],[Category]]&amp;"-"&amp;IF(ResultsInd[[#This Row],[Player B]]="","",IF(ResultsInd[[#This Row],[Score-A]]=ResultsInd[[#This Row],[Score-B]],ResultsInd[[#This Row],[Player A]],"")),""),"")</f>
        <v/>
      </c>
      <c r="T949" s="265" t="str">
        <f>IF(ResultsInd[[#This Row],[Score_OK]],IF(ResultsInd[[#This Row],[Stage]]="Groups",ResultsInd[[#This Row],[Category]]&amp;"-"&amp;IF(ResultsInd[[#This Row],[Player B]]="","",IF(ResultsInd[[#This Row],[Score-A]]=ResultsInd[[#This Row],[Score-B]],ResultsInd[[#This Row],[Player B]],"")),""),"")</f>
        <v/>
      </c>
      <c r="U9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9" s="264" t="str">
        <f>IF(ResultsInd[[#This Row],[Category]]="","",VLOOKUP(ResultsInd[[#This Row],[Stage]],$P$1:$V$9,MATCH(ResultsInd[[#This Row],[Category]],$Q$1:$V$1,0)+1,FALSE))</f>
        <v/>
      </c>
      <c r="Z949" s="264" t="str">
        <f>IF(ResultsInd[[#This Row],[Score_OK]],IF(ResultsInd[[#This Row],[Level]]="R",ResultsInd[[#This Row],[Category]]&amp;"-"&amp;IF(ResultsInd[[#This Row],[LoseInKO]]=ResultsInd[[#This Row],[Category]]&amp;"-"&amp;ResultsInd[[#This Row],[Player A]],ResultsInd[[#This Row],[Player B]],ResultsInd[[#This Row],[Player A]]),""),"")</f>
        <v/>
      </c>
      <c r="AB949" s="8"/>
      <c r="AC949" s="8"/>
      <c r="AE949" s="90"/>
      <c r="AF949" s="90"/>
      <c r="AP949" s="8"/>
      <c r="AQ949" s="8"/>
      <c r="AR949" s="8"/>
      <c r="AS949" s="8"/>
      <c r="AT949" s="8"/>
      <c r="AU949" s="8"/>
      <c r="AV949" s="8"/>
      <c r="AW949" s="8"/>
      <c r="AX949" s="8"/>
      <c r="AY949" s="90"/>
      <c r="AZ949" s="90"/>
      <c r="BA949" s="90"/>
      <c r="BB949" s="90"/>
      <c r="BC949" s="90"/>
      <c r="BD949" s="90"/>
      <c r="BE949" s="90"/>
      <c r="BF949" s="90"/>
    </row>
    <row r="950" spans="1:58" x14ac:dyDescent="0.2">
      <c r="A950" s="62"/>
      <c r="B950" s="62"/>
      <c r="C950" s="62"/>
      <c r="D950" s="62"/>
      <c r="E950" s="345"/>
      <c r="F950" s="345"/>
      <c r="G950" s="113"/>
      <c r="H950" s="113"/>
      <c r="I950" s="114"/>
      <c r="J950" s="114"/>
      <c r="K950" s="114"/>
      <c r="L950" s="81"/>
      <c r="M950" s="265" t="b">
        <f>NOT(ISERROR(ResultsInd[[#This Row],[Goal-A]]+ResultsInd[[#This Row],[Goal-B]]))</f>
        <v>1</v>
      </c>
      <c r="N950" s="265">
        <f>VALUE(ResultsInd[[#This Row],[Score-A]])</f>
        <v>0</v>
      </c>
      <c r="O950" s="265">
        <f>VALUE(ResultsInd[[#This Row],[Score-B]])</f>
        <v>0</v>
      </c>
      <c r="P950" s="265" t="str">
        <f ca="1">IF(AND(ResultsInd[[#This Row],[Category]]&lt;&gt;"",ResultsInd[[#This Row],[Player A]]&lt;&gt;""),COUNTIF(INDIRECT(ResultsInd[[#This Row],[Category]]&amp;"List[Retained Player Name]"),ResultsInd[[#This Row],[Player A]]),"")</f>
        <v/>
      </c>
      <c r="Q950" s="265" t="str">
        <f ca="1">IF(AND(ResultsInd[[#This Row],[Category]]&lt;&gt;"",ResultsInd[[#This Row],[Player B]]&lt;&gt;""),COUNTIF(INDIRECT(ResultsInd[[#This Row],[Category]]&amp;"List[Retained Player Name]"),ResultsInd[[#This Row],[Player B]]),"")</f>
        <v/>
      </c>
      <c r="R9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0" s="265" t="str">
        <f>IF(ResultsInd[[#This Row],[Score_OK]],IF(ResultsInd[[#This Row],[Stage]]="Groups",ResultsInd[[#This Row],[Category]]&amp;"-"&amp;IF(ResultsInd[[#This Row],[Player B]]="","",IF(ResultsInd[[#This Row],[Score-A]]=ResultsInd[[#This Row],[Score-B]],ResultsInd[[#This Row],[Player A]],"")),""),"")</f>
        <v/>
      </c>
      <c r="T950" s="265" t="str">
        <f>IF(ResultsInd[[#This Row],[Score_OK]],IF(ResultsInd[[#This Row],[Stage]]="Groups",ResultsInd[[#This Row],[Category]]&amp;"-"&amp;IF(ResultsInd[[#This Row],[Player B]]="","",IF(ResultsInd[[#This Row],[Score-A]]=ResultsInd[[#This Row],[Score-B]],ResultsInd[[#This Row],[Player B]],"")),""),"")</f>
        <v/>
      </c>
      <c r="U9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0" s="264" t="str">
        <f>IF(ResultsInd[[#This Row],[Category]]="","",VLOOKUP(ResultsInd[[#This Row],[Stage]],$P$1:$V$9,MATCH(ResultsInd[[#This Row],[Category]],$Q$1:$V$1,0)+1,FALSE))</f>
        <v/>
      </c>
      <c r="Z950" s="264" t="str">
        <f>IF(ResultsInd[[#This Row],[Score_OK]],IF(ResultsInd[[#This Row],[Level]]="R",ResultsInd[[#This Row],[Category]]&amp;"-"&amp;IF(ResultsInd[[#This Row],[LoseInKO]]=ResultsInd[[#This Row],[Category]]&amp;"-"&amp;ResultsInd[[#This Row],[Player A]],ResultsInd[[#This Row],[Player B]],ResultsInd[[#This Row],[Player A]]),""),"")</f>
        <v/>
      </c>
      <c r="AB950" s="8"/>
      <c r="AC950" s="8"/>
      <c r="AE950" s="90"/>
      <c r="AF950" s="90"/>
      <c r="AP950" s="8"/>
      <c r="AQ950" s="8"/>
      <c r="AR950" s="8"/>
      <c r="AS950" s="8"/>
      <c r="AT950" s="8"/>
      <c r="AU950" s="8"/>
      <c r="AV950" s="8"/>
      <c r="AW950" s="8"/>
      <c r="AX950" s="8"/>
      <c r="AY950" s="90"/>
      <c r="AZ950" s="90"/>
      <c r="BA950" s="90"/>
      <c r="BB950" s="90"/>
      <c r="BC950" s="90"/>
      <c r="BD950" s="90"/>
      <c r="BE950" s="90"/>
      <c r="BF950" s="90"/>
    </row>
    <row r="951" spans="1:58" x14ac:dyDescent="0.2">
      <c r="A951" s="62"/>
      <c r="B951" s="62"/>
      <c r="C951" s="62"/>
      <c r="D951" s="62"/>
      <c r="E951" s="345"/>
      <c r="F951" s="345"/>
      <c r="G951" s="113"/>
      <c r="H951" s="113"/>
      <c r="I951" s="114"/>
      <c r="J951" s="114"/>
      <c r="K951" s="114"/>
      <c r="L951" s="81"/>
      <c r="M951" s="265" t="b">
        <f>NOT(ISERROR(ResultsInd[[#This Row],[Goal-A]]+ResultsInd[[#This Row],[Goal-B]]))</f>
        <v>1</v>
      </c>
      <c r="N951" s="265">
        <f>VALUE(ResultsInd[[#This Row],[Score-A]])</f>
        <v>0</v>
      </c>
      <c r="O951" s="265">
        <f>VALUE(ResultsInd[[#This Row],[Score-B]])</f>
        <v>0</v>
      </c>
      <c r="P951" s="265" t="str">
        <f ca="1">IF(AND(ResultsInd[[#This Row],[Category]]&lt;&gt;"",ResultsInd[[#This Row],[Player A]]&lt;&gt;""),COUNTIF(INDIRECT(ResultsInd[[#This Row],[Category]]&amp;"List[Retained Player Name]"),ResultsInd[[#This Row],[Player A]]),"")</f>
        <v/>
      </c>
      <c r="Q951" s="265" t="str">
        <f ca="1">IF(AND(ResultsInd[[#This Row],[Category]]&lt;&gt;"",ResultsInd[[#This Row],[Player B]]&lt;&gt;""),COUNTIF(INDIRECT(ResultsInd[[#This Row],[Category]]&amp;"List[Retained Player Name]"),ResultsInd[[#This Row],[Player B]]),"")</f>
        <v/>
      </c>
      <c r="R9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1" s="265" t="str">
        <f>IF(ResultsInd[[#This Row],[Score_OK]],IF(ResultsInd[[#This Row],[Stage]]="Groups",ResultsInd[[#This Row],[Category]]&amp;"-"&amp;IF(ResultsInd[[#This Row],[Player B]]="","",IF(ResultsInd[[#This Row],[Score-A]]=ResultsInd[[#This Row],[Score-B]],ResultsInd[[#This Row],[Player A]],"")),""),"")</f>
        <v/>
      </c>
      <c r="T951" s="265" t="str">
        <f>IF(ResultsInd[[#This Row],[Score_OK]],IF(ResultsInd[[#This Row],[Stage]]="Groups",ResultsInd[[#This Row],[Category]]&amp;"-"&amp;IF(ResultsInd[[#This Row],[Player B]]="","",IF(ResultsInd[[#This Row],[Score-A]]=ResultsInd[[#This Row],[Score-B]],ResultsInd[[#This Row],[Player B]],"")),""),"")</f>
        <v/>
      </c>
      <c r="U9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1" s="264" t="str">
        <f>IF(ResultsInd[[#This Row],[Category]]="","",VLOOKUP(ResultsInd[[#This Row],[Stage]],$P$1:$V$9,MATCH(ResultsInd[[#This Row],[Category]],$Q$1:$V$1,0)+1,FALSE))</f>
        <v/>
      </c>
      <c r="Z951" s="264" t="str">
        <f>IF(ResultsInd[[#This Row],[Score_OK]],IF(ResultsInd[[#This Row],[Level]]="R",ResultsInd[[#This Row],[Category]]&amp;"-"&amp;IF(ResultsInd[[#This Row],[LoseInKO]]=ResultsInd[[#This Row],[Category]]&amp;"-"&amp;ResultsInd[[#This Row],[Player A]],ResultsInd[[#This Row],[Player B]],ResultsInd[[#This Row],[Player A]]),""),"")</f>
        <v/>
      </c>
      <c r="AB951" s="8"/>
      <c r="AC951" s="8"/>
      <c r="AE951" s="90"/>
      <c r="AF951" s="90"/>
      <c r="AP951" s="8"/>
      <c r="AQ951" s="8"/>
      <c r="AR951" s="8"/>
      <c r="AS951" s="8"/>
      <c r="AT951" s="8"/>
      <c r="AU951" s="8"/>
      <c r="AV951" s="8"/>
      <c r="AW951" s="8"/>
      <c r="AX951" s="8"/>
      <c r="AY951" s="90"/>
      <c r="AZ951" s="90"/>
      <c r="BA951" s="90"/>
      <c r="BB951" s="90"/>
      <c r="BC951" s="90"/>
      <c r="BD951" s="90"/>
      <c r="BE951" s="90"/>
      <c r="BF951" s="90"/>
    </row>
    <row r="952" spans="1:58" x14ac:dyDescent="0.2">
      <c r="A952" s="62"/>
      <c r="B952" s="62"/>
      <c r="C952" s="62"/>
      <c r="D952" s="62"/>
      <c r="E952" s="345"/>
      <c r="F952" s="345"/>
      <c r="G952" s="113"/>
      <c r="H952" s="113"/>
      <c r="I952" s="114"/>
      <c r="J952" s="114"/>
      <c r="K952" s="114"/>
      <c r="L952" s="81"/>
      <c r="M952" s="265" t="b">
        <f>NOT(ISERROR(ResultsInd[[#This Row],[Goal-A]]+ResultsInd[[#This Row],[Goal-B]]))</f>
        <v>1</v>
      </c>
      <c r="N952" s="265">
        <f>VALUE(ResultsInd[[#This Row],[Score-A]])</f>
        <v>0</v>
      </c>
      <c r="O952" s="265">
        <f>VALUE(ResultsInd[[#This Row],[Score-B]])</f>
        <v>0</v>
      </c>
      <c r="P952" s="265" t="str">
        <f ca="1">IF(AND(ResultsInd[[#This Row],[Category]]&lt;&gt;"",ResultsInd[[#This Row],[Player A]]&lt;&gt;""),COUNTIF(INDIRECT(ResultsInd[[#This Row],[Category]]&amp;"List[Retained Player Name]"),ResultsInd[[#This Row],[Player A]]),"")</f>
        <v/>
      </c>
      <c r="Q952" s="265" t="str">
        <f ca="1">IF(AND(ResultsInd[[#This Row],[Category]]&lt;&gt;"",ResultsInd[[#This Row],[Player B]]&lt;&gt;""),COUNTIF(INDIRECT(ResultsInd[[#This Row],[Category]]&amp;"List[Retained Player Name]"),ResultsInd[[#This Row],[Player B]]),"")</f>
        <v/>
      </c>
      <c r="R9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2" s="265" t="str">
        <f>IF(ResultsInd[[#This Row],[Score_OK]],IF(ResultsInd[[#This Row],[Stage]]="Groups",ResultsInd[[#This Row],[Category]]&amp;"-"&amp;IF(ResultsInd[[#This Row],[Player B]]="","",IF(ResultsInd[[#This Row],[Score-A]]=ResultsInd[[#This Row],[Score-B]],ResultsInd[[#This Row],[Player A]],"")),""),"")</f>
        <v/>
      </c>
      <c r="T952" s="265" t="str">
        <f>IF(ResultsInd[[#This Row],[Score_OK]],IF(ResultsInd[[#This Row],[Stage]]="Groups",ResultsInd[[#This Row],[Category]]&amp;"-"&amp;IF(ResultsInd[[#This Row],[Player B]]="","",IF(ResultsInd[[#This Row],[Score-A]]=ResultsInd[[#This Row],[Score-B]],ResultsInd[[#This Row],[Player B]],"")),""),"")</f>
        <v/>
      </c>
      <c r="U9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2" s="264" t="str">
        <f>IF(ResultsInd[[#This Row],[Category]]="","",VLOOKUP(ResultsInd[[#This Row],[Stage]],$P$1:$V$9,MATCH(ResultsInd[[#This Row],[Category]],$Q$1:$V$1,0)+1,FALSE))</f>
        <v/>
      </c>
      <c r="Z952" s="264" t="str">
        <f>IF(ResultsInd[[#This Row],[Score_OK]],IF(ResultsInd[[#This Row],[Level]]="R",ResultsInd[[#This Row],[Category]]&amp;"-"&amp;IF(ResultsInd[[#This Row],[LoseInKO]]=ResultsInd[[#This Row],[Category]]&amp;"-"&amp;ResultsInd[[#This Row],[Player A]],ResultsInd[[#This Row],[Player B]],ResultsInd[[#This Row],[Player A]]),""),"")</f>
        <v/>
      </c>
      <c r="AB952" s="8"/>
      <c r="AC952" s="8"/>
      <c r="AE952" s="90"/>
      <c r="AF952" s="90"/>
      <c r="AP952" s="8"/>
      <c r="AQ952" s="8"/>
      <c r="AR952" s="8"/>
      <c r="AS952" s="8"/>
      <c r="AT952" s="8"/>
      <c r="AU952" s="8"/>
      <c r="AV952" s="8"/>
      <c r="AW952" s="8"/>
      <c r="AX952" s="8"/>
      <c r="AY952" s="90"/>
      <c r="AZ952" s="90"/>
      <c r="BA952" s="90"/>
      <c r="BB952" s="90"/>
      <c r="BC952" s="90"/>
      <c r="BD952" s="90"/>
      <c r="BE952" s="90"/>
      <c r="BF952" s="90"/>
    </row>
    <row r="953" spans="1:58" x14ac:dyDescent="0.2">
      <c r="A953" s="62"/>
      <c r="B953" s="62"/>
      <c r="C953" s="62"/>
      <c r="D953" s="62"/>
      <c r="E953" s="345"/>
      <c r="F953" s="345"/>
      <c r="G953" s="113"/>
      <c r="H953" s="113"/>
      <c r="I953" s="114"/>
      <c r="J953" s="114"/>
      <c r="K953" s="114"/>
      <c r="L953" s="81"/>
      <c r="M953" s="265" t="b">
        <f>NOT(ISERROR(ResultsInd[[#This Row],[Goal-A]]+ResultsInd[[#This Row],[Goal-B]]))</f>
        <v>1</v>
      </c>
      <c r="N953" s="265">
        <f>VALUE(ResultsInd[[#This Row],[Score-A]])</f>
        <v>0</v>
      </c>
      <c r="O953" s="265">
        <f>VALUE(ResultsInd[[#This Row],[Score-B]])</f>
        <v>0</v>
      </c>
      <c r="P953" s="265" t="str">
        <f ca="1">IF(AND(ResultsInd[[#This Row],[Category]]&lt;&gt;"",ResultsInd[[#This Row],[Player A]]&lt;&gt;""),COUNTIF(INDIRECT(ResultsInd[[#This Row],[Category]]&amp;"List[Retained Player Name]"),ResultsInd[[#This Row],[Player A]]),"")</f>
        <v/>
      </c>
      <c r="Q953" s="265" t="str">
        <f ca="1">IF(AND(ResultsInd[[#This Row],[Category]]&lt;&gt;"",ResultsInd[[#This Row],[Player B]]&lt;&gt;""),COUNTIF(INDIRECT(ResultsInd[[#This Row],[Category]]&amp;"List[Retained Player Name]"),ResultsInd[[#This Row],[Player B]]),"")</f>
        <v/>
      </c>
      <c r="R9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3" s="265" t="str">
        <f>IF(ResultsInd[[#This Row],[Score_OK]],IF(ResultsInd[[#This Row],[Stage]]="Groups",ResultsInd[[#This Row],[Category]]&amp;"-"&amp;IF(ResultsInd[[#This Row],[Player B]]="","",IF(ResultsInd[[#This Row],[Score-A]]=ResultsInd[[#This Row],[Score-B]],ResultsInd[[#This Row],[Player A]],"")),""),"")</f>
        <v/>
      </c>
      <c r="T953" s="265" t="str">
        <f>IF(ResultsInd[[#This Row],[Score_OK]],IF(ResultsInd[[#This Row],[Stage]]="Groups",ResultsInd[[#This Row],[Category]]&amp;"-"&amp;IF(ResultsInd[[#This Row],[Player B]]="","",IF(ResultsInd[[#This Row],[Score-A]]=ResultsInd[[#This Row],[Score-B]],ResultsInd[[#This Row],[Player B]],"")),""),"")</f>
        <v/>
      </c>
      <c r="U9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3" s="264" t="str">
        <f>IF(ResultsInd[[#This Row],[Category]]="","",VLOOKUP(ResultsInd[[#This Row],[Stage]],$P$1:$V$9,MATCH(ResultsInd[[#This Row],[Category]],$Q$1:$V$1,0)+1,FALSE))</f>
        <v/>
      </c>
      <c r="Z953" s="264" t="str">
        <f>IF(ResultsInd[[#This Row],[Score_OK]],IF(ResultsInd[[#This Row],[Level]]="R",ResultsInd[[#This Row],[Category]]&amp;"-"&amp;IF(ResultsInd[[#This Row],[LoseInKO]]=ResultsInd[[#This Row],[Category]]&amp;"-"&amp;ResultsInd[[#This Row],[Player A]],ResultsInd[[#This Row],[Player B]],ResultsInd[[#This Row],[Player A]]),""),"")</f>
        <v/>
      </c>
      <c r="AB953" s="8"/>
      <c r="AC953" s="8"/>
      <c r="AE953" s="90"/>
      <c r="AF953" s="90"/>
      <c r="AP953" s="8"/>
      <c r="AQ953" s="8"/>
      <c r="AR953" s="8"/>
      <c r="AS953" s="8"/>
      <c r="AT953" s="8"/>
      <c r="AU953" s="8"/>
      <c r="AV953" s="8"/>
      <c r="AW953" s="8"/>
      <c r="AX953" s="8"/>
      <c r="AY953" s="90"/>
      <c r="AZ953" s="90"/>
      <c r="BA953" s="90"/>
      <c r="BB953" s="90"/>
      <c r="BC953" s="90"/>
      <c r="BD953" s="90"/>
      <c r="BE953" s="90"/>
      <c r="BF953" s="90"/>
    </row>
    <row r="954" spans="1:58" x14ac:dyDescent="0.2">
      <c r="A954" s="62"/>
      <c r="B954" s="62"/>
      <c r="C954" s="62"/>
      <c r="D954" s="62"/>
      <c r="E954" s="345"/>
      <c r="F954" s="345"/>
      <c r="G954" s="113"/>
      <c r="H954" s="113"/>
      <c r="I954" s="114"/>
      <c r="J954" s="114"/>
      <c r="K954" s="114"/>
      <c r="L954" s="81"/>
      <c r="M954" s="265" t="b">
        <f>NOT(ISERROR(ResultsInd[[#This Row],[Goal-A]]+ResultsInd[[#This Row],[Goal-B]]))</f>
        <v>1</v>
      </c>
      <c r="N954" s="265">
        <f>VALUE(ResultsInd[[#This Row],[Score-A]])</f>
        <v>0</v>
      </c>
      <c r="O954" s="265">
        <f>VALUE(ResultsInd[[#This Row],[Score-B]])</f>
        <v>0</v>
      </c>
      <c r="P954" s="265" t="str">
        <f ca="1">IF(AND(ResultsInd[[#This Row],[Category]]&lt;&gt;"",ResultsInd[[#This Row],[Player A]]&lt;&gt;""),COUNTIF(INDIRECT(ResultsInd[[#This Row],[Category]]&amp;"List[Retained Player Name]"),ResultsInd[[#This Row],[Player A]]),"")</f>
        <v/>
      </c>
      <c r="Q954" s="265" t="str">
        <f ca="1">IF(AND(ResultsInd[[#This Row],[Category]]&lt;&gt;"",ResultsInd[[#This Row],[Player B]]&lt;&gt;""),COUNTIF(INDIRECT(ResultsInd[[#This Row],[Category]]&amp;"List[Retained Player Name]"),ResultsInd[[#This Row],[Player B]]),"")</f>
        <v/>
      </c>
      <c r="R9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4" s="265" t="str">
        <f>IF(ResultsInd[[#This Row],[Score_OK]],IF(ResultsInd[[#This Row],[Stage]]="Groups",ResultsInd[[#This Row],[Category]]&amp;"-"&amp;IF(ResultsInd[[#This Row],[Player B]]="","",IF(ResultsInd[[#This Row],[Score-A]]=ResultsInd[[#This Row],[Score-B]],ResultsInd[[#This Row],[Player A]],"")),""),"")</f>
        <v/>
      </c>
      <c r="T954" s="265" t="str">
        <f>IF(ResultsInd[[#This Row],[Score_OK]],IF(ResultsInd[[#This Row],[Stage]]="Groups",ResultsInd[[#This Row],[Category]]&amp;"-"&amp;IF(ResultsInd[[#This Row],[Player B]]="","",IF(ResultsInd[[#This Row],[Score-A]]=ResultsInd[[#This Row],[Score-B]],ResultsInd[[#This Row],[Player B]],"")),""),"")</f>
        <v/>
      </c>
      <c r="U9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4" s="264" t="str">
        <f>IF(ResultsInd[[#This Row],[Category]]="","",VLOOKUP(ResultsInd[[#This Row],[Stage]],$P$1:$V$9,MATCH(ResultsInd[[#This Row],[Category]],$Q$1:$V$1,0)+1,FALSE))</f>
        <v/>
      </c>
      <c r="Z954" s="264" t="str">
        <f>IF(ResultsInd[[#This Row],[Score_OK]],IF(ResultsInd[[#This Row],[Level]]="R",ResultsInd[[#This Row],[Category]]&amp;"-"&amp;IF(ResultsInd[[#This Row],[LoseInKO]]=ResultsInd[[#This Row],[Category]]&amp;"-"&amp;ResultsInd[[#This Row],[Player A]],ResultsInd[[#This Row],[Player B]],ResultsInd[[#This Row],[Player A]]),""),"")</f>
        <v/>
      </c>
      <c r="AB954" s="8"/>
      <c r="AC954" s="8"/>
      <c r="AE954" s="90"/>
      <c r="AF954" s="90"/>
      <c r="AP954" s="8"/>
      <c r="AQ954" s="8"/>
      <c r="AR954" s="8"/>
      <c r="AS954" s="8"/>
      <c r="AT954" s="8"/>
      <c r="AU954" s="8"/>
      <c r="AV954" s="8"/>
      <c r="AW954" s="8"/>
      <c r="AX954" s="8"/>
      <c r="AY954" s="90"/>
      <c r="AZ954" s="90"/>
      <c r="BA954" s="90"/>
      <c r="BB954" s="90"/>
      <c r="BC954" s="90"/>
      <c r="BD954" s="90"/>
      <c r="BE954" s="90"/>
      <c r="BF954" s="90"/>
    </row>
    <row r="955" spans="1:58" x14ac:dyDescent="0.2">
      <c r="A955" s="62"/>
      <c r="B955" s="62"/>
      <c r="C955" s="62"/>
      <c r="D955" s="62"/>
      <c r="E955" s="345"/>
      <c r="F955" s="345"/>
      <c r="G955" s="113"/>
      <c r="H955" s="113"/>
      <c r="I955" s="114"/>
      <c r="J955" s="114"/>
      <c r="K955" s="114"/>
      <c r="L955" s="81"/>
      <c r="M955" s="265" t="b">
        <f>NOT(ISERROR(ResultsInd[[#This Row],[Goal-A]]+ResultsInd[[#This Row],[Goal-B]]))</f>
        <v>1</v>
      </c>
      <c r="N955" s="265">
        <f>VALUE(ResultsInd[[#This Row],[Score-A]])</f>
        <v>0</v>
      </c>
      <c r="O955" s="265">
        <f>VALUE(ResultsInd[[#This Row],[Score-B]])</f>
        <v>0</v>
      </c>
      <c r="P955" s="265" t="str">
        <f ca="1">IF(AND(ResultsInd[[#This Row],[Category]]&lt;&gt;"",ResultsInd[[#This Row],[Player A]]&lt;&gt;""),COUNTIF(INDIRECT(ResultsInd[[#This Row],[Category]]&amp;"List[Retained Player Name]"),ResultsInd[[#This Row],[Player A]]),"")</f>
        <v/>
      </c>
      <c r="Q955" s="265" t="str">
        <f ca="1">IF(AND(ResultsInd[[#This Row],[Category]]&lt;&gt;"",ResultsInd[[#This Row],[Player B]]&lt;&gt;""),COUNTIF(INDIRECT(ResultsInd[[#This Row],[Category]]&amp;"List[Retained Player Name]"),ResultsInd[[#This Row],[Player B]]),"")</f>
        <v/>
      </c>
      <c r="R9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5" s="265" t="str">
        <f>IF(ResultsInd[[#This Row],[Score_OK]],IF(ResultsInd[[#This Row],[Stage]]="Groups",ResultsInd[[#This Row],[Category]]&amp;"-"&amp;IF(ResultsInd[[#This Row],[Player B]]="","",IF(ResultsInd[[#This Row],[Score-A]]=ResultsInd[[#This Row],[Score-B]],ResultsInd[[#This Row],[Player A]],"")),""),"")</f>
        <v/>
      </c>
      <c r="T955" s="265" t="str">
        <f>IF(ResultsInd[[#This Row],[Score_OK]],IF(ResultsInd[[#This Row],[Stage]]="Groups",ResultsInd[[#This Row],[Category]]&amp;"-"&amp;IF(ResultsInd[[#This Row],[Player B]]="","",IF(ResultsInd[[#This Row],[Score-A]]=ResultsInd[[#This Row],[Score-B]],ResultsInd[[#This Row],[Player B]],"")),""),"")</f>
        <v/>
      </c>
      <c r="U9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5" s="264" t="str">
        <f>IF(ResultsInd[[#This Row],[Category]]="","",VLOOKUP(ResultsInd[[#This Row],[Stage]],$P$1:$V$9,MATCH(ResultsInd[[#This Row],[Category]],$Q$1:$V$1,0)+1,FALSE))</f>
        <v/>
      </c>
      <c r="Z955" s="264" t="str">
        <f>IF(ResultsInd[[#This Row],[Score_OK]],IF(ResultsInd[[#This Row],[Level]]="R",ResultsInd[[#This Row],[Category]]&amp;"-"&amp;IF(ResultsInd[[#This Row],[LoseInKO]]=ResultsInd[[#This Row],[Category]]&amp;"-"&amp;ResultsInd[[#This Row],[Player A]],ResultsInd[[#This Row],[Player B]],ResultsInd[[#This Row],[Player A]]),""),"")</f>
        <v/>
      </c>
      <c r="AB955" s="8"/>
      <c r="AC955" s="8"/>
      <c r="AE955" s="90"/>
      <c r="AF955" s="90"/>
      <c r="AP955" s="8"/>
      <c r="AQ955" s="8"/>
      <c r="AR955" s="8"/>
      <c r="AS955" s="8"/>
      <c r="AT955" s="8"/>
      <c r="AU955" s="8"/>
      <c r="AV955" s="8"/>
      <c r="AW955" s="8"/>
      <c r="AX955" s="8"/>
      <c r="AY955" s="90"/>
      <c r="AZ955" s="90"/>
      <c r="BA955" s="90"/>
      <c r="BB955" s="90"/>
      <c r="BC955" s="90"/>
      <c r="BD955" s="90"/>
      <c r="BE955" s="90"/>
      <c r="BF955" s="90"/>
    </row>
    <row r="956" spans="1:58" x14ac:dyDescent="0.2">
      <c r="A956" s="62"/>
      <c r="B956" s="62"/>
      <c r="C956" s="62"/>
      <c r="D956" s="62"/>
      <c r="E956" s="345"/>
      <c r="F956" s="345"/>
      <c r="G956" s="113"/>
      <c r="H956" s="113"/>
      <c r="I956" s="114"/>
      <c r="J956" s="114"/>
      <c r="K956" s="114"/>
      <c r="L956" s="81"/>
      <c r="M956" s="265" t="b">
        <f>NOT(ISERROR(ResultsInd[[#This Row],[Goal-A]]+ResultsInd[[#This Row],[Goal-B]]))</f>
        <v>1</v>
      </c>
      <c r="N956" s="265">
        <f>VALUE(ResultsInd[[#This Row],[Score-A]])</f>
        <v>0</v>
      </c>
      <c r="O956" s="265">
        <f>VALUE(ResultsInd[[#This Row],[Score-B]])</f>
        <v>0</v>
      </c>
      <c r="P956" s="265" t="str">
        <f ca="1">IF(AND(ResultsInd[[#This Row],[Category]]&lt;&gt;"",ResultsInd[[#This Row],[Player A]]&lt;&gt;""),COUNTIF(INDIRECT(ResultsInd[[#This Row],[Category]]&amp;"List[Retained Player Name]"),ResultsInd[[#This Row],[Player A]]),"")</f>
        <v/>
      </c>
      <c r="Q956" s="265" t="str">
        <f ca="1">IF(AND(ResultsInd[[#This Row],[Category]]&lt;&gt;"",ResultsInd[[#This Row],[Player B]]&lt;&gt;""),COUNTIF(INDIRECT(ResultsInd[[#This Row],[Category]]&amp;"List[Retained Player Name]"),ResultsInd[[#This Row],[Player B]]),"")</f>
        <v/>
      </c>
      <c r="R9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6" s="265" t="str">
        <f>IF(ResultsInd[[#This Row],[Score_OK]],IF(ResultsInd[[#This Row],[Stage]]="Groups",ResultsInd[[#This Row],[Category]]&amp;"-"&amp;IF(ResultsInd[[#This Row],[Player B]]="","",IF(ResultsInd[[#This Row],[Score-A]]=ResultsInd[[#This Row],[Score-B]],ResultsInd[[#This Row],[Player A]],"")),""),"")</f>
        <v/>
      </c>
      <c r="T956" s="265" t="str">
        <f>IF(ResultsInd[[#This Row],[Score_OK]],IF(ResultsInd[[#This Row],[Stage]]="Groups",ResultsInd[[#This Row],[Category]]&amp;"-"&amp;IF(ResultsInd[[#This Row],[Player B]]="","",IF(ResultsInd[[#This Row],[Score-A]]=ResultsInd[[#This Row],[Score-B]],ResultsInd[[#This Row],[Player B]],"")),""),"")</f>
        <v/>
      </c>
      <c r="U9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6" s="264" t="str">
        <f>IF(ResultsInd[[#This Row],[Category]]="","",VLOOKUP(ResultsInd[[#This Row],[Stage]],$P$1:$V$9,MATCH(ResultsInd[[#This Row],[Category]],$Q$1:$V$1,0)+1,FALSE))</f>
        <v/>
      </c>
      <c r="Z956" s="264" t="str">
        <f>IF(ResultsInd[[#This Row],[Score_OK]],IF(ResultsInd[[#This Row],[Level]]="R",ResultsInd[[#This Row],[Category]]&amp;"-"&amp;IF(ResultsInd[[#This Row],[LoseInKO]]=ResultsInd[[#This Row],[Category]]&amp;"-"&amp;ResultsInd[[#This Row],[Player A]],ResultsInd[[#This Row],[Player B]],ResultsInd[[#This Row],[Player A]]),""),"")</f>
        <v/>
      </c>
      <c r="AB956" s="8"/>
      <c r="AC956" s="8"/>
      <c r="AE956" s="90"/>
      <c r="AF956" s="90"/>
      <c r="AP956" s="8"/>
      <c r="AQ956" s="8"/>
      <c r="AR956" s="8"/>
      <c r="AS956" s="8"/>
      <c r="AT956" s="8"/>
      <c r="AU956" s="8"/>
      <c r="AV956" s="8"/>
      <c r="AW956" s="8"/>
      <c r="AX956" s="8"/>
      <c r="AY956" s="90"/>
      <c r="AZ956" s="90"/>
      <c r="BA956" s="90"/>
      <c r="BB956" s="90"/>
      <c r="BC956" s="90"/>
      <c r="BD956" s="90"/>
      <c r="BE956" s="90"/>
      <c r="BF956" s="90"/>
    </row>
    <row r="957" spans="1:58" x14ac:dyDescent="0.2">
      <c r="A957" s="62"/>
      <c r="B957" s="62"/>
      <c r="C957" s="62"/>
      <c r="D957" s="62"/>
      <c r="E957" s="345"/>
      <c r="F957" s="345"/>
      <c r="G957" s="113"/>
      <c r="H957" s="113"/>
      <c r="I957" s="114"/>
      <c r="J957" s="114"/>
      <c r="K957" s="114"/>
      <c r="L957" s="81"/>
      <c r="M957" s="265" t="b">
        <f>NOT(ISERROR(ResultsInd[[#This Row],[Goal-A]]+ResultsInd[[#This Row],[Goal-B]]))</f>
        <v>1</v>
      </c>
      <c r="N957" s="265">
        <f>VALUE(ResultsInd[[#This Row],[Score-A]])</f>
        <v>0</v>
      </c>
      <c r="O957" s="265">
        <f>VALUE(ResultsInd[[#This Row],[Score-B]])</f>
        <v>0</v>
      </c>
      <c r="P957" s="265" t="str">
        <f ca="1">IF(AND(ResultsInd[[#This Row],[Category]]&lt;&gt;"",ResultsInd[[#This Row],[Player A]]&lt;&gt;""),COUNTIF(INDIRECT(ResultsInd[[#This Row],[Category]]&amp;"List[Retained Player Name]"),ResultsInd[[#This Row],[Player A]]),"")</f>
        <v/>
      </c>
      <c r="Q957" s="265" t="str">
        <f ca="1">IF(AND(ResultsInd[[#This Row],[Category]]&lt;&gt;"",ResultsInd[[#This Row],[Player B]]&lt;&gt;""),COUNTIF(INDIRECT(ResultsInd[[#This Row],[Category]]&amp;"List[Retained Player Name]"),ResultsInd[[#This Row],[Player B]]),"")</f>
        <v/>
      </c>
      <c r="R9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7" s="265" t="str">
        <f>IF(ResultsInd[[#This Row],[Score_OK]],IF(ResultsInd[[#This Row],[Stage]]="Groups",ResultsInd[[#This Row],[Category]]&amp;"-"&amp;IF(ResultsInd[[#This Row],[Player B]]="","",IF(ResultsInd[[#This Row],[Score-A]]=ResultsInd[[#This Row],[Score-B]],ResultsInd[[#This Row],[Player A]],"")),""),"")</f>
        <v/>
      </c>
      <c r="T957" s="265" t="str">
        <f>IF(ResultsInd[[#This Row],[Score_OK]],IF(ResultsInd[[#This Row],[Stage]]="Groups",ResultsInd[[#This Row],[Category]]&amp;"-"&amp;IF(ResultsInd[[#This Row],[Player B]]="","",IF(ResultsInd[[#This Row],[Score-A]]=ResultsInd[[#This Row],[Score-B]],ResultsInd[[#This Row],[Player B]],"")),""),"")</f>
        <v/>
      </c>
      <c r="U9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7" s="264" t="str">
        <f>IF(ResultsInd[[#This Row],[Category]]="","",VLOOKUP(ResultsInd[[#This Row],[Stage]],$P$1:$V$9,MATCH(ResultsInd[[#This Row],[Category]],$Q$1:$V$1,0)+1,FALSE))</f>
        <v/>
      </c>
      <c r="Z957" s="264" t="str">
        <f>IF(ResultsInd[[#This Row],[Score_OK]],IF(ResultsInd[[#This Row],[Level]]="R",ResultsInd[[#This Row],[Category]]&amp;"-"&amp;IF(ResultsInd[[#This Row],[LoseInKO]]=ResultsInd[[#This Row],[Category]]&amp;"-"&amp;ResultsInd[[#This Row],[Player A]],ResultsInd[[#This Row],[Player B]],ResultsInd[[#This Row],[Player A]]),""),"")</f>
        <v/>
      </c>
      <c r="AB957" s="8"/>
      <c r="AC957" s="8"/>
      <c r="AE957" s="90"/>
      <c r="AF957" s="90"/>
      <c r="AP957" s="8"/>
      <c r="AQ957" s="8"/>
      <c r="AR957" s="8"/>
      <c r="AS957" s="8"/>
      <c r="AT957" s="8"/>
      <c r="AU957" s="8"/>
      <c r="AV957" s="8"/>
      <c r="AW957" s="8"/>
      <c r="AX957" s="8"/>
      <c r="AY957" s="90"/>
      <c r="AZ957" s="90"/>
      <c r="BA957" s="90"/>
      <c r="BB957" s="90"/>
      <c r="BC957" s="90"/>
      <c r="BD957" s="90"/>
      <c r="BE957" s="90"/>
      <c r="BF957" s="90"/>
    </row>
    <row r="958" spans="1:58" x14ac:dyDescent="0.2">
      <c r="A958" s="62"/>
      <c r="B958" s="62"/>
      <c r="C958" s="62"/>
      <c r="D958" s="62"/>
      <c r="E958" s="345"/>
      <c r="F958" s="345"/>
      <c r="G958" s="113"/>
      <c r="H958" s="113"/>
      <c r="I958" s="114"/>
      <c r="J958" s="114"/>
      <c r="K958" s="114"/>
      <c r="L958" s="81"/>
      <c r="M958" s="265" t="b">
        <f>NOT(ISERROR(ResultsInd[[#This Row],[Goal-A]]+ResultsInd[[#This Row],[Goal-B]]))</f>
        <v>1</v>
      </c>
      <c r="N958" s="265">
        <f>VALUE(ResultsInd[[#This Row],[Score-A]])</f>
        <v>0</v>
      </c>
      <c r="O958" s="265">
        <f>VALUE(ResultsInd[[#This Row],[Score-B]])</f>
        <v>0</v>
      </c>
      <c r="P958" s="265" t="str">
        <f ca="1">IF(AND(ResultsInd[[#This Row],[Category]]&lt;&gt;"",ResultsInd[[#This Row],[Player A]]&lt;&gt;""),COUNTIF(INDIRECT(ResultsInd[[#This Row],[Category]]&amp;"List[Retained Player Name]"),ResultsInd[[#This Row],[Player A]]),"")</f>
        <v/>
      </c>
      <c r="Q958" s="265" t="str">
        <f ca="1">IF(AND(ResultsInd[[#This Row],[Category]]&lt;&gt;"",ResultsInd[[#This Row],[Player B]]&lt;&gt;""),COUNTIF(INDIRECT(ResultsInd[[#This Row],[Category]]&amp;"List[Retained Player Name]"),ResultsInd[[#This Row],[Player B]]),"")</f>
        <v/>
      </c>
      <c r="R9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8" s="265" t="str">
        <f>IF(ResultsInd[[#This Row],[Score_OK]],IF(ResultsInd[[#This Row],[Stage]]="Groups",ResultsInd[[#This Row],[Category]]&amp;"-"&amp;IF(ResultsInd[[#This Row],[Player B]]="","",IF(ResultsInd[[#This Row],[Score-A]]=ResultsInd[[#This Row],[Score-B]],ResultsInd[[#This Row],[Player A]],"")),""),"")</f>
        <v/>
      </c>
      <c r="T958" s="265" t="str">
        <f>IF(ResultsInd[[#This Row],[Score_OK]],IF(ResultsInd[[#This Row],[Stage]]="Groups",ResultsInd[[#This Row],[Category]]&amp;"-"&amp;IF(ResultsInd[[#This Row],[Player B]]="","",IF(ResultsInd[[#This Row],[Score-A]]=ResultsInd[[#This Row],[Score-B]],ResultsInd[[#This Row],[Player B]],"")),""),"")</f>
        <v/>
      </c>
      <c r="U9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8" s="264" t="str">
        <f>IF(ResultsInd[[#This Row],[Category]]="","",VLOOKUP(ResultsInd[[#This Row],[Stage]],$P$1:$V$9,MATCH(ResultsInd[[#This Row],[Category]],$Q$1:$V$1,0)+1,FALSE))</f>
        <v/>
      </c>
      <c r="Z958" s="264" t="str">
        <f>IF(ResultsInd[[#This Row],[Score_OK]],IF(ResultsInd[[#This Row],[Level]]="R",ResultsInd[[#This Row],[Category]]&amp;"-"&amp;IF(ResultsInd[[#This Row],[LoseInKO]]=ResultsInd[[#This Row],[Category]]&amp;"-"&amp;ResultsInd[[#This Row],[Player A]],ResultsInd[[#This Row],[Player B]],ResultsInd[[#This Row],[Player A]]),""),"")</f>
        <v/>
      </c>
      <c r="AB958" s="8"/>
      <c r="AC958" s="8"/>
      <c r="AE958" s="90"/>
      <c r="AF958" s="90"/>
      <c r="AP958" s="8"/>
      <c r="AQ958" s="8"/>
      <c r="AR958" s="8"/>
      <c r="AS958" s="8"/>
      <c r="AT958" s="8"/>
      <c r="AU958" s="8"/>
      <c r="AV958" s="8"/>
      <c r="AW958" s="8"/>
      <c r="AX958" s="8"/>
      <c r="AY958" s="90"/>
      <c r="AZ958" s="90"/>
      <c r="BA958" s="90"/>
      <c r="BB958" s="90"/>
      <c r="BC958" s="90"/>
      <c r="BD958" s="90"/>
      <c r="BE958" s="90"/>
      <c r="BF958" s="90"/>
    </row>
    <row r="959" spans="1:58" x14ac:dyDescent="0.2">
      <c r="A959" s="62"/>
      <c r="B959" s="62"/>
      <c r="C959" s="62"/>
      <c r="D959" s="62"/>
      <c r="E959" s="345"/>
      <c r="F959" s="345"/>
      <c r="G959" s="113"/>
      <c r="H959" s="113"/>
      <c r="I959" s="114"/>
      <c r="J959" s="114"/>
      <c r="K959" s="114"/>
      <c r="L959" s="81"/>
      <c r="M959" s="265" t="b">
        <f>NOT(ISERROR(ResultsInd[[#This Row],[Goal-A]]+ResultsInd[[#This Row],[Goal-B]]))</f>
        <v>1</v>
      </c>
      <c r="N959" s="265">
        <f>VALUE(ResultsInd[[#This Row],[Score-A]])</f>
        <v>0</v>
      </c>
      <c r="O959" s="265">
        <f>VALUE(ResultsInd[[#This Row],[Score-B]])</f>
        <v>0</v>
      </c>
      <c r="P959" s="265" t="str">
        <f ca="1">IF(AND(ResultsInd[[#This Row],[Category]]&lt;&gt;"",ResultsInd[[#This Row],[Player A]]&lt;&gt;""),COUNTIF(INDIRECT(ResultsInd[[#This Row],[Category]]&amp;"List[Retained Player Name]"),ResultsInd[[#This Row],[Player A]]),"")</f>
        <v/>
      </c>
      <c r="Q959" s="265" t="str">
        <f ca="1">IF(AND(ResultsInd[[#This Row],[Category]]&lt;&gt;"",ResultsInd[[#This Row],[Player B]]&lt;&gt;""),COUNTIF(INDIRECT(ResultsInd[[#This Row],[Category]]&amp;"List[Retained Player Name]"),ResultsInd[[#This Row],[Player B]]),"")</f>
        <v/>
      </c>
      <c r="R9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9" s="265" t="str">
        <f>IF(ResultsInd[[#This Row],[Score_OK]],IF(ResultsInd[[#This Row],[Stage]]="Groups",ResultsInd[[#This Row],[Category]]&amp;"-"&amp;IF(ResultsInd[[#This Row],[Player B]]="","",IF(ResultsInd[[#This Row],[Score-A]]=ResultsInd[[#This Row],[Score-B]],ResultsInd[[#This Row],[Player A]],"")),""),"")</f>
        <v/>
      </c>
      <c r="T959" s="265" t="str">
        <f>IF(ResultsInd[[#This Row],[Score_OK]],IF(ResultsInd[[#This Row],[Stage]]="Groups",ResultsInd[[#This Row],[Category]]&amp;"-"&amp;IF(ResultsInd[[#This Row],[Player B]]="","",IF(ResultsInd[[#This Row],[Score-A]]=ResultsInd[[#This Row],[Score-B]],ResultsInd[[#This Row],[Player B]],"")),""),"")</f>
        <v/>
      </c>
      <c r="U9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9" s="264" t="str">
        <f>IF(ResultsInd[[#This Row],[Category]]="","",VLOOKUP(ResultsInd[[#This Row],[Stage]],$P$1:$V$9,MATCH(ResultsInd[[#This Row],[Category]],$Q$1:$V$1,0)+1,FALSE))</f>
        <v/>
      </c>
      <c r="Z959" s="264" t="str">
        <f>IF(ResultsInd[[#This Row],[Score_OK]],IF(ResultsInd[[#This Row],[Level]]="R",ResultsInd[[#This Row],[Category]]&amp;"-"&amp;IF(ResultsInd[[#This Row],[LoseInKO]]=ResultsInd[[#This Row],[Category]]&amp;"-"&amp;ResultsInd[[#This Row],[Player A]],ResultsInd[[#This Row],[Player B]],ResultsInd[[#This Row],[Player A]]),""),"")</f>
        <v/>
      </c>
      <c r="AB959" s="8"/>
      <c r="AC959" s="8"/>
      <c r="AE959" s="90"/>
      <c r="AF959" s="90"/>
      <c r="AP959" s="8"/>
      <c r="AQ959" s="8"/>
      <c r="AR959" s="8"/>
      <c r="AS959" s="8"/>
      <c r="AT959" s="8"/>
      <c r="AU959" s="8"/>
      <c r="AV959" s="8"/>
      <c r="AW959" s="8"/>
      <c r="AX959" s="8"/>
      <c r="AY959" s="90"/>
      <c r="AZ959" s="90"/>
      <c r="BA959" s="90"/>
      <c r="BB959" s="90"/>
      <c r="BC959" s="90"/>
      <c r="BD959" s="90"/>
      <c r="BE959" s="90"/>
      <c r="BF959" s="90"/>
    </row>
    <row r="960" spans="1:58" x14ac:dyDescent="0.2">
      <c r="A960" s="62"/>
      <c r="B960" s="62"/>
      <c r="C960" s="62"/>
      <c r="D960" s="62"/>
      <c r="E960" s="345"/>
      <c r="F960" s="345"/>
      <c r="G960" s="113"/>
      <c r="H960" s="113"/>
      <c r="I960" s="114"/>
      <c r="J960" s="114"/>
      <c r="K960" s="114"/>
      <c r="L960" s="81"/>
      <c r="M960" s="265" t="b">
        <f>NOT(ISERROR(ResultsInd[[#This Row],[Goal-A]]+ResultsInd[[#This Row],[Goal-B]]))</f>
        <v>1</v>
      </c>
      <c r="N960" s="265">
        <f>VALUE(ResultsInd[[#This Row],[Score-A]])</f>
        <v>0</v>
      </c>
      <c r="O960" s="265">
        <f>VALUE(ResultsInd[[#This Row],[Score-B]])</f>
        <v>0</v>
      </c>
      <c r="P960" s="265" t="str">
        <f ca="1">IF(AND(ResultsInd[[#This Row],[Category]]&lt;&gt;"",ResultsInd[[#This Row],[Player A]]&lt;&gt;""),COUNTIF(INDIRECT(ResultsInd[[#This Row],[Category]]&amp;"List[Retained Player Name]"),ResultsInd[[#This Row],[Player A]]),"")</f>
        <v/>
      </c>
      <c r="Q960" s="265" t="str">
        <f ca="1">IF(AND(ResultsInd[[#This Row],[Category]]&lt;&gt;"",ResultsInd[[#This Row],[Player B]]&lt;&gt;""),COUNTIF(INDIRECT(ResultsInd[[#This Row],[Category]]&amp;"List[Retained Player Name]"),ResultsInd[[#This Row],[Player B]]),"")</f>
        <v/>
      </c>
      <c r="R9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0" s="265" t="str">
        <f>IF(ResultsInd[[#This Row],[Score_OK]],IF(ResultsInd[[#This Row],[Stage]]="Groups",ResultsInd[[#This Row],[Category]]&amp;"-"&amp;IF(ResultsInd[[#This Row],[Player B]]="","",IF(ResultsInd[[#This Row],[Score-A]]=ResultsInd[[#This Row],[Score-B]],ResultsInd[[#This Row],[Player A]],"")),""),"")</f>
        <v/>
      </c>
      <c r="T960" s="265" t="str">
        <f>IF(ResultsInd[[#This Row],[Score_OK]],IF(ResultsInd[[#This Row],[Stage]]="Groups",ResultsInd[[#This Row],[Category]]&amp;"-"&amp;IF(ResultsInd[[#This Row],[Player B]]="","",IF(ResultsInd[[#This Row],[Score-A]]=ResultsInd[[#This Row],[Score-B]],ResultsInd[[#This Row],[Player B]],"")),""),"")</f>
        <v/>
      </c>
      <c r="U9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0" s="264" t="str">
        <f>IF(ResultsInd[[#This Row],[Category]]="","",VLOOKUP(ResultsInd[[#This Row],[Stage]],$P$1:$V$9,MATCH(ResultsInd[[#This Row],[Category]],$Q$1:$V$1,0)+1,FALSE))</f>
        <v/>
      </c>
      <c r="Z960" s="264" t="str">
        <f>IF(ResultsInd[[#This Row],[Score_OK]],IF(ResultsInd[[#This Row],[Level]]="R",ResultsInd[[#This Row],[Category]]&amp;"-"&amp;IF(ResultsInd[[#This Row],[LoseInKO]]=ResultsInd[[#This Row],[Category]]&amp;"-"&amp;ResultsInd[[#This Row],[Player A]],ResultsInd[[#This Row],[Player B]],ResultsInd[[#This Row],[Player A]]),""),"")</f>
        <v/>
      </c>
      <c r="AB960" s="8"/>
      <c r="AC960" s="8"/>
      <c r="AE960" s="90"/>
      <c r="AF960" s="90"/>
      <c r="AP960" s="8"/>
      <c r="AQ960" s="8"/>
      <c r="AR960" s="8"/>
      <c r="AS960" s="8"/>
      <c r="AT960" s="8"/>
      <c r="AU960" s="8"/>
      <c r="AV960" s="8"/>
      <c r="AW960" s="8"/>
      <c r="AX960" s="8"/>
      <c r="AY960" s="90"/>
      <c r="AZ960" s="90"/>
      <c r="BA960" s="90"/>
      <c r="BB960" s="90"/>
      <c r="BC960" s="90"/>
      <c r="BD960" s="90"/>
      <c r="BE960" s="90"/>
      <c r="BF960" s="90"/>
    </row>
    <row r="961" spans="1:58" x14ac:dyDescent="0.2">
      <c r="A961" s="62"/>
      <c r="B961" s="62"/>
      <c r="C961" s="62"/>
      <c r="D961" s="62"/>
      <c r="E961" s="345"/>
      <c r="F961" s="345"/>
      <c r="G961" s="113"/>
      <c r="H961" s="113"/>
      <c r="I961" s="114"/>
      <c r="J961" s="114"/>
      <c r="K961" s="114"/>
      <c r="L961" s="81"/>
      <c r="M961" s="265" t="b">
        <f>NOT(ISERROR(ResultsInd[[#This Row],[Goal-A]]+ResultsInd[[#This Row],[Goal-B]]))</f>
        <v>1</v>
      </c>
      <c r="N961" s="265">
        <f>VALUE(ResultsInd[[#This Row],[Score-A]])</f>
        <v>0</v>
      </c>
      <c r="O961" s="265">
        <f>VALUE(ResultsInd[[#This Row],[Score-B]])</f>
        <v>0</v>
      </c>
      <c r="P961" s="265" t="str">
        <f ca="1">IF(AND(ResultsInd[[#This Row],[Category]]&lt;&gt;"",ResultsInd[[#This Row],[Player A]]&lt;&gt;""),COUNTIF(INDIRECT(ResultsInd[[#This Row],[Category]]&amp;"List[Retained Player Name]"),ResultsInd[[#This Row],[Player A]]),"")</f>
        <v/>
      </c>
      <c r="Q961" s="265" t="str">
        <f ca="1">IF(AND(ResultsInd[[#This Row],[Category]]&lt;&gt;"",ResultsInd[[#This Row],[Player B]]&lt;&gt;""),COUNTIF(INDIRECT(ResultsInd[[#This Row],[Category]]&amp;"List[Retained Player Name]"),ResultsInd[[#This Row],[Player B]]),"")</f>
        <v/>
      </c>
      <c r="R9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1" s="265" t="str">
        <f>IF(ResultsInd[[#This Row],[Score_OK]],IF(ResultsInd[[#This Row],[Stage]]="Groups",ResultsInd[[#This Row],[Category]]&amp;"-"&amp;IF(ResultsInd[[#This Row],[Player B]]="","",IF(ResultsInd[[#This Row],[Score-A]]=ResultsInd[[#This Row],[Score-B]],ResultsInd[[#This Row],[Player A]],"")),""),"")</f>
        <v/>
      </c>
      <c r="T961" s="265" t="str">
        <f>IF(ResultsInd[[#This Row],[Score_OK]],IF(ResultsInd[[#This Row],[Stage]]="Groups",ResultsInd[[#This Row],[Category]]&amp;"-"&amp;IF(ResultsInd[[#This Row],[Player B]]="","",IF(ResultsInd[[#This Row],[Score-A]]=ResultsInd[[#This Row],[Score-B]],ResultsInd[[#This Row],[Player B]],"")),""),"")</f>
        <v/>
      </c>
      <c r="U9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1" s="264" t="str">
        <f>IF(ResultsInd[[#This Row],[Category]]="","",VLOOKUP(ResultsInd[[#This Row],[Stage]],$P$1:$V$9,MATCH(ResultsInd[[#This Row],[Category]],$Q$1:$V$1,0)+1,FALSE))</f>
        <v/>
      </c>
      <c r="Z961" s="264" t="str">
        <f>IF(ResultsInd[[#This Row],[Score_OK]],IF(ResultsInd[[#This Row],[Level]]="R",ResultsInd[[#This Row],[Category]]&amp;"-"&amp;IF(ResultsInd[[#This Row],[LoseInKO]]=ResultsInd[[#This Row],[Category]]&amp;"-"&amp;ResultsInd[[#This Row],[Player A]],ResultsInd[[#This Row],[Player B]],ResultsInd[[#This Row],[Player A]]),""),"")</f>
        <v/>
      </c>
      <c r="AB961" s="8"/>
      <c r="AC961" s="8"/>
      <c r="AE961" s="90"/>
      <c r="AF961" s="90"/>
      <c r="AP961" s="8"/>
      <c r="AQ961" s="8"/>
      <c r="AR961" s="8"/>
      <c r="AS961" s="8"/>
      <c r="AT961" s="8"/>
      <c r="AU961" s="8"/>
      <c r="AV961" s="8"/>
      <c r="AW961" s="8"/>
      <c r="AX961" s="8"/>
      <c r="AY961" s="90"/>
      <c r="AZ961" s="90"/>
      <c r="BA961" s="90"/>
      <c r="BB961" s="90"/>
      <c r="BC961" s="90"/>
      <c r="BD961" s="90"/>
      <c r="BE961" s="90"/>
      <c r="BF961" s="90"/>
    </row>
    <row r="962" spans="1:58" x14ac:dyDescent="0.2">
      <c r="A962" s="62"/>
      <c r="B962" s="62"/>
      <c r="C962" s="62"/>
      <c r="D962" s="62"/>
      <c r="E962" s="345"/>
      <c r="F962" s="345"/>
      <c r="G962" s="113"/>
      <c r="H962" s="113"/>
      <c r="I962" s="114"/>
      <c r="J962" s="114"/>
      <c r="K962" s="114"/>
      <c r="L962" s="81"/>
      <c r="M962" s="265" t="b">
        <f>NOT(ISERROR(ResultsInd[[#This Row],[Goal-A]]+ResultsInd[[#This Row],[Goal-B]]))</f>
        <v>1</v>
      </c>
      <c r="N962" s="265">
        <f>VALUE(ResultsInd[[#This Row],[Score-A]])</f>
        <v>0</v>
      </c>
      <c r="O962" s="265">
        <f>VALUE(ResultsInd[[#This Row],[Score-B]])</f>
        <v>0</v>
      </c>
      <c r="P962" s="265" t="str">
        <f ca="1">IF(AND(ResultsInd[[#This Row],[Category]]&lt;&gt;"",ResultsInd[[#This Row],[Player A]]&lt;&gt;""),COUNTIF(INDIRECT(ResultsInd[[#This Row],[Category]]&amp;"List[Retained Player Name]"),ResultsInd[[#This Row],[Player A]]),"")</f>
        <v/>
      </c>
      <c r="Q962" s="265" t="str">
        <f ca="1">IF(AND(ResultsInd[[#This Row],[Category]]&lt;&gt;"",ResultsInd[[#This Row],[Player B]]&lt;&gt;""),COUNTIF(INDIRECT(ResultsInd[[#This Row],[Category]]&amp;"List[Retained Player Name]"),ResultsInd[[#This Row],[Player B]]),"")</f>
        <v/>
      </c>
      <c r="R9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2" s="265" t="str">
        <f>IF(ResultsInd[[#This Row],[Score_OK]],IF(ResultsInd[[#This Row],[Stage]]="Groups",ResultsInd[[#This Row],[Category]]&amp;"-"&amp;IF(ResultsInd[[#This Row],[Player B]]="","",IF(ResultsInd[[#This Row],[Score-A]]=ResultsInd[[#This Row],[Score-B]],ResultsInd[[#This Row],[Player A]],"")),""),"")</f>
        <v/>
      </c>
      <c r="T962" s="265" t="str">
        <f>IF(ResultsInd[[#This Row],[Score_OK]],IF(ResultsInd[[#This Row],[Stage]]="Groups",ResultsInd[[#This Row],[Category]]&amp;"-"&amp;IF(ResultsInd[[#This Row],[Player B]]="","",IF(ResultsInd[[#This Row],[Score-A]]=ResultsInd[[#This Row],[Score-B]],ResultsInd[[#This Row],[Player B]],"")),""),"")</f>
        <v/>
      </c>
      <c r="U9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2" s="264" t="str">
        <f>IF(ResultsInd[[#This Row],[Category]]="","",VLOOKUP(ResultsInd[[#This Row],[Stage]],$P$1:$V$9,MATCH(ResultsInd[[#This Row],[Category]],$Q$1:$V$1,0)+1,FALSE))</f>
        <v/>
      </c>
      <c r="Z962" s="264" t="str">
        <f>IF(ResultsInd[[#This Row],[Score_OK]],IF(ResultsInd[[#This Row],[Level]]="R",ResultsInd[[#This Row],[Category]]&amp;"-"&amp;IF(ResultsInd[[#This Row],[LoseInKO]]=ResultsInd[[#This Row],[Category]]&amp;"-"&amp;ResultsInd[[#This Row],[Player A]],ResultsInd[[#This Row],[Player B]],ResultsInd[[#This Row],[Player A]]),""),"")</f>
        <v/>
      </c>
      <c r="AB962" s="8"/>
      <c r="AC962" s="8"/>
      <c r="AE962" s="90"/>
      <c r="AF962" s="90"/>
      <c r="AP962" s="8"/>
      <c r="AQ962" s="8"/>
      <c r="AR962" s="8"/>
      <c r="AS962" s="8"/>
      <c r="AT962" s="8"/>
      <c r="AU962" s="8"/>
      <c r="AV962" s="8"/>
      <c r="AW962" s="8"/>
      <c r="AX962" s="8"/>
      <c r="AY962" s="90"/>
      <c r="AZ962" s="90"/>
      <c r="BA962" s="90"/>
      <c r="BB962" s="90"/>
      <c r="BC962" s="90"/>
      <c r="BD962" s="90"/>
      <c r="BE962" s="90"/>
      <c r="BF962" s="90"/>
    </row>
    <row r="963" spans="1:58" x14ac:dyDescent="0.2">
      <c r="A963" s="62"/>
      <c r="B963" s="62"/>
      <c r="C963" s="62"/>
      <c r="D963" s="62"/>
      <c r="E963" s="345"/>
      <c r="F963" s="345"/>
      <c r="G963" s="113"/>
      <c r="H963" s="113"/>
      <c r="I963" s="114"/>
      <c r="J963" s="114"/>
      <c r="K963" s="114"/>
      <c r="L963" s="81"/>
      <c r="M963" s="265" t="b">
        <f>NOT(ISERROR(ResultsInd[[#This Row],[Goal-A]]+ResultsInd[[#This Row],[Goal-B]]))</f>
        <v>1</v>
      </c>
      <c r="N963" s="265">
        <f>VALUE(ResultsInd[[#This Row],[Score-A]])</f>
        <v>0</v>
      </c>
      <c r="O963" s="265">
        <f>VALUE(ResultsInd[[#This Row],[Score-B]])</f>
        <v>0</v>
      </c>
      <c r="P963" s="265" t="str">
        <f ca="1">IF(AND(ResultsInd[[#This Row],[Category]]&lt;&gt;"",ResultsInd[[#This Row],[Player A]]&lt;&gt;""),COUNTIF(INDIRECT(ResultsInd[[#This Row],[Category]]&amp;"List[Retained Player Name]"),ResultsInd[[#This Row],[Player A]]),"")</f>
        <v/>
      </c>
      <c r="Q963" s="265" t="str">
        <f ca="1">IF(AND(ResultsInd[[#This Row],[Category]]&lt;&gt;"",ResultsInd[[#This Row],[Player B]]&lt;&gt;""),COUNTIF(INDIRECT(ResultsInd[[#This Row],[Category]]&amp;"List[Retained Player Name]"),ResultsInd[[#This Row],[Player B]]),"")</f>
        <v/>
      </c>
      <c r="R9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3" s="265" t="str">
        <f>IF(ResultsInd[[#This Row],[Score_OK]],IF(ResultsInd[[#This Row],[Stage]]="Groups",ResultsInd[[#This Row],[Category]]&amp;"-"&amp;IF(ResultsInd[[#This Row],[Player B]]="","",IF(ResultsInd[[#This Row],[Score-A]]=ResultsInd[[#This Row],[Score-B]],ResultsInd[[#This Row],[Player A]],"")),""),"")</f>
        <v/>
      </c>
      <c r="T963" s="265" t="str">
        <f>IF(ResultsInd[[#This Row],[Score_OK]],IF(ResultsInd[[#This Row],[Stage]]="Groups",ResultsInd[[#This Row],[Category]]&amp;"-"&amp;IF(ResultsInd[[#This Row],[Player B]]="","",IF(ResultsInd[[#This Row],[Score-A]]=ResultsInd[[#This Row],[Score-B]],ResultsInd[[#This Row],[Player B]],"")),""),"")</f>
        <v/>
      </c>
      <c r="U9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3" s="264" t="str">
        <f>IF(ResultsInd[[#This Row],[Category]]="","",VLOOKUP(ResultsInd[[#This Row],[Stage]],$P$1:$V$9,MATCH(ResultsInd[[#This Row],[Category]],$Q$1:$V$1,0)+1,FALSE))</f>
        <v/>
      </c>
      <c r="Z963" s="264" t="str">
        <f>IF(ResultsInd[[#This Row],[Score_OK]],IF(ResultsInd[[#This Row],[Level]]="R",ResultsInd[[#This Row],[Category]]&amp;"-"&amp;IF(ResultsInd[[#This Row],[LoseInKO]]=ResultsInd[[#This Row],[Category]]&amp;"-"&amp;ResultsInd[[#This Row],[Player A]],ResultsInd[[#This Row],[Player B]],ResultsInd[[#This Row],[Player A]]),""),"")</f>
        <v/>
      </c>
      <c r="AB963" s="8"/>
      <c r="AC963" s="8"/>
      <c r="AE963" s="90"/>
      <c r="AF963" s="90"/>
      <c r="AP963" s="8"/>
      <c r="AQ963" s="8"/>
      <c r="AR963" s="8"/>
      <c r="AS963" s="8"/>
      <c r="AT963" s="8"/>
      <c r="AU963" s="8"/>
      <c r="AV963" s="8"/>
      <c r="AW963" s="8"/>
      <c r="AX963" s="8"/>
      <c r="AY963" s="90"/>
      <c r="AZ963" s="90"/>
      <c r="BA963" s="90"/>
      <c r="BB963" s="90"/>
      <c r="BC963" s="90"/>
      <c r="BD963" s="90"/>
      <c r="BE963" s="90"/>
      <c r="BF963" s="90"/>
    </row>
    <row r="964" spans="1:58" x14ac:dyDescent="0.2">
      <c r="A964" s="62"/>
      <c r="B964" s="62"/>
      <c r="C964" s="62"/>
      <c r="D964" s="62"/>
      <c r="E964" s="345"/>
      <c r="F964" s="345"/>
      <c r="G964" s="113"/>
      <c r="H964" s="113"/>
      <c r="I964" s="114"/>
      <c r="J964" s="114"/>
      <c r="K964" s="114"/>
      <c r="L964" s="81"/>
      <c r="M964" s="265" t="b">
        <f>NOT(ISERROR(ResultsInd[[#This Row],[Goal-A]]+ResultsInd[[#This Row],[Goal-B]]))</f>
        <v>1</v>
      </c>
      <c r="N964" s="265">
        <f>VALUE(ResultsInd[[#This Row],[Score-A]])</f>
        <v>0</v>
      </c>
      <c r="O964" s="265">
        <f>VALUE(ResultsInd[[#This Row],[Score-B]])</f>
        <v>0</v>
      </c>
      <c r="P964" s="265" t="str">
        <f ca="1">IF(AND(ResultsInd[[#This Row],[Category]]&lt;&gt;"",ResultsInd[[#This Row],[Player A]]&lt;&gt;""),COUNTIF(INDIRECT(ResultsInd[[#This Row],[Category]]&amp;"List[Retained Player Name]"),ResultsInd[[#This Row],[Player A]]),"")</f>
        <v/>
      </c>
      <c r="Q964" s="265" t="str">
        <f ca="1">IF(AND(ResultsInd[[#This Row],[Category]]&lt;&gt;"",ResultsInd[[#This Row],[Player B]]&lt;&gt;""),COUNTIF(INDIRECT(ResultsInd[[#This Row],[Category]]&amp;"List[Retained Player Name]"),ResultsInd[[#This Row],[Player B]]),"")</f>
        <v/>
      </c>
      <c r="R9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4" s="265" t="str">
        <f>IF(ResultsInd[[#This Row],[Score_OK]],IF(ResultsInd[[#This Row],[Stage]]="Groups",ResultsInd[[#This Row],[Category]]&amp;"-"&amp;IF(ResultsInd[[#This Row],[Player B]]="","",IF(ResultsInd[[#This Row],[Score-A]]=ResultsInd[[#This Row],[Score-B]],ResultsInd[[#This Row],[Player A]],"")),""),"")</f>
        <v/>
      </c>
      <c r="T964" s="265" t="str">
        <f>IF(ResultsInd[[#This Row],[Score_OK]],IF(ResultsInd[[#This Row],[Stage]]="Groups",ResultsInd[[#This Row],[Category]]&amp;"-"&amp;IF(ResultsInd[[#This Row],[Player B]]="","",IF(ResultsInd[[#This Row],[Score-A]]=ResultsInd[[#This Row],[Score-B]],ResultsInd[[#This Row],[Player B]],"")),""),"")</f>
        <v/>
      </c>
      <c r="U9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4" s="264" t="str">
        <f>IF(ResultsInd[[#This Row],[Category]]="","",VLOOKUP(ResultsInd[[#This Row],[Stage]],$P$1:$V$9,MATCH(ResultsInd[[#This Row],[Category]],$Q$1:$V$1,0)+1,FALSE))</f>
        <v/>
      </c>
      <c r="Z964" s="264" t="str">
        <f>IF(ResultsInd[[#This Row],[Score_OK]],IF(ResultsInd[[#This Row],[Level]]="R",ResultsInd[[#This Row],[Category]]&amp;"-"&amp;IF(ResultsInd[[#This Row],[LoseInKO]]=ResultsInd[[#This Row],[Category]]&amp;"-"&amp;ResultsInd[[#This Row],[Player A]],ResultsInd[[#This Row],[Player B]],ResultsInd[[#This Row],[Player A]]),""),"")</f>
        <v/>
      </c>
      <c r="AB964" s="8"/>
      <c r="AC964" s="8"/>
      <c r="AE964" s="90"/>
      <c r="AF964" s="90"/>
      <c r="AP964" s="8"/>
      <c r="AQ964" s="8"/>
      <c r="AR964" s="8"/>
      <c r="AS964" s="8"/>
      <c r="AT964" s="8"/>
      <c r="AU964" s="8"/>
      <c r="AV964" s="8"/>
      <c r="AW964" s="8"/>
      <c r="AX964" s="8"/>
      <c r="AY964" s="90"/>
      <c r="AZ964" s="90"/>
      <c r="BA964" s="90"/>
      <c r="BB964" s="90"/>
      <c r="BC964" s="90"/>
      <c r="BD964" s="90"/>
      <c r="BE964" s="90"/>
      <c r="BF964" s="90"/>
    </row>
    <row r="965" spans="1:58" x14ac:dyDescent="0.2">
      <c r="A965" s="62"/>
      <c r="B965" s="62"/>
      <c r="C965" s="62"/>
      <c r="D965" s="62"/>
      <c r="E965" s="345"/>
      <c r="F965" s="345"/>
      <c r="G965" s="113"/>
      <c r="H965" s="113"/>
      <c r="I965" s="114"/>
      <c r="J965" s="114"/>
      <c r="K965" s="114"/>
      <c r="L965" s="81"/>
      <c r="M965" s="265" t="b">
        <f>NOT(ISERROR(ResultsInd[[#This Row],[Goal-A]]+ResultsInd[[#This Row],[Goal-B]]))</f>
        <v>1</v>
      </c>
      <c r="N965" s="265">
        <f>VALUE(ResultsInd[[#This Row],[Score-A]])</f>
        <v>0</v>
      </c>
      <c r="O965" s="265">
        <f>VALUE(ResultsInd[[#This Row],[Score-B]])</f>
        <v>0</v>
      </c>
      <c r="P965" s="265" t="str">
        <f ca="1">IF(AND(ResultsInd[[#This Row],[Category]]&lt;&gt;"",ResultsInd[[#This Row],[Player A]]&lt;&gt;""),COUNTIF(INDIRECT(ResultsInd[[#This Row],[Category]]&amp;"List[Retained Player Name]"),ResultsInd[[#This Row],[Player A]]),"")</f>
        <v/>
      </c>
      <c r="Q965" s="265" t="str">
        <f ca="1">IF(AND(ResultsInd[[#This Row],[Category]]&lt;&gt;"",ResultsInd[[#This Row],[Player B]]&lt;&gt;""),COUNTIF(INDIRECT(ResultsInd[[#This Row],[Category]]&amp;"List[Retained Player Name]"),ResultsInd[[#This Row],[Player B]]),"")</f>
        <v/>
      </c>
      <c r="R9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5" s="265" t="str">
        <f>IF(ResultsInd[[#This Row],[Score_OK]],IF(ResultsInd[[#This Row],[Stage]]="Groups",ResultsInd[[#This Row],[Category]]&amp;"-"&amp;IF(ResultsInd[[#This Row],[Player B]]="","",IF(ResultsInd[[#This Row],[Score-A]]=ResultsInd[[#This Row],[Score-B]],ResultsInd[[#This Row],[Player A]],"")),""),"")</f>
        <v/>
      </c>
      <c r="T965" s="265" t="str">
        <f>IF(ResultsInd[[#This Row],[Score_OK]],IF(ResultsInd[[#This Row],[Stage]]="Groups",ResultsInd[[#This Row],[Category]]&amp;"-"&amp;IF(ResultsInd[[#This Row],[Player B]]="","",IF(ResultsInd[[#This Row],[Score-A]]=ResultsInd[[#This Row],[Score-B]],ResultsInd[[#This Row],[Player B]],"")),""),"")</f>
        <v/>
      </c>
      <c r="U9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5" s="264" t="str">
        <f>IF(ResultsInd[[#This Row],[Category]]="","",VLOOKUP(ResultsInd[[#This Row],[Stage]],$P$1:$V$9,MATCH(ResultsInd[[#This Row],[Category]],$Q$1:$V$1,0)+1,FALSE))</f>
        <v/>
      </c>
      <c r="Z965" s="264" t="str">
        <f>IF(ResultsInd[[#This Row],[Score_OK]],IF(ResultsInd[[#This Row],[Level]]="R",ResultsInd[[#This Row],[Category]]&amp;"-"&amp;IF(ResultsInd[[#This Row],[LoseInKO]]=ResultsInd[[#This Row],[Category]]&amp;"-"&amp;ResultsInd[[#This Row],[Player A]],ResultsInd[[#This Row],[Player B]],ResultsInd[[#This Row],[Player A]]),""),"")</f>
        <v/>
      </c>
      <c r="AB965" s="8"/>
      <c r="AC965" s="8"/>
      <c r="AE965" s="90"/>
      <c r="AF965" s="90"/>
      <c r="AP965" s="8"/>
      <c r="AQ965" s="8"/>
      <c r="AR965" s="8"/>
      <c r="AS965" s="8"/>
      <c r="AT965" s="8"/>
      <c r="AU965" s="8"/>
      <c r="AV965" s="8"/>
      <c r="AW965" s="8"/>
      <c r="AX965" s="8"/>
      <c r="AY965" s="90"/>
      <c r="AZ965" s="90"/>
      <c r="BA965" s="90"/>
      <c r="BB965" s="90"/>
      <c r="BC965" s="90"/>
      <c r="BD965" s="90"/>
      <c r="BE965" s="90"/>
      <c r="BF965" s="90"/>
    </row>
    <row r="966" spans="1:58" x14ac:dyDescent="0.2">
      <c r="A966" s="62"/>
      <c r="B966" s="62"/>
      <c r="C966" s="62"/>
      <c r="D966" s="62"/>
      <c r="E966" s="345"/>
      <c r="F966" s="345"/>
      <c r="G966" s="113"/>
      <c r="H966" s="113"/>
      <c r="I966" s="114"/>
      <c r="J966" s="114"/>
      <c r="K966" s="114"/>
      <c r="L966" s="81"/>
      <c r="M966" s="265" t="b">
        <f>NOT(ISERROR(ResultsInd[[#This Row],[Goal-A]]+ResultsInd[[#This Row],[Goal-B]]))</f>
        <v>1</v>
      </c>
      <c r="N966" s="265">
        <f>VALUE(ResultsInd[[#This Row],[Score-A]])</f>
        <v>0</v>
      </c>
      <c r="O966" s="265">
        <f>VALUE(ResultsInd[[#This Row],[Score-B]])</f>
        <v>0</v>
      </c>
      <c r="P966" s="265" t="str">
        <f ca="1">IF(AND(ResultsInd[[#This Row],[Category]]&lt;&gt;"",ResultsInd[[#This Row],[Player A]]&lt;&gt;""),COUNTIF(INDIRECT(ResultsInd[[#This Row],[Category]]&amp;"List[Retained Player Name]"),ResultsInd[[#This Row],[Player A]]),"")</f>
        <v/>
      </c>
      <c r="Q966" s="265" t="str">
        <f ca="1">IF(AND(ResultsInd[[#This Row],[Category]]&lt;&gt;"",ResultsInd[[#This Row],[Player B]]&lt;&gt;""),COUNTIF(INDIRECT(ResultsInd[[#This Row],[Category]]&amp;"List[Retained Player Name]"),ResultsInd[[#This Row],[Player B]]),"")</f>
        <v/>
      </c>
      <c r="R9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6" s="265" t="str">
        <f>IF(ResultsInd[[#This Row],[Score_OK]],IF(ResultsInd[[#This Row],[Stage]]="Groups",ResultsInd[[#This Row],[Category]]&amp;"-"&amp;IF(ResultsInd[[#This Row],[Player B]]="","",IF(ResultsInd[[#This Row],[Score-A]]=ResultsInd[[#This Row],[Score-B]],ResultsInd[[#This Row],[Player A]],"")),""),"")</f>
        <v/>
      </c>
      <c r="T966" s="265" t="str">
        <f>IF(ResultsInd[[#This Row],[Score_OK]],IF(ResultsInd[[#This Row],[Stage]]="Groups",ResultsInd[[#This Row],[Category]]&amp;"-"&amp;IF(ResultsInd[[#This Row],[Player B]]="","",IF(ResultsInd[[#This Row],[Score-A]]=ResultsInd[[#This Row],[Score-B]],ResultsInd[[#This Row],[Player B]],"")),""),"")</f>
        <v/>
      </c>
      <c r="U9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6" s="264" t="str">
        <f>IF(ResultsInd[[#This Row],[Category]]="","",VLOOKUP(ResultsInd[[#This Row],[Stage]],$P$1:$V$9,MATCH(ResultsInd[[#This Row],[Category]],$Q$1:$V$1,0)+1,FALSE))</f>
        <v/>
      </c>
      <c r="Z966" s="264" t="str">
        <f>IF(ResultsInd[[#This Row],[Score_OK]],IF(ResultsInd[[#This Row],[Level]]="R",ResultsInd[[#This Row],[Category]]&amp;"-"&amp;IF(ResultsInd[[#This Row],[LoseInKO]]=ResultsInd[[#This Row],[Category]]&amp;"-"&amp;ResultsInd[[#This Row],[Player A]],ResultsInd[[#This Row],[Player B]],ResultsInd[[#This Row],[Player A]]),""),"")</f>
        <v/>
      </c>
      <c r="AB966" s="8"/>
      <c r="AC966" s="8"/>
      <c r="AE966" s="90"/>
      <c r="AF966" s="90"/>
      <c r="AP966" s="8"/>
      <c r="AQ966" s="8"/>
      <c r="AR966" s="8"/>
      <c r="AS966" s="8"/>
      <c r="AT966" s="8"/>
      <c r="AU966" s="8"/>
      <c r="AV966" s="8"/>
      <c r="AW966" s="8"/>
      <c r="AX966" s="8"/>
      <c r="AY966" s="90"/>
      <c r="AZ966" s="90"/>
      <c r="BA966" s="90"/>
      <c r="BB966" s="90"/>
      <c r="BC966" s="90"/>
      <c r="BD966" s="90"/>
      <c r="BE966" s="90"/>
      <c r="BF966" s="90"/>
    </row>
    <row r="967" spans="1:58" x14ac:dyDescent="0.2">
      <c r="A967" s="62"/>
      <c r="B967" s="62"/>
      <c r="C967" s="62"/>
      <c r="D967" s="62"/>
      <c r="E967" s="345"/>
      <c r="F967" s="345"/>
      <c r="G967" s="113"/>
      <c r="H967" s="113"/>
      <c r="I967" s="114"/>
      <c r="J967" s="114"/>
      <c r="K967" s="114"/>
      <c r="L967" s="81"/>
      <c r="M967" s="265" t="b">
        <f>NOT(ISERROR(ResultsInd[[#This Row],[Goal-A]]+ResultsInd[[#This Row],[Goal-B]]))</f>
        <v>1</v>
      </c>
      <c r="N967" s="265">
        <f>VALUE(ResultsInd[[#This Row],[Score-A]])</f>
        <v>0</v>
      </c>
      <c r="O967" s="265">
        <f>VALUE(ResultsInd[[#This Row],[Score-B]])</f>
        <v>0</v>
      </c>
      <c r="P967" s="265" t="str">
        <f ca="1">IF(AND(ResultsInd[[#This Row],[Category]]&lt;&gt;"",ResultsInd[[#This Row],[Player A]]&lt;&gt;""),COUNTIF(INDIRECT(ResultsInd[[#This Row],[Category]]&amp;"List[Retained Player Name]"),ResultsInd[[#This Row],[Player A]]),"")</f>
        <v/>
      </c>
      <c r="Q967" s="265" t="str">
        <f ca="1">IF(AND(ResultsInd[[#This Row],[Category]]&lt;&gt;"",ResultsInd[[#This Row],[Player B]]&lt;&gt;""),COUNTIF(INDIRECT(ResultsInd[[#This Row],[Category]]&amp;"List[Retained Player Name]"),ResultsInd[[#This Row],[Player B]]),"")</f>
        <v/>
      </c>
      <c r="R9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7" s="265" t="str">
        <f>IF(ResultsInd[[#This Row],[Score_OK]],IF(ResultsInd[[#This Row],[Stage]]="Groups",ResultsInd[[#This Row],[Category]]&amp;"-"&amp;IF(ResultsInd[[#This Row],[Player B]]="","",IF(ResultsInd[[#This Row],[Score-A]]=ResultsInd[[#This Row],[Score-B]],ResultsInd[[#This Row],[Player A]],"")),""),"")</f>
        <v/>
      </c>
      <c r="T967" s="265" t="str">
        <f>IF(ResultsInd[[#This Row],[Score_OK]],IF(ResultsInd[[#This Row],[Stage]]="Groups",ResultsInd[[#This Row],[Category]]&amp;"-"&amp;IF(ResultsInd[[#This Row],[Player B]]="","",IF(ResultsInd[[#This Row],[Score-A]]=ResultsInd[[#This Row],[Score-B]],ResultsInd[[#This Row],[Player B]],"")),""),"")</f>
        <v/>
      </c>
      <c r="U9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7" s="264" t="str">
        <f>IF(ResultsInd[[#This Row],[Category]]="","",VLOOKUP(ResultsInd[[#This Row],[Stage]],$P$1:$V$9,MATCH(ResultsInd[[#This Row],[Category]],$Q$1:$V$1,0)+1,FALSE))</f>
        <v/>
      </c>
      <c r="Z967" s="264" t="str">
        <f>IF(ResultsInd[[#This Row],[Score_OK]],IF(ResultsInd[[#This Row],[Level]]="R",ResultsInd[[#This Row],[Category]]&amp;"-"&amp;IF(ResultsInd[[#This Row],[LoseInKO]]=ResultsInd[[#This Row],[Category]]&amp;"-"&amp;ResultsInd[[#This Row],[Player A]],ResultsInd[[#This Row],[Player B]],ResultsInd[[#This Row],[Player A]]),""),"")</f>
        <v/>
      </c>
      <c r="AB967" s="8"/>
      <c r="AC967" s="8"/>
      <c r="AE967" s="90"/>
      <c r="AF967" s="90"/>
      <c r="AP967" s="8"/>
      <c r="AQ967" s="8"/>
      <c r="AR967" s="8"/>
      <c r="AS967" s="8"/>
      <c r="AT967" s="8"/>
      <c r="AU967" s="8"/>
      <c r="AV967" s="8"/>
      <c r="AW967" s="8"/>
      <c r="AX967" s="8"/>
      <c r="AY967" s="90"/>
      <c r="AZ967" s="90"/>
      <c r="BA967" s="90"/>
      <c r="BB967" s="90"/>
      <c r="BC967" s="90"/>
      <c r="BD967" s="90"/>
      <c r="BE967" s="90"/>
      <c r="BF967" s="90"/>
    </row>
    <row r="968" spans="1:58" x14ac:dyDescent="0.2">
      <c r="A968" s="62"/>
      <c r="B968" s="62"/>
      <c r="C968" s="62"/>
      <c r="D968" s="62"/>
      <c r="E968" s="345"/>
      <c r="F968" s="345"/>
      <c r="G968" s="113"/>
      <c r="H968" s="113"/>
      <c r="I968" s="114"/>
      <c r="J968" s="114"/>
      <c r="K968" s="114"/>
      <c r="L968" s="81"/>
      <c r="M968" s="265" t="b">
        <f>NOT(ISERROR(ResultsInd[[#This Row],[Goal-A]]+ResultsInd[[#This Row],[Goal-B]]))</f>
        <v>1</v>
      </c>
      <c r="N968" s="265">
        <f>VALUE(ResultsInd[[#This Row],[Score-A]])</f>
        <v>0</v>
      </c>
      <c r="O968" s="265">
        <f>VALUE(ResultsInd[[#This Row],[Score-B]])</f>
        <v>0</v>
      </c>
      <c r="P968" s="265" t="str">
        <f ca="1">IF(AND(ResultsInd[[#This Row],[Category]]&lt;&gt;"",ResultsInd[[#This Row],[Player A]]&lt;&gt;""),COUNTIF(INDIRECT(ResultsInd[[#This Row],[Category]]&amp;"List[Retained Player Name]"),ResultsInd[[#This Row],[Player A]]),"")</f>
        <v/>
      </c>
      <c r="Q968" s="265" t="str">
        <f ca="1">IF(AND(ResultsInd[[#This Row],[Category]]&lt;&gt;"",ResultsInd[[#This Row],[Player B]]&lt;&gt;""),COUNTIF(INDIRECT(ResultsInd[[#This Row],[Category]]&amp;"List[Retained Player Name]"),ResultsInd[[#This Row],[Player B]]),"")</f>
        <v/>
      </c>
      <c r="R9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8" s="265" t="str">
        <f>IF(ResultsInd[[#This Row],[Score_OK]],IF(ResultsInd[[#This Row],[Stage]]="Groups",ResultsInd[[#This Row],[Category]]&amp;"-"&amp;IF(ResultsInd[[#This Row],[Player B]]="","",IF(ResultsInd[[#This Row],[Score-A]]=ResultsInd[[#This Row],[Score-B]],ResultsInd[[#This Row],[Player A]],"")),""),"")</f>
        <v/>
      </c>
      <c r="T968" s="265" t="str">
        <f>IF(ResultsInd[[#This Row],[Score_OK]],IF(ResultsInd[[#This Row],[Stage]]="Groups",ResultsInd[[#This Row],[Category]]&amp;"-"&amp;IF(ResultsInd[[#This Row],[Player B]]="","",IF(ResultsInd[[#This Row],[Score-A]]=ResultsInd[[#This Row],[Score-B]],ResultsInd[[#This Row],[Player B]],"")),""),"")</f>
        <v/>
      </c>
      <c r="U9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8" s="264" t="str">
        <f>IF(ResultsInd[[#This Row],[Category]]="","",VLOOKUP(ResultsInd[[#This Row],[Stage]],$P$1:$V$9,MATCH(ResultsInd[[#This Row],[Category]],$Q$1:$V$1,0)+1,FALSE))</f>
        <v/>
      </c>
      <c r="Z968" s="264" t="str">
        <f>IF(ResultsInd[[#This Row],[Score_OK]],IF(ResultsInd[[#This Row],[Level]]="R",ResultsInd[[#This Row],[Category]]&amp;"-"&amp;IF(ResultsInd[[#This Row],[LoseInKO]]=ResultsInd[[#This Row],[Category]]&amp;"-"&amp;ResultsInd[[#This Row],[Player A]],ResultsInd[[#This Row],[Player B]],ResultsInd[[#This Row],[Player A]]),""),"")</f>
        <v/>
      </c>
      <c r="AB968" s="8"/>
      <c r="AC968" s="8"/>
      <c r="AE968" s="90"/>
      <c r="AF968" s="90"/>
      <c r="AP968" s="8"/>
      <c r="AQ968" s="8"/>
      <c r="AR968" s="8"/>
      <c r="AS968" s="8"/>
      <c r="AT968" s="8"/>
      <c r="AU968" s="8"/>
      <c r="AV968" s="8"/>
      <c r="AW968" s="8"/>
      <c r="AX968" s="8"/>
      <c r="AY968" s="90"/>
      <c r="AZ968" s="90"/>
      <c r="BA968" s="90"/>
      <c r="BB968" s="90"/>
      <c r="BC968" s="90"/>
      <c r="BD968" s="90"/>
      <c r="BE968" s="90"/>
      <c r="BF968" s="90"/>
    </row>
    <row r="969" spans="1:58" x14ac:dyDescent="0.2">
      <c r="A969" s="62"/>
      <c r="B969" s="62"/>
      <c r="C969" s="62"/>
      <c r="D969" s="62"/>
      <c r="E969" s="345"/>
      <c r="F969" s="345"/>
      <c r="G969" s="113"/>
      <c r="H969" s="113"/>
      <c r="I969" s="114"/>
      <c r="J969" s="114"/>
      <c r="K969" s="114"/>
      <c r="L969" s="81"/>
      <c r="M969" s="265" t="b">
        <f>NOT(ISERROR(ResultsInd[[#This Row],[Goal-A]]+ResultsInd[[#This Row],[Goal-B]]))</f>
        <v>1</v>
      </c>
      <c r="N969" s="265">
        <f>VALUE(ResultsInd[[#This Row],[Score-A]])</f>
        <v>0</v>
      </c>
      <c r="O969" s="265">
        <f>VALUE(ResultsInd[[#This Row],[Score-B]])</f>
        <v>0</v>
      </c>
      <c r="P969" s="265" t="str">
        <f ca="1">IF(AND(ResultsInd[[#This Row],[Category]]&lt;&gt;"",ResultsInd[[#This Row],[Player A]]&lt;&gt;""),COUNTIF(INDIRECT(ResultsInd[[#This Row],[Category]]&amp;"List[Retained Player Name]"),ResultsInd[[#This Row],[Player A]]),"")</f>
        <v/>
      </c>
      <c r="Q969" s="265" t="str">
        <f ca="1">IF(AND(ResultsInd[[#This Row],[Category]]&lt;&gt;"",ResultsInd[[#This Row],[Player B]]&lt;&gt;""),COUNTIF(INDIRECT(ResultsInd[[#This Row],[Category]]&amp;"List[Retained Player Name]"),ResultsInd[[#This Row],[Player B]]),"")</f>
        <v/>
      </c>
      <c r="R9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9" s="265" t="str">
        <f>IF(ResultsInd[[#This Row],[Score_OK]],IF(ResultsInd[[#This Row],[Stage]]="Groups",ResultsInd[[#This Row],[Category]]&amp;"-"&amp;IF(ResultsInd[[#This Row],[Player B]]="","",IF(ResultsInd[[#This Row],[Score-A]]=ResultsInd[[#This Row],[Score-B]],ResultsInd[[#This Row],[Player A]],"")),""),"")</f>
        <v/>
      </c>
      <c r="T969" s="265" t="str">
        <f>IF(ResultsInd[[#This Row],[Score_OK]],IF(ResultsInd[[#This Row],[Stage]]="Groups",ResultsInd[[#This Row],[Category]]&amp;"-"&amp;IF(ResultsInd[[#This Row],[Player B]]="","",IF(ResultsInd[[#This Row],[Score-A]]=ResultsInd[[#This Row],[Score-B]],ResultsInd[[#This Row],[Player B]],"")),""),"")</f>
        <v/>
      </c>
      <c r="U9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9" s="264" t="str">
        <f>IF(ResultsInd[[#This Row],[Category]]="","",VLOOKUP(ResultsInd[[#This Row],[Stage]],$P$1:$V$9,MATCH(ResultsInd[[#This Row],[Category]],$Q$1:$V$1,0)+1,FALSE))</f>
        <v/>
      </c>
      <c r="Z969" s="264" t="str">
        <f>IF(ResultsInd[[#This Row],[Score_OK]],IF(ResultsInd[[#This Row],[Level]]="R",ResultsInd[[#This Row],[Category]]&amp;"-"&amp;IF(ResultsInd[[#This Row],[LoseInKO]]=ResultsInd[[#This Row],[Category]]&amp;"-"&amp;ResultsInd[[#This Row],[Player A]],ResultsInd[[#This Row],[Player B]],ResultsInd[[#This Row],[Player A]]),""),"")</f>
        <v/>
      </c>
      <c r="AB969" s="8"/>
      <c r="AC969" s="8"/>
      <c r="AE969" s="90"/>
      <c r="AF969" s="90"/>
      <c r="AP969" s="8"/>
      <c r="AQ969" s="8"/>
      <c r="AR969" s="8"/>
      <c r="AS969" s="8"/>
      <c r="AT969" s="8"/>
      <c r="AU969" s="8"/>
      <c r="AV969" s="8"/>
      <c r="AW969" s="8"/>
      <c r="AX969" s="8"/>
      <c r="AY969" s="90"/>
      <c r="AZ969" s="90"/>
      <c r="BA969" s="90"/>
      <c r="BB969" s="90"/>
      <c r="BC969" s="90"/>
      <c r="BD969" s="90"/>
      <c r="BE969" s="90"/>
      <c r="BF969" s="90"/>
    </row>
    <row r="970" spans="1:58" x14ac:dyDescent="0.2">
      <c r="A970" s="62"/>
      <c r="B970" s="62"/>
      <c r="C970" s="62"/>
      <c r="D970" s="62"/>
      <c r="E970" s="345"/>
      <c r="F970" s="345"/>
      <c r="G970" s="113"/>
      <c r="H970" s="113"/>
      <c r="I970" s="114"/>
      <c r="J970" s="114"/>
      <c r="K970" s="114"/>
      <c r="L970" s="81"/>
      <c r="M970" s="265" t="b">
        <f>NOT(ISERROR(ResultsInd[[#This Row],[Goal-A]]+ResultsInd[[#This Row],[Goal-B]]))</f>
        <v>1</v>
      </c>
      <c r="N970" s="265">
        <f>VALUE(ResultsInd[[#This Row],[Score-A]])</f>
        <v>0</v>
      </c>
      <c r="O970" s="265">
        <f>VALUE(ResultsInd[[#This Row],[Score-B]])</f>
        <v>0</v>
      </c>
      <c r="P970" s="265" t="str">
        <f ca="1">IF(AND(ResultsInd[[#This Row],[Category]]&lt;&gt;"",ResultsInd[[#This Row],[Player A]]&lt;&gt;""),COUNTIF(INDIRECT(ResultsInd[[#This Row],[Category]]&amp;"List[Retained Player Name]"),ResultsInd[[#This Row],[Player A]]),"")</f>
        <v/>
      </c>
      <c r="Q970" s="265" t="str">
        <f ca="1">IF(AND(ResultsInd[[#This Row],[Category]]&lt;&gt;"",ResultsInd[[#This Row],[Player B]]&lt;&gt;""),COUNTIF(INDIRECT(ResultsInd[[#This Row],[Category]]&amp;"List[Retained Player Name]"),ResultsInd[[#This Row],[Player B]]),"")</f>
        <v/>
      </c>
      <c r="R9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0" s="265" t="str">
        <f>IF(ResultsInd[[#This Row],[Score_OK]],IF(ResultsInd[[#This Row],[Stage]]="Groups",ResultsInd[[#This Row],[Category]]&amp;"-"&amp;IF(ResultsInd[[#This Row],[Player B]]="","",IF(ResultsInd[[#This Row],[Score-A]]=ResultsInd[[#This Row],[Score-B]],ResultsInd[[#This Row],[Player A]],"")),""),"")</f>
        <v/>
      </c>
      <c r="T970" s="265" t="str">
        <f>IF(ResultsInd[[#This Row],[Score_OK]],IF(ResultsInd[[#This Row],[Stage]]="Groups",ResultsInd[[#This Row],[Category]]&amp;"-"&amp;IF(ResultsInd[[#This Row],[Player B]]="","",IF(ResultsInd[[#This Row],[Score-A]]=ResultsInd[[#This Row],[Score-B]],ResultsInd[[#This Row],[Player B]],"")),""),"")</f>
        <v/>
      </c>
      <c r="U9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0" s="264" t="str">
        <f>IF(ResultsInd[[#This Row],[Category]]="","",VLOOKUP(ResultsInd[[#This Row],[Stage]],$P$1:$V$9,MATCH(ResultsInd[[#This Row],[Category]],$Q$1:$V$1,0)+1,FALSE))</f>
        <v/>
      </c>
      <c r="Z970" s="264" t="str">
        <f>IF(ResultsInd[[#This Row],[Score_OK]],IF(ResultsInd[[#This Row],[Level]]="R",ResultsInd[[#This Row],[Category]]&amp;"-"&amp;IF(ResultsInd[[#This Row],[LoseInKO]]=ResultsInd[[#This Row],[Category]]&amp;"-"&amp;ResultsInd[[#This Row],[Player A]],ResultsInd[[#This Row],[Player B]],ResultsInd[[#This Row],[Player A]]),""),"")</f>
        <v/>
      </c>
      <c r="AB970" s="8"/>
      <c r="AC970" s="8"/>
      <c r="AE970" s="90"/>
      <c r="AF970" s="90"/>
      <c r="AP970" s="8"/>
      <c r="AQ970" s="8"/>
      <c r="AR970" s="8"/>
      <c r="AS970" s="8"/>
      <c r="AT970" s="8"/>
      <c r="AU970" s="8"/>
      <c r="AV970" s="8"/>
      <c r="AW970" s="8"/>
      <c r="AX970" s="8"/>
      <c r="AY970" s="90"/>
      <c r="AZ970" s="90"/>
      <c r="BA970" s="90"/>
      <c r="BB970" s="90"/>
      <c r="BC970" s="90"/>
      <c r="BD970" s="90"/>
      <c r="BE970" s="90"/>
      <c r="BF970" s="90"/>
    </row>
    <row r="971" spans="1:58" x14ac:dyDescent="0.2">
      <c r="A971" s="62"/>
      <c r="B971" s="62"/>
      <c r="C971" s="62"/>
      <c r="D971" s="62"/>
      <c r="E971" s="345"/>
      <c r="F971" s="345"/>
      <c r="G971" s="113"/>
      <c r="H971" s="113"/>
      <c r="I971" s="114"/>
      <c r="J971" s="114"/>
      <c r="K971" s="114"/>
      <c r="L971" s="81"/>
      <c r="M971" s="265" t="b">
        <f>NOT(ISERROR(ResultsInd[[#This Row],[Goal-A]]+ResultsInd[[#This Row],[Goal-B]]))</f>
        <v>1</v>
      </c>
      <c r="N971" s="265">
        <f>VALUE(ResultsInd[[#This Row],[Score-A]])</f>
        <v>0</v>
      </c>
      <c r="O971" s="265">
        <f>VALUE(ResultsInd[[#This Row],[Score-B]])</f>
        <v>0</v>
      </c>
      <c r="P971" s="265" t="str">
        <f ca="1">IF(AND(ResultsInd[[#This Row],[Category]]&lt;&gt;"",ResultsInd[[#This Row],[Player A]]&lt;&gt;""),COUNTIF(INDIRECT(ResultsInd[[#This Row],[Category]]&amp;"List[Retained Player Name]"),ResultsInd[[#This Row],[Player A]]),"")</f>
        <v/>
      </c>
      <c r="Q971" s="265" t="str">
        <f ca="1">IF(AND(ResultsInd[[#This Row],[Category]]&lt;&gt;"",ResultsInd[[#This Row],[Player B]]&lt;&gt;""),COUNTIF(INDIRECT(ResultsInd[[#This Row],[Category]]&amp;"List[Retained Player Name]"),ResultsInd[[#This Row],[Player B]]),"")</f>
        <v/>
      </c>
      <c r="R9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1" s="265" t="str">
        <f>IF(ResultsInd[[#This Row],[Score_OK]],IF(ResultsInd[[#This Row],[Stage]]="Groups",ResultsInd[[#This Row],[Category]]&amp;"-"&amp;IF(ResultsInd[[#This Row],[Player B]]="","",IF(ResultsInd[[#This Row],[Score-A]]=ResultsInd[[#This Row],[Score-B]],ResultsInd[[#This Row],[Player A]],"")),""),"")</f>
        <v/>
      </c>
      <c r="T971" s="265" t="str">
        <f>IF(ResultsInd[[#This Row],[Score_OK]],IF(ResultsInd[[#This Row],[Stage]]="Groups",ResultsInd[[#This Row],[Category]]&amp;"-"&amp;IF(ResultsInd[[#This Row],[Player B]]="","",IF(ResultsInd[[#This Row],[Score-A]]=ResultsInd[[#This Row],[Score-B]],ResultsInd[[#This Row],[Player B]],"")),""),"")</f>
        <v/>
      </c>
      <c r="U9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1" s="264" t="str">
        <f>IF(ResultsInd[[#This Row],[Category]]="","",VLOOKUP(ResultsInd[[#This Row],[Stage]],$P$1:$V$9,MATCH(ResultsInd[[#This Row],[Category]],$Q$1:$V$1,0)+1,FALSE))</f>
        <v/>
      </c>
      <c r="Z971" s="264" t="str">
        <f>IF(ResultsInd[[#This Row],[Score_OK]],IF(ResultsInd[[#This Row],[Level]]="R",ResultsInd[[#This Row],[Category]]&amp;"-"&amp;IF(ResultsInd[[#This Row],[LoseInKO]]=ResultsInd[[#This Row],[Category]]&amp;"-"&amp;ResultsInd[[#This Row],[Player A]],ResultsInd[[#This Row],[Player B]],ResultsInd[[#This Row],[Player A]]),""),"")</f>
        <v/>
      </c>
      <c r="AB971" s="8"/>
      <c r="AC971" s="8"/>
      <c r="AE971" s="90"/>
      <c r="AF971" s="90"/>
      <c r="AP971" s="8"/>
      <c r="AQ971" s="8"/>
      <c r="AR971" s="8"/>
      <c r="AS971" s="8"/>
      <c r="AT971" s="8"/>
      <c r="AU971" s="8"/>
      <c r="AV971" s="8"/>
      <c r="AW971" s="8"/>
      <c r="AX971" s="8"/>
      <c r="AY971" s="90"/>
      <c r="AZ971" s="90"/>
      <c r="BA971" s="90"/>
      <c r="BB971" s="90"/>
      <c r="BC971" s="90"/>
      <c r="BD971" s="90"/>
      <c r="BE971" s="90"/>
      <c r="BF971" s="90"/>
    </row>
    <row r="972" spans="1:58" x14ac:dyDescent="0.2">
      <c r="A972" s="62"/>
      <c r="B972" s="62"/>
      <c r="C972" s="62"/>
      <c r="D972" s="62"/>
      <c r="E972" s="345"/>
      <c r="F972" s="345"/>
      <c r="G972" s="113"/>
      <c r="H972" s="113"/>
      <c r="I972" s="114"/>
      <c r="J972" s="114"/>
      <c r="K972" s="114"/>
      <c r="L972" s="81"/>
      <c r="M972" s="265" t="b">
        <f>NOT(ISERROR(ResultsInd[[#This Row],[Goal-A]]+ResultsInd[[#This Row],[Goal-B]]))</f>
        <v>1</v>
      </c>
      <c r="N972" s="265">
        <f>VALUE(ResultsInd[[#This Row],[Score-A]])</f>
        <v>0</v>
      </c>
      <c r="O972" s="265">
        <f>VALUE(ResultsInd[[#This Row],[Score-B]])</f>
        <v>0</v>
      </c>
      <c r="P972" s="265" t="str">
        <f ca="1">IF(AND(ResultsInd[[#This Row],[Category]]&lt;&gt;"",ResultsInd[[#This Row],[Player A]]&lt;&gt;""),COUNTIF(INDIRECT(ResultsInd[[#This Row],[Category]]&amp;"List[Retained Player Name]"),ResultsInd[[#This Row],[Player A]]),"")</f>
        <v/>
      </c>
      <c r="Q972" s="265" t="str">
        <f ca="1">IF(AND(ResultsInd[[#This Row],[Category]]&lt;&gt;"",ResultsInd[[#This Row],[Player B]]&lt;&gt;""),COUNTIF(INDIRECT(ResultsInd[[#This Row],[Category]]&amp;"List[Retained Player Name]"),ResultsInd[[#This Row],[Player B]]),"")</f>
        <v/>
      </c>
      <c r="R9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2" s="265" t="str">
        <f>IF(ResultsInd[[#This Row],[Score_OK]],IF(ResultsInd[[#This Row],[Stage]]="Groups",ResultsInd[[#This Row],[Category]]&amp;"-"&amp;IF(ResultsInd[[#This Row],[Player B]]="","",IF(ResultsInd[[#This Row],[Score-A]]=ResultsInd[[#This Row],[Score-B]],ResultsInd[[#This Row],[Player A]],"")),""),"")</f>
        <v/>
      </c>
      <c r="T972" s="265" t="str">
        <f>IF(ResultsInd[[#This Row],[Score_OK]],IF(ResultsInd[[#This Row],[Stage]]="Groups",ResultsInd[[#This Row],[Category]]&amp;"-"&amp;IF(ResultsInd[[#This Row],[Player B]]="","",IF(ResultsInd[[#This Row],[Score-A]]=ResultsInd[[#This Row],[Score-B]],ResultsInd[[#This Row],[Player B]],"")),""),"")</f>
        <v/>
      </c>
      <c r="U9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2" s="264" t="str">
        <f>IF(ResultsInd[[#This Row],[Category]]="","",VLOOKUP(ResultsInd[[#This Row],[Stage]],$P$1:$V$9,MATCH(ResultsInd[[#This Row],[Category]],$Q$1:$V$1,0)+1,FALSE))</f>
        <v/>
      </c>
      <c r="Z972" s="264" t="str">
        <f>IF(ResultsInd[[#This Row],[Score_OK]],IF(ResultsInd[[#This Row],[Level]]="R",ResultsInd[[#This Row],[Category]]&amp;"-"&amp;IF(ResultsInd[[#This Row],[LoseInKO]]=ResultsInd[[#This Row],[Category]]&amp;"-"&amp;ResultsInd[[#This Row],[Player A]],ResultsInd[[#This Row],[Player B]],ResultsInd[[#This Row],[Player A]]),""),"")</f>
        <v/>
      </c>
      <c r="AB972" s="8"/>
      <c r="AC972" s="8"/>
      <c r="AE972" s="90"/>
      <c r="AF972" s="90"/>
      <c r="AP972" s="8"/>
      <c r="AQ972" s="8"/>
      <c r="AR972" s="8"/>
      <c r="AS972" s="8"/>
      <c r="AT972" s="8"/>
      <c r="AU972" s="8"/>
      <c r="AV972" s="8"/>
      <c r="AW972" s="8"/>
      <c r="AX972" s="8"/>
      <c r="AY972" s="90"/>
      <c r="AZ972" s="90"/>
      <c r="BA972" s="90"/>
      <c r="BB972" s="90"/>
      <c r="BC972" s="90"/>
      <c r="BD972" s="90"/>
      <c r="BE972" s="90"/>
      <c r="BF972" s="90"/>
    </row>
    <row r="973" spans="1:58" x14ac:dyDescent="0.2">
      <c r="A973" s="62"/>
      <c r="B973" s="62"/>
      <c r="C973" s="62"/>
      <c r="D973" s="62"/>
      <c r="E973" s="345"/>
      <c r="F973" s="345"/>
      <c r="G973" s="113"/>
      <c r="H973" s="113"/>
      <c r="I973" s="114"/>
      <c r="J973" s="114"/>
      <c r="K973" s="114"/>
      <c r="L973" s="81"/>
      <c r="M973" s="265" t="b">
        <f>NOT(ISERROR(ResultsInd[[#This Row],[Goal-A]]+ResultsInd[[#This Row],[Goal-B]]))</f>
        <v>1</v>
      </c>
      <c r="N973" s="265">
        <f>VALUE(ResultsInd[[#This Row],[Score-A]])</f>
        <v>0</v>
      </c>
      <c r="O973" s="265">
        <f>VALUE(ResultsInd[[#This Row],[Score-B]])</f>
        <v>0</v>
      </c>
      <c r="P973" s="265" t="str">
        <f ca="1">IF(AND(ResultsInd[[#This Row],[Category]]&lt;&gt;"",ResultsInd[[#This Row],[Player A]]&lt;&gt;""),COUNTIF(INDIRECT(ResultsInd[[#This Row],[Category]]&amp;"List[Retained Player Name]"),ResultsInd[[#This Row],[Player A]]),"")</f>
        <v/>
      </c>
      <c r="Q973" s="265" t="str">
        <f ca="1">IF(AND(ResultsInd[[#This Row],[Category]]&lt;&gt;"",ResultsInd[[#This Row],[Player B]]&lt;&gt;""),COUNTIF(INDIRECT(ResultsInd[[#This Row],[Category]]&amp;"List[Retained Player Name]"),ResultsInd[[#This Row],[Player B]]),"")</f>
        <v/>
      </c>
      <c r="R9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3" s="265" t="str">
        <f>IF(ResultsInd[[#This Row],[Score_OK]],IF(ResultsInd[[#This Row],[Stage]]="Groups",ResultsInd[[#This Row],[Category]]&amp;"-"&amp;IF(ResultsInd[[#This Row],[Player B]]="","",IF(ResultsInd[[#This Row],[Score-A]]=ResultsInd[[#This Row],[Score-B]],ResultsInd[[#This Row],[Player A]],"")),""),"")</f>
        <v/>
      </c>
      <c r="T973" s="265" t="str">
        <f>IF(ResultsInd[[#This Row],[Score_OK]],IF(ResultsInd[[#This Row],[Stage]]="Groups",ResultsInd[[#This Row],[Category]]&amp;"-"&amp;IF(ResultsInd[[#This Row],[Player B]]="","",IF(ResultsInd[[#This Row],[Score-A]]=ResultsInd[[#This Row],[Score-B]],ResultsInd[[#This Row],[Player B]],"")),""),"")</f>
        <v/>
      </c>
      <c r="U9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3" s="264" t="str">
        <f>IF(ResultsInd[[#This Row],[Category]]="","",VLOOKUP(ResultsInd[[#This Row],[Stage]],$P$1:$V$9,MATCH(ResultsInd[[#This Row],[Category]],$Q$1:$V$1,0)+1,FALSE))</f>
        <v/>
      </c>
      <c r="Z973" s="264" t="str">
        <f>IF(ResultsInd[[#This Row],[Score_OK]],IF(ResultsInd[[#This Row],[Level]]="R",ResultsInd[[#This Row],[Category]]&amp;"-"&amp;IF(ResultsInd[[#This Row],[LoseInKO]]=ResultsInd[[#This Row],[Category]]&amp;"-"&amp;ResultsInd[[#This Row],[Player A]],ResultsInd[[#This Row],[Player B]],ResultsInd[[#This Row],[Player A]]),""),"")</f>
        <v/>
      </c>
      <c r="AB973" s="8"/>
      <c r="AC973" s="8"/>
      <c r="AE973" s="90"/>
      <c r="AF973" s="90"/>
      <c r="AP973" s="8"/>
      <c r="AQ973" s="8"/>
      <c r="AR973" s="8"/>
      <c r="AS973" s="8"/>
      <c r="AT973" s="8"/>
      <c r="AU973" s="8"/>
      <c r="AV973" s="8"/>
      <c r="AW973" s="8"/>
      <c r="AX973" s="8"/>
      <c r="AY973" s="90"/>
      <c r="AZ973" s="90"/>
      <c r="BA973" s="90"/>
      <c r="BB973" s="90"/>
      <c r="BC973" s="90"/>
      <c r="BD973" s="90"/>
      <c r="BE973" s="90"/>
      <c r="BF973" s="90"/>
    </row>
    <row r="974" spans="1:58" x14ac:dyDescent="0.2">
      <c r="A974" s="62"/>
      <c r="B974" s="62"/>
      <c r="C974" s="62"/>
      <c r="D974" s="62"/>
      <c r="E974" s="345"/>
      <c r="F974" s="345"/>
      <c r="G974" s="113"/>
      <c r="H974" s="113"/>
      <c r="I974" s="114"/>
      <c r="J974" s="114"/>
      <c r="K974" s="114"/>
      <c r="L974" s="81"/>
      <c r="M974" s="265" t="b">
        <f>NOT(ISERROR(ResultsInd[[#This Row],[Goal-A]]+ResultsInd[[#This Row],[Goal-B]]))</f>
        <v>1</v>
      </c>
      <c r="N974" s="265">
        <f>VALUE(ResultsInd[[#This Row],[Score-A]])</f>
        <v>0</v>
      </c>
      <c r="O974" s="265">
        <f>VALUE(ResultsInd[[#This Row],[Score-B]])</f>
        <v>0</v>
      </c>
      <c r="P974" s="265" t="str">
        <f ca="1">IF(AND(ResultsInd[[#This Row],[Category]]&lt;&gt;"",ResultsInd[[#This Row],[Player A]]&lt;&gt;""),COUNTIF(INDIRECT(ResultsInd[[#This Row],[Category]]&amp;"List[Retained Player Name]"),ResultsInd[[#This Row],[Player A]]),"")</f>
        <v/>
      </c>
      <c r="Q974" s="265" t="str">
        <f ca="1">IF(AND(ResultsInd[[#This Row],[Category]]&lt;&gt;"",ResultsInd[[#This Row],[Player B]]&lt;&gt;""),COUNTIF(INDIRECT(ResultsInd[[#This Row],[Category]]&amp;"List[Retained Player Name]"),ResultsInd[[#This Row],[Player B]]),"")</f>
        <v/>
      </c>
      <c r="R9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4" s="265" t="str">
        <f>IF(ResultsInd[[#This Row],[Score_OK]],IF(ResultsInd[[#This Row],[Stage]]="Groups",ResultsInd[[#This Row],[Category]]&amp;"-"&amp;IF(ResultsInd[[#This Row],[Player B]]="","",IF(ResultsInd[[#This Row],[Score-A]]=ResultsInd[[#This Row],[Score-B]],ResultsInd[[#This Row],[Player A]],"")),""),"")</f>
        <v/>
      </c>
      <c r="T974" s="265" t="str">
        <f>IF(ResultsInd[[#This Row],[Score_OK]],IF(ResultsInd[[#This Row],[Stage]]="Groups",ResultsInd[[#This Row],[Category]]&amp;"-"&amp;IF(ResultsInd[[#This Row],[Player B]]="","",IF(ResultsInd[[#This Row],[Score-A]]=ResultsInd[[#This Row],[Score-B]],ResultsInd[[#This Row],[Player B]],"")),""),"")</f>
        <v/>
      </c>
      <c r="U9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4" s="264" t="str">
        <f>IF(ResultsInd[[#This Row],[Category]]="","",VLOOKUP(ResultsInd[[#This Row],[Stage]],$P$1:$V$9,MATCH(ResultsInd[[#This Row],[Category]],$Q$1:$V$1,0)+1,FALSE))</f>
        <v/>
      </c>
      <c r="Z974" s="264" t="str">
        <f>IF(ResultsInd[[#This Row],[Score_OK]],IF(ResultsInd[[#This Row],[Level]]="R",ResultsInd[[#This Row],[Category]]&amp;"-"&amp;IF(ResultsInd[[#This Row],[LoseInKO]]=ResultsInd[[#This Row],[Category]]&amp;"-"&amp;ResultsInd[[#This Row],[Player A]],ResultsInd[[#This Row],[Player B]],ResultsInd[[#This Row],[Player A]]),""),"")</f>
        <v/>
      </c>
      <c r="AB974" s="8"/>
      <c r="AC974" s="8"/>
      <c r="AE974" s="90"/>
      <c r="AF974" s="90"/>
      <c r="AP974" s="8"/>
      <c r="AQ974" s="8"/>
      <c r="AR974" s="8"/>
      <c r="AS974" s="8"/>
      <c r="AT974" s="8"/>
      <c r="AU974" s="8"/>
      <c r="AV974" s="8"/>
      <c r="AW974" s="8"/>
      <c r="AX974" s="8"/>
      <c r="AY974" s="90"/>
      <c r="AZ974" s="90"/>
      <c r="BA974" s="90"/>
      <c r="BB974" s="90"/>
      <c r="BC974" s="90"/>
      <c r="BD974" s="90"/>
      <c r="BE974" s="90"/>
      <c r="BF974" s="90"/>
    </row>
    <row r="975" spans="1:58" x14ac:dyDescent="0.2">
      <c r="A975" s="62"/>
      <c r="B975" s="62"/>
      <c r="C975" s="62"/>
      <c r="D975" s="62"/>
      <c r="E975" s="345"/>
      <c r="F975" s="345"/>
      <c r="G975" s="113"/>
      <c r="H975" s="113"/>
      <c r="I975" s="114"/>
      <c r="J975" s="114"/>
      <c r="K975" s="114"/>
      <c r="L975" s="81"/>
      <c r="M975" s="265" t="b">
        <f>NOT(ISERROR(ResultsInd[[#This Row],[Goal-A]]+ResultsInd[[#This Row],[Goal-B]]))</f>
        <v>1</v>
      </c>
      <c r="N975" s="265">
        <f>VALUE(ResultsInd[[#This Row],[Score-A]])</f>
        <v>0</v>
      </c>
      <c r="O975" s="265">
        <f>VALUE(ResultsInd[[#This Row],[Score-B]])</f>
        <v>0</v>
      </c>
      <c r="P975" s="265" t="str">
        <f ca="1">IF(AND(ResultsInd[[#This Row],[Category]]&lt;&gt;"",ResultsInd[[#This Row],[Player A]]&lt;&gt;""),COUNTIF(INDIRECT(ResultsInd[[#This Row],[Category]]&amp;"List[Retained Player Name]"),ResultsInd[[#This Row],[Player A]]),"")</f>
        <v/>
      </c>
      <c r="Q975" s="265" t="str">
        <f ca="1">IF(AND(ResultsInd[[#This Row],[Category]]&lt;&gt;"",ResultsInd[[#This Row],[Player B]]&lt;&gt;""),COUNTIF(INDIRECT(ResultsInd[[#This Row],[Category]]&amp;"List[Retained Player Name]"),ResultsInd[[#This Row],[Player B]]),"")</f>
        <v/>
      </c>
      <c r="R9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5" s="265" t="str">
        <f>IF(ResultsInd[[#This Row],[Score_OK]],IF(ResultsInd[[#This Row],[Stage]]="Groups",ResultsInd[[#This Row],[Category]]&amp;"-"&amp;IF(ResultsInd[[#This Row],[Player B]]="","",IF(ResultsInd[[#This Row],[Score-A]]=ResultsInd[[#This Row],[Score-B]],ResultsInd[[#This Row],[Player A]],"")),""),"")</f>
        <v/>
      </c>
      <c r="T975" s="265" t="str">
        <f>IF(ResultsInd[[#This Row],[Score_OK]],IF(ResultsInd[[#This Row],[Stage]]="Groups",ResultsInd[[#This Row],[Category]]&amp;"-"&amp;IF(ResultsInd[[#This Row],[Player B]]="","",IF(ResultsInd[[#This Row],[Score-A]]=ResultsInd[[#This Row],[Score-B]],ResultsInd[[#This Row],[Player B]],"")),""),"")</f>
        <v/>
      </c>
      <c r="U9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5" s="264" t="str">
        <f>IF(ResultsInd[[#This Row],[Category]]="","",VLOOKUP(ResultsInd[[#This Row],[Stage]],$P$1:$V$9,MATCH(ResultsInd[[#This Row],[Category]],$Q$1:$V$1,0)+1,FALSE))</f>
        <v/>
      </c>
      <c r="Z975" s="264" t="str">
        <f>IF(ResultsInd[[#This Row],[Score_OK]],IF(ResultsInd[[#This Row],[Level]]="R",ResultsInd[[#This Row],[Category]]&amp;"-"&amp;IF(ResultsInd[[#This Row],[LoseInKO]]=ResultsInd[[#This Row],[Category]]&amp;"-"&amp;ResultsInd[[#This Row],[Player A]],ResultsInd[[#This Row],[Player B]],ResultsInd[[#This Row],[Player A]]),""),"")</f>
        <v/>
      </c>
      <c r="AB975" s="8"/>
      <c r="AC975" s="8"/>
      <c r="AE975" s="90"/>
      <c r="AF975" s="90"/>
      <c r="AP975" s="8"/>
      <c r="AQ975" s="8"/>
      <c r="AR975" s="8"/>
      <c r="AS975" s="8"/>
      <c r="AT975" s="8"/>
      <c r="AU975" s="8"/>
      <c r="AV975" s="8"/>
      <c r="AW975" s="8"/>
      <c r="AX975" s="8"/>
      <c r="AY975" s="90"/>
      <c r="AZ975" s="90"/>
      <c r="BA975" s="90"/>
      <c r="BB975" s="90"/>
      <c r="BC975" s="90"/>
      <c r="BD975" s="90"/>
      <c r="BE975" s="90"/>
      <c r="BF975" s="90"/>
    </row>
    <row r="976" spans="1:58" x14ac:dyDescent="0.2">
      <c r="A976" s="62"/>
      <c r="B976" s="62"/>
      <c r="C976" s="62"/>
      <c r="D976" s="62"/>
      <c r="E976" s="345"/>
      <c r="F976" s="345"/>
      <c r="G976" s="113"/>
      <c r="H976" s="113"/>
      <c r="I976" s="114"/>
      <c r="J976" s="114"/>
      <c r="K976" s="114"/>
      <c r="L976" s="81"/>
      <c r="M976" s="265" t="b">
        <f>NOT(ISERROR(ResultsInd[[#This Row],[Goal-A]]+ResultsInd[[#This Row],[Goal-B]]))</f>
        <v>1</v>
      </c>
      <c r="N976" s="265">
        <f>VALUE(ResultsInd[[#This Row],[Score-A]])</f>
        <v>0</v>
      </c>
      <c r="O976" s="265">
        <f>VALUE(ResultsInd[[#This Row],[Score-B]])</f>
        <v>0</v>
      </c>
      <c r="P976" s="265" t="str">
        <f ca="1">IF(AND(ResultsInd[[#This Row],[Category]]&lt;&gt;"",ResultsInd[[#This Row],[Player A]]&lt;&gt;""),COUNTIF(INDIRECT(ResultsInd[[#This Row],[Category]]&amp;"List[Retained Player Name]"),ResultsInd[[#This Row],[Player A]]),"")</f>
        <v/>
      </c>
      <c r="Q976" s="265" t="str">
        <f ca="1">IF(AND(ResultsInd[[#This Row],[Category]]&lt;&gt;"",ResultsInd[[#This Row],[Player B]]&lt;&gt;""),COUNTIF(INDIRECT(ResultsInd[[#This Row],[Category]]&amp;"List[Retained Player Name]"),ResultsInd[[#This Row],[Player B]]),"")</f>
        <v/>
      </c>
      <c r="R9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6" s="265" t="str">
        <f>IF(ResultsInd[[#This Row],[Score_OK]],IF(ResultsInd[[#This Row],[Stage]]="Groups",ResultsInd[[#This Row],[Category]]&amp;"-"&amp;IF(ResultsInd[[#This Row],[Player B]]="","",IF(ResultsInd[[#This Row],[Score-A]]=ResultsInd[[#This Row],[Score-B]],ResultsInd[[#This Row],[Player A]],"")),""),"")</f>
        <v/>
      </c>
      <c r="T976" s="265" t="str">
        <f>IF(ResultsInd[[#This Row],[Score_OK]],IF(ResultsInd[[#This Row],[Stage]]="Groups",ResultsInd[[#This Row],[Category]]&amp;"-"&amp;IF(ResultsInd[[#This Row],[Player B]]="","",IF(ResultsInd[[#This Row],[Score-A]]=ResultsInd[[#This Row],[Score-B]],ResultsInd[[#This Row],[Player B]],"")),""),"")</f>
        <v/>
      </c>
      <c r="U9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6" s="264" t="str">
        <f>IF(ResultsInd[[#This Row],[Category]]="","",VLOOKUP(ResultsInd[[#This Row],[Stage]],$P$1:$V$9,MATCH(ResultsInd[[#This Row],[Category]],$Q$1:$V$1,0)+1,FALSE))</f>
        <v/>
      </c>
      <c r="Z976" s="264" t="str">
        <f>IF(ResultsInd[[#This Row],[Score_OK]],IF(ResultsInd[[#This Row],[Level]]="R",ResultsInd[[#This Row],[Category]]&amp;"-"&amp;IF(ResultsInd[[#This Row],[LoseInKO]]=ResultsInd[[#This Row],[Category]]&amp;"-"&amp;ResultsInd[[#This Row],[Player A]],ResultsInd[[#This Row],[Player B]],ResultsInd[[#This Row],[Player A]]),""),"")</f>
        <v/>
      </c>
      <c r="AB976" s="8"/>
      <c r="AC976" s="8"/>
      <c r="AE976" s="90"/>
      <c r="AF976" s="90"/>
      <c r="AP976" s="8"/>
      <c r="AQ976" s="8"/>
      <c r="AR976" s="8"/>
      <c r="AS976" s="8"/>
      <c r="AT976" s="8"/>
      <c r="AU976" s="8"/>
      <c r="AV976" s="8"/>
      <c r="AW976" s="8"/>
      <c r="AX976" s="8"/>
      <c r="AY976" s="90"/>
      <c r="AZ976" s="90"/>
      <c r="BA976" s="90"/>
      <c r="BB976" s="90"/>
      <c r="BC976" s="90"/>
      <c r="BD976" s="90"/>
      <c r="BE976" s="90"/>
      <c r="BF976" s="90"/>
    </row>
    <row r="977" spans="1:58" x14ac:dyDescent="0.2">
      <c r="A977" s="62"/>
      <c r="B977" s="62"/>
      <c r="C977" s="62"/>
      <c r="D977" s="62"/>
      <c r="E977" s="345"/>
      <c r="F977" s="345"/>
      <c r="G977" s="113"/>
      <c r="H977" s="113"/>
      <c r="I977" s="114"/>
      <c r="J977" s="114"/>
      <c r="K977" s="114"/>
      <c r="L977" s="81"/>
      <c r="M977" s="265" t="b">
        <f>NOT(ISERROR(ResultsInd[[#This Row],[Goal-A]]+ResultsInd[[#This Row],[Goal-B]]))</f>
        <v>1</v>
      </c>
      <c r="N977" s="265">
        <f>VALUE(ResultsInd[[#This Row],[Score-A]])</f>
        <v>0</v>
      </c>
      <c r="O977" s="265">
        <f>VALUE(ResultsInd[[#This Row],[Score-B]])</f>
        <v>0</v>
      </c>
      <c r="P977" s="265" t="str">
        <f ca="1">IF(AND(ResultsInd[[#This Row],[Category]]&lt;&gt;"",ResultsInd[[#This Row],[Player A]]&lt;&gt;""),COUNTIF(INDIRECT(ResultsInd[[#This Row],[Category]]&amp;"List[Retained Player Name]"),ResultsInd[[#This Row],[Player A]]),"")</f>
        <v/>
      </c>
      <c r="Q977" s="265" t="str">
        <f ca="1">IF(AND(ResultsInd[[#This Row],[Category]]&lt;&gt;"",ResultsInd[[#This Row],[Player B]]&lt;&gt;""),COUNTIF(INDIRECT(ResultsInd[[#This Row],[Category]]&amp;"List[Retained Player Name]"),ResultsInd[[#This Row],[Player B]]),"")</f>
        <v/>
      </c>
      <c r="R9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7" s="265" t="str">
        <f>IF(ResultsInd[[#This Row],[Score_OK]],IF(ResultsInd[[#This Row],[Stage]]="Groups",ResultsInd[[#This Row],[Category]]&amp;"-"&amp;IF(ResultsInd[[#This Row],[Player B]]="","",IF(ResultsInd[[#This Row],[Score-A]]=ResultsInd[[#This Row],[Score-B]],ResultsInd[[#This Row],[Player A]],"")),""),"")</f>
        <v/>
      </c>
      <c r="T977" s="265" t="str">
        <f>IF(ResultsInd[[#This Row],[Score_OK]],IF(ResultsInd[[#This Row],[Stage]]="Groups",ResultsInd[[#This Row],[Category]]&amp;"-"&amp;IF(ResultsInd[[#This Row],[Player B]]="","",IF(ResultsInd[[#This Row],[Score-A]]=ResultsInd[[#This Row],[Score-B]],ResultsInd[[#This Row],[Player B]],"")),""),"")</f>
        <v/>
      </c>
      <c r="U9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7" s="264" t="str">
        <f>IF(ResultsInd[[#This Row],[Category]]="","",VLOOKUP(ResultsInd[[#This Row],[Stage]],$P$1:$V$9,MATCH(ResultsInd[[#This Row],[Category]],$Q$1:$V$1,0)+1,FALSE))</f>
        <v/>
      </c>
      <c r="Z977" s="264" t="str">
        <f>IF(ResultsInd[[#This Row],[Score_OK]],IF(ResultsInd[[#This Row],[Level]]="R",ResultsInd[[#This Row],[Category]]&amp;"-"&amp;IF(ResultsInd[[#This Row],[LoseInKO]]=ResultsInd[[#This Row],[Category]]&amp;"-"&amp;ResultsInd[[#This Row],[Player A]],ResultsInd[[#This Row],[Player B]],ResultsInd[[#This Row],[Player A]]),""),"")</f>
        <v/>
      </c>
      <c r="AB977" s="8"/>
      <c r="AC977" s="8"/>
      <c r="AE977" s="90"/>
      <c r="AF977" s="90"/>
      <c r="AP977" s="8"/>
      <c r="AQ977" s="8"/>
      <c r="AR977" s="8"/>
      <c r="AS977" s="8"/>
      <c r="AT977" s="8"/>
      <c r="AU977" s="8"/>
      <c r="AV977" s="8"/>
      <c r="AW977" s="8"/>
      <c r="AX977" s="8"/>
      <c r="AY977" s="90"/>
      <c r="AZ977" s="90"/>
      <c r="BA977" s="90"/>
      <c r="BB977" s="90"/>
      <c r="BC977" s="90"/>
      <c r="BD977" s="90"/>
      <c r="BE977" s="90"/>
      <c r="BF977" s="90"/>
    </row>
    <row r="978" spans="1:58" x14ac:dyDescent="0.2">
      <c r="A978" s="62"/>
      <c r="B978" s="62"/>
      <c r="C978" s="62"/>
      <c r="D978" s="62"/>
      <c r="E978" s="345"/>
      <c r="F978" s="345"/>
      <c r="G978" s="113"/>
      <c r="H978" s="113"/>
      <c r="I978" s="114"/>
      <c r="J978" s="114"/>
      <c r="K978" s="114"/>
      <c r="L978" s="81"/>
      <c r="M978" s="265" t="b">
        <f>NOT(ISERROR(ResultsInd[[#This Row],[Goal-A]]+ResultsInd[[#This Row],[Goal-B]]))</f>
        <v>1</v>
      </c>
      <c r="N978" s="265">
        <f>VALUE(ResultsInd[[#This Row],[Score-A]])</f>
        <v>0</v>
      </c>
      <c r="O978" s="265">
        <f>VALUE(ResultsInd[[#This Row],[Score-B]])</f>
        <v>0</v>
      </c>
      <c r="P978" s="265" t="str">
        <f ca="1">IF(AND(ResultsInd[[#This Row],[Category]]&lt;&gt;"",ResultsInd[[#This Row],[Player A]]&lt;&gt;""),COUNTIF(INDIRECT(ResultsInd[[#This Row],[Category]]&amp;"List[Retained Player Name]"),ResultsInd[[#This Row],[Player A]]),"")</f>
        <v/>
      </c>
      <c r="Q978" s="265" t="str">
        <f ca="1">IF(AND(ResultsInd[[#This Row],[Category]]&lt;&gt;"",ResultsInd[[#This Row],[Player B]]&lt;&gt;""),COUNTIF(INDIRECT(ResultsInd[[#This Row],[Category]]&amp;"List[Retained Player Name]"),ResultsInd[[#This Row],[Player B]]),"")</f>
        <v/>
      </c>
      <c r="R9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8" s="265" t="str">
        <f>IF(ResultsInd[[#This Row],[Score_OK]],IF(ResultsInd[[#This Row],[Stage]]="Groups",ResultsInd[[#This Row],[Category]]&amp;"-"&amp;IF(ResultsInd[[#This Row],[Player B]]="","",IF(ResultsInd[[#This Row],[Score-A]]=ResultsInd[[#This Row],[Score-B]],ResultsInd[[#This Row],[Player A]],"")),""),"")</f>
        <v/>
      </c>
      <c r="T978" s="265" t="str">
        <f>IF(ResultsInd[[#This Row],[Score_OK]],IF(ResultsInd[[#This Row],[Stage]]="Groups",ResultsInd[[#This Row],[Category]]&amp;"-"&amp;IF(ResultsInd[[#This Row],[Player B]]="","",IF(ResultsInd[[#This Row],[Score-A]]=ResultsInd[[#This Row],[Score-B]],ResultsInd[[#This Row],[Player B]],"")),""),"")</f>
        <v/>
      </c>
      <c r="U9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8" s="264" t="str">
        <f>IF(ResultsInd[[#This Row],[Category]]="","",VLOOKUP(ResultsInd[[#This Row],[Stage]],$P$1:$V$9,MATCH(ResultsInd[[#This Row],[Category]],$Q$1:$V$1,0)+1,FALSE))</f>
        <v/>
      </c>
      <c r="Z978" s="264" t="str">
        <f>IF(ResultsInd[[#This Row],[Score_OK]],IF(ResultsInd[[#This Row],[Level]]="R",ResultsInd[[#This Row],[Category]]&amp;"-"&amp;IF(ResultsInd[[#This Row],[LoseInKO]]=ResultsInd[[#This Row],[Category]]&amp;"-"&amp;ResultsInd[[#This Row],[Player A]],ResultsInd[[#This Row],[Player B]],ResultsInd[[#This Row],[Player A]]),""),"")</f>
        <v/>
      </c>
      <c r="AB978" s="8"/>
      <c r="AC978" s="8"/>
      <c r="AE978" s="90"/>
      <c r="AF978" s="90"/>
      <c r="AP978" s="8"/>
      <c r="AQ978" s="8"/>
      <c r="AR978" s="8"/>
      <c r="AS978" s="8"/>
      <c r="AT978" s="8"/>
      <c r="AU978" s="8"/>
      <c r="AV978" s="8"/>
      <c r="AW978" s="8"/>
      <c r="AX978" s="8"/>
      <c r="AY978" s="90"/>
      <c r="AZ978" s="90"/>
      <c r="BA978" s="90"/>
      <c r="BB978" s="90"/>
      <c r="BC978" s="90"/>
      <c r="BD978" s="90"/>
      <c r="BE978" s="90"/>
      <c r="BF978" s="90"/>
    </row>
    <row r="979" spans="1:58" x14ac:dyDescent="0.2">
      <c r="A979" s="62"/>
      <c r="B979" s="62"/>
      <c r="C979" s="62"/>
      <c r="D979" s="62"/>
      <c r="E979" s="345"/>
      <c r="F979" s="345"/>
      <c r="G979" s="113"/>
      <c r="H979" s="113"/>
      <c r="I979" s="114"/>
      <c r="J979" s="114"/>
      <c r="K979" s="114"/>
      <c r="L979" s="81"/>
      <c r="M979" s="265" t="b">
        <f>NOT(ISERROR(ResultsInd[[#This Row],[Goal-A]]+ResultsInd[[#This Row],[Goal-B]]))</f>
        <v>1</v>
      </c>
      <c r="N979" s="265">
        <f>VALUE(ResultsInd[[#This Row],[Score-A]])</f>
        <v>0</v>
      </c>
      <c r="O979" s="265">
        <f>VALUE(ResultsInd[[#This Row],[Score-B]])</f>
        <v>0</v>
      </c>
      <c r="P979" s="265" t="str">
        <f ca="1">IF(AND(ResultsInd[[#This Row],[Category]]&lt;&gt;"",ResultsInd[[#This Row],[Player A]]&lt;&gt;""),COUNTIF(INDIRECT(ResultsInd[[#This Row],[Category]]&amp;"List[Retained Player Name]"),ResultsInd[[#This Row],[Player A]]),"")</f>
        <v/>
      </c>
      <c r="Q979" s="265" t="str">
        <f ca="1">IF(AND(ResultsInd[[#This Row],[Category]]&lt;&gt;"",ResultsInd[[#This Row],[Player B]]&lt;&gt;""),COUNTIF(INDIRECT(ResultsInd[[#This Row],[Category]]&amp;"List[Retained Player Name]"),ResultsInd[[#This Row],[Player B]]),"")</f>
        <v/>
      </c>
      <c r="R9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9" s="265" t="str">
        <f>IF(ResultsInd[[#This Row],[Score_OK]],IF(ResultsInd[[#This Row],[Stage]]="Groups",ResultsInd[[#This Row],[Category]]&amp;"-"&amp;IF(ResultsInd[[#This Row],[Player B]]="","",IF(ResultsInd[[#This Row],[Score-A]]=ResultsInd[[#This Row],[Score-B]],ResultsInd[[#This Row],[Player A]],"")),""),"")</f>
        <v/>
      </c>
      <c r="T979" s="265" t="str">
        <f>IF(ResultsInd[[#This Row],[Score_OK]],IF(ResultsInd[[#This Row],[Stage]]="Groups",ResultsInd[[#This Row],[Category]]&amp;"-"&amp;IF(ResultsInd[[#This Row],[Player B]]="","",IF(ResultsInd[[#This Row],[Score-A]]=ResultsInd[[#This Row],[Score-B]],ResultsInd[[#This Row],[Player B]],"")),""),"")</f>
        <v/>
      </c>
      <c r="U9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9" s="264" t="str">
        <f>IF(ResultsInd[[#This Row],[Category]]="","",VLOOKUP(ResultsInd[[#This Row],[Stage]],$P$1:$V$9,MATCH(ResultsInd[[#This Row],[Category]],$Q$1:$V$1,0)+1,FALSE))</f>
        <v/>
      </c>
      <c r="Z979" s="264" t="str">
        <f>IF(ResultsInd[[#This Row],[Score_OK]],IF(ResultsInd[[#This Row],[Level]]="R",ResultsInd[[#This Row],[Category]]&amp;"-"&amp;IF(ResultsInd[[#This Row],[LoseInKO]]=ResultsInd[[#This Row],[Category]]&amp;"-"&amp;ResultsInd[[#This Row],[Player A]],ResultsInd[[#This Row],[Player B]],ResultsInd[[#This Row],[Player A]]),""),"")</f>
        <v/>
      </c>
      <c r="AB979" s="8"/>
      <c r="AC979" s="8"/>
      <c r="AE979" s="90"/>
      <c r="AF979" s="90"/>
      <c r="AP979" s="8"/>
      <c r="AQ979" s="8"/>
      <c r="AR979" s="8"/>
      <c r="AS979" s="8"/>
      <c r="AT979" s="8"/>
      <c r="AU979" s="8"/>
      <c r="AV979" s="8"/>
      <c r="AW979" s="8"/>
      <c r="AX979" s="8"/>
      <c r="AY979" s="90"/>
      <c r="AZ979" s="90"/>
      <c r="BA979" s="90"/>
      <c r="BB979" s="90"/>
      <c r="BC979" s="90"/>
      <c r="BD979" s="90"/>
      <c r="BE979" s="90"/>
      <c r="BF979" s="90"/>
    </row>
    <row r="980" spans="1:58" x14ac:dyDescent="0.2">
      <c r="A980" s="62"/>
      <c r="B980" s="62"/>
      <c r="C980" s="62"/>
      <c r="D980" s="62"/>
      <c r="E980" s="345"/>
      <c r="F980" s="345"/>
      <c r="G980" s="113"/>
      <c r="H980" s="113"/>
      <c r="I980" s="114"/>
      <c r="J980" s="114"/>
      <c r="K980" s="114"/>
      <c r="L980" s="81"/>
      <c r="M980" s="265" t="b">
        <f>NOT(ISERROR(ResultsInd[[#This Row],[Goal-A]]+ResultsInd[[#This Row],[Goal-B]]))</f>
        <v>1</v>
      </c>
      <c r="N980" s="265">
        <f>VALUE(ResultsInd[[#This Row],[Score-A]])</f>
        <v>0</v>
      </c>
      <c r="O980" s="265">
        <f>VALUE(ResultsInd[[#This Row],[Score-B]])</f>
        <v>0</v>
      </c>
      <c r="P980" s="265" t="str">
        <f ca="1">IF(AND(ResultsInd[[#This Row],[Category]]&lt;&gt;"",ResultsInd[[#This Row],[Player A]]&lt;&gt;""),COUNTIF(INDIRECT(ResultsInd[[#This Row],[Category]]&amp;"List[Retained Player Name]"),ResultsInd[[#This Row],[Player A]]),"")</f>
        <v/>
      </c>
      <c r="Q980" s="265" t="str">
        <f ca="1">IF(AND(ResultsInd[[#This Row],[Category]]&lt;&gt;"",ResultsInd[[#This Row],[Player B]]&lt;&gt;""),COUNTIF(INDIRECT(ResultsInd[[#This Row],[Category]]&amp;"List[Retained Player Name]"),ResultsInd[[#This Row],[Player B]]),"")</f>
        <v/>
      </c>
      <c r="R9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0" s="265" t="str">
        <f>IF(ResultsInd[[#This Row],[Score_OK]],IF(ResultsInd[[#This Row],[Stage]]="Groups",ResultsInd[[#This Row],[Category]]&amp;"-"&amp;IF(ResultsInd[[#This Row],[Player B]]="","",IF(ResultsInd[[#This Row],[Score-A]]=ResultsInd[[#This Row],[Score-B]],ResultsInd[[#This Row],[Player A]],"")),""),"")</f>
        <v/>
      </c>
      <c r="T980" s="265" t="str">
        <f>IF(ResultsInd[[#This Row],[Score_OK]],IF(ResultsInd[[#This Row],[Stage]]="Groups",ResultsInd[[#This Row],[Category]]&amp;"-"&amp;IF(ResultsInd[[#This Row],[Player B]]="","",IF(ResultsInd[[#This Row],[Score-A]]=ResultsInd[[#This Row],[Score-B]],ResultsInd[[#This Row],[Player B]],"")),""),"")</f>
        <v/>
      </c>
      <c r="U9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0" s="264" t="str">
        <f>IF(ResultsInd[[#This Row],[Category]]="","",VLOOKUP(ResultsInd[[#This Row],[Stage]],$P$1:$V$9,MATCH(ResultsInd[[#This Row],[Category]],$Q$1:$V$1,0)+1,FALSE))</f>
        <v/>
      </c>
      <c r="Z980" s="264" t="str">
        <f>IF(ResultsInd[[#This Row],[Score_OK]],IF(ResultsInd[[#This Row],[Level]]="R",ResultsInd[[#This Row],[Category]]&amp;"-"&amp;IF(ResultsInd[[#This Row],[LoseInKO]]=ResultsInd[[#This Row],[Category]]&amp;"-"&amp;ResultsInd[[#This Row],[Player A]],ResultsInd[[#This Row],[Player B]],ResultsInd[[#This Row],[Player A]]),""),"")</f>
        <v/>
      </c>
      <c r="AB980" s="8"/>
      <c r="AC980" s="8"/>
      <c r="AE980" s="90"/>
      <c r="AF980" s="90"/>
      <c r="AP980" s="8"/>
      <c r="AQ980" s="8"/>
      <c r="AR980" s="8"/>
      <c r="AS980" s="8"/>
      <c r="AT980" s="8"/>
      <c r="AU980" s="8"/>
      <c r="AV980" s="8"/>
      <c r="AW980" s="8"/>
      <c r="AX980" s="8"/>
      <c r="AY980" s="90"/>
      <c r="AZ980" s="90"/>
      <c r="BA980" s="90"/>
      <c r="BB980" s="90"/>
      <c r="BC980" s="90"/>
      <c r="BD980" s="90"/>
      <c r="BE980" s="90"/>
      <c r="BF980" s="90"/>
    </row>
    <row r="981" spans="1:58" x14ac:dyDescent="0.2">
      <c r="A981" s="62"/>
      <c r="B981" s="62"/>
      <c r="C981" s="62"/>
      <c r="D981" s="62"/>
      <c r="E981" s="345"/>
      <c r="F981" s="345"/>
      <c r="G981" s="113"/>
      <c r="H981" s="113"/>
      <c r="I981" s="114"/>
      <c r="J981" s="114"/>
      <c r="K981" s="114"/>
      <c r="L981" s="81"/>
      <c r="M981" s="265" t="b">
        <f>NOT(ISERROR(ResultsInd[[#This Row],[Goal-A]]+ResultsInd[[#This Row],[Goal-B]]))</f>
        <v>1</v>
      </c>
      <c r="N981" s="265">
        <f>VALUE(ResultsInd[[#This Row],[Score-A]])</f>
        <v>0</v>
      </c>
      <c r="O981" s="265">
        <f>VALUE(ResultsInd[[#This Row],[Score-B]])</f>
        <v>0</v>
      </c>
      <c r="P981" s="265" t="str">
        <f ca="1">IF(AND(ResultsInd[[#This Row],[Category]]&lt;&gt;"",ResultsInd[[#This Row],[Player A]]&lt;&gt;""),COUNTIF(INDIRECT(ResultsInd[[#This Row],[Category]]&amp;"List[Retained Player Name]"),ResultsInd[[#This Row],[Player A]]),"")</f>
        <v/>
      </c>
      <c r="Q981" s="265" t="str">
        <f ca="1">IF(AND(ResultsInd[[#This Row],[Category]]&lt;&gt;"",ResultsInd[[#This Row],[Player B]]&lt;&gt;""),COUNTIF(INDIRECT(ResultsInd[[#This Row],[Category]]&amp;"List[Retained Player Name]"),ResultsInd[[#This Row],[Player B]]),"")</f>
        <v/>
      </c>
      <c r="R9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1" s="265" t="str">
        <f>IF(ResultsInd[[#This Row],[Score_OK]],IF(ResultsInd[[#This Row],[Stage]]="Groups",ResultsInd[[#This Row],[Category]]&amp;"-"&amp;IF(ResultsInd[[#This Row],[Player B]]="","",IF(ResultsInd[[#This Row],[Score-A]]=ResultsInd[[#This Row],[Score-B]],ResultsInd[[#This Row],[Player A]],"")),""),"")</f>
        <v/>
      </c>
      <c r="T981" s="265" t="str">
        <f>IF(ResultsInd[[#This Row],[Score_OK]],IF(ResultsInd[[#This Row],[Stage]]="Groups",ResultsInd[[#This Row],[Category]]&amp;"-"&amp;IF(ResultsInd[[#This Row],[Player B]]="","",IF(ResultsInd[[#This Row],[Score-A]]=ResultsInd[[#This Row],[Score-B]],ResultsInd[[#This Row],[Player B]],"")),""),"")</f>
        <v/>
      </c>
      <c r="U9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1" s="264" t="str">
        <f>IF(ResultsInd[[#This Row],[Category]]="","",VLOOKUP(ResultsInd[[#This Row],[Stage]],$P$1:$V$9,MATCH(ResultsInd[[#This Row],[Category]],$Q$1:$V$1,0)+1,FALSE))</f>
        <v/>
      </c>
      <c r="Z981" s="264" t="str">
        <f>IF(ResultsInd[[#This Row],[Score_OK]],IF(ResultsInd[[#This Row],[Level]]="R",ResultsInd[[#This Row],[Category]]&amp;"-"&amp;IF(ResultsInd[[#This Row],[LoseInKO]]=ResultsInd[[#This Row],[Category]]&amp;"-"&amp;ResultsInd[[#This Row],[Player A]],ResultsInd[[#This Row],[Player B]],ResultsInd[[#This Row],[Player A]]),""),"")</f>
        <v/>
      </c>
      <c r="AB981" s="8"/>
      <c r="AC981" s="8"/>
      <c r="AE981" s="90"/>
      <c r="AF981" s="90"/>
      <c r="AP981" s="8"/>
      <c r="AQ981" s="8"/>
      <c r="AR981" s="8"/>
      <c r="AS981" s="8"/>
      <c r="AT981" s="8"/>
      <c r="AU981" s="8"/>
      <c r="AV981" s="8"/>
      <c r="AW981" s="8"/>
      <c r="AX981" s="8"/>
      <c r="AY981" s="90"/>
      <c r="AZ981" s="90"/>
      <c r="BA981" s="90"/>
      <c r="BB981" s="90"/>
      <c r="BC981" s="90"/>
      <c r="BD981" s="90"/>
      <c r="BE981" s="90"/>
      <c r="BF981" s="90"/>
    </row>
    <row r="982" spans="1:58" x14ac:dyDescent="0.2">
      <c r="A982" s="62"/>
      <c r="B982" s="62"/>
      <c r="C982" s="62"/>
      <c r="D982" s="62"/>
      <c r="E982" s="345"/>
      <c r="F982" s="345"/>
      <c r="G982" s="113"/>
      <c r="H982" s="113"/>
      <c r="I982" s="114"/>
      <c r="J982" s="114"/>
      <c r="K982" s="114"/>
      <c r="L982" s="81"/>
      <c r="M982" s="265" t="b">
        <f>NOT(ISERROR(ResultsInd[[#This Row],[Goal-A]]+ResultsInd[[#This Row],[Goal-B]]))</f>
        <v>1</v>
      </c>
      <c r="N982" s="265">
        <f>VALUE(ResultsInd[[#This Row],[Score-A]])</f>
        <v>0</v>
      </c>
      <c r="O982" s="265">
        <f>VALUE(ResultsInd[[#This Row],[Score-B]])</f>
        <v>0</v>
      </c>
      <c r="P982" s="265" t="str">
        <f ca="1">IF(AND(ResultsInd[[#This Row],[Category]]&lt;&gt;"",ResultsInd[[#This Row],[Player A]]&lt;&gt;""),COUNTIF(INDIRECT(ResultsInd[[#This Row],[Category]]&amp;"List[Retained Player Name]"),ResultsInd[[#This Row],[Player A]]),"")</f>
        <v/>
      </c>
      <c r="Q982" s="265" t="str">
        <f ca="1">IF(AND(ResultsInd[[#This Row],[Category]]&lt;&gt;"",ResultsInd[[#This Row],[Player B]]&lt;&gt;""),COUNTIF(INDIRECT(ResultsInd[[#This Row],[Category]]&amp;"List[Retained Player Name]"),ResultsInd[[#This Row],[Player B]]),"")</f>
        <v/>
      </c>
      <c r="R9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2" s="265" t="str">
        <f>IF(ResultsInd[[#This Row],[Score_OK]],IF(ResultsInd[[#This Row],[Stage]]="Groups",ResultsInd[[#This Row],[Category]]&amp;"-"&amp;IF(ResultsInd[[#This Row],[Player B]]="","",IF(ResultsInd[[#This Row],[Score-A]]=ResultsInd[[#This Row],[Score-B]],ResultsInd[[#This Row],[Player A]],"")),""),"")</f>
        <v/>
      </c>
      <c r="T982" s="265" t="str">
        <f>IF(ResultsInd[[#This Row],[Score_OK]],IF(ResultsInd[[#This Row],[Stage]]="Groups",ResultsInd[[#This Row],[Category]]&amp;"-"&amp;IF(ResultsInd[[#This Row],[Player B]]="","",IF(ResultsInd[[#This Row],[Score-A]]=ResultsInd[[#This Row],[Score-B]],ResultsInd[[#This Row],[Player B]],"")),""),"")</f>
        <v/>
      </c>
      <c r="U9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2" s="264" t="str">
        <f>IF(ResultsInd[[#This Row],[Category]]="","",VLOOKUP(ResultsInd[[#This Row],[Stage]],$P$1:$V$9,MATCH(ResultsInd[[#This Row],[Category]],$Q$1:$V$1,0)+1,FALSE))</f>
        <v/>
      </c>
      <c r="Z982" s="264" t="str">
        <f>IF(ResultsInd[[#This Row],[Score_OK]],IF(ResultsInd[[#This Row],[Level]]="R",ResultsInd[[#This Row],[Category]]&amp;"-"&amp;IF(ResultsInd[[#This Row],[LoseInKO]]=ResultsInd[[#This Row],[Category]]&amp;"-"&amp;ResultsInd[[#This Row],[Player A]],ResultsInd[[#This Row],[Player B]],ResultsInd[[#This Row],[Player A]]),""),"")</f>
        <v/>
      </c>
      <c r="AB982" s="8"/>
      <c r="AC982" s="8"/>
      <c r="AE982" s="90"/>
      <c r="AF982" s="90"/>
      <c r="AP982" s="8"/>
      <c r="AQ982" s="8"/>
      <c r="AR982" s="8"/>
      <c r="AS982" s="8"/>
      <c r="AT982" s="8"/>
      <c r="AU982" s="8"/>
      <c r="AV982" s="8"/>
      <c r="AW982" s="8"/>
      <c r="AX982" s="8"/>
      <c r="AY982" s="90"/>
      <c r="AZ982" s="90"/>
      <c r="BA982" s="90"/>
      <c r="BB982" s="90"/>
      <c r="BC982" s="90"/>
      <c r="BD982" s="90"/>
      <c r="BE982" s="90"/>
      <c r="BF982" s="90"/>
    </row>
    <row r="983" spans="1:58" x14ac:dyDescent="0.2">
      <c r="A983" s="62"/>
      <c r="B983" s="62"/>
      <c r="C983" s="62"/>
      <c r="D983" s="62"/>
      <c r="E983" s="345"/>
      <c r="F983" s="345"/>
      <c r="G983" s="113"/>
      <c r="H983" s="113"/>
      <c r="I983" s="114"/>
      <c r="J983" s="114"/>
      <c r="K983" s="114"/>
      <c r="L983" s="81"/>
      <c r="M983" s="265" t="b">
        <f>NOT(ISERROR(ResultsInd[[#This Row],[Goal-A]]+ResultsInd[[#This Row],[Goal-B]]))</f>
        <v>1</v>
      </c>
      <c r="N983" s="265">
        <f>VALUE(ResultsInd[[#This Row],[Score-A]])</f>
        <v>0</v>
      </c>
      <c r="O983" s="265">
        <f>VALUE(ResultsInd[[#This Row],[Score-B]])</f>
        <v>0</v>
      </c>
      <c r="P983" s="265" t="str">
        <f ca="1">IF(AND(ResultsInd[[#This Row],[Category]]&lt;&gt;"",ResultsInd[[#This Row],[Player A]]&lt;&gt;""),COUNTIF(INDIRECT(ResultsInd[[#This Row],[Category]]&amp;"List[Retained Player Name]"),ResultsInd[[#This Row],[Player A]]),"")</f>
        <v/>
      </c>
      <c r="Q983" s="265" t="str">
        <f ca="1">IF(AND(ResultsInd[[#This Row],[Category]]&lt;&gt;"",ResultsInd[[#This Row],[Player B]]&lt;&gt;""),COUNTIF(INDIRECT(ResultsInd[[#This Row],[Category]]&amp;"List[Retained Player Name]"),ResultsInd[[#This Row],[Player B]]),"")</f>
        <v/>
      </c>
      <c r="R9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3" s="265" t="str">
        <f>IF(ResultsInd[[#This Row],[Score_OK]],IF(ResultsInd[[#This Row],[Stage]]="Groups",ResultsInd[[#This Row],[Category]]&amp;"-"&amp;IF(ResultsInd[[#This Row],[Player B]]="","",IF(ResultsInd[[#This Row],[Score-A]]=ResultsInd[[#This Row],[Score-B]],ResultsInd[[#This Row],[Player A]],"")),""),"")</f>
        <v/>
      </c>
      <c r="T983" s="265" t="str">
        <f>IF(ResultsInd[[#This Row],[Score_OK]],IF(ResultsInd[[#This Row],[Stage]]="Groups",ResultsInd[[#This Row],[Category]]&amp;"-"&amp;IF(ResultsInd[[#This Row],[Player B]]="","",IF(ResultsInd[[#This Row],[Score-A]]=ResultsInd[[#This Row],[Score-B]],ResultsInd[[#This Row],[Player B]],"")),""),"")</f>
        <v/>
      </c>
      <c r="U9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3" s="264" t="str">
        <f>IF(ResultsInd[[#This Row],[Category]]="","",VLOOKUP(ResultsInd[[#This Row],[Stage]],$P$1:$V$9,MATCH(ResultsInd[[#This Row],[Category]],$Q$1:$V$1,0)+1,FALSE))</f>
        <v/>
      </c>
      <c r="Z983" s="264" t="str">
        <f>IF(ResultsInd[[#This Row],[Score_OK]],IF(ResultsInd[[#This Row],[Level]]="R",ResultsInd[[#This Row],[Category]]&amp;"-"&amp;IF(ResultsInd[[#This Row],[LoseInKO]]=ResultsInd[[#This Row],[Category]]&amp;"-"&amp;ResultsInd[[#This Row],[Player A]],ResultsInd[[#This Row],[Player B]],ResultsInd[[#This Row],[Player A]]),""),"")</f>
        <v/>
      </c>
      <c r="AB983" s="8"/>
      <c r="AC983" s="8"/>
      <c r="AE983" s="90"/>
      <c r="AF983" s="90"/>
      <c r="AP983" s="8"/>
      <c r="AQ983" s="8"/>
      <c r="AR983" s="8"/>
      <c r="AS983" s="8"/>
      <c r="AT983" s="8"/>
      <c r="AU983" s="8"/>
      <c r="AV983" s="8"/>
      <c r="AW983" s="8"/>
      <c r="AX983" s="8"/>
      <c r="AY983" s="90"/>
      <c r="AZ983" s="90"/>
      <c r="BA983" s="90"/>
      <c r="BB983" s="90"/>
      <c r="BC983" s="90"/>
      <c r="BD983" s="90"/>
      <c r="BE983" s="90"/>
      <c r="BF983" s="90"/>
    </row>
    <row r="984" spans="1:58" x14ac:dyDescent="0.2">
      <c r="A984" s="62"/>
      <c r="B984" s="62"/>
      <c r="C984" s="62"/>
      <c r="D984" s="62"/>
      <c r="E984" s="345"/>
      <c r="F984" s="345"/>
      <c r="G984" s="113"/>
      <c r="H984" s="113"/>
      <c r="I984" s="114"/>
      <c r="J984" s="114"/>
      <c r="K984" s="114"/>
      <c r="L984" s="81"/>
      <c r="M984" s="265" t="b">
        <f>NOT(ISERROR(ResultsInd[[#This Row],[Goal-A]]+ResultsInd[[#This Row],[Goal-B]]))</f>
        <v>1</v>
      </c>
      <c r="N984" s="265">
        <f>VALUE(ResultsInd[[#This Row],[Score-A]])</f>
        <v>0</v>
      </c>
      <c r="O984" s="265">
        <f>VALUE(ResultsInd[[#This Row],[Score-B]])</f>
        <v>0</v>
      </c>
      <c r="P984" s="265" t="str">
        <f ca="1">IF(AND(ResultsInd[[#This Row],[Category]]&lt;&gt;"",ResultsInd[[#This Row],[Player A]]&lt;&gt;""),COUNTIF(INDIRECT(ResultsInd[[#This Row],[Category]]&amp;"List[Retained Player Name]"),ResultsInd[[#This Row],[Player A]]),"")</f>
        <v/>
      </c>
      <c r="Q984" s="265" t="str">
        <f ca="1">IF(AND(ResultsInd[[#This Row],[Category]]&lt;&gt;"",ResultsInd[[#This Row],[Player B]]&lt;&gt;""),COUNTIF(INDIRECT(ResultsInd[[#This Row],[Category]]&amp;"List[Retained Player Name]"),ResultsInd[[#This Row],[Player B]]),"")</f>
        <v/>
      </c>
      <c r="R9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4" s="265" t="str">
        <f>IF(ResultsInd[[#This Row],[Score_OK]],IF(ResultsInd[[#This Row],[Stage]]="Groups",ResultsInd[[#This Row],[Category]]&amp;"-"&amp;IF(ResultsInd[[#This Row],[Player B]]="","",IF(ResultsInd[[#This Row],[Score-A]]=ResultsInd[[#This Row],[Score-B]],ResultsInd[[#This Row],[Player A]],"")),""),"")</f>
        <v/>
      </c>
      <c r="T984" s="265" t="str">
        <f>IF(ResultsInd[[#This Row],[Score_OK]],IF(ResultsInd[[#This Row],[Stage]]="Groups",ResultsInd[[#This Row],[Category]]&amp;"-"&amp;IF(ResultsInd[[#This Row],[Player B]]="","",IF(ResultsInd[[#This Row],[Score-A]]=ResultsInd[[#This Row],[Score-B]],ResultsInd[[#This Row],[Player B]],"")),""),"")</f>
        <v/>
      </c>
      <c r="U9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4" s="264" t="str">
        <f>IF(ResultsInd[[#This Row],[Category]]="","",VLOOKUP(ResultsInd[[#This Row],[Stage]],$P$1:$V$9,MATCH(ResultsInd[[#This Row],[Category]],$Q$1:$V$1,0)+1,FALSE))</f>
        <v/>
      </c>
      <c r="Z984" s="264" t="str">
        <f>IF(ResultsInd[[#This Row],[Score_OK]],IF(ResultsInd[[#This Row],[Level]]="R",ResultsInd[[#This Row],[Category]]&amp;"-"&amp;IF(ResultsInd[[#This Row],[LoseInKO]]=ResultsInd[[#This Row],[Category]]&amp;"-"&amp;ResultsInd[[#This Row],[Player A]],ResultsInd[[#This Row],[Player B]],ResultsInd[[#This Row],[Player A]]),""),"")</f>
        <v/>
      </c>
      <c r="AB984" s="8"/>
      <c r="AC984" s="8"/>
      <c r="AE984" s="90"/>
      <c r="AF984" s="90"/>
      <c r="AP984" s="8"/>
      <c r="AQ984" s="8"/>
      <c r="AR984" s="8"/>
      <c r="AS984" s="8"/>
      <c r="AT984" s="8"/>
      <c r="AU984" s="8"/>
      <c r="AV984" s="8"/>
      <c r="AW984" s="8"/>
      <c r="AX984" s="8"/>
      <c r="AY984" s="90"/>
      <c r="AZ984" s="90"/>
      <c r="BA984" s="90"/>
      <c r="BB984" s="90"/>
      <c r="BC984" s="90"/>
      <c r="BD984" s="90"/>
      <c r="BE984" s="90"/>
      <c r="BF984" s="90"/>
    </row>
    <row r="985" spans="1:58" x14ac:dyDescent="0.2">
      <c r="A985" s="62"/>
      <c r="B985" s="62"/>
      <c r="C985" s="62"/>
      <c r="D985" s="62"/>
      <c r="E985" s="345"/>
      <c r="F985" s="345"/>
      <c r="G985" s="113"/>
      <c r="H985" s="113"/>
      <c r="I985" s="114"/>
      <c r="J985" s="114"/>
      <c r="K985" s="114"/>
      <c r="L985" s="81"/>
      <c r="M985" s="265" t="b">
        <f>NOT(ISERROR(ResultsInd[[#This Row],[Goal-A]]+ResultsInd[[#This Row],[Goal-B]]))</f>
        <v>1</v>
      </c>
      <c r="N985" s="265">
        <f>VALUE(ResultsInd[[#This Row],[Score-A]])</f>
        <v>0</v>
      </c>
      <c r="O985" s="265">
        <f>VALUE(ResultsInd[[#This Row],[Score-B]])</f>
        <v>0</v>
      </c>
      <c r="P985" s="265" t="str">
        <f ca="1">IF(AND(ResultsInd[[#This Row],[Category]]&lt;&gt;"",ResultsInd[[#This Row],[Player A]]&lt;&gt;""),COUNTIF(INDIRECT(ResultsInd[[#This Row],[Category]]&amp;"List[Retained Player Name]"),ResultsInd[[#This Row],[Player A]]),"")</f>
        <v/>
      </c>
      <c r="Q985" s="265" t="str">
        <f ca="1">IF(AND(ResultsInd[[#This Row],[Category]]&lt;&gt;"",ResultsInd[[#This Row],[Player B]]&lt;&gt;""),COUNTIF(INDIRECT(ResultsInd[[#This Row],[Category]]&amp;"List[Retained Player Name]"),ResultsInd[[#This Row],[Player B]]),"")</f>
        <v/>
      </c>
      <c r="R9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5" s="265" t="str">
        <f>IF(ResultsInd[[#This Row],[Score_OK]],IF(ResultsInd[[#This Row],[Stage]]="Groups",ResultsInd[[#This Row],[Category]]&amp;"-"&amp;IF(ResultsInd[[#This Row],[Player B]]="","",IF(ResultsInd[[#This Row],[Score-A]]=ResultsInd[[#This Row],[Score-B]],ResultsInd[[#This Row],[Player A]],"")),""),"")</f>
        <v/>
      </c>
      <c r="T985" s="265" t="str">
        <f>IF(ResultsInd[[#This Row],[Score_OK]],IF(ResultsInd[[#This Row],[Stage]]="Groups",ResultsInd[[#This Row],[Category]]&amp;"-"&amp;IF(ResultsInd[[#This Row],[Player B]]="","",IF(ResultsInd[[#This Row],[Score-A]]=ResultsInd[[#This Row],[Score-B]],ResultsInd[[#This Row],[Player B]],"")),""),"")</f>
        <v/>
      </c>
      <c r="U9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5" s="264" t="str">
        <f>IF(ResultsInd[[#This Row],[Category]]="","",VLOOKUP(ResultsInd[[#This Row],[Stage]],$P$1:$V$9,MATCH(ResultsInd[[#This Row],[Category]],$Q$1:$V$1,0)+1,FALSE))</f>
        <v/>
      </c>
      <c r="Z985" s="264" t="str">
        <f>IF(ResultsInd[[#This Row],[Score_OK]],IF(ResultsInd[[#This Row],[Level]]="R",ResultsInd[[#This Row],[Category]]&amp;"-"&amp;IF(ResultsInd[[#This Row],[LoseInKO]]=ResultsInd[[#This Row],[Category]]&amp;"-"&amp;ResultsInd[[#This Row],[Player A]],ResultsInd[[#This Row],[Player B]],ResultsInd[[#This Row],[Player A]]),""),"")</f>
        <v/>
      </c>
      <c r="AB985" s="8"/>
      <c r="AC985" s="8"/>
      <c r="AE985" s="90"/>
      <c r="AF985" s="90"/>
      <c r="AP985" s="8"/>
      <c r="AQ985" s="8"/>
      <c r="AR985" s="8"/>
      <c r="AS985" s="8"/>
      <c r="AT985" s="8"/>
      <c r="AU985" s="8"/>
      <c r="AV985" s="8"/>
      <c r="AW985" s="8"/>
      <c r="AX985" s="8"/>
      <c r="AY985" s="90"/>
      <c r="AZ985" s="90"/>
      <c r="BA985" s="90"/>
      <c r="BB985" s="90"/>
      <c r="BC985" s="90"/>
      <c r="BD985" s="90"/>
      <c r="BE985" s="90"/>
      <c r="BF985" s="90"/>
    </row>
    <row r="986" spans="1:58" x14ac:dyDescent="0.2">
      <c r="A986" s="62"/>
      <c r="B986" s="62"/>
      <c r="C986" s="62"/>
      <c r="D986" s="62"/>
      <c r="E986" s="345"/>
      <c r="F986" s="345"/>
      <c r="G986" s="113"/>
      <c r="H986" s="113"/>
      <c r="I986" s="114"/>
      <c r="J986" s="114"/>
      <c r="K986" s="114"/>
      <c r="L986" s="81"/>
      <c r="M986" s="265" t="b">
        <f>NOT(ISERROR(ResultsInd[[#This Row],[Goal-A]]+ResultsInd[[#This Row],[Goal-B]]))</f>
        <v>1</v>
      </c>
      <c r="N986" s="265">
        <f>VALUE(ResultsInd[[#This Row],[Score-A]])</f>
        <v>0</v>
      </c>
      <c r="O986" s="265">
        <f>VALUE(ResultsInd[[#This Row],[Score-B]])</f>
        <v>0</v>
      </c>
      <c r="P986" s="265" t="str">
        <f ca="1">IF(AND(ResultsInd[[#This Row],[Category]]&lt;&gt;"",ResultsInd[[#This Row],[Player A]]&lt;&gt;""),COUNTIF(INDIRECT(ResultsInd[[#This Row],[Category]]&amp;"List[Retained Player Name]"),ResultsInd[[#This Row],[Player A]]),"")</f>
        <v/>
      </c>
      <c r="Q986" s="265" t="str">
        <f ca="1">IF(AND(ResultsInd[[#This Row],[Category]]&lt;&gt;"",ResultsInd[[#This Row],[Player B]]&lt;&gt;""),COUNTIF(INDIRECT(ResultsInd[[#This Row],[Category]]&amp;"List[Retained Player Name]"),ResultsInd[[#This Row],[Player B]]),"")</f>
        <v/>
      </c>
      <c r="R9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6" s="265" t="str">
        <f>IF(ResultsInd[[#This Row],[Score_OK]],IF(ResultsInd[[#This Row],[Stage]]="Groups",ResultsInd[[#This Row],[Category]]&amp;"-"&amp;IF(ResultsInd[[#This Row],[Player B]]="","",IF(ResultsInd[[#This Row],[Score-A]]=ResultsInd[[#This Row],[Score-B]],ResultsInd[[#This Row],[Player A]],"")),""),"")</f>
        <v/>
      </c>
      <c r="T986" s="265" t="str">
        <f>IF(ResultsInd[[#This Row],[Score_OK]],IF(ResultsInd[[#This Row],[Stage]]="Groups",ResultsInd[[#This Row],[Category]]&amp;"-"&amp;IF(ResultsInd[[#This Row],[Player B]]="","",IF(ResultsInd[[#This Row],[Score-A]]=ResultsInd[[#This Row],[Score-B]],ResultsInd[[#This Row],[Player B]],"")),""),"")</f>
        <v/>
      </c>
      <c r="U9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6" s="264" t="str">
        <f>IF(ResultsInd[[#This Row],[Category]]="","",VLOOKUP(ResultsInd[[#This Row],[Stage]],$P$1:$V$9,MATCH(ResultsInd[[#This Row],[Category]],$Q$1:$V$1,0)+1,FALSE))</f>
        <v/>
      </c>
      <c r="Z986" s="264" t="str">
        <f>IF(ResultsInd[[#This Row],[Score_OK]],IF(ResultsInd[[#This Row],[Level]]="R",ResultsInd[[#This Row],[Category]]&amp;"-"&amp;IF(ResultsInd[[#This Row],[LoseInKO]]=ResultsInd[[#This Row],[Category]]&amp;"-"&amp;ResultsInd[[#This Row],[Player A]],ResultsInd[[#This Row],[Player B]],ResultsInd[[#This Row],[Player A]]),""),"")</f>
        <v/>
      </c>
      <c r="AB986" s="8"/>
      <c r="AC986" s="8"/>
      <c r="AE986" s="90"/>
      <c r="AF986" s="90"/>
      <c r="AP986" s="8"/>
      <c r="AQ986" s="8"/>
      <c r="AR986" s="8"/>
      <c r="AS986" s="8"/>
      <c r="AT986" s="8"/>
      <c r="AU986" s="8"/>
      <c r="AV986" s="8"/>
      <c r="AW986" s="8"/>
      <c r="AX986" s="8"/>
      <c r="AY986" s="90"/>
      <c r="AZ986" s="90"/>
      <c r="BA986" s="90"/>
      <c r="BB986" s="90"/>
      <c r="BC986" s="90"/>
      <c r="BD986" s="90"/>
      <c r="BE986" s="90"/>
      <c r="BF986" s="90"/>
    </row>
    <row r="987" spans="1:58" x14ac:dyDescent="0.2">
      <c r="A987" s="62"/>
      <c r="B987" s="62"/>
      <c r="C987" s="62"/>
      <c r="D987" s="62"/>
      <c r="E987" s="345"/>
      <c r="F987" s="345"/>
      <c r="G987" s="113"/>
      <c r="H987" s="113"/>
      <c r="I987" s="114"/>
      <c r="J987" s="114"/>
      <c r="K987" s="114"/>
      <c r="L987" s="81"/>
      <c r="M987" s="265" t="b">
        <f>NOT(ISERROR(ResultsInd[[#This Row],[Goal-A]]+ResultsInd[[#This Row],[Goal-B]]))</f>
        <v>1</v>
      </c>
      <c r="N987" s="265">
        <f>VALUE(ResultsInd[[#This Row],[Score-A]])</f>
        <v>0</v>
      </c>
      <c r="O987" s="265">
        <f>VALUE(ResultsInd[[#This Row],[Score-B]])</f>
        <v>0</v>
      </c>
      <c r="P987" s="265" t="str">
        <f ca="1">IF(AND(ResultsInd[[#This Row],[Category]]&lt;&gt;"",ResultsInd[[#This Row],[Player A]]&lt;&gt;""),COUNTIF(INDIRECT(ResultsInd[[#This Row],[Category]]&amp;"List[Retained Player Name]"),ResultsInd[[#This Row],[Player A]]),"")</f>
        <v/>
      </c>
      <c r="Q987" s="265" t="str">
        <f ca="1">IF(AND(ResultsInd[[#This Row],[Category]]&lt;&gt;"",ResultsInd[[#This Row],[Player B]]&lt;&gt;""),COUNTIF(INDIRECT(ResultsInd[[#This Row],[Category]]&amp;"List[Retained Player Name]"),ResultsInd[[#This Row],[Player B]]),"")</f>
        <v/>
      </c>
      <c r="R9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7" s="265" t="str">
        <f>IF(ResultsInd[[#This Row],[Score_OK]],IF(ResultsInd[[#This Row],[Stage]]="Groups",ResultsInd[[#This Row],[Category]]&amp;"-"&amp;IF(ResultsInd[[#This Row],[Player B]]="","",IF(ResultsInd[[#This Row],[Score-A]]=ResultsInd[[#This Row],[Score-B]],ResultsInd[[#This Row],[Player A]],"")),""),"")</f>
        <v/>
      </c>
      <c r="T987" s="265" t="str">
        <f>IF(ResultsInd[[#This Row],[Score_OK]],IF(ResultsInd[[#This Row],[Stage]]="Groups",ResultsInd[[#This Row],[Category]]&amp;"-"&amp;IF(ResultsInd[[#This Row],[Player B]]="","",IF(ResultsInd[[#This Row],[Score-A]]=ResultsInd[[#This Row],[Score-B]],ResultsInd[[#This Row],[Player B]],"")),""),"")</f>
        <v/>
      </c>
      <c r="U9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7" s="264" t="str">
        <f>IF(ResultsInd[[#This Row],[Category]]="","",VLOOKUP(ResultsInd[[#This Row],[Stage]],$P$1:$V$9,MATCH(ResultsInd[[#This Row],[Category]],$Q$1:$V$1,0)+1,FALSE))</f>
        <v/>
      </c>
      <c r="Z987" s="264" t="str">
        <f>IF(ResultsInd[[#This Row],[Score_OK]],IF(ResultsInd[[#This Row],[Level]]="R",ResultsInd[[#This Row],[Category]]&amp;"-"&amp;IF(ResultsInd[[#This Row],[LoseInKO]]=ResultsInd[[#This Row],[Category]]&amp;"-"&amp;ResultsInd[[#This Row],[Player A]],ResultsInd[[#This Row],[Player B]],ResultsInd[[#This Row],[Player A]]),""),"")</f>
        <v/>
      </c>
      <c r="AB987" s="8"/>
      <c r="AC987" s="8"/>
      <c r="AE987" s="90"/>
      <c r="AF987" s="90"/>
      <c r="AP987" s="8"/>
      <c r="AQ987" s="8"/>
      <c r="AR987" s="8"/>
      <c r="AS987" s="8"/>
      <c r="AT987" s="8"/>
      <c r="AU987" s="8"/>
      <c r="AV987" s="8"/>
      <c r="AW987" s="8"/>
      <c r="AX987" s="8"/>
      <c r="AY987" s="90"/>
      <c r="AZ987" s="90"/>
      <c r="BA987" s="90"/>
      <c r="BB987" s="90"/>
      <c r="BC987" s="90"/>
      <c r="BD987" s="90"/>
      <c r="BE987" s="90"/>
      <c r="BF987" s="90"/>
    </row>
    <row r="988" spans="1:58" x14ac:dyDescent="0.2">
      <c r="A988" s="62"/>
      <c r="B988" s="62"/>
      <c r="C988" s="62"/>
      <c r="D988" s="62"/>
      <c r="E988" s="345"/>
      <c r="F988" s="345"/>
      <c r="G988" s="113"/>
      <c r="H988" s="113"/>
      <c r="I988" s="114"/>
      <c r="J988" s="114"/>
      <c r="K988" s="114"/>
      <c r="L988" s="81"/>
      <c r="M988" s="265" t="b">
        <f>NOT(ISERROR(ResultsInd[[#This Row],[Goal-A]]+ResultsInd[[#This Row],[Goal-B]]))</f>
        <v>1</v>
      </c>
      <c r="N988" s="265">
        <f>VALUE(ResultsInd[[#This Row],[Score-A]])</f>
        <v>0</v>
      </c>
      <c r="O988" s="265">
        <f>VALUE(ResultsInd[[#This Row],[Score-B]])</f>
        <v>0</v>
      </c>
      <c r="P988" s="265" t="str">
        <f ca="1">IF(AND(ResultsInd[[#This Row],[Category]]&lt;&gt;"",ResultsInd[[#This Row],[Player A]]&lt;&gt;""),COUNTIF(INDIRECT(ResultsInd[[#This Row],[Category]]&amp;"List[Retained Player Name]"),ResultsInd[[#This Row],[Player A]]),"")</f>
        <v/>
      </c>
      <c r="Q988" s="265" t="str">
        <f ca="1">IF(AND(ResultsInd[[#This Row],[Category]]&lt;&gt;"",ResultsInd[[#This Row],[Player B]]&lt;&gt;""),COUNTIF(INDIRECT(ResultsInd[[#This Row],[Category]]&amp;"List[Retained Player Name]"),ResultsInd[[#This Row],[Player B]]),"")</f>
        <v/>
      </c>
      <c r="R9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8" s="265" t="str">
        <f>IF(ResultsInd[[#This Row],[Score_OK]],IF(ResultsInd[[#This Row],[Stage]]="Groups",ResultsInd[[#This Row],[Category]]&amp;"-"&amp;IF(ResultsInd[[#This Row],[Player B]]="","",IF(ResultsInd[[#This Row],[Score-A]]=ResultsInd[[#This Row],[Score-B]],ResultsInd[[#This Row],[Player A]],"")),""),"")</f>
        <v/>
      </c>
      <c r="T988" s="265" t="str">
        <f>IF(ResultsInd[[#This Row],[Score_OK]],IF(ResultsInd[[#This Row],[Stage]]="Groups",ResultsInd[[#This Row],[Category]]&amp;"-"&amp;IF(ResultsInd[[#This Row],[Player B]]="","",IF(ResultsInd[[#This Row],[Score-A]]=ResultsInd[[#This Row],[Score-B]],ResultsInd[[#This Row],[Player B]],"")),""),"")</f>
        <v/>
      </c>
      <c r="U9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8" s="264" t="str">
        <f>IF(ResultsInd[[#This Row],[Category]]="","",VLOOKUP(ResultsInd[[#This Row],[Stage]],$P$1:$V$9,MATCH(ResultsInd[[#This Row],[Category]],$Q$1:$V$1,0)+1,FALSE))</f>
        <v/>
      </c>
      <c r="Z988" s="264" t="str">
        <f>IF(ResultsInd[[#This Row],[Score_OK]],IF(ResultsInd[[#This Row],[Level]]="R",ResultsInd[[#This Row],[Category]]&amp;"-"&amp;IF(ResultsInd[[#This Row],[LoseInKO]]=ResultsInd[[#This Row],[Category]]&amp;"-"&amp;ResultsInd[[#This Row],[Player A]],ResultsInd[[#This Row],[Player B]],ResultsInd[[#This Row],[Player A]]),""),"")</f>
        <v/>
      </c>
      <c r="AB988" s="8"/>
      <c r="AC988" s="8"/>
      <c r="AE988" s="90"/>
      <c r="AF988" s="90"/>
      <c r="AP988" s="8"/>
      <c r="AQ988" s="8"/>
      <c r="AR988" s="8"/>
      <c r="AS988" s="8"/>
      <c r="AT988" s="8"/>
      <c r="AU988" s="8"/>
      <c r="AV988" s="8"/>
      <c r="AW988" s="8"/>
      <c r="AX988" s="8"/>
      <c r="AY988" s="90"/>
      <c r="AZ988" s="90"/>
      <c r="BA988" s="90"/>
      <c r="BB988" s="90"/>
      <c r="BC988" s="90"/>
      <c r="BD988" s="90"/>
      <c r="BE988" s="90"/>
      <c r="BF988" s="90"/>
    </row>
    <row r="989" spans="1:58" x14ac:dyDescent="0.2">
      <c r="A989" s="62"/>
      <c r="B989" s="62"/>
      <c r="C989" s="62"/>
      <c r="D989" s="62"/>
      <c r="E989" s="345"/>
      <c r="F989" s="345"/>
      <c r="G989" s="113"/>
      <c r="H989" s="113"/>
      <c r="I989" s="114"/>
      <c r="J989" s="114"/>
      <c r="K989" s="114"/>
      <c r="L989" s="81"/>
      <c r="M989" s="265" t="b">
        <f>NOT(ISERROR(ResultsInd[[#This Row],[Goal-A]]+ResultsInd[[#This Row],[Goal-B]]))</f>
        <v>1</v>
      </c>
      <c r="N989" s="265">
        <f>VALUE(ResultsInd[[#This Row],[Score-A]])</f>
        <v>0</v>
      </c>
      <c r="O989" s="265">
        <f>VALUE(ResultsInd[[#This Row],[Score-B]])</f>
        <v>0</v>
      </c>
      <c r="P989" s="265" t="str">
        <f ca="1">IF(AND(ResultsInd[[#This Row],[Category]]&lt;&gt;"",ResultsInd[[#This Row],[Player A]]&lt;&gt;""),COUNTIF(INDIRECT(ResultsInd[[#This Row],[Category]]&amp;"List[Retained Player Name]"),ResultsInd[[#This Row],[Player A]]),"")</f>
        <v/>
      </c>
      <c r="Q989" s="265" t="str">
        <f ca="1">IF(AND(ResultsInd[[#This Row],[Category]]&lt;&gt;"",ResultsInd[[#This Row],[Player B]]&lt;&gt;""),COUNTIF(INDIRECT(ResultsInd[[#This Row],[Category]]&amp;"List[Retained Player Name]"),ResultsInd[[#This Row],[Player B]]),"")</f>
        <v/>
      </c>
      <c r="R9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9" s="265" t="str">
        <f>IF(ResultsInd[[#This Row],[Score_OK]],IF(ResultsInd[[#This Row],[Stage]]="Groups",ResultsInd[[#This Row],[Category]]&amp;"-"&amp;IF(ResultsInd[[#This Row],[Player B]]="","",IF(ResultsInd[[#This Row],[Score-A]]=ResultsInd[[#This Row],[Score-B]],ResultsInd[[#This Row],[Player A]],"")),""),"")</f>
        <v/>
      </c>
      <c r="T989" s="265" t="str">
        <f>IF(ResultsInd[[#This Row],[Score_OK]],IF(ResultsInd[[#This Row],[Stage]]="Groups",ResultsInd[[#This Row],[Category]]&amp;"-"&amp;IF(ResultsInd[[#This Row],[Player B]]="","",IF(ResultsInd[[#This Row],[Score-A]]=ResultsInd[[#This Row],[Score-B]],ResultsInd[[#This Row],[Player B]],"")),""),"")</f>
        <v/>
      </c>
      <c r="U9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9" s="264" t="str">
        <f>IF(ResultsInd[[#This Row],[Category]]="","",VLOOKUP(ResultsInd[[#This Row],[Stage]],$P$1:$V$9,MATCH(ResultsInd[[#This Row],[Category]],$Q$1:$V$1,0)+1,FALSE))</f>
        <v/>
      </c>
      <c r="Z989" s="264" t="str">
        <f>IF(ResultsInd[[#This Row],[Score_OK]],IF(ResultsInd[[#This Row],[Level]]="R",ResultsInd[[#This Row],[Category]]&amp;"-"&amp;IF(ResultsInd[[#This Row],[LoseInKO]]=ResultsInd[[#This Row],[Category]]&amp;"-"&amp;ResultsInd[[#This Row],[Player A]],ResultsInd[[#This Row],[Player B]],ResultsInd[[#This Row],[Player A]]),""),"")</f>
        <v/>
      </c>
      <c r="AB989" s="8"/>
      <c r="AC989" s="8"/>
      <c r="AE989" s="90"/>
      <c r="AF989" s="90"/>
      <c r="AP989" s="8"/>
      <c r="AQ989" s="8"/>
      <c r="AR989" s="8"/>
      <c r="AS989" s="8"/>
      <c r="AT989" s="8"/>
      <c r="AU989" s="8"/>
      <c r="AV989" s="8"/>
      <c r="AW989" s="8"/>
      <c r="AX989" s="8"/>
      <c r="AY989" s="90"/>
      <c r="AZ989" s="90"/>
      <c r="BA989" s="90"/>
      <c r="BB989" s="90"/>
      <c r="BC989" s="90"/>
      <c r="BD989" s="90"/>
      <c r="BE989" s="90"/>
      <c r="BF989" s="90"/>
    </row>
    <row r="990" spans="1:58" x14ac:dyDescent="0.2">
      <c r="A990" s="62"/>
      <c r="B990" s="62"/>
      <c r="C990" s="62"/>
      <c r="D990" s="62"/>
      <c r="E990" s="345"/>
      <c r="F990" s="345"/>
      <c r="G990" s="113"/>
      <c r="H990" s="113"/>
      <c r="I990" s="114"/>
      <c r="J990" s="114"/>
      <c r="K990" s="114"/>
      <c r="L990" s="81"/>
      <c r="M990" s="265" t="b">
        <f>NOT(ISERROR(ResultsInd[[#This Row],[Goal-A]]+ResultsInd[[#This Row],[Goal-B]]))</f>
        <v>1</v>
      </c>
      <c r="N990" s="265">
        <f>VALUE(ResultsInd[[#This Row],[Score-A]])</f>
        <v>0</v>
      </c>
      <c r="O990" s="265">
        <f>VALUE(ResultsInd[[#This Row],[Score-B]])</f>
        <v>0</v>
      </c>
      <c r="P990" s="265" t="str">
        <f ca="1">IF(AND(ResultsInd[[#This Row],[Category]]&lt;&gt;"",ResultsInd[[#This Row],[Player A]]&lt;&gt;""),COUNTIF(INDIRECT(ResultsInd[[#This Row],[Category]]&amp;"List[Retained Player Name]"),ResultsInd[[#This Row],[Player A]]),"")</f>
        <v/>
      </c>
      <c r="Q990" s="265" t="str">
        <f ca="1">IF(AND(ResultsInd[[#This Row],[Category]]&lt;&gt;"",ResultsInd[[#This Row],[Player B]]&lt;&gt;""),COUNTIF(INDIRECT(ResultsInd[[#This Row],[Category]]&amp;"List[Retained Player Name]"),ResultsInd[[#This Row],[Player B]]),"")</f>
        <v/>
      </c>
      <c r="R9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0" s="265" t="str">
        <f>IF(ResultsInd[[#This Row],[Score_OK]],IF(ResultsInd[[#This Row],[Stage]]="Groups",ResultsInd[[#This Row],[Category]]&amp;"-"&amp;IF(ResultsInd[[#This Row],[Player B]]="","",IF(ResultsInd[[#This Row],[Score-A]]=ResultsInd[[#This Row],[Score-B]],ResultsInd[[#This Row],[Player A]],"")),""),"")</f>
        <v/>
      </c>
      <c r="T990" s="265" t="str">
        <f>IF(ResultsInd[[#This Row],[Score_OK]],IF(ResultsInd[[#This Row],[Stage]]="Groups",ResultsInd[[#This Row],[Category]]&amp;"-"&amp;IF(ResultsInd[[#This Row],[Player B]]="","",IF(ResultsInd[[#This Row],[Score-A]]=ResultsInd[[#This Row],[Score-B]],ResultsInd[[#This Row],[Player B]],"")),""),"")</f>
        <v/>
      </c>
      <c r="U9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0" s="264" t="str">
        <f>IF(ResultsInd[[#This Row],[Category]]="","",VLOOKUP(ResultsInd[[#This Row],[Stage]],$P$1:$V$9,MATCH(ResultsInd[[#This Row],[Category]],$Q$1:$V$1,0)+1,FALSE))</f>
        <v/>
      </c>
      <c r="Z990" s="264" t="str">
        <f>IF(ResultsInd[[#This Row],[Score_OK]],IF(ResultsInd[[#This Row],[Level]]="R",ResultsInd[[#This Row],[Category]]&amp;"-"&amp;IF(ResultsInd[[#This Row],[LoseInKO]]=ResultsInd[[#This Row],[Category]]&amp;"-"&amp;ResultsInd[[#This Row],[Player A]],ResultsInd[[#This Row],[Player B]],ResultsInd[[#This Row],[Player A]]),""),"")</f>
        <v/>
      </c>
      <c r="AB990" s="8"/>
      <c r="AC990" s="8"/>
      <c r="AE990" s="90"/>
      <c r="AF990" s="90"/>
      <c r="AP990" s="8"/>
      <c r="AQ990" s="8"/>
      <c r="AR990" s="8"/>
      <c r="AS990" s="8"/>
      <c r="AT990" s="8"/>
      <c r="AU990" s="8"/>
      <c r="AV990" s="8"/>
      <c r="AW990" s="8"/>
      <c r="AX990" s="8"/>
      <c r="AY990" s="90"/>
      <c r="AZ990" s="90"/>
      <c r="BA990" s="90"/>
      <c r="BB990" s="90"/>
      <c r="BC990" s="90"/>
      <c r="BD990" s="90"/>
      <c r="BE990" s="90"/>
      <c r="BF990" s="90"/>
    </row>
    <row r="991" spans="1:58" x14ac:dyDescent="0.2">
      <c r="A991" s="62"/>
      <c r="B991" s="62"/>
      <c r="C991" s="62"/>
      <c r="D991" s="62"/>
      <c r="E991" s="345"/>
      <c r="F991" s="345"/>
      <c r="G991" s="113"/>
      <c r="H991" s="113"/>
      <c r="I991" s="114"/>
      <c r="J991" s="114"/>
      <c r="K991" s="114"/>
      <c r="L991" s="81"/>
      <c r="M991" s="265" t="b">
        <f>NOT(ISERROR(ResultsInd[[#This Row],[Goal-A]]+ResultsInd[[#This Row],[Goal-B]]))</f>
        <v>1</v>
      </c>
      <c r="N991" s="265">
        <f>VALUE(ResultsInd[[#This Row],[Score-A]])</f>
        <v>0</v>
      </c>
      <c r="O991" s="265">
        <f>VALUE(ResultsInd[[#This Row],[Score-B]])</f>
        <v>0</v>
      </c>
      <c r="P991" s="265" t="str">
        <f ca="1">IF(AND(ResultsInd[[#This Row],[Category]]&lt;&gt;"",ResultsInd[[#This Row],[Player A]]&lt;&gt;""),COUNTIF(INDIRECT(ResultsInd[[#This Row],[Category]]&amp;"List[Retained Player Name]"),ResultsInd[[#This Row],[Player A]]),"")</f>
        <v/>
      </c>
      <c r="Q991" s="265" t="str">
        <f ca="1">IF(AND(ResultsInd[[#This Row],[Category]]&lt;&gt;"",ResultsInd[[#This Row],[Player B]]&lt;&gt;""),COUNTIF(INDIRECT(ResultsInd[[#This Row],[Category]]&amp;"List[Retained Player Name]"),ResultsInd[[#This Row],[Player B]]),"")</f>
        <v/>
      </c>
      <c r="R9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1" s="265" t="str">
        <f>IF(ResultsInd[[#This Row],[Score_OK]],IF(ResultsInd[[#This Row],[Stage]]="Groups",ResultsInd[[#This Row],[Category]]&amp;"-"&amp;IF(ResultsInd[[#This Row],[Player B]]="","",IF(ResultsInd[[#This Row],[Score-A]]=ResultsInd[[#This Row],[Score-B]],ResultsInd[[#This Row],[Player A]],"")),""),"")</f>
        <v/>
      </c>
      <c r="T991" s="265" t="str">
        <f>IF(ResultsInd[[#This Row],[Score_OK]],IF(ResultsInd[[#This Row],[Stage]]="Groups",ResultsInd[[#This Row],[Category]]&amp;"-"&amp;IF(ResultsInd[[#This Row],[Player B]]="","",IF(ResultsInd[[#This Row],[Score-A]]=ResultsInd[[#This Row],[Score-B]],ResultsInd[[#This Row],[Player B]],"")),""),"")</f>
        <v/>
      </c>
      <c r="U9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1" s="264" t="str">
        <f>IF(ResultsInd[[#This Row],[Category]]="","",VLOOKUP(ResultsInd[[#This Row],[Stage]],$P$1:$V$9,MATCH(ResultsInd[[#This Row],[Category]],$Q$1:$V$1,0)+1,FALSE))</f>
        <v/>
      </c>
      <c r="Z991" s="264" t="str">
        <f>IF(ResultsInd[[#This Row],[Score_OK]],IF(ResultsInd[[#This Row],[Level]]="R",ResultsInd[[#This Row],[Category]]&amp;"-"&amp;IF(ResultsInd[[#This Row],[LoseInKO]]=ResultsInd[[#This Row],[Category]]&amp;"-"&amp;ResultsInd[[#This Row],[Player A]],ResultsInd[[#This Row],[Player B]],ResultsInd[[#This Row],[Player A]]),""),"")</f>
        <v/>
      </c>
      <c r="AB991" s="8"/>
      <c r="AC991" s="8"/>
      <c r="AE991" s="90"/>
      <c r="AF991" s="90"/>
      <c r="AP991" s="8"/>
      <c r="AQ991" s="8"/>
      <c r="AR991" s="8"/>
      <c r="AS991" s="8"/>
      <c r="AT991" s="8"/>
      <c r="AU991" s="8"/>
      <c r="AV991" s="8"/>
      <c r="AW991" s="8"/>
      <c r="AX991" s="8"/>
      <c r="AY991" s="90"/>
      <c r="AZ991" s="90"/>
      <c r="BA991" s="90"/>
      <c r="BB991" s="90"/>
      <c r="BC991" s="90"/>
      <c r="BD991" s="90"/>
      <c r="BE991" s="90"/>
      <c r="BF991" s="90"/>
    </row>
    <row r="992" spans="1:58" x14ac:dyDescent="0.2">
      <c r="A992" s="62"/>
      <c r="B992" s="62"/>
      <c r="C992" s="62"/>
      <c r="D992" s="62"/>
      <c r="E992" s="345"/>
      <c r="F992" s="345"/>
      <c r="G992" s="113"/>
      <c r="H992" s="113"/>
      <c r="I992" s="114"/>
      <c r="J992" s="114"/>
      <c r="K992" s="114"/>
      <c r="L992" s="81"/>
      <c r="M992" s="265" t="b">
        <f>NOT(ISERROR(ResultsInd[[#This Row],[Goal-A]]+ResultsInd[[#This Row],[Goal-B]]))</f>
        <v>1</v>
      </c>
      <c r="N992" s="265">
        <f>VALUE(ResultsInd[[#This Row],[Score-A]])</f>
        <v>0</v>
      </c>
      <c r="O992" s="265">
        <f>VALUE(ResultsInd[[#This Row],[Score-B]])</f>
        <v>0</v>
      </c>
      <c r="P992" s="265" t="str">
        <f ca="1">IF(AND(ResultsInd[[#This Row],[Category]]&lt;&gt;"",ResultsInd[[#This Row],[Player A]]&lt;&gt;""),COUNTIF(INDIRECT(ResultsInd[[#This Row],[Category]]&amp;"List[Retained Player Name]"),ResultsInd[[#This Row],[Player A]]),"")</f>
        <v/>
      </c>
      <c r="Q992" s="265" t="str">
        <f ca="1">IF(AND(ResultsInd[[#This Row],[Category]]&lt;&gt;"",ResultsInd[[#This Row],[Player B]]&lt;&gt;""),COUNTIF(INDIRECT(ResultsInd[[#This Row],[Category]]&amp;"List[Retained Player Name]"),ResultsInd[[#This Row],[Player B]]),"")</f>
        <v/>
      </c>
      <c r="R9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2" s="265" t="str">
        <f>IF(ResultsInd[[#This Row],[Score_OK]],IF(ResultsInd[[#This Row],[Stage]]="Groups",ResultsInd[[#This Row],[Category]]&amp;"-"&amp;IF(ResultsInd[[#This Row],[Player B]]="","",IF(ResultsInd[[#This Row],[Score-A]]=ResultsInd[[#This Row],[Score-B]],ResultsInd[[#This Row],[Player A]],"")),""),"")</f>
        <v/>
      </c>
      <c r="T992" s="265" t="str">
        <f>IF(ResultsInd[[#This Row],[Score_OK]],IF(ResultsInd[[#This Row],[Stage]]="Groups",ResultsInd[[#This Row],[Category]]&amp;"-"&amp;IF(ResultsInd[[#This Row],[Player B]]="","",IF(ResultsInd[[#This Row],[Score-A]]=ResultsInd[[#This Row],[Score-B]],ResultsInd[[#This Row],[Player B]],"")),""),"")</f>
        <v/>
      </c>
      <c r="U9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2" s="264" t="str">
        <f>IF(ResultsInd[[#This Row],[Category]]="","",VLOOKUP(ResultsInd[[#This Row],[Stage]],$P$1:$V$9,MATCH(ResultsInd[[#This Row],[Category]],$Q$1:$V$1,0)+1,FALSE))</f>
        <v/>
      </c>
      <c r="Z992" s="264" t="str">
        <f>IF(ResultsInd[[#This Row],[Score_OK]],IF(ResultsInd[[#This Row],[Level]]="R",ResultsInd[[#This Row],[Category]]&amp;"-"&amp;IF(ResultsInd[[#This Row],[LoseInKO]]=ResultsInd[[#This Row],[Category]]&amp;"-"&amp;ResultsInd[[#This Row],[Player A]],ResultsInd[[#This Row],[Player B]],ResultsInd[[#This Row],[Player A]]),""),"")</f>
        <v/>
      </c>
      <c r="AB992" s="8"/>
      <c r="AC992" s="8"/>
      <c r="AE992" s="90"/>
      <c r="AF992" s="90"/>
      <c r="AP992" s="8"/>
      <c r="AQ992" s="8"/>
      <c r="AR992" s="8"/>
      <c r="AS992" s="8"/>
      <c r="AT992" s="8"/>
      <c r="AU992" s="8"/>
      <c r="AV992" s="8"/>
      <c r="AW992" s="8"/>
      <c r="AX992" s="8"/>
      <c r="AY992" s="90"/>
      <c r="AZ992" s="90"/>
      <c r="BA992" s="90"/>
      <c r="BB992" s="90"/>
      <c r="BC992" s="90"/>
      <c r="BD992" s="90"/>
      <c r="BE992" s="90"/>
      <c r="BF992" s="90"/>
    </row>
    <row r="993" spans="1:58" x14ac:dyDescent="0.2">
      <c r="A993" s="62"/>
      <c r="B993" s="62"/>
      <c r="C993" s="62"/>
      <c r="D993" s="62"/>
      <c r="E993" s="345"/>
      <c r="F993" s="345"/>
      <c r="G993" s="113"/>
      <c r="H993" s="113"/>
      <c r="I993" s="114"/>
      <c r="J993" s="114"/>
      <c r="K993" s="114"/>
      <c r="L993" s="81"/>
      <c r="M993" s="265" t="b">
        <f>NOT(ISERROR(ResultsInd[[#This Row],[Goal-A]]+ResultsInd[[#This Row],[Goal-B]]))</f>
        <v>1</v>
      </c>
      <c r="N993" s="265">
        <f>VALUE(ResultsInd[[#This Row],[Score-A]])</f>
        <v>0</v>
      </c>
      <c r="O993" s="265">
        <f>VALUE(ResultsInd[[#This Row],[Score-B]])</f>
        <v>0</v>
      </c>
      <c r="P993" s="265" t="str">
        <f ca="1">IF(AND(ResultsInd[[#This Row],[Category]]&lt;&gt;"",ResultsInd[[#This Row],[Player A]]&lt;&gt;""),COUNTIF(INDIRECT(ResultsInd[[#This Row],[Category]]&amp;"List[Retained Player Name]"),ResultsInd[[#This Row],[Player A]]),"")</f>
        <v/>
      </c>
      <c r="Q993" s="265" t="str">
        <f ca="1">IF(AND(ResultsInd[[#This Row],[Category]]&lt;&gt;"",ResultsInd[[#This Row],[Player B]]&lt;&gt;""),COUNTIF(INDIRECT(ResultsInd[[#This Row],[Category]]&amp;"List[Retained Player Name]"),ResultsInd[[#This Row],[Player B]]),"")</f>
        <v/>
      </c>
      <c r="R9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3" s="265" t="str">
        <f>IF(ResultsInd[[#This Row],[Score_OK]],IF(ResultsInd[[#This Row],[Stage]]="Groups",ResultsInd[[#This Row],[Category]]&amp;"-"&amp;IF(ResultsInd[[#This Row],[Player B]]="","",IF(ResultsInd[[#This Row],[Score-A]]=ResultsInd[[#This Row],[Score-B]],ResultsInd[[#This Row],[Player A]],"")),""),"")</f>
        <v/>
      </c>
      <c r="T993" s="265" t="str">
        <f>IF(ResultsInd[[#This Row],[Score_OK]],IF(ResultsInd[[#This Row],[Stage]]="Groups",ResultsInd[[#This Row],[Category]]&amp;"-"&amp;IF(ResultsInd[[#This Row],[Player B]]="","",IF(ResultsInd[[#This Row],[Score-A]]=ResultsInd[[#This Row],[Score-B]],ResultsInd[[#This Row],[Player B]],"")),""),"")</f>
        <v/>
      </c>
      <c r="U9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3" s="264" t="str">
        <f>IF(ResultsInd[[#This Row],[Category]]="","",VLOOKUP(ResultsInd[[#This Row],[Stage]],$P$1:$V$9,MATCH(ResultsInd[[#This Row],[Category]],$Q$1:$V$1,0)+1,FALSE))</f>
        <v/>
      </c>
      <c r="Z993" s="264" t="str">
        <f>IF(ResultsInd[[#This Row],[Score_OK]],IF(ResultsInd[[#This Row],[Level]]="R",ResultsInd[[#This Row],[Category]]&amp;"-"&amp;IF(ResultsInd[[#This Row],[LoseInKO]]=ResultsInd[[#This Row],[Category]]&amp;"-"&amp;ResultsInd[[#This Row],[Player A]],ResultsInd[[#This Row],[Player B]],ResultsInd[[#This Row],[Player A]]),""),"")</f>
        <v/>
      </c>
      <c r="AB993" s="8"/>
      <c r="AC993" s="8"/>
      <c r="AE993" s="90"/>
      <c r="AF993" s="90"/>
      <c r="AP993" s="8"/>
      <c r="AQ993" s="8"/>
      <c r="AR993" s="8"/>
      <c r="AS993" s="8"/>
      <c r="AT993" s="8"/>
      <c r="AU993" s="8"/>
      <c r="AV993" s="8"/>
      <c r="AW993" s="8"/>
      <c r="AX993" s="8"/>
      <c r="AY993" s="90"/>
      <c r="AZ993" s="90"/>
      <c r="BA993" s="90"/>
      <c r="BB993" s="90"/>
      <c r="BC993" s="90"/>
      <c r="BD993" s="90"/>
      <c r="BE993" s="90"/>
      <c r="BF993" s="90"/>
    </row>
    <row r="994" spans="1:58" x14ac:dyDescent="0.2">
      <c r="A994" s="62"/>
      <c r="B994" s="62"/>
      <c r="C994" s="62"/>
      <c r="D994" s="62"/>
      <c r="E994" s="345"/>
      <c r="F994" s="345"/>
      <c r="G994" s="113"/>
      <c r="H994" s="113"/>
      <c r="I994" s="114"/>
      <c r="J994" s="114"/>
      <c r="K994" s="114"/>
      <c r="L994" s="81"/>
      <c r="M994" s="265" t="b">
        <f>NOT(ISERROR(ResultsInd[[#This Row],[Goal-A]]+ResultsInd[[#This Row],[Goal-B]]))</f>
        <v>1</v>
      </c>
      <c r="N994" s="265">
        <f>VALUE(ResultsInd[[#This Row],[Score-A]])</f>
        <v>0</v>
      </c>
      <c r="O994" s="265">
        <f>VALUE(ResultsInd[[#This Row],[Score-B]])</f>
        <v>0</v>
      </c>
      <c r="P994" s="265" t="str">
        <f ca="1">IF(AND(ResultsInd[[#This Row],[Category]]&lt;&gt;"",ResultsInd[[#This Row],[Player A]]&lt;&gt;""),COUNTIF(INDIRECT(ResultsInd[[#This Row],[Category]]&amp;"List[Retained Player Name]"),ResultsInd[[#This Row],[Player A]]),"")</f>
        <v/>
      </c>
      <c r="Q994" s="265" t="str">
        <f ca="1">IF(AND(ResultsInd[[#This Row],[Category]]&lt;&gt;"",ResultsInd[[#This Row],[Player B]]&lt;&gt;""),COUNTIF(INDIRECT(ResultsInd[[#This Row],[Category]]&amp;"List[Retained Player Name]"),ResultsInd[[#This Row],[Player B]]),"")</f>
        <v/>
      </c>
      <c r="R9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4" s="265" t="str">
        <f>IF(ResultsInd[[#This Row],[Score_OK]],IF(ResultsInd[[#This Row],[Stage]]="Groups",ResultsInd[[#This Row],[Category]]&amp;"-"&amp;IF(ResultsInd[[#This Row],[Player B]]="","",IF(ResultsInd[[#This Row],[Score-A]]=ResultsInd[[#This Row],[Score-B]],ResultsInd[[#This Row],[Player A]],"")),""),"")</f>
        <v/>
      </c>
      <c r="T994" s="265" t="str">
        <f>IF(ResultsInd[[#This Row],[Score_OK]],IF(ResultsInd[[#This Row],[Stage]]="Groups",ResultsInd[[#This Row],[Category]]&amp;"-"&amp;IF(ResultsInd[[#This Row],[Player B]]="","",IF(ResultsInd[[#This Row],[Score-A]]=ResultsInd[[#This Row],[Score-B]],ResultsInd[[#This Row],[Player B]],"")),""),"")</f>
        <v/>
      </c>
      <c r="U9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4" s="264" t="str">
        <f>IF(ResultsInd[[#This Row],[Category]]="","",VLOOKUP(ResultsInd[[#This Row],[Stage]],$P$1:$V$9,MATCH(ResultsInd[[#This Row],[Category]],$Q$1:$V$1,0)+1,FALSE))</f>
        <v/>
      </c>
      <c r="Z994" s="264" t="str">
        <f>IF(ResultsInd[[#This Row],[Score_OK]],IF(ResultsInd[[#This Row],[Level]]="R",ResultsInd[[#This Row],[Category]]&amp;"-"&amp;IF(ResultsInd[[#This Row],[LoseInKO]]=ResultsInd[[#This Row],[Category]]&amp;"-"&amp;ResultsInd[[#This Row],[Player A]],ResultsInd[[#This Row],[Player B]],ResultsInd[[#This Row],[Player A]]),""),"")</f>
        <v/>
      </c>
      <c r="AB994" s="8"/>
      <c r="AC994" s="8"/>
      <c r="AE994" s="90"/>
      <c r="AF994" s="90"/>
      <c r="AP994" s="8"/>
      <c r="AQ994" s="8"/>
      <c r="AR994" s="8"/>
      <c r="AS994" s="8"/>
      <c r="AT994" s="8"/>
      <c r="AU994" s="8"/>
      <c r="AV994" s="8"/>
      <c r="AW994" s="8"/>
      <c r="AX994" s="8"/>
      <c r="AY994" s="90"/>
      <c r="AZ994" s="90"/>
      <c r="BA994" s="90"/>
      <c r="BB994" s="90"/>
      <c r="BC994" s="90"/>
      <c r="BD994" s="90"/>
      <c r="BE994" s="90"/>
      <c r="BF994" s="90"/>
    </row>
    <row r="995" spans="1:58" x14ac:dyDescent="0.2">
      <c r="A995" s="62"/>
      <c r="B995" s="62"/>
      <c r="C995" s="62"/>
      <c r="D995" s="62"/>
      <c r="E995" s="345"/>
      <c r="F995" s="345"/>
      <c r="G995" s="113"/>
      <c r="H995" s="113"/>
      <c r="I995" s="114"/>
      <c r="J995" s="114"/>
      <c r="K995" s="114"/>
      <c r="L995" s="81"/>
      <c r="M995" s="265" t="b">
        <f>NOT(ISERROR(ResultsInd[[#This Row],[Goal-A]]+ResultsInd[[#This Row],[Goal-B]]))</f>
        <v>1</v>
      </c>
      <c r="N995" s="265">
        <f>VALUE(ResultsInd[[#This Row],[Score-A]])</f>
        <v>0</v>
      </c>
      <c r="O995" s="265">
        <f>VALUE(ResultsInd[[#This Row],[Score-B]])</f>
        <v>0</v>
      </c>
      <c r="P995" s="265" t="str">
        <f ca="1">IF(AND(ResultsInd[[#This Row],[Category]]&lt;&gt;"",ResultsInd[[#This Row],[Player A]]&lt;&gt;""),COUNTIF(INDIRECT(ResultsInd[[#This Row],[Category]]&amp;"List[Retained Player Name]"),ResultsInd[[#This Row],[Player A]]),"")</f>
        <v/>
      </c>
      <c r="Q995" s="265" t="str">
        <f ca="1">IF(AND(ResultsInd[[#This Row],[Category]]&lt;&gt;"",ResultsInd[[#This Row],[Player B]]&lt;&gt;""),COUNTIF(INDIRECT(ResultsInd[[#This Row],[Category]]&amp;"List[Retained Player Name]"),ResultsInd[[#This Row],[Player B]]),"")</f>
        <v/>
      </c>
      <c r="R9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5" s="265" t="str">
        <f>IF(ResultsInd[[#This Row],[Score_OK]],IF(ResultsInd[[#This Row],[Stage]]="Groups",ResultsInd[[#This Row],[Category]]&amp;"-"&amp;IF(ResultsInd[[#This Row],[Player B]]="","",IF(ResultsInd[[#This Row],[Score-A]]=ResultsInd[[#This Row],[Score-B]],ResultsInd[[#This Row],[Player A]],"")),""),"")</f>
        <v/>
      </c>
      <c r="T995" s="265" t="str">
        <f>IF(ResultsInd[[#This Row],[Score_OK]],IF(ResultsInd[[#This Row],[Stage]]="Groups",ResultsInd[[#This Row],[Category]]&amp;"-"&amp;IF(ResultsInd[[#This Row],[Player B]]="","",IF(ResultsInd[[#This Row],[Score-A]]=ResultsInd[[#This Row],[Score-B]],ResultsInd[[#This Row],[Player B]],"")),""),"")</f>
        <v/>
      </c>
      <c r="U9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5" s="264" t="str">
        <f>IF(ResultsInd[[#This Row],[Category]]="","",VLOOKUP(ResultsInd[[#This Row],[Stage]],$P$1:$V$9,MATCH(ResultsInd[[#This Row],[Category]],$Q$1:$V$1,0)+1,FALSE))</f>
        <v/>
      </c>
      <c r="Z995" s="264" t="str">
        <f>IF(ResultsInd[[#This Row],[Score_OK]],IF(ResultsInd[[#This Row],[Level]]="R",ResultsInd[[#This Row],[Category]]&amp;"-"&amp;IF(ResultsInd[[#This Row],[LoseInKO]]=ResultsInd[[#This Row],[Category]]&amp;"-"&amp;ResultsInd[[#This Row],[Player A]],ResultsInd[[#This Row],[Player B]],ResultsInd[[#This Row],[Player A]]),""),"")</f>
        <v/>
      </c>
      <c r="AB995" s="8"/>
      <c r="AC995" s="8"/>
      <c r="AE995" s="90"/>
      <c r="AF995" s="90"/>
      <c r="AP995" s="8"/>
      <c r="AQ995" s="8"/>
      <c r="AR995" s="8"/>
      <c r="AS995" s="8"/>
      <c r="AT995" s="8"/>
      <c r="AU995" s="8"/>
      <c r="AV995" s="8"/>
      <c r="AW995" s="8"/>
      <c r="AX995" s="8"/>
      <c r="AY995" s="90"/>
      <c r="AZ995" s="90"/>
      <c r="BA995" s="90"/>
      <c r="BB995" s="90"/>
      <c r="BC995" s="90"/>
      <c r="BD995" s="90"/>
      <c r="BE995" s="90"/>
      <c r="BF995" s="90"/>
    </row>
    <row r="996" spans="1:58" x14ac:dyDescent="0.2">
      <c r="A996" s="62"/>
      <c r="B996" s="62"/>
      <c r="C996" s="62"/>
      <c r="D996" s="62"/>
      <c r="E996" s="345"/>
      <c r="F996" s="345"/>
      <c r="G996" s="113"/>
      <c r="H996" s="113"/>
      <c r="I996" s="114"/>
      <c r="J996" s="114"/>
      <c r="K996" s="114"/>
      <c r="L996" s="81"/>
      <c r="M996" s="265" t="b">
        <f>NOT(ISERROR(ResultsInd[[#This Row],[Goal-A]]+ResultsInd[[#This Row],[Goal-B]]))</f>
        <v>1</v>
      </c>
      <c r="N996" s="265">
        <f>VALUE(ResultsInd[[#This Row],[Score-A]])</f>
        <v>0</v>
      </c>
      <c r="O996" s="265">
        <f>VALUE(ResultsInd[[#This Row],[Score-B]])</f>
        <v>0</v>
      </c>
      <c r="P996" s="265" t="str">
        <f ca="1">IF(AND(ResultsInd[[#This Row],[Category]]&lt;&gt;"",ResultsInd[[#This Row],[Player A]]&lt;&gt;""),COUNTIF(INDIRECT(ResultsInd[[#This Row],[Category]]&amp;"List[Retained Player Name]"),ResultsInd[[#This Row],[Player A]]),"")</f>
        <v/>
      </c>
      <c r="Q996" s="265" t="str">
        <f ca="1">IF(AND(ResultsInd[[#This Row],[Category]]&lt;&gt;"",ResultsInd[[#This Row],[Player B]]&lt;&gt;""),COUNTIF(INDIRECT(ResultsInd[[#This Row],[Category]]&amp;"List[Retained Player Name]"),ResultsInd[[#This Row],[Player B]]),"")</f>
        <v/>
      </c>
      <c r="R9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6" s="265" t="str">
        <f>IF(ResultsInd[[#This Row],[Score_OK]],IF(ResultsInd[[#This Row],[Stage]]="Groups",ResultsInd[[#This Row],[Category]]&amp;"-"&amp;IF(ResultsInd[[#This Row],[Player B]]="","",IF(ResultsInd[[#This Row],[Score-A]]=ResultsInd[[#This Row],[Score-B]],ResultsInd[[#This Row],[Player A]],"")),""),"")</f>
        <v/>
      </c>
      <c r="T996" s="265" t="str">
        <f>IF(ResultsInd[[#This Row],[Score_OK]],IF(ResultsInd[[#This Row],[Stage]]="Groups",ResultsInd[[#This Row],[Category]]&amp;"-"&amp;IF(ResultsInd[[#This Row],[Player B]]="","",IF(ResultsInd[[#This Row],[Score-A]]=ResultsInd[[#This Row],[Score-B]],ResultsInd[[#This Row],[Player B]],"")),""),"")</f>
        <v/>
      </c>
      <c r="U9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6" s="264" t="str">
        <f>IF(ResultsInd[[#This Row],[Category]]="","",VLOOKUP(ResultsInd[[#This Row],[Stage]],$P$1:$V$9,MATCH(ResultsInd[[#This Row],[Category]],$Q$1:$V$1,0)+1,FALSE))</f>
        <v/>
      </c>
      <c r="Z996" s="264" t="str">
        <f>IF(ResultsInd[[#This Row],[Score_OK]],IF(ResultsInd[[#This Row],[Level]]="R",ResultsInd[[#This Row],[Category]]&amp;"-"&amp;IF(ResultsInd[[#This Row],[LoseInKO]]=ResultsInd[[#This Row],[Category]]&amp;"-"&amp;ResultsInd[[#This Row],[Player A]],ResultsInd[[#This Row],[Player B]],ResultsInd[[#This Row],[Player A]]),""),"")</f>
        <v/>
      </c>
      <c r="AB996" s="8"/>
      <c r="AC996" s="8"/>
      <c r="AE996" s="90"/>
      <c r="AF996" s="90"/>
      <c r="AP996" s="8"/>
      <c r="AQ996" s="8"/>
      <c r="AR996" s="8"/>
      <c r="AS996" s="8"/>
      <c r="AT996" s="8"/>
      <c r="AU996" s="8"/>
      <c r="AV996" s="8"/>
      <c r="AW996" s="8"/>
      <c r="AX996" s="8"/>
      <c r="AY996" s="90"/>
      <c r="AZ996" s="90"/>
      <c r="BA996" s="90"/>
      <c r="BB996" s="90"/>
      <c r="BC996" s="90"/>
      <c r="BD996" s="90"/>
      <c r="BE996" s="90"/>
      <c r="BF996" s="90"/>
    </row>
    <row r="997" spans="1:58" x14ac:dyDescent="0.2">
      <c r="A997" s="62"/>
      <c r="B997" s="62"/>
      <c r="C997" s="62"/>
      <c r="D997" s="62"/>
      <c r="E997" s="345"/>
      <c r="F997" s="345"/>
      <c r="G997" s="113"/>
      <c r="H997" s="113"/>
      <c r="I997" s="114"/>
      <c r="J997" s="114"/>
      <c r="K997" s="114"/>
      <c r="L997" s="81"/>
      <c r="M997" s="265" t="b">
        <f>NOT(ISERROR(ResultsInd[[#This Row],[Goal-A]]+ResultsInd[[#This Row],[Goal-B]]))</f>
        <v>1</v>
      </c>
      <c r="N997" s="265">
        <f>VALUE(ResultsInd[[#This Row],[Score-A]])</f>
        <v>0</v>
      </c>
      <c r="O997" s="265">
        <f>VALUE(ResultsInd[[#This Row],[Score-B]])</f>
        <v>0</v>
      </c>
      <c r="P997" s="265" t="str">
        <f ca="1">IF(AND(ResultsInd[[#This Row],[Category]]&lt;&gt;"",ResultsInd[[#This Row],[Player A]]&lt;&gt;""),COUNTIF(INDIRECT(ResultsInd[[#This Row],[Category]]&amp;"List[Retained Player Name]"),ResultsInd[[#This Row],[Player A]]),"")</f>
        <v/>
      </c>
      <c r="Q997" s="265" t="str">
        <f ca="1">IF(AND(ResultsInd[[#This Row],[Category]]&lt;&gt;"",ResultsInd[[#This Row],[Player B]]&lt;&gt;""),COUNTIF(INDIRECT(ResultsInd[[#This Row],[Category]]&amp;"List[Retained Player Name]"),ResultsInd[[#This Row],[Player B]]),"")</f>
        <v/>
      </c>
      <c r="R9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7" s="265" t="str">
        <f>IF(ResultsInd[[#This Row],[Score_OK]],IF(ResultsInd[[#This Row],[Stage]]="Groups",ResultsInd[[#This Row],[Category]]&amp;"-"&amp;IF(ResultsInd[[#This Row],[Player B]]="","",IF(ResultsInd[[#This Row],[Score-A]]=ResultsInd[[#This Row],[Score-B]],ResultsInd[[#This Row],[Player A]],"")),""),"")</f>
        <v/>
      </c>
      <c r="T997" s="265" t="str">
        <f>IF(ResultsInd[[#This Row],[Score_OK]],IF(ResultsInd[[#This Row],[Stage]]="Groups",ResultsInd[[#This Row],[Category]]&amp;"-"&amp;IF(ResultsInd[[#This Row],[Player B]]="","",IF(ResultsInd[[#This Row],[Score-A]]=ResultsInd[[#This Row],[Score-B]],ResultsInd[[#This Row],[Player B]],"")),""),"")</f>
        <v/>
      </c>
      <c r="U9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7" s="264" t="str">
        <f>IF(ResultsInd[[#This Row],[Category]]="","",VLOOKUP(ResultsInd[[#This Row],[Stage]],$P$1:$V$9,MATCH(ResultsInd[[#This Row],[Category]],$Q$1:$V$1,0)+1,FALSE))</f>
        <v/>
      </c>
      <c r="Z997" s="264" t="str">
        <f>IF(ResultsInd[[#This Row],[Score_OK]],IF(ResultsInd[[#This Row],[Level]]="R",ResultsInd[[#This Row],[Category]]&amp;"-"&amp;IF(ResultsInd[[#This Row],[LoseInKO]]=ResultsInd[[#This Row],[Category]]&amp;"-"&amp;ResultsInd[[#This Row],[Player A]],ResultsInd[[#This Row],[Player B]],ResultsInd[[#This Row],[Player A]]),""),"")</f>
        <v/>
      </c>
      <c r="AB997" s="8"/>
      <c r="AC997" s="8"/>
      <c r="AE997" s="90"/>
      <c r="AF997" s="90"/>
      <c r="AP997" s="8"/>
      <c r="AQ997" s="8"/>
      <c r="AR997" s="8"/>
      <c r="AS997" s="8"/>
      <c r="AT997" s="8"/>
      <c r="AU997" s="8"/>
      <c r="AV997" s="8"/>
      <c r="AW997" s="8"/>
      <c r="AX997" s="8"/>
      <c r="AY997" s="90"/>
      <c r="AZ997" s="90"/>
      <c r="BA997" s="90"/>
      <c r="BB997" s="90"/>
      <c r="BC997" s="90"/>
      <c r="BD997" s="90"/>
      <c r="BE997" s="90"/>
      <c r="BF997" s="90"/>
    </row>
    <row r="998" spans="1:58" x14ac:dyDescent="0.2">
      <c r="A998" s="62"/>
      <c r="B998" s="62"/>
      <c r="C998" s="62"/>
      <c r="D998" s="62"/>
      <c r="E998" s="345"/>
      <c r="F998" s="345"/>
      <c r="G998" s="113"/>
      <c r="H998" s="113"/>
      <c r="I998" s="114"/>
      <c r="J998" s="114"/>
      <c r="K998" s="114"/>
      <c r="L998" s="81"/>
      <c r="M998" s="265" t="b">
        <f>NOT(ISERROR(ResultsInd[[#This Row],[Goal-A]]+ResultsInd[[#This Row],[Goal-B]]))</f>
        <v>1</v>
      </c>
      <c r="N998" s="265">
        <f>VALUE(ResultsInd[[#This Row],[Score-A]])</f>
        <v>0</v>
      </c>
      <c r="O998" s="265">
        <f>VALUE(ResultsInd[[#This Row],[Score-B]])</f>
        <v>0</v>
      </c>
      <c r="P998" s="265" t="str">
        <f ca="1">IF(AND(ResultsInd[[#This Row],[Category]]&lt;&gt;"",ResultsInd[[#This Row],[Player A]]&lt;&gt;""),COUNTIF(INDIRECT(ResultsInd[[#This Row],[Category]]&amp;"List[Retained Player Name]"),ResultsInd[[#This Row],[Player A]]),"")</f>
        <v/>
      </c>
      <c r="Q998" s="265" t="str">
        <f ca="1">IF(AND(ResultsInd[[#This Row],[Category]]&lt;&gt;"",ResultsInd[[#This Row],[Player B]]&lt;&gt;""),COUNTIF(INDIRECT(ResultsInd[[#This Row],[Category]]&amp;"List[Retained Player Name]"),ResultsInd[[#This Row],[Player B]]),"")</f>
        <v/>
      </c>
      <c r="R9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8" s="265" t="str">
        <f>IF(ResultsInd[[#This Row],[Score_OK]],IF(ResultsInd[[#This Row],[Stage]]="Groups",ResultsInd[[#This Row],[Category]]&amp;"-"&amp;IF(ResultsInd[[#This Row],[Player B]]="","",IF(ResultsInd[[#This Row],[Score-A]]=ResultsInd[[#This Row],[Score-B]],ResultsInd[[#This Row],[Player A]],"")),""),"")</f>
        <v/>
      </c>
      <c r="T998" s="265" t="str">
        <f>IF(ResultsInd[[#This Row],[Score_OK]],IF(ResultsInd[[#This Row],[Stage]]="Groups",ResultsInd[[#This Row],[Category]]&amp;"-"&amp;IF(ResultsInd[[#This Row],[Player B]]="","",IF(ResultsInd[[#This Row],[Score-A]]=ResultsInd[[#This Row],[Score-B]],ResultsInd[[#This Row],[Player B]],"")),""),"")</f>
        <v/>
      </c>
      <c r="U9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8" s="264" t="str">
        <f>IF(ResultsInd[[#This Row],[Category]]="","",VLOOKUP(ResultsInd[[#This Row],[Stage]],$P$1:$V$9,MATCH(ResultsInd[[#This Row],[Category]],$Q$1:$V$1,0)+1,FALSE))</f>
        <v/>
      </c>
      <c r="Z998" s="264" t="str">
        <f>IF(ResultsInd[[#This Row],[Score_OK]],IF(ResultsInd[[#This Row],[Level]]="R",ResultsInd[[#This Row],[Category]]&amp;"-"&amp;IF(ResultsInd[[#This Row],[LoseInKO]]=ResultsInd[[#This Row],[Category]]&amp;"-"&amp;ResultsInd[[#This Row],[Player A]],ResultsInd[[#This Row],[Player B]],ResultsInd[[#This Row],[Player A]]),""),"")</f>
        <v/>
      </c>
      <c r="AB998" s="8"/>
      <c r="AC998" s="8"/>
      <c r="AE998" s="90"/>
      <c r="AF998" s="90"/>
      <c r="AP998" s="8"/>
      <c r="AQ998" s="8"/>
      <c r="AR998" s="8"/>
      <c r="AS998" s="8"/>
      <c r="AT998" s="8"/>
      <c r="AU998" s="8"/>
      <c r="AV998" s="8"/>
      <c r="AW998" s="8"/>
      <c r="AX998" s="8"/>
      <c r="AY998" s="90"/>
      <c r="AZ998" s="90"/>
      <c r="BA998" s="90"/>
      <c r="BB998" s="90"/>
      <c r="BC998" s="90"/>
      <c r="BD998" s="90"/>
      <c r="BE998" s="90"/>
      <c r="BF998" s="90"/>
    </row>
    <row r="999" spans="1:58" x14ac:dyDescent="0.2">
      <c r="A999" s="62"/>
      <c r="B999" s="62"/>
      <c r="C999" s="62"/>
      <c r="D999" s="62"/>
      <c r="E999" s="345"/>
      <c r="F999" s="345"/>
      <c r="G999" s="113"/>
      <c r="H999" s="113"/>
      <c r="I999" s="114"/>
      <c r="J999" s="114"/>
      <c r="K999" s="114"/>
      <c r="L999" s="81"/>
      <c r="M999" s="265" t="b">
        <f>NOT(ISERROR(ResultsInd[[#This Row],[Goal-A]]+ResultsInd[[#This Row],[Goal-B]]))</f>
        <v>1</v>
      </c>
      <c r="N999" s="265">
        <f>VALUE(ResultsInd[[#This Row],[Score-A]])</f>
        <v>0</v>
      </c>
      <c r="O999" s="265">
        <f>VALUE(ResultsInd[[#This Row],[Score-B]])</f>
        <v>0</v>
      </c>
      <c r="P999" s="265" t="str">
        <f ca="1">IF(AND(ResultsInd[[#This Row],[Category]]&lt;&gt;"",ResultsInd[[#This Row],[Player A]]&lt;&gt;""),COUNTIF(INDIRECT(ResultsInd[[#This Row],[Category]]&amp;"List[Retained Player Name]"),ResultsInd[[#This Row],[Player A]]),"")</f>
        <v/>
      </c>
      <c r="Q999" s="265" t="str">
        <f ca="1">IF(AND(ResultsInd[[#This Row],[Category]]&lt;&gt;"",ResultsInd[[#This Row],[Player B]]&lt;&gt;""),COUNTIF(INDIRECT(ResultsInd[[#This Row],[Category]]&amp;"List[Retained Player Name]"),ResultsInd[[#This Row],[Player B]]),"")</f>
        <v/>
      </c>
      <c r="R9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9" s="265" t="str">
        <f>IF(ResultsInd[[#This Row],[Score_OK]],IF(ResultsInd[[#This Row],[Stage]]="Groups",ResultsInd[[#This Row],[Category]]&amp;"-"&amp;IF(ResultsInd[[#This Row],[Player B]]="","",IF(ResultsInd[[#This Row],[Score-A]]=ResultsInd[[#This Row],[Score-B]],ResultsInd[[#This Row],[Player A]],"")),""),"")</f>
        <v/>
      </c>
      <c r="T999" s="265" t="str">
        <f>IF(ResultsInd[[#This Row],[Score_OK]],IF(ResultsInd[[#This Row],[Stage]]="Groups",ResultsInd[[#This Row],[Category]]&amp;"-"&amp;IF(ResultsInd[[#This Row],[Player B]]="","",IF(ResultsInd[[#This Row],[Score-A]]=ResultsInd[[#This Row],[Score-B]],ResultsInd[[#This Row],[Player B]],"")),""),"")</f>
        <v/>
      </c>
      <c r="U9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9" s="264" t="str">
        <f>IF(ResultsInd[[#This Row],[Category]]="","",VLOOKUP(ResultsInd[[#This Row],[Stage]],$P$1:$V$9,MATCH(ResultsInd[[#This Row],[Category]],$Q$1:$V$1,0)+1,FALSE))</f>
        <v/>
      </c>
      <c r="Z999" s="264" t="str">
        <f>IF(ResultsInd[[#This Row],[Score_OK]],IF(ResultsInd[[#This Row],[Level]]="R",ResultsInd[[#This Row],[Category]]&amp;"-"&amp;IF(ResultsInd[[#This Row],[LoseInKO]]=ResultsInd[[#This Row],[Category]]&amp;"-"&amp;ResultsInd[[#This Row],[Player A]],ResultsInd[[#This Row],[Player B]],ResultsInd[[#This Row],[Player A]]),""),"")</f>
        <v/>
      </c>
      <c r="AB999" s="8"/>
      <c r="AC999" s="8"/>
      <c r="AE999" s="90"/>
      <c r="AF999" s="90"/>
      <c r="AP999" s="8"/>
      <c r="AQ999" s="8"/>
      <c r="AR999" s="8"/>
      <c r="AS999" s="8"/>
      <c r="AT999" s="8"/>
      <c r="AU999" s="8"/>
      <c r="AV999" s="8"/>
      <c r="AW999" s="8"/>
      <c r="AX999" s="8"/>
      <c r="AY999" s="90"/>
      <c r="AZ999" s="90"/>
      <c r="BA999" s="90"/>
      <c r="BB999" s="90"/>
      <c r="BC999" s="90"/>
      <c r="BD999" s="90"/>
      <c r="BE999" s="90"/>
      <c r="BF999" s="90"/>
    </row>
    <row r="1000" spans="1:58" x14ac:dyDescent="0.2">
      <c r="A1000" s="62"/>
      <c r="B1000" s="62"/>
      <c r="C1000" s="62"/>
      <c r="D1000" s="62"/>
      <c r="E1000" s="345"/>
      <c r="F1000" s="345"/>
      <c r="G1000" s="113"/>
      <c r="H1000" s="113"/>
      <c r="I1000" s="114"/>
      <c r="J1000" s="114"/>
      <c r="K1000" s="114"/>
      <c r="L1000" s="81"/>
      <c r="M1000" s="265" t="b">
        <f>NOT(ISERROR(ResultsInd[[#This Row],[Goal-A]]+ResultsInd[[#This Row],[Goal-B]]))</f>
        <v>1</v>
      </c>
      <c r="N1000" s="265">
        <f>VALUE(ResultsInd[[#This Row],[Score-A]])</f>
        <v>0</v>
      </c>
      <c r="O1000" s="265">
        <f>VALUE(ResultsInd[[#This Row],[Score-B]])</f>
        <v>0</v>
      </c>
      <c r="P1000" s="265" t="str">
        <f ca="1">IF(AND(ResultsInd[[#This Row],[Category]]&lt;&gt;"",ResultsInd[[#This Row],[Player A]]&lt;&gt;""),COUNTIF(INDIRECT(ResultsInd[[#This Row],[Category]]&amp;"List[Retained Player Name]"),ResultsInd[[#This Row],[Player A]]),"")</f>
        <v/>
      </c>
      <c r="Q1000" s="265" t="str">
        <f ca="1">IF(AND(ResultsInd[[#This Row],[Category]]&lt;&gt;"",ResultsInd[[#This Row],[Player B]]&lt;&gt;""),COUNTIF(INDIRECT(ResultsInd[[#This Row],[Category]]&amp;"List[Retained Player Name]"),ResultsInd[[#This Row],[Player B]]),"")</f>
        <v/>
      </c>
      <c r="R10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0" s="265" t="str">
        <f>IF(ResultsInd[[#This Row],[Score_OK]],IF(ResultsInd[[#This Row],[Stage]]="Groups",ResultsInd[[#This Row],[Category]]&amp;"-"&amp;IF(ResultsInd[[#This Row],[Player B]]="","",IF(ResultsInd[[#This Row],[Score-A]]=ResultsInd[[#This Row],[Score-B]],ResultsInd[[#This Row],[Player A]],"")),""),"")</f>
        <v/>
      </c>
      <c r="T1000" s="265" t="str">
        <f>IF(ResultsInd[[#This Row],[Score_OK]],IF(ResultsInd[[#This Row],[Stage]]="Groups",ResultsInd[[#This Row],[Category]]&amp;"-"&amp;IF(ResultsInd[[#This Row],[Player B]]="","",IF(ResultsInd[[#This Row],[Score-A]]=ResultsInd[[#This Row],[Score-B]],ResultsInd[[#This Row],[Player B]],"")),""),"")</f>
        <v/>
      </c>
      <c r="U10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0" s="264" t="str">
        <f>IF(ResultsInd[[#This Row],[Category]]="","",VLOOKUP(ResultsInd[[#This Row],[Stage]],$P$1:$V$9,MATCH(ResultsInd[[#This Row],[Category]],$Q$1:$V$1,0)+1,FALSE))</f>
        <v/>
      </c>
      <c r="Z1000" s="264" t="str">
        <f>IF(ResultsInd[[#This Row],[Score_OK]],IF(ResultsInd[[#This Row],[Level]]="R",ResultsInd[[#This Row],[Category]]&amp;"-"&amp;IF(ResultsInd[[#This Row],[LoseInKO]]=ResultsInd[[#This Row],[Category]]&amp;"-"&amp;ResultsInd[[#This Row],[Player A]],ResultsInd[[#This Row],[Player B]],ResultsInd[[#This Row],[Player A]]),""),"")</f>
        <v/>
      </c>
      <c r="AB1000" s="8"/>
      <c r="AC1000" s="8"/>
      <c r="AE1000" s="90"/>
      <c r="AF1000" s="90"/>
      <c r="AP1000" s="8"/>
      <c r="AQ1000" s="8"/>
      <c r="AR1000" s="8"/>
      <c r="AS1000" s="8"/>
      <c r="AT1000" s="8"/>
      <c r="AU1000" s="8"/>
      <c r="AV1000" s="8"/>
      <c r="AW1000" s="8"/>
      <c r="AX1000" s="8"/>
      <c r="AY1000" s="90"/>
      <c r="AZ1000" s="90"/>
      <c r="BA1000" s="90"/>
      <c r="BB1000" s="90"/>
      <c r="BC1000" s="90"/>
      <c r="BD1000" s="90"/>
      <c r="BE1000" s="90"/>
      <c r="BF1000" s="90"/>
    </row>
    <row r="1001" spans="1:58" x14ac:dyDescent="0.2">
      <c r="A1001" s="62"/>
      <c r="B1001" s="62"/>
      <c r="C1001" s="62"/>
      <c r="D1001" s="62"/>
      <c r="E1001" s="345"/>
      <c r="F1001" s="345"/>
      <c r="G1001" s="113"/>
      <c r="H1001" s="113"/>
      <c r="I1001" s="114"/>
      <c r="J1001" s="114"/>
      <c r="K1001" s="114"/>
      <c r="L1001" s="81"/>
      <c r="M1001" s="265" t="b">
        <f>NOT(ISERROR(ResultsInd[[#This Row],[Goal-A]]+ResultsInd[[#This Row],[Goal-B]]))</f>
        <v>1</v>
      </c>
      <c r="N1001" s="265">
        <f>VALUE(ResultsInd[[#This Row],[Score-A]])</f>
        <v>0</v>
      </c>
      <c r="O1001" s="265">
        <f>VALUE(ResultsInd[[#This Row],[Score-B]])</f>
        <v>0</v>
      </c>
      <c r="P1001" s="265" t="str">
        <f ca="1">IF(AND(ResultsInd[[#This Row],[Category]]&lt;&gt;"",ResultsInd[[#This Row],[Player A]]&lt;&gt;""),COUNTIF(INDIRECT(ResultsInd[[#This Row],[Category]]&amp;"List[Retained Player Name]"),ResultsInd[[#This Row],[Player A]]),"")</f>
        <v/>
      </c>
      <c r="Q1001" s="265" t="str">
        <f ca="1">IF(AND(ResultsInd[[#This Row],[Category]]&lt;&gt;"",ResultsInd[[#This Row],[Player B]]&lt;&gt;""),COUNTIF(INDIRECT(ResultsInd[[#This Row],[Category]]&amp;"List[Retained Player Name]"),ResultsInd[[#This Row],[Player B]]),"")</f>
        <v/>
      </c>
      <c r="R10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1" s="265" t="str">
        <f>IF(ResultsInd[[#This Row],[Score_OK]],IF(ResultsInd[[#This Row],[Stage]]="Groups",ResultsInd[[#This Row],[Category]]&amp;"-"&amp;IF(ResultsInd[[#This Row],[Player B]]="","",IF(ResultsInd[[#This Row],[Score-A]]=ResultsInd[[#This Row],[Score-B]],ResultsInd[[#This Row],[Player A]],"")),""),"")</f>
        <v/>
      </c>
      <c r="T1001" s="265" t="str">
        <f>IF(ResultsInd[[#This Row],[Score_OK]],IF(ResultsInd[[#This Row],[Stage]]="Groups",ResultsInd[[#This Row],[Category]]&amp;"-"&amp;IF(ResultsInd[[#This Row],[Player B]]="","",IF(ResultsInd[[#This Row],[Score-A]]=ResultsInd[[#This Row],[Score-B]],ResultsInd[[#This Row],[Player B]],"")),""),"")</f>
        <v/>
      </c>
      <c r="U10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1" s="264" t="str">
        <f>IF(ResultsInd[[#This Row],[Category]]="","",VLOOKUP(ResultsInd[[#This Row],[Stage]],$P$1:$V$9,MATCH(ResultsInd[[#This Row],[Category]],$Q$1:$V$1,0)+1,FALSE))</f>
        <v/>
      </c>
      <c r="Z1001" s="264" t="str">
        <f>IF(ResultsInd[[#This Row],[Score_OK]],IF(ResultsInd[[#This Row],[Level]]="R",ResultsInd[[#This Row],[Category]]&amp;"-"&amp;IF(ResultsInd[[#This Row],[LoseInKO]]=ResultsInd[[#This Row],[Category]]&amp;"-"&amp;ResultsInd[[#This Row],[Player A]],ResultsInd[[#This Row],[Player B]],ResultsInd[[#This Row],[Player A]]),""),"")</f>
        <v/>
      </c>
      <c r="AB1001" s="8"/>
      <c r="AC1001" s="8"/>
      <c r="AE1001" s="90"/>
      <c r="AF1001" s="90"/>
      <c r="AP1001" s="8"/>
      <c r="AQ1001" s="8"/>
      <c r="AR1001" s="8"/>
      <c r="AS1001" s="8"/>
      <c r="AT1001" s="8"/>
      <c r="AU1001" s="8"/>
      <c r="AV1001" s="8"/>
      <c r="AW1001" s="8"/>
      <c r="AX1001" s="8"/>
      <c r="AY1001" s="90"/>
      <c r="AZ1001" s="90"/>
      <c r="BA1001" s="90"/>
      <c r="BB1001" s="90"/>
      <c r="BC1001" s="90"/>
      <c r="BD1001" s="90"/>
      <c r="BE1001" s="90"/>
      <c r="BF1001" s="90"/>
    </row>
    <row r="1002" spans="1:58" x14ac:dyDescent="0.2">
      <c r="A1002" s="62"/>
      <c r="B1002" s="62"/>
      <c r="C1002" s="62"/>
      <c r="D1002" s="62"/>
      <c r="E1002" s="345"/>
      <c r="F1002" s="345"/>
      <c r="G1002" s="113"/>
      <c r="H1002" s="113"/>
      <c r="I1002" s="114"/>
      <c r="J1002" s="114"/>
      <c r="K1002" s="114"/>
      <c r="L1002" s="81"/>
      <c r="M1002" s="265" t="b">
        <f>NOT(ISERROR(ResultsInd[[#This Row],[Goal-A]]+ResultsInd[[#This Row],[Goal-B]]))</f>
        <v>1</v>
      </c>
      <c r="N1002" s="265">
        <f>VALUE(ResultsInd[[#This Row],[Score-A]])</f>
        <v>0</v>
      </c>
      <c r="O1002" s="265">
        <f>VALUE(ResultsInd[[#This Row],[Score-B]])</f>
        <v>0</v>
      </c>
      <c r="P1002" s="265" t="str">
        <f ca="1">IF(AND(ResultsInd[[#This Row],[Category]]&lt;&gt;"",ResultsInd[[#This Row],[Player A]]&lt;&gt;""),COUNTIF(INDIRECT(ResultsInd[[#This Row],[Category]]&amp;"List[Retained Player Name]"),ResultsInd[[#This Row],[Player A]]),"")</f>
        <v/>
      </c>
      <c r="Q1002" s="265" t="str">
        <f ca="1">IF(AND(ResultsInd[[#This Row],[Category]]&lt;&gt;"",ResultsInd[[#This Row],[Player B]]&lt;&gt;""),COUNTIF(INDIRECT(ResultsInd[[#This Row],[Category]]&amp;"List[Retained Player Name]"),ResultsInd[[#This Row],[Player B]]),"")</f>
        <v/>
      </c>
      <c r="R10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2" s="265" t="str">
        <f>IF(ResultsInd[[#This Row],[Score_OK]],IF(ResultsInd[[#This Row],[Stage]]="Groups",ResultsInd[[#This Row],[Category]]&amp;"-"&amp;IF(ResultsInd[[#This Row],[Player B]]="","",IF(ResultsInd[[#This Row],[Score-A]]=ResultsInd[[#This Row],[Score-B]],ResultsInd[[#This Row],[Player A]],"")),""),"")</f>
        <v/>
      </c>
      <c r="T1002" s="265" t="str">
        <f>IF(ResultsInd[[#This Row],[Score_OK]],IF(ResultsInd[[#This Row],[Stage]]="Groups",ResultsInd[[#This Row],[Category]]&amp;"-"&amp;IF(ResultsInd[[#This Row],[Player B]]="","",IF(ResultsInd[[#This Row],[Score-A]]=ResultsInd[[#This Row],[Score-B]],ResultsInd[[#This Row],[Player B]],"")),""),"")</f>
        <v/>
      </c>
      <c r="U10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2" s="264" t="str">
        <f>IF(ResultsInd[[#This Row],[Category]]="","",VLOOKUP(ResultsInd[[#This Row],[Stage]],$P$1:$V$9,MATCH(ResultsInd[[#This Row],[Category]],$Q$1:$V$1,0)+1,FALSE))</f>
        <v/>
      </c>
      <c r="Z1002" s="264" t="str">
        <f>IF(ResultsInd[[#This Row],[Score_OK]],IF(ResultsInd[[#This Row],[Level]]="R",ResultsInd[[#This Row],[Category]]&amp;"-"&amp;IF(ResultsInd[[#This Row],[LoseInKO]]=ResultsInd[[#This Row],[Category]]&amp;"-"&amp;ResultsInd[[#This Row],[Player A]],ResultsInd[[#This Row],[Player B]],ResultsInd[[#This Row],[Player A]]),""),"")</f>
        <v/>
      </c>
      <c r="AB1002" s="8"/>
      <c r="AC1002" s="8"/>
      <c r="AE1002" s="90"/>
      <c r="AF1002" s="90"/>
      <c r="AP1002" s="8"/>
      <c r="AQ1002" s="8"/>
      <c r="AR1002" s="8"/>
      <c r="AS1002" s="8"/>
      <c r="AT1002" s="8"/>
      <c r="AU1002" s="8"/>
      <c r="AV1002" s="8"/>
      <c r="AW1002" s="8"/>
      <c r="AX1002" s="8"/>
      <c r="AY1002" s="90"/>
      <c r="AZ1002" s="90"/>
      <c r="BA1002" s="90"/>
      <c r="BB1002" s="90"/>
      <c r="BC1002" s="90"/>
      <c r="BD1002" s="90"/>
      <c r="BE1002" s="90"/>
      <c r="BF1002" s="90"/>
    </row>
    <row r="1003" spans="1:58" x14ac:dyDescent="0.2">
      <c r="A1003" s="62"/>
      <c r="B1003" s="62"/>
      <c r="C1003" s="62"/>
      <c r="D1003" s="62"/>
      <c r="E1003" s="345"/>
      <c r="F1003" s="345"/>
      <c r="G1003" s="113"/>
      <c r="H1003" s="113"/>
      <c r="I1003" s="114"/>
      <c r="J1003" s="114"/>
      <c r="K1003" s="114"/>
      <c r="L1003" s="81"/>
      <c r="M1003" s="265" t="b">
        <f>NOT(ISERROR(ResultsInd[[#This Row],[Goal-A]]+ResultsInd[[#This Row],[Goal-B]]))</f>
        <v>1</v>
      </c>
      <c r="N1003" s="265">
        <f>VALUE(ResultsInd[[#This Row],[Score-A]])</f>
        <v>0</v>
      </c>
      <c r="O1003" s="265">
        <f>VALUE(ResultsInd[[#This Row],[Score-B]])</f>
        <v>0</v>
      </c>
      <c r="P1003" s="265" t="str">
        <f ca="1">IF(AND(ResultsInd[[#This Row],[Category]]&lt;&gt;"",ResultsInd[[#This Row],[Player A]]&lt;&gt;""),COUNTIF(INDIRECT(ResultsInd[[#This Row],[Category]]&amp;"List[Retained Player Name]"),ResultsInd[[#This Row],[Player A]]),"")</f>
        <v/>
      </c>
      <c r="Q1003" s="265" t="str">
        <f ca="1">IF(AND(ResultsInd[[#This Row],[Category]]&lt;&gt;"",ResultsInd[[#This Row],[Player B]]&lt;&gt;""),COUNTIF(INDIRECT(ResultsInd[[#This Row],[Category]]&amp;"List[Retained Player Name]"),ResultsInd[[#This Row],[Player B]]),"")</f>
        <v/>
      </c>
      <c r="R10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3" s="265" t="str">
        <f>IF(ResultsInd[[#This Row],[Score_OK]],IF(ResultsInd[[#This Row],[Stage]]="Groups",ResultsInd[[#This Row],[Category]]&amp;"-"&amp;IF(ResultsInd[[#This Row],[Player B]]="","",IF(ResultsInd[[#This Row],[Score-A]]=ResultsInd[[#This Row],[Score-B]],ResultsInd[[#This Row],[Player A]],"")),""),"")</f>
        <v/>
      </c>
      <c r="T1003" s="265" t="str">
        <f>IF(ResultsInd[[#This Row],[Score_OK]],IF(ResultsInd[[#This Row],[Stage]]="Groups",ResultsInd[[#This Row],[Category]]&amp;"-"&amp;IF(ResultsInd[[#This Row],[Player B]]="","",IF(ResultsInd[[#This Row],[Score-A]]=ResultsInd[[#This Row],[Score-B]],ResultsInd[[#This Row],[Player B]],"")),""),"")</f>
        <v/>
      </c>
      <c r="U10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3" s="264" t="str">
        <f>IF(ResultsInd[[#This Row],[Category]]="","",VLOOKUP(ResultsInd[[#This Row],[Stage]],$P$1:$V$9,MATCH(ResultsInd[[#This Row],[Category]],$Q$1:$V$1,0)+1,FALSE))</f>
        <v/>
      </c>
      <c r="Z1003" s="264" t="str">
        <f>IF(ResultsInd[[#This Row],[Score_OK]],IF(ResultsInd[[#This Row],[Level]]="R",ResultsInd[[#This Row],[Category]]&amp;"-"&amp;IF(ResultsInd[[#This Row],[LoseInKO]]=ResultsInd[[#This Row],[Category]]&amp;"-"&amp;ResultsInd[[#This Row],[Player A]],ResultsInd[[#This Row],[Player B]],ResultsInd[[#This Row],[Player A]]),""),"")</f>
        <v/>
      </c>
      <c r="AB1003" s="8"/>
      <c r="AC1003" s="8"/>
      <c r="AE1003" s="90"/>
      <c r="AF1003" s="90"/>
      <c r="AP1003" s="8"/>
      <c r="AQ1003" s="8"/>
      <c r="AR1003" s="8"/>
      <c r="AS1003" s="8"/>
      <c r="AT1003" s="8"/>
      <c r="AU1003" s="8"/>
      <c r="AV1003" s="8"/>
      <c r="AW1003" s="8"/>
      <c r="AX1003" s="8"/>
      <c r="AY1003" s="90"/>
      <c r="AZ1003" s="90"/>
      <c r="BA1003" s="90"/>
      <c r="BB1003" s="90"/>
      <c r="BC1003" s="90"/>
      <c r="BD1003" s="90"/>
      <c r="BE1003" s="90"/>
      <c r="BF1003" s="90"/>
    </row>
    <row r="1004" spans="1:58" x14ac:dyDescent="0.2">
      <c r="A1004" s="62"/>
      <c r="B1004" s="62"/>
      <c r="C1004" s="62"/>
      <c r="D1004" s="62"/>
      <c r="E1004" s="345"/>
      <c r="F1004" s="345"/>
      <c r="G1004" s="113"/>
      <c r="H1004" s="113"/>
      <c r="I1004" s="114"/>
      <c r="J1004" s="114"/>
      <c r="K1004" s="114"/>
      <c r="L1004" s="81"/>
      <c r="M1004" s="265" t="b">
        <f>NOT(ISERROR(ResultsInd[[#This Row],[Goal-A]]+ResultsInd[[#This Row],[Goal-B]]))</f>
        <v>1</v>
      </c>
      <c r="N1004" s="265">
        <f>VALUE(ResultsInd[[#This Row],[Score-A]])</f>
        <v>0</v>
      </c>
      <c r="O1004" s="265">
        <f>VALUE(ResultsInd[[#This Row],[Score-B]])</f>
        <v>0</v>
      </c>
      <c r="P1004" s="265" t="str">
        <f ca="1">IF(AND(ResultsInd[[#This Row],[Category]]&lt;&gt;"",ResultsInd[[#This Row],[Player A]]&lt;&gt;""),COUNTIF(INDIRECT(ResultsInd[[#This Row],[Category]]&amp;"List[Retained Player Name]"),ResultsInd[[#This Row],[Player A]]),"")</f>
        <v/>
      </c>
      <c r="Q1004" s="265" t="str">
        <f ca="1">IF(AND(ResultsInd[[#This Row],[Category]]&lt;&gt;"",ResultsInd[[#This Row],[Player B]]&lt;&gt;""),COUNTIF(INDIRECT(ResultsInd[[#This Row],[Category]]&amp;"List[Retained Player Name]"),ResultsInd[[#This Row],[Player B]]),"")</f>
        <v/>
      </c>
      <c r="R10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4" s="265" t="str">
        <f>IF(ResultsInd[[#This Row],[Score_OK]],IF(ResultsInd[[#This Row],[Stage]]="Groups",ResultsInd[[#This Row],[Category]]&amp;"-"&amp;IF(ResultsInd[[#This Row],[Player B]]="","",IF(ResultsInd[[#This Row],[Score-A]]=ResultsInd[[#This Row],[Score-B]],ResultsInd[[#This Row],[Player A]],"")),""),"")</f>
        <v/>
      </c>
      <c r="T1004" s="265" t="str">
        <f>IF(ResultsInd[[#This Row],[Score_OK]],IF(ResultsInd[[#This Row],[Stage]]="Groups",ResultsInd[[#This Row],[Category]]&amp;"-"&amp;IF(ResultsInd[[#This Row],[Player B]]="","",IF(ResultsInd[[#This Row],[Score-A]]=ResultsInd[[#This Row],[Score-B]],ResultsInd[[#This Row],[Player B]],"")),""),"")</f>
        <v/>
      </c>
      <c r="U10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4" s="264" t="str">
        <f>IF(ResultsInd[[#This Row],[Category]]="","",VLOOKUP(ResultsInd[[#This Row],[Stage]],$P$1:$V$9,MATCH(ResultsInd[[#This Row],[Category]],$Q$1:$V$1,0)+1,FALSE))</f>
        <v/>
      </c>
      <c r="Z1004" s="264" t="str">
        <f>IF(ResultsInd[[#This Row],[Score_OK]],IF(ResultsInd[[#This Row],[Level]]="R",ResultsInd[[#This Row],[Category]]&amp;"-"&amp;IF(ResultsInd[[#This Row],[LoseInKO]]=ResultsInd[[#This Row],[Category]]&amp;"-"&amp;ResultsInd[[#This Row],[Player A]],ResultsInd[[#This Row],[Player B]],ResultsInd[[#This Row],[Player A]]),""),"")</f>
        <v/>
      </c>
      <c r="AB1004" s="8"/>
      <c r="AC1004" s="8"/>
      <c r="AE1004" s="90"/>
      <c r="AF1004" s="90"/>
      <c r="AP1004" s="8"/>
      <c r="AQ1004" s="8"/>
      <c r="AR1004" s="8"/>
      <c r="AS1004" s="8"/>
      <c r="AT1004" s="8"/>
      <c r="AU1004" s="8"/>
      <c r="AV1004" s="8"/>
      <c r="AW1004" s="8"/>
      <c r="AX1004" s="8"/>
      <c r="AY1004" s="90"/>
      <c r="AZ1004" s="90"/>
      <c r="BA1004" s="90"/>
      <c r="BB1004" s="90"/>
      <c r="BC1004" s="90"/>
      <c r="BD1004" s="90"/>
      <c r="BE1004" s="90"/>
      <c r="BF1004" s="90"/>
    </row>
    <row r="1005" spans="1:58" x14ac:dyDescent="0.2">
      <c r="A1005" s="62"/>
      <c r="B1005" s="62"/>
      <c r="C1005" s="62"/>
      <c r="D1005" s="62"/>
      <c r="E1005" s="345"/>
      <c r="F1005" s="345"/>
      <c r="G1005" s="113"/>
      <c r="H1005" s="113"/>
      <c r="I1005" s="114"/>
      <c r="J1005" s="114"/>
      <c r="K1005" s="114"/>
      <c r="L1005" s="81"/>
      <c r="M1005" s="265" t="b">
        <f>NOT(ISERROR(ResultsInd[[#This Row],[Goal-A]]+ResultsInd[[#This Row],[Goal-B]]))</f>
        <v>1</v>
      </c>
      <c r="N1005" s="265">
        <f>VALUE(ResultsInd[[#This Row],[Score-A]])</f>
        <v>0</v>
      </c>
      <c r="O1005" s="265">
        <f>VALUE(ResultsInd[[#This Row],[Score-B]])</f>
        <v>0</v>
      </c>
      <c r="P1005" s="265" t="str">
        <f ca="1">IF(AND(ResultsInd[[#This Row],[Category]]&lt;&gt;"",ResultsInd[[#This Row],[Player A]]&lt;&gt;""),COUNTIF(INDIRECT(ResultsInd[[#This Row],[Category]]&amp;"List[Retained Player Name]"),ResultsInd[[#This Row],[Player A]]),"")</f>
        <v/>
      </c>
      <c r="Q1005" s="265" t="str">
        <f ca="1">IF(AND(ResultsInd[[#This Row],[Category]]&lt;&gt;"",ResultsInd[[#This Row],[Player B]]&lt;&gt;""),COUNTIF(INDIRECT(ResultsInd[[#This Row],[Category]]&amp;"List[Retained Player Name]"),ResultsInd[[#This Row],[Player B]]),"")</f>
        <v/>
      </c>
      <c r="R10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5" s="265" t="str">
        <f>IF(ResultsInd[[#This Row],[Score_OK]],IF(ResultsInd[[#This Row],[Stage]]="Groups",ResultsInd[[#This Row],[Category]]&amp;"-"&amp;IF(ResultsInd[[#This Row],[Player B]]="","",IF(ResultsInd[[#This Row],[Score-A]]=ResultsInd[[#This Row],[Score-B]],ResultsInd[[#This Row],[Player A]],"")),""),"")</f>
        <v/>
      </c>
      <c r="T1005" s="265" t="str">
        <f>IF(ResultsInd[[#This Row],[Score_OK]],IF(ResultsInd[[#This Row],[Stage]]="Groups",ResultsInd[[#This Row],[Category]]&amp;"-"&amp;IF(ResultsInd[[#This Row],[Player B]]="","",IF(ResultsInd[[#This Row],[Score-A]]=ResultsInd[[#This Row],[Score-B]],ResultsInd[[#This Row],[Player B]],"")),""),"")</f>
        <v/>
      </c>
      <c r="U10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5" s="264" t="str">
        <f>IF(ResultsInd[[#This Row],[Category]]="","",VLOOKUP(ResultsInd[[#This Row],[Stage]],$P$1:$V$9,MATCH(ResultsInd[[#This Row],[Category]],$Q$1:$V$1,0)+1,FALSE))</f>
        <v/>
      </c>
      <c r="Z1005" s="264" t="str">
        <f>IF(ResultsInd[[#This Row],[Score_OK]],IF(ResultsInd[[#This Row],[Level]]="R",ResultsInd[[#This Row],[Category]]&amp;"-"&amp;IF(ResultsInd[[#This Row],[LoseInKO]]=ResultsInd[[#This Row],[Category]]&amp;"-"&amp;ResultsInd[[#This Row],[Player A]],ResultsInd[[#This Row],[Player B]],ResultsInd[[#This Row],[Player A]]),""),"")</f>
        <v/>
      </c>
      <c r="AB1005" s="8"/>
      <c r="AC1005" s="8"/>
      <c r="AE1005" s="90"/>
      <c r="AF1005" s="90"/>
      <c r="AP1005" s="8"/>
      <c r="AQ1005" s="8"/>
      <c r="AR1005" s="8"/>
      <c r="AS1005" s="8"/>
      <c r="AT1005" s="8"/>
      <c r="AU1005" s="8"/>
      <c r="AV1005" s="8"/>
      <c r="AW1005" s="8"/>
      <c r="AX1005" s="8"/>
      <c r="AY1005" s="90"/>
      <c r="AZ1005" s="90"/>
      <c r="BA1005" s="90"/>
      <c r="BB1005" s="90"/>
      <c r="BC1005" s="90"/>
      <c r="BD1005" s="90"/>
      <c r="BE1005" s="90"/>
      <c r="BF1005" s="90"/>
    </row>
    <row r="1006" spans="1:58" x14ac:dyDescent="0.2">
      <c r="A1006" s="62"/>
      <c r="B1006" s="62"/>
      <c r="C1006" s="62"/>
      <c r="D1006" s="62"/>
      <c r="E1006" s="345"/>
      <c r="F1006" s="345"/>
      <c r="G1006" s="113"/>
      <c r="H1006" s="113"/>
      <c r="I1006" s="114"/>
      <c r="J1006" s="114"/>
      <c r="K1006" s="114"/>
      <c r="L1006" s="81"/>
      <c r="M1006" s="265" t="b">
        <f>NOT(ISERROR(ResultsInd[[#This Row],[Goal-A]]+ResultsInd[[#This Row],[Goal-B]]))</f>
        <v>1</v>
      </c>
      <c r="N1006" s="265">
        <f>VALUE(ResultsInd[[#This Row],[Score-A]])</f>
        <v>0</v>
      </c>
      <c r="O1006" s="265">
        <f>VALUE(ResultsInd[[#This Row],[Score-B]])</f>
        <v>0</v>
      </c>
      <c r="P1006" s="265" t="str">
        <f ca="1">IF(AND(ResultsInd[[#This Row],[Category]]&lt;&gt;"",ResultsInd[[#This Row],[Player A]]&lt;&gt;""),COUNTIF(INDIRECT(ResultsInd[[#This Row],[Category]]&amp;"List[Retained Player Name]"),ResultsInd[[#This Row],[Player A]]),"")</f>
        <v/>
      </c>
      <c r="Q1006" s="265" t="str">
        <f ca="1">IF(AND(ResultsInd[[#This Row],[Category]]&lt;&gt;"",ResultsInd[[#This Row],[Player B]]&lt;&gt;""),COUNTIF(INDIRECT(ResultsInd[[#This Row],[Category]]&amp;"List[Retained Player Name]"),ResultsInd[[#This Row],[Player B]]),"")</f>
        <v/>
      </c>
      <c r="R10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6" s="265" t="str">
        <f>IF(ResultsInd[[#This Row],[Score_OK]],IF(ResultsInd[[#This Row],[Stage]]="Groups",ResultsInd[[#This Row],[Category]]&amp;"-"&amp;IF(ResultsInd[[#This Row],[Player B]]="","",IF(ResultsInd[[#This Row],[Score-A]]=ResultsInd[[#This Row],[Score-B]],ResultsInd[[#This Row],[Player A]],"")),""),"")</f>
        <v/>
      </c>
      <c r="T1006" s="265" t="str">
        <f>IF(ResultsInd[[#This Row],[Score_OK]],IF(ResultsInd[[#This Row],[Stage]]="Groups",ResultsInd[[#This Row],[Category]]&amp;"-"&amp;IF(ResultsInd[[#This Row],[Player B]]="","",IF(ResultsInd[[#This Row],[Score-A]]=ResultsInd[[#This Row],[Score-B]],ResultsInd[[#This Row],[Player B]],"")),""),"")</f>
        <v/>
      </c>
      <c r="U10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6" s="264" t="str">
        <f>IF(ResultsInd[[#This Row],[Category]]="","",VLOOKUP(ResultsInd[[#This Row],[Stage]],$P$1:$V$9,MATCH(ResultsInd[[#This Row],[Category]],$Q$1:$V$1,0)+1,FALSE))</f>
        <v/>
      </c>
      <c r="Z1006" s="264" t="str">
        <f>IF(ResultsInd[[#This Row],[Score_OK]],IF(ResultsInd[[#This Row],[Level]]="R",ResultsInd[[#This Row],[Category]]&amp;"-"&amp;IF(ResultsInd[[#This Row],[LoseInKO]]=ResultsInd[[#This Row],[Category]]&amp;"-"&amp;ResultsInd[[#This Row],[Player A]],ResultsInd[[#This Row],[Player B]],ResultsInd[[#This Row],[Player A]]),""),"")</f>
        <v/>
      </c>
      <c r="AB1006" s="8"/>
      <c r="AC1006" s="8"/>
      <c r="AE1006" s="90"/>
      <c r="AF1006" s="90"/>
      <c r="AP1006" s="8"/>
      <c r="AQ1006" s="8"/>
      <c r="AR1006" s="8"/>
      <c r="AS1006" s="8"/>
      <c r="AT1006" s="8"/>
      <c r="AU1006" s="8"/>
      <c r="AV1006" s="8"/>
      <c r="AW1006" s="8"/>
      <c r="AX1006" s="8"/>
      <c r="AY1006" s="90"/>
      <c r="AZ1006" s="90"/>
      <c r="BA1006" s="90"/>
      <c r="BB1006" s="90"/>
      <c r="BC1006" s="90"/>
      <c r="BD1006" s="90"/>
      <c r="BE1006" s="90"/>
      <c r="BF1006" s="90"/>
    </row>
    <row r="1007" spans="1:58" x14ac:dyDescent="0.2">
      <c r="A1007" s="62"/>
      <c r="B1007" s="62"/>
      <c r="C1007" s="62"/>
      <c r="D1007" s="62"/>
      <c r="E1007" s="345"/>
      <c r="F1007" s="345"/>
      <c r="G1007" s="113"/>
      <c r="H1007" s="113"/>
      <c r="I1007" s="114"/>
      <c r="J1007" s="114"/>
      <c r="K1007" s="114"/>
      <c r="L1007" s="81"/>
      <c r="M1007" s="265" t="b">
        <f>NOT(ISERROR(ResultsInd[[#This Row],[Goal-A]]+ResultsInd[[#This Row],[Goal-B]]))</f>
        <v>1</v>
      </c>
      <c r="N1007" s="265">
        <f>VALUE(ResultsInd[[#This Row],[Score-A]])</f>
        <v>0</v>
      </c>
      <c r="O1007" s="265">
        <f>VALUE(ResultsInd[[#This Row],[Score-B]])</f>
        <v>0</v>
      </c>
      <c r="P1007" s="265" t="str">
        <f ca="1">IF(AND(ResultsInd[[#This Row],[Category]]&lt;&gt;"",ResultsInd[[#This Row],[Player A]]&lt;&gt;""),COUNTIF(INDIRECT(ResultsInd[[#This Row],[Category]]&amp;"List[Retained Player Name]"),ResultsInd[[#This Row],[Player A]]),"")</f>
        <v/>
      </c>
      <c r="Q1007" s="265" t="str">
        <f ca="1">IF(AND(ResultsInd[[#This Row],[Category]]&lt;&gt;"",ResultsInd[[#This Row],[Player B]]&lt;&gt;""),COUNTIF(INDIRECT(ResultsInd[[#This Row],[Category]]&amp;"List[Retained Player Name]"),ResultsInd[[#This Row],[Player B]]),"")</f>
        <v/>
      </c>
      <c r="R10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7" s="265" t="str">
        <f>IF(ResultsInd[[#This Row],[Score_OK]],IF(ResultsInd[[#This Row],[Stage]]="Groups",ResultsInd[[#This Row],[Category]]&amp;"-"&amp;IF(ResultsInd[[#This Row],[Player B]]="","",IF(ResultsInd[[#This Row],[Score-A]]=ResultsInd[[#This Row],[Score-B]],ResultsInd[[#This Row],[Player A]],"")),""),"")</f>
        <v/>
      </c>
      <c r="T1007" s="265" t="str">
        <f>IF(ResultsInd[[#This Row],[Score_OK]],IF(ResultsInd[[#This Row],[Stage]]="Groups",ResultsInd[[#This Row],[Category]]&amp;"-"&amp;IF(ResultsInd[[#This Row],[Player B]]="","",IF(ResultsInd[[#This Row],[Score-A]]=ResultsInd[[#This Row],[Score-B]],ResultsInd[[#This Row],[Player B]],"")),""),"")</f>
        <v/>
      </c>
      <c r="U10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7" s="264" t="str">
        <f>IF(ResultsInd[[#This Row],[Category]]="","",VLOOKUP(ResultsInd[[#This Row],[Stage]],$P$1:$V$9,MATCH(ResultsInd[[#This Row],[Category]],$Q$1:$V$1,0)+1,FALSE))</f>
        <v/>
      </c>
      <c r="Z1007" s="264" t="str">
        <f>IF(ResultsInd[[#This Row],[Score_OK]],IF(ResultsInd[[#This Row],[Level]]="R",ResultsInd[[#This Row],[Category]]&amp;"-"&amp;IF(ResultsInd[[#This Row],[LoseInKO]]=ResultsInd[[#This Row],[Category]]&amp;"-"&amp;ResultsInd[[#This Row],[Player A]],ResultsInd[[#This Row],[Player B]],ResultsInd[[#This Row],[Player A]]),""),"")</f>
        <v/>
      </c>
      <c r="AB1007" s="8"/>
      <c r="AC1007" s="8"/>
      <c r="AE1007" s="90"/>
      <c r="AF1007" s="90"/>
      <c r="AP1007" s="8"/>
      <c r="AQ1007" s="8"/>
      <c r="AR1007" s="8"/>
      <c r="AS1007" s="8"/>
      <c r="AT1007" s="8"/>
      <c r="AU1007" s="8"/>
      <c r="AV1007" s="8"/>
      <c r="AW1007" s="8"/>
      <c r="AX1007" s="8"/>
      <c r="AY1007" s="90"/>
      <c r="AZ1007" s="90"/>
      <c r="BA1007" s="90"/>
      <c r="BB1007" s="90"/>
      <c r="BC1007" s="90"/>
      <c r="BD1007" s="90"/>
      <c r="BE1007" s="90"/>
      <c r="BF1007" s="90"/>
    </row>
    <row r="1008" spans="1:58" x14ac:dyDescent="0.2">
      <c r="A1008" s="62"/>
      <c r="B1008" s="62"/>
      <c r="C1008" s="62"/>
      <c r="D1008" s="62"/>
      <c r="E1008" s="345"/>
      <c r="F1008" s="345"/>
      <c r="G1008" s="113"/>
      <c r="H1008" s="113"/>
      <c r="I1008" s="114"/>
      <c r="J1008" s="114"/>
      <c r="K1008" s="114"/>
      <c r="L1008" s="81"/>
      <c r="M1008" s="265" t="b">
        <f>NOT(ISERROR(ResultsInd[[#This Row],[Goal-A]]+ResultsInd[[#This Row],[Goal-B]]))</f>
        <v>1</v>
      </c>
      <c r="N1008" s="265">
        <f>VALUE(ResultsInd[[#This Row],[Score-A]])</f>
        <v>0</v>
      </c>
      <c r="O1008" s="265">
        <f>VALUE(ResultsInd[[#This Row],[Score-B]])</f>
        <v>0</v>
      </c>
      <c r="P1008" s="265" t="str">
        <f ca="1">IF(AND(ResultsInd[[#This Row],[Category]]&lt;&gt;"",ResultsInd[[#This Row],[Player A]]&lt;&gt;""),COUNTIF(INDIRECT(ResultsInd[[#This Row],[Category]]&amp;"List[Retained Player Name]"),ResultsInd[[#This Row],[Player A]]),"")</f>
        <v/>
      </c>
      <c r="Q1008" s="265" t="str">
        <f ca="1">IF(AND(ResultsInd[[#This Row],[Category]]&lt;&gt;"",ResultsInd[[#This Row],[Player B]]&lt;&gt;""),COUNTIF(INDIRECT(ResultsInd[[#This Row],[Category]]&amp;"List[Retained Player Name]"),ResultsInd[[#This Row],[Player B]]),"")</f>
        <v/>
      </c>
      <c r="R10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8" s="265" t="str">
        <f>IF(ResultsInd[[#This Row],[Score_OK]],IF(ResultsInd[[#This Row],[Stage]]="Groups",ResultsInd[[#This Row],[Category]]&amp;"-"&amp;IF(ResultsInd[[#This Row],[Player B]]="","",IF(ResultsInd[[#This Row],[Score-A]]=ResultsInd[[#This Row],[Score-B]],ResultsInd[[#This Row],[Player A]],"")),""),"")</f>
        <v/>
      </c>
      <c r="T1008" s="265" t="str">
        <f>IF(ResultsInd[[#This Row],[Score_OK]],IF(ResultsInd[[#This Row],[Stage]]="Groups",ResultsInd[[#This Row],[Category]]&amp;"-"&amp;IF(ResultsInd[[#This Row],[Player B]]="","",IF(ResultsInd[[#This Row],[Score-A]]=ResultsInd[[#This Row],[Score-B]],ResultsInd[[#This Row],[Player B]],"")),""),"")</f>
        <v/>
      </c>
      <c r="U10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8" s="264" t="str">
        <f>IF(ResultsInd[[#This Row],[Category]]="","",VLOOKUP(ResultsInd[[#This Row],[Stage]],$P$1:$V$9,MATCH(ResultsInd[[#This Row],[Category]],$Q$1:$V$1,0)+1,FALSE))</f>
        <v/>
      </c>
      <c r="Z1008" s="264" t="str">
        <f>IF(ResultsInd[[#This Row],[Score_OK]],IF(ResultsInd[[#This Row],[Level]]="R",ResultsInd[[#This Row],[Category]]&amp;"-"&amp;IF(ResultsInd[[#This Row],[LoseInKO]]=ResultsInd[[#This Row],[Category]]&amp;"-"&amp;ResultsInd[[#This Row],[Player A]],ResultsInd[[#This Row],[Player B]],ResultsInd[[#This Row],[Player A]]),""),"")</f>
        <v/>
      </c>
      <c r="AB1008" s="8"/>
      <c r="AC1008" s="8"/>
      <c r="AE1008" s="90"/>
      <c r="AF1008" s="90"/>
      <c r="AP1008" s="8"/>
      <c r="AQ1008" s="8"/>
      <c r="AR1008" s="8"/>
      <c r="AS1008" s="8"/>
      <c r="AT1008" s="8"/>
      <c r="AU1008" s="8"/>
      <c r="AV1008" s="8"/>
      <c r="AW1008" s="8"/>
      <c r="AX1008" s="8"/>
      <c r="AY1008" s="90"/>
      <c r="AZ1008" s="90"/>
      <c r="BA1008" s="90"/>
      <c r="BB1008" s="90"/>
      <c r="BC1008" s="90"/>
      <c r="BD1008" s="90"/>
      <c r="BE1008" s="90"/>
      <c r="BF1008" s="90"/>
    </row>
    <row r="1009" spans="1:58" x14ac:dyDescent="0.2">
      <c r="A1009" s="62"/>
      <c r="B1009" s="62"/>
      <c r="C1009" s="62"/>
      <c r="D1009" s="62"/>
      <c r="E1009" s="345"/>
      <c r="F1009" s="345"/>
      <c r="G1009" s="113"/>
      <c r="H1009" s="113"/>
      <c r="I1009" s="114"/>
      <c r="J1009" s="114"/>
      <c r="K1009" s="114"/>
      <c r="L1009" s="81"/>
      <c r="M1009" s="265" t="b">
        <f>NOT(ISERROR(ResultsInd[[#This Row],[Goal-A]]+ResultsInd[[#This Row],[Goal-B]]))</f>
        <v>1</v>
      </c>
      <c r="N1009" s="265">
        <f>VALUE(ResultsInd[[#This Row],[Score-A]])</f>
        <v>0</v>
      </c>
      <c r="O1009" s="265">
        <f>VALUE(ResultsInd[[#This Row],[Score-B]])</f>
        <v>0</v>
      </c>
      <c r="P1009" s="265" t="str">
        <f ca="1">IF(AND(ResultsInd[[#This Row],[Category]]&lt;&gt;"",ResultsInd[[#This Row],[Player A]]&lt;&gt;""),COUNTIF(INDIRECT(ResultsInd[[#This Row],[Category]]&amp;"List[Retained Player Name]"),ResultsInd[[#This Row],[Player A]]),"")</f>
        <v/>
      </c>
      <c r="Q1009" s="265" t="str">
        <f ca="1">IF(AND(ResultsInd[[#This Row],[Category]]&lt;&gt;"",ResultsInd[[#This Row],[Player B]]&lt;&gt;""),COUNTIF(INDIRECT(ResultsInd[[#This Row],[Category]]&amp;"List[Retained Player Name]"),ResultsInd[[#This Row],[Player B]]),"")</f>
        <v/>
      </c>
      <c r="R10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9" s="265" t="str">
        <f>IF(ResultsInd[[#This Row],[Score_OK]],IF(ResultsInd[[#This Row],[Stage]]="Groups",ResultsInd[[#This Row],[Category]]&amp;"-"&amp;IF(ResultsInd[[#This Row],[Player B]]="","",IF(ResultsInd[[#This Row],[Score-A]]=ResultsInd[[#This Row],[Score-B]],ResultsInd[[#This Row],[Player A]],"")),""),"")</f>
        <v/>
      </c>
      <c r="T1009" s="265" t="str">
        <f>IF(ResultsInd[[#This Row],[Score_OK]],IF(ResultsInd[[#This Row],[Stage]]="Groups",ResultsInd[[#This Row],[Category]]&amp;"-"&amp;IF(ResultsInd[[#This Row],[Player B]]="","",IF(ResultsInd[[#This Row],[Score-A]]=ResultsInd[[#This Row],[Score-B]],ResultsInd[[#This Row],[Player B]],"")),""),"")</f>
        <v/>
      </c>
      <c r="U10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9" s="264" t="str">
        <f>IF(ResultsInd[[#This Row],[Category]]="","",VLOOKUP(ResultsInd[[#This Row],[Stage]],$P$1:$V$9,MATCH(ResultsInd[[#This Row],[Category]],$Q$1:$V$1,0)+1,FALSE))</f>
        <v/>
      </c>
      <c r="Z1009" s="264" t="str">
        <f>IF(ResultsInd[[#This Row],[Score_OK]],IF(ResultsInd[[#This Row],[Level]]="R",ResultsInd[[#This Row],[Category]]&amp;"-"&amp;IF(ResultsInd[[#This Row],[LoseInKO]]=ResultsInd[[#This Row],[Category]]&amp;"-"&amp;ResultsInd[[#This Row],[Player A]],ResultsInd[[#This Row],[Player B]],ResultsInd[[#This Row],[Player A]]),""),"")</f>
        <v/>
      </c>
      <c r="AB1009" s="8"/>
      <c r="AC1009" s="8"/>
      <c r="AE1009" s="90"/>
      <c r="AF1009" s="90"/>
      <c r="AP1009" s="8"/>
      <c r="AQ1009" s="8"/>
      <c r="AR1009" s="8"/>
      <c r="AS1009" s="8"/>
      <c r="AT1009" s="8"/>
      <c r="AU1009" s="8"/>
      <c r="AV1009" s="8"/>
      <c r="AW1009" s="8"/>
      <c r="AX1009" s="8"/>
      <c r="AY1009" s="90"/>
      <c r="AZ1009" s="90"/>
      <c r="BA1009" s="90"/>
      <c r="BB1009" s="90"/>
      <c r="BC1009" s="90"/>
      <c r="BD1009" s="90"/>
      <c r="BE1009" s="90"/>
      <c r="BF1009" s="90"/>
    </row>
    <row r="1010" spans="1:58" x14ac:dyDescent="0.2">
      <c r="A1010" s="62"/>
      <c r="B1010" s="62"/>
      <c r="C1010" s="62"/>
      <c r="D1010" s="62"/>
      <c r="E1010" s="345"/>
      <c r="F1010" s="345"/>
      <c r="G1010" s="113"/>
      <c r="H1010" s="113"/>
      <c r="I1010" s="114"/>
      <c r="J1010" s="114"/>
      <c r="K1010" s="114"/>
      <c r="L1010" s="81"/>
      <c r="M1010" s="265" t="b">
        <f>NOT(ISERROR(ResultsInd[[#This Row],[Goal-A]]+ResultsInd[[#This Row],[Goal-B]]))</f>
        <v>1</v>
      </c>
      <c r="N1010" s="265">
        <f>VALUE(ResultsInd[[#This Row],[Score-A]])</f>
        <v>0</v>
      </c>
      <c r="O1010" s="265">
        <f>VALUE(ResultsInd[[#This Row],[Score-B]])</f>
        <v>0</v>
      </c>
      <c r="P1010" s="265" t="str">
        <f ca="1">IF(AND(ResultsInd[[#This Row],[Category]]&lt;&gt;"",ResultsInd[[#This Row],[Player A]]&lt;&gt;""),COUNTIF(INDIRECT(ResultsInd[[#This Row],[Category]]&amp;"List[Retained Player Name]"),ResultsInd[[#This Row],[Player A]]),"")</f>
        <v/>
      </c>
      <c r="Q1010" s="265" t="str">
        <f ca="1">IF(AND(ResultsInd[[#This Row],[Category]]&lt;&gt;"",ResultsInd[[#This Row],[Player B]]&lt;&gt;""),COUNTIF(INDIRECT(ResultsInd[[#This Row],[Category]]&amp;"List[Retained Player Name]"),ResultsInd[[#This Row],[Player B]]),"")</f>
        <v/>
      </c>
      <c r="R10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0" s="265" t="str">
        <f>IF(ResultsInd[[#This Row],[Score_OK]],IF(ResultsInd[[#This Row],[Stage]]="Groups",ResultsInd[[#This Row],[Category]]&amp;"-"&amp;IF(ResultsInd[[#This Row],[Player B]]="","",IF(ResultsInd[[#This Row],[Score-A]]=ResultsInd[[#This Row],[Score-B]],ResultsInd[[#This Row],[Player A]],"")),""),"")</f>
        <v/>
      </c>
      <c r="T1010" s="265" t="str">
        <f>IF(ResultsInd[[#This Row],[Score_OK]],IF(ResultsInd[[#This Row],[Stage]]="Groups",ResultsInd[[#This Row],[Category]]&amp;"-"&amp;IF(ResultsInd[[#This Row],[Player B]]="","",IF(ResultsInd[[#This Row],[Score-A]]=ResultsInd[[#This Row],[Score-B]],ResultsInd[[#This Row],[Player B]],"")),""),"")</f>
        <v/>
      </c>
      <c r="U10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0" s="264" t="str">
        <f>IF(ResultsInd[[#This Row],[Category]]="","",VLOOKUP(ResultsInd[[#This Row],[Stage]],$P$1:$V$9,MATCH(ResultsInd[[#This Row],[Category]],$Q$1:$V$1,0)+1,FALSE))</f>
        <v/>
      </c>
      <c r="Z1010" s="264" t="str">
        <f>IF(ResultsInd[[#This Row],[Score_OK]],IF(ResultsInd[[#This Row],[Level]]="R",ResultsInd[[#This Row],[Category]]&amp;"-"&amp;IF(ResultsInd[[#This Row],[LoseInKO]]=ResultsInd[[#This Row],[Category]]&amp;"-"&amp;ResultsInd[[#This Row],[Player A]],ResultsInd[[#This Row],[Player B]],ResultsInd[[#This Row],[Player A]]),""),"")</f>
        <v/>
      </c>
      <c r="AB1010" s="8"/>
      <c r="AC1010" s="8"/>
      <c r="AE1010" s="90"/>
      <c r="AF1010" s="90"/>
      <c r="AP1010" s="8"/>
      <c r="AQ1010" s="8"/>
      <c r="AR1010" s="8"/>
      <c r="AS1010" s="8"/>
      <c r="AT1010" s="8"/>
      <c r="AU1010" s="8"/>
      <c r="AV1010" s="8"/>
      <c r="AW1010" s="8"/>
      <c r="AX1010" s="8"/>
      <c r="AY1010" s="90"/>
      <c r="AZ1010" s="90"/>
      <c r="BA1010" s="90"/>
      <c r="BB1010" s="90"/>
      <c r="BC1010" s="90"/>
      <c r="BD1010" s="90"/>
      <c r="BE1010" s="90"/>
      <c r="BF1010" s="90"/>
    </row>
    <row r="1011" spans="1:58" x14ac:dyDescent="0.2">
      <c r="A1011" s="62"/>
      <c r="B1011" s="62"/>
      <c r="C1011" s="62"/>
      <c r="D1011" s="62"/>
      <c r="E1011" s="345"/>
      <c r="F1011" s="345"/>
      <c r="G1011" s="113"/>
      <c r="H1011" s="113"/>
      <c r="I1011" s="114"/>
      <c r="J1011" s="114"/>
      <c r="K1011" s="114"/>
      <c r="L1011" s="81"/>
      <c r="M1011" s="265" t="b">
        <f>NOT(ISERROR(ResultsInd[[#This Row],[Goal-A]]+ResultsInd[[#This Row],[Goal-B]]))</f>
        <v>1</v>
      </c>
      <c r="N1011" s="265">
        <f>VALUE(ResultsInd[[#This Row],[Score-A]])</f>
        <v>0</v>
      </c>
      <c r="O1011" s="265">
        <f>VALUE(ResultsInd[[#This Row],[Score-B]])</f>
        <v>0</v>
      </c>
      <c r="P1011" s="265" t="str">
        <f ca="1">IF(AND(ResultsInd[[#This Row],[Category]]&lt;&gt;"",ResultsInd[[#This Row],[Player A]]&lt;&gt;""),COUNTIF(INDIRECT(ResultsInd[[#This Row],[Category]]&amp;"List[Retained Player Name]"),ResultsInd[[#This Row],[Player A]]),"")</f>
        <v/>
      </c>
      <c r="Q1011" s="265" t="str">
        <f ca="1">IF(AND(ResultsInd[[#This Row],[Category]]&lt;&gt;"",ResultsInd[[#This Row],[Player B]]&lt;&gt;""),COUNTIF(INDIRECT(ResultsInd[[#This Row],[Category]]&amp;"List[Retained Player Name]"),ResultsInd[[#This Row],[Player B]]),"")</f>
        <v/>
      </c>
      <c r="R10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1" s="265" t="str">
        <f>IF(ResultsInd[[#This Row],[Score_OK]],IF(ResultsInd[[#This Row],[Stage]]="Groups",ResultsInd[[#This Row],[Category]]&amp;"-"&amp;IF(ResultsInd[[#This Row],[Player B]]="","",IF(ResultsInd[[#This Row],[Score-A]]=ResultsInd[[#This Row],[Score-B]],ResultsInd[[#This Row],[Player A]],"")),""),"")</f>
        <v/>
      </c>
      <c r="T1011" s="265" t="str">
        <f>IF(ResultsInd[[#This Row],[Score_OK]],IF(ResultsInd[[#This Row],[Stage]]="Groups",ResultsInd[[#This Row],[Category]]&amp;"-"&amp;IF(ResultsInd[[#This Row],[Player B]]="","",IF(ResultsInd[[#This Row],[Score-A]]=ResultsInd[[#This Row],[Score-B]],ResultsInd[[#This Row],[Player B]],"")),""),"")</f>
        <v/>
      </c>
      <c r="U10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1" s="264" t="str">
        <f>IF(ResultsInd[[#This Row],[Category]]="","",VLOOKUP(ResultsInd[[#This Row],[Stage]],$P$1:$V$9,MATCH(ResultsInd[[#This Row],[Category]],$Q$1:$V$1,0)+1,FALSE))</f>
        <v/>
      </c>
      <c r="Z1011" s="264" t="str">
        <f>IF(ResultsInd[[#This Row],[Score_OK]],IF(ResultsInd[[#This Row],[Level]]="R",ResultsInd[[#This Row],[Category]]&amp;"-"&amp;IF(ResultsInd[[#This Row],[LoseInKO]]=ResultsInd[[#This Row],[Category]]&amp;"-"&amp;ResultsInd[[#This Row],[Player A]],ResultsInd[[#This Row],[Player B]],ResultsInd[[#This Row],[Player A]]),""),"")</f>
        <v/>
      </c>
      <c r="AB1011" s="8"/>
      <c r="AC1011" s="8"/>
      <c r="AE1011" s="90"/>
      <c r="AF1011" s="90"/>
      <c r="AP1011" s="8"/>
      <c r="AQ1011" s="8"/>
      <c r="AR1011" s="8"/>
      <c r="AS1011" s="8"/>
      <c r="AT1011" s="8"/>
      <c r="AU1011" s="8"/>
      <c r="AV1011" s="8"/>
      <c r="AW1011" s="8"/>
      <c r="AX1011" s="8"/>
      <c r="AY1011" s="90"/>
      <c r="AZ1011" s="90"/>
      <c r="BA1011" s="90"/>
      <c r="BB1011" s="90"/>
      <c r="BC1011" s="90"/>
      <c r="BD1011" s="90"/>
      <c r="BE1011" s="90"/>
      <c r="BF1011" s="90"/>
    </row>
    <row r="1012" spans="1:58" x14ac:dyDescent="0.2">
      <c r="A1012" s="62"/>
      <c r="B1012" s="62"/>
      <c r="C1012" s="62"/>
      <c r="D1012" s="62"/>
      <c r="E1012" s="345"/>
      <c r="F1012" s="345"/>
      <c r="G1012" s="113"/>
      <c r="H1012" s="113"/>
      <c r="I1012" s="114"/>
      <c r="J1012" s="114"/>
      <c r="K1012" s="114"/>
      <c r="L1012" s="81"/>
      <c r="M1012" s="265" t="b">
        <f>NOT(ISERROR(ResultsInd[[#This Row],[Goal-A]]+ResultsInd[[#This Row],[Goal-B]]))</f>
        <v>1</v>
      </c>
      <c r="N1012" s="265">
        <f>VALUE(ResultsInd[[#This Row],[Score-A]])</f>
        <v>0</v>
      </c>
      <c r="O1012" s="265">
        <f>VALUE(ResultsInd[[#This Row],[Score-B]])</f>
        <v>0</v>
      </c>
      <c r="P1012" s="265" t="str">
        <f ca="1">IF(AND(ResultsInd[[#This Row],[Category]]&lt;&gt;"",ResultsInd[[#This Row],[Player A]]&lt;&gt;""),COUNTIF(INDIRECT(ResultsInd[[#This Row],[Category]]&amp;"List[Retained Player Name]"),ResultsInd[[#This Row],[Player A]]),"")</f>
        <v/>
      </c>
      <c r="Q1012" s="265" t="str">
        <f ca="1">IF(AND(ResultsInd[[#This Row],[Category]]&lt;&gt;"",ResultsInd[[#This Row],[Player B]]&lt;&gt;""),COUNTIF(INDIRECT(ResultsInd[[#This Row],[Category]]&amp;"List[Retained Player Name]"),ResultsInd[[#This Row],[Player B]]),"")</f>
        <v/>
      </c>
      <c r="R10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2" s="265" t="str">
        <f>IF(ResultsInd[[#This Row],[Score_OK]],IF(ResultsInd[[#This Row],[Stage]]="Groups",ResultsInd[[#This Row],[Category]]&amp;"-"&amp;IF(ResultsInd[[#This Row],[Player B]]="","",IF(ResultsInd[[#This Row],[Score-A]]=ResultsInd[[#This Row],[Score-B]],ResultsInd[[#This Row],[Player A]],"")),""),"")</f>
        <v/>
      </c>
      <c r="T1012" s="265" t="str">
        <f>IF(ResultsInd[[#This Row],[Score_OK]],IF(ResultsInd[[#This Row],[Stage]]="Groups",ResultsInd[[#This Row],[Category]]&amp;"-"&amp;IF(ResultsInd[[#This Row],[Player B]]="","",IF(ResultsInd[[#This Row],[Score-A]]=ResultsInd[[#This Row],[Score-B]],ResultsInd[[#This Row],[Player B]],"")),""),"")</f>
        <v/>
      </c>
      <c r="U10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2" s="264" t="str">
        <f>IF(ResultsInd[[#This Row],[Category]]="","",VLOOKUP(ResultsInd[[#This Row],[Stage]],$P$1:$V$9,MATCH(ResultsInd[[#This Row],[Category]],$Q$1:$V$1,0)+1,FALSE))</f>
        <v/>
      </c>
      <c r="Z1012" s="264" t="str">
        <f>IF(ResultsInd[[#This Row],[Score_OK]],IF(ResultsInd[[#This Row],[Level]]="R",ResultsInd[[#This Row],[Category]]&amp;"-"&amp;IF(ResultsInd[[#This Row],[LoseInKO]]=ResultsInd[[#This Row],[Category]]&amp;"-"&amp;ResultsInd[[#This Row],[Player A]],ResultsInd[[#This Row],[Player B]],ResultsInd[[#This Row],[Player A]]),""),"")</f>
        <v/>
      </c>
      <c r="AB1012" s="8"/>
      <c r="AC1012" s="8"/>
      <c r="AE1012" s="90"/>
      <c r="AF1012" s="90"/>
      <c r="AP1012" s="8"/>
      <c r="AQ1012" s="8"/>
      <c r="AR1012" s="8"/>
      <c r="AS1012" s="8"/>
      <c r="AT1012" s="8"/>
      <c r="AU1012" s="8"/>
      <c r="AV1012" s="8"/>
      <c r="AW1012" s="8"/>
      <c r="AX1012" s="8"/>
      <c r="AY1012" s="90"/>
      <c r="AZ1012" s="90"/>
      <c r="BA1012" s="90"/>
      <c r="BB1012" s="90"/>
      <c r="BC1012" s="90"/>
      <c r="BD1012" s="90"/>
      <c r="BE1012" s="90"/>
      <c r="BF1012" s="90"/>
    </row>
    <row r="1013" spans="1:58" x14ac:dyDescent="0.2">
      <c r="A1013" s="62"/>
      <c r="B1013" s="62"/>
      <c r="C1013" s="62"/>
      <c r="D1013" s="62"/>
      <c r="E1013" s="345"/>
      <c r="F1013" s="345"/>
      <c r="G1013" s="113"/>
      <c r="H1013" s="113"/>
      <c r="I1013" s="114"/>
      <c r="J1013" s="114"/>
      <c r="K1013" s="114"/>
      <c r="L1013" s="81"/>
      <c r="M1013" s="265" t="b">
        <f>NOT(ISERROR(ResultsInd[[#This Row],[Goal-A]]+ResultsInd[[#This Row],[Goal-B]]))</f>
        <v>1</v>
      </c>
      <c r="N1013" s="265">
        <f>VALUE(ResultsInd[[#This Row],[Score-A]])</f>
        <v>0</v>
      </c>
      <c r="O1013" s="265">
        <f>VALUE(ResultsInd[[#This Row],[Score-B]])</f>
        <v>0</v>
      </c>
      <c r="P1013" s="265" t="str">
        <f ca="1">IF(AND(ResultsInd[[#This Row],[Category]]&lt;&gt;"",ResultsInd[[#This Row],[Player A]]&lt;&gt;""),COUNTIF(INDIRECT(ResultsInd[[#This Row],[Category]]&amp;"List[Retained Player Name]"),ResultsInd[[#This Row],[Player A]]),"")</f>
        <v/>
      </c>
      <c r="Q1013" s="265" t="str">
        <f ca="1">IF(AND(ResultsInd[[#This Row],[Category]]&lt;&gt;"",ResultsInd[[#This Row],[Player B]]&lt;&gt;""),COUNTIF(INDIRECT(ResultsInd[[#This Row],[Category]]&amp;"List[Retained Player Name]"),ResultsInd[[#This Row],[Player B]]),"")</f>
        <v/>
      </c>
      <c r="R10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3" s="265" t="str">
        <f>IF(ResultsInd[[#This Row],[Score_OK]],IF(ResultsInd[[#This Row],[Stage]]="Groups",ResultsInd[[#This Row],[Category]]&amp;"-"&amp;IF(ResultsInd[[#This Row],[Player B]]="","",IF(ResultsInd[[#This Row],[Score-A]]=ResultsInd[[#This Row],[Score-B]],ResultsInd[[#This Row],[Player A]],"")),""),"")</f>
        <v/>
      </c>
      <c r="T1013" s="265" t="str">
        <f>IF(ResultsInd[[#This Row],[Score_OK]],IF(ResultsInd[[#This Row],[Stage]]="Groups",ResultsInd[[#This Row],[Category]]&amp;"-"&amp;IF(ResultsInd[[#This Row],[Player B]]="","",IF(ResultsInd[[#This Row],[Score-A]]=ResultsInd[[#This Row],[Score-B]],ResultsInd[[#This Row],[Player B]],"")),""),"")</f>
        <v/>
      </c>
      <c r="U10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3" s="264" t="str">
        <f>IF(ResultsInd[[#This Row],[Category]]="","",VLOOKUP(ResultsInd[[#This Row],[Stage]],$P$1:$V$9,MATCH(ResultsInd[[#This Row],[Category]],$Q$1:$V$1,0)+1,FALSE))</f>
        <v/>
      </c>
      <c r="Z1013" s="264" t="str">
        <f>IF(ResultsInd[[#This Row],[Score_OK]],IF(ResultsInd[[#This Row],[Level]]="R",ResultsInd[[#This Row],[Category]]&amp;"-"&amp;IF(ResultsInd[[#This Row],[LoseInKO]]=ResultsInd[[#This Row],[Category]]&amp;"-"&amp;ResultsInd[[#This Row],[Player A]],ResultsInd[[#This Row],[Player B]],ResultsInd[[#This Row],[Player A]]),""),"")</f>
        <v/>
      </c>
      <c r="AB1013" s="8"/>
      <c r="AC1013" s="8"/>
      <c r="AE1013" s="90"/>
      <c r="AF1013" s="90"/>
      <c r="AP1013" s="8"/>
      <c r="AQ1013" s="8"/>
      <c r="AR1013" s="8"/>
      <c r="AS1013" s="8"/>
      <c r="AT1013" s="8"/>
      <c r="AU1013" s="8"/>
      <c r="AV1013" s="8"/>
      <c r="AW1013" s="8"/>
      <c r="AX1013" s="8"/>
      <c r="AY1013" s="90"/>
      <c r="AZ1013" s="90"/>
      <c r="BA1013" s="90"/>
      <c r="BB1013" s="90"/>
      <c r="BC1013" s="90"/>
      <c r="BD1013" s="90"/>
      <c r="BE1013" s="90"/>
      <c r="BF1013" s="90"/>
    </row>
    <row r="1014" spans="1:58" x14ac:dyDescent="0.2">
      <c r="A1014" s="62"/>
      <c r="B1014" s="62"/>
      <c r="C1014" s="62"/>
      <c r="D1014" s="62"/>
      <c r="E1014" s="345"/>
      <c r="F1014" s="345"/>
      <c r="G1014" s="113"/>
      <c r="H1014" s="113"/>
      <c r="I1014" s="114"/>
      <c r="J1014" s="114"/>
      <c r="K1014" s="114"/>
      <c r="L1014" s="81"/>
      <c r="M1014" s="265" t="b">
        <f>NOT(ISERROR(ResultsInd[[#This Row],[Goal-A]]+ResultsInd[[#This Row],[Goal-B]]))</f>
        <v>1</v>
      </c>
      <c r="N1014" s="265">
        <f>VALUE(ResultsInd[[#This Row],[Score-A]])</f>
        <v>0</v>
      </c>
      <c r="O1014" s="265">
        <f>VALUE(ResultsInd[[#This Row],[Score-B]])</f>
        <v>0</v>
      </c>
      <c r="P1014" s="265" t="str">
        <f ca="1">IF(AND(ResultsInd[[#This Row],[Category]]&lt;&gt;"",ResultsInd[[#This Row],[Player A]]&lt;&gt;""),COUNTIF(INDIRECT(ResultsInd[[#This Row],[Category]]&amp;"List[Retained Player Name]"),ResultsInd[[#This Row],[Player A]]),"")</f>
        <v/>
      </c>
      <c r="Q1014" s="265" t="str">
        <f ca="1">IF(AND(ResultsInd[[#This Row],[Category]]&lt;&gt;"",ResultsInd[[#This Row],[Player B]]&lt;&gt;""),COUNTIF(INDIRECT(ResultsInd[[#This Row],[Category]]&amp;"List[Retained Player Name]"),ResultsInd[[#This Row],[Player B]]),"")</f>
        <v/>
      </c>
      <c r="R10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4" s="265" t="str">
        <f>IF(ResultsInd[[#This Row],[Score_OK]],IF(ResultsInd[[#This Row],[Stage]]="Groups",ResultsInd[[#This Row],[Category]]&amp;"-"&amp;IF(ResultsInd[[#This Row],[Player B]]="","",IF(ResultsInd[[#This Row],[Score-A]]=ResultsInd[[#This Row],[Score-B]],ResultsInd[[#This Row],[Player A]],"")),""),"")</f>
        <v/>
      </c>
      <c r="T1014" s="265" t="str">
        <f>IF(ResultsInd[[#This Row],[Score_OK]],IF(ResultsInd[[#This Row],[Stage]]="Groups",ResultsInd[[#This Row],[Category]]&amp;"-"&amp;IF(ResultsInd[[#This Row],[Player B]]="","",IF(ResultsInd[[#This Row],[Score-A]]=ResultsInd[[#This Row],[Score-B]],ResultsInd[[#This Row],[Player B]],"")),""),"")</f>
        <v/>
      </c>
      <c r="U10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4" s="264" t="str">
        <f>IF(ResultsInd[[#This Row],[Category]]="","",VLOOKUP(ResultsInd[[#This Row],[Stage]],$P$1:$V$9,MATCH(ResultsInd[[#This Row],[Category]],$Q$1:$V$1,0)+1,FALSE))</f>
        <v/>
      </c>
      <c r="Z1014" s="264" t="str">
        <f>IF(ResultsInd[[#This Row],[Score_OK]],IF(ResultsInd[[#This Row],[Level]]="R",ResultsInd[[#This Row],[Category]]&amp;"-"&amp;IF(ResultsInd[[#This Row],[LoseInKO]]=ResultsInd[[#This Row],[Category]]&amp;"-"&amp;ResultsInd[[#This Row],[Player A]],ResultsInd[[#This Row],[Player B]],ResultsInd[[#This Row],[Player A]]),""),"")</f>
        <v/>
      </c>
      <c r="AB1014" s="8"/>
      <c r="AC1014" s="8"/>
      <c r="AE1014" s="90"/>
      <c r="AF1014" s="90"/>
      <c r="AP1014" s="8"/>
      <c r="AQ1014" s="8"/>
      <c r="AR1014" s="8"/>
      <c r="AS1014" s="8"/>
      <c r="AT1014" s="8"/>
      <c r="AU1014" s="8"/>
      <c r="AV1014" s="8"/>
      <c r="AW1014" s="8"/>
      <c r="AX1014" s="8"/>
      <c r="AY1014" s="90"/>
      <c r="AZ1014" s="90"/>
      <c r="BA1014" s="90"/>
      <c r="BB1014" s="90"/>
      <c r="BC1014" s="90"/>
      <c r="BD1014" s="90"/>
      <c r="BE1014" s="90"/>
      <c r="BF1014" s="90"/>
    </row>
    <row r="1015" spans="1:58" x14ac:dyDescent="0.2">
      <c r="A1015" s="62"/>
      <c r="B1015" s="62"/>
      <c r="C1015" s="62"/>
      <c r="D1015" s="62"/>
      <c r="E1015" s="345"/>
      <c r="F1015" s="345"/>
      <c r="G1015" s="113"/>
      <c r="H1015" s="113"/>
      <c r="I1015" s="114"/>
      <c r="J1015" s="114"/>
      <c r="K1015" s="114"/>
      <c r="L1015" s="81"/>
      <c r="M1015" s="265" t="b">
        <f>NOT(ISERROR(ResultsInd[[#This Row],[Goal-A]]+ResultsInd[[#This Row],[Goal-B]]))</f>
        <v>1</v>
      </c>
      <c r="N1015" s="265">
        <f>VALUE(ResultsInd[[#This Row],[Score-A]])</f>
        <v>0</v>
      </c>
      <c r="O1015" s="265">
        <f>VALUE(ResultsInd[[#This Row],[Score-B]])</f>
        <v>0</v>
      </c>
      <c r="P1015" s="265" t="str">
        <f ca="1">IF(AND(ResultsInd[[#This Row],[Category]]&lt;&gt;"",ResultsInd[[#This Row],[Player A]]&lt;&gt;""),COUNTIF(INDIRECT(ResultsInd[[#This Row],[Category]]&amp;"List[Retained Player Name]"),ResultsInd[[#This Row],[Player A]]),"")</f>
        <v/>
      </c>
      <c r="Q1015" s="265" t="str">
        <f ca="1">IF(AND(ResultsInd[[#This Row],[Category]]&lt;&gt;"",ResultsInd[[#This Row],[Player B]]&lt;&gt;""),COUNTIF(INDIRECT(ResultsInd[[#This Row],[Category]]&amp;"List[Retained Player Name]"),ResultsInd[[#This Row],[Player B]]),"")</f>
        <v/>
      </c>
      <c r="R10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5" s="265" t="str">
        <f>IF(ResultsInd[[#This Row],[Score_OK]],IF(ResultsInd[[#This Row],[Stage]]="Groups",ResultsInd[[#This Row],[Category]]&amp;"-"&amp;IF(ResultsInd[[#This Row],[Player B]]="","",IF(ResultsInd[[#This Row],[Score-A]]=ResultsInd[[#This Row],[Score-B]],ResultsInd[[#This Row],[Player A]],"")),""),"")</f>
        <v/>
      </c>
      <c r="T1015" s="265" t="str">
        <f>IF(ResultsInd[[#This Row],[Score_OK]],IF(ResultsInd[[#This Row],[Stage]]="Groups",ResultsInd[[#This Row],[Category]]&amp;"-"&amp;IF(ResultsInd[[#This Row],[Player B]]="","",IF(ResultsInd[[#This Row],[Score-A]]=ResultsInd[[#This Row],[Score-B]],ResultsInd[[#This Row],[Player B]],"")),""),"")</f>
        <v/>
      </c>
      <c r="U10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5" s="264" t="str">
        <f>IF(ResultsInd[[#This Row],[Category]]="","",VLOOKUP(ResultsInd[[#This Row],[Stage]],$P$1:$V$9,MATCH(ResultsInd[[#This Row],[Category]],$Q$1:$V$1,0)+1,FALSE))</f>
        <v/>
      </c>
      <c r="Z1015" s="264" t="str">
        <f>IF(ResultsInd[[#This Row],[Score_OK]],IF(ResultsInd[[#This Row],[Level]]="R",ResultsInd[[#This Row],[Category]]&amp;"-"&amp;IF(ResultsInd[[#This Row],[LoseInKO]]=ResultsInd[[#This Row],[Category]]&amp;"-"&amp;ResultsInd[[#This Row],[Player A]],ResultsInd[[#This Row],[Player B]],ResultsInd[[#This Row],[Player A]]),""),"")</f>
        <v/>
      </c>
      <c r="AB1015" s="8"/>
      <c r="AC1015" s="8"/>
      <c r="AE1015" s="90"/>
      <c r="AF1015" s="90"/>
      <c r="AP1015" s="8"/>
      <c r="AQ1015" s="8"/>
      <c r="AR1015" s="8"/>
      <c r="AS1015" s="8"/>
      <c r="AT1015" s="8"/>
      <c r="AU1015" s="8"/>
      <c r="AV1015" s="8"/>
      <c r="AW1015" s="8"/>
      <c r="AX1015" s="8"/>
      <c r="AY1015" s="90"/>
      <c r="AZ1015" s="90"/>
      <c r="BA1015" s="90"/>
      <c r="BB1015" s="90"/>
      <c r="BC1015" s="90"/>
      <c r="BD1015" s="90"/>
      <c r="BE1015" s="90"/>
      <c r="BF1015" s="90"/>
    </row>
    <row r="1016" spans="1:58" x14ac:dyDescent="0.2">
      <c r="A1016" s="62"/>
      <c r="B1016" s="62"/>
      <c r="C1016" s="62"/>
      <c r="D1016" s="62"/>
      <c r="E1016" s="345"/>
      <c r="F1016" s="345"/>
      <c r="G1016" s="113"/>
      <c r="H1016" s="113"/>
      <c r="I1016" s="114"/>
      <c r="J1016" s="114"/>
      <c r="K1016" s="114"/>
      <c r="L1016" s="81"/>
      <c r="M1016" s="265" t="b">
        <f>NOT(ISERROR(ResultsInd[[#This Row],[Goal-A]]+ResultsInd[[#This Row],[Goal-B]]))</f>
        <v>1</v>
      </c>
      <c r="N1016" s="265">
        <f>VALUE(ResultsInd[[#This Row],[Score-A]])</f>
        <v>0</v>
      </c>
      <c r="O1016" s="265">
        <f>VALUE(ResultsInd[[#This Row],[Score-B]])</f>
        <v>0</v>
      </c>
      <c r="P1016" s="265" t="str">
        <f ca="1">IF(AND(ResultsInd[[#This Row],[Category]]&lt;&gt;"",ResultsInd[[#This Row],[Player A]]&lt;&gt;""),COUNTIF(INDIRECT(ResultsInd[[#This Row],[Category]]&amp;"List[Retained Player Name]"),ResultsInd[[#This Row],[Player A]]),"")</f>
        <v/>
      </c>
      <c r="Q1016" s="265" t="str">
        <f ca="1">IF(AND(ResultsInd[[#This Row],[Category]]&lt;&gt;"",ResultsInd[[#This Row],[Player B]]&lt;&gt;""),COUNTIF(INDIRECT(ResultsInd[[#This Row],[Category]]&amp;"List[Retained Player Name]"),ResultsInd[[#This Row],[Player B]]),"")</f>
        <v/>
      </c>
      <c r="R10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6" s="265" t="str">
        <f>IF(ResultsInd[[#This Row],[Score_OK]],IF(ResultsInd[[#This Row],[Stage]]="Groups",ResultsInd[[#This Row],[Category]]&amp;"-"&amp;IF(ResultsInd[[#This Row],[Player B]]="","",IF(ResultsInd[[#This Row],[Score-A]]=ResultsInd[[#This Row],[Score-B]],ResultsInd[[#This Row],[Player A]],"")),""),"")</f>
        <v/>
      </c>
      <c r="T1016" s="265" t="str">
        <f>IF(ResultsInd[[#This Row],[Score_OK]],IF(ResultsInd[[#This Row],[Stage]]="Groups",ResultsInd[[#This Row],[Category]]&amp;"-"&amp;IF(ResultsInd[[#This Row],[Player B]]="","",IF(ResultsInd[[#This Row],[Score-A]]=ResultsInd[[#This Row],[Score-B]],ResultsInd[[#This Row],[Player B]],"")),""),"")</f>
        <v/>
      </c>
      <c r="U10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6" s="264" t="str">
        <f>IF(ResultsInd[[#This Row],[Category]]="","",VLOOKUP(ResultsInd[[#This Row],[Stage]],$P$1:$V$9,MATCH(ResultsInd[[#This Row],[Category]],$Q$1:$V$1,0)+1,FALSE))</f>
        <v/>
      </c>
      <c r="Z1016" s="264" t="str">
        <f>IF(ResultsInd[[#This Row],[Score_OK]],IF(ResultsInd[[#This Row],[Level]]="R",ResultsInd[[#This Row],[Category]]&amp;"-"&amp;IF(ResultsInd[[#This Row],[LoseInKO]]=ResultsInd[[#This Row],[Category]]&amp;"-"&amp;ResultsInd[[#This Row],[Player A]],ResultsInd[[#This Row],[Player B]],ResultsInd[[#This Row],[Player A]]),""),"")</f>
        <v/>
      </c>
      <c r="AB1016" s="8"/>
      <c r="AC1016" s="8"/>
      <c r="AE1016" s="90"/>
      <c r="AF1016" s="90"/>
      <c r="AP1016" s="8"/>
      <c r="AQ1016" s="8"/>
      <c r="AR1016" s="8"/>
      <c r="AS1016" s="8"/>
      <c r="AT1016" s="8"/>
      <c r="AU1016" s="8"/>
      <c r="AV1016" s="8"/>
      <c r="AW1016" s="8"/>
      <c r="AX1016" s="8"/>
      <c r="AY1016" s="90"/>
      <c r="AZ1016" s="90"/>
      <c r="BA1016" s="90"/>
      <c r="BB1016" s="90"/>
      <c r="BC1016" s="90"/>
      <c r="BD1016" s="90"/>
      <c r="BE1016" s="90"/>
      <c r="BF1016" s="90"/>
    </row>
    <row r="1017" spans="1:58" x14ac:dyDescent="0.2">
      <c r="A1017" s="62"/>
      <c r="B1017" s="62"/>
      <c r="C1017" s="62"/>
      <c r="D1017" s="62"/>
      <c r="E1017" s="345"/>
      <c r="F1017" s="345"/>
      <c r="G1017" s="113"/>
      <c r="H1017" s="113"/>
      <c r="I1017" s="114"/>
      <c r="J1017" s="114"/>
      <c r="K1017" s="114"/>
      <c r="L1017" s="81"/>
      <c r="M1017" s="265" t="b">
        <f>NOT(ISERROR(ResultsInd[[#This Row],[Goal-A]]+ResultsInd[[#This Row],[Goal-B]]))</f>
        <v>1</v>
      </c>
      <c r="N1017" s="265">
        <f>VALUE(ResultsInd[[#This Row],[Score-A]])</f>
        <v>0</v>
      </c>
      <c r="O1017" s="265">
        <f>VALUE(ResultsInd[[#This Row],[Score-B]])</f>
        <v>0</v>
      </c>
      <c r="P1017" s="265" t="str">
        <f ca="1">IF(AND(ResultsInd[[#This Row],[Category]]&lt;&gt;"",ResultsInd[[#This Row],[Player A]]&lt;&gt;""),COUNTIF(INDIRECT(ResultsInd[[#This Row],[Category]]&amp;"List[Retained Player Name]"),ResultsInd[[#This Row],[Player A]]),"")</f>
        <v/>
      </c>
      <c r="Q1017" s="265" t="str">
        <f ca="1">IF(AND(ResultsInd[[#This Row],[Category]]&lt;&gt;"",ResultsInd[[#This Row],[Player B]]&lt;&gt;""),COUNTIF(INDIRECT(ResultsInd[[#This Row],[Category]]&amp;"List[Retained Player Name]"),ResultsInd[[#This Row],[Player B]]),"")</f>
        <v/>
      </c>
      <c r="R10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7" s="265" t="str">
        <f>IF(ResultsInd[[#This Row],[Score_OK]],IF(ResultsInd[[#This Row],[Stage]]="Groups",ResultsInd[[#This Row],[Category]]&amp;"-"&amp;IF(ResultsInd[[#This Row],[Player B]]="","",IF(ResultsInd[[#This Row],[Score-A]]=ResultsInd[[#This Row],[Score-B]],ResultsInd[[#This Row],[Player A]],"")),""),"")</f>
        <v/>
      </c>
      <c r="T1017" s="265" t="str">
        <f>IF(ResultsInd[[#This Row],[Score_OK]],IF(ResultsInd[[#This Row],[Stage]]="Groups",ResultsInd[[#This Row],[Category]]&amp;"-"&amp;IF(ResultsInd[[#This Row],[Player B]]="","",IF(ResultsInd[[#This Row],[Score-A]]=ResultsInd[[#This Row],[Score-B]],ResultsInd[[#This Row],[Player B]],"")),""),"")</f>
        <v/>
      </c>
      <c r="U10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7" s="264" t="str">
        <f>IF(ResultsInd[[#This Row],[Category]]="","",VLOOKUP(ResultsInd[[#This Row],[Stage]],$P$1:$V$9,MATCH(ResultsInd[[#This Row],[Category]],$Q$1:$V$1,0)+1,FALSE))</f>
        <v/>
      </c>
      <c r="Z1017" s="264" t="str">
        <f>IF(ResultsInd[[#This Row],[Score_OK]],IF(ResultsInd[[#This Row],[Level]]="R",ResultsInd[[#This Row],[Category]]&amp;"-"&amp;IF(ResultsInd[[#This Row],[LoseInKO]]=ResultsInd[[#This Row],[Category]]&amp;"-"&amp;ResultsInd[[#This Row],[Player A]],ResultsInd[[#This Row],[Player B]],ResultsInd[[#This Row],[Player A]]),""),"")</f>
        <v/>
      </c>
      <c r="AB1017" s="8"/>
      <c r="AC1017" s="8"/>
      <c r="AE1017" s="90"/>
      <c r="AF1017" s="90"/>
      <c r="AP1017" s="8"/>
      <c r="AQ1017" s="8"/>
      <c r="AR1017" s="8"/>
      <c r="AS1017" s="8"/>
      <c r="AT1017" s="8"/>
      <c r="AU1017" s="8"/>
      <c r="AV1017" s="8"/>
      <c r="AW1017" s="8"/>
      <c r="AX1017" s="8"/>
      <c r="AY1017" s="90"/>
      <c r="AZ1017" s="90"/>
      <c r="BA1017" s="90"/>
      <c r="BB1017" s="90"/>
      <c r="BC1017" s="90"/>
      <c r="BD1017" s="90"/>
      <c r="BE1017" s="90"/>
      <c r="BF1017" s="90"/>
    </row>
    <row r="1018" spans="1:58" x14ac:dyDescent="0.2">
      <c r="A1018" s="62"/>
      <c r="B1018" s="62"/>
      <c r="C1018" s="62"/>
      <c r="D1018" s="62"/>
      <c r="E1018" s="345"/>
      <c r="F1018" s="345"/>
      <c r="G1018" s="113"/>
      <c r="H1018" s="113"/>
      <c r="I1018" s="114"/>
      <c r="J1018" s="114"/>
      <c r="K1018" s="114"/>
      <c r="L1018" s="81"/>
      <c r="M1018" s="265" t="b">
        <f>NOT(ISERROR(ResultsInd[[#This Row],[Goal-A]]+ResultsInd[[#This Row],[Goal-B]]))</f>
        <v>1</v>
      </c>
      <c r="N1018" s="265">
        <f>VALUE(ResultsInd[[#This Row],[Score-A]])</f>
        <v>0</v>
      </c>
      <c r="O1018" s="265">
        <f>VALUE(ResultsInd[[#This Row],[Score-B]])</f>
        <v>0</v>
      </c>
      <c r="P1018" s="265" t="str">
        <f ca="1">IF(AND(ResultsInd[[#This Row],[Category]]&lt;&gt;"",ResultsInd[[#This Row],[Player A]]&lt;&gt;""),COUNTIF(INDIRECT(ResultsInd[[#This Row],[Category]]&amp;"List[Retained Player Name]"),ResultsInd[[#This Row],[Player A]]),"")</f>
        <v/>
      </c>
      <c r="Q1018" s="265" t="str">
        <f ca="1">IF(AND(ResultsInd[[#This Row],[Category]]&lt;&gt;"",ResultsInd[[#This Row],[Player B]]&lt;&gt;""),COUNTIF(INDIRECT(ResultsInd[[#This Row],[Category]]&amp;"List[Retained Player Name]"),ResultsInd[[#This Row],[Player B]]),"")</f>
        <v/>
      </c>
      <c r="R10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8" s="265" t="str">
        <f>IF(ResultsInd[[#This Row],[Score_OK]],IF(ResultsInd[[#This Row],[Stage]]="Groups",ResultsInd[[#This Row],[Category]]&amp;"-"&amp;IF(ResultsInd[[#This Row],[Player B]]="","",IF(ResultsInd[[#This Row],[Score-A]]=ResultsInd[[#This Row],[Score-B]],ResultsInd[[#This Row],[Player A]],"")),""),"")</f>
        <v/>
      </c>
      <c r="T1018" s="265" t="str">
        <f>IF(ResultsInd[[#This Row],[Score_OK]],IF(ResultsInd[[#This Row],[Stage]]="Groups",ResultsInd[[#This Row],[Category]]&amp;"-"&amp;IF(ResultsInd[[#This Row],[Player B]]="","",IF(ResultsInd[[#This Row],[Score-A]]=ResultsInd[[#This Row],[Score-B]],ResultsInd[[#This Row],[Player B]],"")),""),"")</f>
        <v/>
      </c>
      <c r="U10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8" s="264" t="str">
        <f>IF(ResultsInd[[#This Row],[Category]]="","",VLOOKUP(ResultsInd[[#This Row],[Stage]],$P$1:$V$9,MATCH(ResultsInd[[#This Row],[Category]],$Q$1:$V$1,0)+1,FALSE))</f>
        <v/>
      </c>
      <c r="Z1018" s="264" t="str">
        <f>IF(ResultsInd[[#This Row],[Score_OK]],IF(ResultsInd[[#This Row],[Level]]="R",ResultsInd[[#This Row],[Category]]&amp;"-"&amp;IF(ResultsInd[[#This Row],[LoseInKO]]=ResultsInd[[#This Row],[Category]]&amp;"-"&amp;ResultsInd[[#This Row],[Player A]],ResultsInd[[#This Row],[Player B]],ResultsInd[[#This Row],[Player A]]),""),"")</f>
        <v/>
      </c>
      <c r="AB1018" s="8"/>
      <c r="AC1018" s="8"/>
      <c r="AE1018" s="90"/>
      <c r="AF1018" s="90"/>
      <c r="AP1018" s="8"/>
      <c r="AQ1018" s="8"/>
      <c r="AR1018" s="8"/>
      <c r="AS1018" s="8"/>
      <c r="AT1018" s="8"/>
      <c r="AU1018" s="8"/>
      <c r="AV1018" s="8"/>
      <c r="AW1018" s="8"/>
      <c r="AX1018" s="8"/>
      <c r="AY1018" s="90"/>
      <c r="AZ1018" s="90"/>
      <c r="BA1018" s="90"/>
      <c r="BB1018" s="90"/>
      <c r="BC1018" s="90"/>
      <c r="BD1018" s="90"/>
      <c r="BE1018" s="90"/>
      <c r="BF1018" s="90"/>
    </row>
    <row r="1019" spans="1:58" x14ac:dyDescent="0.2">
      <c r="A1019" s="62"/>
      <c r="B1019" s="62"/>
      <c r="C1019" s="62"/>
      <c r="D1019" s="62"/>
      <c r="E1019" s="345"/>
      <c r="F1019" s="345"/>
      <c r="G1019" s="113"/>
      <c r="H1019" s="113"/>
      <c r="I1019" s="114"/>
      <c r="J1019" s="114"/>
      <c r="K1019" s="114"/>
      <c r="L1019" s="81"/>
      <c r="M1019" s="265" t="b">
        <f>NOT(ISERROR(ResultsInd[[#This Row],[Goal-A]]+ResultsInd[[#This Row],[Goal-B]]))</f>
        <v>1</v>
      </c>
      <c r="N1019" s="265">
        <f>VALUE(ResultsInd[[#This Row],[Score-A]])</f>
        <v>0</v>
      </c>
      <c r="O1019" s="265">
        <f>VALUE(ResultsInd[[#This Row],[Score-B]])</f>
        <v>0</v>
      </c>
      <c r="P1019" s="265" t="str">
        <f ca="1">IF(AND(ResultsInd[[#This Row],[Category]]&lt;&gt;"",ResultsInd[[#This Row],[Player A]]&lt;&gt;""),COUNTIF(INDIRECT(ResultsInd[[#This Row],[Category]]&amp;"List[Retained Player Name]"),ResultsInd[[#This Row],[Player A]]),"")</f>
        <v/>
      </c>
      <c r="Q1019" s="265" t="str">
        <f ca="1">IF(AND(ResultsInd[[#This Row],[Category]]&lt;&gt;"",ResultsInd[[#This Row],[Player B]]&lt;&gt;""),COUNTIF(INDIRECT(ResultsInd[[#This Row],[Category]]&amp;"List[Retained Player Name]"),ResultsInd[[#This Row],[Player B]]),"")</f>
        <v/>
      </c>
      <c r="R10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9" s="265" t="str">
        <f>IF(ResultsInd[[#This Row],[Score_OK]],IF(ResultsInd[[#This Row],[Stage]]="Groups",ResultsInd[[#This Row],[Category]]&amp;"-"&amp;IF(ResultsInd[[#This Row],[Player B]]="","",IF(ResultsInd[[#This Row],[Score-A]]=ResultsInd[[#This Row],[Score-B]],ResultsInd[[#This Row],[Player A]],"")),""),"")</f>
        <v/>
      </c>
      <c r="T1019" s="265" t="str">
        <f>IF(ResultsInd[[#This Row],[Score_OK]],IF(ResultsInd[[#This Row],[Stage]]="Groups",ResultsInd[[#This Row],[Category]]&amp;"-"&amp;IF(ResultsInd[[#This Row],[Player B]]="","",IF(ResultsInd[[#This Row],[Score-A]]=ResultsInd[[#This Row],[Score-B]],ResultsInd[[#This Row],[Player B]],"")),""),"")</f>
        <v/>
      </c>
      <c r="U10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9" s="264" t="str">
        <f>IF(ResultsInd[[#This Row],[Category]]="","",VLOOKUP(ResultsInd[[#This Row],[Stage]],$P$1:$V$9,MATCH(ResultsInd[[#This Row],[Category]],$Q$1:$V$1,0)+1,FALSE))</f>
        <v/>
      </c>
      <c r="Z1019" s="264" t="str">
        <f>IF(ResultsInd[[#This Row],[Score_OK]],IF(ResultsInd[[#This Row],[Level]]="R",ResultsInd[[#This Row],[Category]]&amp;"-"&amp;IF(ResultsInd[[#This Row],[LoseInKO]]=ResultsInd[[#This Row],[Category]]&amp;"-"&amp;ResultsInd[[#This Row],[Player A]],ResultsInd[[#This Row],[Player B]],ResultsInd[[#This Row],[Player A]]),""),"")</f>
        <v/>
      </c>
      <c r="AB1019" s="8"/>
      <c r="AC1019" s="8"/>
      <c r="AE1019" s="90"/>
      <c r="AF1019" s="90"/>
      <c r="AP1019" s="8"/>
      <c r="AQ1019" s="8"/>
      <c r="AR1019" s="8"/>
      <c r="AS1019" s="8"/>
      <c r="AT1019" s="8"/>
      <c r="AU1019" s="8"/>
      <c r="AV1019" s="8"/>
      <c r="AW1019" s="8"/>
      <c r="AX1019" s="8"/>
      <c r="AY1019" s="90"/>
      <c r="AZ1019" s="90"/>
      <c r="BA1019" s="90"/>
      <c r="BB1019" s="90"/>
      <c r="BC1019" s="90"/>
      <c r="BD1019" s="90"/>
      <c r="BE1019" s="90"/>
      <c r="BF1019" s="90"/>
    </row>
    <row r="1020" spans="1:58" x14ac:dyDescent="0.2">
      <c r="A1020" s="62"/>
      <c r="B1020" s="62"/>
      <c r="C1020" s="62"/>
      <c r="D1020" s="62"/>
      <c r="E1020" s="345"/>
      <c r="F1020" s="345"/>
      <c r="G1020" s="113"/>
      <c r="H1020" s="113"/>
      <c r="I1020" s="114"/>
      <c r="J1020" s="114"/>
      <c r="K1020" s="114"/>
      <c r="L1020" s="81"/>
      <c r="M1020" s="265" t="b">
        <f>NOT(ISERROR(ResultsInd[[#This Row],[Goal-A]]+ResultsInd[[#This Row],[Goal-B]]))</f>
        <v>1</v>
      </c>
      <c r="N1020" s="265">
        <f>VALUE(ResultsInd[[#This Row],[Score-A]])</f>
        <v>0</v>
      </c>
      <c r="O1020" s="265">
        <f>VALUE(ResultsInd[[#This Row],[Score-B]])</f>
        <v>0</v>
      </c>
      <c r="P1020" s="265" t="str">
        <f ca="1">IF(AND(ResultsInd[[#This Row],[Category]]&lt;&gt;"",ResultsInd[[#This Row],[Player A]]&lt;&gt;""),COUNTIF(INDIRECT(ResultsInd[[#This Row],[Category]]&amp;"List[Retained Player Name]"),ResultsInd[[#This Row],[Player A]]),"")</f>
        <v/>
      </c>
      <c r="Q1020" s="265" t="str">
        <f ca="1">IF(AND(ResultsInd[[#This Row],[Category]]&lt;&gt;"",ResultsInd[[#This Row],[Player B]]&lt;&gt;""),COUNTIF(INDIRECT(ResultsInd[[#This Row],[Category]]&amp;"List[Retained Player Name]"),ResultsInd[[#This Row],[Player B]]),"")</f>
        <v/>
      </c>
      <c r="R10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0" s="265" t="str">
        <f>IF(ResultsInd[[#This Row],[Score_OK]],IF(ResultsInd[[#This Row],[Stage]]="Groups",ResultsInd[[#This Row],[Category]]&amp;"-"&amp;IF(ResultsInd[[#This Row],[Player B]]="","",IF(ResultsInd[[#This Row],[Score-A]]=ResultsInd[[#This Row],[Score-B]],ResultsInd[[#This Row],[Player A]],"")),""),"")</f>
        <v/>
      </c>
      <c r="T1020" s="265" t="str">
        <f>IF(ResultsInd[[#This Row],[Score_OK]],IF(ResultsInd[[#This Row],[Stage]]="Groups",ResultsInd[[#This Row],[Category]]&amp;"-"&amp;IF(ResultsInd[[#This Row],[Player B]]="","",IF(ResultsInd[[#This Row],[Score-A]]=ResultsInd[[#This Row],[Score-B]],ResultsInd[[#This Row],[Player B]],"")),""),"")</f>
        <v/>
      </c>
      <c r="U10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0" s="264" t="str">
        <f>IF(ResultsInd[[#This Row],[Category]]="","",VLOOKUP(ResultsInd[[#This Row],[Stage]],$P$1:$V$9,MATCH(ResultsInd[[#This Row],[Category]],$Q$1:$V$1,0)+1,FALSE))</f>
        <v/>
      </c>
      <c r="Z1020" s="264" t="str">
        <f>IF(ResultsInd[[#This Row],[Score_OK]],IF(ResultsInd[[#This Row],[Level]]="R",ResultsInd[[#This Row],[Category]]&amp;"-"&amp;IF(ResultsInd[[#This Row],[LoseInKO]]=ResultsInd[[#This Row],[Category]]&amp;"-"&amp;ResultsInd[[#This Row],[Player A]],ResultsInd[[#This Row],[Player B]],ResultsInd[[#This Row],[Player A]]),""),"")</f>
        <v/>
      </c>
      <c r="AB1020" s="8"/>
      <c r="AC1020" s="8"/>
      <c r="AE1020" s="90"/>
      <c r="AF1020" s="90"/>
      <c r="AP1020" s="8"/>
      <c r="AQ1020" s="8"/>
      <c r="AR1020" s="8"/>
      <c r="AS1020" s="8"/>
      <c r="AT1020" s="8"/>
      <c r="AU1020" s="8"/>
      <c r="AV1020" s="8"/>
      <c r="AW1020" s="8"/>
      <c r="AX1020" s="8"/>
      <c r="AY1020" s="90"/>
      <c r="AZ1020" s="90"/>
      <c r="BA1020" s="90"/>
      <c r="BB1020" s="90"/>
      <c r="BC1020" s="90"/>
      <c r="BD1020" s="90"/>
      <c r="BE1020" s="90"/>
      <c r="BF1020" s="90"/>
    </row>
    <row r="1021" spans="1:58" x14ac:dyDescent="0.2">
      <c r="A1021" s="62"/>
      <c r="B1021" s="62"/>
      <c r="C1021" s="62"/>
      <c r="D1021" s="62"/>
      <c r="E1021" s="345"/>
      <c r="F1021" s="345"/>
      <c r="G1021" s="113"/>
      <c r="H1021" s="113"/>
      <c r="I1021" s="114"/>
      <c r="J1021" s="114"/>
      <c r="K1021" s="114"/>
      <c r="L1021" s="81"/>
      <c r="M1021" s="265" t="b">
        <f>NOT(ISERROR(ResultsInd[[#This Row],[Goal-A]]+ResultsInd[[#This Row],[Goal-B]]))</f>
        <v>1</v>
      </c>
      <c r="N1021" s="265">
        <f>VALUE(ResultsInd[[#This Row],[Score-A]])</f>
        <v>0</v>
      </c>
      <c r="O1021" s="265">
        <f>VALUE(ResultsInd[[#This Row],[Score-B]])</f>
        <v>0</v>
      </c>
      <c r="P1021" s="265" t="str">
        <f ca="1">IF(AND(ResultsInd[[#This Row],[Category]]&lt;&gt;"",ResultsInd[[#This Row],[Player A]]&lt;&gt;""),COUNTIF(INDIRECT(ResultsInd[[#This Row],[Category]]&amp;"List[Retained Player Name]"),ResultsInd[[#This Row],[Player A]]),"")</f>
        <v/>
      </c>
      <c r="Q1021" s="265" t="str">
        <f ca="1">IF(AND(ResultsInd[[#This Row],[Category]]&lt;&gt;"",ResultsInd[[#This Row],[Player B]]&lt;&gt;""),COUNTIF(INDIRECT(ResultsInd[[#This Row],[Category]]&amp;"List[Retained Player Name]"),ResultsInd[[#This Row],[Player B]]),"")</f>
        <v/>
      </c>
      <c r="R10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1" s="265" t="str">
        <f>IF(ResultsInd[[#This Row],[Score_OK]],IF(ResultsInd[[#This Row],[Stage]]="Groups",ResultsInd[[#This Row],[Category]]&amp;"-"&amp;IF(ResultsInd[[#This Row],[Player B]]="","",IF(ResultsInd[[#This Row],[Score-A]]=ResultsInd[[#This Row],[Score-B]],ResultsInd[[#This Row],[Player A]],"")),""),"")</f>
        <v/>
      </c>
      <c r="T1021" s="265" t="str">
        <f>IF(ResultsInd[[#This Row],[Score_OK]],IF(ResultsInd[[#This Row],[Stage]]="Groups",ResultsInd[[#This Row],[Category]]&amp;"-"&amp;IF(ResultsInd[[#This Row],[Player B]]="","",IF(ResultsInd[[#This Row],[Score-A]]=ResultsInd[[#This Row],[Score-B]],ResultsInd[[#This Row],[Player B]],"")),""),"")</f>
        <v/>
      </c>
      <c r="U10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1" s="264" t="str">
        <f>IF(ResultsInd[[#This Row],[Category]]="","",VLOOKUP(ResultsInd[[#This Row],[Stage]],$P$1:$V$9,MATCH(ResultsInd[[#This Row],[Category]],$Q$1:$V$1,0)+1,FALSE))</f>
        <v/>
      </c>
      <c r="Z1021" s="264" t="str">
        <f>IF(ResultsInd[[#This Row],[Score_OK]],IF(ResultsInd[[#This Row],[Level]]="R",ResultsInd[[#This Row],[Category]]&amp;"-"&amp;IF(ResultsInd[[#This Row],[LoseInKO]]=ResultsInd[[#This Row],[Category]]&amp;"-"&amp;ResultsInd[[#This Row],[Player A]],ResultsInd[[#This Row],[Player B]],ResultsInd[[#This Row],[Player A]]),""),"")</f>
        <v/>
      </c>
      <c r="AB1021" s="8"/>
      <c r="AC1021" s="8"/>
      <c r="AE1021" s="90"/>
      <c r="AF1021" s="90"/>
      <c r="AP1021" s="8"/>
      <c r="AQ1021" s="8"/>
      <c r="AR1021" s="8"/>
      <c r="AS1021" s="8"/>
      <c r="AT1021" s="8"/>
      <c r="AU1021" s="8"/>
      <c r="AV1021" s="8"/>
      <c r="AW1021" s="8"/>
      <c r="AX1021" s="8"/>
      <c r="AY1021" s="90"/>
      <c r="AZ1021" s="90"/>
      <c r="BA1021" s="90"/>
      <c r="BB1021" s="90"/>
      <c r="BC1021" s="90"/>
      <c r="BD1021" s="90"/>
      <c r="BE1021" s="90"/>
      <c r="BF1021" s="90"/>
    </row>
    <row r="1022" spans="1:58" x14ac:dyDescent="0.2">
      <c r="A1022" s="62"/>
      <c r="B1022" s="62"/>
      <c r="C1022" s="62"/>
      <c r="D1022" s="62"/>
      <c r="E1022" s="345"/>
      <c r="F1022" s="345"/>
      <c r="G1022" s="113"/>
      <c r="H1022" s="113"/>
      <c r="I1022" s="114"/>
      <c r="J1022" s="114"/>
      <c r="K1022" s="114"/>
      <c r="L1022" s="81"/>
      <c r="M1022" s="265" t="b">
        <f>NOT(ISERROR(ResultsInd[[#This Row],[Goal-A]]+ResultsInd[[#This Row],[Goal-B]]))</f>
        <v>1</v>
      </c>
      <c r="N1022" s="265">
        <f>VALUE(ResultsInd[[#This Row],[Score-A]])</f>
        <v>0</v>
      </c>
      <c r="O1022" s="265">
        <f>VALUE(ResultsInd[[#This Row],[Score-B]])</f>
        <v>0</v>
      </c>
      <c r="P1022" s="265" t="str">
        <f ca="1">IF(AND(ResultsInd[[#This Row],[Category]]&lt;&gt;"",ResultsInd[[#This Row],[Player A]]&lt;&gt;""),COUNTIF(INDIRECT(ResultsInd[[#This Row],[Category]]&amp;"List[Retained Player Name]"),ResultsInd[[#This Row],[Player A]]),"")</f>
        <v/>
      </c>
      <c r="Q1022" s="265" t="str">
        <f ca="1">IF(AND(ResultsInd[[#This Row],[Category]]&lt;&gt;"",ResultsInd[[#This Row],[Player B]]&lt;&gt;""),COUNTIF(INDIRECT(ResultsInd[[#This Row],[Category]]&amp;"List[Retained Player Name]"),ResultsInd[[#This Row],[Player B]]),"")</f>
        <v/>
      </c>
      <c r="R10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2" s="265" t="str">
        <f>IF(ResultsInd[[#This Row],[Score_OK]],IF(ResultsInd[[#This Row],[Stage]]="Groups",ResultsInd[[#This Row],[Category]]&amp;"-"&amp;IF(ResultsInd[[#This Row],[Player B]]="","",IF(ResultsInd[[#This Row],[Score-A]]=ResultsInd[[#This Row],[Score-B]],ResultsInd[[#This Row],[Player A]],"")),""),"")</f>
        <v/>
      </c>
      <c r="T1022" s="265" t="str">
        <f>IF(ResultsInd[[#This Row],[Score_OK]],IF(ResultsInd[[#This Row],[Stage]]="Groups",ResultsInd[[#This Row],[Category]]&amp;"-"&amp;IF(ResultsInd[[#This Row],[Player B]]="","",IF(ResultsInd[[#This Row],[Score-A]]=ResultsInd[[#This Row],[Score-B]],ResultsInd[[#This Row],[Player B]],"")),""),"")</f>
        <v/>
      </c>
      <c r="U10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2" s="264" t="str">
        <f>IF(ResultsInd[[#This Row],[Category]]="","",VLOOKUP(ResultsInd[[#This Row],[Stage]],$P$1:$V$9,MATCH(ResultsInd[[#This Row],[Category]],$Q$1:$V$1,0)+1,FALSE))</f>
        <v/>
      </c>
      <c r="Z1022" s="264" t="str">
        <f>IF(ResultsInd[[#This Row],[Score_OK]],IF(ResultsInd[[#This Row],[Level]]="R",ResultsInd[[#This Row],[Category]]&amp;"-"&amp;IF(ResultsInd[[#This Row],[LoseInKO]]=ResultsInd[[#This Row],[Category]]&amp;"-"&amp;ResultsInd[[#This Row],[Player A]],ResultsInd[[#This Row],[Player B]],ResultsInd[[#This Row],[Player A]]),""),"")</f>
        <v/>
      </c>
      <c r="AB1022" s="8"/>
      <c r="AC1022" s="8"/>
      <c r="AE1022" s="90"/>
      <c r="AF1022" s="90"/>
      <c r="AP1022" s="8"/>
      <c r="AQ1022" s="8"/>
      <c r="AR1022" s="8"/>
      <c r="AS1022" s="8"/>
      <c r="AT1022" s="8"/>
      <c r="AU1022" s="8"/>
      <c r="AV1022" s="8"/>
      <c r="AW1022" s="8"/>
      <c r="AX1022" s="8"/>
      <c r="AY1022" s="90"/>
      <c r="AZ1022" s="90"/>
      <c r="BA1022" s="90"/>
      <c r="BB1022" s="90"/>
      <c r="BC1022" s="90"/>
      <c r="BD1022" s="90"/>
      <c r="BE1022" s="90"/>
      <c r="BF1022" s="90"/>
    </row>
    <row r="1023" spans="1:58" x14ac:dyDescent="0.2">
      <c r="A1023" s="62"/>
      <c r="B1023" s="62"/>
      <c r="C1023" s="62"/>
      <c r="D1023" s="62"/>
      <c r="E1023" s="345"/>
      <c r="F1023" s="345"/>
      <c r="G1023" s="113"/>
      <c r="H1023" s="113"/>
      <c r="I1023" s="114"/>
      <c r="J1023" s="114"/>
      <c r="K1023" s="114"/>
      <c r="L1023" s="81"/>
      <c r="M1023" s="265" t="b">
        <f>NOT(ISERROR(ResultsInd[[#This Row],[Goal-A]]+ResultsInd[[#This Row],[Goal-B]]))</f>
        <v>1</v>
      </c>
      <c r="N1023" s="265">
        <f>VALUE(ResultsInd[[#This Row],[Score-A]])</f>
        <v>0</v>
      </c>
      <c r="O1023" s="265">
        <f>VALUE(ResultsInd[[#This Row],[Score-B]])</f>
        <v>0</v>
      </c>
      <c r="P1023" s="265" t="str">
        <f ca="1">IF(AND(ResultsInd[[#This Row],[Category]]&lt;&gt;"",ResultsInd[[#This Row],[Player A]]&lt;&gt;""),COUNTIF(INDIRECT(ResultsInd[[#This Row],[Category]]&amp;"List[Retained Player Name]"),ResultsInd[[#This Row],[Player A]]),"")</f>
        <v/>
      </c>
      <c r="Q1023" s="265" t="str">
        <f ca="1">IF(AND(ResultsInd[[#This Row],[Category]]&lt;&gt;"",ResultsInd[[#This Row],[Player B]]&lt;&gt;""),COUNTIF(INDIRECT(ResultsInd[[#This Row],[Category]]&amp;"List[Retained Player Name]"),ResultsInd[[#This Row],[Player B]]),"")</f>
        <v/>
      </c>
      <c r="R10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3" s="265" t="str">
        <f>IF(ResultsInd[[#This Row],[Score_OK]],IF(ResultsInd[[#This Row],[Stage]]="Groups",ResultsInd[[#This Row],[Category]]&amp;"-"&amp;IF(ResultsInd[[#This Row],[Player B]]="","",IF(ResultsInd[[#This Row],[Score-A]]=ResultsInd[[#This Row],[Score-B]],ResultsInd[[#This Row],[Player A]],"")),""),"")</f>
        <v/>
      </c>
      <c r="T1023" s="265" t="str">
        <f>IF(ResultsInd[[#This Row],[Score_OK]],IF(ResultsInd[[#This Row],[Stage]]="Groups",ResultsInd[[#This Row],[Category]]&amp;"-"&amp;IF(ResultsInd[[#This Row],[Player B]]="","",IF(ResultsInd[[#This Row],[Score-A]]=ResultsInd[[#This Row],[Score-B]],ResultsInd[[#This Row],[Player B]],"")),""),"")</f>
        <v/>
      </c>
      <c r="U10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3" s="264" t="str">
        <f>IF(ResultsInd[[#This Row],[Category]]="","",VLOOKUP(ResultsInd[[#This Row],[Stage]],$P$1:$V$9,MATCH(ResultsInd[[#This Row],[Category]],$Q$1:$V$1,0)+1,FALSE))</f>
        <v/>
      </c>
      <c r="Z1023" s="264" t="str">
        <f>IF(ResultsInd[[#This Row],[Score_OK]],IF(ResultsInd[[#This Row],[Level]]="R",ResultsInd[[#This Row],[Category]]&amp;"-"&amp;IF(ResultsInd[[#This Row],[LoseInKO]]=ResultsInd[[#This Row],[Category]]&amp;"-"&amp;ResultsInd[[#This Row],[Player A]],ResultsInd[[#This Row],[Player B]],ResultsInd[[#This Row],[Player A]]),""),"")</f>
        <v/>
      </c>
      <c r="AB1023" s="8"/>
      <c r="AC1023" s="8"/>
      <c r="AE1023" s="90"/>
      <c r="AF1023" s="90"/>
      <c r="AP1023" s="8"/>
      <c r="AQ1023" s="8"/>
      <c r="AR1023" s="8"/>
      <c r="AS1023" s="8"/>
      <c r="AT1023" s="8"/>
      <c r="AU1023" s="8"/>
      <c r="AV1023" s="8"/>
      <c r="AW1023" s="8"/>
      <c r="AX1023" s="8"/>
      <c r="AY1023" s="90"/>
      <c r="AZ1023" s="90"/>
      <c r="BA1023" s="90"/>
      <c r="BB1023" s="90"/>
      <c r="BC1023" s="90"/>
      <c r="BD1023" s="90"/>
      <c r="BE1023" s="90"/>
      <c r="BF1023" s="90"/>
    </row>
    <row r="1024" spans="1:58" x14ac:dyDescent="0.2">
      <c r="A1024" s="62"/>
      <c r="B1024" s="62"/>
      <c r="C1024" s="62"/>
      <c r="D1024" s="62"/>
      <c r="E1024" s="345"/>
      <c r="F1024" s="345"/>
      <c r="G1024" s="113"/>
      <c r="H1024" s="113"/>
      <c r="I1024" s="114"/>
      <c r="J1024" s="114"/>
      <c r="K1024" s="114"/>
      <c r="L1024" s="81"/>
      <c r="M1024" s="265" t="b">
        <f>NOT(ISERROR(ResultsInd[[#This Row],[Goal-A]]+ResultsInd[[#This Row],[Goal-B]]))</f>
        <v>1</v>
      </c>
      <c r="N1024" s="265">
        <f>VALUE(ResultsInd[[#This Row],[Score-A]])</f>
        <v>0</v>
      </c>
      <c r="O1024" s="265">
        <f>VALUE(ResultsInd[[#This Row],[Score-B]])</f>
        <v>0</v>
      </c>
      <c r="P1024" s="265" t="str">
        <f ca="1">IF(AND(ResultsInd[[#This Row],[Category]]&lt;&gt;"",ResultsInd[[#This Row],[Player A]]&lt;&gt;""),COUNTIF(INDIRECT(ResultsInd[[#This Row],[Category]]&amp;"List[Retained Player Name]"),ResultsInd[[#This Row],[Player A]]),"")</f>
        <v/>
      </c>
      <c r="Q1024" s="265" t="str">
        <f ca="1">IF(AND(ResultsInd[[#This Row],[Category]]&lt;&gt;"",ResultsInd[[#This Row],[Player B]]&lt;&gt;""),COUNTIF(INDIRECT(ResultsInd[[#This Row],[Category]]&amp;"List[Retained Player Name]"),ResultsInd[[#This Row],[Player B]]),"")</f>
        <v/>
      </c>
      <c r="R10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4" s="265" t="str">
        <f>IF(ResultsInd[[#This Row],[Score_OK]],IF(ResultsInd[[#This Row],[Stage]]="Groups",ResultsInd[[#This Row],[Category]]&amp;"-"&amp;IF(ResultsInd[[#This Row],[Player B]]="","",IF(ResultsInd[[#This Row],[Score-A]]=ResultsInd[[#This Row],[Score-B]],ResultsInd[[#This Row],[Player A]],"")),""),"")</f>
        <v/>
      </c>
      <c r="T1024" s="265" t="str">
        <f>IF(ResultsInd[[#This Row],[Score_OK]],IF(ResultsInd[[#This Row],[Stage]]="Groups",ResultsInd[[#This Row],[Category]]&amp;"-"&amp;IF(ResultsInd[[#This Row],[Player B]]="","",IF(ResultsInd[[#This Row],[Score-A]]=ResultsInd[[#This Row],[Score-B]],ResultsInd[[#This Row],[Player B]],"")),""),"")</f>
        <v/>
      </c>
      <c r="U10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4" s="264" t="str">
        <f>IF(ResultsInd[[#This Row],[Category]]="","",VLOOKUP(ResultsInd[[#This Row],[Stage]],$P$1:$V$9,MATCH(ResultsInd[[#This Row],[Category]],$Q$1:$V$1,0)+1,FALSE))</f>
        <v/>
      </c>
      <c r="Z1024" s="264" t="str">
        <f>IF(ResultsInd[[#This Row],[Score_OK]],IF(ResultsInd[[#This Row],[Level]]="R",ResultsInd[[#This Row],[Category]]&amp;"-"&amp;IF(ResultsInd[[#This Row],[LoseInKO]]=ResultsInd[[#This Row],[Category]]&amp;"-"&amp;ResultsInd[[#This Row],[Player A]],ResultsInd[[#This Row],[Player B]],ResultsInd[[#This Row],[Player A]]),""),"")</f>
        <v/>
      </c>
      <c r="AB1024" s="8"/>
      <c r="AC1024" s="8"/>
      <c r="AE1024" s="90"/>
      <c r="AF1024" s="90"/>
      <c r="AP1024" s="8"/>
      <c r="AQ1024" s="8"/>
      <c r="AR1024" s="8"/>
      <c r="AS1024" s="8"/>
      <c r="AT1024" s="8"/>
      <c r="AU1024" s="8"/>
      <c r="AV1024" s="8"/>
      <c r="AW1024" s="8"/>
      <c r="AX1024" s="8"/>
      <c r="AY1024" s="90"/>
      <c r="AZ1024" s="90"/>
      <c r="BA1024" s="90"/>
      <c r="BB1024" s="90"/>
      <c r="BC1024" s="90"/>
      <c r="BD1024" s="90"/>
      <c r="BE1024" s="90"/>
      <c r="BF1024" s="90"/>
    </row>
    <row r="1025" spans="1:58" x14ac:dyDescent="0.2">
      <c r="A1025" s="62"/>
      <c r="B1025" s="62"/>
      <c r="C1025" s="62"/>
      <c r="D1025" s="62"/>
      <c r="E1025" s="345"/>
      <c r="F1025" s="345"/>
      <c r="G1025" s="113"/>
      <c r="H1025" s="113"/>
      <c r="I1025" s="114"/>
      <c r="J1025" s="114"/>
      <c r="K1025" s="114"/>
      <c r="L1025" s="81"/>
      <c r="M1025" s="265" t="b">
        <f>NOT(ISERROR(ResultsInd[[#This Row],[Goal-A]]+ResultsInd[[#This Row],[Goal-B]]))</f>
        <v>1</v>
      </c>
      <c r="N1025" s="265">
        <f>VALUE(ResultsInd[[#This Row],[Score-A]])</f>
        <v>0</v>
      </c>
      <c r="O1025" s="265">
        <f>VALUE(ResultsInd[[#This Row],[Score-B]])</f>
        <v>0</v>
      </c>
      <c r="P1025" s="265" t="str">
        <f ca="1">IF(AND(ResultsInd[[#This Row],[Category]]&lt;&gt;"",ResultsInd[[#This Row],[Player A]]&lt;&gt;""),COUNTIF(INDIRECT(ResultsInd[[#This Row],[Category]]&amp;"List[Retained Player Name]"),ResultsInd[[#This Row],[Player A]]),"")</f>
        <v/>
      </c>
      <c r="Q1025" s="265" t="str">
        <f ca="1">IF(AND(ResultsInd[[#This Row],[Category]]&lt;&gt;"",ResultsInd[[#This Row],[Player B]]&lt;&gt;""),COUNTIF(INDIRECT(ResultsInd[[#This Row],[Category]]&amp;"List[Retained Player Name]"),ResultsInd[[#This Row],[Player B]]),"")</f>
        <v/>
      </c>
      <c r="R10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5" s="265" t="str">
        <f>IF(ResultsInd[[#This Row],[Score_OK]],IF(ResultsInd[[#This Row],[Stage]]="Groups",ResultsInd[[#This Row],[Category]]&amp;"-"&amp;IF(ResultsInd[[#This Row],[Player B]]="","",IF(ResultsInd[[#This Row],[Score-A]]=ResultsInd[[#This Row],[Score-B]],ResultsInd[[#This Row],[Player A]],"")),""),"")</f>
        <v/>
      </c>
      <c r="T1025" s="265" t="str">
        <f>IF(ResultsInd[[#This Row],[Score_OK]],IF(ResultsInd[[#This Row],[Stage]]="Groups",ResultsInd[[#This Row],[Category]]&amp;"-"&amp;IF(ResultsInd[[#This Row],[Player B]]="","",IF(ResultsInd[[#This Row],[Score-A]]=ResultsInd[[#This Row],[Score-B]],ResultsInd[[#This Row],[Player B]],"")),""),"")</f>
        <v/>
      </c>
      <c r="U10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5" s="264" t="str">
        <f>IF(ResultsInd[[#This Row],[Category]]="","",VLOOKUP(ResultsInd[[#This Row],[Stage]],$P$1:$V$9,MATCH(ResultsInd[[#This Row],[Category]],$Q$1:$V$1,0)+1,FALSE))</f>
        <v/>
      </c>
      <c r="Z1025" s="264" t="str">
        <f>IF(ResultsInd[[#This Row],[Score_OK]],IF(ResultsInd[[#This Row],[Level]]="R",ResultsInd[[#This Row],[Category]]&amp;"-"&amp;IF(ResultsInd[[#This Row],[LoseInKO]]=ResultsInd[[#This Row],[Category]]&amp;"-"&amp;ResultsInd[[#This Row],[Player A]],ResultsInd[[#This Row],[Player B]],ResultsInd[[#This Row],[Player A]]),""),"")</f>
        <v/>
      </c>
      <c r="AB1025" s="8"/>
      <c r="AC1025" s="8"/>
      <c r="AE1025" s="90"/>
      <c r="AF1025" s="90"/>
      <c r="AP1025" s="8"/>
      <c r="AQ1025" s="8"/>
      <c r="AR1025" s="8"/>
      <c r="AS1025" s="8"/>
      <c r="AT1025" s="8"/>
      <c r="AU1025" s="8"/>
      <c r="AV1025" s="8"/>
      <c r="AW1025" s="8"/>
      <c r="AX1025" s="8"/>
      <c r="AY1025" s="90"/>
      <c r="AZ1025" s="90"/>
      <c r="BA1025" s="90"/>
      <c r="BB1025" s="90"/>
      <c r="BC1025" s="90"/>
      <c r="BD1025" s="90"/>
      <c r="BE1025" s="90"/>
      <c r="BF1025" s="90"/>
    </row>
    <row r="1026" spans="1:58" x14ac:dyDescent="0.2">
      <c r="A1026" s="62"/>
      <c r="B1026" s="62"/>
      <c r="C1026" s="62"/>
      <c r="D1026" s="62"/>
      <c r="E1026" s="345"/>
      <c r="F1026" s="345"/>
      <c r="G1026" s="113"/>
      <c r="H1026" s="113"/>
      <c r="I1026" s="114"/>
      <c r="J1026" s="114"/>
      <c r="K1026" s="114"/>
      <c r="L1026" s="81"/>
      <c r="M1026" s="265" t="b">
        <f>NOT(ISERROR(ResultsInd[[#This Row],[Goal-A]]+ResultsInd[[#This Row],[Goal-B]]))</f>
        <v>1</v>
      </c>
      <c r="N1026" s="265">
        <f>VALUE(ResultsInd[[#This Row],[Score-A]])</f>
        <v>0</v>
      </c>
      <c r="O1026" s="265">
        <f>VALUE(ResultsInd[[#This Row],[Score-B]])</f>
        <v>0</v>
      </c>
      <c r="P1026" s="265" t="str">
        <f ca="1">IF(AND(ResultsInd[[#This Row],[Category]]&lt;&gt;"",ResultsInd[[#This Row],[Player A]]&lt;&gt;""),COUNTIF(INDIRECT(ResultsInd[[#This Row],[Category]]&amp;"List[Retained Player Name]"),ResultsInd[[#This Row],[Player A]]),"")</f>
        <v/>
      </c>
      <c r="Q1026" s="265" t="str">
        <f ca="1">IF(AND(ResultsInd[[#This Row],[Category]]&lt;&gt;"",ResultsInd[[#This Row],[Player B]]&lt;&gt;""),COUNTIF(INDIRECT(ResultsInd[[#This Row],[Category]]&amp;"List[Retained Player Name]"),ResultsInd[[#This Row],[Player B]]),"")</f>
        <v/>
      </c>
      <c r="R10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6" s="265" t="str">
        <f>IF(ResultsInd[[#This Row],[Score_OK]],IF(ResultsInd[[#This Row],[Stage]]="Groups",ResultsInd[[#This Row],[Category]]&amp;"-"&amp;IF(ResultsInd[[#This Row],[Player B]]="","",IF(ResultsInd[[#This Row],[Score-A]]=ResultsInd[[#This Row],[Score-B]],ResultsInd[[#This Row],[Player A]],"")),""),"")</f>
        <v/>
      </c>
      <c r="T1026" s="265" t="str">
        <f>IF(ResultsInd[[#This Row],[Score_OK]],IF(ResultsInd[[#This Row],[Stage]]="Groups",ResultsInd[[#This Row],[Category]]&amp;"-"&amp;IF(ResultsInd[[#This Row],[Player B]]="","",IF(ResultsInd[[#This Row],[Score-A]]=ResultsInd[[#This Row],[Score-B]],ResultsInd[[#This Row],[Player B]],"")),""),"")</f>
        <v/>
      </c>
      <c r="U10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6" s="264" t="str">
        <f>IF(ResultsInd[[#This Row],[Category]]="","",VLOOKUP(ResultsInd[[#This Row],[Stage]],$P$1:$V$9,MATCH(ResultsInd[[#This Row],[Category]],$Q$1:$V$1,0)+1,FALSE))</f>
        <v/>
      </c>
      <c r="Z1026" s="264" t="str">
        <f>IF(ResultsInd[[#This Row],[Score_OK]],IF(ResultsInd[[#This Row],[Level]]="R",ResultsInd[[#This Row],[Category]]&amp;"-"&amp;IF(ResultsInd[[#This Row],[LoseInKO]]=ResultsInd[[#This Row],[Category]]&amp;"-"&amp;ResultsInd[[#This Row],[Player A]],ResultsInd[[#This Row],[Player B]],ResultsInd[[#This Row],[Player A]]),""),"")</f>
        <v/>
      </c>
      <c r="AB1026" s="8"/>
      <c r="AC1026" s="8"/>
      <c r="AE1026" s="90"/>
      <c r="AF1026" s="90"/>
      <c r="AP1026" s="8"/>
      <c r="AQ1026" s="8"/>
      <c r="AR1026" s="8"/>
      <c r="AS1026" s="8"/>
      <c r="AT1026" s="8"/>
      <c r="AU1026" s="8"/>
      <c r="AV1026" s="8"/>
      <c r="AW1026" s="8"/>
      <c r="AX1026" s="8"/>
      <c r="AY1026" s="90"/>
      <c r="AZ1026" s="90"/>
      <c r="BA1026" s="90"/>
      <c r="BB1026" s="90"/>
      <c r="BC1026" s="90"/>
      <c r="BD1026" s="90"/>
      <c r="BE1026" s="90"/>
      <c r="BF1026" s="90"/>
    </row>
    <row r="1027" spans="1:58" x14ac:dyDescent="0.2">
      <c r="A1027" s="62"/>
      <c r="B1027" s="62"/>
      <c r="C1027" s="62"/>
      <c r="D1027" s="62"/>
      <c r="E1027" s="345"/>
      <c r="F1027" s="345"/>
      <c r="G1027" s="113"/>
      <c r="H1027" s="113"/>
      <c r="I1027" s="114"/>
      <c r="J1027" s="114"/>
      <c r="K1027" s="114"/>
      <c r="L1027" s="81"/>
      <c r="M1027" s="265" t="b">
        <f>NOT(ISERROR(ResultsInd[[#This Row],[Goal-A]]+ResultsInd[[#This Row],[Goal-B]]))</f>
        <v>1</v>
      </c>
      <c r="N1027" s="265">
        <f>VALUE(ResultsInd[[#This Row],[Score-A]])</f>
        <v>0</v>
      </c>
      <c r="O1027" s="265">
        <f>VALUE(ResultsInd[[#This Row],[Score-B]])</f>
        <v>0</v>
      </c>
      <c r="P1027" s="265" t="str">
        <f ca="1">IF(AND(ResultsInd[[#This Row],[Category]]&lt;&gt;"",ResultsInd[[#This Row],[Player A]]&lt;&gt;""),COUNTIF(INDIRECT(ResultsInd[[#This Row],[Category]]&amp;"List[Retained Player Name]"),ResultsInd[[#This Row],[Player A]]),"")</f>
        <v/>
      </c>
      <c r="Q1027" s="265" t="str">
        <f ca="1">IF(AND(ResultsInd[[#This Row],[Category]]&lt;&gt;"",ResultsInd[[#This Row],[Player B]]&lt;&gt;""),COUNTIF(INDIRECT(ResultsInd[[#This Row],[Category]]&amp;"List[Retained Player Name]"),ResultsInd[[#This Row],[Player B]]),"")</f>
        <v/>
      </c>
      <c r="R10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7" s="265" t="str">
        <f>IF(ResultsInd[[#This Row],[Score_OK]],IF(ResultsInd[[#This Row],[Stage]]="Groups",ResultsInd[[#This Row],[Category]]&amp;"-"&amp;IF(ResultsInd[[#This Row],[Player B]]="","",IF(ResultsInd[[#This Row],[Score-A]]=ResultsInd[[#This Row],[Score-B]],ResultsInd[[#This Row],[Player A]],"")),""),"")</f>
        <v/>
      </c>
      <c r="T1027" s="265" t="str">
        <f>IF(ResultsInd[[#This Row],[Score_OK]],IF(ResultsInd[[#This Row],[Stage]]="Groups",ResultsInd[[#This Row],[Category]]&amp;"-"&amp;IF(ResultsInd[[#This Row],[Player B]]="","",IF(ResultsInd[[#This Row],[Score-A]]=ResultsInd[[#This Row],[Score-B]],ResultsInd[[#This Row],[Player B]],"")),""),"")</f>
        <v/>
      </c>
      <c r="U10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7" s="264" t="str">
        <f>IF(ResultsInd[[#This Row],[Category]]="","",VLOOKUP(ResultsInd[[#This Row],[Stage]],$P$1:$V$9,MATCH(ResultsInd[[#This Row],[Category]],$Q$1:$V$1,0)+1,FALSE))</f>
        <v/>
      </c>
      <c r="Z1027" s="264" t="str">
        <f>IF(ResultsInd[[#This Row],[Score_OK]],IF(ResultsInd[[#This Row],[Level]]="R",ResultsInd[[#This Row],[Category]]&amp;"-"&amp;IF(ResultsInd[[#This Row],[LoseInKO]]=ResultsInd[[#This Row],[Category]]&amp;"-"&amp;ResultsInd[[#This Row],[Player A]],ResultsInd[[#This Row],[Player B]],ResultsInd[[#This Row],[Player A]]),""),"")</f>
        <v/>
      </c>
      <c r="AB1027" s="8"/>
      <c r="AC1027" s="8"/>
      <c r="AE1027" s="90"/>
      <c r="AF1027" s="90"/>
      <c r="AP1027" s="8"/>
      <c r="AQ1027" s="8"/>
      <c r="AR1027" s="8"/>
      <c r="AS1027" s="8"/>
      <c r="AT1027" s="8"/>
      <c r="AU1027" s="8"/>
      <c r="AV1027" s="8"/>
      <c r="AW1027" s="8"/>
      <c r="AX1027" s="8"/>
      <c r="AY1027" s="90"/>
      <c r="AZ1027" s="90"/>
      <c r="BA1027" s="90"/>
      <c r="BB1027" s="90"/>
      <c r="BC1027" s="90"/>
      <c r="BD1027" s="90"/>
      <c r="BE1027" s="90"/>
      <c r="BF1027" s="90"/>
    </row>
    <row r="1028" spans="1:58" x14ac:dyDescent="0.2">
      <c r="A1028" s="62"/>
      <c r="B1028" s="62"/>
      <c r="C1028" s="62"/>
      <c r="D1028" s="62"/>
      <c r="E1028" s="345"/>
      <c r="F1028" s="345"/>
      <c r="G1028" s="113"/>
      <c r="H1028" s="113"/>
      <c r="I1028" s="114"/>
      <c r="J1028" s="114"/>
      <c r="K1028" s="114"/>
      <c r="L1028" s="81"/>
      <c r="M1028" s="265" t="b">
        <f>NOT(ISERROR(ResultsInd[[#This Row],[Goal-A]]+ResultsInd[[#This Row],[Goal-B]]))</f>
        <v>1</v>
      </c>
      <c r="N1028" s="265">
        <f>VALUE(ResultsInd[[#This Row],[Score-A]])</f>
        <v>0</v>
      </c>
      <c r="O1028" s="265">
        <f>VALUE(ResultsInd[[#This Row],[Score-B]])</f>
        <v>0</v>
      </c>
      <c r="P1028" s="265" t="str">
        <f ca="1">IF(AND(ResultsInd[[#This Row],[Category]]&lt;&gt;"",ResultsInd[[#This Row],[Player A]]&lt;&gt;""),COUNTIF(INDIRECT(ResultsInd[[#This Row],[Category]]&amp;"List[Retained Player Name]"),ResultsInd[[#This Row],[Player A]]),"")</f>
        <v/>
      </c>
      <c r="Q1028" s="265" t="str">
        <f ca="1">IF(AND(ResultsInd[[#This Row],[Category]]&lt;&gt;"",ResultsInd[[#This Row],[Player B]]&lt;&gt;""),COUNTIF(INDIRECT(ResultsInd[[#This Row],[Category]]&amp;"List[Retained Player Name]"),ResultsInd[[#This Row],[Player B]]),"")</f>
        <v/>
      </c>
      <c r="R10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8" s="265" t="str">
        <f>IF(ResultsInd[[#This Row],[Score_OK]],IF(ResultsInd[[#This Row],[Stage]]="Groups",ResultsInd[[#This Row],[Category]]&amp;"-"&amp;IF(ResultsInd[[#This Row],[Player B]]="","",IF(ResultsInd[[#This Row],[Score-A]]=ResultsInd[[#This Row],[Score-B]],ResultsInd[[#This Row],[Player A]],"")),""),"")</f>
        <v/>
      </c>
      <c r="T1028" s="265" t="str">
        <f>IF(ResultsInd[[#This Row],[Score_OK]],IF(ResultsInd[[#This Row],[Stage]]="Groups",ResultsInd[[#This Row],[Category]]&amp;"-"&amp;IF(ResultsInd[[#This Row],[Player B]]="","",IF(ResultsInd[[#This Row],[Score-A]]=ResultsInd[[#This Row],[Score-B]],ResultsInd[[#This Row],[Player B]],"")),""),"")</f>
        <v/>
      </c>
      <c r="U10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8" s="264" t="str">
        <f>IF(ResultsInd[[#This Row],[Category]]="","",VLOOKUP(ResultsInd[[#This Row],[Stage]],$P$1:$V$9,MATCH(ResultsInd[[#This Row],[Category]],$Q$1:$V$1,0)+1,FALSE))</f>
        <v/>
      </c>
      <c r="Z1028" s="264" t="str">
        <f>IF(ResultsInd[[#This Row],[Score_OK]],IF(ResultsInd[[#This Row],[Level]]="R",ResultsInd[[#This Row],[Category]]&amp;"-"&amp;IF(ResultsInd[[#This Row],[LoseInKO]]=ResultsInd[[#This Row],[Category]]&amp;"-"&amp;ResultsInd[[#This Row],[Player A]],ResultsInd[[#This Row],[Player B]],ResultsInd[[#This Row],[Player A]]),""),"")</f>
        <v/>
      </c>
      <c r="AB1028" s="8"/>
      <c r="AC1028" s="8"/>
      <c r="AE1028" s="90"/>
      <c r="AF1028" s="90"/>
      <c r="AP1028" s="8"/>
      <c r="AQ1028" s="8"/>
      <c r="AR1028" s="8"/>
      <c r="AS1028" s="8"/>
      <c r="AT1028" s="8"/>
      <c r="AU1028" s="8"/>
      <c r="AV1028" s="8"/>
      <c r="AW1028" s="8"/>
      <c r="AX1028" s="8"/>
      <c r="AY1028" s="90"/>
      <c r="AZ1028" s="90"/>
      <c r="BA1028" s="90"/>
      <c r="BB1028" s="90"/>
      <c r="BC1028" s="90"/>
      <c r="BD1028" s="90"/>
      <c r="BE1028" s="90"/>
      <c r="BF1028" s="90"/>
    </row>
    <row r="1029" spans="1:58" x14ac:dyDescent="0.2">
      <c r="A1029" s="62"/>
      <c r="B1029" s="62"/>
      <c r="C1029" s="62"/>
      <c r="D1029" s="62"/>
      <c r="E1029" s="345"/>
      <c r="F1029" s="345"/>
      <c r="G1029" s="113"/>
      <c r="H1029" s="113"/>
      <c r="I1029" s="114"/>
      <c r="J1029" s="114"/>
      <c r="K1029" s="114"/>
      <c r="L1029" s="81"/>
      <c r="M1029" s="265" t="b">
        <f>NOT(ISERROR(ResultsInd[[#This Row],[Goal-A]]+ResultsInd[[#This Row],[Goal-B]]))</f>
        <v>1</v>
      </c>
      <c r="N1029" s="265">
        <f>VALUE(ResultsInd[[#This Row],[Score-A]])</f>
        <v>0</v>
      </c>
      <c r="O1029" s="265">
        <f>VALUE(ResultsInd[[#This Row],[Score-B]])</f>
        <v>0</v>
      </c>
      <c r="P1029" s="265" t="str">
        <f ca="1">IF(AND(ResultsInd[[#This Row],[Category]]&lt;&gt;"",ResultsInd[[#This Row],[Player A]]&lt;&gt;""),COUNTIF(INDIRECT(ResultsInd[[#This Row],[Category]]&amp;"List[Retained Player Name]"),ResultsInd[[#This Row],[Player A]]),"")</f>
        <v/>
      </c>
      <c r="Q1029" s="265" t="str">
        <f ca="1">IF(AND(ResultsInd[[#This Row],[Category]]&lt;&gt;"",ResultsInd[[#This Row],[Player B]]&lt;&gt;""),COUNTIF(INDIRECT(ResultsInd[[#This Row],[Category]]&amp;"List[Retained Player Name]"),ResultsInd[[#This Row],[Player B]]),"")</f>
        <v/>
      </c>
      <c r="R10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9" s="265" t="str">
        <f>IF(ResultsInd[[#This Row],[Score_OK]],IF(ResultsInd[[#This Row],[Stage]]="Groups",ResultsInd[[#This Row],[Category]]&amp;"-"&amp;IF(ResultsInd[[#This Row],[Player B]]="","",IF(ResultsInd[[#This Row],[Score-A]]=ResultsInd[[#This Row],[Score-B]],ResultsInd[[#This Row],[Player A]],"")),""),"")</f>
        <v/>
      </c>
      <c r="T1029" s="265" t="str">
        <f>IF(ResultsInd[[#This Row],[Score_OK]],IF(ResultsInd[[#This Row],[Stage]]="Groups",ResultsInd[[#This Row],[Category]]&amp;"-"&amp;IF(ResultsInd[[#This Row],[Player B]]="","",IF(ResultsInd[[#This Row],[Score-A]]=ResultsInd[[#This Row],[Score-B]],ResultsInd[[#This Row],[Player B]],"")),""),"")</f>
        <v/>
      </c>
      <c r="U10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9" s="264" t="str">
        <f>IF(ResultsInd[[#This Row],[Category]]="","",VLOOKUP(ResultsInd[[#This Row],[Stage]],$P$1:$V$9,MATCH(ResultsInd[[#This Row],[Category]],$Q$1:$V$1,0)+1,FALSE))</f>
        <v/>
      </c>
      <c r="Z1029" s="264" t="str">
        <f>IF(ResultsInd[[#This Row],[Score_OK]],IF(ResultsInd[[#This Row],[Level]]="R",ResultsInd[[#This Row],[Category]]&amp;"-"&amp;IF(ResultsInd[[#This Row],[LoseInKO]]=ResultsInd[[#This Row],[Category]]&amp;"-"&amp;ResultsInd[[#This Row],[Player A]],ResultsInd[[#This Row],[Player B]],ResultsInd[[#This Row],[Player A]]),""),"")</f>
        <v/>
      </c>
      <c r="AB1029" s="8"/>
      <c r="AC1029" s="8"/>
      <c r="AE1029" s="90"/>
      <c r="AF1029" s="90"/>
      <c r="AP1029" s="8"/>
      <c r="AQ1029" s="8"/>
      <c r="AR1029" s="8"/>
      <c r="AS1029" s="8"/>
      <c r="AT1029" s="8"/>
      <c r="AU1029" s="8"/>
      <c r="AV1029" s="8"/>
      <c r="AW1029" s="8"/>
      <c r="AX1029" s="8"/>
      <c r="AY1029" s="90"/>
      <c r="AZ1029" s="90"/>
      <c r="BA1029" s="90"/>
      <c r="BB1029" s="90"/>
      <c r="BC1029" s="90"/>
      <c r="BD1029" s="90"/>
      <c r="BE1029" s="90"/>
      <c r="BF1029" s="90"/>
    </row>
    <row r="1030" spans="1:58" x14ac:dyDescent="0.2">
      <c r="A1030" s="62"/>
      <c r="B1030" s="62"/>
      <c r="C1030" s="62"/>
      <c r="D1030" s="62"/>
      <c r="E1030" s="345"/>
      <c r="F1030" s="345"/>
      <c r="G1030" s="113"/>
      <c r="H1030" s="113"/>
      <c r="I1030" s="114"/>
      <c r="J1030" s="114"/>
      <c r="K1030" s="114"/>
      <c r="L1030" s="81"/>
      <c r="M1030" s="265" t="b">
        <f>NOT(ISERROR(ResultsInd[[#This Row],[Goal-A]]+ResultsInd[[#This Row],[Goal-B]]))</f>
        <v>1</v>
      </c>
      <c r="N1030" s="265">
        <f>VALUE(ResultsInd[[#This Row],[Score-A]])</f>
        <v>0</v>
      </c>
      <c r="O1030" s="265">
        <f>VALUE(ResultsInd[[#This Row],[Score-B]])</f>
        <v>0</v>
      </c>
      <c r="P1030" s="265" t="str">
        <f ca="1">IF(AND(ResultsInd[[#This Row],[Category]]&lt;&gt;"",ResultsInd[[#This Row],[Player A]]&lt;&gt;""),COUNTIF(INDIRECT(ResultsInd[[#This Row],[Category]]&amp;"List[Retained Player Name]"),ResultsInd[[#This Row],[Player A]]),"")</f>
        <v/>
      </c>
      <c r="Q1030" s="265" t="str">
        <f ca="1">IF(AND(ResultsInd[[#This Row],[Category]]&lt;&gt;"",ResultsInd[[#This Row],[Player B]]&lt;&gt;""),COUNTIF(INDIRECT(ResultsInd[[#This Row],[Category]]&amp;"List[Retained Player Name]"),ResultsInd[[#This Row],[Player B]]),"")</f>
        <v/>
      </c>
      <c r="R10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0" s="265" t="str">
        <f>IF(ResultsInd[[#This Row],[Score_OK]],IF(ResultsInd[[#This Row],[Stage]]="Groups",ResultsInd[[#This Row],[Category]]&amp;"-"&amp;IF(ResultsInd[[#This Row],[Player B]]="","",IF(ResultsInd[[#This Row],[Score-A]]=ResultsInd[[#This Row],[Score-B]],ResultsInd[[#This Row],[Player A]],"")),""),"")</f>
        <v/>
      </c>
      <c r="T1030" s="265" t="str">
        <f>IF(ResultsInd[[#This Row],[Score_OK]],IF(ResultsInd[[#This Row],[Stage]]="Groups",ResultsInd[[#This Row],[Category]]&amp;"-"&amp;IF(ResultsInd[[#This Row],[Player B]]="","",IF(ResultsInd[[#This Row],[Score-A]]=ResultsInd[[#This Row],[Score-B]],ResultsInd[[#This Row],[Player B]],"")),""),"")</f>
        <v/>
      </c>
      <c r="U10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0" s="264" t="str">
        <f>IF(ResultsInd[[#This Row],[Category]]="","",VLOOKUP(ResultsInd[[#This Row],[Stage]],$P$1:$V$9,MATCH(ResultsInd[[#This Row],[Category]],$Q$1:$V$1,0)+1,FALSE))</f>
        <v/>
      </c>
      <c r="Z1030" s="264" t="str">
        <f>IF(ResultsInd[[#This Row],[Score_OK]],IF(ResultsInd[[#This Row],[Level]]="R",ResultsInd[[#This Row],[Category]]&amp;"-"&amp;IF(ResultsInd[[#This Row],[LoseInKO]]=ResultsInd[[#This Row],[Category]]&amp;"-"&amp;ResultsInd[[#This Row],[Player A]],ResultsInd[[#This Row],[Player B]],ResultsInd[[#This Row],[Player A]]),""),"")</f>
        <v/>
      </c>
      <c r="AB1030" s="8"/>
      <c r="AC1030" s="8"/>
      <c r="AE1030" s="90"/>
      <c r="AF1030" s="90"/>
      <c r="AP1030" s="8"/>
      <c r="AQ1030" s="8"/>
      <c r="AR1030" s="8"/>
      <c r="AS1030" s="8"/>
      <c r="AT1030" s="8"/>
      <c r="AU1030" s="8"/>
      <c r="AV1030" s="8"/>
      <c r="AW1030" s="8"/>
      <c r="AX1030" s="8"/>
      <c r="AY1030" s="90"/>
      <c r="AZ1030" s="90"/>
      <c r="BA1030" s="90"/>
      <c r="BB1030" s="90"/>
      <c r="BC1030" s="90"/>
      <c r="BD1030" s="90"/>
      <c r="BE1030" s="90"/>
      <c r="BF1030" s="90"/>
    </row>
    <row r="1031" spans="1:58" x14ac:dyDescent="0.2">
      <c r="A1031" s="62"/>
      <c r="B1031" s="62"/>
      <c r="C1031" s="62"/>
      <c r="D1031" s="62"/>
      <c r="E1031" s="345"/>
      <c r="F1031" s="345"/>
      <c r="G1031" s="113"/>
      <c r="H1031" s="113"/>
      <c r="I1031" s="114"/>
      <c r="J1031" s="114"/>
      <c r="K1031" s="114"/>
      <c r="L1031" s="81"/>
      <c r="M1031" s="265" t="b">
        <f>NOT(ISERROR(ResultsInd[[#This Row],[Goal-A]]+ResultsInd[[#This Row],[Goal-B]]))</f>
        <v>1</v>
      </c>
      <c r="N1031" s="265">
        <f>VALUE(ResultsInd[[#This Row],[Score-A]])</f>
        <v>0</v>
      </c>
      <c r="O1031" s="265">
        <f>VALUE(ResultsInd[[#This Row],[Score-B]])</f>
        <v>0</v>
      </c>
      <c r="P1031" s="265" t="str">
        <f ca="1">IF(AND(ResultsInd[[#This Row],[Category]]&lt;&gt;"",ResultsInd[[#This Row],[Player A]]&lt;&gt;""),COUNTIF(INDIRECT(ResultsInd[[#This Row],[Category]]&amp;"List[Retained Player Name]"),ResultsInd[[#This Row],[Player A]]),"")</f>
        <v/>
      </c>
      <c r="Q1031" s="265" t="str">
        <f ca="1">IF(AND(ResultsInd[[#This Row],[Category]]&lt;&gt;"",ResultsInd[[#This Row],[Player B]]&lt;&gt;""),COUNTIF(INDIRECT(ResultsInd[[#This Row],[Category]]&amp;"List[Retained Player Name]"),ResultsInd[[#This Row],[Player B]]),"")</f>
        <v/>
      </c>
      <c r="R10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1" s="265" t="str">
        <f>IF(ResultsInd[[#This Row],[Score_OK]],IF(ResultsInd[[#This Row],[Stage]]="Groups",ResultsInd[[#This Row],[Category]]&amp;"-"&amp;IF(ResultsInd[[#This Row],[Player B]]="","",IF(ResultsInd[[#This Row],[Score-A]]=ResultsInd[[#This Row],[Score-B]],ResultsInd[[#This Row],[Player A]],"")),""),"")</f>
        <v/>
      </c>
      <c r="T1031" s="265" t="str">
        <f>IF(ResultsInd[[#This Row],[Score_OK]],IF(ResultsInd[[#This Row],[Stage]]="Groups",ResultsInd[[#This Row],[Category]]&amp;"-"&amp;IF(ResultsInd[[#This Row],[Player B]]="","",IF(ResultsInd[[#This Row],[Score-A]]=ResultsInd[[#This Row],[Score-B]],ResultsInd[[#This Row],[Player B]],"")),""),"")</f>
        <v/>
      </c>
      <c r="U10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1" s="264" t="str">
        <f>IF(ResultsInd[[#This Row],[Category]]="","",VLOOKUP(ResultsInd[[#This Row],[Stage]],$P$1:$V$9,MATCH(ResultsInd[[#This Row],[Category]],$Q$1:$V$1,0)+1,FALSE))</f>
        <v/>
      </c>
      <c r="Z1031" s="264" t="str">
        <f>IF(ResultsInd[[#This Row],[Score_OK]],IF(ResultsInd[[#This Row],[Level]]="R",ResultsInd[[#This Row],[Category]]&amp;"-"&amp;IF(ResultsInd[[#This Row],[LoseInKO]]=ResultsInd[[#This Row],[Category]]&amp;"-"&amp;ResultsInd[[#This Row],[Player A]],ResultsInd[[#This Row],[Player B]],ResultsInd[[#This Row],[Player A]]),""),"")</f>
        <v/>
      </c>
      <c r="AB1031" s="8"/>
      <c r="AC1031" s="8"/>
      <c r="AE1031" s="90"/>
      <c r="AF1031" s="90"/>
      <c r="AP1031" s="8"/>
      <c r="AQ1031" s="8"/>
      <c r="AR1031" s="8"/>
      <c r="AS1031" s="8"/>
      <c r="AT1031" s="8"/>
      <c r="AU1031" s="8"/>
      <c r="AV1031" s="8"/>
      <c r="AW1031" s="8"/>
      <c r="AX1031" s="8"/>
      <c r="AY1031" s="90"/>
      <c r="AZ1031" s="90"/>
      <c r="BA1031" s="90"/>
      <c r="BB1031" s="90"/>
      <c r="BC1031" s="90"/>
      <c r="BD1031" s="90"/>
      <c r="BE1031" s="90"/>
      <c r="BF1031" s="90"/>
    </row>
    <row r="1032" spans="1:58" x14ac:dyDescent="0.2">
      <c r="A1032" s="62"/>
      <c r="B1032" s="62"/>
      <c r="C1032" s="62"/>
      <c r="D1032" s="62"/>
      <c r="E1032" s="345"/>
      <c r="F1032" s="345"/>
      <c r="G1032" s="113"/>
      <c r="H1032" s="113"/>
      <c r="I1032" s="114"/>
      <c r="J1032" s="114"/>
      <c r="K1032" s="114"/>
      <c r="L1032" s="81"/>
      <c r="M1032" s="265" t="b">
        <f>NOT(ISERROR(ResultsInd[[#This Row],[Goal-A]]+ResultsInd[[#This Row],[Goal-B]]))</f>
        <v>1</v>
      </c>
      <c r="N1032" s="265">
        <f>VALUE(ResultsInd[[#This Row],[Score-A]])</f>
        <v>0</v>
      </c>
      <c r="O1032" s="265">
        <f>VALUE(ResultsInd[[#This Row],[Score-B]])</f>
        <v>0</v>
      </c>
      <c r="P1032" s="265" t="str">
        <f ca="1">IF(AND(ResultsInd[[#This Row],[Category]]&lt;&gt;"",ResultsInd[[#This Row],[Player A]]&lt;&gt;""),COUNTIF(INDIRECT(ResultsInd[[#This Row],[Category]]&amp;"List[Retained Player Name]"),ResultsInd[[#This Row],[Player A]]),"")</f>
        <v/>
      </c>
      <c r="Q1032" s="265" t="str">
        <f ca="1">IF(AND(ResultsInd[[#This Row],[Category]]&lt;&gt;"",ResultsInd[[#This Row],[Player B]]&lt;&gt;""),COUNTIF(INDIRECT(ResultsInd[[#This Row],[Category]]&amp;"List[Retained Player Name]"),ResultsInd[[#This Row],[Player B]]),"")</f>
        <v/>
      </c>
      <c r="R10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2" s="265" t="str">
        <f>IF(ResultsInd[[#This Row],[Score_OK]],IF(ResultsInd[[#This Row],[Stage]]="Groups",ResultsInd[[#This Row],[Category]]&amp;"-"&amp;IF(ResultsInd[[#This Row],[Player B]]="","",IF(ResultsInd[[#This Row],[Score-A]]=ResultsInd[[#This Row],[Score-B]],ResultsInd[[#This Row],[Player A]],"")),""),"")</f>
        <v/>
      </c>
      <c r="T1032" s="265" t="str">
        <f>IF(ResultsInd[[#This Row],[Score_OK]],IF(ResultsInd[[#This Row],[Stage]]="Groups",ResultsInd[[#This Row],[Category]]&amp;"-"&amp;IF(ResultsInd[[#This Row],[Player B]]="","",IF(ResultsInd[[#This Row],[Score-A]]=ResultsInd[[#This Row],[Score-B]],ResultsInd[[#This Row],[Player B]],"")),""),"")</f>
        <v/>
      </c>
      <c r="U10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2" s="264" t="str">
        <f>IF(ResultsInd[[#This Row],[Category]]="","",VLOOKUP(ResultsInd[[#This Row],[Stage]],$P$1:$V$9,MATCH(ResultsInd[[#This Row],[Category]],$Q$1:$V$1,0)+1,FALSE))</f>
        <v/>
      </c>
      <c r="Z1032" s="264" t="str">
        <f>IF(ResultsInd[[#This Row],[Score_OK]],IF(ResultsInd[[#This Row],[Level]]="R",ResultsInd[[#This Row],[Category]]&amp;"-"&amp;IF(ResultsInd[[#This Row],[LoseInKO]]=ResultsInd[[#This Row],[Category]]&amp;"-"&amp;ResultsInd[[#This Row],[Player A]],ResultsInd[[#This Row],[Player B]],ResultsInd[[#This Row],[Player A]]),""),"")</f>
        <v/>
      </c>
      <c r="AB1032" s="8"/>
      <c r="AC1032" s="8"/>
      <c r="AE1032" s="90"/>
      <c r="AF1032" s="90"/>
      <c r="AP1032" s="8"/>
      <c r="AQ1032" s="8"/>
      <c r="AR1032" s="8"/>
      <c r="AS1032" s="8"/>
      <c r="AT1032" s="8"/>
      <c r="AU1032" s="8"/>
      <c r="AV1032" s="8"/>
      <c r="AW1032" s="8"/>
      <c r="AX1032" s="8"/>
      <c r="AY1032" s="90"/>
      <c r="AZ1032" s="90"/>
      <c r="BA1032" s="90"/>
      <c r="BB1032" s="90"/>
      <c r="BC1032" s="90"/>
      <c r="BD1032" s="90"/>
      <c r="BE1032" s="90"/>
      <c r="BF1032" s="90"/>
    </row>
    <row r="1033" spans="1:58" x14ac:dyDescent="0.2">
      <c r="A1033" s="62"/>
      <c r="B1033" s="62"/>
      <c r="C1033" s="62"/>
      <c r="D1033" s="62"/>
      <c r="E1033" s="345"/>
      <c r="F1033" s="345"/>
      <c r="G1033" s="113"/>
      <c r="H1033" s="113"/>
      <c r="I1033" s="114"/>
      <c r="J1033" s="114"/>
      <c r="K1033" s="114"/>
      <c r="L1033" s="81"/>
      <c r="M1033" s="265" t="b">
        <f>NOT(ISERROR(ResultsInd[[#This Row],[Goal-A]]+ResultsInd[[#This Row],[Goal-B]]))</f>
        <v>1</v>
      </c>
      <c r="N1033" s="265">
        <f>VALUE(ResultsInd[[#This Row],[Score-A]])</f>
        <v>0</v>
      </c>
      <c r="O1033" s="265">
        <f>VALUE(ResultsInd[[#This Row],[Score-B]])</f>
        <v>0</v>
      </c>
      <c r="P1033" s="265" t="str">
        <f ca="1">IF(AND(ResultsInd[[#This Row],[Category]]&lt;&gt;"",ResultsInd[[#This Row],[Player A]]&lt;&gt;""),COUNTIF(INDIRECT(ResultsInd[[#This Row],[Category]]&amp;"List[Retained Player Name]"),ResultsInd[[#This Row],[Player A]]),"")</f>
        <v/>
      </c>
      <c r="Q1033" s="265" t="str">
        <f ca="1">IF(AND(ResultsInd[[#This Row],[Category]]&lt;&gt;"",ResultsInd[[#This Row],[Player B]]&lt;&gt;""),COUNTIF(INDIRECT(ResultsInd[[#This Row],[Category]]&amp;"List[Retained Player Name]"),ResultsInd[[#This Row],[Player B]]),"")</f>
        <v/>
      </c>
      <c r="R10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3" s="265" t="str">
        <f>IF(ResultsInd[[#This Row],[Score_OK]],IF(ResultsInd[[#This Row],[Stage]]="Groups",ResultsInd[[#This Row],[Category]]&amp;"-"&amp;IF(ResultsInd[[#This Row],[Player B]]="","",IF(ResultsInd[[#This Row],[Score-A]]=ResultsInd[[#This Row],[Score-B]],ResultsInd[[#This Row],[Player A]],"")),""),"")</f>
        <v/>
      </c>
      <c r="T1033" s="265" t="str">
        <f>IF(ResultsInd[[#This Row],[Score_OK]],IF(ResultsInd[[#This Row],[Stage]]="Groups",ResultsInd[[#This Row],[Category]]&amp;"-"&amp;IF(ResultsInd[[#This Row],[Player B]]="","",IF(ResultsInd[[#This Row],[Score-A]]=ResultsInd[[#This Row],[Score-B]],ResultsInd[[#This Row],[Player B]],"")),""),"")</f>
        <v/>
      </c>
      <c r="U10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3" s="264" t="str">
        <f>IF(ResultsInd[[#This Row],[Category]]="","",VLOOKUP(ResultsInd[[#This Row],[Stage]],$P$1:$V$9,MATCH(ResultsInd[[#This Row],[Category]],$Q$1:$V$1,0)+1,FALSE))</f>
        <v/>
      </c>
      <c r="Z1033" s="264" t="str">
        <f>IF(ResultsInd[[#This Row],[Score_OK]],IF(ResultsInd[[#This Row],[Level]]="R",ResultsInd[[#This Row],[Category]]&amp;"-"&amp;IF(ResultsInd[[#This Row],[LoseInKO]]=ResultsInd[[#This Row],[Category]]&amp;"-"&amp;ResultsInd[[#This Row],[Player A]],ResultsInd[[#This Row],[Player B]],ResultsInd[[#This Row],[Player A]]),""),"")</f>
        <v/>
      </c>
      <c r="AB1033" s="8"/>
      <c r="AC1033" s="8"/>
      <c r="AE1033" s="90"/>
      <c r="AF1033" s="90"/>
      <c r="AP1033" s="8"/>
      <c r="AQ1033" s="8"/>
      <c r="AR1033" s="8"/>
      <c r="AS1033" s="8"/>
      <c r="AT1033" s="8"/>
      <c r="AU1033" s="8"/>
      <c r="AV1033" s="8"/>
      <c r="AW1033" s="8"/>
      <c r="AX1033" s="8"/>
      <c r="AY1033" s="90"/>
      <c r="AZ1033" s="90"/>
      <c r="BA1033" s="90"/>
      <c r="BB1033" s="90"/>
      <c r="BC1033" s="90"/>
      <c r="BD1033" s="90"/>
      <c r="BE1033" s="90"/>
      <c r="BF1033" s="90"/>
    </row>
    <row r="1034" spans="1:58" x14ac:dyDescent="0.2">
      <c r="A1034" s="62"/>
      <c r="B1034" s="62"/>
      <c r="C1034" s="62"/>
      <c r="D1034" s="62"/>
      <c r="E1034" s="345"/>
      <c r="F1034" s="345"/>
      <c r="G1034" s="113"/>
      <c r="H1034" s="113"/>
      <c r="I1034" s="114"/>
      <c r="J1034" s="114"/>
      <c r="K1034" s="114"/>
      <c r="L1034" s="81"/>
      <c r="M1034" s="265" t="b">
        <f>NOT(ISERROR(ResultsInd[[#This Row],[Goal-A]]+ResultsInd[[#This Row],[Goal-B]]))</f>
        <v>1</v>
      </c>
      <c r="N1034" s="265">
        <f>VALUE(ResultsInd[[#This Row],[Score-A]])</f>
        <v>0</v>
      </c>
      <c r="O1034" s="265">
        <f>VALUE(ResultsInd[[#This Row],[Score-B]])</f>
        <v>0</v>
      </c>
      <c r="P1034" s="265" t="str">
        <f ca="1">IF(AND(ResultsInd[[#This Row],[Category]]&lt;&gt;"",ResultsInd[[#This Row],[Player A]]&lt;&gt;""),COUNTIF(INDIRECT(ResultsInd[[#This Row],[Category]]&amp;"List[Retained Player Name]"),ResultsInd[[#This Row],[Player A]]),"")</f>
        <v/>
      </c>
      <c r="Q1034" s="265" t="str">
        <f ca="1">IF(AND(ResultsInd[[#This Row],[Category]]&lt;&gt;"",ResultsInd[[#This Row],[Player B]]&lt;&gt;""),COUNTIF(INDIRECT(ResultsInd[[#This Row],[Category]]&amp;"List[Retained Player Name]"),ResultsInd[[#This Row],[Player B]]),"")</f>
        <v/>
      </c>
      <c r="R10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4" s="265" t="str">
        <f>IF(ResultsInd[[#This Row],[Score_OK]],IF(ResultsInd[[#This Row],[Stage]]="Groups",ResultsInd[[#This Row],[Category]]&amp;"-"&amp;IF(ResultsInd[[#This Row],[Player B]]="","",IF(ResultsInd[[#This Row],[Score-A]]=ResultsInd[[#This Row],[Score-B]],ResultsInd[[#This Row],[Player A]],"")),""),"")</f>
        <v/>
      </c>
      <c r="T1034" s="265" t="str">
        <f>IF(ResultsInd[[#This Row],[Score_OK]],IF(ResultsInd[[#This Row],[Stage]]="Groups",ResultsInd[[#This Row],[Category]]&amp;"-"&amp;IF(ResultsInd[[#This Row],[Player B]]="","",IF(ResultsInd[[#This Row],[Score-A]]=ResultsInd[[#This Row],[Score-B]],ResultsInd[[#This Row],[Player B]],"")),""),"")</f>
        <v/>
      </c>
      <c r="U10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4" s="264" t="str">
        <f>IF(ResultsInd[[#This Row],[Category]]="","",VLOOKUP(ResultsInd[[#This Row],[Stage]],$P$1:$V$9,MATCH(ResultsInd[[#This Row],[Category]],$Q$1:$V$1,0)+1,FALSE))</f>
        <v/>
      </c>
      <c r="Z1034" s="264" t="str">
        <f>IF(ResultsInd[[#This Row],[Score_OK]],IF(ResultsInd[[#This Row],[Level]]="R",ResultsInd[[#This Row],[Category]]&amp;"-"&amp;IF(ResultsInd[[#This Row],[LoseInKO]]=ResultsInd[[#This Row],[Category]]&amp;"-"&amp;ResultsInd[[#This Row],[Player A]],ResultsInd[[#This Row],[Player B]],ResultsInd[[#This Row],[Player A]]),""),"")</f>
        <v/>
      </c>
      <c r="AB1034" s="8"/>
      <c r="AC1034" s="8"/>
      <c r="AE1034" s="90"/>
      <c r="AF1034" s="90"/>
      <c r="AP1034" s="8"/>
      <c r="AQ1034" s="8"/>
      <c r="AR1034" s="8"/>
      <c r="AS1034" s="8"/>
      <c r="AT1034" s="8"/>
      <c r="AU1034" s="8"/>
      <c r="AV1034" s="8"/>
      <c r="AW1034" s="8"/>
      <c r="AX1034" s="8"/>
      <c r="AY1034" s="90"/>
      <c r="AZ1034" s="90"/>
      <c r="BA1034" s="90"/>
      <c r="BB1034" s="90"/>
      <c r="BC1034" s="90"/>
      <c r="BD1034" s="90"/>
      <c r="BE1034" s="90"/>
      <c r="BF1034" s="90"/>
    </row>
    <row r="1035" spans="1:58" x14ac:dyDescent="0.2">
      <c r="A1035" s="62"/>
      <c r="B1035" s="62"/>
      <c r="C1035" s="62"/>
      <c r="D1035" s="62"/>
      <c r="E1035" s="345"/>
      <c r="F1035" s="345"/>
      <c r="G1035" s="113"/>
      <c r="H1035" s="113"/>
      <c r="I1035" s="114"/>
      <c r="J1035" s="114"/>
      <c r="K1035" s="114"/>
      <c r="L1035" s="81"/>
      <c r="M1035" s="265" t="b">
        <f>NOT(ISERROR(ResultsInd[[#This Row],[Goal-A]]+ResultsInd[[#This Row],[Goal-B]]))</f>
        <v>1</v>
      </c>
      <c r="N1035" s="265">
        <f>VALUE(ResultsInd[[#This Row],[Score-A]])</f>
        <v>0</v>
      </c>
      <c r="O1035" s="265">
        <f>VALUE(ResultsInd[[#This Row],[Score-B]])</f>
        <v>0</v>
      </c>
      <c r="P1035" s="265" t="str">
        <f ca="1">IF(AND(ResultsInd[[#This Row],[Category]]&lt;&gt;"",ResultsInd[[#This Row],[Player A]]&lt;&gt;""),COUNTIF(INDIRECT(ResultsInd[[#This Row],[Category]]&amp;"List[Retained Player Name]"),ResultsInd[[#This Row],[Player A]]),"")</f>
        <v/>
      </c>
      <c r="Q1035" s="265" t="str">
        <f ca="1">IF(AND(ResultsInd[[#This Row],[Category]]&lt;&gt;"",ResultsInd[[#This Row],[Player B]]&lt;&gt;""),COUNTIF(INDIRECT(ResultsInd[[#This Row],[Category]]&amp;"List[Retained Player Name]"),ResultsInd[[#This Row],[Player B]]),"")</f>
        <v/>
      </c>
      <c r="R10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5" s="265" t="str">
        <f>IF(ResultsInd[[#This Row],[Score_OK]],IF(ResultsInd[[#This Row],[Stage]]="Groups",ResultsInd[[#This Row],[Category]]&amp;"-"&amp;IF(ResultsInd[[#This Row],[Player B]]="","",IF(ResultsInd[[#This Row],[Score-A]]=ResultsInd[[#This Row],[Score-B]],ResultsInd[[#This Row],[Player A]],"")),""),"")</f>
        <v/>
      </c>
      <c r="T1035" s="265" t="str">
        <f>IF(ResultsInd[[#This Row],[Score_OK]],IF(ResultsInd[[#This Row],[Stage]]="Groups",ResultsInd[[#This Row],[Category]]&amp;"-"&amp;IF(ResultsInd[[#This Row],[Player B]]="","",IF(ResultsInd[[#This Row],[Score-A]]=ResultsInd[[#This Row],[Score-B]],ResultsInd[[#This Row],[Player B]],"")),""),"")</f>
        <v/>
      </c>
      <c r="U10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5" s="264" t="str">
        <f>IF(ResultsInd[[#This Row],[Category]]="","",VLOOKUP(ResultsInd[[#This Row],[Stage]],$P$1:$V$9,MATCH(ResultsInd[[#This Row],[Category]],$Q$1:$V$1,0)+1,FALSE))</f>
        <v/>
      </c>
      <c r="Z1035" s="264" t="str">
        <f>IF(ResultsInd[[#This Row],[Score_OK]],IF(ResultsInd[[#This Row],[Level]]="R",ResultsInd[[#This Row],[Category]]&amp;"-"&amp;IF(ResultsInd[[#This Row],[LoseInKO]]=ResultsInd[[#This Row],[Category]]&amp;"-"&amp;ResultsInd[[#This Row],[Player A]],ResultsInd[[#This Row],[Player B]],ResultsInd[[#This Row],[Player A]]),""),"")</f>
        <v/>
      </c>
      <c r="AB1035" s="8"/>
      <c r="AC1035" s="8"/>
      <c r="AE1035" s="90"/>
      <c r="AF1035" s="90"/>
      <c r="AP1035" s="8"/>
      <c r="AQ1035" s="8"/>
      <c r="AR1035" s="8"/>
      <c r="AS1035" s="8"/>
      <c r="AT1035" s="8"/>
      <c r="AU1035" s="8"/>
      <c r="AV1035" s="8"/>
      <c r="AW1035" s="8"/>
      <c r="AX1035" s="8"/>
      <c r="AY1035" s="90"/>
      <c r="AZ1035" s="90"/>
      <c r="BA1035" s="90"/>
      <c r="BB1035" s="90"/>
      <c r="BC1035" s="90"/>
      <c r="BD1035" s="90"/>
      <c r="BE1035" s="90"/>
      <c r="BF1035" s="90"/>
    </row>
    <row r="1036" spans="1:58" x14ac:dyDescent="0.2">
      <c r="A1036" s="62"/>
      <c r="B1036" s="62"/>
      <c r="C1036" s="62"/>
      <c r="D1036" s="62"/>
      <c r="E1036" s="345"/>
      <c r="F1036" s="345"/>
      <c r="G1036" s="113"/>
      <c r="H1036" s="113"/>
      <c r="I1036" s="114"/>
      <c r="J1036" s="114"/>
      <c r="K1036" s="114"/>
      <c r="L1036" s="81"/>
      <c r="M1036" s="265" t="b">
        <f>NOT(ISERROR(ResultsInd[[#This Row],[Goal-A]]+ResultsInd[[#This Row],[Goal-B]]))</f>
        <v>1</v>
      </c>
      <c r="N1036" s="265">
        <f>VALUE(ResultsInd[[#This Row],[Score-A]])</f>
        <v>0</v>
      </c>
      <c r="O1036" s="265">
        <f>VALUE(ResultsInd[[#This Row],[Score-B]])</f>
        <v>0</v>
      </c>
      <c r="P1036" s="265" t="str">
        <f ca="1">IF(AND(ResultsInd[[#This Row],[Category]]&lt;&gt;"",ResultsInd[[#This Row],[Player A]]&lt;&gt;""),COUNTIF(INDIRECT(ResultsInd[[#This Row],[Category]]&amp;"List[Retained Player Name]"),ResultsInd[[#This Row],[Player A]]),"")</f>
        <v/>
      </c>
      <c r="Q1036" s="265" t="str">
        <f ca="1">IF(AND(ResultsInd[[#This Row],[Category]]&lt;&gt;"",ResultsInd[[#This Row],[Player B]]&lt;&gt;""),COUNTIF(INDIRECT(ResultsInd[[#This Row],[Category]]&amp;"List[Retained Player Name]"),ResultsInd[[#This Row],[Player B]]),"")</f>
        <v/>
      </c>
      <c r="R10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6" s="265" t="str">
        <f>IF(ResultsInd[[#This Row],[Score_OK]],IF(ResultsInd[[#This Row],[Stage]]="Groups",ResultsInd[[#This Row],[Category]]&amp;"-"&amp;IF(ResultsInd[[#This Row],[Player B]]="","",IF(ResultsInd[[#This Row],[Score-A]]=ResultsInd[[#This Row],[Score-B]],ResultsInd[[#This Row],[Player A]],"")),""),"")</f>
        <v/>
      </c>
      <c r="T1036" s="265" t="str">
        <f>IF(ResultsInd[[#This Row],[Score_OK]],IF(ResultsInd[[#This Row],[Stage]]="Groups",ResultsInd[[#This Row],[Category]]&amp;"-"&amp;IF(ResultsInd[[#This Row],[Player B]]="","",IF(ResultsInd[[#This Row],[Score-A]]=ResultsInd[[#This Row],[Score-B]],ResultsInd[[#This Row],[Player B]],"")),""),"")</f>
        <v/>
      </c>
      <c r="U10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6" s="264" t="str">
        <f>IF(ResultsInd[[#This Row],[Category]]="","",VLOOKUP(ResultsInd[[#This Row],[Stage]],$P$1:$V$9,MATCH(ResultsInd[[#This Row],[Category]],$Q$1:$V$1,0)+1,FALSE))</f>
        <v/>
      </c>
      <c r="Z1036" s="264" t="str">
        <f>IF(ResultsInd[[#This Row],[Score_OK]],IF(ResultsInd[[#This Row],[Level]]="R",ResultsInd[[#This Row],[Category]]&amp;"-"&amp;IF(ResultsInd[[#This Row],[LoseInKO]]=ResultsInd[[#This Row],[Category]]&amp;"-"&amp;ResultsInd[[#This Row],[Player A]],ResultsInd[[#This Row],[Player B]],ResultsInd[[#This Row],[Player A]]),""),"")</f>
        <v/>
      </c>
      <c r="AB1036" s="8"/>
      <c r="AC1036" s="8"/>
      <c r="AE1036" s="90"/>
      <c r="AF1036" s="90"/>
      <c r="AP1036" s="8"/>
      <c r="AQ1036" s="8"/>
      <c r="AR1036" s="8"/>
      <c r="AS1036" s="8"/>
      <c r="AT1036" s="8"/>
      <c r="AU1036" s="8"/>
      <c r="AV1036" s="8"/>
      <c r="AW1036" s="8"/>
      <c r="AX1036" s="8"/>
      <c r="AY1036" s="90"/>
      <c r="AZ1036" s="90"/>
      <c r="BA1036" s="90"/>
      <c r="BB1036" s="90"/>
      <c r="BC1036" s="90"/>
      <c r="BD1036" s="90"/>
      <c r="BE1036" s="90"/>
      <c r="BF1036" s="90"/>
    </row>
    <row r="1037" spans="1:58" x14ac:dyDescent="0.2">
      <c r="A1037" s="62"/>
      <c r="B1037" s="62"/>
      <c r="C1037" s="62"/>
      <c r="D1037" s="62"/>
      <c r="E1037" s="345"/>
      <c r="F1037" s="345"/>
      <c r="G1037" s="113"/>
      <c r="H1037" s="113"/>
      <c r="I1037" s="114"/>
      <c r="J1037" s="114"/>
      <c r="K1037" s="114"/>
      <c r="L1037" s="81"/>
      <c r="M1037" s="265" t="b">
        <f>NOT(ISERROR(ResultsInd[[#This Row],[Goal-A]]+ResultsInd[[#This Row],[Goal-B]]))</f>
        <v>1</v>
      </c>
      <c r="N1037" s="265">
        <f>VALUE(ResultsInd[[#This Row],[Score-A]])</f>
        <v>0</v>
      </c>
      <c r="O1037" s="265">
        <f>VALUE(ResultsInd[[#This Row],[Score-B]])</f>
        <v>0</v>
      </c>
      <c r="P1037" s="265" t="str">
        <f ca="1">IF(AND(ResultsInd[[#This Row],[Category]]&lt;&gt;"",ResultsInd[[#This Row],[Player A]]&lt;&gt;""),COUNTIF(INDIRECT(ResultsInd[[#This Row],[Category]]&amp;"List[Retained Player Name]"),ResultsInd[[#This Row],[Player A]]),"")</f>
        <v/>
      </c>
      <c r="Q1037" s="265" t="str">
        <f ca="1">IF(AND(ResultsInd[[#This Row],[Category]]&lt;&gt;"",ResultsInd[[#This Row],[Player B]]&lt;&gt;""),COUNTIF(INDIRECT(ResultsInd[[#This Row],[Category]]&amp;"List[Retained Player Name]"),ResultsInd[[#This Row],[Player B]]),"")</f>
        <v/>
      </c>
      <c r="R10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7" s="265" t="str">
        <f>IF(ResultsInd[[#This Row],[Score_OK]],IF(ResultsInd[[#This Row],[Stage]]="Groups",ResultsInd[[#This Row],[Category]]&amp;"-"&amp;IF(ResultsInd[[#This Row],[Player B]]="","",IF(ResultsInd[[#This Row],[Score-A]]=ResultsInd[[#This Row],[Score-B]],ResultsInd[[#This Row],[Player A]],"")),""),"")</f>
        <v/>
      </c>
      <c r="T1037" s="265" t="str">
        <f>IF(ResultsInd[[#This Row],[Score_OK]],IF(ResultsInd[[#This Row],[Stage]]="Groups",ResultsInd[[#This Row],[Category]]&amp;"-"&amp;IF(ResultsInd[[#This Row],[Player B]]="","",IF(ResultsInd[[#This Row],[Score-A]]=ResultsInd[[#This Row],[Score-B]],ResultsInd[[#This Row],[Player B]],"")),""),"")</f>
        <v/>
      </c>
      <c r="U10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7" s="264" t="str">
        <f>IF(ResultsInd[[#This Row],[Category]]="","",VLOOKUP(ResultsInd[[#This Row],[Stage]],$P$1:$V$9,MATCH(ResultsInd[[#This Row],[Category]],$Q$1:$V$1,0)+1,FALSE))</f>
        <v/>
      </c>
      <c r="Z1037" s="264" t="str">
        <f>IF(ResultsInd[[#This Row],[Score_OK]],IF(ResultsInd[[#This Row],[Level]]="R",ResultsInd[[#This Row],[Category]]&amp;"-"&amp;IF(ResultsInd[[#This Row],[LoseInKO]]=ResultsInd[[#This Row],[Category]]&amp;"-"&amp;ResultsInd[[#This Row],[Player A]],ResultsInd[[#This Row],[Player B]],ResultsInd[[#This Row],[Player A]]),""),"")</f>
        <v/>
      </c>
      <c r="AB1037" s="8"/>
      <c r="AC1037" s="8"/>
      <c r="AE1037" s="90"/>
      <c r="AF1037" s="90"/>
      <c r="AP1037" s="8"/>
      <c r="AQ1037" s="8"/>
      <c r="AR1037" s="8"/>
      <c r="AS1037" s="8"/>
      <c r="AT1037" s="8"/>
      <c r="AU1037" s="8"/>
      <c r="AV1037" s="8"/>
      <c r="AW1037" s="8"/>
      <c r="AX1037" s="8"/>
      <c r="AY1037" s="90"/>
      <c r="AZ1037" s="90"/>
      <c r="BA1037" s="90"/>
      <c r="BB1037" s="90"/>
      <c r="BC1037" s="90"/>
      <c r="BD1037" s="90"/>
      <c r="BE1037" s="90"/>
      <c r="BF1037" s="90"/>
    </row>
    <row r="1038" spans="1:58" x14ac:dyDescent="0.2">
      <c r="A1038" s="62"/>
      <c r="B1038" s="62"/>
      <c r="C1038" s="62"/>
      <c r="D1038" s="62"/>
      <c r="E1038" s="345"/>
      <c r="F1038" s="345"/>
      <c r="G1038" s="113"/>
      <c r="H1038" s="113"/>
      <c r="I1038" s="114"/>
      <c r="J1038" s="114"/>
      <c r="K1038" s="114"/>
      <c r="L1038" s="81"/>
      <c r="M1038" s="265" t="b">
        <f>NOT(ISERROR(ResultsInd[[#This Row],[Goal-A]]+ResultsInd[[#This Row],[Goal-B]]))</f>
        <v>1</v>
      </c>
      <c r="N1038" s="265">
        <f>VALUE(ResultsInd[[#This Row],[Score-A]])</f>
        <v>0</v>
      </c>
      <c r="O1038" s="265">
        <f>VALUE(ResultsInd[[#This Row],[Score-B]])</f>
        <v>0</v>
      </c>
      <c r="P1038" s="265" t="str">
        <f ca="1">IF(AND(ResultsInd[[#This Row],[Category]]&lt;&gt;"",ResultsInd[[#This Row],[Player A]]&lt;&gt;""),COUNTIF(INDIRECT(ResultsInd[[#This Row],[Category]]&amp;"List[Retained Player Name]"),ResultsInd[[#This Row],[Player A]]),"")</f>
        <v/>
      </c>
      <c r="Q1038" s="265" t="str">
        <f ca="1">IF(AND(ResultsInd[[#This Row],[Category]]&lt;&gt;"",ResultsInd[[#This Row],[Player B]]&lt;&gt;""),COUNTIF(INDIRECT(ResultsInd[[#This Row],[Category]]&amp;"List[Retained Player Name]"),ResultsInd[[#This Row],[Player B]]),"")</f>
        <v/>
      </c>
      <c r="R10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8" s="265" t="str">
        <f>IF(ResultsInd[[#This Row],[Score_OK]],IF(ResultsInd[[#This Row],[Stage]]="Groups",ResultsInd[[#This Row],[Category]]&amp;"-"&amp;IF(ResultsInd[[#This Row],[Player B]]="","",IF(ResultsInd[[#This Row],[Score-A]]=ResultsInd[[#This Row],[Score-B]],ResultsInd[[#This Row],[Player A]],"")),""),"")</f>
        <v/>
      </c>
      <c r="T1038" s="265" t="str">
        <f>IF(ResultsInd[[#This Row],[Score_OK]],IF(ResultsInd[[#This Row],[Stage]]="Groups",ResultsInd[[#This Row],[Category]]&amp;"-"&amp;IF(ResultsInd[[#This Row],[Player B]]="","",IF(ResultsInd[[#This Row],[Score-A]]=ResultsInd[[#This Row],[Score-B]],ResultsInd[[#This Row],[Player B]],"")),""),"")</f>
        <v/>
      </c>
      <c r="U10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8" s="264" t="str">
        <f>IF(ResultsInd[[#This Row],[Category]]="","",VLOOKUP(ResultsInd[[#This Row],[Stage]],$P$1:$V$9,MATCH(ResultsInd[[#This Row],[Category]],$Q$1:$V$1,0)+1,FALSE))</f>
        <v/>
      </c>
      <c r="Z1038" s="264" t="str">
        <f>IF(ResultsInd[[#This Row],[Score_OK]],IF(ResultsInd[[#This Row],[Level]]="R",ResultsInd[[#This Row],[Category]]&amp;"-"&amp;IF(ResultsInd[[#This Row],[LoseInKO]]=ResultsInd[[#This Row],[Category]]&amp;"-"&amp;ResultsInd[[#This Row],[Player A]],ResultsInd[[#This Row],[Player B]],ResultsInd[[#This Row],[Player A]]),""),"")</f>
        <v/>
      </c>
      <c r="AB1038" s="8"/>
      <c r="AC1038" s="8"/>
      <c r="AE1038" s="90"/>
      <c r="AF1038" s="90"/>
      <c r="AP1038" s="8"/>
      <c r="AQ1038" s="8"/>
      <c r="AR1038" s="8"/>
      <c r="AS1038" s="8"/>
      <c r="AT1038" s="8"/>
      <c r="AU1038" s="8"/>
      <c r="AV1038" s="8"/>
      <c r="AW1038" s="8"/>
      <c r="AX1038" s="8"/>
      <c r="AY1038" s="90"/>
      <c r="AZ1038" s="90"/>
      <c r="BA1038" s="90"/>
      <c r="BB1038" s="90"/>
      <c r="BC1038" s="90"/>
      <c r="BD1038" s="90"/>
      <c r="BE1038" s="90"/>
      <c r="BF1038" s="90"/>
    </row>
    <row r="1039" spans="1:58" x14ac:dyDescent="0.2">
      <c r="A1039" s="62"/>
      <c r="B1039" s="62"/>
      <c r="C1039" s="62"/>
      <c r="D1039" s="62"/>
      <c r="E1039" s="345"/>
      <c r="F1039" s="345"/>
      <c r="G1039" s="113"/>
      <c r="H1039" s="113"/>
      <c r="I1039" s="114"/>
      <c r="J1039" s="114"/>
      <c r="K1039" s="114"/>
      <c r="L1039" s="81"/>
      <c r="M1039" s="265" t="b">
        <f>NOT(ISERROR(ResultsInd[[#This Row],[Goal-A]]+ResultsInd[[#This Row],[Goal-B]]))</f>
        <v>1</v>
      </c>
      <c r="N1039" s="265">
        <f>VALUE(ResultsInd[[#This Row],[Score-A]])</f>
        <v>0</v>
      </c>
      <c r="O1039" s="265">
        <f>VALUE(ResultsInd[[#This Row],[Score-B]])</f>
        <v>0</v>
      </c>
      <c r="P1039" s="265" t="str">
        <f ca="1">IF(AND(ResultsInd[[#This Row],[Category]]&lt;&gt;"",ResultsInd[[#This Row],[Player A]]&lt;&gt;""),COUNTIF(INDIRECT(ResultsInd[[#This Row],[Category]]&amp;"List[Retained Player Name]"),ResultsInd[[#This Row],[Player A]]),"")</f>
        <v/>
      </c>
      <c r="Q1039" s="265" t="str">
        <f ca="1">IF(AND(ResultsInd[[#This Row],[Category]]&lt;&gt;"",ResultsInd[[#This Row],[Player B]]&lt;&gt;""),COUNTIF(INDIRECT(ResultsInd[[#This Row],[Category]]&amp;"List[Retained Player Name]"),ResultsInd[[#This Row],[Player B]]),"")</f>
        <v/>
      </c>
      <c r="R10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9" s="265" t="str">
        <f>IF(ResultsInd[[#This Row],[Score_OK]],IF(ResultsInd[[#This Row],[Stage]]="Groups",ResultsInd[[#This Row],[Category]]&amp;"-"&amp;IF(ResultsInd[[#This Row],[Player B]]="","",IF(ResultsInd[[#This Row],[Score-A]]=ResultsInd[[#This Row],[Score-B]],ResultsInd[[#This Row],[Player A]],"")),""),"")</f>
        <v/>
      </c>
      <c r="T1039" s="265" t="str">
        <f>IF(ResultsInd[[#This Row],[Score_OK]],IF(ResultsInd[[#This Row],[Stage]]="Groups",ResultsInd[[#This Row],[Category]]&amp;"-"&amp;IF(ResultsInd[[#This Row],[Player B]]="","",IF(ResultsInd[[#This Row],[Score-A]]=ResultsInd[[#This Row],[Score-B]],ResultsInd[[#This Row],[Player B]],"")),""),"")</f>
        <v/>
      </c>
      <c r="U10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9" s="264" t="str">
        <f>IF(ResultsInd[[#This Row],[Category]]="","",VLOOKUP(ResultsInd[[#This Row],[Stage]],$P$1:$V$9,MATCH(ResultsInd[[#This Row],[Category]],$Q$1:$V$1,0)+1,FALSE))</f>
        <v/>
      </c>
      <c r="Z1039" s="264" t="str">
        <f>IF(ResultsInd[[#This Row],[Score_OK]],IF(ResultsInd[[#This Row],[Level]]="R",ResultsInd[[#This Row],[Category]]&amp;"-"&amp;IF(ResultsInd[[#This Row],[LoseInKO]]=ResultsInd[[#This Row],[Category]]&amp;"-"&amp;ResultsInd[[#This Row],[Player A]],ResultsInd[[#This Row],[Player B]],ResultsInd[[#This Row],[Player A]]),""),"")</f>
        <v/>
      </c>
      <c r="AB1039" s="8"/>
      <c r="AC1039" s="8"/>
      <c r="AE1039" s="90"/>
      <c r="AF1039" s="90"/>
      <c r="AP1039" s="8"/>
      <c r="AQ1039" s="8"/>
      <c r="AR1039" s="8"/>
      <c r="AS1039" s="8"/>
      <c r="AT1039" s="8"/>
      <c r="AU1039" s="8"/>
      <c r="AV1039" s="8"/>
      <c r="AW1039" s="8"/>
      <c r="AX1039" s="8"/>
      <c r="AY1039" s="90"/>
      <c r="AZ1039" s="90"/>
      <c r="BA1039" s="90"/>
      <c r="BB1039" s="90"/>
      <c r="BC1039" s="90"/>
      <c r="BD1039" s="90"/>
      <c r="BE1039" s="90"/>
      <c r="BF1039" s="90"/>
    </row>
    <row r="1040" spans="1:58" x14ac:dyDescent="0.2">
      <c r="A1040" s="62"/>
      <c r="B1040" s="62"/>
      <c r="C1040" s="62"/>
      <c r="D1040" s="62"/>
      <c r="E1040" s="345"/>
      <c r="F1040" s="345"/>
      <c r="G1040" s="113"/>
      <c r="H1040" s="113"/>
      <c r="I1040" s="114"/>
      <c r="J1040" s="114"/>
      <c r="K1040" s="114"/>
      <c r="L1040" s="81"/>
      <c r="M1040" s="265" t="b">
        <f>NOT(ISERROR(ResultsInd[[#This Row],[Goal-A]]+ResultsInd[[#This Row],[Goal-B]]))</f>
        <v>1</v>
      </c>
      <c r="N1040" s="265">
        <f>VALUE(ResultsInd[[#This Row],[Score-A]])</f>
        <v>0</v>
      </c>
      <c r="O1040" s="265">
        <f>VALUE(ResultsInd[[#This Row],[Score-B]])</f>
        <v>0</v>
      </c>
      <c r="P1040" s="265" t="str">
        <f ca="1">IF(AND(ResultsInd[[#This Row],[Category]]&lt;&gt;"",ResultsInd[[#This Row],[Player A]]&lt;&gt;""),COUNTIF(INDIRECT(ResultsInd[[#This Row],[Category]]&amp;"List[Retained Player Name]"),ResultsInd[[#This Row],[Player A]]),"")</f>
        <v/>
      </c>
      <c r="Q1040" s="265" t="str">
        <f ca="1">IF(AND(ResultsInd[[#This Row],[Category]]&lt;&gt;"",ResultsInd[[#This Row],[Player B]]&lt;&gt;""),COUNTIF(INDIRECT(ResultsInd[[#This Row],[Category]]&amp;"List[Retained Player Name]"),ResultsInd[[#This Row],[Player B]]),"")</f>
        <v/>
      </c>
      <c r="R10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0" s="265" t="str">
        <f>IF(ResultsInd[[#This Row],[Score_OK]],IF(ResultsInd[[#This Row],[Stage]]="Groups",ResultsInd[[#This Row],[Category]]&amp;"-"&amp;IF(ResultsInd[[#This Row],[Player B]]="","",IF(ResultsInd[[#This Row],[Score-A]]=ResultsInd[[#This Row],[Score-B]],ResultsInd[[#This Row],[Player A]],"")),""),"")</f>
        <v/>
      </c>
      <c r="T1040" s="265" t="str">
        <f>IF(ResultsInd[[#This Row],[Score_OK]],IF(ResultsInd[[#This Row],[Stage]]="Groups",ResultsInd[[#This Row],[Category]]&amp;"-"&amp;IF(ResultsInd[[#This Row],[Player B]]="","",IF(ResultsInd[[#This Row],[Score-A]]=ResultsInd[[#This Row],[Score-B]],ResultsInd[[#This Row],[Player B]],"")),""),"")</f>
        <v/>
      </c>
      <c r="U10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0" s="264" t="str">
        <f>IF(ResultsInd[[#This Row],[Category]]="","",VLOOKUP(ResultsInd[[#This Row],[Stage]],$P$1:$V$9,MATCH(ResultsInd[[#This Row],[Category]],$Q$1:$V$1,0)+1,FALSE))</f>
        <v/>
      </c>
      <c r="Z1040" s="264" t="str">
        <f>IF(ResultsInd[[#This Row],[Score_OK]],IF(ResultsInd[[#This Row],[Level]]="R",ResultsInd[[#This Row],[Category]]&amp;"-"&amp;IF(ResultsInd[[#This Row],[LoseInKO]]=ResultsInd[[#This Row],[Category]]&amp;"-"&amp;ResultsInd[[#This Row],[Player A]],ResultsInd[[#This Row],[Player B]],ResultsInd[[#This Row],[Player A]]),""),"")</f>
        <v/>
      </c>
      <c r="AB1040" s="8"/>
      <c r="AC1040" s="8"/>
      <c r="AE1040" s="90"/>
      <c r="AF1040" s="90"/>
      <c r="AP1040" s="8"/>
      <c r="AQ1040" s="8"/>
      <c r="AR1040" s="8"/>
      <c r="AS1040" s="8"/>
      <c r="AT1040" s="8"/>
      <c r="AU1040" s="8"/>
      <c r="AV1040" s="8"/>
      <c r="AW1040" s="8"/>
      <c r="AX1040" s="8"/>
      <c r="AY1040" s="90"/>
      <c r="AZ1040" s="90"/>
      <c r="BA1040" s="90"/>
      <c r="BB1040" s="90"/>
      <c r="BC1040" s="90"/>
      <c r="BD1040" s="90"/>
      <c r="BE1040" s="90"/>
      <c r="BF1040" s="90"/>
    </row>
    <row r="1041" spans="1:58" x14ac:dyDescent="0.2">
      <c r="A1041" s="62"/>
      <c r="B1041" s="62"/>
      <c r="C1041" s="62"/>
      <c r="D1041" s="62"/>
      <c r="E1041" s="345"/>
      <c r="F1041" s="345"/>
      <c r="G1041" s="113"/>
      <c r="H1041" s="113"/>
      <c r="I1041" s="114"/>
      <c r="J1041" s="114"/>
      <c r="K1041" s="114"/>
      <c r="L1041" s="81"/>
      <c r="M1041" s="265" t="b">
        <f>NOT(ISERROR(ResultsInd[[#This Row],[Goal-A]]+ResultsInd[[#This Row],[Goal-B]]))</f>
        <v>1</v>
      </c>
      <c r="N1041" s="265">
        <f>VALUE(ResultsInd[[#This Row],[Score-A]])</f>
        <v>0</v>
      </c>
      <c r="O1041" s="265">
        <f>VALUE(ResultsInd[[#This Row],[Score-B]])</f>
        <v>0</v>
      </c>
      <c r="P1041" s="265" t="str">
        <f ca="1">IF(AND(ResultsInd[[#This Row],[Category]]&lt;&gt;"",ResultsInd[[#This Row],[Player A]]&lt;&gt;""),COUNTIF(INDIRECT(ResultsInd[[#This Row],[Category]]&amp;"List[Retained Player Name]"),ResultsInd[[#This Row],[Player A]]),"")</f>
        <v/>
      </c>
      <c r="Q1041" s="265" t="str">
        <f ca="1">IF(AND(ResultsInd[[#This Row],[Category]]&lt;&gt;"",ResultsInd[[#This Row],[Player B]]&lt;&gt;""),COUNTIF(INDIRECT(ResultsInd[[#This Row],[Category]]&amp;"List[Retained Player Name]"),ResultsInd[[#This Row],[Player B]]),"")</f>
        <v/>
      </c>
      <c r="R10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1" s="265" t="str">
        <f>IF(ResultsInd[[#This Row],[Score_OK]],IF(ResultsInd[[#This Row],[Stage]]="Groups",ResultsInd[[#This Row],[Category]]&amp;"-"&amp;IF(ResultsInd[[#This Row],[Player B]]="","",IF(ResultsInd[[#This Row],[Score-A]]=ResultsInd[[#This Row],[Score-B]],ResultsInd[[#This Row],[Player A]],"")),""),"")</f>
        <v/>
      </c>
      <c r="T1041" s="265" t="str">
        <f>IF(ResultsInd[[#This Row],[Score_OK]],IF(ResultsInd[[#This Row],[Stage]]="Groups",ResultsInd[[#This Row],[Category]]&amp;"-"&amp;IF(ResultsInd[[#This Row],[Player B]]="","",IF(ResultsInd[[#This Row],[Score-A]]=ResultsInd[[#This Row],[Score-B]],ResultsInd[[#This Row],[Player B]],"")),""),"")</f>
        <v/>
      </c>
      <c r="U10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1" s="264" t="str">
        <f>IF(ResultsInd[[#This Row],[Category]]="","",VLOOKUP(ResultsInd[[#This Row],[Stage]],$P$1:$V$9,MATCH(ResultsInd[[#This Row],[Category]],$Q$1:$V$1,0)+1,FALSE))</f>
        <v/>
      </c>
      <c r="Z1041" s="264" t="str">
        <f>IF(ResultsInd[[#This Row],[Score_OK]],IF(ResultsInd[[#This Row],[Level]]="R",ResultsInd[[#This Row],[Category]]&amp;"-"&amp;IF(ResultsInd[[#This Row],[LoseInKO]]=ResultsInd[[#This Row],[Category]]&amp;"-"&amp;ResultsInd[[#This Row],[Player A]],ResultsInd[[#This Row],[Player B]],ResultsInd[[#This Row],[Player A]]),""),"")</f>
        <v/>
      </c>
      <c r="AB1041" s="8"/>
      <c r="AC1041" s="8"/>
      <c r="AE1041" s="90"/>
      <c r="AF1041" s="90"/>
      <c r="AP1041" s="8"/>
      <c r="AQ1041" s="8"/>
      <c r="AR1041" s="8"/>
      <c r="AS1041" s="8"/>
      <c r="AT1041" s="8"/>
      <c r="AU1041" s="8"/>
      <c r="AV1041" s="8"/>
      <c r="AW1041" s="8"/>
      <c r="AX1041" s="8"/>
      <c r="AY1041" s="90"/>
      <c r="AZ1041" s="90"/>
      <c r="BA1041" s="90"/>
      <c r="BB1041" s="90"/>
      <c r="BC1041" s="90"/>
      <c r="BD1041" s="90"/>
      <c r="BE1041" s="90"/>
      <c r="BF1041" s="90"/>
    </row>
    <row r="1042" spans="1:58" x14ac:dyDescent="0.2">
      <c r="A1042" s="62"/>
      <c r="B1042" s="62"/>
      <c r="C1042" s="62"/>
      <c r="D1042" s="62"/>
      <c r="E1042" s="345"/>
      <c r="F1042" s="345"/>
      <c r="G1042" s="113"/>
      <c r="H1042" s="113"/>
      <c r="I1042" s="114"/>
      <c r="J1042" s="114"/>
      <c r="K1042" s="114"/>
      <c r="L1042" s="81"/>
      <c r="M1042" s="265" t="b">
        <f>NOT(ISERROR(ResultsInd[[#This Row],[Goal-A]]+ResultsInd[[#This Row],[Goal-B]]))</f>
        <v>1</v>
      </c>
      <c r="N1042" s="265">
        <f>VALUE(ResultsInd[[#This Row],[Score-A]])</f>
        <v>0</v>
      </c>
      <c r="O1042" s="265">
        <f>VALUE(ResultsInd[[#This Row],[Score-B]])</f>
        <v>0</v>
      </c>
      <c r="P1042" s="265" t="str">
        <f ca="1">IF(AND(ResultsInd[[#This Row],[Category]]&lt;&gt;"",ResultsInd[[#This Row],[Player A]]&lt;&gt;""),COUNTIF(INDIRECT(ResultsInd[[#This Row],[Category]]&amp;"List[Retained Player Name]"),ResultsInd[[#This Row],[Player A]]),"")</f>
        <v/>
      </c>
      <c r="Q1042" s="265" t="str">
        <f ca="1">IF(AND(ResultsInd[[#This Row],[Category]]&lt;&gt;"",ResultsInd[[#This Row],[Player B]]&lt;&gt;""),COUNTIF(INDIRECT(ResultsInd[[#This Row],[Category]]&amp;"List[Retained Player Name]"),ResultsInd[[#This Row],[Player B]]),"")</f>
        <v/>
      </c>
      <c r="R10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2" s="265" t="str">
        <f>IF(ResultsInd[[#This Row],[Score_OK]],IF(ResultsInd[[#This Row],[Stage]]="Groups",ResultsInd[[#This Row],[Category]]&amp;"-"&amp;IF(ResultsInd[[#This Row],[Player B]]="","",IF(ResultsInd[[#This Row],[Score-A]]=ResultsInd[[#This Row],[Score-B]],ResultsInd[[#This Row],[Player A]],"")),""),"")</f>
        <v/>
      </c>
      <c r="T1042" s="265" t="str">
        <f>IF(ResultsInd[[#This Row],[Score_OK]],IF(ResultsInd[[#This Row],[Stage]]="Groups",ResultsInd[[#This Row],[Category]]&amp;"-"&amp;IF(ResultsInd[[#This Row],[Player B]]="","",IF(ResultsInd[[#This Row],[Score-A]]=ResultsInd[[#This Row],[Score-B]],ResultsInd[[#This Row],[Player B]],"")),""),"")</f>
        <v/>
      </c>
      <c r="U10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2" s="264" t="str">
        <f>IF(ResultsInd[[#This Row],[Category]]="","",VLOOKUP(ResultsInd[[#This Row],[Stage]],$P$1:$V$9,MATCH(ResultsInd[[#This Row],[Category]],$Q$1:$V$1,0)+1,FALSE))</f>
        <v/>
      </c>
      <c r="Z1042" s="264" t="str">
        <f>IF(ResultsInd[[#This Row],[Score_OK]],IF(ResultsInd[[#This Row],[Level]]="R",ResultsInd[[#This Row],[Category]]&amp;"-"&amp;IF(ResultsInd[[#This Row],[LoseInKO]]=ResultsInd[[#This Row],[Category]]&amp;"-"&amp;ResultsInd[[#This Row],[Player A]],ResultsInd[[#This Row],[Player B]],ResultsInd[[#This Row],[Player A]]),""),"")</f>
        <v/>
      </c>
      <c r="AB1042" s="8"/>
      <c r="AC1042" s="8"/>
      <c r="AE1042" s="90"/>
      <c r="AF1042" s="90"/>
      <c r="AP1042" s="8"/>
      <c r="AQ1042" s="8"/>
      <c r="AR1042" s="8"/>
      <c r="AS1042" s="8"/>
      <c r="AT1042" s="8"/>
      <c r="AU1042" s="8"/>
      <c r="AV1042" s="8"/>
      <c r="AW1042" s="8"/>
      <c r="AX1042" s="8"/>
      <c r="AY1042" s="90"/>
      <c r="AZ1042" s="90"/>
      <c r="BA1042" s="90"/>
      <c r="BB1042" s="90"/>
      <c r="BC1042" s="90"/>
      <c r="BD1042" s="90"/>
      <c r="BE1042" s="90"/>
      <c r="BF1042" s="90"/>
    </row>
    <row r="1043" spans="1:58" x14ac:dyDescent="0.2">
      <c r="A1043" s="62"/>
      <c r="B1043" s="62"/>
      <c r="C1043" s="62"/>
      <c r="D1043" s="62"/>
      <c r="E1043" s="345"/>
      <c r="F1043" s="345"/>
      <c r="G1043" s="113"/>
      <c r="H1043" s="113"/>
      <c r="I1043" s="114"/>
      <c r="J1043" s="114"/>
      <c r="K1043" s="114"/>
      <c r="L1043" s="81"/>
      <c r="M1043" s="265" t="b">
        <f>NOT(ISERROR(ResultsInd[[#This Row],[Goal-A]]+ResultsInd[[#This Row],[Goal-B]]))</f>
        <v>1</v>
      </c>
      <c r="N1043" s="265">
        <f>VALUE(ResultsInd[[#This Row],[Score-A]])</f>
        <v>0</v>
      </c>
      <c r="O1043" s="265">
        <f>VALUE(ResultsInd[[#This Row],[Score-B]])</f>
        <v>0</v>
      </c>
      <c r="P1043" s="265" t="str">
        <f ca="1">IF(AND(ResultsInd[[#This Row],[Category]]&lt;&gt;"",ResultsInd[[#This Row],[Player A]]&lt;&gt;""),COUNTIF(INDIRECT(ResultsInd[[#This Row],[Category]]&amp;"List[Retained Player Name]"),ResultsInd[[#This Row],[Player A]]),"")</f>
        <v/>
      </c>
      <c r="Q1043" s="265" t="str">
        <f ca="1">IF(AND(ResultsInd[[#This Row],[Category]]&lt;&gt;"",ResultsInd[[#This Row],[Player B]]&lt;&gt;""),COUNTIF(INDIRECT(ResultsInd[[#This Row],[Category]]&amp;"List[Retained Player Name]"),ResultsInd[[#This Row],[Player B]]),"")</f>
        <v/>
      </c>
      <c r="R10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3" s="265" t="str">
        <f>IF(ResultsInd[[#This Row],[Score_OK]],IF(ResultsInd[[#This Row],[Stage]]="Groups",ResultsInd[[#This Row],[Category]]&amp;"-"&amp;IF(ResultsInd[[#This Row],[Player B]]="","",IF(ResultsInd[[#This Row],[Score-A]]=ResultsInd[[#This Row],[Score-B]],ResultsInd[[#This Row],[Player A]],"")),""),"")</f>
        <v/>
      </c>
      <c r="T1043" s="265" t="str">
        <f>IF(ResultsInd[[#This Row],[Score_OK]],IF(ResultsInd[[#This Row],[Stage]]="Groups",ResultsInd[[#This Row],[Category]]&amp;"-"&amp;IF(ResultsInd[[#This Row],[Player B]]="","",IF(ResultsInd[[#This Row],[Score-A]]=ResultsInd[[#This Row],[Score-B]],ResultsInd[[#This Row],[Player B]],"")),""),"")</f>
        <v/>
      </c>
      <c r="U10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3" s="264" t="str">
        <f>IF(ResultsInd[[#This Row],[Category]]="","",VLOOKUP(ResultsInd[[#This Row],[Stage]],$P$1:$V$9,MATCH(ResultsInd[[#This Row],[Category]],$Q$1:$V$1,0)+1,FALSE))</f>
        <v/>
      </c>
      <c r="Z1043" s="264" t="str">
        <f>IF(ResultsInd[[#This Row],[Score_OK]],IF(ResultsInd[[#This Row],[Level]]="R",ResultsInd[[#This Row],[Category]]&amp;"-"&amp;IF(ResultsInd[[#This Row],[LoseInKO]]=ResultsInd[[#This Row],[Category]]&amp;"-"&amp;ResultsInd[[#This Row],[Player A]],ResultsInd[[#This Row],[Player B]],ResultsInd[[#This Row],[Player A]]),""),"")</f>
        <v/>
      </c>
      <c r="AB1043" s="8"/>
      <c r="AC1043" s="8"/>
      <c r="AE1043" s="90"/>
      <c r="AF1043" s="90"/>
      <c r="AP1043" s="8"/>
      <c r="AQ1043" s="8"/>
      <c r="AR1043" s="8"/>
      <c r="AS1043" s="8"/>
      <c r="AT1043" s="8"/>
      <c r="AU1043" s="8"/>
      <c r="AV1043" s="8"/>
      <c r="AW1043" s="8"/>
      <c r="AX1043" s="8"/>
      <c r="AY1043" s="90"/>
      <c r="AZ1043" s="90"/>
      <c r="BA1043" s="90"/>
      <c r="BB1043" s="90"/>
      <c r="BC1043" s="90"/>
      <c r="BD1043" s="90"/>
      <c r="BE1043" s="90"/>
      <c r="BF1043" s="90"/>
    </row>
    <row r="1044" spans="1:58" x14ac:dyDescent="0.2">
      <c r="A1044" s="62"/>
      <c r="B1044" s="62"/>
      <c r="C1044" s="62"/>
      <c r="D1044" s="62"/>
      <c r="E1044" s="345"/>
      <c r="F1044" s="345"/>
      <c r="G1044" s="113"/>
      <c r="H1044" s="113"/>
      <c r="I1044" s="114"/>
      <c r="J1044" s="114"/>
      <c r="K1044" s="114"/>
      <c r="L1044" s="81"/>
      <c r="M1044" s="265" t="b">
        <f>NOT(ISERROR(ResultsInd[[#This Row],[Goal-A]]+ResultsInd[[#This Row],[Goal-B]]))</f>
        <v>1</v>
      </c>
      <c r="N1044" s="265">
        <f>VALUE(ResultsInd[[#This Row],[Score-A]])</f>
        <v>0</v>
      </c>
      <c r="O1044" s="265">
        <f>VALUE(ResultsInd[[#This Row],[Score-B]])</f>
        <v>0</v>
      </c>
      <c r="P1044" s="265" t="str">
        <f ca="1">IF(AND(ResultsInd[[#This Row],[Category]]&lt;&gt;"",ResultsInd[[#This Row],[Player A]]&lt;&gt;""),COUNTIF(INDIRECT(ResultsInd[[#This Row],[Category]]&amp;"List[Retained Player Name]"),ResultsInd[[#This Row],[Player A]]),"")</f>
        <v/>
      </c>
      <c r="Q1044" s="265" t="str">
        <f ca="1">IF(AND(ResultsInd[[#This Row],[Category]]&lt;&gt;"",ResultsInd[[#This Row],[Player B]]&lt;&gt;""),COUNTIF(INDIRECT(ResultsInd[[#This Row],[Category]]&amp;"List[Retained Player Name]"),ResultsInd[[#This Row],[Player B]]),"")</f>
        <v/>
      </c>
      <c r="R10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4" s="265" t="str">
        <f>IF(ResultsInd[[#This Row],[Score_OK]],IF(ResultsInd[[#This Row],[Stage]]="Groups",ResultsInd[[#This Row],[Category]]&amp;"-"&amp;IF(ResultsInd[[#This Row],[Player B]]="","",IF(ResultsInd[[#This Row],[Score-A]]=ResultsInd[[#This Row],[Score-B]],ResultsInd[[#This Row],[Player A]],"")),""),"")</f>
        <v/>
      </c>
      <c r="T1044" s="265" t="str">
        <f>IF(ResultsInd[[#This Row],[Score_OK]],IF(ResultsInd[[#This Row],[Stage]]="Groups",ResultsInd[[#This Row],[Category]]&amp;"-"&amp;IF(ResultsInd[[#This Row],[Player B]]="","",IF(ResultsInd[[#This Row],[Score-A]]=ResultsInd[[#This Row],[Score-B]],ResultsInd[[#This Row],[Player B]],"")),""),"")</f>
        <v/>
      </c>
      <c r="U10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4" s="264" t="str">
        <f>IF(ResultsInd[[#This Row],[Category]]="","",VLOOKUP(ResultsInd[[#This Row],[Stage]],$P$1:$V$9,MATCH(ResultsInd[[#This Row],[Category]],$Q$1:$V$1,0)+1,FALSE))</f>
        <v/>
      </c>
      <c r="Z1044" s="264" t="str">
        <f>IF(ResultsInd[[#This Row],[Score_OK]],IF(ResultsInd[[#This Row],[Level]]="R",ResultsInd[[#This Row],[Category]]&amp;"-"&amp;IF(ResultsInd[[#This Row],[LoseInKO]]=ResultsInd[[#This Row],[Category]]&amp;"-"&amp;ResultsInd[[#This Row],[Player A]],ResultsInd[[#This Row],[Player B]],ResultsInd[[#This Row],[Player A]]),""),"")</f>
        <v/>
      </c>
      <c r="AB1044" s="8"/>
      <c r="AC1044" s="8"/>
      <c r="AE1044" s="90"/>
      <c r="AF1044" s="90"/>
      <c r="AP1044" s="8"/>
      <c r="AQ1044" s="8"/>
      <c r="AR1044" s="8"/>
      <c r="AS1044" s="8"/>
      <c r="AT1044" s="8"/>
      <c r="AU1044" s="8"/>
      <c r="AV1044" s="8"/>
      <c r="AW1044" s="8"/>
      <c r="AX1044" s="8"/>
      <c r="AY1044" s="90"/>
      <c r="AZ1044" s="90"/>
      <c r="BA1044" s="90"/>
      <c r="BB1044" s="90"/>
      <c r="BC1044" s="90"/>
      <c r="BD1044" s="90"/>
      <c r="BE1044" s="90"/>
      <c r="BF1044" s="90"/>
    </row>
    <row r="1045" spans="1:58" x14ac:dyDescent="0.2">
      <c r="A1045" s="62"/>
      <c r="B1045" s="62"/>
      <c r="C1045" s="62"/>
      <c r="D1045" s="62"/>
      <c r="E1045" s="345"/>
      <c r="F1045" s="345"/>
      <c r="G1045" s="113"/>
      <c r="H1045" s="113"/>
      <c r="I1045" s="114"/>
      <c r="J1045" s="114"/>
      <c r="K1045" s="114"/>
      <c r="L1045" s="81"/>
      <c r="M1045" s="265" t="b">
        <f>NOT(ISERROR(ResultsInd[[#This Row],[Goal-A]]+ResultsInd[[#This Row],[Goal-B]]))</f>
        <v>1</v>
      </c>
      <c r="N1045" s="265">
        <f>VALUE(ResultsInd[[#This Row],[Score-A]])</f>
        <v>0</v>
      </c>
      <c r="O1045" s="265">
        <f>VALUE(ResultsInd[[#This Row],[Score-B]])</f>
        <v>0</v>
      </c>
      <c r="P1045" s="265" t="str">
        <f ca="1">IF(AND(ResultsInd[[#This Row],[Category]]&lt;&gt;"",ResultsInd[[#This Row],[Player A]]&lt;&gt;""),COUNTIF(INDIRECT(ResultsInd[[#This Row],[Category]]&amp;"List[Retained Player Name]"),ResultsInd[[#This Row],[Player A]]),"")</f>
        <v/>
      </c>
      <c r="Q1045" s="265" t="str">
        <f ca="1">IF(AND(ResultsInd[[#This Row],[Category]]&lt;&gt;"",ResultsInd[[#This Row],[Player B]]&lt;&gt;""),COUNTIF(INDIRECT(ResultsInd[[#This Row],[Category]]&amp;"List[Retained Player Name]"),ResultsInd[[#This Row],[Player B]]),"")</f>
        <v/>
      </c>
      <c r="R10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5" s="265" t="str">
        <f>IF(ResultsInd[[#This Row],[Score_OK]],IF(ResultsInd[[#This Row],[Stage]]="Groups",ResultsInd[[#This Row],[Category]]&amp;"-"&amp;IF(ResultsInd[[#This Row],[Player B]]="","",IF(ResultsInd[[#This Row],[Score-A]]=ResultsInd[[#This Row],[Score-B]],ResultsInd[[#This Row],[Player A]],"")),""),"")</f>
        <v/>
      </c>
      <c r="T1045" s="265" t="str">
        <f>IF(ResultsInd[[#This Row],[Score_OK]],IF(ResultsInd[[#This Row],[Stage]]="Groups",ResultsInd[[#This Row],[Category]]&amp;"-"&amp;IF(ResultsInd[[#This Row],[Player B]]="","",IF(ResultsInd[[#This Row],[Score-A]]=ResultsInd[[#This Row],[Score-B]],ResultsInd[[#This Row],[Player B]],"")),""),"")</f>
        <v/>
      </c>
      <c r="U10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5" s="264" t="str">
        <f>IF(ResultsInd[[#This Row],[Category]]="","",VLOOKUP(ResultsInd[[#This Row],[Stage]],$P$1:$V$9,MATCH(ResultsInd[[#This Row],[Category]],$Q$1:$V$1,0)+1,FALSE))</f>
        <v/>
      </c>
      <c r="Z1045" s="264" t="str">
        <f>IF(ResultsInd[[#This Row],[Score_OK]],IF(ResultsInd[[#This Row],[Level]]="R",ResultsInd[[#This Row],[Category]]&amp;"-"&amp;IF(ResultsInd[[#This Row],[LoseInKO]]=ResultsInd[[#This Row],[Category]]&amp;"-"&amp;ResultsInd[[#This Row],[Player A]],ResultsInd[[#This Row],[Player B]],ResultsInd[[#This Row],[Player A]]),""),"")</f>
        <v/>
      </c>
      <c r="AB1045" s="8"/>
      <c r="AC1045" s="8"/>
      <c r="AE1045" s="90"/>
      <c r="AF1045" s="90"/>
      <c r="AP1045" s="8"/>
      <c r="AQ1045" s="8"/>
      <c r="AR1045" s="8"/>
      <c r="AS1045" s="8"/>
      <c r="AT1045" s="8"/>
      <c r="AU1045" s="8"/>
      <c r="AV1045" s="8"/>
      <c r="AW1045" s="8"/>
      <c r="AX1045" s="8"/>
      <c r="AY1045" s="90"/>
      <c r="AZ1045" s="90"/>
      <c r="BA1045" s="90"/>
      <c r="BB1045" s="90"/>
      <c r="BC1045" s="90"/>
      <c r="BD1045" s="90"/>
      <c r="BE1045" s="90"/>
      <c r="BF1045" s="90"/>
    </row>
    <row r="1046" spans="1:58" x14ac:dyDescent="0.2">
      <c r="A1046" s="62"/>
      <c r="B1046" s="62"/>
      <c r="C1046" s="62"/>
      <c r="D1046" s="62"/>
      <c r="E1046" s="345"/>
      <c r="F1046" s="345"/>
      <c r="G1046" s="113"/>
      <c r="H1046" s="113"/>
      <c r="I1046" s="114"/>
      <c r="J1046" s="114"/>
      <c r="K1046" s="114"/>
      <c r="L1046" s="81"/>
      <c r="M1046" s="265" t="b">
        <f>NOT(ISERROR(ResultsInd[[#This Row],[Goal-A]]+ResultsInd[[#This Row],[Goal-B]]))</f>
        <v>1</v>
      </c>
      <c r="N1046" s="265">
        <f>VALUE(ResultsInd[[#This Row],[Score-A]])</f>
        <v>0</v>
      </c>
      <c r="O1046" s="265">
        <f>VALUE(ResultsInd[[#This Row],[Score-B]])</f>
        <v>0</v>
      </c>
      <c r="P1046" s="265" t="str">
        <f ca="1">IF(AND(ResultsInd[[#This Row],[Category]]&lt;&gt;"",ResultsInd[[#This Row],[Player A]]&lt;&gt;""),COUNTIF(INDIRECT(ResultsInd[[#This Row],[Category]]&amp;"List[Retained Player Name]"),ResultsInd[[#This Row],[Player A]]),"")</f>
        <v/>
      </c>
      <c r="Q1046" s="265" t="str">
        <f ca="1">IF(AND(ResultsInd[[#This Row],[Category]]&lt;&gt;"",ResultsInd[[#This Row],[Player B]]&lt;&gt;""),COUNTIF(INDIRECT(ResultsInd[[#This Row],[Category]]&amp;"List[Retained Player Name]"),ResultsInd[[#This Row],[Player B]]),"")</f>
        <v/>
      </c>
      <c r="R10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6" s="265" t="str">
        <f>IF(ResultsInd[[#This Row],[Score_OK]],IF(ResultsInd[[#This Row],[Stage]]="Groups",ResultsInd[[#This Row],[Category]]&amp;"-"&amp;IF(ResultsInd[[#This Row],[Player B]]="","",IF(ResultsInd[[#This Row],[Score-A]]=ResultsInd[[#This Row],[Score-B]],ResultsInd[[#This Row],[Player A]],"")),""),"")</f>
        <v/>
      </c>
      <c r="T1046" s="265" t="str">
        <f>IF(ResultsInd[[#This Row],[Score_OK]],IF(ResultsInd[[#This Row],[Stage]]="Groups",ResultsInd[[#This Row],[Category]]&amp;"-"&amp;IF(ResultsInd[[#This Row],[Player B]]="","",IF(ResultsInd[[#This Row],[Score-A]]=ResultsInd[[#This Row],[Score-B]],ResultsInd[[#This Row],[Player B]],"")),""),"")</f>
        <v/>
      </c>
      <c r="U10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6" s="264" t="str">
        <f>IF(ResultsInd[[#This Row],[Category]]="","",VLOOKUP(ResultsInd[[#This Row],[Stage]],$P$1:$V$9,MATCH(ResultsInd[[#This Row],[Category]],$Q$1:$V$1,0)+1,FALSE))</f>
        <v/>
      </c>
      <c r="Z1046" s="264" t="str">
        <f>IF(ResultsInd[[#This Row],[Score_OK]],IF(ResultsInd[[#This Row],[Level]]="R",ResultsInd[[#This Row],[Category]]&amp;"-"&amp;IF(ResultsInd[[#This Row],[LoseInKO]]=ResultsInd[[#This Row],[Category]]&amp;"-"&amp;ResultsInd[[#This Row],[Player A]],ResultsInd[[#This Row],[Player B]],ResultsInd[[#This Row],[Player A]]),""),"")</f>
        <v/>
      </c>
      <c r="AB1046" s="8"/>
      <c r="AC1046" s="8"/>
      <c r="AE1046" s="90"/>
      <c r="AF1046" s="90"/>
      <c r="AP1046" s="8"/>
      <c r="AQ1046" s="8"/>
      <c r="AR1046" s="8"/>
      <c r="AS1046" s="8"/>
      <c r="AT1046" s="8"/>
      <c r="AU1046" s="8"/>
      <c r="AV1046" s="8"/>
      <c r="AW1046" s="8"/>
      <c r="AX1046" s="8"/>
      <c r="AY1046" s="90"/>
      <c r="AZ1046" s="90"/>
      <c r="BA1046" s="90"/>
      <c r="BB1046" s="90"/>
      <c r="BC1046" s="90"/>
      <c r="BD1046" s="90"/>
      <c r="BE1046" s="90"/>
      <c r="BF1046" s="90"/>
    </row>
    <row r="1047" spans="1:58" x14ac:dyDescent="0.2">
      <c r="A1047" s="62"/>
      <c r="B1047" s="62"/>
      <c r="C1047" s="62"/>
      <c r="D1047" s="62"/>
      <c r="E1047" s="345"/>
      <c r="F1047" s="345"/>
      <c r="G1047" s="113"/>
      <c r="H1047" s="113"/>
      <c r="I1047" s="114"/>
      <c r="J1047" s="114"/>
      <c r="K1047" s="114"/>
      <c r="L1047" s="81"/>
      <c r="M1047" s="265" t="b">
        <f>NOT(ISERROR(ResultsInd[[#This Row],[Goal-A]]+ResultsInd[[#This Row],[Goal-B]]))</f>
        <v>1</v>
      </c>
      <c r="N1047" s="265">
        <f>VALUE(ResultsInd[[#This Row],[Score-A]])</f>
        <v>0</v>
      </c>
      <c r="O1047" s="265">
        <f>VALUE(ResultsInd[[#This Row],[Score-B]])</f>
        <v>0</v>
      </c>
      <c r="P1047" s="265" t="str">
        <f ca="1">IF(AND(ResultsInd[[#This Row],[Category]]&lt;&gt;"",ResultsInd[[#This Row],[Player A]]&lt;&gt;""),COUNTIF(INDIRECT(ResultsInd[[#This Row],[Category]]&amp;"List[Retained Player Name]"),ResultsInd[[#This Row],[Player A]]),"")</f>
        <v/>
      </c>
      <c r="Q1047" s="265" t="str">
        <f ca="1">IF(AND(ResultsInd[[#This Row],[Category]]&lt;&gt;"",ResultsInd[[#This Row],[Player B]]&lt;&gt;""),COUNTIF(INDIRECT(ResultsInd[[#This Row],[Category]]&amp;"List[Retained Player Name]"),ResultsInd[[#This Row],[Player B]]),"")</f>
        <v/>
      </c>
      <c r="R10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7" s="265" t="str">
        <f>IF(ResultsInd[[#This Row],[Score_OK]],IF(ResultsInd[[#This Row],[Stage]]="Groups",ResultsInd[[#This Row],[Category]]&amp;"-"&amp;IF(ResultsInd[[#This Row],[Player B]]="","",IF(ResultsInd[[#This Row],[Score-A]]=ResultsInd[[#This Row],[Score-B]],ResultsInd[[#This Row],[Player A]],"")),""),"")</f>
        <v/>
      </c>
      <c r="T1047" s="265" t="str">
        <f>IF(ResultsInd[[#This Row],[Score_OK]],IF(ResultsInd[[#This Row],[Stage]]="Groups",ResultsInd[[#This Row],[Category]]&amp;"-"&amp;IF(ResultsInd[[#This Row],[Player B]]="","",IF(ResultsInd[[#This Row],[Score-A]]=ResultsInd[[#This Row],[Score-B]],ResultsInd[[#This Row],[Player B]],"")),""),"")</f>
        <v/>
      </c>
      <c r="U10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7" s="264" t="str">
        <f>IF(ResultsInd[[#This Row],[Category]]="","",VLOOKUP(ResultsInd[[#This Row],[Stage]],$P$1:$V$9,MATCH(ResultsInd[[#This Row],[Category]],$Q$1:$V$1,0)+1,FALSE))</f>
        <v/>
      </c>
      <c r="Z1047" s="264" t="str">
        <f>IF(ResultsInd[[#This Row],[Score_OK]],IF(ResultsInd[[#This Row],[Level]]="R",ResultsInd[[#This Row],[Category]]&amp;"-"&amp;IF(ResultsInd[[#This Row],[LoseInKO]]=ResultsInd[[#This Row],[Category]]&amp;"-"&amp;ResultsInd[[#This Row],[Player A]],ResultsInd[[#This Row],[Player B]],ResultsInd[[#This Row],[Player A]]),""),"")</f>
        <v/>
      </c>
      <c r="AB1047" s="8"/>
      <c r="AC1047" s="8"/>
      <c r="AE1047" s="90"/>
      <c r="AF1047" s="90"/>
      <c r="AP1047" s="8"/>
      <c r="AQ1047" s="8"/>
      <c r="AR1047" s="8"/>
      <c r="AS1047" s="8"/>
      <c r="AT1047" s="8"/>
      <c r="AU1047" s="8"/>
      <c r="AV1047" s="8"/>
      <c r="AW1047" s="8"/>
      <c r="AX1047" s="8"/>
      <c r="AY1047" s="90"/>
      <c r="AZ1047" s="90"/>
      <c r="BA1047" s="90"/>
      <c r="BB1047" s="90"/>
      <c r="BC1047" s="90"/>
      <c r="BD1047" s="90"/>
      <c r="BE1047" s="90"/>
      <c r="BF1047" s="90"/>
    </row>
    <row r="1048" spans="1:58" x14ac:dyDescent="0.2">
      <c r="A1048" s="62"/>
      <c r="B1048" s="62"/>
      <c r="C1048" s="62"/>
      <c r="D1048" s="62"/>
      <c r="E1048" s="345"/>
      <c r="F1048" s="345"/>
      <c r="G1048" s="113"/>
      <c r="H1048" s="113"/>
      <c r="I1048" s="114"/>
      <c r="J1048" s="114"/>
      <c r="K1048" s="114"/>
      <c r="L1048" s="81"/>
      <c r="M1048" s="265" t="b">
        <f>NOT(ISERROR(ResultsInd[[#This Row],[Goal-A]]+ResultsInd[[#This Row],[Goal-B]]))</f>
        <v>1</v>
      </c>
      <c r="N1048" s="265">
        <f>VALUE(ResultsInd[[#This Row],[Score-A]])</f>
        <v>0</v>
      </c>
      <c r="O1048" s="265">
        <f>VALUE(ResultsInd[[#This Row],[Score-B]])</f>
        <v>0</v>
      </c>
      <c r="P1048" s="265" t="str">
        <f ca="1">IF(AND(ResultsInd[[#This Row],[Category]]&lt;&gt;"",ResultsInd[[#This Row],[Player A]]&lt;&gt;""),COUNTIF(INDIRECT(ResultsInd[[#This Row],[Category]]&amp;"List[Retained Player Name]"),ResultsInd[[#This Row],[Player A]]),"")</f>
        <v/>
      </c>
      <c r="Q1048" s="265" t="str">
        <f ca="1">IF(AND(ResultsInd[[#This Row],[Category]]&lt;&gt;"",ResultsInd[[#This Row],[Player B]]&lt;&gt;""),COUNTIF(INDIRECT(ResultsInd[[#This Row],[Category]]&amp;"List[Retained Player Name]"),ResultsInd[[#This Row],[Player B]]),"")</f>
        <v/>
      </c>
      <c r="R10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8" s="265" t="str">
        <f>IF(ResultsInd[[#This Row],[Score_OK]],IF(ResultsInd[[#This Row],[Stage]]="Groups",ResultsInd[[#This Row],[Category]]&amp;"-"&amp;IF(ResultsInd[[#This Row],[Player B]]="","",IF(ResultsInd[[#This Row],[Score-A]]=ResultsInd[[#This Row],[Score-B]],ResultsInd[[#This Row],[Player A]],"")),""),"")</f>
        <v/>
      </c>
      <c r="T1048" s="265" t="str">
        <f>IF(ResultsInd[[#This Row],[Score_OK]],IF(ResultsInd[[#This Row],[Stage]]="Groups",ResultsInd[[#This Row],[Category]]&amp;"-"&amp;IF(ResultsInd[[#This Row],[Player B]]="","",IF(ResultsInd[[#This Row],[Score-A]]=ResultsInd[[#This Row],[Score-B]],ResultsInd[[#This Row],[Player B]],"")),""),"")</f>
        <v/>
      </c>
      <c r="U10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8" s="264" t="str">
        <f>IF(ResultsInd[[#This Row],[Category]]="","",VLOOKUP(ResultsInd[[#This Row],[Stage]],$P$1:$V$9,MATCH(ResultsInd[[#This Row],[Category]],$Q$1:$V$1,0)+1,FALSE))</f>
        <v/>
      </c>
      <c r="Z1048" s="264" t="str">
        <f>IF(ResultsInd[[#This Row],[Score_OK]],IF(ResultsInd[[#This Row],[Level]]="R",ResultsInd[[#This Row],[Category]]&amp;"-"&amp;IF(ResultsInd[[#This Row],[LoseInKO]]=ResultsInd[[#This Row],[Category]]&amp;"-"&amp;ResultsInd[[#This Row],[Player A]],ResultsInd[[#This Row],[Player B]],ResultsInd[[#This Row],[Player A]]),""),"")</f>
        <v/>
      </c>
      <c r="AB1048" s="8"/>
      <c r="AC1048" s="8"/>
      <c r="AE1048" s="90"/>
      <c r="AF1048" s="90"/>
      <c r="AP1048" s="8"/>
      <c r="AQ1048" s="8"/>
      <c r="AR1048" s="8"/>
      <c r="AS1048" s="8"/>
      <c r="AT1048" s="8"/>
      <c r="AU1048" s="8"/>
      <c r="AV1048" s="8"/>
      <c r="AW1048" s="8"/>
      <c r="AX1048" s="8"/>
      <c r="AY1048" s="90"/>
      <c r="AZ1048" s="90"/>
      <c r="BA1048" s="90"/>
      <c r="BB1048" s="90"/>
      <c r="BC1048" s="90"/>
      <c r="BD1048" s="90"/>
      <c r="BE1048" s="90"/>
      <c r="BF1048" s="90"/>
    </row>
    <row r="1049" spans="1:58" x14ac:dyDescent="0.2">
      <c r="A1049" s="62"/>
      <c r="B1049" s="62"/>
      <c r="C1049" s="62"/>
      <c r="D1049" s="62"/>
      <c r="E1049" s="345"/>
      <c r="F1049" s="345"/>
      <c r="G1049" s="113"/>
      <c r="H1049" s="113"/>
      <c r="I1049" s="114"/>
      <c r="J1049" s="114"/>
      <c r="K1049" s="114"/>
      <c r="L1049" s="81"/>
      <c r="M1049" s="265" t="b">
        <f>NOT(ISERROR(ResultsInd[[#This Row],[Goal-A]]+ResultsInd[[#This Row],[Goal-B]]))</f>
        <v>1</v>
      </c>
      <c r="N1049" s="265">
        <f>VALUE(ResultsInd[[#This Row],[Score-A]])</f>
        <v>0</v>
      </c>
      <c r="O1049" s="265">
        <f>VALUE(ResultsInd[[#This Row],[Score-B]])</f>
        <v>0</v>
      </c>
      <c r="P1049" s="265" t="str">
        <f ca="1">IF(AND(ResultsInd[[#This Row],[Category]]&lt;&gt;"",ResultsInd[[#This Row],[Player A]]&lt;&gt;""),COUNTIF(INDIRECT(ResultsInd[[#This Row],[Category]]&amp;"List[Retained Player Name]"),ResultsInd[[#This Row],[Player A]]),"")</f>
        <v/>
      </c>
      <c r="Q1049" s="265" t="str">
        <f ca="1">IF(AND(ResultsInd[[#This Row],[Category]]&lt;&gt;"",ResultsInd[[#This Row],[Player B]]&lt;&gt;""),COUNTIF(INDIRECT(ResultsInd[[#This Row],[Category]]&amp;"List[Retained Player Name]"),ResultsInd[[#This Row],[Player B]]),"")</f>
        <v/>
      </c>
      <c r="R10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9" s="265" t="str">
        <f>IF(ResultsInd[[#This Row],[Score_OK]],IF(ResultsInd[[#This Row],[Stage]]="Groups",ResultsInd[[#This Row],[Category]]&amp;"-"&amp;IF(ResultsInd[[#This Row],[Player B]]="","",IF(ResultsInd[[#This Row],[Score-A]]=ResultsInd[[#This Row],[Score-B]],ResultsInd[[#This Row],[Player A]],"")),""),"")</f>
        <v/>
      </c>
      <c r="T1049" s="265" t="str">
        <f>IF(ResultsInd[[#This Row],[Score_OK]],IF(ResultsInd[[#This Row],[Stage]]="Groups",ResultsInd[[#This Row],[Category]]&amp;"-"&amp;IF(ResultsInd[[#This Row],[Player B]]="","",IF(ResultsInd[[#This Row],[Score-A]]=ResultsInd[[#This Row],[Score-B]],ResultsInd[[#This Row],[Player B]],"")),""),"")</f>
        <v/>
      </c>
      <c r="U10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9" s="264" t="str">
        <f>IF(ResultsInd[[#This Row],[Category]]="","",VLOOKUP(ResultsInd[[#This Row],[Stage]],$P$1:$V$9,MATCH(ResultsInd[[#This Row],[Category]],$Q$1:$V$1,0)+1,FALSE))</f>
        <v/>
      </c>
      <c r="Z1049" s="264" t="str">
        <f>IF(ResultsInd[[#This Row],[Score_OK]],IF(ResultsInd[[#This Row],[Level]]="R",ResultsInd[[#This Row],[Category]]&amp;"-"&amp;IF(ResultsInd[[#This Row],[LoseInKO]]=ResultsInd[[#This Row],[Category]]&amp;"-"&amp;ResultsInd[[#This Row],[Player A]],ResultsInd[[#This Row],[Player B]],ResultsInd[[#This Row],[Player A]]),""),"")</f>
        <v/>
      </c>
      <c r="AB1049" s="8"/>
      <c r="AC1049" s="8"/>
      <c r="AE1049" s="90"/>
      <c r="AF1049" s="90"/>
      <c r="AP1049" s="8"/>
      <c r="AQ1049" s="8"/>
      <c r="AR1049" s="8"/>
      <c r="AS1049" s="8"/>
      <c r="AT1049" s="8"/>
      <c r="AU1049" s="8"/>
      <c r="AV1049" s="8"/>
      <c r="AW1049" s="8"/>
      <c r="AX1049" s="8"/>
      <c r="AY1049" s="90"/>
      <c r="AZ1049" s="90"/>
      <c r="BA1049" s="90"/>
      <c r="BB1049" s="90"/>
      <c r="BC1049" s="90"/>
      <c r="BD1049" s="90"/>
      <c r="BE1049" s="90"/>
      <c r="BF1049" s="90"/>
    </row>
    <row r="1050" spans="1:58" x14ac:dyDescent="0.2">
      <c r="A1050" s="62"/>
      <c r="B1050" s="62"/>
      <c r="C1050" s="62"/>
      <c r="D1050" s="62"/>
      <c r="E1050" s="345"/>
      <c r="F1050" s="345"/>
      <c r="G1050" s="113"/>
      <c r="H1050" s="113"/>
      <c r="I1050" s="114"/>
      <c r="J1050" s="114"/>
      <c r="K1050" s="114"/>
      <c r="L1050" s="81"/>
      <c r="M1050" s="265" t="b">
        <f>NOT(ISERROR(ResultsInd[[#This Row],[Goal-A]]+ResultsInd[[#This Row],[Goal-B]]))</f>
        <v>1</v>
      </c>
      <c r="N1050" s="265">
        <f>VALUE(ResultsInd[[#This Row],[Score-A]])</f>
        <v>0</v>
      </c>
      <c r="O1050" s="265">
        <f>VALUE(ResultsInd[[#This Row],[Score-B]])</f>
        <v>0</v>
      </c>
      <c r="P1050" s="265" t="str">
        <f ca="1">IF(AND(ResultsInd[[#This Row],[Category]]&lt;&gt;"",ResultsInd[[#This Row],[Player A]]&lt;&gt;""),COUNTIF(INDIRECT(ResultsInd[[#This Row],[Category]]&amp;"List[Retained Player Name]"),ResultsInd[[#This Row],[Player A]]),"")</f>
        <v/>
      </c>
      <c r="Q1050" s="265" t="str">
        <f ca="1">IF(AND(ResultsInd[[#This Row],[Category]]&lt;&gt;"",ResultsInd[[#This Row],[Player B]]&lt;&gt;""),COUNTIF(INDIRECT(ResultsInd[[#This Row],[Category]]&amp;"List[Retained Player Name]"),ResultsInd[[#This Row],[Player B]]),"")</f>
        <v/>
      </c>
      <c r="R10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0" s="265" t="str">
        <f>IF(ResultsInd[[#This Row],[Score_OK]],IF(ResultsInd[[#This Row],[Stage]]="Groups",ResultsInd[[#This Row],[Category]]&amp;"-"&amp;IF(ResultsInd[[#This Row],[Player B]]="","",IF(ResultsInd[[#This Row],[Score-A]]=ResultsInd[[#This Row],[Score-B]],ResultsInd[[#This Row],[Player A]],"")),""),"")</f>
        <v/>
      </c>
      <c r="T1050" s="265" t="str">
        <f>IF(ResultsInd[[#This Row],[Score_OK]],IF(ResultsInd[[#This Row],[Stage]]="Groups",ResultsInd[[#This Row],[Category]]&amp;"-"&amp;IF(ResultsInd[[#This Row],[Player B]]="","",IF(ResultsInd[[#This Row],[Score-A]]=ResultsInd[[#This Row],[Score-B]],ResultsInd[[#This Row],[Player B]],"")),""),"")</f>
        <v/>
      </c>
      <c r="U10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0" s="264" t="str">
        <f>IF(ResultsInd[[#This Row],[Category]]="","",VLOOKUP(ResultsInd[[#This Row],[Stage]],$P$1:$V$9,MATCH(ResultsInd[[#This Row],[Category]],$Q$1:$V$1,0)+1,FALSE))</f>
        <v/>
      </c>
      <c r="Z1050" s="264" t="str">
        <f>IF(ResultsInd[[#This Row],[Score_OK]],IF(ResultsInd[[#This Row],[Level]]="R",ResultsInd[[#This Row],[Category]]&amp;"-"&amp;IF(ResultsInd[[#This Row],[LoseInKO]]=ResultsInd[[#This Row],[Category]]&amp;"-"&amp;ResultsInd[[#This Row],[Player A]],ResultsInd[[#This Row],[Player B]],ResultsInd[[#This Row],[Player A]]),""),"")</f>
        <v/>
      </c>
      <c r="AB1050" s="8"/>
      <c r="AC1050" s="8"/>
      <c r="AE1050" s="90"/>
      <c r="AF1050" s="90"/>
      <c r="AP1050" s="8"/>
      <c r="AQ1050" s="8"/>
      <c r="AR1050" s="8"/>
      <c r="AS1050" s="8"/>
      <c r="AT1050" s="8"/>
      <c r="AU1050" s="8"/>
      <c r="AV1050" s="8"/>
      <c r="AW1050" s="8"/>
      <c r="AX1050" s="8"/>
      <c r="AY1050" s="90"/>
      <c r="AZ1050" s="90"/>
      <c r="BA1050" s="90"/>
      <c r="BB1050" s="90"/>
      <c r="BC1050" s="90"/>
      <c r="BD1050" s="90"/>
      <c r="BE1050" s="90"/>
      <c r="BF1050" s="90"/>
    </row>
    <row r="1051" spans="1:58" x14ac:dyDescent="0.2">
      <c r="A1051" s="62"/>
      <c r="B1051" s="62"/>
      <c r="C1051" s="62"/>
      <c r="D1051" s="62"/>
      <c r="E1051" s="345"/>
      <c r="F1051" s="345"/>
      <c r="G1051" s="113"/>
      <c r="H1051" s="113"/>
      <c r="I1051" s="114"/>
      <c r="J1051" s="114"/>
      <c r="K1051" s="114"/>
      <c r="L1051" s="81"/>
      <c r="M1051" s="265" t="b">
        <f>NOT(ISERROR(ResultsInd[[#This Row],[Goal-A]]+ResultsInd[[#This Row],[Goal-B]]))</f>
        <v>1</v>
      </c>
      <c r="N1051" s="265">
        <f>VALUE(ResultsInd[[#This Row],[Score-A]])</f>
        <v>0</v>
      </c>
      <c r="O1051" s="265">
        <f>VALUE(ResultsInd[[#This Row],[Score-B]])</f>
        <v>0</v>
      </c>
      <c r="P1051" s="265" t="str">
        <f ca="1">IF(AND(ResultsInd[[#This Row],[Category]]&lt;&gt;"",ResultsInd[[#This Row],[Player A]]&lt;&gt;""),COUNTIF(INDIRECT(ResultsInd[[#This Row],[Category]]&amp;"List[Retained Player Name]"),ResultsInd[[#This Row],[Player A]]),"")</f>
        <v/>
      </c>
      <c r="Q1051" s="265" t="str">
        <f ca="1">IF(AND(ResultsInd[[#This Row],[Category]]&lt;&gt;"",ResultsInd[[#This Row],[Player B]]&lt;&gt;""),COUNTIF(INDIRECT(ResultsInd[[#This Row],[Category]]&amp;"List[Retained Player Name]"),ResultsInd[[#This Row],[Player B]]),"")</f>
        <v/>
      </c>
      <c r="R10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1" s="265" t="str">
        <f>IF(ResultsInd[[#This Row],[Score_OK]],IF(ResultsInd[[#This Row],[Stage]]="Groups",ResultsInd[[#This Row],[Category]]&amp;"-"&amp;IF(ResultsInd[[#This Row],[Player B]]="","",IF(ResultsInd[[#This Row],[Score-A]]=ResultsInd[[#This Row],[Score-B]],ResultsInd[[#This Row],[Player A]],"")),""),"")</f>
        <v/>
      </c>
      <c r="T1051" s="265" t="str">
        <f>IF(ResultsInd[[#This Row],[Score_OK]],IF(ResultsInd[[#This Row],[Stage]]="Groups",ResultsInd[[#This Row],[Category]]&amp;"-"&amp;IF(ResultsInd[[#This Row],[Player B]]="","",IF(ResultsInd[[#This Row],[Score-A]]=ResultsInd[[#This Row],[Score-B]],ResultsInd[[#This Row],[Player B]],"")),""),"")</f>
        <v/>
      </c>
      <c r="U10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1" s="264" t="str">
        <f>IF(ResultsInd[[#This Row],[Category]]="","",VLOOKUP(ResultsInd[[#This Row],[Stage]],$P$1:$V$9,MATCH(ResultsInd[[#This Row],[Category]],$Q$1:$V$1,0)+1,FALSE))</f>
        <v/>
      </c>
      <c r="Z1051" s="264" t="str">
        <f>IF(ResultsInd[[#This Row],[Score_OK]],IF(ResultsInd[[#This Row],[Level]]="R",ResultsInd[[#This Row],[Category]]&amp;"-"&amp;IF(ResultsInd[[#This Row],[LoseInKO]]=ResultsInd[[#This Row],[Category]]&amp;"-"&amp;ResultsInd[[#This Row],[Player A]],ResultsInd[[#This Row],[Player B]],ResultsInd[[#This Row],[Player A]]),""),"")</f>
        <v/>
      </c>
      <c r="AB1051" s="8"/>
      <c r="AC1051" s="8"/>
      <c r="AE1051" s="90"/>
      <c r="AF1051" s="90"/>
      <c r="AP1051" s="8"/>
      <c r="AQ1051" s="8"/>
      <c r="AR1051" s="8"/>
      <c r="AS1051" s="8"/>
      <c r="AT1051" s="8"/>
      <c r="AU1051" s="8"/>
      <c r="AV1051" s="8"/>
      <c r="AW1051" s="8"/>
      <c r="AX1051" s="8"/>
      <c r="AY1051" s="90"/>
      <c r="AZ1051" s="90"/>
      <c r="BA1051" s="90"/>
      <c r="BB1051" s="90"/>
      <c r="BC1051" s="90"/>
      <c r="BD1051" s="90"/>
      <c r="BE1051" s="90"/>
      <c r="BF1051" s="90"/>
    </row>
    <row r="1052" spans="1:58" x14ac:dyDescent="0.2">
      <c r="A1052" s="62"/>
      <c r="B1052" s="62"/>
      <c r="C1052" s="62"/>
      <c r="D1052" s="62"/>
      <c r="E1052" s="345"/>
      <c r="F1052" s="345"/>
      <c r="G1052" s="113"/>
      <c r="H1052" s="113"/>
      <c r="I1052" s="114"/>
      <c r="J1052" s="114"/>
      <c r="K1052" s="114"/>
      <c r="L1052" s="81"/>
      <c r="M1052" s="265" t="b">
        <f>NOT(ISERROR(ResultsInd[[#This Row],[Goal-A]]+ResultsInd[[#This Row],[Goal-B]]))</f>
        <v>1</v>
      </c>
      <c r="N1052" s="265">
        <f>VALUE(ResultsInd[[#This Row],[Score-A]])</f>
        <v>0</v>
      </c>
      <c r="O1052" s="265">
        <f>VALUE(ResultsInd[[#This Row],[Score-B]])</f>
        <v>0</v>
      </c>
      <c r="P1052" s="265" t="str">
        <f ca="1">IF(AND(ResultsInd[[#This Row],[Category]]&lt;&gt;"",ResultsInd[[#This Row],[Player A]]&lt;&gt;""),COUNTIF(INDIRECT(ResultsInd[[#This Row],[Category]]&amp;"List[Retained Player Name]"),ResultsInd[[#This Row],[Player A]]),"")</f>
        <v/>
      </c>
      <c r="Q1052" s="265" t="str">
        <f ca="1">IF(AND(ResultsInd[[#This Row],[Category]]&lt;&gt;"",ResultsInd[[#This Row],[Player B]]&lt;&gt;""),COUNTIF(INDIRECT(ResultsInd[[#This Row],[Category]]&amp;"List[Retained Player Name]"),ResultsInd[[#This Row],[Player B]]),"")</f>
        <v/>
      </c>
      <c r="R10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2" s="265" t="str">
        <f>IF(ResultsInd[[#This Row],[Score_OK]],IF(ResultsInd[[#This Row],[Stage]]="Groups",ResultsInd[[#This Row],[Category]]&amp;"-"&amp;IF(ResultsInd[[#This Row],[Player B]]="","",IF(ResultsInd[[#This Row],[Score-A]]=ResultsInd[[#This Row],[Score-B]],ResultsInd[[#This Row],[Player A]],"")),""),"")</f>
        <v/>
      </c>
      <c r="T1052" s="265" t="str">
        <f>IF(ResultsInd[[#This Row],[Score_OK]],IF(ResultsInd[[#This Row],[Stage]]="Groups",ResultsInd[[#This Row],[Category]]&amp;"-"&amp;IF(ResultsInd[[#This Row],[Player B]]="","",IF(ResultsInd[[#This Row],[Score-A]]=ResultsInd[[#This Row],[Score-B]],ResultsInd[[#This Row],[Player B]],"")),""),"")</f>
        <v/>
      </c>
      <c r="U10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2" s="264" t="str">
        <f>IF(ResultsInd[[#This Row],[Category]]="","",VLOOKUP(ResultsInd[[#This Row],[Stage]],$P$1:$V$9,MATCH(ResultsInd[[#This Row],[Category]],$Q$1:$V$1,0)+1,FALSE))</f>
        <v/>
      </c>
      <c r="Z1052" s="264" t="str">
        <f>IF(ResultsInd[[#This Row],[Score_OK]],IF(ResultsInd[[#This Row],[Level]]="R",ResultsInd[[#This Row],[Category]]&amp;"-"&amp;IF(ResultsInd[[#This Row],[LoseInKO]]=ResultsInd[[#This Row],[Category]]&amp;"-"&amp;ResultsInd[[#This Row],[Player A]],ResultsInd[[#This Row],[Player B]],ResultsInd[[#This Row],[Player A]]),""),"")</f>
        <v/>
      </c>
      <c r="AB1052" s="8"/>
      <c r="AC1052" s="8"/>
      <c r="AE1052" s="90"/>
      <c r="AF1052" s="90"/>
      <c r="AP1052" s="8"/>
      <c r="AQ1052" s="8"/>
      <c r="AR1052" s="8"/>
      <c r="AS1052" s="8"/>
      <c r="AT1052" s="8"/>
      <c r="AU1052" s="8"/>
      <c r="AV1052" s="8"/>
      <c r="AW1052" s="8"/>
      <c r="AX1052" s="8"/>
      <c r="AY1052" s="90"/>
      <c r="AZ1052" s="90"/>
      <c r="BA1052" s="90"/>
      <c r="BB1052" s="90"/>
      <c r="BC1052" s="90"/>
      <c r="BD1052" s="90"/>
      <c r="BE1052" s="90"/>
      <c r="BF1052" s="90"/>
    </row>
    <row r="1053" spans="1:58" x14ac:dyDescent="0.2">
      <c r="A1053" s="62"/>
      <c r="B1053" s="62"/>
      <c r="C1053" s="62"/>
      <c r="D1053" s="62"/>
      <c r="E1053" s="345"/>
      <c r="F1053" s="345"/>
      <c r="G1053" s="113"/>
      <c r="H1053" s="113"/>
      <c r="I1053" s="114"/>
      <c r="J1053" s="114"/>
      <c r="K1053" s="114"/>
      <c r="L1053" s="81"/>
      <c r="M1053" s="265" t="b">
        <f>NOT(ISERROR(ResultsInd[[#This Row],[Goal-A]]+ResultsInd[[#This Row],[Goal-B]]))</f>
        <v>1</v>
      </c>
      <c r="N1053" s="265">
        <f>VALUE(ResultsInd[[#This Row],[Score-A]])</f>
        <v>0</v>
      </c>
      <c r="O1053" s="265">
        <f>VALUE(ResultsInd[[#This Row],[Score-B]])</f>
        <v>0</v>
      </c>
      <c r="P1053" s="265" t="str">
        <f ca="1">IF(AND(ResultsInd[[#This Row],[Category]]&lt;&gt;"",ResultsInd[[#This Row],[Player A]]&lt;&gt;""),COUNTIF(INDIRECT(ResultsInd[[#This Row],[Category]]&amp;"List[Retained Player Name]"),ResultsInd[[#This Row],[Player A]]),"")</f>
        <v/>
      </c>
      <c r="Q1053" s="265" t="str">
        <f ca="1">IF(AND(ResultsInd[[#This Row],[Category]]&lt;&gt;"",ResultsInd[[#This Row],[Player B]]&lt;&gt;""),COUNTIF(INDIRECT(ResultsInd[[#This Row],[Category]]&amp;"List[Retained Player Name]"),ResultsInd[[#This Row],[Player B]]),"")</f>
        <v/>
      </c>
      <c r="R10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3" s="265" t="str">
        <f>IF(ResultsInd[[#This Row],[Score_OK]],IF(ResultsInd[[#This Row],[Stage]]="Groups",ResultsInd[[#This Row],[Category]]&amp;"-"&amp;IF(ResultsInd[[#This Row],[Player B]]="","",IF(ResultsInd[[#This Row],[Score-A]]=ResultsInd[[#This Row],[Score-B]],ResultsInd[[#This Row],[Player A]],"")),""),"")</f>
        <v/>
      </c>
      <c r="T1053" s="265" t="str">
        <f>IF(ResultsInd[[#This Row],[Score_OK]],IF(ResultsInd[[#This Row],[Stage]]="Groups",ResultsInd[[#This Row],[Category]]&amp;"-"&amp;IF(ResultsInd[[#This Row],[Player B]]="","",IF(ResultsInd[[#This Row],[Score-A]]=ResultsInd[[#This Row],[Score-B]],ResultsInd[[#This Row],[Player B]],"")),""),"")</f>
        <v/>
      </c>
      <c r="U10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3" s="264" t="str">
        <f>IF(ResultsInd[[#This Row],[Category]]="","",VLOOKUP(ResultsInd[[#This Row],[Stage]],$P$1:$V$9,MATCH(ResultsInd[[#This Row],[Category]],$Q$1:$V$1,0)+1,FALSE))</f>
        <v/>
      </c>
      <c r="Z1053" s="264" t="str">
        <f>IF(ResultsInd[[#This Row],[Score_OK]],IF(ResultsInd[[#This Row],[Level]]="R",ResultsInd[[#This Row],[Category]]&amp;"-"&amp;IF(ResultsInd[[#This Row],[LoseInKO]]=ResultsInd[[#This Row],[Category]]&amp;"-"&amp;ResultsInd[[#This Row],[Player A]],ResultsInd[[#This Row],[Player B]],ResultsInd[[#This Row],[Player A]]),""),"")</f>
        <v/>
      </c>
      <c r="AB1053" s="8"/>
      <c r="AC1053" s="8"/>
      <c r="AE1053" s="90"/>
      <c r="AF1053" s="90"/>
      <c r="AP1053" s="8"/>
      <c r="AQ1053" s="8"/>
      <c r="AR1053" s="8"/>
      <c r="AS1053" s="8"/>
      <c r="AT1053" s="8"/>
      <c r="AU1053" s="8"/>
      <c r="AV1053" s="8"/>
      <c r="AW1053" s="8"/>
      <c r="AX1053" s="8"/>
      <c r="AY1053" s="90"/>
      <c r="AZ1053" s="90"/>
      <c r="BA1053" s="90"/>
      <c r="BB1053" s="90"/>
      <c r="BC1053" s="90"/>
      <c r="BD1053" s="90"/>
      <c r="BE1053" s="90"/>
      <c r="BF1053" s="90"/>
    </row>
    <row r="1054" spans="1:58" x14ac:dyDescent="0.2">
      <c r="A1054" s="62"/>
      <c r="B1054" s="62"/>
      <c r="C1054" s="62"/>
      <c r="D1054" s="62"/>
      <c r="E1054" s="345"/>
      <c r="F1054" s="345"/>
      <c r="G1054" s="113"/>
      <c r="H1054" s="113"/>
      <c r="I1054" s="114"/>
      <c r="J1054" s="114"/>
      <c r="K1054" s="114"/>
      <c r="L1054" s="81"/>
      <c r="M1054" s="265" t="b">
        <f>NOT(ISERROR(ResultsInd[[#This Row],[Goal-A]]+ResultsInd[[#This Row],[Goal-B]]))</f>
        <v>1</v>
      </c>
      <c r="N1054" s="265">
        <f>VALUE(ResultsInd[[#This Row],[Score-A]])</f>
        <v>0</v>
      </c>
      <c r="O1054" s="265">
        <f>VALUE(ResultsInd[[#This Row],[Score-B]])</f>
        <v>0</v>
      </c>
      <c r="P1054" s="265" t="str">
        <f ca="1">IF(AND(ResultsInd[[#This Row],[Category]]&lt;&gt;"",ResultsInd[[#This Row],[Player A]]&lt;&gt;""),COUNTIF(INDIRECT(ResultsInd[[#This Row],[Category]]&amp;"List[Retained Player Name]"),ResultsInd[[#This Row],[Player A]]),"")</f>
        <v/>
      </c>
      <c r="Q1054" s="265" t="str">
        <f ca="1">IF(AND(ResultsInd[[#This Row],[Category]]&lt;&gt;"",ResultsInd[[#This Row],[Player B]]&lt;&gt;""),COUNTIF(INDIRECT(ResultsInd[[#This Row],[Category]]&amp;"List[Retained Player Name]"),ResultsInd[[#This Row],[Player B]]),"")</f>
        <v/>
      </c>
      <c r="R10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4" s="265" t="str">
        <f>IF(ResultsInd[[#This Row],[Score_OK]],IF(ResultsInd[[#This Row],[Stage]]="Groups",ResultsInd[[#This Row],[Category]]&amp;"-"&amp;IF(ResultsInd[[#This Row],[Player B]]="","",IF(ResultsInd[[#This Row],[Score-A]]=ResultsInd[[#This Row],[Score-B]],ResultsInd[[#This Row],[Player A]],"")),""),"")</f>
        <v/>
      </c>
      <c r="T1054" s="265" t="str">
        <f>IF(ResultsInd[[#This Row],[Score_OK]],IF(ResultsInd[[#This Row],[Stage]]="Groups",ResultsInd[[#This Row],[Category]]&amp;"-"&amp;IF(ResultsInd[[#This Row],[Player B]]="","",IF(ResultsInd[[#This Row],[Score-A]]=ResultsInd[[#This Row],[Score-B]],ResultsInd[[#This Row],[Player B]],"")),""),"")</f>
        <v/>
      </c>
      <c r="U10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4" s="264" t="str">
        <f>IF(ResultsInd[[#This Row],[Category]]="","",VLOOKUP(ResultsInd[[#This Row],[Stage]],$P$1:$V$9,MATCH(ResultsInd[[#This Row],[Category]],$Q$1:$V$1,0)+1,FALSE))</f>
        <v/>
      </c>
      <c r="Z1054" s="264" t="str">
        <f>IF(ResultsInd[[#This Row],[Score_OK]],IF(ResultsInd[[#This Row],[Level]]="R",ResultsInd[[#This Row],[Category]]&amp;"-"&amp;IF(ResultsInd[[#This Row],[LoseInKO]]=ResultsInd[[#This Row],[Category]]&amp;"-"&amp;ResultsInd[[#This Row],[Player A]],ResultsInd[[#This Row],[Player B]],ResultsInd[[#This Row],[Player A]]),""),"")</f>
        <v/>
      </c>
      <c r="AB1054" s="8"/>
      <c r="AC1054" s="8"/>
      <c r="AE1054" s="90"/>
      <c r="AF1054" s="90"/>
      <c r="AP1054" s="8"/>
      <c r="AQ1054" s="8"/>
      <c r="AR1054" s="8"/>
      <c r="AS1054" s="8"/>
      <c r="AT1054" s="8"/>
      <c r="AU1054" s="8"/>
      <c r="AV1054" s="8"/>
      <c r="AW1054" s="8"/>
      <c r="AX1054" s="8"/>
      <c r="AY1054" s="90"/>
      <c r="AZ1054" s="90"/>
      <c r="BA1054" s="90"/>
      <c r="BB1054" s="90"/>
      <c r="BC1054" s="90"/>
      <c r="BD1054" s="90"/>
      <c r="BE1054" s="90"/>
      <c r="BF1054" s="90"/>
    </row>
    <row r="1055" spans="1:58" x14ac:dyDescent="0.2">
      <c r="A1055" s="62"/>
      <c r="B1055" s="62"/>
      <c r="C1055" s="62"/>
      <c r="D1055" s="62"/>
      <c r="E1055" s="345"/>
      <c r="F1055" s="345"/>
      <c r="G1055" s="113"/>
      <c r="H1055" s="113"/>
      <c r="I1055" s="114"/>
      <c r="J1055" s="114"/>
      <c r="K1055" s="114"/>
      <c r="L1055" s="81"/>
      <c r="M1055" s="265" t="b">
        <f>NOT(ISERROR(ResultsInd[[#This Row],[Goal-A]]+ResultsInd[[#This Row],[Goal-B]]))</f>
        <v>1</v>
      </c>
      <c r="N1055" s="265">
        <f>VALUE(ResultsInd[[#This Row],[Score-A]])</f>
        <v>0</v>
      </c>
      <c r="O1055" s="265">
        <f>VALUE(ResultsInd[[#This Row],[Score-B]])</f>
        <v>0</v>
      </c>
      <c r="P1055" s="265" t="str">
        <f ca="1">IF(AND(ResultsInd[[#This Row],[Category]]&lt;&gt;"",ResultsInd[[#This Row],[Player A]]&lt;&gt;""),COUNTIF(INDIRECT(ResultsInd[[#This Row],[Category]]&amp;"List[Retained Player Name]"),ResultsInd[[#This Row],[Player A]]),"")</f>
        <v/>
      </c>
      <c r="Q1055" s="265" t="str">
        <f ca="1">IF(AND(ResultsInd[[#This Row],[Category]]&lt;&gt;"",ResultsInd[[#This Row],[Player B]]&lt;&gt;""),COUNTIF(INDIRECT(ResultsInd[[#This Row],[Category]]&amp;"List[Retained Player Name]"),ResultsInd[[#This Row],[Player B]]),"")</f>
        <v/>
      </c>
      <c r="R10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5" s="265" t="str">
        <f>IF(ResultsInd[[#This Row],[Score_OK]],IF(ResultsInd[[#This Row],[Stage]]="Groups",ResultsInd[[#This Row],[Category]]&amp;"-"&amp;IF(ResultsInd[[#This Row],[Player B]]="","",IF(ResultsInd[[#This Row],[Score-A]]=ResultsInd[[#This Row],[Score-B]],ResultsInd[[#This Row],[Player A]],"")),""),"")</f>
        <v/>
      </c>
      <c r="T1055" s="265" t="str">
        <f>IF(ResultsInd[[#This Row],[Score_OK]],IF(ResultsInd[[#This Row],[Stage]]="Groups",ResultsInd[[#This Row],[Category]]&amp;"-"&amp;IF(ResultsInd[[#This Row],[Player B]]="","",IF(ResultsInd[[#This Row],[Score-A]]=ResultsInd[[#This Row],[Score-B]],ResultsInd[[#This Row],[Player B]],"")),""),"")</f>
        <v/>
      </c>
      <c r="U10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5" s="264" t="str">
        <f>IF(ResultsInd[[#This Row],[Category]]="","",VLOOKUP(ResultsInd[[#This Row],[Stage]],$P$1:$V$9,MATCH(ResultsInd[[#This Row],[Category]],$Q$1:$V$1,0)+1,FALSE))</f>
        <v/>
      </c>
      <c r="Z1055" s="264" t="str">
        <f>IF(ResultsInd[[#This Row],[Score_OK]],IF(ResultsInd[[#This Row],[Level]]="R",ResultsInd[[#This Row],[Category]]&amp;"-"&amp;IF(ResultsInd[[#This Row],[LoseInKO]]=ResultsInd[[#This Row],[Category]]&amp;"-"&amp;ResultsInd[[#This Row],[Player A]],ResultsInd[[#This Row],[Player B]],ResultsInd[[#This Row],[Player A]]),""),"")</f>
        <v/>
      </c>
      <c r="AB1055" s="8"/>
      <c r="AC1055" s="8"/>
      <c r="AE1055" s="90"/>
      <c r="AF1055" s="90"/>
      <c r="AP1055" s="8"/>
      <c r="AQ1055" s="8"/>
      <c r="AR1055" s="8"/>
      <c r="AS1055" s="8"/>
      <c r="AT1055" s="8"/>
      <c r="AU1055" s="8"/>
      <c r="AV1055" s="8"/>
      <c r="AW1055" s="8"/>
      <c r="AX1055" s="8"/>
      <c r="AY1055" s="90"/>
      <c r="AZ1055" s="90"/>
      <c r="BA1055" s="90"/>
      <c r="BB1055" s="90"/>
      <c r="BC1055" s="90"/>
      <c r="BD1055" s="90"/>
      <c r="BE1055" s="90"/>
      <c r="BF1055" s="90"/>
    </row>
    <row r="1056" spans="1:58" x14ac:dyDescent="0.2">
      <c r="A1056" s="62"/>
      <c r="B1056" s="62"/>
      <c r="C1056" s="62"/>
      <c r="D1056" s="62"/>
      <c r="E1056" s="345"/>
      <c r="F1056" s="345"/>
      <c r="G1056" s="113"/>
      <c r="H1056" s="113"/>
      <c r="I1056" s="114"/>
      <c r="J1056" s="114"/>
      <c r="K1056" s="114"/>
      <c r="L1056" s="81"/>
      <c r="M1056" s="265" t="b">
        <f>NOT(ISERROR(ResultsInd[[#This Row],[Goal-A]]+ResultsInd[[#This Row],[Goal-B]]))</f>
        <v>1</v>
      </c>
      <c r="N1056" s="265">
        <f>VALUE(ResultsInd[[#This Row],[Score-A]])</f>
        <v>0</v>
      </c>
      <c r="O1056" s="265">
        <f>VALUE(ResultsInd[[#This Row],[Score-B]])</f>
        <v>0</v>
      </c>
      <c r="P1056" s="265" t="str">
        <f ca="1">IF(AND(ResultsInd[[#This Row],[Category]]&lt;&gt;"",ResultsInd[[#This Row],[Player A]]&lt;&gt;""),COUNTIF(INDIRECT(ResultsInd[[#This Row],[Category]]&amp;"List[Retained Player Name]"),ResultsInd[[#This Row],[Player A]]),"")</f>
        <v/>
      </c>
      <c r="Q1056" s="265" t="str">
        <f ca="1">IF(AND(ResultsInd[[#This Row],[Category]]&lt;&gt;"",ResultsInd[[#This Row],[Player B]]&lt;&gt;""),COUNTIF(INDIRECT(ResultsInd[[#This Row],[Category]]&amp;"List[Retained Player Name]"),ResultsInd[[#This Row],[Player B]]),"")</f>
        <v/>
      </c>
      <c r="R10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6" s="265" t="str">
        <f>IF(ResultsInd[[#This Row],[Score_OK]],IF(ResultsInd[[#This Row],[Stage]]="Groups",ResultsInd[[#This Row],[Category]]&amp;"-"&amp;IF(ResultsInd[[#This Row],[Player B]]="","",IF(ResultsInd[[#This Row],[Score-A]]=ResultsInd[[#This Row],[Score-B]],ResultsInd[[#This Row],[Player A]],"")),""),"")</f>
        <v/>
      </c>
      <c r="T1056" s="265" t="str">
        <f>IF(ResultsInd[[#This Row],[Score_OK]],IF(ResultsInd[[#This Row],[Stage]]="Groups",ResultsInd[[#This Row],[Category]]&amp;"-"&amp;IF(ResultsInd[[#This Row],[Player B]]="","",IF(ResultsInd[[#This Row],[Score-A]]=ResultsInd[[#This Row],[Score-B]],ResultsInd[[#This Row],[Player B]],"")),""),"")</f>
        <v/>
      </c>
      <c r="U10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6" s="264" t="str">
        <f>IF(ResultsInd[[#This Row],[Category]]="","",VLOOKUP(ResultsInd[[#This Row],[Stage]],$P$1:$V$9,MATCH(ResultsInd[[#This Row],[Category]],$Q$1:$V$1,0)+1,FALSE))</f>
        <v/>
      </c>
      <c r="Z1056" s="264" t="str">
        <f>IF(ResultsInd[[#This Row],[Score_OK]],IF(ResultsInd[[#This Row],[Level]]="R",ResultsInd[[#This Row],[Category]]&amp;"-"&amp;IF(ResultsInd[[#This Row],[LoseInKO]]=ResultsInd[[#This Row],[Category]]&amp;"-"&amp;ResultsInd[[#This Row],[Player A]],ResultsInd[[#This Row],[Player B]],ResultsInd[[#This Row],[Player A]]),""),"")</f>
        <v/>
      </c>
      <c r="AB1056" s="8"/>
      <c r="AC1056" s="8"/>
      <c r="AE1056" s="90"/>
      <c r="AF1056" s="90"/>
      <c r="AP1056" s="8"/>
      <c r="AQ1056" s="8"/>
      <c r="AR1056" s="8"/>
      <c r="AS1056" s="8"/>
      <c r="AT1056" s="8"/>
      <c r="AU1056" s="8"/>
      <c r="AV1056" s="8"/>
      <c r="AW1056" s="8"/>
      <c r="AX1056" s="8"/>
      <c r="AY1056" s="90"/>
      <c r="AZ1056" s="90"/>
      <c r="BA1056" s="90"/>
      <c r="BB1056" s="90"/>
      <c r="BC1056" s="90"/>
      <c r="BD1056" s="90"/>
      <c r="BE1056" s="90"/>
      <c r="BF1056" s="90"/>
    </row>
    <row r="1057" spans="1:58" x14ac:dyDescent="0.2">
      <c r="A1057" s="62"/>
      <c r="B1057" s="62"/>
      <c r="C1057" s="62"/>
      <c r="D1057" s="62"/>
      <c r="E1057" s="345"/>
      <c r="F1057" s="345"/>
      <c r="G1057" s="113"/>
      <c r="H1057" s="113"/>
      <c r="I1057" s="114"/>
      <c r="J1057" s="114"/>
      <c r="K1057" s="114"/>
      <c r="L1057" s="81"/>
      <c r="M1057" s="265" t="b">
        <f>NOT(ISERROR(ResultsInd[[#This Row],[Goal-A]]+ResultsInd[[#This Row],[Goal-B]]))</f>
        <v>1</v>
      </c>
      <c r="N1057" s="265">
        <f>VALUE(ResultsInd[[#This Row],[Score-A]])</f>
        <v>0</v>
      </c>
      <c r="O1057" s="265">
        <f>VALUE(ResultsInd[[#This Row],[Score-B]])</f>
        <v>0</v>
      </c>
      <c r="P1057" s="265" t="str">
        <f ca="1">IF(AND(ResultsInd[[#This Row],[Category]]&lt;&gt;"",ResultsInd[[#This Row],[Player A]]&lt;&gt;""),COUNTIF(INDIRECT(ResultsInd[[#This Row],[Category]]&amp;"List[Retained Player Name]"),ResultsInd[[#This Row],[Player A]]),"")</f>
        <v/>
      </c>
      <c r="Q1057" s="265" t="str">
        <f ca="1">IF(AND(ResultsInd[[#This Row],[Category]]&lt;&gt;"",ResultsInd[[#This Row],[Player B]]&lt;&gt;""),COUNTIF(INDIRECT(ResultsInd[[#This Row],[Category]]&amp;"List[Retained Player Name]"),ResultsInd[[#This Row],[Player B]]),"")</f>
        <v/>
      </c>
      <c r="R10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7" s="265" t="str">
        <f>IF(ResultsInd[[#This Row],[Score_OK]],IF(ResultsInd[[#This Row],[Stage]]="Groups",ResultsInd[[#This Row],[Category]]&amp;"-"&amp;IF(ResultsInd[[#This Row],[Player B]]="","",IF(ResultsInd[[#This Row],[Score-A]]=ResultsInd[[#This Row],[Score-B]],ResultsInd[[#This Row],[Player A]],"")),""),"")</f>
        <v/>
      </c>
      <c r="T1057" s="265" t="str">
        <f>IF(ResultsInd[[#This Row],[Score_OK]],IF(ResultsInd[[#This Row],[Stage]]="Groups",ResultsInd[[#This Row],[Category]]&amp;"-"&amp;IF(ResultsInd[[#This Row],[Player B]]="","",IF(ResultsInd[[#This Row],[Score-A]]=ResultsInd[[#This Row],[Score-B]],ResultsInd[[#This Row],[Player B]],"")),""),"")</f>
        <v/>
      </c>
      <c r="U10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7" s="264" t="str">
        <f>IF(ResultsInd[[#This Row],[Category]]="","",VLOOKUP(ResultsInd[[#This Row],[Stage]],$P$1:$V$9,MATCH(ResultsInd[[#This Row],[Category]],$Q$1:$V$1,0)+1,FALSE))</f>
        <v/>
      </c>
      <c r="Z1057" s="264" t="str">
        <f>IF(ResultsInd[[#This Row],[Score_OK]],IF(ResultsInd[[#This Row],[Level]]="R",ResultsInd[[#This Row],[Category]]&amp;"-"&amp;IF(ResultsInd[[#This Row],[LoseInKO]]=ResultsInd[[#This Row],[Category]]&amp;"-"&amp;ResultsInd[[#This Row],[Player A]],ResultsInd[[#This Row],[Player B]],ResultsInd[[#This Row],[Player A]]),""),"")</f>
        <v/>
      </c>
      <c r="AB1057" s="8"/>
      <c r="AC1057" s="8"/>
      <c r="AE1057" s="90"/>
      <c r="AF1057" s="90"/>
      <c r="AP1057" s="8"/>
      <c r="AQ1057" s="8"/>
      <c r="AR1057" s="8"/>
      <c r="AS1057" s="8"/>
      <c r="AT1057" s="8"/>
      <c r="AU1057" s="8"/>
      <c r="AV1057" s="8"/>
      <c r="AW1057" s="8"/>
      <c r="AX1057" s="8"/>
      <c r="AY1057" s="90"/>
      <c r="AZ1057" s="90"/>
      <c r="BA1057" s="90"/>
      <c r="BB1057" s="90"/>
      <c r="BC1057" s="90"/>
      <c r="BD1057" s="90"/>
      <c r="BE1057" s="90"/>
      <c r="BF1057" s="90"/>
    </row>
    <row r="1058" spans="1:58" x14ac:dyDescent="0.2">
      <c r="A1058" s="62"/>
      <c r="B1058" s="62"/>
      <c r="C1058" s="62"/>
      <c r="D1058" s="62"/>
      <c r="E1058" s="345"/>
      <c r="F1058" s="345"/>
      <c r="G1058" s="113"/>
      <c r="H1058" s="113"/>
      <c r="I1058" s="114"/>
      <c r="J1058" s="114"/>
      <c r="K1058" s="114"/>
      <c r="L1058" s="81"/>
      <c r="M1058" s="265" t="b">
        <f>NOT(ISERROR(ResultsInd[[#This Row],[Goal-A]]+ResultsInd[[#This Row],[Goal-B]]))</f>
        <v>1</v>
      </c>
      <c r="N1058" s="265">
        <f>VALUE(ResultsInd[[#This Row],[Score-A]])</f>
        <v>0</v>
      </c>
      <c r="O1058" s="265">
        <f>VALUE(ResultsInd[[#This Row],[Score-B]])</f>
        <v>0</v>
      </c>
      <c r="P1058" s="265" t="str">
        <f ca="1">IF(AND(ResultsInd[[#This Row],[Category]]&lt;&gt;"",ResultsInd[[#This Row],[Player A]]&lt;&gt;""),COUNTIF(INDIRECT(ResultsInd[[#This Row],[Category]]&amp;"List[Retained Player Name]"),ResultsInd[[#This Row],[Player A]]),"")</f>
        <v/>
      </c>
      <c r="Q1058" s="265" t="str">
        <f ca="1">IF(AND(ResultsInd[[#This Row],[Category]]&lt;&gt;"",ResultsInd[[#This Row],[Player B]]&lt;&gt;""),COUNTIF(INDIRECT(ResultsInd[[#This Row],[Category]]&amp;"List[Retained Player Name]"),ResultsInd[[#This Row],[Player B]]),"")</f>
        <v/>
      </c>
      <c r="R10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8" s="265" t="str">
        <f>IF(ResultsInd[[#This Row],[Score_OK]],IF(ResultsInd[[#This Row],[Stage]]="Groups",ResultsInd[[#This Row],[Category]]&amp;"-"&amp;IF(ResultsInd[[#This Row],[Player B]]="","",IF(ResultsInd[[#This Row],[Score-A]]=ResultsInd[[#This Row],[Score-B]],ResultsInd[[#This Row],[Player A]],"")),""),"")</f>
        <v/>
      </c>
      <c r="T1058" s="265" t="str">
        <f>IF(ResultsInd[[#This Row],[Score_OK]],IF(ResultsInd[[#This Row],[Stage]]="Groups",ResultsInd[[#This Row],[Category]]&amp;"-"&amp;IF(ResultsInd[[#This Row],[Player B]]="","",IF(ResultsInd[[#This Row],[Score-A]]=ResultsInd[[#This Row],[Score-B]],ResultsInd[[#This Row],[Player B]],"")),""),"")</f>
        <v/>
      </c>
      <c r="U10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8" s="264" t="str">
        <f>IF(ResultsInd[[#This Row],[Category]]="","",VLOOKUP(ResultsInd[[#This Row],[Stage]],$P$1:$V$9,MATCH(ResultsInd[[#This Row],[Category]],$Q$1:$V$1,0)+1,FALSE))</f>
        <v/>
      </c>
      <c r="Z1058" s="264" t="str">
        <f>IF(ResultsInd[[#This Row],[Score_OK]],IF(ResultsInd[[#This Row],[Level]]="R",ResultsInd[[#This Row],[Category]]&amp;"-"&amp;IF(ResultsInd[[#This Row],[LoseInKO]]=ResultsInd[[#This Row],[Category]]&amp;"-"&amp;ResultsInd[[#This Row],[Player A]],ResultsInd[[#This Row],[Player B]],ResultsInd[[#This Row],[Player A]]),""),"")</f>
        <v/>
      </c>
      <c r="AB1058" s="8"/>
      <c r="AC1058" s="8"/>
      <c r="AE1058" s="90"/>
      <c r="AF1058" s="90"/>
      <c r="AP1058" s="8"/>
      <c r="AQ1058" s="8"/>
      <c r="AR1058" s="8"/>
      <c r="AS1058" s="8"/>
      <c r="AT1058" s="8"/>
      <c r="AU1058" s="8"/>
      <c r="AV1058" s="8"/>
      <c r="AW1058" s="8"/>
      <c r="AX1058" s="8"/>
      <c r="AY1058" s="90"/>
      <c r="AZ1058" s="90"/>
      <c r="BA1058" s="90"/>
      <c r="BB1058" s="90"/>
      <c r="BC1058" s="90"/>
      <c r="BD1058" s="90"/>
      <c r="BE1058" s="90"/>
      <c r="BF1058" s="90"/>
    </row>
    <row r="1059" spans="1:58" x14ac:dyDescent="0.2">
      <c r="A1059" s="62"/>
      <c r="B1059" s="62"/>
      <c r="C1059" s="62"/>
      <c r="D1059" s="62"/>
      <c r="E1059" s="345"/>
      <c r="F1059" s="345"/>
      <c r="G1059" s="113"/>
      <c r="H1059" s="113"/>
      <c r="I1059" s="114"/>
      <c r="J1059" s="114"/>
      <c r="K1059" s="114"/>
      <c r="L1059" s="81"/>
      <c r="M1059" s="265" t="b">
        <f>NOT(ISERROR(ResultsInd[[#This Row],[Goal-A]]+ResultsInd[[#This Row],[Goal-B]]))</f>
        <v>1</v>
      </c>
      <c r="N1059" s="265">
        <f>VALUE(ResultsInd[[#This Row],[Score-A]])</f>
        <v>0</v>
      </c>
      <c r="O1059" s="265">
        <f>VALUE(ResultsInd[[#This Row],[Score-B]])</f>
        <v>0</v>
      </c>
      <c r="P1059" s="265" t="str">
        <f ca="1">IF(AND(ResultsInd[[#This Row],[Category]]&lt;&gt;"",ResultsInd[[#This Row],[Player A]]&lt;&gt;""),COUNTIF(INDIRECT(ResultsInd[[#This Row],[Category]]&amp;"List[Retained Player Name]"),ResultsInd[[#This Row],[Player A]]),"")</f>
        <v/>
      </c>
      <c r="Q1059" s="265" t="str">
        <f ca="1">IF(AND(ResultsInd[[#This Row],[Category]]&lt;&gt;"",ResultsInd[[#This Row],[Player B]]&lt;&gt;""),COUNTIF(INDIRECT(ResultsInd[[#This Row],[Category]]&amp;"List[Retained Player Name]"),ResultsInd[[#This Row],[Player B]]),"")</f>
        <v/>
      </c>
      <c r="R10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9" s="265" t="str">
        <f>IF(ResultsInd[[#This Row],[Score_OK]],IF(ResultsInd[[#This Row],[Stage]]="Groups",ResultsInd[[#This Row],[Category]]&amp;"-"&amp;IF(ResultsInd[[#This Row],[Player B]]="","",IF(ResultsInd[[#This Row],[Score-A]]=ResultsInd[[#This Row],[Score-B]],ResultsInd[[#This Row],[Player A]],"")),""),"")</f>
        <v/>
      </c>
      <c r="T1059" s="265" t="str">
        <f>IF(ResultsInd[[#This Row],[Score_OK]],IF(ResultsInd[[#This Row],[Stage]]="Groups",ResultsInd[[#This Row],[Category]]&amp;"-"&amp;IF(ResultsInd[[#This Row],[Player B]]="","",IF(ResultsInd[[#This Row],[Score-A]]=ResultsInd[[#This Row],[Score-B]],ResultsInd[[#This Row],[Player B]],"")),""),"")</f>
        <v/>
      </c>
      <c r="U10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9" s="264" t="str">
        <f>IF(ResultsInd[[#This Row],[Category]]="","",VLOOKUP(ResultsInd[[#This Row],[Stage]],$P$1:$V$9,MATCH(ResultsInd[[#This Row],[Category]],$Q$1:$V$1,0)+1,FALSE))</f>
        <v/>
      </c>
      <c r="Z1059" s="264" t="str">
        <f>IF(ResultsInd[[#This Row],[Score_OK]],IF(ResultsInd[[#This Row],[Level]]="R",ResultsInd[[#This Row],[Category]]&amp;"-"&amp;IF(ResultsInd[[#This Row],[LoseInKO]]=ResultsInd[[#This Row],[Category]]&amp;"-"&amp;ResultsInd[[#This Row],[Player A]],ResultsInd[[#This Row],[Player B]],ResultsInd[[#This Row],[Player A]]),""),"")</f>
        <v/>
      </c>
      <c r="AB1059" s="8"/>
      <c r="AC1059" s="8"/>
      <c r="AE1059" s="90"/>
      <c r="AF1059" s="90"/>
      <c r="AP1059" s="8"/>
      <c r="AQ1059" s="8"/>
      <c r="AR1059" s="8"/>
      <c r="AS1059" s="8"/>
      <c r="AT1059" s="8"/>
      <c r="AU1059" s="8"/>
      <c r="AV1059" s="8"/>
      <c r="AW1059" s="8"/>
      <c r="AX1059" s="8"/>
      <c r="AY1059" s="90"/>
      <c r="AZ1059" s="90"/>
      <c r="BA1059" s="90"/>
      <c r="BB1059" s="90"/>
      <c r="BC1059" s="90"/>
      <c r="BD1059" s="90"/>
      <c r="BE1059" s="90"/>
      <c r="BF1059" s="90"/>
    </row>
    <row r="1060" spans="1:58" x14ac:dyDescent="0.2">
      <c r="A1060" s="62"/>
      <c r="B1060" s="62"/>
      <c r="C1060" s="62"/>
      <c r="D1060" s="62"/>
      <c r="E1060" s="345"/>
      <c r="F1060" s="345"/>
      <c r="G1060" s="113"/>
      <c r="H1060" s="113"/>
      <c r="I1060" s="114"/>
      <c r="J1060" s="114"/>
      <c r="K1060" s="114"/>
      <c r="L1060" s="81"/>
      <c r="M1060" s="265" t="b">
        <f>NOT(ISERROR(ResultsInd[[#This Row],[Goal-A]]+ResultsInd[[#This Row],[Goal-B]]))</f>
        <v>1</v>
      </c>
      <c r="N1060" s="265">
        <f>VALUE(ResultsInd[[#This Row],[Score-A]])</f>
        <v>0</v>
      </c>
      <c r="O1060" s="265">
        <f>VALUE(ResultsInd[[#This Row],[Score-B]])</f>
        <v>0</v>
      </c>
      <c r="P1060" s="265" t="str">
        <f ca="1">IF(AND(ResultsInd[[#This Row],[Category]]&lt;&gt;"",ResultsInd[[#This Row],[Player A]]&lt;&gt;""),COUNTIF(INDIRECT(ResultsInd[[#This Row],[Category]]&amp;"List[Retained Player Name]"),ResultsInd[[#This Row],[Player A]]),"")</f>
        <v/>
      </c>
      <c r="Q1060" s="265" t="str">
        <f ca="1">IF(AND(ResultsInd[[#This Row],[Category]]&lt;&gt;"",ResultsInd[[#This Row],[Player B]]&lt;&gt;""),COUNTIF(INDIRECT(ResultsInd[[#This Row],[Category]]&amp;"List[Retained Player Name]"),ResultsInd[[#This Row],[Player B]]),"")</f>
        <v/>
      </c>
      <c r="R10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0" s="265" t="str">
        <f>IF(ResultsInd[[#This Row],[Score_OK]],IF(ResultsInd[[#This Row],[Stage]]="Groups",ResultsInd[[#This Row],[Category]]&amp;"-"&amp;IF(ResultsInd[[#This Row],[Player B]]="","",IF(ResultsInd[[#This Row],[Score-A]]=ResultsInd[[#This Row],[Score-B]],ResultsInd[[#This Row],[Player A]],"")),""),"")</f>
        <v/>
      </c>
      <c r="T1060" s="265" t="str">
        <f>IF(ResultsInd[[#This Row],[Score_OK]],IF(ResultsInd[[#This Row],[Stage]]="Groups",ResultsInd[[#This Row],[Category]]&amp;"-"&amp;IF(ResultsInd[[#This Row],[Player B]]="","",IF(ResultsInd[[#This Row],[Score-A]]=ResultsInd[[#This Row],[Score-B]],ResultsInd[[#This Row],[Player B]],"")),""),"")</f>
        <v/>
      </c>
      <c r="U10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0" s="264" t="str">
        <f>IF(ResultsInd[[#This Row],[Category]]="","",VLOOKUP(ResultsInd[[#This Row],[Stage]],$P$1:$V$9,MATCH(ResultsInd[[#This Row],[Category]],$Q$1:$V$1,0)+1,FALSE))</f>
        <v/>
      </c>
      <c r="Z1060" s="264" t="str">
        <f>IF(ResultsInd[[#This Row],[Score_OK]],IF(ResultsInd[[#This Row],[Level]]="R",ResultsInd[[#This Row],[Category]]&amp;"-"&amp;IF(ResultsInd[[#This Row],[LoseInKO]]=ResultsInd[[#This Row],[Category]]&amp;"-"&amp;ResultsInd[[#This Row],[Player A]],ResultsInd[[#This Row],[Player B]],ResultsInd[[#This Row],[Player A]]),""),"")</f>
        <v/>
      </c>
      <c r="AB1060" s="8"/>
      <c r="AC1060" s="8"/>
      <c r="AE1060" s="90"/>
      <c r="AF1060" s="90"/>
      <c r="AP1060" s="8"/>
      <c r="AQ1060" s="8"/>
      <c r="AR1060" s="8"/>
      <c r="AS1060" s="8"/>
      <c r="AT1060" s="8"/>
      <c r="AU1060" s="8"/>
      <c r="AV1060" s="8"/>
      <c r="AW1060" s="8"/>
      <c r="AX1060" s="8"/>
      <c r="AY1060" s="90"/>
      <c r="AZ1060" s="90"/>
      <c r="BA1060" s="90"/>
      <c r="BB1060" s="90"/>
      <c r="BC1060" s="90"/>
      <c r="BD1060" s="90"/>
      <c r="BE1060" s="90"/>
      <c r="BF1060" s="90"/>
    </row>
    <row r="1061" spans="1:58" x14ac:dyDescent="0.2">
      <c r="A1061" s="62"/>
      <c r="B1061" s="62"/>
      <c r="C1061" s="62"/>
      <c r="D1061" s="62"/>
      <c r="E1061" s="345"/>
      <c r="F1061" s="345"/>
      <c r="G1061" s="113"/>
      <c r="H1061" s="113"/>
      <c r="I1061" s="114"/>
      <c r="J1061" s="114"/>
      <c r="K1061" s="114"/>
      <c r="L1061" s="81"/>
      <c r="M1061" s="265" t="b">
        <f>NOT(ISERROR(ResultsInd[[#This Row],[Goal-A]]+ResultsInd[[#This Row],[Goal-B]]))</f>
        <v>1</v>
      </c>
      <c r="N1061" s="265">
        <f>VALUE(ResultsInd[[#This Row],[Score-A]])</f>
        <v>0</v>
      </c>
      <c r="O1061" s="265">
        <f>VALUE(ResultsInd[[#This Row],[Score-B]])</f>
        <v>0</v>
      </c>
      <c r="P1061" s="265" t="str">
        <f ca="1">IF(AND(ResultsInd[[#This Row],[Category]]&lt;&gt;"",ResultsInd[[#This Row],[Player A]]&lt;&gt;""),COUNTIF(INDIRECT(ResultsInd[[#This Row],[Category]]&amp;"List[Retained Player Name]"),ResultsInd[[#This Row],[Player A]]),"")</f>
        <v/>
      </c>
      <c r="Q1061" s="265" t="str">
        <f ca="1">IF(AND(ResultsInd[[#This Row],[Category]]&lt;&gt;"",ResultsInd[[#This Row],[Player B]]&lt;&gt;""),COUNTIF(INDIRECT(ResultsInd[[#This Row],[Category]]&amp;"List[Retained Player Name]"),ResultsInd[[#This Row],[Player B]]),"")</f>
        <v/>
      </c>
      <c r="R10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1" s="265" t="str">
        <f>IF(ResultsInd[[#This Row],[Score_OK]],IF(ResultsInd[[#This Row],[Stage]]="Groups",ResultsInd[[#This Row],[Category]]&amp;"-"&amp;IF(ResultsInd[[#This Row],[Player B]]="","",IF(ResultsInd[[#This Row],[Score-A]]=ResultsInd[[#This Row],[Score-B]],ResultsInd[[#This Row],[Player A]],"")),""),"")</f>
        <v/>
      </c>
      <c r="T1061" s="265" t="str">
        <f>IF(ResultsInd[[#This Row],[Score_OK]],IF(ResultsInd[[#This Row],[Stage]]="Groups",ResultsInd[[#This Row],[Category]]&amp;"-"&amp;IF(ResultsInd[[#This Row],[Player B]]="","",IF(ResultsInd[[#This Row],[Score-A]]=ResultsInd[[#This Row],[Score-B]],ResultsInd[[#This Row],[Player B]],"")),""),"")</f>
        <v/>
      </c>
      <c r="U10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1" s="264" t="str">
        <f>IF(ResultsInd[[#This Row],[Category]]="","",VLOOKUP(ResultsInd[[#This Row],[Stage]],$P$1:$V$9,MATCH(ResultsInd[[#This Row],[Category]],$Q$1:$V$1,0)+1,FALSE))</f>
        <v/>
      </c>
      <c r="Z1061" s="264" t="str">
        <f>IF(ResultsInd[[#This Row],[Score_OK]],IF(ResultsInd[[#This Row],[Level]]="R",ResultsInd[[#This Row],[Category]]&amp;"-"&amp;IF(ResultsInd[[#This Row],[LoseInKO]]=ResultsInd[[#This Row],[Category]]&amp;"-"&amp;ResultsInd[[#This Row],[Player A]],ResultsInd[[#This Row],[Player B]],ResultsInd[[#This Row],[Player A]]),""),"")</f>
        <v/>
      </c>
      <c r="AB1061" s="8"/>
      <c r="AC1061" s="8"/>
      <c r="AE1061" s="90"/>
      <c r="AF1061" s="90"/>
      <c r="AP1061" s="8"/>
      <c r="AQ1061" s="8"/>
      <c r="AR1061" s="8"/>
      <c r="AS1061" s="8"/>
      <c r="AT1061" s="8"/>
      <c r="AU1061" s="8"/>
      <c r="AV1061" s="8"/>
      <c r="AW1061" s="8"/>
      <c r="AX1061" s="8"/>
      <c r="AY1061" s="90"/>
      <c r="AZ1061" s="90"/>
      <c r="BA1061" s="90"/>
      <c r="BB1061" s="90"/>
      <c r="BC1061" s="90"/>
      <c r="BD1061" s="90"/>
      <c r="BE1061" s="90"/>
      <c r="BF1061" s="90"/>
    </row>
    <row r="1062" spans="1:58" x14ac:dyDescent="0.2">
      <c r="A1062" s="62"/>
      <c r="B1062" s="62"/>
      <c r="C1062" s="62"/>
      <c r="D1062" s="62"/>
      <c r="E1062" s="345"/>
      <c r="F1062" s="345"/>
      <c r="G1062" s="113"/>
      <c r="H1062" s="113"/>
      <c r="I1062" s="114"/>
      <c r="J1062" s="114"/>
      <c r="K1062" s="114"/>
      <c r="L1062" s="81"/>
      <c r="M1062" s="265" t="b">
        <f>NOT(ISERROR(ResultsInd[[#This Row],[Goal-A]]+ResultsInd[[#This Row],[Goal-B]]))</f>
        <v>1</v>
      </c>
      <c r="N1062" s="265">
        <f>VALUE(ResultsInd[[#This Row],[Score-A]])</f>
        <v>0</v>
      </c>
      <c r="O1062" s="265">
        <f>VALUE(ResultsInd[[#This Row],[Score-B]])</f>
        <v>0</v>
      </c>
      <c r="P1062" s="265" t="str">
        <f ca="1">IF(AND(ResultsInd[[#This Row],[Category]]&lt;&gt;"",ResultsInd[[#This Row],[Player A]]&lt;&gt;""),COUNTIF(INDIRECT(ResultsInd[[#This Row],[Category]]&amp;"List[Retained Player Name]"),ResultsInd[[#This Row],[Player A]]),"")</f>
        <v/>
      </c>
      <c r="Q1062" s="265" t="str">
        <f ca="1">IF(AND(ResultsInd[[#This Row],[Category]]&lt;&gt;"",ResultsInd[[#This Row],[Player B]]&lt;&gt;""),COUNTIF(INDIRECT(ResultsInd[[#This Row],[Category]]&amp;"List[Retained Player Name]"),ResultsInd[[#This Row],[Player B]]),"")</f>
        <v/>
      </c>
      <c r="R10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2" s="265" t="str">
        <f>IF(ResultsInd[[#This Row],[Score_OK]],IF(ResultsInd[[#This Row],[Stage]]="Groups",ResultsInd[[#This Row],[Category]]&amp;"-"&amp;IF(ResultsInd[[#This Row],[Player B]]="","",IF(ResultsInd[[#This Row],[Score-A]]=ResultsInd[[#This Row],[Score-B]],ResultsInd[[#This Row],[Player A]],"")),""),"")</f>
        <v/>
      </c>
      <c r="T1062" s="265" t="str">
        <f>IF(ResultsInd[[#This Row],[Score_OK]],IF(ResultsInd[[#This Row],[Stage]]="Groups",ResultsInd[[#This Row],[Category]]&amp;"-"&amp;IF(ResultsInd[[#This Row],[Player B]]="","",IF(ResultsInd[[#This Row],[Score-A]]=ResultsInd[[#This Row],[Score-B]],ResultsInd[[#This Row],[Player B]],"")),""),"")</f>
        <v/>
      </c>
      <c r="U10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2" s="264" t="str">
        <f>IF(ResultsInd[[#This Row],[Category]]="","",VLOOKUP(ResultsInd[[#This Row],[Stage]],$P$1:$V$9,MATCH(ResultsInd[[#This Row],[Category]],$Q$1:$V$1,0)+1,FALSE))</f>
        <v/>
      </c>
      <c r="Z1062" s="264" t="str">
        <f>IF(ResultsInd[[#This Row],[Score_OK]],IF(ResultsInd[[#This Row],[Level]]="R",ResultsInd[[#This Row],[Category]]&amp;"-"&amp;IF(ResultsInd[[#This Row],[LoseInKO]]=ResultsInd[[#This Row],[Category]]&amp;"-"&amp;ResultsInd[[#This Row],[Player A]],ResultsInd[[#This Row],[Player B]],ResultsInd[[#This Row],[Player A]]),""),"")</f>
        <v/>
      </c>
      <c r="AB1062" s="8"/>
      <c r="AC1062" s="8"/>
      <c r="AE1062" s="90"/>
      <c r="AF1062" s="90"/>
      <c r="AP1062" s="8"/>
      <c r="AQ1062" s="8"/>
      <c r="AR1062" s="8"/>
      <c r="AS1062" s="8"/>
      <c r="AT1062" s="8"/>
      <c r="AU1062" s="8"/>
      <c r="AV1062" s="8"/>
      <c r="AW1062" s="8"/>
      <c r="AX1062" s="8"/>
      <c r="AY1062" s="90"/>
      <c r="AZ1062" s="90"/>
      <c r="BA1062" s="90"/>
      <c r="BB1062" s="90"/>
      <c r="BC1062" s="90"/>
      <c r="BD1062" s="90"/>
      <c r="BE1062" s="90"/>
      <c r="BF1062" s="90"/>
    </row>
    <row r="1063" spans="1:58" x14ac:dyDescent="0.2">
      <c r="A1063" s="62"/>
      <c r="B1063" s="62"/>
      <c r="C1063" s="62"/>
      <c r="D1063" s="62"/>
      <c r="E1063" s="345"/>
      <c r="F1063" s="345"/>
      <c r="G1063" s="113"/>
      <c r="H1063" s="113"/>
      <c r="I1063" s="114"/>
      <c r="J1063" s="114"/>
      <c r="K1063" s="114"/>
      <c r="L1063" s="81"/>
      <c r="M1063" s="265" t="b">
        <f>NOT(ISERROR(ResultsInd[[#This Row],[Goal-A]]+ResultsInd[[#This Row],[Goal-B]]))</f>
        <v>1</v>
      </c>
      <c r="N1063" s="265">
        <f>VALUE(ResultsInd[[#This Row],[Score-A]])</f>
        <v>0</v>
      </c>
      <c r="O1063" s="265">
        <f>VALUE(ResultsInd[[#This Row],[Score-B]])</f>
        <v>0</v>
      </c>
      <c r="P1063" s="265" t="str">
        <f ca="1">IF(AND(ResultsInd[[#This Row],[Category]]&lt;&gt;"",ResultsInd[[#This Row],[Player A]]&lt;&gt;""),COUNTIF(INDIRECT(ResultsInd[[#This Row],[Category]]&amp;"List[Retained Player Name]"),ResultsInd[[#This Row],[Player A]]),"")</f>
        <v/>
      </c>
      <c r="Q1063" s="265" t="str">
        <f ca="1">IF(AND(ResultsInd[[#This Row],[Category]]&lt;&gt;"",ResultsInd[[#This Row],[Player B]]&lt;&gt;""),COUNTIF(INDIRECT(ResultsInd[[#This Row],[Category]]&amp;"List[Retained Player Name]"),ResultsInd[[#This Row],[Player B]]),"")</f>
        <v/>
      </c>
      <c r="R10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3" s="265" t="str">
        <f>IF(ResultsInd[[#This Row],[Score_OK]],IF(ResultsInd[[#This Row],[Stage]]="Groups",ResultsInd[[#This Row],[Category]]&amp;"-"&amp;IF(ResultsInd[[#This Row],[Player B]]="","",IF(ResultsInd[[#This Row],[Score-A]]=ResultsInd[[#This Row],[Score-B]],ResultsInd[[#This Row],[Player A]],"")),""),"")</f>
        <v/>
      </c>
      <c r="T1063" s="265" t="str">
        <f>IF(ResultsInd[[#This Row],[Score_OK]],IF(ResultsInd[[#This Row],[Stage]]="Groups",ResultsInd[[#This Row],[Category]]&amp;"-"&amp;IF(ResultsInd[[#This Row],[Player B]]="","",IF(ResultsInd[[#This Row],[Score-A]]=ResultsInd[[#This Row],[Score-B]],ResultsInd[[#This Row],[Player B]],"")),""),"")</f>
        <v/>
      </c>
      <c r="U10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3" s="264" t="str">
        <f>IF(ResultsInd[[#This Row],[Category]]="","",VLOOKUP(ResultsInd[[#This Row],[Stage]],$P$1:$V$9,MATCH(ResultsInd[[#This Row],[Category]],$Q$1:$V$1,0)+1,FALSE))</f>
        <v/>
      </c>
      <c r="Z1063" s="264" t="str">
        <f>IF(ResultsInd[[#This Row],[Score_OK]],IF(ResultsInd[[#This Row],[Level]]="R",ResultsInd[[#This Row],[Category]]&amp;"-"&amp;IF(ResultsInd[[#This Row],[LoseInKO]]=ResultsInd[[#This Row],[Category]]&amp;"-"&amp;ResultsInd[[#This Row],[Player A]],ResultsInd[[#This Row],[Player B]],ResultsInd[[#This Row],[Player A]]),""),"")</f>
        <v/>
      </c>
      <c r="AB1063" s="8"/>
      <c r="AC1063" s="8"/>
      <c r="AE1063" s="90"/>
      <c r="AF1063" s="90"/>
      <c r="AP1063" s="8"/>
      <c r="AQ1063" s="8"/>
      <c r="AR1063" s="8"/>
      <c r="AS1063" s="8"/>
      <c r="AT1063" s="8"/>
      <c r="AU1063" s="8"/>
      <c r="AV1063" s="8"/>
      <c r="AW1063" s="8"/>
      <c r="AX1063" s="8"/>
      <c r="AY1063" s="90"/>
      <c r="AZ1063" s="90"/>
      <c r="BA1063" s="90"/>
      <c r="BB1063" s="90"/>
      <c r="BC1063" s="90"/>
      <c r="BD1063" s="90"/>
      <c r="BE1063" s="90"/>
      <c r="BF1063" s="90"/>
    </row>
    <row r="1064" spans="1:58" x14ac:dyDescent="0.2">
      <c r="A1064" s="62"/>
      <c r="B1064" s="62"/>
      <c r="C1064" s="62"/>
      <c r="D1064" s="62"/>
      <c r="E1064" s="345"/>
      <c r="F1064" s="345"/>
      <c r="G1064" s="113"/>
      <c r="H1064" s="113"/>
      <c r="I1064" s="114"/>
      <c r="J1064" s="114"/>
      <c r="K1064" s="114"/>
      <c r="L1064" s="81"/>
      <c r="M1064" s="265" t="b">
        <f>NOT(ISERROR(ResultsInd[[#This Row],[Goal-A]]+ResultsInd[[#This Row],[Goal-B]]))</f>
        <v>1</v>
      </c>
      <c r="N1064" s="265">
        <f>VALUE(ResultsInd[[#This Row],[Score-A]])</f>
        <v>0</v>
      </c>
      <c r="O1064" s="265">
        <f>VALUE(ResultsInd[[#This Row],[Score-B]])</f>
        <v>0</v>
      </c>
      <c r="P1064" s="265" t="str">
        <f ca="1">IF(AND(ResultsInd[[#This Row],[Category]]&lt;&gt;"",ResultsInd[[#This Row],[Player A]]&lt;&gt;""),COUNTIF(INDIRECT(ResultsInd[[#This Row],[Category]]&amp;"List[Retained Player Name]"),ResultsInd[[#This Row],[Player A]]),"")</f>
        <v/>
      </c>
      <c r="Q1064" s="265" t="str">
        <f ca="1">IF(AND(ResultsInd[[#This Row],[Category]]&lt;&gt;"",ResultsInd[[#This Row],[Player B]]&lt;&gt;""),COUNTIF(INDIRECT(ResultsInd[[#This Row],[Category]]&amp;"List[Retained Player Name]"),ResultsInd[[#This Row],[Player B]]),"")</f>
        <v/>
      </c>
      <c r="R10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4" s="265" t="str">
        <f>IF(ResultsInd[[#This Row],[Score_OK]],IF(ResultsInd[[#This Row],[Stage]]="Groups",ResultsInd[[#This Row],[Category]]&amp;"-"&amp;IF(ResultsInd[[#This Row],[Player B]]="","",IF(ResultsInd[[#This Row],[Score-A]]=ResultsInd[[#This Row],[Score-B]],ResultsInd[[#This Row],[Player A]],"")),""),"")</f>
        <v/>
      </c>
      <c r="T1064" s="265" t="str">
        <f>IF(ResultsInd[[#This Row],[Score_OK]],IF(ResultsInd[[#This Row],[Stage]]="Groups",ResultsInd[[#This Row],[Category]]&amp;"-"&amp;IF(ResultsInd[[#This Row],[Player B]]="","",IF(ResultsInd[[#This Row],[Score-A]]=ResultsInd[[#This Row],[Score-B]],ResultsInd[[#This Row],[Player B]],"")),""),"")</f>
        <v/>
      </c>
      <c r="U10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4" s="264" t="str">
        <f>IF(ResultsInd[[#This Row],[Category]]="","",VLOOKUP(ResultsInd[[#This Row],[Stage]],$P$1:$V$9,MATCH(ResultsInd[[#This Row],[Category]],$Q$1:$V$1,0)+1,FALSE))</f>
        <v/>
      </c>
      <c r="Z1064" s="264" t="str">
        <f>IF(ResultsInd[[#This Row],[Score_OK]],IF(ResultsInd[[#This Row],[Level]]="R",ResultsInd[[#This Row],[Category]]&amp;"-"&amp;IF(ResultsInd[[#This Row],[LoseInKO]]=ResultsInd[[#This Row],[Category]]&amp;"-"&amp;ResultsInd[[#This Row],[Player A]],ResultsInd[[#This Row],[Player B]],ResultsInd[[#This Row],[Player A]]),""),"")</f>
        <v/>
      </c>
      <c r="AB1064" s="8"/>
      <c r="AC1064" s="8"/>
      <c r="AE1064" s="90"/>
      <c r="AF1064" s="90"/>
      <c r="AP1064" s="8"/>
      <c r="AQ1064" s="8"/>
      <c r="AR1064" s="8"/>
      <c r="AS1064" s="8"/>
      <c r="AT1064" s="8"/>
      <c r="AU1064" s="8"/>
      <c r="AV1064" s="8"/>
      <c r="AW1064" s="8"/>
      <c r="AX1064" s="8"/>
      <c r="AY1064" s="90"/>
      <c r="AZ1064" s="90"/>
      <c r="BA1064" s="90"/>
      <c r="BB1064" s="90"/>
      <c r="BC1064" s="90"/>
      <c r="BD1064" s="90"/>
      <c r="BE1064" s="90"/>
      <c r="BF1064" s="90"/>
    </row>
    <row r="1065" spans="1:58" x14ac:dyDescent="0.2">
      <c r="A1065" s="62"/>
      <c r="B1065" s="62"/>
      <c r="C1065" s="62"/>
      <c r="D1065" s="62"/>
      <c r="E1065" s="345"/>
      <c r="F1065" s="345"/>
      <c r="G1065" s="113"/>
      <c r="H1065" s="113"/>
      <c r="I1065" s="114"/>
      <c r="J1065" s="114"/>
      <c r="K1065" s="114"/>
      <c r="L1065" s="81"/>
      <c r="M1065" s="265" t="b">
        <f>NOT(ISERROR(ResultsInd[[#This Row],[Goal-A]]+ResultsInd[[#This Row],[Goal-B]]))</f>
        <v>1</v>
      </c>
      <c r="N1065" s="265">
        <f>VALUE(ResultsInd[[#This Row],[Score-A]])</f>
        <v>0</v>
      </c>
      <c r="O1065" s="265">
        <f>VALUE(ResultsInd[[#This Row],[Score-B]])</f>
        <v>0</v>
      </c>
      <c r="P1065" s="265" t="str">
        <f ca="1">IF(AND(ResultsInd[[#This Row],[Category]]&lt;&gt;"",ResultsInd[[#This Row],[Player A]]&lt;&gt;""),COUNTIF(INDIRECT(ResultsInd[[#This Row],[Category]]&amp;"List[Retained Player Name]"),ResultsInd[[#This Row],[Player A]]),"")</f>
        <v/>
      </c>
      <c r="Q1065" s="265" t="str">
        <f ca="1">IF(AND(ResultsInd[[#This Row],[Category]]&lt;&gt;"",ResultsInd[[#This Row],[Player B]]&lt;&gt;""),COUNTIF(INDIRECT(ResultsInd[[#This Row],[Category]]&amp;"List[Retained Player Name]"),ResultsInd[[#This Row],[Player B]]),"")</f>
        <v/>
      </c>
      <c r="R10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5" s="265" t="str">
        <f>IF(ResultsInd[[#This Row],[Score_OK]],IF(ResultsInd[[#This Row],[Stage]]="Groups",ResultsInd[[#This Row],[Category]]&amp;"-"&amp;IF(ResultsInd[[#This Row],[Player B]]="","",IF(ResultsInd[[#This Row],[Score-A]]=ResultsInd[[#This Row],[Score-B]],ResultsInd[[#This Row],[Player A]],"")),""),"")</f>
        <v/>
      </c>
      <c r="T1065" s="265" t="str">
        <f>IF(ResultsInd[[#This Row],[Score_OK]],IF(ResultsInd[[#This Row],[Stage]]="Groups",ResultsInd[[#This Row],[Category]]&amp;"-"&amp;IF(ResultsInd[[#This Row],[Player B]]="","",IF(ResultsInd[[#This Row],[Score-A]]=ResultsInd[[#This Row],[Score-B]],ResultsInd[[#This Row],[Player B]],"")),""),"")</f>
        <v/>
      </c>
      <c r="U10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5" s="264" t="str">
        <f>IF(ResultsInd[[#This Row],[Category]]="","",VLOOKUP(ResultsInd[[#This Row],[Stage]],$P$1:$V$9,MATCH(ResultsInd[[#This Row],[Category]],$Q$1:$V$1,0)+1,FALSE))</f>
        <v/>
      </c>
      <c r="Z1065" s="264" t="str">
        <f>IF(ResultsInd[[#This Row],[Score_OK]],IF(ResultsInd[[#This Row],[Level]]="R",ResultsInd[[#This Row],[Category]]&amp;"-"&amp;IF(ResultsInd[[#This Row],[LoseInKO]]=ResultsInd[[#This Row],[Category]]&amp;"-"&amp;ResultsInd[[#This Row],[Player A]],ResultsInd[[#This Row],[Player B]],ResultsInd[[#This Row],[Player A]]),""),"")</f>
        <v/>
      </c>
      <c r="AB1065" s="8"/>
      <c r="AC1065" s="8"/>
      <c r="AE1065" s="90"/>
      <c r="AF1065" s="90"/>
      <c r="AP1065" s="8"/>
      <c r="AQ1065" s="8"/>
      <c r="AR1065" s="8"/>
      <c r="AS1065" s="8"/>
      <c r="AT1065" s="8"/>
      <c r="AU1065" s="8"/>
      <c r="AV1065" s="8"/>
      <c r="AW1065" s="8"/>
      <c r="AX1065" s="8"/>
      <c r="AY1065" s="90"/>
      <c r="AZ1065" s="90"/>
      <c r="BA1065" s="90"/>
      <c r="BB1065" s="90"/>
      <c r="BC1065" s="90"/>
      <c r="BD1065" s="90"/>
      <c r="BE1065" s="90"/>
      <c r="BF1065" s="90"/>
    </row>
    <row r="1066" spans="1:58" x14ac:dyDescent="0.2">
      <c r="A1066" s="62"/>
      <c r="B1066" s="62"/>
      <c r="C1066" s="62"/>
      <c r="D1066" s="62"/>
      <c r="E1066" s="345"/>
      <c r="F1066" s="345"/>
      <c r="G1066" s="113"/>
      <c r="H1066" s="113"/>
      <c r="I1066" s="114"/>
      <c r="J1066" s="114"/>
      <c r="K1066" s="114"/>
      <c r="L1066" s="81"/>
      <c r="M1066" s="265" t="b">
        <f>NOT(ISERROR(ResultsInd[[#This Row],[Goal-A]]+ResultsInd[[#This Row],[Goal-B]]))</f>
        <v>1</v>
      </c>
      <c r="N1066" s="265">
        <f>VALUE(ResultsInd[[#This Row],[Score-A]])</f>
        <v>0</v>
      </c>
      <c r="O1066" s="265">
        <f>VALUE(ResultsInd[[#This Row],[Score-B]])</f>
        <v>0</v>
      </c>
      <c r="P1066" s="265" t="str">
        <f ca="1">IF(AND(ResultsInd[[#This Row],[Category]]&lt;&gt;"",ResultsInd[[#This Row],[Player A]]&lt;&gt;""),COUNTIF(INDIRECT(ResultsInd[[#This Row],[Category]]&amp;"List[Retained Player Name]"),ResultsInd[[#This Row],[Player A]]),"")</f>
        <v/>
      </c>
      <c r="Q1066" s="265" t="str">
        <f ca="1">IF(AND(ResultsInd[[#This Row],[Category]]&lt;&gt;"",ResultsInd[[#This Row],[Player B]]&lt;&gt;""),COUNTIF(INDIRECT(ResultsInd[[#This Row],[Category]]&amp;"List[Retained Player Name]"),ResultsInd[[#This Row],[Player B]]),"")</f>
        <v/>
      </c>
      <c r="R10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6" s="265" t="str">
        <f>IF(ResultsInd[[#This Row],[Score_OK]],IF(ResultsInd[[#This Row],[Stage]]="Groups",ResultsInd[[#This Row],[Category]]&amp;"-"&amp;IF(ResultsInd[[#This Row],[Player B]]="","",IF(ResultsInd[[#This Row],[Score-A]]=ResultsInd[[#This Row],[Score-B]],ResultsInd[[#This Row],[Player A]],"")),""),"")</f>
        <v/>
      </c>
      <c r="T1066" s="265" t="str">
        <f>IF(ResultsInd[[#This Row],[Score_OK]],IF(ResultsInd[[#This Row],[Stage]]="Groups",ResultsInd[[#This Row],[Category]]&amp;"-"&amp;IF(ResultsInd[[#This Row],[Player B]]="","",IF(ResultsInd[[#This Row],[Score-A]]=ResultsInd[[#This Row],[Score-B]],ResultsInd[[#This Row],[Player B]],"")),""),"")</f>
        <v/>
      </c>
      <c r="U10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6" s="264" t="str">
        <f>IF(ResultsInd[[#This Row],[Category]]="","",VLOOKUP(ResultsInd[[#This Row],[Stage]],$P$1:$V$9,MATCH(ResultsInd[[#This Row],[Category]],$Q$1:$V$1,0)+1,FALSE))</f>
        <v/>
      </c>
      <c r="Z1066" s="264" t="str">
        <f>IF(ResultsInd[[#This Row],[Score_OK]],IF(ResultsInd[[#This Row],[Level]]="R",ResultsInd[[#This Row],[Category]]&amp;"-"&amp;IF(ResultsInd[[#This Row],[LoseInKO]]=ResultsInd[[#This Row],[Category]]&amp;"-"&amp;ResultsInd[[#This Row],[Player A]],ResultsInd[[#This Row],[Player B]],ResultsInd[[#This Row],[Player A]]),""),"")</f>
        <v/>
      </c>
      <c r="AB1066" s="8"/>
      <c r="AC1066" s="8"/>
      <c r="AE1066" s="90"/>
      <c r="AF1066" s="90"/>
      <c r="AP1066" s="8"/>
      <c r="AQ1066" s="8"/>
      <c r="AR1066" s="8"/>
      <c r="AS1066" s="8"/>
      <c r="AT1066" s="8"/>
      <c r="AU1066" s="8"/>
      <c r="AV1066" s="8"/>
      <c r="AW1066" s="8"/>
      <c r="AX1066" s="8"/>
      <c r="AY1066" s="90"/>
      <c r="AZ1066" s="90"/>
      <c r="BA1066" s="90"/>
      <c r="BB1066" s="90"/>
      <c r="BC1066" s="90"/>
      <c r="BD1066" s="90"/>
      <c r="BE1066" s="90"/>
      <c r="BF1066" s="90"/>
    </row>
    <row r="1067" spans="1:58" x14ac:dyDescent="0.2">
      <c r="A1067" s="62"/>
      <c r="B1067" s="62"/>
      <c r="C1067" s="62"/>
      <c r="D1067" s="62"/>
      <c r="E1067" s="345"/>
      <c r="F1067" s="345"/>
      <c r="G1067" s="113"/>
      <c r="H1067" s="113"/>
      <c r="I1067" s="114"/>
      <c r="J1067" s="114"/>
      <c r="K1067" s="114"/>
      <c r="L1067" s="81"/>
      <c r="M1067" s="265" t="b">
        <f>NOT(ISERROR(ResultsInd[[#This Row],[Goal-A]]+ResultsInd[[#This Row],[Goal-B]]))</f>
        <v>1</v>
      </c>
      <c r="N1067" s="265">
        <f>VALUE(ResultsInd[[#This Row],[Score-A]])</f>
        <v>0</v>
      </c>
      <c r="O1067" s="265">
        <f>VALUE(ResultsInd[[#This Row],[Score-B]])</f>
        <v>0</v>
      </c>
      <c r="P1067" s="265" t="str">
        <f ca="1">IF(AND(ResultsInd[[#This Row],[Category]]&lt;&gt;"",ResultsInd[[#This Row],[Player A]]&lt;&gt;""),COUNTIF(INDIRECT(ResultsInd[[#This Row],[Category]]&amp;"List[Retained Player Name]"),ResultsInd[[#This Row],[Player A]]),"")</f>
        <v/>
      </c>
      <c r="Q1067" s="265" t="str">
        <f ca="1">IF(AND(ResultsInd[[#This Row],[Category]]&lt;&gt;"",ResultsInd[[#This Row],[Player B]]&lt;&gt;""),COUNTIF(INDIRECT(ResultsInd[[#This Row],[Category]]&amp;"List[Retained Player Name]"),ResultsInd[[#This Row],[Player B]]),"")</f>
        <v/>
      </c>
      <c r="R10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7" s="265" t="str">
        <f>IF(ResultsInd[[#This Row],[Score_OK]],IF(ResultsInd[[#This Row],[Stage]]="Groups",ResultsInd[[#This Row],[Category]]&amp;"-"&amp;IF(ResultsInd[[#This Row],[Player B]]="","",IF(ResultsInd[[#This Row],[Score-A]]=ResultsInd[[#This Row],[Score-B]],ResultsInd[[#This Row],[Player A]],"")),""),"")</f>
        <v/>
      </c>
      <c r="T1067" s="265" t="str">
        <f>IF(ResultsInd[[#This Row],[Score_OK]],IF(ResultsInd[[#This Row],[Stage]]="Groups",ResultsInd[[#This Row],[Category]]&amp;"-"&amp;IF(ResultsInd[[#This Row],[Player B]]="","",IF(ResultsInd[[#This Row],[Score-A]]=ResultsInd[[#This Row],[Score-B]],ResultsInd[[#This Row],[Player B]],"")),""),"")</f>
        <v/>
      </c>
      <c r="U10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7" s="264" t="str">
        <f>IF(ResultsInd[[#This Row],[Category]]="","",VLOOKUP(ResultsInd[[#This Row],[Stage]],$P$1:$V$9,MATCH(ResultsInd[[#This Row],[Category]],$Q$1:$V$1,0)+1,FALSE))</f>
        <v/>
      </c>
      <c r="Z1067" s="264" t="str">
        <f>IF(ResultsInd[[#This Row],[Score_OK]],IF(ResultsInd[[#This Row],[Level]]="R",ResultsInd[[#This Row],[Category]]&amp;"-"&amp;IF(ResultsInd[[#This Row],[LoseInKO]]=ResultsInd[[#This Row],[Category]]&amp;"-"&amp;ResultsInd[[#This Row],[Player A]],ResultsInd[[#This Row],[Player B]],ResultsInd[[#This Row],[Player A]]),""),"")</f>
        <v/>
      </c>
      <c r="AB1067" s="8"/>
      <c r="AC1067" s="8"/>
      <c r="AE1067" s="90"/>
      <c r="AF1067" s="90"/>
      <c r="AP1067" s="8"/>
      <c r="AQ1067" s="8"/>
      <c r="AR1067" s="8"/>
      <c r="AS1067" s="8"/>
      <c r="AT1067" s="8"/>
      <c r="AU1067" s="8"/>
      <c r="AV1067" s="8"/>
      <c r="AW1067" s="8"/>
      <c r="AX1067" s="8"/>
      <c r="AY1067" s="90"/>
      <c r="AZ1067" s="90"/>
      <c r="BA1067" s="90"/>
      <c r="BB1067" s="90"/>
      <c r="BC1067" s="90"/>
      <c r="BD1067" s="90"/>
      <c r="BE1067" s="90"/>
      <c r="BF1067" s="90"/>
    </row>
    <row r="1068" spans="1:58" x14ac:dyDescent="0.2">
      <c r="A1068" s="62"/>
      <c r="B1068" s="62"/>
      <c r="C1068" s="62"/>
      <c r="D1068" s="62"/>
      <c r="E1068" s="345"/>
      <c r="F1068" s="345"/>
      <c r="G1068" s="113"/>
      <c r="H1068" s="113"/>
      <c r="I1068" s="114"/>
      <c r="J1068" s="114"/>
      <c r="K1068" s="114"/>
      <c r="L1068" s="81"/>
      <c r="M1068" s="265" t="b">
        <f>NOT(ISERROR(ResultsInd[[#This Row],[Goal-A]]+ResultsInd[[#This Row],[Goal-B]]))</f>
        <v>1</v>
      </c>
      <c r="N1068" s="265">
        <f>VALUE(ResultsInd[[#This Row],[Score-A]])</f>
        <v>0</v>
      </c>
      <c r="O1068" s="265">
        <f>VALUE(ResultsInd[[#This Row],[Score-B]])</f>
        <v>0</v>
      </c>
      <c r="P1068" s="265" t="str">
        <f ca="1">IF(AND(ResultsInd[[#This Row],[Category]]&lt;&gt;"",ResultsInd[[#This Row],[Player A]]&lt;&gt;""),COUNTIF(INDIRECT(ResultsInd[[#This Row],[Category]]&amp;"List[Retained Player Name]"),ResultsInd[[#This Row],[Player A]]),"")</f>
        <v/>
      </c>
      <c r="Q1068" s="265" t="str">
        <f ca="1">IF(AND(ResultsInd[[#This Row],[Category]]&lt;&gt;"",ResultsInd[[#This Row],[Player B]]&lt;&gt;""),COUNTIF(INDIRECT(ResultsInd[[#This Row],[Category]]&amp;"List[Retained Player Name]"),ResultsInd[[#This Row],[Player B]]),"")</f>
        <v/>
      </c>
      <c r="R10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8" s="265" t="str">
        <f>IF(ResultsInd[[#This Row],[Score_OK]],IF(ResultsInd[[#This Row],[Stage]]="Groups",ResultsInd[[#This Row],[Category]]&amp;"-"&amp;IF(ResultsInd[[#This Row],[Player B]]="","",IF(ResultsInd[[#This Row],[Score-A]]=ResultsInd[[#This Row],[Score-B]],ResultsInd[[#This Row],[Player A]],"")),""),"")</f>
        <v/>
      </c>
      <c r="T1068" s="265" t="str">
        <f>IF(ResultsInd[[#This Row],[Score_OK]],IF(ResultsInd[[#This Row],[Stage]]="Groups",ResultsInd[[#This Row],[Category]]&amp;"-"&amp;IF(ResultsInd[[#This Row],[Player B]]="","",IF(ResultsInd[[#This Row],[Score-A]]=ResultsInd[[#This Row],[Score-B]],ResultsInd[[#This Row],[Player B]],"")),""),"")</f>
        <v/>
      </c>
      <c r="U10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8" s="264" t="str">
        <f>IF(ResultsInd[[#This Row],[Category]]="","",VLOOKUP(ResultsInd[[#This Row],[Stage]],$P$1:$V$9,MATCH(ResultsInd[[#This Row],[Category]],$Q$1:$V$1,0)+1,FALSE))</f>
        <v/>
      </c>
      <c r="Z1068" s="264" t="str">
        <f>IF(ResultsInd[[#This Row],[Score_OK]],IF(ResultsInd[[#This Row],[Level]]="R",ResultsInd[[#This Row],[Category]]&amp;"-"&amp;IF(ResultsInd[[#This Row],[LoseInKO]]=ResultsInd[[#This Row],[Category]]&amp;"-"&amp;ResultsInd[[#This Row],[Player A]],ResultsInd[[#This Row],[Player B]],ResultsInd[[#This Row],[Player A]]),""),"")</f>
        <v/>
      </c>
      <c r="AB1068" s="8"/>
      <c r="AC1068" s="8"/>
      <c r="AE1068" s="90"/>
      <c r="AF1068" s="90"/>
      <c r="AP1068" s="8"/>
      <c r="AQ1068" s="8"/>
      <c r="AR1068" s="8"/>
      <c r="AS1068" s="8"/>
      <c r="AT1068" s="8"/>
      <c r="AU1068" s="8"/>
      <c r="AV1068" s="8"/>
      <c r="AW1068" s="8"/>
      <c r="AX1068" s="8"/>
      <c r="AY1068" s="90"/>
      <c r="AZ1068" s="90"/>
      <c r="BA1068" s="90"/>
      <c r="BB1068" s="90"/>
      <c r="BC1068" s="90"/>
      <c r="BD1068" s="90"/>
      <c r="BE1068" s="90"/>
      <c r="BF1068" s="90"/>
    </row>
    <row r="1069" spans="1:58" x14ac:dyDescent="0.2">
      <c r="A1069" s="62"/>
      <c r="B1069" s="62"/>
      <c r="C1069" s="62"/>
      <c r="D1069" s="62"/>
      <c r="E1069" s="345"/>
      <c r="F1069" s="345"/>
      <c r="G1069" s="113"/>
      <c r="H1069" s="113"/>
      <c r="I1069" s="114"/>
      <c r="J1069" s="114"/>
      <c r="K1069" s="114"/>
      <c r="L1069" s="81"/>
      <c r="M1069" s="265" t="b">
        <f>NOT(ISERROR(ResultsInd[[#This Row],[Goal-A]]+ResultsInd[[#This Row],[Goal-B]]))</f>
        <v>1</v>
      </c>
      <c r="N1069" s="265">
        <f>VALUE(ResultsInd[[#This Row],[Score-A]])</f>
        <v>0</v>
      </c>
      <c r="O1069" s="265">
        <f>VALUE(ResultsInd[[#This Row],[Score-B]])</f>
        <v>0</v>
      </c>
      <c r="P1069" s="265" t="str">
        <f ca="1">IF(AND(ResultsInd[[#This Row],[Category]]&lt;&gt;"",ResultsInd[[#This Row],[Player A]]&lt;&gt;""),COUNTIF(INDIRECT(ResultsInd[[#This Row],[Category]]&amp;"List[Retained Player Name]"),ResultsInd[[#This Row],[Player A]]),"")</f>
        <v/>
      </c>
      <c r="Q1069" s="265" t="str">
        <f ca="1">IF(AND(ResultsInd[[#This Row],[Category]]&lt;&gt;"",ResultsInd[[#This Row],[Player B]]&lt;&gt;""),COUNTIF(INDIRECT(ResultsInd[[#This Row],[Category]]&amp;"List[Retained Player Name]"),ResultsInd[[#This Row],[Player B]]),"")</f>
        <v/>
      </c>
      <c r="R10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9" s="265" t="str">
        <f>IF(ResultsInd[[#This Row],[Score_OK]],IF(ResultsInd[[#This Row],[Stage]]="Groups",ResultsInd[[#This Row],[Category]]&amp;"-"&amp;IF(ResultsInd[[#This Row],[Player B]]="","",IF(ResultsInd[[#This Row],[Score-A]]=ResultsInd[[#This Row],[Score-B]],ResultsInd[[#This Row],[Player A]],"")),""),"")</f>
        <v/>
      </c>
      <c r="T1069" s="265" t="str">
        <f>IF(ResultsInd[[#This Row],[Score_OK]],IF(ResultsInd[[#This Row],[Stage]]="Groups",ResultsInd[[#This Row],[Category]]&amp;"-"&amp;IF(ResultsInd[[#This Row],[Player B]]="","",IF(ResultsInd[[#This Row],[Score-A]]=ResultsInd[[#This Row],[Score-B]],ResultsInd[[#This Row],[Player B]],"")),""),"")</f>
        <v/>
      </c>
      <c r="U10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9" s="264" t="str">
        <f>IF(ResultsInd[[#This Row],[Category]]="","",VLOOKUP(ResultsInd[[#This Row],[Stage]],$P$1:$V$9,MATCH(ResultsInd[[#This Row],[Category]],$Q$1:$V$1,0)+1,FALSE))</f>
        <v/>
      </c>
      <c r="Z1069" s="264" t="str">
        <f>IF(ResultsInd[[#This Row],[Score_OK]],IF(ResultsInd[[#This Row],[Level]]="R",ResultsInd[[#This Row],[Category]]&amp;"-"&amp;IF(ResultsInd[[#This Row],[LoseInKO]]=ResultsInd[[#This Row],[Category]]&amp;"-"&amp;ResultsInd[[#This Row],[Player A]],ResultsInd[[#This Row],[Player B]],ResultsInd[[#This Row],[Player A]]),""),"")</f>
        <v/>
      </c>
      <c r="AB1069" s="8"/>
      <c r="AC1069" s="8"/>
      <c r="AE1069" s="90"/>
      <c r="AF1069" s="90"/>
      <c r="AP1069" s="8"/>
      <c r="AQ1069" s="8"/>
      <c r="AR1069" s="8"/>
      <c r="AS1069" s="8"/>
      <c r="AT1069" s="8"/>
      <c r="AU1069" s="8"/>
      <c r="AV1069" s="8"/>
      <c r="AW1069" s="8"/>
      <c r="AX1069" s="8"/>
      <c r="AY1069" s="90"/>
      <c r="AZ1069" s="90"/>
      <c r="BA1069" s="90"/>
      <c r="BB1069" s="90"/>
      <c r="BC1069" s="90"/>
      <c r="BD1069" s="90"/>
      <c r="BE1069" s="90"/>
      <c r="BF1069" s="90"/>
    </row>
    <row r="1070" spans="1:58" x14ac:dyDescent="0.2">
      <c r="A1070" s="62"/>
      <c r="B1070" s="62"/>
      <c r="C1070" s="62"/>
      <c r="D1070" s="62"/>
      <c r="E1070" s="345"/>
      <c r="F1070" s="345"/>
      <c r="G1070" s="113"/>
      <c r="H1070" s="113"/>
      <c r="I1070" s="114"/>
      <c r="J1070" s="114"/>
      <c r="K1070" s="114"/>
      <c r="L1070" s="81"/>
      <c r="M1070" s="265" t="b">
        <f>NOT(ISERROR(ResultsInd[[#This Row],[Goal-A]]+ResultsInd[[#This Row],[Goal-B]]))</f>
        <v>1</v>
      </c>
      <c r="N1070" s="265">
        <f>VALUE(ResultsInd[[#This Row],[Score-A]])</f>
        <v>0</v>
      </c>
      <c r="O1070" s="265">
        <f>VALUE(ResultsInd[[#This Row],[Score-B]])</f>
        <v>0</v>
      </c>
      <c r="P1070" s="265" t="str">
        <f ca="1">IF(AND(ResultsInd[[#This Row],[Category]]&lt;&gt;"",ResultsInd[[#This Row],[Player A]]&lt;&gt;""),COUNTIF(INDIRECT(ResultsInd[[#This Row],[Category]]&amp;"List[Retained Player Name]"),ResultsInd[[#This Row],[Player A]]),"")</f>
        <v/>
      </c>
      <c r="Q1070" s="265" t="str">
        <f ca="1">IF(AND(ResultsInd[[#This Row],[Category]]&lt;&gt;"",ResultsInd[[#This Row],[Player B]]&lt;&gt;""),COUNTIF(INDIRECT(ResultsInd[[#This Row],[Category]]&amp;"List[Retained Player Name]"),ResultsInd[[#This Row],[Player B]]),"")</f>
        <v/>
      </c>
      <c r="R10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0" s="265" t="str">
        <f>IF(ResultsInd[[#This Row],[Score_OK]],IF(ResultsInd[[#This Row],[Stage]]="Groups",ResultsInd[[#This Row],[Category]]&amp;"-"&amp;IF(ResultsInd[[#This Row],[Player B]]="","",IF(ResultsInd[[#This Row],[Score-A]]=ResultsInd[[#This Row],[Score-B]],ResultsInd[[#This Row],[Player A]],"")),""),"")</f>
        <v/>
      </c>
      <c r="T1070" s="265" t="str">
        <f>IF(ResultsInd[[#This Row],[Score_OK]],IF(ResultsInd[[#This Row],[Stage]]="Groups",ResultsInd[[#This Row],[Category]]&amp;"-"&amp;IF(ResultsInd[[#This Row],[Player B]]="","",IF(ResultsInd[[#This Row],[Score-A]]=ResultsInd[[#This Row],[Score-B]],ResultsInd[[#This Row],[Player B]],"")),""),"")</f>
        <v/>
      </c>
      <c r="U10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0" s="264" t="str">
        <f>IF(ResultsInd[[#This Row],[Category]]="","",VLOOKUP(ResultsInd[[#This Row],[Stage]],$P$1:$V$9,MATCH(ResultsInd[[#This Row],[Category]],$Q$1:$V$1,0)+1,FALSE))</f>
        <v/>
      </c>
      <c r="Z1070" s="264" t="str">
        <f>IF(ResultsInd[[#This Row],[Score_OK]],IF(ResultsInd[[#This Row],[Level]]="R",ResultsInd[[#This Row],[Category]]&amp;"-"&amp;IF(ResultsInd[[#This Row],[LoseInKO]]=ResultsInd[[#This Row],[Category]]&amp;"-"&amp;ResultsInd[[#This Row],[Player A]],ResultsInd[[#This Row],[Player B]],ResultsInd[[#This Row],[Player A]]),""),"")</f>
        <v/>
      </c>
      <c r="AB1070" s="8"/>
      <c r="AC1070" s="8"/>
      <c r="AE1070" s="90"/>
      <c r="AF1070" s="90"/>
      <c r="AP1070" s="8"/>
      <c r="AQ1070" s="8"/>
      <c r="AR1070" s="8"/>
      <c r="AS1070" s="8"/>
      <c r="AT1070" s="8"/>
      <c r="AU1070" s="8"/>
      <c r="AV1070" s="8"/>
      <c r="AW1070" s="8"/>
      <c r="AX1070" s="8"/>
      <c r="AY1070" s="90"/>
      <c r="AZ1070" s="90"/>
      <c r="BA1070" s="90"/>
      <c r="BB1070" s="90"/>
      <c r="BC1070" s="90"/>
      <c r="BD1070" s="90"/>
      <c r="BE1070" s="90"/>
      <c r="BF1070" s="90"/>
    </row>
    <row r="1071" spans="1:58" x14ac:dyDescent="0.2">
      <c r="A1071" s="62"/>
      <c r="B1071" s="62"/>
      <c r="C1071" s="62"/>
      <c r="D1071" s="62"/>
      <c r="E1071" s="345"/>
      <c r="F1071" s="345"/>
      <c r="G1071" s="113"/>
      <c r="H1071" s="113"/>
      <c r="I1071" s="114"/>
      <c r="J1071" s="114"/>
      <c r="K1071" s="114"/>
      <c r="L1071" s="81"/>
      <c r="M1071" s="265" t="b">
        <f>NOT(ISERROR(ResultsInd[[#This Row],[Goal-A]]+ResultsInd[[#This Row],[Goal-B]]))</f>
        <v>1</v>
      </c>
      <c r="N1071" s="265">
        <f>VALUE(ResultsInd[[#This Row],[Score-A]])</f>
        <v>0</v>
      </c>
      <c r="O1071" s="265">
        <f>VALUE(ResultsInd[[#This Row],[Score-B]])</f>
        <v>0</v>
      </c>
      <c r="P1071" s="265" t="str">
        <f ca="1">IF(AND(ResultsInd[[#This Row],[Category]]&lt;&gt;"",ResultsInd[[#This Row],[Player A]]&lt;&gt;""),COUNTIF(INDIRECT(ResultsInd[[#This Row],[Category]]&amp;"List[Retained Player Name]"),ResultsInd[[#This Row],[Player A]]),"")</f>
        <v/>
      </c>
      <c r="Q1071" s="265" t="str">
        <f ca="1">IF(AND(ResultsInd[[#This Row],[Category]]&lt;&gt;"",ResultsInd[[#This Row],[Player B]]&lt;&gt;""),COUNTIF(INDIRECT(ResultsInd[[#This Row],[Category]]&amp;"List[Retained Player Name]"),ResultsInd[[#This Row],[Player B]]),"")</f>
        <v/>
      </c>
      <c r="R10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1" s="265" t="str">
        <f>IF(ResultsInd[[#This Row],[Score_OK]],IF(ResultsInd[[#This Row],[Stage]]="Groups",ResultsInd[[#This Row],[Category]]&amp;"-"&amp;IF(ResultsInd[[#This Row],[Player B]]="","",IF(ResultsInd[[#This Row],[Score-A]]=ResultsInd[[#This Row],[Score-B]],ResultsInd[[#This Row],[Player A]],"")),""),"")</f>
        <v/>
      </c>
      <c r="T1071" s="265" t="str">
        <f>IF(ResultsInd[[#This Row],[Score_OK]],IF(ResultsInd[[#This Row],[Stage]]="Groups",ResultsInd[[#This Row],[Category]]&amp;"-"&amp;IF(ResultsInd[[#This Row],[Player B]]="","",IF(ResultsInd[[#This Row],[Score-A]]=ResultsInd[[#This Row],[Score-B]],ResultsInd[[#This Row],[Player B]],"")),""),"")</f>
        <v/>
      </c>
      <c r="U10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1" s="264" t="str">
        <f>IF(ResultsInd[[#This Row],[Category]]="","",VLOOKUP(ResultsInd[[#This Row],[Stage]],$P$1:$V$9,MATCH(ResultsInd[[#This Row],[Category]],$Q$1:$V$1,0)+1,FALSE))</f>
        <v/>
      </c>
      <c r="Z1071" s="264" t="str">
        <f>IF(ResultsInd[[#This Row],[Score_OK]],IF(ResultsInd[[#This Row],[Level]]="R",ResultsInd[[#This Row],[Category]]&amp;"-"&amp;IF(ResultsInd[[#This Row],[LoseInKO]]=ResultsInd[[#This Row],[Category]]&amp;"-"&amp;ResultsInd[[#This Row],[Player A]],ResultsInd[[#This Row],[Player B]],ResultsInd[[#This Row],[Player A]]),""),"")</f>
        <v/>
      </c>
      <c r="AB1071" s="8"/>
      <c r="AC1071" s="8"/>
      <c r="AE1071" s="90"/>
      <c r="AF1071" s="90"/>
      <c r="AP1071" s="8"/>
      <c r="AQ1071" s="8"/>
      <c r="AR1071" s="8"/>
      <c r="AS1071" s="8"/>
      <c r="AT1071" s="8"/>
      <c r="AU1071" s="8"/>
      <c r="AV1071" s="8"/>
      <c r="AW1071" s="8"/>
      <c r="AX1071" s="8"/>
      <c r="AY1071" s="90"/>
      <c r="AZ1071" s="90"/>
      <c r="BA1071" s="90"/>
      <c r="BB1071" s="90"/>
      <c r="BC1071" s="90"/>
      <c r="BD1071" s="90"/>
      <c r="BE1071" s="90"/>
      <c r="BF1071" s="90"/>
    </row>
    <row r="1072" spans="1:58" x14ac:dyDescent="0.2">
      <c r="A1072" s="62"/>
      <c r="B1072" s="62"/>
      <c r="C1072" s="62"/>
      <c r="D1072" s="62"/>
      <c r="E1072" s="345"/>
      <c r="F1072" s="345"/>
      <c r="G1072" s="113"/>
      <c r="H1072" s="113"/>
      <c r="I1072" s="114"/>
      <c r="J1072" s="114"/>
      <c r="K1072" s="114"/>
      <c r="L1072" s="81"/>
      <c r="M1072" s="265" t="b">
        <f>NOT(ISERROR(ResultsInd[[#This Row],[Goal-A]]+ResultsInd[[#This Row],[Goal-B]]))</f>
        <v>1</v>
      </c>
      <c r="N1072" s="265">
        <f>VALUE(ResultsInd[[#This Row],[Score-A]])</f>
        <v>0</v>
      </c>
      <c r="O1072" s="265">
        <f>VALUE(ResultsInd[[#This Row],[Score-B]])</f>
        <v>0</v>
      </c>
      <c r="P1072" s="265" t="str">
        <f ca="1">IF(AND(ResultsInd[[#This Row],[Category]]&lt;&gt;"",ResultsInd[[#This Row],[Player A]]&lt;&gt;""),COUNTIF(INDIRECT(ResultsInd[[#This Row],[Category]]&amp;"List[Retained Player Name]"),ResultsInd[[#This Row],[Player A]]),"")</f>
        <v/>
      </c>
      <c r="Q1072" s="265" t="str">
        <f ca="1">IF(AND(ResultsInd[[#This Row],[Category]]&lt;&gt;"",ResultsInd[[#This Row],[Player B]]&lt;&gt;""),COUNTIF(INDIRECT(ResultsInd[[#This Row],[Category]]&amp;"List[Retained Player Name]"),ResultsInd[[#This Row],[Player B]]),"")</f>
        <v/>
      </c>
      <c r="R10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2" s="265" t="str">
        <f>IF(ResultsInd[[#This Row],[Score_OK]],IF(ResultsInd[[#This Row],[Stage]]="Groups",ResultsInd[[#This Row],[Category]]&amp;"-"&amp;IF(ResultsInd[[#This Row],[Player B]]="","",IF(ResultsInd[[#This Row],[Score-A]]=ResultsInd[[#This Row],[Score-B]],ResultsInd[[#This Row],[Player A]],"")),""),"")</f>
        <v/>
      </c>
      <c r="T1072" s="265" t="str">
        <f>IF(ResultsInd[[#This Row],[Score_OK]],IF(ResultsInd[[#This Row],[Stage]]="Groups",ResultsInd[[#This Row],[Category]]&amp;"-"&amp;IF(ResultsInd[[#This Row],[Player B]]="","",IF(ResultsInd[[#This Row],[Score-A]]=ResultsInd[[#This Row],[Score-B]],ResultsInd[[#This Row],[Player B]],"")),""),"")</f>
        <v/>
      </c>
      <c r="U10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2" s="264" t="str">
        <f>IF(ResultsInd[[#This Row],[Category]]="","",VLOOKUP(ResultsInd[[#This Row],[Stage]],$P$1:$V$9,MATCH(ResultsInd[[#This Row],[Category]],$Q$1:$V$1,0)+1,FALSE))</f>
        <v/>
      </c>
      <c r="Z1072" s="264" t="str">
        <f>IF(ResultsInd[[#This Row],[Score_OK]],IF(ResultsInd[[#This Row],[Level]]="R",ResultsInd[[#This Row],[Category]]&amp;"-"&amp;IF(ResultsInd[[#This Row],[LoseInKO]]=ResultsInd[[#This Row],[Category]]&amp;"-"&amp;ResultsInd[[#This Row],[Player A]],ResultsInd[[#This Row],[Player B]],ResultsInd[[#This Row],[Player A]]),""),"")</f>
        <v/>
      </c>
      <c r="AB1072" s="8"/>
      <c r="AC1072" s="8"/>
      <c r="AE1072" s="90"/>
      <c r="AF1072" s="90"/>
      <c r="AP1072" s="8"/>
      <c r="AQ1072" s="8"/>
      <c r="AR1072" s="8"/>
      <c r="AS1072" s="8"/>
      <c r="AT1072" s="8"/>
      <c r="AU1072" s="8"/>
      <c r="AV1072" s="8"/>
      <c r="AW1072" s="8"/>
      <c r="AX1072" s="8"/>
      <c r="AY1072" s="90"/>
      <c r="AZ1072" s="90"/>
      <c r="BA1072" s="90"/>
      <c r="BB1072" s="90"/>
      <c r="BC1072" s="90"/>
      <c r="BD1072" s="90"/>
      <c r="BE1072" s="90"/>
      <c r="BF1072" s="90"/>
    </row>
    <row r="1073" spans="1:58" x14ac:dyDescent="0.2">
      <c r="A1073" s="62"/>
      <c r="B1073" s="62"/>
      <c r="C1073" s="62"/>
      <c r="D1073" s="62"/>
      <c r="E1073" s="345"/>
      <c r="F1073" s="345"/>
      <c r="G1073" s="113"/>
      <c r="H1073" s="113"/>
      <c r="I1073" s="114"/>
      <c r="J1073" s="114"/>
      <c r="K1073" s="114"/>
      <c r="L1073" s="81"/>
      <c r="M1073" s="265" t="b">
        <f>NOT(ISERROR(ResultsInd[[#This Row],[Goal-A]]+ResultsInd[[#This Row],[Goal-B]]))</f>
        <v>1</v>
      </c>
      <c r="N1073" s="265">
        <f>VALUE(ResultsInd[[#This Row],[Score-A]])</f>
        <v>0</v>
      </c>
      <c r="O1073" s="265">
        <f>VALUE(ResultsInd[[#This Row],[Score-B]])</f>
        <v>0</v>
      </c>
      <c r="P1073" s="265" t="str">
        <f ca="1">IF(AND(ResultsInd[[#This Row],[Category]]&lt;&gt;"",ResultsInd[[#This Row],[Player A]]&lt;&gt;""),COUNTIF(INDIRECT(ResultsInd[[#This Row],[Category]]&amp;"List[Retained Player Name]"),ResultsInd[[#This Row],[Player A]]),"")</f>
        <v/>
      </c>
      <c r="Q1073" s="265" t="str">
        <f ca="1">IF(AND(ResultsInd[[#This Row],[Category]]&lt;&gt;"",ResultsInd[[#This Row],[Player B]]&lt;&gt;""),COUNTIF(INDIRECT(ResultsInd[[#This Row],[Category]]&amp;"List[Retained Player Name]"),ResultsInd[[#This Row],[Player B]]),"")</f>
        <v/>
      </c>
      <c r="R10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3" s="265" t="str">
        <f>IF(ResultsInd[[#This Row],[Score_OK]],IF(ResultsInd[[#This Row],[Stage]]="Groups",ResultsInd[[#This Row],[Category]]&amp;"-"&amp;IF(ResultsInd[[#This Row],[Player B]]="","",IF(ResultsInd[[#This Row],[Score-A]]=ResultsInd[[#This Row],[Score-B]],ResultsInd[[#This Row],[Player A]],"")),""),"")</f>
        <v/>
      </c>
      <c r="T1073" s="265" t="str">
        <f>IF(ResultsInd[[#This Row],[Score_OK]],IF(ResultsInd[[#This Row],[Stage]]="Groups",ResultsInd[[#This Row],[Category]]&amp;"-"&amp;IF(ResultsInd[[#This Row],[Player B]]="","",IF(ResultsInd[[#This Row],[Score-A]]=ResultsInd[[#This Row],[Score-B]],ResultsInd[[#This Row],[Player B]],"")),""),"")</f>
        <v/>
      </c>
      <c r="U10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3" s="264" t="str">
        <f>IF(ResultsInd[[#This Row],[Category]]="","",VLOOKUP(ResultsInd[[#This Row],[Stage]],$P$1:$V$9,MATCH(ResultsInd[[#This Row],[Category]],$Q$1:$V$1,0)+1,FALSE))</f>
        <v/>
      </c>
      <c r="Z1073" s="264" t="str">
        <f>IF(ResultsInd[[#This Row],[Score_OK]],IF(ResultsInd[[#This Row],[Level]]="R",ResultsInd[[#This Row],[Category]]&amp;"-"&amp;IF(ResultsInd[[#This Row],[LoseInKO]]=ResultsInd[[#This Row],[Category]]&amp;"-"&amp;ResultsInd[[#This Row],[Player A]],ResultsInd[[#This Row],[Player B]],ResultsInd[[#This Row],[Player A]]),""),"")</f>
        <v/>
      </c>
      <c r="AB1073" s="8"/>
      <c r="AC1073" s="8"/>
      <c r="AE1073" s="90"/>
      <c r="AF1073" s="90"/>
      <c r="AP1073" s="8"/>
      <c r="AQ1073" s="8"/>
      <c r="AR1073" s="8"/>
      <c r="AS1073" s="8"/>
      <c r="AT1073" s="8"/>
      <c r="AU1073" s="8"/>
      <c r="AV1073" s="8"/>
      <c r="AW1073" s="8"/>
      <c r="AX1073" s="8"/>
      <c r="AY1073" s="90"/>
      <c r="AZ1073" s="90"/>
      <c r="BA1073" s="90"/>
      <c r="BB1073" s="90"/>
      <c r="BC1073" s="90"/>
      <c r="BD1073" s="90"/>
      <c r="BE1073" s="90"/>
      <c r="BF1073" s="90"/>
    </row>
    <row r="1074" spans="1:58" x14ac:dyDescent="0.2">
      <c r="A1074" s="62"/>
      <c r="B1074" s="62"/>
      <c r="C1074" s="62"/>
      <c r="D1074" s="62"/>
      <c r="E1074" s="345"/>
      <c r="F1074" s="345"/>
      <c r="G1074" s="113"/>
      <c r="H1074" s="113"/>
      <c r="I1074" s="114"/>
      <c r="J1074" s="114"/>
      <c r="K1074" s="114"/>
      <c r="L1074" s="81"/>
      <c r="M1074" s="265" t="b">
        <f>NOT(ISERROR(ResultsInd[[#This Row],[Goal-A]]+ResultsInd[[#This Row],[Goal-B]]))</f>
        <v>1</v>
      </c>
      <c r="N1074" s="265">
        <f>VALUE(ResultsInd[[#This Row],[Score-A]])</f>
        <v>0</v>
      </c>
      <c r="O1074" s="265">
        <f>VALUE(ResultsInd[[#This Row],[Score-B]])</f>
        <v>0</v>
      </c>
      <c r="P1074" s="265" t="str">
        <f ca="1">IF(AND(ResultsInd[[#This Row],[Category]]&lt;&gt;"",ResultsInd[[#This Row],[Player A]]&lt;&gt;""),COUNTIF(INDIRECT(ResultsInd[[#This Row],[Category]]&amp;"List[Retained Player Name]"),ResultsInd[[#This Row],[Player A]]),"")</f>
        <v/>
      </c>
      <c r="Q1074" s="265" t="str">
        <f ca="1">IF(AND(ResultsInd[[#This Row],[Category]]&lt;&gt;"",ResultsInd[[#This Row],[Player B]]&lt;&gt;""),COUNTIF(INDIRECT(ResultsInd[[#This Row],[Category]]&amp;"List[Retained Player Name]"),ResultsInd[[#This Row],[Player B]]),"")</f>
        <v/>
      </c>
      <c r="R10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4" s="265" t="str">
        <f>IF(ResultsInd[[#This Row],[Score_OK]],IF(ResultsInd[[#This Row],[Stage]]="Groups",ResultsInd[[#This Row],[Category]]&amp;"-"&amp;IF(ResultsInd[[#This Row],[Player B]]="","",IF(ResultsInd[[#This Row],[Score-A]]=ResultsInd[[#This Row],[Score-B]],ResultsInd[[#This Row],[Player A]],"")),""),"")</f>
        <v/>
      </c>
      <c r="T1074" s="265" t="str">
        <f>IF(ResultsInd[[#This Row],[Score_OK]],IF(ResultsInd[[#This Row],[Stage]]="Groups",ResultsInd[[#This Row],[Category]]&amp;"-"&amp;IF(ResultsInd[[#This Row],[Player B]]="","",IF(ResultsInd[[#This Row],[Score-A]]=ResultsInd[[#This Row],[Score-B]],ResultsInd[[#This Row],[Player B]],"")),""),"")</f>
        <v/>
      </c>
      <c r="U10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4" s="264" t="str">
        <f>IF(ResultsInd[[#This Row],[Category]]="","",VLOOKUP(ResultsInd[[#This Row],[Stage]],$P$1:$V$9,MATCH(ResultsInd[[#This Row],[Category]],$Q$1:$V$1,0)+1,FALSE))</f>
        <v/>
      </c>
      <c r="Z1074" s="264" t="str">
        <f>IF(ResultsInd[[#This Row],[Score_OK]],IF(ResultsInd[[#This Row],[Level]]="R",ResultsInd[[#This Row],[Category]]&amp;"-"&amp;IF(ResultsInd[[#This Row],[LoseInKO]]=ResultsInd[[#This Row],[Category]]&amp;"-"&amp;ResultsInd[[#This Row],[Player A]],ResultsInd[[#This Row],[Player B]],ResultsInd[[#This Row],[Player A]]),""),"")</f>
        <v/>
      </c>
      <c r="AB1074" s="8"/>
      <c r="AC1074" s="8"/>
      <c r="AE1074" s="90"/>
      <c r="AF1074" s="90"/>
      <c r="AP1074" s="8"/>
      <c r="AQ1074" s="8"/>
      <c r="AR1074" s="8"/>
      <c r="AS1074" s="8"/>
      <c r="AT1074" s="8"/>
      <c r="AU1074" s="8"/>
      <c r="AV1074" s="8"/>
      <c r="AW1074" s="8"/>
      <c r="AX1074" s="8"/>
      <c r="AY1074" s="90"/>
      <c r="AZ1074" s="90"/>
      <c r="BA1074" s="90"/>
      <c r="BB1074" s="90"/>
      <c r="BC1074" s="90"/>
      <c r="BD1074" s="90"/>
      <c r="BE1074" s="90"/>
      <c r="BF1074" s="90"/>
    </row>
    <row r="1075" spans="1:58" x14ac:dyDescent="0.2">
      <c r="A1075" s="62"/>
      <c r="B1075" s="62"/>
      <c r="C1075" s="62"/>
      <c r="D1075" s="62"/>
      <c r="E1075" s="345"/>
      <c r="F1075" s="345"/>
      <c r="G1075" s="113"/>
      <c r="H1075" s="113"/>
      <c r="I1075" s="114"/>
      <c r="J1075" s="114"/>
      <c r="K1075" s="114"/>
      <c r="L1075" s="81"/>
      <c r="M1075" s="265" t="b">
        <f>NOT(ISERROR(ResultsInd[[#This Row],[Goal-A]]+ResultsInd[[#This Row],[Goal-B]]))</f>
        <v>1</v>
      </c>
      <c r="N1075" s="265">
        <f>VALUE(ResultsInd[[#This Row],[Score-A]])</f>
        <v>0</v>
      </c>
      <c r="O1075" s="265">
        <f>VALUE(ResultsInd[[#This Row],[Score-B]])</f>
        <v>0</v>
      </c>
      <c r="P1075" s="265" t="str">
        <f ca="1">IF(AND(ResultsInd[[#This Row],[Category]]&lt;&gt;"",ResultsInd[[#This Row],[Player A]]&lt;&gt;""),COUNTIF(INDIRECT(ResultsInd[[#This Row],[Category]]&amp;"List[Retained Player Name]"),ResultsInd[[#This Row],[Player A]]),"")</f>
        <v/>
      </c>
      <c r="Q1075" s="265" t="str">
        <f ca="1">IF(AND(ResultsInd[[#This Row],[Category]]&lt;&gt;"",ResultsInd[[#This Row],[Player B]]&lt;&gt;""),COUNTIF(INDIRECT(ResultsInd[[#This Row],[Category]]&amp;"List[Retained Player Name]"),ResultsInd[[#This Row],[Player B]]),"")</f>
        <v/>
      </c>
      <c r="R10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5" s="265" t="str">
        <f>IF(ResultsInd[[#This Row],[Score_OK]],IF(ResultsInd[[#This Row],[Stage]]="Groups",ResultsInd[[#This Row],[Category]]&amp;"-"&amp;IF(ResultsInd[[#This Row],[Player B]]="","",IF(ResultsInd[[#This Row],[Score-A]]=ResultsInd[[#This Row],[Score-B]],ResultsInd[[#This Row],[Player A]],"")),""),"")</f>
        <v/>
      </c>
      <c r="T1075" s="265" t="str">
        <f>IF(ResultsInd[[#This Row],[Score_OK]],IF(ResultsInd[[#This Row],[Stage]]="Groups",ResultsInd[[#This Row],[Category]]&amp;"-"&amp;IF(ResultsInd[[#This Row],[Player B]]="","",IF(ResultsInd[[#This Row],[Score-A]]=ResultsInd[[#This Row],[Score-B]],ResultsInd[[#This Row],[Player B]],"")),""),"")</f>
        <v/>
      </c>
      <c r="U10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5" s="264" t="str">
        <f>IF(ResultsInd[[#This Row],[Category]]="","",VLOOKUP(ResultsInd[[#This Row],[Stage]],$P$1:$V$9,MATCH(ResultsInd[[#This Row],[Category]],$Q$1:$V$1,0)+1,FALSE))</f>
        <v/>
      </c>
      <c r="Z1075" s="264" t="str">
        <f>IF(ResultsInd[[#This Row],[Score_OK]],IF(ResultsInd[[#This Row],[Level]]="R",ResultsInd[[#This Row],[Category]]&amp;"-"&amp;IF(ResultsInd[[#This Row],[LoseInKO]]=ResultsInd[[#This Row],[Category]]&amp;"-"&amp;ResultsInd[[#This Row],[Player A]],ResultsInd[[#This Row],[Player B]],ResultsInd[[#This Row],[Player A]]),""),"")</f>
        <v/>
      </c>
      <c r="AB1075" s="8"/>
      <c r="AC1075" s="8"/>
      <c r="AE1075" s="90"/>
      <c r="AF1075" s="90"/>
      <c r="AP1075" s="8"/>
      <c r="AQ1075" s="8"/>
      <c r="AR1075" s="8"/>
      <c r="AS1075" s="8"/>
      <c r="AT1075" s="8"/>
      <c r="AU1075" s="8"/>
      <c r="AV1075" s="8"/>
      <c r="AW1075" s="8"/>
      <c r="AX1075" s="8"/>
      <c r="AY1075" s="90"/>
      <c r="AZ1075" s="90"/>
      <c r="BA1075" s="90"/>
      <c r="BB1075" s="90"/>
      <c r="BC1075" s="90"/>
      <c r="BD1075" s="90"/>
      <c r="BE1075" s="90"/>
      <c r="BF1075" s="90"/>
    </row>
    <row r="1076" spans="1:58" x14ac:dyDescent="0.2">
      <c r="A1076" s="62"/>
      <c r="B1076" s="62"/>
      <c r="C1076" s="62"/>
      <c r="D1076" s="62"/>
      <c r="E1076" s="345"/>
      <c r="F1076" s="345"/>
      <c r="G1076" s="113"/>
      <c r="H1076" s="113"/>
      <c r="I1076" s="114"/>
      <c r="J1076" s="114"/>
      <c r="K1076" s="114"/>
      <c r="L1076" s="81"/>
      <c r="M1076" s="265" t="b">
        <f>NOT(ISERROR(ResultsInd[[#This Row],[Goal-A]]+ResultsInd[[#This Row],[Goal-B]]))</f>
        <v>1</v>
      </c>
      <c r="N1076" s="265">
        <f>VALUE(ResultsInd[[#This Row],[Score-A]])</f>
        <v>0</v>
      </c>
      <c r="O1076" s="265">
        <f>VALUE(ResultsInd[[#This Row],[Score-B]])</f>
        <v>0</v>
      </c>
      <c r="P1076" s="265" t="str">
        <f ca="1">IF(AND(ResultsInd[[#This Row],[Category]]&lt;&gt;"",ResultsInd[[#This Row],[Player A]]&lt;&gt;""),COUNTIF(INDIRECT(ResultsInd[[#This Row],[Category]]&amp;"List[Retained Player Name]"),ResultsInd[[#This Row],[Player A]]),"")</f>
        <v/>
      </c>
      <c r="Q1076" s="265" t="str">
        <f ca="1">IF(AND(ResultsInd[[#This Row],[Category]]&lt;&gt;"",ResultsInd[[#This Row],[Player B]]&lt;&gt;""),COUNTIF(INDIRECT(ResultsInd[[#This Row],[Category]]&amp;"List[Retained Player Name]"),ResultsInd[[#This Row],[Player B]]),"")</f>
        <v/>
      </c>
      <c r="R10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6" s="265" t="str">
        <f>IF(ResultsInd[[#This Row],[Score_OK]],IF(ResultsInd[[#This Row],[Stage]]="Groups",ResultsInd[[#This Row],[Category]]&amp;"-"&amp;IF(ResultsInd[[#This Row],[Player B]]="","",IF(ResultsInd[[#This Row],[Score-A]]=ResultsInd[[#This Row],[Score-B]],ResultsInd[[#This Row],[Player A]],"")),""),"")</f>
        <v/>
      </c>
      <c r="T1076" s="265" t="str">
        <f>IF(ResultsInd[[#This Row],[Score_OK]],IF(ResultsInd[[#This Row],[Stage]]="Groups",ResultsInd[[#This Row],[Category]]&amp;"-"&amp;IF(ResultsInd[[#This Row],[Player B]]="","",IF(ResultsInd[[#This Row],[Score-A]]=ResultsInd[[#This Row],[Score-B]],ResultsInd[[#This Row],[Player B]],"")),""),"")</f>
        <v/>
      </c>
      <c r="U10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6" s="264" t="str">
        <f>IF(ResultsInd[[#This Row],[Category]]="","",VLOOKUP(ResultsInd[[#This Row],[Stage]],$P$1:$V$9,MATCH(ResultsInd[[#This Row],[Category]],$Q$1:$V$1,0)+1,FALSE))</f>
        <v/>
      </c>
      <c r="Z1076" s="264" t="str">
        <f>IF(ResultsInd[[#This Row],[Score_OK]],IF(ResultsInd[[#This Row],[Level]]="R",ResultsInd[[#This Row],[Category]]&amp;"-"&amp;IF(ResultsInd[[#This Row],[LoseInKO]]=ResultsInd[[#This Row],[Category]]&amp;"-"&amp;ResultsInd[[#This Row],[Player A]],ResultsInd[[#This Row],[Player B]],ResultsInd[[#This Row],[Player A]]),""),"")</f>
        <v/>
      </c>
      <c r="AB1076" s="8"/>
      <c r="AC1076" s="8"/>
      <c r="AE1076" s="90"/>
      <c r="AF1076" s="90"/>
      <c r="AP1076" s="8"/>
      <c r="AQ1076" s="8"/>
      <c r="AR1076" s="8"/>
      <c r="AS1076" s="8"/>
      <c r="AT1076" s="8"/>
      <c r="AU1076" s="8"/>
      <c r="AV1076" s="8"/>
      <c r="AW1076" s="8"/>
      <c r="AX1076" s="8"/>
      <c r="AY1076" s="90"/>
      <c r="AZ1076" s="90"/>
      <c r="BA1076" s="90"/>
      <c r="BB1076" s="90"/>
      <c r="BC1076" s="90"/>
      <c r="BD1076" s="90"/>
      <c r="BE1076" s="90"/>
      <c r="BF1076" s="90"/>
    </row>
    <row r="1077" spans="1:58" x14ac:dyDescent="0.2">
      <c r="A1077" s="62"/>
      <c r="B1077" s="62"/>
      <c r="C1077" s="62"/>
      <c r="D1077" s="62"/>
      <c r="E1077" s="345"/>
      <c r="F1077" s="345"/>
      <c r="G1077" s="113"/>
      <c r="H1077" s="113"/>
      <c r="I1077" s="114"/>
      <c r="J1077" s="114"/>
      <c r="K1077" s="114"/>
      <c r="L1077" s="81"/>
      <c r="M1077" s="265" t="b">
        <f>NOT(ISERROR(ResultsInd[[#This Row],[Goal-A]]+ResultsInd[[#This Row],[Goal-B]]))</f>
        <v>1</v>
      </c>
      <c r="N1077" s="265">
        <f>VALUE(ResultsInd[[#This Row],[Score-A]])</f>
        <v>0</v>
      </c>
      <c r="O1077" s="265">
        <f>VALUE(ResultsInd[[#This Row],[Score-B]])</f>
        <v>0</v>
      </c>
      <c r="P1077" s="265" t="str">
        <f ca="1">IF(AND(ResultsInd[[#This Row],[Category]]&lt;&gt;"",ResultsInd[[#This Row],[Player A]]&lt;&gt;""),COUNTIF(INDIRECT(ResultsInd[[#This Row],[Category]]&amp;"List[Retained Player Name]"),ResultsInd[[#This Row],[Player A]]),"")</f>
        <v/>
      </c>
      <c r="Q1077" s="265" t="str">
        <f ca="1">IF(AND(ResultsInd[[#This Row],[Category]]&lt;&gt;"",ResultsInd[[#This Row],[Player B]]&lt;&gt;""),COUNTIF(INDIRECT(ResultsInd[[#This Row],[Category]]&amp;"List[Retained Player Name]"),ResultsInd[[#This Row],[Player B]]),"")</f>
        <v/>
      </c>
      <c r="R10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7" s="265" t="str">
        <f>IF(ResultsInd[[#This Row],[Score_OK]],IF(ResultsInd[[#This Row],[Stage]]="Groups",ResultsInd[[#This Row],[Category]]&amp;"-"&amp;IF(ResultsInd[[#This Row],[Player B]]="","",IF(ResultsInd[[#This Row],[Score-A]]=ResultsInd[[#This Row],[Score-B]],ResultsInd[[#This Row],[Player A]],"")),""),"")</f>
        <v/>
      </c>
      <c r="T1077" s="265" t="str">
        <f>IF(ResultsInd[[#This Row],[Score_OK]],IF(ResultsInd[[#This Row],[Stage]]="Groups",ResultsInd[[#This Row],[Category]]&amp;"-"&amp;IF(ResultsInd[[#This Row],[Player B]]="","",IF(ResultsInd[[#This Row],[Score-A]]=ResultsInd[[#This Row],[Score-B]],ResultsInd[[#This Row],[Player B]],"")),""),"")</f>
        <v/>
      </c>
      <c r="U10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7" s="264" t="str">
        <f>IF(ResultsInd[[#This Row],[Category]]="","",VLOOKUP(ResultsInd[[#This Row],[Stage]],$P$1:$V$9,MATCH(ResultsInd[[#This Row],[Category]],$Q$1:$V$1,0)+1,FALSE))</f>
        <v/>
      </c>
      <c r="Z1077" s="264" t="str">
        <f>IF(ResultsInd[[#This Row],[Score_OK]],IF(ResultsInd[[#This Row],[Level]]="R",ResultsInd[[#This Row],[Category]]&amp;"-"&amp;IF(ResultsInd[[#This Row],[LoseInKO]]=ResultsInd[[#This Row],[Category]]&amp;"-"&amp;ResultsInd[[#This Row],[Player A]],ResultsInd[[#This Row],[Player B]],ResultsInd[[#This Row],[Player A]]),""),"")</f>
        <v/>
      </c>
      <c r="AB1077" s="8"/>
      <c r="AC1077" s="8"/>
      <c r="AE1077" s="90"/>
      <c r="AF1077" s="90"/>
      <c r="AP1077" s="8"/>
      <c r="AQ1077" s="8"/>
      <c r="AR1077" s="8"/>
      <c r="AS1077" s="8"/>
      <c r="AT1077" s="8"/>
      <c r="AU1077" s="8"/>
      <c r="AV1077" s="8"/>
      <c r="AW1077" s="8"/>
      <c r="AX1077" s="8"/>
      <c r="AY1077" s="90"/>
      <c r="AZ1077" s="90"/>
      <c r="BA1077" s="90"/>
      <c r="BB1077" s="90"/>
      <c r="BC1077" s="90"/>
      <c r="BD1077" s="90"/>
      <c r="BE1077" s="90"/>
      <c r="BF1077" s="90"/>
    </row>
    <row r="1078" spans="1:58" x14ac:dyDescent="0.2">
      <c r="A1078" s="62"/>
      <c r="B1078" s="62"/>
      <c r="C1078" s="62"/>
      <c r="D1078" s="62"/>
      <c r="E1078" s="345"/>
      <c r="F1078" s="345"/>
      <c r="G1078" s="113"/>
      <c r="H1078" s="113"/>
      <c r="I1078" s="114"/>
      <c r="J1078" s="114"/>
      <c r="K1078" s="114"/>
      <c r="L1078" s="81"/>
      <c r="M1078" s="265" t="b">
        <f>NOT(ISERROR(ResultsInd[[#This Row],[Goal-A]]+ResultsInd[[#This Row],[Goal-B]]))</f>
        <v>1</v>
      </c>
      <c r="N1078" s="265">
        <f>VALUE(ResultsInd[[#This Row],[Score-A]])</f>
        <v>0</v>
      </c>
      <c r="O1078" s="265">
        <f>VALUE(ResultsInd[[#This Row],[Score-B]])</f>
        <v>0</v>
      </c>
      <c r="P1078" s="265" t="str">
        <f ca="1">IF(AND(ResultsInd[[#This Row],[Category]]&lt;&gt;"",ResultsInd[[#This Row],[Player A]]&lt;&gt;""),COUNTIF(INDIRECT(ResultsInd[[#This Row],[Category]]&amp;"List[Retained Player Name]"),ResultsInd[[#This Row],[Player A]]),"")</f>
        <v/>
      </c>
      <c r="Q1078" s="265" t="str">
        <f ca="1">IF(AND(ResultsInd[[#This Row],[Category]]&lt;&gt;"",ResultsInd[[#This Row],[Player B]]&lt;&gt;""),COUNTIF(INDIRECT(ResultsInd[[#This Row],[Category]]&amp;"List[Retained Player Name]"),ResultsInd[[#This Row],[Player B]]),"")</f>
        <v/>
      </c>
      <c r="R10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8" s="265" t="str">
        <f>IF(ResultsInd[[#This Row],[Score_OK]],IF(ResultsInd[[#This Row],[Stage]]="Groups",ResultsInd[[#This Row],[Category]]&amp;"-"&amp;IF(ResultsInd[[#This Row],[Player B]]="","",IF(ResultsInd[[#This Row],[Score-A]]=ResultsInd[[#This Row],[Score-B]],ResultsInd[[#This Row],[Player A]],"")),""),"")</f>
        <v/>
      </c>
      <c r="T1078" s="265" t="str">
        <f>IF(ResultsInd[[#This Row],[Score_OK]],IF(ResultsInd[[#This Row],[Stage]]="Groups",ResultsInd[[#This Row],[Category]]&amp;"-"&amp;IF(ResultsInd[[#This Row],[Player B]]="","",IF(ResultsInd[[#This Row],[Score-A]]=ResultsInd[[#This Row],[Score-B]],ResultsInd[[#This Row],[Player B]],"")),""),"")</f>
        <v/>
      </c>
      <c r="U10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8" s="264" t="str">
        <f>IF(ResultsInd[[#This Row],[Category]]="","",VLOOKUP(ResultsInd[[#This Row],[Stage]],$P$1:$V$9,MATCH(ResultsInd[[#This Row],[Category]],$Q$1:$V$1,0)+1,FALSE))</f>
        <v/>
      </c>
      <c r="Z1078" s="264" t="str">
        <f>IF(ResultsInd[[#This Row],[Score_OK]],IF(ResultsInd[[#This Row],[Level]]="R",ResultsInd[[#This Row],[Category]]&amp;"-"&amp;IF(ResultsInd[[#This Row],[LoseInKO]]=ResultsInd[[#This Row],[Category]]&amp;"-"&amp;ResultsInd[[#This Row],[Player A]],ResultsInd[[#This Row],[Player B]],ResultsInd[[#This Row],[Player A]]),""),"")</f>
        <v/>
      </c>
      <c r="AB1078" s="8"/>
      <c r="AC1078" s="8"/>
      <c r="AE1078" s="90"/>
      <c r="AF1078" s="90"/>
      <c r="AP1078" s="8"/>
      <c r="AQ1078" s="8"/>
      <c r="AR1078" s="8"/>
      <c r="AS1078" s="8"/>
      <c r="AT1078" s="8"/>
      <c r="AU1078" s="8"/>
      <c r="AV1078" s="8"/>
      <c r="AW1078" s="8"/>
      <c r="AX1078" s="8"/>
      <c r="AY1078" s="90"/>
      <c r="AZ1078" s="90"/>
      <c r="BA1078" s="90"/>
      <c r="BB1078" s="90"/>
      <c r="BC1078" s="90"/>
      <c r="BD1078" s="90"/>
      <c r="BE1078" s="90"/>
      <c r="BF1078" s="90"/>
    </row>
    <row r="1079" spans="1:58" x14ac:dyDescent="0.2">
      <c r="A1079" s="62"/>
      <c r="B1079" s="62"/>
      <c r="C1079" s="62"/>
      <c r="D1079" s="62"/>
      <c r="E1079" s="345"/>
      <c r="F1079" s="345"/>
      <c r="G1079" s="113"/>
      <c r="H1079" s="113"/>
      <c r="I1079" s="114"/>
      <c r="J1079" s="114"/>
      <c r="K1079" s="114"/>
      <c r="L1079" s="81"/>
      <c r="M1079" s="265" t="b">
        <f>NOT(ISERROR(ResultsInd[[#This Row],[Goal-A]]+ResultsInd[[#This Row],[Goal-B]]))</f>
        <v>1</v>
      </c>
      <c r="N1079" s="265">
        <f>VALUE(ResultsInd[[#This Row],[Score-A]])</f>
        <v>0</v>
      </c>
      <c r="O1079" s="265">
        <f>VALUE(ResultsInd[[#This Row],[Score-B]])</f>
        <v>0</v>
      </c>
      <c r="P1079" s="265" t="str">
        <f ca="1">IF(AND(ResultsInd[[#This Row],[Category]]&lt;&gt;"",ResultsInd[[#This Row],[Player A]]&lt;&gt;""),COUNTIF(INDIRECT(ResultsInd[[#This Row],[Category]]&amp;"List[Retained Player Name]"),ResultsInd[[#This Row],[Player A]]),"")</f>
        <v/>
      </c>
      <c r="Q1079" s="265" t="str">
        <f ca="1">IF(AND(ResultsInd[[#This Row],[Category]]&lt;&gt;"",ResultsInd[[#This Row],[Player B]]&lt;&gt;""),COUNTIF(INDIRECT(ResultsInd[[#This Row],[Category]]&amp;"List[Retained Player Name]"),ResultsInd[[#This Row],[Player B]]),"")</f>
        <v/>
      </c>
      <c r="R10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9" s="265" t="str">
        <f>IF(ResultsInd[[#This Row],[Score_OK]],IF(ResultsInd[[#This Row],[Stage]]="Groups",ResultsInd[[#This Row],[Category]]&amp;"-"&amp;IF(ResultsInd[[#This Row],[Player B]]="","",IF(ResultsInd[[#This Row],[Score-A]]=ResultsInd[[#This Row],[Score-B]],ResultsInd[[#This Row],[Player A]],"")),""),"")</f>
        <v/>
      </c>
      <c r="T1079" s="265" t="str">
        <f>IF(ResultsInd[[#This Row],[Score_OK]],IF(ResultsInd[[#This Row],[Stage]]="Groups",ResultsInd[[#This Row],[Category]]&amp;"-"&amp;IF(ResultsInd[[#This Row],[Player B]]="","",IF(ResultsInd[[#This Row],[Score-A]]=ResultsInd[[#This Row],[Score-B]],ResultsInd[[#This Row],[Player B]],"")),""),"")</f>
        <v/>
      </c>
      <c r="U10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9" s="264" t="str">
        <f>IF(ResultsInd[[#This Row],[Category]]="","",VLOOKUP(ResultsInd[[#This Row],[Stage]],$P$1:$V$9,MATCH(ResultsInd[[#This Row],[Category]],$Q$1:$V$1,0)+1,FALSE))</f>
        <v/>
      </c>
      <c r="Z1079" s="264" t="str">
        <f>IF(ResultsInd[[#This Row],[Score_OK]],IF(ResultsInd[[#This Row],[Level]]="R",ResultsInd[[#This Row],[Category]]&amp;"-"&amp;IF(ResultsInd[[#This Row],[LoseInKO]]=ResultsInd[[#This Row],[Category]]&amp;"-"&amp;ResultsInd[[#This Row],[Player A]],ResultsInd[[#This Row],[Player B]],ResultsInd[[#This Row],[Player A]]),""),"")</f>
        <v/>
      </c>
      <c r="AB1079" s="8"/>
      <c r="AC1079" s="8"/>
      <c r="AE1079" s="90"/>
      <c r="AF1079" s="90"/>
      <c r="AP1079" s="8"/>
      <c r="AQ1079" s="8"/>
      <c r="AR1079" s="8"/>
      <c r="AS1079" s="8"/>
      <c r="AT1079" s="8"/>
      <c r="AU1079" s="8"/>
      <c r="AV1079" s="8"/>
      <c r="AW1079" s="8"/>
      <c r="AX1079" s="8"/>
      <c r="AY1079" s="90"/>
      <c r="AZ1079" s="90"/>
      <c r="BA1079" s="90"/>
      <c r="BB1079" s="90"/>
      <c r="BC1079" s="90"/>
      <c r="BD1079" s="90"/>
      <c r="BE1079" s="90"/>
      <c r="BF1079" s="90"/>
    </row>
    <row r="1080" spans="1:58" x14ac:dyDescent="0.2">
      <c r="A1080" s="62"/>
      <c r="B1080" s="62"/>
      <c r="C1080" s="62"/>
      <c r="D1080" s="62"/>
      <c r="E1080" s="345"/>
      <c r="F1080" s="345"/>
      <c r="G1080" s="113"/>
      <c r="H1080" s="113"/>
      <c r="I1080" s="114"/>
      <c r="J1080" s="114"/>
      <c r="K1080" s="114"/>
      <c r="L1080" s="81"/>
      <c r="M1080" s="265" t="b">
        <f>NOT(ISERROR(ResultsInd[[#This Row],[Goal-A]]+ResultsInd[[#This Row],[Goal-B]]))</f>
        <v>1</v>
      </c>
      <c r="N1080" s="265">
        <f>VALUE(ResultsInd[[#This Row],[Score-A]])</f>
        <v>0</v>
      </c>
      <c r="O1080" s="265">
        <f>VALUE(ResultsInd[[#This Row],[Score-B]])</f>
        <v>0</v>
      </c>
      <c r="P1080" s="265" t="str">
        <f ca="1">IF(AND(ResultsInd[[#This Row],[Category]]&lt;&gt;"",ResultsInd[[#This Row],[Player A]]&lt;&gt;""),COUNTIF(INDIRECT(ResultsInd[[#This Row],[Category]]&amp;"List[Retained Player Name]"),ResultsInd[[#This Row],[Player A]]),"")</f>
        <v/>
      </c>
      <c r="Q1080" s="265" t="str">
        <f ca="1">IF(AND(ResultsInd[[#This Row],[Category]]&lt;&gt;"",ResultsInd[[#This Row],[Player B]]&lt;&gt;""),COUNTIF(INDIRECT(ResultsInd[[#This Row],[Category]]&amp;"List[Retained Player Name]"),ResultsInd[[#This Row],[Player B]]),"")</f>
        <v/>
      </c>
      <c r="R10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0" s="265" t="str">
        <f>IF(ResultsInd[[#This Row],[Score_OK]],IF(ResultsInd[[#This Row],[Stage]]="Groups",ResultsInd[[#This Row],[Category]]&amp;"-"&amp;IF(ResultsInd[[#This Row],[Player B]]="","",IF(ResultsInd[[#This Row],[Score-A]]=ResultsInd[[#This Row],[Score-B]],ResultsInd[[#This Row],[Player A]],"")),""),"")</f>
        <v/>
      </c>
      <c r="T1080" s="265" t="str">
        <f>IF(ResultsInd[[#This Row],[Score_OK]],IF(ResultsInd[[#This Row],[Stage]]="Groups",ResultsInd[[#This Row],[Category]]&amp;"-"&amp;IF(ResultsInd[[#This Row],[Player B]]="","",IF(ResultsInd[[#This Row],[Score-A]]=ResultsInd[[#This Row],[Score-B]],ResultsInd[[#This Row],[Player B]],"")),""),"")</f>
        <v/>
      </c>
      <c r="U10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0" s="264" t="str">
        <f>IF(ResultsInd[[#This Row],[Category]]="","",VLOOKUP(ResultsInd[[#This Row],[Stage]],$P$1:$V$9,MATCH(ResultsInd[[#This Row],[Category]],$Q$1:$V$1,0)+1,FALSE))</f>
        <v/>
      </c>
      <c r="Z1080" s="264" t="str">
        <f>IF(ResultsInd[[#This Row],[Score_OK]],IF(ResultsInd[[#This Row],[Level]]="R",ResultsInd[[#This Row],[Category]]&amp;"-"&amp;IF(ResultsInd[[#This Row],[LoseInKO]]=ResultsInd[[#This Row],[Category]]&amp;"-"&amp;ResultsInd[[#This Row],[Player A]],ResultsInd[[#This Row],[Player B]],ResultsInd[[#This Row],[Player A]]),""),"")</f>
        <v/>
      </c>
      <c r="AB1080" s="8"/>
      <c r="AC1080" s="8"/>
      <c r="AE1080" s="90"/>
      <c r="AF1080" s="90"/>
      <c r="AP1080" s="8"/>
      <c r="AQ1080" s="8"/>
      <c r="AR1080" s="8"/>
      <c r="AS1080" s="8"/>
      <c r="AT1080" s="8"/>
      <c r="AU1080" s="8"/>
      <c r="AV1080" s="8"/>
      <c r="AW1080" s="8"/>
      <c r="AX1080" s="8"/>
      <c r="AY1080" s="90"/>
      <c r="AZ1080" s="90"/>
      <c r="BA1080" s="90"/>
      <c r="BB1080" s="90"/>
      <c r="BC1080" s="90"/>
      <c r="BD1080" s="90"/>
      <c r="BE1080" s="90"/>
      <c r="BF1080" s="90"/>
    </row>
    <row r="1081" spans="1:58" x14ac:dyDescent="0.2">
      <c r="A1081" s="62"/>
      <c r="B1081" s="62"/>
      <c r="C1081" s="62"/>
      <c r="D1081" s="62"/>
      <c r="E1081" s="345"/>
      <c r="F1081" s="345"/>
      <c r="G1081" s="113"/>
      <c r="H1081" s="113"/>
      <c r="I1081" s="114"/>
      <c r="J1081" s="114"/>
      <c r="K1081" s="114"/>
      <c r="L1081" s="81"/>
      <c r="M1081" s="265" t="b">
        <f>NOT(ISERROR(ResultsInd[[#This Row],[Goal-A]]+ResultsInd[[#This Row],[Goal-B]]))</f>
        <v>1</v>
      </c>
      <c r="N1081" s="265">
        <f>VALUE(ResultsInd[[#This Row],[Score-A]])</f>
        <v>0</v>
      </c>
      <c r="O1081" s="265">
        <f>VALUE(ResultsInd[[#This Row],[Score-B]])</f>
        <v>0</v>
      </c>
      <c r="P1081" s="265" t="str">
        <f ca="1">IF(AND(ResultsInd[[#This Row],[Category]]&lt;&gt;"",ResultsInd[[#This Row],[Player A]]&lt;&gt;""),COUNTIF(INDIRECT(ResultsInd[[#This Row],[Category]]&amp;"List[Retained Player Name]"),ResultsInd[[#This Row],[Player A]]),"")</f>
        <v/>
      </c>
      <c r="Q1081" s="265" t="str">
        <f ca="1">IF(AND(ResultsInd[[#This Row],[Category]]&lt;&gt;"",ResultsInd[[#This Row],[Player B]]&lt;&gt;""),COUNTIF(INDIRECT(ResultsInd[[#This Row],[Category]]&amp;"List[Retained Player Name]"),ResultsInd[[#This Row],[Player B]]),"")</f>
        <v/>
      </c>
      <c r="R10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1" s="265" t="str">
        <f>IF(ResultsInd[[#This Row],[Score_OK]],IF(ResultsInd[[#This Row],[Stage]]="Groups",ResultsInd[[#This Row],[Category]]&amp;"-"&amp;IF(ResultsInd[[#This Row],[Player B]]="","",IF(ResultsInd[[#This Row],[Score-A]]=ResultsInd[[#This Row],[Score-B]],ResultsInd[[#This Row],[Player A]],"")),""),"")</f>
        <v/>
      </c>
      <c r="T1081" s="265" t="str">
        <f>IF(ResultsInd[[#This Row],[Score_OK]],IF(ResultsInd[[#This Row],[Stage]]="Groups",ResultsInd[[#This Row],[Category]]&amp;"-"&amp;IF(ResultsInd[[#This Row],[Player B]]="","",IF(ResultsInd[[#This Row],[Score-A]]=ResultsInd[[#This Row],[Score-B]],ResultsInd[[#This Row],[Player B]],"")),""),"")</f>
        <v/>
      </c>
      <c r="U10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1" s="264" t="str">
        <f>IF(ResultsInd[[#This Row],[Category]]="","",VLOOKUP(ResultsInd[[#This Row],[Stage]],$P$1:$V$9,MATCH(ResultsInd[[#This Row],[Category]],$Q$1:$V$1,0)+1,FALSE))</f>
        <v/>
      </c>
      <c r="Z1081" s="264" t="str">
        <f>IF(ResultsInd[[#This Row],[Score_OK]],IF(ResultsInd[[#This Row],[Level]]="R",ResultsInd[[#This Row],[Category]]&amp;"-"&amp;IF(ResultsInd[[#This Row],[LoseInKO]]=ResultsInd[[#This Row],[Category]]&amp;"-"&amp;ResultsInd[[#This Row],[Player A]],ResultsInd[[#This Row],[Player B]],ResultsInd[[#This Row],[Player A]]),""),"")</f>
        <v/>
      </c>
      <c r="AB1081" s="8"/>
      <c r="AC1081" s="8"/>
      <c r="AE1081" s="90"/>
      <c r="AF1081" s="90"/>
      <c r="AP1081" s="8"/>
      <c r="AQ1081" s="8"/>
      <c r="AR1081" s="8"/>
      <c r="AS1081" s="8"/>
      <c r="AT1081" s="8"/>
      <c r="AU1081" s="8"/>
      <c r="AV1081" s="8"/>
      <c r="AW1081" s="8"/>
      <c r="AX1081" s="8"/>
      <c r="AY1081" s="90"/>
      <c r="AZ1081" s="90"/>
      <c r="BA1081" s="90"/>
      <c r="BB1081" s="90"/>
      <c r="BC1081" s="90"/>
      <c r="BD1081" s="90"/>
      <c r="BE1081" s="90"/>
      <c r="BF1081" s="90"/>
    </row>
    <row r="1082" spans="1:58" x14ac:dyDescent="0.2">
      <c r="A1082" s="62"/>
      <c r="B1082" s="62"/>
      <c r="C1082" s="62"/>
      <c r="D1082" s="62"/>
      <c r="E1082" s="345"/>
      <c r="F1082" s="345"/>
      <c r="G1082" s="113"/>
      <c r="H1082" s="113"/>
      <c r="I1082" s="114"/>
      <c r="J1082" s="114"/>
      <c r="K1082" s="114"/>
      <c r="L1082" s="81"/>
      <c r="M1082" s="265" t="b">
        <f>NOT(ISERROR(ResultsInd[[#This Row],[Goal-A]]+ResultsInd[[#This Row],[Goal-B]]))</f>
        <v>1</v>
      </c>
      <c r="N1082" s="265">
        <f>VALUE(ResultsInd[[#This Row],[Score-A]])</f>
        <v>0</v>
      </c>
      <c r="O1082" s="265">
        <f>VALUE(ResultsInd[[#This Row],[Score-B]])</f>
        <v>0</v>
      </c>
      <c r="P1082" s="265" t="str">
        <f ca="1">IF(AND(ResultsInd[[#This Row],[Category]]&lt;&gt;"",ResultsInd[[#This Row],[Player A]]&lt;&gt;""),COUNTIF(INDIRECT(ResultsInd[[#This Row],[Category]]&amp;"List[Retained Player Name]"),ResultsInd[[#This Row],[Player A]]),"")</f>
        <v/>
      </c>
      <c r="Q1082" s="265" t="str">
        <f ca="1">IF(AND(ResultsInd[[#This Row],[Category]]&lt;&gt;"",ResultsInd[[#This Row],[Player B]]&lt;&gt;""),COUNTIF(INDIRECT(ResultsInd[[#This Row],[Category]]&amp;"List[Retained Player Name]"),ResultsInd[[#This Row],[Player B]]),"")</f>
        <v/>
      </c>
      <c r="R10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2" s="265" t="str">
        <f>IF(ResultsInd[[#This Row],[Score_OK]],IF(ResultsInd[[#This Row],[Stage]]="Groups",ResultsInd[[#This Row],[Category]]&amp;"-"&amp;IF(ResultsInd[[#This Row],[Player B]]="","",IF(ResultsInd[[#This Row],[Score-A]]=ResultsInd[[#This Row],[Score-B]],ResultsInd[[#This Row],[Player A]],"")),""),"")</f>
        <v/>
      </c>
      <c r="T1082" s="265" t="str">
        <f>IF(ResultsInd[[#This Row],[Score_OK]],IF(ResultsInd[[#This Row],[Stage]]="Groups",ResultsInd[[#This Row],[Category]]&amp;"-"&amp;IF(ResultsInd[[#This Row],[Player B]]="","",IF(ResultsInd[[#This Row],[Score-A]]=ResultsInd[[#This Row],[Score-B]],ResultsInd[[#This Row],[Player B]],"")),""),"")</f>
        <v/>
      </c>
      <c r="U10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2" s="264" t="str">
        <f>IF(ResultsInd[[#This Row],[Category]]="","",VLOOKUP(ResultsInd[[#This Row],[Stage]],$P$1:$V$9,MATCH(ResultsInd[[#This Row],[Category]],$Q$1:$V$1,0)+1,FALSE))</f>
        <v/>
      </c>
      <c r="Z1082" s="264" t="str">
        <f>IF(ResultsInd[[#This Row],[Score_OK]],IF(ResultsInd[[#This Row],[Level]]="R",ResultsInd[[#This Row],[Category]]&amp;"-"&amp;IF(ResultsInd[[#This Row],[LoseInKO]]=ResultsInd[[#This Row],[Category]]&amp;"-"&amp;ResultsInd[[#This Row],[Player A]],ResultsInd[[#This Row],[Player B]],ResultsInd[[#This Row],[Player A]]),""),"")</f>
        <v/>
      </c>
      <c r="AB1082" s="8"/>
      <c r="AC1082" s="8"/>
      <c r="AE1082" s="90"/>
      <c r="AF1082" s="90"/>
      <c r="AP1082" s="8"/>
      <c r="AQ1082" s="8"/>
      <c r="AR1082" s="8"/>
      <c r="AS1082" s="8"/>
      <c r="AT1082" s="8"/>
      <c r="AU1082" s="8"/>
      <c r="AV1082" s="8"/>
      <c r="AW1082" s="8"/>
      <c r="AX1082" s="8"/>
      <c r="AY1082" s="90"/>
      <c r="AZ1082" s="90"/>
      <c r="BA1082" s="90"/>
      <c r="BB1082" s="90"/>
      <c r="BC1082" s="90"/>
      <c r="BD1082" s="90"/>
      <c r="BE1082" s="90"/>
      <c r="BF1082" s="90"/>
    </row>
    <row r="1083" spans="1:58" x14ac:dyDescent="0.2">
      <c r="A1083" s="62"/>
      <c r="B1083" s="62"/>
      <c r="C1083" s="62"/>
      <c r="D1083" s="62"/>
      <c r="E1083" s="345"/>
      <c r="F1083" s="345"/>
      <c r="G1083" s="113"/>
      <c r="H1083" s="113"/>
      <c r="I1083" s="114"/>
      <c r="J1083" s="114"/>
      <c r="K1083" s="114"/>
      <c r="L1083" s="81"/>
      <c r="M1083" s="265" t="b">
        <f>NOT(ISERROR(ResultsInd[[#This Row],[Goal-A]]+ResultsInd[[#This Row],[Goal-B]]))</f>
        <v>1</v>
      </c>
      <c r="N1083" s="265">
        <f>VALUE(ResultsInd[[#This Row],[Score-A]])</f>
        <v>0</v>
      </c>
      <c r="O1083" s="265">
        <f>VALUE(ResultsInd[[#This Row],[Score-B]])</f>
        <v>0</v>
      </c>
      <c r="P1083" s="265" t="str">
        <f ca="1">IF(AND(ResultsInd[[#This Row],[Category]]&lt;&gt;"",ResultsInd[[#This Row],[Player A]]&lt;&gt;""),COUNTIF(INDIRECT(ResultsInd[[#This Row],[Category]]&amp;"List[Retained Player Name]"),ResultsInd[[#This Row],[Player A]]),"")</f>
        <v/>
      </c>
      <c r="Q1083" s="265" t="str">
        <f ca="1">IF(AND(ResultsInd[[#This Row],[Category]]&lt;&gt;"",ResultsInd[[#This Row],[Player B]]&lt;&gt;""),COUNTIF(INDIRECT(ResultsInd[[#This Row],[Category]]&amp;"List[Retained Player Name]"),ResultsInd[[#This Row],[Player B]]),"")</f>
        <v/>
      </c>
      <c r="R10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3" s="265" t="str">
        <f>IF(ResultsInd[[#This Row],[Score_OK]],IF(ResultsInd[[#This Row],[Stage]]="Groups",ResultsInd[[#This Row],[Category]]&amp;"-"&amp;IF(ResultsInd[[#This Row],[Player B]]="","",IF(ResultsInd[[#This Row],[Score-A]]=ResultsInd[[#This Row],[Score-B]],ResultsInd[[#This Row],[Player A]],"")),""),"")</f>
        <v/>
      </c>
      <c r="T1083" s="265" t="str">
        <f>IF(ResultsInd[[#This Row],[Score_OK]],IF(ResultsInd[[#This Row],[Stage]]="Groups",ResultsInd[[#This Row],[Category]]&amp;"-"&amp;IF(ResultsInd[[#This Row],[Player B]]="","",IF(ResultsInd[[#This Row],[Score-A]]=ResultsInd[[#This Row],[Score-B]],ResultsInd[[#This Row],[Player B]],"")),""),"")</f>
        <v/>
      </c>
      <c r="U10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3" s="264" t="str">
        <f>IF(ResultsInd[[#This Row],[Category]]="","",VLOOKUP(ResultsInd[[#This Row],[Stage]],$P$1:$V$9,MATCH(ResultsInd[[#This Row],[Category]],$Q$1:$V$1,0)+1,FALSE))</f>
        <v/>
      </c>
      <c r="Z1083" s="264" t="str">
        <f>IF(ResultsInd[[#This Row],[Score_OK]],IF(ResultsInd[[#This Row],[Level]]="R",ResultsInd[[#This Row],[Category]]&amp;"-"&amp;IF(ResultsInd[[#This Row],[LoseInKO]]=ResultsInd[[#This Row],[Category]]&amp;"-"&amp;ResultsInd[[#This Row],[Player A]],ResultsInd[[#This Row],[Player B]],ResultsInd[[#This Row],[Player A]]),""),"")</f>
        <v/>
      </c>
      <c r="AB1083" s="8"/>
      <c r="AC1083" s="8"/>
      <c r="AE1083" s="90"/>
      <c r="AF1083" s="90"/>
      <c r="AP1083" s="8"/>
      <c r="AQ1083" s="8"/>
      <c r="AR1083" s="8"/>
      <c r="AS1083" s="8"/>
      <c r="AT1083" s="8"/>
      <c r="AU1083" s="8"/>
      <c r="AV1083" s="8"/>
      <c r="AW1083" s="8"/>
      <c r="AX1083" s="8"/>
      <c r="AY1083" s="90"/>
      <c r="AZ1083" s="90"/>
      <c r="BA1083" s="90"/>
      <c r="BB1083" s="90"/>
      <c r="BC1083" s="90"/>
      <c r="BD1083" s="90"/>
      <c r="BE1083" s="90"/>
      <c r="BF1083" s="90"/>
    </row>
    <row r="1084" spans="1:58" x14ac:dyDescent="0.2">
      <c r="A1084" s="62"/>
      <c r="B1084" s="62"/>
      <c r="C1084" s="62"/>
      <c r="D1084" s="62"/>
      <c r="E1084" s="345"/>
      <c r="F1084" s="345"/>
      <c r="G1084" s="113"/>
      <c r="H1084" s="113"/>
      <c r="I1084" s="114"/>
      <c r="J1084" s="114"/>
      <c r="K1084" s="114"/>
      <c r="L1084" s="81"/>
      <c r="M1084" s="265" t="b">
        <f>NOT(ISERROR(ResultsInd[[#This Row],[Goal-A]]+ResultsInd[[#This Row],[Goal-B]]))</f>
        <v>1</v>
      </c>
      <c r="N1084" s="265">
        <f>VALUE(ResultsInd[[#This Row],[Score-A]])</f>
        <v>0</v>
      </c>
      <c r="O1084" s="265">
        <f>VALUE(ResultsInd[[#This Row],[Score-B]])</f>
        <v>0</v>
      </c>
      <c r="P1084" s="265" t="str">
        <f ca="1">IF(AND(ResultsInd[[#This Row],[Category]]&lt;&gt;"",ResultsInd[[#This Row],[Player A]]&lt;&gt;""),COUNTIF(INDIRECT(ResultsInd[[#This Row],[Category]]&amp;"List[Retained Player Name]"),ResultsInd[[#This Row],[Player A]]),"")</f>
        <v/>
      </c>
      <c r="Q1084" s="265" t="str">
        <f ca="1">IF(AND(ResultsInd[[#This Row],[Category]]&lt;&gt;"",ResultsInd[[#This Row],[Player B]]&lt;&gt;""),COUNTIF(INDIRECT(ResultsInd[[#This Row],[Category]]&amp;"List[Retained Player Name]"),ResultsInd[[#This Row],[Player B]]),"")</f>
        <v/>
      </c>
      <c r="R10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4" s="265" t="str">
        <f>IF(ResultsInd[[#This Row],[Score_OK]],IF(ResultsInd[[#This Row],[Stage]]="Groups",ResultsInd[[#This Row],[Category]]&amp;"-"&amp;IF(ResultsInd[[#This Row],[Player B]]="","",IF(ResultsInd[[#This Row],[Score-A]]=ResultsInd[[#This Row],[Score-B]],ResultsInd[[#This Row],[Player A]],"")),""),"")</f>
        <v/>
      </c>
      <c r="T1084" s="265" t="str">
        <f>IF(ResultsInd[[#This Row],[Score_OK]],IF(ResultsInd[[#This Row],[Stage]]="Groups",ResultsInd[[#This Row],[Category]]&amp;"-"&amp;IF(ResultsInd[[#This Row],[Player B]]="","",IF(ResultsInd[[#This Row],[Score-A]]=ResultsInd[[#This Row],[Score-B]],ResultsInd[[#This Row],[Player B]],"")),""),"")</f>
        <v/>
      </c>
      <c r="U10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4" s="264" t="str">
        <f>IF(ResultsInd[[#This Row],[Category]]="","",VLOOKUP(ResultsInd[[#This Row],[Stage]],$P$1:$V$9,MATCH(ResultsInd[[#This Row],[Category]],$Q$1:$V$1,0)+1,FALSE))</f>
        <v/>
      </c>
      <c r="Z1084" s="264" t="str">
        <f>IF(ResultsInd[[#This Row],[Score_OK]],IF(ResultsInd[[#This Row],[Level]]="R",ResultsInd[[#This Row],[Category]]&amp;"-"&amp;IF(ResultsInd[[#This Row],[LoseInKO]]=ResultsInd[[#This Row],[Category]]&amp;"-"&amp;ResultsInd[[#This Row],[Player A]],ResultsInd[[#This Row],[Player B]],ResultsInd[[#This Row],[Player A]]),""),"")</f>
        <v/>
      </c>
      <c r="AB1084" s="8"/>
      <c r="AC1084" s="8"/>
      <c r="AE1084" s="90"/>
      <c r="AF1084" s="90"/>
      <c r="AP1084" s="8"/>
      <c r="AQ1084" s="8"/>
      <c r="AR1084" s="8"/>
      <c r="AS1084" s="8"/>
      <c r="AT1084" s="8"/>
      <c r="AU1084" s="8"/>
      <c r="AV1084" s="8"/>
      <c r="AW1084" s="8"/>
      <c r="AX1084" s="8"/>
      <c r="AY1084" s="90"/>
      <c r="AZ1084" s="90"/>
      <c r="BA1084" s="90"/>
      <c r="BB1084" s="90"/>
      <c r="BC1084" s="90"/>
      <c r="BD1084" s="90"/>
      <c r="BE1084" s="90"/>
      <c r="BF1084" s="90"/>
    </row>
    <row r="1085" spans="1:58" x14ac:dyDescent="0.2">
      <c r="A1085" s="62"/>
      <c r="B1085" s="62"/>
      <c r="C1085" s="62"/>
      <c r="D1085" s="62"/>
      <c r="E1085" s="345"/>
      <c r="F1085" s="345"/>
      <c r="G1085" s="113"/>
      <c r="H1085" s="113"/>
      <c r="I1085" s="114"/>
      <c r="J1085" s="114"/>
      <c r="K1085" s="114"/>
      <c r="L1085" s="81"/>
      <c r="M1085" s="265" t="b">
        <f>NOT(ISERROR(ResultsInd[[#This Row],[Goal-A]]+ResultsInd[[#This Row],[Goal-B]]))</f>
        <v>1</v>
      </c>
      <c r="N1085" s="265">
        <f>VALUE(ResultsInd[[#This Row],[Score-A]])</f>
        <v>0</v>
      </c>
      <c r="O1085" s="265">
        <f>VALUE(ResultsInd[[#This Row],[Score-B]])</f>
        <v>0</v>
      </c>
      <c r="P1085" s="265" t="str">
        <f ca="1">IF(AND(ResultsInd[[#This Row],[Category]]&lt;&gt;"",ResultsInd[[#This Row],[Player A]]&lt;&gt;""),COUNTIF(INDIRECT(ResultsInd[[#This Row],[Category]]&amp;"List[Retained Player Name]"),ResultsInd[[#This Row],[Player A]]),"")</f>
        <v/>
      </c>
      <c r="Q1085" s="265" t="str">
        <f ca="1">IF(AND(ResultsInd[[#This Row],[Category]]&lt;&gt;"",ResultsInd[[#This Row],[Player B]]&lt;&gt;""),COUNTIF(INDIRECT(ResultsInd[[#This Row],[Category]]&amp;"List[Retained Player Name]"),ResultsInd[[#This Row],[Player B]]),"")</f>
        <v/>
      </c>
      <c r="R10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5" s="265" t="str">
        <f>IF(ResultsInd[[#This Row],[Score_OK]],IF(ResultsInd[[#This Row],[Stage]]="Groups",ResultsInd[[#This Row],[Category]]&amp;"-"&amp;IF(ResultsInd[[#This Row],[Player B]]="","",IF(ResultsInd[[#This Row],[Score-A]]=ResultsInd[[#This Row],[Score-B]],ResultsInd[[#This Row],[Player A]],"")),""),"")</f>
        <v/>
      </c>
      <c r="T1085" s="265" t="str">
        <f>IF(ResultsInd[[#This Row],[Score_OK]],IF(ResultsInd[[#This Row],[Stage]]="Groups",ResultsInd[[#This Row],[Category]]&amp;"-"&amp;IF(ResultsInd[[#This Row],[Player B]]="","",IF(ResultsInd[[#This Row],[Score-A]]=ResultsInd[[#This Row],[Score-B]],ResultsInd[[#This Row],[Player B]],"")),""),"")</f>
        <v/>
      </c>
      <c r="U10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5" s="264" t="str">
        <f>IF(ResultsInd[[#This Row],[Category]]="","",VLOOKUP(ResultsInd[[#This Row],[Stage]],$P$1:$V$9,MATCH(ResultsInd[[#This Row],[Category]],$Q$1:$V$1,0)+1,FALSE))</f>
        <v/>
      </c>
      <c r="Z1085" s="264" t="str">
        <f>IF(ResultsInd[[#This Row],[Score_OK]],IF(ResultsInd[[#This Row],[Level]]="R",ResultsInd[[#This Row],[Category]]&amp;"-"&amp;IF(ResultsInd[[#This Row],[LoseInKO]]=ResultsInd[[#This Row],[Category]]&amp;"-"&amp;ResultsInd[[#This Row],[Player A]],ResultsInd[[#This Row],[Player B]],ResultsInd[[#This Row],[Player A]]),""),"")</f>
        <v/>
      </c>
      <c r="AB1085" s="8"/>
      <c r="AC1085" s="8"/>
      <c r="AE1085" s="90"/>
      <c r="AF1085" s="90"/>
      <c r="AP1085" s="8"/>
      <c r="AQ1085" s="8"/>
      <c r="AR1085" s="8"/>
      <c r="AS1085" s="8"/>
      <c r="AT1085" s="8"/>
      <c r="AU1085" s="8"/>
      <c r="AV1085" s="8"/>
      <c r="AW1085" s="8"/>
      <c r="AX1085" s="8"/>
      <c r="AY1085" s="90"/>
      <c r="AZ1085" s="90"/>
      <c r="BA1085" s="90"/>
      <c r="BB1085" s="90"/>
      <c r="BC1085" s="90"/>
      <c r="BD1085" s="90"/>
      <c r="BE1085" s="90"/>
      <c r="BF1085" s="90"/>
    </row>
    <row r="1086" spans="1:58" x14ac:dyDescent="0.2">
      <c r="A1086" s="62"/>
      <c r="B1086" s="62"/>
      <c r="C1086" s="62"/>
      <c r="D1086" s="62"/>
      <c r="E1086" s="345"/>
      <c r="F1086" s="345"/>
      <c r="G1086" s="113"/>
      <c r="H1086" s="113"/>
      <c r="I1086" s="114"/>
      <c r="J1086" s="114"/>
      <c r="K1086" s="114"/>
      <c r="L1086" s="81"/>
      <c r="M1086" s="265" t="b">
        <f>NOT(ISERROR(ResultsInd[[#This Row],[Goal-A]]+ResultsInd[[#This Row],[Goal-B]]))</f>
        <v>1</v>
      </c>
      <c r="N1086" s="265">
        <f>VALUE(ResultsInd[[#This Row],[Score-A]])</f>
        <v>0</v>
      </c>
      <c r="O1086" s="265">
        <f>VALUE(ResultsInd[[#This Row],[Score-B]])</f>
        <v>0</v>
      </c>
      <c r="P1086" s="265" t="str">
        <f ca="1">IF(AND(ResultsInd[[#This Row],[Category]]&lt;&gt;"",ResultsInd[[#This Row],[Player A]]&lt;&gt;""),COUNTIF(INDIRECT(ResultsInd[[#This Row],[Category]]&amp;"List[Retained Player Name]"),ResultsInd[[#This Row],[Player A]]),"")</f>
        <v/>
      </c>
      <c r="Q1086" s="265" t="str">
        <f ca="1">IF(AND(ResultsInd[[#This Row],[Category]]&lt;&gt;"",ResultsInd[[#This Row],[Player B]]&lt;&gt;""),COUNTIF(INDIRECT(ResultsInd[[#This Row],[Category]]&amp;"List[Retained Player Name]"),ResultsInd[[#This Row],[Player B]]),"")</f>
        <v/>
      </c>
      <c r="R10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6" s="265" t="str">
        <f>IF(ResultsInd[[#This Row],[Score_OK]],IF(ResultsInd[[#This Row],[Stage]]="Groups",ResultsInd[[#This Row],[Category]]&amp;"-"&amp;IF(ResultsInd[[#This Row],[Player B]]="","",IF(ResultsInd[[#This Row],[Score-A]]=ResultsInd[[#This Row],[Score-B]],ResultsInd[[#This Row],[Player A]],"")),""),"")</f>
        <v/>
      </c>
      <c r="T1086" s="265" t="str">
        <f>IF(ResultsInd[[#This Row],[Score_OK]],IF(ResultsInd[[#This Row],[Stage]]="Groups",ResultsInd[[#This Row],[Category]]&amp;"-"&amp;IF(ResultsInd[[#This Row],[Player B]]="","",IF(ResultsInd[[#This Row],[Score-A]]=ResultsInd[[#This Row],[Score-B]],ResultsInd[[#This Row],[Player B]],"")),""),"")</f>
        <v/>
      </c>
      <c r="U10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6" s="264" t="str">
        <f>IF(ResultsInd[[#This Row],[Category]]="","",VLOOKUP(ResultsInd[[#This Row],[Stage]],$P$1:$V$9,MATCH(ResultsInd[[#This Row],[Category]],$Q$1:$V$1,0)+1,FALSE))</f>
        <v/>
      </c>
      <c r="Z1086" s="264" t="str">
        <f>IF(ResultsInd[[#This Row],[Score_OK]],IF(ResultsInd[[#This Row],[Level]]="R",ResultsInd[[#This Row],[Category]]&amp;"-"&amp;IF(ResultsInd[[#This Row],[LoseInKO]]=ResultsInd[[#This Row],[Category]]&amp;"-"&amp;ResultsInd[[#This Row],[Player A]],ResultsInd[[#This Row],[Player B]],ResultsInd[[#This Row],[Player A]]),""),"")</f>
        <v/>
      </c>
      <c r="AB1086" s="8"/>
      <c r="AC1086" s="8"/>
      <c r="AE1086" s="90"/>
      <c r="AF1086" s="90"/>
      <c r="AP1086" s="8"/>
      <c r="AQ1086" s="8"/>
      <c r="AR1086" s="8"/>
      <c r="AS1086" s="8"/>
      <c r="AT1086" s="8"/>
      <c r="AU1086" s="8"/>
      <c r="AV1086" s="8"/>
      <c r="AW1086" s="8"/>
      <c r="AX1086" s="8"/>
      <c r="AY1086" s="90"/>
      <c r="AZ1086" s="90"/>
      <c r="BA1086" s="90"/>
      <c r="BB1086" s="90"/>
      <c r="BC1086" s="90"/>
      <c r="BD1086" s="90"/>
      <c r="BE1086" s="90"/>
      <c r="BF1086" s="90"/>
    </row>
    <row r="1087" spans="1:58" x14ac:dyDescent="0.2">
      <c r="A1087" s="62"/>
      <c r="B1087" s="62"/>
      <c r="C1087" s="62"/>
      <c r="D1087" s="62"/>
      <c r="E1087" s="345"/>
      <c r="F1087" s="345"/>
      <c r="G1087" s="113"/>
      <c r="H1087" s="113"/>
      <c r="I1087" s="114"/>
      <c r="J1087" s="114"/>
      <c r="K1087" s="114"/>
      <c r="L1087" s="81"/>
      <c r="M1087" s="265" t="b">
        <f>NOT(ISERROR(ResultsInd[[#This Row],[Goal-A]]+ResultsInd[[#This Row],[Goal-B]]))</f>
        <v>1</v>
      </c>
      <c r="N1087" s="265">
        <f>VALUE(ResultsInd[[#This Row],[Score-A]])</f>
        <v>0</v>
      </c>
      <c r="O1087" s="265">
        <f>VALUE(ResultsInd[[#This Row],[Score-B]])</f>
        <v>0</v>
      </c>
      <c r="P1087" s="265" t="str">
        <f ca="1">IF(AND(ResultsInd[[#This Row],[Category]]&lt;&gt;"",ResultsInd[[#This Row],[Player A]]&lt;&gt;""),COUNTIF(INDIRECT(ResultsInd[[#This Row],[Category]]&amp;"List[Retained Player Name]"),ResultsInd[[#This Row],[Player A]]),"")</f>
        <v/>
      </c>
      <c r="Q1087" s="265" t="str">
        <f ca="1">IF(AND(ResultsInd[[#This Row],[Category]]&lt;&gt;"",ResultsInd[[#This Row],[Player B]]&lt;&gt;""),COUNTIF(INDIRECT(ResultsInd[[#This Row],[Category]]&amp;"List[Retained Player Name]"),ResultsInd[[#This Row],[Player B]]),"")</f>
        <v/>
      </c>
      <c r="R10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7" s="265" t="str">
        <f>IF(ResultsInd[[#This Row],[Score_OK]],IF(ResultsInd[[#This Row],[Stage]]="Groups",ResultsInd[[#This Row],[Category]]&amp;"-"&amp;IF(ResultsInd[[#This Row],[Player B]]="","",IF(ResultsInd[[#This Row],[Score-A]]=ResultsInd[[#This Row],[Score-B]],ResultsInd[[#This Row],[Player A]],"")),""),"")</f>
        <v/>
      </c>
      <c r="T1087" s="265" t="str">
        <f>IF(ResultsInd[[#This Row],[Score_OK]],IF(ResultsInd[[#This Row],[Stage]]="Groups",ResultsInd[[#This Row],[Category]]&amp;"-"&amp;IF(ResultsInd[[#This Row],[Player B]]="","",IF(ResultsInd[[#This Row],[Score-A]]=ResultsInd[[#This Row],[Score-B]],ResultsInd[[#This Row],[Player B]],"")),""),"")</f>
        <v/>
      </c>
      <c r="U10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7" s="264" t="str">
        <f>IF(ResultsInd[[#This Row],[Category]]="","",VLOOKUP(ResultsInd[[#This Row],[Stage]],$P$1:$V$9,MATCH(ResultsInd[[#This Row],[Category]],$Q$1:$V$1,0)+1,FALSE))</f>
        <v/>
      </c>
      <c r="Z1087" s="264" t="str">
        <f>IF(ResultsInd[[#This Row],[Score_OK]],IF(ResultsInd[[#This Row],[Level]]="R",ResultsInd[[#This Row],[Category]]&amp;"-"&amp;IF(ResultsInd[[#This Row],[LoseInKO]]=ResultsInd[[#This Row],[Category]]&amp;"-"&amp;ResultsInd[[#This Row],[Player A]],ResultsInd[[#This Row],[Player B]],ResultsInd[[#This Row],[Player A]]),""),"")</f>
        <v/>
      </c>
      <c r="AB1087" s="8"/>
      <c r="AC1087" s="8"/>
      <c r="AE1087" s="90"/>
      <c r="AF1087" s="90"/>
      <c r="AP1087" s="8"/>
      <c r="AQ1087" s="8"/>
      <c r="AR1087" s="8"/>
      <c r="AS1087" s="8"/>
      <c r="AT1087" s="8"/>
      <c r="AU1087" s="8"/>
      <c r="AV1087" s="8"/>
      <c r="AW1087" s="8"/>
      <c r="AX1087" s="8"/>
      <c r="AY1087" s="90"/>
      <c r="AZ1087" s="90"/>
      <c r="BA1087" s="90"/>
      <c r="BB1087" s="90"/>
      <c r="BC1087" s="90"/>
      <c r="BD1087" s="90"/>
      <c r="BE1087" s="90"/>
      <c r="BF1087" s="90"/>
    </row>
    <row r="1088" spans="1:58" x14ac:dyDescent="0.2">
      <c r="A1088" s="62"/>
      <c r="B1088" s="62"/>
      <c r="C1088" s="62"/>
      <c r="D1088" s="62"/>
      <c r="E1088" s="345"/>
      <c r="F1088" s="345"/>
      <c r="G1088" s="113"/>
      <c r="H1088" s="113"/>
      <c r="I1088" s="114"/>
      <c r="J1088" s="114"/>
      <c r="K1088" s="114"/>
      <c r="L1088" s="81"/>
      <c r="M1088" s="265" t="b">
        <f>NOT(ISERROR(ResultsInd[[#This Row],[Goal-A]]+ResultsInd[[#This Row],[Goal-B]]))</f>
        <v>1</v>
      </c>
      <c r="N1088" s="265">
        <f>VALUE(ResultsInd[[#This Row],[Score-A]])</f>
        <v>0</v>
      </c>
      <c r="O1088" s="265">
        <f>VALUE(ResultsInd[[#This Row],[Score-B]])</f>
        <v>0</v>
      </c>
      <c r="P1088" s="265" t="str">
        <f ca="1">IF(AND(ResultsInd[[#This Row],[Category]]&lt;&gt;"",ResultsInd[[#This Row],[Player A]]&lt;&gt;""),COUNTIF(INDIRECT(ResultsInd[[#This Row],[Category]]&amp;"List[Retained Player Name]"),ResultsInd[[#This Row],[Player A]]),"")</f>
        <v/>
      </c>
      <c r="Q1088" s="265" t="str">
        <f ca="1">IF(AND(ResultsInd[[#This Row],[Category]]&lt;&gt;"",ResultsInd[[#This Row],[Player B]]&lt;&gt;""),COUNTIF(INDIRECT(ResultsInd[[#This Row],[Category]]&amp;"List[Retained Player Name]"),ResultsInd[[#This Row],[Player B]]),"")</f>
        <v/>
      </c>
      <c r="R10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8" s="265" t="str">
        <f>IF(ResultsInd[[#This Row],[Score_OK]],IF(ResultsInd[[#This Row],[Stage]]="Groups",ResultsInd[[#This Row],[Category]]&amp;"-"&amp;IF(ResultsInd[[#This Row],[Player B]]="","",IF(ResultsInd[[#This Row],[Score-A]]=ResultsInd[[#This Row],[Score-B]],ResultsInd[[#This Row],[Player A]],"")),""),"")</f>
        <v/>
      </c>
      <c r="T1088" s="265" t="str">
        <f>IF(ResultsInd[[#This Row],[Score_OK]],IF(ResultsInd[[#This Row],[Stage]]="Groups",ResultsInd[[#This Row],[Category]]&amp;"-"&amp;IF(ResultsInd[[#This Row],[Player B]]="","",IF(ResultsInd[[#This Row],[Score-A]]=ResultsInd[[#This Row],[Score-B]],ResultsInd[[#This Row],[Player B]],"")),""),"")</f>
        <v/>
      </c>
      <c r="U10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8" s="264" t="str">
        <f>IF(ResultsInd[[#This Row],[Category]]="","",VLOOKUP(ResultsInd[[#This Row],[Stage]],$P$1:$V$9,MATCH(ResultsInd[[#This Row],[Category]],$Q$1:$V$1,0)+1,FALSE))</f>
        <v/>
      </c>
      <c r="Z1088" s="264" t="str">
        <f>IF(ResultsInd[[#This Row],[Score_OK]],IF(ResultsInd[[#This Row],[Level]]="R",ResultsInd[[#This Row],[Category]]&amp;"-"&amp;IF(ResultsInd[[#This Row],[LoseInKO]]=ResultsInd[[#This Row],[Category]]&amp;"-"&amp;ResultsInd[[#This Row],[Player A]],ResultsInd[[#This Row],[Player B]],ResultsInd[[#This Row],[Player A]]),""),"")</f>
        <v/>
      </c>
      <c r="AB1088" s="8"/>
      <c r="AC1088" s="8"/>
      <c r="AE1088" s="90"/>
      <c r="AF1088" s="90"/>
      <c r="AP1088" s="8"/>
      <c r="AQ1088" s="8"/>
      <c r="AR1088" s="8"/>
      <c r="AS1088" s="8"/>
      <c r="AT1088" s="8"/>
      <c r="AU1088" s="8"/>
      <c r="AV1088" s="8"/>
      <c r="AW1088" s="8"/>
      <c r="AX1088" s="8"/>
      <c r="AY1088" s="90"/>
      <c r="AZ1088" s="90"/>
      <c r="BA1088" s="90"/>
      <c r="BB1088" s="90"/>
      <c r="BC1088" s="90"/>
      <c r="BD1088" s="90"/>
      <c r="BE1088" s="90"/>
      <c r="BF1088" s="90"/>
    </row>
    <row r="1089" spans="1:58" x14ac:dyDescent="0.2">
      <c r="A1089" s="62"/>
      <c r="B1089" s="62"/>
      <c r="C1089" s="62"/>
      <c r="D1089" s="62"/>
      <c r="E1089" s="345"/>
      <c r="F1089" s="345"/>
      <c r="G1089" s="113"/>
      <c r="H1089" s="113"/>
      <c r="I1089" s="114"/>
      <c r="J1089" s="114"/>
      <c r="K1089" s="114"/>
      <c r="L1089" s="81"/>
      <c r="M1089" s="265" t="b">
        <f>NOT(ISERROR(ResultsInd[[#This Row],[Goal-A]]+ResultsInd[[#This Row],[Goal-B]]))</f>
        <v>1</v>
      </c>
      <c r="N1089" s="265">
        <f>VALUE(ResultsInd[[#This Row],[Score-A]])</f>
        <v>0</v>
      </c>
      <c r="O1089" s="265">
        <f>VALUE(ResultsInd[[#This Row],[Score-B]])</f>
        <v>0</v>
      </c>
      <c r="P1089" s="265" t="str">
        <f ca="1">IF(AND(ResultsInd[[#This Row],[Category]]&lt;&gt;"",ResultsInd[[#This Row],[Player A]]&lt;&gt;""),COUNTIF(INDIRECT(ResultsInd[[#This Row],[Category]]&amp;"List[Retained Player Name]"),ResultsInd[[#This Row],[Player A]]),"")</f>
        <v/>
      </c>
      <c r="Q1089" s="265" t="str">
        <f ca="1">IF(AND(ResultsInd[[#This Row],[Category]]&lt;&gt;"",ResultsInd[[#This Row],[Player B]]&lt;&gt;""),COUNTIF(INDIRECT(ResultsInd[[#This Row],[Category]]&amp;"List[Retained Player Name]"),ResultsInd[[#This Row],[Player B]]),"")</f>
        <v/>
      </c>
      <c r="R10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9" s="265" t="str">
        <f>IF(ResultsInd[[#This Row],[Score_OK]],IF(ResultsInd[[#This Row],[Stage]]="Groups",ResultsInd[[#This Row],[Category]]&amp;"-"&amp;IF(ResultsInd[[#This Row],[Player B]]="","",IF(ResultsInd[[#This Row],[Score-A]]=ResultsInd[[#This Row],[Score-B]],ResultsInd[[#This Row],[Player A]],"")),""),"")</f>
        <v/>
      </c>
      <c r="T1089" s="265" t="str">
        <f>IF(ResultsInd[[#This Row],[Score_OK]],IF(ResultsInd[[#This Row],[Stage]]="Groups",ResultsInd[[#This Row],[Category]]&amp;"-"&amp;IF(ResultsInd[[#This Row],[Player B]]="","",IF(ResultsInd[[#This Row],[Score-A]]=ResultsInd[[#This Row],[Score-B]],ResultsInd[[#This Row],[Player B]],"")),""),"")</f>
        <v/>
      </c>
      <c r="U10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9" s="264" t="str">
        <f>IF(ResultsInd[[#This Row],[Category]]="","",VLOOKUP(ResultsInd[[#This Row],[Stage]],$P$1:$V$9,MATCH(ResultsInd[[#This Row],[Category]],$Q$1:$V$1,0)+1,FALSE))</f>
        <v/>
      </c>
      <c r="Z1089" s="264" t="str">
        <f>IF(ResultsInd[[#This Row],[Score_OK]],IF(ResultsInd[[#This Row],[Level]]="R",ResultsInd[[#This Row],[Category]]&amp;"-"&amp;IF(ResultsInd[[#This Row],[LoseInKO]]=ResultsInd[[#This Row],[Category]]&amp;"-"&amp;ResultsInd[[#This Row],[Player A]],ResultsInd[[#This Row],[Player B]],ResultsInd[[#This Row],[Player A]]),""),"")</f>
        <v/>
      </c>
      <c r="AB1089" s="8"/>
      <c r="AC1089" s="8"/>
      <c r="AE1089" s="90"/>
      <c r="AF1089" s="90"/>
      <c r="AP1089" s="8"/>
      <c r="AQ1089" s="8"/>
      <c r="AR1089" s="8"/>
      <c r="AS1089" s="8"/>
      <c r="AT1089" s="8"/>
      <c r="AU1089" s="8"/>
      <c r="AV1089" s="8"/>
      <c r="AW1089" s="8"/>
      <c r="AX1089" s="8"/>
      <c r="AY1089" s="90"/>
      <c r="AZ1089" s="90"/>
      <c r="BA1089" s="90"/>
      <c r="BB1089" s="90"/>
      <c r="BC1089" s="90"/>
      <c r="BD1089" s="90"/>
      <c r="BE1089" s="90"/>
      <c r="BF1089" s="90"/>
    </row>
    <row r="1090" spans="1:58" x14ac:dyDescent="0.2">
      <c r="A1090" s="62"/>
      <c r="B1090" s="62"/>
      <c r="C1090" s="62"/>
      <c r="D1090" s="62"/>
      <c r="E1090" s="345"/>
      <c r="F1090" s="345"/>
      <c r="G1090" s="113"/>
      <c r="H1090" s="113"/>
      <c r="I1090" s="114"/>
      <c r="J1090" s="114"/>
      <c r="K1090" s="114"/>
      <c r="L1090" s="81"/>
      <c r="M1090" s="265" t="b">
        <f>NOT(ISERROR(ResultsInd[[#This Row],[Goal-A]]+ResultsInd[[#This Row],[Goal-B]]))</f>
        <v>1</v>
      </c>
      <c r="N1090" s="265">
        <f>VALUE(ResultsInd[[#This Row],[Score-A]])</f>
        <v>0</v>
      </c>
      <c r="O1090" s="265">
        <f>VALUE(ResultsInd[[#This Row],[Score-B]])</f>
        <v>0</v>
      </c>
      <c r="P1090" s="265" t="str">
        <f ca="1">IF(AND(ResultsInd[[#This Row],[Category]]&lt;&gt;"",ResultsInd[[#This Row],[Player A]]&lt;&gt;""),COUNTIF(INDIRECT(ResultsInd[[#This Row],[Category]]&amp;"List[Retained Player Name]"),ResultsInd[[#This Row],[Player A]]),"")</f>
        <v/>
      </c>
      <c r="Q1090" s="265" t="str">
        <f ca="1">IF(AND(ResultsInd[[#This Row],[Category]]&lt;&gt;"",ResultsInd[[#This Row],[Player B]]&lt;&gt;""),COUNTIF(INDIRECT(ResultsInd[[#This Row],[Category]]&amp;"List[Retained Player Name]"),ResultsInd[[#This Row],[Player B]]),"")</f>
        <v/>
      </c>
      <c r="R10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0" s="265" t="str">
        <f>IF(ResultsInd[[#This Row],[Score_OK]],IF(ResultsInd[[#This Row],[Stage]]="Groups",ResultsInd[[#This Row],[Category]]&amp;"-"&amp;IF(ResultsInd[[#This Row],[Player B]]="","",IF(ResultsInd[[#This Row],[Score-A]]=ResultsInd[[#This Row],[Score-B]],ResultsInd[[#This Row],[Player A]],"")),""),"")</f>
        <v/>
      </c>
      <c r="T1090" s="265" t="str">
        <f>IF(ResultsInd[[#This Row],[Score_OK]],IF(ResultsInd[[#This Row],[Stage]]="Groups",ResultsInd[[#This Row],[Category]]&amp;"-"&amp;IF(ResultsInd[[#This Row],[Player B]]="","",IF(ResultsInd[[#This Row],[Score-A]]=ResultsInd[[#This Row],[Score-B]],ResultsInd[[#This Row],[Player B]],"")),""),"")</f>
        <v/>
      </c>
      <c r="U10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0" s="264" t="str">
        <f>IF(ResultsInd[[#This Row],[Category]]="","",VLOOKUP(ResultsInd[[#This Row],[Stage]],$P$1:$V$9,MATCH(ResultsInd[[#This Row],[Category]],$Q$1:$V$1,0)+1,FALSE))</f>
        <v/>
      </c>
      <c r="Z1090" s="264" t="str">
        <f>IF(ResultsInd[[#This Row],[Score_OK]],IF(ResultsInd[[#This Row],[Level]]="R",ResultsInd[[#This Row],[Category]]&amp;"-"&amp;IF(ResultsInd[[#This Row],[LoseInKO]]=ResultsInd[[#This Row],[Category]]&amp;"-"&amp;ResultsInd[[#This Row],[Player A]],ResultsInd[[#This Row],[Player B]],ResultsInd[[#This Row],[Player A]]),""),"")</f>
        <v/>
      </c>
      <c r="AB1090" s="8"/>
      <c r="AC1090" s="8"/>
      <c r="AE1090" s="90"/>
      <c r="AF1090" s="90"/>
      <c r="AP1090" s="8"/>
      <c r="AQ1090" s="8"/>
      <c r="AR1090" s="8"/>
      <c r="AS1090" s="8"/>
      <c r="AT1090" s="8"/>
      <c r="AU1090" s="8"/>
      <c r="AV1090" s="8"/>
      <c r="AW1090" s="8"/>
      <c r="AX1090" s="8"/>
      <c r="AY1090" s="90"/>
      <c r="AZ1090" s="90"/>
      <c r="BA1090" s="90"/>
      <c r="BB1090" s="90"/>
      <c r="BC1090" s="90"/>
      <c r="BD1090" s="90"/>
      <c r="BE1090" s="90"/>
      <c r="BF1090" s="90"/>
    </row>
    <row r="1091" spans="1:58" x14ac:dyDescent="0.2">
      <c r="A1091" s="62"/>
      <c r="B1091" s="62"/>
      <c r="C1091" s="62"/>
      <c r="D1091" s="62"/>
      <c r="E1091" s="345"/>
      <c r="F1091" s="345"/>
      <c r="G1091" s="113"/>
      <c r="H1091" s="113"/>
      <c r="I1091" s="114"/>
      <c r="J1091" s="114"/>
      <c r="K1091" s="114"/>
      <c r="L1091" s="81"/>
      <c r="M1091" s="265" t="b">
        <f>NOT(ISERROR(ResultsInd[[#This Row],[Goal-A]]+ResultsInd[[#This Row],[Goal-B]]))</f>
        <v>1</v>
      </c>
      <c r="N1091" s="265">
        <f>VALUE(ResultsInd[[#This Row],[Score-A]])</f>
        <v>0</v>
      </c>
      <c r="O1091" s="265">
        <f>VALUE(ResultsInd[[#This Row],[Score-B]])</f>
        <v>0</v>
      </c>
      <c r="P1091" s="265" t="str">
        <f ca="1">IF(AND(ResultsInd[[#This Row],[Category]]&lt;&gt;"",ResultsInd[[#This Row],[Player A]]&lt;&gt;""),COUNTIF(INDIRECT(ResultsInd[[#This Row],[Category]]&amp;"List[Retained Player Name]"),ResultsInd[[#This Row],[Player A]]),"")</f>
        <v/>
      </c>
      <c r="Q1091" s="265" t="str">
        <f ca="1">IF(AND(ResultsInd[[#This Row],[Category]]&lt;&gt;"",ResultsInd[[#This Row],[Player B]]&lt;&gt;""),COUNTIF(INDIRECT(ResultsInd[[#This Row],[Category]]&amp;"List[Retained Player Name]"),ResultsInd[[#This Row],[Player B]]),"")</f>
        <v/>
      </c>
      <c r="R10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1" s="265" t="str">
        <f>IF(ResultsInd[[#This Row],[Score_OK]],IF(ResultsInd[[#This Row],[Stage]]="Groups",ResultsInd[[#This Row],[Category]]&amp;"-"&amp;IF(ResultsInd[[#This Row],[Player B]]="","",IF(ResultsInd[[#This Row],[Score-A]]=ResultsInd[[#This Row],[Score-B]],ResultsInd[[#This Row],[Player A]],"")),""),"")</f>
        <v/>
      </c>
      <c r="T1091" s="265" t="str">
        <f>IF(ResultsInd[[#This Row],[Score_OK]],IF(ResultsInd[[#This Row],[Stage]]="Groups",ResultsInd[[#This Row],[Category]]&amp;"-"&amp;IF(ResultsInd[[#This Row],[Player B]]="","",IF(ResultsInd[[#This Row],[Score-A]]=ResultsInd[[#This Row],[Score-B]],ResultsInd[[#This Row],[Player B]],"")),""),"")</f>
        <v/>
      </c>
      <c r="U10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1" s="264" t="str">
        <f>IF(ResultsInd[[#This Row],[Category]]="","",VLOOKUP(ResultsInd[[#This Row],[Stage]],$P$1:$V$9,MATCH(ResultsInd[[#This Row],[Category]],$Q$1:$V$1,0)+1,FALSE))</f>
        <v/>
      </c>
      <c r="Z1091" s="264" t="str">
        <f>IF(ResultsInd[[#This Row],[Score_OK]],IF(ResultsInd[[#This Row],[Level]]="R",ResultsInd[[#This Row],[Category]]&amp;"-"&amp;IF(ResultsInd[[#This Row],[LoseInKO]]=ResultsInd[[#This Row],[Category]]&amp;"-"&amp;ResultsInd[[#This Row],[Player A]],ResultsInd[[#This Row],[Player B]],ResultsInd[[#This Row],[Player A]]),""),"")</f>
        <v/>
      </c>
      <c r="AB1091" s="8"/>
      <c r="AC1091" s="8"/>
      <c r="AE1091" s="90"/>
      <c r="AF1091" s="90"/>
      <c r="AP1091" s="8"/>
      <c r="AQ1091" s="8"/>
      <c r="AR1091" s="8"/>
      <c r="AS1091" s="8"/>
      <c r="AT1091" s="8"/>
      <c r="AU1091" s="8"/>
      <c r="AV1091" s="8"/>
      <c r="AW1091" s="8"/>
      <c r="AX1091" s="8"/>
      <c r="AY1091" s="90"/>
      <c r="AZ1091" s="90"/>
      <c r="BA1091" s="90"/>
      <c r="BB1091" s="90"/>
      <c r="BC1091" s="90"/>
      <c r="BD1091" s="90"/>
      <c r="BE1091" s="90"/>
      <c r="BF1091" s="90"/>
    </row>
    <row r="1092" spans="1:58" x14ac:dyDescent="0.2">
      <c r="A1092" s="62"/>
      <c r="B1092" s="62"/>
      <c r="C1092" s="62"/>
      <c r="D1092" s="62"/>
      <c r="E1092" s="345"/>
      <c r="F1092" s="345"/>
      <c r="G1092" s="113"/>
      <c r="H1092" s="113"/>
      <c r="I1092" s="114"/>
      <c r="J1092" s="114"/>
      <c r="K1092" s="114"/>
      <c r="L1092" s="81"/>
      <c r="M1092" s="265" t="b">
        <f>NOT(ISERROR(ResultsInd[[#This Row],[Goal-A]]+ResultsInd[[#This Row],[Goal-B]]))</f>
        <v>1</v>
      </c>
      <c r="N1092" s="265">
        <f>VALUE(ResultsInd[[#This Row],[Score-A]])</f>
        <v>0</v>
      </c>
      <c r="O1092" s="265">
        <f>VALUE(ResultsInd[[#This Row],[Score-B]])</f>
        <v>0</v>
      </c>
      <c r="P1092" s="265" t="str">
        <f ca="1">IF(AND(ResultsInd[[#This Row],[Category]]&lt;&gt;"",ResultsInd[[#This Row],[Player A]]&lt;&gt;""),COUNTIF(INDIRECT(ResultsInd[[#This Row],[Category]]&amp;"List[Retained Player Name]"),ResultsInd[[#This Row],[Player A]]),"")</f>
        <v/>
      </c>
      <c r="Q1092" s="265" t="str">
        <f ca="1">IF(AND(ResultsInd[[#This Row],[Category]]&lt;&gt;"",ResultsInd[[#This Row],[Player B]]&lt;&gt;""),COUNTIF(INDIRECT(ResultsInd[[#This Row],[Category]]&amp;"List[Retained Player Name]"),ResultsInd[[#This Row],[Player B]]),"")</f>
        <v/>
      </c>
      <c r="R10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2" s="265" t="str">
        <f>IF(ResultsInd[[#This Row],[Score_OK]],IF(ResultsInd[[#This Row],[Stage]]="Groups",ResultsInd[[#This Row],[Category]]&amp;"-"&amp;IF(ResultsInd[[#This Row],[Player B]]="","",IF(ResultsInd[[#This Row],[Score-A]]=ResultsInd[[#This Row],[Score-B]],ResultsInd[[#This Row],[Player A]],"")),""),"")</f>
        <v/>
      </c>
      <c r="T1092" s="265" t="str">
        <f>IF(ResultsInd[[#This Row],[Score_OK]],IF(ResultsInd[[#This Row],[Stage]]="Groups",ResultsInd[[#This Row],[Category]]&amp;"-"&amp;IF(ResultsInd[[#This Row],[Player B]]="","",IF(ResultsInd[[#This Row],[Score-A]]=ResultsInd[[#This Row],[Score-B]],ResultsInd[[#This Row],[Player B]],"")),""),"")</f>
        <v/>
      </c>
      <c r="U10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2" s="264" t="str">
        <f>IF(ResultsInd[[#This Row],[Category]]="","",VLOOKUP(ResultsInd[[#This Row],[Stage]],$P$1:$V$9,MATCH(ResultsInd[[#This Row],[Category]],$Q$1:$V$1,0)+1,FALSE))</f>
        <v/>
      </c>
      <c r="Z1092" s="264" t="str">
        <f>IF(ResultsInd[[#This Row],[Score_OK]],IF(ResultsInd[[#This Row],[Level]]="R",ResultsInd[[#This Row],[Category]]&amp;"-"&amp;IF(ResultsInd[[#This Row],[LoseInKO]]=ResultsInd[[#This Row],[Category]]&amp;"-"&amp;ResultsInd[[#This Row],[Player A]],ResultsInd[[#This Row],[Player B]],ResultsInd[[#This Row],[Player A]]),""),"")</f>
        <v/>
      </c>
      <c r="AB1092" s="8"/>
      <c r="AC1092" s="8"/>
      <c r="AE1092" s="90"/>
      <c r="AF1092" s="90"/>
      <c r="AP1092" s="8"/>
      <c r="AQ1092" s="8"/>
      <c r="AR1092" s="8"/>
      <c r="AS1092" s="8"/>
      <c r="AT1092" s="8"/>
      <c r="AU1092" s="8"/>
      <c r="AV1092" s="8"/>
      <c r="AW1092" s="8"/>
      <c r="AX1092" s="8"/>
      <c r="AY1092" s="90"/>
      <c r="AZ1092" s="90"/>
      <c r="BA1092" s="90"/>
      <c r="BB1092" s="90"/>
      <c r="BC1092" s="90"/>
      <c r="BD1092" s="90"/>
      <c r="BE1092" s="90"/>
      <c r="BF1092" s="90"/>
    </row>
    <row r="1093" spans="1:58" x14ac:dyDescent="0.2">
      <c r="A1093" s="62"/>
      <c r="B1093" s="62"/>
      <c r="C1093" s="62"/>
      <c r="D1093" s="62"/>
      <c r="E1093" s="345"/>
      <c r="F1093" s="345"/>
      <c r="G1093" s="113"/>
      <c r="H1093" s="113"/>
      <c r="I1093" s="114"/>
      <c r="J1093" s="114"/>
      <c r="K1093" s="114"/>
      <c r="L1093" s="81"/>
      <c r="M1093" s="265" t="b">
        <f>NOT(ISERROR(ResultsInd[[#This Row],[Goal-A]]+ResultsInd[[#This Row],[Goal-B]]))</f>
        <v>1</v>
      </c>
      <c r="N1093" s="265">
        <f>VALUE(ResultsInd[[#This Row],[Score-A]])</f>
        <v>0</v>
      </c>
      <c r="O1093" s="265">
        <f>VALUE(ResultsInd[[#This Row],[Score-B]])</f>
        <v>0</v>
      </c>
      <c r="P1093" s="265" t="str">
        <f ca="1">IF(AND(ResultsInd[[#This Row],[Category]]&lt;&gt;"",ResultsInd[[#This Row],[Player A]]&lt;&gt;""),COUNTIF(INDIRECT(ResultsInd[[#This Row],[Category]]&amp;"List[Retained Player Name]"),ResultsInd[[#This Row],[Player A]]),"")</f>
        <v/>
      </c>
      <c r="Q1093" s="265" t="str">
        <f ca="1">IF(AND(ResultsInd[[#This Row],[Category]]&lt;&gt;"",ResultsInd[[#This Row],[Player B]]&lt;&gt;""),COUNTIF(INDIRECT(ResultsInd[[#This Row],[Category]]&amp;"List[Retained Player Name]"),ResultsInd[[#This Row],[Player B]]),"")</f>
        <v/>
      </c>
      <c r="R10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3" s="265" t="str">
        <f>IF(ResultsInd[[#This Row],[Score_OK]],IF(ResultsInd[[#This Row],[Stage]]="Groups",ResultsInd[[#This Row],[Category]]&amp;"-"&amp;IF(ResultsInd[[#This Row],[Player B]]="","",IF(ResultsInd[[#This Row],[Score-A]]=ResultsInd[[#This Row],[Score-B]],ResultsInd[[#This Row],[Player A]],"")),""),"")</f>
        <v/>
      </c>
      <c r="T1093" s="265" t="str">
        <f>IF(ResultsInd[[#This Row],[Score_OK]],IF(ResultsInd[[#This Row],[Stage]]="Groups",ResultsInd[[#This Row],[Category]]&amp;"-"&amp;IF(ResultsInd[[#This Row],[Player B]]="","",IF(ResultsInd[[#This Row],[Score-A]]=ResultsInd[[#This Row],[Score-B]],ResultsInd[[#This Row],[Player B]],"")),""),"")</f>
        <v/>
      </c>
      <c r="U10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3" s="264" t="str">
        <f>IF(ResultsInd[[#This Row],[Category]]="","",VLOOKUP(ResultsInd[[#This Row],[Stage]],$P$1:$V$9,MATCH(ResultsInd[[#This Row],[Category]],$Q$1:$V$1,0)+1,FALSE))</f>
        <v/>
      </c>
      <c r="Z1093" s="264" t="str">
        <f>IF(ResultsInd[[#This Row],[Score_OK]],IF(ResultsInd[[#This Row],[Level]]="R",ResultsInd[[#This Row],[Category]]&amp;"-"&amp;IF(ResultsInd[[#This Row],[LoseInKO]]=ResultsInd[[#This Row],[Category]]&amp;"-"&amp;ResultsInd[[#This Row],[Player A]],ResultsInd[[#This Row],[Player B]],ResultsInd[[#This Row],[Player A]]),""),"")</f>
        <v/>
      </c>
      <c r="AB1093" s="8"/>
      <c r="AC1093" s="8"/>
      <c r="AE1093" s="90"/>
      <c r="AF1093" s="90"/>
      <c r="AP1093" s="8"/>
      <c r="AQ1093" s="8"/>
      <c r="AR1093" s="8"/>
      <c r="AS1093" s="8"/>
      <c r="AT1093" s="8"/>
      <c r="AU1093" s="8"/>
      <c r="AV1093" s="8"/>
      <c r="AW1093" s="8"/>
      <c r="AX1093" s="8"/>
      <c r="AY1093" s="90"/>
      <c r="AZ1093" s="90"/>
      <c r="BA1093" s="90"/>
      <c r="BB1093" s="90"/>
      <c r="BC1093" s="90"/>
      <c r="BD1093" s="90"/>
      <c r="BE1093" s="90"/>
      <c r="BF1093" s="90"/>
    </row>
    <row r="1094" spans="1:58" x14ac:dyDescent="0.2">
      <c r="A1094" s="62"/>
      <c r="B1094" s="62"/>
      <c r="C1094" s="62"/>
      <c r="D1094" s="62"/>
      <c r="E1094" s="345"/>
      <c r="F1094" s="345"/>
      <c r="G1094" s="113"/>
      <c r="H1094" s="113"/>
      <c r="I1094" s="114"/>
      <c r="J1094" s="114"/>
      <c r="K1094" s="114"/>
      <c r="L1094" s="81"/>
      <c r="M1094" s="265" t="b">
        <f>NOT(ISERROR(ResultsInd[[#This Row],[Goal-A]]+ResultsInd[[#This Row],[Goal-B]]))</f>
        <v>1</v>
      </c>
      <c r="N1094" s="265">
        <f>VALUE(ResultsInd[[#This Row],[Score-A]])</f>
        <v>0</v>
      </c>
      <c r="O1094" s="265">
        <f>VALUE(ResultsInd[[#This Row],[Score-B]])</f>
        <v>0</v>
      </c>
      <c r="P1094" s="265" t="str">
        <f ca="1">IF(AND(ResultsInd[[#This Row],[Category]]&lt;&gt;"",ResultsInd[[#This Row],[Player A]]&lt;&gt;""),COUNTIF(INDIRECT(ResultsInd[[#This Row],[Category]]&amp;"List[Retained Player Name]"),ResultsInd[[#This Row],[Player A]]),"")</f>
        <v/>
      </c>
      <c r="Q1094" s="265" t="str">
        <f ca="1">IF(AND(ResultsInd[[#This Row],[Category]]&lt;&gt;"",ResultsInd[[#This Row],[Player B]]&lt;&gt;""),COUNTIF(INDIRECT(ResultsInd[[#This Row],[Category]]&amp;"List[Retained Player Name]"),ResultsInd[[#This Row],[Player B]]),"")</f>
        <v/>
      </c>
      <c r="R10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4" s="265" t="str">
        <f>IF(ResultsInd[[#This Row],[Score_OK]],IF(ResultsInd[[#This Row],[Stage]]="Groups",ResultsInd[[#This Row],[Category]]&amp;"-"&amp;IF(ResultsInd[[#This Row],[Player B]]="","",IF(ResultsInd[[#This Row],[Score-A]]=ResultsInd[[#This Row],[Score-B]],ResultsInd[[#This Row],[Player A]],"")),""),"")</f>
        <v/>
      </c>
      <c r="T1094" s="265" t="str">
        <f>IF(ResultsInd[[#This Row],[Score_OK]],IF(ResultsInd[[#This Row],[Stage]]="Groups",ResultsInd[[#This Row],[Category]]&amp;"-"&amp;IF(ResultsInd[[#This Row],[Player B]]="","",IF(ResultsInd[[#This Row],[Score-A]]=ResultsInd[[#This Row],[Score-B]],ResultsInd[[#This Row],[Player B]],"")),""),"")</f>
        <v/>
      </c>
      <c r="U10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4" s="264" t="str">
        <f>IF(ResultsInd[[#This Row],[Category]]="","",VLOOKUP(ResultsInd[[#This Row],[Stage]],$P$1:$V$9,MATCH(ResultsInd[[#This Row],[Category]],$Q$1:$V$1,0)+1,FALSE))</f>
        <v/>
      </c>
      <c r="Z1094" s="264" t="str">
        <f>IF(ResultsInd[[#This Row],[Score_OK]],IF(ResultsInd[[#This Row],[Level]]="R",ResultsInd[[#This Row],[Category]]&amp;"-"&amp;IF(ResultsInd[[#This Row],[LoseInKO]]=ResultsInd[[#This Row],[Category]]&amp;"-"&amp;ResultsInd[[#This Row],[Player A]],ResultsInd[[#This Row],[Player B]],ResultsInd[[#This Row],[Player A]]),""),"")</f>
        <v/>
      </c>
      <c r="AB1094" s="8"/>
      <c r="AC1094" s="8"/>
      <c r="AE1094" s="90"/>
      <c r="AF1094" s="90"/>
      <c r="AP1094" s="8"/>
      <c r="AQ1094" s="8"/>
      <c r="AR1094" s="8"/>
      <c r="AS1094" s="8"/>
      <c r="AT1094" s="8"/>
      <c r="AU1094" s="8"/>
      <c r="AV1094" s="8"/>
      <c r="AW1094" s="8"/>
      <c r="AX1094" s="8"/>
      <c r="AY1094" s="90"/>
      <c r="AZ1094" s="90"/>
      <c r="BA1094" s="90"/>
      <c r="BB1094" s="90"/>
      <c r="BC1094" s="90"/>
      <c r="BD1094" s="90"/>
      <c r="BE1094" s="90"/>
      <c r="BF1094" s="90"/>
    </row>
    <row r="1095" spans="1:58" x14ac:dyDescent="0.2">
      <c r="A1095" s="62"/>
      <c r="B1095" s="62"/>
      <c r="C1095" s="62"/>
      <c r="D1095" s="62"/>
      <c r="E1095" s="345"/>
      <c r="F1095" s="345"/>
      <c r="G1095" s="113"/>
      <c r="H1095" s="113"/>
      <c r="I1095" s="114"/>
      <c r="J1095" s="114"/>
      <c r="K1095" s="114"/>
      <c r="L1095" s="81"/>
      <c r="M1095" s="265" t="b">
        <f>NOT(ISERROR(ResultsInd[[#This Row],[Goal-A]]+ResultsInd[[#This Row],[Goal-B]]))</f>
        <v>1</v>
      </c>
      <c r="N1095" s="265">
        <f>VALUE(ResultsInd[[#This Row],[Score-A]])</f>
        <v>0</v>
      </c>
      <c r="O1095" s="265">
        <f>VALUE(ResultsInd[[#This Row],[Score-B]])</f>
        <v>0</v>
      </c>
      <c r="P1095" s="265" t="str">
        <f ca="1">IF(AND(ResultsInd[[#This Row],[Category]]&lt;&gt;"",ResultsInd[[#This Row],[Player A]]&lt;&gt;""),COUNTIF(INDIRECT(ResultsInd[[#This Row],[Category]]&amp;"List[Retained Player Name]"),ResultsInd[[#This Row],[Player A]]),"")</f>
        <v/>
      </c>
      <c r="Q1095" s="265" t="str">
        <f ca="1">IF(AND(ResultsInd[[#This Row],[Category]]&lt;&gt;"",ResultsInd[[#This Row],[Player B]]&lt;&gt;""),COUNTIF(INDIRECT(ResultsInd[[#This Row],[Category]]&amp;"List[Retained Player Name]"),ResultsInd[[#This Row],[Player B]]),"")</f>
        <v/>
      </c>
      <c r="R10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5" s="265" t="str">
        <f>IF(ResultsInd[[#This Row],[Score_OK]],IF(ResultsInd[[#This Row],[Stage]]="Groups",ResultsInd[[#This Row],[Category]]&amp;"-"&amp;IF(ResultsInd[[#This Row],[Player B]]="","",IF(ResultsInd[[#This Row],[Score-A]]=ResultsInd[[#This Row],[Score-B]],ResultsInd[[#This Row],[Player A]],"")),""),"")</f>
        <v/>
      </c>
      <c r="T1095" s="265" t="str">
        <f>IF(ResultsInd[[#This Row],[Score_OK]],IF(ResultsInd[[#This Row],[Stage]]="Groups",ResultsInd[[#This Row],[Category]]&amp;"-"&amp;IF(ResultsInd[[#This Row],[Player B]]="","",IF(ResultsInd[[#This Row],[Score-A]]=ResultsInd[[#This Row],[Score-B]],ResultsInd[[#This Row],[Player B]],"")),""),"")</f>
        <v/>
      </c>
      <c r="U10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5" s="264" t="str">
        <f>IF(ResultsInd[[#This Row],[Category]]="","",VLOOKUP(ResultsInd[[#This Row],[Stage]],$P$1:$V$9,MATCH(ResultsInd[[#This Row],[Category]],$Q$1:$V$1,0)+1,FALSE))</f>
        <v/>
      </c>
      <c r="Z1095" s="264" t="str">
        <f>IF(ResultsInd[[#This Row],[Score_OK]],IF(ResultsInd[[#This Row],[Level]]="R",ResultsInd[[#This Row],[Category]]&amp;"-"&amp;IF(ResultsInd[[#This Row],[LoseInKO]]=ResultsInd[[#This Row],[Category]]&amp;"-"&amp;ResultsInd[[#This Row],[Player A]],ResultsInd[[#This Row],[Player B]],ResultsInd[[#This Row],[Player A]]),""),"")</f>
        <v/>
      </c>
      <c r="AB1095" s="8"/>
      <c r="AC1095" s="8"/>
      <c r="AE1095" s="90"/>
      <c r="AF1095" s="90"/>
      <c r="AP1095" s="8"/>
      <c r="AQ1095" s="8"/>
      <c r="AR1095" s="8"/>
      <c r="AS1095" s="8"/>
      <c r="AT1095" s="8"/>
      <c r="AU1095" s="8"/>
      <c r="AV1095" s="8"/>
      <c r="AW1095" s="8"/>
      <c r="AX1095" s="8"/>
      <c r="AY1095" s="90"/>
      <c r="AZ1095" s="90"/>
      <c r="BA1095" s="90"/>
      <c r="BB1095" s="90"/>
      <c r="BC1095" s="90"/>
      <c r="BD1095" s="90"/>
      <c r="BE1095" s="90"/>
      <c r="BF1095" s="90"/>
    </row>
    <row r="1096" spans="1:58" x14ac:dyDescent="0.2">
      <c r="A1096" s="62"/>
      <c r="B1096" s="62"/>
      <c r="C1096" s="62"/>
      <c r="D1096" s="62"/>
      <c r="E1096" s="345"/>
      <c r="F1096" s="345"/>
      <c r="G1096" s="113"/>
      <c r="H1096" s="113"/>
      <c r="I1096" s="114"/>
      <c r="J1096" s="114"/>
      <c r="K1096" s="114"/>
      <c r="L1096" s="81"/>
      <c r="M1096" s="265" t="b">
        <f>NOT(ISERROR(ResultsInd[[#This Row],[Goal-A]]+ResultsInd[[#This Row],[Goal-B]]))</f>
        <v>1</v>
      </c>
      <c r="N1096" s="265">
        <f>VALUE(ResultsInd[[#This Row],[Score-A]])</f>
        <v>0</v>
      </c>
      <c r="O1096" s="265">
        <f>VALUE(ResultsInd[[#This Row],[Score-B]])</f>
        <v>0</v>
      </c>
      <c r="P1096" s="265" t="str">
        <f ca="1">IF(AND(ResultsInd[[#This Row],[Category]]&lt;&gt;"",ResultsInd[[#This Row],[Player A]]&lt;&gt;""),COUNTIF(INDIRECT(ResultsInd[[#This Row],[Category]]&amp;"List[Retained Player Name]"),ResultsInd[[#This Row],[Player A]]),"")</f>
        <v/>
      </c>
      <c r="Q1096" s="265" t="str">
        <f ca="1">IF(AND(ResultsInd[[#This Row],[Category]]&lt;&gt;"",ResultsInd[[#This Row],[Player B]]&lt;&gt;""),COUNTIF(INDIRECT(ResultsInd[[#This Row],[Category]]&amp;"List[Retained Player Name]"),ResultsInd[[#This Row],[Player B]]),"")</f>
        <v/>
      </c>
      <c r="R10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6" s="265" t="str">
        <f>IF(ResultsInd[[#This Row],[Score_OK]],IF(ResultsInd[[#This Row],[Stage]]="Groups",ResultsInd[[#This Row],[Category]]&amp;"-"&amp;IF(ResultsInd[[#This Row],[Player B]]="","",IF(ResultsInd[[#This Row],[Score-A]]=ResultsInd[[#This Row],[Score-B]],ResultsInd[[#This Row],[Player A]],"")),""),"")</f>
        <v/>
      </c>
      <c r="T1096" s="265" t="str">
        <f>IF(ResultsInd[[#This Row],[Score_OK]],IF(ResultsInd[[#This Row],[Stage]]="Groups",ResultsInd[[#This Row],[Category]]&amp;"-"&amp;IF(ResultsInd[[#This Row],[Player B]]="","",IF(ResultsInd[[#This Row],[Score-A]]=ResultsInd[[#This Row],[Score-B]],ResultsInd[[#This Row],[Player B]],"")),""),"")</f>
        <v/>
      </c>
      <c r="U10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6" s="264" t="str">
        <f>IF(ResultsInd[[#This Row],[Category]]="","",VLOOKUP(ResultsInd[[#This Row],[Stage]],$P$1:$V$9,MATCH(ResultsInd[[#This Row],[Category]],$Q$1:$V$1,0)+1,FALSE))</f>
        <v/>
      </c>
      <c r="Z1096" s="264" t="str">
        <f>IF(ResultsInd[[#This Row],[Score_OK]],IF(ResultsInd[[#This Row],[Level]]="R",ResultsInd[[#This Row],[Category]]&amp;"-"&amp;IF(ResultsInd[[#This Row],[LoseInKO]]=ResultsInd[[#This Row],[Category]]&amp;"-"&amp;ResultsInd[[#This Row],[Player A]],ResultsInd[[#This Row],[Player B]],ResultsInd[[#This Row],[Player A]]),""),"")</f>
        <v/>
      </c>
      <c r="AB1096" s="8"/>
      <c r="AC1096" s="8"/>
      <c r="AE1096" s="90"/>
      <c r="AF1096" s="90"/>
      <c r="AP1096" s="8"/>
      <c r="AQ1096" s="8"/>
      <c r="AR1096" s="8"/>
      <c r="AS1096" s="8"/>
      <c r="AT1096" s="8"/>
      <c r="AU1096" s="8"/>
      <c r="AV1096" s="8"/>
      <c r="AW1096" s="8"/>
      <c r="AX1096" s="8"/>
      <c r="AY1096" s="90"/>
      <c r="AZ1096" s="90"/>
      <c r="BA1096" s="90"/>
      <c r="BB1096" s="90"/>
      <c r="BC1096" s="90"/>
      <c r="BD1096" s="90"/>
      <c r="BE1096" s="90"/>
      <c r="BF1096" s="90"/>
    </row>
    <row r="1097" spans="1:58" x14ac:dyDescent="0.2">
      <c r="A1097" s="62"/>
      <c r="B1097" s="62"/>
      <c r="C1097" s="62"/>
      <c r="D1097" s="62"/>
      <c r="E1097" s="345"/>
      <c r="F1097" s="345"/>
      <c r="G1097" s="113"/>
      <c r="H1097" s="113"/>
      <c r="I1097" s="114"/>
      <c r="J1097" s="114"/>
      <c r="K1097" s="114"/>
      <c r="L1097" s="81"/>
      <c r="M1097" s="265" t="b">
        <f>NOT(ISERROR(ResultsInd[[#This Row],[Goal-A]]+ResultsInd[[#This Row],[Goal-B]]))</f>
        <v>1</v>
      </c>
      <c r="N1097" s="265">
        <f>VALUE(ResultsInd[[#This Row],[Score-A]])</f>
        <v>0</v>
      </c>
      <c r="O1097" s="265">
        <f>VALUE(ResultsInd[[#This Row],[Score-B]])</f>
        <v>0</v>
      </c>
      <c r="P1097" s="265" t="str">
        <f ca="1">IF(AND(ResultsInd[[#This Row],[Category]]&lt;&gt;"",ResultsInd[[#This Row],[Player A]]&lt;&gt;""),COUNTIF(INDIRECT(ResultsInd[[#This Row],[Category]]&amp;"List[Retained Player Name]"),ResultsInd[[#This Row],[Player A]]),"")</f>
        <v/>
      </c>
      <c r="Q1097" s="265" t="str">
        <f ca="1">IF(AND(ResultsInd[[#This Row],[Category]]&lt;&gt;"",ResultsInd[[#This Row],[Player B]]&lt;&gt;""),COUNTIF(INDIRECT(ResultsInd[[#This Row],[Category]]&amp;"List[Retained Player Name]"),ResultsInd[[#This Row],[Player B]]),"")</f>
        <v/>
      </c>
      <c r="R10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7" s="265" t="str">
        <f>IF(ResultsInd[[#This Row],[Score_OK]],IF(ResultsInd[[#This Row],[Stage]]="Groups",ResultsInd[[#This Row],[Category]]&amp;"-"&amp;IF(ResultsInd[[#This Row],[Player B]]="","",IF(ResultsInd[[#This Row],[Score-A]]=ResultsInd[[#This Row],[Score-B]],ResultsInd[[#This Row],[Player A]],"")),""),"")</f>
        <v/>
      </c>
      <c r="T1097" s="265" t="str">
        <f>IF(ResultsInd[[#This Row],[Score_OK]],IF(ResultsInd[[#This Row],[Stage]]="Groups",ResultsInd[[#This Row],[Category]]&amp;"-"&amp;IF(ResultsInd[[#This Row],[Player B]]="","",IF(ResultsInd[[#This Row],[Score-A]]=ResultsInd[[#This Row],[Score-B]],ResultsInd[[#This Row],[Player B]],"")),""),"")</f>
        <v/>
      </c>
      <c r="U10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7" s="264" t="str">
        <f>IF(ResultsInd[[#This Row],[Category]]="","",VLOOKUP(ResultsInd[[#This Row],[Stage]],$P$1:$V$9,MATCH(ResultsInd[[#This Row],[Category]],$Q$1:$V$1,0)+1,FALSE))</f>
        <v/>
      </c>
      <c r="Z1097" s="264" t="str">
        <f>IF(ResultsInd[[#This Row],[Score_OK]],IF(ResultsInd[[#This Row],[Level]]="R",ResultsInd[[#This Row],[Category]]&amp;"-"&amp;IF(ResultsInd[[#This Row],[LoseInKO]]=ResultsInd[[#This Row],[Category]]&amp;"-"&amp;ResultsInd[[#This Row],[Player A]],ResultsInd[[#This Row],[Player B]],ResultsInd[[#This Row],[Player A]]),""),"")</f>
        <v/>
      </c>
      <c r="AB1097" s="8"/>
      <c r="AC1097" s="8"/>
      <c r="AE1097" s="90"/>
      <c r="AF1097" s="90"/>
      <c r="AP1097" s="8"/>
      <c r="AQ1097" s="8"/>
      <c r="AR1097" s="8"/>
      <c r="AS1097" s="8"/>
      <c r="AT1097" s="8"/>
      <c r="AU1097" s="8"/>
      <c r="AV1097" s="8"/>
      <c r="AW1097" s="8"/>
      <c r="AX1097" s="8"/>
      <c r="AY1097" s="90"/>
      <c r="AZ1097" s="90"/>
      <c r="BA1097" s="90"/>
      <c r="BB1097" s="90"/>
      <c r="BC1097" s="90"/>
      <c r="BD1097" s="90"/>
      <c r="BE1097" s="90"/>
      <c r="BF1097" s="90"/>
    </row>
    <row r="1098" spans="1:58" x14ac:dyDescent="0.2">
      <c r="A1098" s="62"/>
      <c r="B1098" s="62"/>
      <c r="C1098" s="62"/>
      <c r="D1098" s="62"/>
      <c r="E1098" s="345"/>
      <c r="F1098" s="345"/>
      <c r="G1098" s="113"/>
      <c r="H1098" s="113"/>
      <c r="I1098" s="114"/>
      <c r="J1098" s="114"/>
      <c r="K1098" s="114"/>
      <c r="L1098" s="81"/>
      <c r="M1098" s="265" t="b">
        <f>NOT(ISERROR(ResultsInd[[#This Row],[Goal-A]]+ResultsInd[[#This Row],[Goal-B]]))</f>
        <v>1</v>
      </c>
      <c r="N1098" s="265">
        <f>VALUE(ResultsInd[[#This Row],[Score-A]])</f>
        <v>0</v>
      </c>
      <c r="O1098" s="265">
        <f>VALUE(ResultsInd[[#This Row],[Score-B]])</f>
        <v>0</v>
      </c>
      <c r="P1098" s="265" t="str">
        <f ca="1">IF(AND(ResultsInd[[#This Row],[Category]]&lt;&gt;"",ResultsInd[[#This Row],[Player A]]&lt;&gt;""),COUNTIF(INDIRECT(ResultsInd[[#This Row],[Category]]&amp;"List[Retained Player Name]"),ResultsInd[[#This Row],[Player A]]),"")</f>
        <v/>
      </c>
      <c r="Q1098" s="265" t="str">
        <f ca="1">IF(AND(ResultsInd[[#This Row],[Category]]&lt;&gt;"",ResultsInd[[#This Row],[Player B]]&lt;&gt;""),COUNTIF(INDIRECT(ResultsInd[[#This Row],[Category]]&amp;"List[Retained Player Name]"),ResultsInd[[#This Row],[Player B]]),"")</f>
        <v/>
      </c>
      <c r="R10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8" s="265" t="str">
        <f>IF(ResultsInd[[#This Row],[Score_OK]],IF(ResultsInd[[#This Row],[Stage]]="Groups",ResultsInd[[#This Row],[Category]]&amp;"-"&amp;IF(ResultsInd[[#This Row],[Player B]]="","",IF(ResultsInd[[#This Row],[Score-A]]=ResultsInd[[#This Row],[Score-B]],ResultsInd[[#This Row],[Player A]],"")),""),"")</f>
        <v/>
      </c>
      <c r="T1098" s="265" t="str">
        <f>IF(ResultsInd[[#This Row],[Score_OK]],IF(ResultsInd[[#This Row],[Stage]]="Groups",ResultsInd[[#This Row],[Category]]&amp;"-"&amp;IF(ResultsInd[[#This Row],[Player B]]="","",IF(ResultsInd[[#This Row],[Score-A]]=ResultsInd[[#This Row],[Score-B]],ResultsInd[[#This Row],[Player B]],"")),""),"")</f>
        <v/>
      </c>
      <c r="U10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8" s="264" t="str">
        <f>IF(ResultsInd[[#This Row],[Category]]="","",VLOOKUP(ResultsInd[[#This Row],[Stage]],$P$1:$V$9,MATCH(ResultsInd[[#This Row],[Category]],$Q$1:$V$1,0)+1,FALSE))</f>
        <v/>
      </c>
      <c r="Z1098" s="264" t="str">
        <f>IF(ResultsInd[[#This Row],[Score_OK]],IF(ResultsInd[[#This Row],[Level]]="R",ResultsInd[[#This Row],[Category]]&amp;"-"&amp;IF(ResultsInd[[#This Row],[LoseInKO]]=ResultsInd[[#This Row],[Category]]&amp;"-"&amp;ResultsInd[[#This Row],[Player A]],ResultsInd[[#This Row],[Player B]],ResultsInd[[#This Row],[Player A]]),""),"")</f>
        <v/>
      </c>
      <c r="AB1098" s="8"/>
      <c r="AC1098" s="8"/>
      <c r="AE1098" s="90"/>
      <c r="AF1098" s="90"/>
      <c r="AP1098" s="8"/>
      <c r="AQ1098" s="8"/>
      <c r="AR1098" s="8"/>
      <c r="AS1098" s="8"/>
      <c r="AT1098" s="8"/>
      <c r="AU1098" s="8"/>
      <c r="AV1098" s="8"/>
      <c r="AW1098" s="8"/>
      <c r="AX1098" s="8"/>
      <c r="AY1098" s="90"/>
      <c r="AZ1098" s="90"/>
      <c r="BA1098" s="90"/>
      <c r="BB1098" s="90"/>
      <c r="BC1098" s="90"/>
      <c r="BD1098" s="90"/>
      <c r="BE1098" s="90"/>
      <c r="BF1098" s="90"/>
    </row>
    <row r="1099" spans="1:58" x14ac:dyDescent="0.2">
      <c r="A1099" s="62"/>
      <c r="B1099" s="62"/>
      <c r="C1099" s="62"/>
      <c r="D1099" s="62"/>
      <c r="E1099" s="345"/>
      <c r="F1099" s="345"/>
      <c r="G1099" s="113"/>
      <c r="H1099" s="113"/>
      <c r="I1099" s="114"/>
      <c r="J1099" s="114"/>
      <c r="K1099" s="114"/>
      <c r="L1099" s="81"/>
      <c r="M1099" s="265" t="b">
        <f>NOT(ISERROR(ResultsInd[[#This Row],[Goal-A]]+ResultsInd[[#This Row],[Goal-B]]))</f>
        <v>1</v>
      </c>
      <c r="N1099" s="265">
        <f>VALUE(ResultsInd[[#This Row],[Score-A]])</f>
        <v>0</v>
      </c>
      <c r="O1099" s="265">
        <f>VALUE(ResultsInd[[#This Row],[Score-B]])</f>
        <v>0</v>
      </c>
      <c r="P1099" s="265" t="str">
        <f ca="1">IF(AND(ResultsInd[[#This Row],[Category]]&lt;&gt;"",ResultsInd[[#This Row],[Player A]]&lt;&gt;""),COUNTIF(INDIRECT(ResultsInd[[#This Row],[Category]]&amp;"List[Retained Player Name]"),ResultsInd[[#This Row],[Player A]]),"")</f>
        <v/>
      </c>
      <c r="Q1099" s="265" t="str">
        <f ca="1">IF(AND(ResultsInd[[#This Row],[Category]]&lt;&gt;"",ResultsInd[[#This Row],[Player B]]&lt;&gt;""),COUNTIF(INDIRECT(ResultsInd[[#This Row],[Category]]&amp;"List[Retained Player Name]"),ResultsInd[[#This Row],[Player B]]),"")</f>
        <v/>
      </c>
      <c r="R10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9" s="265" t="str">
        <f>IF(ResultsInd[[#This Row],[Score_OK]],IF(ResultsInd[[#This Row],[Stage]]="Groups",ResultsInd[[#This Row],[Category]]&amp;"-"&amp;IF(ResultsInd[[#This Row],[Player B]]="","",IF(ResultsInd[[#This Row],[Score-A]]=ResultsInd[[#This Row],[Score-B]],ResultsInd[[#This Row],[Player A]],"")),""),"")</f>
        <v/>
      </c>
      <c r="T1099" s="265" t="str">
        <f>IF(ResultsInd[[#This Row],[Score_OK]],IF(ResultsInd[[#This Row],[Stage]]="Groups",ResultsInd[[#This Row],[Category]]&amp;"-"&amp;IF(ResultsInd[[#This Row],[Player B]]="","",IF(ResultsInd[[#This Row],[Score-A]]=ResultsInd[[#This Row],[Score-B]],ResultsInd[[#This Row],[Player B]],"")),""),"")</f>
        <v/>
      </c>
      <c r="U10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9" s="264" t="str">
        <f>IF(ResultsInd[[#This Row],[Category]]="","",VLOOKUP(ResultsInd[[#This Row],[Stage]],$P$1:$V$9,MATCH(ResultsInd[[#This Row],[Category]],$Q$1:$V$1,0)+1,FALSE))</f>
        <v/>
      </c>
      <c r="Z1099" s="264" t="str">
        <f>IF(ResultsInd[[#This Row],[Score_OK]],IF(ResultsInd[[#This Row],[Level]]="R",ResultsInd[[#This Row],[Category]]&amp;"-"&amp;IF(ResultsInd[[#This Row],[LoseInKO]]=ResultsInd[[#This Row],[Category]]&amp;"-"&amp;ResultsInd[[#This Row],[Player A]],ResultsInd[[#This Row],[Player B]],ResultsInd[[#This Row],[Player A]]),""),"")</f>
        <v/>
      </c>
      <c r="AB1099" s="8"/>
      <c r="AC1099" s="8"/>
      <c r="AE1099" s="90"/>
      <c r="AF1099" s="90"/>
      <c r="AP1099" s="8"/>
      <c r="AQ1099" s="8"/>
      <c r="AR1099" s="8"/>
      <c r="AS1099" s="8"/>
      <c r="AT1099" s="8"/>
      <c r="AU1099" s="8"/>
      <c r="AV1099" s="8"/>
      <c r="AW1099" s="8"/>
      <c r="AX1099" s="8"/>
      <c r="AY1099" s="90"/>
      <c r="AZ1099" s="90"/>
      <c r="BA1099" s="90"/>
      <c r="BB1099" s="90"/>
      <c r="BC1099" s="90"/>
      <c r="BD1099" s="90"/>
      <c r="BE1099" s="90"/>
      <c r="BF1099" s="90"/>
    </row>
    <row r="1100" spans="1:58" x14ac:dyDescent="0.2">
      <c r="A1100" s="62"/>
      <c r="B1100" s="62"/>
      <c r="C1100" s="62"/>
      <c r="D1100" s="62"/>
      <c r="E1100" s="345"/>
      <c r="F1100" s="345"/>
      <c r="G1100" s="113"/>
      <c r="H1100" s="113"/>
      <c r="I1100" s="114"/>
      <c r="J1100" s="114"/>
      <c r="K1100" s="114"/>
      <c r="L1100" s="81"/>
      <c r="M1100" s="265" t="b">
        <f>NOT(ISERROR(ResultsInd[[#This Row],[Goal-A]]+ResultsInd[[#This Row],[Goal-B]]))</f>
        <v>1</v>
      </c>
      <c r="N1100" s="265">
        <f>VALUE(ResultsInd[[#This Row],[Score-A]])</f>
        <v>0</v>
      </c>
      <c r="O1100" s="265">
        <f>VALUE(ResultsInd[[#This Row],[Score-B]])</f>
        <v>0</v>
      </c>
      <c r="P1100" s="265" t="str">
        <f ca="1">IF(AND(ResultsInd[[#This Row],[Category]]&lt;&gt;"",ResultsInd[[#This Row],[Player A]]&lt;&gt;""),COUNTIF(INDIRECT(ResultsInd[[#This Row],[Category]]&amp;"List[Retained Player Name]"),ResultsInd[[#This Row],[Player A]]),"")</f>
        <v/>
      </c>
      <c r="Q1100" s="265" t="str">
        <f ca="1">IF(AND(ResultsInd[[#This Row],[Category]]&lt;&gt;"",ResultsInd[[#This Row],[Player B]]&lt;&gt;""),COUNTIF(INDIRECT(ResultsInd[[#This Row],[Category]]&amp;"List[Retained Player Name]"),ResultsInd[[#This Row],[Player B]]),"")</f>
        <v/>
      </c>
      <c r="R11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0" s="265" t="str">
        <f>IF(ResultsInd[[#This Row],[Score_OK]],IF(ResultsInd[[#This Row],[Stage]]="Groups",ResultsInd[[#This Row],[Category]]&amp;"-"&amp;IF(ResultsInd[[#This Row],[Player B]]="","",IF(ResultsInd[[#This Row],[Score-A]]=ResultsInd[[#This Row],[Score-B]],ResultsInd[[#This Row],[Player A]],"")),""),"")</f>
        <v/>
      </c>
      <c r="T1100" s="265" t="str">
        <f>IF(ResultsInd[[#This Row],[Score_OK]],IF(ResultsInd[[#This Row],[Stage]]="Groups",ResultsInd[[#This Row],[Category]]&amp;"-"&amp;IF(ResultsInd[[#This Row],[Player B]]="","",IF(ResultsInd[[#This Row],[Score-A]]=ResultsInd[[#This Row],[Score-B]],ResultsInd[[#This Row],[Player B]],"")),""),"")</f>
        <v/>
      </c>
      <c r="U11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0" s="264" t="str">
        <f>IF(ResultsInd[[#This Row],[Category]]="","",VLOOKUP(ResultsInd[[#This Row],[Stage]],$P$1:$V$9,MATCH(ResultsInd[[#This Row],[Category]],$Q$1:$V$1,0)+1,FALSE))</f>
        <v/>
      </c>
      <c r="Z1100" s="264" t="str">
        <f>IF(ResultsInd[[#This Row],[Score_OK]],IF(ResultsInd[[#This Row],[Level]]="R",ResultsInd[[#This Row],[Category]]&amp;"-"&amp;IF(ResultsInd[[#This Row],[LoseInKO]]=ResultsInd[[#This Row],[Category]]&amp;"-"&amp;ResultsInd[[#This Row],[Player A]],ResultsInd[[#This Row],[Player B]],ResultsInd[[#This Row],[Player A]]),""),"")</f>
        <v/>
      </c>
      <c r="AB1100" s="8"/>
      <c r="AC1100" s="8"/>
      <c r="AE1100" s="90"/>
      <c r="AF1100" s="90"/>
      <c r="AP1100" s="8"/>
      <c r="AQ1100" s="8"/>
      <c r="AR1100" s="8"/>
      <c r="AS1100" s="8"/>
      <c r="AT1100" s="8"/>
      <c r="AU1100" s="8"/>
      <c r="AV1100" s="8"/>
      <c r="AW1100" s="8"/>
      <c r="AX1100" s="8"/>
      <c r="AY1100" s="90"/>
      <c r="AZ1100" s="90"/>
      <c r="BA1100" s="90"/>
      <c r="BB1100" s="90"/>
      <c r="BC1100" s="90"/>
      <c r="BD1100" s="90"/>
      <c r="BE1100" s="90"/>
      <c r="BF1100" s="90"/>
    </row>
    <row r="1101" spans="1:58" x14ac:dyDescent="0.2">
      <c r="A1101" s="62"/>
      <c r="B1101" s="62"/>
      <c r="C1101" s="62"/>
      <c r="D1101" s="62"/>
      <c r="E1101" s="345"/>
      <c r="F1101" s="345"/>
      <c r="G1101" s="113"/>
      <c r="H1101" s="113"/>
      <c r="I1101" s="114"/>
      <c r="J1101" s="114"/>
      <c r="K1101" s="114"/>
      <c r="L1101" s="81"/>
      <c r="M1101" s="265" t="b">
        <f>NOT(ISERROR(ResultsInd[[#This Row],[Goal-A]]+ResultsInd[[#This Row],[Goal-B]]))</f>
        <v>1</v>
      </c>
      <c r="N1101" s="265">
        <f>VALUE(ResultsInd[[#This Row],[Score-A]])</f>
        <v>0</v>
      </c>
      <c r="O1101" s="265">
        <f>VALUE(ResultsInd[[#This Row],[Score-B]])</f>
        <v>0</v>
      </c>
      <c r="P1101" s="265" t="str">
        <f ca="1">IF(AND(ResultsInd[[#This Row],[Category]]&lt;&gt;"",ResultsInd[[#This Row],[Player A]]&lt;&gt;""),COUNTIF(INDIRECT(ResultsInd[[#This Row],[Category]]&amp;"List[Retained Player Name]"),ResultsInd[[#This Row],[Player A]]),"")</f>
        <v/>
      </c>
      <c r="Q1101" s="265" t="str">
        <f ca="1">IF(AND(ResultsInd[[#This Row],[Category]]&lt;&gt;"",ResultsInd[[#This Row],[Player B]]&lt;&gt;""),COUNTIF(INDIRECT(ResultsInd[[#This Row],[Category]]&amp;"List[Retained Player Name]"),ResultsInd[[#This Row],[Player B]]),"")</f>
        <v/>
      </c>
      <c r="R11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1" s="265" t="str">
        <f>IF(ResultsInd[[#This Row],[Score_OK]],IF(ResultsInd[[#This Row],[Stage]]="Groups",ResultsInd[[#This Row],[Category]]&amp;"-"&amp;IF(ResultsInd[[#This Row],[Player B]]="","",IF(ResultsInd[[#This Row],[Score-A]]=ResultsInd[[#This Row],[Score-B]],ResultsInd[[#This Row],[Player A]],"")),""),"")</f>
        <v/>
      </c>
      <c r="T1101" s="265" t="str">
        <f>IF(ResultsInd[[#This Row],[Score_OK]],IF(ResultsInd[[#This Row],[Stage]]="Groups",ResultsInd[[#This Row],[Category]]&amp;"-"&amp;IF(ResultsInd[[#This Row],[Player B]]="","",IF(ResultsInd[[#This Row],[Score-A]]=ResultsInd[[#This Row],[Score-B]],ResultsInd[[#This Row],[Player B]],"")),""),"")</f>
        <v/>
      </c>
      <c r="U11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1" s="264" t="str">
        <f>IF(ResultsInd[[#This Row],[Category]]="","",VLOOKUP(ResultsInd[[#This Row],[Stage]],$P$1:$V$9,MATCH(ResultsInd[[#This Row],[Category]],$Q$1:$V$1,0)+1,FALSE))</f>
        <v/>
      </c>
      <c r="Z1101" s="264" t="str">
        <f>IF(ResultsInd[[#This Row],[Score_OK]],IF(ResultsInd[[#This Row],[Level]]="R",ResultsInd[[#This Row],[Category]]&amp;"-"&amp;IF(ResultsInd[[#This Row],[LoseInKO]]=ResultsInd[[#This Row],[Category]]&amp;"-"&amp;ResultsInd[[#This Row],[Player A]],ResultsInd[[#This Row],[Player B]],ResultsInd[[#This Row],[Player A]]),""),"")</f>
        <v/>
      </c>
      <c r="AB1101" s="8"/>
      <c r="AC1101" s="8"/>
      <c r="AE1101" s="90"/>
      <c r="AF1101" s="90"/>
      <c r="AP1101" s="8"/>
      <c r="AQ1101" s="8"/>
      <c r="AR1101" s="8"/>
      <c r="AS1101" s="8"/>
      <c r="AT1101" s="8"/>
      <c r="AU1101" s="8"/>
      <c r="AV1101" s="8"/>
      <c r="AW1101" s="8"/>
      <c r="AX1101" s="8"/>
      <c r="AY1101" s="90"/>
      <c r="AZ1101" s="90"/>
      <c r="BA1101" s="90"/>
      <c r="BB1101" s="90"/>
      <c r="BC1101" s="90"/>
      <c r="BD1101" s="90"/>
      <c r="BE1101" s="90"/>
      <c r="BF1101" s="90"/>
    </row>
    <row r="1102" spans="1:58" x14ac:dyDescent="0.2">
      <c r="A1102" s="62"/>
      <c r="B1102" s="62"/>
      <c r="C1102" s="62"/>
      <c r="D1102" s="62"/>
      <c r="E1102" s="345"/>
      <c r="F1102" s="345"/>
      <c r="G1102" s="113"/>
      <c r="H1102" s="113"/>
      <c r="I1102" s="114"/>
      <c r="J1102" s="114"/>
      <c r="K1102" s="114"/>
      <c r="L1102" s="81"/>
      <c r="M1102" s="265" t="b">
        <f>NOT(ISERROR(ResultsInd[[#This Row],[Goal-A]]+ResultsInd[[#This Row],[Goal-B]]))</f>
        <v>1</v>
      </c>
      <c r="N1102" s="265">
        <f>VALUE(ResultsInd[[#This Row],[Score-A]])</f>
        <v>0</v>
      </c>
      <c r="O1102" s="265">
        <f>VALUE(ResultsInd[[#This Row],[Score-B]])</f>
        <v>0</v>
      </c>
      <c r="P1102" s="265" t="str">
        <f ca="1">IF(AND(ResultsInd[[#This Row],[Category]]&lt;&gt;"",ResultsInd[[#This Row],[Player A]]&lt;&gt;""),COUNTIF(INDIRECT(ResultsInd[[#This Row],[Category]]&amp;"List[Retained Player Name]"),ResultsInd[[#This Row],[Player A]]),"")</f>
        <v/>
      </c>
      <c r="Q1102" s="265" t="str">
        <f ca="1">IF(AND(ResultsInd[[#This Row],[Category]]&lt;&gt;"",ResultsInd[[#This Row],[Player B]]&lt;&gt;""),COUNTIF(INDIRECT(ResultsInd[[#This Row],[Category]]&amp;"List[Retained Player Name]"),ResultsInd[[#This Row],[Player B]]),"")</f>
        <v/>
      </c>
      <c r="R11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2" s="265" t="str">
        <f>IF(ResultsInd[[#This Row],[Score_OK]],IF(ResultsInd[[#This Row],[Stage]]="Groups",ResultsInd[[#This Row],[Category]]&amp;"-"&amp;IF(ResultsInd[[#This Row],[Player B]]="","",IF(ResultsInd[[#This Row],[Score-A]]=ResultsInd[[#This Row],[Score-B]],ResultsInd[[#This Row],[Player A]],"")),""),"")</f>
        <v/>
      </c>
      <c r="T1102" s="265" t="str">
        <f>IF(ResultsInd[[#This Row],[Score_OK]],IF(ResultsInd[[#This Row],[Stage]]="Groups",ResultsInd[[#This Row],[Category]]&amp;"-"&amp;IF(ResultsInd[[#This Row],[Player B]]="","",IF(ResultsInd[[#This Row],[Score-A]]=ResultsInd[[#This Row],[Score-B]],ResultsInd[[#This Row],[Player B]],"")),""),"")</f>
        <v/>
      </c>
      <c r="U11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2" s="264" t="str">
        <f>IF(ResultsInd[[#This Row],[Category]]="","",VLOOKUP(ResultsInd[[#This Row],[Stage]],$P$1:$V$9,MATCH(ResultsInd[[#This Row],[Category]],$Q$1:$V$1,0)+1,FALSE))</f>
        <v/>
      </c>
      <c r="Z1102" s="264" t="str">
        <f>IF(ResultsInd[[#This Row],[Score_OK]],IF(ResultsInd[[#This Row],[Level]]="R",ResultsInd[[#This Row],[Category]]&amp;"-"&amp;IF(ResultsInd[[#This Row],[LoseInKO]]=ResultsInd[[#This Row],[Category]]&amp;"-"&amp;ResultsInd[[#This Row],[Player A]],ResultsInd[[#This Row],[Player B]],ResultsInd[[#This Row],[Player A]]),""),"")</f>
        <v/>
      </c>
      <c r="AB1102" s="8"/>
      <c r="AC1102" s="8"/>
      <c r="AE1102" s="90"/>
      <c r="AF1102" s="90"/>
      <c r="AP1102" s="8"/>
      <c r="AQ1102" s="8"/>
      <c r="AR1102" s="8"/>
      <c r="AS1102" s="8"/>
      <c r="AT1102" s="8"/>
      <c r="AU1102" s="8"/>
      <c r="AV1102" s="8"/>
      <c r="AW1102" s="8"/>
      <c r="AX1102" s="8"/>
      <c r="AY1102" s="90"/>
      <c r="AZ1102" s="90"/>
      <c r="BA1102" s="90"/>
      <c r="BB1102" s="90"/>
      <c r="BC1102" s="90"/>
      <c r="BD1102" s="90"/>
      <c r="BE1102" s="90"/>
      <c r="BF1102" s="90"/>
    </row>
    <row r="1103" spans="1:58" x14ac:dyDescent="0.2">
      <c r="A1103" s="62"/>
      <c r="B1103" s="62"/>
      <c r="C1103" s="62"/>
      <c r="D1103" s="62"/>
      <c r="E1103" s="345"/>
      <c r="F1103" s="345"/>
      <c r="G1103" s="113"/>
      <c r="H1103" s="113"/>
      <c r="I1103" s="114"/>
      <c r="J1103" s="114"/>
      <c r="K1103" s="114"/>
      <c r="L1103" s="81"/>
      <c r="M1103" s="265" t="b">
        <f>NOT(ISERROR(ResultsInd[[#This Row],[Goal-A]]+ResultsInd[[#This Row],[Goal-B]]))</f>
        <v>1</v>
      </c>
      <c r="N1103" s="265">
        <f>VALUE(ResultsInd[[#This Row],[Score-A]])</f>
        <v>0</v>
      </c>
      <c r="O1103" s="265">
        <f>VALUE(ResultsInd[[#This Row],[Score-B]])</f>
        <v>0</v>
      </c>
      <c r="P1103" s="265" t="str">
        <f ca="1">IF(AND(ResultsInd[[#This Row],[Category]]&lt;&gt;"",ResultsInd[[#This Row],[Player A]]&lt;&gt;""),COUNTIF(INDIRECT(ResultsInd[[#This Row],[Category]]&amp;"List[Retained Player Name]"),ResultsInd[[#This Row],[Player A]]),"")</f>
        <v/>
      </c>
      <c r="Q1103" s="265" t="str">
        <f ca="1">IF(AND(ResultsInd[[#This Row],[Category]]&lt;&gt;"",ResultsInd[[#This Row],[Player B]]&lt;&gt;""),COUNTIF(INDIRECT(ResultsInd[[#This Row],[Category]]&amp;"List[Retained Player Name]"),ResultsInd[[#This Row],[Player B]]),"")</f>
        <v/>
      </c>
      <c r="R11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3" s="265" t="str">
        <f>IF(ResultsInd[[#This Row],[Score_OK]],IF(ResultsInd[[#This Row],[Stage]]="Groups",ResultsInd[[#This Row],[Category]]&amp;"-"&amp;IF(ResultsInd[[#This Row],[Player B]]="","",IF(ResultsInd[[#This Row],[Score-A]]=ResultsInd[[#This Row],[Score-B]],ResultsInd[[#This Row],[Player A]],"")),""),"")</f>
        <v/>
      </c>
      <c r="T1103" s="265" t="str">
        <f>IF(ResultsInd[[#This Row],[Score_OK]],IF(ResultsInd[[#This Row],[Stage]]="Groups",ResultsInd[[#This Row],[Category]]&amp;"-"&amp;IF(ResultsInd[[#This Row],[Player B]]="","",IF(ResultsInd[[#This Row],[Score-A]]=ResultsInd[[#This Row],[Score-B]],ResultsInd[[#This Row],[Player B]],"")),""),"")</f>
        <v/>
      </c>
      <c r="U11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3" s="264" t="str">
        <f>IF(ResultsInd[[#This Row],[Category]]="","",VLOOKUP(ResultsInd[[#This Row],[Stage]],$P$1:$V$9,MATCH(ResultsInd[[#This Row],[Category]],$Q$1:$V$1,0)+1,FALSE))</f>
        <v/>
      </c>
      <c r="Z1103" s="264" t="str">
        <f>IF(ResultsInd[[#This Row],[Score_OK]],IF(ResultsInd[[#This Row],[Level]]="R",ResultsInd[[#This Row],[Category]]&amp;"-"&amp;IF(ResultsInd[[#This Row],[LoseInKO]]=ResultsInd[[#This Row],[Category]]&amp;"-"&amp;ResultsInd[[#This Row],[Player A]],ResultsInd[[#This Row],[Player B]],ResultsInd[[#This Row],[Player A]]),""),"")</f>
        <v/>
      </c>
      <c r="AB1103" s="8"/>
      <c r="AC1103" s="8"/>
      <c r="AE1103" s="90"/>
      <c r="AF1103" s="90"/>
      <c r="AP1103" s="8"/>
      <c r="AQ1103" s="8"/>
      <c r="AR1103" s="8"/>
      <c r="AS1103" s="8"/>
      <c r="AT1103" s="8"/>
      <c r="AU1103" s="8"/>
      <c r="AV1103" s="8"/>
      <c r="AW1103" s="8"/>
      <c r="AX1103" s="8"/>
      <c r="AY1103" s="90"/>
      <c r="AZ1103" s="90"/>
      <c r="BA1103" s="90"/>
      <c r="BB1103" s="90"/>
      <c r="BC1103" s="90"/>
      <c r="BD1103" s="90"/>
      <c r="BE1103" s="90"/>
      <c r="BF1103" s="90"/>
    </row>
    <row r="1104" spans="1:58" x14ac:dyDescent="0.2">
      <c r="A1104" s="62"/>
      <c r="B1104" s="62"/>
      <c r="C1104" s="62"/>
      <c r="D1104" s="62"/>
      <c r="E1104" s="345"/>
      <c r="F1104" s="345"/>
      <c r="G1104" s="113"/>
      <c r="H1104" s="113"/>
      <c r="I1104" s="114"/>
      <c r="J1104" s="114"/>
      <c r="K1104" s="114"/>
      <c r="L1104" s="81"/>
      <c r="M1104" s="265" t="b">
        <f>NOT(ISERROR(ResultsInd[[#This Row],[Goal-A]]+ResultsInd[[#This Row],[Goal-B]]))</f>
        <v>1</v>
      </c>
      <c r="N1104" s="265">
        <f>VALUE(ResultsInd[[#This Row],[Score-A]])</f>
        <v>0</v>
      </c>
      <c r="O1104" s="265">
        <f>VALUE(ResultsInd[[#This Row],[Score-B]])</f>
        <v>0</v>
      </c>
      <c r="P1104" s="265" t="str">
        <f ca="1">IF(AND(ResultsInd[[#This Row],[Category]]&lt;&gt;"",ResultsInd[[#This Row],[Player A]]&lt;&gt;""),COUNTIF(INDIRECT(ResultsInd[[#This Row],[Category]]&amp;"List[Retained Player Name]"),ResultsInd[[#This Row],[Player A]]),"")</f>
        <v/>
      </c>
      <c r="Q1104" s="265" t="str">
        <f ca="1">IF(AND(ResultsInd[[#This Row],[Category]]&lt;&gt;"",ResultsInd[[#This Row],[Player B]]&lt;&gt;""),COUNTIF(INDIRECT(ResultsInd[[#This Row],[Category]]&amp;"List[Retained Player Name]"),ResultsInd[[#This Row],[Player B]]),"")</f>
        <v/>
      </c>
      <c r="R11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4" s="265" t="str">
        <f>IF(ResultsInd[[#This Row],[Score_OK]],IF(ResultsInd[[#This Row],[Stage]]="Groups",ResultsInd[[#This Row],[Category]]&amp;"-"&amp;IF(ResultsInd[[#This Row],[Player B]]="","",IF(ResultsInd[[#This Row],[Score-A]]=ResultsInd[[#This Row],[Score-B]],ResultsInd[[#This Row],[Player A]],"")),""),"")</f>
        <v/>
      </c>
      <c r="T1104" s="265" t="str">
        <f>IF(ResultsInd[[#This Row],[Score_OK]],IF(ResultsInd[[#This Row],[Stage]]="Groups",ResultsInd[[#This Row],[Category]]&amp;"-"&amp;IF(ResultsInd[[#This Row],[Player B]]="","",IF(ResultsInd[[#This Row],[Score-A]]=ResultsInd[[#This Row],[Score-B]],ResultsInd[[#This Row],[Player B]],"")),""),"")</f>
        <v/>
      </c>
      <c r="U11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4" s="264" t="str">
        <f>IF(ResultsInd[[#This Row],[Category]]="","",VLOOKUP(ResultsInd[[#This Row],[Stage]],$P$1:$V$9,MATCH(ResultsInd[[#This Row],[Category]],$Q$1:$V$1,0)+1,FALSE))</f>
        <v/>
      </c>
      <c r="Z1104" s="264" t="str">
        <f>IF(ResultsInd[[#This Row],[Score_OK]],IF(ResultsInd[[#This Row],[Level]]="R",ResultsInd[[#This Row],[Category]]&amp;"-"&amp;IF(ResultsInd[[#This Row],[LoseInKO]]=ResultsInd[[#This Row],[Category]]&amp;"-"&amp;ResultsInd[[#This Row],[Player A]],ResultsInd[[#This Row],[Player B]],ResultsInd[[#This Row],[Player A]]),""),"")</f>
        <v/>
      </c>
      <c r="AB1104" s="8"/>
      <c r="AC1104" s="8"/>
      <c r="AE1104" s="90"/>
      <c r="AF1104" s="90"/>
      <c r="AP1104" s="8"/>
      <c r="AQ1104" s="8"/>
      <c r="AR1104" s="8"/>
      <c r="AS1104" s="8"/>
      <c r="AT1104" s="8"/>
      <c r="AU1104" s="8"/>
      <c r="AV1104" s="8"/>
      <c r="AW1104" s="8"/>
      <c r="AX1104" s="8"/>
      <c r="AY1104" s="90"/>
      <c r="AZ1104" s="90"/>
      <c r="BA1104" s="90"/>
      <c r="BB1104" s="90"/>
      <c r="BC1104" s="90"/>
      <c r="BD1104" s="90"/>
      <c r="BE1104" s="90"/>
      <c r="BF1104" s="90"/>
    </row>
    <row r="1105" spans="1:58" x14ac:dyDescent="0.2">
      <c r="A1105" s="62"/>
      <c r="B1105" s="62"/>
      <c r="C1105" s="62"/>
      <c r="D1105" s="62"/>
      <c r="E1105" s="345"/>
      <c r="F1105" s="345"/>
      <c r="G1105" s="113"/>
      <c r="H1105" s="113"/>
      <c r="I1105" s="114"/>
      <c r="J1105" s="114"/>
      <c r="K1105" s="114"/>
      <c r="L1105" s="81"/>
      <c r="M1105" s="265" t="b">
        <f>NOT(ISERROR(ResultsInd[[#This Row],[Goal-A]]+ResultsInd[[#This Row],[Goal-B]]))</f>
        <v>1</v>
      </c>
      <c r="N1105" s="265">
        <f>VALUE(ResultsInd[[#This Row],[Score-A]])</f>
        <v>0</v>
      </c>
      <c r="O1105" s="265">
        <f>VALUE(ResultsInd[[#This Row],[Score-B]])</f>
        <v>0</v>
      </c>
      <c r="P1105" s="265" t="str">
        <f ca="1">IF(AND(ResultsInd[[#This Row],[Category]]&lt;&gt;"",ResultsInd[[#This Row],[Player A]]&lt;&gt;""),COUNTIF(INDIRECT(ResultsInd[[#This Row],[Category]]&amp;"List[Retained Player Name]"),ResultsInd[[#This Row],[Player A]]),"")</f>
        <v/>
      </c>
      <c r="Q1105" s="265" t="str">
        <f ca="1">IF(AND(ResultsInd[[#This Row],[Category]]&lt;&gt;"",ResultsInd[[#This Row],[Player B]]&lt;&gt;""),COUNTIF(INDIRECT(ResultsInd[[#This Row],[Category]]&amp;"List[Retained Player Name]"),ResultsInd[[#This Row],[Player B]]),"")</f>
        <v/>
      </c>
      <c r="R11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5" s="265" t="str">
        <f>IF(ResultsInd[[#This Row],[Score_OK]],IF(ResultsInd[[#This Row],[Stage]]="Groups",ResultsInd[[#This Row],[Category]]&amp;"-"&amp;IF(ResultsInd[[#This Row],[Player B]]="","",IF(ResultsInd[[#This Row],[Score-A]]=ResultsInd[[#This Row],[Score-B]],ResultsInd[[#This Row],[Player A]],"")),""),"")</f>
        <v/>
      </c>
      <c r="T1105" s="265" t="str">
        <f>IF(ResultsInd[[#This Row],[Score_OK]],IF(ResultsInd[[#This Row],[Stage]]="Groups",ResultsInd[[#This Row],[Category]]&amp;"-"&amp;IF(ResultsInd[[#This Row],[Player B]]="","",IF(ResultsInd[[#This Row],[Score-A]]=ResultsInd[[#This Row],[Score-B]],ResultsInd[[#This Row],[Player B]],"")),""),"")</f>
        <v/>
      </c>
      <c r="U11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5" s="264" t="str">
        <f>IF(ResultsInd[[#This Row],[Category]]="","",VLOOKUP(ResultsInd[[#This Row],[Stage]],$P$1:$V$9,MATCH(ResultsInd[[#This Row],[Category]],$Q$1:$V$1,0)+1,FALSE))</f>
        <v/>
      </c>
      <c r="Z1105" s="264" t="str">
        <f>IF(ResultsInd[[#This Row],[Score_OK]],IF(ResultsInd[[#This Row],[Level]]="R",ResultsInd[[#This Row],[Category]]&amp;"-"&amp;IF(ResultsInd[[#This Row],[LoseInKO]]=ResultsInd[[#This Row],[Category]]&amp;"-"&amp;ResultsInd[[#This Row],[Player A]],ResultsInd[[#This Row],[Player B]],ResultsInd[[#This Row],[Player A]]),""),"")</f>
        <v/>
      </c>
      <c r="AB1105" s="8"/>
      <c r="AC1105" s="8"/>
      <c r="AE1105" s="90"/>
      <c r="AF1105" s="90"/>
      <c r="AP1105" s="8"/>
      <c r="AQ1105" s="8"/>
      <c r="AR1105" s="8"/>
      <c r="AS1105" s="8"/>
      <c r="AT1105" s="8"/>
      <c r="AU1105" s="8"/>
      <c r="AV1105" s="8"/>
      <c r="AW1105" s="8"/>
      <c r="AX1105" s="8"/>
      <c r="AY1105" s="90"/>
      <c r="AZ1105" s="90"/>
      <c r="BA1105" s="90"/>
      <c r="BB1105" s="90"/>
      <c r="BC1105" s="90"/>
      <c r="BD1105" s="90"/>
      <c r="BE1105" s="90"/>
      <c r="BF1105" s="90"/>
    </row>
    <row r="1106" spans="1:58" x14ac:dyDescent="0.2">
      <c r="A1106" s="62"/>
      <c r="B1106" s="62"/>
      <c r="C1106" s="62"/>
      <c r="D1106" s="62"/>
      <c r="E1106" s="345"/>
      <c r="F1106" s="345"/>
      <c r="G1106" s="113"/>
      <c r="H1106" s="113"/>
      <c r="I1106" s="114"/>
      <c r="J1106" s="114"/>
      <c r="K1106" s="114"/>
      <c r="L1106" s="81"/>
      <c r="M1106" s="265" t="b">
        <f>NOT(ISERROR(ResultsInd[[#This Row],[Goal-A]]+ResultsInd[[#This Row],[Goal-B]]))</f>
        <v>1</v>
      </c>
      <c r="N1106" s="265">
        <f>VALUE(ResultsInd[[#This Row],[Score-A]])</f>
        <v>0</v>
      </c>
      <c r="O1106" s="265">
        <f>VALUE(ResultsInd[[#This Row],[Score-B]])</f>
        <v>0</v>
      </c>
      <c r="P1106" s="265" t="str">
        <f ca="1">IF(AND(ResultsInd[[#This Row],[Category]]&lt;&gt;"",ResultsInd[[#This Row],[Player A]]&lt;&gt;""),COUNTIF(INDIRECT(ResultsInd[[#This Row],[Category]]&amp;"List[Retained Player Name]"),ResultsInd[[#This Row],[Player A]]),"")</f>
        <v/>
      </c>
      <c r="Q1106" s="265" t="str">
        <f ca="1">IF(AND(ResultsInd[[#This Row],[Category]]&lt;&gt;"",ResultsInd[[#This Row],[Player B]]&lt;&gt;""),COUNTIF(INDIRECT(ResultsInd[[#This Row],[Category]]&amp;"List[Retained Player Name]"),ResultsInd[[#This Row],[Player B]]),"")</f>
        <v/>
      </c>
      <c r="R11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6" s="265" t="str">
        <f>IF(ResultsInd[[#This Row],[Score_OK]],IF(ResultsInd[[#This Row],[Stage]]="Groups",ResultsInd[[#This Row],[Category]]&amp;"-"&amp;IF(ResultsInd[[#This Row],[Player B]]="","",IF(ResultsInd[[#This Row],[Score-A]]=ResultsInd[[#This Row],[Score-B]],ResultsInd[[#This Row],[Player A]],"")),""),"")</f>
        <v/>
      </c>
      <c r="T1106" s="265" t="str">
        <f>IF(ResultsInd[[#This Row],[Score_OK]],IF(ResultsInd[[#This Row],[Stage]]="Groups",ResultsInd[[#This Row],[Category]]&amp;"-"&amp;IF(ResultsInd[[#This Row],[Player B]]="","",IF(ResultsInd[[#This Row],[Score-A]]=ResultsInd[[#This Row],[Score-B]],ResultsInd[[#This Row],[Player B]],"")),""),"")</f>
        <v/>
      </c>
      <c r="U11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6" s="264" t="str">
        <f>IF(ResultsInd[[#This Row],[Category]]="","",VLOOKUP(ResultsInd[[#This Row],[Stage]],$P$1:$V$9,MATCH(ResultsInd[[#This Row],[Category]],$Q$1:$V$1,0)+1,FALSE))</f>
        <v/>
      </c>
      <c r="Z1106" s="264" t="str">
        <f>IF(ResultsInd[[#This Row],[Score_OK]],IF(ResultsInd[[#This Row],[Level]]="R",ResultsInd[[#This Row],[Category]]&amp;"-"&amp;IF(ResultsInd[[#This Row],[LoseInKO]]=ResultsInd[[#This Row],[Category]]&amp;"-"&amp;ResultsInd[[#This Row],[Player A]],ResultsInd[[#This Row],[Player B]],ResultsInd[[#This Row],[Player A]]),""),"")</f>
        <v/>
      </c>
      <c r="AB1106" s="8"/>
      <c r="AC1106" s="8"/>
      <c r="AE1106" s="90"/>
      <c r="AF1106" s="90"/>
      <c r="AP1106" s="8"/>
      <c r="AQ1106" s="8"/>
      <c r="AR1106" s="8"/>
      <c r="AS1106" s="8"/>
      <c r="AT1106" s="8"/>
      <c r="AU1106" s="8"/>
      <c r="AV1106" s="8"/>
      <c r="AW1106" s="8"/>
      <c r="AX1106" s="8"/>
      <c r="AY1106" s="90"/>
      <c r="AZ1106" s="90"/>
      <c r="BA1106" s="90"/>
      <c r="BB1106" s="90"/>
      <c r="BC1106" s="90"/>
      <c r="BD1106" s="90"/>
      <c r="BE1106" s="90"/>
      <c r="BF1106" s="90"/>
    </row>
    <row r="1107" spans="1:58" x14ac:dyDescent="0.2">
      <c r="A1107" s="62"/>
      <c r="B1107" s="62"/>
      <c r="C1107" s="62"/>
      <c r="D1107" s="62"/>
      <c r="E1107" s="345"/>
      <c r="F1107" s="345"/>
      <c r="G1107" s="113"/>
      <c r="H1107" s="113"/>
      <c r="I1107" s="114"/>
      <c r="J1107" s="114"/>
      <c r="K1107" s="114"/>
      <c r="L1107" s="81"/>
      <c r="M1107" s="265" t="b">
        <f>NOT(ISERROR(ResultsInd[[#This Row],[Goal-A]]+ResultsInd[[#This Row],[Goal-B]]))</f>
        <v>1</v>
      </c>
      <c r="N1107" s="265">
        <f>VALUE(ResultsInd[[#This Row],[Score-A]])</f>
        <v>0</v>
      </c>
      <c r="O1107" s="265">
        <f>VALUE(ResultsInd[[#This Row],[Score-B]])</f>
        <v>0</v>
      </c>
      <c r="P1107" s="265" t="str">
        <f ca="1">IF(AND(ResultsInd[[#This Row],[Category]]&lt;&gt;"",ResultsInd[[#This Row],[Player A]]&lt;&gt;""),COUNTIF(INDIRECT(ResultsInd[[#This Row],[Category]]&amp;"List[Retained Player Name]"),ResultsInd[[#This Row],[Player A]]),"")</f>
        <v/>
      </c>
      <c r="Q1107" s="265" t="str">
        <f ca="1">IF(AND(ResultsInd[[#This Row],[Category]]&lt;&gt;"",ResultsInd[[#This Row],[Player B]]&lt;&gt;""),COUNTIF(INDIRECT(ResultsInd[[#This Row],[Category]]&amp;"List[Retained Player Name]"),ResultsInd[[#This Row],[Player B]]),"")</f>
        <v/>
      </c>
      <c r="R11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7" s="265" t="str">
        <f>IF(ResultsInd[[#This Row],[Score_OK]],IF(ResultsInd[[#This Row],[Stage]]="Groups",ResultsInd[[#This Row],[Category]]&amp;"-"&amp;IF(ResultsInd[[#This Row],[Player B]]="","",IF(ResultsInd[[#This Row],[Score-A]]=ResultsInd[[#This Row],[Score-B]],ResultsInd[[#This Row],[Player A]],"")),""),"")</f>
        <v/>
      </c>
      <c r="T1107" s="265" t="str">
        <f>IF(ResultsInd[[#This Row],[Score_OK]],IF(ResultsInd[[#This Row],[Stage]]="Groups",ResultsInd[[#This Row],[Category]]&amp;"-"&amp;IF(ResultsInd[[#This Row],[Player B]]="","",IF(ResultsInd[[#This Row],[Score-A]]=ResultsInd[[#This Row],[Score-B]],ResultsInd[[#This Row],[Player B]],"")),""),"")</f>
        <v/>
      </c>
      <c r="U11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7" s="264" t="str">
        <f>IF(ResultsInd[[#This Row],[Category]]="","",VLOOKUP(ResultsInd[[#This Row],[Stage]],$P$1:$V$9,MATCH(ResultsInd[[#This Row],[Category]],$Q$1:$V$1,0)+1,FALSE))</f>
        <v/>
      </c>
      <c r="Z1107" s="264" t="str">
        <f>IF(ResultsInd[[#This Row],[Score_OK]],IF(ResultsInd[[#This Row],[Level]]="R",ResultsInd[[#This Row],[Category]]&amp;"-"&amp;IF(ResultsInd[[#This Row],[LoseInKO]]=ResultsInd[[#This Row],[Category]]&amp;"-"&amp;ResultsInd[[#This Row],[Player A]],ResultsInd[[#This Row],[Player B]],ResultsInd[[#This Row],[Player A]]),""),"")</f>
        <v/>
      </c>
      <c r="AB1107" s="8"/>
      <c r="AC1107" s="8"/>
      <c r="AE1107" s="90"/>
      <c r="AF1107" s="90"/>
      <c r="AP1107" s="8"/>
      <c r="AQ1107" s="8"/>
      <c r="AR1107" s="8"/>
      <c r="AS1107" s="8"/>
      <c r="AT1107" s="8"/>
      <c r="AU1107" s="8"/>
      <c r="AV1107" s="8"/>
      <c r="AW1107" s="8"/>
      <c r="AX1107" s="8"/>
      <c r="AY1107" s="90"/>
      <c r="AZ1107" s="90"/>
      <c r="BA1107" s="90"/>
      <c r="BB1107" s="90"/>
      <c r="BC1107" s="90"/>
      <c r="BD1107" s="90"/>
      <c r="BE1107" s="90"/>
      <c r="BF1107" s="90"/>
    </row>
    <row r="1108" spans="1:58" x14ac:dyDescent="0.2">
      <c r="A1108" s="62"/>
      <c r="B1108" s="62"/>
      <c r="C1108" s="62"/>
      <c r="D1108" s="62"/>
      <c r="E1108" s="345"/>
      <c r="F1108" s="345"/>
      <c r="G1108" s="113"/>
      <c r="H1108" s="113"/>
      <c r="I1108" s="114"/>
      <c r="J1108" s="114"/>
      <c r="K1108" s="114"/>
      <c r="L1108" s="81"/>
      <c r="M1108" s="265" t="b">
        <f>NOT(ISERROR(ResultsInd[[#This Row],[Goal-A]]+ResultsInd[[#This Row],[Goal-B]]))</f>
        <v>1</v>
      </c>
      <c r="N1108" s="265">
        <f>VALUE(ResultsInd[[#This Row],[Score-A]])</f>
        <v>0</v>
      </c>
      <c r="O1108" s="265">
        <f>VALUE(ResultsInd[[#This Row],[Score-B]])</f>
        <v>0</v>
      </c>
      <c r="P1108" s="265" t="str">
        <f ca="1">IF(AND(ResultsInd[[#This Row],[Category]]&lt;&gt;"",ResultsInd[[#This Row],[Player A]]&lt;&gt;""),COUNTIF(INDIRECT(ResultsInd[[#This Row],[Category]]&amp;"List[Retained Player Name]"),ResultsInd[[#This Row],[Player A]]),"")</f>
        <v/>
      </c>
      <c r="Q1108" s="265" t="str">
        <f ca="1">IF(AND(ResultsInd[[#This Row],[Category]]&lt;&gt;"",ResultsInd[[#This Row],[Player B]]&lt;&gt;""),COUNTIF(INDIRECT(ResultsInd[[#This Row],[Category]]&amp;"List[Retained Player Name]"),ResultsInd[[#This Row],[Player B]]),"")</f>
        <v/>
      </c>
      <c r="R11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8" s="265" t="str">
        <f>IF(ResultsInd[[#This Row],[Score_OK]],IF(ResultsInd[[#This Row],[Stage]]="Groups",ResultsInd[[#This Row],[Category]]&amp;"-"&amp;IF(ResultsInd[[#This Row],[Player B]]="","",IF(ResultsInd[[#This Row],[Score-A]]=ResultsInd[[#This Row],[Score-B]],ResultsInd[[#This Row],[Player A]],"")),""),"")</f>
        <v/>
      </c>
      <c r="T1108" s="265" t="str">
        <f>IF(ResultsInd[[#This Row],[Score_OK]],IF(ResultsInd[[#This Row],[Stage]]="Groups",ResultsInd[[#This Row],[Category]]&amp;"-"&amp;IF(ResultsInd[[#This Row],[Player B]]="","",IF(ResultsInd[[#This Row],[Score-A]]=ResultsInd[[#This Row],[Score-B]],ResultsInd[[#This Row],[Player B]],"")),""),"")</f>
        <v/>
      </c>
      <c r="U11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8" s="264" t="str">
        <f>IF(ResultsInd[[#This Row],[Category]]="","",VLOOKUP(ResultsInd[[#This Row],[Stage]],$P$1:$V$9,MATCH(ResultsInd[[#This Row],[Category]],$Q$1:$V$1,0)+1,FALSE))</f>
        <v/>
      </c>
      <c r="Z1108" s="264" t="str">
        <f>IF(ResultsInd[[#This Row],[Score_OK]],IF(ResultsInd[[#This Row],[Level]]="R",ResultsInd[[#This Row],[Category]]&amp;"-"&amp;IF(ResultsInd[[#This Row],[LoseInKO]]=ResultsInd[[#This Row],[Category]]&amp;"-"&amp;ResultsInd[[#This Row],[Player A]],ResultsInd[[#This Row],[Player B]],ResultsInd[[#This Row],[Player A]]),""),"")</f>
        <v/>
      </c>
      <c r="AB1108" s="8"/>
      <c r="AC1108" s="8"/>
      <c r="AE1108" s="90"/>
      <c r="AF1108" s="90"/>
      <c r="AP1108" s="8"/>
      <c r="AQ1108" s="8"/>
      <c r="AR1108" s="8"/>
      <c r="AS1108" s="8"/>
      <c r="AT1108" s="8"/>
      <c r="AU1108" s="8"/>
      <c r="AV1108" s="8"/>
      <c r="AW1108" s="8"/>
      <c r="AX1108" s="8"/>
      <c r="AY1108" s="90"/>
      <c r="AZ1108" s="90"/>
      <c r="BA1108" s="90"/>
      <c r="BB1108" s="90"/>
      <c r="BC1108" s="90"/>
      <c r="BD1108" s="90"/>
      <c r="BE1108" s="90"/>
      <c r="BF1108" s="90"/>
    </row>
    <row r="1109" spans="1:58" x14ac:dyDescent="0.2">
      <c r="A1109" s="62"/>
      <c r="B1109" s="62"/>
      <c r="C1109" s="62"/>
      <c r="D1109" s="62"/>
      <c r="E1109" s="345"/>
      <c r="F1109" s="345"/>
      <c r="G1109" s="113"/>
      <c r="H1109" s="113"/>
      <c r="I1109" s="114"/>
      <c r="J1109" s="114"/>
      <c r="K1109" s="114"/>
      <c r="L1109" s="81"/>
      <c r="M1109" s="265" t="b">
        <f>NOT(ISERROR(ResultsInd[[#This Row],[Goal-A]]+ResultsInd[[#This Row],[Goal-B]]))</f>
        <v>1</v>
      </c>
      <c r="N1109" s="265">
        <f>VALUE(ResultsInd[[#This Row],[Score-A]])</f>
        <v>0</v>
      </c>
      <c r="O1109" s="265">
        <f>VALUE(ResultsInd[[#This Row],[Score-B]])</f>
        <v>0</v>
      </c>
      <c r="P1109" s="265" t="str">
        <f ca="1">IF(AND(ResultsInd[[#This Row],[Category]]&lt;&gt;"",ResultsInd[[#This Row],[Player A]]&lt;&gt;""),COUNTIF(INDIRECT(ResultsInd[[#This Row],[Category]]&amp;"List[Retained Player Name]"),ResultsInd[[#This Row],[Player A]]),"")</f>
        <v/>
      </c>
      <c r="Q1109" s="265" t="str">
        <f ca="1">IF(AND(ResultsInd[[#This Row],[Category]]&lt;&gt;"",ResultsInd[[#This Row],[Player B]]&lt;&gt;""),COUNTIF(INDIRECT(ResultsInd[[#This Row],[Category]]&amp;"List[Retained Player Name]"),ResultsInd[[#This Row],[Player B]]),"")</f>
        <v/>
      </c>
      <c r="R11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9" s="265" t="str">
        <f>IF(ResultsInd[[#This Row],[Score_OK]],IF(ResultsInd[[#This Row],[Stage]]="Groups",ResultsInd[[#This Row],[Category]]&amp;"-"&amp;IF(ResultsInd[[#This Row],[Player B]]="","",IF(ResultsInd[[#This Row],[Score-A]]=ResultsInd[[#This Row],[Score-B]],ResultsInd[[#This Row],[Player A]],"")),""),"")</f>
        <v/>
      </c>
      <c r="T1109" s="265" t="str">
        <f>IF(ResultsInd[[#This Row],[Score_OK]],IF(ResultsInd[[#This Row],[Stage]]="Groups",ResultsInd[[#This Row],[Category]]&amp;"-"&amp;IF(ResultsInd[[#This Row],[Player B]]="","",IF(ResultsInd[[#This Row],[Score-A]]=ResultsInd[[#This Row],[Score-B]],ResultsInd[[#This Row],[Player B]],"")),""),"")</f>
        <v/>
      </c>
      <c r="U11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9" s="264" t="str">
        <f>IF(ResultsInd[[#This Row],[Category]]="","",VLOOKUP(ResultsInd[[#This Row],[Stage]],$P$1:$V$9,MATCH(ResultsInd[[#This Row],[Category]],$Q$1:$V$1,0)+1,FALSE))</f>
        <v/>
      </c>
      <c r="Z1109" s="264" t="str">
        <f>IF(ResultsInd[[#This Row],[Score_OK]],IF(ResultsInd[[#This Row],[Level]]="R",ResultsInd[[#This Row],[Category]]&amp;"-"&amp;IF(ResultsInd[[#This Row],[LoseInKO]]=ResultsInd[[#This Row],[Category]]&amp;"-"&amp;ResultsInd[[#This Row],[Player A]],ResultsInd[[#This Row],[Player B]],ResultsInd[[#This Row],[Player A]]),""),"")</f>
        <v/>
      </c>
      <c r="AB1109" s="8"/>
      <c r="AC1109" s="8"/>
      <c r="AE1109" s="90"/>
      <c r="AF1109" s="90"/>
      <c r="AP1109" s="8"/>
      <c r="AQ1109" s="8"/>
      <c r="AR1109" s="8"/>
      <c r="AS1109" s="8"/>
      <c r="AT1109" s="8"/>
      <c r="AU1109" s="8"/>
      <c r="AV1109" s="8"/>
      <c r="AW1109" s="8"/>
      <c r="AX1109" s="8"/>
      <c r="AY1109" s="90"/>
      <c r="AZ1109" s="90"/>
      <c r="BA1109" s="90"/>
      <c r="BB1109" s="90"/>
      <c r="BC1109" s="90"/>
      <c r="BD1109" s="90"/>
      <c r="BE1109" s="90"/>
      <c r="BF1109" s="90"/>
    </row>
    <row r="1110" spans="1:58" x14ac:dyDescent="0.2">
      <c r="A1110" s="62"/>
      <c r="B1110" s="62"/>
      <c r="C1110" s="62"/>
      <c r="D1110" s="62"/>
      <c r="E1110" s="345"/>
      <c r="F1110" s="345"/>
      <c r="G1110" s="113"/>
      <c r="H1110" s="113"/>
      <c r="I1110" s="114"/>
      <c r="J1110" s="114"/>
      <c r="K1110" s="114"/>
      <c r="L1110" s="81"/>
      <c r="M1110" s="265" t="b">
        <f>NOT(ISERROR(ResultsInd[[#This Row],[Goal-A]]+ResultsInd[[#This Row],[Goal-B]]))</f>
        <v>1</v>
      </c>
      <c r="N1110" s="265">
        <f>VALUE(ResultsInd[[#This Row],[Score-A]])</f>
        <v>0</v>
      </c>
      <c r="O1110" s="265">
        <f>VALUE(ResultsInd[[#This Row],[Score-B]])</f>
        <v>0</v>
      </c>
      <c r="P1110" s="265" t="str">
        <f ca="1">IF(AND(ResultsInd[[#This Row],[Category]]&lt;&gt;"",ResultsInd[[#This Row],[Player A]]&lt;&gt;""),COUNTIF(INDIRECT(ResultsInd[[#This Row],[Category]]&amp;"List[Retained Player Name]"),ResultsInd[[#This Row],[Player A]]),"")</f>
        <v/>
      </c>
      <c r="Q1110" s="265" t="str">
        <f ca="1">IF(AND(ResultsInd[[#This Row],[Category]]&lt;&gt;"",ResultsInd[[#This Row],[Player B]]&lt;&gt;""),COUNTIF(INDIRECT(ResultsInd[[#This Row],[Category]]&amp;"List[Retained Player Name]"),ResultsInd[[#This Row],[Player B]]),"")</f>
        <v/>
      </c>
      <c r="R11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0" s="265" t="str">
        <f>IF(ResultsInd[[#This Row],[Score_OK]],IF(ResultsInd[[#This Row],[Stage]]="Groups",ResultsInd[[#This Row],[Category]]&amp;"-"&amp;IF(ResultsInd[[#This Row],[Player B]]="","",IF(ResultsInd[[#This Row],[Score-A]]=ResultsInd[[#This Row],[Score-B]],ResultsInd[[#This Row],[Player A]],"")),""),"")</f>
        <v/>
      </c>
      <c r="T1110" s="265" t="str">
        <f>IF(ResultsInd[[#This Row],[Score_OK]],IF(ResultsInd[[#This Row],[Stage]]="Groups",ResultsInd[[#This Row],[Category]]&amp;"-"&amp;IF(ResultsInd[[#This Row],[Player B]]="","",IF(ResultsInd[[#This Row],[Score-A]]=ResultsInd[[#This Row],[Score-B]],ResultsInd[[#This Row],[Player B]],"")),""),"")</f>
        <v/>
      </c>
      <c r="U11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0" s="264" t="str">
        <f>IF(ResultsInd[[#This Row],[Category]]="","",VLOOKUP(ResultsInd[[#This Row],[Stage]],$P$1:$V$9,MATCH(ResultsInd[[#This Row],[Category]],$Q$1:$V$1,0)+1,FALSE))</f>
        <v/>
      </c>
      <c r="Z1110" s="264" t="str">
        <f>IF(ResultsInd[[#This Row],[Score_OK]],IF(ResultsInd[[#This Row],[Level]]="R",ResultsInd[[#This Row],[Category]]&amp;"-"&amp;IF(ResultsInd[[#This Row],[LoseInKO]]=ResultsInd[[#This Row],[Category]]&amp;"-"&amp;ResultsInd[[#This Row],[Player A]],ResultsInd[[#This Row],[Player B]],ResultsInd[[#This Row],[Player A]]),""),"")</f>
        <v/>
      </c>
      <c r="AB1110" s="8"/>
      <c r="AC1110" s="8"/>
      <c r="AE1110" s="90"/>
      <c r="AF1110" s="90"/>
      <c r="AP1110" s="8"/>
      <c r="AQ1110" s="8"/>
      <c r="AR1110" s="8"/>
      <c r="AS1110" s="8"/>
      <c r="AT1110" s="8"/>
      <c r="AU1110" s="8"/>
      <c r="AV1110" s="8"/>
      <c r="AW1110" s="8"/>
      <c r="AX1110" s="8"/>
      <c r="AY1110" s="90"/>
      <c r="AZ1110" s="90"/>
      <c r="BA1110" s="90"/>
      <c r="BB1110" s="90"/>
      <c r="BC1110" s="90"/>
      <c r="BD1110" s="90"/>
      <c r="BE1110" s="90"/>
      <c r="BF1110" s="90"/>
    </row>
    <row r="1111" spans="1:58" x14ac:dyDescent="0.2">
      <c r="A1111" s="62"/>
      <c r="B1111" s="62"/>
      <c r="C1111" s="62"/>
      <c r="D1111" s="62"/>
      <c r="E1111" s="345"/>
      <c r="F1111" s="345"/>
      <c r="G1111" s="113"/>
      <c r="H1111" s="113"/>
      <c r="I1111" s="114"/>
      <c r="J1111" s="114"/>
      <c r="K1111" s="114"/>
      <c r="L1111" s="81"/>
      <c r="M1111" s="265" t="b">
        <f>NOT(ISERROR(ResultsInd[[#This Row],[Goal-A]]+ResultsInd[[#This Row],[Goal-B]]))</f>
        <v>1</v>
      </c>
      <c r="N1111" s="265">
        <f>VALUE(ResultsInd[[#This Row],[Score-A]])</f>
        <v>0</v>
      </c>
      <c r="O1111" s="265">
        <f>VALUE(ResultsInd[[#This Row],[Score-B]])</f>
        <v>0</v>
      </c>
      <c r="P1111" s="265" t="str">
        <f ca="1">IF(AND(ResultsInd[[#This Row],[Category]]&lt;&gt;"",ResultsInd[[#This Row],[Player A]]&lt;&gt;""),COUNTIF(INDIRECT(ResultsInd[[#This Row],[Category]]&amp;"List[Retained Player Name]"),ResultsInd[[#This Row],[Player A]]),"")</f>
        <v/>
      </c>
      <c r="Q1111" s="265" t="str">
        <f ca="1">IF(AND(ResultsInd[[#This Row],[Category]]&lt;&gt;"",ResultsInd[[#This Row],[Player B]]&lt;&gt;""),COUNTIF(INDIRECT(ResultsInd[[#This Row],[Category]]&amp;"List[Retained Player Name]"),ResultsInd[[#This Row],[Player B]]),"")</f>
        <v/>
      </c>
      <c r="R11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1" s="265" t="str">
        <f>IF(ResultsInd[[#This Row],[Score_OK]],IF(ResultsInd[[#This Row],[Stage]]="Groups",ResultsInd[[#This Row],[Category]]&amp;"-"&amp;IF(ResultsInd[[#This Row],[Player B]]="","",IF(ResultsInd[[#This Row],[Score-A]]=ResultsInd[[#This Row],[Score-B]],ResultsInd[[#This Row],[Player A]],"")),""),"")</f>
        <v/>
      </c>
      <c r="T1111" s="265" t="str">
        <f>IF(ResultsInd[[#This Row],[Score_OK]],IF(ResultsInd[[#This Row],[Stage]]="Groups",ResultsInd[[#This Row],[Category]]&amp;"-"&amp;IF(ResultsInd[[#This Row],[Player B]]="","",IF(ResultsInd[[#This Row],[Score-A]]=ResultsInd[[#This Row],[Score-B]],ResultsInd[[#This Row],[Player B]],"")),""),"")</f>
        <v/>
      </c>
      <c r="U11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1" s="264" t="str">
        <f>IF(ResultsInd[[#This Row],[Category]]="","",VLOOKUP(ResultsInd[[#This Row],[Stage]],$P$1:$V$9,MATCH(ResultsInd[[#This Row],[Category]],$Q$1:$V$1,0)+1,FALSE))</f>
        <v/>
      </c>
      <c r="Z1111" s="264" t="str">
        <f>IF(ResultsInd[[#This Row],[Score_OK]],IF(ResultsInd[[#This Row],[Level]]="R",ResultsInd[[#This Row],[Category]]&amp;"-"&amp;IF(ResultsInd[[#This Row],[LoseInKO]]=ResultsInd[[#This Row],[Category]]&amp;"-"&amp;ResultsInd[[#This Row],[Player A]],ResultsInd[[#This Row],[Player B]],ResultsInd[[#This Row],[Player A]]),""),"")</f>
        <v/>
      </c>
      <c r="AB1111" s="8"/>
      <c r="AC1111" s="8"/>
      <c r="AE1111" s="90"/>
      <c r="AF1111" s="90"/>
      <c r="AP1111" s="8"/>
      <c r="AQ1111" s="8"/>
      <c r="AR1111" s="8"/>
      <c r="AS1111" s="8"/>
      <c r="AT1111" s="8"/>
      <c r="AU1111" s="8"/>
      <c r="AV1111" s="8"/>
      <c r="AW1111" s="8"/>
      <c r="AX1111" s="8"/>
      <c r="AY1111" s="90"/>
      <c r="AZ1111" s="90"/>
      <c r="BA1111" s="90"/>
      <c r="BB1111" s="90"/>
      <c r="BC1111" s="90"/>
      <c r="BD1111" s="90"/>
      <c r="BE1111" s="90"/>
      <c r="BF1111" s="90"/>
    </row>
    <row r="1112" spans="1:58" x14ac:dyDescent="0.2">
      <c r="A1112" s="62"/>
      <c r="B1112" s="62"/>
      <c r="C1112" s="62"/>
      <c r="D1112" s="62"/>
      <c r="E1112" s="345"/>
      <c r="F1112" s="345"/>
      <c r="G1112" s="113"/>
      <c r="H1112" s="113"/>
      <c r="I1112" s="114"/>
      <c r="J1112" s="114"/>
      <c r="K1112" s="114"/>
      <c r="L1112" s="81"/>
      <c r="M1112" s="265" t="b">
        <f>NOT(ISERROR(ResultsInd[[#This Row],[Goal-A]]+ResultsInd[[#This Row],[Goal-B]]))</f>
        <v>1</v>
      </c>
      <c r="N1112" s="265">
        <f>VALUE(ResultsInd[[#This Row],[Score-A]])</f>
        <v>0</v>
      </c>
      <c r="O1112" s="265">
        <f>VALUE(ResultsInd[[#This Row],[Score-B]])</f>
        <v>0</v>
      </c>
      <c r="P1112" s="265" t="str">
        <f ca="1">IF(AND(ResultsInd[[#This Row],[Category]]&lt;&gt;"",ResultsInd[[#This Row],[Player A]]&lt;&gt;""),COUNTIF(INDIRECT(ResultsInd[[#This Row],[Category]]&amp;"List[Retained Player Name]"),ResultsInd[[#This Row],[Player A]]),"")</f>
        <v/>
      </c>
      <c r="Q1112" s="265" t="str">
        <f ca="1">IF(AND(ResultsInd[[#This Row],[Category]]&lt;&gt;"",ResultsInd[[#This Row],[Player B]]&lt;&gt;""),COUNTIF(INDIRECT(ResultsInd[[#This Row],[Category]]&amp;"List[Retained Player Name]"),ResultsInd[[#This Row],[Player B]]),"")</f>
        <v/>
      </c>
      <c r="R11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2" s="265" t="str">
        <f>IF(ResultsInd[[#This Row],[Score_OK]],IF(ResultsInd[[#This Row],[Stage]]="Groups",ResultsInd[[#This Row],[Category]]&amp;"-"&amp;IF(ResultsInd[[#This Row],[Player B]]="","",IF(ResultsInd[[#This Row],[Score-A]]=ResultsInd[[#This Row],[Score-B]],ResultsInd[[#This Row],[Player A]],"")),""),"")</f>
        <v/>
      </c>
      <c r="T1112" s="265" t="str">
        <f>IF(ResultsInd[[#This Row],[Score_OK]],IF(ResultsInd[[#This Row],[Stage]]="Groups",ResultsInd[[#This Row],[Category]]&amp;"-"&amp;IF(ResultsInd[[#This Row],[Player B]]="","",IF(ResultsInd[[#This Row],[Score-A]]=ResultsInd[[#This Row],[Score-B]],ResultsInd[[#This Row],[Player B]],"")),""),"")</f>
        <v/>
      </c>
      <c r="U11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2" s="264" t="str">
        <f>IF(ResultsInd[[#This Row],[Category]]="","",VLOOKUP(ResultsInd[[#This Row],[Stage]],$P$1:$V$9,MATCH(ResultsInd[[#This Row],[Category]],$Q$1:$V$1,0)+1,FALSE))</f>
        <v/>
      </c>
      <c r="Z1112" s="264" t="str">
        <f>IF(ResultsInd[[#This Row],[Score_OK]],IF(ResultsInd[[#This Row],[Level]]="R",ResultsInd[[#This Row],[Category]]&amp;"-"&amp;IF(ResultsInd[[#This Row],[LoseInKO]]=ResultsInd[[#This Row],[Category]]&amp;"-"&amp;ResultsInd[[#This Row],[Player A]],ResultsInd[[#This Row],[Player B]],ResultsInd[[#This Row],[Player A]]),""),"")</f>
        <v/>
      </c>
      <c r="AB1112" s="8"/>
      <c r="AC1112" s="8"/>
      <c r="AE1112" s="90"/>
      <c r="AF1112" s="90"/>
      <c r="AP1112" s="8"/>
      <c r="AQ1112" s="8"/>
      <c r="AR1112" s="8"/>
      <c r="AS1112" s="8"/>
      <c r="AT1112" s="8"/>
      <c r="AU1112" s="8"/>
      <c r="AV1112" s="8"/>
      <c r="AW1112" s="8"/>
      <c r="AX1112" s="8"/>
      <c r="AY1112" s="90"/>
      <c r="AZ1112" s="90"/>
      <c r="BA1112" s="90"/>
      <c r="BB1112" s="90"/>
      <c r="BC1112" s="90"/>
      <c r="BD1112" s="90"/>
      <c r="BE1112" s="90"/>
      <c r="BF1112" s="90"/>
    </row>
    <row r="1113" spans="1:58" x14ac:dyDescent="0.2">
      <c r="A1113" s="62"/>
      <c r="B1113" s="62"/>
      <c r="C1113" s="62"/>
      <c r="D1113" s="62"/>
      <c r="E1113" s="345"/>
      <c r="F1113" s="345"/>
      <c r="G1113" s="113"/>
      <c r="H1113" s="113"/>
      <c r="I1113" s="114"/>
      <c r="J1113" s="114"/>
      <c r="K1113" s="114"/>
      <c r="L1113" s="81"/>
      <c r="M1113" s="265" t="b">
        <f>NOT(ISERROR(ResultsInd[[#This Row],[Goal-A]]+ResultsInd[[#This Row],[Goal-B]]))</f>
        <v>1</v>
      </c>
      <c r="N1113" s="265">
        <f>VALUE(ResultsInd[[#This Row],[Score-A]])</f>
        <v>0</v>
      </c>
      <c r="O1113" s="265">
        <f>VALUE(ResultsInd[[#This Row],[Score-B]])</f>
        <v>0</v>
      </c>
      <c r="P1113" s="265" t="str">
        <f ca="1">IF(AND(ResultsInd[[#This Row],[Category]]&lt;&gt;"",ResultsInd[[#This Row],[Player A]]&lt;&gt;""),COUNTIF(INDIRECT(ResultsInd[[#This Row],[Category]]&amp;"List[Retained Player Name]"),ResultsInd[[#This Row],[Player A]]),"")</f>
        <v/>
      </c>
      <c r="Q1113" s="265" t="str">
        <f ca="1">IF(AND(ResultsInd[[#This Row],[Category]]&lt;&gt;"",ResultsInd[[#This Row],[Player B]]&lt;&gt;""),COUNTIF(INDIRECT(ResultsInd[[#This Row],[Category]]&amp;"List[Retained Player Name]"),ResultsInd[[#This Row],[Player B]]),"")</f>
        <v/>
      </c>
      <c r="R11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3" s="265" t="str">
        <f>IF(ResultsInd[[#This Row],[Score_OK]],IF(ResultsInd[[#This Row],[Stage]]="Groups",ResultsInd[[#This Row],[Category]]&amp;"-"&amp;IF(ResultsInd[[#This Row],[Player B]]="","",IF(ResultsInd[[#This Row],[Score-A]]=ResultsInd[[#This Row],[Score-B]],ResultsInd[[#This Row],[Player A]],"")),""),"")</f>
        <v/>
      </c>
      <c r="T1113" s="265" t="str">
        <f>IF(ResultsInd[[#This Row],[Score_OK]],IF(ResultsInd[[#This Row],[Stage]]="Groups",ResultsInd[[#This Row],[Category]]&amp;"-"&amp;IF(ResultsInd[[#This Row],[Player B]]="","",IF(ResultsInd[[#This Row],[Score-A]]=ResultsInd[[#This Row],[Score-B]],ResultsInd[[#This Row],[Player B]],"")),""),"")</f>
        <v/>
      </c>
      <c r="U11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3" s="264" t="str">
        <f>IF(ResultsInd[[#This Row],[Category]]="","",VLOOKUP(ResultsInd[[#This Row],[Stage]],$P$1:$V$9,MATCH(ResultsInd[[#This Row],[Category]],$Q$1:$V$1,0)+1,FALSE))</f>
        <v/>
      </c>
      <c r="Z1113" s="264" t="str">
        <f>IF(ResultsInd[[#This Row],[Score_OK]],IF(ResultsInd[[#This Row],[Level]]="R",ResultsInd[[#This Row],[Category]]&amp;"-"&amp;IF(ResultsInd[[#This Row],[LoseInKO]]=ResultsInd[[#This Row],[Category]]&amp;"-"&amp;ResultsInd[[#This Row],[Player A]],ResultsInd[[#This Row],[Player B]],ResultsInd[[#This Row],[Player A]]),""),"")</f>
        <v/>
      </c>
      <c r="AB1113" s="8"/>
      <c r="AC1113" s="8"/>
      <c r="AE1113" s="90"/>
      <c r="AF1113" s="90"/>
      <c r="AP1113" s="8"/>
      <c r="AQ1113" s="8"/>
      <c r="AR1113" s="8"/>
      <c r="AS1113" s="8"/>
      <c r="AT1113" s="8"/>
      <c r="AU1113" s="8"/>
      <c r="AV1113" s="8"/>
      <c r="AW1113" s="8"/>
      <c r="AX1113" s="8"/>
      <c r="AY1113" s="90"/>
      <c r="AZ1113" s="90"/>
      <c r="BA1113" s="90"/>
      <c r="BB1113" s="90"/>
      <c r="BC1113" s="90"/>
      <c r="BD1113" s="90"/>
      <c r="BE1113" s="90"/>
      <c r="BF1113" s="90"/>
    </row>
    <row r="1114" spans="1:58" x14ac:dyDescent="0.2">
      <c r="A1114" s="62"/>
      <c r="B1114" s="62"/>
      <c r="C1114" s="62"/>
      <c r="D1114" s="62"/>
      <c r="E1114" s="345"/>
      <c r="F1114" s="345"/>
      <c r="G1114" s="113"/>
      <c r="H1114" s="113"/>
      <c r="I1114" s="114"/>
      <c r="J1114" s="114"/>
      <c r="K1114" s="114"/>
      <c r="L1114" s="81"/>
      <c r="M1114" s="265" t="b">
        <f>NOT(ISERROR(ResultsInd[[#This Row],[Goal-A]]+ResultsInd[[#This Row],[Goal-B]]))</f>
        <v>1</v>
      </c>
      <c r="N1114" s="265">
        <f>VALUE(ResultsInd[[#This Row],[Score-A]])</f>
        <v>0</v>
      </c>
      <c r="O1114" s="265">
        <f>VALUE(ResultsInd[[#This Row],[Score-B]])</f>
        <v>0</v>
      </c>
      <c r="P1114" s="265" t="str">
        <f ca="1">IF(AND(ResultsInd[[#This Row],[Category]]&lt;&gt;"",ResultsInd[[#This Row],[Player A]]&lt;&gt;""),COUNTIF(INDIRECT(ResultsInd[[#This Row],[Category]]&amp;"List[Retained Player Name]"),ResultsInd[[#This Row],[Player A]]),"")</f>
        <v/>
      </c>
      <c r="Q1114" s="265" t="str">
        <f ca="1">IF(AND(ResultsInd[[#This Row],[Category]]&lt;&gt;"",ResultsInd[[#This Row],[Player B]]&lt;&gt;""),COUNTIF(INDIRECT(ResultsInd[[#This Row],[Category]]&amp;"List[Retained Player Name]"),ResultsInd[[#This Row],[Player B]]),"")</f>
        <v/>
      </c>
      <c r="R11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4" s="265" t="str">
        <f>IF(ResultsInd[[#This Row],[Score_OK]],IF(ResultsInd[[#This Row],[Stage]]="Groups",ResultsInd[[#This Row],[Category]]&amp;"-"&amp;IF(ResultsInd[[#This Row],[Player B]]="","",IF(ResultsInd[[#This Row],[Score-A]]=ResultsInd[[#This Row],[Score-B]],ResultsInd[[#This Row],[Player A]],"")),""),"")</f>
        <v/>
      </c>
      <c r="T1114" s="265" t="str">
        <f>IF(ResultsInd[[#This Row],[Score_OK]],IF(ResultsInd[[#This Row],[Stage]]="Groups",ResultsInd[[#This Row],[Category]]&amp;"-"&amp;IF(ResultsInd[[#This Row],[Player B]]="","",IF(ResultsInd[[#This Row],[Score-A]]=ResultsInd[[#This Row],[Score-B]],ResultsInd[[#This Row],[Player B]],"")),""),"")</f>
        <v/>
      </c>
      <c r="U11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4" s="264" t="str">
        <f>IF(ResultsInd[[#This Row],[Category]]="","",VLOOKUP(ResultsInd[[#This Row],[Stage]],$P$1:$V$9,MATCH(ResultsInd[[#This Row],[Category]],$Q$1:$V$1,0)+1,FALSE))</f>
        <v/>
      </c>
      <c r="Z1114" s="264" t="str">
        <f>IF(ResultsInd[[#This Row],[Score_OK]],IF(ResultsInd[[#This Row],[Level]]="R",ResultsInd[[#This Row],[Category]]&amp;"-"&amp;IF(ResultsInd[[#This Row],[LoseInKO]]=ResultsInd[[#This Row],[Category]]&amp;"-"&amp;ResultsInd[[#This Row],[Player A]],ResultsInd[[#This Row],[Player B]],ResultsInd[[#This Row],[Player A]]),""),"")</f>
        <v/>
      </c>
      <c r="AB1114" s="8"/>
      <c r="AC1114" s="8"/>
      <c r="AE1114" s="90"/>
      <c r="AF1114" s="90"/>
      <c r="AP1114" s="8"/>
      <c r="AQ1114" s="8"/>
      <c r="AR1114" s="8"/>
      <c r="AS1114" s="8"/>
      <c r="AT1114" s="8"/>
      <c r="AU1114" s="8"/>
      <c r="AV1114" s="8"/>
      <c r="AW1114" s="8"/>
      <c r="AX1114" s="8"/>
      <c r="AY1114" s="90"/>
      <c r="AZ1114" s="90"/>
      <c r="BA1114" s="90"/>
      <c r="BB1114" s="90"/>
      <c r="BC1114" s="90"/>
      <c r="BD1114" s="90"/>
      <c r="BE1114" s="90"/>
      <c r="BF1114" s="90"/>
    </row>
    <row r="1115" spans="1:58" x14ac:dyDescent="0.2">
      <c r="A1115" s="62"/>
      <c r="B1115" s="62"/>
      <c r="C1115" s="62"/>
      <c r="D1115" s="62"/>
      <c r="E1115" s="345"/>
      <c r="F1115" s="345"/>
      <c r="G1115" s="113"/>
      <c r="H1115" s="113"/>
      <c r="I1115" s="114"/>
      <c r="J1115" s="114"/>
      <c r="K1115" s="114"/>
      <c r="L1115" s="81"/>
      <c r="M1115" s="265" t="b">
        <f>NOT(ISERROR(ResultsInd[[#This Row],[Goal-A]]+ResultsInd[[#This Row],[Goal-B]]))</f>
        <v>1</v>
      </c>
      <c r="N1115" s="265">
        <f>VALUE(ResultsInd[[#This Row],[Score-A]])</f>
        <v>0</v>
      </c>
      <c r="O1115" s="265">
        <f>VALUE(ResultsInd[[#This Row],[Score-B]])</f>
        <v>0</v>
      </c>
      <c r="P1115" s="265" t="str">
        <f ca="1">IF(AND(ResultsInd[[#This Row],[Category]]&lt;&gt;"",ResultsInd[[#This Row],[Player A]]&lt;&gt;""),COUNTIF(INDIRECT(ResultsInd[[#This Row],[Category]]&amp;"List[Retained Player Name]"),ResultsInd[[#This Row],[Player A]]),"")</f>
        <v/>
      </c>
      <c r="Q1115" s="265" t="str">
        <f ca="1">IF(AND(ResultsInd[[#This Row],[Category]]&lt;&gt;"",ResultsInd[[#This Row],[Player B]]&lt;&gt;""),COUNTIF(INDIRECT(ResultsInd[[#This Row],[Category]]&amp;"List[Retained Player Name]"),ResultsInd[[#This Row],[Player B]]),"")</f>
        <v/>
      </c>
      <c r="R11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5" s="265" t="str">
        <f>IF(ResultsInd[[#This Row],[Score_OK]],IF(ResultsInd[[#This Row],[Stage]]="Groups",ResultsInd[[#This Row],[Category]]&amp;"-"&amp;IF(ResultsInd[[#This Row],[Player B]]="","",IF(ResultsInd[[#This Row],[Score-A]]=ResultsInd[[#This Row],[Score-B]],ResultsInd[[#This Row],[Player A]],"")),""),"")</f>
        <v/>
      </c>
      <c r="T1115" s="265" t="str">
        <f>IF(ResultsInd[[#This Row],[Score_OK]],IF(ResultsInd[[#This Row],[Stage]]="Groups",ResultsInd[[#This Row],[Category]]&amp;"-"&amp;IF(ResultsInd[[#This Row],[Player B]]="","",IF(ResultsInd[[#This Row],[Score-A]]=ResultsInd[[#This Row],[Score-B]],ResultsInd[[#This Row],[Player B]],"")),""),"")</f>
        <v/>
      </c>
      <c r="U11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5" s="264" t="str">
        <f>IF(ResultsInd[[#This Row],[Category]]="","",VLOOKUP(ResultsInd[[#This Row],[Stage]],$P$1:$V$9,MATCH(ResultsInd[[#This Row],[Category]],$Q$1:$V$1,0)+1,FALSE))</f>
        <v/>
      </c>
      <c r="Z1115" s="264" t="str">
        <f>IF(ResultsInd[[#This Row],[Score_OK]],IF(ResultsInd[[#This Row],[Level]]="R",ResultsInd[[#This Row],[Category]]&amp;"-"&amp;IF(ResultsInd[[#This Row],[LoseInKO]]=ResultsInd[[#This Row],[Category]]&amp;"-"&amp;ResultsInd[[#This Row],[Player A]],ResultsInd[[#This Row],[Player B]],ResultsInd[[#This Row],[Player A]]),""),"")</f>
        <v/>
      </c>
      <c r="AB1115" s="8"/>
      <c r="AC1115" s="8"/>
      <c r="AE1115" s="90"/>
      <c r="AF1115" s="90"/>
      <c r="AP1115" s="8"/>
      <c r="AQ1115" s="8"/>
      <c r="AR1115" s="8"/>
      <c r="AS1115" s="8"/>
      <c r="AT1115" s="8"/>
      <c r="AU1115" s="8"/>
      <c r="AV1115" s="8"/>
      <c r="AW1115" s="8"/>
      <c r="AX1115" s="8"/>
      <c r="AY1115" s="90"/>
      <c r="AZ1115" s="90"/>
      <c r="BA1115" s="90"/>
      <c r="BB1115" s="90"/>
      <c r="BC1115" s="90"/>
      <c r="BD1115" s="90"/>
      <c r="BE1115" s="90"/>
      <c r="BF1115" s="90"/>
    </row>
    <row r="1116" spans="1:58" x14ac:dyDescent="0.2">
      <c r="A1116" s="62"/>
      <c r="B1116" s="62"/>
      <c r="C1116" s="62"/>
      <c r="D1116" s="62"/>
      <c r="E1116" s="345"/>
      <c r="F1116" s="345"/>
      <c r="G1116" s="113"/>
      <c r="H1116" s="113"/>
      <c r="I1116" s="114"/>
      <c r="J1116" s="114"/>
      <c r="K1116" s="114"/>
      <c r="L1116" s="81"/>
      <c r="M1116" s="265" t="b">
        <f>NOT(ISERROR(ResultsInd[[#This Row],[Goal-A]]+ResultsInd[[#This Row],[Goal-B]]))</f>
        <v>1</v>
      </c>
      <c r="N1116" s="265">
        <f>VALUE(ResultsInd[[#This Row],[Score-A]])</f>
        <v>0</v>
      </c>
      <c r="O1116" s="265">
        <f>VALUE(ResultsInd[[#This Row],[Score-B]])</f>
        <v>0</v>
      </c>
      <c r="P1116" s="265" t="str">
        <f ca="1">IF(AND(ResultsInd[[#This Row],[Category]]&lt;&gt;"",ResultsInd[[#This Row],[Player A]]&lt;&gt;""),COUNTIF(INDIRECT(ResultsInd[[#This Row],[Category]]&amp;"List[Retained Player Name]"),ResultsInd[[#This Row],[Player A]]),"")</f>
        <v/>
      </c>
      <c r="Q1116" s="265" t="str">
        <f ca="1">IF(AND(ResultsInd[[#This Row],[Category]]&lt;&gt;"",ResultsInd[[#This Row],[Player B]]&lt;&gt;""),COUNTIF(INDIRECT(ResultsInd[[#This Row],[Category]]&amp;"List[Retained Player Name]"),ResultsInd[[#This Row],[Player B]]),"")</f>
        <v/>
      </c>
      <c r="R11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6" s="265" t="str">
        <f>IF(ResultsInd[[#This Row],[Score_OK]],IF(ResultsInd[[#This Row],[Stage]]="Groups",ResultsInd[[#This Row],[Category]]&amp;"-"&amp;IF(ResultsInd[[#This Row],[Player B]]="","",IF(ResultsInd[[#This Row],[Score-A]]=ResultsInd[[#This Row],[Score-B]],ResultsInd[[#This Row],[Player A]],"")),""),"")</f>
        <v/>
      </c>
      <c r="T1116" s="265" t="str">
        <f>IF(ResultsInd[[#This Row],[Score_OK]],IF(ResultsInd[[#This Row],[Stage]]="Groups",ResultsInd[[#This Row],[Category]]&amp;"-"&amp;IF(ResultsInd[[#This Row],[Player B]]="","",IF(ResultsInd[[#This Row],[Score-A]]=ResultsInd[[#This Row],[Score-B]],ResultsInd[[#This Row],[Player B]],"")),""),"")</f>
        <v/>
      </c>
      <c r="U11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6" s="264" t="str">
        <f>IF(ResultsInd[[#This Row],[Category]]="","",VLOOKUP(ResultsInd[[#This Row],[Stage]],$P$1:$V$9,MATCH(ResultsInd[[#This Row],[Category]],$Q$1:$V$1,0)+1,FALSE))</f>
        <v/>
      </c>
      <c r="Z1116" s="264" t="str">
        <f>IF(ResultsInd[[#This Row],[Score_OK]],IF(ResultsInd[[#This Row],[Level]]="R",ResultsInd[[#This Row],[Category]]&amp;"-"&amp;IF(ResultsInd[[#This Row],[LoseInKO]]=ResultsInd[[#This Row],[Category]]&amp;"-"&amp;ResultsInd[[#This Row],[Player A]],ResultsInd[[#This Row],[Player B]],ResultsInd[[#This Row],[Player A]]),""),"")</f>
        <v/>
      </c>
      <c r="AB1116" s="8"/>
      <c r="AC1116" s="8"/>
      <c r="AE1116" s="90"/>
      <c r="AF1116" s="90"/>
      <c r="AP1116" s="8"/>
      <c r="AQ1116" s="8"/>
      <c r="AR1116" s="8"/>
      <c r="AS1116" s="8"/>
      <c r="AT1116" s="8"/>
      <c r="AU1116" s="8"/>
      <c r="AV1116" s="8"/>
      <c r="AW1116" s="8"/>
      <c r="AX1116" s="8"/>
      <c r="AY1116" s="90"/>
      <c r="AZ1116" s="90"/>
      <c r="BA1116" s="90"/>
      <c r="BB1116" s="90"/>
      <c r="BC1116" s="90"/>
      <c r="BD1116" s="90"/>
      <c r="BE1116" s="90"/>
      <c r="BF1116" s="90"/>
    </row>
    <row r="1117" spans="1:58" x14ac:dyDescent="0.2">
      <c r="A1117" s="62"/>
      <c r="B1117" s="62"/>
      <c r="C1117" s="62"/>
      <c r="D1117" s="62"/>
      <c r="E1117" s="345"/>
      <c r="F1117" s="345"/>
      <c r="G1117" s="113"/>
      <c r="H1117" s="113"/>
      <c r="I1117" s="114"/>
      <c r="J1117" s="114"/>
      <c r="K1117" s="114"/>
      <c r="L1117" s="81"/>
      <c r="M1117" s="265" t="b">
        <f>NOT(ISERROR(ResultsInd[[#This Row],[Goal-A]]+ResultsInd[[#This Row],[Goal-B]]))</f>
        <v>1</v>
      </c>
      <c r="N1117" s="265">
        <f>VALUE(ResultsInd[[#This Row],[Score-A]])</f>
        <v>0</v>
      </c>
      <c r="O1117" s="265">
        <f>VALUE(ResultsInd[[#This Row],[Score-B]])</f>
        <v>0</v>
      </c>
      <c r="P1117" s="265" t="str">
        <f ca="1">IF(AND(ResultsInd[[#This Row],[Category]]&lt;&gt;"",ResultsInd[[#This Row],[Player A]]&lt;&gt;""),COUNTIF(INDIRECT(ResultsInd[[#This Row],[Category]]&amp;"List[Retained Player Name]"),ResultsInd[[#This Row],[Player A]]),"")</f>
        <v/>
      </c>
      <c r="Q1117" s="265" t="str">
        <f ca="1">IF(AND(ResultsInd[[#This Row],[Category]]&lt;&gt;"",ResultsInd[[#This Row],[Player B]]&lt;&gt;""),COUNTIF(INDIRECT(ResultsInd[[#This Row],[Category]]&amp;"List[Retained Player Name]"),ResultsInd[[#This Row],[Player B]]),"")</f>
        <v/>
      </c>
      <c r="R11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7" s="265" t="str">
        <f>IF(ResultsInd[[#This Row],[Score_OK]],IF(ResultsInd[[#This Row],[Stage]]="Groups",ResultsInd[[#This Row],[Category]]&amp;"-"&amp;IF(ResultsInd[[#This Row],[Player B]]="","",IF(ResultsInd[[#This Row],[Score-A]]=ResultsInd[[#This Row],[Score-B]],ResultsInd[[#This Row],[Player A]],"")),""),"")</f>
        <v/>
      </c>
      <c r="T1117" s="265" t="str">
        <f>IF(ResultsInd[[#This Row],[Score_OK]],IF(ResultsInd[[#This Row],[Stage]]="Groups",ResultsInd[[#This Row],[Category]]&amp;"-"&amp;IF(ResultsInd[[#This Row],[Player B]]="","",IF(ResultsInd[[#This Row],[Score-A]]=ResultsInd[[#This Row],[Score-B]],ResultsInd[[#This Row],[Player B]],"")),""),"")</f>
        <v/>
      </c>
      <c r="U11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7" s="264" t="str">
        <f>IF(ResultsInd[[#This Row],[Category]]="","",VLOOKUP(ResultsInd[[#This Row],[Stage]],$P$1:$V$9,MATCH(ResultsInd[[#This Row],[Category]],$Q$1:$V$1,0)+1,FALSE))</f>
        <v/>
      </c>
      <c r="Z1117" s="264" t="str">
        <f>IF(ResultsInd[[#This Row],[Score_OK]],IF(ResultsInd[[#This Row],[Level]]="R",ResultsInd[[#This Row],[Category]]&amp;"-"&amp;IF(ResultsInd[[#This Row],[LoseInKO]]=ResultsInd[[#This Row],[Category]]&amp;"-"&amp;ResultsInd[[#This Row],[Player A]],ResultsInd[[#This Row],[Player B]],ResultsInd[[#This Row],[Player A]]),""),"")</f>
        <v/>
      </c>
      <c r="AB1117" s="8"/>
      <c r="AC1117" s="8"/>
      <c r="AE1117" s="90"/>
      <c r="AF1117" s="90"/>
      <c r="AP1117" s="8"/>
      <c r="AQ1117" s="8"/>
      <c r="AR1117" s="8"/>
      <c r="AS1117" s="8"/>
      <c r="AT1117" s="8"/>
      <c r="AU1117" s="8"/>
      <c r="AV1117" s="8"/>
      <c r="AW1117" s="8"/>
      <c r="AX1117" s="8"/>
      <c r="AY1117" s="90"/>
      <c r="AZ1117" s="90"/>
      <c r="BA1117" s="90"/>
      <c r="BB1117" s="90"/>
      <c r="BC1117" s="90"/>
      <c r="BD1117" s="90"/>
      <c r="BE1117" s="90"/>
      <c r="BF1117" s="90"/>
    </row>
    <row r="1118" spans="1:58" x14ac:dyDescent="0.2">
      <c r="A1118" s="62"/>
      <c r="B1118" s="62"/>
      <c r="C1118" s="62"/>
      <c r="D1118" s="62"/>
      <c r="E1118" s="345"/>
      <c r="F1118" s="345"/>
      <c r="G1118" s="113"/>
      <c r="H1118" s="113"/>
      <c r="I1118" s="114"/>
      <c r="J1118" s="114"/>
      <c r="K1118" s="114"/>
      <c r="L1118" s="81"/>
      <c r="M1118" s="265" t="b">
        <f>NOT(ISERROR(ResultsInd[[#This Row],[Goal-A]]+ResultsInd[[#This Row],[Goal-B]]))</f>
        <v>1</v>
      </c>
      <c r="N1118" s="265">
        <f>VALUE(ResultsInd[[#This Row],[Score-A]])</f>
        <v>0</v>
      </c>
      <c r="O1118" s="265">
        <f>VALUE(ResultsInd[[#This Row],[Score-B]])</f>
        <v>0</v>
      </c>
      <c r="P1118" s="265" t="str">
        <f ca="1">IF(AND(ResultsInd[[#This Row],[Category]]&lt;&gt;"",ResultsInd[[#This Row],[Player A]]&lt;&gt;""),COUNTIF(INDIRECT(ResultsInd[[#This Row],[Category]]&amp;"List[Retained Player Name]"),ResultsInd[[#This Row],[Player A]]),"")</f>
        <v/>
      </c>
      <c r="Q1118" s="265" t="str">
        <f ca="1">IF(AND(ResultsInd[[#This Row],[Category]]&lt;&gt;"",ResultsInd[[#This Row],[Player B]]&lt;&gt;""),COUNTIF(INDIRECT(ResultsInd[[#This Row],[Category]]&amp;"List[Retained Player Name]"),ResultsInd[[#This Row],[Player B]]),"")</f>
        <v/>
      </c>
      <c r="R11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8" s="265" t="str">
        <f>IF(ResultsInd[[#This Row],[Score_OK]],IF(ResultsInd[[#This Row],[Stage]]="Groups",ResultsInd[[#This Row],[Category]]&amp;"-"&amp;IF(ResultsInd[[#This Row],[Player B]]="","",IF(ResultsInd[[#This Row],[Score-A]]=ResultsInd[[#This Row],[Score-B]],ResultsInd[[#This Row],[Player A]],"")),""),"")</f>
        <v/>
      </c>
      <c r="T1118" s="265" t="str">
        <f>IF(ResultsInd[[#This Row],[Score_OK]],IF(ResultsInd[[#This Row],[Stage]]="Groups",ResultsInd[[#This Row],[Category]]&amp;"-"&amp;IF(ResultsInd[[#This Row],[Player B]]="","",IF(ResultsInd[[#This Row],[Score-A]]=ResultsInd[[#This Row],[Score-B]],ResultsInd[[#This Row],[Player B]],"")),""),"")</f>
        <v/>
      </c>
      <c r="U11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8" s="264" t="str">
        <f>IF(ResultsInd[[#This Row],[Category]]="","",VLOOKUP(ResultsInd[[#This Row],[Stage]],$P$1:$V$9,MATCH(ResultsInd[[#This Row],[Category]],$Q$1:$V$1,0)+1,FALSE))</f>
        <v/>
      </c>
      <c r="Z1118" s="264" t="str">
        <f>IF(ResultsInd[[#This Row],[Score_OK]],IF(ResultsInd[[#This Row],[Level]]="R",ResultsInd[[#This Row],[Category]]&amp;"-"&amp;IF(ResultsInd[[#This Row],[LoseInKO]]=ResultsInd[[#This Row],[Category]]&amp;"-"&amp;ResultsInd[[#This Row],[Player A]],ResultsInd[[#This Row],[Player B]],ResultsInd[[#This Row],[Player A]]),""),"")</f>
        <v/>
      </c>
      <c r="AB1118" s="8"/>
      <c r="AC1118" s="8"/>
      <c r="AE1118" s="90"/>
      <c r="AF1118" s="90"/>
      <c r="AP1118" s="8"/>
      <c r="AQ1118" s="8"/>
      <c r="AR1118" s="8"/>
      <c r="AS1118" s="8"/>
      <c r="AT1118" s="8"/>
      <c r="AU1118" s="8"/>
      <c r="AV1118" s="8"/>
      <c r="AW1118" s="8"/>
      <c r="AX1118" s="8"/>
      <c r="AY1118" s="90"/>
      <c r="AZ1118" s="90"/>
      <c r="BA1118" s="90"/>
      <c r="BB1118" s="90"/>
      <c r="BC1118" s="90"/>
      <c r="BD1118" s="90"/>
      <c r="BE1118" s="90"/>
      <c r="BF1118" s="90"/>
    </row>
    <row r="1119" spans="1:58" x14ac:dyDescent="0.2">
      <c r="A1119" s="62"/>
      <c r="B1119" s="62"/>
      <c r="C1119" s="62"/>
      <c r="D1119" s="62"/>
      <c r="E1119" s="345"/>
      <c r="F1119" s="345"/>
      <c r="G1119" s="113"/>
      <c r="H1119" s="113"/>
      <c r="I1119" s="114"/>
      <c r="J1119" s="114"/>
      <c r="K1119" s="114"/>
      <c r="L1119" s="81"/>
      <c r="M1119" s="265" t="b">
        <f>NOT(ISERROR(ResultsInd[[#This Row],[Goal-A]]+ResultsInd[[#This Row],[Goal-B]]))</f>
        <v>1</v>
      </c>
      <c r="N1119" s="265">
        <f>VALUE(ResultsInd[[#This Row],[Score-A]])</f>
        <v>0</v>
      </c>
      <c r="O1119" s="265">
        <f>VALUE(ResultsInd[[#This Row],[Score-B]])</f>
        <v>0</v>
      </c>
      <c r="P1119" s="265" t="str">
        <f ca="1">IF(AND(ResultsInd[[#This Row],[Category]]&lt;&gt;"",ResultsInd[[#This Row],[Player A]]&lt;&gt;""),COUNTIF(INDIRECT(ResultsInd[[#This Row],[Category]]&amp;"List[Retained Player Name]"),ResultsInd[[#This Row],[Player A]]),"")</f>
        <v/>
      </c>
      <c r="Q1119" s="265" t="str">
        <f ca="1">IF(AND(ResultsInd[[#This Row],[Category]]&lt;&gt;"",ResultsInd[[#This Row],[Player B]]&lt;&gt;""),COUNTIF(INDIRECT(ResultsInd[[#This Row],[Category]]&amp;"List[Retained Player Name]"),ResultsInd[[#This Row],[Player B]]),"")</f>
        <v/>
      </c>
      <c r="R11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9" s="265" t="str">
        <f>IF(ResultsInd[[#This Row],[Score_OK]],IF(ResultsInd[[#This Row],[Stage]]="Groups",ResultsInd[[#This Row],[Category]]&amp;"-"&amp;IF(ResultsInd[[#This Row],[Player B]]="","",IF(ResultsInd[[#This Row],[Score-A]]=ResultsInd[[#This Row],[Score-B]],ResultsInd[[#This Row],[Player A]],"")),""),"")</f>
        <v/>
      </c>
      <c r="T1119" s="265" t="str">
        <f>IF(ResultsInd[[#This Row],[Score_OK]],IF(ResultsInd[[#This Row],[Stage]]="Groups",ResultsInd[[#This Row],[Category]]&amp;"-"&amp;IF(ResultsInd[[#This Row],[Player B]]="","",IF(ResultsInd[[#This Row],[Score-A]]=ResultsInd[[#This Row],[Score-B]],ResultsInd[[#This Row],[Player B]],"")),""),"")</f>
        <v/>
      </c>
      <c r="U11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9" s="264" t="str">
        <f>IF(ResultsInd[[#This Row],[Category]]="","",VLOOKUP(ResultsInd[[#This Row],[Stage]],$P$1:$V$9,MATCH(ResultsInd[[#This Row],[Category]],$Q$1:$V$1,0)+1,FALSE))</f>
        <v/>
      </c>
      <c r="Z1119" s="264" t="str">
        <f>IF(ResultsInd[[#This Row],[Score_OK]],IF(ResultsInd[[#This Row],[Level]]="R",ResultsInd[[#This Row],[Category]]&amp;"-"&amp;IF(ResultsInd[[#This Row],[LoseInKO]]=ResultsInd[[#This Row],[Category]]&amp;"-"&amp;ResultsInd[[#This Row],[Player A]],ResultsInd[[#This Row],[Player B]],ResultsInd[[#This Row],[Player A]]),""),"")</f>
        <v/>
      </c>
      <c r="AB1119" s="8"/>
      <c r="AC1119" s="8"/>
      <c r="AE1119" s="90"/>
      <c r="AF1119" s="90"/>
      <c r="AP1119" s="8"/>
      <c r="AQ1119" s="8"/>
      <c r="AR1119" s="8"/>
      <c r="AS1119" s="8"/>
      <c r="AT1119" s="8"/>
      <c r="AU1119" s="8"/>
      <c r="AV1119" s="8"/>
      <c r="AW1119" s="8"/>
      <c r="AX1119" s="8"/>
      <c r="AY1119" s="90"/>
      <c r="AZ1119" s="90"/>
      <c r="BA1119" s="90"/>
      <c r="BB1119" s="90"/>
      <c r="BC1119" s="90"/>
      <c r="BD1119" s="90"/>
      <c r="BE1119" s="90"/>
      <c r="BF1119" s="90"/>
    </row>
    <row r="1120" spans="1:58" x14ac:dyDescent="0.2">
      <c r="A1120" s="62"/>
      <c r="B1120" s="62"/>
      <c r="C1120" s="62"/>
      <c r="D1120" s="62"/>
      <c r="E1120" s="345"/>
      <c r="F1120" s="345"/>
      <c r="G1120" s="113"/>
      <c r="H1120" s="113"/>
      <c r="I1120" s="114"/>
      <c r="J1120" s="114"/>
      <c r="K1120" s="114"/>
      <c r="L1120" s="81"/>
      <c r="M1120" s="265" t="b">
        <f>NOT(ISERROR(ResultsInd[[#This Row],[Goal-A]]+ResultsInd[[#This Row],[Goal-B]]))</f>
        <v>1</v>
      </c>
      <c r="N1120" s="265">
        <f>VALUE(ResultsInd[[#This Row],[Score-A]])</f>
        <v>0</v>
      </c>
      <c r="O1120" s="265">
        <f>VALUE(ResultsInd[[#This Row],[Score-B]])</f>
        <v>0</v>
      </c>
      <c r="P1120" s="265" t="str">
        <f ca="1">IF(AND(ResultsInd[[#This Row],[Category]]&lt;&gt;"",ResultsInd[[#This Row],[Player A]]&lt;&gt;""),COUNTIF(INDIRECT(ResultsInd[[#This Row],[Category]]&amp;"List[Retained Player Name]"),ResultsInd[[#This Row],[Player A]]),"")</f>
        <v/>
      </c>
      <c r="Q1120" s="265" t="str">
        <f ca="1">IF(AND(ResultsInd[[#This Row],[Category]]&lt;&gt;"",ResultsInd[[#This Row],[Player B]]&lt;&gt;""),COUNTIF(INDIRECT(ResultsInd[[#This Row],[Category]]&amp;"List[Retained Player Name]"),ResultsInd[[#This Row],[Player B]]),"")</f>
        <v/>
      </c>
      <c r="R11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0" s="265" t="str">
        <f>IF(ResultsInd[[#This Row],[Score_OK]],IF(ResultsInd[[#This Row],[Stage]]="Groups",ResultsInd[[#This Row],[Category]]&amp;"-"&amp;IF(ResultsInd[[#This Row],[Player B]]="","",IF(ResultsInd[[#This Row],[Score-A]]=ResultsInd[[#This Row],[Score-B]],ResultsInd[[#This Row],[Player A]],"")),""),"")</f>
        <v/>
      </c>
      <c r="T1120" s="265" t="str">
        <f>IF(ResultsInd[[#This Row],[Score_OK]],IF(ResultsInd[[#This Row],[Stage]]="Groups",ResultsInd[[#This Row],[Category]]&amp;"-"&amp;IF(ResultsInd[[#This Row],[Player B]]="","",IF(ResultsInd[[#This Row],[Score-A]]=ResultsInd[[#This Row],[Score-B]],ResultsInd[[#This Row],[Player B]],"")),""),"")</f>
        <v/>
      </c>
      <c r="U11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0" s="264" t="str">
        <f>IF(ResultsInd[[#This Row],[Category]]="","",VLOOKUP(ResultsInd[[#This Row],[Stage]],$P$1:$V$9,MATCH(ResultsInd[[#This Row],[Category]],$Q$1:$V$1,0)+1,FALSE))</f>
        <v/>
      </c>
      <c r="Z1120" s="264" t="str">
        <f>IF(ResultsInd[[#This Row],[Score_OK]],IF(ResultsInd[[#This Row],[Level]]="R",ResultsInd[[#This Row],[Category]]&amp;"-"&amp;IF(ResultsInd[[#This Row],[LoseInKO]]=ResultsInd[[#This Row],[Category]]&amp;"-"&amp;ResultsInd[[#This Row],[Player A]],ResultsInd[[#This Row],[Player B]],ResultsInd[[#This Row],[Player A]]),""),"")</f>
        <v/>
      </c>
      <c r="AB1120" s="8"/>
      <c r="AC1120" s="8"/>
      <c r="AE1120" s="90"/>
      <c r="AF1120" s="90"/>
      <c r="AP1120" s="8"/>
      <c r="AQ1120" s="8"/>
      <c r="AR1120" s="8"/>
      <c r="AS1120" s="8"/>
      <c r="AT1120" s="8"/>
      <c r="AU1120" s="8"/>
      <c r="AV1120" s="8"/>
      <c r="AW1120" s="8"/>
      <c r="AX1120" s="8"/>
      <c r="AY1120" s="90"/>
      <c r="AZ1120" s="90"/>
      <c r="BA1120" s="90"/>
      <c r="BB1120" s="90"/>
      <c r="BC1120" s="90"/>
      <c r="BD1120" s="90"/>
      <c r="BE1120" s="90"/>
      <c r="BF1120" s="90"/>
    </row>
    <row r="1121" spans="1:58" x14ac:dyDescent="0.2">
      <c r="A1121" s="62"/>
      <c r="B1121" s="62"/>
      <c r="C1121" s="62"/>
      <c r="D1121" s="62"/>
      <c r="E1121" s="345"/>
      <c r="F1121" s="345"/>
      <c r="G1121" s="113"/>
      <c r="H1121" s="113"/>
      <c r="I1121" s="114"/>
      <c r="J1121" s="114"/>
      <c r="K1121" s="114"/>
      <c r="L1121" s="81"/>
      <c r="M1121" s="265" t="b">
        <f>NOT(ISERROR(ResultsInd[[#This Row],[Goal-A]]+ResultsInd[[#This Row],[Goal-B]]))</f>
        <v>1</v>
      </c>
      <c r="N1121" s="265">
        <f>VALUE(ResultsInd[[#This Row],[Score-A]])</f>
        <v>0</v>
      </c>
      <c r="O1121" s="265">
        <f>VALUE(ResultsInd[[#This Row],[Score-B]])</f>
        <v>0</v>
      </c>
      <c r="P1121" s="265" t="str">
        <f ca="1">IF(AND(ResultsInd[[#This Row],[Category]]&lt;&gt;"",ResultsInd[[#This Row],[Player A]]&lt;&gt;""),COUNTIF(INDIRECT(ResultsInd[[#This Row],[Category]]&amp;"List[Retained Player Name]"),ResultsInd[[#This Row],[Player A]]),"")</f>
        <v/>
      </c>
      <c r="Q1121" s="265" t="str">
        <f ca="1">IF(AND(ResultsInd[[#This Row],[Category]]&lt;&gt;"",ResultsInd[[#This Row],[Player B]]&lt;&gt;""),COUNTIF(INDIRECT(ResultsInd[[#This Row],[Category]]&amp;"List[Retained Player Name]"),ResultsInd[[#This Row],[Player B]]),"")</f>
        <v/>
      </c>
      <c r="R11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1" s="265" t="str">
        <f>IF(ResultsInd[[#This Row],[Score_OK]],IF(ResultsInd[[#This Row],[Stage]]="Groups",ResultsInd[[#This Row],[Category]]&amp;"-"&amp;IF(ResultsInd[[#This Row],[Player B]]="","",IF(ResultsInd[[#This Row],[Score-A]]=ResultsInd[[#This Row],[Score-B]],ResultsInd[[#This Row],[Player A]],"")),""),"")</f>
        <v/>
      </c>
      <c r="T1121" s="265" t="str">
        <f>IF(ResultsInd[[#This Row],[Score_OK]],IF(ResultsInd[[#This Row],[Stage]]="Groups",ResultsInd[[#This Row],[Category]]&amp;"-"&amp;IF(ResultsInd[[#This Row],[Player B]]="","",IF(ResultsInd[[#This Row],[Score-A]]=ResultsInd[[#This Row],[Score-B]],ResultsInd[[#This Row],[Player B]],"")),""),"")</f>
        <v/>
      </c>
      <c r="U11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1" s="264" t="str">
        <f>IF(ResultsInd[[#This Row],[Category]]="","",VLOOKUP(ResultsInd[[#This Row],[Stage]],$P$1:$V$9,MATCH(ResultsInd[[#This Row],[Category]],$Q$1:$V$1,0)+1,FALSE))</f>
        <v/>
      </c>
      <c r="Z1121" s="264" t="str">
        <f>IF(ResultsInd[[#This Row],[Score_OK]],IF(ResultsInd[[#This Row],[Level]]="R",ResultsInd[[#This Row],[Category]]&amp;"-"&amp;IF(ResultsInd[[#This Row],[LoseInKO]]=ResultsInd[[#This Row],[Category]]&amp;"-"&amp;ResultsInd[[#This Row],[Player A]],ResultsInd[[#This Row],[Player B]],ResultsInd[[#This Row],[Player A]]),""),"")</f>
        <v/>
      </c>
      <c r="AB1121" s="8"/>
      <c r="AC1121" s="8"/>
      <c r="AE1121" s="90"/>
      <c r="AF1121" s="90"/>
      <c r="AP1121" s="8"/>
      <c r="AQ1121" s="8"/>
      <c r="AR1121" s="8"/>
      <c r="AS1121" s="8"/>
      <c r="AT1121" s="8"/>
      <c r="AU1121" s="8"/>
      <c r="AV1121" s="8"/>
      <c r="AW1121" s="8"/>
      <c r="AX1121" s="8"/>
      <c r="AY1121" s="90"/>
      <c r="AZ1121" s="90"/>
      <c r="BA1121" s="90"/>
      <c r="BB1121" s="90"/>
      <c r="BC1121" s="90"/>
      <c r="BD1121" s="90"/>
      <c r="BE1121" s="90"/>
      <c r="BF1121" s="90"/>
    </row>
    <row r="1122" spans="1:58" x14ac:dyDescent="0.2">
      <c r="A1122" s="62"/>
      <c r="B1122" s="62"/>
      <c r="C1122" s="62"/>
      <c r="D1122" s="62"/>
      <c r="E1122" s="345"/>
      <c r="F1122" s="345"/>
      <c r="G1122" s="113"/>
      <c r="H1122" s="113"/>
      <c r="I1122" s="114"/>
      <c r="J1122" s="114"/>
      <c r="K1122" s="114"/>
      <c r="L1122" s="81"/>
      <c r="M1122" s="265" t="b">
        <f>NOT(ISERROR(ResultsInd[[#This Row],[Goal-A]]+ResultsInd[[#This Row],[Goal-B]]))</f>
        <v>1</v>
      </c>
      <c r="N1122" s="265">
        <f>VALUE(ResultsInd[[#This Row],[Score-A]])</f>
        <v>0</v>
      </c>
      <c r="O1122" s="265">
        <f>VALUE(ResultsInd[[#This Row],[Score-B]])</f>
        <v>0</v>
      </c>
      <c r="P1122" s="265" t="str">
        <f ca="1">IF(AND(ResultsInd[[#This Row],[Category]]&lt;&gt;"",ResultsInd[[#This Row],[Player A]]&lt;&gt;""),COUNTIF(INDIRECT(ResultsInd[[#This Row],[Category]]&amp;"List[Retained Player Name]"),ResultsInd[[#This Row],[Player A]]),"")</f>
        <v/>
      </c>
      <c r="Q1122" s="265" t="str">
        <f ca="1">IF(AND(ResultsInd[[#This Row],[Category]]&lt;&gt;"",ResultsInd[[#This Row],[Player B]]&lt;&gt;""),COUNTIF(INDIRECT(ResultsInd[[#This Row],[Category]]&amp;"List[Retained Player Name]"),ResultsInd[[#This Row],[Player B]]),"")</f>
        <v/>
      </c>
      <c r="R11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2" s="265" t="str">
        <f>IF(ResultsInd[[#This Row],[Score_OK]],IF(ResultsInd[[#This Row],[Stage]]="Groups",ResultsInd[[#This Row],[Category]]&amp;"-"&amp;IF(ResultsInd[[#This Row],[Player B]]="","",IF(ResultsInd[[#This Row],[Score-A]]=ResultsInd[[#This Row],[Score-B]],ResultsInd[[#This Row],[Player A]],"")),""),"")</f>
        <v/>
      </c>
      <c r="T1122" s="265" t="str">
        <f>IF(ResultsInd[[#This Row],[Score_OK]],IF(ResultsInd[[#This Row],[Stage]]="Groups",ResultsInd[[#This Row],[Category]]&amp;"-"&amp;IF(ResultsInd[[#This Row],[Player B]]="","",IF(ResultsInd[[#This Row],[Score-A]]=ResultsInd[[#This Row],[Score-B]],ResultsInd[[#This Row],[Player B]],"")),""),"")</f>
        <v/>
      </c>
      <c r="U11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2" s="264" t="str">
        <f>IF(ResultsInd[[#This Row],[Category]]="","",VLOOKUP(ResultsInd[[#This Row],[Stage]],$P$1:$V$9,MATCH(ResultsInd[[#This Row],[Category]],$Q$1:$V$1,0)+1,FALSE))</f>
        <v/>
      </c>
      <c r="Z1122" s="264" t="str">
        <f>IF(ResultsInd[[#This Row],[Score_OK]],IF(ResultsInd[[#This Row],[Level]]="R",ResultsInd[[#This Row],[Category]]&amp;"-"&amp;IF(ResultsInd[[#This Row],[LoseInKO]]=ResultsInd[[#This Row],[Category]]&amp;"-"&amp;ResultsInd[[#This Row],[Player A]],ResultsInd[[#This Row],[Player B]],ResultsInd[[#This Row],[Player A]]),""),"")</f>
        <v/>
      </c>
      <c r="AB1122" s="8"/>
      <c r="AC1122" s="8"/>
      <c r="AE1122" s="90"/>
      <c r="AF1122" s="90"/>
      <c r="AP1122" s="8"/>
      <c r="AQ1122" s="8"/>
      <c r="AR1122" s="8"/>
      <c r="AS1122" s="8"/>
      <c r="AT1122" s="8"/>
      <c r="AU1122" s="8"/>
      <c r="AV1122" s="8"/>
      <c r="AW1122" s="8"/>
      <c r="AX1122" s="8"/>
      <c r="AY1122" s="90"/>
      <c r="AZ1122" s="90"/>
      <c r="BA1122" s="90"/>
      <c r="BB1122" s="90"/>
      <c r="BC1122" s="90"/>
      <c r="BD1122" s="90"/>
      <c r="BE1122" s="90"/>
      <c r="BF1122" s="90"/>
    </row>
    <row r="1123" spans="1:58" x14ac:dyDescent="0.2">
      <c r="A1123" s="62"/>
      <c r="B1123" s="62"/>
      <c r="C1123" s="62"/>
      <c r="D1123" s="62"/>
      <c r="E1123" s="345"/>
      <c r="F1123" s="345"/>
      <c r="G1123" s="113"/>
      <c r="H1123" s="113"/>
      <c r="I1123" s="114"/>
      <c r="J1123" s="114"/>
      <c r="K1123" s="114"/>
      <c r="L1123" s="81"/>
      <c r="M1123" s="265" t="b">
        <f>NOT(ISERROR(ResultsInd[[#This Row],[Goal-A]]+ResultsInd[[#This Row],[Goal-B]]))</f>
        <v>1</v>
      </c>
      <c r="N1123" s="265">
        <f>VALUE(ResultsInd[[#This Row],[Score-A]])</f>
        <v>0</v>
      </c>
      <c r="O1123" s="265">
        <f>VALUE(ResultsInd[[#This Row],[Score-B]])</f>
        <v>0</v>
      </c>
      <c r="P1123" s="265" t="str">
        <f ca="1">IF(AND(ResultsInd[[#This Row],[Category]]&lt;&gt;"",ResultsInd[[#This Row],[Player A]]&lt;&gt;""),COUNTIF(INDIRECT(ResultsInd[[#This Row],[Category]]&amp;"List[Retained Player Name]"),ResultsInd[[#This Row],[Player A]]),"")</f>
        <v/>
      </c>
      <c r="Q1123" s="265" t="str">
        <f ca="1">IF(AND(ResultsInd[[#This Row],[Category]]&lt;&gt;"",ResultsInd[[#This Row],[Player B]]&lt;&gt;""),COUNTIF(INDIRECT(ResultsInd[[#This Row],[Category]]&amp;"List[Retained Player Name]"),ResultsInd[[#This Row],[Player B]]),"")</f>
        <v/>
      </c>
      <c r="R11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3" s="265" t="str">
        <f>IF(ResultsInd[[#This Row],[Score_OK]],IF(ResultsInd[[#This Row],[Stage]]="Groups",ResultsInd[[#This Row],[Category]]&amp;"-"&amp;IF(ResultsInd[[#This Row],[Player B]]="","",IF(ResultsInd[[#This Row],[Score-A]]=ResultsInd[[#This Row],[Score-B]],ResultsInd[[#This Row],[Player A]],"")),""),"")</f>
        <v/>
      </c>
      <c r="T1123" s="265" t="str">
        <f>IF(ResultsInd[[#This Row],[Score_OK]],IF(ResultsInd[[#This Row],[Stage]]="Groups",ResultsInd[[#This Row],[Category]]&amp;"-"&amp;IF(ResultsInd[[#This Row],[Player B]]="","",IF(ResultsInd[[#This Row],[Score-A]]=ResultsInd[[#This Row],[Score-B]],ResultsInd[[#This Row],[Player B]],"")),""),"")</f>
        <v/>
      </c>
      <c r="U11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3" s="264" t="str">
        <f>IF(ResultsInd[[#This Row],[Category]]="","",VLOOKUP(ResultsInd[[#This Row],[Stage]],$P$1:$V$9,MATCH(ResultsInd[[#This Row],[Category]],$Q$1:$V$1,0)+1,FALSE))</f>
        <v/>
      </c>
      <c r="Z1123" s="264" t="str">
        <f>IF(ResultsInd[[#This Row],[Score_OK]],IF(ResultsInd[[#This Row],[Level]]="R",ResultsInd[[#This Row],[Category]]&amp;"-"&amp;IF(ResultsInd[[#This Row],[LoseInKO]]=ResultsInd[[#This Row],[Category]]&amp;"-"&amp;ResultsInd[[#This Row],[Player A]],ResultsInd[[#This Row],[Player B]],ResultsInd[[#This Row],[Player A]]),""),"")</f>
        <v/>
      </c>
      <c r="AB1123" s="8"/>
      <c r="AC1123" s="8"/>
      <c r="AE1123" s="90"/>
      <c r="AF1123" s="90"/>
      <c r="AP1123" s="8"/>
      <c r="AQ1123" s="8"/>
      <c r="AR1123" s="8"/>
      <c r="AS1123" s="8"/>
      <c r="AT1123" s="8"/>
      <c r="AU1123" s="8"/>
      <c r="AV1123" s="8"/>
      <c r="AW1123" s="8"/>
      <c r="AX1123" s="8"/>
      <c r="AY1123" s="90"/>
      <c r="AZ1123" s="90"/>
      <c r="BA1123" s="90"/>
      <c r="BB1123" s="90"/>
      <c r="BC1123" s="90"/>
      <c r="BD1123" s="90"/>
      <c r="BE1123" s="90"/>
      <c r="BF1123" s="90"/>
    </row>
    <row r="1124" spans="1:58" x14ac:dyDescent="0.2">
      <c r="A1124" s="62"/>
      <c r="B1124" s="62"/>
      <c r="C1124" s="62"/>
      <c r="D1124" s="62"/>
      <c r="E1124" s="345"/>
      <c r="F1124" s="345"/>
      <c r="G1124" s="113"/>
      <c r="H1124" s="113"/>
      <c r="I1124" s="114"/>
      <c r="J1124" s="114"/>
      <c r="K1124" s="114"/>
      <c r="L1124" s="81"/>
      <c r="M1124" s="265" t="b">
        <f>NOT(ISERROR(ResultsInd[[#This Row],[Goal-A]]+ResultsInd[[#This Row],[Goal-B]]))</f>
        <v>1</v>
      </c>
      <c r="N1124" s="265">
        <f>VALUE(ResultsInd[[#This Row],[Score-A]])</f>
        <v>0</v>
      </c>
      <c r="O1124" s="265">
        <f>VALUE(ResultsInd[[#This Row],[Score-B]])</f>
        <v>0</v>
      </c>
      <c r="P1124" s="265" t="str">
        <f ca="1">IF(AND(ResultsInd[[#This Row],[Category]]&lt;&gt;"",ResultsInd[[#This Row],[Player A]]&lt;&gt;""),COUNTIF(INDIRECT(ResultsInd[[#This Row],[Category]]&amp;"List[Retained Player Name]"),ResultsInd[[#This Row],[Player A]]),"")</f>
        <v/>
      </c>
      <c r="Q1124" s="265" t="str">
        <f ca="1">IF(AND(ResultsInd[[#This Row],[Category]]&lt;&gt;"",ResultsInd[[#This Row],[Player B]]&lt;&gt;""),COUNTIF(INDIRECT(ResultsInd[[#This Row],[Category]]&amp;"List[Retained Player Name]"),ResultsInd[[#This Row],[Player B]]),"")</f>
        <v/>
      </c>
      <c r="R11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4" s="265" t="str">
        <f>IF(ResultsInd[[#This Row],[Score_OK]],IF(ResultsInd[[#This Row],[Stage]]="Groups",ResultsInd[[#This Row],[Category]]&amp;"-"&amp;IF(ResultsInd[[#This Row],[Player B]]="","",IF(ResultsInd[[#This Row],[Score-A]]=ResultsInd[[#This Row],[Score-B]],ResultsInd[[#This Row],[Player A]],"")),""),"")</f>
        <v/>
      </c>
      <c r="T1124" s="265" t="str">
        <f>IF(ResultsInd[[#This Row],[Score_OK]],IF(ResultsInd[[#This Row],[Stage]]="Groups",ResultsInd[[#This Row],[Category]]&amp;"-"&amp;IF(ResultsInd[[#This Row],[Player B]]="","",IF(ResultsInd[[#This Row],[Score-A]]=ResultsInd[[#This Row],[Score-B]],ResultsInd[[#This Row],[Player B]],"")),""),"")</f>
        <v/>
      </c>
      <c r="U11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4" s="264" t="str">
        <f>IF(ResultsInd[[#This Row],[Category]]="","",VLOOKUP(ResultsInd[[#This Row],[Stage]],$P$1:$V$9,MATCH(ResultsInd[[#This Row],[Category]],$Q$1:$V$1,0)+1,FALSE))</f>
        <v/>
      </c>
      <c r="Z1124" s="264" t="str">
        <f>IF(ResultsInd[[#This Row],[Score_OK]],IF(ResultsInd[[#This Row],[Level]]="R",ResultsInd[[#This Row],[Category]]&amp;"-"&amp;IF(ResultsInd[[#This Row],[LoseInKO]]=ResultsInd[[#This Row],[Category]]&amp;"-"&amp;ResultsInd[[#This Row],[Player A]],ResultsInd[[#This Row],[Player B]],ResultsInd[[#This Row],[Player A]]),""),"")</f>
        <v/>
      </c>
      <c r="AB1124" s="8"/>
      <c r="AC1124" s="8"/>
      <c r="AE1124" s="90"/>
      <c r="AF1124" s="90"/>
      <c r="AP1124" s="8"/>
      <c r="AQ1124" s="8"/>
      <c r="AR1124" s="8"/>
      <c r="AS1124" s="8"/>
      <c r="AT1124" s="8"/>
      <c r="AU1124" s="8"/>
      <c r="AV1124" s="8"/>
      <c r="AW1124" s="8"/>
      <c r="AX1124" s="8"/>
      <c r="AY1124" s="90"/>
      <c r="AZ1124" s="90"/>
      <c r="BA1124" s="90"/>
      <c r="BB1124" s="90"/>
      <c r="BC1124" s="90"/>
      <c r="BD1124" s="90"/>
      <c r="BE1124" s="90"/>
      <c r="BF1124" s="90"/>
    </row>
    <row r="1125" spans="1:58" x14ac:dyDescent="0.2">
      <c r="A1125" s="62"/>
      <c r="B1125" s="62"/>
      <c r="C1125" s="62"/>
      <c r="D1125" s="62"/>
      <c r="E1125" s="345"/>
      <c r="F1125" s="345"/>
      <c r="G1125" s="113"/>
      <c r="H1125" s="113"/>
      <c r="I1125" s="114"/>
      <c r="J1125" s="114"/>
      <c r="K1125" s="114"/>
      <c r="L1125" s="81"/>
      <c r="M1125" s="265" t="b">
        <f>NOT(ISERROR(ResultsInd[[#This Row],[Goal-A]]+ResultsInd[[#This Row],[Goal-B]]))</f>
        <v>1</v>
      </c>
      <c r="N1125" s="265">
        <f>VALUE(ResultsInd[[#This Row],[Score-A]])</f>
        <v>0</v>
      </c>
      <c r="O1125" s="265">
        <f>VALUE(ResultsInd[[#This Row],[Score-B]])</f>
        <v>0</v>
      </c>
      <c r="P1125" s="265" t="str">
        <f ca="1">IF(AND(ResultsInd[[#This Row],[Category]]&lt;&gt;"",ResultsInd[[#This Row],[Player A]]&lt;&gt;""),COUNTIF(INDIRECT(ResultsInd[[#This Row],[Category]]&amp;"List[Retained Player Name]"),ResultsInd[[#This Row],[Player A]]),"")</f>
        <v/>
      </c>
      <c r="Q1125" s="265" t="str">
        <f ca="1">IF(AND(ResultsInd[[#This Row],[Category]]&lt;&gt;"",ResultsInd[[#This Row],[Player B]]&lt;&gt;""),COUNTIF(INDIRECT(ResultsInd[[#This Row],[Category]]&amp;"List[Retained Player Name]"),ResultsInd[[#This Row],[Player B]]),"")</f>
        <v/>
      </c>
      <c r="R11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5" s="265" t="str">
        <f>IF(ResultsInd[[#This Row],[Score_OK]],IF(ResultsInd[[#This Row],[Stage]]="Groups",ResultsInd[[#This Row],[Category]]&amp;"-"&amp;IF(ResultsInd[[#This Row],[Player B]]="","",IF(ResultsInd[[#This Row],[Score-A]]=ResultsInd[[#This Row],[Score-B]],ResultsInd[[#This Row],[Player A]],"")),""),"")</f>
        <v/>
      </c>
      <c r="T1125" s="265" t="str">
        <f>IF(ResultsInd[[#This Row],[Score_OK]],IF(ResultsInd[[#This Row],[Stage]]="Groups",ResultsInd[[#This Row],[Category]]&amp;"-"&amp;IF(ResultsInd[[#This Row],[Player B]]="","",IF(ResultsInd[[#This Row],[Score-A]]=ResultsInd[[#This Row],[Score-B]],ResultsInd[[#This Row],[Player B]],"")),""),"")</f>
        <v/>
      </c>
      <c r="U11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5" s="264" t="str">
        <f>IF(ResultsInd[[#This Row],[Category]]="","",VLOOKUP(ResultsInd[[#This Row],[Stage]],$P$1:$V$9,MATCH(ResultsInd[[#This Row],[Category]],$Q$1:$V$1,0)+1,FALSE))</f>
        <v/>
      </c>
      <c r="Z1125" s="264" t="str">
        <f>IF(ResultsInd[[#This Row],[Score_OK]],IF(ResultsInd[[#This Row],[Level]]="R",ResultsInd[[#This Row],[Category]]&amp;"-"&amp;IF(ResultsInd[[#This Row],[LoseInKO]]=ResultsInd[[#This Row],[Category]]&amp;"-"&amp;ResultsInd[[#This Row],[Player A]],ResultsInd[[#This Row],[Player B]],ResultsInd[[#This Row],[Player A]]),""),"")</f>
        <v/>
      </c>
      <c r="AB1125" s="8"/>
      <c r="AC1125" s="8"/>
      <c r="AE1125" s="90"/>
      <c r="AF1125" s="90"/>
      <c r="AP1125" s="8"/>
      <c r="AQ1125" s="8"/>
      <c r="AR1125" s="8"/>
      <c r="AS1125" s="8"/>
      <c r="AT1125" s="8"/>
      <c r="AU1125" s="8"/>
      <c r="AV1125" s="8"/>
      <c r="AW1125" s="8"/>
      <c r="AX1125" s="8"/>
      <c r="AY1125" s="90"/>
      <c r="AZ1125" s="90"/>
      <c r="BA1125" s="90"/>
      <c r="BB1125" s="90"/>
      <c r="BC1125" s="90"/>
      <c r="BD1125" s="90"/>
      <c r="BE1125" s="90"/>
      <c r="BF1125" s="90"/>
    </row>
    <row r="1126" spans="1:58" x14ac:dyDescent="0.2">
      <c r="A1126" s="62"/>
      <c r="B1126" s="62"/>
      <c r="C1126" s="62"/>
      <c r="D1126" s="62"/>
      <c r="E1126" s="345"/>
      <c r="F1126" s="345"/>
      <c r="G1126" s="113"/>
      <c r="H1126" s="113"/>
      <c r="I1126" s="114"/>
      <c r="J1126" s="114"/>
      <c r="K1126" s="114"/>
      <c r="L1126" s="81"/>
      <c r="M1126" s="265" t="b">
        <f>NOT(ISERROR(ResultsInd[[#This Row],[Goal-A]]+ResultsInd[[#This Row],[Goal-B]]))</f>
        <v>1</v>
      </c>
      <c r="N1126" s="265">
        <f>VALUE(ResultsInd[[#This Row],[Score-A]])</f>
        <v>0</v>
      </c>
      <c r="O1126" s="265">
        <f>VALUE(ResultsInd[[#This Row],[Score-B]])</f>
        <v>0</v>
      </c>
      <c r="P1126" s="265" t="str">
        <f ca="1">IF(AND(ResultsInd[[#This Row],[Category]]&lt;&gt;"",ResultsInd[[#This Row],[Player A]]&lt;&gt;""),COUNTIF(INDIRECT(ResultsInd[[#This Row],[Category]]&amp;"List[Retained Player Name]"),ResultsInd[[#This Row],[Player A]]),"")</f>
        <v/>
      </c>
      <c r="Q1126" s="265" t="str">
        <f ca="1">IF(AND(ResultsInd[[#This Row],[Category]]&lt;&gt;"",ResultsInd[[#This Row],[Player B]]&lt;&gt;""),COUNTIF(INDIRECT(ResultsInd[[#This Row],[Category]]&amp;"List[Retained Player Name]"),ResultsInd[[#This Row],[Player B]]),"")</f>
        <v/>
      </c>
      <c r="R11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6" s="265" t="str">
        <f>IF(ResultsInd[[#This Row],[Score_OK]],IF(ResultsInd[[#This Row],[Stage]]="Groups",ResultsInd[[#This Row],[Category]]&amp;"-"&amp;IF(ResultsInd[[#This Row],[Player B]]="","",IF(ResultsInd[[#This Row],[Score-A]]=ResultsInd[[#This Row],[Score-B]],ResultsInd[[#This Row],[Player A]],"")),""),"")</f>
        <v/>
      </c>
      <c r="T1126" s="265" t="str">
        <f>IF(ResultsInd[[#This Row],[Score_OK]],IF(ResultsInd[[#This Row],[Stage]]="Groups",ResultsInd[[#This Row],[Category]]&amp;"-"&amp;IF(ResultsInd[[#This Row],[Player B]]="","",IF(ResultsInd[[#This Row],[Score-A]]=ResultsInd[[#This Row],[Score-B]],ResultsInd[[#This Row],[Player B]],"")),""),"")</f>
        <v/>
      </c>
      <c r="U11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6" s="264" t="str">
        <f>IF(ResultsInd[[#This Row],[Category]]="","",VLOOKUP(ResultsInd[[#This Row],[Stage]],$P$1:$V$9,MATCH(ResultsInd[[#This Row],[Category]],$Q$1:$V$1,0)+1,FALSE))</f>
        <v/>
      </c>
      <c r="Z1126" s="264" t="str">
        <f>IF(ResultsInd[[#This Row],[Score_OK]],IF(ResultsInd[[#This Row],[Level]]="R",ResultsInd[[#This Row],[Category]]&amp;"-"&amp;IF(ResultsInd[[#This Row],[LoseInKO]]=ResultsInd[[#This Row],[Category]]&amp;"-"&amp;ResultsInd[[#This Row],[Player A]],ResultsInd[[#This Row],[Player B]],ResultsInd[[#This Row],[Player A]]),""),"")</f>
        <v/>
      </c>
      <c r="AB1126" s="8"/>
      <c r="AC1126" s="8"/>
      <c r="AE1126" s="90"/>
      <c r="AF1126" s="90"/>
      <c r="AP1126" s="8"/>
      <c r="AQ1126" s="8"/>
      <c r="AR1126" s="8"/>
      <c r="AS1126" s="8"/>
      <c r="AT1126" s="8"/>
      <c r="AU1126" s="8"/>
      <c r="AV1126" s="8"/>
      <c r="AW1126" s="8"/>
      <c r="AX1126" s="8"/>
      <c r="AY1126" s="90"/>
      <c r="AZ1126" s="90"/>
      <c r="BA1126" s="90"/>
      <c r="BB1126" s="90"/>
      <c r="BC1126" s="90"/>
      <c r="BD1126" s="90"/>
      <c r="BE1126" s="90"/>
      <c r="BF1126" s="90"/>
    </row>
    <row r="1127" spans="1:58" x14ac:dyDescent="0.2">
      <c r="A1127" s="62"/>
      <c r="B1127" s="62"/>
      <c r="C1127" s="62"/>
      <c r="D1127" s="62"/>
      <c r="E1127" s="345"/>
      <c r="F1127" s="345"/>
      <c r="G1127" s="113"/>
      <c r="H1127" s="113"/>
      <c r="I1127" s="114"/>
      <c r="J1127" s="114"/>
      <c r="K1127" s="114"/>
      <c r="L1127" s="81"/>
      <c r="M1127" s="265" t="b">
        <f>NOT(ISERROR(ResultsInd[[#This Row],[Goal-A]]+ResultsInd[[#This Row],[Goal-B]]))</f>
        <v>1</v>
      </c>
      <c r="N1127" s="265">
        <f>VALUE(ResultsInd[[#This Row],[Score-A]])</f>
        <v>0</v>
      </c>
      <c r="O1127" s="265">
        <f>VALUE(ResultsInd[[#This Row],[Score-B]])</f>
        <v>0</v>
      </c>
      <c r="P1127" s="265" t="str">
        <f ca="1">IF(AND(ResultsInd[[#This Row],[Category]]&lt;&gt;"",ResultsInd[[#This Row],[Player A]]&lt;&gt;""),COUNTIF(INDIRECT(ResultsInd[[#This Row],[Category]]&amp;"List[Retained Player Name]"),ResultsInd[[#This Row],[Player A]]),"")</f>
        <v/>
      </c>
      <c r="Q1127" s="265" t="str">
        <f ca="1">IF(AND(ResultsInd[[#This Row],[Category]]&lt;&gt;"",ResultsInd[[#This Row],[Player B]]&lt;&gt;""),COUNTIF(INDIRECT(ResultsInd[[#This Row],[Category]]&amp;"List[Retained Player Name]"),ResultsInd[[#This Row],[Player B]]),"")</f>
        <v/>
      </c>
      <c r="R11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7" s="265" t="str">
        <f>IF(ResultsInd[[#This Row],[Score_OK]],IF(ResultsInd[[#This Row],[Stage]]="Groups",ResultsInd[[#This Row],[Category]]&amp;"-"&amp;IF(ResultsInd[[#This Row],[Player B]]="","",IF(ResultsInd[[#This Row],[Score-A]]=ResultsInd[[#This Row],[Score-B]],ResultsInd[[#This Row],[Player A]],"")),""),"")</f>
        <v/>
      </c>
      <c r="T1127" s="265" t="str">
        <f>IF(ResultsInd[[#This Row],[Score_OK]],IF(ResultsInd[[#This Row],[Stage]]="Groups",ResultsInd[[#This Row],[Category]]&amp;"-"&amp;IF(ResultsInd[[#This Row],[Player B]]="","",IF(ResultsInd[[#This Row],[Score-A]]=ResultsInd[[#This Row],[Score-B]],ResultsInd[[#This Row],[Player B]],"")),""),"")</f>
        <v/>
      </c>
      <c r="U11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7" s="264" t="str">
        <f>IF(ResultsInd[[#This Row],[Category]]="","",VLOOKUP(ResultsInd[[#This Row],[Stage]],$P$1:$V$9,MATCH(ResultsInd[[#This Row],[Category]],$Q$1:$V$1,0)+1,FALSE))</f>
        <v/>
      </c>
      <c r="Z1127" s="264" t="str">
        <f>IF(ResultsInd[[#This Row],[Score_OK]],IF(ResultsInd[[#This Row],[Level]]="R",ResultsInd[[#This Row],[Category]]&amp;"-"&amp;IF(ResultsInd[[#This Row],[LoseInKO]]=ResultsInd[[#This Row],[Category]]&amp;"-"&amp;ResultsInd[[#This Row],[Player A]],ResultsInd[[#This Row],[Player B]],ResultsInd[[#This Row],[Player A]]),""),"")</f>
        <v/>
      </c>
      <c r="AB1127" s="8"/>
      <c r="AC1127" s="8"/>
      <c r="AE1127" s="90"/>
      <c r="AF1127" s="90"/>
      <c r="AP1127" s="8"/>
      <c r="AQ1127" s="8"/>
      <c r="AR1127" s="8"/>
      <c r="AS1127" s="8"/>
      <c r="AT1127" s="8"/>
      <c r="AU1127" s="8"/>
      <c r="AV1127" s="8"/>
      <c r="AW1127" s="8"/>
      <c r="AX1127" s="8"/>
      <c r="AY1127" s="90"/>
      <c r="AZ1127" s="90"/>
      <c r="BA1127" s="90"/>
      <c r="BB1127" s="90"/>
      <c r="BC1127" s="90"/>
      <c r="BD1127" s="90"/>
      <c r="BE1127" s="90"/>
      <c r="BF1127" s="90"/>
    </row>
    <row r="1128" spans="1:58" x14ac:dyDescent="0.2">
      <c r="A1128" s="62"/>
      <c r="B1128" s="62"/>
      <c r="C1128" s="62"/>
      <c r="D1128" s="62"/>
      <c r="E1128" s="345"/>
      <c r="F1128" s="345"/>
      <c r="G1128" s="113"/>
      <c r="H1128" s="113"/>
      <c r="I1128" s="114"/>
      <c r="J1128" s="114"/>
      <c r="K1128" s="114"/>
      <c r="L1128" s="81"/>
      <c r="M1128" s="265" t="b">
        <f>NOT(ISERROR(ResultsInd[[#This Row],[Goal-A]]+ResultsInd[[#This Row],[Goal-B]]))</f>
        <v>1</v>
      </c>
      <c r="N1128" s="265">
        <f>VALUE(ResultsInd[[#This Row],[Score-A]])</f>
        <v>0</v>
      </c>
      <c r="O1128" s="265">
        <f>VALUE(ResultsInd[[#This Row],[Score-B]])</f>
        <v>0</v>
      </c>
      <c r="P1128" s="265" t="str">
        <f ca="1">IF(AND(ResultsInd[[#This Row],[Category]]&lt;&gt;"",ResultsInd[[#This Row],[Player A]]&lt;&gt;""),COUNTIF(INDIRECT(ResultsInd[[#This Row],[Category]]&amp;"List[Retained Player Name]"),ResultsInd[[#This Row],[Player A]]),"")</f>
        <v/>
      </c>
      <c r="Q1128" s="265" t="str">
        <f ca="1">IF(AND(ResultsInd[[#This Row],[Category]]&lt;&gt;"",ResultsInd[[#This Row],[Player B]]&lt;&gt;""),COUNTIF(INDIRECT(ResultsInd[[#This Row],[Category]]&amp;"List[Retained Player Name]"),ResultsInd[[#This Row],[Player B]]),"")</f>
        <v/>
      </c>
      <c r="R11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8" s="265" t="str">
        <f>IF(ResultsInd[[#This Row],[Score_OK]],IF(ResultsInd[[#This Row],[Stage]]="Groups",ResultsInd[[#This Row],[Category]]&amp;"-"&amp;IF(ResultsInd[[#This Row],[Player B]]="","",IF(ResultsInd[[#This Row],[Score-A]]=ResultsInd[[#This Row],[Score-B]],ResultsInd[[#This Row],[Player A]],"")),""),"")</f>
        <v/>
      </c>
      <c r="T1128" s="265" t="str">
        <f>IF(ResultsInd[[#This Row],[Score_OK]],IF(ResultsInd[[#This Row],[Stage]]="Groups",ResultsInd[[#This Row],[Category]]&amp;"-"&amp;IF(ResultsInd[[#This Row],[Player B]]="","",IF(ResultsInd[[#This Row],[Score-A]]=ResultsInd[[#This Row],[Score-B]],ResultsInd[[#This Row],[Player B]],"")),""),"")</f>
        <v/>
      </c>
      <c r="U11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8" s="264" t="str">
        <f>IF(ResultsInd[[#This Row],[Category]]="","",VLOOKUP(ResultsInd[[#This Row],[Stage]],$P$1:$V$9,MATCH(ResultsInd[[#This Row],[Category]],$Q$1:$V$1,0)+1,FALSE))</f>
        <v/>
      </c>
      <c r="Z1128" s="264" t="str">
        <f>IF(ResultsInd[[#This Row],[Score_OK]],IF(ResultsInd[[#This Row],[Level]]="R",ResultsInd[[#This Row],[Category]]&amp;"-"&amp;IF(ResultsInd[[#This Row],[LoseInKO]]=ResultsInd[[#This Row],[Category]]&amp;"-"&amp;ResultsInd[[#This Row],[Player A]],ResultsInd[[#This Row],[Player B]],ResultsInd[[#This Row],[Player A]]),""),"")</f>
        <v/>
      </c>
      <c r="AB1128" s="8"/>
      <c r="AC1128" s="8"/>
      <c r="AE1128" s="90"/>
      <c r="AF1128" s="90"/>
      <c r="AP1128" s="8"/>
      <c r="AQ1128" s="8"/>
      <c r="AR1128" s="8"/>
      <c r="AS1128" s="8"/>
      <c r="AT1128" s="8"/>
      <c r="AU1128" s="8"/>
      <c r="AV1128" s="8"/>
      <c r="AW1128" s="8"/>
      <c r="AX1128" s="8"/>
      <c r="AY1128" s="90"/>
      <c r="AZ1128" s="90"/>
      <c r="BA1128" s="90"/>
      <c r="BB1128" s="90"/>
      <c r="BC1128" s="90"/>
      <c r="BD1128" s="90"/>
      <c r="BE1128" s="90"/>
      <c r="BF1128" s="90"/>
    </row>
    <row r="1129" spans="1:58" x14ac:dyDescent="0.2">
      <c r="A1129" s="62"/>
      <c r="B1129" s="62"/>
      <c r="C1129" s="62"/>
      <c r="D1129" s="62"/>
      <c r="E1129" s="345"/>
      <c r="F1129" s="345"/>
      <c r="G1129" s="113"/>
      <c r="H1129" s="113"/>
      <c r="I1129" s="114"/>
      <c r="J1129" s="114"/>
      <c r="K1129" s="114"/>
      <c r="L1129" s="81"/>
      <c r="M1129" s="265" t="b">
        <f>NOT(ISERROR(ResultsInd[[#This Row],[Goal-A]]+ResultsInd[[#This Row],[Goal-B]]))</f>
        <v>1</v>
      </c>
      <c r="N1129" s="265">
        <f>VALUE(ResultsInd[[#This Row],[Score-A]])</f>
        <v>0</v>
      </c>
      <c r="O1129" s="265">
        <f>VALUE(ResultsInd[[#This Row],[Score-B]])</f>
        <v>0</v>
      </c>
      <c r="P1129" s="265" t="str">
        <f ca="1">IF(AND(ResultsInd[[#This Row],[Category]]&lt;&gt;"",ResultsInd[[#This Row],[Player A]]&lt;&gt;""),COUNTIF(INDIRECT(ResultsInd[[#This Row],[Category]]&amp;"List[Retained Player Name]"),ResultsInd[[#This Row],[Player A]]),"")</f>
        <v/>
      </c>
      <c r="Q1129" s="265" t="str">
        <f ca="1">IF(AND(ResultsInd[[#This Row],[Category]]&lt;&gt;"",ResultsInd[[#This Row],[Player B]]&lt;&gt;""),COUNTIF(INDIRECT(ResultsInd[[#This Row],[Category]]&amp;"List[Retained Player Name]"),ResultsInd[[#This Row],[Player B]]),"")</f>
        <v/>
      </c>
      <c r="R11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9" s="265" t="str">
        <f>IF(ResultsInd[[#This Row],[Score_OK]],IF(ResultsInd[[#This Row],[Stage]]="Groups",ResultsInd[[#This Row],[Category]]&amp;"-"&amp;IF(ResultsInd[[#This Row],[Player B]]="","",IF(ResultsInd[[#This Row],[Score-A]]=ResultsInd[[#This Row],[Score-B]],ResultsInd[[#This Row],[Player A]],"")),""),"")</f>
        <v/>
      </c>
      <c r="T1129" s="265" t="str">
        <f>IF(ResultsInd[[#This Row],[Score_OK]],IF(ResultsInd[[#This Row],[Stage]]="Groups",ResultsInd[[#This Row],[Category]]&amp;"-"&amp;IF(ResultsInd[[#This Row],[Player B]]="","",IF(ResultsInd[[#This Row],[Score-A]]=ResultsInd[[#This Row],[Score-B]],ResultsInd[[#This Row],[Player B]],"")),""),"")</f>
        <v/>
      </c>
      <c r="U11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9" s="264" t="str">
        <f>IF(ResultsInd[[#This Row],[Category]]="","",VLOOKUP(ResultsInd[[#This Row],[Stage]],$P$1:$V$9,MATCH(ResultsInd[[#This Row],[Category]],$Q$1:$V$1,0)+1,FALSE))</f>
        <v/>
      </c>
      <c r="Z1129" s="264" t="str">
        <f>IF(ResultsInd[[#This Row],[Score_OK]],IF(ResultsInd[[#This Row],[Level]]="R",ResultsInd[[#This Row],[Category]]&amp;"-"&amp;IF(ResultsInd[[#This Row],[LoseInKO]]=ResultsInd[[#This Row],[Category]]&amp;"-"&amp;ResultsInd[[#This Row],[Player A]],ResultsInd[[#This Row],[Player B]],ResultsInd[[#This Row],[Player A]]),""),"")</f>
        <v/>
      </c>
      <c r="AB1129" s="8"/>
      <c r="AC1129" s="8"/>
      <c r="AE1129" s="90"/>
      <c r="AF1129" s="90"/>
      <c r="AP1129" s="8"/>
      <c r="AQ1129" s="8"/>
      <c r="AR1129" s="8"/>
      <c r="AS1129" s="8"/>
      <c r="AT1129" s="8"/>
      <c r="AU1129" s="8"/>
      <c r="AV1129" s="8"/>
      <c r="AW1129" s="8"/>
      <c r="AX1129" s="8"/>
      <c r="AY1129" s="90"/>
      <c r="AZ1129" s="90"/>
      <c r="BA1129" s="90"/>
      <c r="BB1129" s="90"/>
      <c r="BC1129" s="90"/>
      <c r="BD1129" s="90"/>
      <c r="BE1129" s="90"/>
      <c r="BF1129" s="90"/>
    </row>
    <row r="1130" spans="1:58" x14ac:dyDescent="0.2">
      <c r="A1130" s="62"/>
      <c r="B1130" s="62"/>
      <c r="C1130" s="62"/>
      <c r="D1130" s="62"/>
      <c r="E1130" s="345"/>
      <c r="F1130" s="345"/>
      <c r="G1130" s="113"/>
      <c r="H1130" s="113"/>
      <c r="I1130" s="114"/>
      <c r="J1130" s="114"/>
      <c r="K1130" s="114"/>
      <c r="L1130" s="81"/>
      <c r="M1130" s="265" t="b">
        <f>NOT(ISERROR(ResultsInd[[#This Row],[Goal-A]]+ResultsInd[[#This Row],[Goal-B]]))</f>
        <v>1</v>
      </c>
      <c r="N1130" s="265">
        <f>VALUE(ResultsInd[[#This Row],[Score-A]])</f>
        <v>0</v>
      </c>
      <c r="O1130" s="265">
        <f>VALUE(ResultsInd[[#This Row],[Score-B]])</f>
        <v>0</v>
      </c>
      <c r="P1130" s="265" t="str">
        <f ca="1">IF(AND(ResultsInd[[#This Row],[Category]]&lt;&gt;"",ResultsInd[[#This Row],[Player A]]&lt;&gt;""),COUNTIF(INDIRECT(ResultsInd[[#This Row],[Category]]&amp;"List[Retained Player Name]"),ResultsInd[[#This Row],[Player A]]),"")</f>
        <v/>
      </c>
      <c r="Q1130" s="265" t="str">
        <f ca="1">IF(AND(ResultsInd[[#This Row],[Category]]&lt;&gt;"",ResultsInd[[#This Row],[Player B]]&lt;&gt;""),COUNTIF(INDIRECT(ResultsInd[[#This Row],[Category]]&amp;"List[Retained Player Name]"),ResultsInd[[#This Row],[Player B]]),"")</f>
        <v/>
      </c>
      <c r="R11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0" s="265" t="str">
        <f>IF(ResultsInd[[#This Row],[Score_OK]],IF(ResultsInd[[#This Row],[Stage]]="Groups",ResultsInd[[#This Row],[Category]]&amp;"-"&amp;IF(ResultsInd[[#This Row],[Player B]]="","",IF(ResultsInd[[#This Row],[Score-A]]=ResultsInd[[#This Row],[Score-B]],ResultsInd[[#This Row],[Player A]],"")),""),"")</f>
        <v/>
      </c>
      <c r="T1130" s="265" t="str">
        <f>IF(ResultsInd[[#This Row],[Score_OK]],IF(ResultsInd[[#This Row],[Stage]]="Groups",ResultsInd[[#This Row],[Category]]&amp;"-"&amp;IF(ResultsInd[[#This Row],[Player B]]="","",IF(ResultsInd[[#This Row],[Score-A]]=ResultsInd[[#This Row],[Score-B]],ResultsInd[[#This Row],[Player B]],"")),""),"")</f>
        <v/>
      </c>
      <c r="U11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0" s="264" t="str">
        <f>IF(ResultsInd[[#This Row],[Category]]="","",VLOOKUP(ResultsInd[[#This Row],[Stage]],$P$1:$V$9,MATCH(ResultsInd[[#This Row],[Category]],$Q$1:$V$1,0)+1,FALSE))</f>
        <v/>
      </c>
      <c r="Z1130" s="264" t="str">
        <f>IF(ResultsInd[[#This Row],[Score_OK]],IF(ResultsInd[[#This Row],[Level]]="R",ResultsInd[[#This Row],[Category]]&amp;"-"&amp;IF(ResultsInd[[#This Row],[LoseInKO]]=ResultsInd[[#This Row],[Category]]&amp;"-"&amp;ResultsInd[[#This Row],[Player A]],ResultsInd[[#This Row],[Player B]],ResultsInd[[#This Row],[Player A]]),""),"")</f>
        <v/>
      </c>
      <c r="AB1130" s="8"/>
      <c r="AC1130" s="8"/>
      <c r="AE1130" s="90"/>
      <c r="AF1130" s="90"/>
      <c r="AP1130" s="8"/>
      <c r="AQ1130" s="8"/>
      <c r="AR1130" s="8"/>
      <c r="AS1130" s="8"/>
      <c r="AT1130" s="8"/>
      <c r="AU1130" s="8"/>
      <c r="AV1130" s="8"/>
      <c r="AW1130" s="8"/>
      <c r="AX1130" s="8"/>
      <c r="AY1130" s="90"/>
      <c r="AZ1130" s="90"/>
      <c r="BA1130" s="90"/>
      <c r="BB1130" s="90"/>
      <c r="BC1130" s="90"/>
      <c r="BD1130" s="90"/>
      <c r="BE1130" s="90"/>
      <c r="BF1130" s="90"/>
    </row>
    <row r="1131" spans="1:58" x14ac:dyDescent="0.2">
      <c r="A1131" s="62"/>
      <c r="B1131" s="62"/>
      <c r="C1131" s="62"/>
      <c r="D1131" s="62"/>
      <c r="E1131" s="345"/>
      <c r="F1131" s="345"/>
      <c r="G1131" s="113"/>
      <c r="H1131" s="113"/>
      <c r="I1131" s="114"/>
      <c r="J1131" s="114"/>
      <c r="K1131" s="114"/>
      <c r="L1131" s="81"/>
      <c r="M1131" s="265" t="b">
        <f>NOT(ISERROR(ResultsInd[[#This Row],[Goal-A]]+ResultsInd[[#This Row],[Goal-B]]))</f>
        <v>1</v>
      </c>
      <c r="N1131" s="265">
        <f>VALUE(ResultsInd[[#This Row],[Score-A]])</f>
        <v>0</v>
      </c>
      <c r="O1131" s="265">
        <f>VALUE(ResultsInd[[#This Row],[Score-B]])</f>
        <v>0</v>
      </c>
      <c r="P1131" s="265" t="str">
        <f ca="1">IF(AND(ResultsInd[[#This Row],[Category]]&lt;&gt;"",ResultsInd[[#This Row],[Player A]]&lt;&gt;""),COUNTIF(INDIRECT(ResultsInd[[#This Row],[Category]]&amp;"List[Retained Player Name]"),ResultsInd[[#This Row],[Player A]]),"")</f>
        <v/>
      </c>
      <c r="Q1131" s="265" t="str">
        <f ca="1">IF(AND(ResultsInd[[#This Row],[Category]]&lt;&gt;"",ResultsInd[[#This Row],[Player B]]&lt;&gt;""),COUNTIF(INDIRECT(ResultsInd[[#This Row],[Category]]&amp;"List[Retained Player Name]"),ResultsInd[[#This Row],[Player B]]),"")</f>
        <v/>
      </c>
      <c r="R11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1" s="265" t="str">
        <f>IF(ResultsInd[[#This Row],[Score_OK]],IF(ResultsInd[[#This Row],[Stage]]="Groups",ResultsInd[[#This Row],[Category]]&amp;"-"&amp;IF(ResultsInd[[#This Row],[Player B]]="","",IF(ResultsInd[[#This Row],[Score-A]]=ResultsInd[[#This Row],[Score-B]],ResultsInd[[#This Row],[Player A]],"")),""),"")</f>
        <v/>
      </c>
      <c r="T1131" s="265" t="str">
        <f>IF(ResultsInd[[#This Row],[Score_OK]],IF(ResultsInd[[#This Row],[Stage]]="Groups",ResultsInd[[#This Row],[Category]]&amp;"-"&amp;IF(ResultsInd[[#This Row],[Player B]]="","",IF(ResultsInd[[#This Row],[Score-A]]=ResultsInd[[#This Row],[Score-B]],ResultsInd[[#This Row],[Player B]],"")),""),"")</f>
        <v/>
      </c>
      <c r="U11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1" s="264" t="str">
        <f>IF(ResultsInd[[#This Row],[Category]]="","",VLOOKUP(ResultsInd[[#This Row],[Stage]],$P$1:$V$9,MATCH(ResultsInd[[#This Row],[Category]],$Q$1:$V$1,0)+1,FALSE))</f>
        <v/>
      </c>
      <c r="Z1131" s="264" t="str">
        <f>IF(ResultsInd[[#This Row],[Score_OK]],IF(ResultsInd[[#This Row],[Level]]="R",ResultsInd[[#This Row],[Category]]&amp;"-"&amp;IF(ResultsInd[[#This Row],[LoseInKO]]=ResultsInd[[#This Row],[Category]]&amp;"-"&amp;ResultsInd[[#This Row],[Player A]],ResultsInd[[#This Row],[Player B]],ResultsInd[[#This Row],[Player A]]),""),"")</f>
        <v/>
      </c>
      <c r="AB1131" s="8"/>
      <c r="AC1131" s="8"/>
      <c r="AE1131" s="90"/>
      <c r="AF1131" s="90"/>
      <c r="AP1131" s="8"/>
      <c r="AQ1131" s="8"/>
      <c r="AR1131" s="8"/>
      <c r="AS1131" s="8"/>
      <c r="AT1131" s="8"/>
      <c r="AU1131" s="8"/>
      <c r="AV1131" s="8"/>
      <c r="AW1131" s="8"/>
      <c r="AX1131" s="8"/>
      <c r="AY1131" s="90"/>
      <c r="AZ1131" s="90"/>
      <c r="BA1131" s="90"/>
      <c r="BB1131" s="90"/>
      <c r="BC1131" s="90"/>
      <c r="BD1131" s="90"/>
      <c r="BE1131" s="90"/>
      <c r="BF1131" s="90"/>
    </row>
    <row r="1132" spans="1:58" x14ac:dyDescent="0.2">
      <c r="A1132" s="62"/>
      <c r="B1132" s="62"/>
      <c r="C1132" s="62"/>
      <c r="D1132" s="62"/>
      <c r="E1132" s="345"/>
      <c r="F1132" s="345"/>
      <c r="G1132" s="113"/>
      <c r="H1132" s="113"/>
      <c r="I1132" s="114"/>
      <c r="J1132" s="114"/>
      <c r="K1132" s="114"/>
      <c r="L1132" s="81"/>
      <c r="M1132" s="265" t="b">
        <f>NOT(ISERROR(ResultsInd[[#This Row],[Goal-A]]+ResultsInd[[#This Row],[Goal-B]]))</f>
        <v>1</v>
      </c>
      <c r="N1132" s="265">
        <f>VALUE(ResultsInd[[#This Row],[Score-A]])</f>
        <v>0</v>
      </c>
      <c r="O1132" s="265">
        <f>VALUE(ResultsInd[[#This Row],[Score-B]])</f>
        <v>0</v>
      </c>
      <c r="P1132" s="265" t="str">
        <f ca="1">IF(AND(ResultsInd[[#This Row],[Category]]&lt;&gt;"",ResultsInd[[#This Row],[Player A]]&lt;&gt;""),COUNTIF(INDIRECT(ResultsInd[[#This Row],[Category]]&amp;"List[Retained Player Name]"),ResultsInd[[#This Row],[Player A]]),"")</f>
        <v/>
      </c>
      <c r="Q1132" s="265" t="str">
        <f ca="1">IF(AND(ResultsInd[[#This Row],[Category]]&lt;&gt;"",ResultsInd[[#This Row],[Player B]]&lt;&gt;""),COUNTIF(INDIRECT(ResultsInd[[#This Row],[Category]]&amp;"List[Retained Player Name]"),ResultsInd[[#This Row],[Player B]]),"")</f>
        <v/>
      </c>
      <c r="R11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2" s="265" t="str">
        <f>IF(ResultsInd[[#This Row],[Score_OK]],IF(ResultsInd[[#This Row],[Stage]]="Groups",ResultsInd[[#This Row],[Category]]&amp;"-"&amp;IF(ResultsInd[[#This Row],[Player B]]="","",IF(ResultsInd[[#This Row],[Score-A]]=ResultsInd[[#This Row],[Score-B]],ResultsInd[[#This Row],[Player A]],"")),""),"")</f>
        <v/>
      </c>
      <c r="T1132" s="265" t="str">
        <f>IF(ResultsInd[[#This Row],[Score_OK]],IF(ResultsInd[[#This Row],[Stage]]="Groups",ResultsInd[[#This Row],[Category]]&amp;"-"&amp;IF(ResultsInd[[#This Row],[Player B]]="","",IF(ResultsInd[[#This Row],[Score-A]]=ResultsInd[[#This Row],[Score-B]],ResultsInd[[#This Row],[Player B]],"")),""),"")</f>
        <v/>
      </c>
      <c r="U11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2" s="264" t="str">
        <f>IF(ResultsInd[[#This Row],[Category]]="","",VLOOKUP(ResultsInd[[#This Row],[Stage]],$P$1:$V$9,MATCH(ResultsInd[[#This Row],[Category]],$Q$1:$V$1,0)+1,FALSE))</f>
        <v/>
      </c>
      <c r="Z1132" s="264" t="str">
        <f>IF(ResultsInd[[#This Row],[Score_OK]],IF(ResultsInd[[#This Row],[Level]]="R",ResultsInd[[#This Row],[Category]]&amp;"-"&amp;IF(ResultsInd[[#This Row],[LoseInKO]]=ResultsInd[[#This Row],[Category]]&amp;"-"&amp;ResultsInd[[#This Row],[Player A]],ResultsInd[[#This Row],[Player B]],ResultsInd[[#This Row],[Player A]]),""),"")</f>
        <v/>
      </c>
      <c r="AB1132" s="8"/>
      <c r="AC1132" s="8"/>
      <c r="AE1132" s="90"/>
      <c r="AF1132" s="90"/>
      <c r="AP1132" s="8"/>
      <c r="AQ1132" s="8"/>
      <c r="AR1132" s="8"/>
      <c r="AS1132" s="8"/>
      <c r="AT1132" s="8"/>
      <c r="AU1132" s="8"/>
      <c r="AV1132" s="8"/>
      <c r="AW1132" s="8"/>
      <c r="AX1132" s="8"/>
      <c r="AY1132" s="90"/>
      <c r="AZ1132" s="90"/>
      <c r="BA1132" s="90"/>
      <c r="BB1132" s="90"/>
      <c r="BC1132" s="90"/>
      <c r="BD1132" s="90"/>
      <c r="BE1132" s="90"/>
      <c r="BF1132" s="90"/>
    </row>
    <row r="1133" spans="1:58" x14ac:dyDescent="0.2">
      <c r="A1133" s="62"/>
      <c r="B1133" s="62"/>
      <c r="C1133" s="62"/>
      <c r="D1133" s="62"/>
      <c r="E1133" s="345"/>
      <c r="F1133" s="345"/>
      <c r="G1133" s="113"/>
      <c r="H1133" s="113"/>
      <c r="I1133" s="114"/>
      <c r="J1133" s="114"/>
      <c r="K1133" s="114"/>
      <c r="L1133" s="81"/>
      <c r="M1133" s="265" t="b">
        <f>NOT(ISERROR(ResultsInd[[#This Row],[Goal-A]]+ResultsInd[[#This Row],[Goal-B]]))</f>
        <v>1</v>
      </c>
      <c r="N1133" s="265">
        <f>VALUE(ResultsInd[[#This Row],[Score-A]])</f>
        <v>0</v>
      </c>
      <c r="O1133" s="265">
        <f>VALUE(ResultsInd[[#This Row],[Score-B]])</f>
        <v>0</v>
      </c>
      <c r="P1133" s="265" t="str">
        <f ca="1">IF(AND(ResultsInd[[#This Row],[Category]]&lt;&gt;"",ResultsInd[[#This Row],[Player A]]&lt;&gt;""),COUNTIF(INDIRECT(ResultsInd[[#This Row],[Category]]&amp;"List[Retained Player Name]"),ResultsInd[[#This Row],[Player A]]),"")</f>
        <v/>
      </c>
      <c r="Q1133" s="265" t="str">
        <f ca="1">IF(AND(ResultsInd[[#This Row],[Category]]&lt;&gt;"",ResultsInd[[#This Row],[Player B]]&lt;&gt;""),COUNTIF(INDIRECT(ResultsInd[[#This Row],[Category]]&amp;"List[Retained Player Name]"),ResultsInd[[#This Row],[Player B]]),"")</f>
        <v/>
      </c>
      <c r="R11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3" s="265" t="str">
        <f>IF(ResultsInd[[#This Row],[Score_OK]],IF(ResultsInd[[#This Row],[Stage]]="Groups",ResultsInd[[#This Row],[Category]]&amp;"-"&amp;IF(ResultsInd[[#This Row],[Player B]]="","",IF(ResultsInd[[#This Row],[Score-A]]=ResultsInd[[#This Row],[Score-B]],ResultsInd[[#This Row],[Player A]],"")),""),"")</f>
        <v/>
      </c>
      <c r="T1133" s="265" t="str">
        <f>IF(ResultsInd[[#This Row],[Score_OK]],IF(ResultsInd[[#This Row],[Stage]]="Groups",ResultsInd[[#This Row],[Category]]&amp;"-"&amp;IF(ResultsInd[[#This Row],[Player B]]="","",IF(ResultsInd[[#This Row],[Score-A]]=ResultsInd[[#This Row],[Score-B]],ResultsInd[[#This Row],[Player B]],"")),""),"")</f>
        <v/>
      </c>
      <c r="U11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3" s="264" t="str">
        <f>IF(ResultsInd[[#This Row],[Category]]="","",VLOOKUP(ResultsInd[[#This Row],[Stage]],$P$1:$V$9,MATCH(ResultsInd[[#This Row],[Category]],$Q$1:$V$1,0)+1,FALSE))</f>
        <v/>
      </c>
      <c r="Z1133" s="264" t="str">
        <f>IF(ResultsInd[[#This Row],[Score_OK]],IF(ResultsInd[[#This Row],[Level]]="R",ResultsInd[[#This Row],[Category]]&amp;"-"&amp;IF(ResultsInd[[#This Row],[LoseInKO]]=ResultsInd[[#This Row],[Category]]&amp;"-"&amp;ResultsInd[[#This Row],[Player A]],ResultsInd[[#This Row],[Player B]],ResultsInd[[#This Row],[Player A]]),""),"")</f>
        <v/>
      </c>
      <c r="AB1133" s="8"/>
      <c r="AC1133" s="8"/>
      <c r="AE1133" s="90"/>
      <c r="AF1133" s="90"/>
      <c r="AP1133" s="8"/>
      <c r="AQ1133" s="8"/>
      <c r="AR1133" s="8"/>
      <c r="AS1133" s="8"/>
      <c r="AT1133" s="8"/>
      <c r="AU1133" s="8"/>
      <c r="AV1133" s="8"/>
      <c r="AW1133" s="8"/>
      <c r="AX1133" s="8"/>
      <c r="AY1133" s="90"/>
      <c r="AZ1133" s="90"/>
      <c r="BA1133" s="90"/>
      <c r="BB1133" s="90"/>
      <c r="BC1133" s="90"/>
      <c r="BD1133" s="90"/>
      <c r="BE1133" s="90"/>
      <c r="BF1133" s="90"/>
    </row>
    <row r="1134" spans="1:58" x14ac:dyDescent="0.2">
      <c r="A1134" s="62"/>
      <c r="B1134" s="62"/>
      <c r="C1134" s="62"/>
      <c r="D1134" s="62"/>
      <c r="E1134" s="345"/>
      <c r="F1134" s="345"/>
      <c r="G1134" s="113"/>
      <c r="H1134" s="113"/>
      <c r="I1134" s="114"/>
      <c r="J1134" s="114"/>
      <c r="K1134" s="114"/>
      <c r="L1134" s="81"/>
      <c r="M1134" s="265" t="b">
        <f>NOT(ISERROR(ResultsInd[[#This Row],[Goal-A]]+ResultsInd[[#This Row],[Goal-B]]))</f>
        <v>1</v>
      </c>
      <c r="N1134" s="265">
        <f>VALUE(ResultsInd[[#This Row],[Score-A]])</f>
        <v>0</v>
      </c>
      <c r="O1134" s="265">
        <f>VALUE(ResultsInd[[#This Row],[Score-B]])</f>
        <v>0</v>
      </c>
      <c r="P1134" s="265" t="str">
        <f ca="1">IF(AND(ResultsInd[[#This Row],[Category]]&lt;&gt;"",ResultsInd[[#This Row],[Player A]]&lt;&gt;""),COUNTIF(INDIRECT(ResultsInd[[#This Row],[Category]]&amp;"List[Retained Player Name]"),ResultsInd[[#This Row],[Player A]]),"")</f>
        <v/>
      </c>
      <c r="Q1134" s="265" t="str">
        <f ca="1">IF(AND(ResultsInd[[#This Row],[Category]]&lt;&gt;"",ResultsInd[[#This Row],[Player B]]&lt;&gt;""),COUNTIF(INDIRECT(ResultsInd[[#This Row],[Category]]&amp;"List[Retained Player Name]"),ResultsInd[[#This Row],[Player B]]),"")</f>
        <v/>
      </c>
      <c r="R11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4" s="265" t="str">
        <f>IF(ResultsInd[[#This Row],[Score_OK]],IF(ResultsInd[[#This Row],[Stage]]="Groups",ResultsInd[[#This Row],[Category]]&amp;"-"&amp;IF(ResultsInd[[#This Row],[Player B]]="","",IF(ResultsInd[[#This Row],[Score-A]]=ResultsInd[[#This Row],[Score-B]],ResultsInd[[#This Row],[Player A]],"")),""),"")</f>
        <v/>
      </c>
      <c r="T1134" s="265" t="str">
        <f>IF(ResultsInd[[#This Row],[Score_OK]],IF(ResultsInd[[#This Row],[Stage]]="Groups",ResultsInd[[#This Row],[Category]]&amp;"-"&amp;IF(ResultsInd[[#This Row],[Player B]]="","",IF(ResultsInd[[#This Row],[Score-A]]=ResultsInd[[#This Row],[Score-B]],ResultsInd[[#This Row],[Player B]],"")),""),"")</f>
        <v/>
      </c>
      <c r="U11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4" s="264" t="str">
        <f>IF(ResultsInd[[#This Row],[Category]]="","",VLOOKUP(ResultsInd[[#This Row],[Stage]],$P$1:$V$9,MATCH(ResultsInd[[#This Row],[Category]],$Q$1:$V$1,0)+1,FALSE))</f>
        <v/>
      </c>
      <c r="Z1134" s="264" t="str">
        <f>IF(ResultsInd[[#This Row],[Score_OK]],IF(ResultsInd[[#This Row],[Level]]="R",ResultsInd[[#This Row],[Category]]&amp;"-"&amp;IF(ResultsInd[[#This Row],[LoseInKO]]=ResultsInd[[#This Row],[Category]]&amp;"-"&amp;ResultsInd[[#This Row],[Player A]],ResultsInd[[#This Row],[Player B]],ResultsInd[[#This Row],[Player A]]),""),"")</f>
        <v/>
      </c>
      <c r="AB1134" s="8"/>
      <c r="AC1134" s="8"/>
      <c r="AE1134" s="90"/>
      <c r="AF1134" s="90"/>
      <c r="AP1134" s="8"/>
      <c r="AQ1134" s="8"/>
      <c r="AR1134" s="8"/>
      <c r="AS1134" s="8"/>
      <c r="AT1134" s="8"/>
      <c r="AU1134" s="8"/>
      <c r="AV1134" s="8"/>
      <c r="AW1134" s="8"/>
      <c r="AX1134" s="8"/>
      <c r="AY1134" s="90"/>
      <c r="AZ1134" s="90"/>
      <c r="BA1134" s="90"/>
      <c r="BB1134" s="90"/>
      <c r="BC1134" s="90"/>
      <c r="BD1134" s="90"/>
      <c r="BE1134" s="90"/>
      <c r="BF1134" s="90"/>
    </row>
    <row r="1135" spans="1:58" x14ac:dyDescent="0.2">
      <c r="A1135" s="62"/>
      <c r="B1135" s="62"/>
      <c r="C1135" s="62"/>
      <c r="D1135" s="62"/>
      <c r="E1135" s="345"/>
      <c r="F1135" s="345"/>
      <c r="G1135" s="113"/>
      <c r="H1135" s="113"/>
      <c r="I1135" s="114"/>
      <c r="J1135" s="114"/>
      <c r="K1135" s="114"/>
      <c r="L1135" s="81"/>
      <c r="M1135" s="265" t="b">
        <f>NOT(ISERROR(ResultsInd[[#This Row],[Goal-A]]+ResultsInd[[#This Row],[Goal-B]]))</f>
        <v>1</v>
      </c>
      <c r="N1135" s="265">
        <f>VALUE(ResultsInd[[#This Row],[Score-A]])</f>
        <v>0</v>
      </c>
      <c r="O1135" s="265">
        <f>VALUE(ResultsInd[[#This Row],[Score-B]])</f>
        <v>0</v>
      </c>
      <c r="P1135" s="265" t="str">
        <f ca="1">IF(AND(ResultsInd[[#This Row],[Category]]&lt;&gt;"",ResultsInd[[#This Row],[Player A]]&lt;&gt;""),COUNTIF(INDIRECT(ResultsInd[[#This Row],[Category]]&amp;"List[Retained Player Name]"),ResultsInd[[#This Row],[Player A]]),"")</f>
        <v/>
      </c>
      <c r="Q1135" s="265" t="str">
        <f ca="1">IF(AND(ResultsInd[[#This Row],[Category]]&lt;&gt;"",ResultsInd[[#This Row],[Player B]]&lt;&gt;""),COUNTIF(INDIRECT(ResultsInd[[#This Row],[Category]]&amp;"List[Retained Player Name]"),ResultsInd[[#This Row],[Player B]]),"")</f>
        <v/>
      </c>
      <c r="R11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5" s="265" t="str">
        <f>IF(ResultsInd[[#This Row],[Score_OK]],IF(ResultsInd[[#This Row],[Stage]]="Groups",ResultsInd[[#This Row],[Category]]&amp;"-"&amp;IF(ResultsInd[[#This Row],[Player B]]="","",IF(ResultsInd[[#This Row],[Score-A]]=ResultsInd[[#This Row],[Score-B]],ResultsInd[[#This Row],[Player A]],"")),""),"")</f>
        <v/>
      </c>
      <c r="T1135" s="265" t="str">
        <f>IF(ResultsInd[[#This Row],[Score_OK]],IF(ResultsInd[[#This Row],[Stage]]="Groups",ResultsInd[[#This Row],[Category]]&amp;"-"&amp;IF(ResultsInd[[#This Row],[Player B]]="","",IF(ResultsInd[[#This Row],[Score-A]]=ResultsInd[[#This Row],[Score-B]],ResultsInd[[#This Row],[Player B]],"")),""),"")</f>
        <v/>
      </c>
      <c r="U11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5" s="264" t="str">
        <f>IF(ResultsInd[[#This Row],[Category]]="","",VLOOKUP(ResultsInd[[#This Row],[Stage]],$P$1:$V$9,MATCH(ResultsInd[[#This Row],[Category]],$Q$1:$V$1,0)+1,FALSE))</f>
        <v/>
      </c>
      <c r="Z1135" s="264" t="str">
        <f>IF(ResultsInd[[#This Row],[Score_OK]],IF(ResultsInd[[#This Row],[Level]]="R",ResultsInd[[#This Row],[Category]]&amp;"-"&amp;IF(ResultsInd[[#This Row],[LoseInKO]]=ResultsInd[[#This Row],[Category]]&amp;"-"&amp;ResultsInd[[#This Row],[Player A]],ResultsInd[[#This Row],[Player B]],ResultsInd[[#This Row],[Player A]]),""),"")</f>
        <v/>
      </c>
      <c r="AB1135" s="8"/>
      <c r="AC1135" s="8"/>
      <c r="AE1135" s="90"/>
      <c r="AF1135" s="90"/>
      <c r="AP1135" s="8"/>
      <c r="AQ1135" s="8"/>
      <c r="AR1135" s="8"/>
      <c r="AS1135" s="8"/>
      <c r="AT1135" s="8"/>
      <c r="AU1135" s="8"/>
      <c r="AV1135" s="8"/>
      <c r="AW1135" s="8"/>
      <c r="AX1135" s="8"/>
      <c r="AY1135" s="90"/>
      <c r="AZ1135" s="90"/>
      <c r="BA1135" s="90"/>
      <c r="BB1135" s="90"/>
      <c r="BC1135" s="90"/>
      <c r="BD1135" s="90"/>
      <c r="BE1135" s="90"/>
      <c r="BF1135" s="90"/>
    </row>
    <row r="1136" spans="1:58" x14ac:dyDescent="0.2">
      <c r="A1136" s="62"/>
      <c r="B1136" s="62"/>
      <c r="C1136" s="62"/>
      <c r="D1136" s="62"/>
      <c r="E1136" s="345"/>
      <c r="F1136" s="345"/>
      <c r="G1136" s="113"/>
      <c r="H1136" s="113"/>
      <c r="I1136" s="114"/>
      <c r="J1136" s="114"/>
      <c r="K1136" s="114"/>
      <c r="L1136" s="81"/>
      <c r="M1136" s="265" t="b">
        <f>NOT(ISERROR(ResultsInd[[#This Row],[Goal-A]]+ResultsInd[[#This Row],[Goal-B]]))</f>
        <v>1</v>
      </c>
      <c r="N1136" s="265">
        <f>VALUE(ResultsInd[[#This Row],[Score-A]])</f>
        <v>0</v>
      </c>
      <c r="O1136" s="265">
        <f>VALUE(ResultsInd[[#This Row],[Score-B]])</f>
        <v>0</v>
      </c>
      <c r="P1136" s="265" t="str">
        <f ca="1">IF(AND(ResultsInd[[#This Row],[Category]]&lt;&gt;"",ResultsInd[[#This Row],[Player A]]&lt;&gt;""),COUNTIF(INDIRECT(ResultsInd[[#This Row],[Category]]&amp;"List[Retained Player Name]"),ResultsInd[[#This Row],[Player A]]),"")</f>
        <v/>
      </c>
      <c r="Q1136" s="265" t="str">
        <f ca="1">IF(AND(ResultsInd[[#This Row],[Category]]&lt;&gt;"",ResultsInd[[#This Row],[Player B]]&lt;&gt;""),COUNTIF(INDIRECT(ResultsInd[[#This Row],[Category]]&amp;"List[Retained Player Name]"),ResultsInd[[#This Row],[Player B]]),"")</f>
        <v/>
      </c>
      <c r="R11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6" s="265" t="str">
        <f>IF(ResultsInd[[#This Row],[Score_OK]],IF(ResultsInd[[#This Row],[Stage]]="Groups",ResultsInd[[#This Row],[Category]]&amp;"-"&amp;IF(ResultsInd[[#This Row],[Player B]]="","",IF(ResultsInd[[#This Row],[Score-A]]=ResultsInd[[#This Row],[Score-B]],ResultsInd[[#This Row],[Player A]],"")),""),"")</f>
        <v/>
      </c>
      <c r="T1136" s="265" t="str">
        <f>IF(ResultsInd[[#This Row],[Score_OK]],IF(ResultsInd[[#This Row],[Stage]]="Groups",ResultsInd[[#This Row],[Category]]&amp;"-"&amp;IF(ResultsInd[[#This Row],[Player B]]="","",IF(ResultsInd[[#This Row],[Score-A]]=ResultsInd[[#This Row],[Score-B]],ResultsInd[[#This Row],[Player B]],"")),""),"")</f>
        <v/>
      </c>
      <c r="U11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6" s="264" t="str">
        <f>IF(ResultsInd[[#This Row],[Category]]="","",VLOOKUP(ResultsInd[[#This Row],[Stage]],$P$1:$V$9,MATCH(ResultsInd[[#This Row],[Category]],$Q$1:$V$1,0)+1,FALSE))</f>
        <v/>
      </c>
      <c r="Z1136" s="264" t="str">
        <f>IF(ResultsInd[[#This Row],[Score_OK]],IF(ResultsInd[[#This Row],[Level]]="R",ResultsInd[[#This Row],[Category]]&amp;"-"&amp;IF(ResultsInd[[#This Row],[LoseInKO]]=ResultsInd[[#This Row],[Category]]&amp;"-"&amp;ResultsInd[[#This Row],[Player A]],ResultsInd[[#This Row],[Player B]],ResultsInd[[#This Row],[Player A]]),""),"")</f>
        <v/>
      </c>
      <c r="AB1136" s="8"/>
      <c r="AC1136" s="8"/>
      <c r="AE1136" s="90"/>
      <c r="AF1136" s="90"/>
      <c r="AP1136" s="8"/>
      <c r="AQ1136" s="8"/>
      <c r="AR1136" s="8"/>
      <c r="AS1136" s="8"/>
      <c r="AT1136" s="8"/>
      <c r="AU1136" s="8"/>
      <c r="AV1136" s="8"/>
      <c r="AW1136" s="8"/>
      <c r="AX1136" s="8"/>
      <c r="AY1136" s="90"/>
      <c r="AZ1136" s="90"/>
      <c r="BA1136" s="90"/>
      <c r="BB1136" s="90"/>
      <c r="BC1136" s="90"/>
      <c r="BD1136" s="90"/>
      <c r="BE1136" s="90"/>
      <c r="BF1136" s="90"/>
    </row>
    <row r="1137" spans="1:58" x14ac:dyDescent="0.2">
      <c r="A1137" s="83"/>
      <c r="B1137" s="83"/>
      <c r="C1137" s="83"/>
      <c r="D1137" s="83"/>
      <c r="E1137" s="346"/>
      <c r="F1137" s="346"/>
      <c r="G1137" s="115"/>
      <c r="H1137" s="115"/>
      <c r="I1137" s="116"/>
      <c r="J1137" s="116"/>
      <c r="K1137" s="116"/>
      <c r="L1137" s="85"/>
      <c r="M1137" s="265" t="b">
        <f>NOT(ISERROR(ResultsInd[[#This Row],[Goal-A]]+ResultsInd[[#This Row],[Goal-B]]))</f>
        <v>1</v>
      </c>
      <c r="N1137" s="265">
        <f>VALUE(ResultsInd[[#This Row],[Score-A]])</f>
        <v>0</v>
      </c>
      <c r="O1137" s="265">
        <f>VALUE(ResultsInd[[#This Row],[Score-B]])</f>
        <v>0</v>
      </c>
      <c r="P1137" s="265" t="str">
        <f ca="1">IF(AND(ResultsInd[[#This Row],[Category]]&lt;&gt;"",ResultsInd[[#This Row],[Player A]]&lt;&gt;""),COUNTIF(INDIRECT(ResultsInd[[#This Row],[Category]]&amp;"List[Retained Player Name]"),ResultsInd[[#This Row],[Player A]]),"")</f>
        <v/>
      </c>
      <c r="Q1137" s="265" t="str">
        <f ca="1">IF(AND(ResultsInd[[#This Row],[Category]]&lt;&gt;"",ResultsInd[[#This Row],[Player B]]&lt;&gt;""),COUNTIF(INDIRECT(ResultsInd[[#This Row],[Category]]&amp;"List[Retained Player Name]"),ResultsInd[[#This Row],[Player B]]),"")</f>
        <v/>
      </c>
      <c r="R11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7" s="265" t="str">
        <f>IF(ResultsInd[[#This Row],[Score_OK]],IF(ResultsInd[[#This Row],[Stage]]="Groups",ResultsInd[[#This Row],[Category]]&amp;"-"&amp;IF(ResultsInd[[#This Row],[Player B]]="","",IF(ResultsInd[[#This Row],[Score-A]]=ResultsInd[[#This Row],[Score-B]],ResultsInd[[#This Row],[Player A]],"")),""),"")</f>
        <v/>
      </c>
      <c r="T1137" s="265" t="str">
        <f>IF(ResultsInd[[#This Row],[Score_OK]],IF(ResultsInd[[#This Row],[Stage]]="Groups",ResultsInd[[#This Row],[Category]]&amp;"-"&amp;IF(ResultsInd[[#This Row],[Player B]]="","",IF(ResultsInd[[#This Row],[Score-A]]=ResultsInd[[#This Row],[Score-B]],ResultsInd[[#This Row],[Player B]],"")),""),"")</f>
        <v/>
      </c>
      <c r="U11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7" s="264" t="str">
        <f>IF(ResultsInd[[#This Row],[Category]]="","",VLOOKUP(ResultsInd[[#This Row],[Stage]],$P$1:$V$9,MATCH(ResultsInd[[#This Row],[Category]],$Q$1:$V$1,0)+1,FALSE))</f>
        <v/>
      </c>
      <c r="Z1137" s="264" t="str">
        <f>IF(ResultsInd[[#This Row],[Score_OK]],IF(ResultsInd[[#This Row],[Level]]="R",ResultsInd[[#This Row],[Category]]&amp;"-"&amp;IF(ResultsInd[[#This Row],[LoseInKO]]=ResultsInd[[#This Row],[Category]]&amp;"-"&amp;ResultsInd[[#This Row],[Player A]],ResultsInd[[#This Row],[Player B]],ResultsInd[[#This Row],[Player A]]),""),"")</f>
        <v/>
      </c>
      <c r="AB1137" s="8"/>
      <c r="AC1137" s="8"/>
      <c r="AE1137" s="90"/>
      <c r="AF1137" s="90"/>
      <c r="AP1137" s="8"/>
      <c r="AQ1137" s="8"/>
      <c r="AR1137" s="8"/>
      <c r="AS1137" s="8"/>
      <c r="AT1137" s="8"/>
      <c r="AU1137" s="8"/>
      <c r="AV1137" s="8"/>
      <c r="AW1137" s="8"/>
      <c r="AX1137" s="8"/>
      <c r="AY1137" s="90"/>
      <c r="AZ1137" s="90"/>
      <c r="BA1137" s="90"/>
      <c r="BB1137" s="90"/>
      <c r="BC1137" s="90"/>
      <c r="BD1137" s="90"/>
      <c r="BE1137" s="90"/>
      <c r="BF1137" s="90"/>
    </row>
    <row r="1138" spans="1:58" x14ac:dyDescent="0.2">
      <c r="AB1138" s="8"/>
      <c r="AC1138" s="8"/>
      <c r="AE1138" s="90"/>
      <c r="AF1138" s="90"/>
      <c r="AP1138" s="8"/>
      <c r="AQ1138" s="8"/>
      <c r="AR1138" s="8"/>
      <c r="AS1138" s="8"/>
      <c r="AT1138" s="8"/>
      <c r="AU1138" s="8"/>
      <c r="AV1138" s="8"/>
      <c r="AW1138" s="8"/>
      <c r="AX1138" s="8"/>
      <c r="AY1138" s="90"/>
      <c r="AZ1138" s="90"/>
      <c r="BA1138" s="90"/>
      <c r="BB1138" s="90"/>
      <c r="BC1138" s="90"/>
      <c r="BD1138" s="90"/>
      <c r="BE1138" s="90"/>
      <c r="BF1138" s="90"/>
    </row>
    <row r="1139" spans="1:58" x14ac:dyDescent="0.2">
      <c r="AB1139" s="8"/>
      <c r="AC1139" s="8"/>
      <c r="AE1139" s="90"/>
      <c r="AF1139" s="90"/>
      <c r="AP1139" s="8"/>
      <c r="AQ1139" s="8"/>
      <c r="AR1139" s="8"/>
      <c r="AS1139" s="8"/>
      <c r="AT1139" s="8"/>
      <c r="AU1139" s="8"/>
      <c r="AV1139" s="8"/>
      <c r="AW1139" s="8"/>
      <c r="AX1139" s="8"/>
      <c r="AY1139" s="90"/>
      <c r="AZ1139" s="90"/>
      <c r="BA1139" s="90"/>
      <c r="BB1139" s="90"/>
      <c r="BC1139" s="90"/>
      <c r="BD1139" s="90"/>
      <c r="BE1139" s="90"/>
      <c r="BF1139" s="90"/>
    </row>
    <row r="1140" spans="1:58" x14ac:dyDescent="0.2">
      <c r="AB1140" s="8"/>
      <c r="AC1140" s="8"/>
      <c r="AE1140" s="90"/>
      <c r="AF1140" s="90"/>
      <c r="AP1140" s="8"/>
      <c r="AQ1140" s="8"/>
      <c r="AR1140" s="8"/>
      <c r="AS1140" s="8"/>
      <c r="AT1140" s="8"/>
      <c r="AU1140" s="8"/>
      <c r="AV1140" s="8"/>
      <c r="AW1140" s="8"/>
      <c r="AX1140" s="8"/>
      <c r="AY1140" s="90"/>
      <c r="AZ1140" s="90"/>
      <c r="BA1140" s="90"/>
      <c r="BB1140" s="90"/>
      <c r="BC1140" s="90"/>
      <c r="BD1140" s="90"/>
      <c r="BE1140" s="90"/>
      <c r="BF1140" s="90"/>
    </row>
    <row r="1141" spans="1:58" x14ac:dyDescent="0.2">
      <c r="AB1141" s="8"/>
      <c r="AC1141" s="8"/>
      <c r="AE1141" s="90"/>
      <c r="AF1141" s="90"/>
      <c r="AP1141" s="8"/>
      <c r="AQ1141" s="8"/>
      <c r="AR1141" s="8"/>
      <c r="AS1141" s="8"/>
      <c r="AT1141" s="8"/>
      <c r="AU1141" s="8"/>
      <c r="AV1141" s="8"/>
      <c r="AW1141" s="8"/>
      <c r="AX1141" s="8"/>
      <c r="AY1141" s="90"/>
      <c r="AZ1141" s="90"/>
      <c r="BA1141" s="90"/>
      <c r="BB1141" s="90"/>
      <c r="BC1141" s="90"/>
      <c r="BD1141" s="90"/>
      <c r="BE1141" s="90"/>
      <c r="BF1141" s="90"/>
    </row>
  </sheetData>
  <sheetProtection formatColumns="0" formatRows="0" selectLockedCells="1" sort="0"/>
  <mergeCells count="2">
    <mergeCell ref="A20:L20"/>
    <mergeCell ref="A6:L6"/>
  </mergeCells>
  <phoneticPr fontId="29" type="noConversion"/>
  <conditionalFormatting sqref="A8:A19">
    <cfRule type="expression" dxfId="55" priority="14">
      <formula>MATCH(A8,INDIRECT("Categories"),0)</formula>
    </cfRule>
  </conditionalFormatting>
  <conditionalFormatting sqref="A22:A1137">
    <cfRule type="expression" dxfId="54" priority="13">
      <formula>AND(A22&lt;&gt;"",ISERROR(MATCH(A22,INDIRECT("Categories[Categories]"),0)))</formula>
    </cfRule>
    <cfRule type="expression" dxfId="53" priority="17">
      <formula>MATCH(A22,INDIRECT("Categories"),0)</formula>
    </cfRule>
  </conditionalFormatting>
  <conditionalFormatting sqref="E22:F1137">
    <cfRule type="expression" dxfId="52" priority="908">
      <formula>IF($B22="Groups",$A22&amp;"-"&amp;E22 = $R22,$A22&amp;"-"&amp;E22&lt;&gt;$V22)</formula>
    </cfRule>
    <cfRule type="expression" dxfId="51" priority="909">
      <formula>AND($A22&lt;&gt;"",E22&lt;&gt;"",P22&lt;1)</formula>
    </cfRule>
  </conditionalFormatting>
  <conditionalFormatting sqref="G7:H7">
    <cfRule type="expression" dxfId="50" priority="24">
      <formula>AND($A7&lt;&gt;"",$B7&lt;&gt;"",$B7&lt;&gt;"Groups",$G7&lt;&gt;"",$H7&lt;&gt;"",$H7=$G7,$J7=$K7)</formula>
    </cfRule>
  </conditionalFormatting>
  <conditionalFormatting sqref="G22:H1137">
    <cfRule type="expression" dxfId="49" priority="21">
      <formula>ISERROR(N22)</formula>
    </cfRule>
  </conditionalFormatting>
  <conditionalFormatting sqref="G8:K1137">
    <cfRule type="expression" dxfId="48" priority="35">
      <formula>AND($A8&lt;&gt;"",$B8&lt;&gt;"",$B8&lt;&gt;"Groups",$G8&lt;&gt;"",$H8&lt;&gt;"",$H8=$G8,$J8=$K8)</formula>
    </cfRule>
  </conditionalFormatting>
  <conditionalFormatting sqref="I8:K1137">
    <cfRule type="expression" dxfId="47" priority="36">
      <formula>$B8="Groups"</formula>
    </cfRule>
  </conditionalFormatting>
  <conditionalFormatting sqref="J7:K7">
    <cfRule type="expression" dxfId="46" priority="22">
      <formula>AND($A7&lt;&gt;"",$B7&lt;&gt;"",$B7&lt;&gt;"Groups",$G7&lt;&gt;"",$H7&lt;&gt;"",$H7=$G7,$J7=$K7)</formula>
    </cfRule>
    <cfRule type="expression" dxfId="45" priority="23">
      <formula>$B7="Groups"</formula>
    </cfRule>
  </conditionalFormatting>
  <conditionalFormatting sqref="AD22:AD605">
    <cfRule type="expression" dxfId="44" priority="12">
      <formula>AND(AB22="",AC22&lt;&gt;"",AD22&lt;&gt;"",ISERROR(MATCH(AD22,INDIRECT($AC22&amp;"List[Retained Player Name]"),0)))</formula>
    </cfRule>
  </conditionalFormatting>
  <conditionalFormatting sqref="AY23:AY605">
    <cfRule type="expression" dxfId="43" priority="7">
      <formula>IF(AV23="",FALSE,AV23)</formula>
    </cfRule>
  </conditionalFormatting>
  <dataValidations count="9">
    <dataValidation type="list" allowBlank="1" showInputMessage="1" showErrorMessage="1" sqref="B983023:B984141 B917487:B918605 B851951:B853069 B786415:B787533 B720879:B721997 B655343:B656461 B589807:B590925 B524271:B525389 B458735:B459853 B393199:B394317 B327663:B328781 B262127:B263245 B196591:B197709 B131055:B132173 B65519:B66637" xr:uid="{63AE0E4A-CED1-4061-82C3-56B25902D90A}">
      <formula1>$P$12:$P$20</formula1>
    </dataValidation>
    <dataValidation type="list" allowBlank="1" showInputMessage="1" showErrorMessage="1" sqref="AC544 A65519:A66637 A131055:A132173 A196591:A197709 A262127:A263245 A327663:A328781 A393199:A394317 A458735:A459853 A524271:A525389 A589807:A590925 A655343:A656461 A720879:A721997 A786415:A787533 A851951:A853069 A917487:A918605 A983023:A984141 AC508 AC553 AC364 AC400 AC373 AC292 AC517 AC301 AC328 AC346 AC472 AC256 AC337 AC76 AC274 AC265 AC409 AC238 AC310 AC526 AC283 AC220 AC148 AC562 AC184 AC436 AC229 AC355 AC247 AC193 AC166 AC481 AC580 AC445 AC319 AC454 AC112 AC121 AC157 AC202 AC418 AC40 AC85 AC94 AC58 AC7 AC103 AC130 AC427 AC490 AC139 AC67 AC175 AC211 AC22 AC535 AC31 AC382 AC391 AC499 AC463 AC589 AC598 AC571 AC49" xr:uid="{49B5B772-43DD-414F-A6D9-A831A584FCD4}">
      <formula1>INDIRECT("Categories")</formula1>
    </dataValidation>
    <dataValidation type="list" allowBlank="1" showInputMessage="1" sqref="AD23:AD29 AD32:AD38 AD41:AD47 AD50:AD56 AD59:AD65 AD68:AD74 AD77:AD83 AD86:AD92 AD95:AD101 AD104:AD110 AD113:AD119 AD122:AD128 AD131:AD137 AD140:AD146 AD149:AD155 AD158:AD164 AD167:AD173 AD176:AD182 AD185:AD191 AD194:AD200 AD203:AD209 AD212:AD218 AD221:AD227 AD230:AD236 AD239:AD245 AD248:AD254 AD257:AD263 AD266:AD272 AD275:AD281 AD284:AD290 AD293:AD299 AD302:AD308 AD311:AD317 AD320:AD326 AD329:AD335 AD338:AD344 AD347:AD353 AD356:AD362 AD365:AD371 AD374:AD380 AD383:AD389 AD392:AD398 AD401:AD407 AD410:AD416 AD419:AD425 AD428:AD434 AD437:AD443 AD446:AD452 AD455:AD461 AD464:AD470 AD473:AD479 AD482:AD488 AD491:AD497 AD500:AD506 AD509:AD515 AD518:AD524 AD527:AD533 AD536:AD542 AD545:AD551 AD554:AD560 AD563:AD569 AD572:AD578 AD581:AD587 AD590:AD596 AD599:AD605" xr:uid="{CF0B24B8-5126-4604-9901-D79B413D9665}">
      <formula1>OFFSET(INDIRECT($AC23&amp;"List[Retained Player Name]"),0,0,COUNTA(INDIRECT($AC23&amp;"List[Retained Player Name]"))-COUNTIF(INDIRECT($AC23&amp;"List[Retained Player Name]"),""))</formula1>
    </dataValidation>
    <dataValidation type="list" allowBlank="1" showInputMessage="1" showErrorMessage="1" sqref="I22:I1137" xr:uid="{BFB2519F-6ADB-4C28-941C-AD57FFC9A7AD}">
      <formula1>"x,X"</formula1>
    </dataValidation>
    <dataValidation type="whole" operator="greaterThanOrEqual" allowBlank="1" showInputMessage="1" showErrorMessage="1" error="Score must be a positive or null integer" sqref="G22:H1137" xr:uid="{2871F3C1-544A-48FD-92F6-4240C0BB3359}">
      <formula1>0</formula1>
    </dataValidation>
    <dataValidation type="list" allowBlank="1" showInputMessage="1" showErrorMessage="1" sqref="B22:B1137" xr:uid="{F32E1F61-1DDF-4062-8E54-BE0062669F60}">
      <formula1>INDIRECT("Stages")</formula1>
    </dataValidation>
    <dataValidation type="list" errorStyle="information" allowBlank="1" showInputMessage="1" showErrorMessage="1" error="Only Open, Veterans, Ladies, U20, U16 &amp; U12 will be taken into account for WR points" promptTitle="List of values" prompt="Following categories are taken into account for WR, others are not consdered. Respect the spelling but not necessarily case._x000a_&quot;Open&quot;, &quot;Veterans&quot;, &quot;Ladies&quot;, &quot;U20&quot;, &quot;U16&quot;, &quot;U12&quot;_x000a_&quot;Consolation&quot; or other terms are not considered for WR points." sqref="A22:A1137" xr:uid="{8C05F01E-E823-4374-9DB5-6CCBDD08154F}">
      <formula1>INDIRECT("Event_Values[Event values]")</formula1>
    </dataValidation>
    <dataValidation type="whole" operator="greaterThanOrEqual" allowBlank="1" showInputMessage="1" showErrorMessage="1" error="Shoot must be a positive or null integer" sqref="J22:K1137" xr:uid="{FA0560A5-1637-478B-B7B9-B379D199548A}">
      <formula1>0</formula1>
    </dataValidation>
    <dataValidation type="list" allowBlank="1" showInputMessage="1" showErrorMessage="1" sqref="E22:F1137" xr:uid="{F98C91AA-2AD6-4F39-BD0F-240A1D7CD9F5}">
      <formula1>OFFSET(INDIRECT($A22&amp;"List[Retained Player Name]"),0,0,COUNTA(INDIRECT($A22&amp;"List[Retained Player Name]"))-COUNTIF(INDIRECT($A22&amp;"List[Retained 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75" fitToHeight="31" orientation="landscape" r:id="rId1"/>
  <headerFooter alignWithMargins="0">
    <oddHeader>&amp;L&amp;D&amp;C&amp;"Arial,Normal"&amp;16FISTF Event Results
(individual event)</oddHeader>
    <oddFooter>&amp;C&amp;10Page &amp;P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rgb="FFFFFF00"/>
    <pageSetUpPr fitToPage="1"/>
  </sheetPr>
  <dimension ref="A1:BU922"/>
  <sheetViews>
    <sheetView showGridLines="0" zoomScaleNormal="100" zoomScaleSheetLayoutView="100" workbookViewId="0">
      <selection activeCell="F761" sqref="F761"/>
    </sheetView>
  </sheetViews>
  <sheetFormatPr defaultColWidth="0" defaultRowHeight="11.25" zeroHeight="1" x14ac:dyDescent="0.2"/>
  <cols>
    <col min="1" max="1" width="11.5703125" style="59" bestFit="1" customWidth="1"/>
    <col min="2" max="2" width="8" style="59" bestFit="1" customWidth="1"/>
    <col min="3" max="3" width="8" style="59" customWidth="1"/>
    <col min="4" max="4" width="8.5703125" style="59" customWidth="1"/>
    <col min="5" max="5" width="4.85546875" style="59" bestFit="1" customWidth="1"/>
    <col min="6" max="6" width="27.140625" style="11" customWidth="1"/>
    <col min="7" max="7" width="25.7109375" style="11" customWidth="1"/>
    <col min="8" max="8" width="7.28515625" style="88" bestFit="1" customWidth="1"/>
    <col min="9" max="9" width="7.140625" style="88" bestFit="1" customWidth="1"/>
    <col min="10" max="10" width="3" style="88" bestFit="1" customWidth="1"/>
    <col min="11" max="11" width="7.28515625" style="88" bestFit="1" customWidth="1"/>
    <col min="12" max="12" width="7.42578125" style="89" bestFit="1" customWidth="1"/>
    <col min="13" max="13" width="21.7109375" style="11" bestFit="1" customWidth="1"/>
    <col min="14" max="25" width="6" style="265" hidden="1" customWidth="1"/>
    <col min="26" max="26" width="6" style="8" hidden="1" customWidth="1"/>
    <col min="27" max="29" width="6" style="11" hidden="1" customWidth="1"/>
    <col min="30" max="32" width="6" style="8" hidden="1" customWidth="1"/>
    <col min="33" max="33" width="3" style="8" customWidth="1"/>
    <col min="34" max="34" width="7.5703125" style="8" customWidth="1"/>
    <col min="35" max="35" width="8.85546875" style="8" customWidth="1"/>
    <col min="36" max="36" width="20.140625" style="8" bestFit="1" customWidth="1"/>
    <col min="37" max="37" width="8.140625" style="8" bestFit="1" customWidth="1"/>
    <col min="38" max="38" width="8.7109375" style="8" bestFit="1" customWidth="1"/>
    <col min="39" max="41" width="5.42578125" style="8" hidden="1" customWidth="1"/>
    <col min="42" max="42" width="7.42578125" style="8" hidden="1" customWidth="1"/>
    <col min="43" max="43" width="5.42578125" style="8" hidden="1" customWidth="1"/>
    <col min="44" max="45" width="6.28515625" style="8" hidden="1" customWidth="1"/>
    <col min="46" max="57" width="5.42578125" style="8" hidden="1" customWidth="1"/>
    <col min="58" max="58" width="6.140625" style="8" hidden="1" customWidth="1"/>
    <col min="59" max="59" width="4.28515625" style="8" customWidth="1"/>
    <col min="60" max="60" width="20.140625" style="8" bestFit="1" customWidth="1"/>
    <col min="61" max="61" width="5" style="8" bestFit="1" customWidth="1"/>
    <col min="62" max="66" width="4.28515625" style="8" customWidth="1"/>
    <col min="67" max="69" width="4.7109375" style="8" customWidth="1"/>
    <col min="70" max="71" width="3.85546875" style="8" customWidth="1"/>
    <col min="72" max="72" width="4.85546875" style="8" customWidth="1"/>
    <col min="73" max="73" width="5.42578125" style="8" customWidth="1"/>
    <col min="74" max="16384" width="11.42578125" style="8" hidden="1"/>
  </cols>
  <sheetData>
    <row r="1" spans="1:72" ht="15.75" x14ac:dyDescent="0.25">
      <c r="A1" s="550" t="s">
        <v>12188</v>
      </c>
      <c r="B1" s="551"/>
      <c r="C1" s="551"/>
      <c r="D1" s="551"/>
      <c r="E1" s="551"/>
      <c r="F1" s="551"/>
      <c r="G1" s="551"/>
      <c r="H1" s="551"/>
      <c r="I1" s="551"/>
      <c r="J1" s="551"/>
      <c r="K1" s="551"/>
      <c r="L1" s="551"/>
      <c r="M1" s="552"/>
      <c r="R1" s="279" t="s">
        <v>12192</v>
      </c>
      <c r="S1" s="278" t="s">
        <v>12689</v>
      </c>
      <c r="T1" s="278" t="s">
        <v>12261</v>
      </c>
      <c r="U1" s="278" t="s">
        <v>930</v>
      </c>
      <c r="V1" s="278" t="s">
        <v>1023</v>
      </c>
      <c r="W1" s="278" t="s">
        <v>1177</v>
      </c>
      <c r="X1" s="278" t="s">
        <v>12262</v>
      </c>
      <c r="AA1" s="8"/>
      <c r="AB1" s="8"/>
      <c r="AC1" s="8"/>
    </row>
    <row r="2" spans="1:72" ht="22.5" customHeight="1" x14ac:dyDescent="0.2">
      <c r="A2" s="553" t="s">
        <v>12223</v>
      </c>
      <c r="B2" s="554"/>
      <c r="C2" s="554"/>
      <c r="D2" s="554"/>
      <c r="E2" s="554"/>
      <c r="F2" s="554"/>
      <c r="G2" s="554"/>
      <c r="H2" s="554"/>
      <c r="I2" s="554"/>
      <c r="J2" s="554"/>
      <c r="K2" s="554"/>
      <c r="L2" s="554"/>
      <c r="M2" s="555"/>
      <c r="R2" s="279" t="s">
        <v>12207</v>
      </c>
      <c r="S2" s="278" t="str">
        <f t="shared" ref="S2:X2" si="0">IF(COUNTIFS($A$26:$A$921,S$1,$B$26:$B$921,$R2)&gt;=1,IF(S3="PR1","PR2","PR1"),"")</f>
        <v>PR1</v>
      </c>
      <c r="T2" s="278" t="str">
        <f t="shared" si="0"/>
        <v/>
      </c>
      <c r="U2" s="278" t="str">
        <f t="shared" si="0"/>
        <v/>
      </c>
      <c r="V2" s="278" t="str">
        <f t="shared" si="0"/>
        <v/>
      </c>
      <c r="W2" s="278" t="str">
        <f t="shared" si="0"/>
        <v/>
      </c>
      <c r="X2" s="278" t="str">
        <f t="shared" si="0"/>
        <v/>
      </c>
      <c r="AA2" s="8"/>
      <c r="AB2" s="8"/>
      <c r="AC2" s="8"/>
    </row>
    <row r="3" spans="1:72" x14ac:dyDescent="0.2">
      <c r="A3" s="556" t="s">
        <v>12224</v>
      </c>
      <c r="B3" s="557"/>
      <c r="C3" s="557"/>
      <c r="D3" s="557"/>
      <c r="E3" s="557"/>
      <c r="F3" s="557"/>
      <c r="G3" s="557"/>
      <c r="H3" s="557"/>
      <c r="I3" s="557"/>
      <c r="J3" s="557"/>
      <c r="K3" s="557"/>
      <c r="L3" s="557"/>
      <c r="M3" s="558"/>
      <c r="N3" s="266"/>
      <c r="O3" s="266"/>
      <c r="P3" s="266"/>
      <c r="Q3" s="266" t="s">
        <v>12138</v>
      </c>
      <c r="R3" s="278" t="s">
        <v>12215</v>
      </c>
      <c r="S3" s="278" t="str">
        <f t="shared" ref="S3:X3" si="1">IF(COUNTIFS($A$26:$A$921,S$1,$B$26:$B$921,$R3)&gt;=1,IF(S4="",IF(S5="",IF(S6="",IF(S7="",$Y7,$Y6),$Y5),$Y4),"PR1"),"")</f>
        <v>L32</v>
      </c>
      <c r="T3" s="278" t="str">
        <f t="shared" si="1"/>
        <v/>
      </c>
      <c r="U3" s="278" t="str">
        <f t="shared" si="1"/>
        <v/>
      </c>
      <c r="V3" s="278" t="str">
        <f t="shared" si="1"/>
        <v/>
      </c>
      <c r="W3" s="278" t="str">
        <f t="shared" si="1"/>
        <v/>
      </c>
      <c r="X3" s="278" t="str">
        <f t="shared" si="1"/>
        <v/>
      </c>
      <c r="AA3" s="8"/>
      <c r="AB3" s="8"/>
      <c r="AC3" s="8"/>
      <c r="AH3" s="8" t="s">
        <v>12707</v>
      </c>
      <c r="BH3" s="377" t="s">
        <v>12292</v>
      </c>
      <c r="BI3" s="382"/>
      <c r="BJ3" s="382"/>
      <c r="BK3" s="382"/>
      <c r="BL3" s="382"/>
      <c r="BM3" s="382"/>
      <c r="BN3" s="382"/>
      <c r="BO3" s="382"/>
      <c r="BP3" s="382"/>
      <c r="BQ3" s="382"/>
      <c r="BR3" s="382"/>
      <c r="BS3" s="382"/>
    </row>
    <row r="4" spans="1:72" x14ac:dyDescent="0.2">
      <c r="A4" s="559" t="s">
        <v>12189</v>
      </c>
      <c r="B4" s="560"/>
      <c r="C4" s="560"/>
      <c r="D4" s="560"/>
      <c r="E4" s="560"/>
      <c r="F4" s="560"/>
      <c r="G4" s="560"/>
      <c r="H4" s="560"/>
      <c r="I4" s="560"/>
      <c r="J4" s="560"/>
      <c r="K4" s="560"/>
      <c r="L4" s="560"/>
      <c r="M4" s="561"/>
      <c r="Q4" s="265" t="s">
        <v>12689</v>
      </c>
      <c r="R4" s="278" t="s">
        <v>12216</v>
      </c>
      <c r="S4" s="278" t="str">
        <f t="shared" ref="S4:X8" si="2">IF(COUNTIFS($A$26:$A$921,S$1,$B$26:$B$921,$R4)&gt;=1,$Y4,"")</f>
        <v/>
      </c>
      <c r="T4" s="278" t="str">
        <f t="shared" si="2"/>
        <v/>
      </c>
      <c r="U4" s="278" t="str">
        <f t="shared" si="2"/>
        <v/>
      </c>
      <c r="V4" s="278" t="str">
        <f t="shared" si="2"/>
        <v/>
      </c>
      <c r="W4" s="278" t="str">
        <f t="shared" si="2"/>
        <v/>
      </c>
      <c r="X4" s="278" t="str">
        <f t="shared" si="2"/>
        <v/>
      </c>
      <c r="Y4" s="265" t="s">
        <v>12288</v>
      </c>
      <c r="Z4" s="265"/>
      <c r="AA4" s="265"/>
      <c r="AB4" s="265"/>
      <c r="AC4" s="265"/>
    </row>
    <row r="5" spans="1:72" x14ac:dyDescent="0.2">
      <c r="A5" s="562" t="s">
        <v>12225</v>
      </c>
      <c r="B5" s="563"/>
      <c r="C5" s="563"/>
      <c r="D5" s="563"/>
      <c r="E5" s="563"/>
      <c r="F5" s="563"/>
      <c r="G5" s="563"/>
      <c r="H5" s="563"/>
      <c r="I5" s="563"/>
      <c r="J5" s="563"/>
      <c r="K5" s="563"/>
      <c r="L5" s="563"/>
      <c r="M5" s="564"/>
      <c r="Q5" s="265" t="s">
        <v>12690</v>
      </c>
      <c r="R5" s="278" t="s">
        <v>12219</v>
      </c>
      <c r="S5" s="278" t="str">
        <f t="shared" si="2"/>
        <v>L16</v>
      </c>
      <c r="T5" s="278" t="str">
        <f t="shared" si="2"/>
        <v/>
      </c>
      <c r="U5" s="278" t="str">
        <f t="shared" si="2"/>
        <v/>
      </c>
      <c r="V5" s="278" t="str">
        <f t="shared" si="2"/>
        <v/>
      </c>
      <c r="W5" s="278" t="str">
        <f t="shared" si="2"/>
        <v/>
      </c>
      <c r="X5" s="278" t="str">
        <f t="shared" si="2"/>
        <v/>
      </c>
      <c r="Y5" s="265" t="s">
        <v>12286</v>
      </c>
      <c r="Z5" s="265"/>
      <c r="AA5" s="265"/>
      <c r="AB5" s="265"/>
      <c r="AC5" s="265"/>
      <c r="AJ5" s="90" t="s">
        <v>12703</v>
      </c>
    </row>
    <row r="6" spans="1:72" ht="26.25" customHeight="1" x14ac:dyDescent="0.2">
      <c r="A6" s="565" t="s">
        <v>12190</v>
      </c>
      <c r="B6" s="566"/>
      <c r="C6" s="566"/>
      <c r="D6" s="566"/>
      <c r="E6" s="566"/>
      <c r="F6" s="566"/>
      <c r="G6" s="566"/>
      <c r="H6" s="566"/>
      <c r="I6" s="566"/>
      <c r="J6" s="566"/>
      <c r="K6" s="566"/>
      <c r="L6" s="566"/>
      <c r="M6" s="567"/>
      <c r="R6" s="278" t="s">
        <v>12212</v>
      </c>
      <c r="S6" s="278" t="str">
        <f t="shared" si="2"/>
        <v>Q</v>
      </c>
      <c r="T6" s="278" t="str">
        <f t="shared" si="2"/>
        <v/>
      </c>
      <c r="U6" s="278" t="str">
        <f t="shared" si="2"/>
        <v/>
      </c>
      <c r="V6" s="278" t="str">
        <f t="shared" si="2"/>
        <v/>
      </c>
      <c r="W6" s="278" t="str">
        <f t="shared" si="2"/>
        <v/>
      </c>
      <c r="X6" s="278" t="str">
        <f t="shared" si="2"/>
        <v/>
      </c>
      <c r="Y6" s="265" t="s">
        <v>12287</v>
      </c>
      <c r="Z6" s="265"/>
      <c r="AA6" s="265"/>
      <c r="AB6" s="265"/>
      <c r="AC6" s="265"/>
      <c r="AH6" s="8" t="s">
        <v>12293</v>
      </c>
      <c r="AJ6" s="90"/>
      <c r="AL6" s="380" t="s">
        <v>12295</v>
      </c>
      <c r="BN6" s="398" t="s">
        <v>12706</v>
      </c>
      <c r="BQ6" s="399" t="s">
        <v>12704</v>
      </c>
      <c r="BT6" s="398" t="s">
        <v>12705</v>
      </c>
    </row>
    <row r="7" spans="1:72" ht="16.5" thickBot="1" x14ac:dyDescent="0.3">
      <c r="A7" s="544" t="s">
        <v>12191</v>
      </c>
      <c r="B7" s="545"/>
      <c r="C7" s="545"/>
      <c r="D7" s="545"/>
      <c r="E7" s="545"/>
      <c r="F7" s="545"/>
      <c r="G7" s="545"/>
      <c r="H7" s="545"/>
      <c r="I7" s="545"/>
      <c r="J7" s="545"/>
      <c r="K7" s="545"/>
      <c r="L7" s="545"/>
      <c r="M7" s="546"/>
      <c r="R7" s="278" t="s">
        <v>12220</v>
      </c>
      <c r="S7" s="278" t="str">
        <f t="shared" si="2"/>
        <v>S</v>
      </c>
      <c r="T7" s="278" t="str">
        <f t="shared" si="2"/>
        <v/>
      </c>
      <c r="U7" s="278" t="str">
        <f t="shared" si="2"/>
        <v/>
      </c>
      <c r="V7" s="278" t="str">
        <f t="shared" si="2"/>
        <v/>
      </c>
      <c r="W7" s="278" t="str">
        <f t="shared" si="2"/>
        <v/>
      </c>
      <c r="X7" s="278" t="str">
        <f t="shared" si="2"/>
        <v/>
      </c>
      <c r="Y7" s="265" t="s">
        <v>12289</v>
      </c>
      <c r="Z7" s="265"/>
      <c r="AA7" s="265"/>
      <c r="AB7" s="265"/>
      <c r="AC7" s="265"/>
      <c r="AM7" s="382" t="s">
        <v>12296</v>
      </c>
      <c r="AN7" s="382"/>
      <c r="AO7" s="382"/>
      <c r="AP7" s="382"/>
      <c r="AQ7" s="382"/>
      <c r="AR7" s="382"/>
      <c r="AS7" s="382"/>
      <c r="AT7" s="382" t="s">
        <v>12296</v>
      </c>
      <c r="AU7" s="382"/>
      <c r="AV7" s="382"/>
      <c r="AW7" s="382"/>
      <c r="AX7" s="382"/>
      <c r="AY7" s="382"/>
      <c r="AZ7" s="382"/>
      <c r="BA7" s="382"/>
      <c r="BB7" s="382"/>
      <c r="BC7" s="382"/>
      <c r="BD7" s="382"/>
      <c r="BE7" s="382"/>
      <c r="BF7" s="382"/>
    </row>
    <row r="8" spans="1:72" ht="13.5" customHeight="1" thickBot="1" x14ac:dyDescent="0.25">
      <c r="A8" s="64" t="s">
        <v>887</v>
      </c>
      <c r="B8" s="65" t="s">
        <v>12192</v>
      </c>
      <c r="C8" s="65" t="s">
        <v>12193</v>
      </c>
      <c r="D8" s="66" t="s">
        <v>12194</v>
      </c>
      <c r="E8" s="321" t="s">
        <v>12688</v>
      </c>
      <c r="F8" s="67" t="s">
        <v>12226</v>
      </c>
      <c r="G8" s="67" t="s">
        <v>12227</v>
      </c>
      <c r="H8" s="107" t="s">
        <v>12676</v>
      </c>
      <c r="I8" s="107" t="s">
        <v>12677</v>
      </c>
      <c r="J8" s="107" t="s">
        <v>12197</v>
      </c>
      <c r="K8" s="107" t="s">
        <v>12267</v>
      </c>
      <c r="L8" s="251" t="s">
        <v>12268</v>
      </c>
      <c r="M8" s="68" t="s">
        <v>12198</v>
      </c>
      <c r="R8" s="278" t="s">
        <v>12221</v>
      </c>
      <c r="S8" s="278" t="str">
        <f t="shared" si="2"/>
        <v>R</v>
      </c>
      <c r="T8" s="278" t="str">
        <f t="shared" si="2"/>
        <v/>
      </c>
      <c r="U8" s="278" t="str">
        <f t="shared" si="2"/>
        <v/>
      </c>
      <c r="V8" s="278" t="str">
        <f t="shared" si="2"/>
        <v/>
      </c>
      <c r="W8" s="278" t="str">
        <f t="shared" si="2"/>
        <v/>
      </c>
      <c r="X8" s="278" t="str">
        <f t="shared" si="2"/>
        <v/>
      </c>
      <c r="Y8" s="265" t="s">
        <v>12290</v>
      </c>
      <c r="Z8" s="265"/>
      <c r="AA8" s="265"/>
      <c r="AB8" s="265"/>
      <c r="AC8" s="265"/>
      <c r="AH8" s="384">
        <f>IF(AI8="","",COUNTIF(AI8:AI$24,AI8))</f>
        <v>1</v>
      </c>
      <c r="AI8" s="385" t="s">
        <v>12693</v>
      </c>
      <c r="AJ8" s="289" t="s">
        <v>14438</v>
      </c>
      <c r="AK8" s="290" t="s">
        <v>12279</v>
      </c>
      <c r="AL8" s="300" t="s">
        <v>12275</v>
      </c>
      <c r="AM8" s="296" t="s">
        <v>12276</v>
      </c>
      <c r="AN8" s="291" t="s">
        <v>12271</v>
      </c>
      <c r="AO8" s="291" t="s">
        <v>12272</v>
      </c>
      <c r="AP8" s="414" t="s">
        <v>13154</v>
      </c>
      <c r="AQ8" s="291" t="s">
        <v>12273</v>
      </c>
      <c r="AR8" s="297" t="s">
        <v>12274</v>
      </c>
      <c r="AS8" s="414" t="s">
        <v>13154</v>
      </c>
      <c r="AT8" s="296" t="s">
        <v>12199</v>
      </c>
      <c r="AU8" s="291" t="s">
        <v>12200</v>
      </c>
      <c r="AV8" s="291" t="s">
        <v>12201</v>
      </c>
      <c r="AW8" s="291" t="s">
        <v>12202</v>
      </c>
      <c r="AX8" s="291" t="s">
        <v>12203</v>
      </c>
      <c r="AY8" s="291" t="s">
        <v>12697</v>
      </c>
      <c r="AZ8" s="291" t="s">
        <v>12698</v>
      </c>
      <c r="BA8" s="291" t="s">
        <v>12699</v>
      </c>
      <c r="BB8" s="291" t="s">
        <v>12700</v>
      </c>
      <c r="BC8" s="291" t="s">
        <v>12204</v>
      </c>
      <c r="BD8" s="291" t="s">
        <v>12205</v>
      </c>
      <c r="BE8" s="297" t="s">
        <v>12206</v>
      </c>
      <c r="BF8" s="395"/>
      <c r="BG8" s="282" t="s">
        <v>12276</v>
      </c>
      <c r="BH8" s="282" t="s">
        <v>12133</v>
      </c>
      <c r="BI8" s="283" t="s">
        <v>12199</v>
      </c>
      <c r="BJ8" s="283" t="s">
        <v>12200</v>
      </c>
      <c r="BK8" s="283" t="s">
        <v>12201</v>
      </c>
      <c r="BL8" s="283" t="s">
        <v>12202</v>
      </c>
      <c r="BM8" s="283" t="s">
        <v>12203</v>
      </c>
      <c r="BN8" s="290" t="s">
        <v>12697</v>
      </c>
      <c r="BO8" s="354" t="s">
        <v>12698</v>
      </c>
      <c r="BP8" s="283" t="s">
        <v>12699</v>
      </c>
      <c r="BQ8" s="300" t="s">
        <v>12700</v>
      </c>
      <c r="BR8" s="351" t="s">
        <v>12204</v>
      </c>
      <c r="BS8" s="283" t="s">
        <v>12205</v>
      </c>
      <c r="BT8" s="300" t="s">
        <v>12206</v>
      </c>
    </row>
    <row r="9" spans="1:72" ht="12" thickBot="1" x14ac:dyDescent="0.25">
      <c r="A9" s="69" t="s">
        <v>12693</v>
      </c>
      <c r="B9" s="70" t="s">
        <v>12207</v>
      </c>
      <c r="C9" s="70">
        <v>1</v>
      </c>
      <c r="D9" s="70">
        <v>1</v>
      </c>
      <c r="E9" s="71" t="s">
        <v>12228</v>
      </c>
      <c r="F9" s="72" t="s">
        <v>12229</v>
      </c>
      <c r="G9" s="72" t="s">
        <v>12230</v>
      </c>
      <c r="H9" s="326">
        <v>3</v>
      </c>
      <c r="I9" s="326">
        <v>0</v>
      </c>
      <c r="J9" s="326"/>
      <c r="K9" s="326"/>
      <c r="L9" s="327"/>
      <c r="M9" s="73" t="s">
        <v>12679</v>
      </c>
      <c r="Z9" s="265"/>
      <c r="AA9" s="265"/>
      <c r="AB9" s="265"/>
      <c r="AC9" s="265"/>
      <c r="AJ9" s="386" t="s">
        <v>12229</v>
      </c>
      <c r="AK9" s="387"/>
      <c r="AL9" s="388"/>
      <c r="AM9" s="292">
        <f>IF(AV9="","",SMALL(AN9:AN15,ROWS(AM9:AM9)))</f>
        <v>1001</v>
      </c>
      <c r="AN9" s="293">
        <f>IF(AV9="","",RANK(AR9,AR9:AR15)*1000+ROWS(AN9:AN9))</f>
        <v>1001</v>
      </c>
      <c r="AO9" s="316">
        <f t="shared" ref="AO9:AO15" si="3">IF(AV9="","",AT9*CritClassEq1_Points+AY9*CritClassEq1_DiffRencontres+BB9*CritClassEq1_DiffMatches+BE9*CritClassEq1_DiffButs+AZ9*CritClassEq1_Matches+BC9*CritClassEq1_Attaque)</f>
        <v>0</v>
      </c>
      <c r="AP9" s="415" t="b">
        <f>AND(AU9&lt;&gt;"",AU9&gt;0,COUNTIF(AO9:AO15,AO9)&gt;1)</f>
        <v>0</v>
      </c>
      <c r="AQ9" s="316">
        <f t="shared" ref="AQ9:AQ15" si="4">IF(AV9="","",CritClassEq_DiffPart*AK9)</f>
        <v>0</v>
      </c>
      <c r="AR9" s="317">
        <f t="shared" ref="AR9:AR15" si="5">IF(AV9="","",AO9+AQ9+AT9*CritClassEq2_Points+AY9*CritClassEq2_DiffRencontres+BB9*CritClassEq2_DiffMatches+BE9*CritClassEq2_DiffButs+AZ9*CritClassEq2_Matches+BC9*CritClassEq2_Attaque+AL9)</f>
        <v>0</v>
      </c>
      <c r="AS9" s="415" t="b">
        <f>AND(AU9&lt;&gt;"",AU9&gt;0,COUNTIF(AR9:AR15,AR9)&gt;1)</f>
        <v>0</v>
      </c>
      <c r="AT9" s="355">
        <f t="shared" ref="AT9:AT15" si="6">IF(AV9="","",(AV9*Points_Victoire)+AW9*Points_Null)</f>
        <v>0</v>
      </c>
      <c r="AU9" s="356">
        <f t="shared" ref="AU9:AU15" si="7">IF(AV9="","",SUM(AV9:AX9))</f>
        <v>0</v>
      </c>
      <c r="AV9" s="356">
        <f>IF(OR(AI8="",AJ9=""),"",COUNTIF(ResultsTeams[Win],AI8&amp;"-"&amp;AJ9))</f>
        <v>0</v>
      </c>
      <c r="AW9" s="356">
        <f>IF(OR(AI8="",AJ9=""),"",COUNTIF(ResultsTeams[[Draw1]:[Draw2]],AI8&amp;"-"&amp;AJ9))</f>
        <v>0</v>
      </c>
      <c r="AX9" s="356">
        <f>IF(OR(AI8="",AJ9=""),"",COUNTIF(ResultsTeams[Lose],AI8&amp;"-"&amp;AJ9))</f>
        <v>0</v>
      </c>
      <c r="AY9" s="356">
        <f>IF(OR(AI8="",AJ9=""),"",AV9-AX9)</f>
        <v>0</v>
      </c>
      <c r="AZ9" s="356">
        <f>IF(OR(AI8="",AJ9=""),"",SUMIF(ResultsTeams[Team A],AJ9,ResultsTeams[Match-A])+SUMIF(ResultsTeams[Team B],AJ9,ResultsTeams[Match-B]))</f>
        <v>0</v>
      </c>
      <c r="BA9" s="356">
        <f>IF(OR(AI8="",AJ9=""),"",SUMIF(ResultsTeams[Team A],AJ9,ResultsTeams[Match-B])+SUMIF(ResultsTeams[Team B],AJ9,ResultsTeams[Match-A]))</f>
        <v>0</v>
      </c>
      <c r="BB9" s="356">
        <f>IF(OR(AI8="",AJ9=""),"",AZ9-BA9)</f>
        <v>0</v>
      </c>
      <c r="BC9" s="356">
        <f>IF(OR(AI8="",AJ9=""),"",SUMIF(ResultsTeams[Team A],AJ9,ResultsTeams[Goal-A])+SUMIF(ResultsTeams[Team B],AJ9,ResultsTeams[Goal-B]))</f>
        <v>0</v>
      </c>
      <c r="BD9" s="356">
        <f>IF(OR(AI8="",AJ9=""),"",SUMIF(ResultsTeams[Team A],AJ9,ResultsTeams[Goal-B])+SUMIF(ResultsTeams[Team B],AJ9,ResultsTeams[Goal-A]))</f>
        <v>0</v>
      </c>
      <c r="BE9" s="357">
        <f>IF(OR(AI8="",AJ9=""),"",BC9-BD9)</f>
        <v>0</v>
      </c>
      <c r="BF9" s="470"/>
      <c r="BG9" s="298">
        <f t="shared" ref="BG9:BG15" si="8">IF(AM9="","",INT(AM9/1000))</f>
        <v>1</v>
      </c>
      <c r="BH9" s="285" t="str">
        <f>IF(AM9="","",INDEX(AJ9:AJ15,MATCH(AM9,AN9:AN15,0)))</f>
        <v>Example Team A</v>
      </c>
      <c r="BI9" s="286">
        <f>IF(AM9="","",VLOOKUP(AM9,AN9:BE15,COLUMN()-COLUMN(BB8),FALSE))</f>
        <v>0</v>
      </c>
      <c r="BJ9" s="286">
        <f>IF(AM9="","",VLOOKUP(AM9,AN9:BE15,COLUMN()-COLUMN(BB8),FALSE))</f>
        <v>0</v>
      </c>
      <c r="BK9" s="286">
        <f>IF(AM9="","",VLOOKUP(AM9,AN9:BE15,COLUMN()-COLUMN(BB8),FALSE))</f>
        <v>0</v>
      </c>
      <c r="BL9" s="286">
        <f>IF(AM9="","",VLOOKUP(AM9,AN9:BE15,COLUMN()-COLUMN(BB8),FALSE))</f>
        <v>0</v>
      </c>
      <c r="BM9" s="286">
        <f>IF(AM9="","",VLOOKUP(AM9,AN9:BE15,COLUMN()-COLUMN(BB8),FALSE))</f>
        <v>0</v>
      </c>
      <c r="BN9" s="349">
        <f>IF(AM9="","",VLOOKUP(AM9,AN9:BE15,COLUMN()-COLUMN(BB8),FALSE))</f>
        <v>0</v>
      </c>
      <c r="BO9" s="298">
        <f>IF(AM9="","",VLOOKUP(AM9,AN9:BE15,COLUMN()-COLUMN(BB8),FALSE))</f>
        <v>0</v>
      </c>
      <c r="BP9" s="286">
        <f>IF(AM9="","",VLOOKUP(AM9,AN9:BE15,COLUMN()-COLUMN(BB8),FALSE))</f>
        <v>0</v>
      </c>
      <c r="BQ9" s="301">
        <f>IF(AM9="","",VLOOKUP(AM9,AN9:BE15,COLUMN()-COLUMN(BB8),FALSE))</f>
        <v>0</v>
      </c>
      <c r="BR9" s="352">
        <f>IF(AM9="","",VLOOKUP(AM9,AN9:BE15,COLUMN()-COLUMN(BB8),FALSE))</f>
        <v>0</v>
      </c>
      <c r="BS9" s="286">
        <f>IF(AM9="","",VLOOKUP(AM9,AN9:BE15,COLUMN()-COLUMN(BB8),FALSE))</f>
        <v>0</v>
      </c>
      <c r="BT9" s="301">
        <f>IF(AM9="","",VLOOKUP(AM9,AN9:BE15,COLUMN()-COLUMN(BB8),FALSE))</f>
        <v>0</v>
      </c>
    </row>
    <row r="10" spans="1:72" x14ac:dyDescent="0.2">
      <c r="A10" s="74"/>
      <c r="B10" s="60"/>
      <c r="C10" s="60"/>
      <c r="D10" s="60"/>
      <c r="E10" s="75" t="s">
        <v>12231</v>
      </c>
      <c r="F10" s="76" t="s">
        <v>12232</v>
      </c>
      <c r="G10" s="76" t="s">
        <v>12233</v>
      </c>
      <c r="H10" s="276">
        <v>1</v>
      </c>
      <c r="I10" s="276">
        <v>0</v>
      </c>
      <c r="J10" s="276"/>
      <c r="K10" s="276"/>
      <c r="L10" s="328"/>
      <c r="M10" s="77" t="s">
        <v>12680</v>
      </c>
      <c r="Z10" s="265"/>
      <c r="AA10" s="265"/>
      <c r="AB10" s="265"/>
      <c r="AC10" s="265"/>
      <c r="AJ10" s="386" t="s">
        <v>12230</v>
      </c>
      <c r="AK10" s="387"/>
      <c r="AL10" s="388"/>
      <c r="AM10" s="292">
        <f>IF(AV10="","",SMALL(AN9:AN15,ROWS(AM9:AM10)))</f>
        <v>1002</v>
      </c>
      <c r="AN10" s="293">
        <f>IF(AV10="","",RANK(AR10,AR9:AR15)*1000+ROWS(AN9:AN10))</f>
        <v>1002</v>
      </c>
      <c r="AO10" s="316">
        <f t="shared" si="3"/>
        <v>0</v>
      </c>
      <c r="AP10" s="415" t="b">
        <f>AND(AU10&lt;&gt;"",AU10&gt;0,COUNTIF(AO9:AO15,AO10)&gt;1)</f>
        <v>0</v>
      </c>
      <c r="AQ10" s="316">
        <f t="shared" si="4"/>
        <v>0</v>
      </c>
      <c r="AR10" s="317">
        <f t="shared" si="5"/>
        <v>0</v>
      </c>
      <c r="AS10" s="415" t="b">
        <f>AND(AU10&lt;&gt;"",AU10&gt;0,COUNTIF(AR9:AR15,AR10)&gt;1)</f>
        <v>0</v>
      </c>
      <c r="AT10" s="355">
        <f t="shared" si="6"/>
        <v>0</v>
      </c>
      <c r="AU10" s="356">
        <f t="shared" si="7"/>
        <v>0</v>
      </c>
      <c r="AV10" s="356">
        <f>IF(OR(AI8="",AJ10=""),"",COUNTIF(ResultsTeams[Win],AI8&amp;"-"&amp;AJ10))</f>
        <v>0</v>
      </c>
      <c r="AW10" s="356">
        <f>IF(OR(AI8="",AJ10=""),"",COUNTIF(ResultsTeams[[Draw1]:[Draw2]],AI8&amp;"-"&amp;AJ10))</f>
        <v>0</v>
      </c>
      <c r="AX10" s="356">
        <f>IF(OR(AI8="",AJ10=""),"",COUNTIF(ResultsTeams[Lose],AI8&amp;"-"&amp;AJ10))</f>
        <v>0</v>
      </c>
      <c r="AY10" s="356">
        <f>IF(OR(AI8="",AJ10=""),"",AV10-AX10)</f>
        <v>0</v>
      </c>
      <c r="AZ10" s="356">
        <f>IF(OR(AI8="",AJ10=""),"",SUMIF(ResultsTeams[Team A],AJ10,ResultsTeams[Match-A])+SUMIF(ResultsTeams[Team B],AJ10,ResultsTeams[Match-B]))</f>
        <v>0</v>
      </c>
      <c r="BA10" s="356">
        <f>IF(OR(AI8="",AJ10=""),"",SUMIF(ResultsTeams[Team A],AJ10,ResultsTeams[Match-B])+SUMIF(ResultsTeams[Team B],AJ10,ResultsTeams[Match-A]))</f>
        <v>0</v>
      </c>
      <c r="BB10" s="356">
        <f>IF(OR(AI8="",AJ10=""),"",AZ10-BA10)</f>
        <v>0</v>
      </c>
      <c r="BC10" s="356">
        <f>IF(OR(AI8="",AJ10=""),"",SUMIF(ResultsTeams[Team A],AJ10,ResultsTeams[Goal-A])+SUMIF(ResultsTeams[Team B],AJ10,ResultsTeams[Goal-B]))</f>
        <v>0</v>
      </c>
      <c r="BD10" s="356">
        <f>IF(OR(AI8="",AJ10=""),"",SUMIF(ResultsTeams[Team A],AJ10,ResultsTeams[Goal-B])+SUMIF(ResultsTeams[Team B],AJ10,ResultsTeams[Goal-A]))</f>
        <v>0</v>
      </c>
      <c r="BE10" s="357">
        <f>IF(OR(AI8="",AJ10=""),"",BC10-BD10)</f>
        <v>0</v>
      </c>
      <c r="BF10" s="470"/>
      <c r="BG10" s="298">
        <f t="shared" si="8"/>
        <v>1</v>
      </c>
      <c r="BH10" s="285" t="str">
        <f>IF(AM10="","",INDEX(AJ9:AJ15,MATCH(AM10,AN9:AN15,0)))</f>
        <v>Example Team B</v>
      </c>
      <c r="BI10" s="286">
        <f>IF(AM10="","",VLOOKUP(AM10,AN9:BE15,COLUMN()-COLUMN(BB8),FALSE))</f>
        <v>0</v>
      </c>
      <c r="BJ10" s="286">
        <f>IF(AM10="","",VLOOKUP(AM10,AN9:BE15,COLUMN()-COLUMN(BB8),FALSE))</f>
        <v>0</v>
      </c>
      <c r="BK10" s="286">
        <f>IF(AM10="","",VLOOKUP(AM10,AN9:BE15,COLUMN()-COLUMN(BB8),FALSE))</f>
        <v>0</v>
      </c>
      <c r="BL10" s="286">
        <f>IF(AM10="","",VLOOKUP(AM10,AN9:BE15,COLUMN()-COLUMN(BB8),FALSE))</f>
        <v>0</v>
      </c>
      <c r="BM10" s="286">
        <f>IF(AM10="","",VLOOKUP(AM10,AN9:BE15,COLUMN()-COLUMN(BB8),FALSE))</f>
        <v>0</v>
      </c>
      <c r="BN10" s="349">
        <f>IF(AM10="","",VLOOKUP(AM10,AN9:BE15,COLUMN()-COLUMN(BB8),FALSE))</f>
        <v>0</v>
      </c>
      <c r="BO10" s="298">
        <f>IF(AM10="","",VLOOKUP(AM10,AN9:BE15,COLUMN()-COLUMN(BB8),FALSE))</f>
        <v>0</v>
      </c>
      <c r="BP10" s="286">
        <f>IF(AM10="","",VLOOKUP(AM10,AN9:BE15,COLUMN()-COLUMN(BB8),FALSE))</f>
        <v>0</v>
      </c>
      <c r="BQ10" s="301">
        <f>IF(AM10="","",VLOOKUP(AM10,AN9:BE15,COLUMN()-COLUMN(BB8),FALSE))</f>
        <v>0</v>
      </c>
      <c r="BR10" s="352">
        <f>IF(AM10="","",VLOOKUP(AM10,AN9:BE15,COLUMN()-COLUMN(BB8),FALSE))</f>
        <v>0</v>
      </c>
      <c r="BS10" s="286">
        <f>IF(AM10="","",VLOOKUP(AM10,AN9:BE15,COLUMN()-COLUMN(BB8),FALSE))</f>
        <v>0</v>
      </c>
      <c r="BT10" s="301">
        <f>IF(AM10="","",VLOOKUP(AM10,AN9:BE15,COLUMN()-COLUMN(BB8),FALSE))</f>
        <v>0</v>
      </c>
    </row>
    <row r="11" spans="1:72" x14ac:dyDescent="0.2">
      <c r="A11" s="78"/>
      <c r="B11" s="62"/>
      <c r="C11" s="62"/>
      <c r="D11" s="62"/>
      <c r="E11" s="79" t="s">
        <v>12234</v>
      </c>
      <c r="F11" s="80" t="s">
        <v>12235</v>
      </c>
      <c r="G11" s="80" t="s">
        <v>12236</v>
      </c>
      <c r="H11" s="277">
        <v>1</v>
      </c>
      <c r="I11" s="277">
        <v>0</v>
      </c>
      <c r="J11" s="277"/>
      <c r="K11" s="277"/>
      <c r="L11" s="329"/>
      <c r="M11" s="81" t="s">
        <v>12680</v>
      </c>
      <c r="N11" s="266"/>
      <c r="O11" s="266"/>
      <c r="P11" s="266"/>
      <c r="Q11" s="266" t="s">
        <v>12210</v>
      </c>
      <c r="Z11" s="265"/>
      <c r="AA11" s="265"/>
      <c r="AB11" s="265"/>
      <c r="AC11" s="265"/>
      <c r="AJ11" s="386" t="s">
        <v>12246</v>
      </c>
      <c r="AK11" s="387"/>
      <c r="AL11" s="388"/>
      <c r="AM11" s="292">
        <f>IF(AV11="","",SMALL(AN9:AN15,ROWS(AM9:AM11)))</f>
        <v>1003</v>
      </c>
      <c r="AN11" s="293">
        <f>IF(AV11="","",RANK(AR11,AR9:AR15)*1000+ROWS(AN9:AN11))</f>
        <v>1003</v>
      </c>
      <c r="AO11" s="316">
        <f t="shared" si="3"/>
        <v>0</v>
      </c>
      <c r="AP11" s="415" t="b">
        <f>AND(AU11&lt;&gt;"",AU11&gt;0,COUNTIF(AO9:AO15,AO11)&gt;1)</f>
        <v>0</v>
      </c>
      <c r="AQ11" s="316">
        <f t="shared" si="4"/>
        <v>0</v>
      </c>
      <c r="AR11" s="317">
        <f t="shared" si="5"/>
        <v>0</v>
      </c>
      <c r="AS11" s="415" t="b">
        <f>AND(AU11&lt;&gt;"",AU11&gt;0,COUNTIF(AR9:AR15,AR11)&gt;1)</f>
        <v>0</v>
      </c>
      <c r="AT11" s="355">
        <f t="shared" si="6"/>
        <v>0</v>
      </c>
      <c r="AU11" s="356">
        <f t="shared" si="7"/>
        <v>0</v>
      </c>
      <c r="AV11" s="356">
        <f>IF(OR(AI8="",AJ11=""),"",COUNTIF(ResultsTeams[Win],AI8&amp;"-"&amp;AJ11))</f>
        <v>0</v>
      </c>
      <c r="AW11" s="356">
        <f>IF(OR(AI8="",AJ11=""),"",COUNTIF(ResultsTeams[[Draw1]:[Draw2]],AI8&amp;"-"&amp;AJ11))</f>
        <v>0</v>
      </c>
      <c r="AX11" s="356">
        <f>IF(OR(AI8="",AJ11=""),"",COUNTIF(ResultsTeams[Lose],AI8&amp;"-"&amp;AJ11))</f>
        <v>0</v>
      </c>
      <c r="AY11" s="356">
        <f>IF(OR(AI8="",AJ11=""),"",AV11-AX11)</f>
        <v>0</v>
      </c>
      <c r="AZ11" s="356">
        <f>IF(OR(AI8="",AJ11=""),"",SUMIF(ResultsTeams[Team A],AJ11,ResultsTeams[Match-A])+SUMIF(ResultsTeams[Team B],AJ11,ResultsTeams[Match-B]))</f>
        <v>0</v>
      </c>
      <c r="BA11" s="356">
        <f>IF(OR(AI8="",AJ11=""),"",SUMIF(ResultsTeams[Team A],AJ11,ResultsTeams[Match-B])+SUMIF(ResultsTeams[Team B],AJ11,ResultsTeams[Match-A]))</f>
        <v>0</v>
      </c>
      <c r="BB11" s="356">
        <f>IF(OR(AI8="",AJ11=""),"",AZ11-BA11)</f>
        <v>0</v>
      </c>
      <c r="BC11" s="356">
        <f>IF(OR(AI8="",AJ11=""),"",SUMIF(ResultsTeams[Team A],AJ11,ResultsTeams[Goal-A])+SUMIF(ResultsTeams[Team B],AJ11,ResultsTeams[Goal-B]))</f>
        <v>0</v>
      </c>
      <c r="BD11" s="356">
        <f>IF(OR(AI8="",AJ11=""),"",SUMIF(ResultsTeams[Team A],AJ11,ResultsTeams[Goal-B])+SUMIF(ResultsTeams[Team B],AJ11,ResultsTeams[Goal-A]))</f>
        <v>0</v>
      </c>
      <c r="BE11" s="357">
        <f>IF(OR(AI8="",AJ11=""),"",BC11-BD11)</f>
        <v>0</v>
      </c>
      <c r="BF11" s="470"/>
      <c r="BG11" s="298">
        <f t="shared" si="8"/>
        <v>1</v>
      </c>
      <c r="BH11" s="285" t="str">
        <f>IF(AM11="","",INDEX(AJ9:AJ15,MATCH(AM11,AN9:AN15,0)))</f>
        <v>Example Team C</v>
      </c>
      <c r="BI11" s="286">
        <f>IF(AM11="","",VLOOKUP(AM11,AN9:BE15,COLUMN()-COLUMN(BB8),FALSE))</f>
        <v>0</v>
      </c>
      <c r="BJ11" s="286">
        <f>IF(AM11="","",VLOOKUP(AM11,AN9:BE15,COLUMN()-COLUMN(BB8),FALSE))</f>
        <v>0</v>
      </c>
      <c r="BK11" s="286">
        <f>IF(AM11="","",VLOOKUP(AM11,AN9:BE15,COLUMN()-COLUMN(BB8),FALSE))</f>
        <v>0</v>
      </c>
      <c r="BL11" s="286">
        <f>IF(AM11="","",VLOOKUP(AM11,AN9:BE15,COLUMN()-COLUMN(BB8),FALSE))</f>
        <v>0</v>
      </c>
      <c r="BM11" s="286">
        <f>IF(AM11="","",VLOOKUP(AM11,AN9:BE15,COLUMN()-COLUMN(BB8),FALSE))</f>
        <v>0</v>
      </c>
      <c r="BN11" s="349">
        <f>IF(AM11="","",VLOOKUP(AM11,AN9:BE15,COLUMN()-COLUMN(BB8),FALSE))</f>
        <v>0</v>
      </c>
      <c r="BO11" s="298">
        <f>IF(AM11="","",VLOOKUP(AM11,AN9:BE15,COLUMN()-COLUMN(BB8),FALSE))</f>
        <v>0</v>
      </c>
      <c r="BP11" s="286">
        <f>IF(AM11="","",VLOOKUP(AM11,AN9:BE15,COLUMN()-COLUMN(BB8),FALSE))</f>
        <v>0</v>
      </c>
      <c r="BQ11" s="301">
        <f>IF(AM11="","",VLOOKUP(AM11,AN9:BE15,COLUMN()-COLUMN(BB8),FALSE))</f>
        <v>0</v>
      </c>
      <c r="BR11" s="352">
        <f>IF(AM11="","",VLOOKUP(AM11,AN9:BE15,COLUMN()-COLUMN(BB8),FALSE))</f>
        <v>0</v>
      </c>
      <c r="BS11" s="286">
        <f>IF(AM11="","",VLOOKUP(AM11,AN9:BE15,COLUMN()-COLUMN(BB8),FALSE))</f>
        <v>0</v>
      </c>
      <c r="BT11" s="301">
        <f>IF(AM11="","",VLOOKUP(AM11,AN9:BE15,COLUMN()-COLUMN(BB8),FALSE))</f>
        <v>0</v>
      </c>
    </row>
    <row r="12" spans="1:72" x14ac:dyDescent="0.2">
      <c r="A12" s="78"/>
      <c r="B12" s="62"/>
      <c r="C12" s="62"/>
      <c r="D12" s="62"/>
      <c r="E12" s="79" t="s">
        <v>12237</v>
      </c>
      <c r="F12" s="80" t="s">
        <v>12238</v>
      </c>
      <c r="G12" s="80" t="s">
        <v>12239</v>
      </c>
      <c r="H12" s="277">
        <v>2</v>
      </c>
      <c r="I12" s="277">
        <v>1</v>
      </c>
      <c r="J12" s="277"/>
      <c r="K12" s="277"/>
      <c r="L12" s="329"/>
      <c r="M12" s="81" t="s">
        <v>12680</v>
      </c>
      <c r="N12" s="266"/>
      <c r="O12" s="266"/>
      <c r="P12" s="266"/>
      <c r="Q12" s="266" t="s">
        <v>12192</v>
      </c>
      <c r="Z12" s="265"/>
      <c r="AA12" s="265"/>
      <c r="AB12" s="265"/>
      <c r="AC12" s="265"/>
      <c r="AH12" s="91"/>
      <c r="AJ12" s="389" t="s">
        <v>12775</v>
      </c>
      <c r="AK12" s="390"/>
      <c r="AL12" s="388"/>
      <c r="AM12" s="292">
        <f>IF(AV12="","",SMALL(AN9:AN15,ROWS(AM9:AM12)))</f>
        <v>1004</v>
      </c>
      <c r="AN12" s="293">
        <f>IF(AV12="","",RANK(AR12,AR9:AR15)*1000+ROWS(AN9:AN12))</f>
        <v>1004</v>
      </c>
      <c r="AO12" s="316">
        <f t="shared" si="3"/>
        <v>0</v>
      </c>
      <c r="AP12" s="415" t="b">
        <f>AND(AU12&lt;&gt;"",AU12&gt;0,COUNTIF(AO9:AO15,AO12)&gt;1)</f>
        <v>0</v>
      </c>
      <c r="AQ12" s="316">
        <f t="shared" si="4"/>
        <v>0</v>
      </c>
      <c r="AR12" s="317">
        <f t="shared" si="5"/>
        <v>0</v>
      </c>
      <c r="AS12" s="415" t="b">
        <f>AND(AU12&lt;&gt;"",AU12&gt;0,COUNTIF(AR9:AR15,AR12)&gt;1)</f>
        <v>0</v>
      </c>
      <c r="AT12" s="355">
        <f t="shared" si="6"/>
        <v>0</v>
      </c>
      <c r="AU12" s="356">
        <f t="shared" si="7"/>
        <v>0</v>
      </c>
      <c r="AV12" s="356">
        <f>IF(OR(AI8="",AJ12=""),"",COUNTIF(ResultsTeams[Win],AI8&amp;"-"&amp;AJ12))</f>
        <v>0</v>
      </c>
      <c r="AW12" s="356">
        <f>IF(OR(AI8="",AJ12=""),"",COUNTIF(ResultsTeams[[Draw1]:[Draw2]],AI8&amp;"-"&amp;AJ12))</f>
        <v>0</v>
      </c>
      <c r="AX12" s="356">
        <f>IF(OR(AI8="",AJ12=""),"",COUNTIF(ResultsTeams[Lose],AI8&amp;"-"&amp;AJ12))</f>
        <v>0</v>
      </c>
      <c r="AY12" s="356">
        <f>IF(OR(AI8="",AJ12=""),"",AV12-AX12)</f>
        <v>0</v>
      </c>
      <c r="AZ12" s="356">
        <f>IF(OR(AI8="",AJ12=""),"",SUMIF(ResultsTeams[Team A],AJ12,ResultsTeams[Match-A])+SUMIF(ResultsTeams[Team B],AJ12,ResultsTeams[Match-B]))</f>
        <v>0</v>
      </c>
      <c r="BA12" s="356">
        <f>IF(OR(AI8="",AJ12=""),"",SUMIF(ResultsTeams[Team A],AJ12,ResultsTeams[Match-B])+SUMIF(ResultsTeams[Team B],AJ12,ResultsTeams[Match-A]))</f>
        <v>0</v>
      </c>
      <c r="BB12" s="356">
        <f>IF(OR(AI8="",AJ12=""),"",AZ12-BA12)</f>
        <v>0</v>
      </c>
      <c r="BC12" s="356">
        <f>IF(OR(AI8="",AJ12=""),"",SUMIF(ResultsTeams[Team A],AJ12,ResultsTeams[Goal-A])+SUMIF(ResultsTeams[Team B],AJ12,ResultsTeams[Goal-B]))</f>
        <v>0</v>
      </c>
      <c r="BD12" s="356">
        <f>IF(OR(AI8="",AJ12=""),"",SUMIF(ResultsTeams[Team A],AJ12,ResultsTeams[Goal-B])+SUMIF(ResultsTeams[Team B],AJ12,ResultsTeams[Goal-A]))</f>
        <v>0</v>
      </c>
      <c r="BE12" s="357">
        <f>IF(OR(AI8="",AJ12=""),"",BC12-BD12)</f>
        <v>0</v>
      </c>
      <c r="BF12" s="470"/>
      <c r="BG12" s="298">
        <f t="shared" si="8"/>
        <v>1</v>
      </c>
      <c r="BH12" s="285" t="str">
        <f>IF(AM12="","",INDEX(AJ9:AJ15,MATCH(AM12,AN9:AN15,0)))</f>
        <v>Wrong name</v>
      </c>
      <c r="BI12" s="286">
        <f>IF(AM12="","",VLOOKUP(AM12,AN9:BE15,COLUMN()-COLUMN(BB8),FALSE))</f>
        <v>0</v>
      </c>
      <c r="BJ12" s="286">
        <f>IF(AM12="","",VLOOKUP(AM12,AN9:BE15,COLUMN()-COLUMN(BB8),FALSE))</f>
        <v>0</v>
      </c>
      <c r="BK12" s="286">
        <f>IF(AM12="","",VLOOKUP(AM12,AN9:BE15,COLUMN()-COLUMN(BB8),FALSE))</f>
        <v>0</v>
      </c>
      <c r="BL12" s="286">
        <f>IF(AM12="","",VLOOKUP(AM12,AN9:BE15,COLUMN()-COLUMN(BB8),FALSE))</f>
        <v>0</v>
      </c>
      <c r="BM12" s="286">
        <f>IF(AM12="","",VLOOKUP(AM12,AN9:BE15,COLUMN()-COLUMN(BB8),FALSE))</f>
        <v>0</v>
      </c>
      <c r="BN12" s="349">
        <f>IF(AM12="","",VLOOKUP(AM12,AN9:BE15,COLUMN()-COLUMN(BB8),FALSE))</f>
        <v>0</v>
      </c>
      <c r="BO12" s="298">
        <f>IF(AM12="","",VLOOKUP(AM12,AN9:BE15,COLUMN()-COLUMN(BB8),FALSE))</f>
        <v>0</v>
      </c>
      <c r="BP12" s="286">
        <f>IF(AM12="","",VLOOKUP(AM12,AN9:BE15,COLUMN()-COLUMN(BB8),FALSE))</f>
        <v>0</v>
      </c>
      <c r="BQ12" s="301">
        <f>IF(AM12="","",VLOOKUP(AM12,AN9:BE15,COLUMN()-COLUMN(BB8),FALSE))</f>
        <v>0</v>
      </c>
      <c r="BR12" s="352">
        <f>IF(AM12="","",VLOOKUP(AM12,AN9:BE15,COLUMN()-COLUMN(BB8),FALSE))</f>
        <v>0</v>
      </c>
      <c r="BS12" s="286">
        <f>IF(AM12="","",VLOOKUP(AM12,AN9:BE15,COLUMN()-COLUMN(BB8),FALSE))</f>
        <v>0</v>
      </c>
      <c r="BT12" s="301">
        <f>IF(AM12="","",VLOOKUP(AM12,AN9:BE15,COLUMN()-COLUMN(BB8),FALSE))</f>
        <v>0</v>
      </c>
    </row>
    <row r="13" spans="1:72" x14ac:dyDescent="0.2">
      <c r="A13" s="78"/>
      <c r="B13" s="62"/>
      <c r="C13" s="62"/>
      <c r="D13" s="62"/>
      <c r="E13" s="79" t="s">
        <v>12240</v>
      </c>
      <c r="F13" s="80" t="s">
        <v>12241</v>
      </c>
      <c r="G13" s="80" t="s">
        <v>12242</v>
      </c>
      <c r="H13" s="277">
        <v>1</v>
      </c>
      <c r="I13" s="277">
        <v>1</v>
      </c>
      <c r="J13" s="277"/>
      <c r="K13" s="277"/>
      <c r="L13" s="329"/>
      <c r="M13" s="81" t="s">
        <v>12680</v>
      </c>
      <c r="Q13" s="265" t="s">
        <v>12207</v>
      </c>
      <c r="Z13" s="265"/>
      <c r="AA13" s="265"/>
      <c r="AB13" s="265"/>
      <c r="AC13" s="265"/>
      <c r="AH13" s="91"/>
      <c r="AJ13" s="386"/>
      <c r="AK13" s="390"/>
      <c r="AL13" s="388"/>
      <c r="AM13" s="292" t="str">
        <f>IF(AV13="","",SMALL(AN9:AN15,ROWS(AM9:AM13)))</f>
        <v/>
      </c>
      <c r="AN13" s="293" t="str">
        <f>IF(AV13="","",RANK(AR13,AR9:AR15)*1000+ROWS(AN9:AN13))</f>
        <v/>
      </c>
      <c r="AO13" s="316" t="str">
        <f t="shared" si="3"/>
        <v/>
      </c>
      <c r="AP13" s="415" t="b">
        <f>AND(AU13&lt;&gt;"",AU13&gt;0,COUNTIF(AO9:AO15,AO13)&gt;1)</f>
        <v>0</v>
      </c>
      <c r="AQ13" s="316" t="str">
        <f t="shared" si="4"/>
        <v/>
      </c>
      <c r="AR13" s="317" t="str">
        <f t="shared" si="5"/>
        <v/>
      </c>
      <c r="AS13" s="415" t="b">
        <f>AND(AU13&lt;&gt;"",AU13&gt;0,COUNTIF(AR9:AR15,AR13)&gt;1)</f>
        <v>0</v>
      </c>
      <c r="AT13" s="355" t="str">
        <f t="shared" si="6"/>
        <v/>
      </c>
      <c r="AU13" s="356" t="str">
        <f t="shared" si="7"/>
        <v/>
      </c>
      <c r="AV13" s="356" t="str">
        <f>IF(OR(AI8="",AJ13=""),"",COUNTIF(ResultsTeams[Win],AI8&amp;"-"&amp;AJ13))</f>
        <v/>
      </c>
      <c r="AW13" s="356" t="str">
        <f>IF(OR(AI8="",AJ13=""),"",COUNTIF(ResultsTeams[[Draw1]:[Draw2]],AI8&amp;"-"&amp;AJ13))</f>
        <v/>
      </c>
      <c r="AX13" s="356" t="str">
        <f>IF(OR(AI8="",AJ13=""),"",COUNTIF(ResultsTeams[Lose],AI8&amp;"-"&amp;AJ13))</f>
        <v/>
      </c>
      <c r="AY13" s="356" t="str">
        <f>IF(OR(AI8="",AJ13=""),"",AV13-AX13)</f>
        <v/>
      </c>
      <c r="AZ13" s="356" t="str">
        <f>IF(OR(AI8="",AJ13=""),"",SUMIF(ResultsTeams[Team A],AJ13,ResultsTeams[Match-A])+SUMIF(ResultsTeams[Team B],AJ13,ResultsTeams[Match-B]))</f>
        <v/>
      </c>
      <c r="BA13" s="356" t="str">
        <f>IF(OR(AI8="",AJ13=""),"",SUMIF(ResultsTeams[Team A],AJ13,ResultsTeams[Match-B])+SUMIF(ResultsTeams[Team B],AJ13,ResultsTeams[Match-A]))</f>
        <v/>
      </c>
      <c r="BB13" s="356" t="str">
        <f>IF(OR(AI8="",AJ13=""),"",AZ13-BA13)</f>
        <v/>
      </c>
      <c r="BC13" s="356" t="str">
        <f>IF(OR(AI8="",AJ13=""),"",SUMIF(ResultsTeams[Team A],AJ13,ResultsTeams[Goal-A])+SUMIF(ResultsTeams[Team B],AJ13,ResultsTeams[Goal-B]))</f>
        <v/>
      </c>
      <c r="BD13" s="356" t="str">
        <f>IF(OR(AI8="",AJ13=""),"",SUMIF(ResultsTeams[Team A],AJ13,ResultsTeams[Goal-B])+SUMIF(ResultsTeams[Team B],AJ13,ResultsTeams[Goal-A]))</f>
        <v/>
      </c>
      <c r="BE13" s="357" t="str">
        <f>IF(OR(AI8="",AJ13=""),"",BC13-BD13)</f>
        <v/>
      </c>
      <c r="BF13" s="470"/>
      <c r="BG13" s="298" t="str">
        <f t="shared" si="8"/>
        <v/>
      </c>
      <c r="BH13" s="285" t="str">
        <f>IF(AM13="","",INDEX(AJ9:AJ15,MATCH(AM13,AN9:AN15,0)))</f>
        <v/>
      </c>
      <c r="BI13" s="286" t="str">
        <f>IF(AM13="","",VLOOKUP(AM13,AN9:BE15,COLUMN()-COLUMN(BB8),FALSE))</f>
        <v/>
      </c>
      <c r="BJ13" s="286" t="str">
        <f>IF(AM13="","",VLOOKUP(AM13,AN9:BE15,COLUMN()-COLUMN(BB8),FALSE))</f>
        <v/>
      </c>
      <c r="BK13" s="286" t="str">
        <f>IF(AM13="","",VLOOKUP(AM13,AN9:BE15,COLUMN()-COLUMN(BB8),FALSE))</f>
        <v/>
      </c>
      <c r="BL13" s="286" t="str">
        <f>IF(AM13="","",VLOOKUP(AM13,AN9:BE15,COLUMN()-COLUMN(BB8),FALSE))</f>
        <v/>
      </c>
      <c r="BM13" s="286" t="str">
        <f>IF(AM13="","",VLOOKUP(AM13,AN9:BE15,COLUMN()-COLUMN(BB8),FALSE))</f>
        <v/>
      </c>
      <c r="BN13" s="349" t="str">
        <f>IF(AM13="","",VLOOKUP(AM13,AN9:BE15,COLUMN()-COLUMN(BB8),FALSE))</f>
        <v/>
      </c>
      <c r="BO13" s="298" t="str">
        <f>IF(AM13="","",VLOOKUP(AM13,AN9:BE15,COLUMN()-COLUMN(BB8),FALSE))</f>
        <v/>
      </c>
      <c r="BP13" s="286" t="str">
        <f>IF(AM13="","",VLOOKUP(AM13,AN9:BE15,COLUMN()-COLUMN(BB8),FALSE))</f>
        <v/>
      </c>
      <c r="BQ13" s="301" t="str">
        <f>IF(AM13="","",VLOOKUP(AM13,AN9:BE15,COLUMN()-COLUMN(BB8),FALSE))</f>
        <v/>
      </c>
      <c r="BR13" s="352" t="str">
        <f>IF(AM13="","",VLOOKUP(AM13,AN9:BE15,COLUMN()-COLUMN(BB8),FALSE))</f>
        <v/>
      </c>
      <c r="BS13" s="286" t="str">
        <f>IF(AM13="","",VLOOKUP(AM13,AN9:BE15,COLUMN()-COLUMN(BB8),FALSE))</f>
        <v/>
      </c>
      <c r="BT13" s="301" t="str">
        <f>IF(AM13="","",VLOOKUP(AM13,AN9:BE15,COLUMN()-COLUMN(BB8),FALSE))</f>
        <v/>
      </c>
    </row>
    <row r="14" spans="1:72" x14ac:dyDescent="0.2">
      <c r="A14" s="78"/>
      <c r="B14" s="62"/>
      <c r="C14" s="62"/>
      <c r="D14" s="62"/>
      <c r="E14" s="79" t="s">
        <v>12243</v>
      </c>
      <c r="F14" s="63" t="s">
        <v>12686</v>
      </c>
      <c r="G14" s="63" t="s">
        <v>12685</v>
      </c>
      <c r="H14" s="277" t="s">
        <v>12684</v>
      </c>
      <c r="I14" s="277" t="s">
        <v>12244</v>
      </c>
      <c r="J14" s="260"/>
      <c r="K14" s="260"/>
      <c r="L14" s="330"/>
      <c r="M14" s="81"/>
      <c r="Q14" s="265" t="s">
        <v>12215</v>
      </c>
      <c r="Z14" s="265"/>
      <c r="AA14" s="265"/>
      <c r="AB14" s="265"/>
      <c r="AC14" s="265"/>
      <c r="AJ14" s="386"/>
      <c r="AK14" s="390"/>
      <c r="AL14" s="388"/>
      <c r="AM14" s="292" t="str">
        <f>IF(AV14="","",SMALL(AN9:AN15,ROWS(AM9:AM14)))</f>
        <v/>
      </c>
      <c r="AN14" s="293" t="str">
        <f>IF(AV14="","",RANK(AR14,AR9:AR15)*1000+ROWS(AN9:AN14))</f>
        <v/>
      </c>
      <c r="AO14" s="316" t="str">
        <f t="shared" si="3"/>
        <v/>
      </c>
      <c r="AP14" s="415" t="b">
        <f>AND(AU14&lt;&gt;"",AU14&gt;0,COUNTIF(AO9:AO15,AO14)&gt;1)</f>
        <v>0</v>
      </c>
      <c r="AQ14" s="316" t="str">
        <f t="shared" si="4"/>
        <v/>
      </c>
      <c r="AR14" s="317" t="str">
        <f t="shared" si="5"/>
        <v/>
      </c>
      <c r="AS14" s="415" t="b">
        <f>AND(AU14&lt;&gt;"",AU14&gt;0,COUNTIF(AR9:AR15,AR14)&gt;1)</f>
        <v>0</v>
      </c>
      <c r="AT14" s="355" t="str">
        <f t="shared" si="6"/>
        <v/>
      </c>
      <c r="AU14" s="356" t="str">
        <f t="shared" si="7"/>
        <v/>
      </c>
      <c r="AV14" s="356" t="str">
        <f>IF(OR(AI8="",AJ14=""),"",COUNTIF(ResultsTeams[Win],AI8&amp;"-"&amp;AJ14))</f>
        <v/>
      </c>
      <c r="AW14" s="356" t="str">
        <f>IF(OR(AI8="",AJ14=""),"",COUNTIF(ResultsTeams[[Draw1]:[Draw2]],AI8&amp;"-"&amp;AJ14))</f>
        <v/>
      </c>
      <c r="AX14" s="356" t="str">
        <f>IF(OR(AI8="",AJ14=""),"",COUNTIF(ResultsTeams[Lose],AI8&amp;"-"&amp;AJ14))</f>
        <v/>
      </c>
      <c r="AY14" s="356" t="str">
        <f>IF(OR(AI8="",AJ14=""),"",AV14-AX14)</f>
        <v/>
      </c>
      <c r="AZ14" s="356" t="str">
        <f>IF(OR(AI8="",AJ14=""),"",SUMIF(ResultsTeams[Team A],AJ14,ResultsTeams[Match-A])+SUMIF(ResultsTeams[Team B],AJ14,ResultsTeams[Match-B]))</f>
        <v/>
      </c>
      <c r="BA14" s="356" t="str">
        <f>IF(OR(AI8="",AJ14=""),"",SUMIF(ResultsTeams[Team A],AJ14,ResultsTeams[Match-B])+SUMIF(ResultsTeams[Team B],AJ14,ResultsTeams[Match-A]))</f>
        <v/>
      </c>
      <c r="BB14" s="356" t="str">
        <f>IF(OR(AI8="",AJ14=""),"",AZ14-BA14)</f>
        <v/>
      </c>
      <c r="BC14" s="356" t="str">
        <f>IF(OR(AI8="",AJ14=""),"",SUMIF(ResultsTeams[Team A],AJ14,ResultsTeams[Goal-A])+SUMIF(ResultsTeams[Team B],AJ14,ResultsTeams[Goal-B]))</f>
        <v/>
      </c>
      <c r="BD14" s="356" t="str">
        <f>IF(OR(AI8="",AJ14=""),"",SUMIF(ResultsTeams[Team A],AJ14,ResultsTeams[Goal-B])+SUMIF(ResultsTeams[Team B],AJ14,ResultsTeams[Goal-A]))</f>
        <v/>
      </c>
      <c r="BE14" s="357" t="str">
        <f>IF(OR(AI8="",AJ14=""),"",BC14-BD14)</f>
        <v/>
      </c>
      <c r="BF14" s="470"/>
      <c r="BG14" s="298" t="str">
        <f t="shared" si="8"/>
        <v/>
      </c>
      <c r="BH14" s="285" t="str">
        <f>IF(AM14="","",INDEX(AJ9:AJ15,MATCH(AM14,AN9:AN15,0)))</f>
        <v/>
      </c>
      <c r="BI14" s="286" t="str">
        <f>IF(AM14="","",VLOOKUP(AM14,AN9:BE15,COLUMN()-COLUMN(BB8),FALSE))</f>
        <v/>
      </c>
      <c r="BJ14" s="286" t="str">
        <f>IF(AM14="","",VLOOKUP(AM14,AN9:BE15,COLUMN()-COLUMN(BB8),FALSE))</f>
        <v/>
      </c>
      <c r="BK14" s="286" t="str">
        <f>IF(AM14="","",VLOOKUP(AM14,AN9:BE15,COLUMN()-COLUMN(BB8),FALSE))</f>
        <v/>
      </c>
      <c r="BL14" s="286" t="str">
        <f>IF(AM14="","",VLOOKUP(AM14,AN9:BE15,COLUMN()-COLUMN(BB8),FALSE))</f>
        <v/>
      </c>
      <c r="BM14" s="286" t="str">
        <f>IF(AM14="","",VLOOKUP(AM14,AN9:BE15,COLUMN()-COLUMN(BB8),FALSE))</f>
        <v/>
      </c>
      <c r="BN14" s="349" t="str">
        <f>IF(AM14="","",VLOOKUP(AM14,AN9:BE15,COLUMN()-COLUMN(BB8),FALSE))</f>
        <v/>
      </c>
      <c r="BO14" s="298" t="str">
        <f>IF(AM14="","",VLOOKUP(AM14,AN9:BE15,COLUMN()-COLUMN(BB8),FALSE))</f>
        <v/>
      </c>
      <c r="BP14" s="286" t="str">
        <f>IF(AM14="","",VLOOKUP(AM14,AN9:BE15,COLUMN()-COLUMN(BB8),FALSE))</f>
        <v/>
      </c>
      <c r="BQ14" s="301" t="str">
        <f>IF(AM14="","",VLOOKUP(AM14,AN9:BE15,COLUMN()-COLUMN(BB8),FALSE))</f>
        <v/>
      </c>
      <c r="BR14" s="352" t="str">
        <f>IF(AM14="","",VLOOKUP(AM14,AN9:BE15,COLUMN()-COLUMN(BB8),FALSE))</f>
        <v/>
      </c>
      <c r="BS14" s="286" t="str">
        <f>IF(AM14="","",VLOOKUP(AM14,AN9:BE15,COLUMN()-COLUMN(BB8),FALSE))</f>
        <v/>
      </c>
      <c r="BT14" s="301" t="str">
        <f>IF(AM14="","",VLOOKUP(AM14,AN9:BE15,COLUMN()-COLUMN(BB8),FALSE))</f>
        <v/>
      </c>
    </row>
    <row r="15" spans="1:72" ht="12" thickBot="1" x14ac:dyDescent="0.25">
      <c r="A15" s="78"/>
      <c r="B15" s="62"/>
      <c r="C15" s="62"/>
      <c r="D15" s="62"/>
      <c r="E15" s="79" t="s">
        <v>12244</v>
      </c>
      <c r="F15" s="63" t="s">
        <v>12687</v>
      </c>
      <c r="G15" s="63" t="s">
        <v>12245</v>
      </c>
      <c r="H15" s="277" t="s">
        <v>12243</v>
      </c>
      <c r="I15" s="277"/>
      <c r="J15" s="263"/>
      <c r="K15" s="263"/>
      <c r="L15" s="331"/>
      <c r="M15" s="81"/>
      <c r="Q15" s="265" t="s">
        <v>12216</v>
      </c>
      <c r="Z15" s="265"/>
      <c r="AA15" s="265"/>
      <c r="AB15" s="265"/>
      <c r="AC15" s="265"/>
      <c r="AJ15" s="391"/>
      <c r="AK15" s="392"/>
      <c r="AL15" s="393"/>
      <c r="AM15" s="294" t="str">
        <f>IF(AV15="","",SMALL(AN9:AN15,ROWS(AM9:AM15)))</f>
        <v/>
      </c>
      <c r="AN15" s="295" t="str">
        <f>IF(AV15="","",RANK(AR15,AR9:AR15)*1000+ROWS(AN9:AN15))</f>
        <v/>
      </c>
      <c r="AO15" s="318" t="str">
        <f t="shared" si="3"/>
        <v/>
      </c>
      <c r="AP15" s="416" t="b">
        <f>AND(AU15&lt;&gt;"",AU15&gt;0,COUNTIF(AO9:AO15,AO15)&gt;1)</f>
        <v>0</v>
      </c>
      <c r="AQ15" s="318" t="str">
        <f t="shared" si="4"/>
        <v/>
      </c>
      <c r="AR15" s="319" t="str">
        <f t="shared" si="5"/>
        <v/>
      </c>
      <c r="AS15" s="416" t="b">
        <f>AND(AU15&lt;&gt;"",AU15&gt;0,COUNTIF(AR9:AR15,AR15)&gt;1)</f>
        <v>0</v>
      </c>
      <c r="AT15" s="358" t="str">
        <f t="shared" si="6"/>
        <v/>
      </c>
      <c r="AU15" s="359" t="str">
        <f t="shared" si="7"/>
        <v/>
      </c>
      <c r="AV15" s="359" t="str">
        <f>IF(OR(AI8="",AJ15=""),"",COUNTIF(ResultsTeams[Win],AI8&amp;"-"&amp;AJ15))</f>
        <v/>
      </c>
      <c r="AW15" s="359" t="str">
        <f>IF(OR(AI8="",AJ15=""),"",COUNTIF(ResultsTeams[[Draw1]:[Draw2]],AI8&amp;"-"&amp;AJ15))</f>
        <v/>
      </c>
      <c r="AX15" s="359" t="str">
        <f>IF(OR(AI8="",AJ15=""),"",COUNTIF(ResultsTeams[Lose],AI8&amp;"-"&amp;AJ15))</f>
        <v/>
      </c>
      <c r="AY15" s="359" t="str">
        <f>IF(OR(AI8="",AJ15=""),"",AV15-AX15)</f>
        <v/>
      </c>
      <c r="AZ15" s="359" t="str">
        <f>IF(OR(AI8="",AJ15=""),"",SUMIF(ResultsTeams[Team A],AJ15,ResultsTeams[Match-A])+SUMIF(ResultsTeams[Team B],AJ15,ResultsTeams[Match-B]))</f>
        <v/>
      </c>
      <c r="BA15" s="359" t="str">
        <f>IF(OR(AI8="",AJ15=""),"",SUMIF(ResultsTeams[Team A],AJ15,ResultsTeams[Match-B])+SUMIF(ResultsTeams[Team B],AJ15,ResultsTeams[Match-A]))</f>
        <v/>
      </c>
      <c r="BB15" s="359" t="str">
        <f>IF(OR(AI8="",AJ15=""),"",AZ15-BA15)</f>
        <v/>
      </c>
      <c r="BC15" s="359" t="str">
        <f>IF(OR(AI8="",AJ15=""),"",SUMIF(ResultsTeams[Team A],AJ15,ResultsTeams[Goal-A])+SUMIF(ResultsTeams[Team B],AJ15,ResultsTeams[Goal-B]))</f>
        <v/>
      </c>
      <c r="BD15" s="359" t="str">
        <f>IF(OR(AI8="",AJ15=""),"",SUMIF(ResultsTeams[Team A],AJ15,ResultsTeams[Goal-B])+SUMIF(ResultsTeams[Team B],AJ15,ResultsTeams[Goal-A]))</f>
        <v/>
      </c>
      <c r="BE15" s="360" t="str">
        <f>IF(OR(AI8="",AJ15=""),"",BC15-BD15)</f>
        <v/>
      </c>
      <c r="BF15" s="470"/>
      <c r="BG15" s="299" t="str">
        <f t="shared" si="8"/>
        <v/>
      </c>
      <c r="BH15" s="287" t="str">
        <f>IF(AM15="","",INDEX(AJ9:AJ15,MATCH(AM15,AN9:AN15,0)))</f>
        <v/>
      </c>
      <c r="BI15" s="288" t="str">
        <f>IF(AM15="","",VLOOKUP(AM15,AN9:BE15,COLUMN()-COLUMN(BB8),FALSE))</f>
        <v/>
      </c>
      <c r="BJ15" s="288" t="str">
        <f>IF(AM15="","",VLOOKUP(AM15,AN9:BE15,COLUMN()-COLUMN(BB8),FALSE))</f>
        <v/>
      </c>
      <c r="BK15" s="288" t="str">
        <f>IF(AM15="","",VLOOKUP(AM15,AN9:BE15,COLUMN()-COLUMN(BB8),FALSE))</f>
        <v/>
      </c>
      <c r="BL15" s="288" t="str">
        <f>IF(AM15="","",VLOOKUP(AM15,AN9:BE15,COLUMN()-COLUMN(BB8),FALSE))</f>
        <v/>
      </c>
      <c r="BM15" s="288" t="str">
        <f>IF(AM15="","",VLOOKUP(AM15,AN9:BE15,COLUMN()-COLUMN(BB8),FALSE))</f>
        <v/>
      </c>
      <c r="BN15" s="350" t="str">
        <f>IF(AM15="","",VLOOKUP(AM15,AN9:BE15,COLUMN()-COLUMN(BB8),FALSE))</f>
        <v/>
      </c>
      <c r="BO15" s="299" t="str">
        <f>IF(AM15="","",VLOOKUP(AM15,AN9:BE15,COLUMN()-COLUMN(BB8),FALSE))</f>
        <v/>
      </c>
      <c r="BP15" s="288" t="str">
        <f>IF(AM15="","",VLOOKUP(AM15,AN9:BE15,COLUMN()-COLUMN(BB8),FALSE))</f>
        <v/>
      </c>
      <c r="BQ15" s="302" t="str">
        <f>IF(AM15="","",VLOOKUP(AM15,AN9:BE15,COLUMN()-COLUMN(BB8),FALSE))</f>
        <v/>
      </c>
      <c r="BR15" s="353" t="str">
        <f>IF(AM15="","",VLOOKUP(AM15,AN9:BE15,COLUMN()-COLUMN(BB8),FALSE))</f>
        <v/>
      </c>
      <c r="BS15" s="288" t="str">
        <f>IF(AM15="","",VLOOKUP(AM15,AN9:BE15,COLUMN()-COLUMN(BB8),FALSE))</f>
        <v/>
      </c>
      <c r="BT15" s="302" t="str">
        <f>IF(AM15="","",VLOOKUP(AM15,AN9:BE15,COLUMN()-COLUMN(BB8),FALSE))</f>
        <v/>
      </c>
    </row>
    <row r="16" spans="1:72" ht="12" thickBot="1" x14ac:dyDescent="0.25">
      <c r="A16" s="82" t="s">
        <v>12211</v>
      </c>
      <c r="B16" s="83"/>
      <c r="C16" s="83"/>
      <c r="D16" s="83"/>
      <c r="E16" s="83"/>
      <c r="F16" s="84"/>
      <c r="G16" s="84"/>
      <c r="H16" s="332"/>
      <c r="I16" s="332"/>
      <c r="J16" s="332"/>
      <c r="K16" s="332"/>
      <c r="L16" s="333"/>
      <c r="M16" s="85"/>
      <c r="Q16" s="265" t="s">
        <v>12219</v>
      </c>
      <c r="Z16" s="265"/>
      <c r="AA16" s="265"/>
      <c r="AB16" s="265"/>
      <c r="AC16" s="265"/>
    </row>
    <row r="17" spans="1:72" ht="12" thickBot="1" x14ac:dyDescent="0.25">
      <c r="A17" s="69" t="s">
        <v>12693</v>
      </c>
      <c r="B17" s="70" t="s">
        <v>12221</v>
      </c>
      <c r="C17" s="70"/>
      <c r="D17" s="70">
        <v>1</v>
      </c>
      <c r="E17" s="71" t="s">
        <v>12228</v>
      </c>
      <c r="F17" s="72" t="s">
        <v>12246</v>
      </c>
      <c r="G17" s="72" t="s">
        <v>12247</v>
      </c>
      <c r="H17" s="326">
        <v>1</v>
      </c>
      <c r="I17" s="326">
        <v>1</v>
      </c>
      <c r="J17" s="334"/>
      <c r="K17" s="334">
        <v>2</v>
      </c>
      <c r="L17" s="335">
        <v>3</v>
      </c>
      <c r="M17" s="73" t="s">
        <v>12679</v>
      </c>
      <c r="Q17" s="265" t="s">
        <v>12212</v>
      </c>
      <c r="Z17" s="265"/>
      <c r="AA17" s="265"/>
      <c r="AB17" s="265"/>
      <c r="AC17" s="265"/>
    </row>
    <row r="18" spans="1:72" x14ac:dyDescent="0.2">
      <c r="A18" s="74"/>
      <c r="B18" s="60"/>
      <c r="C18" s="60"/>
      <c r="D18" s="60"/>
      <c r="E18" s="75" t="s">
        <v>12231</v>
      </c>
      <c r="F18" s="76" t="s">
        <v>12248</v>
      </c>
      <c r="G18" s="76" t="s">
        <v>12249</v>
      </c>
      <c r="H18" s="276">
        <v>1</v>
      </c>
      <c r="I18" s="276">
        <v>2</v>
      </c>
      <c r="J18" s="336"/>
      <c r="K18" s="336"/>
      <c r="L18" s="336"/>
      <c r="M18" s="77" t="s">
        <v>12680</v>
      </c>
      <c r="Q18" s="265" t="s">
        <v>12220</v>
      </c>
      <c r="Z18" s="265"/>
      <c r="AA18" s="265"/>
      <c r="AB18" s="265"/>
      <c r="AC18" s="265"/>
    </row>
    <row r="19" spans="1:72" x14ac:dyDescent="0.2">
      <c r="A19" s="78"/>
      <c r="B19" s="62"/>
      <c r="C19" s="62"/>
      <c r="D19" s="62"/>
      <c r="E19" s="79" t="s">
        <v>12234</v>
      </c>
      <c r="F19" s="80" t="s">
        <v>12250</v>
      </c>
      <c r="G19" s="80" t="s">
        <v>12251</v>
      </c>
      <c r="H19" s="277">
        <v>1</v>
      </c>
      <c r="I19" s="277">
        <v>1</v>
      </c>
      <c r="J19" s="337"/>
      <c r="K19" s="337">
        <v>2</v>
      </c>
      <c r="L19" s="337"/>
      <c r="M19" s="81" t="s">
        <v>12680</v>
      </c>
      <c r="Q19" s="265" t="s">
        <v>12221</v>
      </c>
      <c r="Z19" s="265"/>
      <c r="AA19" s="265"/>
      <c r="AB19" s="265"/>
      <c r="AC19" s="265"/>
    </row>
    <row r="20" spans="1:72" x14ac:dyDescent="0.2">
      <c r="A20" s="78"/>
      <c r="B20" s="62"/>
      <c r="C20" s="62"/>
      <c r="D20" s="62"/>
      <c r="E20" s="79" t="s">
        <v>12237</v>
      </c>
      <c r="F20" s="397" t="s">
        <v>12776</v>
      </c>
      <c r="G20" s="80" t="s">
        <v>12252</v>
      </c>
      <c r="H20" s="277">
        <v>2</v>
      </c>
      <c r="I20" s="277">
        <v>2</v>
      </c>
      <c r="J20" s="337"/>
      <c r="K20" s="337"/>
      <c r="L20" s="337"/>
      <c r="M20" s="81" t="s">
        <v>12680</v>
      </c>
      <c r="Z20" s="265"/>
      <c r="AA20" s="265"/>
      <c r="AB20" s="265"/>
      <c r="AC20" s="265"/>
    </row>
    <row r="21" spans="1:72" x14ac:dyDescent="0.2">
      <c r="A21" s="78"/>
      <c r="B21" s="62"/>
      <c r="C21" s="62"/>
      <c r="D21" s="62"/>
      <c r="E21" s="79" t="s">
        <v>12240</v>
      </c>
      <c r="F21" s="80" t="s">
        <v>12253</v>
      </c>
      <c r="G21" s="80" t="s">
        <v>12254</v>
      </c>
      <c r="H21" s="277">
        <v>2</v>
      </c>
      <c r="I21" s="277">
        <v>1</v>
      </c>
      <c r="J21" s="337"/>
      <c r="K21" s="337"/>
      <c r="L21" s="337">
        <v>3</v>
      </c>
      <c r="M21" s="81" t="s">
        <v>12680</v>
      </c>
      <c r="Z21" s="265"/>
      <c r="AA21" s="265"/>
      <c r="AB21" s="265"/>
      <c r="AC21" s="265"/>
    </row>
    <row r="22" spans="1:72" ht="12.75" x14ac:dyDescent="0.2">
      <c r="A22" s="78"/>
      <c r="B22" s="62"/>
      <c r="C22" s="62"/>
      <c r="D22" s="62"/>
      <c r="E22" s="79" t="s">
        <v>12243</v>
      </c>
      <c r="F22" s="63" t="s">
        <v>12683</v>
      </c>
      <c r="G22" s="63" t="s">
        <v>12255</v>
      </c>
      <c r="H22" s="277" t="s">
        <v>12681</v>
      </c>
      <c r="I22" s="277"/>
      <c r="J22" s="260"/>
      <c r="K22" s="260"/>
      <c r="L22" s="330"/>
      <c r="M22" s="81"/>
      <c r="AA22" s="58"/>
      <c r="AB22" s="58"/>
      <c r="AC22" s="58"/>
    </row>
    <row r="23" spans="1:72" ht="13.5" thickBot="1" x14ac:dyDescent="0.25">
      <c r="A23" s="82"/>
      <c r="B23" s="83"/>
      <c r="C23" s="83"/>
      <c r="D23" s="83"/>
      <c r="E23" s="86" t="s">
        <v>12244</v>
      </c>
      <c r="F23" s="84" t="s">
        <v>12256</v>
      </c>
      <c r="G23" s="84" t="s">
        <v>12682</v>
      </c>
      <c r="H23" s="332"/>
      <c r="I23" s="332" t="s">
        <v>12243</v>
      </c>
      <c r="J23" s="263"/>
      <c r="K23" s="263"/>
      <c r="L23" s="331"/>
      <c r="M23" s="85"/>
      <c r="O23" s="265" t="b">
        <f ca="1">AND(F26&lt;&gt;"",LEFT($E26,1)&lt;&gt;"G",IFERROR(INDEX(INDIRECT("Players[Club Name]"),MATCH(F26,INDIRECT("Players[Player Name]"),0))&lt;&gt;AE26,TRUE))</f>
        <v>0</v>
      </c>
      <c r="AA23" s="58"/>
      <c r="AB23" s="58"/>
      <c r="AC23" s="58"/>
    </row>
    <row r="24" spans="1:72" ht="15.75" x14ac:dyDescent="0.25">
      <c r="A24" s="547" t="s">
        <v>12257</v>
      </c>
      <c r="B24" s="548"/>
      <c r="C24" s="548"/>
      <c r="D24" s="548"/>
      <c r="E24" s="548"/>
      <c r="F24" s="548"/>
      <c r="G24" s="548"/>
      <c r="H24" s="548"/>
      <c r="I24" s="548"/>
      <c r="J24" s="548"/>
      <c r="K24" s="548"/>
      <c r="L24" s="548"/>
      <c r="M24" s="549"/>
      <c r="O24" s="265" t="b">
        <f ca="1">AND(F27&lt;&gt;"",LEFT($E27,1)&lt;&gt;"G",IFERROR(INDEX(INDIRECT("Players[Club Name]"),MATCH(F27,INDIRECT("Players[Player Name]"),0))&lt;&gt;AE27,TRUE))</f>
        <v>0</v>
      </c>
      <c r="AA24" s="58"/>
      <c r="AB24" s="58"/>
      <c r="AC24" s="58"/>
    </row>
    <row r="25" spans="1:72" ht="12" thickBot="1" x14ac:dyDescent="0.25">
      <c r="A25" s="255" t="s">
        <v>887</v>
      </c>
      <c r="B25" s="256" t="s">
        <v>12192</v>
      </c>
      <c r="C25" s="256" t="s">
        <v>12193</v>
      </c>
      <c r="D25" s="110" t="s">
        <v>12194</v>
      </c>
      <c r="E25" s="256" t="s">
        <v>12688</v>
      </c>
      <c r="F25" s="257" t="s">
        <v>12226</v>
      </c>
      <c r="G25" s="257" t="s">
        <v>12227</v>
      </c>
      <c r="H25" s="107" t="s">
        <v>12676</v>
      </c>
      <c r="I25" s="107" t="s">
        <v>12677</v>
      </c>
      <c r="J25" s="110" t="s">
        <v>12197</v>
      </c>
      <c r="K25" s="110" t="s">
        <v>12267</v>
      </c>
      <c r="L25" s="258" t="s">
        <v>12268</v>
      </c>
      <c r="M25" s="259" t="s">
        <v>12198</v>
      </c>
      <c r="N25" s="269" t="s">
        <v>12695</v>
      </c>
      <c r="O25" s="269" t="s">
        <v>12701</v>
      </c>
      <c r="P25" s="269" t="s">
        <v>12702</v>
      </c>
      <c r="Q25" s="269" t="s">
        <v>12696</v>
      </c>
      <c r="R25" s="269" t="s">
        <v>12266</v>
      </c>
      <c r="S25" s="269" t="s">
        <v>12691</v>
      </c>
      <c r="T25" s="269" t="s">
        <v>12298</v>
      </c>
      <c r="U25" s="265" t="s">
        <v>12281</v>
      </c>
      <c r="V25" s="265" t="s">
        <v>12283</v>
      </c>
      <c r="W25" s="265" t="s">
        <v>12284</v>
      </c>
      <c r="X25" s="265" t="s">
        <v>12282</v>
      </c>
      <c r="Y25" s="269" t="s">
        <v>12342</v>
      </c>
      <c r="Z25" s="269" t="s">
        <v>12343</v>
      </c>
      <c r="AA25" s="269" t="s">
        <v>12344</v>
      </c>
      <c r="AB25" s="269" t="s">
        <v>12345</v>
      </c>
      <c r="AC25" s="269" t="s">
        <v>12675</v>
      </c>
      <c r="AD25" s="269" t="s">
        <v>12678</v>
      </c>
      <c r="AE25" s="394" t="s">
        <v>12810</v>
      </c>
      <c r="AF25" s="394" t="s">
        <v>12811</v>
      </c>
      <c r="AG25" s="265"/>
    </row>
    <row r="26" spans="1:72" ht="12" thickBot="1" x14ac:dyDescent="0.25">
      <c r="A26" s="261" t="s">
        <v>12693</v>
      </c>
      <c r="B26" s="270" t="s">
        <v>12207</v>
      </c>
      <c r="C26" s="87">
        <v>1</v>
      </c>
      <c r="D26" s="87"/>
      <c r="E26" s="239" t="s">
        <v>12228</v>
      </c>
      <c r="F26" s="242" t="s">
        <v>789</v>
      </c>
      <c r="G26" s="242" t="s">
        <v>251</v>
      </c>
      <c r="H26" s="252">
        <v>4</v>
      </c>
      <c r="I26" s="252">
        <v>0</v>
      </c>
      <c r="J26" s="252"/>
      <c r="K26" s="361"/>
      <c r="L26" s="361"/>
      <c r="M26" s="243"/>
      <c r="N26" s="265" t="b">
        <f>NOT(ISERROR(ResultsTeams[[#This Row],[Goal-A]]+ResultsTeams[[#This Row],[Goal-B]]))</f>
        <v>1</v>
      </c>
      <c r="O26" s="265">
        <f>IF(ResultsTeams[[#This Row],[Type]]="G",SUM(O27:O30),IF(LEFT(ResultsTeams[[#This Row],[Type]],1)="P",IF(ResultsTeams[[#This Row],[Goal-A]]&gt;ResultsTeams[[#This Row],[Goal-B]],1,0),""))</f>
        <v>4</v>
      </c>
      <c r="P26" s="265">
        <f>IF(ResultsTeams[[#This Row],[Type]]="G",SUM(P27:P30),IF(LEFT(ResultsTeams[[#This Row],[Type]],1)="P",IF(ResultsTeams[[#This Row],[Goal-A]]&lt;ResultsTeams[[#This Row],[Goal-B]],1,0),""))</f>
        <v>0</v>
      </c>
      <c r="Q26" s="265">
        <f>IF(ResultsTeams[[#This Row],[Type]]="G",SUM(Q27:Q30),IF(LEFT(ResultsTeams[[#This Row],[Type]],1)="P",VALUE(ResultsTeams[[#This Row],[Score-A]]),""))</f>
        <v>12</v>
      </c>
      <c r="R26" s="265">
        <f>IF(ResultsTeams[[#This Row],[Type]]="G",SUM(R27:R30),IF(LEFT(ResultsTeams[[#This Row],[Type]],1)="P",VALUE(ResultsTeams[[#This Row],[Score-B]]),""))</f>
        <v>5</v>
      </c>
      <c r="S26" s="265">
        <f ca="1">IF(AND(ResultsTeams[[#This Row],[Category]]&lt;&gt;"",ResultsTeams[[#This Row],[Team A]]&lt;&gt;""),COUNTIF(INDIRECT("TeamsList[Club Name]"),ResultsTeams[[#This Row],[Team A]]),"")</f>
        <v>1</v>
      </c>
      <c r="T26" s="265">
        <f ca="1">IF(AND(ResultsTeams[[#This Row],[Category]]&lt;&gt;"",ResultsTeams[[#This Row],[Team B]]&lt;&gt;""),COUNTIF(INDIRECT("TeamsList[Club Name]"),ResultsTeams[[#This Row],[Team B]]),"")</f>
        <v>1</v>
      </c>
      <c r="U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TEAM-Valletta SC</v>
      </c>
      <c r="V26" s="265" t="str">
        <f>IF(ResultsTeams[[#This Row],[Score_OK]],IF(ResultsTeams[[#This Row],[StageCpy]]="Groups",ResultsTeams[[#This Row],[Category]]&amp;"-"&amp;IF(ResultsTeams[[#This Row],[Team B]]="","",IF(ResultsTeams[[#This Row],[Match-A]]=ResultsTeams[[#This Row],[Match-B]],ResultsTeams[[#This Row],[Team A]],"")),""),"")</f>
        <v>TEAM-</v>
      </c>
      <c r="W26" s="265" t="str">
        <f>IF(ResultsTeams[[#This Row],[Score_OK]],IF(ResultsTeams[[#This Row],[StageCpy]]="Groups",ResultsTeams[[#This Row],[Category]]&amp;"-"&amp;IF(ResultsTeams[[#This Row],[Team B]]="","",IF(ResultsTeams[[#This Row],[Match-A]]=ResultsTeams[[#This Row],[Match-B]],ResultsTeams[[#This Row],[Team B]],"")),""),"")</f>
        <v>TEAM-</v>
      </c>
      <c r="X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TEAM-MVV Rijnmond</v>
      </c>
      <c r="Y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v>
      </c>
      <c r="AA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v>
      </c>
      <c r="AB26" s="264" t="str">
        <f>IF(ResultsTeams[[#This Row],[Category]]="","",VLOOKUP(ResultsTeams[[#This Row],[Stage]],$R$1:$T$8,MATCH(ResultsTeams[[#This Row],[Category]],$S$1:$T$1,0)+1,FALSE))</f>
        <v>PR1</v>
      </c>
      <c r="AC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 s="264" t="str">
        <f>IF(ResultsTeams[[#This Row],[Type]]="G",ResultsTeams[[#This Row],[Stage]],AD25)</f>
        <v>Groups</v>
      </c>
      <c r="AE26" s="395" t="str">
        <f>IF(ResultsTeams[[#This Row],[Type]]="G",INDEX(TeamsList[Club Name],MATCH(ResultsTeams[[#This Row],[Team A]],TeamsList[Team Name],0)),AE25)</f>
        <v>Valletta SC</v>
      </c>
      <c r="AF26" s="395" t="str">
        <f>IF(ResultsTeams[[#This Row],[Type]]="G",INDEX(TeamsList[Club Name],MATCH(ResultsTeams[[#This Row],[Team B]],TeamsList[Team Name],0)),AF25)</f>
        <v>MVV Rijnmond</v>
      </c>
      <c r="AG26" s="265"/>
      <c r="AH26" s="281">
        <v>1</v>
      </c>
      <c r="AI26" s="315" t="s">
        <v>12693</v>
      </c>
      <c r="AJ26" s="289" t="s">
        <v>14438</v>
      </c>
      <c r="AK26" s="290" t="s">
        <v>12279</v>
      </c>
      <c r="AL26" s="300" t="s">
        <v>12275</v>
      </c>
      <c r="AM26" s="296" t="s">
        <v>12276</v>
      </c>
      <c r="AN26" s="291" t="s">
        <v>12271</v>
      </c>
      <c r="AO26" s="291" t="s">
        <v>12272</v>
      </c>
      <c r="AP26" s="414" t="s">
        <v>13154</v>
      </c>
      <c r="AQ26" s="291" t="s">
        <v>12273</v>
      </c>
      <c r="AR26" s="297" t="s">
        <v>12274</v>
      </c>
      <c r="AS26" s="414" t="s">
        <v>13154</v>
      </c>
      <c r="AT26" s="296" t="s">
        <v>12199</v>
      </c>
      <c r="AU26" s="291" t="s">
        <v>12200</v>
      </c>
      <c r="AV26" s="291" t="s">
        <v>12201</v>
      </c>
      <c r="AW26" s="291" t="s">
        <v>12202</v>
      </c>
      <c r="AX26" s="291" t="s">
        <v>12203</v>
      </c>
      <c r="AY26" s="291" t="s">
        <v>12697</v>
      </c>
      <c r="AZ26" s="291" t="s">
        <v>12698</v>
      </c>
      <c r="BA26" s="291" t="s">
        <v>12699</v>
      </c>
      <c r="BB26" s="291" t="s">
        <v>12700</v>
      </c>
      <c r="BC26" s="291" t="s">
        <v>12204</v>
      </c>
      <c r="BD26" s="291" t="s">
        <v>12205</v>
      </c>
      <c r="BE26" s="297" t="s">
        <v>12206</v>
      </c>
      <c r="BF26" s="395"/>
      <c r="BG26" s="282" t="s">
        <v>12276</v>
      </c>
      <c r="BH26" s="282" t="s">
        <v>12133</v>
      </c>
      <c r="BI26" s="283" t="s">
        <v>12199</v>
      </c>
      <c r="BJ26" s="283" t="s">
        <v>12200</v>
      </c>
      <c r="BK26" s="283" t="s">
        <v>12201</v>
      </c>
      <c r="BL26" s="283" t="s">
        <v>12202</v>
      </c>
      <c r="BM26" s="283" t="s">
        <v>12203</v>
      </c>
      <c r="BN26" s="290" t="s">
        <v>12697</v>
      </c>
      <c r="BO26" s="354" t="s">
        <v>12698</v>
      </c>
      <c r="BP26" s="283" t="s">
        <v>12699</v>
      </c>
      <c r="BQ26" s="300" t="s">
        <v>12700</v>
      </c>
      <c r="BR26" s="351" t="s">
        <v>12204</v>
      </c>
      <c r="BS26" s="283" t="s">
        <v>12205</v>
      </c>
      <c r="BT26" s="300" t="s">
        <v>12206</v>
      </c>
    </row>
    <row r="27" spans="1:72" x14ac:dyDescent="0.2">
      <c r="A27" s="60"/>
      <c r="B27" s="280"/>
      <c r="C27" s="60"/>
      <c r="D27" s="60"/>
      <c r="E27" s="240" t="s">
        <v>12231</v>
      </c>
      <c r="F27" s="244" t="s">
        <v>10436</v>
      </c>
      <c r="G27" s="244" t="s">
        <v>10462</v>
      </c>
      <c r="H27" s="253">
        <v>4</v>
      </c>
      <c r="I27" s="253">
        <v>3</v>
      </c>
      <c r="J27" s="253"/>
      <c r="K27" s="362"/>
      <c r="L27" s="362"/>
      <c r="M27" s="245"/>
      <c r="N27" s="265" t="b">
        <f>NOT(ISERROR(ResultsTeams[[#This Row],[Goal-A]]+ResultsTeams[[#This Row],[Goal-B]]))</f>
        <v>1</v>
      </c>
      <c r="O27" s="265">
        <f>IF(ResultsTeams[[#This Row],[Type]]="G",SUM(O28:O31),IF(LEFT(ResultsTeams[[#This Row],[Type]],1)="P",IF(ResultsTeams[[#This Row],[Goal-A]]&gt;ResultsTeams[[#This Row],[Goal-B]],1,0),""))</f>
        <v>1</v>
      </c>
      <c r="P27" s="265">
        <f>IF(ResultsTeams[[#This Row],[Type]]="G",SUM(P28:P31),IF(LEFT(ResultsTeams[[#This Row],[Type]],1)="P",IF(ResultsTeams[[#This Row],[Goal-A]]&lt;ResultsTeams[[#This Row],[Goal-B]],1,0),""))</f>
        <v>0</v>
      </c>
      <c r="Q27" s="265">
        <f>IF(ResultsTeams[[#This Row],[Type]]="G",SUM(Q28:Q31),IF(LEFT(ResultsTeams[[#This Row],[Type]],1)="P",VALUE(ResultsTeams[[#This Row],[Score-A]]),""))</f>
        <v>4</v>
      </c>
      <c r="R27" s="265">
        <f>IF(ResultsTeams[[#This Row],[Type]]="G",SUM(R28:R31),IF(LEFT(ResultsTeams[[#This Row],[Type]],1)="P",VALUE(ResultsTeams[[#This Row],[Score-B]]),""))</f>
        <v>3</v>
      </c>
      <c r="S27" s="265" t="str">
        <f ca="1">IF(AND(ResultsTeams[[#This Row],[Category]]&lt;&gt;"",ResultsTeams[[#This Row],[Team A]]&lt;&gt;""),COUNTIF(INDIRECT("TeamsList[Club Name]"),ResultsTeams[[#This Row],[Team A]]),"")</f>
        <v/>
      </c>
      <c r="T27" s="265" t="str">
        <f ca="1">IF(AND(ResultsTeams[[#This Row],[Category]]&lt;&gt;"",ResultsTeams[[#This Row],[Team B]]&lt;&gt;""),COUNTIF(INDIRECT("TeamsList[Club Name]"),ResultsTeams[[#This Row],[Team B]]),"")</f>
        <v/>
      </c>
      <c r="U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-Jurgen Balzan</v>
      </c>
      <c r="V27" s="265" t="str">
        <f>IF(ResultsTeams[[#This Row],[Score_OK]],IF(ResultsTeams[[#This Row],[StageCpy]]="Groups",ResultsTeams[[#This Row],[Category]]&amp;"-"&amp;IF(ResultsTeams[[#This Row],[Team B]]="","",IF(ResultsTeams[[#This Row],[Match-A]]=ResultsTeams[[#This Row],[Match-B]],ResultsTeams[[#This Row],[Team A]],"")),""),"")</f>
        <v>-</v>
      </c>
      <c r="W27" s="265" t="str">
        <f>IF(ResultsTeams[[#This Row],[Score_OK]],IF(ResultsTeams[[#This Row],[StageCpy]]="Groups",ResultsTeams[[#This Row],[Category]]&amp;"-"&amp;IF(ResultsTeams[[#This Row],[Team B]]="","",IF(ResultsTeams[[#This Row],[Match-A]]=ResultsTeams[[#This Row],[Match-B]],ResultsTeams[[#This Row],[Team B]],"")),""),"")</f>
        <v>-</v>
      </c>
      <c r="X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-Casey Van Os</v>
      </c>
      <c r="Y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 s="264" t="str">
        <f>IF(ResultsTeams[[#This Row],[Category]]="","",VLOOKUP(ResultsTeams[[#This Row],[Stage]],$R$1:$T$8,MATCH(ResultsTeams[[#This Row],[Category]],$S$1:$T$1,0)+1,FALSE))</f>
        <v/>
      </c>
      <c r="AC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 s="264" t="str">
        <f>IF(ResultsTeams[[#This Row],[Type]]="G",ResultsTeams[[#This Row],[Stage]],AD26)</f>
        <v>Groups</v>
      </c>
      <c r="AE27" s="395" t="str">
        <f>IF(ResultsTeams[[#This Row],[Type]]="G",INDEX(TeamsList[Club Name],MATCH(ResultsTeams[[#This Row],[Team A]],TeamsList[Team Name],0)),AE26)</f>
        <v>Valletta SC</v>
      </c>
      <c r="AF27" s="395" t="str">
        <f>IF(ResultsTeams[[#This Row],[Type]]="G",INDEX(TeamsList[Club Name],MATCH(ResultsTeams[[#This Row],[Team B]],TeamsList[Team Name],0)),AF26)</f>
        <v>MVV Rijnmond</v>
      </c>
      <c r="AG27" s="265"/>
      <c r="AI27" s="12" t="str">
        <f>AI26</f>
        <v>TEAM</v>
      </c>
      <c r="AJ27" s="309" t="s">
        <v>789</v>
      </c>
      <c r="AK27" s="320"/>
      <c r="AL27" s="311"/>
      <c r="AM27" s="292">
        <f>IF(AV27="","",SMALL(AN27:AN33,ROWS(AM27:AM27)))</f>
        <v>1001</v>
      </c>
      <c r="AN27" s="293">
        <f>IF(AV27="","",RANK(AR27,AR27:AR33)*1000+ROWS(AN27:AN27))</f>
        <v>1001</v>
      </c>
      <c r="AO27" s="316">
        <f t="shared" ref="AO27:AO33" si="9">IF(AV27="","",AT27*CritClassEq1_Points+AY27*CritClassEq1_DiffRencontres+BB27*CritClassEq1_DiffMatches+BE27*CritClassEq1_DiffButs+AZ27*CritClassEq1_Matches+BC27*CritClassEq1_Attaque)</f>
        <v>177147000000000</v>
      </c>
      <c r="AP27" s="415" t="b">
        <f>AND(AU27&lt;&gt;"",AU27&gt;0,COUNTIF(AO27:AO33,AO27)&gt;1)</f>
        <v>0</v>
      </c>
      <c r="AQ27" s="316">
        <f t="shared" ref="AQ27:AQ33" si="10">IF(AV27="","",CritClassEq_DiffPart*AK27)</f>
        <v>0</v>
      </c>
      <c r="AR27" s="317">
        <f t="shared" ref="AR27:AR33" si="11">IF(AV27="","",AO27+AQ27+AT27*CritClassEq2_Points+AY27*CritClassEq2_DiffRencontres+BB27*CritClassEq2_DiffMatches+BE27*CritClassEq2_DiffButs+AZ27*CritClassEq2_Matches+BC27*CritClassEq2_Attaque+AL27)</f>
        <v>177147251911192</v>
      </c>
      <c r="AS27" s="415" t="b">
        <f>AND(AU27&lt;&gt;"",AU27&gt;0,COUNTIF(AR27:AR33,AR27)&gt;1)</f>
        <v>0</v>
      </c>
      <c r="AT27" s="355">
        <f t="shared" ref="AT27:AT33" si="12">IF(AV27="","",(AV27*Points_Victoire)+AW27*Points_Null)</f>
        <v>9</v>
      </c>
      <c r="AU27" s="356">
        <f t="shared" ref="AU27" si="13">IF(AV27="","",SUM(AV27:AX27))</f>
        <v>3</v>
      </c>
      <c r="AV27" s="356">
        <f>IF(OR(AI26="",AJ27=""),"",COUNTIF(ResultsTeams[Win],AI26&amp;"-"&amp;AJ27))</f>
        <v>3</v>
      </c>
      <c r="AW27" s="356">
        <f>IF(OR(AI26="",AJ27=""),"",COUNTIF(ResultsTeams[[Draw1]:[Draw2]],AI26&amp;"-"&amp;AJ27))</f>
        <v>0</v>
      </c>
      <c r="AX27" s="356">
        <f>IF(OR(AI26="",AJ27=""),"",COUNTIF(ResultsTeams[Lose],AI26&amp;"-"&amp;AJ27))</f>
        <v>0</v>
      </c>
      <c r="AY27" s="356">
        <f>IF(OR(AI26="",AJ27=""),"",AV27-AX27)</f>
        <v>3</v>
      </c>
      <c r="AZ27" s="356">
        <f>IF(OR(AI26="",AJ27=""),"",SUMIFS(ResultsTeams[Match-A],ResultsTeams[Stage],"Groups",ResultsTeams[Team A],AJ27)+SUMIFS(ResultsTeams[Match-B],ResultsTeams[Stage],"Groups",ResultsTeams[Team B],AJ27))</f>
        <v>11</v>
      </c>
      <c r="BA27" s="356">
        <f>IF(OR(AI26="",AJ27=""),"",SUMIFS(ResultsTeams[Match-B],ResultsTeams[Stage],"Groups",ResultsTeams[Team A],AJ27)+SUMIFS(ResultsTeams[Match-A],ResultsTeams[Stage],"Groups",ResultsTeams[Team B],AJ27))</f>
        <v>1</v>
      </c>
      <c r="BB27" s="356">
        <f>IF(OR(AI26="",AJ27=""),"",AZ27-BA27)</f>
        <v>10</v>
      </c>
      <c r="BC27" s="356">
        <f>IF(OR(AI26="",AJ27=""),"",SUMIFS(ResultsTeams[Goal-A],ResultsTeams[Stage],"Groups",ResultsTeams[Team A],AJ27)+SUMIFS(ResultsTeams[Goal-B],ResultsTeams[Stage],"Groups",ResultsTeams[Team B],AJ27))</f>
        <v>52</v>
      </c>
      <c r="BD27" s="356">
        <f>IF(OR(AI26="",AJ27=""),"",SUMIFS(ResultsTeams[Goal-B],ResultsTeams[Stage],"Groups",ResultsTeams[Team A],AJ27)+SUMIFS(ResultsTeams[Goal-A],ResultsTeams[Stage],"Groups",ResultsTeams[Team B],AJ27))</f>
        <v>14</v>
      </c>
      <c r="BE27" s="357">
        <f>IF(OR(AI26="",AJ27=""),"",BC27-BD27)</f>
        <v>38</v>
      </c>
      <c r="BF27" s="470" t="b">
        <f>IF(AM27="","",OR(VLOOKUP(AM27,AN27:BE33,3,FALSE),VLOOKUP(AM27,AN27:BE33,6,FALSE)))</f>
        <v>0</v>
      </c>
      <c r="BG27" s="298">
        <f t="shared" ref="BG27:BG33" si="14">IF(AM27="","",INT(AM27/1000))</f>
        <v>1</v>
      </c>
      <c r="BH27" s="285" t="str">
        <f>IF(AM27="","",INDEX(AJ27:AJ33,MATCH(AM27,AN27:AN33,0)))</f>
        <v>Valletta SC</v>
      </c>
      <c r="BI27" s="286">
        <f>IF(AM27="","",VLOOKUP(AM27,AN27:BE33,COLUMN()-COLUMN(BB26),FALSE))</f>
        <v>9</v>
      </c>
      <c r="BJ27" s="286">
        <f>IF(AM27="","",VLOOKUP(AM27,AN27:BE33,COLUMN()-COLUMN(BB26),FALSE))</f>
        <v>3</v>
      </c>
      <c r="BK27" s="286">
        <f>IF(AM27="","",VLOOKUP(AM27,AN27:BE33,COLUMN()-COLUMN(BB26),FALSE))</f>
        <v>3</v>
      </c>
      <c r="BL27" s="286">
        <f>IF(AM27="","",VLOOKUP(AM27,AN27:BE33,COLUMN()-COLUMN(BB26),FALSE))</f>
        <v>0</v>
      </c>
      <c r="BM27" s="286">
        <f>IF(AM27="","",VLOOKUP(AM27,AN27:BE33,COLUMN()-COLUMN(BB26),FALSE))</f>
        <v>0</v>
      </c>
      <c r="BN27" s="349">
        <f>IF(AM27="","",VLOOKUP(AM27,AN27:BE33,COLUMN()-COLUMN(BB26),FALSE))</f>
        <v>3</v>
      </c>
      <c r="BO27" s="298">
        <f>IF(AM27="","",VLOOKUP(AM27,AN27:BE33,COLUMN()-COLUMN(BB26),FALSE))</f>
        <v>11</v>
      </c>
      <c r="BP27" s="286">
        <f>IF(AM27="","",VLOOKUP(AM27,AN27:BE33,COLUMN()-COLUMN(BB26),FALSE))</f>
        <v>1</v>
      </c>
      <c r="BQ27" s="301">
        <f>IF(AM27="","",VLOOKUP(AM27,AN27:BE33,COLUMN()-COLUMN(BB26),FALSE))</f>
        <v>10</v>
      </c>
      <c r="BR27" s="352">
        <f>IF(AM27="","",VLOOKUP(AM27,AN27:BE33,COLUMN()-COLUMN(BB26),FALSE))</f>
        <v>52</v>
      </c>
      <c r="BS27" s="286">
        <f>IF(AM27="","",VLOOKUP(AM27,AN27:BE33,COLUMN()-COLUMN(BB26),FALSE))</f>
        <v>14</v>
      </c>
      <c r="BT27" s="301">
        <f>IF(AM27="","",VLOOKUP(AM27,AN27:BE33,COLUMN()-COLUMN(BB26),FALSE))</f>
        <v>38</v>
      </c>
    </row>
    <row r="28" spans="1:72" x14ac:dyDescent="0.2">
      <c r="A28" s="62"/>
      <c r="B28" s="280"/>
      <c r="C28" s="62"/>
      <c r="D28" s="62"/>
      <c r="E28" s="241" t="s">
        <v>12234</v>
      </c>
      <c r="F28" s="246" t="s">
        <v>10415</v>
      </c>
      <c r="G28" s="246" t="s">
        <v>11920</v>
      </c>
      <c r="H28" s="254">
        <v>5</v>
      </c>
      <c r="I28" s="254">
        <v>1</v>
      </c>
      <c r="J28" s="254"/>
      <c r="K28" s="363"/>
      <c r="L28" s="363"/>
      <c r="M28" s="247"/>
      <c r="N28" s="265" t="b">
        <f>NOT(ISERROR(ResultsTeams[[#This Row],[Goal-A]]+ResultsTeams[[#This Row],[Goal-B]]))</f>
        <v>1</v>
      </c>
      <c r="O28" s="265">
        <f>IF(ResultsTeams[[#This Row],[Type]]="G",SUM(O29:O32),IF(LEFT(ResultsTeams[[#This Row],[Type]],1)="P",IF(ResultsTeams[[#This Row],[Goal-A]]&gt;ResultsTeams[[#This Row],[Goal-B]],1,0),""))</f>
        <v>1</v>
      </c>
      <c r="P28" s="265">
        <f>IF(ResultsTeams[[#This Row],[Type]]="G",SUM(P29:P32),IF(LEFT(ResultsTeams[[#This Row],[Type]],1)="P",IF(ResultsTeams[[#This Row],[Goal-A]]&lt;ResultsTeams[[#This Row],[Goal-B]],1,0),""))</f>
        <v>0</v>
      </c>
      <c r="Q28" s="265">
        <f>IF(ResultsTeams[[#This Row],[Type]]="G",SUM(Q29:Q32),IF(LEFT(ResultsTeams[[#This Row],[Type]],1)="P",VALUE(ResultsTeams[[#This Row],[Score-A]]),""))</f>
        <v>5</v>
      </c>
      <c r="R28" s="265">
        <f>IF(ResultsTeams[[#This Row],[Type]]="G",SUM(R29:R32),IF(LEFT(ResultsTeams[[#This Row],[Type]],1)="P",VALUE(ResultsTeams[[#This Row],[Score-B]]),""))</f>
        <v>1</v>
      </c>
      <c r="S28" s="265" t="str">
        <f ca="1">IF(AND(ResultsTeams[[#This Row],[Category]]&lt;&gt;"",ResultsTeams[[#This Row],[Team A]]&lt;&gt;""),COUNTIF(INDIRECT("TeamsList[Club Name]"),ResultsTeams[[#This Row],[Team A]]),"")</f>
        <v/>
      </c>
      <c r="T28" s="265" t="str">
        <f ca="1">IF(AND(ResultsTeams[[#This Row],[Category]]&lt;&gt;"",ResultsTeams[[#This Row],[Team B]]&lt;&gt;""),COUNTIF(INDIRECT("TeamsList[Club Name]"),ResultsTeams[[#This Row],[Team B]]),"")</f>
        <v/>
      </c>
      <c r="U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-Samuel Bartolo</v>
      </c>
      <c r="V28" s="265" t="str">
        <f>IF(ResultsTeams[[#This Row],[Score_OK]],IF(ResultsTeams[[#This Row],[StageCpy]]="Groups",ResultsTeams[[#This Row],[Category]]&amp;"-"&amp;IF(ResultsTeams[[#This Row],[Team B]]="","",IF(ResultsTeams[[#This Row],[Match-A]]=ResultsTeams[[#This Row],[Match-B]],ResultsTeams[[#This Row],[Team A]],"")),""),"")</f>
        <v>-</v>
      </c>
      <c r="W28" s="265" t="str">
        <f>IF(ResultsTeams[[#This Row],[Score_OK]],IF(ResultsTeams[[#This Row],[StageCpy]]="Groups",ResultsTeams[[#This Row],[Category]]&amp;"-"&amp;IF(ResultsTeams[[#This Row],[Team B]]="","",IF(ResultsTeams[[#This Row],[Match-A]]=ResultsTeams[[#This Row],[Match-B]],ResultsTeams[[#This Row],[Team B]],"")),""),"")</f>
        <v>-</v>
      </c>
      <c r="X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-Quincy Gerrets</v>
      </c>
      <c r="Y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 s="264" t="str">
        <f>IF(ResultsTeams[[#This Row],[Category]]="","",VLOOKUP(ResultsTeams[[#This Row],[Stage]],$R$1:$T$8,MATCH(ResultsTeams[[#This Row],[Category]],$S$1:$T$1,0)+1,FALSE))</f>
        <v/>
      </c>
      <c r="AC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 s="264" t="str">
        <f>IF(ResultsTeams[[#This Row],[Type]]="G",ResultsTeams[[#This Row],[Stage]],AD27)</f>
        <v>Groups</v>
      </c>
      <c r="AE28" s="395" t="str">
        <f>IF(ResultsTeams[[#This Row],[Type]]="G",INDEX(TeamsList[Club Name],MATCH(ResultsTeams[[#This Row],[Team A]],TeamsList[Team Name],0)),AE27)</f>
        <v>Valletta SC</v>
      </c>
      <c r="AF28" s="395" t="str">
        <f>IF(ResultsTeams[[#This Row],[Type]]="G",INDEX(TeamsList[Club Name],MATCH(ResultsTeams[[#This Row],[Team B]],TeamsList[Team Name],0)),AF27)</f>
        <v>MVV Rijnmond</v>
      </c>
      <c r="AG28" s="265"/>
      <c r="AI28" s="12" t="str">
        <f>AI27</f>
        <v>TEAM</v>
      </c>
      <c r="AJ28" s="309" t="s">
        <v>251</v>
      </c>
      <c r="AK28" s="320"/>
      <c r="AL28" s="311"/>
      <c r="AM28" s="292">
        <f>IF(AV28="","",SMALL(AN27:AN33,ROWS(AM27:AM28)))</f>
        <v>2003</v>
      </c>
      <c r="AN28" s="293">
        <f>IF(AV28="","",RANK(AR28,AR27:AR33)*1000+ROWS(AN27:AN28))</f>
        <v>3002</v>
      </c>
      <c r="AO28" s="316">
        <f t="shared" si="9"/>
        <v>59049000000000</v>
      </c>
      <c r="AP28" s="415" t="b">
        <f>AND(AU28&lt;&gt;"",AU28&gt;0,COUNTIF(AO27:AO33,AO28)&gt;1)</f>
        <v>0</v>
      </c>
      <c r="AQ28" s="316">
        <f t="shared" si="10"/>
        <v>0</v>
      </c>
      <c r="AR28" s="317">
        <f t="shared" si="11"/>
        <v>59048831519541</v>
      </c>
      <c r="AS28" s="415" t="b">
        <f>AND(AU28&lt;&gt;"",AU28&gt;0,COUNTIF(AR27:AR33,AR28)&gt;1)</f>
        <v>0</v>
      </c>
      <c r="AT28" s="355">
        <f t="shared" si="12"/>
        <v>3</v>
      </c>
      <c r="AU28" s="356">
        <f t="shared" ref="AU28:AU33" si="15">IF(AV28="","",SUM(AV28:AX28))</f>
        <v>3</v>
      </c>
      <c r="AV28" s="356">
        <f>IF(OR(AI26="",AJ28=""),"",COUNTIF(ResultsTeams[Win],AI26&amp;"-"&amp;AJ28))</f>
        <v>1</v>
      </c>
      <c r="AW28" s="356">
        <f>IF(OR(AI26="",AJ28=""),"",COUNTIF(ResultsTeams[[Draw1]:[Draw2]],AI26&amp;"-"&amp;AJ28))</f>
        <v>0</v>
      </c>
      <c r="AX28" s="356">
        <f>IF(OR(AI26="",AJ28=""),"",COUNTIF(ResultsTeams[Lose],AI26&amp;"-"&amp;AJ28))</f>
        <v>2</v>
      </c>
      <c r="AY28" s="356">
        <f>IF(OR(AI26="",AJ28=""),"",AV28-AX28)</f>
        <v>-1</v>
      </c>
      <c r="AZ28" s="356">
        <f>IF(OR(AI27="",AJ28=""),"",SUMIFS(ResultsTeams[Match-A],ResultsTeams[Stage],"Groups",ResultsTeams[Team A],AJ28)+SUMIFS(ResultsTeams[Match-B],ResultsTeams[Stage],"Groups",ResultsTeams[Team B],AJ28))</f>
        <v>2</v>
      </c>
      <c r="BA28" s="356">
        <f>IF(OR(AI27="",AJ28=""),"",SUMIFS(ResultsTeams[Match-B],ResultsTeams[Stage],"Groups",ResultsTeams[Team A],AJ28)+SUMIFS(ResultsTeams[Match-A],ResultsTeams[Stage],"Groups",ResultsTeams[Team B],AJ28))</f>
        <v>9</v>
      </c>
      <c r="BB28" s="356">
        <f t="shared" ref="BB28:BB33" si="16">IF(OR(AI27="",AJ28=""),"",AZ28-BA28)</f>
        <v>-7</v>
      </c>
      <c r="BC28" s="356">
        <f>IF(OR(AI27="",AJ28=""),"",SUMIFS(ResultsTeams[Goal-A],ResultsTeams[Stage],"Groups",ResultsTeams[Team A],AJ28)+SUMIFS(ResultsTeams[Goal-B],ResultsTeams[Stage],"Groups",ResultsTeams[Team B],AJ28))</f>
        <v>21</v>
      </c>
      <c r="BD28" s="356">
        <f>IF(OR(AI27="",AJ28=""),"",SUMIFS(ResultsTeams[Goal-B],ResultsTeams[Stage],"Groups",ResultsTeams[Team A],AJ28)+SUMIFS(ResultsTeams[Goal-A],ResultsTeams[Stage],"Groups",ResultsTeams[Team B],AJ28))</f>
        <v>37</v>
      </c>
      <c r="BE28" s="357">
        <f>IF(OR(AI26="",AJ28=""),"",BC28-BD28)</f>
        <v>-16</v>
      </c>
      <c r="BF28" s="470" t="b">
        <f>IF(AM28="","",OR(VLOOKUP(AM28,AN27:BE33,3,FALSE),VLOOKUP(AM28,AN27:BE33,6,FALSE)))</f>
        <v>0</v>
      </c>
      <c r="BG28" s="298">
        <f t="shared" si="14"/>
        <v>2</v>
      </c>
      <c r="BH28" s="285" t="str">
        <f>IF(AM28="","",INDEX(AJ27:AJ33,MATCH(AM28,AN27:AN33,0)))</f>
        <v>FTC Issy-les-Moulineaux</v>
      </c>
      <c r="BI28" s="286">
        <f>IF(AM28="","",VLOOKUP(AM28,AN27:BE33,COLUMN()-COLUMN(BB26),FALSE))</f>
        <v>6</v>
      </c>
      <c r="BJ28" s="286">
        <f>IF(AM28="","",VLOOKUP(AM28,AN27:BE33,COLUMN()-COLUMN(BB26),FALSE))</f>
        <v>3</v>
      </c>
      <c r="BK28" s="286">
        <f>IF(AM28="","",VLOOKUP(AM28,AN27:BE33,COLUMN()-COLUMN(BB26),FALSE))</f>
        <v>2</v>
      </c>
      <c r="BL28" s="286">
        <f>IF(AM28="","",VLOOKUP(AM28,AN27:BE33,COLUMN()-COLUMN(BB26),FALSE))</f>
        <v>0</v>
      </c>
      <c r="BM28" s="286">
        <f>IF(AM28="","",VLOOKUP(AM28,AN27:BE33,COLUMN()-COLUMN(BB26),FALSE))</f>
        <v>1</v>
      </c>
      <c r="BN28" s="349">
        <f>IF(AM28="","",VLOOKUP(AM28,AN27:BE33,COLUMN()-COLUMN(BB26),FALSE))</f>
        <v>1</v>
      </c>
      <c r="BO28" s="298">
        <f>IF(AM28="","",VLOOKUP(AM28,AN27:BE33,COLUMN()-COLUMN(BB26),FALSE))</f>
        <v>9</v>
      </c>
      <c r="BP28" s="286">
        <f>IF(AM28="","",VLOOKUP(AM28,AN27:BE33,COLUMN()-COLUMN(BB26),FALSE))</f>
        <v>3</v>
      </c>
      <c r="BQ28" s="301">
        <f>IF(AM28="","",VLOOKUP(AM28,AN27:BE33,COLUMN()-COLUMN(BB26),FALSE))</f>
        <v>6</v>
      </c>
      <c r="BR28" s="352">
        <f>IF(AM28="","",VLOOKUP(AM28,AN27:BE33,COLUMN()-COLUMN(BB26),FALSE))</f>
        <v>36</v>
      </c>
      <c r="BS28" s="286">
        <f>IF(AM28="","",VLOOKUP(AM28,AN27:BE33,COLUMN()-COLUMN(BB26),FALSE))</f>
        <v>20</v>
      </c>
      <c r="BT28" s="301">
        <f>IF(AM28="","",VLOOKUP(AM28,AN27:BE33,COLUMN()-COLUMN(BB26),FALSE))</f>
        <v>16</v>
      </c>
    </row>
    <row r="29" spans="1:72" x14ac:dyDescent="0.2">
      <c r="A29" s="62"/>
      <c r="B29" s="280"/>
      <c r="C29" s="62"/>
      <c r="D29" s="62"/>
      <c r="E29" s="241" t="s">
        <v>12237</v>
      </c>
      <c r="F29" s="246" t="s">
        <v>8129</v>
      </c>
      <c r="G29" s="246" t="s">
        <v>11916</v>
      </c>
      <c r="H29" s="254">
        <v>1</v>
      </c>
      <c r="I29" s="254">
        <v>0</v>
      </c>
      <c r="J29" s="254"/>
      <c r="K29" s="363"/>
      <c r="L29" s="363"/>
      <c r="M29" s="247"/>
      <c r="N29" s="265" t="b">
        <f>NOT(ISERROR(ResultsTeams[[#This Row],[Goal-A]]+ResultsTeams[[#This Row],[Goal-B]]))</f>
        <v>1</v>
      </c>
      <c r="O29" s="265">
        <f>IF(ResultsTeams[[#This Row],[Type]]="G",SUM(O30:O33),IF(LEFT(ResultsTeams[[#This Row],[Type]],1)="P",IF(ResultsTeams[[#This Row],[Goal-A]]&gt;ResultsTeams[[#This Row],[Goal-B]],1,0),""))</f>
        <v>1</v>
      </c>
      <c r="P29" s="265">
        <f>IF(ResultsTeams[[#This Row],[Type]]="G",SUM(P30:P33),IF(LEFT(ResultsTeams[[#This Row],[Type]],1)="P",IF(ResultsTeams[[#This Row],[Goal-A]]&lt;ResultsTeams[[#This Row],[Goal-B]],1,0),""))</f>
        <v>0</v>
      </c>
      <c r="Q29" s="265">
        <f>IF(ResultsTeams[[#This Row],[Type]]="G",SUM(Q30:Q33),IF(LEFT(ResultsTeams[[#This Row],[Type]],1)="P",VALUE(ResultsTeams[[#This Row],[Score-A]]),""))</f>
        <v>1</v>
      </c>
      <c r="R29" s="265">
        <f>IF(ResultsTeams[[#This Row],[Type]]="G",SUM(R30:R33),IF(LEFT(ResultsTeams[[#This Row],[Type]],1)="P",VALUE(ResultsTeams[[#This Row],[Score-B]]),""))</f>
        <v>0</v>
      </c>
      <c r="S29" s="265" t="str">
        <f ca="1">IF(AND(ResultsTeams[[#This Row],[Category]]&lt;&gt;"",ResultsTeams[[#This Row],[Team A]]&lt;&gt;""),COUNTIF(INDIRECT("TeamsList[Club Name]"),ResultsTeams[[#This Row],[Team A]]),"")</f>
        <v/>
      </c>
      <c r="T29" s="265" t="str">
        <f ca="1">IF(AND(ResultsTeams[[#This Row],[Category]]&lt;&gt;"",ResultsTeams[[#This Row],[Team B]]&lt;&gt;""),COUNTIF(INDIRECT("TeamsList[Club Name]"),ResultsTeams[[#This Row],[Team B]]),"")</f>
        <v/>
      </c>
      <c r="U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-Pascal Scheen</v>
      </c>
      <c r="V29" s="265" t="str">
        <f>IF(ResultsTeams[[#This Row],[Score_OK]],IF(ResultsTeams[[#This Row],[StageCpy]]="Groups",ResultsTeams[[#This Row],[Category]]&amp;"-"&amp;IF(ResultsTeams[[#This Row],[Team B]]="","",IF(ResultsTeams[[#This Row],[Match-A]]=ResultsTeams[[#This Row],[Match-B]],ResultsTeams[[#This Row],[Team A]],"")),""),"")</f>
        <v>-</v>
      </c>
      <c r="W29" s="265" t="str">
        <f>IF(ResultsTeams[[#This Row],[Score_OK]],IF(ResultsTeams[[#This Row],[StageCpy]]="Groups",ResultsTeams[[#This Row],[Category]]&amp;"-"&amp;IF(ResultsTeams[[#This Row],[Team B]]="","",IF(ResultsTeams[[#This Row],[Match-A]]=ResultsTeams[[#This Row],[Match-B]],ResultsTeams[[#This Row],[Team B]],"")),""),"")</f>
        <v>-</v>
      </c>
      <c r="X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-Jovi Willeijns</v>
      </c>
      <c r="Y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 s="264" t="str">
        <f>IF(ResultsTeams[[#This Row],[Category]]="","",VLOOKUP(ResultsTeams[[#This Row],[Stage]],$R$1:$T$8,MATCH(ResultsTeams[[#This Row],[Category]],$S$1:$T$1,0)+1,FALSE))</f>
        <v/>
      </c>
      <c r="AC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 s="264" t="str">
        <f>IF(ResultsTeams[[#This Row],[Type]]="G",ResultsTeams[[#This Row],[Stage]],AD28)</f>
        <v>Groups</v>
      </c>
      <c r="AE29" s="395" t="str">
        <f>IF(ResultsTeams[[#This Row],[Type]]="G",INDEX(TeamsList[Club Name],MATCH(ResultsTeams[[#This Row],[Team A]],TeamsList[Team Name],0)),AE28)</f>
        <v>Valletta SC</v>
      </c>
      <c r="AF29" s="395" t="str">
        <f>IF(ResultsTeams[[#This Row],[Type]]="G",INDEX(TeamsList[Club Name],MATCH(ResultsTeams[[#This Row],[Team B]],TeamsList[Team Name],0)),AF28)</f>
        <v>MVV Rijnmond</v>
      </c>
      <c r="AG29" s="265"/>
      <c r="AI29" s="12" t="str">
        <f t="shared" ref="AI29:AI33" si="17">AI28</f>
        <v>TEAM</v>
      </c>
      <c r="AJ29" s="309" t="s">
        <v>179</v>
      </c>
      <c r="AK29" s="320"/>
      <c r="AL29" s="311"/>
      <c r="AM29" s="292">
        <f>IF(AV29="","",SMALL(AN27:AN33,ROWS(AM27:AM29)))</f>
        <v>3002</v>
      </c>
      <c r="AN29" s="293">
        <f>IF(AV29="","",RANK(AR29,AR27:AR33)*1000+ROWS(AN27:AN29))</f>
        <v>2003</v>
      </c>
      <c r="AO29" s="316">
        <f t="shared" si="9"/>
        <v>118098000000000</v>
      </c>
      <c r="AP29" s="415" t="b">
        <f>AND(AU29&lt;&gt;"",AU29&gt;0,COUNTIF(AO27:AO33,AO29)&gt;1)</f>
        <v>0</v>
      </c>
      <c r="AQ29" s="316">
        <f t="shared" si="10"/>
        <v>0</v>
      </c>
      <c r="AR29" s="317">
        <f t="shared" si="11"/>
        <v>118098153090516</v>
      </c>
      <c r="AS29" s="415" t="b">
        <f>AND(AU29&lt;&gt;"",AU29&gt;0,COUNTIF(AR27:AR33,AR29)&gt;1)</f>
        <v>0</v>
      </c>
      <c r="AT29" s="355">
        <f t="shared" si="12"/>
        <v>6</v>
      </c>
      <c r="AU29" s="356">
        <f t="shared" si="15"/>
        <v>3</v>
      </c>
      <c r="AV29" s="356">
        <f>IF(OR(AI26="",AJ29=""),"",COUNTIF(ResultsTeams[Win],AI26&amp;"-"&amp;AJ29))</f>
        <v>2</v>
      </c>
      <c r="AW29" s="356">
        <f>IF(OR(AI26="",AJ29=""),"",COUNTIF(ResultsTeams[[Draw1]:[Draw2]],AI26&amp;"-"&amp;AJ29))</f>
        <v>0</v>
      </c>
      <c r="AX29" s="356">
        <f>IF(OR(AI26="",AJ29=""),"",COUNTIF(ResultsTeams[Lose],AI26&amp;"-"&amp;AJ29))</f>
        <v>1</v>
      </c>
      <c r="AY29" s="356">
        <f>IF(OR(AI26="",AJ29=""),"",AV29-AX29)</f>
        <v>1</v>
      </c>
      <c r="AZ29" s="356">
        <f>IF(OR(AI28="",AJ29=""),"",SUMIFS(ResultsTeams[Match-A],ResultsTeams[Stage],"Groups",ResultsTeams[Team A],AJ29)+SUMIFS(ResultsTeams[Match-B],ResultsTeams[Stage],"Groups",ResultsTeams[Team B],AJ29))</f>
        <v>9</v>
      </c>
      <c r="BA29" s="356">
        <f>IF(OR(AI28="",AJ29=""),"",SUMIFS(ResultsTeams[Match-B],ResultsTeams[Stage],"Groups",ResultsTeams[Team A],AJ29)+SUMIFS(ResultsTeams[Match-A],ResultsTeams[Stage],"Groups",ResultsTeams[Team B],AJ29))</f>
        <v>3</v>
      </c>
      <c r="BB29" s="356">
        <f t="shared" si="16"/>
        <v>6</v>
      </c>
      <c r="BC29" s="356">
        <f>IF(OR(AI28="",AJ29=""),"",SUMIFS(ResultsTeams[Goal-A],ResultsTeams[Stage],"Groups",ResultsTeams[Team A],AJ29)+SUMIFS(ResultsTeams[Goal-B],ResultsTeams[Stage],"Groups",ResultsTeams[Team B],AJ29))</f>
        <v>36</v>
      </c>
      <c r="BD29" s="356">
        <f>IF(OR(AI28="",AJ29=""),"",SUMIFS(ResultsTeams[Goal-B],ResultsTeams[Stage],"Groups",ResultsTeams[Team A],AJ29)+SUMIFS(ResultsTeams[Goal-A],ResultsTeams[Stage],"Groups",ResultsTeams[Team B],AJ29))</f>
        <v>20</v>
      </c>
      <c r="BE29" s="357">
        <f>IF(OR(AI26="",AJ29=""),"",BC29-BD29)</f>
        <v>16</v>
      </c>
      <c r="BF29" s="470" t="b">
        <f>IF(AM29="","",OR(VLOOKUP(AM29,AN27:BE33,3,FALSE),VLOOKUP(AM29,AN27:BE33,6,FALSE)))</f>
        <v>0</v>
      </c>
      <c r="BG29" s="298">
        <f t="shared" si="14"/>
        <v>3</v>
      </c>
      <c r="BH29" s="285" t="str">
        <f>IF(AM29="","",INDEX(AJ27:AJ33,MATCH(AM29,AN27:AN33,0)))</f>
        <v>MVV Rijnmond</v>
      </c>
      <c r="BI29" s="286">
        <f>IF(AM29="","",VLOOKUP(AM29,AN27:BE33,COLUMN()-COLUMN(BB26),FALSE))</f>
        <v>3</v>
      </c>
      <c r="BJ29" s="286">
        <f>IF(AM29="","",VLOOKUP(AM29,AN27:BE33,COLUMN()-COLUMN(BB26),FALSE))</f>
        <v>3</v>
      </c>
      <c r="BK29" s="286">
        <f>IF(AM29="","",VLOOKUP(AM29,AN27:BE33,COLUMN()-COLUMN(BB26),FALSE))</f>
        <v>1</v>
      </c>
      <c r="BL29" s="286">
        <f>IF(AM29="","",VLOOKUP(AM29,AN27:BE33,COLUMN()-COLUMN(BB26),FALSE))</f>
        <v>0</v>
      </c>
      <c r="BM29" s="286">
        <f>IF(AM29="","",VLOOKUP(AM29,AN27:BE33,COLUMN()-COLUMN(BB26),FALSE))</f>
        <v>2</v>
      </c>
      <c r="BN29" s="349">
        <f>IF(AM29="","",VLOOKUP(AM29,AN27:BE33,COLUMN()-COLUMN(BB26),FALSE))</f>
        <v>-1</v>
      </c>
      <c r="BO29" s="298">
        <f>IF(AM29="","",VLOOKUP(AM29,AN27:BE33,COLUMN()-COLUMN(BB26),FALSE))</f>
        <v>2</v>
      </c>
      <c r="BP29" s="286">
        <f>IF(AM29="","",VLOOKUP(AM29,AN27:BE33,COLUMN()-COLUMN(BB26),FALSE))</f>
        <v>9</v>
      </c>
      <c r="BQ29" s="301">
        <f>IF(AM29="","",VLOOKUP(AM29,AN27:BE33,COLUMN()-COLUMN(BB26),FALSE))</f>
        <v>-7</v>
      </c>
      <c r="BR29" s="352">
        <f>IF(AM29="","",VLOOKUP(AM29,AN27:BE33,COLUMN()-COLUMN(BB26),FALSE))</f>
        <v>21</v>
      </c>
      <c r="BS29" s="286">
        <f>IF(AM29="","",VLOOKUP(AM29,AN27:BE33,COLUMN()-COLUMN(BB26),FALSE))</f>
        <v>37</v>
      </c>
      <c r="BT29" s="301">
        <f>IF(AM29="","",VLOOKUP(AM29,AN27:BE33,COLUMN()-COLUMN(BB26),FALSE))</f>
        <v>-16</v>
      </c>
    </row>
    <row r="30" spans="1:72" x14ac:dyDescent="0.2">
      <c r="A30" s="62"/>
      <c r="B30" s="280"/>
      <c r="C30" s="62"/>
      <c r="D30" s="62"/>
      <c r="E30" s="241" t="s">
        <v>12240</v>
      </c>
      <c r="F30" s="246" t="s">
        <v>10426</v>
      </c>
      <c r="G30" s="246" t="s">
        <v>11923</v>
      </c>
      <c r="H30" s="254">
        <v>2</v>
      </c>
      <c r="I30" s="254">
        <v>1</v>
      </c>
      <c r="J30" s="254"/>
      <c r="K30" s="363"/>
      <c r="L30" s="363"/>
      <c r="M30" s="247"/>
      <c r="N30" s="265" t="b">
        <f>NOT(ISERROR(ResultsTeams[[#This Row],[Goal-A]]+ResultsTeams[[#This Row],[Goal-B]]))</f>
        <v>1</v>
      </c>
      <c r="O30" s="265">
        <f>IF(ResultsTeams[[#This Row],[Type]]="G",SUM(O31:O34),IF(LEFT(ResultsTeams[[#This Row],[Type]],1)="P",IF(ResultsTeams[[#This Row],[Goal-A]]&gt;ResultsTeams[[#This Row],[Goal-B]],1,0),""))</f>
        <v>1</v>
      </c>
      <c r="P30" s="265">
        <f>IF(ResultsTeams[[#This Row],[Type]]="G",SUM(P31:P34),IF(LEFT(ResultsTeams[[#This Row],[Type]],1)="P",IF(ResultsTeams[[#This Row],[Goal-A]]&lt;ResultsTeams[[#This Row],[Goal-B]],1,0),""))</f>
        <v>0</v>
      </c>
      <c r="Q30" s="265">
        <f>IF(ResultsTeams[[#This Row],[Type]]="G",SUM(Q31:Q34),IF(LEFT(ResultsTeams[[#This Row],[Type]],1)="P",VALUE(ResultsTeams[[#This Row],[Score-A]]),""))</f>
        <v>2</v>
      </c>
      <c r="R30" s="265">
        <f>IF(ResultsTeams[[#This Row],[Type]]="G",SUM(R31:R34),IF(LEFT(ResultsTeams[[#This Row],[Type]],1)="P",VALUE(ResultsTeams[[#This Row],[Score-B]]),""))</f>
        <v>1</v>
      </c>
      <c r="S30" s="265" t="str">
        <f ca="1">IF(AND(ResultsTeams[[#This Row],[Category]]&lt;&gt;"",ResultsTeams[[#This Row],[Team A]]&lt;&gt;""),COUNTIF(INDIRECT("TeamsList[Club Name]"),ResultsTeams[[#This Row],[Team A]]),"")</f>
        <v/>
      </c>
      <c r="T30" s="265" t="str">
        <f ca="1">IF(AND(ResultsTeams[[#This Row],[Category]]&lt;&gt;"",ResultsTeams[[#This Row],[Team B]]&lt;&gt;""),COUNTIF(INDIRECT("TeamsList[Club Name]"),ResultsTeams[[#This Row],[Team B]]),"")</f>
        <v/>
      </c>
      <c r="U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-Mark Gauci</v>
      </c>
      <c r="V30" s="265" t="str">
        <f>IF(ResultsTeams[[#This Row],[Score_OK]],IF(ResultsTeams[[#This Row],[StageCpy]]="Groups",ResultsTeams[[#This Row],[Category]]&amp;"-"&amp;IF(ResultsTeams[[#This Row],[Team B]]="","",IF(ResultsTeams[[#This Row],[Match-A]]=ResultsTeams[[#This Row],[Match-B]],ResultsTeams[[#This Row],[Team A]],"")),""),"")</f>
        <v>-</v>
      </c>
      <c r="W30" s="265" t="str">
        <f>IF(ResultsTeams[[#This Row],[Score_OK]],IF(ResultsTeams[[#This Row],[StageCpy]]="Groups",ResultsTeams[[#This Row],[Category]]&amp;"-"&amp;IF(ResultsTeams[[#This Row],[Team B]]="","",IF(ResultsTeams[[#This Row],[Match-A]]=ResultsTeams[[#This Row],[Match-B]],ResultsTeams[[#This Row],[Team B]],"")),""),"")</f>
        <v>-</v>
      </c>
      <c r="X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-Mikey Gerrets</v>
      </c>
      <c r="Y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 s="264" t="str">
        <f>IF(ResultsTeams[[#This Row],[Category]]="","",VLOOKUP(ResultsTeams[[#This Row],[Stage]],$R$1:$T$8,MATCH(ResultsTeams[[#This Row],[Category]],$S$1:$T$1,0)+1,FALSE))</f>
        <v/>
      </c>
      <c r="AC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 s="264" t="str">
        <f>IF(ResultsTeams[[#This Row],[Type]]="G",ResultsTeams[[#This Row],[Stage]],AD29)</f>
        <v>Groups</v>
      </c>
      <c r="AE30" s="395" t="str">
        <f>IF(ResultsTeams[[#This Row],[Type]]="G",INDEX(TeamsList[Club Name],MATCH(ResultsTeams[[#This Row],[Team A]],TeamsList[Team Name],0)),AE29)</f>
        <v>Valletta SC</v>
      </c>
      <c r="AF30" s="395" t="str">
        <f>IF(ResultsTeams[[#This Row],[Type]]="G",INDEX(TeamsList[Club Name],MATCH(ResultsTeams[[#This Row],[Team B]],TeamsList[Team Name],0)),AF29)</f>
        <v>MVV Rijnmond</v>
      </c>
      <c r="AG30" s="265"/>
      <c r="AH30" s="91"/>
      <c r="AI30" s="12" t="str">
        <f t="shared" si="17"/>
        <v>TEAM</v>
      </c>
      <c r="AJ30" s="309" t="s">
        <v>14587</v>
      </c>
      <c r="AK30" s="310"/>
      <c r="AL30" s="311"/>
      <c r="AM30" s="292">
        <f>IF(AV30="","",SMALL(AN27:AN33,ROWS(AM27:AM30)))</f>
        <v>4004</v>
      </c>
      <c r="AN30" s="293">
        <f>IF(AV30="","",RANK(AR30,AR27:AR33)*1000+ROWS(AN27:AN30))</f>
        <v>4004</v>
      </c>
      <c r="AO30" s="316">
        <f t="shared" si="9"/>
        <v>0</v>
      </c>
      <c r="AP30" s="415" t="b">
        <f>AND(AU30&lt;&gt;"",AU30&gt;0,COUNTIF(AO27:AO33,AO30)&gt;1)</f>
        <v>0</v>
      </c>
      <c r="AQ30" s="316">
        <f t="shared" si="10"/>
        <v>0</v>
      </c>
      <c r="AR30" s="317">
        <f t="shared" si="11"/>
        <v>-217891129</v>
      </c>
      <c r="AS30" s="415" t="b">
        <f>AND(AU30&lt;&gt;"",AU30&gt;0,COUNTIF(AR27:AR33,AR30)&gt;1)</f>
        <v>0</v>
      </c>
      <c r="AT30" s="355">
        <f t="shared" si="12"/>
        <v>0</v>
      </c>
      <c r="AU30" s="356">
        <f t="shared" si="15"/>
        <v>3</v>
      </c>
      <c r="AV30" s="356">
        <f>IF(OR(AI26="",AJ30=""),"",COUNTIF(ResultsTeams[Win],AI26&amp;"-"&amp;AJ30))</f>
        <v>0</v>
      </c>
      <c r="AW30" s="356">
        <f>IF(OR(AI26="",AJ30=""),"",COUNTIF(ResultsTeams[[Draw1]:[Draw2]],AI26&amp;"-"&amp;AJ30))</f>
        <v>0</v>
      </c>
      <c r="AX30" s="356">
        <f>IF(OR(AI26="",AJ30=""),"",COUNTIF(ResultsTeams[Lose],AI26&amp;"-"&amp;AJ30))</f>
        <v>3</v>
      </c>
      <c r="AY30" s="356">
        <f>IF(OR(AI26="",AJ30=""),"",AV30-AX30)</f>
        <v>-3</v>
      </c>
      <c r="AZ30" s="356">
        <f>IF(OR(AI29="",AJ30=""),"",SUMIFS(ResultsTeams[Match-A],ResultsTeams[Stage],"Groups",ResultsTeams[Team A],AJ30)+SUMIFS(ResultsTeams[Match-B],ResultsTeams[Stage],"Groups",ResultsTeams[Team B],AJ30))</f>
        <v>1</v>
      </c>
      <c r="BA30" s="356">
        <f>IF(OR(AI29="",AJ30=""),"",SUMIFS(ResultsTeams[Match-B],ResultsTeams[Stage],"Groups",ResultsTeams[Team A],AJ30)+SUMIFS(ResultsTeams[Match-A],ResultsTeams[Stage],"Groups",ResultsTeams[Team B],AJ30))</f>
        <v>10</v>
      </c>
      <c r="BB30" s="356">
        <f t="shared" si="16"/>
        <v>-9</v>
      </c>
      <c r="BC30" s="356">
        <f>IF(OR(AI29="",AJ30=""),"",SUMIFS(ResultsTeams[Goal-A],ResultsTeams[Stage],"Groups",ResultsTeams[Team A],AJ30)+SUMIFS(ResultsTeams[Goal-B],ResultsTeams[Stage],"Groups",ResultsTeams[Team B],AJ30))</f>
        <v>11</v>
      </c>
      <c r="BD30" s="356">
        <f>IF(OR(AI29="",AJ30=""),"",SUMIFS(ResultsTeams[Goal-B],ResultsTeams[Stage],"Groups",ResultsTeams[Team A],AJ30)+SUMIFS(ResultsTeams[Goal-A],ResultsTeams[Stage],"Groups",ResultsTeams[Team B],AJ30))</f>
        <v>49</v>
      </c>
      <c r="BE30" s="357">
        <f>IF(OR(AI26="",AJ30=""),"",BC30-BD30)</f>
        <v>-38</v>
      </c>
      <c r="BF30" s="470" t="b">
        <f>IF(AM30="","",OR(VLOOKUP(AM30,AN27:BE33,3,FALSE),VLOOKUP(AM30,AN27:BE33,6,FALSE)))</f>
        <v>0</v>
      </c>
      <c r="BG30" s="298">
        <f t="shared" si="14"/>
        <v>4</v>
      </c>
      <c r="BH30" s="285" t="str">
        <f>IF(AM30="","",INDEX(AJ27:AJ33,MATCH(AM30,AN27:AN33,0)))</f>
        <v>Avenir Subbuteo Hennuyer 3</v>
      </c>
      <c r="BI30" s="286">
        <f>IF(AM30="","",VLOOKUP(AM30,AN27:BE33,COLUMN()-COLUMN(BB26),FALSE))</f>
        <v>0</v>
      </c>
      <c r="BJ30" s="286">
        <f>IF(AM30="","",VLOOKUP(AM30,AN27:BE33,COLUMN()-COLUMN(BB26),FALSE))</f>
        <v>3</v>
      </c>
      <c r="BK30" s="286">
        <f>IF(AM30="","",VLOOKUP(AM30,AN27:BE33,COLUMN()-COLUMN(BB26),FALSE))</f>
        <v>0</v>
      </c>
      <c r="BL30" s="286">
        <f>IF(AM30="","",VLOOKUP(AM30,AN27:BE33,COLUMN()-COLUMN(BB26),FALSE))</f>
        <v>0</v>
      </c>
      <c r="BM30" s="286">
        <f>IF(AM30="","",VLOOKUP(AM30,AN27:BE33,COLUMN()-COLUMN(BB26),FALSE))</f>
        <v>3</v>
      </c>
      <c r="BN30" s="349">
        <f>IF(AM30="","",VLOOKUP(AM30,AN27:BE33,COLUMN()-COLUMN(BB26),FALSE))</f>
        <v>-3</v>
      </c>
      <c r="BO30" s="298">
        <f>IF(AM30="","",VLOOKUP(AM30,AN27:BE33,COLUMN()-COLUMN(BB26),FALSE))</f>
        <v>1</v>
      </c>
      <c r="BP30" s="286">
        <f>IF(AM30="","",VLOOKUP(AM30,AN27:BE33,COLUMN()-COLUMN(BB26),FALSE))</f>
        <v>10</v>
      </c>
      <c r="BQ30" s="301">
        <f>IF(AM30="","",VLOOKUP(AM30,AN27:BE33,COLUMN()-COLUMN(BB26),FALSE))</f>
        <v>-9</v>
      </c>
      <c r="BR30" s="352">
        <f>IF(AM30="","",VLOOKUP(AM30,AN27:BE33,COLUMN()-COLUMN(BB26),FALSE))</f>
        <v>11</v>
      </c>
      <c r="BS30" s="286">
        <f>IF(AM30="","",VLOOKUP(AM30,AN27:BE33,COLUMN()-COLUMN(BB26),FALSE))</f>
        <v>49</v>
      </c>
      <c r="BT30" s="301">
        <f>IF(AM30="","",VLOOKUP(AM30,AN27:BE33,COLUMN()-COLUMN(BB26),FALSE))</f>
        <v>-38</v>
      </c>
    </row>
    <row r="31" spans="1:72" x14ac:dyDescent="0.2">
      <c r="A31" s="62"/>
      <c r="B31" s="62"/>
      <c r="C31" s="62"/>
      <c r="D31" s="62"/>
      <c r="E31" s="241" t="s">
        <v>12243</v>
      </c>
      <c r="F31" s="247"/>
      <c r="G31" s="247"/>
      <c r="H31" s="254"/>
      <c r="I31" s="254"/>
      <c r="J31" s="260"/>
      <c r="K31" s="364"/>
      <c r="L31" s="364"/>
      <c r="M31" s="247"/>
      <c r="N31" s="265" t="b">
        <f>NOT(ISERROR(ResultsTeams[[#This Row],[Goal-A]]+ResultsTeams[[#This Row],[Goal-B]]))</f>
        <v>0</v>
      </c>
      <c r="O31" s="265" t="str">
        <f>IF(ResultsTeams[[#This Row],[Type]]="G",SUM(O32:O35),IF(LEFT(ResultsTeams[[#This Row],[Type]],1)="P",IF(ResultsTeams[[#This Row],[Goal-A]]&gt;ResultsTeams[[#This Row],[Goal-B]],1,0),""))</f>
        <v/>
      </c>
      <c r="P31" s="265" t="str">
        <f>IF(ResultsTeams[[#This Row],[Type]]="G",SUM(P32:P35),IF(LEFT(ResultsTeams[[#This Row],[Type]],1)="P",IF(ResultsTeams[[#This Row],[Goal-A]]&lt;ResultsTeams[[#This Row],[Goal-B]],1,0),""))</f>
        <v/>
      </c>
      <c r="Q31" s="265" t="str">
        <f>IF(ResultsTeams[[#This Row],[Type]]="G",SUM(Q32:Q35),IF(LEFT(ResultsTeams[[#This Row],[Type]],1)="P",VALUE(ResultsTeams[[#This Row],[Score-A]]),""))</f>
        <v/>
      </c>
      <c r="R31" s="265" t="str">
        <f>IF(ResultsTeams[[#This Row],[Type]]="G",SUM(R32:R35),IF(LEFT(ResultsTeams[[#This Row],[Type]],1)="P",VALUE(ResultsTeams[[#This Row],[Score-B]]),""))</f>
        <v/>
      </c>
      <c r="S31" s="265" t="str">
        <f ca="1">IF(AND(ResultsTeams[[#This Row],[Category]]&lt;&gt;"",ResultsTeams[[#This Row],[Team A]]&lt;&gt;""),COUNTIF(INDIRECT("TeamsList[Club Name]"),ResultsTeams[[#This Row],[Team A]]),"")</f>
        <v/>
      </c>
      <c r="T31" s="265" t="str">
        <f ca="1">IF(AND(ResultsTeams[[#This Row],[Category]]&lt;&gt;"",ResultsTeams[[#This Row],[Team B]]&lt;&gt;""),COUNTIF(INDIRECT("TeamsList[Club Name]"),ResultsTeams[[#This Row],[Team B]]),"")</f>
        <v/>
      </c>
      <c r="U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 s="265" t="str">
        <f>IF(ResultsTeams[[#This Row],[Score_OK]],IF(ResultsTeams[[#This Row],[StageCpy]]="Groups",ResultsTeams[[#This Row],[Category]]&amp;"-"&amp;IF(ResultsTeams[[#This Row],[Team B]]="","",IF(ResultsTeams[[#This Row],[Match-A]]=ResultsTeams[[#This Row],[Match-B]],ResultsTeams[[#This Row],[Team A]],"")),""),"")</f>
        <v/>
      </c>
      <c r="W31" s="265" t="str">
        <f>IF(ResultsTeams[[#This Row],[Score_OK]],IF(ResultsTeams[[#This Row],[StageCpy]]="Groups",ResultsTeams[[#This Row],[Category]]&amp;"-"&amp;IF(ResultsTeams[[#This Row],[Team B]]="","",IF(ResultsTeams[[#This Row],[Match-A]]=ResultsTeams[[#This Row],[Match-B]],ResultsTeams[[#This Row],[Team B]],"")),""),"")</f>
        <v/>
      </c>
      <c r="X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 s="264" t="str">
        <f>IF(ResultsTeams[[#This Row],[Category]]="","",VLOOKUP(ResultsTeams[[#This Row],[Stage]],$R$1:$T$8,MATCH(ResultsTeams[[#This Row],[Category]],$S$1:$T$1,0)+1,FALSE))</f>
        <v/>
      </c>
      <c r="AC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 s="264" t="str">
        <f>IF(ResultsTeams[[#This Row],[Type]]="G",ResultsTeams[[#This Row],[Stage]],AD30)</f>
        <v>Groups</v>
      </c>
      <c r="AE31" s="395" t="str">
        <f>IF(ResultsTeams[[#This Row],[Type]]="G",INDEX(TeamsList[Club Name],MATCH(ResultsTeams[[#This Row],[Team A]],TeamsList[Team Name],0)),AE30)</f>
        <v>Valletta SC</v>
      </c>
      <c r="AF31" s="395" t="str">
        <f>IF(ResultsTeams[[#This Row],[Type]]="G",INDEX(TeamsList[Club Name],MATCH(ResultsTeams[[#This Row],[Team B]],TeamsList[Team Name],0)),AF30)</f>
        <v>MVV Rijnmond</v>
      </c>
      <c r="AG31" s="265"/>
      <c r="AH31" s="91"/>
      <c r="AI31" s="12" t="str">
        <f t="shared" si="17"/>
        <v>TEAM</v>
      </c>
      <c r="AJ31" s="309"/>
      <c r="AK31" s="310"/>
      <c r="AL31" s="311"/>
      <c r="AM31" s="292" t="str">
        <f>IF(AV31="","",SMALL(AN27:AN33,ROWS(AM27:AM31)))</f>
        <v/>
      </c>
      <c r="AN31" s="293" t="str">
        <f>IF(AV31="","",RANK(AR31,AR27:AR33)*1000+ROWS(AN27:AN31))</f>
        <v/>
      </c>
      <c r="AO31" s="316" t="str">
        <f t="shared" si="9"/>
        <v/>
      </c>
      <c r="AP31" s="415" t="b">
        <f>AND(AU31&lt;&gt;"",AU31&gt;0,COUNTIF(AO27:AO33,AO31)&gt;1)</f>
        <v>0</v>
      </c>
      <c r="AQ31" s="316" t="str">
        <f t="shared" si="10"/>
        <v/>
      </c>
      <c r="AR31" s="317" t="str">
        <f t="shared" si="11"/>
        <v/>
      </c>
      <c r="AS31" s="415" t="b">
        <f>AND(AU31&lt;&gt;"",AU31&gt;0,COUNTIF(AR27:AR33,AR31)&gt;1)</f>
        <v>0</v>
      </c>
      <c r="AT31" s="355" t="str">
        <f t="shared" si="12"/>
        <v/>
      </c>
      <c r="AU31" s="356" t="str">
        <f t="shared" si="15"/>
        <v/>
      </c>
      <c r="AV31" s="356" t="str">
        <f>IF(OR(AI26="",AJ31=""),"",COUNTIF(ResultsTeams[Win],AI26&amp;"-"&amp;AJ31))</f>
        <v/>
      </c>
      <c r="AW31" s="356" t="str">
        <f>IF(OR(AI26="",AJ31=""),"",COUNTIF(ResultsTeams[[Draw1]:[Draw2]],AI26&amp;"-"&amp;AJ31))</f>
        <v/>
      </c>
      <c r="AX31" s="356" t="str">
        <f>IF(OR(AI26="",AJ31=""),"",COUNTIF(ResultsTeams[Lose],AI26&amp;"-"&amp;AJ31))</f>
        <v/>
      </c>
      <c r="AY31" s="356" t="str">
        <f>IF(OR(AI26="",AJ31=""),"",AV31-AX31)</f>
        <v/>
      </c>
      <c r="AZ31" s="356" t="str">
        <f>IF(OR(AI30="",AJ31=""),"",SUMIFS(ResultsTeams[Match-A],ResultsTeams[Stage],"Groups",ResultsTeams[Team A],AJ31)+SUMIFS(ResultsTeams[Match-B],ResultsTeams[Stage],"Groups",ResultsTeams[Team B],AJ31))</f>
        <v/>
      </c>
      <c r="BA31" s="356" t="str">
        <f>IF(OR(AI30="",AJ31=""),"",SUMIFS(ResultsTeams[Match-B],ResultsTeams[Stage],"Groups",ResultsTeams[Team A],AJ31)+SUMIFS(ResultsTeams[Match-A],ResultsTeams[Stage],"Groups",ResultsTeams[Team B],AJ31))</f>
        <v/>
      </c>
      <c r="BB31" s="356" t="str">
        <f t="shared" si="16"/>
        <v/>
      </c>
      <c r="BC31" s="356" t="str">
        <f>IF(OR(AI30="",AJ31=""),"",SUMIFS(ResultsTeams[Goal-A],ResultsTeams[Stage],"Groups",ResultsTeams[Team A],AJ31)+SUMIFS(ResultsTeams[Goal-B],ResultsTeams[Stage],"Groups",ResultsTeams[Team B],AJ31))</f>
        <v/>
      </c>
      <c r="BD31" s="356" t="str">
        <f>IF(OR(AI30="",AJ31=""),"",SUMIFS(ResultsTeams[Goal-B],ResultsTeams[Stage],"Groups",ResultsTeams[Team A],AJ31)+SUMIFS(ResultsTeams[Goal-A],ResultsTeams[Stage],"Groups",ResultsTeams[Team B],AJ31))</f>
        <v/>
      </c>
      <c r="BE31" s="357" t="str">
        <f>IF(OR(AI26="",AJ31=""),"",BC31-BD31)</f>
        <v/>
      </c>
      <c r="BF31" s="470" t="str">
        <f>IF(AM31="","",OR(VLOOKUP(AM31,AN27:BE33,3,FALSE),VLOOKUP(AM31,AN27:BE33,6,FALSE)))</f>
        <v/>
      </c>
      <c r="BG31" s="298" t="str">
        <f t="shared" si="14"/>
        <v/>
      </c>
      <c r="BH31" s="285" t="str">
        <f>IF(AM31="","",INDEX(AJ27:AJ33,MATCH(AM31,AN27:AN33,0)))</f>
        <v/>
      </c>
      <c r="BI31" s="286" t="str">
        <f>IF(AM31="","",VLOOKUP(AM31,AN27:BE33,COLUMN()-COLUMN(BB26),FALSE))</f>
        <v/>
      </c>
      <c r="BJ31" s="286" t="str">
        <f>IF(AM31="","",VLOOKUP(AM31,AN27:BE33,COLUMN()-COLUMN(BB26),FALSE))</f>
        <v/>
      </c>
      <c r="BK31" s="286" t="str">
        <f>IF(AM31="","",VLOOKUP(AM31,AN27:BE33,COLUMN()-COLUMN(BB26),FALSE))</f>
        <v/>
      </c>
      <c r="BL31" s="286" t="str">
        <f>IF(AM31="","",VLOOKUP(AM31,AN27:BE33,COLUMN()-COLUMN(BB26),FALSE))</f>
        <v/>
      </c>
      <c r="BM31" s="286" t="str">
        <f>IF(AM31="","",VLOOKUP(AM31,AN27:BE33,COLUMN()-COLUMN(BB26),FALSE))</f>
        <v/>
      </c>
      <c r="BN31" s="349" t="str">
        <f>IF(AM31="","",VLOOKUP(AM31,AN27:BE33,COLUMN()-COLUMN(BB26),FALSE))</f>
        <v/>
      </c>
      <c r="BO31" s="298" t="str">
        <f>IF(AM31="","",VLOOKUP(AM31,AN27:BE33,COLUMN()-COLUMN(BB26),FALSE))</f>
        <v/>
      </c>
      <c r="BP31" s="286" t="str">
        <f>IF(AM31="","",VLOOKUP(AM31,AN27:BE33,COLUMN()-COLUMN(BB26),FALSE))</f>
        <v/>
      </c>
      <c r="BQ31" s="301" t="str">
        <f>IF(AM31="","",VLOOKUP(AM31,AN27:BE33,COLUMN()-COLUMN(BB26),FALSE))</f>
        <v/>
      </c>
      <c r="BR31" s="352" t="str">
        <f>IF(AM31="","",VLOOKUP(AM31,AN27:BE33,COLUMN()-COLUMN(BB26),FALSE))</f>
        <v/>
      </c>
      <c r="BS31" s="286" t="str">
        <f>IF(AM31="","",VLOOKUP(AM31,AN27:BE33,COLUMN()-COLUMN(BB26),FALSE))</f>
        <v/>
      </c>
      <c r="BT31" s="301" t="str">
        <f>IF(AM31="","",VLOOKUP(AM31,AN27:BE33,COLUMN()-COLUMN(BB26),FALSE))</f>
        <v/>
      </c>
    </row>
    <row r="32" spans="1:72" ht="12" thickBot="1" x14ac:dyDescent="0.25">
      <c r="A32" s="83"/>
      <c r="B32" s="83"/>
      <c r="C32" s="83"/>
      <c r="D32" s="83"/>
      <c r="E32" s="268" t="s">
        <v>12244</v>
      </c>
      <c r="F32" s="262"/>
      <c r="G32" s="262"/>
      <c r="H32" s="324"/>
      <c r="I32" s="324"/>
      <c r="J32" s="263"/>
      <c r="K32" s="365"/>
      <c r="L32" s="365"/>
      <c r="M32" s="262"/>
      <c r="N32" s="265" t="b">
        <f>NOT(ISERROR(ResultsTeams[[#This Row],[Goal-A]]+ResultsTeams[[#This Row],[Goal-B]]))</f>
        <v>0</v>
      </c>
      <c r="O32" s="265" t="str">
        <f>IF(ResultsTeams[[#This Row],[Type]]="G",SUM(O33:O36),IF(LEFT(ResultsTeams[[#This Row],[Type]],1)="P",IF(ResultsTeams[[#This Row],[Goal-A]]&gt;ResultsTeams[[#This Row],[Goal-B]],1,0),""))</f>
        <v/>
      </c>
      <c r="P32" s="265" t="str">
        <f>IF(ResultsTeams[[#This Row],[Type]]="G",SUM(P33:P36),IF(LEFT(ResultsTeams[[#This Row],[Type]],1)="P",IF(ResultsTeams[[#This Row],[Goal-A]]&lt;ResultsTeams[[#This Row],[Goal-B]],1,0),""))</f>
        <v/>
      </c>
      <c r="Q32" s="265" t="str">
        <f>IF(ResultsTeams[[#This Row],[Type]]="G",SUM(Q33:Q36),IF(LEFT(ResultsTeams[[#This Row],[Type]],1)="P",VALUE(ResultsTeams[[#This Row],[Score-A]]),""))</f>
        <v/>
      </c>
      <c r="R32" s="265" t="str">
        <f>IF(ResultsTeams[[#This Row],[Type]]="G",SUM(R33:R36),IF(LEFT(ResultsTeams[[#This Row],[Type]],1)="P",VALUE(ResultsTeams[[#This Row],[Score-B]]),""))</f>
        <v/>
      </c>
      <c r="S32" s="265" t="str">
        <f ca="1">IF(AND(ResultsTeams[[#This Row],[Category]]&lt;&gt;"",ResultsTeams[[#This Row],[Team A]]&lt;&gt;""),COUNTIF(INDIRECT("TeamsList[Club Name]"),ResultsTeams[[#This Row],[Team A]]),"")</f>
        <v/>
      </c>
      <c r="T32" s="265" t="str">
        <f ca="1">IF(AND(ResultsTeams[[#This Row],[Category]]&lt;&gt;"",ResultsTeams[[#This Row],[Team B]]&lt;&gt;""),COUNTIF(INDIRECT("TeamsList[Club Name]"),ResultsTeams[[#This Row],[Team B]]),"")</f>
        <v/>
      </c>
      <c r="U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 s="265" t="str">
        <f>IF(ResultsTeams[[#This Row],[Score_OK]],IF(ResultsTeams[[#This Row],[StageCpy]]="Groups",ResultsTeams[[#This Row],[Category]]&amp;"-"&amp;IF(ResultsTeams[[#This Row],[Team B]]="","",IF(ResultsTeams[[#This Row],[Match-A]]=ResultsTeams[[#This Row],[Match-B]],ResultsTeams[[#This Row],[Team A]],"")),""),"")</f>
        <v/>
      </c>
      <c r="W32" s="265" t="str">
        <f>IF(ResultsTeams[[#This Row],[Score_OK]],IF(ResultsTeams[[#This Row],[StageCpy]]="Groups",ResultsTeams[[#This Row],[Category]]&amp;"-"&amp;IF(ResultsTeams[[#This Row],[Team B]]="","",IF(ResultsTeams[[#This Row],[Match-A]]=ResultsTeams[[#This Row],[Match-B]],ResultsTeams[[#This Row],[Team B]],"")),""),"")</f>
        <v/>
      </c>
      <c r="X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 s="264" t="str">
        <f>IF(ResultsTeams[[#This Row],[Category]]="","",VLOOKUP(ResultsTeams[[#This Row],[Stage]],$R$1:$T$8,MATCH(ResultsTeams[[#This Row],[Category]],$S$1:$T$1,0)+1,FALSE))</f>
        <v/>
      </c>
      <c r="AC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 s="264" t="str">
        <f>IF(ResultsTeams[[#This Row],[Type]]="G",ResultsTeams[[#This Row],[Stage]],AD31)</f>
        <v>Groups</v>
      </c>
      <c r="AE32" s="395" t="str">
        <f>IF(ResultsTeams[[#This Row],[Type]]="G",INDEX(TeamsList[Club Name],MATCH(ResultsTeams[[#This Row],[Team A]],TeamsList[Team Name],0)),AE31)</f>
        <v>Valletta SC</v>
      </c>
      <c r="AF32" s="395" t="str">
        <f>IF(ResultsTeams[[#This Row],[Type]]="G",INDEX(TeamsList[Club Name],MATCH(ResultsTeams[[#This Row],[Team B]],TeamsList[Team Name],0)),AF31)</f>
        <v>MVV Rijnmond</v>
      </c>
      <c r="AG32" s="265"/>
      <c r="AI32" s="12" t="str">
        <f t="shared" si="17"/>
        <v>TEAM</v>
      </c>
      <c r="AJ32" s="309"/>
      <c r="AK32" s="310"/>
      <c r="AL32" s="311"/>
      <c r="AM32" s="292" t="str">
        <f>IF(AV32="","",SMALL(AN27:AN33,ROWS(AM27:AM32)))</f>
        <v/>
      </c>
      <c r="AN32" s="293" t="str">
        <f>IF(AV32="","",RANK(AR32,AR27:AR33)*1000+ROWS(AN27:AN32))</f>
        <v/>
      </c>
      <c r="AO32" s="316" t="str">
        <f t="shared" si="9"/>
        <v/>
      </c>
      <c r="AP32" s="415" t="b">
        <f>AND(AU32&lt;&gt;"",AU32&gt;0,COUNTIF(AO27:AO33,AO32)&gt;1)</f>
        <v>0</v>
      </c>
      <c r="AQ32" s="316" t="str">
        <f t="shared" si="10"/>
        <v/>
      </c>
      <c r="AR32" s="317" t="str">
        <f t="shared" si="11"/>
        <v/>
      </c>
      <c r="AS32" s="415" t="b">
        <f>AND(AU32&lt;&gt;"",AU32&gt;0,COUNTIF(AR27:AR33,AR32)&gt;1)</f>
        <v>0</v>
      </c>
      <c r="AT32" s="355" t="str">
        <f t="shared" si="12"/>
        <v/>
      </c>
      <c r="AU32" s="356" t="str">
        <f t="shared" si="15"/>
        <v/>
      </c>
      <c r="AV32" s="356" t="str">
        <f>IF(OR(AI26="",AJ32=""),"",COUNTIF(ResultsTeams[Win],AI26&amp;"-"&amp;AJ32))</f>
        <v/>
      </c>
      <c r="AW32" s="356" t="str">
        <f>IF(OR(AI26="",AJ32=""),"",COUNTIF(ResultsTeams[[Draw1]:[Draw2]],AI26&amp;"-"&amp;AJ32))</f>
        <v/>
      </c>
      <c r="AX32" s="356" t="str">
        <f>IF(OR(AI26="",AJ32=""),"",COUNTIF(ResultsTeams[Lose],AI26&amp;"-"&amp;AJ32))</f>
        <v/>
      </c>
      <c r="AY32" s="356" t="str">
        <f>IF(OR(AI26="",AJ32=""),"",AV32-AX32)</f>
        <v/>
      </c>
      <c r="AZ32" s="356" t="str">
        <f>IF(OR(AI31="",AJ32=""),"",SUMIFS(ResultsTeams[Match-A],ResultsTeams[Stage],"Groups",ResultsTeams[Team A],AJ32)+SUMIFS(ResultsTeams[Match-B],ResultsTeams[Stage],"Groups",ResultsTeams[Team B],AJ32))</f>
        <v/>
      </c>
      <c r="BA32" s="356" t="str">
        <f>IF(OR(AI31="",AJ32=""),"",SUMIFS(ResultsTeams[Match-B],ResultsTeams[Stage],"Groups",ResultsTeams[Team A],AJ32)+SUMIFS(ResultsTeams[Match-A],ResultsTeams[Stage],"Groups",ResultsTeams[Team B],AJ32))</f>
        <v/>
      </c>
      <c r="BB32" s="356" t="str">
        <f t="shared" si="16"/>
        <v/>
      </c>
      <c r="BC32" s="356" t="str">
        <f>IF(OR(AI31="",AJ32=""),"",SUMIFS(ResultsTeams[Goal-A],ResultsTeams[Stage],"Groups",ResultsTeams[Team A],AJ32)+SUMIFS(ResultsTeams[Goal-B],ResultsTeams[Stage],"Groups",ResultsTeams[Team B],AJ32))</f>
        <v/>
      </c>
      <c r="BD32" s="356" t="str">
        <f>IF(OR(AI31="",AJ32=""),"",SUMIFS(ResultsTeams[Goal-B],ResultsTeams[Stage],"Groups",ResultsTeams[Team A],AJ32)+SUMIFS(ResultsTeams[Goal-A],ResultsTeams[Stage],"Groups",ResultsTeams[Team B],AJ32))</f>
        <v/>
      </c>
      <c r="BE32" s="357" t="str">
        <f>IF(OR(AI26="",AJ32=""),"",BC32-BD32)</f>
        <v/>
      </c>
      <c r="BF32" s="470" t="str">
        <f>IF(AM32="","",OR(VLOOKUP(AM32,AN27:BE33,3,FALSE),VLOOKUP(AM32,AN27:BE33,6,FALSE)))</f>
        <v/>
      </c>
      <c r="BG32" s="298" t="str">
        <f t="shared" si="14"/>
        <v/>
      </c>
      <c r="BH32" s="285" t="str">
        <f>IF(AM32="","",INDEX(AJ27:AJ33,MATCH(AM32,AN27:AN33,0)))</f>
        <v/>
      </c>
      <c r="BI32" s="286" t="str">
        <f>IF(AM32="","",VLOOKUP(AM32,AN27:BE33,COLUMN()-COLUMN(BB26),FALSE))</f>
        <v/>
      </c>
      <c r="BJ32" s="286" t="str">
        <f>IF(AM32="","",VLOOKUP(AM32,AN27:BE33,COLUMN()-COLUMN(BB26),FALSE))</f>
        <v/>
      </c>
      <c r="BK32" s="286" t="str">
        <f>IF(AM32="","",VLOOKUP(AM32,AN27:BE33,COLUMN()-COLUMN(BB26),FALSE))</f>
        <v/>
      </c>
      <c r="BL32" s="286" t="str">
        <f>IF(AM32="","",VLOOKUP(AM32,AN27:BE33,COLUMN()-COLUMN(BB26),FALSE))</f>
        <v/>
      </c>
      <c r="BM32" s="286" t="str">
        <f>IF(AM32="","",VLOOKUP(AM32,AN27:BE33,COLUMN()-COLUMN(BB26),FALSE))</f>
        <v/>
      </c>
      <c r="BN32" s="349" t="str">
        <f>IF(AM32="","",VLOOKUP(AM32,AN27:BE33,COLUMN()-COLUMN(BB26),FALSE))</f>
        <v/>
      </c>
      <c r="BO32" s="298" t="str">
        <f>IF(AM32="","",VLOOKUP(AM32,AN27:BE33,COLUMN()-COLUMN(BB26),FALSE))</f>
        <v/>
      </c>
      <c r="BP32" s="286" t="str">
        <f>IF(AM32="","",VLOOKUP(AM32,AN27:BE33,COLUMN()-COLUMN(BB26),FALSE))</f>
        <v/>
      </c>
      <c r="BQ32" s="301" t="str">
        <f>IF(AM32="","",VLOOKUP(AM32,AN27:BE33,COLUMN()-COLUMN(BB26),FALSE))</f>
        <v/>
      </c>
      <c r="BR32" s="352" t="str">
        <f>IF(AM32="","",VLOOKUP(AM32,AN27:BE33,COLUMN()-COLUMN(BB26),FALSE))</f>
        <v/>
      </c>
      <c r="BS32" s="286" t="str">
        <f>IF(AM32="","",VLOOKUP(AM32,AN27:BE33,COLUMN()-COLUMN(BB26),FALSE))</f>
        <v/>
      </c>
      <c r="BT32" s="301" t="str">
        <f>IF(AM32="","",VLOOKUP(AM32,AN27:BE33,COLUMN()-COLUMN(BB26),FALSE))</f>
        <v/>
      </c>
    </row>
    <row r="33" spans="1:72" ht="12" thickBot="1" x14ac:dyDescent="0.25">
      <c r="A33" s="261" t="s">
        <v>12693</v>
      </c>
      <c r="B33" s="270" t="s">
        <v>12207</v>
      </c>
      <c r="C33" s="87">
        <v>1</v>
      </c>
      <c r="D33" s="270"/>
      <c r="E33" s="272" t="s">
        <v>12228</v>
      </c>
      <c r="F33" s="273" t="s">
        <v>179</v>
      </c>
      <c r="G33" s="273" t="s">
        <v>14587</v>
      </c>
      <c r="H33" s="275">
        <v>4</v>
      </c>
      <c r="I33" s="275">
        <v>0</v>
      </c>
      <c r="J33" s="275"/>
      <c r="K33" s="366"/>
      <c r="L33" s="366"/>
      <c r="M33" s="274"/>
      <c r="N33" s="265" t="b">
        <f>NOT(ISERROR(ResultsTeams[[#This Row],[Goal-A]]+ResultsTeams[[#This Row],[Goal-B]]))</f>
        <v>1</v>
      </c>
      <c r="O33" s="265">
        <f>IF(ResultsTeams[[#This Row],[Type]]="G",SUM(O34:O37),IF(LEFT(ResultsTeams[[#This Row],[Type]],1)="P",IF(ResultsTeams[[#This Row],[Goal-A]]&gt;ResultsTeams[[#This Row],[Goal-B]],1,0),""))</f>
        <v>4</v>
      </c>
      <c r="P33" s="265">
        <f>IF(ResultsTeams[[#This Row],[Type]]="G",SUM(P34:P37),IF(LEFT(ResultsTeams[[#This Row],[Type]],1)="P",IF(ResultsTeams[[#This Row],[Goal-A]]&lt;ResultsTeams[[#This Row],[Goal-B]],1,0),""))</f>
        <v>0</v>
      </c>
      <c r="Q33" s="265">
        <f>IF(ResultsTeams[[#This Row],[Type]]="G",SUM(Q34:Q37),IF(LEFT(ResultsTeams[[#This Row],[Type]],1)="P",VALUE(ResultsTeams[[#This Row],[Score-A]]),""))</f>
        <v>12</v>
      </c>
      <c r="R33" s="265">
        <f>IF(ResultsTeams[[#This Row],[Type]]="G",SUM(R34:R37),IF(LEFT(ResultsTeams[[#This Row],[Type]],1)="P",VALUE(ResultsTeams[[#This Row],[Score-B]]),""))</f>
        <v>1</v>
      </c>
      <c r="S33" s="265">
        <f ca="1">IF(AND(ResultsTeams[[#This Row],[Category]]&lt;&gt;"",ResultsTeams[[#This Row],[Team A]]&lt;&gt;""),COUNTIF(INDIRECT("TeamsList[Club Name]"),ResultsTeams[[#This Row],[Team A]]),"")</f>
        <v>2</v>
      </c>
      <c r="T33" s="265">
        <f ca="1">IF(AND(ResultsTeams[[#This Row],[Category]]&lt;&gt;"",ResultsTeams[[#This Row],[Team B]]&lt;&gt;""),COUNTIF(INDIRECT("TeamsList[Club Name]"),ResultsTeams[[#This Row],[Team B]]),"")</f>
        <v>0</v>
      </c>
      <c r="U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Issy-les-Moulineaux</v>
      </c>
      <c r="V33" s="265" t="str">
        <f>IF(ResultsTeams[[#This Row],[Score_OK]],IF(ResultsTeams[[#This Row],[StageCpy]]="Groups",ResultsTeams[[#This Row],[Category]]&amp;"-"&amp;IF(ResultsTeams[[#This Row],[Team B]]="","",IF(ResultsTeams[[#This Row],[Match-A]]=ResultsTeams[[#This Row],[Match-B]],ResultsTeams[[#This Row],[Team A]],"")),""),"")</f>
        <v>TEAM-</v>
      </c>
      <c r="W33" s="265" t="str">
        <f>IF(ResultsTeams[[#This Row],[Score_OK]],IF(ResultsTeams[[#This Row],[StageCpy]]="Groups",ResultsTeams[[#This Row],[Category]]&amp;"-"&amp;IF(ResultsTeams[[#This Row],[Team B]]="","",IF(ResultsTeams[[#This Row],[Match-A]]=ResultsTeams[[#This Row],[Match-B]],ResultsTeams[[#This Row],[Team B]],"")),""),"")</f>
        <v>TEAM-</v>
      </c>
      <c r="X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3</v>
      </c>
      <c r="Y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A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B33" s="264" t="str">
        <f>IF(ResultsTeams[[#This Row],[Category]]="","",VLOOKUP(ResultsTeams[[#This Row],[Stage]],$R$1:$T$8,MATCH(ResultsTeams[[#This Row],[Category]],$S$1:$T$1,0)+1,FALSE))</f>
        <v>PR1</v>
      </c>
      <c r="AC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 s="264" t="str">
        <f>IF(ResultsTeams[[#This Row],[Type]]="G",ResultsTeams[[#This Row],[Stage]],AD32)</f>
        <v>Groups</v>
      </c>
      <c r="AE33" s="395" t="str">
        <f>IF(ResultsTeams[[#This Row],[Type]]="G",INDEX(TeamsList[Club Name],MATCH(ResultsTeams[[#This Row],[Team A]],TeamsList[Team Name],0)),AE32)</f>
        <v>FTC Issy-les-Moulineaux</v>
      </c>
      <c r="AF33" s="395" t="str">
        <f>IF(ResultsTeams[[#This Row],[Type]]="G",INDEX(TeamsList[Club Name],MATCH(ResultsTeams[[#This Row],[Team B]],TeamsList[Team Name],0)),AF32)</f>
        <v>Avenir Subbuteo Hennuyer</v>
      </c>
      <c r="AG33" s="265"/>
      <c r="AI33" s="12" t="str">
        <f t="shared" si="17"/>
        <v>TEAM</v>
      </c>
      <c r="AJ33" s="312"/>
      <c r="AK33" s="313"/>
      <c r="AL33" s="314"/>
      <c r="AM33" s="294" t="str">
        <f>IF(AV33="","",SMALL(AN27:AN33,ROWS(AM27:AM33)))</f>
        <v/>
      </c>
      <c r="AN33" s="295" t="str">
        <f>IF(AV33="","",RANK(AR33,AR27:AR33)*1000+ROWS(AN27:AN33))</f>
        <v/>
      </c>
      <c r="AO33" s="318" t="str">
        <f t="shared" si="9"/>
        <v/>
      </c>
      <c r="AP33" s="416" t="b">
        <f>AND(AU33&lt;&gt;"",AU33&gt;0,COUNTIF(AO27:AO33,AO33)&gt;1)</f>
        <v>0</v>
      </c>
      <c r="AQ33" s="318" t="str">
        <f t="shared" si="10"/>
        <v/>
      </c>
      <c r="AR33" s="319" t="str">
        <f t="shared" si="11"/>
        <v/>
      </c>
      <c r="AS33" s="416" t="b">
        <f>AND(AU33&lt;&gt;"",AU33&gt;0,COUNTIF(AR27:AR33,AR33)&gt;1)</f>
        <v>0</v>
      </c>
      <c r="AT33" s="358" t="str">
        <f t="shared" si="12"/>
        <v/>
      </c>
      <c r="AU33" s="359" t="str">
        <f t="shared" si="15"/>
        <v/>
      </c>
      <c r="AV33" s="359" t="str">
        <f>IF(OR(AI26="",AJ33=""),"",COUNTIF(ResultsTeams[Win],AI26&amp;"-"&amp;AJ33))</f>
        <v/>
      </c>
      <c r="AW33" s="359" t="str">
        <f>IF(OR(AI26="",AJ33=""),"",COUNTIF(ResultsTeams[[Draw1]:[Draw2]],AI26&amp;"-"&amp;AJ33))</f>
        <v/>
      </c>
      <c r="AX33" s="359" t="str">
        <f>IF(OR(AI26="",AJ33=""),"",COUNTIF(ResultsTeams[Lose],AI26&amp;"-"&amp;AJ33))</f>
        <v/>
      </c>
      <c r="AY33" s="359" t="str">
        <f>IF(OR(AI26="",AJ33=""),"",AV33-AX33)</f>
        <v/>
      </c>
      <c r="AZ33" s="359" t="str">
        <f>IF(OR(AI32="",AJ33=""),"",SUMIFS(ResultsTeams[Match-A],ResultsTeams[Stage],"Groups",ResultsTeams[Team A],AJ33)+SUMIFS(ResultsTeams[Match-B],ResultsTeams[Stage],"Groups",ResultsTeams[Team B],AJ33))</f>
        <v/>
      </c>
      <c r="BA33" s="359" t="str">
        <f>IF(OR(AI32="",AJ33=""),"",SUMIFS(ResultsTeams[Match-B],ResultsTeams[Stage],"Groups",ResultsTeams[Team A],AJ33)+SUMIFS(ResultsTeams[Match-A],ResultsTeams[Stage],"Groups",ResultsTeams[Team B],AJ33))</f>
        <v/>
      </c>
      <c r="BB33" s="359" t="str">
        <f t="shared" si="16"/>
        <v/>
      </c>
      <c r="BC33" s="359" t="str">
        <f>IF(OR(AI32="",AJ33=""),"",SUMIFS(ResultsTeams[Goal-A],ResultsTeams[Stage],"Groups",ResultsTeams[Team A],AJ33)+SUMIFS(ResultsTeams[Goal-B],ResultsTeams[Stage],"Groups",ResultsTeams[Team B],AJ33))</f>
        <v/>
      </c>
      <c r="BD33" s="359" t="str">
        <f>IF(OR(AI32="",AJ33=""),"",SUMIFS(ResultsTeams[Goal-B],ResultsTeams[Stage],"Groups",ResultsTeams[Team A],AJ33)+SUMIFS(ResultsTeams[Goal-A],ResultsTeams[Stage],"Groups",ResultsTeams[Team B],AJ33))</f>
        <v/>
      </c>
      <c r="BE33" s="360" t="str">
        <f>IF(OR(AI26="",AJ33=""),"",BC33-BD33)</f>
        <v/>
      </c>
      <c r="BF33" s="470" t="str">
        <f>IF(AM33="","",OR(VLOOKUP(AM33,AN27:BE33,3,FALSE),VLOOKUP(AM33,AN27:BE33,6,FALSE)))</f>
        <v/>
      </c>
      <c r="BG33" s="299" t="str">
        <f t="shared" si="14"/>
        <v/>
      </c>
      <c r="BH33" s="287" t="str">
        <f>IF(AM33="","",INDEX(AJ27:AJ33,MATCH(AM33,AN27:AN33,0)))</f>
        <v/>
      </c>
      <c r="BI33" s="288" t="str">
        <f>IF(AM33="","",VLOOKUP(AM33,AN27:BE33,COLUMN()-COLUMN(BB26),FALSE))</f>
        <v/>
      </c>
      <c r="BJ33" s="288" t="str">
        <f>IF(AM33="","",VLOOKUP(AM33,AN27:BE33,COLUMN()-COLUMN(BB26),FALSE))</f>
        <v/>
      </c>
      <c r="BK33" s="288" t="str">
        <f>IF(AM33="","",VLOOKUP(AM33,AN27:BE33,COLUMN()-COLUMN(BB26),FALSE))</f>
        <v/>
      </c>
      <c r="BL33" s="288" t="str">
        <f>IF(AM33="","",VLOOKUP(AM33,AN27:BE33,COLUMN()-COLUMN(BB26),FALSE))</f>
        <v/>
      </c>
      <c r="BM33" s="288" t="str">
        <f>IF(AM33="","",VLOOKUP(AM33,AN27:BE33,COLUMN()-COLUMN(BB26),FALSE))</f>
        <v/>
      </c>
      <c r="BN33" s="350" t="str">
        <f>IF(AM33="","",VLOOKUP(AM33,AN27:BE33,COLUMN()-COLUMN(BB26),FALSE))</f>
        <v/>
      </c>
      <c r="BO33" s="299" t="str">
        <f>IF(AM33="","",VLOOKUP(AM33,AN27:BE33,COLUMN()-COLUMN(BB26),FALSE))</f>
        <v/>
      </c>
      <c r="BP33" s="288" t="str">
        <f>IF(AM33="","",VLOOKUP(AM33,AN27:BE33,COLUMN()-COLUMN(BB26),FALSE))</f>
        <v/>
      </c>
      <c r="BQ33" s="302" t="str">
        <f>IF(AM33="","",VLOOKUP(AM33,AN27:BE33,COLUMN()-COLUMN(BB26),FALSE))</f>
        <v/>
      </c>
      <c r="BR33" s="353" t="str">
        <f>IF(AM33="","",VLOOKUP(AM33,AN27:BE33,COLUMN()-COLUMN(BB26),FALSE))</f>
        <v/>
      </c>
      <c r="BS33" s="288" t="str">
        <f>IF(AM33="","",VLOOKUP(AM33,AN27:BE33,COLUMN()-COLUMN(BB26),FALSE))</f>
        <v/>
      </c>
      <c r="BT33" s="302" t="str">
        <f>IF(AM33="","",VLOOKUP(AM33,AN27:BE33,COLUMN()-COLUMN(BB26),FALSE))</f>
        <v/>
      </c>
    </row>
    <row r="34" spans="1:72" ht="12" thickBot="1" x14ac:dyDescent="0.25">
      <c r="A34" s="60"/>
      <c r="B34" s="280"/>
      <c r="C34" s="60"/>
      <c r="D34" s="60"/>
      <c r="E34" s="240" t="s">
        <v>12231</v>
      </c>
      <c r="F34" s="244" t="s">
        <v>8720</v>
      </c>
      <c r="G34" s="244" t="s">
        <v>8146</v>
      </c>
      <c r="H34" s="253">
        <v>2</v>
      </c>
      <c r="I34" s="253">
        <v>0</v>
      </c>
      <c r="J34" s="253"/>
      <c r="K34" s="362"/>
      <c r="L34" s="362"/>
      <c r="M34" s="245"/>
      <c r="N34" s="265" t="b">
        <f>NOT(ISERROR(ResultsTeams[[#This Row],[Goal-A]]+ResultsTeams[[#This Row],[Goal-B]]))</f>
        <v>1</v>
      </c>
      <c r="O34" s="265">
        <f>IF(ResultsTeams[[#This Row],[Type]]="G",SUM(O35:O38),IF(LEFT(ResultsTeams[[#This Row],[Type]],1)="P",IF(ResultsTeams[[#This Row],[Goal-A]]&gt;ResultsTeams[[#This Row],[Goal-B]],1,0),""))</f>
        <v>1</v>
      </c>
      <c r="P34" s="265">
        <f>IF(ResultsTeams[[#This Row],[Type]]="G",SUM(P35:P38),IF(LEFT(ResultsTeams[[#This Row],[Type]],1)="P",IF(ResultsTeams[[#This Row],[Goal-A]]&lt;ResultsTeams[[#This Row],[Goal-B]],1,0),""))</f>
        <v>0</v>
      </c>
      <c r="Q34" s="265">
        <f>IF(ResultsTeams[[#This Row],[Type]]="G",SUM(Q35:Q38),IF(LEFT(ResultsTeams[[#This Row],[Type]],1)="P",VALUE(ResultsTeams[[#This Row],[Score-A]]),""))</f>
        <v>2</v>
      </c>
      <c r="R34" s="265">
        <f>IF(ResultsTeams[[#This Row],[Type]]="G",SUM(R35:R38),IF(LEFT(ResultsTeams[[#This Row],[Type]],1)="P",VALUE(ResultsTeams[[#This Row],[Score-B]]),""))</f>
        <v>0</v>
      </c>
      <c r="S34" s="265" t="str">
        <f ca="1">IF(AND(ResultsTeams[[#This Row],[Category]]&lt;&gt;"",ResultsTeams[[#This Row],[Team A]]&lt;&gt;""),COUNTIF(INDIRECT("TeamsList[Club Name]"),ResultsTeams[[#This Row],[Team A]]),"")</f>
        <v/>
      </c>
      <c r="T34" s="265" t="str">
        <f ca="1">IF(AND(ResultsTeams[[#This Row],[Category]]&lt;&gt;"",ResultsTeams[[#This Row],[Team B]]&lt;&gt;""),COUNTIF(INDIRECT("TeamsList[Club Name]"),ResultsTeams[[#This Row],[Team B]]),"")</f>
        <v/>
      </c>
      <c r="U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Monteiro</v>
      </c>
      <c r="V34" s="265" t="str">
        <f>IF(ResultsTeams[[#This Row],[Score_OK]],IF(ResultsTeams[[#This Row],[StageCpy]]="Groups",ResultsTeams[[#This Row],[Category]]&amp;"-"&amp;IF(ResultsTeams[[#This Row],[Team B]]="","",IF(ResultsTeams[[#This Row],[Match-A]]=ResultsTeams[[#This Row],[Match-B]],ResultsTeams[[#This Row],[Team A]],"")),""),"")</f>
        <v>-</v>
      </c>
      <c r="W34" s="265" t="str">
        <f>IF(ResultsTeams[[#This Row],[Score_OK]],IF(ResultsTeams[[#This Row],[StageCpy]]="Groups",ResultsTeams[[#This Row],[Category]]&amp;"-"&amp;IF(ResultsTeams[[#This Row],[Team B]]="","",IF(ResultsTeams[[#This Row],[Match-A]]=ResultsTeams[[#This Row],[Match-B]],ResultsTeams[[#This Row],[Team B]],"")),""),"")</f>
        <v>-</v>
      </c>
      <c r="X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-Léa Despretz</v>
      </c>
      <c r="Y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 s="264" t="str">
        <f>IF(ResultsTeams[[#This Row],[Category]]="","",VLOOKUP(ResultsTeams[[#This Row],[Stage]],$R$1:$T$8,MATCH(ResultsTeams[[#This Row],[Category]],$S$1:$T$1,0)+1,FALSE))</f>
        <v/>
      </c>
      <c r="AC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 s="264" t="str">
        <f>IF(ResultsTeams[[#This Row],[Type]]="G",ResultsTeams[[#This Row],[Stage]],AD33)</f>
        <v>Groups</v>
      </c>
      <c r="AE34" s="395" t="str">
        <f>IF(ResultsTeams[[#This Row],[Type]]="G",INDEX(TeamsList[Club Name],MATCH(ResultsTeams[[#This Row],[Team A]],TeamsList[Team Name],0)),AE33)</f>
        <v>FTC Issy-les-Moulineaux</v>
      </c>
      <c r="AF34" s="395" t="str">
        <f>IF(ResultsTeams[[#This Row],[Type]]="G",INDEX(TeamsList[Club Name],MATCH(ResultsTeams[[#This Row],[Team B]],TeamsList[Team Name],0)),AF33)</f>
        <v>Avenir Subbuteo Hennuyer</v>
      </c>
      <c r="AG34" s="265"/>
    </row>
    <row r="35" spans="1:72" ht="12" thickBot="1" x14ac:dyDescent="0.25">
      <c r="A35" s="62"/>
      <c r="B35" s="280"/>
      <c r="C35" s="62"/>
      <c r="D35" s="62"/>
      <c r="E35" s="241" t="s">
        <v>12234</v>
      </c>
      <c r="F35" s="246" t="s">
        <v>8696</v>
      </c>
      <c r="G35" s="246" t="s">
        <v>8151</v>
      </c>
      <c r="H35" s="254">
        <v>1</v>
      </c>
      <c r="I35" s="254">
        <v>0</v>
      </c>
      <c r="J35" s="254"/>
      <c r="K35" s="363"/>
      <c r="L35" s="363"/>
      <c r="M35" s="247"/>
      <c r="N35" s="265" t="b">
        <f>NOT(ISERROR(ResultsTeams[[#This Row],[Goal-A]]+ResultsTeams[[#This Row],[Goal-B]]))</f>
        <v>1</v>
      </c>
      <c r="O35" s="265">
        <f>IF(ResultsTeams[[#This Row],[Type]]="G",SUM(O36:O39),IF(LEFT(ResultsTeams[[#This Row],[Type]],1)="P",IF(ResultsTeams[[#This Row],[Goal-A]]&gt;ResultsTeams[[#This Row],[Goal-B]],1,0),""))</f>
        <v>1</v>
      </c>
      <c r="P35" s="265">
        <f>IF(ResultsTeams[[#This Row],[Type]]="G",SUM(P36:P39),IF(LEFT(ResultsTeams[[#This Row],[Type]],1)="P",IF(ResultsTeams[[#This Row],[Goal-A]]&lt;ResultsTeams[[#This Row],[Goal-B]],1,0),""))</f>
        <v>0</v>
      </c>
      <c r="Q35" s="265">
        <f>IF(ResultsTeams[[#This Row],[Type]]="G",SUM(Q36:Q39),IF(LEFT(ResultsTeams[[#This Row],[Type]],1)="P",VALUE(ResultsTeams[[#This Row],[Score-A]]),""))</f>
        <v>1</v>
      </c>
      <c r="R35" s="265">
        <f>IF(ResultsTeams[[#This Row],[Type]]="G",SUM(R36:R39),IF(LEFT(ResultsTeams[[#This Row],[Type]],1)="P",VALUE(ResultsTeams[[#This Row],[Score-B]]),""))</f>
        <v>0</v>
      </c>
      <c r="S35" s="265" t="str">
        <f ca="1">IF(AND(ResultsTeams[[#This Row],[Category]]&lt;&gt;"",ResultsTeams[[#This Row],[Team A]]&lt;&gt;""),COUNTIF(INDIRECT("TeamsList[Club Name]"),ResultsTeams[[#This Row],[Team A]]),"")</f>
        <v/>
      </c>
      <c r="T35" s="265" t="str">
        <f ca="1">IF(AND(ResultsTeams[[#This Row],[Category]]&lt;&gt;"",ResultsTeams[[#This Row],[Team B]]&lt;&gt;""),COUNTIF(INDIRECT("TeamsList[Club Name]"),ResultsTeams[[#This Row],[Team B]]),"")</f>
        <v/>
      </c>
      <c r="U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-Jean-Marie Amberny</v>
      </c>
      <c r="V35" s="265" t="str">
        <f>IF(ResultsTeams[[#This Row],[Score_OK]],IF(ResultsTeams[[#This Row],[StageCpy]]="Groups",ResultsTeams[[#This Row],[Category]]&amp;"-"&amp;IF(ResultsTeams[[#This Row],[Team B]]="","",IF(ResultsTeams[[#This Row],[Match-A]]=ResultsTeams[[#This Row],[Match-B]],ResultsTeams[[#This Row],[Team A]],"")),""),"")</f>
        <v>-</v>
      </c>
      <c r="W35" s="265" t="str">
        <f>IF(ResultsTeams[[#This Row],[Score_OK]],IF(ResultsTeams[[#This Row],[StageCpy]]="Groups",ResultsTeams[[#This Row],[Category]]&amp;"-"&amp;IF(ResultsTeams[[#This Row],[Team B]]="","",IF(ResultsTeams[[#This Row],[Match-A]]=ResultsTeams[[#This Row],[Match-B]],ResultsTeams[[#This Row],[Team B]],"")),""),"")</f>
        <v>-</v>
      </c>
      <c r="X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-Benoit Lagneau</v>
      </c>
      <c r="Y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 s="264" t="str">
        <f>IF(ResultsTeams[[#This Row],[Category]]="","",VLOOKUP(ResultsTeams[[#This Row],[Stage]],$R$1:$T$8,MATCH(ResultsTeams[[#This Row],[Category]],$S$1:$T$1,0)+1,FALSE))</f>
        <v/>
      </c>
      <c r="AC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 s="264" t="str">
        <f>IF(ResultsTeams[[#This Row],[Type]]="G",ResultsTeams[[#This Row],[Stage]],AD34)</f>
        <v>Groups</v>
      </c>
      <c r="AE35" s="395" t="str">
        <f>IF(ResultsTeams[[#This Row],[Type]]="G",INDEX(TeamsList[Club Name],MATCH(ResultsTeams[[#This Row],[Team A]],TeamsList[Team Name],0)),AE34)</f>
        <v>FTC Issy-les-Moulineaux</v>
      </c>
      <c r="AF35" s="395" t="str">
        <f>IF(ResultsTeams[[#This Row],[Type]]="G",INDEX(TeamsList[Club Name],MATCH(ResultsTeams[[#This Row],[Team B]],TeamsList[Team Name],0)),AF34)</f>
        <v>Avenir Subbuteo Hennuyer</v>
      </c>
      <c r="AG35" s="265"/>
      <c r="AH35" s="281" t="str">
        <f>IF(AI35="","",QUOTIENT(COUNTIF(AI$26:AI35,AI35)-1,8)+1)</f>
        <v/>
      </c>
      <c r="AI35" s="315"/>
      <c r="AJ35" s="289" t="s">
        <v>14438</v>
      </c>
      <c r="AK35" s="290" t="s">
        <v>12279</v>
      </c>
      <c r="AL35" s="300" t="s">
        <v>12275</v>
      </c>
      <c r="AM35" s="296" t="s">
        <v>12276</v>
      </c>
      <c r="AN35" s="291" t="s">
        <v>12271</v>
      </c>
      <c r="AO35" s="291" t="s">
        <v>12272</v>
      </c>
      <c r="AP35" s="414" t="s">
        <v>13154</v>
      </c>
      <c r="AQ35" s="291" t="s">
        <v>12273</v>
      </c>
      <c r="AR35" s="297" t="s">
        <v>12274</v>
      </c>
      <c r="AS35" s="414" t="s">
        <v>13154</v>
      </c>
      <c r="AT35" s="296" t="s">
        <v>12199</v>
      </c>
      <c r="AU35" s="291" t="s">
        <v>12200</v>
      </c>
      <c r="AV35" s="291" t="s">
        <v>12201</v>
      </c>
      <c r="AW35" s="291" t="s">
        <v>12202</v>
      </c>
      <c r="AX35" s="291" t="s">
        <v>12203</v>
      </c>
      <c r="AY35" s="291" t="s">
        <v>12697</v>
      </c>
      <c r="AZ35" s="291" t="s">
        <v>12698</v>
      </c>
      <c r="BA35" s="291" t="s">
        <v>12699</v>
      </c>
      <c r="BB35" s="291" t="s">
        <v>12700</v>
      </c>
      <c r="BC35" s="291" t="s">
        <v>12204</v>
      </c>
      <c r="BD35" s="291" t="s">
        <v>12205</v>
      </c>
      <c r="BE35" s="297" t="s">
        <v>12206</v>
      </c>
      <c r="BF35" s="395"/>
      <c r="BG35" s="282" t="s">
        <v>12276</v>
      </c>
      <c r="BH35" s="282" t="s">
        <v>12133</v>
      </c>
      <c r="BI35" s="283" t="s">
        <v>12199</v>
      </c>
      <c r="BJ35" s="283" t="s">
        <v>12200</v>
      </c>
      <c r="BK35" s="283" t="s">
        <v>12201</v>
      </c>
      <c r="BL35" s="283" t="s">
        <v>12202</v>
      </c>
      <c r="BM35" s="283" t="s">
        <v>12203</v>
      </c>
      <c r="BN35" s="290" t="s">
        <v>12697</v>
      </c>
      <c r="BO35" s="354" t="s">
        <v>12698</v>
      </c>
      <c r="BP35" s="283" t="s">
        <v>12699</v>
      </c>
      <c r="BQ35" s="300" t="s">
        <v>12700</v>
      </c>
      <c r="BR35" s="351" t="s">
        <v>12204</v>
      </c>
      <c r="BS35" s="283" t="s">
        <v>12205</v>
      </c>
      <c r="BT35" s="300" t="s">
        <v>12206</v>
      </c>
    </row>
    <row r="36" spans="1:72" x14ac:dyDescent="0.2">
      <c r="A36" s="62"/>
      <c r="B36" s="280"/>
      <c r="C36" s="62"/>
      <c r="D36" s="62"/>
      <c r="E36" s="241" t="s">
        <v>12237</v>
      </c>
      <c r="F36" s="246" t="s">
        <v>8693</v>
      </c>
      <c r="G36" s="246" t="s">
        <v>8589</v>
      </c>
      <c r="H36" s="254">
        <v>2</v>
      </c>
      <c r="I36" s="254">
        <v>0</v>
      </c>
      <c r="J36" s="254"/>
      <c r="K36" s="363"/>
      <c r="L36" s="363"/>
      <c r="M36" s="247"/>
      <c r="N36" s="265" t="b">
        <f>NOT(ISERROR(ResultsTeams[[#This Row],[Goal-A]]+ResultsTeams[[#This Row],[Goal-B]]))</f>
        <v>1</v>
      </c>
      <c r="O36" s="265">
        <f>IF(ResultsTeams[[#This Row],[Type]]="G",SUM(O37:O40),IF(LEFT(ResultsTeams[[#This Row],[Type]],1)="P",IF(ResultsTeams[[#This Row],[Goal-A]]&gt;ResultsTeams[[#This Row],[Goal-B]],1,0),""))</f>
        <v>1</v>
      </c>
      <c r="P36" s="265">
        <f>IF(ResultsTeams[[#This Row],[Type]]="G",SUM(P37:P40),IF(LEFT(ResultsTeams[[#This Row],[Type]],1)="P",IF(ResultsTeams[[#This Row],[Goal-A]]&lt;ResultsTeams[[#This Row],[Goal-B]],1,0),""))</f>
        <v>0</v>
      </c>
      <c r="Q36" s="265">
        <f>IF(ResultsTeams[[#This Row],[Type]]="G",SUM(Q37:Q40),IF(LEFT(ResultsTeams[[#This Row],[Type]],1)="P",VALUE(ResultsTeams[[#This Row],[Score-A]]),""))</f>
        <v>2</v>
      </c>
      <c r="R36" s="265">
        <f>IF(ResultsTeams[[#This Row],[Type]]="G",SUM(R37:R40),IF(LEFT(ResultsTeams[[#This Row],[Type]],1)="P",VALUE(ResultsTeams[[#This Row],[Score-B]]),""))</f>
        <v>0</v>
      </c>
      <c r="S36" s="265" t="str">
        <f ca="1">IF(AND(ResultsTeams[[#This Row],[Category]]&lt;&gt;"",ResultsTeams[[#This Row],[Team A]]&lt;&gt;""),COUNTIF(INDIRECT("TeamsList[Club Name]"),ResultsTeams[[#This Row],[Team A]]),"")</f>
        <v/>
      </c>
      <c r="T36" s="265" t="str">
        <f ca="1">IF(AND(ResultsTeams[[#This Row],[Category]]&lt;&gt;"",ResultsTeams[[#This Row],[Team B]]&lt;&gt;""),COUNTIF(INDIRECT("TeamsList[Club Name]"),ResultsTeams[[#This Row],[Team B]]),"")</f>
        <v/>
      </c>
      <c r="U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-Eric Naszalyi</v>
      </c>
      <c r="V36" s="265" t="str">
        <f>IF(ResultsTeams[[#This Row],[Score_OK]],IF(ResultsTeams[[#This Row],[StageCpy]]="Groups",ResultsTeams[[#This Row],[Category]]&amp;"-"&amp;IF(ResultsTeams[[#This Row],[Team B]]="","",IF(ResultsTeams[[#This Row],[Match-A]]=ResultsTeams[[#This Row],[Match-B]],ResultsTeams[[#This Row],[Team A]],"")),""),"")</f>
        <v>-</v>
      </c>
      <c r="W36" s="265" t="str">
        <f>IF(ResultsTeams[[#This Row],[Score_OK]],IF(ResultsTeams[[#This Row],[StageCpy]]="Groups",ResultsTeams[[#This Row],[Category]]&amp;"-"&amp;IF(ResultsTeams[[#This Row],[Team B]]="","",IF(ResultsTeams[[#This Row],[Match-A]]=ResultsTeams[[#This Row],[Match-B]],ResultsTeams[[#This Row],[Team B]],"")),""),"")</f>
        <v>-</v>
      </c>
      <c r="X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-Ruby Matthews</v>
      </c>
      <c r="Y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 s="264" t="str">
        <f>IF(ResultsTeams[[#This Row],[Category]]="","",VLOOKUP(ResultsTeams[[#This Row],[Stage]],$R$1:$T$8,MATCH(ResultsTeams[[#This Row],[Category]],$S$1:$T$1,0)+1,FALSE))</f>
        <v/>
      </c>
      <c r="AC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 s="264" t="str">
        <f>IF(ResultsTeams[[#This Row],[Type]]="G",ResultsTeams[[#This Row],[Stage]],AD35)</f>
        <v>Groups</v>
      </c>
      <c r="AE36" s="395" t="str">
        <f>IF(ResultsTeams[[#This Row],[Type]]="G",INDEX(TeamsList[Club Name],MATCH(ResultsTeams[[#This Row],[Team A]],TeamsList[Team Name],0)),AE35)</f>
        <v>FTC Issy-les-Moulineaux</v>
      </c>
      <c r="AF36" s="395" t="str">
        <f>IF(ResultsTeams[[#This Row],[Type]]="G",INDEX(TeamsList[Club Name],MATCH(ResultsTeams[[#This Row],[Team B]],TeamsList[Team Name],0)),AF35)</f>
        <v>Avenir Subbuteo Hennuyer</v>
      </c>
      <c r="AG36" s="265"/>
      <c r="AI36" s="12">
        <f>AI35</f>
        <v>0</v>
      </c>
      <c r="AJ36" s="309"/>
      <c r="AK36" s="320"/>
      <c r="AL36" s="311"/>
      <c r="AM36" s="292" t="str">
        <f>IF(AV36="","",SMALL(AN36:AN42,ROWS(AM36:AM36)))</f>
        <v/>
      </c>
      <c r="AN36" s="293" t="str">
        <f>IF(AV36="","",RANK(AR36,AR36:AR42)*1000+ROWS(AN36:AN36))</f>
        <v/>
      </c>
      <c r="AO36" s="316" t="str">
        <f t="shared" ref="AO36:AO42" si="18">IF(AV36="","",AT36*CritClassEq1_Points+AY36*CritClassEq1_DiffRencontres+BB36*CritClassEq1_DiffMatches+BE36*CritClassEq1_DiffButs+AZ36*CritClassEq1_Matches+BC36*CritClassEq1_Attaque)</f>
        <v/>
      </c>
      <c r="AP36" s="415" t="b">
        <f>AND(AU36&lt;&gt;"",AU36&gt;0,COUNTIF(AO36:AO42,AO36)&gt;1)</f>
        <v>0</v>
      </c>
      <c r="AQ36" s="316" t="str">
        <f t="shared" ref="AQ36:AQ42" si="19">IF(AV36="","",CritClassEq_DiffPart*AK36)</f>
        <v/>
      </c>
      <c r="AR36" s="317" t="str">
        <f t="shared" ref="AR36:AR42" si="20">IF(AV36="","",AO36+AQ36+AT36*CritClassEq2_Points+AY36*CritClassEq2_DiffRencontres+BB36*CritClassEq2_DiffMatches+BE36*CritClassEq2_DiffButs+AZ36*CritClassEq2_Matches+BC36*CritClassEq2_Attaque+AL36)</f>
        <v/>
      </c>
      <c r="AS36" s="415" t="b">
        <f>AND(AU36&lt;&gt;"",AU36&gt;0,COUNTIF(AR36:AR42,AR36)&gt;1)</f>
        <v>0</v>
      </c>
      <c r="AT36" s="355" t="str">
        <f t="shared" ref="AT36:AT42" si="21">IF(AV36="","",(AV36*Points_Victoire)+AW36*Points_Null)</f>
        <v/>
      </c>
      <c r="AU36" s="356" t="str">
        <f t="shared" ref="AU36:AU42" si="22">IF(AV36="","",SUM(AV36:AX36))</f>
        <v/>
      </c>
      <c r="AV36" s="356" t="str">
        <f>IF(OR(AI35="",AJ36=""),"",COUNTIF(ResultsTeams[Win],AI35&amp;"-"&amp;AJ36))</f>
        <v/>
      </c>
      <c r="AW36" s="356" t="str">
        <f>IF(OR(AI35="",AJ36=""),"",COUNTIF(ResultsTeams[[Draw1]:[Draw2]],AI35&amp;"-"&amp;AJ36))</f>
        <v/>
      </c>
      <c r="AX36" s="356" t="str">
        <f>IF(OR(AI35="",AJ36=""),"",COUNTIF(ResultsTeams[Lose],AI35&amp;"-"&amp;AJ36))</f>
        <v/>
      </c>
      <c r="AY36" s="356" t="str">
        <f>IF(OR(AI35="",AJ36=""),"",AV36-AX36)</f>
        <v/>
      </c>
      <c r="AZ36" s="356" t="str">
        <f>IF(OR(AI35="",AJ36=""),"",SUMIFS(ResultsTeams[Match-A],ResultsTeams[Stage],"Groups",ResultsTeams[Team A],AJ36)+SUMIFS(ResultsTeams[Match-B],ResultsTeams[Stage],"Groups",ResultsTeams[Team B],AJ36))</f>
        <v/>
      </c>
      <c r="BA36" s="356" t="str">
        <f>IF(OR(AI35="",AJ36=""),"",SUMIFS(ResultsTeams[Match-B],ResultsTeams[Stage],"Groups",ResultsTeams[Team A],AJ36)+SUMIFS(ResultsTeams[Match-A],ResultsTeams[Stage],"Groups",ResultsTeams[Team B],AJ36))</f>
        <v/>
      </c>
      <c r="BB36" s="356" t="str">
        <f>IF(OR(AI35="",AJ36=""),"",AZ36-BA36)</f>
        <v/>
      </c>
      <c r="BC36" s="356" t="str">
        <f>IF(OR(AI35="",AJ36=""),"",SUMIFS(ResultsTeams[Goal-A],ResultsTeams[Stage],"Groups",ResultsTeams[Team A],AJ36)+SUMIFS(ResultsTeams[Goal-B],ResultsTeams[Stage],"Groups",ResultsTeams[Team B],AJ36))</f>
        <v/>
      </c>
      <c r="BD36" s="356" t="str">
        <f>IF(OR(AI35="",AJ36=""),"",SUMIFS(ResultsTeams[Goal-B],ResultsTeams[Stage],"Groups",ResultsTeams[Team A],AJ36)+SUMIFS(ResultsTeams[Goal-A],ResultsTeams[Stage],"Groups",ResultsTeams[Team B],AJ36))</f>
        <v/>
      </c>
      <c r="BE36" s="357" t="str">
        <f>IF(OR(AI35="",AJ36=""),"",BC36-BD36)</f>
        <v/>
      </c>
      <c r="BF36" s="470" t="str">
        <f>IF(AM36="","",OR(VLOOKUP(AM36,AN36:BE42,3,FALSE),VLOOKUP(AM36,AN36:BE42,6,FALSE)))</f>
        <v/>
      </c>
      <c r="BG36" s="298" t="str">
        <f t="shared" ref="BG36:BG42" si="23">IF(AM36="","",INT(AM36/1000))</f>
        <v/>
      </c>
      <c r="BH36" s="285" t="str">
        <f>IF(AM36="","",INDEX(AJ36:AJ42,MATCH(AM36,AN36:AN42,0)))</f>
        <v/>
      </c>
      <c r="BI36" s="286" t="str">
        <f>IF(AM36="","",VLOOKUP(AM36,AN36:BE42,COLUMN()-COLUMN(BB35),FALSE))</f>
        <v/>
      </c>
      <c r="BJ36" s="286" t="str">
        <f>IF(AM36="","",VLOOKUP(AM36,AN36:BE42,COLUMN()-COLUMN(BB35),FALSE))</f>
        <v/>
      </c>
      <c r="BK36" s="286" t="str">
        <f>IF(AM36="","",VLOOKUP(AM36,AN36:BE42,COLUMN()-COLUMN(BB35),FALSE))</f>
        <v/>
      </c>
      <c r="BL36" s="286" t="str">
        <f>IF(AM36="","",VLOOKUP(AM36,AN36:BE42,COLUMN()-COLUMN(BB35),FALSE))</f>
        <v/>
      </c>
      <c r="BM36" s="286" t="str">
        <f>IF(AM36="","",VLOOKUP(AM36,AN36:BE42,COLUMN()-COLUMN(BB35),FALSE))</f>
        <v/>
      </c>
      <c r="BN36" s="349" t="str">
        <f>IF(AM36="","",VLOOKUP(AM36,AN36:BE42,COLUMN()-COLUMN(BB35),FALSE))</f>
        <v/>
      </c>
      <c r="BO36" s="298" t="str">
        <f>IF(AM36="","",VLOOKUP(AM36,AN36:BE42,COLUMN()-COLUMN(BB35),FALSE))</f>
        <v/>
      </c>
      <c r="BP36" s="286" t="str">
        <f>IF(AM36="","",VLOOKUP(AM36,AN36:BE42,COLUMN()-COLUMN(BB35),FALSE))</f>
        <v/>
      </c>
      <c r="BQ36" s="301" t="str">
        <f>IF(AM36="","",VLOOKUP(AM36,AN36:BE42,COLUMN()-COLUMN(BB35),FALSE))</f>
        <v/>
      </c>
      <c r="BR36" s="352" t="str">
        <f>IF(AM36="","",VLOOKUP(AM36,AN36:BE42,COLUMN()-COLUMN(BB35),FALSE))</f>
        <v/>
      </c>
      <c r="BS36" s="286" t="str">
        <f>IF(AM36="","",VLOOKUP(AM36,AN36:BE42,COLUMN()-COLUMN(BB35),FALSE))</f>
        <v/>
      </c>
      <c r="BT36" s="301" t="str">
        <f>IF(AM36="","",VLOOKUP(AM36,AN36:BE42,COLUMN()-COLUMN(BB35),FALSE))</f>
        <v/>
      </c>
    </row>
    <row r="37" spans="1:72" x14ac:dyDescent="0.2">
      <c r="A37" s="62"/>
      <c r="B37" s="280"/>
      <c r="C37" s="62"/>
      <c r="D37" s="62"/>
      <c r="E37" s="241" t="s">
        <v>12240</v>
      </c>
      <c r="F37" s="246" t="s">
        <v>8701</v>
      </c>
      <c r="G37" s="246" t="s">
        <v>8713</v>
      </c>
      <c r="H37" s="254">
        <v>7</v>
      </c>
      <c r="I37" s="254">
        <v>1</v>
      </c>
      <c r="J37" s="254"/>
      <c r="K37" s="363"/>
      <c r="L37" s="363"/>
      <c r="M37" s="247"/>
      <c r="N37" s="265" t="b">
        <f>NOT(ISERROR(ResultsTeams[[#This Row],[Goal-A]]+ResultsTeams[[#This Row],[Goal-B]]))</f>
        <v>1</v>
      </c>
      <c r="O37" s="265">
        <f>IF(ResultsTeams[[#This Row],[Type]]="G",SUM(O38:O41),IF(LEFT(ResultsTeams[[#This Row],[Type]],1)="P",IF(ResultsTeams[[#This Row],[Goal-A]]&gt;ResultsTeams[[#This Row],[Goal-B]],1,0),""))</f>
        <v>1</v>
      </c>
      <c r="P37" s="265">
        <f>IF(ResultsTeams[[#This Row],[Type]]="G",SUM(P38:P41),IF(LEFT(ResultsTeams[[#This Row],[Type]],1)="P",IF(ResultsTeams[[#This Row],[Goal-A]]&lt;ResultsTeams[[#This Row],[Goal-B]],1,0),""))</f>
        <v>0</v>
      </c>
      <c r="Q37" s="265">
        <f>IF(ResultsTeams[[#This Row],[Type]]="G",SUM(Q38:Q41),IF(LEFT(ResultsTeams[[#This Row],[Type]],1)="P",VALUE(ResultsTeams[[#This Row],[Score-A]]),""))</f>
        <v>7</v>
      </c>
      <c r="R37" s="265">
        <f>IF(ResultsTeams[[#This Row],[Type]]="G",SUM(R38:R41),IF(LEFT(ResultsTeams[[#This Row],[Type]],1)="P",VALUE(ResultsTeams[[#This Row],[Score-B]]),""))</f>
        <v>1</v>
      </c>
      <c r="S37" s="265" t="str">
        <f ca="1">IF(AND(ResultsTeams[[#This Row],[Category]]&lt;&gt;"",ResultsTeams[[#This Row],[Team A]]&lt;&gt;""),COUNTIF(INDIRECT("TeamsList[Club Name]"),ResultsTeams[[#This Row],[Team A]]),"")</f>
        <v/>
      </c>
      <c r="T37" s="265" t="str">
        <f ca="1">IF(AND(ResultsTeams[[#This Row],[Category]]&lt;&gt;"",ResultsTeams[[#This Row],[Team B]]&lt;&gt;""),COUNTIF(INDIRECT("TeamsList[Club Name]"),ResultsTeams[[#This Row],[Team B]]),"")</f>
        <v/>
      </c>
      <c r="U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-Théo Modeste</v>
      </c>
      <c r="V37" s="265" t="str">
        <f>IF(ResultsTeams[[#This Row],[Score_OK]],IF(ResultsTeams[[#This Row],[StageCpy]]="Groups",ResultsTeams[[#This Row],[Category]]&amp;"-"&amp;IF(ResultsTeams[[#This Row],[Team B]]="","",IF(ResultsTeams[[#This Row],[Match-A]]=ResultsTeams[[#This Row],[Match-B]],ResultsTeams[[#This Row],[Team A]],"")),""),"")</f>
        <v>-</v>
      </c>
      <c r="W37" s="265" t="str">
        <f>IF(ResultsTeams[[#This Row],[Score_OK]],IF(ResultsTeams[[#This Row],[StageCpy]]="Groups",ResultsTeams[[#This Row],[Category]]&amp;"-"&amp;IF(ResultsTeams[[#This Row],[Team B]]="","",IF(ResultsTeams[[#This Row],[Match-A]]=ResultsTeams[[#This Row],[Match-B]],ResultsTeams[[#This Row],[Team B]],"")),""),"")</f>
        <v>-</v>
      </c>
      <c r="X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-Ludovic Midoux</v>
      </c>
      <c r="Y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 s="264" t="str">
        <f>IF(ResultsTeams[[#This Row],[Category]]="","",VLOOKUP(ResultsTeams[[#This Row],[Stage]],$R$1:$T$8,MATCH(ResultsTeams[[#This Row],[Category]],$S$1:$T$1,0)+1,FALSE))</f>
        <v/>
      </c>
      <c r="AC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 s="264" t="str">
        <f>IF(ResultsTeams[[#This Row],[Type]]="G",ResultsTeams[[#This Row],[Stage]],AD36)</f>
        <v>Groups</v>
      </c>
      <c r="AE37" s="395" t="str">
        <f>IF(ResultsTeams[[#This Row],[Type]]="G",INDEX(TeamsList[Club Name],MATCH(ResultsTeams[[#This Row],[Team A]],TeamsList[Team Name],0)),AE36)</f>
        <v>FTC Issy-les-Moulineaux</v>
      </c>
      <c r="AF37" s="395" t="str">
        <f>IF(ResultsTeams[[#This Row],[Type]]="G",INDEX(TeamsList[Club Name],MATCH(ResultsTeams[[#This Row],[Team B]],TeamsList[Team Name],0)),AF36)</f>
        <v>Avenir Subbuteo Hennuyer</v>
      </c>
      <c r="AG37" s="265"/>
      <c r="AI37" s="12">
        <f>AI36</f>
        <v>0</v>
      </c>
      <c r="AJ37" s="309"/>
      <c r="AK37" s="320"/>
      <c r="AL37" s="311"/>
      <c r="AM37" s="292" t="str">
        <f>IF(AV37="","",SMALL(AN36:AN42,ROWS(AM36:AM37)))</f>
        <v/>
      </c>
      <c r="AN37" s="293" t="str">
        <f>IF(AV37="","",RANK(AR37,AR36:AR42)*1000+ROWS(AN36:AN37))</f>
        <v/>
      </c>
      <c r="AO37" s="316" t="str">
        <f t="shared" si="18"/>
        <v/>
      </c>
      <c r="AP37" s="415" t="b">
        <f>AND(AU37&lt;&gt;"",AU37&gt;0,COUNTIF(AO36:AO42,AO37)&gt;1)</f>
        <v>0</v>
      </c>
      <c r="AQ37" s="316" t="str">
        <f t="shared" si="19"/>
        <v/>
      </c>
      <c r="AR37" s="317" t="str">
        <f t="shared" si="20"/>
        <v/>
      </c>
      <c r="AS37" s="415" t="b">
        <f>AND(AU37&lt;&gt;"",AU37&gt;0,COUNTIF(AR36:AR42,AR37)&gt;1)</f>
        <v>0</v>
      </c>
      <c r="AT37" s="355" t="str">
        <f t="shared" si="21"/>
        <v/>
      </c>
      <c r="AU37" s="356" t="str">
        <f t="shared" si="22"/>
        <v/>
      </c>
      <c r="AV37" s="356" t="str">
        <f>IF(OR(AI35="",AJ37=""),"",COUNTIF(ResultsTeams[Win],AI35&amp;"-"&amp;AJ37))</f>
        <v/>
      </c>
      <c r="AW37" s="356" t="str">
        <f>IF(OR(AI35="",AJ37=""),"",COUNTIF(ResultsTeams[[Draw1]:[Draw2]],AI35&amp;"-"&amp;AJ37))</f>
        <v/>
      </c>
      <c r="AX37" s="356" t="str">
        <f>IF(OR(AI35="",AJ37=""),"",COUNTIF(ResultsTeams[Lose],AI35&amp;"-"&amp;AJ37))</f>
        <v/>
      </c>
      <c r="AY37" s="356" t="str">
        <f>IF(OR(AI35="",AJ37=""),"",AV37-AX37)</f>
        <v/>
      </c>
      <c r="AZ37" s="356" t="str">
        <f>IF(OR(AI36="",AJ37=""),"",SUMIFS(ResultsTeams[Match-A],ResultsTeams[Stage],"Groups",ResultsTeams[Team A],AJ37)+SUMIFS(ResultsTeams[Match-B],ResultsTeams[Stage],"Groups",ResultsTeams[Team B],AJ37))</f>
        <v/>
      </c>
      <c r="BA37" s="356" t="str">
        <f>IF(OR(AI36="",AJ37=""),"",SUMIFS(ResultsTeams[Match-B],ResultsTeams[Stage],"Groups",ResultsTeams[Team A],AJ37)+SUMIFS(ResultsTeams[Match-A],ResultsTeams[Stage],"Groups",ResultsTeams[Team B],AJ37))</f>
        <v/>
      </c>
      <c r="BB37" s="356" t="str">
        <f t="shared" ref="BB37:BB42" si="24">IF(OR(AI36="",AJ37=""),"",AZ37-BA37)</f>
        <v/>
      </c>
      <c r="BC37" s="356" t="str">
        <f>IF(OR(AI36="",AJ37=""),"",SUMIFS(ResultsTeams[Goal-A],ResultsTeams[Stage],"Groups",ResultsTeams[Team A],AJ37)+SUMIFS(ResultsTeams[Goal-B],ResultsTeams[Stage],"Groups",ResultsTeams[Team B],AJ37))</f>
        <v/>
      </c>
      <c r="BD37" s="356" t="str">
        <f>IF(OR(AI36="",AJ37=""),"",SUMIFS(ResultsTeams[Goal-B],ResultsTeams[Stage],"Groups",ResultsTeams[Team A],AJ37)+SUMIFS(ResultsTeams[Goal-A],ResultsTeams[Stage],"Groups",ResultsTeams[Team B],AJ37))</f>
        <v/>
      </c>
      <c r="BE37" s="357" t="str">
        <f>IF(OR(AI35="",AJ37=""),"",BC37-BD37)</f>
        <v/>
      </c>
      <c r="BF37" s="470" t="str">
        <f>IF(AM37="","",OR(VLOOKUP(AM37,AN36:BE42,3,FALSE),VLOOKUP(AM37,AN36:BE42,6,FALSE)))</f>
        <v/>
      </c>
      <c r="BG37" s="298" t="str">
        <f t="shared" si="23"/>
        <v/>
      </c>
      <c r="BH37" s="285" t="str">
        <f>IF(AM37="","",INDEX(AJ36:AJ42,MATCH(AM37,AN36:AN42,0)))</f>
        <v/>
      </c>
      <c r="BI37" s="286" t="str">
        <f>IF(AM37="","",VLOOKUP(AM37,AN36:BE42,COLUMN()-COLUMN(BB35),FALSE))</f>
        <v/>
      </c>
      <c r="BJ37" s="286" t="str">
        <f>IF(AM37="","",VLOOKUP(AM37,AN36:BE42,COLUMN()-COLUMN(BB35),FALSE))</f>
        <v/>
      </c>
      <c r="BK37" s="286" t="str">
        <f>IF(AM37="","",VLOOKUP(AM37,AN36:BE42,COLUMN()-COLUMN(BB35),FALSE))</f>
        <v/>
      </c>
      <c r="BL37" s="286" t="str">
        <f>IF(AM37="","",VLOOKUP(AM37,AN36:BE42,COLUMN()-COLUMN(BB35),FALSE))</f>
        <v/>
      </c>
      <c r="BM37" s="286" t="str">
        <f>IF(AM37="","",VLOOKUP(AM37,AN36:BE42,COLUMN()-COLUMN(BB35),FALSE))</f>
        <v/>
      </c>
      <c r="BN37" s="349" t="str">
        <f>IF(AM37="","",VLOOKUP(AM37,AN36:BE42,COLUMN()-COLUMN(BB35),FALSE))</f>
        <v/>
      </c>
      <c r="BO37" s="298" t="str">
        <f>IF(AM37="","",VLOOKUP(AM37,AN36:BE42,COLUMN()-COLUMN(BB35),FALSE))</f>
        <v/>
      </c>
      <c r="BP37" s="286" t="str">
        <f>IF(AM37="","",VLOOKUP(AM37,AN36:BE42,COLUMN()-COLUMN(BB35),FALSE))</f>
        <v/>
      </c>
      <c r="BQ37" s="301" t="str">
        <f>IF(AM37="","",VLOOKUP(AM37,AN36:BE42,COLUMN()-COLUMN(BB35),FALSE))</f>
        <v/>
      </c>
      <c r="BR37" s="352" t="str">
        <f>IF(AM37="","",VLOOKUP(AM37,AN36:BE42,COLUMN()-COLUMN(BB35),FALSE))</f>
        <v/>
      </c>
      <c r="BS37" s="286" t="str">
        <f>IF(AM37="","",VLOOKUP(AM37,AN36:BE42,COLUMN()-COLUMN(BB35),FALSE))</f>
        <v/>
      </c>
      <c r="BT37" s="301" t="str">
        <f>IF(AM37="","",VLOOKUP(AM37,AN36:BE42,COLUMN()-COLUMN(BB35),FALSE))</f>
        <v/>
      </c>
    </row>
    <row r="38" spans="1:72" x14ac:dyDescent="0.2">
      <c r="A38" s="62"/>
      <c r="B38" s="62"/>
      <c r="C38" s="62"/>
      <c r="D38" s="62"/>
      <c r="E38" s="241" t="s">
        <v>12243</v>
      </c>
      <c r="F38" s="247"/>
      <c r="G38" s="247"/>
      <c r="H38" s="254"/>
      <c r="I38" s="254"/>
      <c r="J38" s="260"/>
      <c r="K38" s="364"/>
      <c r="L38" s="364"/>
      <c r="M38" s="247"/>
      <c r="N38" s="265" t="b">
        <f>NOT(ISERROR(ResultsTeams[[#This Row],[Goal-A]]+ResultsTeams[[#This Row],[Goal-B]]))</f>
        <v>0</v>
      </c>
      <c r="O38" s="265" t="str">
        <f>IF(ResultsTeams[[#This Row],[Type]]="G",SUM(O39:O42),IF(LEFT(ResultsTeams[[#This Row],[Type]],1)="P",IF(ResultsTeams[[#This Row],[Goal-A]]&gt;ResultsTeams[[#This Row],[Goal-B]],1,0),""))</f>
        <v/>
      </c>
      <c r="P38" s="265" t="str">
        <f>IF(ResultsTeams[[#This Row],[Type]]="G",SUM(P39:P42),IF(LEFT(ResultsTeams[[#This Row],[Type]],1)="P",IF(ResultsTeams[[#This Row],[Goal-A]]&lt;ResultsTeams[[#This Row],[Goal-B]],1,0),""))</f>
        <v/>
      </c>
      <c r="Q38" s="265" t="str">
        <f>IF(ResultsTeams[[#This Row],[Type]]="G",SUM(Q39:Q42),IF(LEFT(ResultsTeams[[#This Row],[Type]],1)="P",VALUE(ResultsTeams[[#This Row],[Score-A]]),""))</f>
        <v/>
      </c>
      <c r="R38" s="265" t="str">
        <f>IF(ResultsTeams[[#This Row],[Type]]="G",SUM(R39:R42),IF(LEFT(ResultsTeams[[#This Row],[Type]],1)="P",VALUE(ResultsTeams[[#This Row],[Score-B]]),""))</f>
        <v/>
      </c>
      <c r="S38" s="265" t="str">
        <f ca="1">IF(AND(ResultsTeams[[#This Row],[Category]]&lt;&gt;"",ResultsTeams[[#This Row],[Team A]]&lt;&gt;""),COUNTIF(INDIRECT("TeamsList[Club Name]"),ResultsTeams[[#This Row],[Team A]]),"")</f>
        <v/>
      </c>
      <c r="T38" s="265" t="str">
        <f ca="1">IF(AND(ResultsTeams[[#This Row],[Category]]&lt;&gt;"",ResultsTeams[[#This Row],[Team B]]&lt;&gt;""),COUNTIF(INDIRECT("TeamsList[Club Name]"),ResultsTeams[[#This Row],[Team B]]),"")</f>
        <v/>
      </c>
      <c r="U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 s="265" t="str">
        <f>IF(ResultsTeams[[#This Row],[Score_OK]],IF(ResultsTeams[[#This Row],[StageCpy]]="Groups",ResultsTeams[[#This Row],[Category]]&amp;"-"&amp;IF(ResultsTeams[[#This Row],[Team B]]="","",IF(ResultsTeams[[#This Row],[Match-A]]=ResultsTeams[[#This Row],[Match-B]],ResultsTeams[[#This Row],[Team A]],"")),""),"")</f>
        <v/>
      </c>
      <c r="W38" s="265" t="str">
        <f>IF(ResultsTeams[[#This Row],[Score_OK]],IF(ResultsTeams[[#This Row],[StageCpy]]="Groups",ResultsTeams[[#This Row],[Category]]&amp;"-"&amp;IF(ResultsTeams[[#This Row],[Team B]]="","",IF(ResultsTeams[[#This Row],[Match-A]]=ResultsTeams[[#This Row],[Match-B]],ResultsTeams[[#This Row],[Team B]],"")),""),"")</f>
        <v/>
      </c>
      <c r="X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 s="264" t="str">
        <f>IF(ResultsTeams[[#This Row],[Category]]="","",VLOOKUP(ResultsTeams[[#This Row],[Stage]],$R$1:$T$8,MATCH(ResultsTeams[[#This Row],[Category]],$S$1:$T$1,0)+1,FALSE))</f>
        <v/>
      </c>
      <c r="AC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 s="264" t="str">
        <f>IF(ResultsTeams[[#This Row],[Type]]="G",ResultsTeams[[#This Row],[Stage]],AD37)</f>
        <v>Groups</v>
      </c>
      <c r="AE38" s="395" t="str">
        <f>IF(ResultsTeams[[#This Row],[Type]]="G",INDEX(TeamsList[Club Name],MATCH(ResultsTeams[[#This Row],[Team A]],TeamsList[Team Name],0)),AE37)</f>
        <v>FTC Issy-les-Moulineaux</v>
      </c>
      <c r="AF38" s="395" t="str">
        <f>IF(ResultsTeams[[#This Row],[Type]]="G",INDEX(TeamsList[Club Name],MATCH(ResultsTeams[[#This Row],[Team B]],TeamsList[Team Name],0)),AF37)</f>
        <v>Avenir Subbuteo Hennuyer</v>
      </c>
      <c r="AG38" s="265"/>
      <c r="AI38" s="12">
        <f t="shared" ref="AI38:AI42" si="25">AI37</f>
        <v>0</v>
      </c>
      <c r="AJ38" s="309"/>
      <c r="AK38" s="320"/>
      <c r="AL38" s="311"/>
      <c r="AM38" s="292" t="str">
        <f>IF(AV38="","",SMALL(AN36:AN42,ROWS(AM36:AM38)))</f>
        <v/>
      </c>
      <c r="AN38" s="293" t="str">
        <f>IF(AV38="","",RANK(AR38,AR36:AR42)*1000+ROWS(AN36:AN38))</f>
        <v/>
      </c>
      <c r="AO38" s="316" t="str">
        <f t="shared" si="18"/>
        <v/>
      </c>
      <c r="AP38" s="415" t="b">
        <f>AND(AU38&lt;&gt;"",AU38&gt;0,COUNTIF(AO36:AO42,AO38)&gt;1)</f>
        <v>0</v>
      </c>
      <c r="AQ38" s="316" t="str">
        <f t="shared" si="19"/>
        <v/>
      </c>
      <c r="AR38" s="317" t="str">
        <f t="shared" si="20"/>
        <v/>
      </c>
      <c r="AS38" s="415" t="b">
        <f>AND(AU38&lt;&gt;"",AU38&gt;0,COUNTIF(AR36:AR42,AR38)&gt;1)</f>
        <v>0</v>
      </c>
      <c r="AT38" s="355" t="str">
        <f t="shared" si="21"/>
        <v/>
      </c>
      <c r="AU38" s="356" t="str">
        <f t="shared" si="22"/>
        <v/>
      </c>
      <c r="AV38" s="356" t="str">
        <f>IF(OR(AI35="",AJ38=""),"",COUNTIF(ResultsTeams[Win],AI35&amp;"-"&amp;AJ38))</f>
        <v/>
      </c>
      <c r="AW38" s="356" t="str">
        <f>IF(OR(AI35="",AJ38=""),"",COUNTIF(ResultsTeams[[Draw1]:[Draw2]],AI35&amp;"-"&amp;AJ38))</f>
        <v/>
      </c>
      <c r="AX38" s="356" t="str">
        <f>IF(OR(AI35="",AJ38=""),"",COUNTIF(ResultsTeams[Lose],AI35&amp;"-"&amp;AJ38))</f>
        <v/>
      </c>
      <c r="AY38" s="356" t="str">
        <f>IF(OR(AI35="",AJ38=""),"",AV38-AX38)</f>
        <v/>
      </c>
      <c r="AZ38" s="356" t="str">
        <f>IF(OR(AI37="",AJ38=""),"",SUMIFS(ResultsTeams[Match-A],ResultsTeams[Stage],"Groups",ResultsTeams[Team A],AJ38)+SUMIFS(ResultsTeams[Match-B],ResultsTeams[Stage],"Groups",ResultsTeams[Team B],AJ38))</f>
        <v/>
      </c>
      <c r="BA38" s="356" t="str">
        <f>IF(OR(AI37="",AJ38=""),"",SUMIFS(ResultsTeams[Match-B],ResultsTeams[Stage],"Groups",ResultsTeams[Team A],AJ38)+SUMIFS(ResultsTeams[Match-A],ResultsTeams[Stage],"Groups",ResultsTeams[Team B],AJ38))</f>
        <v/>
      </c>
      <c r="BB38" s="356" t="str">
        <f t="shared" si="24"/>
        <v/>
      </c>
      <c r="BC38" s="356" t="str">
        <f>IF(OR(AI37="",AJ38=""),"",SUMIFS(ResultsTeams[Goal-A],ResultsTeams[Stage],"Groups",ResultsTeams[Team A],AJ38)+SUMIFS(ResultsTeams[Goal-B],ResultsTeams[Stage],"Groups",ResultsTeams[Team B],AJ38))</f>
        <v/>
      </c>
      <c r="BD38" s="356" t="str">
        <f>IF(OR(AI37="",AJ38=""),"",SUMIFS(ResultsTeams[Goal-B],ResultsTeams[Stage],"Groups",ResultsTeams[Team A],AJ38)+SUMIFS(ResultsTeams[Goal-A],ResultsTeams[Stage],"Groups",ResultsTeams[Team B],AJ38))</f>
        <v/>
      </c>
      <c r="BE38" s="357" t="str">
        <f>IF(OR(AI35="",AJ38=""),"",BC38-BD38)</f>
        <v/>
      </c>
      <c r="BF38" s="470" t="str">
        <f>IF(AM38="","",OR(VLOOKUP(AM38,AN36:BE42,3,FALSE),VLOOKUP(AM38,AN36:BE42,6,FALSE)))</f>
        <v/>
      </c>
      <c r="BG38" s="298" t="str">
        <f t="shared" si="23"/>
        <v/>
      </c>
      <c r="BH38" s="285" t="str">
        <f>IF(AM38="","",INDEX(AJ36:AJ42,MATCH(AM38,AN36:AN42,0)))</f>
        <v/>
      </c>
      <c r="BI38" s="286" t="str">
        <f>IF(AM38="","",VLOOKUP(AM38,AN36:BE42,COLUMN()-COLUMN(BB35),FALSE))</f>
        <v/>
      </c>
      <c r="BJ38" s="286" t="str">
        <f>IF(AM38="","",VLOOKUP(AM38,AN36:BE42,COLUMN()-COLUMN(BB35),FALSE))</f>
        <v/>
      </c>
      <c r="BK38" s="286" t="str">
        <f>IF(AM38="","",VLOOKUP(AM38,AN36:BE42,COLUMN()-COLUMN(BB35),FALSE))</f>
        <v/>
      </c>
      <c r="BL38" s="286" t="str">
        <f>IF(AM38="","",VLOOKUP(AM38,AN36:BE42,COLUMN()-COLUMN(BB35),FALSE))</f>
        <v/>
      </c>
      <c r="BM38" s="286" t="str">
        <f>IF(AM38="","",VLOOKUP(AM38,AN36:BE42,COLUMN()-COLUMN(BB35),FALSE))</f>
        <v/>
      </c>
      <c r="BN38" s="349" t="str">
        <f>IF(AM38="","",VLOOKUP(AM38,AN36:BE42,COLUMN()-COLUMN(BB35),FALSE))</f>
        <v/>
      </c>
      <c r="BO38" s="298" t="str">
        <f>IF(AM38="","",VLOOKUP(AM38,AN36:BE42,COLUMN()-COLUMN(BB35),FALSE))</f>
        <v/>
      </c>
      <c r="BP38" s="286" t="str">
        <f>IF(AM38="","",VLOOKUP(AM38,AN36:BE42,COLUMN()-COLUMN(BB35),FALSE))</f>
        <v/>
      </c>
      <c r="BQ38" s="301" t="str">
        <f>IF(AM38="","",VLOOKUP(AM38,AN36:BE42,COLUMN()-COLUMN(BB35),FALSE))</f>
        <v/>
      </c>
      <c r="BR38" s="352" t="str">
        <f>IF(AM38="","",VLOOKUP(AM38,AN36:BE42,COLUMN()-COLUMN(BB35),FALSE))</f>
        <v/>
      </c>
      <c r="BS38" s="286" t="str">
        <f>IF(AM38="","",VLOOKUP(AM38,AN36:BE42,COLUMN()-COLUMN(BB35),FALSE))</f>
        <v/>
      </c>
      <c r="BT38" s="301" t="str">
        <f>IF(AM38="","",VLOOKUP(AM38,AN36:BE42,COLUMN()-COLUMN(BB35),FALSE))</f>
        <v/>
      </c>
    </row>
    <row r="39" spans="1:72" ht="12" thickBot="1" x14ac:dyDescent="0.25">
      <c r="A39" s="83"/>
      <c r="B39" s="83"/>
      <c r="C39" s="83"/>
      <c r="D39" s="83"/>
      <c r="E39" s="268" t="s">
        <v>12244</v>
      </c>
      <c r="F39" s="262"/>
      <c r="G39" s="262"/>
      <c r="H39" s="324"/>
      <c r="I39" s="324"/>
      <c r="J39" s="263"/>
      <c r="K39" s="365"/>
      <c r="L39" s="365"/>
      <c r="M39" s="262"/>
      <c r="N39" s="265" t="b">
        <f>NOT(ISERROR(ResultsTeams[[#This Row],[Goal-A]]+ResultsTeams[[#This Row],[Goal-B]]))</f>
        <v>0</v>
      </c>
      <c r="O39" s="265" t="str">
        <f>IF(ResultsTeams[[#This Row],[Type]]="G",SUM(O40:O43),IF(LEFT(ResultsTeams[[#This Row],[Type]],1)="P",IF(ResultsTeams[[#This Row],[Goal-A]]&gt;ResultsTeams[[#This Row],[Goal-B]],1,0),""))</f>
        <v/>
      </c>
      <c r="P39" s="265" t="str">
        <f>IF(ResultsTeams[[#This Row],[Type]]="G",SUM(P40:P43),IF(LEFT(ResultsTeams[[#This Row],[Type]],1)="P",IF(ResultsTeams[[#This Row],[Goal-A]]&lt;ResultsTeams[[#This Row],[Goal-B]],1,0),""))</f>
        <v/>
      </c>
      <c r="Q39" s="265" t="str">
        <f>IF(ResultsTeams[[#This Row],[Type]]="G",SUM(Q40:Q43),IF(LEFT(ResultsTeams[[#This Row],[Type]],1)="P",VALUE(ResultsTeams[[#This Row],[Score-A]]),""))</f>
        <v/>
      </c>
      <c r="R39" s="265" t="str">
        <f>IF(ResultsTeams[[#This Row],[Type]]="G",SUM(R40:R43),IF(LEFT(ResultsTeams[[#This Row],[Type]],1)="P",VALUE(ResultsTeams[[#This Row],[Score-B]]),""))</f>
        <v/>
      </c>
      <c r="S39" s="265" t="str">
        <f ca="1">IF(AND(ResultsTeams[[#This Row],[Category]]&lt;&gt;"",ResultsTeams[[#This Row],[Team A]]&lt;&gt;""),COUNTIF(INDIRECT("TeamsList[Club Name]"),ResultsTeams[[#This Row],[Team A]]),"")</f>
        <v/>
      </c>
      <c r="T39" s="265" t="str">
        <f ca="1">IF(AND(ResultsTeams[[#This Row],[Category]]&lt;&gt;"",ResultsTeams[[#This Row],[Team B]]&lt;&gt;""),COUNTIF(INDIRECT("TeamsList[Club Name]"),ResultsTeams[[#This Row],[Team B]]),"")</f>
        <v/>
      </c>
      <c r="U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 s="265" t="str">
        <f>IF(ResultsTeams[[#This Row],[Score_OK]],IF(ResultsTeams[[#This Row],[StageCpy]]="Groups",ResultsTeams[[#This Row],[Category]]&amp;"-"&amp;IF(ResultsTeams[[#This Row],[Team B]]="","",IF(ResultsTeams[[#This Row],[Match-A]]=ResultsTeams[[#This Row],[Match-B]],ResultsTeams[[#This Row],[Team A]],"")),""),"")</f>
        <v/>
      </c>
      <c r="W39" s="265" t="str">
        <f>IF(ResultsTeams[[#This Row],[Score_OK]],IF(ResultsTeams[[#This Row],[StageCpy]]="Groups",ResultsTeams[[#This Row],[Category]]&amp;"-"&amp;IF(ResultsTeams[[#This Row],[Team B]]="","",IF(ResultsTeams[[#This Row],[Match-A]]=ResultsTeams[[#This Row],[Match-B]],ResultsTeams[[#This Row],[Team B]],"")),""),"")</f>
        <v/>
      </c>
      <c r="X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 s="264" t="str">
        <f>IF(ResultsTeams[[#This Row],[Category]]="","",VLOOKUP(ResultsTeams[[#This Row],[Stage]],$R$1:$T$8,MATCH(ResultsTeams[[#This Row],[Category]],$S$1:$T$1,0)+1,FALSE))</f>
        <v/>
      </c>
      <c r="AC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 s="264" t="str">
        <f>IF(ResultsTeams[[#This Row],[Type]]="G",ResultsTeams[[#This Row],[Stage]],AD38)</f>
        <v>Groups</v>
      </c>
      <c r="AE39" s="395" t="str">
        <f>IF(ResultsTeams[[#This Row],[Type]]="G",INDEX(TeamsList[Club Name],MATCH(ResultsTeams[[#This Row],[Team A]],TeamsList[Team Name],0)),AE38)</f>
        <v>FTC Issy-les-Moulineaux</v>
      </c>
      <c r="AF39" s="395" t="str">
        <f>IF(ResultsTeams[[#This Row],[Type]]="G",INDEX(TeamsList[Club Name],MATCH(ResultsTeams[[#This Row],[Team B]],TeamsList[Team Name],0)),AF38)</f>
        <v>Avenir Subbuteo Hennuyer</v>
      </c>
      <c r="AG39" s="265"/>
      <c r="AH39" s="91"/>
      <c r="AI39" s="12">
        <f t="shared" si="25"/>
        <v>0</v>
      </c>
      <c r="AJ39" s="309"/>
      <c r="AK39" s="310"/>
      <c r="AL39" s="311"/>
      <c r="AM39" s="292" t="str">
        <f>IF(AV39="","",SMALL(AN36:AN42,ROWS(AM36:AM39)))</f>
        <v/>
      </c>
      <c r="AN39" s="293" t="str">
        <f>IF(AV39="","",RANK(AR39,AR36:AR42)*1000+ROWS(AN36:AN39))</f>
        <v/>
      </c>
      <c r="AO39" s="316" t="str">
        <f t="shared" si="18"/>
        <v/>
      </c>
      <c r="AP39" s="415" t="b">
        <f>AND(AU39&lt;&gt;"",AU39&gt;0,COUNTIF(AO36:AO42,AO39)&gt;1)</f>
        <v>0</v>
      </c>
      <c r="AQ39" s="316" t="str">
        <f t="shared" si="19"/>
        <v/>
      </c>
      <c r="AR39" s="317" t="str">
        <f t="shared" si="20"/>
        <v/>
      </c>
      <c r="AS39" s="415" t="b">
        <f>AND(AU39&lt;&gt;"",AU39&gt;0,COUNTIF(AR36:AR42,AR39)&gt;1)</f>
        <v>0</v>
      </c>
      <c r="AT39" s="355" t="str">
        <f t="shared" si="21"/>
        <v/>
      </c>
      <c r="AU39" s="356" t="str">
        <f t="shared" si="22"/>
        <v/>
      </c>
      <c r="AV39" s="356" t="str">
        <f>IF(OR(AI35="",AJ39=""),"",COUNTIF(ResultsTeams[Win],AI35&amp;"-"&amp;AJ39))</f>
        <v/>
      </c>
      <c r="AW39" s="356" t="str">
        <f>IF(OR(AI35="",AJ39=""),"",COUNTIF(ResultsTeams[[Draw1]:[Draw2]],AI35&amp;"-"&amp;AJ39))</f>
        <v/>
      </c>
      <c r="AX39" s="356" t="str">
        <f>IF(OR(AI35="",AJ39=""),"",COUNTIF(ResultsTeams[Lose],AI35&amp;"-"&amp;AJ39))</f>
        <v/>
      </c>
      <c r="AY39" s="356" t="str">
        <f>IF(OR(AI35="",AJ39=""),"",AV39-AX39)</f>
        <v/>
      </c>
      <c r="AZ39" s="356" t="str">
        <f>IF(OR(AI38="",AJ39=""),"",SUMIFS(ResultsTeams[Match-A],ResultsTeams[Stage],"Groups",ResultsTeams[Team A],AJ39)+SUMIFS(ResultsTeams[Match-B],ResultsTeams[Stage],"Groups",ResultsTeams[Team B],AJ39))</f>
        <v/>
      </c>
      <c r="BA39" s="356" t="str">
        <f>IF(OR(AI38="",AJ39=""),"",SUMIFS(ResultsTeams[Match-B],ResultsTeams[Stage],"Groups",ResultsTeams[Team A],AJ39)+SUMIFS(ResultsTeams[Match-A],ResultsTeams[Stage],"Groups",ResultsTeams[Team B],AJ39))</f>
        <v/>
      </c>
      <c r="BB39" s="356" t="str">
        <f t="shared" si="24"/>
        <v/>
      </c>
      <c r="BC39" s="356" t="str">
        <f>IF(OR(AI38="",AJ39=""),"",SUMIFS(ResultsTeams[Goal-A],ResultsTeams[Stage],"Groups",ResultsTeams[Team A],AJ39)+SUMIFS(ResultsTeams[Goal-B],ResultsTeams[Stage],"Groups",ResultsTeams[Team B],AJ39))</f>
        <v/>
      </c>
      <c r="BD39" s="356" t="str">
        <f>IF(OR(AI38="",AJ39=""),"",SUMIFS(ResultsTeams[Goal-B],ResultsTeams[Stage],"Groups",ResultsTeams[Team A],AJ39)+SUMIFS(ResultsTeams[Goal-A],ResultsTeams[Stage],"Groups",ResultsTeams[Team B],AJ39))</f>
        <v/>
      </c>
      <c r="BE39" s="357" t="str">
        <f>IF(OR(AI35="",AJ39=""),"",BC39-BD39)</f>
        <v/>
      </c>
      <c r="BF39" s="470" t="str">
        <f>IF(AM39="","",OR(VLOOKUP(AM39,AN36:BE42,3,FALSE),VLOOKUP(AM39,AN36:BE42,6,FALSE)))</f>
        <v/>
      </c>
      <c r="BG39" s="298" t="str">
        <f t="shared" si="23"/>
        <v/>
      </c>
      <c r="BH39" s="285" t="str">
        <f>IF(AM39="","",INDEX(AJ36:AJ42,MATCH(AM39,AN36:AN42,0)))</f>
        <v/>
      </c>
      <c r="BI39" s="286" t="str">
        <f>IF(AM39="","",VLOOKUP(AM39,AN36:BE42,COLUMN()-COLUMN(BB35),FALSE))</f>
        <v/>
      </c>
      <c r="BJ39" s="286" t="str">
        <f>IF(AM39="","",VLOOKUP(AM39,AN36:BE42,COLUMN()-COLUMN(BB35),FALSE))</f>
        <v/>
      </c>
      <c r="BK39" s="286" t="str">
        <f>IF(AM39="","",VLOOKUP(AM39,AN36:BE42,COLUMN()-COLUMN(BB35),FALSE))</f>
        <v/>
      </c>
      <c r="BL39" s="286" t="str">
        <f>IF(AM39="","",VLOOKUP(AM39,AN36:BE42,COLUMN()-COLUMN(BB35),FALSE))</f>
        <v/>
      </c>
      <c r="BM39" s="286" t="str">
        <f>IF(AM39="","",VLOOKUP(AM39,AN36:BE42,COLUMN()-COLUMN(BB35),FALSE))</f>
        <v/>
      </c>
      <c r="BN39" s="349" t="str">
        <f>IF(AM39="","",VLOOKUP(AM39,AN36:BE42,COLUMN()-COLUMN(BB35),FALSE))</f>
        <v/>
      </c>
      <c r="BO39" s="298" t="str">
        <f>IF(AM39="","",VLOOKUP(AM39,AN36:BE42,COLUMN()-COLUMN(BB35),FALSE))</f>
        <v/>
      </c>
      <c r="BP39" s="286" t="str">
        <f>IF(AM39="","",VLOOKUP(AM39,AN36:BE42,COLUMN()-COLUMN(BB35),FALSE))</f>
        <v/>
      </c>
      <c r="BQ39" s="301" t="str">
        <f>IF(AM39="","",VLOOKUP(AM39,AN36:BE42,COLUMN()-COLUMN(BB35),FALSE))</f>
        <v/>
      </c>
      <c r="BR39" s="352" t="str">
        <f>IF(AM39="","",VLOOKUP(AM39,AN36:BE42,COLUMN()-COLUMN(BB35),FALSE))</f>
        <v/>
      </c>
      <c r="BS39" s="286" t="str">
        <f>IF(AM39="","",VLOOKUP(AM39,AN36:BE42,COLUMN()-COLUMN(BB35),FALSE))</f>
        <v/>
      </c>
      <c r="BT39" s="301" t="str">
        <f>IF(AM39="","",VLOOKUP(AM39,AN36:BE42,COLUMN()-COLUMN(BB35),FALSE))</f>
        <v/>
      </c>
    </row>
    <row r="40" spans="1:72" ht="12" thickBot="1" x14ac:dyDescent="0.25">
      <c r="A40" s="261" t="s">
        <v>12693</v>
      </c>
      <c r="B40" s="270" t="s">
        <v>12207</v>
      </c>
      <c r="C40" s="87">
        <v>1</v>
      </c>
      <c r="D40" s="270"/>
      <c r="E40" s="272" t="s">
        <v>12228</v>
      </c>
      <c r="F40" s="273" t="s">
        <v>789</v>
      </c>
      <c r="G40" s="273" t="s">
        <v>179</v>
      </c>
      <c r="H40" s="275">
        <v>3</v>
      </c>
      <c r="I40" s="275">
        <v>1</v>
      </c>
      <c r="J40" s="275"/>
      <c r="K40" s="366"/>
      <c r="L40" s="366"/>
      <c r="M40" s="274"/>
      <c r="N40" s="265" t="b">
        <f>NOT(ISERROR(ResultsTeams[[#This Row],[Goal-A]]+ResultsTeams[[#This Row],[Goal-B]]))</f>
        <v>1</v>
      </c>
      <c r="O40" s="265">
        <f>IF(ResultsTeams[[#This Row],[Type]]="G",SUM(O41:O44),IF(LEFT(ResultsTeams[[#This Row],[Type]],1)="P",IF(ResultsTeams[[#This Row],[Goal-A]]&gt;ResultsTeams[[#This Row],[Goal-B]],1,0),""))</f>
        <v>3</v>
      </c>
      <c r="P40" s="265">
        <f>IF(ResultsTeams[[#This Row],[Type]]="G",SUM(P41:P44),IF(LEFT(ResultsTeams[[#This Row],[Type]],1)="P",IF(ResultsTeams[[#This Row],[Goal-A]]&lt;ResultsTeams[[#This Row],[Goal-B]],1,0),""))</f>
        <v>1</v>
      </c>
      <c r="Q40" s="265">
        <f>IF(ResultsTeams[[#This Row],[Type]]="G",SUM(Q41:Q44),IF(LEFT(ResultsTeams[[#This Row],[Type]],1)="P",VALUE(ResultsTeams[[#This Row],[Score-A]]),""))</f>
        <v>14</v>
      </c>
      <c r="R40" s="265">
        <f>IF(ResultsTeams[[#This Row],[Type]]="G",SUM(R41:R44),IF(LEFT(ResultsTeams[[#This Row],[Type]],1)="P",VALUE(ResultsTeams[[#This Row],[Score-B]]),""))</f>
        <v>6</v>
      </c>
      <c r="S40" s="265">
        <f ca="1">IF(AND(ResultsTeams[[#This Row],[Category]]&lt;&gt;"",ResultsTeams[[#This Row],[Team A]]&lt;&gt;""),COUNTIF(INDIRECT("TeamsList[Club Name]"),ResultsTeams[[#This Row],[Team A]]),"")</f>
        <v>1</v>
      </c>
      <c r="T40" s="265">
        <f ca="1">IF(AND(ResultsTeams[[#This Row],[Category]]&lt;&gt;"",ResultsTeams[[#This Row],[Team B]]&lt;&gt;""),COUNTIF(INDIRECT("TeamsList[Club Name]"),ResultsTeams[[#This Row],[Team B]]),"")</f>
        <v>2</v>
      </c>
      <c r="U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TEAM-Valletta SC</v>
      </c>
      <c r="V40" s="265" t="str">
        <f>IF(ResultsTeams[[#This Row],[Score_OK]],IF(ResultsTeams[[#This Row],[StageCpy]]="Groups",ResultsTeams[[#This Row],[Category]]&amp;"-"&amp;IF(ResultsTeams[[#This Row],[Team B]]="","",IF(ResultsTeams[[#This Row],[Match-A]]=ResultsTeams[[#This Row],[Match-B]],ResultsTeams[[#This Row],[Team A]],"")),""),"")</f>
        <v>TEAM-</v>
      </c>
      <c r="W40" s="265" t="str">
        <f>IF(ResultsTeams[[#This Row],[Score_OK]],IF(ResultsTeams[[#This Row],[StageCpy]]="Groups",ResultsTeams[[#This Row],[Category]]&amp;"-"&amp;IF(ResultsTeams[[#This Row],[Team B]]="","",IF(ResultsTeams[[#This Row],[Match-A]]=ResultsTeams[[#This Row],[Match-B]],ResultsTeams[[#This Row],[Team B]],"")),""),"")</f>
        <v>TEAM-</v>
      </c>
      <c r="X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TEAM-FTC Issy-les-Moulineaux</v>
      </c>
      <c r="Y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v>
      </c>
      <c r="AA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v>
      </c>
      <c r="AB40" s="264" t="str">
        <f>IF(ResultsTeams[[#This Row],[Category]]="","",VLOOKUP(ResultsTeams[[#This Row],[Stage]],$R$1:$T$8,MATCH(ResultsTeams[[#This Row],[Category]],$S$1:$T$1,0)+1,FALSE))</f>
        <v>PR1</v>
      </c>
      <c r="AC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 s="264" t="str">
        <f>IF(ResultsTeams[[#This Row],[Type]]="G",ResultsTeams[[#This Row],[Stage]],AD39)</f>
        <v>Groups</v>
      </c>
      <c r="AE40" s="395" t="str">
        <f>IF(ResultsTeams[[#This Row],[Type]]="G",INDEX(TeamsList[Club Name],MATCH(ResultsTeams[[#This Row],[Team A]],TeamsList[Team Name],0)),AE39)</f>
        <v>Valletta SC</v>
      </c>
      <c r="AF40" s="395" t="str">
        <f>IF(ResultsTeams[[#This Row],[Type]]="G",INDEX(TeamsList[Club Name],MATCH(ResultsTeams[[#This Row],[Team B]],TeamsList[Team Name],0)),AF39)</f>
        <v>FTC Issy-les-Moulineaux</v>
      </c>
      <c r="AG40" s="265"/>
      <c r="AH40" s="91"/>
      <c r="AI40" s="12">
        <f t="shared" si="25"/>
        <v>0</v>
      </c>
      <c r="AJ40" s="309"/>
      <c r="AK40" s="310"/>
      <c r="AL40" s="311"/>
      <c r="AM40" s="292" t="str">
        <f>IF(AV40="","",SMALL(AN36:AN42,ROWS(AM36:AM40)))</f>
        <v/>
      </c>
      <c r="AN40" s="293" t="str">
        <f>IF(AV40="","",RANK(AR40,AR36:AR42)*1000+ROWS(AN36:AN40))</f>
        <v/>
      </c>
      <c r="AO40" s="316" t="str">
        <f t="shared" si="18"/>
        <v/>
      </c>
      <c r="AP40" s="415" t="b">
        <f>AND(AU40&lt;&gt;"",AU40&gt;0,COUNTIF(AO36:AO42,AO40)&gt;1)</f>
        <v>0</v>
      </c>
      <c r="AQ40" s="316" t="str">
        <f t="shared" si="19"/>
        <v/>
      </c>
      <c r="AR40" s="317" t="str">
        <f t="shared" si="20"/>
        <v/>
      </c>
      <c r="AS40" s="415" t="b">
        <f>AND(AU40&lt;&gt;"",AU40&gt;0,COUNTIF(AR36:AR42,AR40)&gt;1)</f>
        <v>0</v>
      </c>
      <c r="AT40" s="355" t="str">
        <f t="shared" si="21"/>
        <v/>
      </c>
      <c r="AU40" s="356" t="str">
        <f t="shared" si="22"/>
        <v/>
      </c>
      <c r="AV40" s="356" t="str">
        <f>IF(OR(AI35="",AJ40=""),"",COUNTIF(ResultsTeams[Win],AI35&amp;"-"&amp;AJ40))</f>
        <v/>
      </c>
      <c r="AW40" s="356" t="str">
        <f>IF(OR(AI35="",AJ40=""),"",COUNTIF(ResultsTeams[[Draw1]:[Draw2]],AI35&amp;"-"&amp;AJ40))</f>
        <v/>
      </c>
      <c r="AX40" s="356" t="str">
        <f>IF(OR(AI35="",AJ40=""),"",COUNTIF(ResultsTeams[Lose],AI35&amp;"-"&amp;AJ40))</f>
        <v/>
      </c>
      <c r="AY40" s="356" t="str">
        <f>IF(OR(AI35="",AJ40=""),"",AV40-AX40)</f>
        <v/>
      </c>
      <c r="AZ40" s="356" t="str">
        <f>IF(OR(AI39="",AJ40=""),"",SUMIFS(ResultsTeams[Match-A],ResultsTeams[Stage],"Groups",ResultsTeams[Team A],AJ40)+SUMIFS(ResultsTeams[Match-B],ResultsTeams[Stage],"Groups",ResultsTeams[Team B],AJ40))</f>
        <v/>
      </c>
      <c r="BA40" s="356" t="str">
        <f>IF(OR(AI39="",AJ40=""),"",SUMIFS(ResultsTeams[Match-B],ResultsTeams[Stage],"Groups",ResultsTeams[Team A],AJ40)+SUMIFS(ResultsTeams[Match-A],ResultsTeams[Stage],"Groups",ResultsTeams[Team B],AJ40))</f>
        <v/>
      </c>
      <c r="BB40" s="356" t="str">
        <f t="shared" si="24"/>
        <v/>
      </c>
      <c r="BC40" s="356" t="str">
        <f>IF(OR(AI39="",AJ40=""),"",SUMIFS(ResultsTeams[Goal-A],ResultsTeams[Stage],"Groups",ResultsTeams[Team A],AJ40)+SUMIFS(ResultsTeams[Goal-B],ResultsTeams[Stage],"Groups",ResultsTeams[Team B],AJ40))</f>
        <v/>
      </c>
      <c r="BD40" s="356" t="str">
        <f>IF(OR(AI39="",AJ40=""),"",SUMIFS(ResultsTeams[Goal-B],ResultsTeams[Stage],"Groups",ResultsTeams[Team A],AJ40)+SUMIFS(ResultsTeams[Goal-A],ResultsTeams[Stage],"Groups",ResultsTeams[Team B],AJ40))</f>
        <v/>
      </c>
      <c r="BE40" s="357" t="str">
        <f>IF(OR(AI35="",AJ40=""),"",BC40-BD40)</f>
        <v/>
      </c>
      <c r="BF40" s="470" t="str">
        <f>IF(AM40="","",OR(VLOOKUP(AM40,AN36:BE42,3,FALSE),VLOOKUP(AM40,AN36:BE42,6,FALSE)))</f>
        <v/>
      </c>
      <c r="BG40" s="298" t="str">
        <f t="shared" si="23"/>
        <v/>
      </c>
      <c r="BH40" s="285" t="str">
        <f>IF(AM40="","",INDEX(AJ36:AJ42,MATCH(AM40,AN36:AN42,0)))</f>
        <v/>
      </c>
      <c r="BI40" s="286" t="str">
        <f>IF(AM40="","",VLOOKUP(AM40,AN36:BE42,COLUMN()-COLUMN(BB35),FALSE))</f>
        <v/>
      </c>
      <c r="BJ40" s="286" t="str">
        <f>IF(AM40="","",VLOOKUP(AM40,AN36:BE42,COLUMN()-COLUMN(BB35),FALSE))</f>
        <v/>
      </c>
      <c r="BK40" s="286" t="str">
        <f>IF(AM40="","",VLOOKUP(AM40,AN36:BE42,COLUMN()-COLUMN(BB35),FALSE))</f>
        <v/>
      </c>
      <c r="BL40" s="286" t="str">
        <f>IF(AM40="","",VLOOKUP(AM40,AN36:BE42,COLUMN()-COLUMN(BB35),FALSE))</f>
        <v/>
      </c>
      <c r="BM40" s="286" t="str">
        <f>IF(AM40="","",VLOOKUP(AM40,AN36:BE42,COLUMN()-COLUMN(BB35),FALSE))</f>
        <v/>
      </c>
      <c r="BN40" s="349" t="str">
        <f>IF(AM40="","",VLOOKUP(AM40,AN36:BE42,COLUMN()-COLUMN(BB35),FALSE))</f>
        <v/>
      </c>
      <c r="BO40" s="298" t="str">
        <f>IF(AM40="","",VLOOKUP(AM40,AN36:BE42,COLUMN()-COLUMN(BB35),FALSE))</f>
        <v/>
      </c>
      <c r="BP40" s="286" t="str">
        <f>IF(AM40="","",VLOOKUP(AM40,AN36:BE42,COLUMN()-COLUMN(BB35),FALSE))</f>
        <v/>
      </c>
      <c r="BQ40" s="301" t="str">
        <f>IF(AM40="","",VLOOKUP(AM40,AN36:BE42,COLUMN()-COLUMN(BB35),FALSE))</f>
        <v/>
      </c>
      <c r="BR40" s="352" t="str">
        <f>IF(AM40="","",VLOOKUP(AM40,AN36:BE42,COLUMN()-COLUMN(BB35),FALSE))</f>
        <v/>
      </c>
      <c r="BS40" s="286" t="str">
        <f>IF(AM40="","",VLOOKUP(AM40,AN36:BE42,COLUMN()-COLUMN(BB35),FALSE))</f>
        <v/>
      </c>
      <c r="BT40" s="301" t="str">
        <f>IF(AM40="","",VLOOKUP(AM40,AN36:BE42,COLUMN()-COLUMN(BB35),FALSE))</f>
        <v/>
      </c>
    </row>
    <row r="41" spans="1:72" x14ac:dyDescent="0.2">
      <c r="A41" s="60"/>
      <c r="B41" s="280"/>
      <c r="C41" s="60"/>
      <c r="D41" s="60"/>
      <c r="E41" s="240" t="s">
        <v>12231</v>
      </c>
      <c r="F41" s="244" t="s">
        <v>10436</v>
      </c>
      <c r="G41" s="244" t="s">
        <v>8720</v>
      </c>
      <c r="H41" s="253">
        <v>3</v>
      </c>
      <c r="I41" s="253">
        <v>0</v>
      </c>
      <c r="J41" s="253"/>
      <c r="K41" s="362"/>
      <c r="L41" s="362"/>
      <c r="M41" s="245"/>
      <c r="N41" s="265" t="b">
        <f>NOT(ISERROR(ResultsTeams[[#This Row],[Goal-A]]+ResultsTeams[[#This Row],[Goal-B]]))</f>
        <v>1</v>
      </c>
      <c r="O41" s="265">
        <f>IF(ResultsTeams[[#This Row],[Type]]="G",SUM(O42:O45),IF(LEFT(ResultsTeams[[#This Row],[Type]],1)="P",IF(ResultsTeams[[#This Row],[Goal-A]]&gt;ResultsTeams[[#This Row],[Goal-B]],1,0),""))</f>
        <v>1</v>
      </c>
      <c r="P41" s="265">
        <f>IF(ResultsTeams[[#This Row],[Type]]="G",SUM(P42:P45),IF(LEFT(ResultsTeams[[#This Row],[Type]],1)="P",IF(ResultsTeams[[#This Row],[Goal-A]]&lt;ResultsTeams[[#This Row],[Goal-B]],1,0),""))</f>
        <v>0</v>
      </c>
      <c r="Q41" s="265">
        <f>IF(ResultsTeams[[#This Row],[Type]]="G",SUM(Q42:Q45),IF(LEFT(ResultsTeams[[#This Row],[Type]],1)="P",VALUE(ResultsTeams[[#This Row],[Score-A]]),""))</f>
        <v>3</v>
      </c>
      <c r="R41" s="265">
        <f>IF(ResultsTeams[[#This Row],[Type]]="G",SUM(R42:R45),IF(LEFT(ResultsTeams[[#This Row],[Type]],1)="P",VALUE(ResultsTeams[[#This Row],[Score-B]]),""))</f>
        <v>0</v>
      </c>
      <c r="S41" s="265" t="str">
        <f ca="1">IF(AND(ResultsTeams[[#This Row],[Category]]&lt;&gt;"",ResultsTeams[[#This Row],[Team A]]&lt;&gt;""),COUNTIF(INDIRECT("TeamsList[Club Name]"),ResultsTeams[[#This Row],[Team A]]),"")</f>
        <v/>
      </c>
      <c r="T41" s="265" t="str">
        <f ca="1">IF(AND(ResultsTeams[[#This Row],[Category]]&lt;&gt;"",ResultsTeams[[#This Row],[Team B]]&lt;&gt;""),COUNTIF(INDIRECT("TeamsList[Club Name]"),ResultsTeams[[#This Row],[Team B]]),"")</f>
        <v/>
      </c>
      <c r="U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-Jurgen Balzan</v>
      </c>
      <c r="V41" s="265" t="str">
        <f>IF(ResultsTeams[[#This Row],[Score_OK]],IF(ResultsTeams[[#This Row],[StageCpy]]="Groups",ResultsTeams[[#This Row],[Category]]&amp;"-"&amp;IF(ResultsTeams[[#This Row],[Team B]]="","",IF(ResultsTeams[[#This Row],[Match-A]]=ResultsTeams[[#This Row],[Match-B]],ResultsTeams[[#This Row],[Team A]],"")),""),"")</f>
        <v>-</v>
      </c>
      <c r="W41" s="265" t="str">
        <f>IF(ResultsTeams[[#This Row],[Score_OK]],IF(ResultsTeams[[#This Row],[StageCpy]]="Groups",ResultsTeams[[#This Row],[Category]]&amp;"-"&amp;IF(ResultsTeams[[#This Row],[Team B]]="","",IF(ResultsTeams[[#This Row],[Match-A]]=ResultsTeams[[#This Row],[Match-B]],ResultsTeams[[#This Row],[Team B]],"")),""),"")</f>
        <v>-</v>
      </c>
      <c r="X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-Christophe Monteiro</v>
      </c>
      <c r="Y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 s="264" t="str">
        <f>IF(ResultsTeams[[#This Row],[Category]]="","",VLOOKUP(ResultsTeams[[#This Row],[Stage]],$R$1:$T$8,MATCH(ResultsTeams[[#This Row],[Category]],$S$1:$T$1,0)+1,FALSE))</f>
        <v/>
      </c>
      <c r="AC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 s="264" t="str">
        <f>IF(ResultsTeams[[#This Row],[Type]]="G",ResultsTeams[[#This Row],[Stage]],AD40)</f>
        <v>Groups</v>
      </c>
      <c r="AE41" s="395" t="str">
        <f>IF(ResultsTeams[[#This Row],[Type]]="G",INDEX(TeamsList[Club Name],MATCH(ResultsTeams[[#This Row],[Team A]],TeamsList[Team Name],0)),AE40)</f>
        <v>Valletta SC</v>
      </c>
      <c r="AF41" s="395" t="str">
        <f>IF(ResultsTeams[[#This Row],[Type]]="G",INDEX(TeamsList[Club Name],MATCH(ResultsTeams[[#This Row],[Team B]],TeamsList[Team Name],0)),AF40)</f>
        <v>FTC Issy-les-Moulineaux</v>
      </c>
      <c r="AG41" s="265"/>
      <c r="AI41" s="12">
        <f t="shared" si="25"/>
        <v>0</v>
      </c>
      <c r="AJ41" s="309"/>
      <c r="AK41" s="310"/>
      <c r="AL41" s="311"/>
      <c r="AM41" s="292" t="str">
        <f>IF(AV41="","",SMALL(AN36:AN42,ROWS(AM36:AM41)))</f>
        <v/>
      </c>
      <c r="AN41" s="293" t="str">
        <f>IF(AV41="","",RANK(AR41,AR36:AR42)*1000+ROWS(AN36:AN41))</f>
        <v/>
      </c>
      <c r="AO41" s="316" t="str">
        <f t="shared" si="18"/>
        <v/>
      </c>
      <c r="AP41" s="415" t="b">
        <f>AND(AU41&lt;&gt;"",AU41&gt;0,COUNTIF(AO36:AO42,AO41)&gt;1)</f>
        <v>0</v>
      </c>
      <c r="AQ41" s="316" t="str">
        <f t="shared" si="19"/>
        <v/>
      </c>
      <c r="AR41" s="317" t="str">
        <f t="shared" si="20"/>
        <v/>
      </c>
      <c r="AS41" s="415" t="b">
        <f>AND(AU41&lt;&gt;"",AU41&gt;0,COUNTIF(AR36:AR42,AR41)&gt;1)</f>
        <v>0</v>
      </c>
      <c r="AT41" s="355" t="str">
        <f t="shared" si="21"/>
        <v/>
      </c>
      <c r="AU41" s="356" t="str">
        <f t="shared" si="22"/>
        <v/>
      </c>
      <c r="AV41" s="356" t="str">
        <f>IF(OR(AI35="",AJ41=""),"",COUNTIF(ResultsTeams[Win],AI35&amp;"-"&amp;AJ41))</f>
        <v/>
      </c>
      <c r="AW41" s="356" t="str">
        <f>IF(OR(AI35="",AJ41=""),"",COUNTIF(ResultsTeams[[Draw1]:[Draw2]],AI35&amp;"-"&amp;AJ41))</f>
        <v/>
      </c>
      <c r="AX41" s="356" t="str">
        <f>IF(OR(AI35="",AJ41=""),"",COUNTIF(ResultsTeams[Lose],AI35&amp;"-"&amp;AJ41))</f>
        <v/>
      </c>
      <c r="AY41" s="356" t="str">
        <f>IF(OR(AI35="",AJ41=""),"",AV41-AX41)</f>
        <v/>
      </c>
      <c r="AZ41" s="356" t="str">
        <f>IF(OR(AI40="",AJ41=""),"",SUMIFS(ResultsTeams[Match-A],ResultsTeams[Stage],"Groups",ResultsTeams[Team A],AJ41)+SUMIFS(ResultsTeams[Match-B],ResultsTeams[Stage],"Groups",ResultsTeams[Team B],AJ41))</f>
        <v/>
      </c>
      <c r="BA41" s="356" t="str">
        <f>IF(OR(AI40="",AJ41=""),"",SUMIFS(ResultsTeams[Match-B],ResultsTeams[Stage],"Groups",ResultsTeams[Team A],AJ41)+SUMIFS(ResultsTeams[Match-A],ResultsTeams[Stage],"Groups",ResultsTeams[Team B],AJ41))</f>
        <v/>
      </c>
      <c r="BB41" s="356" t="str">
        <f t="shared" si="24"/>
        <v/>
      </c>
      <c r="BC41" s="356" t="str">
        <f>IF(OR(AI40="",AJ41=""),"",SUMIFS(ResultsTeams[Goal-A],ResultsTeams[Stage],"Groups",ResultsTeams[Team A],AJ41)+SUMIFS(ResultsTeams[Goal-B],ResultsTeams[Stage],"Groups",ResultsTeams[Team B],AJ41))</f>
        <v/>
      </c>
      <c r="BD41" s="356" t="str">
        <f>IF(OR(AI40="",AJ41=""),"",SUMIFS(ResultsTeams[Goal-B],ResultsTeams[Stage],"Groups",ResultsTeams[Team A],AJ41)+SUMIFS(ResultsTeams[Goal-A],ResultsTeams[Stage],"Groups",ResultsTeams[Team B],AJ41))</f>
        <v/>
      </c>
      <c r="BE41" s="357" t="str">
        <f>IF(OR(AI35="",AJ41=""),"",BC41-BD41)</f>
        <v/>
      </c>
      <c r="BF41" s="470" t="str">
        <f>IF(AM41="","",OR(VLOOKUP(AM41,AN36:BE42,3,FALSE),VLOOKUP(AM41,AN36:BE42,6,FALSE)))</f>
        <v/>
      </c>
      <c r="BG41" s="298" t="str">
        <f t="shared" si="23"/>
        <v/>
      </c>
      <c r="BH41" s="285" t="str">
        <f>IF(AM41="","",INDEX(AJ36:AJ42,MATCH(AM41,AN36:AN42,0)))</f>
        <v/>
      </c>
      <c r="BI41" s="286" t="str">
        <f>IF(AM41="","",VLOOKUP(AM41,AN36:BE42,COLUMN()-COLUMN(BB35),FALSE))</f>
        <v/>
      </c>
      <c r="BJ41" s="286" t="str">
        <f>IF(AM41="","",VLOOKUP(AM41,AN36:BE42,COLUMN()-COLUMN(BB35),FALSE))</f>
        <v/>
      </c>
      <c r="BK41" s="286" t="str">
        <f>IF(AM41="","",VLOOKUP(AM41,AN36:BE42,COLUMN()-COLUMN(BB35),FALSE))</f>
        <v/>
      </c>
      <c r="BL41" s="286" t="str">
        <f>IF(AM41="","",VLOOKUP(AM41,AN36:BE42,COLUMN()-COLUMN(BB35),FALSE))</f>
        <v/>
      </c>
      <c r="BM41" s="286" t="str">
        <f>IF(AM41="","",VLOOKUP(AM41,AN36:BE42,COLUMN()-COLUMN(BB35),FALSE))</f>
        <v/>
      </c>
      <c r="BN41" s="349" t="str">
        <f>IF(AM41="","",VLOOKUP(AM41,AN36:BE42,COLUMN()-COLUMN(BB35),FALSE))</f>
        <v/>
      </c>
      <c r="BO41" s="298" t="str">
        <f>IF(AM41="","",VLOOKUP(AM41,AN36:BE42,COLUMN()-COLUMN(BB35),FALSE))</f>
        <v/>
      </c>
      <c r="BP41" s="286" t="str">
        <f>IF(AM41="","",VLOOKUP(AM41,AN36:BE42,COLUMN()-COLUMN(BB35),FALSE))</f>
        <v/>
      </c>
      <c r="BQ41" s="301" t="str">
        <f>IF(AM41="","",VLOOKUP(AM41,AN36:BE42,COLUMN()-COLUMN(BB35),FALSE))</f>
        <v/>
      </c>
      <c r="BR41" s="352" t="str">
        <f>IF(AM41="","",VLOOKUP(AM41,AN36:BE42,COLUMN()-COLUMN(BB35),FALSE))</f>
        <v/>
      </c>
      <c r="BS41" s="286" t="str">
        <f>IF(AM41="","",VLOOKUP(AM41,AN36:BE42,COLUMN()-COLUMN(BB35),FALSE))</f>
        <v/>
      </c>
      <c r="BT41" s="301" t="str">
        <f>IF(AM41="","",VLOOKUP(AM41,AN36:BE42,COLUMN()-COLUMN(BB35),FALSE))</f>
        <v/>
      </c>
    </row>
    <row r="42" spans="1:72" ht="12" thickBot="1" x14ac:dyDescent="0.25">
      <c r="A42" s="62"/>
      <c r="B42" s="280"/>
      <c r="C42" s="62"/>
      <c r="D42" s="62"/>
      <c r="E42" s="241" t="s">
        <v>12234</v>
      </c>
      <c r="F42" s="246" t="s">
        <v>9787</v>
      </c>
      <c r="G42" s="246" t="s">
        <v>8701</v>
      </c>
      <c r="H42" s="254">
        <v>3</v>
      </c>
      <c r="I42" s="254">
        <v>4</v>
      </c>
      <c r="J42" s="254"/>
      <c r="K42" s="363"/>
      <c r="L42" s="363"/>
      <c r="M42" s="247"/>
      <c r="N42" s="265" t="b">
        <f>NOT(ISERROR(ResultsTeams[[#This Row],[Goal-A]]+ResultsTeams[[#This Row],[Goal-B]]))</f>
        <v>1</v>
      </c>
      <c r="O42" s="265">
        <f>IF(ResultsTeams[[#This Row],[Type]]="G",SUM(O43:O46),IF(LEFT(ResultsTeams[[#This Row],[Type]],1)="P",IF(ResultsTeams[[#This Row],[Goal-A]]&gt;ResultsTeams[[#This Row],[Goal-B]],1,0),""))</f>
        <v>0</v>
      </c>
      <c r="P42" s="265">
        <f>IF(ResultsTeams[[#This Row],[Type]]="G",SUM(P43:P46),IF(LEFT(ResultsTeams[[#This Row],[Type]],1)="P",IF(ResultsTeams[[#This Row],[Goal-A]]&lt;ResultsTeams[[#This Row],[Goal-B]],1,0),""))</f>
        <v>1</v>
      </c>
      <c r="Q42" s="265">
        <f>IF(ResultsTeams[[#This Row],[Type]]="G",SUM(Q43:Q46),IF(LEFT(ResultsTeams[[#This Row],[Type]],1)="P",VALUE(ResultsTeams[[#This Row],[Score-A]]),""))</f>
        <v>3</v>
      </c>
      <c r="R42" s="265">
        <f>IF(ResultsTeams[[#This Row],[Type]]="G",SUM(R43:R46),IF(LEFT(ResultsTeams[[#This Row],[Type]],1)="P",VALUE(ResultsTeams[[#This Row],[Score-B]]),""))</f>
        <v>4</v>
      </c>
      <c r="S42" s="265" t="str">
        <f ca="1">IF(AND(ResultsTeams[[#This Row],[Category]]&lt;&gt;"",ResultsTeams[[#This Row],[Team A]]&lt;&gt;""),COUNTIF(INDIRECT("TeamsList[Club Name]"),ResultsTeams[[#This Row],[Team A]]),"")</f>
        <v/>
      </c>
      <c r="T42" s="265" t="str">
        <f ca="1">IF(AND(ResultsTeams[[#This Row],[Category]]&lt;&gt;"",ResultsTeams[[#This Row],[Team B]]&lt;&gt;""),COUNTIF(INDIRECT("TeamsList[Club Name]"),ResultsTeams[[#This Row],[Team B]]),"")</f>
        <v/>
      </c>
      <c r="U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-Théo Modeste</v>
      </c>
      <c r="V42" s="265" t="str">
        <f>IF(ResultsTeams[[#This Row],[Score_OK]],IF(ResultsTeams[[#This Row],[StageCpy]]="Groups",ResultsTeams[[#This Row],[Category]]&amp;"-"&amp;IF(ResultsTeams[[#This Row],[Team B]]="","",IF(ResultsTeams[[#This Row],[Match-A]]=ResultsTeams[[#This Row],[Match-B]],ResultsTeams[[#This Row],[Team A]],"")),""),"")</f>
        <v>-</v>
      </c>
      <c r="W42" s="265" t="str">
        <f>IF(ResultsTeams[[#This Row],[Score_OK]],IF(ResultsTeams[[#This Row],[StageCpy]]="Groups",ResultsTeams[[#This Row],[Category]]&amp;"-"&amp;IF(ResultsTeams[[#This Row],[Team B]]="","",IF(ResultsTeams[[#This Row],[Match-A]]=ResultsTeams[[#This Row],[Match-B]],ResultsTeams[[#This Row],[Team B]],"")),""),"")</f>
        <v>-</v>
      </c>
      <c r="X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-Massimiliano Nastasi</v>
      </c>
      <c r="Y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 s="264" t="str">
        <f>IF(ResultsTeams[[#This Row],[Category]]="","",VLOOKUP(ResultsTeams[[#This Row],[Stage]],$R$1:$T$8,MATCH(ResultsTeams[[#This Row],[Category]],$S$1:$T$1,0)+1,FALSE))</f>
        <v/>
      </c>
      <c r="AC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 s="264" t="str">
        <f>IF(ResultsTeams[[#This Row],[Type]]="G",ResultsTeams[[#This Row],[Stage]],AD41)</f>
        <v>Groups</v>
      </c>
      <c r="AE42" s="395" t="str">
        <f>IF(ResultsTeams[[#This Row],[Type]]="G",INDEX(TeamsList[Club Name],MATCH(ResultsTeams[[#This Row],[Team A]],TeamsList[Team Name],0)),AE41)</f>
        <v>Valletta SC</v>
      </c>
      <c r="AF42" s="395" t="str">
        <f>IF(ResultsTeams[[#This Row],[Type]]="G",INDEX(TeamsList[Club Name],MATCH(ResultsTeams[[#This Row],[Team B]],TeamsList[Team Name],0)),AF41)</f>
        <v>FTC Issy-les-Moulineaux</v>
      </c>
      <c r="AG42" s="265"/>
      <c r="AI42" s="12">
        <f t="shared" si="25"/>
        <v>0</v>
      </c>
      <c r="AJ42" s="312"/>
      <c r="AK42" s="313"/>
      <c r="AL42" s="314"/>
      <c r="AM42" s="294" t="str">
        <f>IF(AV42="","",SMALL(AN36:AN42,ROWS(AM36:AM42)))</f>
        <v/>
      </c>
      <c r="AN42" s="295" t="str">
        <f>IF(AV42="","",RANK(AR42,AR36:AR42)*1000+ROWS(AN36:AN42))</f>
        <v/>
      </c>
      <c r="AO42" s="318" t="str">
        <f t="shared" si="18"/>
        <v/>
      </c>
      <c r="AP42" s="416" t="b">
        <f>AND(AU42&lt;&gt;"",AU42&gt;0,COUNTIF(AO36:AO42,AO42)&gt;1)</f>
        <v>0</v>
      </c>
      <c r="AQ42" s="318" t="str">
        <f t="shared" si="19"/>
        <v/>
      </c>
      <c r="AR42" s="319" t="str">
        <f t="shared" si="20"/>
        <v/>
      </c>
      <c r="AS42" s="416" t="b">
        <f>AND(AU42&lt;&gt;"",AU42&gt;0,COUNTIF(AR36:AR42,AR42)&gt;1)</f>
        <v>0</v>
      </c>
      <c r="AT42" s="358" t="str">
        <f t="shared" si="21"/>
        <v/>
      </c>
      <c r="AU42" s="359" t="str">
        <f t="shared" si="22"/>
        <v/>
      </c>
      <c r="AV42" s="359" t="str">
        <f>IF(OR(AI35="",AJ42=""),"",COUNTIF(ResultsTeams[Win],AI35&amp;"-"&amp;AJ42))</f>
        <v/>
      </c>
      <c r="AW42" s="359" t="str">
        <f>IF(OR(AI35="",AJ42=""),"",COUNTIF(ResultsTeams[[Draw1]:[Draw2]],AI35&amp;"-"&amp;AJ42))</f>
        <v/>
      </c>
      <c r="AX42" s="359" t="str">
        <f>IF(OR(AI35="",AJ42=""),"",COUNTIF(ResultsTeams[Lose],AI35&amp;"-"&amp;AJ42))</f>
        <v/>
      </c>
      <c r="AY42" s="359" t="str">
        <f>IF(OR(AI35="",AJ42=""),"",AV42-AX42)</f>
        <v/>
      </c>
      <c r="AZ42" s="359" t="str">
        <f>IF(OR(AI41="",AJ42=""),"",SUMIFS(ResultsTeams[Match-A],ResultsTeams[Stage],"Groups",ResultsTeams[Team A],AJ42)+SUMIFS(ResultsTeams[Match-B],ResultsTeams[Stage],"Groups",ResultsTeams[Team B],AJ42))</f>
        <v/>
      </c>
      <c r="BA42" s="359" t="str">
        <f>IF(OR(AI41="",AJ42=""),"",SUMIFS(ResultsTeams[Match-B],ResultsTeams[Stage],"Groups",ResultsTeams[Team A],AJ42)+SUMIFS(ResultsTeams[Match-A],ResultsTeams[Stage],"Groups",ResultsTeams[Team B],AJ42))</f>
        <v/>
      </c>
      <c r="BB42" s="359" t="str">
        <f t="shared" si="24"/>
        <v/>
      </c>
      <c r="BC42" s="359" t="str">
        <f>IF(OR(AI41="",AJ42=""),"",SUMIFS(ResultsTeams[Goal-A],ResultsTeams[Stage],"Groups",ResultsTeams[Team A],AJ42)+SUMIFS(ResultsTeams[Goal-B],ResultsTeams[Stage],"Groups",ResultsTeams[Team B],AJ42))</f>
        <v/>
      </c>
      <c r="BD42" s="359" t="str">
        <f>IF(OR(AI41="",AJ42=""),"",SUMIFS(ResultsTeams[Goal-B],ResultsTeams[Stage],"Groups",ResultsTeams[Team A],AJ42)+SUMIFS(ResultsTeams[Goal-A],ResultsTeams[Stage],"Groups",ResultsTeams[Team B],AJ42))</f>
        <v/>
      </c>
      <c r="BE42" s="360" t="str">
        <f>IF(OR(AI35="",AJ42=""),"",BC42-BD42)</f>
        <v/>
      </c>
      <c r="BF42" s="470" t="str">
        <f>IF(AM42="","",OR(VLOOKUP(AM42,AN36:BE42,3,FALSE),VLOOKUP(AM42,AN36:BE42,6,FALSE)))</f>
        <v/>
      </c>
      <c r="BG42" s="299" t="str">
        <f t="shared" si="23"/>
        <v/>
      </c>
      <c r="BH42" s="287" t="str">
        <f>IF(AM42="","",INDEX(AJ36:AJ42,MATCH(AM42,AN36:AN42,0)))</f>
        <v/>
      </c>
      <c r="BI42" s="288" t="str">
        <f>IF(AM42="","",VLOOKUP(AM42,AN36:BE42,COLUMN()-COLUMN(BB35),FALSE))</f>
        <v/>
      </c>
      <c r="BJ42" s="288" t="str">
        <f>IF(AM42="","",VLOOKUP(AM42,AN36:BE42,COLUMN()-COLUMN(BB35),FALSE))</f>
        <v/>
      </c>
      <c r="BK42" s="288" t="str">
        <f>IF(AM42="","",VLOOKUP(AM42,AN36:BE42,COLUMN()-COLUMN(BB35),FALSE))</f>
        <v/>
      </c>
      <c r="BL42" s="288" t="str">
        <f>IF(AM42="","",VLOOKUP(AM42,AN36:BE42,COLUMN()-COLUMN(BB35),FALSE))</f>
        <v/>
      </c>
      <c r="BM42" s="288" t="str">
        <f>IF(AM42="","",VLOOKUP(AM42,AN36:BE42,COLUMN()-COLUMN(BB35),FALSE))</f>
        <v/>
      </c>
      <c r="BN42" s="350" t="str">
        <f>IF(AM42="","",VLOOKUP(AM42,AN36:BE42,COLUMN()-COLUMN(BB35),FALSE))</f>
        <v/>
      </c>
      <c r="BO42" s="299" t="str">
        <f>IF(AM42="","",VLOOKUP(AM42,AN36:BE42,COLUMN()-COLUMN(BB35),FALSE))</f>
        <v/>
      </c>
      <c r="BP42" s="288" t="str">
        <f>IF(AM42="","",VLOOKUP(AM42,AN36:BE42,COLUMN()-COLUMN(BB35),FALSE))</f>
        <v/>
      </c>
      <c r="BQ42" s="302" t="str">
        <f>IF(AM42="","",VLOOKUP(AM42,AN36:BE42,COLUMN()-COLUMN(BB35),FALSE))</f>
        <v/>
      </c>
      <c r="BR42" s="353" t="str">
        <f>IF(AM42="","",VLOOKUP(AM42,AN36:BE42,COLUMN()-COLUMN(BB35),FALSE))</f>
        <v/>
      </c>
      <c r="BS42" s="288" t="str">
        <f>IF(AM42="","",VLOOKUP(AM42,AN36:BE42,COLUMN()-COLUMN(BB35),FALSE))</f>
        <v/>
      </c>
      <c r="BT42" s="302" t="str">
        <f>IF(AM42="","",VLOOKUP(AM42,AN36:BE42,COLUMN()-COLUMN(BB35),FALSE))</f>
        <v/>
      </c>
    </row>
    <row r="43" spans="1:72" ht="12" thickBot="1" x14ac:dyDescent="0.25">
      <c r="A43" s="62"/>
      <c r="B43" s="280"/>
      <c r="C43" s="62"/>
      <c r="D43" s="62"/>
      <c r="E43" s="241" t="s">
        <v>12237</v>
      </c>
      <c r="F43" s="246" t="s">
        <v>10426</v>
      </c>
      <c r="G43" s="246" t="s">
        <v>8696</v>
      </c>
      <c r="H43" s="254">
        <v>3</v>
      </c>
      <c r="I43" s="254">
        <v>1</v>
      </c>
      <c r="J43" s="254"/>
      <c r="K43" s="363"/>
      <c r="L43" s="363"/>
      <c r="M43" s="247"/>
      <c r="N43" s="265" t="b">
        <f>NOT(ISERROR(ResultsTeams[[#This Row],[Goal-A]]+ResultsTeams[[#This Row],[Goal-B]]))</f>
        <v>1</v>
      </c>
      <c r="O43" s="265">
        <f>IF(ResultsTeams[[#This Row],[Type]]="G",SUM(O44:O47),IF(LEFT(ResultsTeams[[#This Row],[Type]],1)="P",IF(ResultsTeams[[#This Row],[Goal-A]]&gt;ResultsTeams[[#This Row],[Goal-B]],1,0),""))</f>
        <v>1</v>
      </c>
      <c r="P43" s="265">
        <f>IF(ResultsTeams[[#This Row],[Type]]="G",SUM(P44:P47),IF(LEFT(ResultsTeams[[#This Row],[Type]],1)="P",IF(ResultsTeams[[#This Row],[Goal-A]]&lt;ResultsTeams[[#This Row],[Goal-B]],1,0),""))</f>
        <v>0</v>
      </c>
      <c r="Q43" s="265">
        <f>IF(ResultsTeams[[#This Row],[Type]]="G",SUM(Q44:Q47),IF(LEFT(ResultsTeams[[#This Row],[Type]],1)="P",VALUE(ResultsTeams[[#This Row],[Score-A]]),""))</f>
        <v>3</v>
      </c>
      <c r="R43" s="265">
        <f>IF(ResultsTeams[[#This Row],[Type]]="G",SUM(R44:R47),IF(LEFT(ResultsTeams[[#This Row],[Type]],1)="P",VALUE(ResultsTeams[[#This Row],[Score-B]]),""))</f>
        <v>1</v>
      </c>
      <c r="S43" s="265" t="str">
        <f ca="1">IF(AND(ResultsTeams[[#This Row],[Category]]&lt;&gt;"",ResultsTeams[[#This Row],[Team A]]&lt;&gt;""),COUNTIF(INDIRECT("TeamsList[Club Name]"),ResultsTeams[[#This Row],[Team A]]),"")</f>
        <v/>
      </c>
      <c r="T43" s="265" t="str">
        <f ca="1">IF(AND(ResultsTeams[[#This Row],[Category]]&lt;&gt;"",ResultsTeams[[#This Row],[Team B]]&lt;&gt;""),COUNTIF(INDIRECT("TeamsList[Club Name]"),ResultsTeams[[#This Row],[Team B]]),"")</f>
        <v/>
      </c>
      <c r="U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-Mark Gauci</v>
      </c>
      <c r="V43" s="265" t="str">
        <f>IF(ResultsTeams[[#This Row],[Score_OK]],IF(ResultsTeams[[#This Row],[StageCpy]]="Groups",ResultsTeams[[#This Row],[Category]]&amp;"-"&amp;IF(ResultsTeams[[#This Row],[Team B]]="","",IF(ResultsTeams[[#This Row],[Match-A]]=ResultsTeams[[#This Row],[Match-B]],ResultsTeams[[#This Row],[Team A]],"")),""),"")</f>
        <v>-</v>
      </c>
      <c r="W43" s="265" t="str">
        <f>IF(ResultsTeams[[#This Row],[Score_OK]],IF(ResultsTeams[[#This Row],[StageCpy]]="Groups",ResultsTeams[[#This Row],[Category]]&amp;"-"&amp;IF(ResultsTeams[[#This Row],[Team B]]="","",IF(ResultsTeams[[#This Row],[Match-A]]=ResultsTeams[[#This Row],[Match-B]],ResultsTeams[[#This Row],[Team B]],"")),""),"")</f>
        <v>-</v>
      </c>
      <c r="X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-Jean-Marie Amberny</v>
      </c>
      <c r="Y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 s="264" t="str">
        <f>IF(ResultsTeams[[#This Row],[Category]]="","",VLOOKUP(ResultsTeams[[#This Row],[Stage]],$R$1:$T$8,MATCH(ResultsTeams[[#This Row],[Category]],$S$1:$T$1,0)+1,FALSE))</f>
        <v/>
      </c>
      <c r="AC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 s="264" t="str">
        <f>IF(ResultsTeams[[#This Row],[Type]]="G",ResultsTeams[[#This Row],[Stage]],AD42)</f>
        <v>Groups</v>
      </c>
      <c r="AE43" s="395" t="str">
        <f>IF(ResultsTeams[[#This Row],[Type]]="G",INDEX(TeamsList[Club Name],MATCH(ResultsTeams[[#This Row],[Team A]],TeamsList[Team Name],0)),AE42)</f>
        <v>Valletta SC</v>
      </c>
      <c r="AF43" s="395" t="str">
        <f>IF(ResultsTeams[[#This Row],[Type]]="G",INDEX(TeamsList[Club Name],MATCH(ResultsTeams[[#This Row],[Team B]],TeamsList[Team Name],0)),AF42)</f>
        <v>FTC Issy-les-Moulineaux</v>
      </c>
      <c r="AG43" s="265"/>
    </row>
    <row r="44" spans="1:72" ht="12" thickBot="1" x14ac:dyDescent="0.25">
      <c r="A44" s="62"/>
      <c r="B44" s="280"/>
      <c r="C44" s="62"/>
      <c r="D44" s="62"/>
      <c r="E44" s="241" t="s">
        <v>12240</v>
      </c>
      <c r="F44" s="246" t="s">
        <v>8129</v>
      </c>
      <c r="G44" s="246" t="s">
        <v>8697</v>
      </c>
      <c r="H44" s="254">
        <v>5</v>
      </c>
      <c r="I44" s="254">
        <v>1</v>
      </c>
      <c r="J44" s="254"/>
      <c r="K44" s="363"/>
      <c r="L44" s="363"/>
      <c r="M44" s="247"/>
      <c r="N44" s="265" t="b">
        <f>NOT(ISERROR(ResultsTeams[[#This Row],[Goal-A]]+ResultsTeams[[#This Row],[Goal-B]]))</f>
        <v>1</v>
      </c>
      <c r="O44" s="265">
        <f>IF(ResultsTeams[[#This Row],[Type]]="G",SUM(O45:O48),IF(LEFT(ResultsTeams[[#This Row],[Type]],1)="P",IF(ResultsTeams[[#This Row],[Goal-A]]&gt;ResultsTeams[[#This Row],[Goal-B]],1,0),""))</f>
        <v>1</v>
      </c>
      <c r="P44" s="265">
        <f>IF(ResultsTeams[[#This Row],[Type]]="G",SUM(P45:P48),IF(LEFT(ResultsTeams[[#This Row],[Type]],1)="P",IF(ResultsTeams[[#This Row],[Goal-A]]&lt;ResultsTeams[[#This Row],[Goal-B]],1,0),""))</f>
        <v>0</v>
      </c>
      <c r="Q44" s="265">
        <f>IF(ResultsTeams[[#This Row],[Type]]="G",SUM(Q45:Q48),IF(LEFT(ResultsTeams[[#This Row],[Type]],1)="P",VALUE(ResultsTeams[[#This Row],[Score-A]]),""))</f>
        <v>5</v>
      </c>
      <c r="R44" s="265">
        <f>IF(ResultsTeams[[#This Row],[Type]]="G",SUM(R45:R48),IF(LEFT(ResultsTeams[[#This Row],[Type]],1)="P",VALUE(ResultsTeams[[#This Row],[Score-B]]),""))</f>
        <v>1</v>
      </c>
      <c r="S44" s="265" t="str">
        <f ca="1">IF(AND(ResultsTeams[[#This Row],[Category]]&lt;&gt;"",ResultsTeams[[#This Row],[Team A]]&lt;&gt;""),COUNTIF(INDIRECT("TeamsList[Club Name]"),ResultsTeams[[#This Row],[Team A]]),"")</f>
        <v/>
      </c>
      <c r="T44" s="265" t="str">
        <f ca="1">IF(AND(ResultsTeams[[#This Row],[Category]]&lt;&gt;"",ResultsTeams[[#This Row],[Team B]]&lt;&gt;""),COUNTIF(INDIRECT("TeamsList[Club Name]"),ResultsTeams[[#This Row],[Team B]]),"")</f>
        <v/>
      </c>
      <c r="U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-Pascal Scheen</v>
      </c>
      <c r="V44" s="265" t="str">
        <f>IF(ResultsTeams[[#This Row],[Score_OK]],IF(ResultsTeams[[#This Row],[StageCpy]]="Groups",ResultsTeams[[#This Row],[Category]]&amp;"-"&amp;IF(ResultsTeams[[#This Row],[Team B]]="","",IF(ResultsTeams[[#This Row],[Match-A]]=ResultsTeams[[#This Row],[Match-B]],ResultsTeams[[#This Row],[Team A]],"")),""),"")</f>
        <v>-</v>
      </c>
      <c r="W44" s="265" t="str">
        <f>IF(ResultsTeams[[#This Row],[Score_OK]],IF(ResultsTeams[[#This Row],[StageCpy]]="Groups",ResultsTeams[[#This Row],[Category]]&amp;"-"&amp;IF(ResultsTeams[[#This Row],[Team B]]="","",IF(ResultsTeams[[#This Row],[Match-A]]=ResultsTeams[[#This Row],[Match-B]],ResultsTeams[[#This Row],[Team B]],"")),""),"")</f>
        <v>-</v>
      </c>
      <c r="X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-Axel Donval</v>
      </c>
      <c r="Y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 s="264" t="str">
        <f>IF(ResultsTeams[[#This Row],[Category]]="","",VLOOKUP(ResultsTeams[[#This Row],[Stage]],$R$1:$T$8,MATCH(ResultsTeams[[#This Row],[Category]],$S$1:$T$1,0)+1,FALSE))</f>
        <v/>
      </c>
      <c r="AC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 s="264" t="str">
        <f>IF(ResultsTeams[[#This Row],[Type]]="G",ResultsTeams[[#This Row],[Stage]],AD43)</f>
        <v>Groups</v>
      </c>
      <c r="AE44" s="395" t="str">
        <f>IF(ResultsTeams[[#This Row],[Type]]="G",INDEX(TeamsList[Club Name],MATCH(ResultsTeams[[#This Row],[Team A]],TeamsList[Team Name],0)),AE43)</f>
        <v>Valletta SC</v>
      </c>
      <c r="AF44" s="395" t="str">
        <f>IF(ResultsTeams[[#This Row],[Type]]="G",INDEX(TeamsList[Club Name],MATCH(ResultsTeams[[#This Row],[Team B]],TeamsList[Team Name],0)),AF43)</f>
        <v>FTC Issy-les-Moulineaux</v>
      </c>
      <c r="AG44" s="265"/>
      <c r="AH44" s="281" t="str">
        <f>IF(AI44="","",QUOTIENT(COUNTIF(AI$26:AI44,AI44)-1,8)+1)</f>
        <v/>
      </c>
      <c r="AI44" s="315"/>
      <c r="AJ44" s="289" t="s">
        <v>14438</v>
      </c>
      <c r="AK44" s="290" t="s">
        <v>12279</v>
      </c>
      <c r="AL44" s="300" t="s">
        <v>12275</v>
      </c>
      <c r="AM44" s="296" t="s">
        <v>12276</v>
      </c>
      <c r="AN44" s="291" t="s">
        <v>12271</v>
      </c>
      <c r="AO44" s="291" t="s">
        <v>12272</v>
      </c>
      <c r="AP44" s="414" t="s">
        <v>13154</v>
      </c>
      <c r="AQ44" s="291" t="s">
        <v>12273</v>
      </c>
      <c r="AR44" s="297" t="s">
        <v>12274</v>
      </c>
      <c r="AS44" s="414" t="s">
        <v>13154</v>
      </c>
      <c r="AT44" s="296" t="s">
        <v>12199</v>
      </c>
      <c r="AU44" s="291" t="s">
        <v>12200</v>
      </c>
      <c r="AV44" s="291" t="s">
        <v>12201</v>
      </c>
      <c r="AW44" s="291" t="s">
        <v>12202</v>
      </c>
      <c r="AX44" s="291" t="s">
        <v>12203</v>
      </c>
      <c r="AY44" s="291" t="s">
        <v>12697</v>
      </c>
      <c r="AZ44" s="291" t="s">
        <v>12698</v>
      </c>
      <c r="BA44" s="291" t="s">
        <v>12699</v>
      </c>
      <c r="BB44" s="291" t="s">
        <v>12700</v>
      </c>
      <c r="BC44" s="291" t="s">
        <v>12204</v>
      </c>
      <c r="BD44" s="291" t="s">
        <v>12205</v>
      </c>
      <c r="BE44" s="297" t="s">
        <v>12206</v>
      </c>
      <c r="BF44" s="395"/>
      <c r="BG44" s="282" t="s">
        <v>12276</v>
      </c>
      <c r="BH44" s="282" t="s">
        <v>12133</v>
      </c>
      <c r="BI44" s="283" t="s">
        <v>12199</v>
      </c>
      <c r="BJ44" s="283" t="s">
        <v>12200</v>
      </c>
      <c r="BK44" s="283" t="s">
        <v>12201</v>
      </c>
      <c r="BL44" s="283" t="s">
        <v>12202</v>
      </c>
      <c r="BM44" s="283" t="s">
        <v>12203</v>
      </c>
      <c r="BN44" s="290" t="s">
        <v>12697</v>
      </c>
      <c r="BO44" s="354" t="s">
        <v>12698</v>
      </c>
      <c r="BP44" s="283" t="s">
        <v>12699</v>
      </c>
      <c r="BQ44" s="300" t="s">
        <v>12700</v>
      </c>
      <c r="BR44" s="351" t="s">
        <v>12204</v>
      </c>
      <c r="BS44" s="283" t="s">
        <v>12205</v>
      </c>
      <c r="BT44" s="300" t="s">
        <v>12206</v>
      </c>
    </row>
    <row r="45" spans="1:72" x14ac:dyDescent="0.2">
      <c r="A45" s="62"/>
      <c r="B45" s="62"/>
      <c r="C45" s="62"/>
      <c r="D45" s="62"/>
      <c r="E45" s="241" t="s">
        <v>12243</v>
      </c>
      <c r="F45" s="247"/>
      <c r="G45" s="247"/>
      <c r="H45" s="254"/>
      <c r="I45" s="254"/>
      <c r="J45" s="260"/>
      <c r="K45" s="364"/>
      <c r="L45" s="364"/>
      <c r="M45" s="63"/>
      <c r="N45" s="265" t="b">
        <f>NOT(ISERROR(ResultsTeams[[#This Row],[Goal-A]]+ResultsTeams[[#This Row],[Goal-B]]))</f>
        <v>0</v>
      </c>
      <c r="O45" s="265" t="str">
        <f>IF(ResultsTeams[[#This Row],[Type]]="G",SUM(O46:O49),IF(LEFT(ResultsTeams[[#This Row],[Type]],1)="P",IF(ResultsTeams[[#This Row],[Goal-A]]&gt;ResultsTeams[[#This Row],[Goal-B]],1,0),""))</f>
        <v/>
      </c>
      <c r="P45" s="265" t="str">
        <f>IF(ResultsTeams[[#This Row],[Type]]="G",SUM(P46:P49),IF(LEFT(ResultsTeams[[#This Row],[Type]],1)="P",IF(ResultsTeams[[#This Row],[Goal-A]]&lt;ResultsTeams[[#This Row],[Goal-B]],1,0),""))</f>
        <v/>
      </c>
      <c r="Q45" s="265" t="str">
        <f>IF(ResultsTeams[[#This Row],[Type]]="G",SUM(Q46:Q49),IF(LEFT(ResultsTeams[[#This Row],[Type]],1)="P",VALUE(ResultsTeams[[#This Row],[Score-A]]),""))</f>
        <v/>
      </c>
      <c r="R45" s="265" t="str">
        <f>IF(ResultsTeams[[#This Row],[Type]]="G",SUM(R46:R49),IF(LEFT(ResultsTeams[[#This Row],[Type]],1)="P",VALUE(ResultsTeams[[#This Row],[Score-B]]),""))</f>
        <v/>
      </c>
      <c r="S45" s="265" t="str">
        <f ca="1">IF(AND(ResultsTeams[[#This Row],[Category]]&lt;&gt;"",ResultsTeams[[#This Row],[Team A]]&lt;&gt;""),COUNTIF(INDIRECT("TeamsList[Club Name]"),ResultsTeams[[#This Row],[Team A]]),"")</f>
        <v/>
      </c>
      <c r="T45" s="265" t="str">
        <f ca="1">IF(AND(ResultsTeams[[#This Row],[Category]]&lt;&gt;"",ResultsTeams[[#This Row],[Team B]]&lt;&gt;""),COUNTIF(INDIRECT("TeamsList[Club Name]"),ResultsTeams[[#This Row],[Team B]]),"")</f>
        <v/>
      </c>
      <c r="U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 s="265" t="str">
        <f>IF(ResultsTeams[[#This Row],[Score_OK]],IF(ResultsTeams[[#This Row],[StageCpy]]="Groups",ResultsTeams[[#This Row],[Category]]&amp;"-"&amp;IF(ResultsTeams[[#This Row],[Team B]]="","",IF(ResultsTeams[[#This Row],[Match-A]]=ResultsTeams[[#This Row],[Match-B]],ResultsTeams[[#This Row],[Team A]],"")),""),"")</f>
        <v/>
      </c>
      <c r="W45" s="265" t="str">
        <f>IF(ResultsTeams[[#This Row],[Score_OK]],IF(ResultsTeams[[#This Row],[StageCpy]]="Groups",ResultsTeams[[#This Row],[Category]]&amp;"-"&amp;IF(ResultsTeams[[#This Row],[Team B]]="","",IF(ResultsTeams[[#This Row],[Match-A]]=ResultsTeams[[#This Row],[Match-B]],ResultsTeams[[#This Row],[Team B]],"")),""),"")</f>
        <v/>
      </c>
      <c r="X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 s="264" t="str">
        <f>IF(ResultsTeams[[#This Row],[Category]]="","",VLOOKUP(ResultsTeams[[#This Row],[Stage]],$R$1:$T$8,MATCH(ResultsTeams[[#This Row],[Category]],$S$1:$T$1,0)+1,FALSE))</f>
        <v/>
      </c>
      <c r="AC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 s="264" t="str">
        <f>IF(ResultsTeams[[#This Row],[Type]]="G",ResultsTeams[[#This Row],[Stage]],AD44)</f>
        <v>Groups</v>
      </c>
      <c r="AE45" s="395" t="str">
        <f>IF(ResultsTeams[[#This Row],[Type]]="G",INDEX(TeamsList[Club Name],MATCH(ResultsTeams[[#This Row],[Team A]],TeamsList[Team Name],0)),AE44)</f>
        <v>Valletta SC</v>
      </c>
      <c r="AF45" s="395" t="str">
        <f>IF(ResultsTeams[[#This Row],[Type]]="G",INDEX(TeamsList[Club Name],MATCH(ResultsTeams[[#This Row],[Team B]],TeamsList[Team Name],0)),AF44)</f>
        <v>FTC Issy-les-Moulineaux</v>
      </c>
      <c r="AG45" s="265"/>
      <c r="AI45" s="12">
        <f>AI44</f>
        <v>0</v>
      </c>
      <c r="AJ45" s="309"/>
      <c r="AK45" s="320"/>
      <c r="AL45" s="311"/>
      <c r="AM45" s="292" t="str">
        <f>IF(AV45="","",SMALL(AN45:AN51,ROWS(AM45:AM45)))</f>
        <v/>
      </c>
      <c r="AN45" s="293" t="str">
        <f>IF(AV45="","",RANK(AR45,AR45:AR51)*1000+ROWS(AN45:AN45))</f>
        <v/>
      </c>
      <c r="AO45" s="316" t="str">
        <f t="shared" ref="AO45:AO51" si="26">IF(AV45="","",AT45*CritClassEq1_Points+AY45*CritClassEq1_DiffRencontres+BB45*CritClassEq1_DiffMatches+BE45*CritClassEq1_DiffButs+AZ45*CritClassEq1_Matches+BC45*CritClassEq1_Attaque)</f>
        <v/>
      </c>
      <c r="AP45" s="415" t="b">
        <f>AND(AU45&lt;&gt;"",AU45&gt;0,COUNTIF(AO45:AO51,AO45)&gt;1)</f>
        <v>0</v>
      </c>
      <c r="AQ45" s="316" t="str">
        <f t="shared" ref="AQ45:AQ51" si="27">IF(AV45="","",CritClassEq_DiffPart*AK45)</f>
        <v/>
      </c>
      <c r="AR45" s="317" t="str">
        <f t="shared" ref="AR45:AR51" si="28">IF(AV45="","",AO45+AQ45+AT45*CritClassEq2_Points+AY45*CritClassEq2_DiffRencontres+BB45*CritClassEq2_DiffMatches+BE45*CritClassEq2_DiffButs+AZ45*CritClassEq2_Matches+BC45*CritClassEq2_Attaque+AL45)</f>
        <v/>
      </c>
      <c r="AS45" s="415" t="b">
        <f>AND(AU45&lt;&gt;"",AU45&gt;0,COUNTIF(AR45:AR51,AR45)&gt;1)</f>
        <v>0</v>
      </c>
      <c r="AT45" s="355" t="str">
        <f t="shared" ref="AT45:AT51" si="29">IF(AV45="","",(AV45*Points_Victoire)+AW45*Points_Null)</f>
        <v/>
      </c>
      <c r="AU45" s="356" t="str">
        <f t="shared" ref="AU45:AU51" si="30">IF(AV45="","",SUM(AV45:AX45))</f>
        <v/>
      </c>
      <c r="AV45" s="356" t="str">
        <f>IF(OR(AI44="",AJ45=""),"",COUNTIF(ResultsTeams[Win],AI44&amp;"-"&amp;AJ45))</f>
        <v/>
      </c>
      <c r="AW45" s="356" t="str">
        <f>IF(OR(AI44="",AJ45=""),"",COUNTIF(ResultsTeams[[Draw1]:[Draw2]],AI44&amp;"-"&amp;AJ45))</f>
        <v/>
      </c>
      <c r="AX45" s="356" t="str">
        <f>IF(OR(AI44="",AJ45=""),"",COUNTIF(ResultsTeams[Lose],AI44&amp;"-"&amp;AJ45))</f>
        <v/>
      </c>
      <c r="AY45" s="356" t="str">
        <f>IF(OR(AI44="",AJ45=""),"",AV45-AX45)</f>
        <v/>
      </c>
      <c r="AZ45" s="356" t="str">
        <f>IF(OR(AI44="",AJ45=""),"",SUMIFS(ResultsTeams[Match-A],ResultsTeams[Stage],"Groups",ResultsTeams[Team A],AJ45)+SUMIFS(ResultsTeams[Match-B],ResultsTeams[Stage],"Groups",ResultsTeams[Team B],AJ45))</f>
        <v/>
      </c>
      <c r="BA45" s="356" t="str">
        <f>IF(OR(AI44="",AJ45=""),"",SUMIFS(ResultsTeams[Match-B],ResultsTeams[Stage],"Groups",ResultsTeams[Team A],AJ45)+SUMIFS(ResultsTeams[Match-A],ResultsTeams[Stage],"Groups",ResultsTeams[Team B],AJ45))</f>
        <v/>
      </c>
      <c r="BB45" s="356" t="str">
        <f>IF(OR(AI44="",AJ45=""),"",AZ45-BA45)</f>
        <v/>
      </c>
      <c r="BC45" s="356" t="str">
        <f>IF(OR(AI44="",AJ45=""),"",SUMIFS(ResultsTeams[Goal-A],ResultsTeams[Stage],"Groups",ResultsTeams[Team A],AJ45)+SUMIFS(ResultsTeams[Goal-B],ResultsTeams[Stage],"Groups",ResultsTeams[Team B],AJ45))</f>
        <v/>
      </c>
      <c r="BD45" s="356" t="str">
        <f>IF(OR(AI44="",AJ45=""),"",SUMIFS(ResultsTeams[Goal-B],ResultsTeams[Stage],"Groups",ResultsTeams[Team A],AJ45)+SUMIFS(ResultsTeams[Goal-A],ResultsTeams[Stage],"Groups",ResultsTeams[Team B],AJ45))</f>
        <v/>
      </c>
      <c r="BE45" s="357" t="str">
        <f>IF(OR(AI44="",AJ45=""),"",BC45-BD45)</f>
        <v/>
      </c>
      <c r="BF45" s="470" t="str">
        <f>IF(AM45="","",OR(VLOOKUP(AM45,AN45:BE51,3,FALSE),VLOOKUP(AM45,AN45:BE51,6,FALSE)))</f>
        <v/>
      </c>
      <c r="BG45" s="298" t="str">
        <f t="shared" ref="BG45:BG51" si="31">IF(AM45="","",INT(AM45/1000))</f>
        <v/>
      </c>
      <c r="BH45" s="285" t="str">
        <f>IF(AM45="","",INDEX(AJ45:AJ51,MATCH(AM45,AN45:AN51,0)))</f>
        <v/>
      </c>
      <c r="BI45" s="286" t="str">
        <f>IF(AM45="","",VLOOKUP(AM45,AN45:BE51,COLUMN()-COLUMN(BB44),FALSE))</f>
        <v/>
      </c>
      <c r="BJ45" s="286" t="str">
        <f>IF(AM45="","",VLOOKUP(AM45,AN45:BE51,COLUMN()-COLUMN(BB44),FALSE))</f>
        <v/>
      </c>
      <c r="BK45" s="286" t="str">
        <f>IF(AM45="","",VLOOKUP(AM45,AN45:BE51,COLUMN()-COLUMN(BB44),FALSE))</f>
        <v/>
      </c>
      <c r="BL45" s="286" t="str">
        <f>IF(AM45="","",VLOOKUP(AM45,AN45:BE51,COLUMN()-COLUMN(BB44),FALSE))</f>
        <v/>
      </c>
      <c r="BM45" s="286" t="str">
        <f>IF(AM45="","",VLOOKUP(AM45,AN45:BE51,COLUMN()-COLUMN(BB44),FALSE))</f>
        <v/>
      </c>
      <c r="BN45" s="349" t="str">
        <f>IF(AM45="","",VLOOKUP(AM45,AN45:BE51,COLUMN()-COLUMN(BB44),FALSE))</f>
        <v/>
      </c>
      <c r="BO45" s="298" t="str">
        <f>IF(AM45="","",VLOOKUP(AM45,AN45:BE51,COLUMN()-COLUMN(BB44),FALSE))</f>
        <v/>
      </c>
      <c r="BP45" s="286" t="str">
        <f>IF(AM45="","",VLOOKUP(AM45,AN45:BE51,COLUMN()-COLUMN(BB44),FALSE))</f>
        <v/>
      </c>
      <c r="BQ45" s="301" t="str">
        <f>IF(AM45="","",VLOOKUP(AM45,AN45:BE51,COLUMN()-COLUMN(BB44),FALSE))</f>
        <v/>
      </c>
      <c r="BR45" s="352" t="str">
        <f>IF(AM45="","",VLOOKUP(AM45,AN45:BE51,COLUMN()-COLUMN(BB44),FALSE))</f>
        <v/>
      </c>
      <c r="BS45" s="286" t="str">
        <f>IF(AM45="","",VLOOKUP(AM45,AN45:BE51,COLUMN()-COLUMN(BB44),FALSE))</f>
        <v/>
      </c>
      <c r="BT45" s="301" t="str">
        <f>IF(AM45="","",VLOOKUP(AM45,AN45:BE51,COLUMN()-COLUMN(BB44),FALSE))</f>
        <v/>
      </c>
    </row>
    <row r="46" spans="1:72" ht="12" thickBot="1" x14ac:dyDescent="0.25">
      <c r="A46" s="83"/>
      <c r="B46" s="83"/>
      <c r="C46" s="83"/>
      <c r="D46" s="83"/>
      <c r="E46" s="268" t="s">
        <v>12244</v>
      </c>
      <c r="F46" s="262"/>
      <c r="G46" s="262"/>
      <c r="H46" s="324"/>
      <c r="I46" s="324"/>
      <c r="J46" s="263"/>
      <c r="K46" s="365"/>
      <c r="L46" s="365"/>
      <c r="M46" s="84"/>
      <c r="N46" s="265" t="b">
        <f>NOT(ISERROR(ResultsTeams[[#This Row],[Goal-A]]+ResultsTeams[[#This Row],[Goal-B]]))</f>
        <v>0</v>
      </c>
      <c r="O46" s="265" t="str">
        <f>IF(ResultsTeams[[#This Row],[Type]]="G",SUM(O47:O50),IF(LEFT(ResultsTeams[[#This Row],[Type]],1)="P",IF(ResultsTeams[[#This Row],[Goal-A]]&gt;ResultsTeams[[#This Row],[Goal-B]],1,0),""))</f>
        <v/>
      </c>
      <c r="P46" s="265" t="str">
        <f>IF(ResultsTeams[[#This Row],[Type]]="G",SUM(P47:P50),IF(LEFT(ResultsTeams[[#This Row],[Type]],1)="P",IF(ResultsTeams[[#This Row],[Goal-A]]&lt;ResultsTeams[[#This Row],[Goal-B]],1,0),""))</f>
        <v/>
      </c>
      <c r="Q46" s="265" t="str">
        <f>IF(ResultsTeams[[#This Row],[Type]]="G",SUM(Q47:Q50),IF(LEFT(ResultsTeams[[#This Row],[Type]],1)="P",VALUE(ResultsTeams[[#This Row],[Score-A]]),""))</f>
        <v/>
      </c>
      <c r="R46" s="265" t="str">
        <f>IF(ResultsTeams[[#This Row],[Type]]="G",SUM(R47:R50),IF(LEFT(ResultsTeams[[#This Row],[Type]],1)="P",VALUE(ResultsTeams[[#This Row],[Score-B]]),""))</f>
        <v/>
      </c>
      <c r="S46" s="265" t="str">
        <f ca="1">IF(AND(ResultsTeams[[#This Row],[Category]]&lt;&gt;"",ResultsTeams[[#This Row],[Team A]]&lt;&gt;""),COUNTIF(INDIRECT("TeamsList[Club Name]"),ResultsTeams[[#This Row],[Team A]]),"")</f>
        <v/>
      </c>
      <c r="T46" s="265" t="str">
        <f ca="1">IF(AND(ResultsTeams[[#This Row],[Category]]&lt;&gt;"",ResultsTeams[[#This Row],[Team B]]&lt;&gt;""),COUNTIF(INDIRECT("TeamsList[Club Name]"),ResultsTeams[[#This Row],[Team B]]),"")</f>
        <v/>
      </c>
      <c r="U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 s="265" t="str">
        <f>IF(ResultsTeams[[#This Row],[Score_OK]],IF(ResultsTeams[[#This Row],[StageCpy]]="Groups",ResultsTeams[[#This Row],[Category]]&amp;"-"&amp;IF(ResultsTeams[[#This Row],[Team B]]="","",IF(ResultsTeams[[#This Row],[Match-A]]=ResultsTeams[[#This Row],[Match-B]],ResultsTeams[[#This Row],[Team A]],"")),""),"")</f>
        <v/>
      </c>
      <c r="W46" s="265" t="str">
        <f>IF(ResultsTeams[[#This Row],[Score_OK]],IF(ResultsTeams[[#This Row],[StageCpy]]="Groups",ResultsTeams[[#This Row],[Category]]&amp;"-"&amp;IF(ResultsTeams[[#This Row],[Team B]]="","",IF(ResultsTeams[[#This Row],[Match-A]]=ResultsTeams[[#This Row],[Match-B]],ResultsTeams[[#This Row],[Team B]],"")),""),"")</f>
        <v/>
      </c>
      <c r="X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 s="264" t="str">
        <f>IF(ResultsTeams[[#This Row],[Category]]="","",VLOOKUP(ResultsTeams[[#This Row],[Stage]],$R$1:$T$8,MATCH(ResultsTeams[[#This Row],[Category]],$S$1:$T$1,0)+1,FALSE))</f>
        <v/>
      </c>
      <c r="AC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 s="264" t="str">
        <f>IF(ResultsTeams[[#This Row],[Type]]="G",ResultsTeams[[#This Row],[Stage]],AD45)</f>
        <v>Groups</v>
      </c>
      <c r="AE46" s="395" t="str">
        <f>IF(ResultsTeams[[#This Row],[Type]]="G",INDEX(TeamsList[Club Name],MATCH(ResultsTeams[[#This Row],[Team A]],TeamsList[Team Name],0)),AE45)</f>
        <v>Valletta SC</v>
      </c>
      <c r="AF46" s="395" t="str">
        <f>IF(ResultsTeams[[#This Row],[Type]]="G",INDEX(TeamsList[Club Name],MATCH(ResultsTeams[[#This Row],[Team B]],TeamsList[Team Name],0)),AF45)</f>
        <v>FTC Issy-les-Moulineaux</v>
      </c>
      <c r="AG46" s="265"/>
      <c r="AI46" s="12">
        <f>AI45</f>
        <v>0</v>
      </c>
      <c r="AJ46" s="309"/>
      <c r="AK46" s="320"/>
      <c r="AL46" s="311"/>
      <c r="AM46" s="292" t="str">
        <f>IF(AV46="","",SMALL(AN45:AN51,ROWS(AM45:AM46)))</f>
        <v/>
      </c>
      <c r="AN46" s="293" t="str">
        <f>IF(AV46="","",RANK(AR46,AR45:AR51)*1000+ROWS(AN45:AN46))</f>
        <v/>
      </c>
      <c r="AO46" s="316" t="str">
        <f t="shared" si="26"/>
        <v/>
      </c>
      <c r="AP46" s="415" t="b">
        <f>AND(AU46&lt;&gt;"",AU46&gt;0,COUNTIF(AO45:AO51,AO46)&gt;1)</f>
        <v>0</v>
      </c>
      <c r="AQ46" s="316" t="str">
        <f t="shared" si="27"/>
        <v/>
      </c>
      <c r="AR46" s="317" t="str">
        <f t="shared" si="28"/>
        <v/>
      </c>
      <c r="AS46" s="415" t="b">
        <f>AND(AU46&lt;&gt;"",AU46&gt;0,COUNTIF(AR45:AR51,AR46)&gt;1)</f>
        <v>0</v>
      </c>
      <c r="AT46" s="355" t="str">
        <f t="shared" si="29"/>
        <v/>
      </c>
      <c r="AU46" s="356" t="str">
        <f t="shared" si="30"/>
        <v/>
      </c>
      <c r="AV46" s="356" t="str">
        <f>IF(OR(AI44="",AJ46=""),"",COUNTIF(ResultsTeams[Win],AI44&amp;"-"&amp;AJ46))</f>
        <v/>
      </c>
      <c r="AW46" s="356" t="str">
        <f>IF(OR(AI44="",AJ46=""),"",COUNTIF(ResultsTeams[[Draw1]:[Draw2]],AI44&amp;"-"&amp;AJ46))</f>
        <v/>
      </c>
      <c r="AX46" s="356" t="str">
        <f>IF(OR(AI44="",AJ46=""),"",COUNTIF(ResultsTeams[Lose],AI44&amp;"-"&amp;AJ46))</f>
        <v/>
      </c>
      <c r="AY46" s="356" t="str">
        <f>IF(OR(AI44="",AJ46=""),"",AV46-AX46)</f>
        <v/>
      </c>
      <c r="AZ46" s="356" t="str">
        <f>IF(OR(AI45="",AJ46=""),"",SUMIFS(ResultsTeams[Match-A],ResultsTeams[Stage],"Groups",ResultsTeams[Team A],AJ46)+SUMIFS(ResultsTeams[Match-B],ResultsTeams[Stage],"Groups",ResultsTeams[Team B],AJ46))</f>
        <v/>
      </c>
      <c r="BA46" s="356" t="str">
        <f>IF(OR(AI45="",AJ46=""),"",SUMIFS(ResultsTeams[Match-B],ResultsTeams[Stage],"Groups",ResultsTeams[Team A],AJ46)+SUMIFS(ResultsTeams[Match-A],ResultsTeams[Stage],"Groups",ResultsTeams[Team B],AJ46))</f>
        <v/>
      </c>
      <c r="BB46" s="356" t="str">
        <f t="shared" ref="BB46:BB51" si="32">IF(OR(AI45="",AJ46=""),"",AZ46-BA46)</f>
        <v/>
      </c>
      <c r="BC46" s="356" t="str">
        <f>IF(OR(AI45="",AJ46=""),"",SUMIFS(ResultsTeams[Goal-A],ResultsTeams[Stage],"Groups",ResultsTeams[Team A],AJ46)+SUMIFS(ResultsTeams[Goal-B],ResultsTeams[Stage],"Groups",ResultsTeams[Team B],AJ46))</f>
        <v/>
      </c>
      <c r="BD46" s="356" t="str">
        <f>IF(OR(AI45="",AJ46=""),"",SUMIFS(ResultsTeams[Goal-B],ResultsTeams[Stage],"Groups",ResultsTeams[Team A],AJ46)+SUMIFS(ResultsTeams[Goal-A],ResultsTeams[Stage],"Groups",ResultsTeams[Team B],AJ46))</f>
        <v/>
      </c>
      <c r="BE46" s="357" t="str">
        <f>IF(OR(AI44="",AJ46=""),"",BC46-BD46)</f>
        <v/>
      </c>
      <c r="BF46" s="470" t="str">
        <f>IF(AM46="","",OR(VLOOKUP(AM46,AN45:BE51,3,FALSE),VLOOKUP(AM46,AN45:BE51,6,FALSE)))</f>
        <v/>
      </c>
      <c r="BG46" s="298" t="str">
        <f t="shared" si="31"/>
        <v/>
      </c>
      <c r="BH46" s="285" t="str">
        <f>IF(AM46="","",INDEX(AJ45:AJ51,MATCH(AM46,AN45:AN51,0)))</f>
        <v/>
      </c>
      <c r="BI46" s="286" t="str">
        <f>IF(AM46="","",VLOOKUP(AM46,AN45:BE51,COLUMN()-COLUMN(BB44),FALSE))</f>
        <v/>
      </c>
      <c r="BJ46" s="286" t="str">
        <f>IF(AM46="","",VLOOKUP(AM46,AN45:BE51,COLUMN()-COLUMN(BB44),FALSE))</f>
        <v/>
      </c>
      <c r="BK46" s="286" t="str">
        <f>IF(AM46="","",VLOOKUP(AM46,AN45:BE51,COLUMN()-COLUMN(BB44),FALSE))</f>
        <v/>
      </c>
      <c r="BL46" s="286" t="str">
        <f>IF(AM46="","",VLOOKUP(AM46,AN45:BE51,COLUMN()-COLUMN(BB44),FALSE))</f>
        <v/>
      </c>
      <c r="BM46" s="286" t="str">
        <f>IF(AM46="","",VLOOKUP(AM46,AN45:BE51,COLUMN()-COLUMN(BB44),FALSE))</f>
        <v/>
      </c>
      <c r="BN46" s="349" t="str">
        <f>IF(AM46="","",VLOOKUP(AM46,AN45:BE51,COLUMN()-COLUMN(BB44),FALSE))</f>
        <v/>
      </c>
      <c r="BO46" s="298" t="str">
        <f>IF(AM46="","",VLOOKUP(AM46,AN45:BE51,COLUMN()-COLUMN(BB44),FALSE))</f>
        <v/>
      </c>
      <c r="BP46" s="286" t="str">
        <f>IF(AM46="","",VLOOKUP(AM46,AN45:BE51,COLUMN()-COLUMN(BB44),FALSE))</f>
        <v/>
      </c>
      <c r="BQ46" s="301" t="str">
        <f>IF(AM46="","",VLOOKUP(AM46,AN45:BE51,COLUMN()-COLUMN(BB44),FALSE))</f>
        <v/>
      </c>
      <c r="BR46" s="352" t="str">
        <f>IF(AM46="","",VLOOKUP(AM46,AN45:BE51,COLUMN()-COLUMN(BB44),FALSE))</f>
        <v/>
      </c>
      <c r="BS46" s="286" t="str">
        <f>IF(AM46="","",VLOOKUP(AM46,AN45:BE51,COLUMN()-COLUMN(BB44),FALSE))</f>
        <v/>
      </c>
      <c r="BT46" s="301" t="str">
        <f>IF(AM46="","",VLOOKUP(AM46,AN45:BE51,COLUMN()-COLUMN(BB44),FALSE))</f>
        <v/>
      </c>
    </row>
    <row r="47" spans="1:72" ht="12" thickBot="1" x14ac:dyDescent="0.25">
      <c r="A47" s="261" t="s">
        <v>12693</v>
      </c>
      <c r="B47" s="270" t="s">
        <v>12207</v>
      </c>
      <c r="C47" s="87">
        <v>1</v>
      </c>
      <c r="D47" s="270"/>
      <c r="E47" s="272" t="s">
        <v>12228</v>
      </c>
      <c r="F47" s="273" t="s">
        <v>251</v>
      </c>
      <c r="G47" s="273" t="s">
        <v>14587</v>
      </c>
      <c r="H47" s="275">
        <v>2</v>
      </c>
      <c r="I47" s="275">
        <v>1</v>
      </c>
      <c r="J47" s="275"/>
      <c r="K47" s="366"/>
      <c r="L47" s="366"/>
      <c r="M47" s="271"/>
      <c r="N47" s="265" t="b">
        <f>NOT(ISERROR(ResultsTeams[[#This Row],[Goal-A]]+ResultsTeams[[#This Row],[Goal-B]]))</f>
        <v>1</v>
      </c>
      <c r="O47" s="265">
        <f>IF(ResultsTeams[[#This Row],[Type]]="G",SUM(O48:O51),IF(LEFT(ResultsTeams[[#This Row],[Type]],1)="P",IF(ResultsTeams[[#This Row],[Goal-A]]&gt;ResultsTeams[[#This Row],[Goal-B]],1,0),""))</f>
        <v>2</v>
      </c>
      <c r="P47" s="265">
        <f>IF(ResultsTeams[[#This Row],[Type]]="G",SUM(P48:P51),IF(LEFT(ResultsTeams[[#This Row],[Type]],1)="P",IF(ResultsTeams[[#This Row],[Goal-A]]&lt;ResultsTeams[[#This Row],[Goal-B]],1,0),""))</f>
        <v>1</v>
      </c>
      <c r="Q47" s="265">
        <f>IF(ResultsTeams[[#This Row],[Type]]="G",SUM(Q48:Q51),IF(LEFT(ResultsTeams[[#This Row],[Type]],1)="P",VALUE(ResultsTeams[[#This Row],[Score-A]]),""))</f>
        <v>11</v>
      </c>
      <c r="R47" s="265">
        <f>IF(ResultsTeams[[#This Row],[Type]]="G",SUM(R48:R51),IF(LEFT(ResultsTeams[[#This Row],[Type]],1)="P",VALUE(ResultsTeams[[#This Row],[Score-B]]),""))</f>
        <v>7</v>
      </c>
      <c r="S47" s="265">
        <f ca="1">IF(AND(ResultsTeams[[#This Row],[Category]]&lt;&gt;"",ResultsTeams[[#This Row],[Team A]]&lt;&gt;""),COUNTIF(INDIRECT("TeamsList[Club Name]"),ResultsTeams[[#This Row],[Team A]]),"")</f>
        <v>1</v>
      </c>
      <c r="T47" s="265">
        <f ca="1">IF(AND(ResultsTeams[[#This Row],[Category]]&lt;&gt;"",ResultsTeams[[#This Row],[Team B]]&lt;&gt;""),COUNTIF(INDIRECT("TeamsList[Club Name]"),ResultsTeams[[#This Row],[Team B]]),"")</f>
        <v>0</v>
      </c>
      <c r="U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TEAM-MVV Rijnmond</v>
      </c>
      <c r="V47" s="265" t="str">
        <f>IF(ResultsTeams[[#This Row],[Score_OK]],IF(ResultsTeams[[#This Row],[StageCpy]]="Groups",ResultsTeams[[#This Row],[Category]]&amp;"-"&amp;IF(ResultsTeams[[#This Row],[Team B]]="","",IF(ResultsTeams[[#This Row],[Match-A]]=ResultsTeams[[#This Row],[Match-B]],ResultsTeams[[#This Row],[Team A]],"")),""),"")</f>
        <v>TEAM-</v>
      </c>
      <c r="W47" s="265" t="str">
        <f>IF(ResultsTeams[[#This Row],[Score_OK]],IF(ResultsTeams[[#This Row],[StageCpy]]="Groups",ResultsTeams[[#This Row],[Category]]&amp;"-"&amp;IF(ResultsTeams[[#This Row],[Team B]]="","",IF(ResultsTeams[[#This Row],[Match-A]]=ResultsTeams[[#This Row],[Match-B]],ResultsTeams[[#This Row],[Team B]],"")),""),"")</f>
        <v>TEAM-</v>
      </c>
      <c r="X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3</v>
      </c>
      <c r="Y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A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B47" s="264" t="str">
        <f>IF(ResultsTeams[[#This Row],[Category]]="","",VLOOKUP(ResultsTeams[[#This Row],[Stage]],$R$1:$T$8,MATCH(ResultsTeams[[#This Row],[Category]],$S$1:$T$1,0)+1,FALSE))</f>
        <v>PR1</v>
      </c>
      <c r="AC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 s="264" t="str">
        <f>IF(ResultsTeams[[#This Row],[Type]]="G",ResultsTeams[[#This Row],[Stage]],AD46)</f>
        <v>Groups</v>
      </c>
      <c r="AE47" s="395" t="str">
        <f>IF(ResultsTeams[[#This Row],[Type]]="G",INDEX(TeamsList[Club Name],MATCH(ResultsTeams[[#This Row],[Team A]],TeamsList[Team Name],0)),AE46)</f>
        <v>MVV Rijnmond</v>
      </c>
      <c r="AF47" s="395" t="str">
        <f>IF(ResultsTeams[[#This Row],[Type]]="G",INDEX(TeamsList[Club Name],MATCH(ResultsTeams[[#This Row],[Team B]],TeamsList[Team Name],0)),AF46)</f>
        <v>Avenir Subbuteo Hennuyer</v>
      </c>
      <c r="AG47" s="265"/>
      <c r="AI47" s="12">
        <f t="shared" ref="AI47:AI51" si="33">AI46</f>
        <v>0</v>
      </c>
      <c r="AJ47" s="309"/>
      <c r="AK47" s="320"/>
      <c r="AL47" s="311"/>
      <c r="AM47" s="292" t="str">
        <f>IF(AV47="","",SMALL(AN45:AN51,ROWS(AM45:AM47)))</f>
        <v/>
      </c>
      <c r="AN47" s="293" t="str">
        <f>IF(AV47="","",RANK(AR47,AR45:AR51)*1000+ROWS(AN45:AN47))</f>
        <v/>
      </c>
      <c r="AO47" s="316" t="str">
        <f t="shared" si="26"/>
        <v/>
      </c>
      <c r="AP47" s="415" t="b">
        <f>AND(AU47&lt;&gt;"",AU47&gt;0,COUNTIF(AO45:AO51,AO47)&gt;1)</f>
        <v>0</v>
      </c>
      <c r="AQ47" s="316" t="str">
        <f t="shared" si="27"/>
        <v/>
      </c>
      <c r="AR47" s="317" t="str">
        <f t="shared" si="28"/>
        <v/>
      </c>
      <c r="AS47" s="415" t="b">
        <f>AND(AU47&lt;&gt;"",AU47&gt;0,COUNTIF(AR45:AR51,AR47)&gt;1)</f>
        <v>0</v>
      </c>
      <c r="AT47" s="355" t="str">
        <f t="shared" si="29"/>
        <v/>
      </c>
      <c r="AU47" s="356" t="str">
        <f t="shared" si="30"/>
        <v/>
      </c>
      <c r="AV47" s="356" t="str">
        <f>IF(OR(AI44="",AJ47=""),"",COUNTIF(ResultsTeams[Win],AI44&amp;"-"&amp;AJ47))</f>
        <v/>
      </c>
      <c r="AW47" s="356" t="str">
        <f>IF(OR(AI44="",AJ47=""),"",COUNTIF(ResultsTeams[[Draw1]:[Draw2]],AI44&amp;"-"&amp;AJ47))</f>
        <v/>
      </c>
      <c r="AX47" s="356" t="str">
        <f>IF(OR(AI44="",AJ47=""),"",COUNTIF(ResultsTeams[Lose],AI44&amp;"-"&amp;AJ47))</f>
        <v/>
      </c>
      <c r="AY47" s="356" t="str">
        <f>IF(OR(AI44="",AJ47=""),"",AV47-AX47)</f>
        <v/>
      </c>
      <c r="AZ47" s="356" t="str">
        <f>IF(OR(AI46="",AJ47=""),"",SUMIFS(ResultsTeams[Match-A],ResultsTeams[Stage],"Groups",ResultsTeams[Team A],AJ47)+SUMIFS(ResultsTeams[Match-B],ResultsTeams[Stage],"Groups",ResultsTeams[Team B],AJ47))</f>
        <v/>
      </c>
      <c r="BA47" s="356" t="str">
        <f>IF(OR(AI46="",AJ47=""),"",SUMIFS(ResultsTeams[Match-B],ResultsTeams[Stage],"Groups",ResultsTeams[Team A],AJ47)+SUMIFS(ResultsTeams[Match-A],ResultsTeams[Stage],"Groups",ResultsTeams[Team B],AJ47))</f>
        <v/>
      </c>
      <c r="BB47" s="356" t="str">
        <f t="shared" si="32"/>
        <v/>
      </c>
      <c r="BC47" s="356" t="str">
        <f>IF(OR(AI46="",AJ47=""),"",SUMIFS(ResultsTeams[Goal-A],ResultsTeams[Stage],"Groups",ResultsTeams[Team A],AJ47)+SUMIFS(ResultsTeams[Goal-B],ResultsTeams[Stage],"Groups",ResultsTeams[Team B],AJ47))</f>
        <v/>
      </c>
      <c r="BD47" s="356" t="str">
        <f>IF(OR(AI46="",AJ47=""),"",SUMIFS(ResultsTeams[Goal-B],ResultsTeams[Stage],"Groups",ResultsTeams[Team A],AJ47)+SUMIFS(ResultsTeams[Goal-A],ResultsTeams[Stage],"Groups",ResultsTeams[Team B],AJ47))</f>
        <v/>
      </c>
      <c r="BE47" s="357" t="str">
        <f>IF(OR(AI44="",AJ47=""),"",BC47-BD47)</f>
        <v/>
      </c>
      <c r="BF47" s="470" t="str">
        <f>IF(AM47="","",OR(VLOOKUP(AM47,AN45:BE51,3,FALSE),VLOOKUP(AM47,AN45:BE51,6,FALSE)))</f>
        <v/>
      </c>
      <c r="BG47" s="298" t="str">
        <f t="shared" si="31"/>
        <v/>
      </c>
      <c r="BH47" s="285" t="str">
        <f>IF(AM47="","",INDEX(AJ45:AJ51,MATCH(AM47,AN45:AN51,0)))</f>
        <v/>
      </c>
      <c r="BI47" s="286" t="str">
        <f>IF(AM47="","",VLOOKUP(AM47,AN45:BE51,COLUMN()-COLUMN(BB44),FALSE))</f>
        <v/>
      </c>
      <c r="BJ47" s="286" t="str">
        <f>IF(AM47="","",VLOOKUP(AM47,AN45:BE51,COLUMN()-COLUMN(BB44),FALSE))</f>
        <v/>
      </c>
      <c r="BK47" s="286" t="str">
        <f>IF(AM47="","",VLOOKUP(AM47,AN45:BE51,COLUMN()-COLUMN(BB44),FALSE))</f>
        <v/>
      </c>
      <c r="BL47" s="286" t="str">
        <f>IF(AM47="","",VLOOKUP(AM47,AN45:BE51,COLUMN()-COLUMN(BB44),FALSE))</f>
        <v/>
      </c>
      <c r="BM47" s="286" t="str">
        <f>IF(AM47="","",VLOOKUP(AM47,AN45:BE51,COLUMN()-COLUMN(BB44),FALSE))</f>
        <v/>
      </c>
      <c r="BN47" s="349" t="str">
        <f>IF(AM47="","",VLOOKUP(AM47,AN45:BE51,COLUMN()-COLUMN(BB44),FALSE))</f>
        <v/>
      </c>
      <c r="BO47" s="298" t="str">
        <f>IF(AM47="","",VLOOKUP(AM47,AN45:BE51,COLUMN()-COLUMN(BB44),FALSE))</f>
        <v/>
      </c>
      <c r="BP47" s="286" t="str">
        <f>IF(AM47="","",VLOOKUP(AM47,AN45:BE51,COLUMN()-COLUMN(BB44),FALSE))</f>
        <v/>
      </c>
      <c r="BQ47" s="301" t="str">
        <f>IF(AM47="","",VLOOKUP(AM47,AN45:BE51,COLUMN()-COLUMN(BB44),FALSE))</f>
        <v/>
      </c>
      <c r="BR47" s="352" t="str">
        <f>IF(AM47="","",VLOOKUP(AM47,AN45:BE51,COLUMN()-COLUMN(BB44),FALSE))</f>
        <v/>
      </c>
      <c r="BS47" s="286" t="str">
        <f>IF(AM47="","",VLOOKUP(AM47,AN45:BE51,COLUMN()-COLUMN(BB44),FALSE))</f>
        <v/>
      </c>
      <c r="BT47" s="301" t="str">
        <f>IF(AM47="","",VLOOKUP(AM47,AN45:BE51,COLUMN()-COLUMN(BB44),FALSE))</f>
        <v/>
      </c>
    </row>
    <row r="48" spans="1:72" x14ac:dyDescent="0.2">
      <c r="A48" s="60"/>
      <c r="B48" s="280"/>
      <c r="C48" s="60"/>
      <c r="D48" s="60"/>
      <c r="E48" s="240" t="s">
        <v>12231</v>
      </c>
      <c r="F48" s="244" t="s">
        <v>11920</v>
      </c>
      <c r="G48" s="244" t="s">
        <v>8713</v>
      </c>
      <c r="H48" s="253">
        <v>0</v>
      </c>
      <c r="I48" s="253">
        <v>4</v>
      </c>
      <c r="J48" s="253"/>
      <c r="K48" s="362"/>
      <c r="L48" s="362"/>
      <c r="M48" s="61"/>
      <c r="N48" s="265" t="b">
        <f>NOT(ISERROR(ResultsTeams[[#This Row],[Goal-A]]+ResultsTeams[[#This Row],[Goal-B]]))</f>
        <v>1</v>
      </c>
      <c r="O48" s="265">
        <f>IF(ResultsTeams[[#This Row],[Type]]="G",SUM(O49:O52),IF(LEFT(ResultsTeams[[#This Row],[Type]],1)="P",IF(ResultsTeams[[#This Row],[Goal-A]]&gt;ResultsTeams[[#This Row],[Goal-B]],1,0),""))</f>
        <v>0</v>
      </c>
      <c r="P48" s="265">
        <f>IF(ResultsTeams[[#This Row],[Type]]="G",SUM(P49:P52),IF(LEFT(ResultsTeams[[#This Row],[Type]],1)="P",IF(ResultsTeams[[#This Row],[Goal-A]]&lt;ResultsTeams[[#This Row],[Goal-B]],1,0),""))</f>
        <v>1</v>
      </c>
      <c r="Q48" s="265">
        <f>IF(ResultsTeams[[#This Row],[Type]]="G",SUM(Q49:Q52),IF(LEFT(ResultsTeams[[#This Row],[Type]],1)="P",VALUE(ResultsTeams[[#This Row],[Score-A]]),""))</f>
        <v>0</v>
      </c>
      <c r="R48" s="265">
        <f>IF(ResultsTeams[[#This Row],[Type]]="G",SUM(R49:R52),IF(LEFT(ResultsTeams[[#This Row],[Type]],1)="P",VALUE(ResultsTeams[[#This Row],[Score-B]]),""))</f>
        <v>4</v>
      </c>
      <c r="S48" s="265" t="str">
        <f ca="1">IF(AND(ResultsTeams[[#This Row],[Category]]&lt;&gt;"",ResultsTeams[[#This Row],[Team A]]&lt;&gt;""),COUNTIF(INDIRECT("TeamsList[Club Name]"),ResultsTeams[[#This Row],[Team A]]),"")</f>
        <v/>
      </c>
      <c r="T48" s="265" t="str">
        <f ca="1">IF(AND(ResultsTeams[[#This Row],[Category]]&lt;&gt;"",ResultsTeams[[#This Row],[Team B]]&lt;&gt;""),COUNTIF(INDIRECT("TeamsList[Club Name]"),ResultsTeams[[#This Row],[Team B]]),"")</f>
        <v/>
      </c>
      <c r="U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-Ludovic Midoux</v>
      </c>
      <c r="V48" s="265" t="str">
        <f>IF(ResultsTeams[[#This Row],[Score_OK]],IF(ResultsTeams[[#This Row],[StageCpy]]="Groups",ResultsTeams[[#This Row],[Category]]&amp;"-"&amp;IF(ResultsTeams[[#This Row],[Team B]]="","",IF(ResultsTeams[[#This Row],[Match-A]]=ResultsTeams[[#This Row],[Match-B]],ResultsTeams[[#This Row],[Team A]],"")),""),"")</f>
        <v>-</v>
      </c>
      <c r="W48" s="265" t="str">
        <f>IF(ResultsTeams[[#This Row],[Score_OK]],IF(ResultsTeams[[#This Row],[StageCpy]]="Groups",ResultsTeams[[#This Row],[Category]]&amp;"-"&amp;IF(ResultsTeams[[#This Row],[Team B]]="","",IF(ResultsTeams[[#This Row],[Match-A]]=ResultsTeams[[#This Row],[Match-B]],ResultsTeams[[#This Row],[Team B]],"")),""),"")</f>
        <v>-</v>
      </c>
      <c r="X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-Quincy Gerrets</v>
      </c>
      <c r="Y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 s="264" t="str">
        <f>IF(ResultsTeams[[#This Row],[Category]]="","",VLOOKUP(ResultsTeams[[#This Row],[Stage]],$R$1:$T$8,MATCH(ResultsTeams[[#This Row],[Category]],$S$1:$T$1,0)+1,FALSE))</f>
        <v/>
      </c>
      <c r="AC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 s="264" t="str">
        <f>IF(ResultsTeams[[#This Row],[Type]]="G",ResultsTeams[[#This Row],[Stage]],AD47)</f>
        <v>Groups</v>
      </c>
      <c r="AE48" s="395" t="str">
        <f>IF(ResultsTeams[[#This Row],[Type]]="G",INDEX(TeamsList[Club Name],MATCH(ResultsTeams[[#This Row],[Team A]],TeamsList[Team Name],0)),AE47)</f>
        <v>MVV Rijnmond</v>
      </c>
      <c r="AF48" s="395" t="str">
        <f>IF(ResultsTeams[[#This Row],[Type]]="G",INDEX(TeamsList[Club Name],MATCH(ResultsTeams[[#This Row],[Team B]],TeamsList[Team Name],0)),AF47)</f>
        <v>Avenir Subbuteo Hennuyer</v>
      </c>
      <c r="AG48" s="265"/>
      <c r="AH48" s="91"/>
      <c r="AI48" s="12">
        <f t="shared" si="33"/>
        <v>0</v>
      </c>
      <c r="AJ48" s="309"/>
      <c r="AK48" s="310"/>
      <c r="AL48" s="311"/>
      <c r="AM48" s="292" t="str">
        <f>IF(AV48="","",SMALL(AN45:AN51,ROWS(AM45:AM48)))</f>
        <v/>
      </c>
      <c r="AN48" s="293" t="str">
        <f>IF(AV48="","",RANK(AR48,AR45:AR51)*1000+ROWS(AN45:AN48))</f>
        <v/>
      </c>
      <c r="AO48" s="316" t="str">
        <f t="shared" si="26"/>
        <v/>
      </c>
      <c r="AP48" s="415" t="b">
        <f>AND(AU48&lt;&gt;"",AU48&gt;0,COUNTIF(AO45:AO51,AO48)&gt;1)</f>
        <v>0</v>
      </c>
      <c r="AQ48" s="316" t="str">
        <f t="shared" si="27"/>
        <v/>
      </c>
      <c r="AR48" s="317" t="str">
        <f t="shared" si="28"/>
        <v/>
      </c>
      <c r="AS48" s="415" t="b">
        <f>AND(AU48&lt;&gt;"",AU48&gt;0,COUNTIF(AR45:AR51,AR48)&gt;1)</f>
        <v>0</v>
      </c>
      <c r="AT48" s="355" t="str">
        <f t="shared" si="29"/>
        <v/>
      </c>
      <c r="AU48" s="356" t="str">
        <f t="shared" si="30"/>
        <v/>
      </c>
      <c r="AV48" s="356" t="str">
        <f>IF(OR(AI44="",AJ48=""),"",COUNTIF(ResultsTeams[Win],AI44&amp;"-"&amp;AJ48))</f>
        <v/>
      </c>
      <c r="AW48" s="356" t="str">
        <f>IF(OR(AI44="",AJ48=""),"",COUNTIF(ResultsTeams[[Draw1]:[Draw2]],AI44&amp;"-"&amp;AJ48))</f>
        <v/>
      </c>
      <c r="AX48" s="356" t="str">
        <f>IF(OR(AI44="",AJ48=""),"",COUNTIF(ResultsTeams[Lose],AI44&amp;"-"&amp;AJ48))</f>
        <v/>
      </c>
      <c r="AY48" s="356" t="str">
        <f>IF(OR(AI44="",AJ48=""),"",AV48-AX48)</f>
        <v/>
      </c>
      <c r="AZ48" s="356" t="str">
        <f>IF(OR(AI47="",AJ48=""),"",SUMIFS(ResultsTeams[Match-A],ResultsTeams[Stage],"Groups",ResultsTeams[Team A],AJ48)+SUMIFS(ResultsTeams[Match-B],ResultsTeams[Stage],"Groups",ResultsTeams[Team B],AJ48))</f>
        <v/>
      </c>
      <c r="BA48" s="356" t="str">
        <f>IF(OR(AI47="",AJ48=""),"",SUMIFS(ResultsTeams[Match-B],ResultsTeams[Stage],"Groups",ResultsTeams[Team A],AJ48)+SUMIFS(ResultsTeams[Match-A],ResultsTeams[Stage],"Groups",ResultsTeams[Team B],AJ48))</f>
        <v/>
      </c>
      <c r="BB48" s="356" t="str">
        <f t="shared" si="32"/>
        <v/>
      </c>
      <c r="BC48" s="356" t="str">
        <f>IF(OR(AI47="",AJ48=""),"",SUMIFS(ResultsTeams[Goal-A],ResultsTeams[Stage],"Groups",ResultsTeams[Team A],AJ48)+SUMIFS(ResultsTeams[Goal-B],ResultsTeams[Stage],"Groups",ResultsTeams[Team B],AJ48))</f>
        <v/>
      </c>
      <c r="BD48" s="356" t="str">
        <f>IF(OR(AI47="",AJ48=""),"",SUMIFS(ResultsTeams[Goal-B],ResultsTeams[Stage],"Groups",ResultsTeams[Team A],AJ48)+SUMIFS(ResultsTeams[Goal-A],ResultsTeams[Stage],"Groups",ResultsTeams[Team B],AJ48))</f>
        <v/>
      </c>
      <c r="BE48" s="357" t="str">
        <f>IF(OR(AI44="",AJ48=""),"",BC48-BD48)</f>
        <v/>
      </c>
      <c r="BF48" s="470" t="str">
        <f>IF(AM48="","",OR(VLOOKUP(AM48,AN45:BE51,3,FALSE),VLOOKUP(AM48,AN45:BE51,6,FALSE)))</f>
        <v/>
      </c>
      <c r="BG48" s="298" t="str">
        <f t="shared" si="31"/>
        <v/>
      </c>
      <c r="BH48" s="285" t="str">
        <f>IF(AM48="","",INDEX(AJ45:AJ51,MATCH(AM48,AN45:AN51,0)))</f>
        <v/>
      </c>
      <c r="BI48" s="286" t="str">
        <f>IF(AM48="","",VLOOKUP(AM48,AN45:BE51,COLUMN()-COLUMN(BB44),FALSE))</f>
        <v/>
      </c>
      <c r="BJ48" s="286" t="str">
        <f>IF(AM48="","",VLOOKUP(AM48,AN45:BE51,COLUMN()-COLUMN(BB44),FALSE))</f>
        <v/>
      </c>
      <c r="BK48" s="286" t="str">
        <f>IF(AM48="","",VLOOKUP(AM48,AN45:BE51,COLUMN()-COLUMN(BB44),FALSE))</f>
        <v/>
      </c>
      <c r="BL48" s="286" t="str">
        <f>IF(AM48="","",VLOOKUP(AM48,AN45:BE51,COLUMN()-COLUMN(BB44),FALSE))</f>
        <v/>
      </c>
      <c r="BM48" s="286" t="str">
        <f>IF(AM48="","",VLOOKUP(AM48,AN45:BE51,COLUMN()-COLUMN(BB44),FALSE))</f>
        <v/>
      </c>
      <c r="BN48" s="349" t="str">
        <f>IF(AM48="","",VLOOKUP(AM48,AN45:BE51,COLUMN()-COLUMN(BB44),FALSE))</f>
        <v/>
      </c>
      <c r="BO48" s="298" t="str">
        <f>IF(AM48="","",VLOOKUP(AM48,AN45:BE51,COLUMN()-COLUMN(BB44),FALSE))</f>
        <v/>
      </c>
      <c r="BP48" s="286" t="str">
        <f>IF(AM48="","",VLOOKUP(AM48,AN45:BE51,COLUMN()-COLUMN(BB44),FALSE))</f>
        <v/>
      </c>
      <c r="BQ48" s="301" t="str">
        <f>IF(AM48="","",VLOOKUP(AM48,AN45:BE51,COLUMN()-COLUMN(BB44),FALSE))</f>
        <v/>
      </c>
      <c r="BR48" s="352" t="str">
        <f>IF(AM48="","",VLOOKUP(AM48,AN45:BE51,COLUMN()-COLUMN(BB44),FALSE))</f>
        <v/>
      </c>
      <c r="BS48" s="286" t="str">
        <f>IF(AM48="","",VLOOKUP(AM48,AN45:BE51,COLUMN()-COLUMN(BB44),FALSE))</f>
        <v/>
      </c>
      <c r="BT48" s="301" t="str">
        <f>IF(AM48="","",VLOOKUP(AM48,AN45:BE51,COLUMN()-COLUMN(BB44),FALSE))</f>
        <v/>
      </c>
    </row>
    <row r="49" spans="1:72" x14ac:dyDescent="0.2">
      <c r="A49" s="62"/>
      <c r="B49" s="280"/>
      <c r="C49" s="62"/>
      <c r="D49" s="62"/>
      <c r="E49" s="241" t="s">
        <v>12234</v>
      </c>
      <c r="F49" s="246" t="s">
        <v>11916</v>
      </c>
      <c r="G49" s="246" t="s">
        <v>8589</v>
      </c>
      <c r="H49" s="254">
        <v>7</v>
      </c>
      <c r="I49" s="254">
        <v>0</v>
      </c>
      <c r="J49" s="254"/>
      <c r="K49" s="363"/>
      <c r="L49" s="363"/>
      <c r="M49" s="63"/>
      <c r="N49" s="265" t="b">
        <f>NOT(ISERROR(ResultsTeams[[#This Row],[Goal-A]]+ResultsTeams[[#This Row],[Goal-B]]))</f>
        <v>1</v>
      </c>
      <c r="O49" s="265">
        <f>IF(ResultsTeams[[#This Row],[Type]]="G",SUM(O50:O53),IF(LEFT(ResultsTeams[[#This Row],[Type]],1)="P",IF(ResultsTeams[[#This Row],[Goal-A]]&gt;ResultsTeams[[#This Row],[Goal-B]],1,0),""))</f>
        <v>1</v>
      </c>
      <c r="P49" s="265">
        <f>IF(ResultsTeams[[#This Row],[Type]]="G",SUM(P50:P53),IF(LEFT(ResultsTeams[[#This Row],[Type]],1)="P",IF(ResultsTeams[[#This Row],[Goal-A]]&lt;ResultsTeams[[#This Row],[Goal-B]],1,0),""))</f>
        <v>0</v>
      </c>
      <c r="Q49" s="265">
        <f>IF(ResultsTeams[[#This Row],[Type]]="G",SUM(Q50:Q53),IF(LEFT(ResultsTeams[[#This Row],[Type]],1)="P",VALUE(ResultsTeams[[#This Row],[Score-A]]),""))</f>
        <v>7</v>
      </c>
      <c r="R49" s="265">
        <f>IF(ResultsTeams[[#This Row],[Type]]="G",SUM(R50:R53),IF(LEFT(ResultsTeams[[#This Row],[Type]],1)="P",VALUE(ResultsTeams[[#This Row],[Score-B]]),""))</f>
        <v>0</v>
      </c>
      <c r="S49" s="265" t="str">
        <f ca="1">IF(AND(ResultsTeams[[#This Row],[Category]]&lt;&gt;"",ResultsTeams[[#This Row],[Team A]]&lt;&gt;""),COUNTIF(INDIRECT("TeamsList[Club Name]"),ResultsTeams[[#This Row],[Team A]]),"")</f>
        <v/>
      </c>
      <c r="T49" s="265" t="str">
        <f ca="1">IF(AND(ResultsTeams[[#This Row],[Category]]&lt;&gt;"",ResultsTeams[[#This Row],[Team B]]&lt;&gt;""),COUNTIF(INDIRECT("TeamsList[Club Name]"),ResultsTeams[[#This Row],[Team B]]),"")</f>
        <v/>
      </c>
      <c r="U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-Jovi Willeijns</v>
      </c>
      <c r="V49" s="265" t="str">
        <f>IF(ResultsTeams[[#This Row],[Score_OK]],IF(ResultsTeams[[#This Row],[StageCpy]]="Groups",ResultsTeams[[#This Row],[Category]]&amp;"-"&amp;IF(ResultsTeams[[#This Row],[Team B]]="","",IF(ResultsTeams[[#This Row],[Match-A]]=ResultsTeams[[#This Row],[Match-B]],ResultsTeams[[#This Row],[Team A]],"")),""),"")</f>
        <v>-</v>
      </c>
      <c r="W49" s="265" t="str">
        <f>IF(ResultsTeams[[#This Row],[Score_OK]],IF(ResultsTeams[[#This Row],[StageCpy]]="Groups",ResultsTeams[[#This Row],[Category]]&amp;"-"&amp;IF(ResultsTeams[[#This Row],[Team B]]="","",IF(ResultsTeams[[#This Row],[Match-A]]=ResultsTeams[[#This Row],[Match-B]],ResultsTeams[[#This Row],[Team B]],"")),""),"")</f>
        <v>-</v>
      </c>
      <c r="X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-Ruby Matthews</v>
      </c>
      <c r="Y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 s="264" t="str">
        <f>IF(ResultsTeams[[#This Row],[Category]]="","",VLOOKUP(ResultsTeams[[#This Row],[Stage]],$R$1:$T$8,MATCH(ResultsTeams[[#This Row],[Category]],$S$1:$T$1,0)+1,FALSE))</f>
        <v/>
      </c>
      <c r="AC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 s="264" t="str">
        <f>IF(ResultsTeams[[#This Row],[Type]]="G",ResultsTeams[[#This Row],[Stage]],AD48)</f>
        <v>Groups</v>
      </c>
      <c r="AE49" s="395" t="str">
        <f>IF(ResultsTeams[[#This Row],[Type]]="G",INDEX(TeamsList[Club Name],MATCH(ResultsTeams[[#This Row],[Team A]],TeamsList[Team Name],0)),AE48)</f>
        <v>MVV Rijnmond</v>
      </c>
      <c r="AF49" s="395" t="str">
        <f>IF(ResultsTeams[[#This Row],[Type]]="G",INDEX(TeamsList[Club Name],MATCH(ResultsTeams[[#This Row],[Team B]],TeamsList[Team Name],0)),AF48)</f>
        <v>Avenir Subbuteo Hennuyer</v>
      </c>
      <c r="AG49" s="265"/>
      <c r="AH49" s="91"/>
      <c r="AI49" s="12">
        <f t="shared" si="33"/>
        <v>0</v>
      </c>
      <c r="AJ49" s="309"/>
      <c r="AK49" s="310"/>
      <c r="AL49" s="311"/>
      <c r="AM49" s="292" t="str">
        <f>IF(AV49="","",SMALL(AN45:AN51,ROWS(AM45:AM49)))</f>
        <v/>
      </c>
      <c r="AN49" s="293" t="str">
        <f>IF(AV49="","",RANK(AR49,AR45:AR51)*1000+ROWS(AN45:AN49))</f>
        <v/>
      </c>
      <c r="AO49" s="316" t="str">
        <f t="shared" si="26"/>
        <v/>
      </c>
      <c r="AP49" s="415" t="b">
        <f>AND(AU49&lt;&gt;"",AU49&gt;0,COUNTIF(AO45:AO51,AO49)&gt;1)</f>
        <v>0</v>
      </c>
      <c r="AQ49" s="316" t="str">
        <f t="shared" si="27"/>
        <v/>
      </c>
      <c r="AR49" s="317" t="str">
        <f t="shared" si="28"/>
        <v/>
      </c>
      <c r="AS49" s="415" t="b">
        <f>AND(AU49&lt;&gt;"",AU49&gt;0,COUNTIF(AR45:AR51,AR49)&gt;1)</f>
        <v>0</v>
      </c>
      <c r="AT49" s="355" t="str">
        <f t="shared" si="29"/>
        <v/>
      </c>
      <c r="AU49" s="356" t="str">
        <f t="shared" si="30"/>
        <v/>
      </c>
      <c r="AV49" s="356" t="str">
        <f>IF(OR(AI44="",AJ49=""),"",COUNTIF(ResultsTeams[Win],AI44&amp;"-"&amp;AJ49))</f>
        <v/>
      </c>
      <c r="AW49" s="356" t="str">
        <f>IF(OR(AI44="",AJ49=""),"",COUNTIF(ResultsTeams[[Draw1]:[Draw2]],AI44&amp;"-"&amp;AJ49))</f>
        <v/>
      </c>
      <c r="AX49" s="356" t="str">
        <f>IF(OR(AI44="",AJ49=""),"",COUNTIF(ResultsTeams[Lose],AI44&amp;"-"&amp;AJ49))</f>
        <v/>
      </c>
      <c r="AY49" s="356" t="str">
        <f>IF(OR(AI44="",AJ49=""),"",AV49-AX49)</f>
        <v/>
      </c>
      <c r="AZ49" s="356" t="str">
        <f>IF(OR(AI48="",AJ49=""),"",SUMIFS(ResultsTeams[Match-A],ResultsTeams[Stage],"Groups",ResultsTeams[Team A],AJ49)+SUMIFS(ResultsTeams[Match-B],ResultsTeams[Stage],"Groups",ResultsTeams[Team B],AJ49))</f>
        <v/>
      </c>
      <c r="BA49" s="356" t="str">
        <f>IF(OR(AI48="",AJ49=""),"",SUMIFS(ResultsTeams[Match-B],ResultsTeams[Stage],"Groups",ResultsTeams[Team A],AJ49)+SUMIFS(ResultsTeams[Match-A],ResultsTeams[Stage],"Groups",ResultsTeams[Team B],AJ49))</f>
        <v/>
      </c>
      <c r="BB49" s="356" t="str">
        <f t="shared" si="32"/>
        <v/>
      </c>
      <c r="BC49" s="356" t="str">
        <f>IF(OR(AI48="",AJ49=""),"",SUMIFS(ResultsTeams[Goal-A],ResultsTeams[Stage],"Groups",ResultsTeams[Team A],AJ49)+SUMIFS(ResultsTeams[Goal-B],ResultsTeams[Stage],"Groups",ResultsTeams[Team B],AJ49))</f>
        <v/>
      </c>
      <c r="BD49" s="356" t="str">
        <f>IF(OR(AI48="",AJ49=""),"",SUMIFS(ResultsTeams[Goal-B],ResultsTeams[Stage],"Groups",ResultsTeams[Team A],AJ49)+SUMIFS(ResultsTeams[Goal-A],ResultsTeams[Stage],"Groups",ResultsTeams[Team B],AJ49))</f>
        <v/>
      </c>
      <c r="BE49" s="357" t="str">
        <f>IF(OR(AI44="",AJ49=""),"",BC49-BD49)</f>
        <v/>
      </c>
      <c r="BF49" s="470" t="str">
        <f>IF(AM49="","",OR(VLOOKUP(AM49,AN45:BE51,3,FALSE),VLOOKUP(AM49,AN45:BE51,6,FALSE)))</f>
        <v/>
      </c>
      <c r="BG49" s="298" t="str">
        <f t="shared" si="31"/>
        <v/>
      </c>
      <c r="BH49" s="285" t="str">
        <f>IF(AM49="","",INDEX(AJ45:AJ51,MATCH(AM49,AN45:AN51,0)))</f>
        <v/>
      </c>
      <c r="BI49" s="286" t="str">
        <f>IF(AM49="","",VLOOKUP(AM49,AN45:BE51,COLUMN()-COLUMN(BB44),FALSE))</f>
        <v/>
      </c>
      <c r="BJ49" s="286" t="str">
        <f>IF(AM49="","",VLOOKUP(AM49,AN45:BE51,COLUMN()-COLUMN(BB44),FALSE))</f>
        <v/>
      </c>
      <c r="BK49" s="286" t="str">
        <f>IF(AM49="","",VLOOKUP(AM49,AN45:BE51,COLUMN()-COLUMN(BB44),FALSE))</f>
        <v/>
      </c>
      <c r="BL49" s="286" t="str">
        <f>IF(AM49="","",VLOOKUP(AM49,AN45:BE51,COLUMN()-COLUMN(BB44),FALSE))</f>
        <v/>
      </c>
      <c r="BM49" s="286" t="str">
        <f>IF(AM49="","",VLOOKUP(AM49,AN45:BE51,COLUMN()-COLUMN(BB44),FALSE))</f>
        <v/>
      </c>
      <c r="BN49" s="349" t="str">
        <f>IF(AM49="","",VLOOKUP(AM49,AN45:BE51,COLUMN()-COLUMN(BB44),FALSE))</f>
        <v/>
      </c>
      <c r="BO49" s="298" t="str">
        <f>IF(AM49="","",VLOOKUP(AM49,AN45:BE51,COLUMN()-COLUMN(BB44),FALSE))</f>
        <v/>
      </c>
      <c r="BP49" s="286" t="str">
        <f>IF(AM49="","",VLOOKUP(AM49,AN45:BE51,COLUMN()-COLUMN(BB44),FALSE))</f>
        <v/>
      </c>
      <c r="BQ49" s="301" t="str">
        <f>IF(AM49="","",VLOOKUP(AM49,AN45:BE51,COLUMN()-COLUMN(BB44),FALSE))</f>
        <v/>
      </c>
      <c r="BR49" s="352" t="str">
        <f>IF(AM49="","",VLOOKUP(AM49,AN45:BE51,COLUMN()-COLUMN(BB44),FALSE))</f>
        <v/>
      </c>
      <c r="BS49" s="286" t="str">
        <f>IF(AM49="","",VLOOKUP(AM49,AN45:BE51,COLUMN()-COLUMN(BB44),FALSE))</f>
        <v/>
      </c>
      <c r="BT49" s="301" t="str">
        <f>IF(AM49="","",VLOOKUP(AM49,AN45:BE51,COLUMN()-COLUMN(BB44),FALSE))</f>
        <v/>
      </c>
    </row>
    <row r="50" spans="1:72" x14ac:dyDescent="0.2">
      <c r="A50" s="62"/>
      <c r="B50" s="280"/>
      <c r="C50" s="62"/>
      <c r="D50" s="62"/>
      <c r="E50" s="241" t="s">
        <v>12237</v>
      </c>
      <c r="F50" s="246" t="s">
        <v>11923</v>
      </c>
      <c r="G50" s="246" t="s">
        <v>8146</v>
      </c>
      <c r="H50" s="254">
        <v>1</v>
      </c>
      <c r="I50" s="254">
        <v>1</v>
      </c>
      <c r="J50" s="254"/>
      <c r="K50" s="363"/>
      <c r="L50" s="363"/>
      <c r="M50" s="63"/>
      <c r="N50" s="265" t="b">
        <f>NOT(ISERROR(ResultsTeams[[#This Row],[Goal-A]]+ResultsTeams[[#This Row],[Goal-B]]))</f>
        <v>1</v>
      </c>
      <c r="O50" s="265">
        <f>IF(ResultsTeams[[#This Row],[Type]]="G",SUM(O51:O54),IF(LEFT(ResultsTeams[[#This Row],[Type]],1)="P",IF(ResultsTeams[[#This Row],[Goal-A]]&gt;ResultsTeams[[#This Row],[Goal-B]],1,0),""))</f>
        <v>0</v>
      </c>
      <c r="P50" s="265">
        <f>IF(ResultsTeams[[#This Row],[Type]]="G",SUM(P51:P54),IF(LEFT(ResultsTeams[[#This Row],[Type]],1)="P",IF(ResultsTeams[[#This Row],[Goal-A]]&lt;ResultsTeams[[#This Row],[Goal-B]],1,0),""))</f>
        <v>0</v>
      </c>
      <c r="Q50" s="265">
        <f>IF(ResultsTeams[[#This Row],[Type]]="G",SUM(Q51:Q54),IF(LEFT(ResultsTeams[[#This Row],[Type]],1)="P",VALUE(ResultsTeams[[#This Row],[Score-A]]),""))</f>
        <v>1</v>
      </c>
      <c r="R50" s="265">
        <f>IF(ResultsTeams[[#This Row],[Type]]="G",SUM(R51:R54),IF(LEFT(ResultsTeams[[#This Row],[Type]],1)="P",VALUE(ResultsTeams[[#This Row],[Score-B]]),""))</f>
        <v>1</v>
      </c>
      <c r="S50" s="265" t="str">
        <f ca="1">IF(AND(ResultsTeams[[#This Row],[Category]]&lt;&gt;"",ResultsTeams[[#This Row],[Team A]]&lt;&gt;""),COUNTIF(INDIRECT("TeamsList[Club Name]"),ResultsTeams[[#This Row],[Team A]]),"")</f>
        <v/>
      </c>
      <c r="T50" s="265" t="str">
        <f ca="1">IF(AND(ResultsTeams[[#This Row],[Category]]&lt;&gt;"",ResultsTeams[[#This Row],[Team B]]&lt;&gt;""),COUNTIF(INDIRECT("TeamsList[Club Name]"),ResultsTeams[[#This Row],[Team B]]),"")</f>
        <v/>
      </c>
      <c r="U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50" s="265" t="str">
        <f>IF(ResultsTeams[[#This Row],[Score_OK]],IF(ResultsTeams[[#This Row],[StageCpy]]="Groups",ResultsTeams[[#This Row],[Category]]&amp;"-"&amp;IF(ResultsTeams[[#This Row],[Team B]]="","",IF(ResultsTeams[[#This Row],[Match-A]]=ResultsTeams[[#This Row],[Match-B]],ResultsTeams[[#This Row],[Team A]],"")),""),"")</f>
        <v>-Mikey Gerrets</v>
      </c>
      <c r="W50" s="265" t="str">
        <f>IF(ResultsTeams[[#This Row],[Score_OK]],IF(ResultsTeams[[#This Row],[StageCpy]]="Groups",ResultsTeams[[#This Row],[Category]]&amp;"-"&amp;IF(ResultsTeams[[#This Row],[Team B]]="","",IF(ResultsTeams[[#This Row],[Match-A]]=ResultsTeams[[#This Row],[Match-B]],ResultsTeams[[#This Row],[Team B]],"")),""),"")</f>
        <v>-Léa Despretz</v>
      </c>
      <c r="X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 s="264" t="str">
        <f>IF(ResultsTeams[[#This Row],[Category]]="","",VLOOKUP(ResultsTeams[[#This Row],[Stage]],$R$1:$T$8,MATCH(ResultsTeams[[#This Row],[Category]],$S$1:$T$1,0)+1,FALSE))</f>
        <v/>
      </c>
      <c r="AC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 s="264" t="str">
        <f>IF(ResultsTeams[[#This Row],[Type]]="G",ResultsTeams[[#This Row],[Stage]],AD49)</f>
        <v>Groups</v>
      </c>
      <c r="AE50" s="395" t="str">
        <f>IF(ResultsTeams[[#This Row],[Type]]="G",INDEX(TeamsList[Club Name],MATCH(ResultsTeams[[#This Row],[Team A]],TeamsList[Team Name],0)),AE49)</f>
        <v>MVV Rijnmond</v>
      </c>
      <c r="AF50" s="395" t="str">
        <f>IF(ResultsTeams[[#This Row],[Type]]="G",INDEX(TeamsList[Club Name],MATCH(ResultsTeams[[#This Row],[Team B]],TeamsList[Team Name],0)),AF49)</f>
        <v>Avenir Subbuteo Hennuyer</v>
      </c>
      <c r="AG50" s="265"/>
      <c r="AI50" s="12">
        <f t="shared" si="33"/>
        <v>0</v>
      </c>
      <c r="AJ50" s="309"/>
      <c r="AK50" s="310"/>
      <c r="AL50" s="311"/>
      <c r="AM50" s="292" t="str">
        <f>IF(AV50="","",SMALL(AN45:AN51,ROWS(AM45:AM50)))</f>
        <v/>
      </c>
      <c r="AN50" s="293" t="str">
        <f>IF(AV50="","",RANK(AR50,AR45:AR51)*1000+ROWS(AN45:AN50))</f>
        <v/>
      </c>
      <c r="AO50" s="316" t="str">
        <f t="shared" si="26"/>
        <v/>
      </c>
      <c r="AP50" s="415" t="b">
        <f>AND(AU50&lt;&gt;"",AU50&gt;0,COUNTIF(AO45:AO51,AO50)&gt;1)</f>
        <v>0</v>
      </c>
      <c r="AQ50" s="316" t="str">
        <f t="shared" si="27"/>
        <v/>
      </c>
      <c r="AR50" s="317" t="str">
        <f t="shared" si="28"/>
        <v/>
      </c>
      <c r="AS50" s="415" t="b">
        <f>AND(AU50&lt;&gt;"",AU50&gt;0,COUNTIF(AR45:AR51,AR50)&gt;1)</f>
        <v>0</v>
      </c>
      <c r="AT50" s="355" t="str">
        <f t="shared" si="29"/>
        <v/>
      </c>
      <c r="AU50" s="356" t="str">
        <f t="shared" si="30"/>
        <v/>
      </c>
      <c r="AV50" s="356" t="str">
        <f>IF(OR(AI44="",AJ50=""),"",COUNTIF(ResultsTeams[Win],AI44&amp;"-"&amp;AJ50))</f>
        <v/>
      </c>
      <c r="AW50" s="356" t="str">
        <f>IF(OR(AI44="",AJ50=""),"",COUNTIF(ResultsTeams[[Draw1]:[Draw2]],AI44&amp;"-"&amp;AJ50))</f>
        <v/>
      </c>
      <c r="AX50" s="356" t="str">
        <f>IF(OR(AI44="",AJ50=""),"",COUNTIF(ResultsTeams[Lose],AI44&amp;"-"&amp;AJ50))</f>
        <v/>
      </c>
      <c r="AY50" s="356" t="str">
        <f>IF(OR(AI44="",AJ50=""),"",AV50-AX50)</f>
        <v/>
      </c>
      <c r="AZ50" s="356" t="str">
        <f>IF(OR(AI49="",AJ50=""),"",SUMIFS(ResultsTeams[Match-A],ResultsTeams[Stage],"Groups",ResultsTeams[Team A],AJ50)+SUMIFS(ResultsTeams[Match-B],ResultsTeams[Stage],"Groups",ResultsTeams[Team B],AJ50))</f>
        <v/>
      </c>
      <c r="BA50" s="356" t="str">
        <f>IF(OR(AI49="",AJ50=""),"",SUMIFS(ResultsTeams[Match-B],ResultsTeams[Stage],"Groups",ResultsTeams[Team A],AJ50)+SUMIFS(ResultsTeams[Match-A],ResultsTeams[Stage],"Groups",ResultsTeams[Team B],AJ50))</f>
        <v/>
      </c>
      <c r="BB50" s="356" t="str">
        <f t="shared" si="32"/>
        <v/>
      </c>
      <c r="BC50" s="356" t="str">
        <f>IF(OR(AI49="",AJ50=""),"",SUMIFS(ResultsTeams[Goal-A],ResultsTeams[Stage],"Groups",ResultsTeams[Team A],AJ50)+SUMIFS(ResultsTeams[Goal-B],ResultsTeams[Stage],"Groups",ResultsTeams[Team B],AJ50))</f>
        <v/>
      </c>
      <c r="BD50" s="356" t="str">
        <f>IF(OR(AI49="",AJ50=""),"",SUMIFS(ResultsTeams[Goal-B],ResultsTeams[Stage],"Groups",ResultsTeams[Team A],AJ50)+SUMIFS(ResultsTeams[Goal-A],ResultsTeams[Stage],"Groups",ResultsTeams[Team B],AJ50))</f>
        <v/>
      </c>
      <c r="BE50" s="357" t="str">
        <f>IF(OR(AI44="",AJ50=""),"",BC50-BD50)</f>
        <v/>
      </c>
      <c r="BF50" s="470" t="str">
        <f>IF(AM50="","",OR(VLOOKUP(AM50,AN45:BE51,3,FALSE),VLOOKUP(AM50,AN45:BE51,6,FALSE)))</f>
        <v/>
      </c>
      <c r="BG50" s="298" t="str">
        <f t="shared" si="31"/>
        <v/>
      </c>
      <c r="BH50" s="285" t="str">
        <f>IF(AM50="","",INDEX(AJ45:AJ51,MATCH(AM50,AN45:AN51,0)))</f>
        <v/>
      </c>
      <c r="BI50" s="286" t="str">
        <f>IF(AM50="","",VLOOKUP(AM50,AN45:BE51,COLUMN()-COLUMN(BB44),FALSE))</f>
        <v/>
      </c>
      <c r="BJ50" s="286" t="str">
        <f>IF(AM50="","",VLOOKUP(AM50,AN45:BE51,COLUMN()-COLUMN(BB44),FALSE))</f>
        <v/>
      </c>
      <c r="BK50" s="286" t="str">
        <f>IF(AM50="","",VLOOKUP(AM50,AN45:BE51,COLUMN()-COLUMN(BB44),FALSE))</f>
        <v/>
      </c>
      <c r="BL50" s="286" t="str">
        <f>IF(AM50="","",VLOOKUP(AM50,AN45:BE51,COLUMN()-COLUMN(BB44),FALSE))</f>
        <v/>
      </c>
      <c r="BM50" s="286" t="str">
        <f>IF(AM50="","",VLOOKUP(AM50,AN45:BE51,COLUMN()-COLUMN(BB44),FALSE))</f>
        <v/>
      </c>
      <c r="BN50" s="349" t="str">
        <f>IF(AM50="","",VLOOKUP(AM50,AN45:BE51,COLUMN()-COLUMN(BB44),FALSE))</f>
        <v/>
      </c>
      <c r="BO50" s="298" t="str">
        <f>IF(AM50="","",VLOOKUP(AM50,AN45:BE51,COLUMN()-COLUMN(BB44),FALSE))</f>
        <v/>
      </c>
      <c r="BP50" s="286" t="str">
        <f>IF(AM50="","",VLOOKUP(AM50,AN45:BE51,COLUMN()-COLUMN(BB44),FALSE))</f>
        <v/>
      </c>
      <c r="BQ50" s="301" t="str">
        <f>IF(AM50="","",VLOOKUP(AM50,AN45:BE51,COLUMN()-COLUMN(BB44),FALSE))</f>
        <v/>
      </c>
      <c r="BR50" s="352" t="str">
        <f>IF(AM50="","",VLOOKUP(AM50,AN45:BE51,COLUMN()-COLUMN(BB44),FALSE))</f>
        <v/>
      </c>
      <c r="BS50" s="286" t="str">
        <f>IF(AM50="","",VLOOKUP(AM50,AN45:BE51,COLUMN()-COLUMN(BB44),FALSE))</f>
        <v/>
      </c>
      <c r="BT50" s="301" t="str">
        <f>IF(AM50="","",VLOOKUP(AM50,AN45:BE51,COLUMN()-COLUMN(BB44),FALSE))</f>
        <v/>
      </c>
    </row>
    <row r="51" spans="1:72" ht="12" thickBot="1" x14ac:dyDescent="0.25">
      <c r="A51" s="62"/>
      <c r="B51" s="280"/>
      <c r="C51" s="62"/>
      <c r="D51" s="62"/>
      <c r="E51" s="241" t="s">
        <v>12240</v>
      </c>
      <c r="F51" s="246" t="s">
        <v>10462</v>
      </c>
      <c r="G51" s="246" t="s">
        <v>8151</v>
      </c>
      <c r="H51" s="254">
        <v>3</v>
      </c>
      <c r="I51" s="254">
        <v>2</v>
      </c>
      <c r="J51" s="254"/>
      <c r="K51" s="363"/>
      <c r="L51" s="363"/>
      <c r="M51" s="63"/>
      <c r="N51" s="265" t="b">
        <f>NOT(ISERROR(ResultsTeams[[#This Row],[Goal-A]]+ResultsTeams[[#This Row],[Goal-B]]))</f>
        <v>1</v>
      </c>
      <c r="O51" s="265">
        <f>IF(ResultsTeams[[#This Row],[Type]]="G",SUM(O52:O55),IF(LEFT(ResultsTeams[[#This Row],[Type]],1)="P",IF(ResultsTeams[[#This Row],[Goal-A]]&gt;ResultsTeams[[#This Row],[Goal-B]],1,0),""))</f>
        <v>1</v>
      </c>
      <c r="P51" s="265">
        <f>IF(ResultsTeams[[#This Row],[Type]]="G",SUM(P52:P55),IF(LEFT(ResultsTeams[[#This Row],[Type]],1)="P",IF(ResultsTeams[[#This Row],[Goal-A]]&lt;ResultsTeams[[#This Row],[Goal-B]],1,0),""))</f>
        <v>0</v>
      </c>
      <c r="Q51" s="265">
        <f>IF(ResultsTeams[[#This Row],[Type]]="G",SUM(Q52:Q55),IF(LEFT(ResultsTeams[[#This Row],[Type]],1)="P",VALUE(ResultsTeams[[#This Row],[Score-A]]),""))</f>
        <v>3</v>
      </c>
      <c r="R51" s="265">
        <f>IF(ResultsTeams[[#This Row],[Type]]="G",SUM(R52:R55),IF(LEFT(ResultsTeams[[#This Row],[Type]],1)="P",VALUE(ResultsTeams[[#This Row],[Score-B]]),""))</f>
        <v>2</v>
      </c>
      <c r="S51" s="265" t="str">
        <f ca="1">IF(AND(ResultsTeams[[#This Row],[Category]]&lt;&gt;"",ResultsTeams[[#This Row],[Team A]]&lt;&gt;""),COUNTIF(INDIRECT("TeamsList[Club Name]"),ResultsTeams[[#This Row],[Team A]]),"")</f>
        <v/>
      </c>
      <c r="T51" s="265" t="str">
        <f ca="1">IF(AND(ResultsTeams[[#This Row],[Category]]&lt;&gt;"",ResultsTeams[[#This Row],[Team B]]&lt;&gt;""),COUNTIF(INDIRECT("TeamsList[Club Name]"),ResultsTeams[[#This Row],[Team B]]),"")</f>
        <v/>
      </c>
      <c r="U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-Casey Van Os</v>
      </c>
      <c r="V51" s="265" t="str">
        <f>IF(ResultsTeams[[#This Row],[Score_OK]],IF(ResultsTeams[[#This Row],[StageCpy]]="Groups",ResultsTeams[[#This Row],[Category]]&amp;"-"&amp;IF(ResultsTeams[[#This Row],[Team B]]="","",IF(ResultsTeams[[#This Row],[Match-A]]=ResultsTeams[[#This Row],[Match-B]],ResultsTeams[[#This Row],[Team A]],"")),""),"")</f>
        <v>-</v>
      </c>
      <c r="W51" s="265" t="str">
        <f>IF(ResultsTeams[[#This Row],[Score_OK]],IF(ResultsTeams[[#This Row],[StageCpy]]="Groups",ResultsTeams[[#This Row],[Category]]&amp;"-"&amp;IF(ResultsTeams[[#This Row],[Team B]]="","",IF(ResultsTeams[[#This Row],[Match-A]]=ResultsTeams[[#This Row],[Match-B]],ResultsTeams[[#This Row],[Team B]],"")),""),"")</f>
        <v>-</v>
      </c>
      <c r="X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-Benoit Lagneau</v>
      </c>
      <c r="Y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 s="264" t="str">
        <f>IF(ResultsTeams[[#This Row],[Category]]="","",VLOOKUP(ResultsTeams[[#This Row],[Stage]],$R$1:$T$8,MATCH(ResultsTeams[[#This Row],[Category]],$S$1:$T$1,0)+1,FALSE))</f>
        <v/>
      </c>
      <c r="AC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 s="264" t="str">
        <f>IF(ResultsTeams[[#This Row],[Type]]="G",ResultsTeams[[#This Row],[Stage]],AD50)</f>
        <v>Groups</v>
      </c>
      <c r="AE51" s="395" t="str">
        <f>IF(ResultsTeams[[#This Row],[Type]]="G",INDEX(TeamsList[Club Name],MATCH(ResultsTeams[[#This Row],[Team A]],TeamsList[Team Name],0)),AE50)</f>
        <v>MVV Rijnmond</v>
      </c>
      <c r="AF51" s="395" t="str">
        <f>IF(ResultsTeams[[#This Row],[Type]]="G",INDEX(TeamsList[Club Name],MATCH(ResultsTeams[[#This Row],[Team B]],TeamsList[Team Name],0)),AF50)</f>
        <v>Avenir Subbuteo Hennuyer</v>
      </c>
      <c r="AG51" s="265"/>
      <c r="AI51" s="12">
        <f t="shared" si="33"/>
        <v>0</v>
      </c>
      <c r="AJ51" s="312"/>
      <c r="AK51" s="313"/>
      <c r="AL51" s="314"/>
      <c r="AM51" s="294" t="str">
        <f>IF(AV51="","",SMALL(AN45:AN51,ROWS(AM45:AM51)))</f>
        <v/>
      </c>
      <c r="AN51" s="295" t="str">
        <f>IF(AV51="","",RANK(AR51,AR45:AR51)*1000+ROWS(AN45:AN51))</f>
        <v/>
      </c>
      <c r="AO51" s="318" t="str">
        <f t="shared" si="26"/>
        <v/>
      </c>
      <c r="AP51" s="416" t="b">
        <f>AND(AU51&lt;&gt;"",AU51&gt;0,COUNTIF(AO45:AO51,AO51)&gt;1)</f>
        <v>0</v>
      </c>
      <c r="AQ51" s="318" t="str">
        <f t="shared" si="27"/>
        <v/>
      </c>
      <c r="AR51" s="319" t="str">
        <f t="shared" si="28"/>
        <v/>
      </c>
      <c r="AS51" s="416" t="b">
        <f>AND(AU51&lt;&gt;"",AU51&gt;0,COUNTIF(AR45:AR51,AR51)&gt;1)</f>
        <v>0</v>
      </c>
      <c r="AT51" s="358" t="str">
        <f t="shared" si="29"/>
        <v/>
      </c>
      <c r="AU51" s="359" t="str">
        <f t="shared" si="30"/>
        <v/>
      </c>
      <c r="AV51" s="359" t="str">
        <f>IF(OR(AI44="",AJ51=""),"",COUNTIF(ResultsTeams[Win],AI44&amp;"-"&amp;AJ51))</f>
        <v/>
      </c>
      <c r="AW51" s="359" t="str">
        <f>IF(OR(AI44="",AJ51=""),"",COUNTIF(ResultsTeams[[Draw1]:[Draw2]],AI44&amp;"-"&amp;AJ51))</f>
        <v/>
      </c>
      <c r="AX51" s="359" t="str">
        <f>IF(OR(AI44="",AJ51=""),"",COUNTIF(ResultsTeams[Lose],AI44&amp;"-"&amp;AJ51))</f>
        <v/>
      </c>
      <c r="AY51" s="359" t="str">
        <f>IF(OR(AI44="",AJ51=""),"",AV51-AX51)</f>
        <v/>
      </c>
      <c r="AZ51" s="359" t="str">
        <f>IF(OR(AI50="",AJ51=""),"",SUMIFS(ResultsTeams[Match-A],ResultsTeams[Stage],"Groups",ResultsTeams[Team A],AJ51)+SUMIFS(ResultsTeams[Match-B],ResultsTeams[Stage],"Groups",ResultsTeams[Team B],AJ51))</f>
        <v/>
      </c>
      <c r="BA51" s="359" t="str">
        <f>IF(OR(AI50="",AJ51=""),"",SUMIFS(ResultsTeams[Match-B],ResultsTeams[Stage],"Groups",ResultsTeams[Team A],AJ51)+SUMIFS(ResultsTeams[Match-A],ResultsTeams[Stage],"Groups",ResultsTeams[Team B],AJ51))</f>
        <v/>
      </c>
      <c r="BB51" s="359" t="str">
        <f t="shared" si="32"/>
        <v/>
      </c>
      <c r="BC51" s="359" t="str">
        <f>IF(OR(AI50="",AJ51=""),"",SUMIFS(ResultsTeams[Goal-A],ResultsTeams[Stage],"Groups",ResultsTeams[Team A],AJ51)+SUMIFS(ResultsTeams[Goal-B],ResultsTeams[Stage],"Groups",ResultsTeams[Team B],AJ51))</f>
        <v/>
      </c>
      <c r="BD51" s="359" t="str">
        <f>IF(OR(AI50="",AJ51=""),"",SUMIFS(ResultsTeams[Goal-B],ResultsTeams[Stage],"Groups",ResultsTeams[Team A],AJ51)+SUMIFS(ResultsTeams[Goal-A],ResultsTeams[Stage],"Groups",ResultsTeams[Team B],AJ51))</f>
        <v/>
      </c>
      <c r="BE51" s="360" t="str">
        <f>IF(OR(AI44="",AJ51=""),"",BC51-BD51)</f>
        <v/>
      </c>
      <c r="BF51" s="470" t="str">
        <f>IF(AM51="","",OR(VLOOKUP(AM51,AN45:BE51,3,FALSE),VLOOKUP(AM51,AN45:BE51,6,FALSE)))</f>
        <v/>
      </c>
      <c r="BG51" s="299" t="str">
        <f t="shared" si="31"/>
        <v/>
      </c>
      <c r="BH51" s="287" t="str">
        <f>IF(AM51="","",INDEX(AJ45:AJ51,MATCH(AM51,AN45:AN51,0)))</f>
        <v/>
      </c>
      <c r="BI51" s="288" t="str">
        <f>IF(AM51="","",VLOOKUP(AM51,AN45:BE51,COLUMN()-COLUMN(BB44),FALSE))</f>
        <v/>
      </c>
      <c r="BJ51" s="288" t="str">
        <f>IF(AM51="","",VLOOKUP(AM51,AN45:BE51,COLUMN()-COLUMN(BB44),FALSE))</f>
        <v/>
      </c>
      <c r="BK51" s="288" t="str">
        <f>IF(AM51="","",VLOOKUP(AM51,AN45:BE51,COLUMN()-COLUMN(BB44),FALSE))</f>
        <v/>
      </c>
      <c r="BL51" s="288" t="str">
        <f>IF(AM51="","",VLOOKUP(AM51,AN45:BE51,COLUMN()-COLUMN(BB44),FALSE))</f>
        <v/>
      </c>
      <c r="BM51" s="288" t="str">
        <f>IF(AM51="","",VLOOKUP(AM51,AN45:BE51,COLUMN()-COLUMN(BB44),FALSE))</f>
        <v/>
      </c>
      <c r="BN51" s="350" t="str">
        <f>IF(AM51="","",VLOOKUP(AM51,AN45:BE51,COLUMN()-COLUMN(BB44),FALSE))</f>
        <v/>
      </c>
      <c r="BO51" s="299" t="str">
        <f>IF(AM51="","",VLOOKUP(AM51,AN45:BE51,COLUMN()-COLUMN(BB44),FALSE))</f>
        <v/>
      </c>
      <c r="BP51" s="288" t="str">
        <f>IF(AM51="","",VLOOKUP(AM51,AN45:BE51,COLUMN()-COLUMN(BB44),FALSE))</f>
        <v/>
      </c>
      <c r="BQ51" s="302" t="str">
        <f>IF(AM51="","",VLOOKUP(AM51,AN45:BE51,COLUMN()-COLUMN(BB44),FALSE))</f>
        <v/>
      </c>
      <c r="BR51" s="353" t="str">
        <f>IF(AM51="","",VLOOKUP(AM51,AN45:BE51,COLUMN()-COLUMN(BB44),FALSE))</f>
        <v/>
      </c>
      <c r="BS51" s="288" t="str">
        <f>IF(AM51="","",VLOOKUP(AM51,AN45:BE51,COLUMN()-COLUMN(BB44),FALSE))</f>
        <v/>
      </c>
      <c r="BT51" s="302" t="str">
        <f>IF(AM51="","",VLOOKUP(AM51,AN45:BE51,COLUMN()-COLUMN(BB44),FALSE))</f>
        <v/>
      </c>
    </row>
    <row r="52" spans="1:72" ht="12" thickBot="1" x14ac:dyDescent="0.25">
      <c r="A52" s="62"/>
      <c r="B52" s="62"/>
      <c r="C52" s="62"/>
      <c r="D52" s="62"/>
      <c r="E52" s="241" t="s">
        <v>12243</v>
      </c>
      <c r="F52" s="247"/>
      <c r="G52" s="247"/>
      <c r="H52" s="254"/>
      <c r="I52" s="254"/>
      <c r="J52" s="260"/>
      <c r="K52" s="364"/>
      <c r="L52" s="364"/>
      <c r="M52" s="63"/>
      <c r="N52" s="265" t="b">
        <f>NOT(ISERROR(ResultsTeams[[#This Row],[Goal-A]]+ResultsTeams[[#This Row],[Goal-B]]))</f>
        <v>0</v>
      </c>
      <c r="O52" s="265" t="str">
        <f>IF(ResultsTeams[[#This Row],[Type]]="G",SUM(O53:O56),IF(LEFT(ResultsTeams[[#This Row],[Type]],1)="P",IF(ResultsTeams[[#This Row],[Goal-A]]&gt;ResultsTeams[[#This Row],[Goal-B]],1,0),""))</f>
        <v/>
      </c>
      <c r="P52" s="265" t="str">
        <f>IF(ResultsTeams[[#This Row],[Type]]="G",SUM(P53:P56),IF(LEFT(ResultsTeams[[#This Row],[Type]],1)="P",IF(ResultsTeams[[#This Row],[Goal-A]]&lt;ResultsTeams[[#This Row],[Goal-B]],1,0),""))</f>
        <v/>
      </c>
      <c r="Q52" s="265" t="str">
        <f>IF(ResultsTeams[[#This Row],[Type]]="G",SUM(Q53:Q56),IF(LEFT(ResultsTeams[[#This Row],[Type]],1)="P",VALUE(ResultsTeams[[#This Row],[Score-A]]),""))</f>
        <v/>
      </c>
      <c r="R52" s="265" t="str">
        <f>IF(ResultsTeams[[#This Row],[Type]]="G",SUM(R53:R56),IF(LEFT(ResultsTeams[[#This Row],[Type]],1)="P",VALUE(ResultsTeams[[#This Row],[Score-B]]),""))</f>
        <v/>
      </c>
      <c r="S52" s="265" t="str">
        <f ca="1">IF(AND(ResultsTeams[[#This Row],[Category]]&lt;&gt;"",ResultsTeams[[#This Row],[Team A]]&lt;&gt;""),COUNTIF(INDIRECT("TeamsList[Club Name]"),ResultsTeams[[#This Row],[Team A]]),"")</f>
        <v/>
      </c>
      <c r="T52" s="265" t="str">
        <f ca="1">IF(AND(ResultsTeams[[#This Row],[Category]]&lt;&gt;"",ResultsTeams[[#This Row],[Team B]]&lt;&gt;""),COUNTIF(INDIRECT("TeamsList[Club Name]"),ResultsTeams[[#This Row],[Team B]]),"")</f>
        <v/>
      </c>
      <c r="U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 s="265" t="str">
        <f>IF(ResultsTeams[[#This Row],[Score_OK]],IF(ResultsTeams[[#This Row],[StageCpy]]="Groups",ResultsTeams[[#This Row],[Category]]&amp;"-"&amp;IF(ResultsTeams[[#This Row],[Team B]]="","",IF(ResultsTeams[[#This Row],[Match-A]]=ResultsTeams[[#This Row],[Match-B]],ResultsTeams[[#This Row],[Team A]],"")),""),"")</f>
        <v/>
      </c>
      <c r="W52" s="265" t="str">
        <f>IF(ResultsTeams[[#This Row],[Score_OK]],IF(ResultsTeams[[#This Row],[StageCpy]]="Groups",ResultsTeams[[#This Row],[Category]]&amp;"-"&amp;IF(ResultsTeams[[#This Row],[Team B]]="","",IF(ResultsTeams[[#This Row],[Match-A]]=ResultsTeams[[#This Row],[Match-B]],ResultsTeams[[#This Row],[Team B]],"")),""),"")</f>
        <v/>
      </c>
      <c r="X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 s="264" t="str">
        <f>IF(ResultsTeams[[#This Row],[Category]]="","",VLOOKUP(ResultsTeams[[#This Row],[Stage]],$R$1:$T$8,MATCH(ResultsTeams[[#This Row],[Category]],$S$1:$T$1,0)+1,FALSE))</f>
        <v/>
      </c>
      <c r="AC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 s="264" t="str">
        <f>IF(ResultsTeams[[#This Row],[Type]]="G",ResultsTeams[[#This Row],[Stage]],AD51)</f>
        <v>Groups</v>
      </c>
      <c r="AE52" s="395" t="str">
        <f>IF(ResultsTeams[[#This Row],[Type]]="G",INDEX(TeamsList[Club Name],MATCH(ResultsTeams[[#This Row],[Team A]],TeamsList[Team Name],0)),AE51)</f>
        <v>MVV Rijnmond</v>
      </c>
      <c r="AF52" s="395" t="str">
        <f>IF(ResultsTeams[[#This Row],[Type]]="G",INDEX(TeamsList[Club Name],MATCH(ResultsTeams[[#This Row],[Team B]],TeamsList[Team Name],0)),AF51)</f>
        <v>Avenir Subbuteo Hennuyer</v>
      </c>
      <c r="AG52" s="265"/>
    </row>
    <row r="53" spans="1:72" ht="12" thickBot="1" x14ac:dyDescent="0.25">
      <c r="A53" s="83"/>
      <c r="B53" s="83"/>
      <c r="C53" s="83"/>
      <c r="D53" s="83"/>
      <c r="E53" s="268" t="s">
        <v>12244</v>
      </c>
      <c r="F53" s="262"/>
      <c r="G53" s="262"/>
      <c r="H53" s="324"/>
      <c r="I53" s="324"/>
      <c r="J53" s="263"/>
      <c r="K53" s="365"/>
      <c r="L53" s="365"/>
      <c r="M53" s="84"/>
      <c r="N53" s="265" t="b">
        <f>NOT(ISERROR(ResultsTeams[[#This Row],[Goal-A]]+ResultsTeams[[#This Row],[Goal-B]]))</f>
        <v>0</v>
      </c>
      <c r="O53" s="265" t="str">
        <f>IF(ResultsTeams[[#This Row],[Type]]="G",SUM(O54:O57),IF(LEFT(ResultsTeams[[#This Row],[Type]],1)="P",IF(ResultsTeams[[#This Row],[Goal-A]]&gt;ResultsTeams[[#This Row],[Goal-B]],1,0),""))</f>
        <v/>
      </c>
      <c r="P53" s="265" t="str">
        <f>IF(ResultsTeams[[#This Row],[Type]]="G",SUM(P54:P57),IF(LEFT(ResultsTeams[[#This Row],[Type]],1)="P",IF(ResultsTeams[[#This Row],[Goal-A]]&lt;ResultsTeams[[#This Row],[Goal-B]],1,0),""))</f>
        <v/>
      </c>
      <c r="Q53" s="265" t="str">
        <f>IF(ResultsTeams[[#This Row],[Type]]="G",SUM(Q54:Q57),IF(LEFT(ResultsTeams[[#This Row],[Type]],1)="P",VALUE(ResultsTeams[[#This Row],[Score-A]]),""))</f>
        <v/>
      </c>
      <c r="R53" s="265" t="str">
        <f>IF(ResultsTeams[[#This Row],[Type]]="G",SUM(R54:R57),IF(LEFT(ResultsTeams[[#This Row],[Type]],1)="P",VALUE(ResultsTeams[[#This Row],[Score-B]]),""))</f>
        <v/>
      </c>
      <c r="S53" s="265" t="str">
        <f ca="1">IF(AND(ResultsTeams[[#This Row],[Category]]&lt;&gt;"",ResultsTeams[[#This Row],[Team A]]&lt;&gt;""),COUNTIF(INDIRECT("TeamsList[Club Name]"),ResultsTeams[[#This Row],[Team A]]),"")</f>
        <v/>
      </c>
      <c r="T53" s="265" t="str">
        <f ca="1">IF(AND(ResultsTeams[[#This Row],[Category]]&lt;&gt;"",ResultsTeams[[#This Row],[Team B]]&lt;&gt;""),COUNTIF(INDIRECT("TeamsList[Club Name]"),ResultsTeams[[#This Row],[Team B]]),"")</f>
        <v/>
      </c>
      <c r="U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 s="265" t="str">
        <f>IF(ResultsTeams[[#This Row],[Score_OK]],IF(ResultsTeams[[#This Row],[StageCpy]]="Groups",ResultsTeams[[#This Row],[Category]]&amp;"-"&amp;IF(ResultsTeams[[#This Row],[Team B]]="","",IF(ResultsTeams[[#This Row],[Match-A]]=ResultsTeams[[#This Row],[Match-B]],ResultsTeams[[#This Row],[Team A]],"")),""),"")</f>
        <v/>
      </c>
      <c r="W53" s="265" t="str">
        <f>IF(ResultsTeams[[#This Row],[Score_OK]],IF(ResultsTeams[[#This Row],[StageCpy]]="Groups",ResultsTeams[[#This Row],[Category]]&amp;"-"&amp;IF(ResultsTeams[[#This Row],[Team B]]="","",IF(ResultsTeams[[#This Row],[Match-A]]=ResultsTeams[[#This Row],[Match-B]],ResultsTeams[[#This Row],[Team B]],"")),""),"")</f>
        <v/>
      </c>
      <c r="X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 s="264" t="str">
        <f>IF(ResultsTeams[[#This Row],[Category]]="","",VLOOKUP(ResultsTeams[[#This Row],[Stage]],$R$1:$T$8,MATCH(ResultsTeams[[#This Row],[Category]],$S$1:$T$1,0)+1,FALSE))</f>
        <v/>
      </c>
      <c r="AC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 s="264" t="str">
        <f>IF(ResultsTeams[[#This Row],[Type]]="G",ResultsTeams[[#This Row],[Stage]],AD52)</f>
        <v>Groups</v>
      </c>
      <c r="AE53" s="395" t="str">
        <f>IF(ResultsTeams[[#This Row],[Type]]="G",INDEX(TeamsList[Club Name],MATCH(ResultsTeams[[#This Row],[Team A]],TeamsList[Team Name],0)),AE52)</f>
        <v>MVV Rijnmond</v>
      </c>
      <c r="AF53" s="395" t="str">
        <f>IF(ResultsTeams[[#This Row],[Type]]="G",INDEX(TeamsList[Club Name],MATCH(ResultsTeams[[#This Row],[Team B]],TeamsList[Team Name],0)),AF52)</f>
        <v>Avenir Subbuteo Hennuyer</v>
      </c>
      <c r="AG53" s="265"/>
      <c r="AH53" s="281" t="str">
        <f>IF(AI53="","",QUOTIENT(COUNTIF(AI$26:AI53,AI53)-1,8)+1)</f>
        <v/>
      </c>
      <c r="AI53" s="315"/>
      <c r="AJ53" s="289" t="s">
        <v>14438</v>
      </c>
      <c r="AK53" s="290" t="s">
        <v>12279</v>
      </c>
      <c r="AL53" s="300" t="s">
        <v>12275</v>
      </c>
      <c r="AM53" s="296" t="s">
        <v>12276</v>
      </c>
      <c r="AN53" s="291" t="s">
        <v>12271</v>
      </c>
      <c r="AO53" s="291" t="s">
        <v>12272</v>
      </c>
      <c r="AP53" s="414" t="s">
        <v>13154</v>
      </c>
      <c r="AQ53" s="291" t="s">
        <v>12273</v>
      </c>
      <c r="AR53" s="297" t="s">
        <v>12274</v>
      </c>
      <c r="AS53" s="414" t="s">
        <v>13154</v>
      </c>
      <c r="AT53" s="296" t="s">
        <v>12199</v>
      </c>
      <c r="AU53" s="291" t="s">
        <v>12200</v>
      </c>
      <c r="AV53" s="291" t="s">
        <v>12201</v>
      </c>
      <c r="AW53" s="291" t="s">
        <v>12202</v>
      </c>
      <c r="AX53" s="291" t="s">
        <v>12203</v>
      </c>
      <c r="AY53" s="291" t="s">
        <v>12697</v>
      </c>
      <c r="AZ53" s="291" t="s">
        <v>12698</v>
      </c>
      <c r="BA53" s="291" t="s">
        <v>12699</v>
      </c>
      <c r="BB53" s="291" t="s">
        <v>12700</v>
      </c>
      <c r="BC53" s="291" t="s">
        <v>12204</v>
      </c>
      <c r="BD53" s="291" t="s">
        <v>12205</v>
      </c>
      <c r="BE53" s="297" t="s">
        <v>12206</v>
      </c>
      <c r="BF53" s="395"/>
      <c r="BG53" s="282" t="s">
        <v>12276</v>
      </c>
      <c r="BH53" s="282" t="s">
        <v>12133</v>
      </c>
      <c r="BI53" s="283" t="s">
        <v>12199</v>
      </c>
      <c r="BJ53" s="283" t="s">
        <v>12200</v>
      </c>
      <c r="BK53" s="283" t="s">
        <v>12201</v>
      </c>
      <c r="BL53" s="283" t="s">
        <v>12202</v>
      </c>
      <c r="BM53" s="283" t="s">
        <v>12203</v>
      </c>
      <c r="BN53" s="290" t="s">
        <v>12697</v>
      </c>
      <c r="BO53" s="354" t="s">
        <v>12698</v>
      </c>
      <c r="BP53" s="283" t="s">
        <v>12699</v>
      </c>
      <c r="BQ53" s="300" t="s">
        <v>12700</v>
      </c>
      <c r="BR53" s="351" t="s">
        <v>12204</v>
      </c>
      <c r="BS53" s="283" t="s">
        <v>12205</v>
      </c>
      <c r="BT53" s="300" t="s">
        <v>12206</v>
      </c>
    </row>
    <row r="54" spans="1:72" ht="12" thickBot="1" x14ac:dyDescent="0.25">
      <c r="A54" s="261" t="s">
        <v>12693</v>
      </c>
      <c r="B54" s="270" t="s">
        <v>12207</v>
      </c>
      <c r="C54" s="87">
        <v>1</v>
      </c>
      <c r="D54" s="270"/>
      <c r="E54" s="272" t="s">
        <v>12228</v>
      </c>
      <c r="F54" s="273" t="s">
        <v>14587</v>
      </c>
      <c r="G54" s="273" t="s">
        <v>789</v>
      </c>
      <c r="H54" s="275">
        <v>0</v>
      </c>
      <c r="I54" s="275">
        <v>4</v>
      </c>
      <c r="J54" s="275"/>
      <c r="K54" s="366"/>
      <c r="L54" s="366"/>
      <c r="M54" s="274"/>
      <c r="N54" s="265" t="b">
        <f>NOT(ISERROR(ResultsTeams[[#This Row],[Goal-A]]+ResultsTeams[[#This Row],[Goal-B]]))</f>
        <v>1</v>
      </c>
      <c r="O54" s="265">
        <f>IF(ResultsTeams[[#This Row],[Type]]="G",SUM(O55:O58),IF(LEFT(ResultsTeams[[#This Row],[Type]],1)="P",IF(ResultsTeams[[#This Row],[Goal-A]]&gt;ResultsTeams[[#This Row],[Goal-B]],1,0),""))</f>
        <v>0</v>
      </c>
      <c r="P54" s="265">
        <f>IF(ResultsTeams[[#This Row],[Type]]="G",SUM(P55:P58),IF(LEFT(ResultsTeams[[#This Row],[Type]],1)="P",IF(ResultsTeams[[#This Row],[Goal-A]]&lt;ResultsTeams[[#This Row],[Goal-B]],1,0),""))</f>
        <v>4</v>
      </c>
      <c r="Q54" s="265">
        <f>IF(ResultsTeams[[#This Row],[Type]]="G",SUM(Q55:Q58),IF(LEFT(ResultsTeams[[#This Row],[Type]],1)="P",VALUE(ResultsTeams[[#This Row],[Score-A]]),""))</f>
        <v>3</v>
      </c>
      <c r="R54" s="265">
        <f>IF(ResultsTeams[[#This Row],[Type]]="G",SUM(R55:R58),IF(LEFT(ResultsTeams[[#This Row],[Type]],1)="P",VALUE(ResultsTeams[[#This Row],[Score-B]]),""))</f>
        <v>26</v>
      </c>
      <c r="S54" s="265">
        <f ca="1">IF(AND(ResultsTeams[[#This Row],[Category]]&lt;&gt;"",ResultsTeams[[#This Row],[Team A]]&lt;&gt;""),COUNTIF(INDIRECT("TeamsList[Club Name]"),ResultsTeams[[#This Row],[Team A]]),"")</f>
        <v>0</v>
      </c>
      <c r="T54" s="265">
        <f ca="1">IF(AND(ResultsTeams[[#This Row],[Category]]&lt;&gt;"",ResultsTeams[[#This Row],[Team B]]&lt;&gt;""),COUNTIF(INDIRECT("TeamsList[Club Name]"),ResultsTeams[[#This Row],[Team B]]),"")</f>
        <v>1</v>
      </c>
      <c r="U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TEAM-Valletta SC</v>
      </c>
      <c r="V54" s="265" t="str">
        <f>IF(ResultsTeams[[#This Row],[Score_OK]],IF(ResultsTeams[[#This Row],[StageCpy]]="Groups",ResultsTeams[[#This Row],[Category]]&amp;"-"&amp;IF(ResultsTeams[[#This Row],[Team B]]="","",IF(ResultsTeams[[#This Row],[Match-A]]=ResultsTeams[[#This Row],[Match-B]],ResultsTeams[[#This Row],[Team A]],"")),""),"")</f>
        <v>TEAM-</v>
      </c>
      <c r="W54" s="265" t="str">
        <f>IF(ResultsTeams[[#This Row],[Score_OK]],IF(ResultsTeams[[#This Row],[StageCpy]]="Groups",ResultsTeams[[#This Row],[Category]]&amp;"-"&amp;IF(ResultsTeams[[#This Row],[Team B]]="","",IF(ResultsTeams[[#This Row],[Match-A]]=ResultsTeams[[#This Row],[Match-B]],ResultsTeams[[#This Row],[Team B]],"")),""),"")</f>
        <v>TEAM-</v>
      </c>
      <c r="X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3</v>
      </c>
      <c r="Y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A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B54" s="264" t="str">
        <f>IF(ResultsTeams[[#This Row],[Category]]="","",VLOOKUP(ResultsTeams[[#This Row],[Stage]],$R$1:$T$8,MATCH(ResultsTeams[[#This Row],[Category]],$S$1:$T$1,0)+1,FALSE))</f>
        <v>PR1</v>
      </c>
      <c r="AC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 s="264" t="str">
        <f>IF(ResultsTeams[[#This Row],[Type]]="G",ResultsTeams[[#This Row],[Stage]],AD53)</f>
        <v>Groups</v>
      </c>
      <c r="AE54" s="395" t="str">
        <f>IF(ResultsTeams[[#This Row],[Type]]="G",INDEX(TeamsList[Club Name],MATCH(ResultsTeams[[#This Row],[Team A]],TeamsList[Team Name],0)),AE53)</f>
        <v>Avenir Subbuteo Hennuyer</v>
      </c>
      <c r="AF54" s="395" t="str">
        <f>IF(ResultsTeams[[#This Row],[Type]]="G",INDEX(TeamsList[Club Name],MATCH(ResultsTeams[[#This Row],[Team B]],TeamsList[Team Name],0)),AF53)</f>
        <v>Valletta SC</v>
      </c>
      <c r="AG54" s="265"/>
      <c r="AI54" s="12">
        <f>AI53</f>
        <v>0</v>
      </c>
      <c r="AJ54" s="309"/>
      <c r="AK54" s="320"/>
      <c r="AL54" s="311"/>
      <c r="AM54" s="292" t="str">
        <f>IF(AV54="","",SMALL(AN54:AN60,ROWS(AM54:AM54)))</f>
        <v/>
      </c>
      <c r="AN54" s="293" t="str">
        <f>IF(AV54="","",RANK(AR54,AR54:AR60)*1000+ROWS(AN54:AN54))</f>
        <v/>
      </c>
      <c r="AO54" s="316" t="str">
        <f t="shared" ref="AO54:AO60" si="34">IF(AV54="","",AT54*CritClassEq1_Points+AY54*CritClassEq1_DiffRencontres+BB54*CritClassEq1_DiffMatches+BE54*CritClassEq1_DiffButs+AZ54*CritClassEq1_Matches+BC54*CritClassEq1_Attaque)</f>
        <v/>
      </c>
      <c r="AP54" s="415" t="b">
        <f>AND(AU54&lt;&gt;"",AU54&gt;0,COUNTIF(AO54:AO60,AO54)&gt;1)</f>
        <v>0</v>
      </c>
      <c r="AQ54" s="316" t="str">
        <f t="shared" ref="AQ54:AQ60" si="35">IF(AV54="","",CritClassEq_DiffPart*AK54)</f>
        <v/>
      </c>
      <c r="AR54" s="317" t="str">
        <f t="shared" ref="AR54:AR60" si="36">IF(AV54="","",AO54+AQ54+AT54*CritClassEq2_Points+AY54*CritClassEq2_DiffRencontres+BB54*CritClassEq2_DiffMatches+BE54*CritClassEq2_DiffButs+AZ54*CritClassEq2_Matches+BC54*CritClassEq2_Attaque+AL54)</f>
        <v/>
      </c>
      <c r="AS54" s="415" t="b">
        <f>AND(AU54&lt;&gt;"",AU54&gt;0,COUNTIF(AR54:AR60,AR54)&gt;1)</f>
        <v>0</v>
      </c>
      <c r="AT54" s="355" t="str">
        <f t="shared" ref="AT54:AT60" si="37">IF(AV54="","",(AV54*Points_Victoire)+AW54*Points_Null)</f>
        <v/>
      </c>
      <c r="AU54" s="356" t="str">
        <f t="shared" ref="AU54:AU60" si="38">IF(AV54="","",SUM(AV54:AX54))</f>
        <v/>
      </c>
      <c r="AV54" s="356" t="str">
        <f>IF(OR(AI53="",AJ54=""),"",COUNTIF(ResultsTeams[Win],AI53&amp;"-"&amp;AJ54))</f>
        <v/>
      </c>
      <c r="AW54" s="356" t="str">
        <f>IF(OR(AI53="",AJ54=""),"",COUNTIF(ResultsTeams[[Draw1]:[Draw2]],AI53&amp;"-"&amp;AJ54))</f>
        <v/>
      </c>
      <c r="AX54" s="356" t="str">
        <f>IF(OR(AI53="",AJ54=""),"",COUNTIF(ResultsTeams[Lose],AI53&amp;"-"&amp;AJ54))</f>
        <v/>
      </c>
      <c r="AY54" s="356" t="str">
        <f>IF(OR(AI53="",AJ54=""),"",AV54-AX54)</f>
        <v/>
      </c>
      <c r="AZ54" s="356" t="str">
        <f>IF(OR(AI53="",AJ54=""),"",SUMIFS(ResultsTeams[Match-A],ResultsTeams[Stage],"Groups",ResultsTeams[Team A],AJ54)+SUMIFS(ResultsTeams[Match-B],ResultsTeams[Stage],"Groups",ResultsTeams[Team B],AJ54))</f>
        <v/>
      </c>
      <c r="BA54" s="356" t="str">
        <f>IF(OR(AI53="",AJ54=""),"",SUMIFS(ResultsTeams[Match-B],ResultsTeams[Stage],"Groups",ResultsTeams[Team A],AJ54)+SUMIFS(ResultsTeams[Match-A],ResultsTeams[Stage],"Groups",ResultsTeams[Team B],AJ54))</f>
        <v/>
      </c>
      <c r="BB54" s="356" t="str">
        <f>IF(OR(AI53="",AJ54=""),"",AZ54-BA54)</f>
        <v/>
      </c>
      <c r="BC54" s="356" t="str">
        <f>IF(OR(AI53="",AJ54=""),"",SUMIFS(ResultsTeams[Goal-A],ResultsTeams[Stage],"Groups",ResultsTeams[Team A],AJ54)+SUMIFS(ResultsTeams[Goal-B],ResultsTeams[Stage],"Groups",ResultsTeams[Team B],AJ54))</f>
        <v/>
      </c>
      <c r="BD54" s="356" t="str">
        <f>IF(OR(AI53="",AJ54=""),"",SUMIFS(ResultsTeams[Goal-B],ResultsTeams[Stage],"Groups",ResultsTeams[Team A],AJ54)+SUMIFS(ResultsTeams[Goal-A],ResultsTeams[Stage],"Groups",ResultsTeams[Team B],AJ54))</f>
        <v/>
      </c>
      <c r="BE54" s="357" t="str">
        <f>IF(OR(AI53="",AJ54=""),"",BC54-BD54)</f>
        <v/>
      </c>
      <c r="BF54" s="470" t="str">
        <f>IF(AM54="","",OR(VLOOKUP(AM54,AN54:BE60,3,FALSE),VLOOKUP(AM54,AN54:BE60,6,FALSE)))</f>
        <v/>
      </c>
      <c r="BG54" s="298" t="str">
        <f t="shared" ref="BG54:BG60" si="39">IF(AM54="","",INT(AM54/1000))</f>
        <v/>
      </c>
      <c r="BH54" s="285" t="str">
        <f>IF(AM54="","",INDEX(AJ54:AJ60,MATCH(AM54,AN54:AN60,0)))</f>
        <v/>
      </c>
      <c r="BI54" s="286" t="str">
        <f>IF(AM54="","",VLOOKUP(AM54,AN54:BE60,COLUMN()-COLUMN(BB53),FALSE))</f>
        <v/>
      </c>
      <c r="BJ54" s="286" t="str">
        <f>IF(AM54="","",VLOOKUP(AM54,AN54:BE60,COLUMN()-COLUMN(BB53),FALSE))</f>
        <v/>
      </c>
      <c r="BK54" s="286" t="str">
        <f>IF(AM54="","",VLOOKUP(AM54,AN54:BE60,COLUMN()-COLUMN(BB53),FALSE))</f>
        <v/>
      </c>
      <c r="BL54" s="286" t="str">
        <f>IF(AM54="","",VLOOKUP(AM54,AN54:BE60,COLUMN()-COLUMN(BB53),FALSE))</f>
        <v/>
      </c>
      <c r="BM54" s="286" t="str">
        <f>IF(AM54="","",VLOOKUP(AM54,AN54:BE60,COLUMN()-COLUMN(BB53),FALSE))</f>
        <v/>
      </c>
      <c r="BN54" s="349" t="str">
        <f>IF(AM54="","",VLOOKUP(AM54,AN54:BE60,COLUMN()-COLUMN(BB53),FALSE))</f>
        <v/>
      </c>
      <c r="BO54" s="298" t="str">
        <f>IF(AM54="","",VLOOKUP(AM54,AN54:BE60,COLUMN()-COLUMN(BB53),FALSE))</f>
        <v/>
      </c>
      <c r="BP54" s="286" t="str">
        <f>IF(AM54="","",VLOOKUP(AM54,AN54:BE60,COLUMN()-COLUMN(BB53),FALSE))</f>
        <v/>
      </c>
      <c r="BQ54" s="301" t="str">
        <f>IF(AM54="","",VLOOKUP(AM54,AN54:BE60,COLUMN()-COLUMN(BB53),FALSE))</f>
        <v/>
      </c>
      <c r="BR54" s="352" t="str">
        <f>IF(AM54="","",VLOOKUP(AM54,AN54:BE60,COLUMN()-COLUMN(BB53),FALSE))</f>
        <v/>
      </c>
      <c r="BS54" s="286" t="str">
        <f>IF(AM54="","",VLOOKUP(AM54,AN54:BE60,COLUMN()-COLUMN(BB53),FALSE))</f>
        <v/>
      </c>
      <c r="BT54" s="301" t="str">
        <f>IF(AM54="","",VLOOKUP(AM54,AN54:BE60,COLUMN()-COLUMN(BB53),FALSE))</f>
        <v/>
      </c>
    </row>
    <row r="55" spans="1:72" x14ac:dyDescent="0.2">
      <c r="A55" s="60"/>
      <c r="B55" s="280"/>
      <c r="C55" s="60"/>
      <c r="D55" s="60"/>
      <c r="E55" s="240" t="s">
        <v>12231</v>
      </c>
      <c r="F55" s="244" t="s">
        <v>8589</v>
      </c>
      <c r="G55" s="244" t="s">
        <v>10436</v>
      </c>
      <c r="H55" s="253">
        <v>0</v>
      </c>
      <c r="I55" s="253">
        <v>6</v>
      </c>
      <c r="J55" s="253"/>
      <c r="K55" s="362"/>
      <c r="L55" s="362"/>
      <c r="M55" s="245"/>
      <c r="N55" s="265" t="b">
        <f>NOT(ISERROR(ResultsTeams[[#This Row],[Goal-A]]+ResultsTeams[[#This Row],[Goal-B]]))</f>
        <v>1</v>
      </c>
      <c r="O55" s="265">
        <f>IF(ResultsTeams[[#This Row],[Type]]="G",SUM(O56:O59),IF(LEFT(ResultsTeams[[#This Row],[Type]],1)="P",IF(ResultsTeams[[#This Row],[Goal-A]]&gt;ResultsTeams[[#This Row],[Goal-B]],1,0),""))</f>
        <v>0</v>
      </c>
      <c r="P55" s="265">
        <f>IF(ResultsTeams[[#This Row],[Type]]="G",SUM(P56:P59),IF(LEFT(ResultsTeams[[#This Row],[Type]],1)="P",IF(ResultsTeams[[#This Row],[Goal-A]]&lt;ResultsTeams[[#This Row],[Goal-B]],1,0),""))</f>
        <v>1</v>
      </c>
      <c r="Q55" s="265">
        <f>IF(ResultsTeams[[#This Row],[Type]]="G",SUM(Q56:Q59),IF(LEFT(ResultsTeams[[#This Row],[Type]],1)="P",VALUE(ResultsTeams[[#This Row],[Score-A]]),""))</f>
        <v>0</v>
      </c>
      <c r="R55" s="265">
        <f>IF(ResultsTeams[[#This Row],[Type]]="G",SUM(R56:R59),IF(LEFT(ResultsTeams[[#This Row],[Type]],1)="P",VALUE(ResultsTeams[[#This Row],[Score-B]]),""))</f>
        <v>6</v>
      </c>
      <c r="S55" s="265" t="str">
        <f ca="1">IF(AND(ResultsTeams[[#This Row],[Category]]&lt;&gt;"",ResultsTeams[[#This Row],[Team A]]&lt;&gt;""),COUNTIF(INDIRECT("TeamsList[Club Name]"),ResultsTeams[[#This Row],[Team A]]),"")</f>
        <v/>
      </c>
      <c r="T55" s="265" t="str">
        <f ca="1">IF(AND(ResultsTeams[[#This Row],[Category]]&lt;&gt;"",ResultsTeams[[#This Row],[Team B]]&lt;&gt;""),COUNTIF(INDIRECT("TeamsList[Club Name]"),ResultsTeams[[#This Row],[Team B]]),"")</f>
        <v/>
      </c>
      <c r="U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-Jurgen Balzan</v>
      </c>
      <c r="V55" s="265" t="str">
        <f>IF(ResultsTeams[[#This Row],[Score_OK]],IF(ResultsTeams[[#This Row],[StageCpy]]="Groups",ResultsTeams[[#This Row],[Category]]&amp;"-"&amp;IF(ResultsTeams[[#This Row],[Team B]]="","",IF(ResultsTeams[[#This Row],[Match-A]]=ResultsTeams[[#This Row],[Match-B]],ResultsTeams[[#This Row],[Team A]],"")),""),"")</f>
        <v>-</v>
      </c>
      <c r="W55" s="265" t="str">
        <f>IF(ResultsTeams[[#This Row],[Score_OK]],IF(ResultsTeams[[#This Row],[StageCpy]]="Groups",ResultsTeams[[#This Row],[Category]]&amp;"-"&amp;IF(ResultsTeams[[#This Row],[Team B]]="","",IF(ResultsTeams[[#This Row],[Match-A]]=ResultsTeams[[#This Row],[Match-B]],ResultsTeams[[#This Row],[Team B]],"")),""),"")</f>
        <v>-</v>
      </c>
      <c r="X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-Ruby Matthews</v>
      </c>
      <c r="Y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 s="264" t="str">
        <f>IF(ResultsTeams[[#This Row],[Category]]="","",VLOOKUP(ResultsTeams[[#This Row],[Stage]],$R$1:$T$8,MATCH(ResultsTeams[[#This Row],[Category]],$S$1:$T$1,0)+1,FALSE))</f>
        <v/>
      </c>
      <c r="AC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 s="264" t="str">
        <f>IF(ResultsTeams[[#This Row],[Type]]="G",ResultsTeams[[#This Row],[Stage]],AD54)</f>
        <v>Groups</v>
      </c>
      <c r="AE55" s="395" t="str">
        <f>IF(ResultsTeams[[#This Row],[Type]]="G",INDEX(TeamsList[Club Name],MATCH(ResultsTeams[[#This Row],[Team A]],TeamsList[Team Name],0)),AE54)</f>
        <v>Avenir Subbuteo Hennuyer</v>
      </c>
      <c r="AF55" s="395" t="str">
        <f>IF(ResultsTeams[[#This Row],[Type]]="G",INDEX(TeamsList[Club Name],MATCH(ResultsTeams[[#This Row],[Team B]],TeamsList[Team Name],0)),AF54)</f>
        <v>Valletta SC</v>
      </c>
      <c r="AG55" s="265"/>
      <c r="AI55" s="12">
        <f>AI54</f>
        <v>0</v>
      </c>
      <c r="AJ55" s="309"/>
      <c r="AK55" s="320"/>
      <c r="AL55" s="311"/>
      <c r="AM55" s="292" t="str">
        <f>IF(AV55="","",SMALL(AN54:AN60,ROWS(AM54:AM55)))</f>
        <v/>
      </c>
      <c r="AN55" s="293" t="str">
        <f>IF(AV55="","",RANK(AR55,AR54:AR60)*1000+ROWS(AN54:AN55))</f>
        <v/>
      </c>
      <c r="AO55" s="316" t="str">
        <f t="shared" si="34"/>
        <v/>
      </c>
      <c r="AP55" s="415" t="b">
        <f>AND(AU55&lt;&gt;"",AU55&gt;0,COUNTIF(AO54:AO60,AO55)&gt;1)</f>
        <v>0</v>
      </c>
      <c r="AQ55" s="316" t="str">
        <f t="shared" si="35"/>
        <v/>
      </c>
      <c r="AR55" s="317" t="str">
        <f t="shared" si="36"/>
        <v/>
      </c>
      <c r="AS55" s="415" t="b">
        <f>AND(AU55&lt;&gt;"",AU55&gt;0,COUNTIF(AR54:AR60,AR55)&gt;1)</f>
        <v>0</v>
      </c>
      <c r="AT55" s="355" t="str">
        <f t="shared" si="37"/>
        <v/>
      </c>
      <c r="AU55" s="356" t="str">
        <f t="shared" si="38"/>
        <v/>
      </c>
      <c r="AV55" s="356" t="str">
        <f>IF(OR(AI53="",AJ55=""),"",COUNTIF(ResultsTeams[Win],AI53&amp;"-"&amp;AJ55))</f>
        <v/>
      </c>
      <c r="AW55" s="356" t="str">
        <f>IF(OR(AI53="",AJ55=""),"",COUNTIF(ResultsTeams[[Draw1]:[Draw2]],AI53&amp;"-"&amp;AJ55))</f>
        <v/>
      </c>
      <c r="AX55" s="356" t="str">
        <f>IF(OR(AI53="",AJ55=""),"",COUNTIF(ResultsTeams[Lose],AI53&amp;"-"&amp;AJ55))</f>
        <v/>
      </c>
      <c r="AY55" s="356" t="str">
        <f>IF(OR(AI53="",AJ55=""),"",AV55-AX55)</f>
        <v/>
      </c>
      <c r="AZ55" s="356" t="str">
        <f>IF(OR(AI54="",AJ55=""),"",SUMIFS(ResultsTeams[Match-A],ResultsTeams[Stage],"Groups",ResultsTeams[Team A],AJ55)+SUMIFS(ResultsTeams[Match-B],ResultsTeams[Stage],"Groups",ResultsTeams[Team B],AJ55))</f>
        <v/>
      </c>
      <c r="BA55" s="356" t="str">
        <f>IF(OR(AI54="",AJ55=""),"",SUMIFS(ResultsTeams[Match-B],ResultsTeams[Stage],"Groups",ResultsTeams[Team A],AJ55)+SUMIFS(ResultsTeams[Match-A],ResultsTeams[Stage],"Groups",ResultsTeams[Team B],AJ55))</f>
        <v/>
      </c>
      <c r="BB55" s="356" t="str">
        <f t="shared" ref="BB55:BB60" si="40">IF(OR(AI54="",AJ55=""),"",AZ55-BA55)</f>
        <v/>
      </c>
      <c r="BC55" s="356" t="str">
        <f>IF(OR(AI54="",AJ55=""),"",SUMIFS(ResultsTeams[Goal-A],ResultsTeams[Stage],"Groups",ResultsTeams[Team A],AJ55)+SUMIFS(ResultsTeams[Goal-B],ResultsTeams[Stage],"Groups",ResultsTeams[Team B],AJ55))</f>
        <v/>
      </c>
      <c r="BD55" s="356" t="str">
        <f>IF(OR(AI54="",AJ55=""),"",SUMIFS(ResultsTeams[Goal-B],ResultsTeams[Stage],"Groups",ResultsTeams[Team A],AJ55)+SUMIFS(ResultsTeams[Goal-A],ResultsTeams[Stage],"Groups",ResultsTeams[Team B],AJ55))</f>
        <v/>
      </c>
      <c r="BE55" s="357" t="str">
        <f>IF(OR(AI53="",AJ55=""),"",BC55-BD55)</f>
        <v/>
      </c>
      <c r="BF55" s="470" t="str">
        <f>IF(AM55="","",OR(VLOOKUP(AM55,AN54:BE60,3,FALSE),VLOOKUP(AM55,AN54:BE60,6,FALSE)))</f>
        <v/>
      </c>
      <c r="BG55" s="298" t="str">
        <f t="shared" si="39"/>
        <v/>
      </c>
      <c r="BH55" s="285" t="str">
        <f>IF(AM55="","",INDEX(AJ54:AJ60,MATCH(AM55,AN54:AN60,0)))</f>
        <v/>
      </c>
      <c r="BI55" s="286" t="str">
        <f>IF(AM55="","",VLOOKUP(AM55,AN54:BE60,COLUMN()-COLUMN(BB53),FALSE))</f>
        <v/>
      </c>
      <c r="BJ55" s="286" t="str">
        <f>IF(AM55="","",VLOOKUP(AM55,AN54:BE60,COLUMN()-COLUMN(BB53),FALSE))</f>
        <v/>
      </c>
      <c r="BK55" s="286" t="str">
        <f>IF(AM55="","",VLOOKUP(AM55,AN54:BE60,COLUMN()-COLUMN(BB53),FALSE))</f>
        <v/>
      </c>
      <c r="BL55" s="286" t="str">
        <f>IF(AM55="","",VLOOKUP(AM55,AN54:BE60,COLUMN()-COLUMN(BB53),FALSE))</f>
        <v/>
      </c>
      <c r="BM55" s="286" t="str">
        <f>IF(AM55="","",VLOOKUP(AM55,AN54:BE60,COLUMN()-COLUMN(BB53),FALSE))</f>
        <v/>
      </c>
      <c r="BN55" s="349" t="str">
        <f>IF(AM55="","",VLOOKUP(AM55,AN54:BE60,COLUMN()-COLUMN(BB53),FALSE))</f>
        <v/>
      </c>
      <c r="BO55" s="298" t="str">
        <f>IF(AM55="","",VLOOKUP(AM55,AN54:BE60,COLUMN()-COLUMN(BB53),FALSE))</f>
        <v/>
      </c>
      <c r="BP55" s="286" t="str">
        <f>IF(AM55="","",VLOOKUP(AM55,AN54:BE60,COLUMN()-COLUMN(BB53),FALSE))</f>
        <v/>
      </c>
      <c r="BQ55" s="301" t="str">
        <f>IF(AM55="","",VLOOKUP(AM55,AN54:BE60,COLUMN()-COLUMN(BB53),FALSE))</f>
        <v/>
      </c>
      <c r="BR55" s="352" t="str">
        <f>IF(AM55="","",VLOOKUP(AM55,AN54:BE60,COLUMN()-COLUMN(BB53),FALSE))</f>
        <v/>
      </c>
      <c r="BS55" s="286" t="str">
        <f>IF(AM55="","",VLOOKUP(AM55,AN54:BE60,COLUMN()-COLUMN(BB53),FALSE))</f>
        <v/>
      </c>
      <c r="BT55" s="301" t="str">
        <f>IF(AM55="","",VLOOKUP(AM55,AN54:BE60,COLUMN()-COLUMN(BB53),FALSE))</f>
        <v/>
      </c>
    </row>
    <row r="56" spans="1:72" x14ac:dyDescent="0.2">
      <c r="A56" s="62"/>
      <c r="B56" s="280"/>
      <c r="C56" s="62"/>
      <c r="D56" s="62"/>
      <c r="E56" s="241" t="s">
        <v>12234</v>
      </c>
      <c r="F56" s="246" t="s">
        <v>8146</v>
      </c>
      <c r="G56" s="246" t="s">
        <v>8129</v>
      </c>
      <c r="H56" s="254">
        <v>0</v>
      </c>
      <c r="I56" s="254">
        <v>2</v>
      </c>
      <c r="J56" s="254"/>
      <c r="K56" s="363"/>
      <c r="L56" s="363"/>
      <c r="M56" s="247"/>
      <c r="N56" s="265" t="b">
        <f>NOT(ISERROR(ResultsTeams[[#This Row],[Goal-A]]+ResultsTeams[[#This Row],[Goal-B]]))</f>
        <v>1</v>
      </c>
      <c r="O56" s="265">
        <f>IF(ResultsTeams[[#This Row],[Type]]="G",SUM(O57:O60),IF(LEFT(ResultsTeams[[#This Row],[Type]],1)="P",IF(ResultsTeams[[#This Row],[Goal-A]]&gt;ResultsTeams[[#This Row],[Goal-B]],1,0),""))</f>
        <v>0</v>
      </c>
      <c r="P56" s="265">
        <f>IF(ResultsTeams[[#This Row],[Type]]="G",SUM(P57:P60),IF(LEFT(ResultsTeams[[#This Row],[Type]],1)="P",IF(ResultsTeams[[#This Row],[Goal-A]]&lt;ResultsTeams[[#This Row],[Goal-B]],1,0),""))</f>
        <v>1</v>
      </c>
      <c r="Q56" s="265">
        <f>IF(ResultsTeams[[#This Row],[Type]]="G",SUM(Q57:Q60),IF(LEFT(ResultsTeams[[#This Row],[Type]],1)="P",VALUE(ResultsTeams[[#This Row],[Score-A]]),""))</f>
        <v>0</v>
      </c>
      <c r="R56" s="265">
        <f>IF(ResultsTeams[[#This Row],[Type]]="G",SUM(R57:R60),IF(LEFT(ResultsTeams[[#This Row],[Type]],1)="P",VALUE(ResultsTeams[[#This Row],[Score-B]]),""))</f>
        <v>2</v>
      </c>
      <c r="S56" s="265" t="str">
        <f ca="1">IF(AND(ResultsTeams[[#This Row],[Category]]&lt;&gt;"",ResultsTeams[[#This Row],[Team A]]&lt;&gt;""),COUNTIF(INDIRECT("TeamsList[Club Name]"),ResultsTeams[[#This Row],[Team A]]),"")</f>
        <v/>
      </c>
      <c r="T56" s="265" t="str">
        <f ca="1">IF(AND(ResultsTeams[[#This Row],[Category]]&lt;&gt;"",ResultsTeams[[#This Row],[Team B]]&lt;&gt;""),COUNTIF(INDIRECT("TeamsList[Club Name]"),ResultsTeams[[#This Row],[Team B]]),"")</f>
        <v/>
      </c>
      <c r="U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-Pascal Scheen</v>
      </c>
      <c r="V56" s="265" t="str">
        <f>IF(ResultsTeams[[#This Row],[Score_OK]],IF(ResultsTeams[[#This Row],[StageCpy]]="Groups",ResultsTeams[[#This Row],[Category]]&amp;"-"&amp;IF(ResultsTeams[[#This Row],[Team B]]="","",IF(ResultsTeams[[#This Row],[Match-A]]=ResultsTeams[[#This Row],[Match-B]],ResultsTeams[[#This Row],[Team A]],"")),""),"")</f>
        <v>-</v>
      </c>
      <c r="W56" s="265" t="str">
        <f>IF(ResultsTeams[[#This Row],[Score_OK]],IF(ResultsTeams[[#This Row],[StageCpy]]="Groups",ResultsTeams[[#This Row],[Category]]&amp;"-"&amp;IF(ResultsTeams[[#This Row],[Team B]]="","",IF(ResultsTeams[[#This Row],[Match-A]]=ResultsTeams[[#This Row],[Match-B]],ResultsTeams[[#This Row],[Team B]],"")),""),"")</f>
        <v>-</v>
      </c>
      <c r="X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-Léa Despretz</v>
      </c>
      <c r="Y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 s="264" t="str">
        <f>IF(ResultsTeams[[#This Row],[Category]]="","",VLOOKUP(ResultsTeams[[#This Row],[Stage]],$R$1:$T$8,MATCH(ResultsTeams[[#This Row],[Category]],$S$1:$T$1,0)+1,FALSE))</f>
        <v/>
      </c>
      <c r="AC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 s="264" t="str">
        <f>IF(ResultsTeams[[#This Row],[Type]]="G",ResultsTeams[[#This Row],[Stage]],AD55)</f>
        <v>Groups</v>
      </c>
      <c r="AE56" s="395" t="str">
        <f>IF(ResultsTeams[[#This Row],[Type]]="G",INDEX(TeamsList[Club Name],MATCH(ResultsTeams[[#This Row],[Team A]],TeamsList[Team Name],0)),AE55)</f>
        <v>Avenir Subbuteo Hennuyer</v>
      </c>
      <c r="AF56" s="395" t="str">
        <f>IF(ResultsTeams[[#This Row],[Type]]="G",INDEX(TeamsList[Club Name],MATCH(ResultsTeams[[#This Row],[Team B]],TeamsList[Team Name],0)),AF55)</f>
        <v>Valletta SC</v>
      </c>
      <c r="AG56" s="265"/>
      <c r="AI56" s="12">
        <f t="shared" ref="AI56:AI60" si="41">AI55</f>
        <v>0</v>
      </c>
      <c r="AJ56" s="309"/>
      <c r="AK56" s="320"/>
      <c r="AL56" s="311"/>
      <c r="AM56" s="292" t="str">
        <f>IF(AV56="","",SMALL(AN54:AN60,ROWS(AM54:AM56)))</f>
        <v/>
      </c>
      <c r="AN56" s="293" t="str">
        <f>IF(AV56="","",RANK(AR56,AR54:AR60)*1000+ROWS(AN54:AN56))</f>
        <v/>
      </c>
      <c r="AO56" s="316" t="str">
        <f t="shared" si="34"/>
        <v/>
      </c>
      <c r="AP56" s="415" t="b">
        <f>AND(AU56&lt;&gt;"",AU56&gt;0,COUNTIF(AO54:AO60,AO56)&gt;1)</f>
        <v>0</v>
      </c>
      <c r="AQ56" s="316" t="str">
        <f t="shared" si="35"/>
        <v/>
      </c>
      <c r="AR56" s="317" t="str">
        <f t="shared" si="36"/>
        <v/>
      </c>
      <c r="AS56" s="415" t="b">
        <f>AND(AU56&lt;&gt;"",AU56&gt;0,COUNTIF(AR54:AR60,AR56)&gt;1)</f>
        <v>0</v>
      </c>
      <c r="AT56" s="355" t="str">
        <f t="shared" si="37"/>
        <v/>
      </c>
      <c r="AU56" s="356" t="str">
        <f t="shared" si="38"/>
        <v/>
      </c>
      <c r="AV56" s="356" t="str">
        <f>IF(OR(AI53="",AJ56=""),"",COUNTIF(ResultsTeams[Win],AI53&amp;"-"&amp;AJ56))</f>
        <v/>
      </c>
      <c r="AW56" s="356" t="str">
        <f>IF(OR(AI53="",AJ56=""),"",COUNTIF(ResultsTeams[[Draw1]:[Draw2]],AI53&amp;"-"&amp;AJ56))</f>
        <v/>
      </c>
      <c r="AX56" s="356" t="str">
        <f>IF(OR(AI53="",AJ56=""),"",COUNTIF(ResultsTeams[Lose],AI53&amp;"-"&amp;AJ56))</f>
        <v/>
      </c>
      <c r="AY56" s="356" t="str">
        <f>IF(OR(AI53="",AJ56=""),"",AV56-AX56)</f>
        <v/>
      </c>
      <c r="AZ56" s="356" t="str">
        <f>IF(OR(AI55="",AJ56=""),"",SUMIFS(ResultsTeams[Match-A],ResultsTeams[Stage],"Groups",ResultsTeams[Team A],AJ56)+SUMIFS(ResultsTeams[Match-B],ResultsTeams[Stage],"Groups",ResultsTeams[Team B],AJ56))</f>
        <v/>
      </c>
      <c r="BA56" s="356" t="str">
        <f>IF(OR(AI55="",AJ56=""),"",SUMIFS(ResultsTeams[Match-B],ResultsTeams[Stage],"Groups",ResultsTeams[Team A],AJ56)+SUMIFS(ResultsTeams[Match-A],ResultsTeams[Stage],"Groups",ResultsTeams[Team B],AJ56))</f>
        <v/>
      </c>
      <c r="BB56" s="356" t="str">
        <f t="shared" si="40"/>
        <v/>
      </c>
      <c r="BC56" s="356" t="str">
        <f>IF(OR(AI55="",AJ56=""),"",SUMIFS(ResultsTeams[Goal-A],ResultsTeams[Stage],"Groups",ResultsTeams[Team A],AJ56)+SUMIFS(ResultsTeams[Goal-B],ResultsTeams[Stage],"Groups",ResultsTeams[Team B],AJ56))</f>
        <v/>
      </c>
      <c r="BD56" s="356" t="str">
        <f>IF(OR(AI55="",AJ56=""),"",SUMIFS(ResultsTeams[Goal-B],ResultsTeams[Stage],"Groups",ResultsTeams[Team A],AJ56)+SUMIFS(ResultsTeams[Goal-A],ResultsTeams[Stage],"Groups",ResultsTeams[Team B],AJ56))</f>
        <v/>
      </c>
      <c r="BE56" s="357" t="str">
        <f>IF(OR(AI53="",AJ56=""),"",BC56-BD56)</f>
        <v/>
      </c>
      <c r="BF56" s="470" t="str">
        <f>IF(AM56="","",OR(VLOOKUP(AM56,AN54:BE60,3,FALSE),VLOOKUP(AM56,AN54:BE60,6,FALSE)))</f>
        <v/>
      </c>
      <c r="BG56" s="298" t="str">
        <f t="shared" si="39"/>
        <v/>
      </c>
      <c r="BH56" s="285" t="str">
        <f>IF(AM56="","",INDEX(AJ54:AJ60,MATCH(AM56,AN54:AN60,0)))</f>
        <v/>
      </c>
      <c r="BI56" s="286" t="str">
        <f>IF(AM56="","",VLOOKUP(AM56,AN54:BE60,COLUMN()-COLUMN(BB53),FALSE))</f>
        <v/>
      </c>
      <c r="BJ56" s="286" t="str">
        <f>IF(AM56="","",VLOOKUP(AM56,AN54:BE60,COLUMN()-COLUMN(BB53),FALSE))</f>
        <v/>
      </c>
      <c r="BK56" s="286" t="str">
        <f>IF(AM56="","",VLOOKUP(AM56,AN54:BE60,COLUMN()-COLUMN(BB53),FALSE))</f>
        <v/>
      </c>
      <c r="BL56" s="286" t="str">
        <f>IF(AM56="","",VLOOKUP(AM56,AN54:BE60,COLUMN()-COLUMN(BB53),FALSE))</f>
        <v/>
      </c>
      <c r="BM56" s="286" t="str">
        <f>IF(AM56="","",VLOOKUP(AM56,AN54:BE60,COLUMN()-COLUMN(BB53),FALSE))</f>
        <v/>
      </c>
      <c r="BN56" s="349" t="str">
        <f>IF(AM56="","",VLOOKUP(AM56,AN54:BE60,COLUMN()-COLUMN(BB53),FALSE))</f>
        <v/>
      </c>
      <c r="BO56" s="298" t="str">
        <f>IF(AM56="","",VLOOKUP(AM56,AN54:BE60,COLUMN()-COLUMN(BB53),FALSE))</f>
        <v/>
      </c>
      <c r="BP56" s="286" t="str">
        <f>IF(AM56="","",VLOOKUP(AM56,AN54:BE60,COLUMN()-COLUMN(BB53),FALSE))</f>
        <v/>
      </c>
      <c r="BQ56" s="301" t="str">
        <f>IF(AM56="","",VLOOKUP(AM56,AN54:BE60,COLUMN()-COLUMN(BB53),FALSE))</f>
        <v/>
      </c>
      <c r="BR56" s="352" t="str">
        <f>IF(AM56="","",VLOOKUP(AM56,AN54:BE60,COLUMN()-COLUMN(BB53),FALSE))</f>
        <v/>
      </c>
      <c r="BS56" s="286" t="str">
        <f>IF(AM56="","",VLOOKUP(AM56,AN54:BE60,COLUMN()-COLUMN(BB53),FALSE))</f>
        <v/>
      </c>
      <c r="BT56" s="301" t="str">
        <f>IF(AM56="","",VLOOKUP(AM56,AN54:BE60,COLUMN()-COLUMN(BB53),FALSE))</f>
        <v/>
      </c>
    </row>
    <row r="57" spans="1:72" x14ac:dyDescent="0.2">
      <c r="A57" s="62"/>
      <c r="B57" s="280"/>
      <c r="C57" s="62"/>
      <c r="D57" s="62"/>
      <c r="E57" s="241" t="s">
        <v>12237</v>
      </c>
      <c r="F57" s="246" t="s">
        <v>8713</v>
      </c>
      <c r="G57" s="246" t="s">
        <v>9787</v>
      </c>
      <c r="H57" s="254">
        <v>1</v>
      </c>
      <c r="I57" s="254">
        <v>11</v>
      </c>
      <c r="J57" s="254"/>
      <c r="K57" s="363"/>
      <c r="L57" s="363"/>
      <c r="M57" s="247"/>
      <c r="N57" s="265" t="b">
        <f>NOT(ISERROR(ResultsTeams[[#This Row],[Goal-A]]+ResultsTeams[[#This Row],[Goal-B]]))</f>
        <v>1</v>
      </c>
      <c r="O57" s="265">
        <f>IF(ResultsTeams[[#This Row],[Type]]="G",SUM(O58:O61),IF(LEFT(ResultsTeams[[#This Row],[Type]],1)="P",IF(ResultsTeams[[#This Row],[Goal-A]]&gt;ResultsTeams[[#This Row],[Goal-B]],1,0),""))</f>
        <v>0</v>
      </c>
      <c r="P57" s="265">
        <f>IF(ResultsTeams[[#This Row],[Type]]="G",SUM(P58:P61),IF(LEFT(ResultsTeams[[#This Row],[Type]],1)="P",IF(ResultsTeams[[#This Row],[Goal-A]]&lt;ResultsTeams[[#This Row],[Goal-B]],1,0),""))</f>
        <v>1</v>
      </c>
      <c r="Q57" s="265">
        <f>IF(ResultsTeams[[#This Row],[Type]]="G",SUM(Q58:Q61),IF(LEFT(ResultsTeams[[#This Row],[Type]],1)="P",VALUE(ResultsTeams[[#This Row],[Score-A]]),""))</f>
        <v>1</v>
      </c>
      <c r="R57" s="265">
        <f>IF(ResultsTeams[[#This Row],[Type]]="G",SUM(R58:R61),IF(LEFT(ResultsTeams[[#This Row],[Type]],1)="P",VALUE(ResultsTeams[[#This Row],[Score-B]]),""))</f>
        <v>11</v>
      </c>
      <c r="S57" s="265" t="str">
        <f ca="1">IF(AND(ResultsTeams[[#This Row],[Category]]&lt;&gt;"",ResultsTeams[[#This Row],[Team A]]&lt;&gt;""),COUNTIF(INDIRECT("TeamsList[Club Name]"),ResultsTeams[[#This Row],[Team A]]),"")</f>
        <v/>
      </c>
      <c r="T57" s="265" t="str">
        <f ca="1">IF(AND(ResultsTeams[[#This Row],[Category]]&lt;&gt;"",ResultsTeams[[#This Row],[Team B]]&lt;&gt;""),COUNTIF(INDIRECT("TeamsList[Club Name]"),ResultsTeams[[#This Row],[Team B]]),"")</f>
        <v/>
      </c>
      <c r="U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-Massimiliano Nastasi</v>
      </c>
      <c r="V57" s="265" t="str">
        <f>IF(ResultsTeams[[#This Row],[Score_OK]],IF(ResultsTeams[[#This Row],[StageCpy]]="Groups",ResultsTeams[[#This Row],[Category]]&amp;"-"&amp;IF(ResultsTeams[[#This Row],[Team B]]="","",IF(ResultsTeams[[#This Row],[Match-A]]=ResultsTeams[[#This Row],[Match-B]],ResultsTeams[[#This Row],[Team A]],"")),""),"")</f>
        <v>-</v>
      </c>
      <c r="W57" s="265" t="str">
        <f>IF(ResultsTeams[[#This Row],[Score_OK]],IF(ResultsTeams[[#This Row],[StageCpy]]="Groups",ResultsTeams[[#This Row],[Category]]&amp;"-"&amp;IF(ResultsTeams[[#This Row],[Team B]]="","",IF(ResultsTeams[[#This Row],[Match-A]]=ResultsTeams[[#This Row],[Match-B]],ResultsTeams[[#This Row],[Team B]],"")),""),"")</f>
        <v>-</v>
      </c>
      <c r="X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-Ludovic Midoux</v>
      </c>
      <c r="Y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 s="264" t="str">
        <f>IF(ResultsTeams[[#This Row],[Category]]="","",VLOOKUP(ResultsTeams[[#This Row],[Stage]],$R$1:$T$8,MATCH(ResultsTeams[[#This Row],[Category]],$S$1:$T$1,0)+1,FALSE))</f>
        <v/>
      </c>
      <c r="AC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 s="264" t="str">
        <f>IF(ResultsTeams[[#This Row],[Type]]="G",ResultsTeams[[#This Row],[Stage]],AD56)</f>
        <v>Groups</v>
      </c>
      <c r="AE57" s="395" t="str">
        <f>IF(ResultsTeams[[#This Row],[Type]]="G",INDEX(TeamsList[Club Name],MATCH(ResultsTeams[[#This Row],[Team A]],TeamsList[Team Name],0)),AE56)</f>
        <v>Avenir Subbuteo Hennuyer</v>
      </c>
      <c r="AF57" s="395" t="str">
        <f>IF(ResultsTeams[[#This Row],[Type]]="G",INDEX(TeamsList[Club Name],MATCH(ResultsTeams[[#This Row],[Team B]],TeamsList[Team Name],0)),AF56)</f>
        <v>Valletta SC</v>
      </c>
      <c r="AG57" s="265"/>
      <c r="AH57" s="91"/>
      <c r="AI57" s="12">
        <f t="shared" si="41"/>
        <v>0</v>
      </c>
      <c r="AJ57" s="309"/>
      <c r="AK57" s="310"/>
      <c r="AL57" s="311"/>
      <c r="AM57" s="292" t="str">
        <f>IF(AV57="","",SMALL(AN54:AN60,ROWS(AM54:AM57)))</f>
        <v/>
      </c>
      <c r="AN57" s="293" t="str">
        <f>IF(AV57="","",RANK(AR57,AR54:AR60)*1000+ROWS(AN54:AN57))</f>
        <v/>
      </c>
      <c r="AO57" s="316" t="str">
        <f t="shared" si="34"/>
        <v/>
      </c>
      <c r="AP57" s="415" t="b">
        <f>AND(AU57&lt;&gt;"",AU57&gt;0,COUNTIF(AO54:AO60,AO57)&gt;1)</f>
        <v>0</v>
      </c>
      <c r="AQ57" s="316" t="str">
        <f t="shared" si="35"/>
        <v/>
      </c>
      <c r="AR57" s="317" t="str">
        <f t="shared" si="36"/>
        <v/>
      </c>
      <c r="AS57" s="415" t="b">
        <f>AND(AU57&lt;&gt;"",AU57&gt;0,COUNTIF(AR54:AR60,AR57)&gt;1)</f>
        <v>0</v>
      </c>
      <c r="AT57" s="355" t="str">
        <f t="shared" si="37"/>
        <v/>
      </c>
      <c r="AU57" s="356" t="str">
        <f t="shared" si="38"/>
        <v/>
      </c>
      <c r="AV57" s="356" t="str">
        <f>IF(OR(AI53="",AJ57=""),"",COUNTIF(ResultsTeams[Win],AI53&amp;"-"&amp;AJ57))</f>
        <v/>
      </c>
      <c r="AW57" s="356" t="str">
        <f>IF(OR(AI53="",AJ57=""),"",COUNTIF(ResultsTeams[[Draw1]:[Draw2]],AI53&amp;"-"&amp;AJ57))</f>
        <v/>
      </c>
      <c r="AX57" s="356" t="str">
        <f>IF(OR(AI53="",AJ57=""),"",COUNTIF(ResultsTeams[Lose],AI53&amp;"-"&amp;AJ57))</f>
        <v/>
      </c>
      <c r="AY57" s="356" t="str">
        <f>IF(OR(AI53="",AJ57=""),"",AV57-AX57)</f>
        <v/>
      </c>
      <c r="AZ57" s="356" t="str">
        <f>IF(OR(AI56="",AJ57=""),"",SUMIFS(ResultsTeams[Match-A],ResultsTeams[Stage],"Groups",ResultsTeams[Team A],AJ57)+SUMIFS(ResultsTeams[Match-B],ResultsTeams[Stage],"Groups",ResultsTeams[Team B],AJ57))</f>
        <v/>
      </c>
      <c r="BA57" s="356" t="str">
        <f>IF(OR(AI56="",AJ57=""),"",SUMIFS(ResultsTeams[Match-B],ResultsTeams[Stage],"Groups",ResultsTeams[Team A],AJ57)+SUMIFS(ResultsTeams[Match-A],ResultsTeams[Stage],"Groups",ResultsTeams[Team B],AJ57))</f>
        <v/>
      </c>
      <c r="BB57" s="356" t="str">
        <f t="shared" si="40"/>
        <v/>
      </c>
      <c r="BC57" s="356" t="str">
        <f>IF(OR(AI56="",AJ57=""),"",SUMIFS(ResultsTeams[Goal-A],ResultsTeams[Stage],"Groups",ResultsTeams[Team A],AJ57)+SUMIFS(ResultsTeams[Goal-B],ResultsTeams[Stage],"Groups",ResultsTeams[Team B],AJ57))</f>
        <v/>
      </c>
      <c r="BD57" s="356" t="str">
        <f>IF(OR(AI56="",AJ57=""),"",SUMIFS(ResultsTeams[Goal-B],ResultsTeams[Stage],"Groups",ResultsTeams[Team A],AJ57)+SUMIFS(ResultsTeams[Goal-A],ResultsTeams[Stage],"Groups",ResultsTeams[Team B],AJ57))</f>
        <v/>
      </c>
      <c r="BE57" s="357" t="str">
        <f>IF(OR(AI53="",AJ57=""),"",BC57-BD57)</f>
        <v/>
      </c>
      <c r="BF57" s="470" t="str">
        <f>IF(AM57="","",OR(VLOOKUP(AM57,AN54:BE60,3,FALSE),VLOOKUP(AM57,AN54:BE60,6,FALSE)))</f>
        <v/>
      </c>
      <c r="BG57" s="298" t="str">
        <f t="shared" si="39"/>
        <v/>
      </c>
      <c r="BH57" s="285" t="str">
        <f>IF(AM57="","",INDEX(AJ54:AJ60,MATCH(AM57,AN54:AN60,0)))</f>
        <v/>
      </c>
      <c r="BI57" s="286" t="str">
        <f>IF(AM57="","",VLOOKUP(AM57,AN54:BE60,COLUMN()-COLUMN(BB53),FALSE))</f>
        <v/>
      </c>
      <c r="BJ57" s="286" t="str">
        <f>IF(AM57="","",VLOOKUP(AM57,AN54:BE60,COLUMN()-COLUMN(BB53),FALSE))</f>
        <v/>
      </c>
      <c r="BK57" s="286" t="str">
        <f>IF(AM57="","",VLOOKUP(AM57,AN54:BE60,COLUMN()-COLUMN(BB53),FALSE))</f>
        <v/>
      </c>
      <c r="BL57" s="286" t="str">
        <f>IF(AM57="","",VLOOKUP(AM57,AN54:BE60,COLUMN()-COLUMN(BB53),FALSE))</f>
        <v/>
      </c>
      <c r="BM57" s="286" t="str">
        <f>IF(AM57="","",VLOOKUP(AM57,AN54:BE60,COLUMN()-COLUMN(BB53),FALSE))</f>
        <v/>
      </c>
      <c r="BN57" s="349" t="str">
        <f>IF(AM57="","",VLOOKUP(AM57,AN54:BE60,COLUMN()-COLUMN(BB53),FALSE))</f>
        <v/>
      </c>
      <c r="BO57" s="298" t="str">
        <f>IF(AM57="","",VLOOKUP(AM57,AN54:BE60,COLUMN()-COLUMN(BB53),FALSE))</f>
        <v/>
      </c>
      <c r="BP57" s="286" t="str">
        <f>IF(AM57="","",VLOOKUP(AM57,AN54:BE60,COLUMN()-COLUMN(BB53),FALSE))</f>
        <v/>
      </c>
      <c r="BQ57" s="301" t="str">
        <f>IF(AM57="","",VLOOKUP(AM57,AN54:BE60,COLUMN()-COLUMN(BB53),FALSE))</f>
        <v/>
      </c>
      <c r="BR57" s="352" t="str">
        <f>IF(AM57="","",VLOOKUP(AM57,AN54:BE60,COLUMN()-COLUMN(BB53),FALSE))</f>
        <v/>
      </c>
      <c r="BS57" s="286" t="str">
        <f>IF(AM57="","",VLOOKUP(AM57,AN54:BE60,COLUMN()-COLUMN(BB53),FALSE))</f>
        <v/>
      </c>
      <c r="BT57" s="301" t="str">
        <f>IF(AM57="","",VLOOKUP(AM57,AN54:BE60,COLUMN()-COLUMN(BB53),FALSE))</f>
        <v/>
      </c>
    </row>
    <row r="58" spans="1:72" x14ac:dyDescent="0.2">
      <c r="A58" s="62"/>
      <c r="B58" s="280"/>
      <c r="C58" s="62"/>
      <c r="D58" s="62"/>
      <c r="E58" s="241" t="s">
        <v>12240</v>
      </c>
      <c r="F58" s="246" t="s">
        <v>8151</v>
      </c>
      <c r="G58" s="246" t="s">
        <v>10415</v>
      </c>
      <c r="H58" s="254">
        <v>2</v>
      </c>
      <c r="I58" s="254">
        <v>7</v>
      </c>
      <c r="J58" s="254"/>
      <c r="K58" s="363"/>
      <c r="L58" s="363"/>
      <c r="M58" s="247"/>
      <c r="N58" s="265" t="b">
        <f>NOT(ISERROR(ResultsTeams[[#This Row],[Goal-A]]+ResultsTeams[[#This Row],[Goal-B]]))</f>
        <v>1</v>
      </c>
      <c r="O58" s="265">
        <f>IF(ResultsTeams[[#This Row],[Type]]="G",SUM(O59:O62),IF(LEFT(ResultsTeams[[#This Row],[Type]],1)="P",IF(ResultsTeams[[#This Row],[Goal-A]]&gt;ResultsTeams[[#This Row],[Goal-B]],1,0),""))</f>
        <v>0</v>
      </c>
      <c r="P58" s="265">
        <f>IF(ResultsTeams[[#This Row],[Type]]="G",SUM(P59:P62),IF(LEFT(ResultsTeams[[#This Row],[Type]],1)="P",IF(ResultsTeams[[#This Row],[Goal-A]]&lt;ResultsTeams[[#This Row],[Goal-B]],1,0),""))</f>
        <v>1</v>
      </c>
      <c r="Q58" s="265">
        <f>IF(ResultsTeams[[#This Row],[Type]]="G",SUM(Q59:Q62),IF(LEFT(ResultsTeams[[#This Row],[Type]],1)="P",VALUE(ResultsTeams[[#This Row],[Score-A]]),""))</f>
        <v>2</v>
      </c>
      <c r="R58" s="265">
        <f>IF(ResultsTeams[[#This Row],[Type]]="G",SUM(R59:R62),IF(LEFT(ResultsTeams[[#This Row],[Type]],1)="P",VALUE(ResultsTeams[[#This Row],[Score-B]]),""))</f>
        <v>7</v>
      </c>
      <c r="S58" s="265" t="str">
        <f ca="1">IF(AND(ResultsTeams[[#This Row],[Category]]&lt;&gt;"",ResultsTeams[[#This Row],[Team A]]&lt;&gt;""),COUNTIF(INDIRECT("TeamsList[Club Name]"),ResultsTeams[[#This Row],[Team A]]),"")</f>
        <v/>
      </c>
      <c r="T58" s="265" t="str">
        <f ca="1">IF(AND(ResultsTeams[[#This Row],[Category]]&lt;&gt;"",ResultsTeams[[#This Row],[Team B]]&lt;&gt;""),COUNTIF(INDIRECT("TeamsList[Club Name]"),ResultsTeams[[#This Row],[Team B]]),"")</f>
        <v/>
      </c>
      <c r="U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-Samuel Bartolo</v>
      </c>
      <c r="V58" s="265" t="str">
        <f>IF(ResultsTeams[[#This Row],[Score_OK]],IF(ResultsTeams[[#This Row],[StageCpy]]="Groups",ResultsTeams[[#This Row],[Category]]&amp;"-"&amp;IF(ResultsTeams[[#This Row],[Team B]]="","",IF(ResultsTeams[[#This Row],[Match-A]]=ResultsTeams[[#This Row],[Match-B]],ResultsTeams[[#This Row],[Team A]],"")),""),"")</f>
        <v>-</v>
      </c>
      <c r="W58" s="265" t="str">
        <f>IF(ResultsTeams[[#This Row],[Score_OK]],IF(ResultsTeams[[#This Row],[StageCpy]]="Groups",ResultsTeams[[#This Row],[Category]]&amp;"-"&amp;IF(ResultsTeams[[#This Row],[Team B]]="","",IF(ResultsTeams[[#This Row],[Match-A]]=ResultsTeams[[#This Row],[Match-B]],ResultsTeams[[#This Row],[Team B]],"")),""),"")</f>
        <v>-</v>
      </c>
      <c r="X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-Benoit Lagneau</v>
      </c>
      <c r="Y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 s="264" t="str">
        <f>IF(ResultsTeams[[#This Row],[Category]]="","",VLOOKUP(ResultsTeams[[#This Row],[Stage]],$R$1:$T$8,MATCH(ResultsTeams[[#This Row],[Category]],$S$1:$T$1,0)+1,FALSE))</f>
        <v/>
      </c>
      <c r="AC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 s="264" t="str">
        <f>IF(ResultsTeams[[#This Row],[Type]]="G",ResultsTeams[[#This Row],[Stage]],AD57)</f>
        <v>Groups</v>
      </c>
      <c r="AE58" s="395" t="str">
        <f>IF(ResultsTeams[[#This Row],[Type]]="G",INDEX(TeamsList[Club Name],MATCH(ResultsTeams[[#This Row],[Team A]],TeamsList[Team Name],0)),AE57)</f>
        <v>Avenir Subbuteo Hennuyer</v>
      </c>
      <c r="AF58" s="395" t="str">
        <f>IF(ResultsTeams[[#This Row],[Type]]="G",INDEX(TeamsList[Club Name],MATCH(ResultsTeams[[#This Row],[Team B]],TeamsList[Team Name],0)),AF57)</f>
        <v>Valletta SC</v>
      </c>
      <c r="AG58" s="265"/>
      <c r="AH58" s="91"/>
      <c r="AI58" s="12">
        <f t="shared" si="41"/>
        <v>0</v>
      </c>
      <c r="AJ58" s="309"/>
      <c r="AK58" s="310"/>
      <c r="AL58" s="311"/>
      <c r="AM58" s="292" t="str">
        <f>IF(AV58="","",SMALL(AN54:AN60,ROWS(AM54:AM58)))</f>
        <v/>
      </c>
      <c r="AN58" s="293" t="str">
        <f>IF(AV58="","",RANK(AR58,AR54:AR60)*1000+ROWS(AN54:AN58))</f>
        <v/>
      </c>
      <c r="AO58" s="316" t="str">
        <f t="shared" si="34"/>
        <v/>
      </c>
      <c r="AP58" s="415" t="b">
        <f>AND(AU58&lt;&gt;"",AU58&gt;0,COUNTIF(AO54:AO60,AO58)&gt;1)</f>
        <v>0</v>
      </c>
      <c r="AQ58" s="316" t="str">
        <f t="shared" si="35"/>
        <v/>
      </c>
      <c r="AR58" s="317" t="str">
        <f t="shared" si="36"/>
        <v/>
      </c>
      <c r="AS58" s="415" t="b">
        <f>AND(AU58&lt;&gt;"",AU58&gt;0,COUNTIF(AR54:AR60,AR58)&gt;1)</f>
        <v>0</v>
      </c>
      <c r="AT58" s="355" t="str">
        <f t="shared" si="37"/>
        <v/>
      </c>
      <c r="AU58" s="356" t="str">
        <f t="shared" si="38"/>
        <v/>
      </c>
      <c r="AV58" s="356" t="str">
        <f>IF(OR(AI53="",AJ58=""),"",COUNTIF(ResultsTeams[Win],AI53&amp;"-"&amp;AJ58))</f>
        <v/>
      </c>
      <c r="AW58" s="356" t="str">
        <f>IF(OR(AI53="",AJ58=""),"",COUNTIF(ResultsTeams[[Draw1]:[Draw2]],AI53&amp;"-"&amp;AJ58))</f>
        <v/>
      </c>
      <c r="AX58" s="356" t="str">
        <f>IF(OR(AI53="",AJ58=""),"",COUNTIF(ResultsTeams[Lose],AI53&amp;"-"&amp;AJ58))</f>
        <v/>
      </c>
      <c r="AY58" s="356" t="str">
        <f>IF(OR(AI53="",AJ58=""),"",AV58-AX58)</f>
        <v/>
      </c>
      <c r="AZ58" s="356" t="str">
        <f>IF(OR(AI57="",AJ58=""),"",SUMIFS(ResultsTeams[Match-A],ResultsTeams[Stage],"Groups",ResultsTeams[Team A],AJ58)+SUMIFS(ResultsTeams[Match-B],ResultsTeams[Stage],"Groups",ResultsTeams[Team B],AJ58))</f>
        <v/>
      </c>
      <c r="BA58" s="356" t="str">
        <f>IF(OR(AI57="",AJ58=""),"",SUMIFS(ResultsTeams[Match-B],ResultsTeams[Stage],"Groups",ResultsTeams[Team A],AJ58)+SUMIFS(ResultsTeams[Match-A],ResultsTeams[Stage],"Groups",ResultsTeams[Team B],AJ58))</f>
        <v/>
      </c>
      <c r="BB58" s="356" t="str">
        <f t="shared" si="40"/>
        <v/>
      </c>
      <c r="BC58" s="356" t="str">
        <f>IF(OR(AI57="",AJ58=""),"",SUMIFS(ResultsTeams[Goal-A],ResultsTeams[Stage],"Groups",ResultsTeams[Team A],AJ58)+SUMIFS(ResultsTeams[Goal-B],ResultsTeams[Stage],"Groups",ResultsTeams[Team B],AJ58))</f>
        <v/>
      </c>
      <c r="BD58" s="356" t="str">
        <f>IF(OR(AI57="",AJ58=""),"",SUMIFS(ResultsTeams[Goal-B],ResultsTeams[Stage],"Groups",ResultsTeams[Team A],AJ58)+SUMIFS(ResultsTeams[Goal-A],ResultsTeams[Stage],"Groups",ResultsTeams[Team B],AJ58))</f>
        <v/>
      </c>
      <c r="BE58" s="357" t="str">
        <f>IF(OR(AI53="",AJ58=""),"",BC58-BD58)</f>
        <v/>
      </c>
      <c r="BF58" s="470" t="str">
        <f>IF(AM58="","",OR(VLOOKUP(AM58,AN54:BE60,3,FALSE),VLOOKUP(AM58,AN54:BE60,6,FALSE)))</f>
        <v/>
      </c>
      <c r="BG58" s="298" t="str">
        <f t="shared" si="39"/>
        <v/>
      </c>
      <c r="BH58" s="285" t="str">
        <f>IF(AM58="","",INDEX(AJ54:AJ60,MATCH(AM58,AN54:AN60,0)))</f>
        <v/>
      </c>
      <c r="BI58" s="286" t="str">
        <f>IF(AM58="","",VLOOKUP(AM58,AN54:BE60,COLUMN()-COLUMN(BB53),FALSE))</f>
        <v/>
      </c>
      <c r="BJ58" s="286" t="str">
        <f>IF(AM58="","",VLOOKUP(AM58,AN54:BE60,COLUMN()-COLUMN(BB53),FALSE))</f>
        <v/>
      </c>
      <c r="BK58" s="286" t="str">
        <f>IF(AM58="","",VLOOKUP(AM58,AN54:BE60,COLUMN()-COLUMN(BB53),FALSE))</f>
        <v/>
      </c>
      <c r="BL58" s="286" t="str">
        <f>IF(AM58="","",VLOOKUP(AM58,AN54:BE60,COLUMN()-COLUMN(BB53),FALSE))</f>
        <v/>
      </c>
      <c r="BM58" s="286" t="str">
        <f>IF(AM58="","",VLOOKUP(AM58,AN54:BE60,COLUMN()-COLUMN(BB53),FALSE))</f>
        <v/>
      </c>
      <c r="BN58" s="349" t="str">
        <f>IF(AM58="","",VLOOKUP(AM58,AN54:BE60,COLUMN()-COLUMN(BB53),FALSE))</f>
        <v/>
      </c>
      <c r="BO58" s="298" t="str">
        <f>IF(AM58="","",VLOOKUP(AM58,AN54:BE60,COLUMN()-COLUMN(BB53),FALSE))</f>
        <v/>
      </c>
      <c r="BP58" s="286" t="str">
        <f>IF(AM58="","",VLOOKUP(AM58,AN54:BE60,COLUMN()-COLUMN(BB53),FALSE))</f>
        <v/>
      </c>
      <c r="BQ58" s="301" t="str">
        <f>IF(AM58="","",VLOOKUP(AM58,AN54:BE60,COLUMN()-COLUMN(BB53),FALSE))</f>
        <v/>
      </c>
      <c r="BR58" s="352" t="str">
        <f>IF(AM58="","",VLOOKUP(AM58,AN54:BE60,COLUMN()-COLUMN(BB53),FALSE))</f>
        <v/>
      </c>
      <c r="BS58" s="286" t="str">
        <f>IF(AM58="","",VLOOKUP(AM58,AN54:BE60,COLUMN()-COLUMN(BB53),FALSE))</f>
        <v/>
      </c>
      <c r="BT58" s="301" t="str">
        <f>IF(AM58="","",VLOOKUP(AM58,AN54:BE60,COLUMN()-COLUMN(BB53),FALSE))</f>
        <v/>
      </c>
    </row>
    <row r="59" spans="1:72" x14ac:dyDescent="0.2">
      <c r="A59" s="62"/>
      <c r="B59" s="62"/>
      <c r="C59" s="62"/>
      <c r="D59" s="62"/>
      <c r="E59" s="241" t="s">
        <v>12243</v>
      </c>
      <c r="F59" s="247"/>
      <c r="G59" s="247"/>
      <c r="H59" s="254"/>
      <c r="I59" s="254"/>
      <c r="J59" s="260"/>
      <c r="K59" s="364"/>
      <c r="L59" s="364"/>
      <c r="M59" s="247"/>
      <c r="N59" s="265" t="b">
        <f>NOT(ISERROR(ResultsTeams[[#This Row],[Goal-A]]+ResultsTeams[[#This Row],[Goal-B]]))</f>
        <v>0</v>
      </c>
      <c r="O59" s="265" t="str">
        <f>IF(ResultsTeams[[#This Row],[Type]]="G",SUM(O60:O63),IF(LEFT(ResultsTeams[[#This Row],[Type]],1)="P",IF(ResultsTeams[[#This Row],[Goal-A]]&gt;ResultsTeams[[#This Row],[Goal-B]],1,0),""))</f>
        <v/>
      </c>
      <c r="P59" s="265" t="str">
        <f>IF(ResultsTeams[[#This Row],[Type]]="G",SUM(P60:P63),IF(LEFT(ResultsTeams[[#This Row],[Type]],1)="P",IF(ResultsTeams[[#This Row],[Goal-A]]&lt;ResultsTeams[[#This Row],[Goal-B]],1,0),""))</f>
        <v/>
      </c>
      <c r="Q59" s="265" t="str">
        <f>IF(ResultsTeams[[#This Row],[Type]]="G",SUM(Q60:Q63),IF(LEFT(ResultsTeams[[#This Row],[Type]],1)="P",VALUE(ResultsTeams[[#This Row],[Score-A]]),""))</f>
        <v/>
      </c>
      <c r="R59" s="265" t="str">
        <f>IF(ResultsTeams[[#This Row],[Type]]="G",SUM(R60:R63),IF(LEFT(ResultsTeams[[#This Row],[Type]],1)="P",VALUE(ResultsTeams[[#This Row],[Score-B]]),""))</f>
        <v/>
      </c>
      <c r="S59" s="265" t="str">
        <f ca="1">IF(AND(ResultsTeams[[#This Row],[Category]]&lt;&gt;"",ResultsTeams[[#This Row],[Team A]]&lt;&gt;""),COUNTIF(INDIRECT("TeamsList[Club Name]"),ResultsTeams[[#This Row],[Team A]]),"")</f>
        <v/>
      </c>
      <c r="T59" s="265" t="str">
        <f ca="1">IF(AND(ResultsTeams[[#This Row],[Category]]&lt;&gt;"",ResultsTeams[[#This Row],[Team B]]&lt;&gt;""),COUNTIF(INDIRECT("TeamsList[Club Name]"),ResultsTeams[[#This Row],[Team B]]),"")</f>
        <v/>
      </c>
      <c r="U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 s="265" t="str">
        <f>IF(ResultsTeams[[#This Row],[Score_OK]],IF(ResultsTeams[[#This Row],[StageCpy]]="Groups",ResultsTeams[[#This Row],[Category]]&amp;"-"&amp;IF(ResultsTeams[[#This Row],[Team B]]="","",IF(ResultsTeams[[#This Row],[Match-A]]=ResultsTeams[[#This Row],[Match-B]],ResultsTeams[[#This Row],[Team A]],"")),""),"")</f>
        <v/>
      </c>
      <c r="W59" s="265" t="str">
        <f>IF(ResultsTeams[[#This Row],[Score_OK]],IF(ResultsTeams[[#This Row],[StageCpy]]="Groups",ResultsTeams[[#This Row],[Category]]&amp;"-"&amp;IF(ResultsTeams[[#This Row],[Team B]]="","",IF(ResultsTeams[[#This Row],[Match-A]]=ResultsTeams[[#This Row],[Match-B]],ResultsTeams[[#This Row],[Team B]],"")),""),"")</f>
        <v/>
      </c>
      <c r="X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 s="264" t="str">
        <f>IF(ResultsTeams[[#This Row],[Category]]="","",VLOOKUP(ResultsTeams[[#This Row],[Stage]],$R$1:$T$8,MATCH(ResultsTeams[[#This Row],[Category]],$S$1:$T$1,0)+1,FALSE))</f>
        <v/>
      </c>
      <c r="AC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 s="264" t="str">
        <f>IF(ResultsTeams[[#This Row],[Type]]="G",ResultsTeams[[#This Row],[Stage]],AD58)</f>
        <v>Groups</v>
      </c>
      <c r="AE59" s="395" t="str">
        <f>IF(ResultsTeams[[#This Row],[Type]]="G",INDEX(TeamsList[Club Name],MATCH(ResultsTeams[[#This Row],[Team A]],TeamsList[Team Name],0)),AE58)</f>
        <v>Avenir Subbuteo Hennuyer</v>
      </c>
      <c r="AF59" s="395" t="str">
        <f>IF(ResultsTeams[[#This Row],[Type]]="G",INDEX(TeamsList[Club Name],MATCH(ResultsTeams[[#This Row],[Team B]],TeamsList[Team Name],0)),AF58)</f>
        <v>Valletta SC</v>
      </c>
      <c r="AG59" s="265"/>
      <c r="AI59" s="12">
        <f t="shared" si="41"/>
        <v>0</v>
      </c>
      <c r="AJ59" s="309"/>
      <c r="AK59" s="310"/>
      <c r="AL59" s="311"/>
      <c r="AM59" s="292" t="str">
        <f>IF(AV59="","",SMALL(AN54:AN60,ROWS(AM54:AM59)))</f>
        <v/>
      </c>
      <c r="AN59" s="293" t="str">
        <f>IF(AV59="","",RANK(AR59,AR54:AR60)*1000+ROWS(AN54:AN59))</f>
        <v/>
      </c>
      <c r="AO59" s="316" t="str">
        <f t="shared" si="34"/>
        <v/>
      </c>
      <c r="AP59" s="415" t="b">
        <f>AND(AU59&lt;&gt;"",AU59&gt;0,COUNTIF(AO54:AO60,AO59)&gt;1)</f>
        <v>0</v>
      </c>
      <c r="AQ59" s="316" t="str">
        <f t="shared" si="35"/>
        <v/>
      </c>
      <c r="AR59" s="317" t="str">
        <f t="shared" si="36"/>
        <v/>
      </c>
      <c r="AS59" s="415" t="b">
        <f>AND(AU59&lt;&gt;"",AU59&gt;0,COUNTIF(AR54:AR60,AR59)&gt;1)</f>
        <v>0</v>
      </c>
      <c r="AT59" s="355" t="str">
        <f t="shared" si="37"/>
        <v/>
      </c>
      <c r="AU59" s="356" t="str">
        <f t="shared" si="38"/>
        <v/>
      </c>
      <c r="AV59" s="356" t="str">
        <f>IF(OR(AI53="",AJ59=""),"",COUNTIF(ResultsTeams[Win],AI53&amp;"-"&amp;AJ59))</f>
        <v/>
      </c>
      <c r="AW59" s="356" t="str">
        <f>IF(OR(AI53="",AJ59=""),"",COUNTIF(ResultsTeams[[Draw1]:[Draw2]],AI53&amp;"-"&amp;AJ59))</f>
        <v/>
      </c>
      <c r="AX59" s="356" t="str">
        <f>IF(OR(AI53="",AJ59=""),"",COUNTIF(ResultsTeams[Lose],AI53&amp;"-"&amp;AJ59))</f>
        <v/>
      </c>
      <c r="AY59" s="356" t="str">
        <f>IF(OR(AI53="",AJ59=""),"",AV59-AX59)</f>
        <v/>
      </c>
      <c r="AZ59" s="356" t="str">
        <f>IF(OR(AI58="",AJ59=""),"",SUMIFS(ResultsTeams[Match-A],ResultsTeams[Stage],"Groups",ResultsTeams[Team A],AJ59)+SUMIFS(ResultsTeams[Match-B],ResultsTeams[Stage],"Groups",ResultsTeams[Team B],AJ59))</f>
        <v/>
      </c>
      <c r="BA59" s="356" t="str">
        <f>IF(OR(AI58="",AJ59=""),"",SUMIFS(ResultsTeams[Match-B],ResultsTeams[Stage],"Groups",ResultsTeams[Team A],AJ59)+SUMIFS(ResultsTeams[Match-A],ResultsTeams[Stage],"Groups",ResultsTeams[Team B],AJ59))</f>
        <v/>
      </c>
      <c r="BB59" s="356" t="str">
        <f t="shared" si="40"/>
        <v/>
      </c>
      <c r="BC59" s="356" t="str">
        <f>IF(OR(AI58="",AJ59=""),"",SUMIFS(ResultsTeams[Goal-A],ResultsTeams[Stage],"Groups",ResultsTeams[Team A],AJ59)+SUMIFS(ResultsTeams[Goal-B],ResultsTeams[Stage],"Groups",ResultsTeams[Team B],AJ59))</f>
        <v/>
      </c>
      <c r="BD59" s="356" t="str">
        <f>IF(OR(AI58="",AJ59=""),"",SUMIFS(ResultsTeams[Goal-B],ResultsTeams[Stage],"Groups",ResultsTeams[Team A],AJ59)+SUMIFS(ResultsTeams[Goal-A],ResultsTeams[Stage],"Groups",ResultsTeams[Team B],AJ59))</f>
        <v/>
      </c>
      <c r="BE59" s="357" t="str">
        <f>IF(OR(AI53="",AJ59=""),"",BC59-BD59)</f>
        <v/>
      </c>
      <c r="BF59" s="470" t="str">
        <f>IF(AM59="","",OR(VLOOKUP(AM59,AN54:BE60,3,FALSE),VLOOKUP(AM59,AN54:BE60,6,FALSE)))</f>
        <v/>
      </c>
      <c r="BG59" s="298" t="str">
        <f t="shared" si="39"/>
        <v/>
      </c>
      <c r="BH59" s="285" t="str">
        <f>IF(AM59="","",INDEX(AJ54:AJ60,MATCH(AM59,AN54:AN60,0)))</f>
        <v/>
      </c>
      <c r="BI59" s="286" t="str">
        <f>IF(AM59="","",VLOOKUP(AM59,AN54:BE60,COLUMN()-COLUMN(BB53),FALSE))</f>
        <v/>
      </c>
      <c r="BJ59" s="286" t="str">
        <f>IF(AM59="","",VLOOKUP(AM59,AN54:BE60,COLUMN()-COLUMN(BB53),FALSE))</f>
        <v/>
      </c>
      <c r="BK59" s="286" t="str">
        <f>IF(AM59="","",VLOOKUP(AM59,AN54:BE60,COLUMN()-COLUMN(BB53),FALSE))</f>
        <v/>
      </c>
      <c r="BL59" s="286" t="str">
        <f>IF(AM59="","",VLOOKUP(AM59,AN54:BE60,COLUMN()-COLUMN(BB53),FALSE))</f>
        <v/>
      </c>
      <c r="BM59" s="286" t="str">
        <f>IF(AM59="","",VLOOKUP(AM59,AN54:BE60,COLUMN()-COLUMN(BB53),FALSE))</f>
        <v/>
      </c>
      <c r="BN59" s="349" t="str">
        <f>IF(AM59="","",VLOOKUP(AM59,AN54:BE60,COLUMN()-COLUMN(BB53),FALSE))</f>
        <v/>
      </c>
      <c r="BO59" s="298" t="str">
        <f>IF(AM59="","",VLOOKUP(AM59,AN54:BE60,COLUMN()-COLUMN(BB53),FALSE))</f>
        <v/>
      </c>
      <c r="BP59" s="286" t="str">
        <f>IF(AM59="","",VLOOKUP(AM59,AN54:BE60,COLUMN()-COLUMN(BB53),FALSE))</f>
        <v/>
      </c>
      <c r="BQ59" s="301" t="str">
        <f>IF(AM59="","",VLOOKUP(AM59,AN54:BE60,COLUMN()-COLUMN(BB53),FALSE))</f>
        <v/>
      </c>
      <c r="BR59" s="352" t="str">
        <f>IF(AM59="","",VLOOKUP(AM59,AN54:BE60,COLUMN()-COLUMN(BB53),FALSE))</f>
        <v/>
      </c>
      <c r="BS59" s="286" t="str">
        <f>IF(AM59="","",VLOOKUP(AM59,AN54:BE60,COLUMN()-COLUMN(BB53),FALSE))</f>
        <v/>
      </c>
      <c r="BT59" s="301" t="str">
        <f>IF(AM59="","",VLOOKUP(AM59,AN54:BE60,COLUMN()-COLUMN(BB53),FALSE))</f>
        <v/>
      </c>
    </row>
    <row r="60" spans="1:72" ht="12" thickBot="1" x14ac:dyDescent="0.25">
      <c r="A60" s="83"/>
      <c r="B60" s="83"/>
      <c r="C60" s="83"/>
      <c r="D60" s="83"/>
      <c r="E60" s="268" t="s">
        <v>12244</v>
      </c>
      <c r="F60" s="262"/>
      <c r="G60" s="262"/>
      <c r="H60" s="324"/>
      <c r="I60" s="324"/>
      <c r="J60" s="263"/>
      <c r="K60" s="365"/>
      <c r="L60" s="365"/>
      <c r="M60" s="262"/>
      <c r="N60" s="265" t="b">
        <f>NOT(ISERROR(ResultsTeams[[#This Row],[Goal-A]]+ResultsTeams[[#This Row],[Goal-B]]))</f>
        <v>0</v>
      </c>
      <c r="O60" s="265" t="str">
        <f>IF(ResultsTeams[[#This Row],[Type]]="G",SUM(O61:O64),IF(LEFT(ResultsTeams[[#This Row],[Type]],1)="P",IF(ResultsTeams[[#This Row],[Goal-A]]&gt;ResultsTeams[[#This Row],[Goal-B]],1,0),""))</f>
        <v/>
      </c>
      <c r="P60" s="265" t="str">
        <f>IF(ResultsTeams[[#This Row],[Type]]="G",SUM(P61:P64),IF(LEFT(ResultsTeams[[#This Row],[Type]],1)="P",IF(ResultsTeams[[#This Row],[Goal-A]]&lt;ResultsTeams[[#This Row],[Goal-B]],1,0),""))</f>
        <v/>
      </c>
      <c r="Q60" s="265" t="str">
        <f>IF(ResultsTeams[[#This Row],[Type]]="G",SUM(Q61:Q64),IF(LEFT(ResultsTeams[[#This Row],[Type]],1)="P",VALUE(ResultsTeams[[#This Row],[Score-A]]),""))</f>
        <v/>
      </c>
      <c r="R60" s="265" t="str">
        <f>IF(ResultsTeams[[#This Row],[Type]]="G",SUM(R61:R64),IF(LEFT(ResultsTeams[[#This Row],[Type]],1)="P",VALUE(ResultsTeams[[#This Row],[Score-B]]),""))</f>
        <v/>
      </c>
      <c r="S60" s="265" t="str">
        <f ca="1">IF(AND(ResultsTeams[[#This Row],[Category]]&lt;&gt;"",ResultsTeams[[#This Row],[Team A]]&lt;&gt;""),COUNTIF(INDIRECT("TeamsList[Club Name]"),ResultsTeams[[#This Row],[Team A]]),"")</f>
        <v/>
      </c>
      <c r="T60" s="265" t="str">
        <f ca="1">IF(AND(ResultsTeams[[#This Row],[Category]]&lt;&gt;"",ResultsTeams[[#This Row],[Team B]]&lt;&gt;""),COUNTIF(INDIRECT("TeamsList[Club Name]"),ResultsTeams[[#This Row],[Team B]]),"")</f>
        <v/>
      </c>
      <c r="U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 s="265" t="str">
        <f>IF(ResultsTeams[[#This Row],[Score_OK]],IF(ResultsTeams[[#This Row],[StageCpy]]="Groups",ResultsTeams[[#This Row],[Category]]&amp;"-"&amp;IF(ResultsTeams[[#This Row],[Team B]]="","",IF(ResultsTeams[[#This Row],[Match-A]]=ResultsTeams[[#This Row],[Match-B]],ResultsTeams[[#This Row],[Team A]],"")),""),"")</f>
        <v/>
      </c>
      <c r="W60" s="265" t="str">
        <f>IF(ResultsTeams[[#This Row],[Score_OK]],IF(ResultsTeams[[#This Row],[StageCpy]]="Groups",ResultsTeams[[#This Row],[Category]]&amp;"-"&amp;IF(ResultsTeams[[#This Row],[Team B]]="","",IF(ResultsTeams[[#This Row],[Match-A]]=ResultsTeams[[#This Row],[Match-B]],ResultsTeams[[#This Row],[Team B]],"")),""),"")</f>
        <v/>
      </c>
      <c r="X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 s="264" t="str">
        <f>IF(ResultsTeams[[#This Row],[Category]]="","",VLOOKUP(ResultsTeams[[#This Row],[Stage]],$R$1:$T$8,MATCH(ResultsTeams[[#This Row],[Category]],$S$1:$T$1,0)+1,FALSE))</f>
        <v/>
      </c>
      <c r="AC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 s="264" t="str">
        <f>IF(ResultsTeams[[#This Row],[Type]]="G",ResultsTeams[[#This Row],[Stage]],AD59)</f>
        <v>Groups</v>
      </c>
      <c r="AE60" s="395" t="str">
        <f>IF(ResultsTeams[[#This Row],[Type]]="G",INDEX(TeamsList[Club Name],MATCH(ResultsTeams[[#This Row],[Team A]],TeamsList[Team Name],0)),AE59)</f>
        <v>Avenir Subbuteo Hennuyer</v>
      </c>
      <c r="AF60" s="395" t="str">
        <f>IF(ResultsTeams[[#This Row],[Type]]="G",INDEX(TeamsList[Club Name],MATCH(ResultsTeams[[#This Row],[Team B]],TeamsList[Team Name],0)),AF59)</f>
        <v>Valletta SC</v>
      </c>
      <c r="AG60" s="265"/>
      <c r="AI60" s="12">
        <f t="shared" si="41"/>
        <v>0</v>
      </c>
      <c r="AJ60" s="312"/>
      <c r="AK60" s="313"/>
      <c r="AL60" s="314"/>
      <c r="AM60" s="294" t="str">
        <f>IF(AV60="","",SMALL(AN54:AN60,ROWS(AM54:AM60)))</f>
        <v/>
      </c>
      <c r="AN60" s="295" t="str">
        <f>IF(AV60="","",RANK(AR60,AR54:AR60)*1000+ROWS(AN54:AN60))</f>
        <v/>
      </c>
      <c r="AO60" s="318" t="str">
        <f t="shared" si="34"/>
        <v/>
      </c>
      <c r="AP60" s="416" t="b">
        <f>AND(AU60&lt;&gt;"",AU60&gt;0,COUNTIF(AO54:AO60,AO60)&gt;1)</f>
        <v>0</v>
      </c>
      <c r="AQ60" s="318" t="str">
        <f t="shared" si="35"/>
        <v/>
      </c>
      <c r="AR60" s="319" t="str">
        <f t="shared" si="36"/>
        <v/>
      </c>
      <c r="AS60" s="416" t="b">
        <f>AND(AU60&lt;&gt;"",AU60&gt;0,COUNTIF(AR54:AR60,AR60)&gt;1)</f>
        <v>0</v>
      </c>
      <c r="AT60" s="358" t="str">
        <f t="shared" si="37"/>
        <v/>
      </c>
      <c r="AU60" s="359" t="str">
        <f t="shared" si="38"/>
        <v/>
      </c>
      <c r="AV60" s="359" t="str">
        <f>IF(OR(AI53="",AJ60=""),"",COUNTIF(ResultsTeams[Win],AI53&amp;"-"&amp;AJ60))</f>
        <v/>
      </c>
      <c r="AW60" s="359" t="str">
        <f>IF(OR(AI53="",AJ60=""),"",COUNTIF(ResultsTeams[[Draw1]:[Draw2]],AI53&amp;"-"&amp;AJ60))</f>
        <v/>
      </c>
      <c r="AX60" s="359" t="str">
        <f>IF(OR(AI53="",AJ60=""),"",COUNTIF(ResultsTeams[Lose],AI53&amp;"-"&amp;AJ60))</f>
        <v/>
      </c>
      <c r="AY60" s="359" t="str">
        <f>IF(OR(AI53="",AJ60=""),"",AV60-AX60)</f>
        <v/>
      </c>
      <c r="AZ60" s="359" t="str">
        <f>IF(OR(AI59="",AJ60=""),"",SUMIFS(ResultsTeams[Match-A],ResultsTeams[Stage],"Groups",ResultsTeams[Team A],AJ60)+SUMIFS(ResultsTeams[Match-B],ResultsTeams[Stage],"Groups",ResultsTeams[Team B],AJ60))</f>
        <v/>
      </c>
      <c r="BA60" s="359" t="str">
        <f>IF(OR(AI59="",AJ60=""),"",SUMIFS(ResultsTeams[Match-B],ResultsTeams[Stage],"Groups",ResultsTeams[Team A],AJ60)+SUMIFS(ResultsTeams[Match-A],ResultsTeams[Stage],"Groups",ResultsTeams[Team B],AJ60))</f>
        <v/>
      </c>
      <c r="BB60" s="359" t="str">
        <f t="shared" si="40"/>
        <v/>
      </c>
      <c r="BC60" s="359" t="str">
        <f>IF(OR(AI59="",AJ60=""),"",SUMIFS(ResultsTeams[Goal-A],ResultsTeams[Stage],"Groups",ResultsTeams[Team A],AJ60)+SUMIFS(ResultsTeams[Goal-B],ResultsTeams[Stage],"Groups",ResultsTeams[Team B],AJ60))</f>
        <v/>
      </c>
      <c r="BD60" s="359" t="str">
        <f>IF(OR(AI59="",AJ60=""),"",SUMIFS(ResultsTeams[Goal-B],ResultsTeams[Stage],"Groups",ResultsTeams[Team A],AJ60)+SUMIFS(ResultsTeams[Goal-A],ResultsTeams[Stage],"Groups",ResultsTeams[Team B],AJ60))</f>
        <v/>
      </c>
      <c r="BE60" s="360" t="str">
        <f>IF(OR(AI53="",AJ60=""),"",BC60-BD60)</f>
        <v/>
      </c>
      <c r="BF60" s="470" t="str">
        <f>IF(AM60="","",OR(VLOOKUP(AM60,AN54:BE60,3,FALSE),VLOOKUP(AM60,AN54:BE60,6,FALSE)))</f>
        <v/>
      </c>
      <c r="BG60" s="299" t="str">
        <f t="shared" si="39"/>
        <v/>
      </c>
      <c r="BH60" s="287" t="str">
        <f>IF(AM60="","",INDEX(AJ54:AJ60,MATCH(AM60,AN54:AN60,0)))</f>
        <v/>
      </c>
      <c r="BI60" s="288" t="str">
        <f>IF(AM60="","",VLOOKUP(AM60,AN54:BE60,COLUMN()-COLUMN(BB53),FALSE))</f>
        <v/>
      </c>
      <c r="BJ60" s="288" t="str">
        <f>IF(AM60="","",VLOOKUP(AM60,AN54:BE60,COLUMN()-COLUMN(BB53),FALSE))</f>
        <v/>
      </c>
      <c r="BK60" s="288" t="str">
        <f>IF(AM60="","",VLOOKUP(AM60,AN54:BE60,COLUMN()-COLUMN(BB53),FALSE))</f>
        <v/>
      </c>
      <c r="BL60" s="288" t="str">
        <f>IF(AM60="","",VLOOKUP(AM60,AN54:BE60,COLUMN()-COLUMN(BB53),FALSE))</f>
        <v/>
      </c>
      <c r="BM60" s="288" t="str">
        <f>IF(AM60="","",VLOOKUP(AM60,AN54:BE60,COLUMN()-COLUMN(BB53),FALSE))</f>
        <v/>
      </c>
      <c r="BN60" s="350" t="str">
        <f>IF(AM60="","",VLOOKUP(AM60,AN54:BE60,COLUMN()-COLUMN(BB53),FALSE))</f>
        <v/>
      </c>
      <c r="BO60" s="299" t="str">
        <f>IF(AM60="","",VLOOKUP(AM60,AN54:BE60,COLUMN()-COLUMN(BB53),FALSE))</f>
        <v/>
      </c>
      <c r="BP60" s="288" t="str">
        <f>IF(AM60="","",VLOOKUP(AM60,AN54:BE60,COLUMN()-COLUMN(BB53),FALSE))</f>
        <v/>
      </c>
      <c r="BQ60" s="302" t="str">
        <f>IF(AM60="","",VLOOKUP(AM60,AN54:BE60,COLUMN()-COLUMN(BB53),FALSE))</f>
        <v/>
      </c>
      <c r="BR60" s="353" t="str">
        <f>IF(AM60="","",VLOOKUP(AM60,AN54:BE60,COLUMN()-COLUMN(BB53),FALSE))</f>
        <v/>
      </c>
      <c r="BS60" s="288" t="str">
        <f>IF(AM60="","",VLOOKUP(AM60,AN54:BE60,COLUMN()-COLUMN(BB53),FALSE))</f>
        <v/>
      </c>
      <c r="BT60" s="302" t="str">
        <f>IF(AM60="","",VLOOKUP(AM60,AN54:BE60,COLUMN()-COLUMN(BB53),FALSE))</f>
        <v/>
      </c>
    </row>
    <row r="61" spans="1:72" ht="12" thickBot="1" x14ac:dyDescent="0.25">
      <c r="A61" s="261" t="s">
        <v>12693</v>
      </c>
      <c r="B61" s="270" t="s">
        <v>12207</v>
      </c>
      <c r="C61" s="87">
        <v>1</v>
      </c>
      <c r="D61" s="270"/>
      <c r="E61" s="272" t="s">
        <v>12228</v>
      </c>
      <c r="F61" s="273" t="s">
        <v>251</v>
      </c>
      <c r="G61" s="273" t="s">
        <v>179</v>
      </c>
      <c r="H61" s="275">
        <v>0</v>
      </c>
      <c r="I61" s="275">
        <v>4</v>
      </c>
      <c r="J61" s="275"/>
      <c r="K61" s="366"/>
      <c r="L61" s="366"/>
      <c r="M61" s="274"/>
      <c r="N61" s="265" t="b">
        <f>NOT(ISERROR(ResultsTeams[[#This Row],[Goal-A]]+ResultsTeams[[#This Row],[Goal-B]]))</f>
        <v>1</v>
      </c>
      <c r="O61" s="265">
        <f>IF(ResultsTeams[[#This Row],[Type]]="G",SUM(O62:O65),IF(LEFT(ResultsTeams[[#This Row],[Type]],1)="P",IF(ResultsTeams[[#This Row],[Goal-A]]&gt;ResultsTeams[[#This Row],[Goal-B]],1,0),""))</f>
        <v>0</v>
      </c>
      <c r="P61" s="265">
        <f>IF(ResultsTeams[[#This Row],[Type]]="G",SUM(P62:P65),IF(LEFT(ResultsTeams[[#This Row],[Type]],1)="P",IF(ResultsTeams[[#This Row],[Goal-A]]&lt;ResultsTeams[[#This Row],[Goal-B]],1,0),""))</f>
        <v>4</v>
      </c>
      <c r="Q61" s="265">
        <f>IF(ResultsTeams[[#This Row],[Type]]="G",SUM(Q62:Q65),IF(LEFT(ResultsTeams[[#This Row],[Type]],1)="P",VALUE(ResultsTeams[[#This Row],[Score-A]]),""))</f>
        <v>5</v>
      </c>
      <c r="R61" s="265">
        <f>IF(ResultsTeams[[#This Row],[Type]]="G",SUM(R62:R65),IF(LEFT(ResultsTeams[[#This Row],[Type]],1)="P",VALUE(ResultsTeams[[#This Row],[Score-B]]),""))</f>
        <v>18</v>
      </c>
      <c r="S61" s="265">
        <f ca="1">IF(AND(ResultsTeams[[#This Row],[Category]]&lt;&gt;"",ResultsTeams[[#This Row],[Team A]]&lt;&gt;""),COUNTIF(INDIRECT("TeamsList[Club Name]"),ResultsTeams[[#This Row],[Team A]]),"")</f>
        <v>1</v>
      </c>
      <c r="T61" s="265">
        <f ca="1">IF(AND(ResultsTeams[[#This Row],[Category]]&lt;&gt;"",ResultsTeams[[#This Row],[Team B]]&lt;&gt;""),COUNTIF(INDIRECT("TeamsList[Club Name]"),ResultsTeams[[#This Row],[Team B]]),"")</f>
        <v>2</v>
      </c>
      <c r="U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Issy-les-Moulineaux</v>
      </c>
      <c r="V61" s="265" t="str">
        <f>IF(ResultsTeams[[#This Row],[Score_OK]],IF(ResultsTeams[[#This Row],[StageCpy]]="Groups",ResultsTeams[[#This Row],[Category]]&amp;"-"&amp;IF(ResultsTeams[[#This Row],[Team B]]="","",IF(ResultsTeams[[#This Row],[Match-A]]=ResultsTeams[[#This Row],[Match-B]],ResultsTeams[[#This Row],[Team A]],"")),""),"")</f>
        <v>TEAM-</v>
      </c>
      <c r="W61" s="265" t="str">
        <f>IF(ResultsTeams[[#This Row],[Score_OK]],IF(ResultsTeams[[#This Row],[StageCpy]]="Groups",ResultsTeams[[#This Row],[Category]]&amp;"-"&amp;IF(ResultsTeams[[#This Row],[Team B]]="","",IF(ResultsTeams[[#This Row],[Match-A]]=ResultsTeams[[#This Row],[Match-B]],ResultsTeams[[#This Row],[Team B]],"")),""),"")</f>
        <v>TEAM-</v>
      </c>
      <c r="X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TEAM-MVV Rijnmond</v>
      </c>
      <c r="Y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v>
      </c>
      <c r="AA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v>
      </c>
      <c r="AB61" s="264" t="str">
        <f>IF(ResultsTeams[[#This Row],[Category]]="","",VLOOKUP(ResultsTeams[[#This Row],[Stage]],$R$1:$T$8,MATCH(ResultsTeams[[#This Row],[Category]],$S$1:$T$1,0)+1,FALSE))</f>
        <v>PR1</v>
      </c>
      <c r="AC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 s="264" t="str">
        <f>IF(ResultsTeams[[#This Row],[Type]]="G",ResultsTeams[[#This Row],[Stage]],AD60)</f>
        <v>Groups</v>
      </c>
      <c r="AE61" s="395" t="str">
        <f>IF(ResultsTeams[[#This Row],[Type]]="G",INDEX(TeamsList[Club Name],MATCH(ResultsTeams[[#This Row],[Team A]],TeamsList[Team Name],0)),AE60)</f>
        <v>MVV Rijnmond</v>
      </c>
      <c r="AF61" s="395" t="str">
        <f>IF(ResultsTeams[[#This Row],[Type]]="G",INDEX(TeamsList[Club Name],MATCH(ResultsTeams[[#This Row],[Team B]],TeamsList[Team Name],0)),AF60)</f>
        <v>FTC Issy-les-Moulineaux</v>
      </c>
      <c r="AG61" s="265"/>
    </row>
    <row r="62" spans="1:72" ht="12" thickBot="1" x14ac:dyDescent="0.25">
      <c r="A62" s="60"/>
      <c r="B62" s="280"/>
      <c r="C62" s="60"/>
      <c r="D62" s="60"/>
      <c r="E62" s="240" t="s">
        <v>12231</v>
      </c>
      <c r="F62" s="244" t="s">
        <v>11916</v>
      </c>
      <c r="G62" s="244" t="s">
        <v>8720</v>
      </c>
      <c r="H62" s="253">
        <v>1</v>
      </c>
      <c r="I62" s="253">
        <v>2</v>
      </c>
      <c r="J62" s="253"/>
      <c r="K62" s="362"/>
      <c r="L62" s="362"/>
      <c r="M62" s="245"/>
      <c r="N62" s="265" t="b">
        <f>NOT(ISERROR(ResultsTeams[[#This Row],[Goal-A]]+ResultsTeams[[#This Row],[Goal-B]]))</f>
        <v>1</v>
      </c>
      <c r="O62" s="265">
        <f>IF(ResultsTeams[[#This Row],[Type]]="G",SUM(O63:O66),IF(LEFT(ResultsTeams[[#This Row],[Type]],1)="P",IF(ResultsTeams[[#This Row],[Goal-A]]&gt;ResultsTeams[[#This Row],[Goal-B]],1,0),""))</f>
        <v>0</v>
      </c>
      <c r="P62" s="265">
        <f>IF(ResultsTeams[[#This Row],[Type]]="G",SUM(P63:P66),IF(LEFT(ResultsTeams[[#This Row],[Type]],1)="P",IF(ResultsTeams[[#This Row],[Goal-A]]&lt;ResultsTeams[[#This Row],[Goal-B]],1,0),""))</f>
        <v>1</v>
      </c>
      <c r="Q62" s="265">
        <f>IF(ResultsTeams[[#This Row],[Type]]="G",SUM(Q63:Q66),IF(LEFT(ResultsTeams[[#This Row],[Type]],1)="P",VALUE(ResultsTeams[[#This Row],[Score-A]]),""))</f>
        <v>1</v>
      </c>
      <c r="R62" s="265">
        <f>IF(ResultsTeams[[#This Row],[Type]]="G",SUM(R63:R66),IF(LEFT(ResultsTeams[[#This Row],[Type]],1)="P",VALUE(ResultsTeams[[#This Row],[Score-B]]),""))</f>
        <v>2</v>
      </c>
      <c r="S62" s="265" t="str">
        <f ca="1">IF(AND(ResultsTeams[[#This Row],[Category]]&lt;&gt;"",ResultsTeams[[#This Row],[Team A]]&lt;&gt;""),COUNTIF(INDIRECT("TeamsList[Club Name]"),ResultsTeams[[#This Row],[Team A]]),"")</f>
        <v/>
      </c>
      <c r="T62" s="265" t="str">
        <f ca="1">IF(AND(ResultsTeams[[#This Row],[Category]]&lt;&gt;"",ResultsTeams[[#This Row],[Team B]]&lt;&gt;""),COUNTIF(INDIRECT("TeamsList[Club Name]"),ResultsTeams[[#This Row],[Team B]]),"")</f>
        <v/>
      </c>
      <c r="U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Monteiro</v>
      </c>
      <c r="V62" s="265" t="str">
        <f>IF(ResultsTeams[[#This Row],[Score_OK]],IF(ResultsTeams[[#This Row],[StageCpy]]="Groups",ResultsTeams[[#This Row],[Category]]&amp;"-"&amp;IF(ResultsTeams[[#This Row],[Team B]]="","",IF(ResultsTeams[[#This Row],[Match-A]]=ResultsTeams[[#This Row],[Match-B]],ResultsTeams[[#This Row],[Team A]],"")),""),"")</f>
        <v>-</v>
      </c>
      <c r="W62" s="265" t="str">
        <f>IF(ResultsTeams[[#This Row],[Score_OK]],IF(ResultsTeams[[#This Row],[StageCpy]]="Groups",ResultsTeams[[#This Row],[Category]]&amp;"-"&amp;IF(ResultsTeams[[#This Row],[Team B]]="","",IF(ResultsTeams[[#This Row],[Match-A]]=ResultsTeams[[#This Row],[Match-B]],ResultsTeams[[#This Row],[Team B]],"")),""),"")</f>
        <v>-</v>
      </c>
      <c r="X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-Jovi Willeijns</v>
      </c>
      <c r="Y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 s="264" t="str">
        <f>IF(ResultsTeams[[#This Row],[Category]]="","",VLOOKUP(ResultsTeams[[#This Row],[Stage]],$R$1:$T$8,MATCH(ResultsTeams[[#This Row],[Category]],$S$1:$T$1,0)+1,FALSE))</f>
        <v/>
      </c>
      <c r="AC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 s="264" t="str">
        <f>IF(ResultsTeams[[#This Row],[Type]]="G",ResultsTeams[[#This Row],[Stage]],AD61)</f>
        <v>Groups</v>
      </c>
      <c r="AE62" s="395" t="str">
        <f>IF(ResultsTeams[[#This Row],[Type]]="G",INDEX(TeamsList[Club Name],MATCH(ResultsTeams[[#This Row],[Team A]],TeamsList[Team Name],0)),AE61)</f>
        <v>MVV Rijnmond</v>
      </c>
      <c r="AF62" s="395" t="str">
        <f>IF(ResultsTeams[[#This Row],[Type]]="G",INDEX(TeamsList[Club Name],MATCH(ResultsTeams[[#This Row],[Team B]],TeamsList[Team Name],0)),AF61)</f>
        <v>FTC Issy-les-Moulineaux</v>
      </c>
      <c r="AG62" s="265"/>
      <c r="AH62" s="281" t="str">
        <f>IF(AI62="","",QUOTIENT(COUNTIF(AI$26:AI62,AI62)-1,8)+1)</f>
        <v/>
      </c>
      <c r="AI62" s="315"/>
      <c r="AJ62" s="289" t="s">
        <v>14438</v>
      </c>
      <c r="AK62" s="290" t="s">
        <v>12279</v>
      </c>
      <c r="AL62" s="300" t="s">
        <v>12275</v>
      </c>
      <c r="AM62" s="296" t="s">
        <v>12276</v>
      </c>
      <c r="AN62" s="291" t="s">
        <v>12271</v>
      </c>
      <c r="AO62" s="291" t="s">
        <v>12272</v>
      </c>
      <c r="AP62" s="414" t="s">
        <v>13154</v>
      </c>
      <c r="AQ62" s="291" t="s">
        <v>12273</v>
      </c>
      <c r="AR62" s="297" t="s">
        <v>12274</v>
      </c>
      <c r="AS62" s="414" t="s">
        <v>13154</v>
      </c>
      <c r="AT62" s="296" t="s">
        <v>12199</v>
      </c>
      <c r="AU62" s="291" t="s">
        <v>12200</v>
      </c>
      <c r="AV62" s="291" t="s">
        <v>12201</v>
      </c>
      <c r="AW62" s="291" t="s">
        <v>12202</v>
      </c>
      <c r="AX62" s="291" t="s">
        <v>12203</v>
      </c>
      <c r="AY62" s="291" t="s">
        <v>12697</v>
      </c>
      <c r="AZ62" s="291" t="s">
        <v>12698</v>
      </c>
      <c r="BA62" s="291" t="s">
        <v>12699</v>
      </c>
      <c r="BB62" s="291" t="s">
        <v>12700</v>
      </c>
      <c r="BC62" s="291" t="s">
        <v>12204</v>
      </c>
      <c r="BD62" s="291" t="s">
        <v>12205</v>
      </c>
      <c r="BE62" s="297" t="s">
        <v>12206</v>
      </c>
      <c r="BF62" s="395"/>
      <c r="BG62" s="282" t="s">
        <v>12276</v>
      </c>
      <c r="BH62" s="282" t="s">
        <v>12133</v>
      </c>
      <c r="BI62" s="283" t="s">
        <v>12199</v>
      </c>
      <c r="BJ62" s="283" t="s">
        <v>12200</v>
      </c>
      <c r="BK62" s="283" t="s">
        <v>12201</v>
      </c>
      <c r="BL62" s="283" t="s">
        <v>12202</v>
      </c>
      <c r="BM62" s="283" t="s">
        <v>12203</v>
      </c>
      <c r="BN62" s="290" t="s">
        <v>12697</v>
      </c>
      <c r="BO62" s="354" t="s">
        <v>12698</v>
      </c>
      <c r="BP62" s="283" t="s">
        <v>12699</v>
      </c>
      <c r="BQ62" s="300" t="s">
        <v>12700</v>
      </c>
      <c r="BR62" s="351" t="s">
        <v>12204</v>
      </c>
      <c r="BS62" s="283" t="s">
        <v>12205</v>
      </c>
      <c r="BT62" s="300" t="s">
        <v>12206</v>
      </c>
    </row>
    <row r="63" spans="1:72" x14ac:dyDescent="0.2">
      <c r="A63" s="62"/>
      <c r="B63" s="280"/>
      <c r="C63" s="62"/>
      <c r="D63" s="62"/>
      <c r="E63" s="241" t="s">
        <v>12234</v>
      </c>
      <c r="F63" s="246" t="s">
        <v>10462</v>
      </c>
      <c r="G63" s="246" t="s">
        <v>8697</v>
      </c>
      <c r="H63" s="254">
        <v>3</v>
      </c>
      <c r="I63" s="254">
        <v>7</v>
      </c>
      <c r="J63" s="254"/>
      <c r="K63" s="363"/>
      <c r="L63" s="363"/>
      <c r="M63" s="247"/>
      <c r="N63" s="265" t="b">
        <f>NOT(ISERROR(ResultsTeams[[#This Row],[Goal-A]]+ResultsTeams[[#This Row],[Goal-B]]))</f>
        <v>1</v>
      </c>
      <c r="O63" s="265">
        <f>IF(ResultsTeams[[#This Row],[Type]]="G",SUM(O64:O67),IF(LEFT(ResultsTeams[[#This Row],[Type]],1)="P",IF(ResultsTeams[[#This Row],[Goal-A]]&gt;ResultsTeams[[#This Row],[Goal-B]],1,0),""))</f>
        <v>0</v>
      </c>
      <c r="P63" s="265">
        <f>IF(ResultsTeams[[#This Row],[Type]]="G",SUM(P64:P67),IF(LEFT(ResultsTeams[[#This Row],[Type]],1)="P",IF(ResultsTeams[[#This Row],[Goal-A]]&lt;ResultsTeams[[#This Row],[Goal-B]],1,0),""))</f>
        <v>1</v>
      </c>
      <c r="Q63" s="265">
        <f>IF(ResultsTeams[[#This Row],[Type]]="G",SUM(Q64:Q67),IF(LEFT(ResultsTeams[[#This Row],[Type]],1)="P",VALUE(ResultsTeams[[#This Row],[Score-A]]),""))</f>
        <v>3</v>
      </c>
      <c r="R63" s="265">
        <f>IF(ResultsTeams[[#This Row],[Type]]="G",SUM(R64:R67),IF(LEFT(ResultsTeams[[#This Row],[Type]],1)="P",VALUE(ResultsTeams[[#This Row],[Score-B]]),""))</f>
        <v>7</v>
      </c>
      <c r="S63" s="265" t="str">
        <f ca="1">IF(AND(ResultsTeams[[#This Row],[Category]]&lt;&gt;"",ResultsTeams[[#This Row],[Team A]]&lt;&gt;""),COUNTIF(INDIRECT("TeamsList[Club Name]"),ResultsTeams[[#This Row],[Team A]]),"")</f>
        <v/>
      </c>
      <c r="T63" s="265" t="str">
        <f ca="1">IF(AND(ResultsTeams[[#This Row],[Category]]&lt;&gt;"",ResultsTeams[[#This Row],[Team B]]&lt;&gt;""),COUNTIF(INDIRECT("TeamsList[Club Name]"),ResultsTeams[[#This Row],[Team B]]),"")</f>
        <v/>
      </c>
      <c r="U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-Axel Donval</v>
      </c>
      <c r="V63" s="265" t="str">
        <f>IF(ResultsTeams[[#This Row],[Score_OK]],IF(ResultsTeams[[#This Row],[StageCpy]]="Groups",ResultsTeams[[#This Row],[Category]]&amp;"-"&amp;IF(ResultsTeams[[#This Row],[Team B]]="","",IF(ResultsTeams[[#This Row],[Match-A]]=ResultsTeams[[#This Row],[Match-B]],ResultsTeams[[#This Row],[Team A]],"")),""),"")</f>
        <v>-</v>
      </c>
      <c r="W63" s="265" t="str">
        <f>IF(ResultsTeams[[#This Row],[Score_OK]],IF(ResultsTeams[[#This Row],[StageCpy]]="Groups",ResultsTeams[[#This Row],[Category]]&amp;"-"&amp;IF(ResultsTeams[[#This Row],[Team B]]="","",IF(ResultsTeams[[#This Row],[Match-A]]=ResultsTeams[[#This Row],[Match-B]],ResultsTeams[[#This Row],[Team B]],"")),""),"")</f>
        <v>-</v>
      </c>
      <c r="X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-Casey Van Os</v>
      </c>
      <c r="Y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 s="264" t="str">
        <f>IF(ResultsTeams[[#This Row],[Category]]="","",VLOOKUP(ResultsTeams[[#This Row],[Stage]],$R$1:$T$8,MATCH(ResultsTeams[[#This Row],[Category]],$S$1:$T$1,0)+1,FALSE))</f>
        <v/>
      </c>
      <c r="AC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 s="264" t="str">
        <f>IF(ResultsTeams[[#This Row],[Type]]="G",ResultsTeams[[#This Row],[Stage]],AD62)</f>
        <v>Groups</v>
      </c>
      <c r="AE63" s="395" t="str">
        <f>IF(ResultsTeams[[#This Row],[Type]]="G",INDEX(TeamsList[Club Name],MATCH(ResultsTeams[[#This Row],[Team A]],TeamsList[Team Name],0)),AE62)</f>
        <v>MVV Rijnmond</v>
      </c>
      <c r="AF63" s="395" t="str">
        <f>IF(ResultsTeams[[#This Row],[Type]]="G",INDEX(TeamsList[Club Name],MATCH(ResultsTeams[[#This Row],[Team B]],TeamsList[Team Name],0)),AF62)</f>
        <v>FTC Issy-les-Moulineaux</v>
      </c>
      <c r="AG63" s="265"/>
      <c r="AI63" s="12">
        <f>AI62</f>
        <v>0</v>
      </c>
      <c r="AJ63" s="309"/>
      <c r="AK63" s="320"/>
      <c r="AL63" s="311"/>
      <c r="AM63" s="292" t="str">
        <f>IF(AV63="","",SMALL(AN63:AN69,ROWS(AM63:AM63)))</f>
        <v/>
      </c>
      <c r="AN63" s="293" t="str">
        <f>IF(AV63="","",RANK(AR63,AR63:AR69)*1000+ROWS(AN63:AN63))</f>
        <v/>
      </c>
      <c r="AO63" s="316" t="str">
        <f t="shared" ref="AO63:AO69" si="42">IF(AV63="","",AT63*CritClassEq1_Points+AY63*CritClassEq1_DiffRencontres+BB63*CritClassEq1_DiffMatches+BE63*CritClassEq1_DiffButs+AZ63*CritClassEq1_Matches+BC63*CritClassEq1_Attaque)</f>
        <v/>
      </c>
      <c r="AP63" s="415" t="b">
        <f>AND(AU63&lt;&gt;"",AU63&gt;0,COUNTIF(AO63:AO69,AO63)&gt;1)</f>
        <v>0</v>
      </c>
      <c r="AQ63" s="316" t="str">
        <f t="shared" ref="AQ63:AQ69" si="43">IF(AV63="","",CritClassEq_DiffPart*AK63)</f>
        <v/>
      </c>
      <c r="AR63" s="317" t="str">
        <f t="shared" ref="AR63:AR69" si="44">IF(AV63="","",AO63+AQ63+AT63*CritClassEq2_Points+AY63*CritClassEq2_DiffRencontres+BB63*CritClassEq2_DiffMatches+BE63*CritClassEq2_DiffButs+AZ63*CritClassEq2_Matches+BC63*CritClassEq2_Attaque+AL63)</f>
        <v/>
      </c>
      <c r="AS63" s="415" t="b">
        <f>AND(AU63&lt;&gt;"",AU63&gt;0,COUNTIF(AR63:AR69,AR63)&gt;1)</f>
        <v>0</v>
      </c>
      <c r="AT63" s="355" t="str">
        <f t="shared" ref="AT63:AT69" si="45">IF(AV63="","",(AV63*Points_Victoire)+AW63*Points_Null)</f>
        <v/>
      </c>
      <c r="AU63" s="356" t="str">
        <f t="shared" ref="AU63:AU69" si="46">IF(AV63="","",SUM(AV63:AX63))</f>
        <v/>
      </c>
      <c r="AV63" s="356" t="str">
        <f>IF(OR(AI62="",AJ63=""),"",COUNTIF(ResultsTeams[Win],AI62&amp;"-"&amp;AJ63))</f>
        <v/>
      </c>
      <c r="AW63" s="356" t="str">
        <f>IF(OR(AI62="",AJ63=""),"",COUNTIF(ResultsTeams[[Draw1]:[Draw2]],AI62&amp;"-"&amp;AJ63))</f>
        <v/>
      </c>
      <c r="AX63" s="356" t="str">
        <f>IF(OR(AI62="",AJ63=""),"",COUNTIF(ResultsTeams[Lose],AI62&amp;"-"&amp;AJ63))</f>
        <v/>
      </c>
      <c r="AY63" s="356" t="str">
        <f>IF(OR(AI62="",AJ63=""),"",AV63-AX63)</f>
        <v/>
      </c>
      <c r="AZ63" s="356" t="str">
        <f>IF(OR(AI62="",AJ63=""),"",SUMIFS(ResultsTeams[Match-A],ResultsTeams[Stage],"Groups",ResultsTeams[Team A],AJ63)+SUMIFS(ResultsTeams[Match-B],ResultsTeams[Stage],"Groups",ResultsTeams[Team B],AJ63))</f>
        <v/>
      </c>
      <c r="BA63" s="356" t="str">
        <f>IF(OR(AI62="",AJ63=""),"",SUMIFS(ResultsTeams[Match-B],ResultsTeams[Stage],"Groups",ResultsTeams[Team A],AJ63)+SUMIFS(ResultsTeams[Match-A],ResultsTeams[Stage],"Groups",ResultsTeams[Team B],AJ63))</f>
        <v/>
      </c>
      <c r="BB63" s="356" t="str">
        <f>IF(OR(AI62="",AJ63=""),"",AZ63-BA63)</f>
        <v/>
      </c>
      <c r="BC63" s="356" t="str">
        <f>IF(OR(AI62="",AJ63=""),"",SUMIFS(ResultsTeams[Goal-A],ResultsTeams[Stage],"Groups",ResultsTeams[Team A],AJ63)+SUMIFS(ResultsTeams[Goal-B],ResultsTeams[Stage],"Groups",ResultsTeams[Team B],AJ63))</f>
        <v/>
      </c>
      <c r="BD63" s="356" t="str">
        <f>IF(OR(AI62="",AJ63=""),"",SUMIFS(ResultsTeams[Goal-B],ResultsTeams[Stage],"Groups",ResultsTeams[Team A],AJ63)+SUMIFS(ResultsTeams[Goal-A],ResultsTeams[Stage],"Groups",ResultsTeams[Team B],AJ63))</f>
        <v/>
      </c>
      <c r="BE63" s="357" t="str">
        <f>IF(OR(AI62="",AJ63=""),"",BC63-BD63)</f>
        <v/>
      </c>
      <c r="BF63" s="470" t="str">
        <f>IF(AM63="","",OR(VLOOKUP(AM63,AN63:BE69,3,FALSE),VLOOKUP(AM63,AN63:BE69,6,FALSE)))</f>
        <v/>
      </c>
      <c r="BG63" s="298" t="str">
        <f t="shared" ref="BG63:BG69" si="47">IF(AM63="","",INT(AM63/1000))</f>
        <v/>
      </c>
      <c r="BH63" s="285" t="str">
        <f>IF(AM63="","",INDEX(AJ63:AJ69,MATCH(AM63,AN63:AN69,0)))</f>
        <v/>
      </c>
      <c r="BI63" s="286" t="str">
        <f>IF(AM63="","",VLOOKUP(AM63,AN63:BE69,COLUMN()-COLUMN(BB62),FALSE))</f>
        <v/>
      </c>
      <c r="BJ63" s="286" t="str">
        <f>IF(AM63="","",VLOOKUP(AM63,AN63:BE69,COLUMN()-COLUMN(BB62),FALSE))</f>
        <v/>
      </c>
      <c r="BK63" s="286" t="str">
        <f>IF(AM63="","",VLOOKUP(AM63,AN63:BE69,COLUMN()-COLUMN(BB62),FALSE))</f>
        <v/>
      </c>
      <c r="BL63" s="286" t="str">
        <f>IF(AM63="","",VLOOKUP(AM63,AN63:BE69,COLUMN()-COLUMN(BB62),FALSE))</f>
        <v/>
      </c>
      <c r="BM63" s="286" t="str">
        <f>IF(AM63="","",VLOOKUP(AM63,AN63:BE69,COLUMN()-COLUMN(BB62),FALSE))</f>
        <v/>
      </c>
      <c r="BN63" s="349" t="str">
        <f>IF(AM63="","",VLOOKUP(AM63,AN63:BE69,COLUMN()-COLUMN(BB62),FALSE))</f>
        <v/>
      </c>
      <c r="BO63" s="298" t="str">
        <f>IF(AM63="","",VLOOKUP(AM63,AN63:BE69,COLUMN()-COLUMN(BB62),FALSE))</f>
        <v/>
      </c>
      <c r="BP63" s="286" t="str">
        <f>IF(AM63="","",VLOOKUP(AM63,AN63:BE69,COLUMN()-COLUMN(BB62),FALSE))</f>
        <v/>
      </c>
      <c r="BQ63" s="301" t="str">
        <f>IF(AM63="","",VLOOKUP(AM63,AN63:BE69,COLUMN()-COLUMN(BB62),FALSE))</f>
        <v/>
      </c>
      <c r="BR63" s="352" t="str">
        <f>IF(AM63="","",VLOOKUP(AM63,AN63:BE69,COLUMN()-COLUMN(BB62),FALSE))</f>
        <v/>
      </c>
      <c r="BS63" s="286" t="str">
        <f>IF(AM63="","",VLOOKUP(AM63,AN63:BE69,COLUMN()-COLUMN(BB62),FALSE))</f>
        <v/>
      </c>
      <c r="BT63" s="301" t="str">
        <f>IF(AM63="","",VLOOKUP(AM63,AN63:BE69,COLUMN()-COLUMN(BB62),FALSE))</f>
        <v/>
      </c>
    </row>
    <row r="64" spans="1:72" x14ac:dyDescent="0.2">
      <c r="A64" s="62"/>
      <c r="B64" s="280"/>
      <c r="C64" s="62"/>
      <c r="D64" s="62"/>
      <c r="E64" s="241" t="s">
        <v>12237</v>
      </c>
      <c r="F64" s="246" t="s">
        <v>11923</v>
      </c>
      <c r="G64" s="246" t="s">
        <v>8696</v>
      </c>
      <c r="H64" s="254">
        <v>0</v>
      </c>
      <c r="I64" s="254">
        <v>5</v>
      </c>
      <c r="J64" s="254"/>
      <c r="K64" s="363"/>
      <c r="L64" s="363"/>
      <c r="M64" s="247"/>
      <c r="N64" s="265" t="b">
        <f>NOT(ISERROR(ResultsTeams[[#This Row],[Goal-A]]+ResultsTeams[[#This Row],[Goal-B]]))</f>
        <v>1</v>
      </c>
      <c r="O64" s="265">
        <f>IF(ResultsTeams[[#This Row],[Type]]="G",SUM(O65:O68),IF(LEFT(ResultsTeams[[#This Row],[Type]],1)="P",IF(ResultsTeams[[#This Row],[Goal-A]]&gt;ResultsTeams[[#This Row],[Goal-B]],1,0),""))</f>
        <v>0</v>
      </c>
      <c r="P64" s="265">
        <f>IF(ResultsTeams[[#This Row],[Type]]="G",SUM(P65:P68),IF(LEFT(ResultsTeams[[#This Row],[Type]],1)="P",IF(ResultsTeams[[#This Row],[Goal-A]]&lt;ResultsTeams[[#This Row],[Goal-B]],1,0),""))</f>
        <v>1</v>
      </c>
      <c r="Q64" s="265">
        <f>IF(ResultsTeams[[#This Row],[Type]]="G",SUM(Q65:Q68),IF(LEFT(ResultsTeams[[#This Row],[Type]],1)="P",VALUE(ResultsTeams[[#This Row],[Score-A]]),""))</f>
        <v>0</v>
      </c>
      <c r="R64" s="265">
        <f>IF(ResultsTeams[[#This Row],[Type]]="G",SUM(R65:R68),IF(LEFT(ResultsTeams[[#This Row],[Type]],1)="P",VALUE(ResultsTeams[[#This Row],[Score-B]]),""))</f>
        <v>5</v>
      </c>
      <c r="S64" s="265" t="str">
        <f ca="1">IF(AND(ResultsTeams[[#This Row],[Category]]&lt;&gt;"",ResultsTeams[[#This Row],[Team A]]&lt;&gt;""),COUNTIF(INDIRECT("TeamsList[Club Name]"),ResultsTeams[[#This Row],[Team A]]),"")</f>
        <v/>
      </c>
      <c r="T64" s="265" t="str">
        <f ca="1">IF(AND(ResultsTeams[[#This Row],[Category]]&lt;&gt;"",ResultsTeams[[#This Row],[Team B]]&lt;&gt;""),COUNTIF(INDIRECT("TeamsList[Club Name]"),ResultsTeams[[#This Row],[Team B]]),"")</f>
        <v/>
      </c>
      <c r="U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-Jean-Marie Amberny</v>
      </c>
      <c r="V64" s="265" t="str">
        <f>IF(ResultsTeams[[#This Row],[Score_OK]],IF(ResultsTeams[[#This Row],[StageCpy]]="Groups",ResultsTeams[[#This Row],[Category]]&amp;"-"&amp;IF(ResultsTeams[[#This Row],[Team B]]="","",IF(ResultsTeams[[#This Row],[Match-A]]=ResultsTeams[[#This Row],[Match-B]],ResultsTeams[[#This Row],[Team A]],"")),""),"")</f>
        <v>-</v>
      </c>
      <c r="W64" s="265" t="str">
        <f>IF(ResultsTeams[[#This Row],[Score_OK]],IF(ResultsTeams[[#This Row],[StageCpy]]="Groups",ResultsTeams[[#This Row],[Category]]&amp;"-"&amp;IF(ResultsTeams[[#This Row],[Team B]]="","",IF(ResultsTeams[[#This Row],[Match-A]]=ResultsTeams[[#This Row],[Match-B]],ResultsTeams[[#This Row],[Team B]],"")),""),"")</f>
        <v>-</v>
      </c>
      <c r="X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-Mikey Gerrets</v>
      </c>
      <c r="Y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 s="264" t="str">
        <f>IF(ResultsTeams[[#This Row],[Category]]="","",VLOOKUP(ResultsTeams[[#This Row],[Stage]],$R$1:$T$8,MATCH(ResultsTeams[[#This Row],[Category]],$S$1:$T$1,0)+1,FALSE))</f>
        <v/>
      </c>
      <c r="AC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 s="264" t="str">
        <f>IF(ResultsTeams[[#This Row],[Type]]="G",ResultsTeams[[#This Row],[Stage]],AD63)</f>
        <v>Groups</v>
      </c>
      <c r="AE64" s="395" t="str">
        <f>IF(ResultsTeams[[#This Row],[Type]]="G",INDEX(TeamsList[Club Name],MATCH(ResultsTeams[[#This Row],[Team A]],TeamsList[Team Name],0)),AE63)</f>
        <v>MVV Rijnmond</v>
      </c>
      <c r="AF64" s="395" t="str">
        <f>IF(ResultsTeams[[#This Row],[Type]]="G",INDEX(TeamsList[Club Name],MATCH(ResultsTeams[[#This Row],[Team B]],TeamsList[Team Name],0)),AF63)</f>
        <v>FTC Issy-les-Moulineaux</v>
      </c>
      <c r="AG64" s="265"/>
      <c r="AI64" s="12">
        <f>AI63</f>
        <v>0</v>
      </c>
      <c r="AJ64" s="309"/>
      <c r="AK64" s="320"/>
      <c r="AL64" s="311"/>
      <c r="AM64" s="292" t="str">
        <f>IF(AV64="","",SMALL(AN63:AN69,ROWS(AM63:AM64)))</f>
        <v/>
      </c>
      <c r="AN64" s="293" t="str">
        <f>IF(AV64="","",RANK(AR64,AR63:AR69)*1000+ROWS(AN63:AN64))</f>
        <v/>
      </c>
      <c r="AO64" s="316" t="str">
        <f t="shared" si="42"/>
        <v/>
      </c>
      <c r="AP64" s="415" t="b">
        <f>AND(AU64&lt;&gt;"",AU64&gt;0,COUNTIF(AO63:AO69,AO64)&gt;1)</f>
        <v>0</v>
      </c>
      <c r="AQ64" s="316" t="str">
        <f t="shared" si="43"/>
        <v/>
      </c>
      <c r="AR64" s="317" t="str">
        <f t="shared" si="44"/>
        <v/>
      </c>
      <c r="AS64" s="415" t="b">
        <f>AND(AU64&lt;&gt;"",AU64&gt;0,COUNTIF(AR63:AR69,AR64)&gt;1)</f>
        <v>0</v>
      </c>
      <c r="AT64" s="355" t="str">
        <f t="shared" si="45"/>
        <v/>
      </c>
      <c r="AU64" s="356" t="str">
        <f t="shared" si="46"/>
        <v/>
      </c>
      <c r="AV64" s="356" t="str">
        <f>IF(OR(AI62="",AJ64=""),"",COUNTIF(ResultsTeams[Win],AI62&amp;"-"&amp;AJ64))</f>
        <v/>
      </c>
      <c r="AW64" s="356" t="str">
        <f>IF(OR(AI62="",AJ64=""),"",COUNTIF(ResultsTeams[[Draw1]:[Draw2]],AI62&amp;"-"&amp;AJ64))</f>
        <v/>
      </c>
      <c r="AX64" s="356" t="str">
        <f>IF(OR(AI62="",AJ64=""),"",COUNTIF(ResultsTeams[Lose],AI62&amp;"-"&amp;AJ64))</f>
        <v/>
      </c>
      <c r="AY64" s="356" t="str">
        <f>IF(OR(AI62="",AJ64=""),"",AV64-AX64)</f>
        <v/>
      </c>
      <c r="AZ64" s="356" t="str">
        <f>IF(OR(AI63="",AJ64=""),"",SUMIFS(ResultsTeams[Match-A],ResultsTeams[Stage],"Groups",ResultsTeams[Team A],AJ64)+SUMIFS(ResultsTeams[Match-B],ResultsTeams[Stage],"Groups",ResultsTeams[Team B],AJ64))</f>
        <v/>
      </c>
      <c r="BA64" s="356" t="str">
        <f>IF(OR(AI63="",AJ64=""),"",SUMIFS(ResultsTeams[Match-B],ResultsTeams[Stage],"Groups",ResultsTeams[Team A],AJ64)+SUMIFS(ResultsTeams[Match-A],ResultsTeams[Stage],"Groups",ResultsTeams[Team B],AJ64))</f>
        <v/>
      </c>
      <c r="BB64" s="356" t="str">
        <f t="shared" ref="BB64:BB69" si="48">IF(OR(AI63="",AJ64=""),"",AZ64-BA64)</f>
        <v/>
      </c>
      <c r="BC64" s="356" t="str">
        <f>IF(OR(AI63="",AJ64=""),"",SUMIFS(ResultsTeams[Goal-A],ResultsTeams[Stage],"Groups",ResultsTeams[Team A],AJ64)+SUMIFS(ResultsTeams[Goal-B],ResultsTeams[Stage],"Groups",ResultsTeams[Team B],AJ64))</f>
        <v/>
      </c>
      <c r="BD64" s="356" t="str">
        <f>IF(OR(AI63="",AJ64=""),"",SUMIFS(ResultsTeams[Goal-B],ResultsTeams[Stage],"Groups",ResultsTeams[Team A],AJ64)+SUMIFS(ResultsTeams[Goal-A],ResultsTeams[Stage],"Groups",ResultsTeams[Team B],AJ64))</f>
        <v/>
      </c>
      <c r="BE64" s="357" t="str">
        <f>IF(OR(AI62="",AJ64=""),"",BC64-BD64)</f>
        <v/>
      </c>
      <c r="BF64" s="470" t="str">
        <f>IF(AM64="","",OR(VLOOKUP(AM64,AN63:BE69,3,FALSE),VLOOKUP(AM64,AN63:BE69,6,FALSE)))</f>
        <v/>
      </c>
      <c r="BG64" s="298" t="str">
        <f t="shared" si="47"/>
        <v/>
      </c>
      <c r="BH64" s="285" t="str">
        <f>IF(AM64="","",INDEX(AJ63:AJ69,MATCH(AM64,AN63:AN69,0)))</f>
        <v/>
      </c>
      <c r="BI64" s="286" t="str">
        <f>IF(AM64="","",VLOOKUP(AM64,AN63:BE69,COLUMN()-COLUMN(BB62),FALSE))</f>
        <v/>
      </c>
      <c r="BJ64" s="286" t="str">
        <f>IF(AM64="","",VLOOKUP(AM64,AN63:BE69,COLUMN()-COLUMN(BB62),FALSE))</f>
        <v/>
      </c>
      <c r="BK64" s="286" t="str">
        <f>IF(AM64="","",VLOOKUP(AM64,AN63:BE69,COLUMN()-COLUMN(BB62),FALSE))</f>
        <v/>
      </c>
      <c r="BL64" s="286" t="str">
        <f>IF(AM64="","",VLOOKUP(AM64,AN63:BE69,COLUMN()-COLUMN(BB62),FALSE))</f>
        <v/>
      </c>
      <c r="BM64" s="286" t="str">
        <f>IF(AM64="","",VLOOKUP(AM64,AN63:BE69,COLUMN()-COLUMN(BB62),FALSE))</f>
        <v/>
      </c>
      <c r="BN64" s="349" t="str">
        <f>IF(AM64="","",VLOOKUP(AM64,AN63:BE69,COLUMN()-COLUMN(BB62),FALSE))</f>
        <v/>
      </c>
      <c r="BO64" s="298" t="str">
        <f>IF(AM64="","",VLOOKUP(AM64,AN63:BE69,COLUMN()-COLUMN(BB62),FALSE))</f>
        <v/>
      </c>
      <c r="BP64" s="286" t="str">
        <f>IF(AM64="","",VLOOKUP(AM64,AN63:BE69,COLUMN()-COLUMN(BB62),FALSE))</f>
        <v/>
      </c>
      <c r="BQ64" s="301" t="str">
        <f>IF(AM64="","",VLOOKUP(AM64,AN63:BE69,COLUMN()-COLUMN(BB62),FALSE))</f>
        <v/>
      </c>
      <c r="BR64" s="352" t="str">
        <f>IF(AM64="","",VLOOKUP(AM64,AN63:BE69,COLUMN()-COLUMN(BB62),FALSE))</f>
        <v/>
      </c>
      <c r="BS64" s="286" t="str">
        <f>IF(AM64="","",VLOOKUP(AM64,AN63:BE69,COLUMN()-COLUMN(BB62),FALSE))</f>
        <v/>
      </c>
      <c r="BT64" s="301" t="str">
        <f>IF(AM64="","",VLOOKUP(AM64,AN63:BE69,COLUMN()-COLUMN(BB62),FALSE))</f>
        <v/>
      </c>
    </row>
    <row r="65" spans="1:72" x14ac:dyDescent="0.2">
      <c r="A65" s="62"/>
      <c r="B65" s="280"/>
      <c r="C65" s="62"/>
      <c r="D65" s="62"/>
      <c r="E65" s="241" t="s">
        <v>12240</v>
      </c>
      <c r="F65" s="246" t="s">
        <v>11920</v>
      </c>
      <c r="G65" s="246" t="s">
        <v>8693</v>
      </c>
      <c r="H65" s="254">
        <v>1</v>
      </c>
      <c r="I65" s="254">
        <v>4</v>
      </c>
      <c r="J65" s="254"/>
      <c r="K65" s="363"/>
      <c r="L65" s="363"/>
      <c r="M65" s="247"/>
      <c r="N65" s="265" t="b">
        <f>NOT(ISERROR(ResultsTeams[[#This Row],[Goal-A]]+ResultsTeams[[#This Row],[Goal-B]]))</f>
        <v>1</v>
      </c>
      <c r="O65" s="265">
        <f>IF(ResultsTeams[[#This Row],[Type]]="G",SUM(O66:O69),IF(LEFT(ResultsTeams[[#This Row],[Type]],1)="P",IF(ResultsTeams[[#This Row],[Goal-A]]&gt;ResultsTeams[[#This Row],[Goal-B]],1,0),""))</f>
        <v>0</v>
      </c>
      <c r="P65" s="265">
        <f>IF(ResultsTeams[[#This Row],[Type]]="G",SUM(P66:P69),IF(LEFT(ResultsTeams[[#This Row],[Type]],1)="P",IF(ResultsTeams[[#This Row],[Goal-A]]&lt;ResultsTeams[[#This Row],[Goal-B]],1,0),""))</f>
        <v>1</v>
      </c>
      <c r="Q65" s="265">
        <f>IF(ResultsTeams[[#This Row],[Type]]="G",SUM(Q66:Q69),IF(LEFT(ResultsTeams[[#This Row],[Type]],1)="P",VALUE(ResultsTeams[[#This Row],[Score-A]]),""))</f>
        <v>1</v>
      </c>
      <c r="R65" s="265">
        <f>IF(ResultsTeams[[#This Row],[Type]]="G",SUM(R66:R69),IF(LEFT(ResultsTeams[[#This Row],[Type]],1)="P",VALUE(ResultsTeams[[#This Row],[Score-B]]),""))</f>
        <v>4</v>
      </c>
      <c r="S65" s="265" t="str">
        <f ca="1">IF(AND(ResultsTeams[[#This Row],[Category]]&lt;&gt;"",ResultsTeams[[#This Row],[Team A]]&lt;&gt;""),COUNTIF(INDIRECT("TeamsList[Club Name]"),ResultsTeams[[#This Row],[Team A]]),"")</f>
        <v/>
      </c>
      <c r="T65" s="265" t="str">
        <f ca="1">IF(AND(ResultsTeams[[#This Row],[Category]]&lt;&gt;"",ResultsTeams[[#This Row],[Team B]]&lt;&gt;""),COUNTIF(INDIRECT("TeamsList[Club Name]"),ResultsTeams[[#This Row],[Team B]]),"")</f>
        <v/>
      </c>
      <c r="U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-Eric Naszalyi</v>
      </c>
      <c r="V65" s="265" t="str">
        <f>IF(ResultsTeams[[#This Row],[Score_OK]],IF(ResultsTeams[[#This Row],[StageCpy]]="Groups",ResultsTeams[[#This Row],[Category]]&amp;"-"&amp;IF(ResultsTeams[[#This Row],[Team B]]="","",IF(ResultsTeams[[#This Row],[Match-A]]=ResultsTeams[[#This Row],[Match-B]],ResultsTeams[[#This Row],[Team A]],"")),""),"")</f>
        <v>-</v>
      </c>
      <c r="W65" s="265" t="str">
        <f>IF(ResultsTeams[[#This Row],[Score_OK]],IF(ResultsTeams[[#This Row],[StageCpy]]="Groups",ResultsTeams[[#This Row],[Category]]&amp;"-"&amp;IF(ResultsTeams[[#This Row],[Team B]]="","",IF(ResultsTeams[[#This Row],[Match-A]]=ResultsTeams[[#This Row],[Match-B]],ResultsTeams[[#This Row],[Team B]],"")),""),"")</f>
        <v>-</v>
      </c>
      <c r="X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-Quincy Gerrets</v>
      </c>
      <c r="Y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 s="264" t="str">
        <f>IF(ResultsTeams[[#This Row],[Category]]="","",VLOOKUP(ResultsTeams[[#This Row],[Stage]],$R$1:$T$8,MATCH(ResultsTeams[[#This Row],[Category]],$S$1:$T$1,0)+1,FALSE))</f>
        <v/>
      </c>
      <c r="AC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 s="264" t="str">
        <f>IF(ResultsTeams[[#This Row],[Type]]="G",ResultsTeams[[#This Row],[Stage]],AD64)</f>
        <v>Groups</v>
      </c>
      <c r="AE65" s="395" t="str">
        <f>IF(ResultsTeams[[#This Row],[Type]]="G",INDEX(TeamsList[Club Name],MATCH(ResultsTeams[[#This Row],[Team A]],TeamsList[Team Name],0)),AE64)</f>
        <v>MVV Rijnmond</v>
      </c>
      <c r="AF65" s="395" t="str">
        <f>IF(ResultsTeams[[#This Row],[Type]]="G",INDEX(TeamsList[Club Name],MATCH(ResultsTeams[[#This Row],[Team B]],TeamsList[Team Name],0)),AF64)</f>
        <v>FTC Issy-les-Moulineaux</v>
      </c>
      <c r="AG65" s="265"/>
      <c r="AI65" s="12">
        <f t="shared" ref="AI65:AI69" si="49">AI64</f>
        <v>0</v>
      </c>
      <c r="AJ65" s="309"/>
      <c r="AK65" s="320"/>
      <c r="AL65" s="311"/>
      <c r="AM65" s="292" t="str">
        <f>IF(AV65="","",SMALL(AN63:AN69,ROWS(AM63:AM65)))</f>
        <v/>
      </c>
      <c r="AN65" s="293" t="str">
        <f>IF(AV65="","",RANK(AR65,AR63:AR69)*1000+ROWS(AN63:AN65))</f>
        <v/>
      </c>
      <c r="AO65" s="316" t="str">
        <f t="shared" si="42"/>
        <v/>
      </c>
      <c r="AP65" s="415" t="b">
        <f>AND(AU65&lt;&gt;"",AU65&gt;0,COUNTIF(AO63:AO69,AO65)&gt;1)</f>
        <v>0</v>
      </c>
      <c r="AQ65" s="316" t="str">
        <f t="shared" si="43"/>
        <v/>
      </c>
      <c r="AR65" s="317" t="str">
        <f t="shared" si="44"/>
        <v/>
      </c>
      <c r="AS65" s="415" t="b">
        <f>AND(AU65&lt;&gt;"",AU65&gt;0,COUNTIF(AR63:AR69,AR65)&gt;1)</f>
        <v>0</v>
      </c>
      <c r="AT65" s="355" t="str">
        <f t="shared" si="45"/>
        <v/>
      </c>
      <c r="AU65" s="356" t="str">
        <f t="shared" si="46"/>
        <v/>
      </c>
      <c r="AV65" s="356" t="str">
        <f>IF(OR(AI62="",AJ65=""),"",COUNTIF(ResultsTeams[Win],AI62&amp;"-"&amp;AJ65))</f>
        <v/>
      </c>
      <c r="AW65" s="356" t="str">
        <f>IF(OR(AI62="",AJ65=""),"",COUNTIF(ResultsTeams[[Draw1]:[Draw2]],AI62&amp;"-"&amp;AJ65))</f>
        <v/>
      </c>
      <c r="AX65" s="356" t="str">
        <f>IF(OR(AI62="",AJ65=""),"",COUNTIF(ResultsTeams[Lose],AI62&amp;"-"&amp;AJ65))</f>
        <v/>
      </c>
      <c r="AY65" s="356" t="str">
        <f>IF(OR(AI62="",AJ65=""),"",AV65-AX65)</f>
        <v/>
      </c>
      <c r="AZ65" s="356" t="str">
        <f>IF(OR(AI64="",AJ65=""),"",SUMIFS(ResultsTeams[Match-A],ResultsTeams[Stage],"Groups",ResultsTeams[Team A],AJ65)+SUMIFS(ResultsTeams[Match-B],ResultsTeams[Stage],"Groups",ResultsTeams[Team B],AJ65))</f>
        <v/>
      </c>
      <c r="BA65" s="356" t="str">
        <f>IF(OR(AI64="",AJ65=""),"",SUMIFS(ResultsTeams[Match-B],ResultsTeams[Stage],"Groups",ResultsTeams[Team A],AJ65)+SUMIFS(ResultsTeams[Match-A],ResultsTeams[Stage],"Groups",ResultsTeams[Team B],AJ65))</f>
        <v/>
      </c>
      <c r="BB65" s="356" t="str">
        <f t="shared" si="48"/>
        <v/>
      </c>
      <c r="BC65" s="356" t="str">
        <f>IF(OR(AI64="",AJ65=""),"",SUMIFS(ResultsTeams[Goal-A],ResultsTeams[Stage],"Groups",ResultsTeams[Team A],AJ65)+SUMIFS(ResultsTeams[Goal-B],ResultsTeams[Stage],"Groups",ResultsTeams[Team B],AJ65))</f>
        <v/>
      </c>
      <c r="BD65" s="356" t="str">
        <f>IF(OR(AI64="",AJ65=""),"",SUMIFS(ResultsTeams[Goal-B],ResultsTeams[Stage],"Groups",ResultsTeams[Team A],AJ65)+SUMIFS(ResultsTeams[Goal-A],ResultsTeams[Stage],"Groups",ResultsTeams[Team B],AJ65))</f>
        <v/>
      </c>
      <c r="BE65" s="357" t="str">
        <f>IF(OR(AI62="",AJ65=""),"",BC65-BD65)</f>
        <v/>
      </c>
      <c r="BF65" s="470" t="str">
        <f>IF(AM65="","",OR(VLOOKUP(AM65,AN63:BE69,3,FALSE),VLOOKUP(AM65,AN63:BE69,6,FALSE)))</f>
        <v/>
      </c>
      <c r="BG65" s="298" t="str">
        <f t="shared" si="47"/>
        <v/>
      </c>
      <c r="BH65" s="285" t="str">
        <f>IF(AM65="","",INDEX(AJ63:AJ69,MATCH(AM65,AN63:AN69,0)))</f>
        <v/>
      </c>
      <c r="BI65" s="286" t="str">
        <f>IF(AM65="","",VLOOKUP(AM65,AN63:BE69,COLUMN()-COLUMN(BB62),FALSE))</f>
        <v/>
      </c>
      <c r="BJ65" s="286" t="str">
        <f>IF(AM65="","",VLOOKUP(AM65,AN63:BE69,COLUMN()-COLUMN(BB62),FALSE))</f>
        <v/>
      </c>
      <c r="BK65" s="286" t="str">
        <f>IF(AM65="","",VLOOKUP(AM65,AN63:BE69,COLUMN()-COLUMN(BB62),FALSE))</f>
        <v/>
      </c>
      <c r="BL65" s="286" t="str">
        <f>IF(AM65="","",VLOOKUP(AM65,AN63:BE69,COLUMN()-COLUMN(BB62),FALSE))</f>
        <v/>
      </c>
      <c r="BM65" s="286" t="str">
        <f>IF(AM65="","",VLOOKUP(AM65,AN63:BE69,COLUMN()-COLUMN(BB62),FALSE))</f>
        <v/>
      </c>
      <c r="BN65" s="349" t="str">
        <f>IF(AM65="","",VLOOKUP(AM65,AN63:BE69,COLUMN()-COLUMN(BB62),FALSE))</f>
        <v/>
      </c>
      <c r="BO65" s="298" t="str">
        <f>IF(AM65="","",VLOOKUP(AM65,AN63:BE69,COLUMN()-COLUMN(BB62),FALSE))</f>
        <v/>
      </c>
      <c r="BP65" s="286" t="str">
        <f>IF(AM65="","",VLOOKUP(AM65,AN63:BE69,COLUMN()-COLUMN(BB62),FALSE))</f>
        <v/>
      </c>
      <c r="BQ65" s="301" t="str">
        <f>IF(AM65="","",VLOOKUP(AM65,AN63:BE69,COLUMN()-COLUMN(BB62),FALSE))</f>
        <v/>
      </c>
      <c r="BR65" s="352" t="str">
        <f>IF(AM65="","",VLOOKUP(AM65,AN63:BE69,COLUMN()-COLUMN(BB62),FALSE))</f>
        <v/>
      </c>
      <c r="BS65" s="286" t="str">
        <f>IF(AM65="","",VLOOKUP(AM65,AN63:BE69,COLUMN()-COLUMN(BB62),FALSE))</f>
        <v/>
      </c>
      <c r="BT65" s="301" t="str">
        <f>IF(AM65="","",VLOOKUP(AM65,AN63:BE69,COLUMN()-COLUMN(BB62),FALSE))</f>
        <v/>
      </c>
    </row>
    <row r="66" spans="1:72" x14ac:dyDescent="0.2">
      <c r="A66" s="62"/>
      <c r="B66" s="62"/>
      <c r="C66" s="62"/>
      <c r="D66" s="62"/>
      <c r="E66" s="241" t="s">
        <v>12243</v>
      </c>
      <c r="F66" s="247"/>
      <c r="G66" s="247"/>
      <c r="H66" s="254"/>
      <c r="I66" s="254"/>
      <c r="J66" s="260"/>
      <c r="K66" s="364"/>
      <c r="L66" s="364"/>
      <c r="M66" s="247"/>
      <c r="N66" s="265" t="b">
        <f>NOT(ISERROR(ResultsTeams[[#This Row],[Goal-A]]+ResultsTeams[[#This Row],[Goal-B]]))</f>
        <v>0</v>
      </c>
      <c r="O66" s="265" t="str">
        <f>IF(ResultsTeams[[#This Row],[Type]]="G",SUM(O67:O70),IF(LEFT(ResultsTeams[[#This Row],[Type]],1)="P",IF(ResultsTeams[[#This Row],[Goal-A]]&gt;ResultsTeams[[#This Row],[Goal-B]],1,0),""))</f>
        <v/>
      </c>
      <c r="P66" s="265" t="str">
        <f>IF(ResultsTeams[[#This Row],[Type]]="G",SUM(P67:P70),IF(LEFT(ResultsTeams[[#This Row],[Type]],1)="P",IF(ResultsTeams[[#This Row],[Goal-A]]&lt;ResultsTeams[[#This Row],[Goal-B]],1,0),""))</f>
        <v/>
      </c>
      <c r="Q66" s="265" t="str">
        <f>IF(ResultsTeams[[#This Row],[Type]]="G",SUM(Q67:Q70),IF(LEFT(ResultsTeams[[#This Row],[Type]],1)="P",VALUE(ResultsTeams[[#This Row],[Score-A]]),""))</f>
        <v/>
      </c>
      <c r="R66" s="265" t="str">
        <f>IF(ResultsTeams[[#This Row],[Type]]="G",SUM(R67:R70),IF(LEFT(ResultsTeams[[#This Row],[Type]],1)="P",VALUE(ResultsTeams[[#This Row],[Score-B]]),""))</f>
        <v/>
      </c>
      <c r="S66" s="265" t="str">
        <f ca="1">IF(AND(ResultsTeams[[#This Row],[Category]]&lt;&gt;"",ResultsTeams[[#This Row],[Team A]]&lt;&gt;""),COUNTIF(INDIRECT("TeamsList[Club Name]"),ResultsTeams[[#This Row],[Team A]]),"")</f>
        <v/>
      </c>
      <c r="T66" s="265" t="str">
        <f ca="1">IF(AND(ResultsTeams[[#This Row],[Category]]&lt;&gt;"",ResultsTeams[[#This Row],[Team B]]&lt;&gt;""),COUNTIF(INDIRECT("TeamsList[Club Name]"),ResultsTeams[[#This Row],[Team B]]),"")</f>
        <v/>
      </c>
      <c r="U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 s="265" t="str">
        <f>IF(ResultsTeams[[#This Row],[Score_OK]],IF(ResultsTeams[[#This Row],[StageCpy]]="Groups",ResultsTeams[[#This Row],[Category]]&amp;"-"&amp;IF(ResultsTeams[[#This Row],[Team B]]="","",IF(ResultsTeams[[#This Row],[Match-A]]=ResultsTeams[[#This Row],[Match-B]],ResultsTeams[[#This Row],[Team A]],"")),""),"")</f>
        <v/>
      </c>
      <c r="W66" s="265" t="str">
        <f>IF(ResultsTeams[[#This Row],[Score_OK]],IF(ResultsTeams[[#This Row],[StageCpy]]="Groups",ResultsTeams[[#This Row],[Category]]&amp;"-"&amp;IF(ResultsTeams[[#This Row],[Team B]]="","",IF(ResultsTeams[[#This Row],[Match-A]]=ResultsTeams[[#This Row],[Match-B]],ResultsTeams[[#This Row],[Team B]],"")),""),"")</f>
        <v/>
      </c>
      <c r="X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 s="264" t="str">
        <f>IF(ResultsTeams[[#This Row],[Category]]="","",VLOOKUP(ResultsTeams[[#This Row],[Stage]],$R$1:$T$8,MATCH(ResultsTeams[[#This Row],[Category]],$S$1:$T$1,0)+1,FALSE))</f>
        <v/>
      </c>
      <c r="AC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 s="264" t="str">
        <f>IF(ResultsTeams[[#This Row],[Type]]="G",ResultsTeams[[#This Row],[Stage]],AD65)</f>
        <v>Groups</v>
      </c>
      <c r="AE66" s="395" t="str">
        <f>IF(ResultsTeams[[#This Row],[Type]]="G",INDEX(TeamsList[Club Name],MATCH(ResultsTeams[[#This Row],[Team A]],TeamsList[Team Name],0)),AE65)</f>
        <v>MVV Rijnmond</v>
      </c>
      <c r="AF66" s="395" t="str">
        <f>IF(ResultsTeams[[#This Row],[Type]]="G",INDEX(TeamsList[Club Name],MATCH(ResultsTeams[[#This Row],[Team B]],TeamsList[Team Name],0)),AF65)</f>
        <v>FTC Issy-les-Moulineaux</v>
      </c>
      <c r="AG66" s="265"/>
      <c r="AH66" s="91"/>
      <c r="AI66" s="12">
        <f t="shared" si="49"/>
        <v>0</v>
      </c>
      <c r="AJ66" s="309"/>
      <c r="AK66" s="310"/>
      <c r="AL66" s="311"/>
      <c r="AM66" s="292" t="str">
        <f>IF(AV66="","",SMALL(AN63:AN69,ROWS(AM63:AM66)))</f>
        <v/>
      </c>
      <c r="AN66" s="293" t="str">
        <f>IF(AV66="","",RANK(AR66,AR63:AR69)*1000+ROWS(AN63:AN66))</f>
        <v/>
      </c>
      <c r="AO66" s="316" t="str">
        <f t="shared" si="42"/>
        <v/>
      </c>
      <c r="AP66" s="415" t="b">
        <f>AND(AU66&lt;&gt;"",AU66&gt;0,COUNTIF(AO63:AO69,AO66)&gt;1)</f>
        <v>0</v>
      </c>
      <c r="AQ66" s="316" t="str">
        <f t="shared" si="43"/>
        <v/>
      </c>
      <c r="AR66" s="317" t="str">
        <f t="shared" si="44"/>
        <v/>
      </c>
      <c r="AS66" s="415" t="b">
        <f>AND(AU66&lt;&gt;"",AU66&gt;0,COUNTIF(AR63:AR69,AR66)&gt;1)</f>
        <v>0</v>
      </c>
      <c r="AT66" s="355" t="str">
        <f t="shared" si="45"/>
        <v/>
      </c>
      <c r="AU66" s="356" t="str">
        <f t="shared" si="46"/>
        <v/>
      </c>
      <c r="AV66" s="356" t="str">
        <f>IF(OR(AI62="",AJ66=""),"",COUNTIF(ResultsTeams[Win],AI62&amp;"-"&amp;AJ66))</f>
        <v/>
      </c>
      <c r="AW66" s="356" t="str">
        <f>IF(OR(AI62="",AJ66=""),"",COUNTIF(ResultsTeams[[Draw1]:[Draw2]],AI62&amp;"-"&amp;AJ66))</f>
        <v/>
      </c>
      <c r="AX66" s="356" t="str">
        <f>IF(OR(AI62="",AJ66=""),"",COUNTIF(ResultsTeams[Lose],AI62&amp;"-"&amp;AJ66))</f>
        <v/>
      </c>
      <c r="AY66" s="356" t="str">
        <f>IF(OR(AI62="",AJ66=""),"",AV66-AX66)</f>
        <v/>
      </c>
      <c r="AZ66" s="356" t="str">
        <f>IF(OR(AI65="",AJ66=""),"",SUMIFS(ResultsTeams[Match-A],ResultsTeams[Stage],"Groups",ResultsTeams[Team A],AJ66)+SUMIFS(ResultsTeams[Match-B],ResultsTeams[Stage],"Groups",ResultsTeams[Team B],AJ66))</f>
        <v/>
      </c>
      <c r="BA66" s="356" t="str">
        <f>IF(OR(AI65="",AJ66=""),"",SUMIFS(ResultsTeams[Match-B],ResultsTeams[Stage],"Groups",ResultsTeams[Team A],AJ66)+SUMIFS(ResultsTeams[Match-A],ResultsTeams[Stage],"Groups",ResultsTeams[Team B],AJ66))</f>
        <v/>
      </c>
      <c r="BB66" s="356" t="str">
        <f t="shared" si="48"/>
        <v/>
      </c>
      <c r="BC66" s="356" t="str">
        <f>IF(OR(AI65="",AJ66=""),"",SUMIFS(ResultsTeams[Goal-A],ResultsTeams[Stage],"Groups",ResultsTeams[Team A],AJ66)+SUMIFS(ResultsTeams[Goal-B],ResultsTeams[Stage],"Groups",ResultsTeams[Team B],AJ66))</f>
        <v/>
      </c>
      <c r="BD66" s="356" t="str">
        <f>IF(OR(AI65="",AJ66=""),"",SUMIFS(ResultsTeams[Goal-B],ResultsTeams[Stage],"Groups",ResultsTeams[Team A],AJ66)+SUMIFS(ResultsTeams[Goal-A],ResultsTeams[Stage],"Groups",ResultsTeams[Team B],AJ66))</f>
        <v/>
      </c>
      <c r="BE66" s="357" t="str">
        <f>IF(OR(AI62="",AJ66=""),"",BC66-BD66)</f>
        <v/>
      </c>
      <c r="BF66" s="470" t="str">
        <f>IF(AM66="","",OR(VLOOKUP(AM66,AN63:BE69,3,FALSE),VLOOKUP(AM66,AN63:BE69,6,FALSE)))</f>
        <v/>
      </c>
      <c r="BG66" s="298" t="str">
        <f t="shared" si="47"/>
        <v/>
      </c>
      <c r="BH66" s="285" t="str">
        <f>IF(AM66="","",INDEX(AJ63:AJ69,MATCH(AM66,AN63:AN69,0)))</f>
        <v/>
      </c>
      <c r="BI66" s="286" t="str">
        <f>IF(AM66="","",VLOOKUP(AM66,AN63:BE69,COLUMN()-COLUMN(BB62),FALSE))</f>
        <v/>
      </c>
      <c r="BJ66" s="286" t="str">
        <f>IF(AM66="","",VLOOKUP(AM66,AN63:BE69,COLUMN()-COLUMN(BB62),FALSE))</f>
        <v/>
      </c>
      <c r="BK66" s="286" t="str">
        <f>IF(AM66="","",VLOOKUP(AM66,AN63:BE69,COLUMN()-COLUMN(BB62),FALSE))</f>
        <v/>
      </c>
      <c r="BL66" s="286" t="str">
        <f>IF(AM66="","",VLOOKUP(AM66,AN63:BE69,COLUMN()-COLUMN(BB62),FALSE))</f>
        <v/>
      </c>
      <c r="BM66" s="286" t="str">
        <f>IF(AM66="","",VLOOKUP(AM66,AN63:BE69,COLUMN()-COLUMN(BB62),FALSE))</f>
        <v/>
      </c>
      <c r="BN66" s="349" t="str">
        <f>IF(AM66="","",VLOOKUP(AM66,AN63:BE69,COLUMN()-COLUMN(BB62),FALSE))</f>
        <v/>
      </c>
      <c r="BO66" s="298" t="str">
        <f>IF(AM66="","",VLOOKUP(AM66,AN63:BE69,COLUMN()-COLUMN(BB62),FALSE))</f>
        <v/>
      </c>
      <c r="BP66" s="286" t="str">
        <f>IF(AM66="","",VLOOKUP(AM66,AN63:BE69,COLUMN()-COLUMN(BB62),FALSE))</f>
        <v/>
      </c>
      <c r="BQ66" s="301" t="str">
        <f>IF(AM66="","",VLOOKUP(AM66,AN63:BE69,COLUMN()-COLUMN(BB62),FALSE))</f>
        <v/>
      </c>
      <c r="BR66" s="352" t="str">
        <f>IF(AM66="","",VLOOKUP(AM66,AN63:BE69,COLUMN()-COLUMN(BB62),FALSE))</f>
        <v/>
      </c>
      <c r="BS66" s="286" t="str">
        <f>IF(AM66="","",VLOOKUP(AM66,AN63:BE69,COLUMN()-COLUMN(BB62),FALSE))</f>
        <v/>
      </c>
      <c r="BT66" s="301" t="str">
        <f>IF(AM66="","",VLOOKUP(AM66,AN63:BE69,COLUMN()-COLUMN(BB62),FALSE))</f>
        <v/>
      </c>
    </row>
    <row r="67" spans="1:72" ht="12" thickBot="1" x14ac:dyDescent="0.25">
      <c r="A67" s="83"/>
      <c r="B67" s="83"/>
      <c r="C67" s="83"/>
      <c r="D67" s="83"/>
      <c r="E67" s="268" t="s">
        <v>12244</v>
      </c>
      <c r="F67" s="262"/>
      <c r="G67" s="262"/>
      <c r="H67" s="324"/>
      <c r="I67" s="324"/>
      <c r="J67" s="263"/>
      <c r="K67" s="365"/>
      <c r="L67" s="365"/>
      <c r="M67" s="262"/>
      <c r="N67" s="265" t="b">
        <f>NOT(ISERROR(ResultsTeams[[#This Row],[Goal-A]]+ResultsTeams[[#This Row],[Goal-B]]))</f>
        <v>0</v>
      </c>
      <c r="O67" s="265" t="str">
        <f>IF(ResultsTeams[[#This Row],[Type]]="G",SUM(O68:O71),IF(LEFT(ResultsTeams[[#This Row],[Type]],1)="P",IF(ResultsTeams[[#This Row],[Goal-A]]&gt;ResultsTeams[[#This Row],[Goal-B]],1,0),""))</f>
        <v/>
      </c>
      <c r="P67" s="265" t="str">
        <f>IF(ResultsTeams[[#This Row],[Type]]="G",SUM(P68:P71),IF(LEFT(ResultsTeams[[#This Row],[Type]],1)="P",IF(ResultsTeams[[#This Row],[Goal-A]]&lt;ResultsTeams[[#This Row],[Goal-B]],1,0),""))</f>
        <v/>
      </c>
      <c r="Q67" s="265" t="str">
        <f>IF(ResultsTeams[[#This Row],[Type]]="G",SUM(Q68:Q71),IF(LEFT(ResultsTeams[[#This Row],[Type]],1)="P",VALUE(ResultsTeams[[#This Row],[Score-A]]),""))</f>
        <v/>
      </c>
      <c r="R67" s="265" t="str">
        <f>IF(ResultsTeams[[#This Row],[Type]]="G",SUM(R68:R71),IF(LEFT(ResultsTeams[[#This Row],[Type]],1)="P",VALUE(ResultsTeams[[#This Row],[Score-B]]),""))</f>
        <v/>
      </c>
      <c r="S67" s="265" t="str">
        <f ca="1">IF(AND(ResultsTeams[[#This Row],[Category]]&lt;&gt;"",ResultsTeams[[#This Row],[Team A]]&lt;&gt;""),COUNTIF(INDIRECT("TeamsList[Club Name]"),ResultsTeams[[#This Row],[Team A]]),"")</f>
        <v/>
      </c>
      <c r="T67" s="265" t="str">
        <f ca="1">IF(AND(ResultsTeams[[#This Row],[Category]]&lt;&gt;"",ResultsTeams[[#This Row],[Team B]]&lt;&gt;""),COUNTIF(INDIRECT("TeamsList[Club Name]"),ResultsTeams[[#This Row],[Team B]]),"")</f>
        <v/>
      </c>
      <c r="U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 s="265" t="str">
        <f>IF(ResultsTeams[[#This Row],[Score_OK]],IF(ResultsTeams[[#This Row],[StageCpy]]="Groups",ResultsTeams[[#This Row],[Category]]&amp;"-"&amp;IF(ResultsTeams[[#This Row],[Team B]]="","",IF(ResultsTeams[[#This Row],[Match-A]]=ResultsTeams[[#This Row],[Match-B]],ResultsTeams[[#This Row],[Team A]],"")),""),"")</f>
        <v/>
      </c>
      <c r="W67" s="265" t="str">
        <f>IF(ResultsTeams[[#This Row],[Score_OK]],IF(ResultsTeams[[#This Row],[StageCpy]]="Groups",ResultsTeams[[#This Row],[Category]]&amp;"-"&amp;IF(ResultsTeams[[#This Row],[Team B]]="","",IF(ResultsTeams[[#This Row],[Match-A]]=ResultsTeams[[#This Row],[Match-B]],ResultsTeams[[#This Row],[Team B]],"")),""),"")</f>
        <v/>
      </c>
      <c r="X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 s="264" t="str">
        <f>IF(ResultsTeams[[#This Row],[Category]]="","",VLOOKUP(ResultsTeams[[#This Row],[Stage]],$R$1:$T$8,MATCH(ResultsTeams[[#This Row],[Category]],$S$1:$T$1,0)+1,FALSE))</f>
        <v/>
      </c>
      <c r="AC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 s="264" t="str">
        <f>IF(ResultsTeams[[#This Row],[Type]]="G",ResultsTeams[[#This Row],[Stage]],AD66)</f>
        <v>Groups</v>
      </c>
      <c r="AE67" s="395" t="str">
        <f>IF(ResultsTeams[[#This Row],[Type]]="G",INDEX(TeamsList[Club Name],MATCH(ResultsTeams[[#This Row],[Team A]],TeamsList[Team Name],0)),AE66)</f>
        <v>MVV Rijnmond</v>
      </c>
      <c r="AF67" s="395" t="str">
        <f>IF(ResultsTeams[[#This Row],[Type]]="G",INDEX(TeamsList[Club Name],MATCH(ResultsTeams[[#This Row],[Team B]],TeamsList[Team Name],0)),AF66)</f>
        <v>FTC Issy-les-Moulineaux</v>
      </c>
      <c r="AG67" s="265"/>
      <c r="AH67" s="91"/>
      <c r="AI67" s="12">
        <f t="shared" si="49"/>
        <v>0</v>
      </c>
      <c r="AJ67" s="309"/>
      <c r="AK67" s="310"/>
      <c r="AL67" s="311"/>
      <c r="AM67" s="292" t="str">
        <f>IF(AV67="","",SMALL(AN63:AN69,ROWS(AM63:AM67)))</f>
        <v/>
      </c>
      <c r="AN67" s="293" t="str">
        <f>IF(AV67="","",RANK(AR67,AR63:AR69)*1000+ROWS(AN63:AN67))</f>
        <v/>
      </c>
      <c r="AO67" s="316" t="str">
        <f t="shared" si="42"/>
        <v/>
      </c>
      <c r="AP67" s="415" t="b">
        <f>AND(AU67&lt;&gt;"",AU67&gt;0,COUNTIF(AO63:AO69,AO67)&gt;1)</f>
        <v>0</v>
      </c>
      <c r="AQ67" s="316" t="str">
        <f t="shared" si="43"/>
        <v/>
      </c>
      <c r="AR67" s="317" t="str">
        <f t="shared" si="44"/>
        <v/>
      </c>
      <c r="AS67" s="415" t="b">
        <f>AND(AU67&lt;&gt;"",AU67&gt;0,COUNTIF(AR63:AR69,AR67)&gt;1)</f>
        <v>0</v>
      </c>
      <c r="AT67" s="355" t="str">
        <f t="shared" si="45"/>
        <v/>
      </c>
      <c r="AU67" s="356" t="str">
        <f t="shared" si="46"/>
        <v/>
      </c>
      <c r="AV67" s="356" t="str">
        <f>IF(OR(AI62="",AJ67=""),"",COUNTIF(ResultsTeams[Win],AI62&amp;"-"&amp;AJ67))</f>
        <v/>
      </c>
      <c r="AW67" s="356" t="str">
        <f>IF(OR(AI62="",AJ67=""),"",COUNTIF(ResultsTeams[[Draw1]:[Draw2]],AI62&amp;"-"&amp;AJ67))</f>
        <v/>
      </c>
      <c r="AX67" s="356" t="str">
        <f>IF(OR(AI62="",AJ67=""),"",COUNTIF(ResultsTeams[Lose],AI62&amp;"-"&amp;AJ67))</f>
        <v/>
      </c>
      <c r="AY67" s="356" t="str">
        <f>IF(OR(AI62="",AJ67=""),"",AV67-AX67)</f>
        <v/>
      </c>
      <c r="AZ67" s="356" t="str">
        <f>IF(OR(AI66="",AJ67=""),"",SUMIFS(ResultsTeams[Match-A],ResultsTeams[Stage],"Groups",ResultsTeams[Team A],AJ67)+SUMIFS(ResultsTeams[Match-B],ResultsTeams[Stage],"Groups",ResultsTeams[Team B],AJ67))</f>
        <v/>
      </c>
      <c r="BA67" s="356" t="str">
        <f>IF(OR(AI66="",AJ67=""),"",SUMIFS(ResultsTeams[Match-B],ResultsTeams[Stage],"Groups",ResultsTeams[Team A],AJ67)+SUMIFS(ResultsTeams[Match-A],ResultsTeams[Stage],"Groups",ResultsTeams[Team B],AJ67))</f>
        <v/>
      </c>
      <c r="BB67" s="356" t="str">
        <f t="shared" si="48"/>
        <v/>
      </c>
      <c r="BC67" s="356" t="str">
        <f>IF(OR(AI66="",AJ67=""),"",SUMIFS(ResultsTeams[Goal-A],ResultsTeams[Stage],"Groups",ResultsTeams[Team A],AJ67)+SUMIFS(ResultsTeams[Goal-B],ResultsTeams[Stage],"Groups",ResultsTeams[Team B],AJ67))</f>
        <v/>
      </c>
      <c r="BD67" s="356" t="str">
        <f>IF(OR(AI66="",AJ67=""),"",SUMIFS(ResultsTeams[Goal-B],ResultsTeams[Stage],"Groups",ResultsTeams[Team A],AJ67)+SUMIFS(ResultsTeams[Goal-A],ResultsTeams[Stage],"Groups",ResultsTeams[Team B],AJ67))</f>
        <v/>
      </c>
      <c r="BE67" s="357" t="str">
        <f>IF(OR(AI62="",AJ67=""),"",BC67-BD67)</f>
        <v/>
      </c>
      <c r="BF67" s="470" t="str">
        <f>IF(AM67="","",OR(VLOOKUP(AM67,AN63:BE69,3,FALSE),VLOOKUP(AM67,AN63:BE69,6,FALSE)))</f>
        <v/>
      </c>
      <c r="BG67" s="298" t="str">
        <f t="shared" si="47"/>
        <v/>
      </c>
      <c r="BH67" s="285" t="str">
        <f>IF(AM67="","",INDEX(AJ63:AJ69,MATCH(AM67,AN63:AN69,0)))</f>
        <v/>
      </c>
      <c r="BI67" s="286" t="str">
        <f>IF(AM67="","",VLOOKUP(AM67,AN63:BE69,COLUMN()-COLUMN(BB62),FALSE))</f>
        <v/>
      </c>
      <c r="BJ67" s="286" t="str">
        <f>IF(AM67="","",VLOOKUP(AM67,AN63:BE69,COLUMN()-COLUMN(BB62),FALSE))</f>
        <v/>
      </c>
      <c r="BK67" s="286" t="str">
        <f>IF(AM67="","",VLOOKUP(AM67,AN63:BE69,COLUMN()-COLUMN(BB62),FALSE))</f>
        <v/>
      </c>
      <c r="BL67" s="286" t="str">
        <f>IF(AM67="","",VLOOKUP(AM67,AN63:BE69,COLUMN()-COLUMN(BB62),FALSE))</f>
        <v/>
      </c>
      <c r="BM67" s="286" t="str">
        <f>IF(AM67="","",VLOOKUP(AM67,AN63:BE69,COLUMN()-COLUMN(BB62),FALSE))</f>
        <v/>
      </c>
      <c r="BN67" s="349" t="str">
        <f>IF(AM67="","",VLOOKUP(AM67,AN63:BE69,COLUMN()-COLUMN(BB62),FALSE))</f>
        <v/>
      </c>
      <c r="BO67" s="298" t="str">
        <f>IF(AM67="","",VLOOKUP(AM67,AN63:BE69,COLUMN()-COLUMN(BB62),FALSE))</f>
        <v/>
      </c>
      <c r="BP67" s="286" t="str">
        <f>IF(AM67="","",VLOOKUP(AM67,AN63:BE69,COLUMN()-COLUMN(BB62),FALSE))</f>
        <v/>
      </c>
      <c r="BQ67" s="301" t="str">
        <f>IF(AM67="","",VLOOKUP(AM67,AN63:BE69,COLUMN()-COLUMN(BB62),FALSE))</f>
        <v/>
      </c>
      <c r="BR67" s="352" t="str">
        <f>IF(AM67="","",VLOOKUP(AM67,AN63:BE69,COLUMN()-COLUMN(BB62),FALSE))</f>
        <v/>
      </c>
      <c r="BS67" s="286" t="str">
        <f>IF(AM67="","",VLOOKUP(AM67,AN63:BE69,COLUMN()-COLUMN(BB62),FALSE))</f>
        <v/>
      </c>
      <c r="BT67" s="301" t="str">
        <f>IF(AM67="","",VLOOKUP(AM67,AN63:BE69,COLUMN()-COLUMN(BB62),FALSE))</f>
        <v/>
      </c>
    </row>
    <row r="68" spans="1:72" ht="12" thickBot="1" x14ac:dyDescent="0.25">
      <c r="A68" s="261" t="s">
        <v>12693</v>
      </c>
      <c r="B68" s="270" t="s">
        <v>12207</v>
      </c>
      <c r="C68" s="270">
        <v>2</v>
      </c>
      <c r="D68" s="270"/>
      <c r="E68" s="272" t="s">
        <v>12228</v>
      </c>
      <c r="F68" s="273" t="s">
        <v>12558</v>
      </c>
      <c r="G68" s="273" t="s">
        <v>479</v>
      </c>
      <c r="H68" s="275">
        <v>4</v>
      </c>
      <c r="I68" s="275">
        <v>0</v>
      </c>
      <c r="J68" s="275"/>
      <c r="K68" s="366"/>
      <c r="L68" s="366"/>
      <c r="M68" s="274"/>
      <c r="N68" s="265" t="b">
        <f>NOT(ISERROR(ResultsTeams[[#This Row],[Goal-A]]+ResultsTeams[[#This Row],[Goal-B]]))</f>
        <v>1</v>
      </c>
      <c r="O68" s="265">
        <f>IF(ResultsTeams[[#This Row],[Type]]="G",SUM(O69:O72),IF(LEFT(ResultsTeams[[#This Row],[Type]],1)="P",IF(ResultsTeams[[#This Row],[Goal-A]]&gt;ResultsTeams[[#This Row],[Goal-B]],1,0),""))</f>
        <v>4</v>
      </c>
      <c r="P68" s="265">
        <f>IF(ResultsTeams[[#This Row],[Type]]="G",SUM(P69:P72),IF(LEFT(ResultsTeams[[#This Row],[Type]],1)="P",IF(ResultsTeams[[#This Row],[Goal-A]]&lt;ResultsTeams[[#This Row],[Goal-B]],1,0),""))</f>
        <v>0</v>
      </c>
      <c r="Q68" s="265">
        <f>IF(ResultsTeams[[#This Row],[Type]]="G",SUM(Q69:Q72),IF(LEFT(ResultsTeams[[#This Row],[Type]],1)="P",VALUE(ResultsTeams[[#This Row],[Score-A]]),""))</f>
        <v>19</v>
      </c>
      <c r="R68" s="265">
        <f>IF(ResultsTeams[[#This Row],[Type]]="G",SUM(R69:R72),IF(LEFT(ResultsTeams[[#This Row],[Type]],1)="P",VALUE(ResultsTeams[[#This Row],[Score-B]]),""))</f>
        <v>6</v>
      </c>
      <c r="S68" s="265">
        <f ca="1">IF(AND(ResultsTeams[[#This Row],[Category]]&lt;&gt;"",ResultsTeams[[#This Row],[Team A]]&lt;&gt;""),COUNTIF(INDIRECT("TeamsList[Club Name]"),ResultsTeams[[#This Row],[Team A]]),"")</f>
        <v>1</v>
      </c>
      <c r="T68" s="265">
        <f ca="1">IF(AND(ResultsTeams[[#This Row],[Category]]&lt;&gt;"",ResultsTeams[[#This Row],[Team B]]&lt;&gt;""),COUNTIF(INDIRECT("TeamsList[Club Name]"),ResultsTeams[[#This Row],[Team B]]),"")</f>
        <v>1</v>
      </c>
      <c r="U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TEAM-F.lli Bari Reggio Emilia</v>
      </c>
      <c r="V68" s="265" t="str">
        <f>IF(ResultsTeams[[#This Row],[Score_OK]],IF(ResultsTeams[[#This Row],[StageCpy]]="Groups",ResultsTeams[[#This Row],[Category]]&amp;"-"&amp;IF(ResultsTeams[[#This Row],[Team B]]="","",IF(ResultsTeams[[#This Row],[Match-A]]=ResultsTeams[[#This Row],[Match-B]],ResultsTeams[[#This Row],[Team A]],"")),""),"")</f>
        <v>TEAM-</v>
      </c>
      <c r="W68" s="265" t="str">
        <f>IF(ResultsTeams[[#This Row],[Score_OK]],IF(ResultsTeams[[#This Row],[StageCpy]]="Groups",ResultsTeams[[#This Row],[Category]]&amp;"-"&amp;IF(ResultsTeams[[#This Row],[Team B]]="","",IF(ResultsTeams[[#This Row],[Match-A]]=ResultsTeams[[#This Row],[Match-B]],ResultsTeams[[#This Row],[Team B]],"")),""),"")</f>
        <v>TEAM-</v>
      </c>
      <c r="X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TEAM-Wobbly Hobby Subbuteo Club</v>
      </c>
      <c r="Y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A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B68" s="264" t="str">
        <f>IF(ResultsTeams[[#This Row],[Category]]="","",VLOOKUP(ResultsTeams[[#This Row],[Stage]],$R$1:$T$8,MATCH(ResultsTeams[[#This Row],[Category]],$S$1:$T$1,0)+1,FALSE))</f>
        <v>PR1</v>
      </c>
      <c r="AC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 s="264" t="str">
        <f>IF(ResultsTeams[[#This Row],[Type]]="G",ResultsTeams[[#This Row],[Stage]],AD67)</f>
        <v>Groups</v>
      </c>
      <c r="AE68" s="395" t="str">
        <f>IF(ResultsTeams[[#This Row],[Type]]="G",INDEX(TeamsList[Club Name],MATCH(ResultsTeams[[#This Row],[Team A]],TeamsList[Team Name],0)),AE67)</f>
        <v>F.lli Bari Reggio Emilia</v>
      </c>
      <c r="AF68" s="395" t="str">
        <f>IF(ResultsTeams[[#This Row],[Type]]="G",INDEX(TeamsList[Club Name],MATCH(ResultsTeams[[#This Row],[Team B]],TeamsList[Team Name],0)),AF67)</f>
        <v>Wobbly Hobby Subbuteo Club</v>
      </c>
      <c r="AG68" s="265"/>
      <c r="AI68" s="12">
        <f t="shared" si="49"/>
        <v>0</v>
      </c>
      <c r="AJ68" s="309"/>
      <c r="AK68" s="310"/>
      <c r="AL68" s="311"/>
      <c r="AM68" s="292" t="str">
        <f>IF(AV68="","",SMALL(AN63:AN69,ROWS(AM63:AM68)))</f>
        <v/>
      </c>
      <c r="AN68" s="293" t="str">
        <f>IF(AV68="","",RANK(AR68,AR63:AR69)*1000+ROWS(AN63:AN68))</f>
        <v/>
      </c>
      <c r="AO68" s="316" t="str">
        <f t="shared" si="42"/>
        <v/>
      </c>
      <c r="AP68" s="415" t="b">
        <f>AND(AU68&lt;&gt;"",AU68&gt;0,COUNTIF(AO63:AO69,AO68)&gt;1)</f>
        <v>0</v>
      </c>
      <c r="AQ68" s="316" t="str">
        <f t="shared" si="43"/>
        <v/>
      </c>
      <c r="AR68" s="317" t="str">
        <f t="shared" si="44"/>
        <v/>
      </c>
      <c r="AS68" s="415" t="b">
        <f>AND(AU68&lt;&gt;"",AU68&gt;0,COUNTIF(AR63:AR69,AR68)&gt;1)</f>
        <v>0</v>
      </c>
      <c r="AT68" s="355" t="str">
        <f t="shared" si="45"/>
        <v/>
      </c>
      <c r="AU68" s="356" t="str">
        <f t="shared" si="46"/>
        <v/>
      </c>
      <c r="AV68" s="356" t="str">
        <f>IF(OR(AI62="",AJ68=""),"",COUNTIF(ResultsTeams[Win],AI62&amp;"-"&amp;AJ68))</f>
        <v/>
      </c>
      <c r="AW68" s="356" t="str">
        <f>IF(OR(AI62="",AJ68=""),"",COUNTIF(ResultsTeams[[Draw1]:[Draw2]],AI62&amp;"-"&amp;AJ68))</f>
        <v/>
      </c>
      <c r="AX68" s="356" t="str">
        <f>IF(OR(AI62="",AJ68=""),"",COUNTIF(ResultsTeams[Lose],AI62&amp;"-"&amp;AJ68))</f>
        <v/>
      </c>
      <c r="AY68" s="356" t="str">
        <f>IF(OR(AI62="",AJ68=""),"",AV68-AX68)</f>
        <v/>
      </c>
      <c r="AZ68" s="356" t="str">
        <f>IF(OR(AI67="",AJ68=""),"",SUMIFS(ResultsTeams[Match-A],ResultsTeams[Stage],"Groups",ResultsTeams[Team A],AJ68)+SUMIFS(ResultsTeams[Match-B],ResultsTeams[Stage],"Groups",ResultsTeams[Team B],AJ68))</f>
        <v/>
      </c>
      <c r="BA68" s="356" t="str">
        <f>IF(OR(AI67="",AJ68=""),"",SUMIFS(ResultsTeams[Match-B],ResultsTeams[Stage],"Groups",ResultsTeams[Team A],AJ68)+SUMIFS(ResultsTeams[Match-A],ResultsTeams[Stage],"Groups",ResultsTeams[Team B],AJ68))</f>
        <v/>
      </c>
      <c r="BB68" s="356" t="str">
        <f t="shared" si="48"/>
        <v/>
      </c>
      <c r="BC68" s="356" t="str">
        <f>IF(OR(AI67="",AJ68=""),"",SUMIFS(ResultsTeams[Goal-A],ResultsTeams[Stage],"Groups",ResultsTeams[Team A],AJ68)+SUMIFS(ResultsTeams[Goal-B],ResultsTeams[Stage],"Groups",ResultsTeams[Team B],AJ68))</f>
        <v/>
      </c>
      <c r="BD68" s="356" t="str">
        <f>IF(OR(AI67="",AJ68=""),"",SUMIFS(ResultsTeams[Goal-B],ResultsTeams[Stage],"Groups",ResultsTeams[Team A],AJ68)+SUMIFS(ResultsTeams[Goal-A],ResultsTeams[Stage],"Groups",ResultsTeams[Team B],AJ68))</f>
        <v/>
      </c>
      <c r="BE68" s="357" t="str">
        <f>IF(OR(AI62="",AJ68=""),"",BC68-BD68)</f>
        <v/>
      </c>
      <c r="BF68" s="470" t="str">
        <f>IF(AM68="","",OR(VLOOKUP(AM68,AN63:BE69,3,FALSE),VLOOKUP(AM68,AN63:BE69,6,FALSE)))</f>
        <v/>
      </c>
      <c r="BG68" s="298" t="str">
        <f t="shared" si="47"/>
        <v/>
      </c>
      <c r="BH68" s="285" t="str">
        <f>IF(AM68="","",INDEX(AJ63:AJ69,MATCH(AM68,AN63:AN69,0)))</f>
        <v/>
      </c>
      <c r="BI68" s="286" t="str">
        <f>IF(AM68="","",VLOOKUP(AM68,AN63:BE69,COLUMN()-COLUMN(BB62),FALSE))</f>
        <v/>
      </c>
      <c r="BJ68" s="286" t="str">
        <f>IF(AM68="","",VLOOKUP(AM68,AN63:BE69,COLUMN()-COLUMN(BB62),FALSE))</f>
        <v/>
      </c>
      <c r="BK68" s="286" t="str">
        <f>IF(AM68="","",VLOOKUP(AM68,AN63:BE69,COLUMN()-COLUMN(BB62),FALSE))</f>
        <v/>
      </c>
      <c r="BL68" s="286" t="str">
        <f>IF(AM68="","",VLOOKUP(AM68,AN63:BE69,COLUMN()-COLUMN(BB62),FALSE))</f>
        <v/>
      </c>
      <c r="BM68" s="286" t="str">
        <f>IF(AM68="","",VLOOKUP(AM68,AN63:BE69,COLUMN()-COLUMN(BB62),FALSE))</f>
        <v/>
      </c>
      <c r="BN68" s="349" t="str">
        <f>IF(AM68="","",VLOOKUP(AM68,AN63:BE69,COLUMN()-COLUMN(BB62),FALSE))</f>
        <v/>
      </c>
      <c r="BO68" s="298" t="str">
        <f>IF(AM68="","",VLOOKUP(AM68,AN63:BE69,COLUMN()-COLUMN(BB62),FALSE))</f>
        <v/>
      </c>
      <c r="BP68" s="286" t="str">
        <f>IF(AM68="","",VLOOKUP(AM68,AN63:BE69,COLUMN()-COLUMN(BB62),FALSE))</f>
        <v/>
      </c>
      <c r="BQ68" s="301" t="str">
        <f>IF(AM68="","",VLOOKUP(AM68,AN63:BE69,COLUMN()-COLUMN(BB62),FALSE))</f>
        <v/>
      </c>
      <c r="BR68" s="352" t="str">
        <f>IF(AM68="","",VLOOKUP(AM68,AN63:BE69,COLUMN()-COLUMN(BB62),FALSE))</f>
        <v/>
      </c>
      <c r="BS68" s="286" t="str">
        <f>IF(AM68="","",VLOOKUP(AM68,AN63:BE69,COLUMN()-COLUMN(BB62),FALSE))</f>
        <v/>
      </c>
      <c r="BT68" s="301" t="str">
        <f>IF(AM68="","",VLOOKUP(AM68,AN63:BE69,COLUMN()-COLUMN(BB62),FALSE))</f>
        <v/>
      </c>
    </row>
    <row r="69" spans="1:72" ht="12" thickBot="1" x14ac:dyDescent="0.25">
      <c r="A69" s="60"/>
      <c r="B69" s="280"/>
      <c r="C69" s="60"/>
      <c r="D69" s="60"/>
      <c r="E69" s="240" t="s">
        <v>12231</v>
      </c>
      <c r="F69" s="244" t="s">
        <v>8610</v>
      </c>
      <c r="G69" s="244" t="s">
        <v>8554</v>
      </c>
      <c r="H69" s="253">
        <v>6</v>
      </c>
      <c r="I69" s="253">
        <v>3</v>
      </c>
      <c r="J69" s="253"/>
      <c r="K69" s="362"/>
      <c r="L69" s="362"/>
      <c r="M69" s="245"/>
      <c r="N69" s="265" t="b">
        <f>NOT(ISERROR(ResultsTeams[[#This Row],[Goal-A]]+ResultsTeams[[#This Row],[Goal-B]]))</f>
        <v>1</v>
      </c>
      <c r="O69" s="265">
        <f>IF(ResultsTeams[[#This Row],[Type]]="G",SUM(O70:O73),IF(LEFT(ResultsTeams[[#This Row],[Type]],1)="P",IF(ResultsTeams[[#This Row],[Goal-A]]&gt;ResultsTeams[[#This Row],[Goal-B]],1,0),""))</f>
        <v>1</v>
      </c>
      <c r="P69" s="265">
        <f>IF(ResultsTeams[[#This Row],[Type]]="G",SUM(P70:P73),IF(LEFT(ResultsTeams[[#This Row],[Type]],1)="P",IF(ResultsTeams[[#This Row],[Goal-A]]&lt;ResultsTeams[[#This Row],[Goal-B]],1,0),""))</f>
        <v>0</v>
      </c>
      <c r="Q69" s="265">
        <f>IF(ResultsTeams[[#This Row],[Type]]="G",SUM(Q70:Q73),IF(LEFT(ResultsTeams[[#This Row],[Type]],1)="P",VALUE(ResultsTeams[[#This Row],[Score-A]]),""))</f>
        <v>6</v>
      </c>
      <c r="R69" s="265">
        <f>IF(ResultsTeams[[#This Row],[Type]]="G",SUM(R70:R73),IF(LEFT(ResultsTeams[[#This Row],[Type]],1)="P",VALUE(ResultsTeams[[#This Row],[Score-B]]),""))</f>
        <v>3</v>
      </c>
      <c r="S69" s="265" t="str">
        <f ca="1">IF(AND(ResultsTeams[[#This Row],[Category]]&lt;&gt;"",ResultsTeams[[#This Row],[Team A]]&lt;&gt;""),COUNTIF(INDIRECT("TeamsList[Club Name]"),ResultsTeams[[#This Row],[Team A]]),"")</f>
        <v/>
      </c>
      <c r="T69" s="265" t="str">
        <f ca="1">IF(AND(ResultsTeams[[#This Row],[Category]]&lt;&gt;"",ResultsTeams[[#This Row],[Team B]]&lt;&gt;""),COUNTIF(INDIRECT("TeamsList[Club Name]"),ResultsTeams[[#This Row],[Team B]]),"")</f>
        <v/>
      </c>
      <c r="U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-Carlos Flores</v>
      </c>
      <c r="V69" s="265" t="str">
        <f>IF(ResultsTeams[[#This Row],[Score_OK]],IF(ResultsTeams[[#This Row],[StageCpy]]="Groups",ResultsTeams[[#This Row],[Category]]&amp;"-"&amp;IF(ResultsTeams[[#This Row],[Team B]]="","",IF(ResultsTeams[[#This Row],[Match-A]]=ResultsTeams[[#This Row],[Match-B]],ResultsTeams[[#This Row],[Team A]],"")),""),"")</f>
        <v>-</v>
      </c>
      <c r="W69" s="265" t="str">
        <f>IF(ResultsTeams[[#This Row],[Score_OK]],IF(ResultsTeams[[#This Row],[StageCpy]]="Groups",ResultsTeams[[#This Row],[Category]]&amp;"-"&amp;IF(ResultsTeams[[#This Row],[Team B]]="","",IF(ResultsTeams[[#This Row],[Match-A]]=ResultsTeams[[#This Row],[Match-B]],ResultsTeams[[#This Row],[Team B]],"")),""),"")</f>
        <v>-</v>
      </c>
      <c r="X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-Alan Lee</v>
      </c>
      <c r="Y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 s="264" t="str">
        <f>IF(ResultsTeams[[#This Row],[Category]]="","",VLOOKUP(ResultsTeams[[#This Row],[Stage]],$R$1:$T$8,MATCH(ResultsTeams[[#This Row],[Category]],$S$1:$T$1,0)+1,FALSE))</f>
        <v/>
      </c>
      <c r="AC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 s="264" t="str">
        <f>IF(ResultsTeams[[#This Row],[Type]]="G",ResultsTeams[[#This Row],[Stage]],AD68)</f>
        <v>Groups</v>
      </c>
      <c r="AE69" s="395" t="str">
        <f>IF(ResultsTeams[[#This Row],[Type]]="G",INDEX(TeamsList[Club Name],MATCH(ResultsTeams[[#This Row],[Team A]],TeamsList[Team Name],0)),AE68)</f>
        <v>F.lli Bari Reggio Emilia</v>
      </c>
      <c r="AF69" s="395" t="str">
        <f>IF(ResultsTeams[[#This Row],[Type]]="G",INDEX(TeamsList[Club Name],MATCH(ResultsTeams[[#This Row],[Team B]],TeamsList[Team Name],0)),AF68)</f>
        <v>Wobbly Hobby Subbuteo Club</v>
      </c>
      <c r="AG69" s="265"/>
      <c r="AI69" s="12">
        <f t="shared" si="49"/>
        <v>0</v>
      </c>
      <c r="AJ69" s="312"/>
      <c r="AK69" s="313"/>
      <c r="AL69" s="314"/>
      <c r="AM69" s="294" t="str">
        <f>IF(AV69="","",SMALL(AN63:AN69,ROWS(AM63:AM69)))</f>
        <v/>
      </c>
      <c r="AN69" s="295" t="str">
        <f>IF(AV69="","",RANK(AR69,AR63:AR69)*1000+ROWS(AN63:AN69))</f>
        <v/>
      </c>
      <c r="AO69" s="318" t="str">
        <f t="shared" si="42"/>
        <v/>
      </c>
      <c r="AP69" s="416" t="b">
        <f>AND(AU69&lt;&gt;"",AU69&gt;0,COUNTIF(AO63:AO69,AO69)&gt;1)</f>
        <v>0</v>
      </c>
      <c r="AQ69" s="318" t="str">
        <f t="shared" si="43"/>
        <v/>
      </c>
      <c r="AR69" s="319" t="str">
        <f t="shared" si="44"/>
        <v/>
      </c>
      <c r="AS69" s="416" t="b">
        <f>AND(AU69&lt;&gt;"",AU69&gt;0,COUNTIF(AR63:AR69,AR69)&gt;1)</f>
        <v>0</v>
      </c>
      <c r="AT69" s="358" t="str">
        <f t="shared" si="45"/>
        <v/>
      </c>
      <c r="AU69" s="359" t="str">
        <f t="shared" si="46"/>
        <v/>
      </c>
      <c r="AV69" s="359" t="str">
        <f>IF(OR(AI62="",AJ69=""),"",COUNTIF(ResultsTeams[Win],AI62&amp;"-"&amp;AJ69))</f>
        <v/>
      </c>
      <c r="AW69" s="359" t="str">
        <f>IF(OR(AI62="",AJ69=""),"",COUNTIF(ResultsTeams[[Draw1]:[Draw2]],AI62&amp;"-"&amp;AJ69))</f>
        <v/>
      </c>
      <c r="AX69" s="359" t="str">
        <f>IF(OR(AI62="",AJ69=""),"",COUNTIF(ResultsTeams[Lose],AI62&amp;"-"&amp;AJ69))</f>
        <v/>
      </c>
      <c r="AY69" s="359" t="str">
        <f>IF(OR(AI62="",AJ69=""),"",AV69-AX69)</f>
        <v/>
      </c>
      <c r="AZ69" s="359" t="str">
        <f>IF(OR(AI68="",AJ69=""),"",SUMIFS(ResultsTeams[Match-A],ResultsTeams[Stage],"Groups",ResultsTeams[Team A],AJ69)+SUMIFS(ResultsTeams[Match-B],ResultsTeams[Stage],"Groups",ResultsTeams[Team B],AJ69))</f>
        <v/>
      </c>
      <c r="BA69" s="359" t="str">
        <f>IF(OR(AI68="",AJ69=""),"",SUMIFS(ResultsTeams[Match-B],ResultsTeams[Stage],"Groups",ResultsTeams[Team A],AJ69)+SUMIFS(ResultsTeams[Match-A],ResultsTeams[Stage],"Groups",ResultsTeams[Team B],AJ69))</f>
        <v/>
      </c>
      <c r="BB69" s="359" t="str">
        <f t="shared" si="48"/>
        <v/>
      </c>
      <c r="BC69" s="359" t="str">
        <f>IF(OR(AI68="",AJ69=""),"",SUMIFS(ResultsTeams[Goal-A],ResultsTeams[Stage],"Groups",ResultsTeams[Team A],AJ69)+SUMIFS(ResultsTeams[Goal-B],ResultsTeams[Stage],"Groups",ResultsTeams[Team B],AJ69))</f>
        <v/>
      </c>
      <c r="BD69" s="359" t="str">
        <f>IF(OR(AI68="",AJ69=""),"",SUMIFS(ResultsTeams[Goal-B],ResultsTeams[Stage],"Groups",ResultsTeams[Team A],AJ69)+SUMIFS(ResultsTeams[Goal-A],ResultsTeams[Stage],"Groups",ResultsTeams[Team B],AJ69))</f>
        <v/>
      </c>
      <c r="BE69" s="360" t="str">
        <f>IF(OR(AI62="",AJ69=""),"",BC69-BD69)</f>
        <v/>
      </c>
      <c r="BF69" s="470" t="str">
        <f>IF(AM69="","",OR(VLOOKUP(AM69,AN63:BE69,3,FALSE),VLOOKUP(AM69,AN63:BE69,6,FALSE)))</f>
        <v/>
      </c>
      <c r="BG69" s="299" t="str">
        <f t="shared" si="47"/>
        <v/>
      </c>
      <c r="BH69" s="287" t="str">
        <f>IF(AM69="","",INDEX(AJ63:AJ69,MATCH(AM69,AN63:AN69,0)))</f>
        <v/>
      </c>
      <c r="BI69" s="288" t="str">
        <f>IF(AM69="","",VLOOKUP(AM69,AN63:BE69,COLUMN()-COLUMN(BB62),FALSE))</f>
        <v/>
      </c>
      <c r="BJ69" s="288" t="str">
        <f>IF(AM69="","",VLOOKUP(AM69,AN63:BE69,COLUMN()-COLUMN(BB62),FALSE))</f>
        <v/>
      </c>
      <c r="BK69" s="288" t="str">
        <f>IF(AM69="","",VLOOKUP(AM69,AN63:BE69,COLUMN()-COLUMN(BB62),FALSE))</f>
        <v/>
      </c>
      <c r="BL69" s="288" t="str">
        <f>IF(AM69="","",VLOOKUP(AM69,AN63:BE69,COLUMN()-COLUMN(BB62),FALSE))</f>
        <v/>
      </c>
      <c r="BM69" s="288" t="str">
        <f>IF(AM69="","",VLOOKUP(AM69,AN63:BE69,COLUMN()-COLUMN(BB62),FALSE))</f>
        <v/>
      </c>
      <c r="BN69" s="350" t="str">
        <f>IF(AM69="","",VLOOKUP(AM69,AN63:BE69,COLUMN()-COLUMN(BB62),FALSE))</f>
        <v/>
      </c>
      <c r="BO69" s="299" t="str">
        <f>IF(AM69="","",VLOOKUP(AM69,AN63:BE69,COLUMN()-COLUMN(BB62),FALSE))</f>
        <v/>
      </c>
      <c r="BP69" s="288" t="str">
        <f>IF(AM69="","",VLOOKUP(AM69,AN63:BE69,COLUMN()-COLUMN(BB62),FALSE))</f>
        <v/>
      </c>
      <c r="BQ69" s="302" t="str">
        <f>IF(AM69="","",VLOOKUP(AM69,AN63:BE69,COLUMN()-COLUMN(BB62),FALSE))</f>
        <v/>
      </c>
      <c r="BR69" s="353" t="str">
        <f>IF(AM69="","",VLOOKUP(AM69,AN63:BE69,COLUMN()-COLUMN(BB62),FALSE))</f>
        <v/>
      </c>
      <c r="BS69" s="288" t="str">
        <f>IF(AM69="","",VLOOKUP(AM69,AN63:BE69,COLUMN()-COLUMN(BB62),FALSE))</f>
        <v/>
      </c>
      <c r="BT69" s="302" t="str">
        <f>IF(AM69="","",VLOOKUP(AM69,AN63:BE69,COLUMN()-COLUMN(BB62),FALSE))</f>
        <v/>
      </c>
    </row>
    <row r="70" spans="1:72" ht="12" thickBot="1" x14ac:dyDescent="0.25">
      <c r="A70" s="62"/>
      <c r="B70" s="280"/>
      <c r="C70" s="62"/>
      <c r="D70" s="62"/>
      <c r="E70" s="241" t="s">
        <v>12234</v>
      </c>
      <c r="F70" s="246" t="s">
        <v>9915</v>
      </c>
      <c r="G70" s="246" t="s">
        <v>8539</v>
      </c>
      <c r="H70" s="254">
        <v>4</v>
      </c>
      <c r="I70" s="254">
        <v>1</v>
      </c>
      <c r="J70" s="254"/>
      <c r="K70" s="363"/>
      <c r="L70" s="363"/>
      <c r="M70" s="247"/>
      <c r="N70" s="265" t="b">
        <f>NOT(ISERROR(ResultsTeams[[#This Row],[Goal-A]]+ResultsTeams[[#This Row],[Goal-B]]))</f>
        <v>1</v>
      </c>
      <c r="O70" s="265">
        <f>IF(ResultsTeams[[#This Row],[Type]]="G",SUM(O71:O74),IF(LEFT(ResultsTeams[[#This Row],[Type]],1)="P",IF(ResultsTeams[[#This Row],[Goal-A]]&gt;ResultsTeams[[#This Row],[Goal-B]],1,0),""))</f>
        <v>1</v>
      </c>
      <c r="P70" s="265">
        <f>IF(ResultsTeams[[#This Row],[Type]]="G",SUM(P71:P74),IF(LEFT(ResultsTeams[[#This Row],[Type]],1)="P",IF(ResultsTeams[[#This Row],[Goal-A]]&lt;ResultsTeams[[#This Row],[Goal-B]],1,0),""))</f>
        <v>0</v>
      </c>
      <c r="Q70" s="265">
        <f>IF(ResultsTeams[[#This Row],[Type]]="G",SUM(Q71:Q74),IF(LEFT(ResultsTeams[[#This Row],[Type]],1)="P",VALUE(ResultsTeams[[#This Row],[Score-A]]),""))</f>
        <v>4</v>
      </c>
      <c r="R70" s="265">
        <f>IF(ResultsTeams[[#This Row],[Type]]="G",SUM(R71:R74),IF(LEFT(ResultsTeams[[#This Row],[Type]],1)="P",VALUE(ResultsTeams[[#This Row],[Score-B]]),""))</f>
        <v>1</v>
      </c>
      <c r="S70" s="265" t="str">
        <f ca="1">IF(AND(ResultsTeams[[#This Row],[Category]]&lt;&gt;"",ResultsTeams[[#This Row],[Team A]]&lt;&gt;""),COUNTIF(INDIRECT("TeamsList[Club Name]"),ResultsTeams[[#This Row],[Team A]]),"")</f>
        <v/>
      </c>
      <c r="T70" s="265" t="str">
        <f ca="1">IF(AND(ResultsTeams[[#This Row],[Category]]&lt;&gt;"",ResultsTeams[[#This Row],[Team B]]&lt;&gt;""),COUNTIF(INDIRECT("TeamsList[Club Name]"),ResultsTeams[[#This Row],[Team B]]),"")</f>
        <v/>
      </c>
      <c r="U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-Emanuele Licheri</v>
      </c>
      <c r="V70" s="265" t="str">
        <f>IF(ResultsTeams[[#This Row],[Score_OK]],IF(ResultsTeams[[#This Row],[StageCpy]]="Groups",ResultsTeams[[#This Row],[Category]]&amp;"-"&amp;IF(ResultsTeams[[#This Row],[Team B]]="","",IF(ResultsTeams[[#This Row],[Match-A]]=ResultsTeams[[#This Row],[Match-B]],ResultsTeams[[#This Row],[Team A]],"")),""),"")</f>
        <v>-</v>
      </c>
      <c r="W70" s="265" t="str">
        <f>IF(ResultsTeams[[#This Row],[Score_OK]],IF(ResultsTeams[[#This Row],[StageCpy]]="Groups",ResultsTeams[[#This Row],[Category]]&amp;"-"&amp;IF(ResultsTeams[[#This Row],[Team B]]="","",IF(ResultsTeams[[#This Row],[Match-A]]=ResultsTeams[[#This Row],[Match-B]],ResultsTeams[[#This Row],[Team B]],"")),""),"")</f>
        <v>-</v>
      </c>
      <c r="X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-Rudi Peterschinigg</v>
      </c>
      <c r="Y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 s="264" t="str">
        <f>IF(ResultsTeams[[#This Row],[Category]]="","",VLOOKUP(ResultsTeams[[#This Row],[Stage]],$R$1:$T$8,MATCH(ResultsTeams[[#This Row],[Category]],$S$1:$T$1,0)+1,FALSE))</f>
        <v/>
      </c>
      <c r="AC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 s="264" t="str">
        <f>IF(ResultsTeams[[#This Row],[Type]]="G",ResultsTeams[[#This Row],[Stage]],AD69)</f>
        <v>Groups</v>
      </c>
      <c r="AE70" s="395" t="str">
        <f>IF(ResultsTeams[[#This Row],[Type]]="G",INDEX(TeamsList[Club Name],MATCH(ResultsTeams[[#This Row],[Team A]],TeamsList[Team Name],0)),AE69)</f>
        <v>F.lli Bari Reggio Emilia</v>
      </c>
      <c r="AF70" s="395" t="str">
        <f>IF(ResultsTeams[[#This Row],[Type]]="G",INDEX(TeamsList[Club Name],MATCH(ResultsTeams[[#This Row],[Team B]],TeamsList[Team Name],0)),AF69)</f>
        <v>Wobbly Hobby Subbuteo Club</v>
      </c>
      <c r="AG70" s="265"/>
    </row>
    <row r="71" spans="1:72" ht="12" thickBot="1" x14ac:dyDescent="0.25">
      <c r="A71" s="62"/>
      <c r="B71" s="280"/>
      <c r="C71" s="62"/>
      <c r="D71" s="62"/>
      <c r="E71" s="241" t="s">
        <v>12237</v>
      </c>
      <c r="F71" s="246" t="s">
        <v>13</v>
      </c>
      <c r="G71" s="246" t="s">
        <v>8541</v>
      </c>
      <c r="H71" s="254">
        <v>5</v>
      </c>
      <c r="I71" s="254">
        <v>2</v>
      </c>
      <c r="J71" s="254"/>
      <c r="K71" s="363"/>
      <c r="L71" s="363"/>
      <c r="M71" s="247"/>
      <c r="N71" s="265" t="b">
        <f>NOT(ISERROR(ResultsTeams[[#This Row],[Goal-A]]+ResultsTeams[[#This Row],[Goal-B]]))</f>
        <v>1</v>
      </c>
      <c r="O71" s="265">
        <f>IF(ResultsTeams[[#This Row],[Type]]="G",SUM(O72:O75),IF(LEFT(ResultsTeams[[#This Row],[Type]],1)="P",IF(ResultsTeams[[#This Row],[Goal-A]]&gt;ResultsTeams[[#This Row],[Goal-B]],1,0),""))</f>
        <v>1</v>
      </c>
      <c r="P71" s="265">
        <f>IF(ResultsTeams[[#This Row],[Type]]="G",SUM(P72:P75),IF(LEFT(ResultsTeams[[#This Row],[Type]],1)="P",IF(ResultsTeams[[#This Row],[Goal-A]]&lt;ResultsTeams[[#This Row],[Goal-B]],1,0),""))</f>
        <v>0</v>
      </c>
      <c r="Q71" s="265">
        <f>IF(ResultsTeams[[#This Row],[Type]]="G",SUM(Q72:Q75),IF(LEFT(ResultsTeams[[#This Row],[Type]],1)="P",VALUE(ResultsTeams[[#This Row],[Score-A]]),""))</f>
        <v>5</v>
      </c>
      <c r="R71" s="265">
        <f>IF(ResultsTeams[[#This Row],[Type]]="G",SUM(R72:R75),IF(LEFT(ResultsTeams[[#This Row],[Type]],1)="P",VALUE(ResultsTeams[[#This Row],[Score-B]]),""))</f>
        <v>2</v>
      </c>
      <c r="S71" s="265" t="str">
        <f ca="1">IF(AND(ResultsTeams[[#This Row],[Category]]&lt;&gt;"",ResultsTeams[[#This Row],[Team A]]&lt;&gt;""),COUNTIF(INDIRECT("TeamsList[Club Name]"),ResultsTeams[[#This Row],[Team A]]),"")</f>
        <v/>
      </c>
      <c r="T71" s="265" t="str">
        <f ca="1">IF(AND(ResultsTeams[[#This Row],[Category]]&lt;&gt;"",ResultsTeams[[#This Row],[Team B]]&lt;&gt;""),COUNTIF(INDIRECT("TeamsList[Club Name]"),ResultsTeams[[#This Row],[Team B]]),"")</f>
        <v/>
      </c>
      <c r="U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-Saverio Bari</v>
      </c>
      <c r="V71" s="265" t="str">
        <f>IF(ResultsTeams[[#This Row],[Score_OK]],IF(ResultsTeams[[#This Row],[StageCpy]]="Groups",ResultsTeams[[#This Row],[Category]]&amp;"-"&amp;IF(ResultsTeams[[#This Row],[Team B]]="","",IF(ResultsTeams[[#This Row],[Match-A]]=ResultsTeams[[#This Row],[Match-B]],ResultsTeams[[#This Row],[Team A]],"")),""),"")</f>
        <v>-</v>
      </c>
      <c r="W71" s="265" t="str">
        <f>IF(ResultsTeams[[#This Row],[Score_OK]],IF(ResultsTeams[[#This Row],[StageCpy]]="Groups",ResultsTeams[[#This Row],[Category]]&amp;"-"&amp;IF(ResultsTeams[[#This Row],[Team B]]="","",IF(ResultsTeams[[#This Row],[Match-A]]=ResultsTeams[[#This Row],[Match-B]],ResultsTeams[[#This Row],[Team B]],"")),""),"")</f>
        <v>-</v>
      </c>
      <c r="X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-Kevin Cordell</v>
      </c>
      <c r="Y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 s="264" t="str">
        <f>IF(ResultsTeams[[#This Row],[Category]]="","",VLOOKUP(ResultsTeams[[#This Row],[Stage]],$R$1:$T$8,MATCH(ResultsTeams[[#This Row],[Category]],$S$1:$T$1,0)+1,FALSE))</f>
        <v/>
      </c>
      <c r="AC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 s="264" t="str">
        <f>IF(ResultsTeams[[#This Row],[Type]]="G",ResultsTeams[[#This Row],[Stage]],AD70)</f>
        <v>Groups</v>
      </c>
      <c r="AE71" s="395" t="str">
        <f>IF(ResultsTeams[[#This Row],[Type]]="G",INDEX(TeamsList[Club Name],MATCH(ResultsTeams[[#This Row],[Team A]],TeamsList[Team Name],0)),AE70)</f>
        <v>F.lli Bari Reggio Emilia</v>
      </c>
      <c r="AF71" s="395" t="str">
        <f>IF(ResultsTeams[[#This Row],[Type]]="G",INDEX(TeamsList[Club Name],MATCH(ResultsTeams[[#This Row],[Team B]],TeamsList[Team Name],0)),AF70)</f>
        <v>Wobbly Hobby Subbuteo Club</v>
      </c>
      <c r="AG71" s="265"/>
      <c r="AH71" s="281">
        <v>2</v>
      </c>
      <c r="AI71" s="315" t="s">
        <v>12693</v>
      </c>
      <c r="AJ71" s="289" t="s">
        <v>14438</v>
      </c>
      <c r="AK71" s="290" t="s">
        <v>12279</v>
      </c>
      <c r="AL71" s="300" t="s">
        <v>12275</v>
      </c>
      <c r="AM71" s="296" t="s">
        <v>12276</v>
      </c>
      <c r="AN71" s="291" t="s">
        <v>12271</v>
      </c>
      <c r="AO71" s="291" t="s">
        <v>12272</v>
      </c>
      <c r="AP71" s="414" t="s">
        <v>13154</v>
      </c>
      <c r="AQ71" s="291" t="s">
        <v>12273</v>
      </c>
      <c r="AR71" s="297" t="s">
        <v>12274</v>
      </c>
      <c r="AS71" s="414" t="s">
        <v>13154</v>
      </c>
      <c r="AT71" s="296" t="s">
        <v>12199</v>
      </c>
      <c r="AU71" s="291" t="s">
        <v>12200</v>
      </c>
      <c r="AV71" s="291" t="s">
        <v>12201</v>
      </c>
      <c r="AW71" s="291" t="s">
        <v>12202</v>
      </c>
      <c r="AX71" s="291" t="s">
        <v>12203</v>
      </c>
      <c r="AY71" s="291" t="s">
        <v>12697</v>
      </c>
      <c r="AZ71" s="291" t="s">
        <v>12698</v>
      </c>
      <c r="BA71" s="291" t="s">
        <v>12699</v>
      </c>
      <c r="BB71" s="291" t="s">
        <v>12700</v>
      </c>
      <c r="BC71" s="291" t="s">
        <v>12204</v>
      </c>
      <c r="BD71" s="291" t="s">
        <v>12205</v>
      </c>
      <c r="BE71" s="297" t="s">
        <v>12206</v>
      </c>
      <c r="BF71" s="395"/>
      <c r="BG71" s="282" t="s">
        <v>12276</v>
      </c>
      <c r="BH71" s="282" t="s">
        <v>12133</v>
      </c>
      <c r="BI71" s="283" t="s">
        <v>12199</v>
      </c>
      <c r="BJ71" s="283" t="s">
        <v>12200</v>
      </c>
      <c r="BK71" s="283" t="s">
        <v>12201</v>
      </c>
      <c r="BL71" s="283" t="s">
        <v>12202</v>
      </c>
      <c r="BM71" s="283" t="s">
        <v>12203</v>
      </c>
      <c r="BN71" s="290" t="s">
        <v>12697</v>
      </c>
      <c r="BO71" s="354" t="s">
        <v>12698</v>
      </c>
      <c r="BP71" s="283" t="s">
        <v>12699</v>
      </c>
      <c r="BQ71" s="300" t="s">
        <v>12700</v>
      </c>
      <c r="BR71" s="351" t="s">
        <v>12204</v>
      </c>
      <c r="BS71" s="283" t="s">
        <v>12205</v>
      </c>
      <c r="BT71" s="300" t="s">
        <v>12206</v>
      </c>
    </row>
    <row r="72" spans="1:72" x14ac:dyDescent="0.2">
      <c r="A72" s="62"/>
      <c r="B72" s="280"/>
      <c r="C72" s="62"/>
      <c r="D72" s="62"/>
      <c r="E72" s="241" t="s">
        <v>12240</v>
      </c>
      <c r="F72" s="246" t="s">
        <v>10080</v>
      </c>
      <c r="G72" s="246" t="s">
        <v>8542</v>
      </c>
      <c r="H72" s="254">
        <v>4</v>
      </c>
      <c r="I72" s="254">
        <v>0</v>
      </c>
      <c r="J72" s="254"/>
      <c r="K72" s="363"/>
      <c r="L72" s="363"/>
      <c r="M72" s="247"/>
      <c r="N72" s="265" t="b">
        <f>NOT(ISERROR(ResultsTeams[[#This Row],[Goal-A]]+ResultsTeams[[#This Row],[Goal-B]]))</f>
        <v>1</v>
      </c>
      <c r="O72" s="265">
        <f>IF(ResultsTeams[[#This Row],[Type]]="G",SUM(O73:O76),IF(LEFT(ResultsTeams[[#This Row],[Type]],1)="P",IF(ResultsTeams[[#This Row],[Goal-A]]&gt;ResultsTeams[[#This Row],[Goal-B]],1,0),""))</f>
        <v>1</v>
      </c>
      <c r="P72" s="265">
        <f>IF(ResultsTeams[[#This Row],[Type]]="G",SUM(P73:P76),IF(LEFT(ResultsTeams[[#This Row],[Type]],1)="P",IF(ResultsTeams[[#This Row],[Goal-A]]&lt;ResultsTeams[[#This Row],[Goal-B]],1,0),""))</f>
        <v>0</v>
      </c>
      <c r="Q72" s="265">
        <f>IF(ResultsTeams[[#This Row],[Type]]="G",SUM(Q73:Q76),IF(LEFT(ResultsTeams[[#This Row],[Type]],1)="P",VALUE(ResultsTeams[[#This Row],[Score-A]]),""))</f>
        <v>4</v>
      </c>
      <c r="R72" s="265">
        <f>IF(ResultsTeams[[#This Row],[Type]]="G",SUM(R73:R76),IF(LEFT(ResultsTeams[[#This Row],[Type]],1)="P",VALUE(ResultsTeams[[#This Row],[Score-B]]),""))</f>
        <v>0</v>
      </c>
      <c r="S72" s="265" t="str">
        <f ca="1">IF(AND(ResultsTeams[[#This Row],[Category]]&lt;&gt;"",ResultsTeams[[#This Row],[Team A]]&lt;&gt;""),COUNTIF(INDIRECT("TeamsList[Club Name]"),ResultsTeams[[#This Row],[Team A]]),"")</f>
        <v/>
      </c>
      <c r="T72" s="265" t="str">
        <f ca="1">IF(AND(ResultsTeams[[#This Row],[Category]]&lt;&gt;"",ResultsTeams[[#This Row],[Team B]]&lt;&gt;""),COUNTIF(INDIRECT("TeamsList[Club Name]"),ResultsTeams[[#This Row],[Team B]]),"")</f>
        <v/>
      </c>
      <c r="U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Dotto</v>
      </c>
      <c r="V72" s="265" t="str">
        <f>IF(ResultsTeams[[#This Row],[Score_OK]],IF(ResultsTeams[[#This Row],[StageCpy]]="Groups",ResultsTeams[[#This Row],[Category]]&amp;"-"&amp;IF(ResultsTeams[[#This Row],[Team B]]="","",IF(ResultsTeams[[#This Row],[Match-A]]=ResultsTeams[[#This Row],[Match-B]],ResultsTeams[[#This Row],[Team A]],"")),""),"")</f>
        <v>-</v>
      </c>
      <c r="W72" s="265" t="str">
        <f>IF(ResultsTeams[[#This Row],[Score_OK]],IF(ResultsTeams[[#This Row],[StageCpy]]="Groups",ResultsTeams[[#This Row],[Category]]&amp;"-"&amp;IF(ResultsTeams[[#This Row],[Team B]]="","",IF(ResultsTeams[[#This Row],[Match-A]]=ResultsTeams[[#This Row],[Match-B]],ResultsTeams[[#This Row],[Team B]],"")),""),"")</f>
        <v>-</v>
      </c>
      <c r="X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-Aaron Skinner</v>
      </c>
      <c r="Y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 s="264" t="str">
        <f>IF(ResultsTeams[[#This Row],[Category]]="","",VLOOKUP(ResultsTeams[[#This Row],[Stage]],$R$1:$T$8,MATCH(ResultsTeams[[#This Row],[Category]],$S$1:$T$1,0)+1,FALSE))</f>
        <v/>
      </c>
      <c r="AC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 s="264" t="str">
        <f>IF(ResultsTeams[[#This Row],[Type]]="G",ResultsTeams[[#This Row],[Stage]],AD71)</f>
        <v>Groups</v>
      </c>
      <c r="AE72" s="395" t="str">
        <f>IF(ResultsTeams[[#This Row],[Type]]="G",INDEX(TeamsList[Club Name],MATCH(ResultsTeams[[#This Row],[Team A]],TeamsList[Team Name],0)),AE71)</f>
        <v>F.lli Bari Reggio Emilia</v>
      </c>
      <c r="AF72" s="395" t="str">
        <f>IF(ResultsTeams[[#This Row],[Type]]="G",INDEX(TeamsList[Club Name],MATCH(ResultsTeams[[#This Row],[Team B]],TeamsList[Team Name],0)),AF71)</f>
        <v>Wobbly Hobby Subbuteo Club</v>
      </c>
      <c r="AG72" s="265"/>
      <c r="AI72" s="12" t="str">
        <f>AI71</f>
        <v>TEAM</v>
      </c>
      <c r="AJ72" s="309" t="s">
        <v>12558</v>
      </c>
      <c r="AK72" s="320"/>
      <c r="AL72" s="311"/>
      <c r="AM72" s="292">
        <f>IF(AV72="","",SMALL(AN72:AN78,ROWS(AM72:AM72)))</f>
        <v>1001</v>
      </c>
      <c r="AN72" s="293">
        <f>IF(AV72="","",RANK(AR72,AR72:AR78)*1000+ROWS(AN72:AN72))</f>
        <v>1001</v>
      </c>
      <c r="AO72" s="316">
        <f t="shared" ref="AO72:AO78" si="50">IF(AV72="","",AT72*CritClassEq1_Points+AY72*CritClassEq1_DiffRencontres+BB72*CritClassEq1_DiffMatches+BE72*CritClassEq1_DiffButs+AZ72*CritClassEq1_Matches+BC72*CritClassEq1_Attaque)</f>
        <v>177147000000000</v>
      </c>
      <c r="AP72" s="415" t="b">
        <f>AND(AU72&lt;&gt;"",AU72&gt;0,COUNTIF(AO72:AO78,AO72)&gt;1)</f>
        <v>0</v>
      </c>
      <c r="AQ72" s="316">
        <f t="shared" ref="AQ72:AQ78" si="51">IF(AV72="","",CritClassEq_DiffPart*AK72)</f>
        <v>0</v>
      </c>
      <c r="AR72" s="317">
        <f t="shared" ref="AR72:AR78" si="52">IF(AV72="","",AO72+AQ72+AT72*CritClassEq2_Points+AY72*CritClassEq2_DiffRencontres+BB72*CritClassEq2_DiffMatches+BE72*CritClassEq2_DiffButs+AZ72*CritClassEq2_Matches+BC72*CritClassEq2_Attaque+AL72)</f>
        <v>177147276211624</v>
      </c>
      <c r="AS72" s="415" t="b">
        <f>AND(AU72&lt;&gt;"",AU72&gt;0,COUNTIF(AR72:AR78,AR72)&gt;1)</f>
        <v>0</v>
      </c>
      <c r="AT72" s="355">
        <f t="shared" ref="AT72:AT78" si="53">IF(AV72="","",(AV72*Points_Victoire)+AW72*Points_Null)</f>
        <v>9</v>
      </c>
      <c r="AU72" s="356">
        <f t="shared" ref="AU72:AU78" si="54">IF(AV72="","",SUM(AV72:AX72))</f>
        <v>3</v>
      </c>
      <c r="AV72" s="356">
        <f>IF(OR(AI71="",AJ72=""),"",COUNTIF(ResultsTeams[Win],AI71&amp;"-"&amp;AJ72))</f>
        <v>3</v>
      </c>
      <c r="AW72" s="356">
        <f>IF(OR(AI71="",AJ72=""),"",COUNTIF(ResultsTeams[[Draw1]:[Draw2]],AI71&amp;"-"&amp;AJ72))</f>
        <v>0</v>
      </c>
      <c r="AX72" s="356">
        <f>IF(OR(AI71="",AJ72=""),"",COUNTIF(ResultsTeams[Lose],AI71&amp;"-"&amp;AJ72))</f>
        <v>0</v>
      </c>
      <c r="AY72" s="356">
        <f>IF(OR(AI71="",AJ72=""),"",AV72-AX72)</f>
        <v>3</v>
      </c>
      <c r="AZ72" s="356">
        <f>IF(OR(AI71="",AJ72=""),"",SUMIFS(ResultsTeams[Match-A],ResultsTeams[Stage],"Groups",ResultsTeams[Team A],AJ72)+SUMIFS(ResultsTeams[Match-B],ResultsTeams[Stage],"Groups",ResultsTeams[Team B],AJ72))</f>
        <v>11</v>
      </c>
      <c r="BA72" s="356">
        <f>IF(OR(AI71="",AJ72=""),"",SUMIFS(ResultsTeams[Match-B],ResultsTeams[Stage],"Groups",ResultsTeams[Team A],AJ72)+SUMIFS(ResultsTeams[Match-A],ResultsTeams[Stage],"Groups",ResultsTeams[Team B],AJ72))</f>
        <v>0</v>
      </c>
      <c r="BB72" s="356">
        <f>IF(OR(AI71="",AJ72=""),"",AZ72-BA72)</f>
        <v>11</v>
      </c>
      <c r="BC72" s="356">
        <f>IF(OR(AI71="",AJ72=""),"",SUMIFS(ResultsTeams[Goal-A],ResultsTeams[Stage],"Groups",ResultsTeams[Team A],AJ72)+SUMIFS(ResultsTeams[Goal-B],ResultsTeams[Stage],"Groups",ResultsTeams[Team B],AJ72))</f>
        <v>64</v>
      </c>
      <c r="BD72" s="356">
        <f>IF(OR(AI71="",AJ72=""),"",SUMIFS(ResultsTeams[Goal-B],ResultsTeams[Stage],"Groups",ResultsTeams[Team A],AJ72)+SUMIFS(ResultsTeams[Goal-A],ResultsTeams[Stage],"Groups",ResultsTeams[Team B],AJ72))</f>
        <v>12</v>
      </c>
      <c r="BE72" s="357">
        <f>IF(OR(AI71="",AJ72=""),"",BC72-BD72)</f>
        <v>52</v>
      </c>
      <c r="BF72" s="470" t="b">
        <f>IF(AM72="","",OR(VLOOKUP(AM72,AN72:BE78,3,FALSE),VLOOKUP(AM72,AN72:BE78,6,FALSE)))</f>
        <v>0</v>
      </c>
      <c r="BG72" s="298">
        <f t="shared" ref="BG72:BG78" si="55">IF(AM72="","",INT(AM72/1000))</f>
        <v>1</v>
      </c>
      <c r="BH72" s="285" t="str">
        <f>IF(AM72="","",INDEX(AJ72:AJ78,MATCH(AM72,AN72:AN78,0)))</f>
        <v>F.lli Bari Reggio Emilia</v>
      </c>
      <c r="BI72" s="286">
        <f>IF(AM72="","",VLOOKUP(AM72,AN72:BE78,COLUMN()-COLUMN(BB71),FALSE))</f>
        <v>9</v>
      </c>
      <c r="BJ72" s="286">
        <f>IF(AM72="","",VLOOKUP(AM72,AN72:BE78,COLUMN()-COLUMN(BB71),FALSE))</f>
        <v>3</v>
      </c>
      <c r="BK72" s="286">
        <f>IF(AM72="","",VLOOKUP(AM72,AN72:BE78,COLUMN()-COLUMN(BB71),FALSE))</f>
        <v>3</v>
      </c>
      <c r="BL72" s="286">
        <f>IF(AM72="","",VLOOKUP(AM72,AN72:BE78,COLUMN()-COLUMN(BB71),FALSE))</f>
        <v>0</v>
      </c>
      <c r="BM72" s="286">
        <f>IF(AM72="","",VLOOKUP(AM72,AN72:BE78,COLUMN()-COLUMN(BB71),FALSE))</f>
        <v>0</v>
      </c>
      <c r="BN72" s="349">
        <f>IF(AM72="","",VLOOKUP(AM72,AN72:BE78,COLUMN()-COLUMN(BB71),FALSE))</f>
        <v>3</v>
      </c>
      <c r="BO72" s="298">
        <f>IF(AM72="","",VLOOKUP(AM72,AN72:BE78,COLUMN()-COLUMN(BB71),FALSE))</f>
        <v>11</v>
      </c>
      <c r="BP72" s="286">
        <f>IF(AM72="","",VLOOKUP(AM72,AN72:BE78,COLUMN()-COLUMN(BB71),FALSE))</f>
        <v>0</v>
      </c>
      <c r="BQ72" s="301">
        <f>IF(AM72="","",VLOOKUP(AM72,AN72:BE78,COLUMN()-COLUMN(BB71),FALSE))</f>
        <v>11</v>
      </c>
      <c r="BR72" s="352">
        <f>IF(AM72="","",VLOOKUP(AM72,AN72:BE78,COLUMN()-COLUMN(BB71),FALSE))</f>
        <v>64</v>
      </c>
      <c r="BS72" s="286">
        <f>IF(AM72="","",VLOOKUP(AM72,AN72:BE78,COLUMN()-COLUMN(BB71),FALSE))</f>
        <v>12</v>
      </c>
      <c r="BT72" s="301">
        <f>IF(AM72="","",VLOOKUP(AM72,AN72:BE78,COLUMN()-COLUMN(BB71),FALSE))</f>
        <v>52</v>
      </c>
    </row>
    <row r="73" spans="1:72" x14ac:dyDescent="0.2">
      <c r="A73" s="62"/>
      <c r="B73" s="62"/>
      <c r="C73" s="62"/>
      <c r="D73" s="62"/>
      <c r="E73" s="241" t="s">
        <v>12243</v>
      </c>
      <c r="F73" s="247" t="s">
        <v>9526</v>
      </c>
      <c r="G73" s="247"/>
      <c r="H73" s="254" t="s">
        <v>12684</v>
      </c>
      <c r="I73" s="254"/>
      <c r="J73" s="260"/>
      <c r="K73" s="364"/>
      <c r="L73" s="364"/>
      <c r="M73" s="63"/>
      <c r="N73" s="265" t="b">
        <f>NOT(ISERROR(ResultsTeams[[#This Row],[Goal-A]]+ResultsTeams[[#This Row],[Goal-B]]))</f>
        <v>0</v>
      </c>
      <c r="O73" s="265" t="str">
        <f>IF(ResultsTeams[[#This Row],[Type]]="G",SUM(O74:O77),IF(LEFT(ResultsTeams[[#This Row],[Type]],1)="P",IF(ResultsTeams[[#This Row],[Goal-A]]&gt;ResultsTeams[[#This Row],[Goal-B]],1,0),""))</f>
        <v/>
      </c>
      <c r="P73" s="265" t="str">
        <f>IF(ResultsTeams[[#This Row],[Type]]="G",SUM(P74:P77),IF(LEFT(ResultsTeams[[#This Row],[Type]],1)="P",IF(ResultsTeams[[#This Row],[Goal-A]]&lt;ResultsTeams[[#This Row],[Goal-B]],1,0),""))</f>
        <v/>
      </c>
      <c r="Q73" s="265" t="str">
        <f>IF(ResultsTeams[[#This Row],[Type]]="G",SUM(Q74:Q77),IF(LEFT(ResultsTeams[[#This Row],[Type]],1)="P",VALUE(ResultsTeams[[#This Row],[Score-A]]),""))</f>
        <v/>
      </c>
      <c r="R73" s="265" t="str">
        <f>IF(ResultsTeams[[#This Row],[Type]]="G",SUM(R74:R77),IF(LEFT(ResultsTeams[[#This Row],[Type]],1)="P",VALUE(ResultsTeams[[#This Row],[Score-B]]),""))</f>
        <v/>
      </c>
      <c r="S73" s="265" t="str">
        <f ca="1">IF(AND(ResultsTeams[[#This Row],[Category]]&lt;&gt;"",ResultsTeams[[#This Row],[Team A]]&lt;&gt;""),COUNTIF(INDIRECT("TeamsList[Club Name]"),ResultsTeams[[#This Row],[Team A]]),"")</f>
        <v/>
      </c>
      <c r="T73" s="265" t="str">
        <f ca="1">IF(AND(ResultsTeams[[#This Row],[Category]]&lt;&gt;"",ResultsTeams[[#This Row],[Team B]]&lt;&gt;""),COUNTIF(INDIRECT("TeamsList[Club Name]"),ResultsTeams[[#This Row],[Team B]]),"")</f>
        <v/>
      </c>
      <c r="U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 s="265" t="str">
        <f>IF(ResultsTeams[[#This Row],[Score_OK]],IF(ResultsTeams[[#This Row],[StageCpy]]="Groups",ResultsTeams[[#This Row],[Category]]&amp;"-"&amp;IF(ResultsTeams[[#This Row],[Team B]]="","",IF(ResultsTeams[[#This Row],[Match-A]]=ResultsTeams[[#This Row],[Match-B]],ResultsTeams[[#This Row],[Team A]],"")),""),"")</f>
        <v/>
      </c>
      <c r="W73" s="265" t="str">
        <f>IF(ResultsTeams[[#This Row],[Score_OK]],IF(ResultsTeams[[#This Row],[StageCpy]]="Groups",ResultsTeams[[#This Row],[Category]]&amp;"-"&amp;IF(ResultsTeams[[#This Row],[Team B]]="","",IF(ResultsTeams[[#This Row],[Match-A]]=ResultsTeams[[#This Row],[Match-B]],ResultsTeams[[#This Row],[Team B]],"")),""),"")</f>
        <v/>
      </c>
      <c r="X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 s="264" t="str">
        <f>IF(ResultsTeams[[#This Row],[Category]]="","",VLOOKUP(ResultsTeams[[#This Row],[Stage]],$R$1:$T$8,MATCH(ResultsTeams[[#This Row],[Category]],$S$1:$T$1,0)+1,FALSE))</f>
        <v/>
      </c>
      <c r="AC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 s="264" t="str">
        <f>IF(ResultsTeams[[#This Row],[Type]]="G",ResultsTeams[[#This Row],[Stage]],AD72)</f>
        <v>Groups</v>
      </c>
      <c r="AE73" s="395" t="str">
        <f>IF(ResultsTeams[[#This Row],[Type]]="G",INDEX(TeamsList[Club Name],MATCH(ResultsTeams[[#This Row],[Team A]],TeamsList[Team Name],0)),AE72)</f>
        <v>F.lli Bari Reggio Emilia</v>
      </c>
      <c r="AF73" s="395" t="str">
        <f>IF(ResultsTeams[[#This Row],[Type]]="G",INDEX(TeamsList[Club Name],MATCH(ResultsTeams[[#This Row],[Team B]],TeamsList[Team Name],0)),AF72)</f>
        <v>Wobbly Hobby Subbuteo Club</v>
      </c>
      <c r="AG73" s="265"/>
      <c r="AI73" s="12" t="str">
        <f>AI72</f>
        <v>TEAM</v>
      </c>
      <c r="AJ73" s="309" t="s">
        <v>14588</v>
      </c>
      <c r="AK73" s="320"/>
      <c r="AL73" s="311"/>
      <c r="AM73" s="292">
        <f>IF(AV73="","",SMALL(AN72:AN78,ROWS(AM72:AM73)))</f>
        <v>2004</v>
      </c>
      <c r="AN73" s="293">
        <f>IF(AV73="","",RANK(AR73,AR72:AR78)*1000+ROWS(AN72:AN73))</f>
        <v>3002</v>
      </c>
      <c r="AO73" s="316">
        <f t="shared" si="50"/>
        <v>59049000000000</v>
      </c>
      <c r="AP73" s="415" t="b">
        <f>AND(AU73&lt;&gt;"",AU73&gt;0,COUNTIF(AO72:AO78,AO73)&gt;1)</f>
        <v>0</v>
      </c>
      <c r="AQ73" s="316">
        <f t="shared" si="51"/>
        <v>0</v>
      </c>
      <c r="AR73" s="317">
        <f t="shared" si="52"/>
        <v>59048905229268</v>
      </c>
      <c r="AS73" s="415" t="b">
        <f>AND(AU73&lt;&gt;"",AU73&gt;0,COUNTIF(AR72:AR78,AR73)&gt;1)</f>
        <v>0</v>
      </c>
      <c r="AT73" s="355">
        <f t="shared" si="53"/>
        <v>3</v>
      </c>
      <c r="AU73" s="356">
        <f t="shared" si="54"/>
        <v>3</v>
      </c>
      <c r="AV73" s="356">
        <f>IF(OR(AI71="",AJ73=""),"",COUNTIF(ResultsTeams[Win],AI71&amp;"-"&amp;AJ73))</f>
        <v>1</v>
      </c>
      <c r="AW73" s="356">
        <f>IF(OR(AI71="",AJ73=""),"",COUNTIF(ResultsTeams[[Draw1]:[Draw2]],AI71&amp;"-"&amp;AJ73))</f>
        <v>0</v>
      </c>
      <c r="AX73" s="356">
        <f>IF(OR(AI71="",AJ73=""),"",COUNTIF(ResultsTeams[Lose],AI71&amp;"-"&amp;AJ73))</f>
        <v>2</v>
      </c>
      <c r="AY73" s="356">
        <f>IF(OR(AI71="",AJ73=""),"",AV73-AX73)</f>
        <v>-1</v>
      </c>
      <c r="AZ73" s="356">
        <f>IF(OR(AI72="",AJ73=""),"",SUMIFS(ResultsTeams[Match-A],ResultsTeams[Stage],"Groups",ResultsTeams[Team A],AJ73)+SUMIFS(ResultsTeams[Match-B],ResultsTeams[Stage],"Groups",ResultsTeams[Team B],AJ73))</f>
        <v>3</v>
      </c>
      <c r="BA73" s="356">
        <f>IF(OR(AI72="",AJ73=""),"",SUMIFS(ResultsTeams[Match-B],ResultsTeams[Stage],"Groups",ResultsTeams[Team A],AJ73)+SUMIFS(ResultsTeams[Match-A],ResultsTeams[Stage],"Groups",ResultsTeams[Team B],AJ73))</f>
        <v>7</v>
      </c>
      <c r="BB73" s="356">
        <f t="shared" ref="BB73:BB78" si="56">IF(OR(AI72="",AJ73=""),"",AZ73-BA73)</f>
        <v>-4</v>
      </c>
      <c r="BC73" s="356">
        <f>IF(OR(AI72="",AJ73=""),"",SUMIFS(ResultsTeams[Goal-A],ResultsTeams[Stage],"Groups",ResultsTeams[Team A],AJ73)+SUMIFS(ResultsTeams[Goal-B],ResultsTeams[Stage],"Groups",ResultsTeams[Team B],AJ73))</f>
        <v>18</v>
      </c>
      <c r="BD73" s="356">
        <f>IF(OR(AI72="",AJ73=""),"",SUMIFS(ResultsTeams[Goal-B],ResultsTeams[Stage],"Groups",ResultsTeams[Team A],AJ73)+SUMIFS(ResultsTeams[Goal-A],ResultsTeams[Stage],"Groups",ResultsTeams[Team B],AJ73))</f>
        <v>43</v>
      </c>
      <c r="BE73" s="357">
        <f>IF(OR(AI71="",AJ73=""),"",BC73-BD73)</f>
        <v>-25</v>
      </c>
      <c r="BF73" s="470" t="b">
        <f>IF(AM73="","",OR(VLOOKUP(AM73,AN72:BE78,3,FALSE),VLOOKUP(AM73,AN72:BE78,6,FALSE)))</f>
        <v>0</v>
      </c>
      <c r="BG73" s="298">
        <f t="shared" si="55"/>
        <v>2</v>
      </c>
      <c r="BH73" s="285" t="str">
        <f>IF(AM73="","",INDEX(AJ72:AJ78,MATCH(AM73,AN72:AN78,0)))</f>
        <v>Avenir Subbuteo Hennuyer 2</v>
      </c>
      <c r="BI73" s="286">
        <f>IF(AM73="","",VLOOKUP(AM73,AN72:BE78,COLUMN()-COLUMN(BB71),FALSE))</f>
        <v>6</v>
      </c>
      <c r="BJ73" s="286">
        <f>IF(AM73="","",VLOOKUP(AM73,AN72:BE78,COLUMN()-COLUMN(BB71),FALSE))</f>
        <v>3</v>
      </c>
      <c r="BK73" s="286">
        <f>IF(AM73="","",VLOOKUP(AM73,AN72:BE78,COLUMN()-COLUMN(BB71),FALSE))</f>
        <v>2</v>
      </c>
      <c r="BL73" s="286">
        <f>IF(AM73="","",VLOOKUP(AM73,AN72:BE78,COLUMN()-COLUMN(BB71),FALSE))</f>
        <v>0</v>
      </c>
      <c r="BM73" s="286">
        <f>IF(AM73="","",VLOOKUP(AM73,AN72:BE78,COLUMN()-COLUMN(BB71),FALSE))</f>
        <v>1</v>
      </c>
      <c r="BN73" s="349">
        <f>IF(AM73="","",VLOOKUP(AM73,AN72:BE78,COLUMN()-COLUMN(BB71),FALSE))</f>
        <v>1</v>
      </c>
      <c r="BO73" s="298">
        <f>IF(AM73="","",VLOOKUP(AM73,AN72:BE78,COLUMN()-COLUMN(BB71),FALSE))</f>
        <v>4</v>
      </c>
      <c r="BP73" s="286">
        <f>IF(AM73="","",VLOOKUP(AM73,AN72:BE78,COLUMN()-COLUMN(BB71),FALSE))</f>
        <v>5</v>
      </c>
      <c r="BQ73" s="301">
        <f>IF(AM73="","",VLOOKUP(AM73,AN72:BE78,COLUMN()-COLUMN(BB71),FALSE))</f>
        <v>-1</v>
      </c>
      <c r="BR73" s="352">
        <f>IF(AM73="","",VLOOKUP(AM73,AN72:BE78,COLUMN()-COLUMN(BB71),FALSE))</f>
        <v>25</v>
      </c>
      <c r="BS73" s="286">
        <f>IF(AM73="","",VLOOKUP(AM73,AN72:BE78,COLUMN()-COLUMN(BB71),FALSE))</f>
        <v>32</v>
      </c>
      <c r="BT73" s="301">
        <f>IF(AM73="","",VLOOKUP(AM73,AN72:BE78,COLUMN()-COLUMN(BB71),FALSE))</f>
        <v>-7</v>
      </c>
    </row>
    <row r="74" spans="1:72" ht="12" thickBot="1" x14ac:dyDescent="0.25">
      <c r="A74" s="83"/>
      <c r="B74" s="83"/>
      <c r="C74" s="83"/>
      <c r="D74" s="83"/>
      <c r="E74" s="268" t="s">
        <v>12244</v>
      </c>
      <c r="F74" s="262"/>
      <c r="G74" s="262"/>
      <c r="H74" s="324"/>
      <c r="I74" s="324"/>
      <c r="J74" s="263"/>
      <c r="K74" s="365"/>
      <c r="L74" s="365"/>
      <c r="M74" s="84"/>
      <c r="N74" s="265" t="b">
        <f>NOT(ISERROR(ResultsTeams[[#This Row],[Goal-A]]+ResultsTeams[[#This Row],[Goal-B]]))</f>
        <v>0</v>
      </c>
      <c r="O74" s="265" t="str">
        <f>IF(ResultsTeams[[#This Row],[Type]]="G",SUM(O75:O78),IF(LEFT(ResultsTeams[[#This Row],[Type]],1)="P",IF(ResultsTeams[[#This Row],[Goal-A]]&gt;ResultsTeams[[#This Row],[Goal-B]],1,0),""))</f>
        <v/>
      </c>
      <c r="P74" s="265" t="str">
        <f>IF(ResultsTeams[[#This Row],[Type]]="G",SUM(P75:P78),IF(LEFT(ResultsTeams[[#This Row],[Type]],1)="P",IF(ResultsTeams[[#This Row],[Goal-A]]&lt;ResultsTeams[[#This Row],[Goal-B]],1,0),""))</f>
        <v/>
      </c>
      <c r="Q74" s="265" t="str">
        <f>IF(ResultsTeams[[#This Row],[Type]]="G",SUM(Q75:Q78),IF(LEFT(ResultsTeams[[#This Row],[Type]],1)="P",VALUE(ResultsTeams[[#This Row],[Score-A]]),""))</f>
        <v/>
      </c>
      <c r="R74" s="265" t="str">
        <f>IF(ResultsTeams[[#This Row],[Type]]="G",SUM(R75:R78),IF(LEFT(ResultsTeams[[#This Row],[Type]],1)="P",VALUE(ResultsTeams[[#This Row],[Score-B]]),""))</f>
        <v/>
      </c>
      <c r="S74" s="265" t="str">
        <f ca="1">IF(AND(ResultsTeams[[#This Row],[Category]]&lt;&gt;"",ResultsTeams[[#This Row],[Team A]]&lt;&gt;""),COUNTIF(INDIRECT("TeamsList[Club Name]"),ResultsTeams[[#This Row],[Team A]]),"")</f>
        <v/>
      </c>
      <c r="T74" s="265" t="str">
        <f ca="1">IF(AND(ResultsTeams[[#This Row],[Category]]&lt;&gt;"",ResultsTeams[[#This Row],[Team B]]&lt;&gt;""),COUNTIF(INDIRECT("TeamsList[Club Name]"),ResultsTeams[[#This Row],[Team B]]),"")</f>
        <v/>
      </c>
      <c r="U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 s="265" t="str">
        <f>IF(ResultsTeams[[#This Row],[Score_OK]],IF(ResultsTeams[[#This Row],[StageCpy]]="Groups",ResultsTeams[[#This Row],[Category]]&amp;"-"&amp;IF(ResultsTeams[[#This Row],[Team B]]="","",IF(ResultsTeams[[#This Row],[Match-A]]=ResultsTeams[[#This Row],[Match-B]],ResultsTeams[[#This Row],[Team A]],"")),""),"")</f>
        <v/>
      </c>
      <c r="W74" s="265" t="str">
        <f>IF(ResultsTeams[[#This Row],[Score_OK]],IF(ResultsTeams[[#This Row],[StageCpy]]="Groups",ResultsTeams[[#This Row],[Category]]&amp;"-"&amp;IF(ResultsTeams[[#This Row],[Team B]]="","",IF(ResultsTeams[[#This Row],[Match-A]]=ResultsTeams[[#This Row],[Match-B]],ResultsTeams[[#This Row],[Team B]],"")),""),"")</f>
        <v/>
      </c>
      <c r="X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 s="264" t="str">
        <f>IF(ResultsTeams[[#This Row],[Category]]="","",VLOOKUP(ResultsTeams[[#This Row],[Stage]],$R$1:$T$8,MATCH(ResultsTeams[[#This Row],[Category]],$S$1:$T$1,0)+1,FALSE))</f>
        <v/>
      </c>
      <c r="AC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 s="264" t="str">
        <f>IF(ResultsTeams[[#This Row],[Type]]="G",ResultsTeams[[#This Row],[Stage]],AD73)</f>
        <v>Groups</v>
      </c>
      <c r="AE74" s="395" t="str">
        <f>IF(ResultsTeams[[#This Row],[Type]]="G",INDEX(TeamsList[Club Name],MATCH(ResultsTeams[[#This Row],[Team A]],TeamsList[Team Name],0)),AE73)</f>
        <v>F.lli Bari Reggio Emilia</v>
      </c>
      <c r="AF74" s="395" t="str">
        <f>IF(ResultsTeams[[#This Row],[Type]]="G",INDEX(TeamsList[Club Name],MATCH(ResultsTeams[[#This Row],[Team B]],TeamsList[Team Name],0)),AF73)</f>
        <v>Wobbly Hobby Subbuteo Club</v>
      </c>
      <c r="AG74" s="265"/>
      <c r="AI74" s="12" t="str">
        <f t="shared" ref="AI74:AI78" si="57">AI73</f>
        <v>TEAM</v>
      </c>
      <c r="AJ74" s="309" t="s">
        <v>479</v>
      </c>
      <c r="AK74" s="320"/>
      <c r="AL74" s="311"/>
      <c r="AM74" s="292">
        <f>IF(AV74="","",SMALL(AN72:AN78,ROWS(AM72:AM74)))</f>
        <v>3002</v>
      </c>
      <c r="AN74" s="293">
        <f>IF(AV74="","",RANK(AR74,AR72:AR78)*1000+ROWS(AN72:AN74))</f>
        <v>4003</v>
      </c>
      <c r="AO74" s="316">
        <f t="shared" si="50"/>
        <v>0</v>
      </c>
      <c r="AP74" s="415" t="b">
        <f>AND(AU74&lt;&gt;"",AU74&gt;0,COUNTIF(AO72:AO78,AO74)&gt;1)</f>
        <v>0</v>
      </c>
      <c r="AQ74" s="316">
        <f t="shared" si="51"/>
        <v>0</v>
      </c>
      <c r="AR74" s="317">
        <f t="shared" si="52"/>
        <v>-144180586</v>
      </c>
      <c r="AS74" s="415" t="b">
        <f>AND(AU74&lt;&gt;"",AU74&gt;0,COUNTIF(AR72:AR78,AR74)&gt;1)</f>
        <v>0</v>
      </c>
      <c r="AT74" s="355">
        <f t="shared" si="53"/>
        <v>0</v>
      </c>
      <c r="AU74" s="356">
        <f t="shared" si="54"/>
        <v>3</v>
      </c>
      <c r="AV74" s="356">
        <f>IF(OR(AI71="",AJ74=""),"",COUNTIF(ResultsTeams[Win],AI71&amp;"-"&amp;AJ74))</f>
        <v>0</v>
      </c>
      <c r="AW74" s="356">
        <f>IF(OR(AI71="",AJ74=""),"",COUNTIF(ResultsTeams[[Draw1]:[Draw2]],AI71&amp;"-"&amp;AJ74))</f>
        <v>0</v>
      </c>
      <c r="AX74" s="356">
        <f>IF(OR(AI71="",AJ74=""),"",COUNTIF(ResultsTeams[Lose],AI71&amp;"-"&amp;AJ74))</f>
        <v>3</v>
      </c>
      <c r="AY74" s="356">
        <f>IF(OR(AI71="",AJ74=""),"",AV74-AX74)</f>
        <v>-3</v>
      </c>
      <c r="AZ74" s="356">
        <f>IF(OR(AI73="",AJ74=""),"",SUMIFS(ResultsTeams[Match-A],ResultsTeams[Stage],"Groups",ResultsTeams[Team A],AJ74)+SUMIFS(ResultsTeams[Match-B],ResultsTeams[Stage],"Groups",ResultsTeams[Team B],AJ74))</f>
        <v>2</v>
      </c>
      <c r="BA74" s="356">
        <f>IF(OR(AI73="",AJ74=""),"",SUMIFS(ResultsTeams[Match-B],ResultsTeams[Stage],"Groups",ResultsTeams[Team A],AJ74)+SUMIFS(ResultsTeams[Match-A],ResultsTeams[Stage],"Groups",ResultsTeams[Team B],AJ74))</f>
        <v>8</v>
      </c>
      <c r="BB74" s="356">
        <f t="shared" si="56"/>
        <v>-6</v>
      </c>
      <c r="BC74" s="356">
        <f>IF(OR(AI73="",AJ74=""),"",SUMIFS(ResultsTeams[Goal-A],ResultsTeams[Stage],"Groups",ResultsTeams[Team A],AJ74)+SUMIFS(ResultsTeams[Goal-B],ResultsTeams[Stage],"Groups",ResultsTeams[Team B],AJ74))</f>
        <v>14</v>
      </c>
      <c r="BD74" s="356">
        <f>IF(OR(AI73="",AJ74=""),"",SUMIFS(ResultsTeams[Goal-B],ResultsTeams[Stage],"Groups",ResultsTeams[Team A],AJ74)+SUMIFS(ResultsTeams[Goal-A],ResultsTeams[Stage],"Groups",ResultsTeams[Team B],AJ74))</f>
        <v>34</v>
      </c>
      <c r="BE74" s="357">
        <f>IF(OR(AI71="",AJ74=""),"",BC74-BD74)</f>
        <v>-20</v>
      </c>
      <c r="BF74" s="470" t="b">
        <f>IF(AM74="","",OR(VLOOKUP(AM74,AN72:BE78,3,FALSE),VLOOKUP(AM74,AN72:BE78,6,FALSE)))</f>
        <v>0</v>
      </c>
      <c r="BG74" s="298">
        <f t="shared" si="55"/>
        <v>3</v>
      </c>
      <c r="BH74" s="285" t="str">
        <f>IF(AM74="","",INDEX(AJ72:AJ78,MATCH(AM74,AN72:AN78,0)))</f>
        <v>SC Lion's Eugies 3</v>
      </c>
      <c r="BI74" s="286">
        <f>IF(AM74="","",VLOOKUP(AM74,AN72:BE78,COLUMN()-COLUMN(BB71),FALSE))</f>
        <v>3</v>
      </c>
      <c r="BJ74" s="286">
        <f>IF(AM74="","",VLOOKUP(AM74,AN72:BE78,COLUMN()-COLUMN(BB71),FALSE))</f>
        <v>3</v>
      </c>
      <c r="BK74" s="286">
        <f>IF(AM74="","",VLOOKUP(AM74,AN72:BE78,COLUMN()-COLUMN(BB71),FALSE))</f>
        <v>1</v>
      </c>
      <c r="BL74" s="286">
        <f>IF(AM74="","",VLOOKUP(AM74,AN72:BE78,COLUMN()-COLUMN(BB71),FALSE))</f>
        <v>0</v>
      </c>
      <c r="BM74" s="286">
        <f>IF(AM74="","",VLOOKUP(AM74,AN72:BE78,COLUMN()-COLUMN(BB71),FALSE))</f>
        <v>2</v>
      </c>
      <c r="BN74" s="349">
        <f>IF(AM74="","",VLOOKUP(AM74,AN72:BE78,COLUMN()-COLUMN(BB71),FALSE))</f>
        <v>-1</v>
      </c>
      <c r="BO74" s="298">
        <f>IF(AM74="","",VLOOKUP(AM74,AN72:BE78,COLUMN()-COLUMN(BB71),FALSE))</f>
        <v>3</v>
      </c>
      <c r="BP74" s="286">
        <f>IF(AM74="","",VLOOKUP(AM74,AN72:BE78,COLUMN()-COLUMN(BB71),FALSE))</f>
        <v>7</v>
      </c>
      <c r="BQ74" s="301">
        <f>IF(AM74="","",VLOOKUP(AM74,AN72:BE78,COLUMN()-COLUMN(BB71),FALSE))</f>
        <v>-4</v>
      </c>
      <c r="BR74" s="352">
        <f>IF(AM74="","",VLOOKUP(AM74,AN72:BE78,COLUMN()-COLUMN(BB71),FALSE))</f>
        <v>18</v>
      </c>
      <c r="BS74" s="286">
        <f>IF(AM74="","",VLOOKUP(AM74,AN72:BE78,COLUMN()-COLUMN(BB71),FALSE))</f>
        <v>43</v>
      </c>
      <c r="BT74" s="301">
        <f>IF(AM74="","",VLOOKUP(AM74,AN72:BE78,COLUMN()-COLUMN(BB71),FALSE))</f>
        <v>-25</v>
      </c>
    </row>
    <row r="75" spans="1:72" ht="12" thickBot="1" x14ac:dyDescent="0.25">
      <c r="A75" s="261" t="s">
        <v>12693</v>
      </c>
      <c r="B75" s="270" t="s">
        <v>12207</v>
      </c>
      <c r="C75" s="270">
        <v>2</v>
      </c>
      <c r="D75" s="270"/>
      <c r="E75" s="272" t="s">
        <v>12228</v>
      </c>
      <c r="F75" s="273" t="s">
        <v>14588</v>
      </c>
      <c r="G75" s="273" t="s">
        <v>14589</v>
      </c>
      <c r="H75" s="275">
        <v>1</v>
      </c>
      <c r="I75" s="275">
        <v>2</v>
      </c>
      <c r="J75" s="275"/>
      <c r="K75" s="366"/>
      <c r="L75" s="366"/>
      <c r="M75" s="271"/>
      <c r="N75" s="265" t="b">
        <f>NOT(ISERROR(ResultsTeams[[#This Row],[Goal-A]]+ResultsTeams[[#This Row],[Goal-B]]))</f>
        <v>1</v>
      </c>
      <c r="O75" s="265">
        <f>IF(ResultsTeams[[#This Row],[Type]]="G",SUM(O76:O79),IF(LEFT(ResultsTeams[[#This Row],[Type]],1)="P",IF(ResultsTeams[[#This Row],[Goal-A]]&gt;ResultsTeams[[#This Row],[Goal-B]],1,0),""))</f>
        <v>1</v>
      </c>
      <c r="P75" s="265">
        <f>IF(ResultsTeams[[#This Row],[Type]]="G",SUM(P76:P79),IF(LEFT(ResultsTeams[[#This Row],[Type]],1)="P",IF(ResultsTeams[[#This Row],[Goal-A]]&lt;ResultsTeams[[#This Row],[Goal-B]],1,0),""))</f>
        <v>2</v>
      </c>
      <c r="Q75" s="265">
        <f>IF(ResultsTeams[[#This Row],[Type]]="G",SUM(Q76:Q79),IF(LEFT(ResultsTeams[[#This Row],[Type]],1)="P",VALUE(ResultsTeams[[#This Row],[Score-A]]),""))</f>
        <v>9</v>
      </c>
      <c r="R75" s="265">
        <f>IF(ResultsTeams[[#This Row],[Type]]="G",SUM(R76:R79),IF(LEFT(ResultsTeams[[#This Row],[Type]],1)="P",VALUE(ResultsTeams[[#This Row],[Score-B]]),""))</f>
        <v>13</v>
      </c>
      <c r="S75" s="265">
        <f ca="1">IF(AND(ResultsTeams[[#This Row],[Category]]&lt;&gt;"",ResultsTeams[[#This Row],[Team A]]&lt;&gt;""),COUNTIF(INDIRECT("TeamsList[Club Name]"),ResultsTeams[[#This Row],[Team A]]),"")</f>
        <v>0</v>
      </c>
      <c r="T75" s="265">
        <f ca="1">IF(AND(ResultsTeams[[#This Row],[Category]]&lt;&gt;"",ResultsTeams[[#This Row],[Team B]]&lt;&gt;""),COUNTIF(INDIRECT("TeamsList[Club Name]"),ResultsTeams[[#This Row],[Team B]]),"")</f>
        <v>0</v>
      </c>
      <c r="U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 2</v>
      </c>
      <c r="V75" s="265" t="str">
        <f>IF(ResultsTeams[[#This Row],[Score_OK]],IF(ResultsTeams[[#This Row],[StageCpy]]="Groups",ResultsTeams[[#This Row],[Category]]&amp;"-"&amp;IF(ResultsTeams[[#This Row],[Team B]]="","",IF(ResultsTeams[[#This Row],[Match-A]]=ResultsTeams[[#This Row],[Match-B]],ResultsTeams[[#This Row],[Team A]],"")),""),"")</f>
        <v>TEAM-</v>
      </c>
      <c r="W75" s="265" t="str">
        <f>IF(ResultsTeams[[#This Row],[Score_OK]],IF(ResultsTeams[[#This Row],[StageCpy]]="Groups",ResultsTeams[[#This Row],[Category]]&amp;"-"&amp;IF(ResultsTeams[[#This Row],[Team B]]="","",IF(ResultsTeams[[#This Row],[Match-A]]=ResultsTeams[[#This Row],[Match-B]],ResultsTeams[[#This Row],[Team B]],"")),""),"")</f>
        <v>TEAM-</v>
      </c>
      <c r="X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3</v>
      </c>
      <c r="Y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3</v>
      </c>
      <c r="AA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3</v>
      </c>
      <c r="AB75" s="264" t="str">
        <f>IF(ResultsTeams[[#This Row],[Category]]="","",VLOOKUP(ResultsTeams[[#This Row],[Stage]],$R$1:$T$8,MATCH(ResultsTeams[[#This Row],[Category]],$S$1:$T$1,0)+1,FALSE))</f>
        <v>PR1</v>
      </c>
      <c r="AC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 s="264" t="str">
        <f>IF(ResultsTeams[[#This Row],[Type]]="G",ResultsTeams[[#This Row],[Stage]],AD74)</f>
        <v>Groups</v>
      </c>
      <c r="AE75" s="395" t="str">
        <f>IF(ResultsTeams[[#This Row],[Type]]="G",INDEX(TeamsList[Club Name],MATCH(ResultsTeams[[#This Row],[Team A]],TeamsList[Team Name],0)),AE74)</f>
        <v>SC Lion's Eugies</v>
      </c>
      <c r="AF75" s="395" t="str">
        <f>IF(ResultsTeams[[#This Row],[Type]]="G",INDEX(TeamsList[Club Name],MATCH(ResultsTeams[[#This Row],[Team B]],TeamsList[Team Name],0)),AF74)</f>
        <v>Avenir Subbuteo Hennuyer</v>
      </c>
      <c r="AG75" s="265"/>
      <c r="AH75" s="91"/>
      <c r="AI75" s="12" t="str">
        <f t="shared" si="57"/>
        <v>TEAM</v>
      </c>
      <c r="AJ75" s="309" t="s">
        <v>14589</v>
      </c>
      <c r="AK75" s="310"/>
      <c r="AL75" s="311"/>
      <c r="AM75" s="292">
        <f>IF(AV75="","",SMALL(AN72:AN78,ROWS(AM72:AM75)))</f>
        <v>4003</v>
      </c>
      <c r="AN75" s="293">
        <f>IF(AV75="","",RANK(AR75,AR72:AR78)*1000+ROWS(AN72:AN75))</f>
        <v>2004</v>
      </c>
      <c r="AO75" s="316">
        <f t="shared" si="50"/>
        <v>118098000000000</v>
      </c>
      <c r="AP75" s="415" t="b">
        <f>AND(AU75&lt;&gt;"",AU75&gt;0,COUNTIF(AO72:AO78,AO75)&gt;1)</f>
        <v>0</v>
      </c>
      <c r="AQ75" s="316">
        <f t="shared" si="51"/>
        <v>0</v>
      </c>
      <c r="AR75" s="317">
        <f t="shared" si="52"/>
        <v>118097978939815</v>
      </c>
      <c r="AS75" s="415" t="b">
        <f>AND(AU75&lt;&gt;"",AU75&gt;0,COUNTIF(AR72:AR78,AR75)&gt;1)</f>
        <v>0</v>
      </c>
      <c r="AT75" s="355">
        <f t="shared" si="53"/>
        <v>6</v>
      </c>
      <c r="AU75" s="356">
        <f t="shared" si="54"/>
        <v>3</v>
      </c>
      <c r="AV75" s="356">
        <f>IF(OR(AI71="",AJ75=""),"",COUNTIF(ResultsTeams[Win],AI71&amp;"-"&amp;AJ75))</f>
        <v>2</v>
      </c>
      <c r="AW75" s="356">
        <f>IF(OR(AI71="",AJ75=""),"",COUNTIF(ResultsTeams[[Draw1]:[Draw2]],AI71&amp;"-"&amp;AJ75))</f>
        <v>0</v>
      </c>
      <c r="AX75" s="356">
        <f>IF(OR(AI71="",AJ75=""),"",COUNTIF(ResultsTeams[Lose],AI71&amp;"-"&amp;AJ75))</f>
        <v>1</v>
      </c>
      <c r="AY75" s="356">
        <f>IF(OR(AI71="",AJ75=""),"",AV75-AX75)</f>
        <v>1</v>
      </c>
      <c r="AZ75" s="356">
        <f>IF(OR(AI74="",AJ75=""),"",SUMIFS(ResultsTeams[Match-A],ResultsTeams[Stage],"Groups",ResultsTeams[Team A],AJ75)+SUMIFS(ResultsTeams[Match-B],ResultsTeams[Stage],"Groups",ResultsTeams[Team B],AJ75))</f>
        <v>4</v>
      </c>
      <c r="BA75" s="356">
        <f>IF(OR(AI74="",AJ75=""),"",SUMIFS(ResultsTeams[Match-B],ResultsTeams[Stage],"Groups",ResultsTeams[Team A],AJ75)+SUMIFS(ResultsTeams[Match-A],ResultsTeams[Stage],"Groups",ResultsTeams[Team B],AJ75))</f>
        <v>5</v>
      </c>
      <c r="BB75" s="356">
        <f t="shared" si="56"/>
        <v>-1</v>
      </c>
      <c r="BC75" s="356">
        <f>IF(OR(AI74="",AJ75=""),"",SUMIFS(ResultsTeams[Goal-A],ResultsTeams[Stage],"Groups",ResultsTeams[Team A],AJ75)+SUMIFS(ResultsTeams[Goal-B],ResultsTeams[Stage],"Groups",ResultsTeams[Team B],AJ75))</f>
        <v>25</v>
      </c>
      <c r="BD75" s="356">
        <f>IF(OR(AI74="",AJ75=""),"",SUMIFS(ResultsTeams[Goal-B],ResultsTeams[Stage],"Groups",ResultsTeams[Team A],AJ75)+SUMIFS(ResultsTeams[Goal-A],ResultsTeams[Stage],"Groups",ResultsTeams[Team B],AJ75))</f>
        <v>32</v>
      </c>
      <c r="BE75" s="357">
        <f>IF(OR(AI71="",AJ75=""),"",BC75-BD75)</f>
        <v>-7</v>
      </c>
      <c r="BF75" s="470" t="b">
        <f>IF(AM75="","",OR(VLOOKUP(AM75,AN72:BE78,3,FALSE),VLOOKUP(AM75,AN72:BE78,6,FALSE)))</f>
        <v>0</v>
      </c>
      <c r="BG75" s="298">
        <f t="shared" si="55"/>
        <v>4</v>
      </c>
      <c r="BH75" s="285" t="str">
        <f>IF(AM75="","",INDEX(AJ72:AJ78,MATCH(AM75,AN72:AN78,0)))</f>
        <v>Wobbly Hobby Subbuteo Club</v>
      </c>
      <c r="BI75" s="286">
        <f>IF(AM75="","",VLOOKUP(AM75,AN72:BE78,COLUMN()-COLUMN(BB71),FALSE))</f>
        <v>0</v>
      </c>
      <c r="BJ75" s="286">
        <f>IF(AM75="","",VLOOKUP(AM75,AN72:BE78,COLUMN()-COLUMN(BB71),FALSE))</f>
        <v>3</v>
      </c>
      <c r="BK75" s="286">
        <f>IF(AM75="","",VLOOKUP(AM75,AN72:BE78,COLUMN()-COLUMN(BB71),FALSE))</f>
        <v>0</v>
      </c>
      <c r="BL75" s="286">
        <f>IF(AM75="","",VLOOKUP(AM75,AN72:BE78,COLUMN()-COLUMN(BB71),FALSE))</f>
        <v>0</v>
      </c>
      <c r="BM75" s="286">
        <f>IF(AM75="","",VLOOKUP(AM75,AN72:BE78,COLUMN()-COLUMN(BB71),FALSE))</f>
        <v>3</v>
      </c>
      <c r="BN75" s="349">
        <f>IF(AM75="","",VLOOKUP(AM75,AN72:BE78,COLUMN()-COLUMN(BB71),FALSE))</f>
        <v>-3</v>
      </c>
      <c r="BO75" s="298">
        <f>IF(AM75="","",VLOOKUP(AM75,AN72:BE78,COLUMN()-COLUMN(BB71),FALSE))</f>
        <v>2</v>
      </c>
      <c r="BP75" s="286">
        <f>IF(AM75="","",VLOOKUP(AM75,AN72:BE78,COLUMN()-COLUMN(BB71),FALSE))</f>
        <v>8</v>
      </c>
      <c r="BQ75" s="301">
        <f>IF(AM75="","",VLOOKUP(AM75,AN72:BE78,COLUMN()-COLUMN(BB71),FALSE))</f>
        <v>-6</v>
      </c>
      <c r="BR75" s="352">
        <f>IF(AM75="","",VLOOKUP(AM75,AN72:BE78,COLUMN()-COLUMN(BB71),FALSE))</f>
        <v>14</v>
      </c>
      <c r="BS75" s="286">
        <f>IF(AM75="","",VLOOKUP(AM75,AN72:BE78,COLUMN()-COLUMN(BB71),FALSE))</f>
        <v>34</v>
      </c>
      <c r="BT75" s="301">
        <f>IF(AM75="","",VLOOKUP(AM75,AN72:BE78,COLUMN()-COLUMN(BB71),FALSE))</f>
        <v>-20</v>
      </c>
    </row>
    <row r="76" spans="1:72" x14ac:dyDescent="0.2">
      <c r="A76" s="60"/>
      <c r="B76" s="280"/>
      <c r="C76" s="60"/>
      <c r="D76" s="60"/>
      <c r="E76" s="240" t="s">
        <v>12231</v>
      </c>
      <c r="F76" s="244" t="s">
        <v>8083</v>
      </c>
      <c r="G76" s="244" t="s">
        <v>8149</v>
      </c>
      <c r="H76" s="253">
        <v>3</v>
      </c>
      <c r="I76" s="253">
        <v>3</v>
      </c>
      <c r="J76" s="253"/>
      <c r="K76" s="362"/>
      <c r="L76" s="362"/>
      <c r="M76" s="61"/>
      <c r="N76" s="265" t="b">
        <f>NOT(ISERROR(ResultsTeams[[#This Row],[Goal-A]]+ResultsTeams[[#This Row],[Goal-B]]))</f>
        <v>1</v>
      </c>
      <c r="O76" s="265">
        <f>IF(ResultsTeams[[#This Row],[Type]]="G",SUM(O77:O80),IF(LEFT(ResultsTeams[[#This Row],[Type]],1)="P",IF(ResultsTeams[[#This Row],[Goal-A]]&gt;ResultsTeams[[#This Row],[Goal-B]],1,0),""))</f>
        <v>0</v>
      </c>
      <c r="P76" s="265">
        <f>IF(ResultsTeams[[#This Row],[Type]]="G",SUM(P77:P80),IF(LEFT(ResultsTeams[[#This Row],[Type]],1)="P",IF(ResultsTeams[[#This Row],[Goal-A]]&lt;ResultsTeams[[#This Row],[Goal-B]],1,0),""))</f>
        <v>0</v>
      </c>
      <c r="Q76" s="265">
        <f>IF(ResultsTeams[[#This Row],[Type]]="G",SUM(Q77:Q80),IF(LEFT(ResultsTeams[[#This Row],[Type]],1)="P",VALUE(ResultsTeams[[#This Row],[Score-A]]),""))</f>
        <v>3</v>
      </c>
      <c r="R76" s="265">
        <f>IF(ResultsTeams[[#This Row],[Type]]="G",SUM(R77:R80),IF(LEFT(ResultsTeams[[#This Row],[Type]],1)="P",VALUE(ResultsTeams[[#This Row],[Score-B]]),""))</f>
        <v>3</v>
      </c>
      <c r="S76" s="265" t="str">
        <f ca="1">IF(AND(ResultsTeams[[#This Row],[Category]]&lt;&gt;"",ResultsTeams[[#This Row],[Team A]]&lt;&gt;""),COUNTIF(INDIRECT("TeamsList[Club Name]"),ResultsTeams[[#This Row],[Team A]]),"")</f>
        <v/>
      </c>
      <c r="T76" s="265" t="str">
        <f ca="1">IF(AND(ResultsTeams[[#This Row],[Category]]&lt;&gt;"",ResultsTeams[[#This Row],[Team B]]&lt;&gt;""),COUNTIF(INDIRECT("TeamsList[Club Name]"),ResultsTeams[[#This Row],[Team B]]),"")</f>
        <v/>
      </c>
      <c r="U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6" s="265" t="str">
        <f>IF(ResultsTeams[[#This Row],[Score_OK]],IF(ResultsTeams[[#This Row],[StageCpy]]="Groups",ResultsTeams[[#This Row],[Category]]&amp;"-"&amp;IF(ResultsTeams[[#This Row],[Team B]]="","",IF(ResultsTeams[[#This Row],[Match-A]]=ResultsTeams[[#This Row],[Match-B]],ResultsTeams[[#This Row],[Team A]],"")),""),"")</f>
        <v>-Kenny De Schuyteneer</v>
      </c>
      <c r="W76" s="265" t="str">
        <f>IF(ResultsTeams[[#This Row],[Score_OK]],IF(ResultsTeams[[#This Row],[StageCpy]]="Groups",ResultsTeams[[#This Row],[Category]]&amp;"-"&amp;IF(ResultsTeams[[#This Row],[Team B]]="","",IF(ResultsTeams[[#This Row],[Match-A]]=ResultsTeams[[#This Row],[Match-B]],ResultsTeams[[#This Row],[Team B]],"")),""),"")</f>
        <v>-Jann Segers</v>
      </c>
      <c r="X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 s="264" t="str">
        <f>IF(ResultsTeams[[#This Row],[Category]]="","",VLOOKUP(ResultsTeams[[#This Row],[Stage]],$R$1:$T$8,MATCH(ResultsTeams[[#This Row],[Category]],$S$1:$T$1,0)+1,FALSE))</f>
        <v/>
      </c>
      <c r="AC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 s="264" t="str">
        <f>IF(ResultsTeams[[#This Row],[Type]]="G",ResultsTeams[[#This Row],[Stage]],AD75)</f>
        <v>Groups</v>
      </c>
      <c r="AE76" s="395" t="str">
        <f>IF(ResultsTeams[[#This Row],[Type]]="G",INDEX(TeamsList[Club Name],MATCH(ResultsTeams[[#This Row],[Team A]],TeamsList[Team Name],0)),AE75)</f>
        <v>SC Lion's Eugies</v>
      </c>
      <c r="AF76" s="395" t="str">
        <f>IF(ResultsTeams[[#This Row],[Type]]="G",INDEX(TeamsList[Club Name],MATCH(ResultsTeams[[#This Row],[Team B]],TeamsList[Team Name],0)),AF75)</f>
        <v>Avenir Subbuteo Hennuyer</v>
      </c>
      <c r="AG76" s="265"/>
      <c r="AH76" s="91"/>
      <c r="AI76" s="12" t="str">
        <f t="shared" si="57"/>
        <v>TEAM</v>
      </c>
      <c r="AJ76" s="309"/>
      <c r="AK76" s="310"/>
      <c r="AL76" s="311"/>
      <c r="AM76" s="292" t="str">
        <f>IF(AV76="","",SMALL(AN72:AN78,ROWS(AM72:AM76)))</f>
        <v/>
      </c>
      <c r="AN76" s="293" t="str">
        <f>IF(AV76="","",RANK(AR76,AR72:AR78)*1000+ROWS(AN72:AN76))</f>
        <v/>
      </c>
      <c r="AO76" s="316" t="str">
        <f t="shared" si="50"/>
        <v/>
      </c>
      <c r="AP76" s="415" t="b">
        <f>AND(AU76&lt;&gt;"",AU76&gt;0,COUNTIF(AO72:AO78,AO76)&gt;1)</f>
        <v>0</v>
      </c>
      <c r="AQ76" s="316" t="str">
        <f t="shared" si="51"/>
        <v/>
      </c>
      <c r="AR76" s="317" t="str">
        <f t="shared" si="52"/>
        <v/>
      </c>
      <c r="AS76" s="415" t="b">
        <f>AND(AU76&lt;&gt;"",AU76&gt;0,COUNTIF(AR72:AR78,AR76)&gt;1)</f>
        <v>0</v>
      </c>
      <c r="AT76" s="355" t="str">
        <f t="shared" si="53"/>
        <v/>
      </c>
      <c r="AU76" s="356" t="str">
        <f t="shared" si="54"/>
        <v/>
      </c>
      <c r="AV76" s="356" t="str">
        <f>IF(OR(AI71="",AJ76=""),"",COUNTIF(ResultsTeams[Win],AI71&amp;"-"&amp;AJ76))</f>
        <v/>
      </c>
      <c r="AW76" s="356" t="str">
        <f>IF(OR(AI71="",AJ76=""),"",COUNTIF(ResultsTeams[[Draw1]:[Draw2]],AI71&amp;"-"&amp;AJ76))</f>
        <v/>
      </c>
      <c r="AX76" s="356" t="str">
        <f>IF(OR(AI71="",AJ76=""),"",COUNTIF(ResultsTeams[Lose],AI71&amp;"-"&amp;AJ76))</f>
        <v/>
      </c>
      <c r="AY76" s="356" t="str">
        <f>IF(OR(AI71="",AJ76=""),"",AV76-AX76)</f>
        <v/>
      </c>
      <c r="AZ76" s="356" t="str">
        <f>IF(OR(AI75="",AJ76=""),"",SUMIFS(ResultsTeams[Match-A],ResultsTeams[Stage],"Groups",ResultsTeams[Team A],AJ76)+SUMIFS(ResultsTeams[Match-B],ResultsTeams[Stage],"Groups",ResultsTeams[Team B],AJ76))</f>
        <v/>
      </c>
      <c r="BA76" s="356" t="str">
        <f>IF(OR(AI75="",AJ76=""),"",SUMIFS(ResultsTeams[Match-B],ResultsTeams[Stage],"Groups",ResultsTeams[Team A],AJ76)+SUMIFS(ResultsTeams[Match-A],ResultsTeams[Stage],"Groups",ResultsTeams[Team B],AJ76))</f>
        <v/>
      </c>
      <c r="BB76" s="356" t="str">
        <f t="shared" si="56"/>
        <v/>
      </c>
      <c r="BC76" s="356" t="str">
        <f>IF(OR(AI75="",AJ76=""),"",SUMIFS(ResultsTeams[Goal-A],ResultsTeams[Stage],"Groups",ResultsTeams[Team A],AJ76)+SUMIFS(ResultsTeams[Goal-B],ResultsTeams[Stage],"Groups",ResultsTeams[Team B],AJ76))</f>
        <v/>
      </c>
      <c r="BD76" s="356" t="str">
        <f>IF(OR(AI75="",AJ76=""),"",SUMIFS(ResultsTeams[Goal-B],ResultsTeams[Stage],"Groups",ResultsTeams[Team A],AJ76)+SUMIFS(ResultsTeams[Goal-A],ResultsTeams[Stage],"Groups",ResultsTeams[Team B],AJ76))</f>
        <v/>
      </c>
      <c r="BE76" s="357" t="str">
        <f>IF(OR(AI71="",AJ76=""),"",BC76-BD76)</f>
        <v/>
      </c>
      <c r="BF76" s="470" t="str">
        <f>IF(AM76="","",OR(VLOOKUP(AM76,AN72:BE78,3,FALSE),VLOOKUP(AM76,AN72:BE78,6,FALSE)))</f>
        <v/>
      </c>
      <c r="BG76" s="298" t="str">
        <f t="shared" si="55"/>
        <v/>
      </c>
      <c r="BH76" s="285" t="str">
        <f>IF(AM76="","",INDEX(AJ72:AJ78,MATCH(AM76,AN72:AN78,0)))</f>
        <v/>
      </c>
      <c r="BI76" s="286" t="str">
        <f>IF(AM76="","",VLOOKUP(AM76,AN72:BE78,COLUMN()-COLUMN(BB71),FALSE))</f>
        <v/>
      </c>
      <c r="BJ76" s="286" t="str">
        <f>IF(AM76="","",VLOOKUP(AM76,AN72:BE78,COLUMN()-COLUMN(BB71),FALSE))</f>
        <v/>
      </c>
      <c r="BK76" s="286" t="str">
        <f>IF(AM76="","",VLOOKUP(AM76,AN72:BE78,COLUMN()-COLUMN(BB71),FALSE))</f>
        <v/>
      </c>
      <c r="BL76" s="286" t="str">
        <f>IF(AM76="","",VLOOKUP(AM76,AN72:BE78,COLUMN()-COLUMN(BB71),FALSE))</f>
        <v/>
      </c>
      <c r="BM76" s="286" t="str">
        <f>IF(AM76="","",VLOOKUP(AM76,AN72:BE78,COLUMN()-COLUMN(BB71),FALSE))</f>
        <v/>
      </c>
      <c r="BN76" s="349" t="str">
        <f>IF(AM76="","",VLOOKUP(AM76,AN72:BE78,COLUMN()-COLUMN(BB71),FALSE))</f>
        <v/>
      </c>
      <c r="BO76" s="298" t="str">
        <f>IF(AM76="","",VLOOKUP(AM76,AN72:BE78,COLUMN()-COLUMN(BB71),FALSE))</f>
        <v/>
      </c>
      <c r="BP76" s="286" t="str">
        <f>IF(AM76="","",VLOOKUP(AM76,AN72:BE78,COLUMN()-COLUMN(BB71),FALSE))</f>
        <v/>
      </c>
      <c r="BQ76" s="301" t="str">
        <f>IF(AM76="","",VLOOKUP(AM76,AN72:BE78,COLUMN()-COLUMN(BB71),FALSE))</f>
        <v/>
      </c>
      <c r="BR76" s="352" t="str">
        <f>IF(AM76="","",VLOOKUP(AM76,AN72:BE78,COLUMN()-COLUMN(BB71),FALSE))</f>
        <v/>
      </c>
      <c r="BS76" s="286" t="str">
        <f>IF(AM76="","",VLOOKUP(AM76,AN72:BE78,COLUMN()-COLUMN(BB71),FALSE))</f>
        <v/>
      </c>
      <c r="BT76" s="301" t="str">
        <f>IF(AM76="","",VLOOKUP(AM76,AN72:BE78,COLUMN()-COLUMN(BB71),FALSE))</f>
        <v/>
      </c>
    </row>
    <row r="77" spans="1:72" x14ac:dyDescent="0.2">
      <c r="A77" s="62"/>
      <c r="B77" s="280"/>
      <c r="C77" s="62"/>
      <c r="D77" s="62"/>
      <c r="E77" s="241" t="s">
        <v>12234</v>
      </c>
      <c r="F77" s="246" t="s">
        <v>14608</v>
      </c>
      <c r="G77" s="246" t="s">
        <v>8098</v>
      </c>
      <c r="H77" s="254">
        <v>4</v>
      </c>
      <c r="I77" s="254">
        <v>1</v>
      </c>
      <c r="J77" s="254"/>
      <c r="K77" s="363"/>
      <c r="L77" s="363"/>
      <c r="M77" s="63"/>
      <c r="N77" s="265" t="b">
        <f>NOT(ISERROR(ResultsTeams[[#This Row],[Goal-A]]+ResultsTeams[[#This Row],[Goal-B]]))</f>
        <v>1</v>
      </c>
      <c r="O77" s="265">
        <f>IF(ResultsTeams[[#This Row],[Type]]="G",SUM(O78:O81),IF(LEFT(ResultsTeams[[#This Row],[Type]],1)="P",IF(ResultsTeams[[#This Row],[Goal-A]]&gt;ResultsTeams[[#This Row],[Goal-B]],1,0),""))</f>
        <v>1</v>
      </c>
      <c r="P77" s="265">
        <f>IF(ResultsTeams[[#This Row],[Type]]="G",SUM(P78:P81),IF(LEFT(ResultsTeams[[#This Row],[Type]],1)="P",IF(ResultsTeams[[#This Row],[Goal-A]]&lt;ResultsTeams[[#This Row],[Goal-B]],1,0),""))</f>
        <v>0</v>
      </c>
      <c r="Q77" s="265">
        <f>IF(ResultsTeams[[#This Row],[Type]]="G",SUM(Q78:Q81),IF(LEFT(ResultsTeams[[#This Row],[Type]],1)="P",VALUE(ResultsTeams[[#This Row],[Score-A]]),""))</f>
        <v>4</v>
      </c>
      <c r="R77" s="265">
        <f>IF(ResultsTeams[[#This Row],[Type]]="G",SUM(R78:R81),IF(LEFT(ResultsTeams[[#This Row],[Type]],1)="P",VALUE(ResultsTeams[[#This Row],[Score-B]]),""))</f>
        <v>1</v>
      </c>
      <c r="S77" s="265" t="str">
        <f ca="1">IF(AND(ResultsTeams[[#This Row],[Category]]&lt;&gt;"",ResultsTeams[[#This Row],[Team A]]&lt;&gt;""),COUNTIF(INDIRECT("TeamsList[Club Name]"),ResultsTeams[[#This Row],[Team A]]),"")</f>
        <v/>
      </c>
      <c r="T77" s="265" t="str">
        <f ca="1">IF(AND(ResultsTeams[[#This Row],[Category]]&lt;&gt;"",ResultsTeams[[#This Row],[Team B]]&lt;&gt;""),COUNTIF(INDIRECT("TeamsList[Club Name]"),ResultsTeams[[#This Row],[Team B]]),"")</f>
        <v/>
      </c>
      <c r="U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Rairoux</v>
      </c>
      <c r="V77" s="265" t="str">
        <f>IF(ResultsTeams[[#This Row],[Score_OK]],IF(ResultsTeams[[#This Row],[StageCpy]]="Groups",ResultsTeams[[#This Row],[Category]]&amp;"-"&amp;IF(ResultsTeams[[#This Row],[Team B]]="","",IF(ResultsTeams[[#This Row],[Match-A]]=ResultsTeams[[#This Row],[Match-B]],ResultsTeams[[#This Row],[Team A]],"")),""),"")</f>
        <v>-</v>
      </c>
      <c r="W77" s="265" t="str">
        <f>IF(ResultsTeams[[#This Row],[Score_OK]],IF(ResultsTeams[[#This Row],[StageCpy]]="Groups",ResultsTeams[[#This Row],[Category]]&amp;"-"&amp;IF(ResultsTeams[[#This Row],[Team B]]="","",IF(ResultsTeams[[#This Row],[Match-A]]=ResultsTeams[[#This Row],[Match-B]],ResultsTeams[[#This Row],[Team B]],"")),""),"")</f>
        <v>-</v>
      </c>
      <c r="X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-Laurent Goor</v>
      </c>
      <c r="Y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 s="264" t="str">
        <f>IF(ResultsTeams[[#This Row],[Category]]="","",VLOOKUP(ResultsTeams[[#This Row],[Stage]],$R$1:$T$8,MATCH(ResultsTeams[[#This Row],[Category]],$S$1:$T$1,0)+1,FALSE))</f>
        <v/>
      </c>
      <c r="AC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 s="264" t="str">
        <f>IF(ResultsTeams[[#This Row],[Type]]="G",ResultsTeams[[#This Row],[Stage]],AD76)</f>
        <v>Groups</v>
      </c>
      <c r="AE77" s="395" t="str">
        <f>IF(ResultsTeams[[#This Row],[Type]]="G",INDEX(TeamsList[Club Name],MATCH(ResultsTeams[[#This Row],[Team A]],TeamsList[Team Name],0)),AE76)</f>
        <v>SC Lion's Eugies</v>
      </c>
      <c r="AF77" s="395" t="str">
        <f>IF(ResultsTeams[[#This Row],[Type]]="G",INDEX(TeamsList[Club Name],MATCH(ResultsTeams[[#This Row],[Team B]],TeamsList[Team Name],0)),AF76)</f>
        <v>Avenir Subbuteo Hennuyer</v>
      </c>
      <c r="AG77" s="265"/>
      <c r="AI77" s="12" t="str">
        <f t="shared" si="57"/>
        <v>TEAM</v>
      </c>
      <c r="AJ77" s="309"/>
      <c r="AK77" s="310"/>
      <c r="AL77" s="311"/>
      <c r="AM77" s="292" t="str">
        <f>IF(AV77="","",SMALL(AN72:AN78,ROWS(AM72:AM77)))</f>
        <v/>
      </c>
      <c r="AN77" s="293" t="str">
        <f>IF(AV77="","",RANK(AR77,AR72:AR78)*1000+ROWS(AN72:AN77))</f>
        <v/>
      </c>
      <c r="AO77" s="316" t="str">
        <f t="shared" si="50"/>
        <v/>
      </c>
      <c r="AP77" s="415" t="b">
        <f>AND(AU77&lt;&gt;"",AU77&gt;0,COUNTIF(AO72:AO78,AO77)&gt;1)</f>
        <v>0</v>
      </c>
      <c r="AQ77" s="316" t="str">
        <f t="shared" si="51"/>
        <v/>
      </c>
      <c r="AR77" s="317" t="str">
        <f t="shared" si="52"/>
        <v/>
      </c>
      <c r="AS77" s="415" t="b">
        <f>AND(AU77&lt;&gt;"",AU77&gt;0,COUNTIF(AR72:AR78,AR77)&gt;1)</f>
        <v>0</v>
      </c>
      <c r="AT77" s="355" t="str">
        <f t="shared" si="53"/>
        <v/>
      </c>
      <c r="AU77" s="356" t="str">
        <f t="shared" si="54"/>
        <v/>
      </c>
      <c r="AV77" s="356" t="str">
        <f>IF(OR(AI71="",AJ77=""),"",COUNTIF(ResultsTeams[Win],AI71&amp;"-"&amp;AJ77))</f>
        <v/>
      </c>
      <c r="AW77" s="356" t="str">
        <f>IF(OR(AI71="",AJ77=""),"",COUNTIF(ResultsTeams[[Draw1]:[Draw2]],AI71&amp;"-"&amp;AJ77))</f>
        <v/>
      </c>
      <c r="AX77" s="356" t="str">
        <f>IF(OR(AI71="",AJ77=""),"",COUNTIF(ResultsTeams[Lose],AI71&amp;"-"&amp;AJ77))</f>
        <v/>
      </c>
      <c r="AY77" s="356" t="str">
        <f>IF(OR(AI71="",AJ77=""),"",AV77-AX77)</f>
        <v/>
      </c>
      <c r="AZ77" s="356" t="str">
        <f>IF(OR(AI76="",AJ77=""),"",SUMIFS(ResultsTeams[Match-A],ResultsTeams[Stage],"Groups",ResultsTeams[Team A],AJ77)+SUMIFS(ResultsTeams[Match-B],ResultsTeams[Stage],"Groups",ResultsTeams[Team B],AJ77))</f>
        <v/>
      </c>
      <c r="BA77" s="356" t="str">
        <f>IF(OR(AI76="",AJ77=""),"",SUMIFS(ResultsTeams[Match-B],ResultsTeams[Stage],"Groups",ResultsTeams[Team A],AJ77)+SUMIFS(ResultsTeams[Match-A],ResultsTeams[Stage],"Groups",ResultsTeams[Team B],AJ77))</f>
        <v/>
      </c>
      <c r="BB77" s="356" t="str">
        <f t="shared" si="56"/>
        <v/>
      </c>
      <c r="BC77" s="356" t="str">
        <f>IF(OR(AI76="",AJ77=""),"",SUMIFS(ResultsTeams[Goal-A],ResultsTeams[Stage],"Groups",ResultsTeams[Team A],AJ77)+SUMIFS(ResultsTeams[Goal-B],ResultsTeams[Stage],"Groups",ResultsTeams[Team B],AJ77))</f>
        <v/>
      </c>
      <c r="BD77" s="356" t="str">
        <f>IF(OR(AI76="",AJ77=""),"",SUMIFS(ResultsTeams[Goal-B],ResultsTeams[Stage],"Groups",ResultsTeams[Team A],AJ77)+SUMIFS(ResultsTeams[Goal-A],ResultsTeams[Stage],"Groups",ResultsTeams[Team B],AJ77))</f>
        <v/>
      </c>
      <c r="BE77" s="357" t="str">
        <f>IF(OR(AI71="",AJ77=""),"",BC77-BD77)</f>
        <v/>
      </c>
      <c r="BF77" s="470" t="str">
        <f>IF(AM77="","",OR(VLOOKUP(AM77,AN72:BE78,3,FALSE),VLOOKUP(AM77,AN72:BE78,6,FALSE)))</f>
        <v/>
      </c>
      <c r="BG77" s="298" t="str">
        <f t="shared" si="55"/>
        <v/>
      </c>
      <c r="BH77" s="285" t="str">
        <f>IF(AM77="","",INDEX(AJ72:AJ78,MATCH(AM77,AN72:AN78,0)))</f>
        <v/>
      </c>
      <c r="BI77" s="286" t="str">
        <f>IF(AM77="","",VLOOKUP(AM77,AN72:BE78,COLUMN()-COLUMN(BB71),FALSE))</f>
        <v/>
      </c>
      <c r="BJ77" s="286" t="str">
        <f>IF(AM77="","",VLOOKUP(AM77,AN72:BE78,COLUMN()-COLUMN(BB71),FALSE))</f>
        <v/>
      </c>
      <c r="BK77" s="286" t="str">
        <f>IF(AM77="","",VLOOKUP(AM77,AN72:BE78,COLUMN()-COLUMN(BB71),FALSE))</f>
        <v/>
      </c>
      <c r="BL77" s="286" t="str">
        <f>IF(AM77="","",VLOOKUP(AM77,AN72:BE78,COLUMN()-COLUMN(BB71),FALSE))</f>
        <v/>
      </c>
      <c r="BM77" s="286" t="str">
        <f>IF(AM77="","",VLOOKUP(AM77,AN72:BE78,COLUMN()-COLUMN(BB71),FALSE))</f>
        <v/>
      </c>
      <c r="BN77" s="349" t="str">
        <f>IF(AM77="","",VLOOKUP(AM77,AN72:BE78,COLUMN()-COLUMN(BB71),FALSE))</f>
        <v/>
      </c>
      <c r="BO77" s="298" t="str">
        <f>IF(AM77="","",VLOOKUP(AM77,AN72:BE78,COLUMN()-COLUMN(BB71),FALSE))</f>
        <v/>
      </c>
      <c r="BP77" s="286" t="str">
        <f>IF(AM77="","",VLOOKUP(AM77,AN72:BE78,COLUMN()-COLUMN(BB71),FALSE))</f>
        <v/>
      </c>
      <c r="BQ77" s="301" t="str">
        <f>IF(AM77="","",VLOOKUP(AM77,AN72:BE78,COLUMN()-COLUMN(BB71),FALSE))</f>
        <v/>
      </c>
      <c r="BR77" s="352" t="str">
        <f>IF(AM77="","",VLOOKUP(AM77,AN72:BE78,COLUMN()-COLUMN(BB71),FALSE))</f>
        <v/>
      </c>
      <c r="BS77" s="286" t="str">
        <f>IF(AM77="","",VLOOKUP(AM77,AN72:BE78,COLUMN()-COLUMN(BB71),FALSE))</f>
        <v/>
      </c>
      <c r="BT77" s="301" t="str">
        <f>IF(AM77="","",VLOOKUP(AM77,AN72:BE78,COLUMN()-COLUMN(BB71),FALSE))</f>
        <v/>
      </c>
    </row>
    <row r="78" spans="1:72" ht="12" thickBot="1" x14ac:dyDescent="0.25">
      <c r="A78" s="62"/>
      <c r="B78" s="280"/>
      <c r="C78" s="62"/>
      <c r="D78" s="62"/>
      <c r="E78" s="241" t="s">
        <v>12237</v>
      </c>
      <c r="F78" s="246" t="s">
        <v>8170</v>
      </c>
      <c r="G78" s="246" t="s">
        <v>8714</v>
      </c>
      <c r="H78" s="254">
        <v>1</v>
      </c>
      <c r="I78" s="254">
        <v>4</v>
      </c>
      <c r="J78" s="254"/>
      <c r="K78" s="363"/>
      <c r="L78" s="363"/>
      <c r="M78" s="63"/>
      <c r="N78" s="265" t="b">
        <f>NOT(ISERROR(ResultsTeams[[#This Row],[Goal-A]]+ResultsTeams[[#This Row],[Goal-B]]))</f>
        <v>1</v>
      </c>
      <c r="O78" s="265">
        <f>IF(ResultsTeams[[#This Row],[Type]]="G",SUM(O79:O82),IF(LEFT(ResultsTeams[[#This Row],[Type]],1)="P",IF(ResultsTeams[[#This Row],[Goal-A]]&gt;ResultsTeams[[#This Row],[Goal-B]],1,0),""))</f>
        <v>0</v>
      </c>
      <c r="P78" s="265">
        <f>IF(ResultsTeams[[#This Row],[Type]]="G",SUM(P79:P82),IF(LEFT(ResultsTeams[[#This Row],[Type]],1)="P",IF(ResultsTeams[[#This Row],[Goal-A]]&lt;ResultsTeams[[#This Row],[Goal-B]],1,0),""))</f>
        <v>1</v>
      </c>
      <c r="Q78" s="265">
        <f>IF(ResultsTeams[[#This Row],[Type]]="G",SUM(Q79:Q82),IF(LEFT(ResultsTeams[[#This Row],[Type]],1)="P",VALUE(ResultsTeams[[#This Row],[Score-A]]),""))</f>
        <v>1</v>
      </c>
      <c r="R78" s="265">
        <f>IF(ResultsTeams[[#This Row],[Type]]="G",SUM(R79:R82),IF(LEFT(ResultsTeams[[#This Row],[Type]],1)="P",VALUE(ResultsTeams[[#This Row],[Score-B]]),""))</f>
        <v>4</v>
      </c>
      <c r="S78" s="265" t="str">
        <f ca="1">IF(AND(ResultsTeams[[#This Row],[Category]]&lt;&gt;"",ResultsTeams[[#This Row],[Team A]]&lt;&gt;""),COUNTIF(INDIRECT("TeamsList[Club Name]"),ResultsTeams[[#This Row],[Team A]]),"")</f>
        <v/>
      </c>
      <c r="T78" s="265" t="str">
        <f ca="1">IF(AND(ResultsTeams[[#This Row],[Category]]&lt;&gt;"",ResultsTeams[[#This Row],[Team B]]&lt;&gt;""),COUNTIF(INDIRECT("TeamsList[Club Name]"),ResultsTeams[[#This Row],[Team B]]),"")</f>
        <v/>
      </c>
      <c r="U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-Rémi Soret</v>
      </c>
      <c r="V78" s="265" t="str">
        <f>IF(ResultsTeams[[#This Row],[Score_OK]],IF(ResultsTeams[[#This Row],[StageCpy]]="Groups",ResultsTeams[[#This Row],[Category]]&amp;"-"&amp;IF(ResultsTeams[[#This Row],[Team B]]="","",IF(ResultsTeams[[#This Row],[Match-A]]=ResultsTeams[[#This Row],[Match-B]],ResultsTeams[[#This Row],[Team A]],"")),""),"")</f>
        <v>-</v>
      </c>
      <c r="W78" s="265" t="str">
        <f>IF(ResultsTeams[[#This Row],[Score_OK]],IF(ResultsTeams[[#This Row],[StageCpy]]="Groups",ResultsTeams[[#This Row],[Category]]&amp;"-"&amp;IF(ResultsTeams[[#This Row],[Team B]]="","",IF(ResultsTeams[[#This Row],[Match-A]]=ResultsTeams[[#This Row],[Match-B]],ResultsTeams[[#This Row],[Team B]],"")),""),"")</f>
        <v>-</v>
      </c>
      <c r="X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-Lucas Raison</v>
      </c>
      <c r="Y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 s="264" t="str">
        <f>IF(ResultsTeams[[#This Row],[Category]]="","",VLOOKUP(ResultsTeams[[#This Row],[Stage]],$R$1:$T$8,MATCH(ResultsTeams[[#This Row],[Category]],$S$1:$T$1,0)+1,FALSE))</f>
        <v/>
      </c>
      <c r="AC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 s="264" t="str">
        <f>IF(ResultsTeams[[#This Row],[Type]]="G",ResultsTeams[[#This Row],[Stage]],AD77)</f>
        <v>Groups</v>
      </c>
      <c r="AE78" s="395" t="str">
        <f>IF(ResultsTeams[[#This Row],[Type]]="G",INDEX(TeamsList[Club Name],MATCH(ResultsTeams[[#This Row],[Team A]],TeamsList[Team Name],0)),AE77)</f>
        <v>SC Lion's Eugies</v>
      </c>
      <c r="AF78" s="395" t="str">
        <f>IF(ResultsTeams[[#This Row],[Type]]="G",INDEX(TeamsList[Club Name],MATCH(ResultsTeams[[#This Row],[Team B]],TeamsList[Team Name],0)),AF77)</f>
        <v>Avenir Subbuteo Hennuyer</v>
      </c>
      <c r="AG78" s="265"/>
      <c r="AI78" s="12" t="str">
        <f t="shared" si="57"/>
        <v>TEAM</v>
      </c>
      <c r="AJ78" s="312"/>
      <c r="AK78" s="313"/>
      <c r="AL78" s="314"/>
      <c r="AM78" s="294" t="str">
        <f>IF(AV78="","",SMALL(AN72:AN78,ROWS(AM72:AM78)))</f>
        <v/>
      </c>
      <c r="AN78" s="295" t="str">
        <f>IF(AV78="","",RANK(AR78,AR72:AR78)*1000+ROWS(AN72:AN78))</f>
        <v/>
      </c>
      <c r="AO78" s="318" t="str">
        <f t="shared" si="50"/>
        <v/>
      </c>
      <c r="AP78" s="416" t="b">
        <f>AND(AU78&lt;&gt;"",AU78&gt;0,COUNTIF(AO72:AO78,AO78)&gt;1)</f>
        <v>0</v>
      </c>
      <c r="AQ78" s="318" t="str">
        <f t="shared" si="51"/>
        <v/>
      </c>
      <c r="AR78" s="319" t="str">
        <f t="shared" si="52"/>
        <v/>
      </c>
      <c r="AS78" s="416" t="b">
        <f>AND(AU78&lt;&gt;"",AU78&gt;0,COUNTIF(AR72:AR78,AR78)&gt;1)</f>
        <v>0</v>
      </c>
      <c r="AT78" s="358" t="str">
        <f t="shared" si="53"/>
        <v/>
      </c>
      <c r="AU78" s="359" t="str">
        <f t="shared" si="54"/>
        <v/>
      </c>
      <c r="AV78" s="359" t="str">
        <f>IF(OR(AI71="",AJ78=""),"",COUNTIF(ResultsTeams[Win],AI71&amp;"-"&amp;AJ78))</f>
        <v/>
      </c>
      <c r="AW78" s="359" t="str">
        <f>IF(OR(AI71="",AJ78=""),"",COUNTIF(ResultsTeams[[Draw1]:[Draw2]],AI71&amp;"-"&amp;AJ78))</f>
        <v/>
      </c>
      <c r="AX78" s="359" t="str">
        <f>IF(OR(AI71="",AJ78=""),"",COUNTIF(ResultsTeams[Lose],AI71&amp;"-"&amp;AJ78))</f>
        <v/>
      </c>
      <c r="AY78" s="359" t="str">
        <f>IF(OR(AI71="",AJ78=""),"",AV78-AX78)</f>
        <v/>
      </c>
      <c r="AZ78" s="359" t="str">
        <f>IF(OR(AI77="",AJ78=""),"",SUMIFS(ResultsTeams[Match-A],ResultsTeams[Stage],"Groups",ResultsTeams[Team A],AJ78)+SUMIFS(ResultsTeams[Match-B],ResultsTeams[Stage],"Groups",ResultsTeams[Team B],AJ78))</f>
        <v/>
      </c>
      <c r="BA78" s="359" t="str">
        <f>IF(OR(AI77="",AJ78=""),"",SUMIFS(ResultsTeams[Match-B],ResultsTeams[Stage],"Groups",ResultsTeams[Team A],AJ78)+SUMIFS(ResultsTeams[Match-A],ResultsTeams[Stage],"Groups",ResultsTeams[Team B],AJ78))</f>
        <v/>
      </c>
      <c r="BB78" s="359" t="str">
        <f t="shared" si="56"/>
        <v/>
      </c>
      <c r="BC78" s="359" t="str">
        <f>IF(OR(AI77="",AJ78=""),"",SUMIFS(ResultsTeams[Goal-A],ResultsTeams[Stage],"Groups",ResultsTeams[Team A],AJ78)+SUMIFS(ResultsTeams[Goal-B],ResultsTeams[Stage],"Groups",ResultsTeams[Team B],AJ78))</f>
        <v/>
      </c>
      <c r="BD78" s="359" t="str">
        <f>IF(OR(AI77="",AJ78=""),"",SUMIFS(ResultsTeams[Goal-B],ResultsTeams[Stage],"Groups",ResultsTeams[Team A],AJ78)+SUMIFS(ResultsTeams[Goal-A],ResultsTeams[Stage],"Groups",ResultsTeams[Team B],AJ78))</f>
        <v/>
      </c>
      <c r="BE78" s="360" t="str">
        <f>IF(OR(AI71="",AJ78=""),"",BC78-BD78)</f>
        <v/>
      </c>
      <c r="BF78" s="470" t="str">
        <f>IF(AM78="","",OR(VLOOKUP(AM78,AN72:BE78,3,FALSE),VLOOKUP(AM78,AN72:BE78,6,FALSE)))</f>
        <v/>
      </c>
      <c r="BG78" s="299" t="str">
        <f t="shared" si="55"/>
        <v/>
      </c>
      <c r="BH78" s="287" t="str">
        <f>IF(AM78="","",INDEX(AJ72:AJ78,MATCH(AM78,AN72:AN78,0)))</f>
        <v/>
      </c>
      <c r="BI78" s="288" t="str">
        <f>IF(AM78="","",VLOOKUP(AM78,AN72:BE78,COLUMN()-COLUMN(BB71),FALSE))</f>
        <v/>
      </c>
      <c r="BJ78" s="288" t="str">
        <f>IF(AM78="","",VLOOKUP(AM78,AN72:BE78,COLUMN()-COLUMN(BB71),FALSE))</f>
        <v/>
      </c>
      <c r="BK78" s="288" t="str">
        <f>IF(AM78="","",VLOOKUP(AM78,AN72:BE78,COLUMN()-COLUMN(BB71),FALSE))</f>
        <v/>
      </c>
      <c r="BL78" s="288" t="str">
        <f>IF(AM78="","",VLOOKUP(AM78,AN72:BE78,COLUMN()-COLUMN(BB71),FALSE))</f>
        <v/>
      </c>
      <c r="BM78" s="288" t="str">
        <f>IF(AM78="","",VLOOKUP(AM78,AN72:BE78,COLUMN()-COLUMN(BB71),FALSE))</f>
        <v/>
      </c>
      <c r="BN78" s="350" t="str">
        <f>IF(AM78="","",VLOOKUP(AM78,AN72:BE78,COLUMN()-COLUMN(BB71),FALSE))</f>
        <v/>
      </c>
      <c r="BO78" s="299" t="str">
        <f>IF(AM78="","",VLOOKUP(AM78,AN72:BE78,COLUMN()-COLUMN(BB71),FALSE))</f>
        <v/>
      </c>
      <c r="BP78" s="288" t="str">
        <f>IF(AM78="","",VLOOKUP(AM78,AN72:BE78,COLUMN()-COLUMN(BB71),FALSE))</f>
        <v/>
      </c>
      <c r="BQ78" s="302" t="str">
        <f>IF(AM78="","",VLOOKUP(AM78,AN72:BE78,COLUMN()-COLUMN(BB71),FALSE))</f>
        <v/>
      </c>
      <c r="BR78" s="353" t="str">
        <f>IF(AM78="","",VLOOKUP(AM78,AN72:BE78,COLUMN()-COLUMN(BB71),FALSE))</f>
        <v/>
      </c>
      <c r="BS78" s="288" t="str">
        <f>IF(AM78="","",VLOOKUP(AM78,AN72:BE78,COLUMN()-COLUMN(BB71),FALSE))</f>
        <v/>
      </c>
      <c r="BT78" s="302" t="str">
        <f>IF(AM78="","",VLOOKUP(AM78,AN72:BE78,COLUMN()-COLUMN(BB71),FALSE))</f>
        <v/>
      </c>
    </row>
    <row r="79" spans="1:72" ht="12" thickBot="1" x14ac:dyDescent="0.25">
      <c r="A79" s="62"/>
      <c r="B79" s="280"/>
      <c r="C79" s="62"/>
      <c r="D79" s="62"/>
      <c r="E79" s="241" t="s">
        <v>12240</v>
      </c>
      <c r="F79" s="246" t="s">
        <v>8139</v>
      </c>
      <c r="G79" s="246" t="s">
        <v>8091</v>
      </c>
      <c r="H79" s="254">
        <v>1</v>
      </c>
      <c r="I79" s="254">
        <v>5</v>
      </c>
      <c r="J79" s="254"/>
      <c r="K79" s="363"/>
      <c r="L79" s="363"/>
      <c r="M79" s="63"/>
      <c r="N79" s="265" t="b">
        <f>NOT(ISERROR(ResultsTeams[[#This Row],[Goal-A]]+ResultsTeams[[#This Row],[Goal-B]]))</f>
        <v>1</v>
      </c>
      <c r="O79" s="265">
        <f>IF(ResultsTeams[[#This Row],[Type]]="G",SUM(O80:O83),IF(LEFT(ResultsTeams[[#This Row],[Type]],1)="P",IF(ResultsTeams[[#This Row],[Goal-A]]&gt;ResultsTeams[[#This Row],[Goal-B]],1,0),""))</f>
        <v>0</v>
      </c>
      <c r="P79" s="265">
        <f>IF(ResultsTeams[[#This Row],[Type]]="G",SUM(P80:P83),IF(LEFT(ResultsTeams[[#This Row],[Type]],1)="P",IF(ResultsTeams[[#This Row],[Goal-A]]&lt;ResultsTeams[[#This Row],[Goal-B]],1,0),""))</f>
        <v>1</v>
      </c>
      <c r="Q79" s="265">
        <f>IF(ResultsTeams[[#This Row],[Type]]="G",SUM(Q80:Q83),IF(LEFT(ResultsTeams[[#This Row],[Type]],1)="P",VALUE(ResultsTeams[[#This Row],[Score-A]]),""))</f>
        <v>1</v>
      </c>
      <c r="R79" s="265">
        <f>IF(ResultsTeams[[#This Row],[Type]]="G",SUM(R80:R83),IF(LEFT(ResultsTeams[[#This Row],[Type]],1)="P",VALUE(ResultsTeams[[#This Row],[Score-B]]),""))</f>
        <v>5</v>
      </c>
      <c r="S79" s="265" t="str">
        <f ca="1">IF(AND(ResultsTeams[[#This Row],[Category]]&lt;&gt;"",ResultsTeams[[#This Row],[Team A]]&lt;&gt;""),COUNTIF(INDIRECT("TeamsList[Club Name]"),ResultsTeams[[#This Row],[Team A]]),"")</f>
        <v/>
      </c>
      <c r="T79" s="265" t="str">
        <f ca="1">IF(AND(ResultsTeams[[#This Row],[Category]]&lt;&gt;"",ResultsTeams[[#This Row],[Team B]]&lt;&gt;""),COUNTIF(INDIRECT("TeamsList[Club Name]"),ResultsTeams[[#This Row],[Team B]]),"")</f>
        <v/>
      </c>
      <c r="U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-Delphine Dieudonne</v>
      </c>
      <c r="V79" s="265" t="str">
        <f>IF(ResultsTeams[[#This Row],[Score_OK]],IF(ResultsTeams[[#This Row],[StageCpy]]="Groups",ResultsTeams[[#This Row],[Category]]&amp;"-"&amp;IF(ResultsTeams[[#This Row],[Team B]]="","",IF(ResultsTeams[[#This Row],[Match-A]]=ResultsTeams[[#This Row],[Match-B]],ResultsTeams[[#This Row],[Team A]],"")),""),"")</f>
        <v>-</v>
      </c>
      <c r="W79" s="265" t="str">
        <f>IF(ResultsTeams[[#This Row],[Score_OK]],IF(ResultsTeams[[#This Row],[StageCpy]]="Groups",ResultsTeams[[#This Row],[Category]]&amp;"-"&amp;IF(ResultsTeams[[#This Row],[Team B]]="","",IF(ResultsTeams[[#This Row],[Match-A]]=ResultsTeams[[#This Row],[Match-B]],ResultsTeams[[#This Row],[Team B]],"")),""),"")</f>
        <v>-</v>
      </c>
      <c r="X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-Olivier Van Glabeke</v>
      </c>
      <c r="Y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 s="264" t="str">
        <f>IF(ResultsTeams[[#This Row],[Category]]="","",VLOOKUP(ResultsTeams[[#This Row],[Stage]],$R$1:$T$8,MATCH(ResultsTeams[[#This Row],[Category]],$S$1:$T$1,0)+1,FALSE))</f>
        <v/>
      </c>
      <c r="AC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 s="264" t="str">
        <f>IF(ResultsTeams[[#This Row],[Type]]="G",ResultsTeams[[#This Row],[Stage]],AD78)</f>
        <v>Groups</v>
      </c>
      <c r="AE79" s="395" t="str">
        <f>IF(ResultsTeams[[#This Row],[Type]]="G",INDEX(TeamsList[Club Name],MATCH(ResultsTeams[[#This Row],[Team A]],TeamsList[Team Name],0)),AE78)</f>
        <v>SC Lion's Eugies</v>
      </c>
      <c r="AF79" s="395" t="str">
        <f>IF(ResultsTeams[[#This Row],[Type]]="G",INDEX(TeamsList[Club Name],MATCH(ResultsTeams[[#This Row],[Team B]],TeamsList[Team Name],0)),AF78)</f>
        <v>Avenir Subbuteo Hennuyer</v>
      </c>
      <c r="AG79" s="265"/>
    </row>
    <row r="80" spans="1:72" ht="12" thickBot="1" x14ac:dyDescent="0.25">
      <c r="A80" s="62"/>
      <c r="B80" s="62"/>
      <c r="C80" s="62"/>
      <c r="D80" s="62"/>
      <c r="E80" s="241" t="s">
        <v>12243</v>
      </c>
      <c r="F80" s="247" t="s">
        <v>8110</v>
      </c>
      <c r="G80" s="247" t="s">
        <v>8148</v>
      </c>
      <c r="H80" s="254" t="s">
        <v>12681</v>
      </c>
      <c r="I80" s="254" t="s">
        <v>12244</v>
      </c>
      <c r="J80" s="260"/>
      <c r="K80" s="364"/>
      <c r="L80" s="364"/>
      <c r="M80" s="63"/>
      <c r="N80" s="265" t="b">
        <f>NOT(ISERROR(ResultsTeams[[#This Row],[Goal-A]]+ResultsTeams[[#This Row],[Goal-B]]))</f>
        <v>0</v>
      </c>
      <c r="O80" s="265" t="str">
        <f>IF(ResultsTeams[[#This Row],[Type]]="G",SUM(O81:O84),IF(LEFT(ResultsTeams[[#This Row],[Type]],1)="P",IF(ResultsTeams[[#This Row],[Goal-A]]&gt;ResultsTeams[[#This Row],[Goal-B]],1,0),""))</f>
        <v/>
      </c>
      <c r="P80" s="265" t="str">
        <f>IF(ResultsTeams[[#This Row],[Type]]="G",SUM(P81:P84),IF(LEFT(ResultsTeams[[#This Row],[Type]],1)="P",IF(ResultsTeams[[#This Row],[Goal-A]]&lt;ResultsTeams[[#This Row],[Goal-B]],1,0),""))</f>
        <v/>
      </c>
      <c r="Q80" s="265" t="str">
        <f>IF(ResultsTeams[[#This Row],[Type]]="G",SUM(Q81:Q84),IF(LEFT(ResultsTeams[[#This Row],[Type]],1)="P",VALUE(ResultsTeams[[#This Row],[Score-A]]),""))</f>
        <v/>
      </c>
      <c r="R80" s="265" t="str">
        <f>IF(ResultsTeams[[#This Row],[Type]]="G",SUM(R81:R84),IF(LEFT(ResultsTeams[[#This Row],[Type]],1)="P",VALUE(ResultsTeams[[#This Row],[Score-B]]),""))</f>
        <v/>
      </c>
      <c r="S80" s="265" t="str">
        <f ca="1">IF(AND(ResultsTeams[[#This Row],[Category]]&lt;&gt;"",ResultsTeams[[#This Row],[Team A]]&lt;&gt;""),COUNTIF(INDIRECT("TeamsList[Club Name]"),ResultsTeams[[#This Row],[Team A]]),"")</f>
        <v/>
      </c>
      <c r="T80" s="265" t="str">
        <f ca="1">IF(AND(ResultsTeams[[#This Row],[Category]]&lt;&gt;"",ResultsTeams[[#This Row],[Team B]]&lt;&gt;""),COUNTIF(INDIRECT("TeamsList[Club Name]"),ResultsTeams[[#This Row],[Team B]]),"")</f>
        <v/>
      </c>
      <c r="U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 s="265" t="str">
        <f>IF(ResultsTeams[[#This Row],[Score_OK]],IF(ResultsTeams[[#This Row],[StageCpy]]="Groups",ResultsTeams[[#This Row],[Category]]&amp;"-"&amp;IF(ResultsTeams[[#This Row],[Team B]]="","",IF(ResultsTeams[[#This Row],[Match-A]]=ResultsTeams[[#This Row],[Match-B]],ResultsTeams[[#This Row],[Team A]],"")),""),"")</f>
        <v/>
      </c>
      <c r="W80" s="265" t="str">
        <f>IF(ResultsTeams[[#This Row],[Score_OK]],IF(ResultsTeams[[#This Row],[StageCpy]]="Groups",ResultsTeams[[#This Row],[Category]]&amp;"-"&amp;IF(ResultsTeams[[#This Row],[Team B]]="","",IF(ResultsTeams[[#This Row],[Match-A]]=ResultsTeams[[#This Row],[Match-B]],ResultsTeams[[#This Row],[Team B]],"")),""),"")</f>
        <v/>
      </c>
      <c r="X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 s="264" t="str">
        <f>IF(ResultsTeams[[#This Row],[Category]]="","",VLOOKUP(ResultsTeams[[#This Row],[Stage]],$R$1:$T$8,MATCH(ResultsTeams[[#This Row],[Category]],$S$1:$T$1,0)+1,FALSE))</f>
        <v/>
      </c>
      <c r="AC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 s="264" t="str">
        <f>IF(ResultsTeams[[#This Row],[Type]]="G",ResultsTeams[[#This Row],[Stage]],AD79)</f>
        <v>Groups</v>
      </c>
      <c r="AE80" s="395" t="str">
        <f>IF(ResultsTeams[[#This Row],[Type]]="G",INDEX(TeamsList[Club Name],MATCH(ResultsTeams[[#This Row],[Team A]],TeamsList[Team Name],0)),AE79)</f>
        <v>SC Lion's Eugies</v>
      </c>
      <c r="AF80" s="395" t="str">
        <f>IF(ResultsTeams[[#This Row],[Type]]="G",INDEX(TeamsList[Club Name],MATCH(ResultsTeams[[#This Row],[Team B]],TeamsList[Team Name],0)),AF79)</f>
        <v>Avenir Subbuteo Hennuyer</v>
      </c>
      <c r="AG80" s="265"/>
      <c r="AH80" s="281" t="str">
        <f>IF(AI80="","",QUOTIENT(COUNTIF(AI$26:AI80,AI80)-1,8)+1)</f>
        <v/>
      </c>
      <c r="AI80" s="315"/>
      <c r="AJ80" s="289" t="s">
        <v>14438</v>
      </c>
      <c r="AK80" s="290" t="s">
        <v>12279</v>
      </c>
      <c r="AL80" s="300" t="s">
        <v>12275</v>
      </c>
      <c r="AM80" s="296" t="s">
        <v>12276</v>
      </c>
      <c r="AN80" s="291" t="s">
        <v>12271</v>
      </c>
      <c r="AO80" s="291" t="s">
        <v>12272</v>
      </c>
      <c r="AP80" s="414" t="s">
        <v>13154</v>
      </c>
      <c r="AQ80" s="291" t="s">
        <v>12273</v>
      </c>
      <c r="AR80" s="297" t="s">
        <v>12274</v>
      </c>
      <c r="AS80" s="414" t="s">
        <v>13154</v>
      </c>
      <c r="AT80" s="296" t="s">
        <v>12199</v>
      </c>
      <c r="AU80" s="291" t="s">
        <v>12200</v>
      </c>
      <c r="AV80" s="291" t="s">
        <v>12201</v>
      </c>
      <c r="AW80" s="291" t="s">
        <v>12202</v>
      </c>
      <c r="AX80" s="291" t="s">
        <v>12203</v>
      </c>
      <c r="AY80" s="291" t="s">
        <v>12697</v>
      </c>
      <c r="AZ80" s="291" t="s">
        <v>12698</v>
      </c>
      <c r="BA80" s="291" t="s">
        <v>12699</v>
      </c>
      <c r="BB80" s="291" t="s">
        <v>12700</v>
      </c>
      <c r="BC80" s="291" t="s">
        <v>12204</v>
      </c>
      <c r="BD80" s="291" t="s">
        <v>12205</v>
      </c>
      <c r="BE80" s="297" t="s">
        <v>12206</v>
      </c>
      <c r="BF80" s="395"/>
      <c r="BG80" s="282" t="s">
        <v>12276</v>
      </c>
      <c r="BH80" s="282" t="s">
        <v>12133</v>
      </c>
      <c r="BI80" s="283" t="s">
        <v>12199</v>
      </c>
      <c r="BJ80" s="283" t="s">
        <v>12200</v>
      </c>
      <c r="BK80" s="283" t="s">
        <v>12201</v>
      </c>
      <c r="BL80" s="283" t="s">
        <v>12202</v>
      </c>
      <c r="BM80" s="283" t="s">
        <v>12203</v>
      </c>
      <c r="BN80" s="290" t="s">
        <v>12697</v>
      </c>
      <c r="BO80" s="354" t="s">
        <v>12698</v>
      </c>
      <c r="BP80" s="283" t="s">
        <v>12699</v>
      </c>
      <c r="BQ80" s="300" t="s">
        <v>12700</v>
      </c>
      <c r="BR80" s="351" t="s">
        <v>12204</v>
      </c>
      <c r="BS80" s="283" t="s">
        <v>12205</v>
      </c>
      <c r="BT80" s="300" t="s">
        <v>12206</v>
      </c>
    </row>
    <row r="81" spans="1:72" ht="12" thickBot="1" x14ac:dyDescent="0.25">
      <c r="A81" s="83"/>
      <c r="B81" s="83"/>
      <c r="C81" s="83"/>
      <c r="D81" s="83"/>
      <c r="E81" s="268" t="s">
        <v>12244</v>
      </c>
      <c r="F81" s="262"/>
      <c r="G81" s="262"/>
      <c r="H81" s="324"/>
      <c r="I81" s="324"/>
      <c r="J81" s="263"/>
      <c r="K81" s="365"/>
      <c r="L81" s="365"/>
      <c r="M81" s="84"/>
      <c r="N81" s="265" t="b">
        <f>NOT(ISERROR(ResultsTeams[[#This Row],[Goal-A]]+ResultsTeams[[#This Row],[Goal-B]]))</f>
        <v>0</v>
      </c>
      <c r="O81" s="265" t="str">
        <f>IF(ResultsTeams[[#This Row],[Type]]="G",SUM(O82:O85),IF(LEFT(ResultsTeams[[#This Row],[Type]],1)="P",IF(ResultsTeams[[#This Row],[Goal-A]]&gt;ResultsTeams[[#This Row],[Goal-B]],1,0),""))</f>
        <v/>
      </c>
      <c r="P81" s="265" t="str">
        <f>IF(ResultsTeams[[#This Row],[Type]]="G",SUM(P82:P85),IF(LEFT(ResultsTeams[[#This Row],[Type]],1)="P",IF(ResultsTeams[[#This Row],[Goal-A]]&lt;ResultsTeams[[#This Row],[Goal-B]],1,0),""))</f>
        <v/>
      </c>
      <c r="Q81" s="265" t="str">
        <f>IF(ResultsTeams[[#This Row],[Type]]="G",SUM(Q82:Q85),IF(LEFT(ResultsTeams[[#This Row],[Type]],1)="P",VALUE(ResultsTeams[[#This Row],[Score-A]]),""))</f>
        <v/>
      </c>
      <c r="R81" s="265" t="str">
        <f>IF(ResultsTeams[[#This Row],[Type]]="G",SUM(R82:R85),IF(LEFT(ResultsTeams[[#This Row],[Type]],1)="P",VALUE(ResultsTeams[[#This Row],[Score-B]]),""))</f>
        <v/>
      </c>
      <c r="S81" s="265" t="str">
        <f ca="1">IF(AND(ResultsTeams[[#This Row],[Category]]&lt;&gt;"",ResultsTeams[[#This Row],[Team A]]&lt;&gt;""),COUNTIF(INDIRECT("TeamsList[Club Name]"),ResultsTeams[[#This Row],[Team A]]),"")</f>
        <v/>
      </c>
      <c r="T81" s="265" t="str">
        <f ca="1">IF(AND(ResultsTeams[[#This Row],[Category]]&lt;&gt;"",ResultsTeams[[#This Row],[Team B]]&lt;&gt;""),COUNTIF(INDIRECT("TeamsList[Club Name]"),ResultsTeams[[#This Row],[Team B]]),"")</f>
        <v/>
      </c>
      <c r="U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 s="265" t="str">
        <f>IF(ResultsTeams[[#This Row],[Score_OK]],IF(ResultsTeams[[#This Row],[StageCpy]]="Groups",ResultsTeams[[#This Row],[Category]]&amp;"-"&amp;IF(ResultsTeams[[#This Row],[Team B]]="","",IF(ResultsTeams[[#This Row],[Match-A]]=ResultsTeams[[#This Row],[Match-B]],ResultsTeams[[#This Row],[Team A]],"")),""),"")</f>
        <v/>
      </c>
      <c r="W81" s="265" t="str">
        <f>IF(ResultsTeams[[#This Row],[Score_OK]],IF(ResultsTeams[[#This Row],[StageCpy]]="Groups",ResultsTeams[[#This Row],[Category]]&amp;"-"&amp;IF(ResultsTeams[[#This Row],[Team B]]="","",IF(ResultsTeams[[#This Row],[Match-A]]=ResultsTeams[[#This Row],[Match-B]],ResultsTeams[[#This Row],[Team B]],"")),""),"")</f>
        <v/>
      </c>
      <c r="X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 s="264" t="str">
        <f>IF(ResultsTeams[[#This Row],[Category]]="","",VLOOKUP(ResultsTeams[[#This Row],[Stage]],$R$1:$T$8,MATCH(ResultsTeams[[#This Row],[Category]],$S$1:$T$1,0)+1,FALSE))</f>
        <v/>
      </c>
      <c r="AC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 s="264" t="str">
        <f>IF(ResultsTeams[[#This Row],[Type]]="G",ResultsTeams[[#This Row],[Stage]],AD80)</f>
        <v>Groups</v>
      </c>
      <c r="AE81" s="395" t="str">
        <f>IF(ResultsTeams[[#This Row],[Type]]="G",INDEX(TeamsList[Club Name],MATCH(ResultsTeams[[#This Row],[Team A]],TeamsList[Team Name],0)),AE80)</f>
        <v>SC Lion's Eugies</v>
      </c>
      <c r="AF81" s="395" t="str">
        <f>IF(ResultsTeams[[#This Row],[Type]]="G",INDEX(TeamsList[Club Name],MATCH(ResultsTeams[[#This Row],[Team B]],TeamsList[Team Name],0)),AF80)</f>
        <v>Avenir Subbuteo Hennuyer</v>
      </c>
      <c r="AG81" s="265"/>
      <c r="AI81" s="12">
        <f>AI80</f>
        <v>0</v>
      </c>
      <c r="AJ81" s="309"/>
      <c r="AK81" s="320"/>
      <c r="AL81" s="311"/>
      <c r="AM81" s="292" t="str">
        <f>IF(AV81="","",SMALL(AN81:AN87,ROWS(AM81:AM81)))</f>
        <v/>
      </c>
      <c r="AN81" s="293" t="str">
        <f>IF(AV81="","",RANK(AR81,AR81:AR87)*1000+ROWS(AN81:AN81))</f>
        <v/>
      </c>
      <c r="AO81" s="316" t="str">
        <f t="shared" ref="AO81:AO87" si="58">IF(AV81="","",AT81*CritClassEq1_Points+AY81*CritClassEq1_DiffRencontres+BB81*CritClassEq1_DiffMatches+BE81*CritClassEq1_DiffButs+AZ81*CritClassEq1_Matches+BC81*CritClassEq1_Attaque)</f>
        <v/>
      </c>
      <c r="AP81" s="415" t="b">
        <f>AND(AU81&lt;&gt;"",AU81&gt;0,COUNTIF(AO81:AO87,AO81)&gt;1)</f>
        <v>0</v>
      </c>
      <c r="AQ81" s="316" t="str">
        <f t="shared" ref="AQ81:AQ87" si="59">IF(AV81="","",CritClassEq_DiffPart*AK81)</f>
        <v/>
      </c>
      <c r="AR81" s="317" t="str">
        <f t="shared" ref="AR81:AR87" si="60">IF(AV81="","",AO81+AQ81+AT81*CritClassEq2_Points+AY81*CritClassEq2_DiffRencontres+BB81*CritClassEq2_DiffMatches+BE81*CritClassEq2_DiffButs+AZ81*CritClassEq2_Matches+BC81*CritClassEq2_Attaque+AL81)</f>
        <v/>
      </c>
      <c r="AS81" s="415" t="b">
        <f>AND(AU81&lt;&gt;"",AU81&gt;0,COUNTIF(AR81:AR87,AR81)&gt;1)</f>
        <v>0</v>
      </c>
      <c r="AT81" s="355" t="str">
        <f t="shared" ref="AT81:AT87" si="61">IF(AV81="","",(AV81*Points_Victoire)+AW81*Points_Null)</f>
        <v/>
      </c>
      <c r="AU81" s="356" t="str">
        <f t="shared" ref="AU81:AU87" si="62">IF(AV81="","",SUM(AV81:AX81))</f>
        <v/>
      </c>
      <c r="AV81" s="356" t="str">
        <f>IF(OR(AI80="",AJ81=""),"",COUNTIF(ResultsTeams[Win],AI80&amp;"-"&amp;AJ81))</f>
        <v/>
      </c>
      <c r="AW81" s="356" t="str">
        <f>IF(OR(AI80="",AJ81=""),"",COUNTIF(ResultsTeams[[Draw1]:[Draw2]],AI80&amp;"-"&amp;AJ81))</f>
        <v/>
      </c>
      <c r="AX81" s="356" t="str">
        <f>IF(OR(AI80="",AJ81=""),"",COUNTIF(ResultsTeams[Lose],AI80&amp;"-"&amp;AJ81))</f>
        <v/>
      </c>
      <c r="AY81" s="356" t="str">
        <f>IF(OR(AI80="",AJ81=""),"",AV81-AX81)</f>
        <v/>
      </c>
      <c r="AZ81" s="356" t="str">
        <f>IF(OR(AI80="",AJ81=""),"",SUMIFS(ResultsTeams[Match-A],ResultsTeams[Stage],"Groups",ResultsTeams[Team A],AJ81)+SUMIFS(ResultsTeams[Match-B],ResultsTeams[Stage],"Groups",ResultsTeams[Team B],AJ81))</f>
        <v/>
      </c>
      <c r="BA81" s="356" t="str">
        <f>IF(OR(AI80="",AJ81=""),"",SUMIFS(ResultsTeams[Match-B],ResultsTeams[Stage],"Groups",ResultsTeams[Team A],AJ81)+SUMIFS(ResultsTeams[Match-A],ResultsTeams[Stage],"Groups",ResultsTeams[Team B],AJ81))</f>
        <v/>
      </c>
      <c r="BB81" s="356" t="str">
        <f>IF(OR(AI80="",AJ81=""),"",AZ81-BA81)</f>
        <v/>
      </c>
      <c r="BC81" s="356" t="str">
        <f>IF(OR(AI80="",AJ81=""),"",SUMIFS(ResultsTeams[Goal-A],ResultsTeams[Stage],"Groups",ResultsTeams[Team A],AJ81)+SUMIFS(ResultsTeams[Goal-B],ResultsTeams[Stage],"Groups",ResultsTeams[Team B],AJ81))</f>
        <v/>
      </c>
      <c r="BD81" s="356" t="str">
        <f>IF(OR(AI80="",AJ81=""),"",SUMIFS(ResultsTeams[Goal-B],ResultsTeams[Stage],"Groups",ResultsTeams[Team A],AJ81)+SUMIFS(ResultsTeams[Goal-A],ResultsTeams[Stage],"Groups",ResultsTeams[Team B],AJ81))</f>
        <v/>
      </c>
      <c r="BE81" s="357" t="str">
        <f>IF(OR(AI80="",AJ81=""),"",BC81-BD81)</f>
        <v/>
      </c>
      <c r="BF81" s="470" t="str">
        <f>IF(AM81="","",OR(VLOOKUP(AM81,AN81:BE87,3,FALSE),VLOOKUP(AM81,AN81:BE87,6,FALSE)))</f>
        <v/>
      </c>
      <c r="BG81" s="298" t="str">
        <f t="shared" ref="BG81:BG87" si="63">IF(AM81="","",INT(AM81/1000))</f>
        <v/>
      </c>
      <c r="BH81" s="285" t="str">
        <f>IF(AM81="","",INDEX(AJ81:AJ87,MATCH(AM81,AN81:AN87,0)))</f>
        <v/>
      </c>
      <c r="BI81" s="286" t="str">
        <f>IF(AM81="","",VLOOKUP(AM81,AN81:BE87,COLUMN()-COLUMN(BB80),FALSE))</f>
        <v/>
      </c>
      <c r="BJ81" s="286" t="str">
        <f>IF(AM81="","",VLOOKUP(AM81,AN81:BE87,COLUMN()-COLUMN(BB80),FALSE))</f>
        <v/>
      </c>
      <c r="BK81" s="286" t="str">
        <f>IF(AM81="","",VLOOKUP(AM81,AN81:BE87,COLUMN()-COLUMN(BB80),FALSE))</f>
        <v/>
      </c>
      <c r="BL81" s="286" t="str">
        <f>IF(AM81="","",VLOOKUP(AM81,AN81:BE87,COLUMN()-COLUMN(BB80),FALSE))</f>
        <v/>
      </c>
      <c r="BM81" s="286" t="str">
        <f>IF(AM81="","",VLOOKUP(AM81,AN81:BE87,COLUMN()-COLUMN(BB80),FALSE))</f>
        <v/>
      </c>
      <c r="BN81" s="349" t="str">
        <f>IF(AM81="","",VLOOKUP(AM81,AN81:BE87,COLUMN()-COLUMN(BB80),FALSE))</f>
        <v/>
      </c>
      <c r="BO81" s="298" t="str">
        <f>IF(AM81="","",VLOOKUP(AM81,AN81:BE87,COLUMN()-COLUMN(BB80),FALSE))</f>
        <v/>
      </c>
      <c r="BP81" s="286" t="str">
        <f>IF(AM81="","",VLOOKUP(AM81,AN81:BE87,COLUMN()-COLUMN(BB80),FALSE))</f>
        <v/>
      </c>
      <c r="BQ81" s="301" t="str">
        <f>IF(AM81="","",VLOOKUP(AM81,AN81:BE87,COLUMN()-COLUMN(BB80),FALSE))</f>
        <v/>
      </c>
      <c r="BR81" s="352" t="str">
        <f>IF(AM81="","",VLOOKUP(AM81,AN81:BE87,COLUMN()-COLUMN(BB80),FALSE))</f>
        <v/>
      </c>
      <c r="BS81" s="286" t="str">
        <f>IF(AM81="","",VLOOKUP(AM81,AN81:BE87,COLUMN()-COLUMN(BB80),FALSE))</f>
        <v/>
      </c>
      <c r="BT81" s="301" t="str">
        <f>IF(AM81="","",VLOOKUP(AM81,AN81:BE87,COLUMN()-COLUMN(BB80),FALSE))</f>
        <v/>
      </c>
    </row>
    <row r="82" spans="1:72" ht="12" thickBot="1" x14ac:dyDescent="0.25">
      <c r="A82" s="261" t="s">
        <v>12693</v>
      </c>
      <c r="B82" s="270" t="s">
        <v>12207</v>
      </c>
      <c r="C82" s="270">
        <v>2</v>
      </c>
      <c r="D82" s="270"/>
      <c r="E82" s="272" t="s">
        <v>12228</v>
      </c>
      <c r="F82" s="273" t="s">
        <v>12558</v>
      </c>
      <c r="G82" s="273" t="s">
        <v>14588</v>
      </c>
      <c r="H82" s="275">
        <v>4</v>
      </c>
      <c r="I82" s="275">
        <v>0</v>
      </c>
      <c r="J82" s="275"/>
      <c r="K82" s="366"/>
      <c r="L82" s="366"/>
      <c r="M82" s="274"/>
      <c r="N82" s="265" t="b">
        <f>NOT(ISERROR(ResultsTeams[[#This Row],[Goal-A]]+ResultsTeams[[#This Row],[Goal-B]]))</f>
        <v>1</v>
      </c>
      <c r="O82" s="265">
        <f>IF(ResultsTeams[[#This Row],[Type]]="G",SUM(O83:O86),IF(LEFT(ResultsTeams[[#This Row],[Type]],1)="P",IF(ResultsTeams[[#This Row],[Goal-A]]&gt;ResultsTeams[[#This Row],[Goal-B]],1,0),""))</f>
        <v>4</v>
      </c>
      <c r="P82" s="265">
        <f>IF(ResultsTeams[[#This Row],[Type]]="G",SUM(P83:P86),IF(LEFT(ResultsTeams[[#This Row],[Type]],1)="P",IF(ResultsTeams[[#This Row],[Goal-A]]&lt;ResultsTeams[[#This Row],[Goal-B]],1,0),""))</f>
        <v>0</v>
      </c>
      <c r="Q82" s="265">
        <f>IF(ResultsTeams[[#This Row],[Type]]="G",SUM(Q83:Q86),IF(LEFT(ResultsTeams[[#This Row],[Type]],1)="P",VALUE(ResultsTeams[[#This Row],[Score-A]]),""))</f>
        <v>25</v>
      </c>
      <c r="R82" s="265">
        <f>IF(ResultsTeams[[#This Row],[Type]]="G",SUM(R83:R86),IF(LEFT(ResultsTeams[[#This Row],[Type]],1)="P",VALUE(ResultsTeams[[#This Row],[Score-B]]),""))</f>
        <v>1</v>
      </c>
      <c r="S82" s="265">
        <f ca="1">IF(AND(ResultsTeams[[#This Row],[Category]]&lt;&gt;"",ResultsTeams[[#This Row],[Team A]]&lt;&gt;""),COUNTIF(INDIRECT("TeamsList[Club Name]"),ResultsTeams[[#This Row],[Team A]]),"")</f>
        <v>1</v>
      </c>
      <c r="T82" s="265">
        <f ca="1">IF(AND(ResultsTeams[[#This Row],[Category]]&lt;&gt;"",ResultsTeams[[#This Row],[Team B]]&lt;&gt;""),COUNTIF(INDIRECT("TeamsList[Club Name]"),ResultsTeams[[#This Row],[Team B]]),"")</f>
        <v>0</v>
      </c>
      <c r="U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TEAM-F.lli Bari Reggio Emilia</v>
      </c>
      <c r="V82" s="265" t="str">
        <f>IF(ResultsTeams[[#This Row],[Score_OK]],IF(ResultsTeams[[#This Row],[StageCpy]]="Groups",ResultsTeams[[#This Row],[Category]]&amp;"-"&amp;IF(ResultsTeams[[#This Row],[Team B]]="","",IF(ResultsTeams[[#This Row],[Match-A]]=ResultsTeams[[#This Row],[Match-B]],ResultsTeams[[#This Row],[Team A]],"")),""),"")</f>
        <v>TEAM-</v>
      </c>
      <c r="W82" s="265" t="str">
        <f>IF(ResultsTeams[[#This Row],[Score_OK]],IF(ResultsTeams[[#This Row],[StageCpy]]="Groups",ResultsTeams[[#This Row],[Category]]&amp;"-"&amp;IF(ResultsTeams[[#This Row],[Team B]]="","",IF(ResultsTeams[[#This Row],[Match-A]]=ResultsTeams[[#This Row],[Match-B]],ResultsTeams[[#This Row],[Team B]],"")),""),"")</f>
        <v>TEAM-</v>
      </c>
      <c r="X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3</v>
      </c>
      <c r="Y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3</v>
      </c>
      <c r="AA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3</v>
      </c>
      <c r="AB82" s="264" t="str">
        <f>IF(ResultsTeams[[#This Row],[Category]]="","",VLOOKUP(ResultsTeams[[#This Row],[Stage]],$R$1:$T$8,MATCH(ResultsTeams[[#This Row],[Category]],$S$1:$T$1,0)+1,FALSE))</f>
        <v>PR1</v>
      </c>
      <c r="AC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 s="264" t="str">
        <f>IF(ResultsTeams[[#This Row],[Type]]="G",ResultsTeams[[#This Row],[Stage]],AD81)</f>
        <v>Groups</v>
      </c>
      <c r="AE82" s="395" t="str">
        <f>IF(ResultsTeams[[#This Row],[Type]]="G",INDEX(TeamsList[Club Name],MATCH(ResultsTeams[[#This Row],[Team A]],TeamsList[Team Name],0)),AE81)</f>
        <v>F.lli Bari Reggio Emilia</v>
      </c>
      <c r="AF82" s="395" t="str">
        <f>IF(ResultsTeams[[#This Row],[Type]]="G",INDEX(TeamsList[Club Name],MATCH(ResultsTeams[[#This Row],[Team B]],TeamsList[Team Name],0)),AF81)</f>
        <v>SC Lion's Eugies</v>
      </c>
      <c r="AG82" s="265"/>
      <c r="AI82" s="12">
        <f>AI81</f>
        <v>0</v>
      </c>
      <c r="AJ82" s="309"/>
      <c r="AK82" s="320"/>
      <c r="AL82" s="311"/>
      <c r="AM82" s="292" t="str">
        <f>IF(AV82="","",SMALL(AN81:AN87,ROWS(AM81:AM82)))</f>
        <v/>
      </c>
      <c r="AN82" s="293" t="str">
        <f>IF(AV82="","",RANK(AR82,AR81:AR87)*1000+ROWS(AN81:AN82))</f>
        <v/>
      </c>
      <c r="AO82" s="316" t="str">
        <f t="shared" si="58"/>
        <v/>
      </c>
      <c r="AP82" s="415" t="b">
        <f>AND(AU82&lt;&gt;"",AU82&gt;0,COUNTIF(AO81:AO87,AO82)&gt;1)</f>
        <v>0</v>
      </c>
      <c r="AQ82" s="316" t="str">
        <f t="shared" si="59"/>
        <v/>
      </c>
      <c r="AR82" s="317" t="str">
        <f t="shared" si="60"/>
        <v/>
      </c>
      <c r="AS82" s="415" t="b">
        <f>AND(AU82&lt;&gt;"",AU82&gt;0,COUNTIF(AR81:AR87,AR82)&gt;1)</f>
        <v>0</v>
      </c>
      <c r="AT82" s="355" t="str">
        <f t="shared" si="61"/>
        <v/>
      </c>
      <c r="AU82" s="356" t="str">
        <f t="shared" si="62"/>
        <v/>
      </c>
      <c r="AV82" s="356" t="str">
        <f>IF(OR(AI80="",AJ82=""),"",COUNTIF(ResultsTeams[Win],AI80&amp;"-"&amp;AJ82))</f>
        <v/>
      </c>
      <c r="AW82" s="356" t="str">
        <f>IF(OR(AI80="",AJ82=""),"",COUNTIF(ResultsTeams[[Draw1]:[Draw2]],AI80&amp;"-"&amp;AJ82))</f>
        <v/>
      </c>
      <c r="AX82" s="356" t="str">
        <f>IF(OR(AI80="",AJ82=""),"",COUNTIF(ResultsTeams[Lose],AI80&amp;"-"&amp;AJ82))</f>
        <v/>
      </c>
      <c r="AY82" s="356" t="str">
        <f>IF(OR(AI80="",AJ82=""),"",AV82-AX82)</f>
        <v/>
      </c>
      <c r="AZ82" s="356" t="str">
        <f>IF(OR(AI81="",AJ82=""),"",SUMIFS(ResultsTeams[Match-A],ResultsTeams[Stage],"Groups",ResultsTeams[Team A],AJ82)+SUMIFS(ResultsTeams[Match-B],ResultsTeams[Stage],"Groups",ResultsTeams[Team B],AJ82))</f>
        <v/>
      </c>
      <c r="BA82" s="356" t="str">
        <f>IF(OR(AI81="",AJ82=""),"",SUMIFS(ResultsTeams[Match-B],ResultsTeams[Stage],"Groups",ResultsTeams[Team A],AJ82)+SUMIFS(ResultsTeams[Match-A],ResultsTeams[Stage],"Groups",ResultsTeams[Team B],AJ82))</f>
        <v/>
      </c>
      <c r="BB82" s="356" t="str">
        <f t="shared" ref="BB82:BB87" si="64">IF(OR(AI81="",AJ82=""),"",AZ82-BA82)</f>
        <v/>
      </c>
      <c r="BC82" s="356" t="str">
        <f>IF(OR(AI81="",AJ82=""),"",SUMIFS(ResultsTeams[Goal-A],ResultsTeams[Stage],"Groups",ResultsTeams[Team A],AJ82)+SUMIFS(ResultsTeams[Goal-B],ResultsTeams[Stage],"Groups",ResultsTeams[Team B],AJ82))</f>
        <v/>
      </c>
      <c r="BD82" s="356" t="str">
        <f>IF(OR(AI81="",AJ82=""),"",SUMIFS(ResultsTeams[Goal-B],ResultsTeams[Stage],"Groups",ResultsTeams[Team A],AJ82)+SUMIFS(ResultsTeams[Goal-A],ResultsTeams[Stage],"Groups",ResultsTeams[Team B],AJ82))</f>
        <v/>
      </c>
      <c r="BE82" s="357" t="str">
        <f>IF(OR(AI80="",AJ82=""),"",BC82-BD82)</f>
        <v/>
      </c>
      <c r="BF82" s="470" t="str">
        <f>IF(AM82="","",OR(VLOOKUP(AM82,AN81:BE87,3,FALSE),VLOOKUP(AM82,AN81:BE87,6,FALSE)))</f>
        <v/>
      </c>
      <c r="BG82" s="298" t="str">
        <f t="shared" si="63"/>
        <v/>
      </c>
      <c r="BH82" s="285" t="str">
        <f>IF(AM82="","",INDEX(AJ81:AJ87,MATCH(AM82,AN81:AN87,0)))</f>
        <v/>
      </c>
      <c r="BI82" s="286" t="str">
        <f>IF(AM82="","",VLOOKUP(AM82,AN81:BE87,COLUMN()-COLUMN(BB80),FALSE))</f>
        <v/>
      </c>
      <c r="BJ82" s="286" t="str">
        <f>IF(AM82="","",VLOOKUP(AM82,AN81:BE87,COLUMN()-COLUMN(BB80),FALSE))</f>
        <v/>
      </c>
      <c r="BK82" s="286" t="str">
        <f>IF(AM82="","",VLOOKUP(AM82,AN81:BE87,COLUMN()-COLUMN(BB80),FALSE))</f>
        <v/>
      </c>
      <c r="BL82" s="286" t="str">
        <f>IF(AM82="","",VLOOKUP(AM82,AN81:BE87,COLUMN()-COLUMN(BB80),FALSE))</f>
        <v/>
      </c>
      <c r="BM82" s="286" t="str">
        <f>IF(AM82="","",VLOOKUP(AM82,AN81:BE87,COLUMN()-COLUMN(BB80),FALSE))</f>
        <v/>
      </c>
      <c r="BN82" s="349" t="str">
        <f>IF(AM82="","",VLOOKUP(AM82,AN81:BE87,COLUMN()-COLUMN(BB80),FALSE))</f>
        <v/>
      </c>
      <c r="BO82" s="298" t="str">
        <f>IF(AM82="","",VLOOKUP(AM82,AN81:BE87,COLUMN()-COLUMN(BB80),FALSE))</f>
        <v/>
      </c>
      <c r="BP82" s="286" t="str">
        <f>IF(AM82="","",VLOOKUP(AM82,AN81:BE87,COLUMN()-COLUMN(BB80),FALSE))</f>
        <v/>
      </c>
      <c r="BQ82" s="301" t="str">
        <f>IF(AM82="","",VLOOKUP(AM82,AN81:BE87,COLUMN()-COLUMN(BB80),FALSE))</f>
        <v/>
      </c>
      <c r="BR82" s="352" t="str">
        <f>IF(AM82="","",VLOOKUP(AM82,AN81:BE87,COLUMN()-COLUMN(BB80),FALSE))</f>
        <v/>
      </c>
      <c r="BS82" s="286" t="str">
        <f>IF(AM82="","",VLOOKUP(AM82,AN81:BE87,COLUMN()-COLUMN(BB80),FALSE))</f>
        <v/>
      </c>
      <c r="BT82" s="301" t="str">
        <f>IF(AM82="","",VLOOKUP(AM82,AN81:BE87,COLUMN()-COLUMN(BB80),FALSE))</f>
        <v/>
      </c>
    </row>
    <row r="83" spans="1:72" x14ac:dyDescent="0.2">
      <c r="A83" s="60"/>
      <c r="B83" s="280"/>
      <c r="C83" s="60"/>
      <c r="D83" s="60"/>
      <c r="E83" s="240" t="s">
        <v>12231</v>
      </c>
      <c r="F83" s="244" t="s">
        <v>10080</v>
      </c>
      <c r="G83" s="246" t="s">
        <v>14608</v>
      </c>
      <c r="H83" s="253">
        <v>2</v>
      </c>
      <c r="I83" s="253">
        <v>0</v>
      </c>
      <c r="J83" s="253"/>
      <c r="K83" s="362"/>
      <c r="L83" s="362"/>
      <c r="M83" s="245"/>
      <c r="N83" s="265" t="b">
        <f>NOT(ISERROR(ResultsTeams[[#This Row],[Goal-A]]+ResultsTeams[[#This Row],[Goal-B]]))</f>
        <v>1</v>
      </c>
      <c r="O83" s="265">
        <f>IF(ResultsTeams[[#This Row],[Type]]="G",SUM(O84:O87),IF(LEFT(ResultsTeams[[#This Row],[Type]],1)="P",IF(ResultsTeams[[#This Row],[Goal-A]]&gt;ResultsTeams[[#This Row],[Goal-B]],1,0),""))</f>
        <v>1</v>
      </c>
      <c r="P83" s="265">
        <f>IF(ResultsTeams[[#This Row],[Type]]="G",SUM(P84:P87),IF(LEFT(ResultsTeams[[#This Row],[Type]],1)="P",IF(ResultsTeams[[#This Row],[Goal-A]]&lt;ResultsTeams[[#This Row],[Goal-B]],1,0),""))</f>
        <v>0</v>
      </c>
      <c r="Q83" s="265">
        <f>IF(ResultsTeams[[#This Row],[Type]]="G",SUM(Q84:Q87),IF(LEFT(ResultsTeams[[#This Row],[Type]],1)="P",VALUE(ResultsTeams[[#This Row],[Score-A]]),""))</f>
        <v>2</v>
      </c>
      <c r="R83" s="265">
        <f>IF(ResultsTeams[[#This Row],[Type]]="G",SUM(R84:R87),IF(LEFT(ResultsTeams[[#This Row],[Type]],1)="P",VALUE(ResultsTeams[[#This Row],[Score-B]]),""))</f>
        <v>0</v>
      </c>
      <c r="S83" s="265" t="str">
        <f ca="1">IF(AND(ResultsTeams[[#This Row],[Category]]&lt;&gt;"",ResultsTeams[[#This Row],[Team A]]&lt;&gt;""),COUNTIF(INDIRECT("TeamsList[Club Name]"),ResultsTeams[[#This Row],[Team A]]),"")</f>
        <v/>
      </c>
      <c r="T83" s="265" t="str">
        <f ca="1">IF(AND(ResultsTeams[[#This Row],[Category]]&lt;&gt;"",ResultsTeams[[#This Row],[Team B]]&lt;&gt;""),COUNTIF(INDIRECT("TeamsList[Club Name]"),ResultsTeams[[#This Row],[Team B]]),"")</f>
        <v/>
      </c>
      <c r="U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Dotto</v>
      </c>
      <c r="V83" s="265" t="str">
        <f>IF(ResultsTeams[[#This Row],[Score_OK]],IF(ResultsTeams[[#This Row],[StageCpy]]="Groups",ResultsTeams[[#This Row],[Category]]&amp;"-"&amp;IF(ResultsTeams[[#This Row],[Team B]]="","",IF(ResultsTeams[[#This Row],[Match-A]]=ResultsTeams[[#This Row],[Match-B]],ResultsTeams[[#This Row],[Team A]],"")),""),"")</f>
        <v>-</v>
      </c>
      <c r="W83" s="265" t="str">
        <f>IF(ResultsTeams[[#This Row],[Score_OK]],IF(ResultsTeams[[#This Row],[StageCpy]]="Groups",ResultsTeams[[#This Row],[Category]]&amp;"-"&amp;IF(ResultsTeams[[#This Row],[Team B]]="","",IF(ResultsTeams[[#This Row],[Match-A]]=ResultsTeams[[#This Row],[Match-B]],ResultsTeams[[#This Row],[Team B]],"")),""),"")</f>
        <v>-</v>
      </c>
      <c r="X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-Christophe Rairoux</v>
      </c>
      <c r="Y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 s="264" t="str">
        <f>IF(ResultsTeams[[#This Row],[Category]]="","",VLOOKUP(ResultsTeams[[#This Row],[Stage]],$R$1:$T$8,MATCH(ResultsTeams[[#This Row],[Category]],$S$1:$T$1,0)+1,FALSE))</f>
        <v/>
      </c>
      <c r="AC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 s="264" t="str">
        <f>IF(ResultsTeams[[#This Row],[Type]]="G",ResultsTeams[[#This Row],[Stage]],AD82)</f>
        <v>Groups</v>
      </c>
      <c r="AE83" s="395" t="str">
        <f>IF(ResultsTeams[[#This Row],[Type]]="G",INDEX(TeamsList[Club Name],MATCH(ResultsTeams[[#This Row],[Team A]],TeamsList[Team Name],0)),AE82)</f>
        <v>F.lli Bari Reggio Emilia</v>
      </c>
      <c r="AF83" s="395" t="str">
        <f>IF(ResultsTeams[[#This Row],[Type]]="G",INDEX(TeamsList[Club Name],MATCH(ResultsTeams[[#This Row],[Team B]],TeamsList[Team Name],0)),AF82)</f>
        <v>SC Lion's Eugies</v>
      </c>
      <c r="AG83" s="265"/>
      <c r="AI83" s="12">
        <f t="shared" ref="AI83:AI87" si="65">AI82</f>
        <v>0</v>
      </c>
      <c r="AJ83" s="309"/>
      <c r="AK83" s="320"/>
      <c r="AL83" s="311"/>
      <c r="AM83" s="292" t="str">
        <f>IF(AV83="","",SMALL(AN81:AN87,ROWS(AM81:AM83)))</f>
        <v/>
      </c>
      <c r="AN83" s="293" t="str">
        <f>IF(AV83="","",RANK(AR83,AR81:AR87)*1000+ROWS(AN81:AN83))</f>
        <v/>
      </c>
      <c r="AO83" s="316" t="str">
        <f t="shared" si="58"/>
        <v/>
      </c>
      <c r="AP83" s="415" t="b">
        <f>AND(AU83&lt;&gt;"",AU83&gt;0,COUNTIF(AO81:AO87,AO83)&gt;1)</f>
        <v>0</v>
      </c>
      <c r="AQ83" s="316" t="str">
        <f t="shared" si="59"/>
        <v/>
      </c>
      <c r="AR83" s="317" t="str">
        <f t="shared" si="60"/>
        <v/>
      </c>
      <c r="AS83" s="415" t="b">
        <f>AND(AU83&lt;&gt;"",AU83&gt;0,COUNTIF(AR81:AR87,AR83)&gt;1)</f>
        <v>0</v>
      </c>
      <c r="AT83" s="355" t="str">
        <f t="shared" si="61"/>
        <v/>
      </c>
      <c r="AU83" s="356" t="str">
        <f t="shared" si="62"/>
        <v/>
      </c>
      <c r="AV83" s="356" t="str">
        <f>IF(OR(AI80="",AJ83=""),"",COUNTIF(ResultsTeams[Win],AI80&amp;"-"&amp;AJ83))</f>
        <v/>
      </c>
      <c r="AW83" s="356" t="str">
        <f>IF(OR(AI80="",AJ83=""),"",COUNTIF(ResultsTeams[[Draw1]:[Draw2]],AI80&amp;"-"&amp;AJ83))</f>
        <v/>
      </c>
      <c r="AX83" s="356" t="str">
        <f>IF(OR(AI80="",AJ83=""),"",COUNTIF(ResultsTeams[Lose],AI80&amp;"-"&amp;AJ83))</f>
        <v/>
      </c>
      <c r="AY83" s="356" t="str">
        <f>IF(OR(AI80="",AJ83=""),"",AV83-AX83)</f>
        <v/>
      </c>
      <c r="AZ83" s="356" t="str">
        <f>IF(OR(AI82="",AJ83=""),"",SUMIFS(ResultsTeams[Match-A],ResultsTeams[Stage],"Groups",ResultsTeams[Team A],AJ83)+SUMIFS(ResultsTeams[Match-B],ResultsTeams[Stage],"Groups",ResultsTeams[Team B],AJ83))</f>
        <v/>
      </c>
      <c r="BA83" s="356" t="str">
        <f>IF(OR(AI82="",AJ83=""),"",SUMIFS(ResultsTeams[Match-B],ResultsTeams[Stage],"Groups",ResultsTeams[Team A],AJ83)+SUMIFS(ResultsTeams[Match-A],ResultsTeams[Stage],"Groups",ResultsTeams[Team B],AJ83))</f>
        <v/>
      </c>
      <c r="BB83" s="356" t="str">
        <f t="shared" si="64"/>
        <v/>
      </c>
      <c r="BC83" s="356" t="str">
        <f>IF(OR(AI82="",AJ83=""),"",SUMIFS(ResultsTeams[Goal-A],ResultsTeams[Stage],"Groups",ResultsTeams[Team A],AJ83)+SUMIFS(ResultsTeams[Goal-B],ResultsTeams[Stage],"Groups",ResultsTeams[Team B],AJ83))</f>
        <v/>
      </c>
      <c r="BD83" s="356" t="str">
        <f>IF(OR(AI82="",AJ83=""),"",SUMIFS(ResultsTeams[Goal-B],ResultsTeams[Stage],"Groups",ResultsTeams[Team A],AJ83)+SUMIFS(ResultsTeams[Goal-A],ResultsTeams[Stage],"Groups",ResultsTeams[Team B],AJ83))</f>
        <v/>
      </c>
      <c r="BE83" s="357" t="str">
        <f>IF(OR(AI80="",AJ83=""),"",BC83-BD83)</f>
        <v/>
      </c>
      <c r="BF83" s="470" t="str">
        <f>IF(AM83="","",OR(VLOOKUP(AM83,AN81:BE87,3,FALSE),VLOOKUP(AM83,AN81:BE87,6,FALSE)))</f>
        <v/>
      </c>
      <c r="BG83" s="298" t="str">
        <f t="shared" si="63"/>
        <v/>
      </c>
      <c r="BH83" s="285" t="str">
        <f>IF(AM83="","",INDEX(AJ81:AJ87,MATCH(AM83,AN81:AN87,0)))</f>
        <v/>
      </c>
      <c r="BI83" s="286" t="str">
        <f>IF(AM83="","",VLOOKUP(AM83,AN81:BE87,COLUMN()-COLUMN(BB80),FALSE))</f>
        <v/>
      </c>
      <c r="BJ83" s="286" t="str">
        <f>IF(AM83="","",VLOOKUP(AM83,AN81:BE87,COLUMN()-COLUMN(BB80),FALSE))</f>
        <v/>
      </c>
      <c r="BK83" s="286" t="str">
        <f>IF(AM83="","",VLOOKUP(AM83,AN81:BE87,COLUMN()-COLUMN(BB80),FALSE))</f>
        <v/>
      </c>
      <c r="BL83" s="286" t="str">
        <f>IF(AM83="","",VLOOKUP(AM83,AN81:BE87,COLUMN()-COLUMN(BB80),FALSE))</f>
        <v/>
      </c>
      <c r="BM83" s="286" t="str">
        <f>IF(AM83="","",VLOOKUP(AM83,AN81:BE87,COLUMN()-COLUMN(BB80),FALSE))</f>
        <v/>
      </c>
      <c r="BN83" s="349" t="str">
        <f>IF(AM83="","",VLOOKUP(AM83,AN81:BE87,COLUMN()-COLUMN(BB80),FALSE))</f>
        <v/>
      </c>
      <c r="BO83" s="298" t="str">
        <f>IF(AM83="","",VLOOKUP(AM83,AN81:BE87,COLUMN()-COLUMN(BB80),FALSE))</f>
        <v/>
      </c>
      <c r="BP83" s="286" t="str">
        <f>IF(AM83="","",VLOOKUP(AM83,AN81:BE87,COLUMN()-COLUMN(BB80),FALSE))</f>
        <v/>
      </c>
      <c r="BQ83" s="301" t="str">
        <f>IF(AM83="","",VLOOKUP(AM83,AN81:BE87,COLUMN()-COLUMN(BB80),FALSE))</f>
        <v/>
      </c>
      <c r="BR83" s="352" t="str">
        <f>IF(AM83="","",VLOOKUP(AM83,AN81:BE87,COLUMN()-COLUMN(BB80),FALSE))</f>
        <v/>
      </c>
      <c r="BS83" s="286" t="str">
        <f>IF(AM83="","",VLOOKUP(AM83,AN81:BE87,COLUMN()-COLUMN(BB80),FALSE))</f>
        <v/>
      </c>
      <c r="BT83" s="301" t="str">
        <f>IF(AM83="","",VLOOKUP(AM83,AN81:BE87,COLUMN()-COLUMN(BB80),FALSE))</f>
        <v/>
      </c>
    </row>
    <row r="84" spans="1:72" x14ac:dyDescent="0.2">
      <c r="A84" s="62"/>
      <c r="B84" s="280"/>
      <c r="C84" s="62"/>
      <c r="D84" s="62"/>
      <c r="E84" s="241" t="s">
        <v>12234</v>
      </c>
      <c r="F84" s="246" t="s">
        <v>13</v>
      </c>
      <c r="G84" s="246" t="s">
        <v>8170</v>
      </c>
      <c r="H84" s="254">
        <v>6</v>
      </c>
      <c r="I84" s="254">
        <v>0</v>
      </c>
      <c r="J84" s="254"/>
      <c r="K84" s="363"/>
      <c r="L84" s="363"/>
      <c r="M84" s="247"/>
      <c r="N84" s="265" t="b">
        <f>NOT(ISERROR(ResultsTeams[[#This Row],[Goal-A]]+ResultsTeams[[#This Row],[Goal-B]]))</f>
        <v>1</v>
      </c>
      <c r="O84" s="265">
        <f>IF(ResultsTeams[[#This Row],[Type]]="G",SUM(O85:O88),IF(LEFT(ResultsTeams[[#This Row],[Type]],1)="P",IF(ResultsTeams[[#This Row],[Goal-A]]&gt;ResultsTeams[[#This Row],[Goal-B]],1,0),""))</f>
        <v>1</v>
      </c>
      <c r="P84" s="265">
        <f>IF(ResultsTeams[[#This Row],[Type]]="G",SUM(P85:P88),IF(LEFT(ResultsTeams[[#This Row],[Type]],1)="P",IF(ResultsTeams[[#This Row],[Goal-A]]&lt;ResultsTeams[[#This Row],[Goal-B]],1,0),""))</f>
        <v>0</v>
      </c>
      <c r="Q84" s="265">
        <f>IF(ResultsTeams[[#This Row],[Type]]="G",SUM(Q85:Q88),IF(LEFT(ResultsTeams[[#This Row],[Type]],1)="P",VALUE(ResultsTeams[[#This Row],[Score-A]]),""))</f>
        <v>6</v>
      </c>
      <c r="R84" s="265">
        <f>IF(ResultsTeams[[#This Row],[Type]]="G",SUM(R85:R88),IF(LEFT(ResultsTeams[[#This Row],[Type]],1)="P",VALUE(ResultsTeams[[#This Row],[Score-B]]),""))</f>
        <v>0</v>
      </c>
      <c r="S84" s="265" t="str">
        <f ca="1">IF(AND(ResultsTeams[[#This Row],[Category]]&lt;&gt;"",ResultsTeams[[#This Row],[Team A]]&lt;&gt;""),COUNTIF(INDIRECT("TeamsList[Club Name]"),ResultsTeams[[#This Row],[Team A]]),"")</f>
        <v/>
      </c>
      <c r="T84" s="265" t="str">
        <f ca="1">IF(AND(ResultsTeams[[#This Row],[Category]]&lt;&gt;"",ResultsTeams[[#This Row],[Team B]]&lt;&gt;""),COUNTIF(INDIRECT("TeamsList[Club Name]"),ResultsTeams[[#This Row],[Team B]]),"")</f>
        <v/>
      </c>
      <c r="U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-Saverio Bari</v>
      </c>
      <c r="V84" s="265" t="str">
        <f>IF(ResultsTeams[[#This Row],[Score_OK]],IF(ResultsTeams[[#This Row],[StageCpy]]="Groups",ResultsTeams[[#This Row],[Category]]&amp;"-"&amp;IF(ResultsTeams[[#This Row],[Team B]]="","",IF(ResultsTeams[[#This Row],[Match-A]]=ResultsTeams[[#This Row],[Match-B]],ResultsTeams[[#This Row],[Team A]],"")),""),"")</f>
        <v>-</v>
      </c>
      <c r="W84" s="265" t="str">
        <f>IF(ResultsTeams[[#This Row],[Score_OK]],IF(ResultsTeams[[#This Row],[StageCpy]]="Groups",ResultsTeams[[#This Row],[Category]]&amp;"-"&amp;IF(ResultsTeams[[#This Row],[Team B]]="","",IF(ResultsTeams[[#This Row],[Match-A]]=ResultsTeams[[#This Row],[Match-B]],ResultsTeams[[#This Row],[Team B]],"")),""),"")</f>
        <v>-</v>
      </c>
      <c r="X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-Lucas Raison</v>
      </c>
      <c r="Y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 s="264" t="str">
        <f>IF(ResultsTeams[[#This Row],[Category]]="","",VLOOKUP(ResultsTeams[[#This Row],[Stage]],$R$1:$T$8,MATCH(ResultsTeams[[#This Row],[Category]],$S$1:$T$1,0)+1,FALSE))</f>
        <v/>
      </c>
      <c r="AC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 s="264" t="str">
        <f>IF(ResultsTeams[[#This Row],[Type]]="G",ResultsTeams[[#This Row],[Stage]],AD83)</f>
        <v>Groups</v>
      </c>
      <c r="AE84" s="395" t="str">
        <f>IF(ResultsTeams[[#This Row],[Type]]="G",INDEX(TeamsList[Club Name],MATCH(ResultsTeams[[#This Row],[Team A]],TeamsList[Team Name],0)),AE83)</f>
        <v>F.lli Bari Reggio Emilia</v>
      </c>
      <c r="AF84" s="395" t="str">
        <f>IF(ResultsTeams[[#This Row],[Type]]="G",INDEX(TeamsList[Club Name],MATCH(ResultsTeams[[#This Row],[Team B]],TeamsList[Team Name],0)),AF83)</f>
        <v>SC Lion's Eugies</v>
      </c>
      <c r="AG84" s="265"/>
      <c r="AH84" s="91"/>
      <c r="AI84" s="12">
        <f t="shared" si="65"/>
        <v>0</v>
      </c>
      <c r="AJ84" s="309"/>
      <c r="AK84" s="310"/>
      <c r="AL84" s="311"/>
      <c r="AM84" s="292" t="str">
        <f>IF(AV84="","",SMALL(AN81:AN87,ROWS(AM81:AM84)))</f>
        <v/>
      </c>
      <c r="AN84" s="293" t="str">
        <f>IF(AV84="","",RANK(AR84,AR81:AR87)*1000+ROWS(AN81:AN84))</f>
        <v/>
      </c>
      <c r="AO84" s="316" t="str">
        <f t="shared" si="58"/>
        <v/>
      </c>
      <c r="AP84" s="415" t="b">
        <f>AND(AU84&lt;&gt;"",AU84&gt;0,COUNTIF(AO81:AO87,AO84)&gt;1)</f>
        <v>0</v>
      </c>
      <c r="AQ84" s="316" t="str">
        <f t="shared" si="59"/>
        <v/>
      </c>
      <c r="AR84" s="317" t="str">
        <f t="shared" si="60"/>
        <v/>
      </c>
      <c r="AS84" s="415" t="b">
        <f>AND(AU84&lt;&gt;"",AU84&gt;0,COUNTIF(AR81:AR87,AR84)&gt;1)</f>
        <v>0</v>
      </c>
      <c r="AT84" s="355" t="str">
        <f t="shared" si="61"/>
        <v/>
      </c>
      <c r="AU84" s="356" t="str">
        <f t="shared" si="62"/>
        <v/>
      </c>
      <c r="AV84" s="356" t="str">
        <f>IF(OR(AI80="",AJ84=""),"",COUNTIF(ResultsTeams[Win],AI80&amp;"-"&amp;AJ84))</f>
        <v/>
      </c>
      <c r="AW84" s="356" t="str">
        <f>IF(OR(AI80="",AJ84=""),"",COUNTIF(ResultsTeams[[Draw1]:[Draw2]],AI80&amp;"-"&amp;AJ84))</f>
        <v/>
      </c>
      <c r="AX84" s="356" t="str">
        <f>IF(OR(AI80="",AJ84=""),"",COUNTIF(ResultsTeams[Lose],AI80&amp;"-"&amp;AJ84))</f>
        <v/>
      </c>
      <c r="AY84" s="356" t="str">
        <f>IF(OR(AI80="",AJ84=""),"",AV84-AX84)</f>
        <v/>
      </c>
      <c r="AZ84" s="356" t="str">
        <f>IF(OR(AI83="",AJ84=""),"",SUMIFS(ResultsTeams[Match-A],ResultsTeams[Stage],"Groups",ResultsTeams[Team A],AJ84)+SUMIFS(ResultsTeams[Match-B],ResultsTeams[Stage],"Groups",ResultsTeams[Team B],AJ84))</f>
        <v/>
      </c>
      <c r="BA84" s="356" t="str">
        <f>IF(OR(AI83="",AJ84=""),"",SUMIFS(ResultsTeams[Match-B],ResultsTeams[Stage],"Groups",ResultsTeams[Team A],AJ84)+SUMIFS(ResultsTeams[Match-A],ResultsTeams[Stage],"Groups",ResultsTeams[Team B],AJ84))</f>
        <v/>
      </c>
      <c r="BB84" s="356" t="str">
        <f t="shared" si="64"/>
        <v/>
      </c>
      <c r="BC84" s="356" t="str">
        <f>IF(OR(AI83="",AJ84=""),"",SUMIFS(ResultsTeams[Goal-A],ResultsTeams[Stage],"Groups",ResultsTeams[Team A],AJ84)+SUMIFS(ResultsTeams[Goal-B],ResultsTeams[Stage],"Groups",ResultsTeams[Team B],AJ84))</f>
        <v/>
      </c>
      <c r="BD84" s="356" t="str">
        <f>IF(OR(AI83="",AJ84=""),"",SUMIFS(ResultsTeams[Goal-B],ResultsTeams[Stage],"Groups",ResultsTeams[Team A],AJ84)+SUMIFS(ResultsTeams[Goal-A],ResultsTeams[Stage],"Groups",ResultsTeams[Team B],AJ84))</f>
        <v/>
      </c>
      <c r="BE84" s="357" t="str">
        <f>IF(OR(AI80="",AJ84=""),"",BC84-BD84)</f>
        <v/>
      </c>
      <c r="BF84" s="470" t="str">
        <f>IF(AM84="","",OR(VLOOKUP(AM84,AN81:BE87,3,FALSE),VLOOKUP(AM84,AN81:BE87,6,FALSE)))</f>
        <v/>
      </c>
      <c r="BG84" s="298" t="str">
        <f t="shared" si="63"/>
        <v/>
      </c>
      <c r="BH84" s="285" t="str">
        <f>IF(AM84="","",INDEX(AJ81:AJ87,MATCH(AM84,AN81:AN87,0)))</f>
        <v/>
      </c>
      <c r="BI84" s="286" t="str">
        <f>IF(AM84="","",VLOOKUP(AM84,AN81:BE87,COLUMN()-COLUMN(BB80),FALSE))</f>
        <v/>
      </c>
      <c r="BJ84" s="286" t="str">
        <f>IF(AM84="","",VLOOKUP(AM84,AN81:BE87,COLUMN()-COLUMN(BB80),FALSE))</f>
        <v/>
      </c>
      <c r="BK84" s="286" t="str">
        <f>IF(AM84="","",VLOOKUP(AM84,AN81:BE87,COLUMN()-COLUMN(BB80),FALSE))</f>
        <v/>
      </c>
      <c r="BL84" s="286" t="str">
        <f>IF(AM84="","",VLOOKUP(AM84,AN81:BE87,COLUMN()-COLUMN(BB80),FALSE))</f>
        <v/>
      </c>
      <c r="BM84" s="286" t="str">
        <f>IF(AM84="","",VLOOKUP(AM84,AN81:BE87,COLUMN()-COLUMN(BB80),FALSE))</f>
        <v/>
      </c>
      <c r="BN84" s="349" t="str">
        <f>IF(AM84="","",VLOOKUP(AM84,AN81:BE87,COLUMN()-COLUMN(BB80),FALSE))</f>
        <v/>
      </c>
      <c r="BO84" s="298" t="str">
        <f>IF(AM84="","",VLOOKUP(AM84,AN81:BE87,COLUMN()-COLUMN(BB80),FALSE))</f>
        <v/>
      </c>
      <c r="BP84" s="286" t="str">
        <f>IF(AM84="","",VLOOKUP(AM84,AN81:BE87,COLUMN()-COLUMN(BB80),FALSE))</f>
        <v/>
      </c>
      <c r="BQ84" s="301" t="str">
        <f>IF(AM84="","",VLOOKUP(AM84,AN81:BE87,COLUMN()-COLUMN(BB80),FALSE))</f>
        <v/>
      </c>
      <c r="BR84" s="352" t="str">
        <f>IF(AM84="","",VLOOKUP(AM84,AN81:BE87,COLUMN()-COLUMN(BB80),FALSE))</f>
        <v/>
      </c>
      <c r="BS84" s="286" t="str">
        <f>IF(AM84="","",VLOOKUP(AM84,AN81:BE87,COLUMN()-COLUMN(BB80),FALSE))</f>
        <v/>
      </c>
      <c r="BT84" s="301" t="str">
        <f>IF(AM84="","",VLOOKUP(AM84,AN81:BE87,COLUMN()-COLUMN(BB80),FALSE))</f>
        <v/>
      </c>
    </row>
    <row r="85" spans="1:72" x14ac:dyDescent="0.2">
      <c r="A85" s="62"/>
      <c r="B85" s="280"/>
      <c r="C85" s="62"/>
      <c r="D85" s="62"/>
      <c r="E85" s="241" t="s">
        <v>12237</v>
      </c>
      <c r="F85" s="246" t="s">
        <v>9526</v>
      </c>
      <c r="G85" s="246" t="s">
        <v>8083</v>
      </c>
      <c r="H85" s="254">
        <v>11</v>
      </c>
      <c r="I85" s="254">
        <v>0</v>
      </c>
      <c r="J85" s="254"/>
      <c r="K85" s="363"/>
      <c r="L85" s="363"/>
      <c r="M85" s="247"/>
      <c r="N85" s="265" t="b">
        <f>NOT(ISERROR(ResultsTeams[[#This Row],[Goal-A]]+ResultsTeams[[#This Row],[Goal-B]]))</f>
        <v>1</v>
      </c>
      <c r="O85" s="265">
        <f>IF(ResultsTeams[[#This Row],[Type]]="G",SUM(O86:O89),IF(LEFT(ResultsTeams[[#This Row],[Type]],1)="P",IF(ResultsTeams[[#This Row],[Goal-A]]&gt;ResultsTeams[[#This Row],[Goal-B]],1,0),""))</f>
        <v>1</v>
      </c>
      <c r="P85" s="265">
        <f>IF(ResultsTeams[[#This Row],[Type]]="G",SUM(P86:P89),IF(LEFT(ResultsTeams[[#This Row],[Type]],1)="P",IF(ResultsTeams[[#This Row],[Goal-A]]&lt;ResultsTeams[[#This Row],[Goal-B]],1,0),""))</f>
        <v>0</v>
      </c>
      <c r="Q85" s="265">
        <f>IF(ResultsTeams[[#This Row],[Type]]="G",SUM(Q86:Q89),IF(LEFT(ResultsTeams[[#This Row],[Type]],1)="P",VALUE(ResultsTeams[[#This Row],[Score-A]]),""))</f>
        <v>11</v>
      </c>
      <c r="R85" s="265">
        <f>IF(ResultsTeams[[#This Row],[Type]]="G",SUM(R86:R89),IF(LEFT(ResultsTeams[[#This Row],[Type]],1)="P",VALUE(ResultsTeams[[#This Row],[Score-B]]),""))</f>
        <v>0</v>
      </c>
      <c r="S85" s="265" t="str">
        <f ca="1">IF(AND(ResultsTeams[[#This Row],[Category]]&lt;&gt;"",ResultsTeams[[#This Row],[Team A]]&lt;&gt;""),COUNTIF(INDIRECT("TeamsList[Club Name]"),ResultsTeams[[#This Row],[Team A]]),"")</f>
        <v/>
      </c>
      <c r="T85" s="265" t="str">
        <f ca="1">IF(AND(ResultsTeams[[#This Row],[Category]]&lt;&gt;"",ResultsTeams[[#This Row],[Team B]]&lt;&gt;""),COUNTIF(INDIRECT("TeamsList[Club Name]"),ResultsTeams[[#This Row],[Team B]]),"")</f>
        <v/>
      </c>
      <c r="U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 Zambello</v>
      </c>
      <c r="V85" s="265" t="str">
        <f>IF(ResultsTeams[[#This Row],[Score_OK]],IF(ResultsTeams[[#This Row],[StageCpy]]="Groups",ResultsTeams[[#This Row],[Category]]&amp;"-"&amp;IF(ResultsTeams[[#This Row],[Team B]]="","",IF(ResultsTeams[[#This Row],[Match-A]]=ResultsTeams[[#This Row],[Match-B]],ResultsTeams[[#This Row],[Team A]],"")),""),"")</f>
        <v>-</v>
      </c>
      <c r="W85" s="265" t="str">
        <f>IF(ResultsTeams[[#This Row],[Score_OK]],IF(ResultsTeams[[#This Row],[StageCpy]]="Groups",ResultsTeams[[#This Row],[Category]]&amp;"-"&amp;IF(ResultsTeams[[#This Row],[Team B]]="","",IF(ResultsTeams[[#This Row],[Match-A]]=ResultsTeams[[#This Row],[Match-B]],ResultsTeams[[#This Row],[Team B]],"")),""),"")</f>
        <v>-</v>
      </c>
      <c r="X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-Kenny De Schuyteneer</v>
      </c>
      <c r="Y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 s="264" t="str">
        <f>IF(ResultsTeams[[#This Row],[Category]]="","",VLOOKUP(ResultsTeams[[#This Row],[Stage]],$R$1:$T$8,MATCH(ResultsTeams[[#This Row],[Category]],$S$1:$T$1,0)+1,FALSE))</f>
        <v/>
      </c>
      <c r="AC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 s="264" t="str">
        <f>IF(ResultsTeams[[#This Row],[Type]]="G",ResultsTeams[[#This Row],[Stage]],AD84)</f>
        <v>Groups</v>
      </c>
      <c r="AE85" s="395" t="str">
        <f>IF(ResultsTeams[[#This Row],[Type]]="G",INDEX(TeamsList[Club Name],MATCH(ResultsTeams[[#This Row],[Team A]],TeamsList[Team Name],0)),AE84)</f>
        <v>F.lli Bari Reggio Emilia</v>
      </c>
      <c r="AF85" s="395" t="str">
        <f>IF(ResultsTeams[[#This Row],[Type]]="G",INDEX(TeamsList[Club Name],MATCH(ResultsTeams[[#This Row],[Team B]],TeamsList[Team Name],0)),AF84)</f>
        <v>SC Lion's Eugies</v>
      </c>
      <c r="AG85" s="265"/>
      <c r="AH85" s="91"/>
      <c r="AI85" s="12">
        <f t="shared" si="65"/>
        <v>0</v>
      </c>
      <c r="AJ85" s="309"/>
      <c r="AK85" s="310"/>
      <c r="AL85" s="311"/>
      <c r="AM85" s="292" t="str">
        <f>IF(AV85="","",SMALL(AN81:AN87,ROWS(AM81:AM85)))</f>
        <v/>
      </c>
      <c r="AN85" s="293" t="str">
        <f>IF(AV85="","",RANK(AR85,AR81:AR87)*1000+ROWS(AN81:AN85))</f>
        <v/>
      </c>
      <c r="AO85" s="316" t="str">
        <f t="shared" si="58"/>
        <v/>
      </c>
      <c r="AP85" s="415" t="b">
        <f>AND(AU85&lt;&gt;"",AU85&gt;0,COUNTIF(AO81:AO87,AO85)&gt;1)</f>
        <v>0</v>
      </c>
      <c r="AQ85" s="316" t="str">
        <f t="shared" si="59"/>
        <v/>
      </c>
      <c r="AR85" s="317" t="str">
        <f t="shared" si="60"/>
        <v/>
      </c>
      <c r="AS85" s="415" t="b">
        <f>AND(AU85&lt;&gt;"",AU85&gt;0,COUNTIF(AR81:AR87,AR85)&gt;1)</f>
        <v>0</v>
      </c>
      <c r="AT85" s="355" t="str">
        <f t="shared" si="61"/>
        <v/>
      </c>
      <c r="AU85" s="356" t="str">
        <f t="shared" si="62"/>
        <v/>
      </c>
      <c r="AV85" s="356" t="str">
        <f>IF(OR(AI80="",AJ85=""),"",COUNTIF(ResultsTeams[Win],AI80&amp;"-"&amp;AJ85))</f>
        <v/>
      </c>
      <c r="AW85" s="356" t="str">
        <f>IF(OR(AI80="",AJ85=""),"",COUNTIF(ResultsTeams[[Draw1]:[Draw2]],AI80&amp;"-"&amp;AJ85))</f>
        <v/>
      </c>
      <c r="AX85" s="356" t="str">
        <f>IF(OR(AI80="",AJ85=""),"",COUNTIF(ResultsTeams[Lose],AI80&amp;"-"&amp;AJ85))</f>
        <v/>
      </c>
      <c r="AY85" s="356" t="str">
        <f>IF(OR(AI80="",AJ85=""),"",AV85-AX85)</f>
        <v/>
      </c>
      <c r="AZ85" s="356" t="str">
        <f>IF(OR(AI84="",AJ85=""),"",SUMIFS(ResultsTeams[Match-A],ResultsTeams[Stage],"Groups",ResultsTeams[Team A],AJ85)+SUMIFS(ResultsTeams[Match-B],ResultsTeams[Stage],"Groups",ResultsTeams[Team B],AJ85))</f>
        <v/>
      </c>
      <c r="BA85" s="356" t="str">
        <f>IF(OR(AI84="",AJ85=""),"",SUMIFS(ResultsTeams[Match-B],ResultsTeams[Stage],"Groups",ResultsTeams[Team A],AJ85)+SUMIFS(ResultsTeams[Match-A],ResultsTeams[Stage],"Groups",ResultsTeams[Team B],AJ85))</f>
        <v/>
      </c>
      <c r="BB85" s="356" t="str">
        <f t="shared" si="64"/>
        <v/>
      </c>
      <c r="BC85" s="356" t="str">
        <f>IF(OR(AI84="",AJ85=""),"",SUMIFS(ResultsTeams[Goal-A],ResultsTeams[Stage],"Groups",ResultsTeams[Team A],AJ85)+SUMIFS(ResultsTeams[Goal-B],ResultsTeams[Stage],"Groups",ResultsTeams[Team B],AJ85))</f>
        <v/>
      </c>
      <c r="BD85" s="356" t="str">
        <f>IF(OR(AI84="",AJ85=""),"",SUMIFS(ResultsTeams[Goal-B],ResultsTeams[Stage],"Groups",ResultsTeams[Team A],AJ85)+SUMIFS(ResultsTeams[Goal-A],ResultsTeams[Stage],"Groups",ResultsTeams[Team B],AJ85))</f>
        <v/>
      </c>
      <c r="BE85" s="357" t="str">
        <f>IF(OR(AI80="",AJ85=""),"",BC85-BD85)</f>
        <v/>
      </c>
      <c r="BF85" s="470" t="str">
        <f>IF(AM85="","",OR(VLOOKUP(AM85,AN81:BE87,3,FALSE),VLOOKUP(AM85,AN81:BE87,6,FALSE)))</f>
        <v/>
      </c>
      <c r="BG85" s="298" t="str">
        <f t="shared" si="63"/>
        <v/>
      </c>
      <c r="BH85" s="285" t="str">
        <f>IF(AM85="","",INDEX(AJ81:AJ87,MATCH(AM85,AN81:AN87,0)))</f>
        <v/>
      </c>
      <c r="BI85" s="286" t="str">
        <f>IF(AM85="","",VLOOKUP(AM85,AN81:BE87,COLUMN()-COLUMN(BB80),FALSE))</f>
        <v/>
      </c>
      <c r="BJ85" s="286" t="str">
        <f>IF(AM85="","",VLOOKUP(AM85,AN81:BE87,COLUMN()-COLUMN(BB80),FALSE))</f>
        <v/>
      </c>
      <c r="BK85" s="286" t="str">
        <f>IF(AM85="","",VLOOKUP(AM85,AN81:BE87,COLUMN()-COLUMN(BB80),FALSE))</f>
        <v/>
      </c>
      <c r="BL85" s="286" t="str">
        <f>IF(AM85="","",VLOOKUP(AM85,AN81:BE87,COLUMN()-COLUMN(BB80),FALSE))</f>
        <v/>
      </c>
      <c r="BM85" s="286" t="str">
        <f>IF(AM85="","",VLOOKUP(AM85,AN81:BE87,COLUMN()-COLUMN(BB80),FALSE))</f>
        <v/>
      </c>
      <c r="BN85" s="349" t="str">
        <f>IF(AM85="","",VLOOKUP(AM85,AN81:BE87,COLUMN()-COLUMN(BB80),FALSE))</f>
        <v/>
      </c>
      <c r="BO85" s="298" t="str">
        <f>IF(AM85="","",VLOOKUP(AM85,AN81:BE87,COLUMN()-COLUMN(BB80),FALSE))</f>
        <v/>
      </c>
      <c r="BP85" s="286" t="str">
        <f>IF(AM85="","",VLOOKUP(AM85,AN81:BE87,COLUMN()-COLUMN(BB80),FALSE))</f>
        <v/>
      </c>
      <c r="BQ85" s="301" t="str">
        <f>IF(AM85="","",VLOOKUP(AM85,AN81:BE87,COLUMN()-COLUMN(BB80),FALSE))</f>
        <v/>
      </c>
      <c r="BR85" s="352" t="str">
        <f>IF(AM85="","",VLOOKUP(AM85,AN81:BE87,COLUMN()-COLUMN(BB80),FALSE))</f>
        <v/>
      </c>
      <c r="BS85" s="286" t="str">
        <f>IF(AM85="","",VLOOKUP(AM85,AN81:BE87,COLUMN()-COLUMN(BB80),FALSE))</f>
        <v/>
      </c>
      <c r="BT85" s="301" t="str">
        <f>IF(AM85="","",VLOOKUP(AM85,AN81:BE87,COLUMN()-COLUMN(BB80),FALSE))</f>
        <v/>
      </c>
    </row>
    <row r="86" spans="1:72" x14ac:dyDescent="0.2">
      <c r="A86" s="62"/>
      <c r="B86" s="280"/>
      <c r="C86" s="62"/>
      <c r="D86" s="62"/>
      <c r="E86" s="241" t="s">
        <v>12240</v>
      </c>
      <c r="F86" s="246" t="s">
        <v>9915</v>
      </c>
      <c r="G86" s="246" t="s">
        <v>8110</v>
      </c>
      <c r="H86" s="254">
        <v>6</v>
      </c>
      <c r="I86" s="254">
        <v>1</v>
      </c>
      <c r="J86" s="254"/>
      <c r="K86" s="363"/>
      <c r="L86" s="363"/>
      <c r="M86" s="247"/>
      <c r="N86" s="265" t="b">
        <f>NOT(ISERROR(ResultsTeams[[#This Row],[Goal-A]]+ResultsTeams[[#This Row],[Goal-B]]))</f>
        <v>1</v>
      </c>
      <c r="O86" s="265">
        <f>IF(ResultsTeams[[#This Row],[Type]]="G",SUM(O87:O90),IF(LEFT(ResultsTeams[[#This Row],[Type]],1)="P",IF(ResultsTeams[[#This Row],[Goal-A]]&gt;ResultsTeams[[#This Row],[Goal-B]],1,0),""))</f>
        <v>1</v>
      </c>
      <c r="P86" s="265">
        <f>IF(ResultsTeams[[#This Row],[Type]]="G",SUM(P87:P90),IF(LEFT(ResultsTeams[[#This Row],[Type]],1)="P",IF(ResultsTeams[[#This Row],[Goal-A]]&lt;ResultsTeams[[#This Row],[Goal-B]],1,0),""))</f>
        <v>0</v>
      </c>
      <c r="Q86" s="265">
        <f>IF(ResultsTeams[[#This Row],[Type]]="G",SUM(Q87:Q90),IF(LEFT(ResultsTeams[[#This Row],[Type]],1)="P",VALUE(ResultsTeams[[#This Row],[Score-A]]),""))</f>
        <v>6</v>
      </c>
      <c r="R86" s="265">
        <f>IF(ResultsTeams[[#This Row],[Type]]="G",SUM(R87:R90),IF(LEFT(ResultsTeams[[#This Row],[Type]],1)="P",VALUE(ResultsTeams[[#This Row],[Score-B]]),""))</f>
        <v>1</v>
      </c>
      <c r="S86" s="265" t="str">
        <f ca="1">IF(AND(ResultsTeams[[#This Row],[Category]]&lt;&gt;"",ResultsTeams[[#This Row],[Team A]]&lt;&gt;""),COUNTIF(INDIRECT("TeamsList[Club Name]"),ResultsTeams[[#This Row],[Team A]]),"")</f>
        <v/>
      </c>
      <c r="T86" s="265" t="str">
        <f ca="1">IF(AND(ResultsTeams[[#This Row],[Category]]&lt;&gt;"",ResultsTeams[[#This Row],[Team B]]&lt;&gt;""),COUNTIF(INDIRECT("TeamsList[Club Name]"),ResultsTeams[[#This Row],[Team B]]),"")</f>
        <v/>
      </c>
      <c r="U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-Emanuele Licheri</v>
      </c>
      <c r="V86" s="265" t="str">
        <f>IF(ResultsTeams[[#This Row],[Score_OK]],IF(ResultsTeams[[#This Row],[StageCpy]]="Groups",ResultsTeams[[#This Row],[Category]]&amp;"-"&amp;IF(ResultsTeams[[#This Row],[Team B]]="","",IF(ResultsTeams[[#This Row],[Match-A]]=ResultsTeams[[#This Row],[Match-B]],ResultsTeams[[#This Row],[Team A]],"")),""),"")</f>
        <v>-</v>
      </c>
      <c r="W86" s="265" t="str">
        <f>IF(ResultsTeams[[#This Row],[Score_OK]],IF(ResultsTeams[[#This Row],[StageCpy]]="Groups",ResultsTeams[[#This Row],[Category]]&amp;"-"&amp;IF(ResultsTeams[[#This Row],[Team B]]="","",IF(ResultsTeams[[#This Row],[Match-A]]=ResultsTeams[[#This Row],[Match-B]],ResultsTeams[[#This Row],[Team B]],"")),""),"")</f>
        <v>-</v>
      </c>
      <c r="X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-Kevin Lelubre</v>
      </c>
      <c r="Y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 s="264" t="str">
        <f>IF(ResultsTeams[[#This Row],[Category]]="","",VLOOKUP(ResultsTeams[[#This Row],[Stage]],$R$1:$T$8,MATCH(ResultsTeams[[#This Row],[Category]],$S$1:$T$1,0)+1,FALSE))</f>
        <v/>
      </c>
      <c r="AC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 s="264" t="str">
        <f>IF(ResultsTeams[[#This Row],[Type]]="G",ResultsTeams[[#This Row],[Stage]],AD85)</f>
        <v>Groups</v>
      </c>
      <c r="AE86" s="395" t="str">
        <f>IF(ResultsTeams[[#This Row],[Type]]="G",INDEX(TeamsList[Club Name],MATCH(ResultsTeams[[#This Row],[Team A]],TeamsList[Team Name],0)),AE85)</f>
        <v>F.lli Bari Reggio Emilia</v>
      </c>
      <c r="AF86" s="395" t="str">
        <f>IF(ResultsTeams[[#This Row],[Type]]="G",INDEX(TeamsList[Club Name],MATCH(ResultsTeams[[#This Row],[Team B]],TeamsList[Team Name],0)),AF85)</f>
        <v>SC Lion's Eugies</v>
      </c>
      <c r="AG86" s="265"/>
      <c r="AI86" s="12">
        <f t="shared" si="65"/>
        <v>0</v>
      </c>
      <c r="AJ86" s="309"/>
      <c r="AK86" s="310"/>
      <c r="AL86" s="311"/>
      <c r="AM86" s="292" t="str">
        <f>IF(AV86="","",SMALL(AN81:AN87,ROWS(AM81:AM86)))</f>
        <v/>
      </c>
      <c r="AN86" s="293" t="str">
        <f>IF(AV86="","",RANK(AR86,AR81:AR87)*1000+ROWS(AN81:AN86))</f>
        <v/>
      </c>
      <c r="AO86" s="316" t="str">
        <f t="shared" si="58"/>
        <v/>
      </c>
      <c r="AP86" s="415" t="b">
        <f>AND(AU86&lt;&gt;"",AU86&gt;0,COUNTIF(AO81:AO87,AO86)&gt;1)</f>
        <v>0</v>
      </c>
      <c r="AQ86" s="316" t="str">
        <f t="shared" si="59"/>
        <v/>
      </c>
      <c r="AR86" s="317" t="str">
        <f t="shared" si="60"/>
        <v/>
      </c>
      <c r="AS86" s="415" t="b">
        <f>AND(AU86&lt;&gt;"",AU86&gt;0,COUNTIF(AR81:AR87,AR86)&gt;1)</f>
        <v>0</v>
      </c>
      <c r="AT86" s="355" t="str">
        <f t="shared" si="61"/>
        <v/>
      </c>
      <c r="AU86" s="356" t="str">
        <f t="shared" si="62"/>
        <v/>
      </c>
      <c r="AV86" s="356" t="str">
        <f>IF(OR(AI80="",AJ86=""),"",COUNTIF(ResultsTeams[Win],AI80&amp;"-"&amp;AJ86))</f>
        <v/>
      </c>
      <c r="AW86" s="356" t="str">
        <f>IF(OR(AI80="",AJ86=""),"",COUNTIF(ResultsTeams[[Draw1]:[Draw2]],AI80&amp;"-"&amp;AJ86))</f>
        <v/>
      </c>
      <c r="AX86" s="356" t="str">
        <f>IF(OR(AI80="",AJ86=""),"",COUNTIF(ResultsTeams[Lose],AI80&amp;"-"&amp;AJ86))</f>
        <v/>
      </c>
      <c r="AY86" s="356" t="str">
        <f>IF(OR(AI80="",AJ86=""),"",AV86-AX86)</f>
        <v/>
      </c>
      <c r="AZ86" s="356" t="str">
        <f>IF(OR(AI85="",AJ86=""),"",SUMIFS(ResultsTeams[Match-A],ResultsTeams[Stage],"Groups",ResultsTeams[Team A],AJ86)+SUMIFS(ResultsTeams[Match-B],ResultsTeams[Stage],"Groups",ResultsTeams[Team B],AJ86))</f>
        <v/>
      </c>
      <c r="BA86" s="356" t="str">
        <f>IF(OR(AI85="",AJ86=""),"",SUMIFS(ResultsTeams[Match-B],ResultsTeams[Stage],"Groups",ResultsTeams[Team A],AJ86)+SUMIFS(ResultsTeams[Match-A],ResultsTeams[Stage],"Groups",ResultsTeams[Team B],AJ86))</f>
        <v/>
      </c>
      <c r="BB86" s="356" t="str">
        <f t="shared" si="64"/>
        <v/>
      </c>
      <c r="BC86" s="356" t="str">
        <f>IF(OR(AI85="",AJ86=""),"",SUMIFS(ResultsTeams[Goal-A],ResultsTeams[Stage],"Groups",ResultsTeams[Team A],AJ86)+SUMIFS(ResultsTeams[Goal-B],ResultsTeams[Stage],"Groups",ResultsTeams[Team B],AJ86))</f>
        <v/>
      </c>
      <c r="BD86" s="356" t="str">
        <f>IF(OR(AI85="",AJ86=""),"",SUMIFS(ResultsTeams[Goal-B],ResultsTeams[Stage],"Groups",ResultsTeams[Team A],AJ86)+SUMIFS(ResultsTeams[Goal-A],ResultsTeams[Stage],"Groups",ResultsTeams[Team B],AJ86))</f>
        <v/>
      </c>
      <c r="BE86" s="357" t="str">
        <f>IF(OR(AI80="",AJ86=""),"",BC86-BD86)</f>
        <v/>
      </c>
      <c r="BF86" s="470" t="str">
        <f>IF(AM86="","",OR(VLOOKUP(AM86,AN81:BE87,3,FALSE),VLOOKUP(AM86,AN81:BE87,6,FALSE)))</f>
        <v/>
      </c>
      <c r="BG86" s="298" t="str">
        <f t="shared" si="63"/>
        <v/>
      </c>
      <c r="BH86" s="285" t="str">
        <f>IF(AM86="","",INDEX(AJ81:AJ87,MATCH(AM86,AN81:AN87,0)))</f>
        <v/>
      </c>
      <c r="BI86" s="286" t="str">
        <f>IF(AM86="","",VLOOKUP(AM86,AN81:BE87,COLUMN()-COLUMN(BB80),FALSE))</f>
        <v/>
      </c>
      <c r="BJ86" s="286" t="str">
        <f>IF(AM86="","",VLOOKUP(AM86,AN81:BE87,COLUMN()-COLUMN(BB80),FALSE))</f>
        <v/>
      </c>
      <c r="BK86" s="286" t="str">
        <f>IF(AM86="","",VLOOKUP(AM86,AN81:BE87,COLUMN()-COLUMN(BB80),FALSE))</f>
        <v/>
      </c>
      <c r="BL86" s="286" t="str">
        <f>IF(AM86="","",VLOOKUP(AM86,AN81:BE87,COLUMN()-COLUMN(BB80),FALSE))</f>
        <v/>
      </c>
      <c r="BM86" s="286" t="str">
        <f>IF(AM86="","",VLOOKUP(AM86,AN81:BE87,COLUMN()-COLUMN(BB80),FALSE))</f>
        <v/>
      </c>
      <c r="BN86" s="349" t="str">
        <f>IF(AM86="","",VLOOKUP(AM86,AN81:BE87,COLUMN()-COLUMN(BB80),FALSE))</f>
        <v/>
      </c>
      <c r="BO86" s="298" t="str">
        <f>IF(AM86="","",VLOOKUP(AM86,AN81:BE87,COLUMN()-COLUMN(BB80),FALSE))</f>
        <v/>
      </c>
      <c r="BP86" s="286" t="str">
        <f>IF(AM86="","",VLOOKUP(AM86,AN81:BE87,COLUMN()-COLUMN(BB80),FALSE))</f>
        <v/>
      </c>
      <c r="BQ86" s="301" t="str">
        <f>IF(AM86="","",VLOOKUP(AM86,AN81:BE87,COLUMN()-COLUMN(BB80),FALSE))</f>
        <v/>
      </c>
      <c r="BR86" s="352" t="str">
        <f>IF(AM86="","",VLOOKUP(AM86,AN81:BE87,COLUMN()-COLUMN(BB80),FALSE))</f>
        <v/>
      </c>
      <c r="BS86" s="286" t="str">
        <f>IF(AM86="","",VLOOKUP(AM86,AN81:BE87,COLUMN()-COLUMN(BB80),FALSE))</f>
        <v/>
      </c>
      <c r="BT86" s="301" t="str">
        <f>IF(AM86="","",VLOOKUP(AM86,AN81:BE87,COLUMN()-COLUMN(BB80),FALSE))</f>
        <v/>
      </c>
    </row>
    <row r="87" spans="1:72" ht="12" thickBot="1" x14ac:dyDescent="0.25">
      <c r="A87" s="62"/>
      <c r="B87" s="62"/>
      <c r="C87" s="62"/>
      <c r="D87" s="62"/>
      <c r="E87" s="241" t="s">
        <v>12243</v>
      </c>
      <c r="F87" s="247"/>
      <c r="G87" s="247" t="s">
        <v>8139</v>
      </c>
      <c r="H87" s="254"/>
      <c r="I87" s="254"/>
      <c r="J87" s="260"/>
      <c r="K87" s="364"/>
      <c r="L87" s="364"/>
      <c r="M87" s="247"/>
      <c r="N87" s="265" t="b">
        <f>NOT(ISERROR(ResultsTeams[[#This Row],[Goal-A]]+ResultsTeams[[#This Row],[Goal-B]]))</f>
        <v>0</v>
      </c>
      <c r="O87" s="265" t="str">
        <f>IF(ResultsTeams[[#This Row],[Type]]="G",SUM(O88:O91),IF(LEFT(ResultsTeams[[#This Row],[Type]],1)="P",IF(ResultsTeams[[#This Row],[Goal-A]]&gt;ResultsTeams[[#This Row],[Goal-B]],1,0),""))</f>
        <v/>
      </c>
      <c r="P87" s="265" t="str">
        <f>IF(ResultsTeams[[#This Row],[Type]]="G",SUM(P88:P91),IF(LEFT(ResultsTeams[[#This Row],[Type]],1)="P",IF(ResultsTeams[[#This Row],[Goal-A]]&lt;ResultsTeams[[#This Row],[Goal-B]],1,0),""))</f>
        <v/>
      </c>
      <c r="Q87" s="265" t="str">
        <f>IF(ResultsTeams[[#This Row],[Type]]="G",SUM(Q88:Q91),IF(LEFT(ResultsTeams[[#This Row],[Type]],1)="P",VALUE(ResultsTeams[[#This Row],[Score-A]]),""))</f>
        <v/>
      </c>
      <c r="R87" s="265" t="str">
        <f>IF(ResultsTeams[[#This Row],[Type]]="G",SUM(R88:R91),IF(LEFT(ResultsTeams[[#This Row],[Type]],1)="P",VALUE(ResultsTeams[[#This Row],[Score-B]]),""))</f>
        <v/>
      </c>
      <c r="S87" s="265" t="str">
        <f ca="1">IF(AND(ResultsTeams[[#This Row],[Category]]&lt;&gt;"",ResultsTeams[[#This Row],[Team A]]&lt;&gt;""),COUNTIF(INDIRECT("TeamsList[Club Name]"),ResultsTeams[[#This Row],[Team A]]),"")</f>
        <v/>
      </c>
      <c r="T87" s="265" t="str">
        <f ca="1">IF(AND(ResultsTeams[[#This Row],[Category]]&lt;&gt;"",ResultsTeams[[#This Row],[Team B]]&lt;&gt;""),COUNTIF(INDIRECT("TeamsList[Club Name]"),ResultsTeams[[#This Row],[Team B]]),"")</f>
        <v/>
      </c>
      <c r="U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 s="265" t="str">
        <f>IF(ResultsTeams[[#This Row],[Score_OK]],IF(ResultsTeams[[#This Row],[StageCpy]]="Groups",ResultsTeams[[#This Row],[Category]]&amp;"-"&amp;IF(ResultsTeams[[#This Row],[Team B]]="","",IF(ResultsTeams[[#This Row],[Match-A]]=ResultsTeams[[#This Row],[Match-B]],ResultsTeams[[#This Row],[Team A]],"")),""),"")</f>
        <v/>
      </c>
      <c r="W87" s="265" t="str">
        <f>IF(ResultsTeams[[#This Row],[Score_OK]],IF(ResultsTeams[[#This Row],[StageCpy]]="Groups",ResultsTeams[[#This Row],[Category]]&amp;"-"&amp;IF(ResultsTeams[[#This Row],[Team B]]="","",IF(ResultsTeams[[#This Row],[Match-A]]=ResultsTeams[[#This Row],[Match-B]],ResultsTeams[[#This Row],[Team B]],"")),""),"")</f>
        <v/>
      </c>
      <c r="X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 s="264" t="str">
        <f>IF(ResultsTeams[[#This Row],[Category]]="","",VLOOKUP(ResultsTeams[[#This Row],[Stage]],$R$1:$T$8,MATCH(ResultsTeams[[#This Row],[Category]],$S$1:$T$1,0)+1,FALSE))</f>
        <v/>
      </c>
      <c r="AC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 s="264" t="str">
        <f>IF(ResultsTeams[[#This Row],[Type]]="G",ResultsTeams[[#This Row],[Stage]],AD86)</f>
        <v>Groups</v>
      </c>
      <c r="AE87" s="395" t="str">
        <f>IF(ResultsTeams[[#This Row],[Type]]="G",INDEX(TeamsList[Club Name],MATCH(ResultsTeams[[#This Row],[Team A]],TeamsList[Team Name],0)),AE86)</f>
        <v>F.lli Bari Reggio Emilia</v>
      </c>
      <c r="AF87" s="395" t="str">
        <f>IF(ResultsTeams[[#This Row],[Type]]="G",INDEX(TeamsList[Club Name],MATCH(ResultsTeams[[#This Row],[Team B]],TeamsList[Team Name],0)),AF86)</f>
        <v>SC Lion's Eugies</v>
      </c>
      <c r="AG87" s="265"/>
      <c r="AI87" s="12">
        <f t="shared" si="65"/>
        <v>0</v>
      </c>
      <c r="AJ87" s="312"/>
      <c r="AK87" s="313"/>
      <c r="AL87" s="314"/>
      <c r="AM87" s="294" t="str">
        <f>IF(AV87="","",SMALL(AN81:AN87,ROWS(AM81:AM87)))</f>
        <v/>
      </c>
      <c r="AN87" s="295" t="str">
        <f>IF(AV87="","",RANK(AR87,AR81:AR87)*1000+ROWS(AN81:AN87))</f>
        <v/>
      </c>
      <c r="AO87" s="318" t="str">
        <f t="shared" si="58"/>
        <v/>
      </c>
      <c r="AP87" s="416" t="b">
        <f>AND(AU87&lt;&gt;"",AU87&gt;0,COUNTIF(AO81:AO87,AO87)&gt;1)</f>
        <v>0</v>
      </c>
      <c r="AQ87" s="318" t="str">
        <f t="shared" si="59"/>
        <v/>
      </c>
      <c r="AR87" s="319" t="str">
        <f t="shared" si="60"/>
        <v/>
      </c>
      <c r="AS87" s="416" t="b">
        <f>AND(AU87&lt;&gt;"",AU87&gt;0,COUNTIF(AR81:AR87,AR87)&gt;1)</f>
        <v>0</v>
      </c>
      <c r="AT87" s="358" t="str">
        <f t="shared" si="61"/>
        <v/>
      </c>
      <c r="AU87" s="359" t="str">
        <f t="shared" si="62"/>
        <v/>
      </c>
      <c r="AV87" s="359" t="str">
        <f>IF(OR(AI80="",AJ87=""),"",COUNTIF(ResultsTeams[Win],AI80&amp;"-"&amp;AJ87))</f>
        <v/>
      </c>
      <c r="AW87" s="359" t="str">
        <f>IF(OR(AI80="",AJ87=""),"",COUNTIF(ResultsTeams[[Draw1]:[Draw2]],AI80&amp;"-"&amp;AJ87))</f>
        <v/>
      </c>
      <c r="AX87" s="359" t="str">
        <f>IF(OR(AI80="",AJ87=""),"",COUNTIF(ResultsTeams[Lose],AI80&amp;"-"&amp;AJ87))</f>
        <v/>
      </c>
      <c r="AY87" s="359" t="str">
        <f>IF(OR(AI80="",AJ87=""),"",AV87-AX87)</f>
        <v/>
      </c>
      <c r="AZ87" s="359" t="str">
        <f>IF(OR(AI86="",AJ87=""),"",SUMIFS(ResultsTeams[Match-A],ResultsTeams[Stage],"Groups",ResultsTeams[Team A],AJ87)+SUMIFS(ResultsTeams[Match-B],ResultsTeams[Stage],"Groups",ResultsTeams[Team B],AJ87))</f>
        <v/>
      </c>
      <c r="BA87" s="359" t="str">
        <f>IF(OR(AI86="",AJ87=""),"",SUMIFS(ResultsTeams[Match-B],ResultsTeams[Stage],"Groups",ResultsTeams[Team A],AJ87)+SUMIFS(ResultsTeams[Match-A],ResultsTeams[Stage],"Groups",ResultsTeams[Team B],AJ87))</f>
        <v/>
      </c>
      <c r="BB87" s="359" t="str">
        <f t="shared" si="64"/>
        <v/>
      </c>
      <c r="BC87" s="359" t="str">
        <f>IF(OR(AI86="",AJ87=""),"",SUMIFS(ResultsTeams[Goal-A],ResultsTeams[Stage],"Groups",ResultsTeams[Team A],AJ87)+SUMIFS(ResultsTeams[Goal-B],ResultsTeams[Stage],"Groups",ResultsTeams[Team B],AJ87))</f>
        <v/>
      </c>
      <c r="BD87" s="359" t="str">
        <f>IF(OR(AI86="",AJ87=""),"",SUMIFS(ResultsTeams[Goal-B],ResultsTeams[Stage],"Groups",ResultsTeams[Team A],AJ87)+SUMIFS(ResultsTeams[Goal-A],ResultsTeams[Stage],"Groups",ResultsTeams[Team B],AJ87))</f>
        <v/>
      </c>
      <c r="BE87" s="360" t="str">
        <f>IF(OR(AI80="",AJ87=""),"",BC87-BD87)</f>
        <v/>
      </c>
      <c r="BF87" s="470" t="str">
        <f>IF(AM87="","",OR(VLOOKUP(AM87,AN81:BE87,3,FALSE),VLOOKUP(AM87,AN81:BE87,6,FALSE)))</f>
        <v/>
      </c>
      <c r="BG87" s="299" t="str">
        <f t="shared" si="63"/>
        <v/>
      </c>
      <c r="BH87" s="287" t="str">
        <f>IF(AM87="","",INDEX(AJ81:AJ87,MATCH(AM87,AN81:AN87,0)))</f>
        <v/>
      </c>
      <c r="BI87" s="288" t="str">
        <f>IF(AM87="","",VLOOKUP(AM87,AN81:BE87,COLUMN()-COLUMN(BB80),FALSE))</f>
        <v/>
      </c>
      <c r="BJ87" s="288" t="str">
        <f>IF(AM87="","",VLOOKUP(AM87,AN81:BE87,COLUMN()-COLUMN(BB80),FALSE))</f>
        <v/>
      </c>
      <c r="BK87" s="288" t="str">
        <f>IF(AM87="","",VLOOKUP(AM87,AN81:BE87,COLUMN()-COLUMN(BB80),FALSE))</f>
        <v/>
      </c>
      <c r="BL87" s="288" t="str">
        <f>IF(AM87="","",VLOOKUP(AM87,AN81:BE87,COLUMN()-COLUMN(BB80),FALSE))</f>
        <v/>
      </c>
      <c r="BM87" s="288" t="str">
        <f>IF(AM87="","",VLOOKUP(AM87,AN81:BE87,COLUMN()-COLUMN(BB80),FALSE))</f>
        <v/>
      </c>
      <c r="BN87" s="350" t="str">
        <f>IF(AM87="","",VLOOKUP(AM87,AN81:BE87,COLUMN()-COLUMN(BB80),FALSE))</f>
        <v/>
      </c>
      <c r="BO87" s="299" t="str">
        <f>IF(AM87="","",VLOOKUP(AM87,AN81:BE87,COLUMN()-COLUMN(BB80),FALSE))</f>
        <v/>
      </c>
      <c r="BP87" s="288" t="str">
        <f>IF(AM87="","",VLOOKUP(AM87,AN81:BE87,COLUMN()-COLUMN(BB80),FALSE))</f>
        <v/>
      </c>
      <c r="BQ87" s="302" t="str">
        <f>IF(AM87="","",VLOOKUP(AM87,AN81:BE87,COLUMN()-COLUMN(BB80),FALSE))</f>
        <v/>
      </c>
      <c r="BR87" s="353" t="str">
        <f>IF(AM87="","",VLOOKUP(AM87,AN81:BE87,COLUMN()-COLUMN(BB80),FALSE))</f>
        <v/>
      </c>
      <c r="BS87" s="288" t="str">
        <f>IF(AM87="","",VLOOKUP(AM87,AN81:BE87,COLUMN()-COLUMN(BB80),FALSE))</f>
        <v/>
      </c>
      <c r="BT87" s="302" t="str">
        <f>IF(AM87="","",VLOOKUP(AM87,AN81:BE87,COLUMN()-COLUMN(BB80),FALSE))</f>
        <v/>
      </c>
    </row>
    <row r="88" spans="1:72" ht="12" thickBot="1" x14ac:dyDescent="0.25">
      <c r="A88" s="83"/>
      <c r="B88" s="83"/>
      <c r="C88" s="83"/>
      <c r="D88" s="83"/>
      <c r="E88" s="268" t="s">
        <v>12244</v>
      </c>
      <c r="F88" s="262"/>
      <c r="G88" s="262"/>
      <c r="H88" s="324"/>
      <c r="I88" s="324"/>
      <c r="J88" s="263"/>
      <c r="K88" s="365"/>
      <c r="L88" s="365"/>
      <c r="M88" s="262"/>
      <c r="N88" s="265" t="b">
        <f>NOT(ISERROR(ResultsTeams[[#This Row],[Goal-A]]+ResultsTeams[[#This Row],[Goal-B]]))</f>
        <v>0</v>
      </c>
      <c r="O88" s="265" t="str">
        <f>IF(ResultsTeams[[#This Row],[Type]]="G",SUM(O89:O92),IF(LEFT(ResultsTeams[[#This Row],[Type]],1)="P",IF(ResultsTeams[[#This Row],[Goal-A]]&gt;ResultsTeams[[#This Row],[Goal-B]],1,0),""))</f>
        <v/>
      </c>
      <c r="P88" s="265" t="str">
        <f>IF(ResultsTeams[[#This Row],[Type]]="G",SUM(P89:P92),IF(LEFT(ResultsTeams[[#This Row],[Type]],1)="P",IF(ResultsTeams[[#This Row],[Goal-A]]&lt;ResultsTeams[[#This Row],[Goal-B]],1,0),""))</f>
        <v/>
      </c>
      <c r="Q88" s="265" t="str">
        <f>IF(ResultsTeams[[#This Row],[Type]]="G",SUM(Q89:Q92),IF(LEFT(ResultsTeams[[#This Row],[Type]],1)="P",VALUE(ResultsTeams[[#This Row],[Score-A]]),""))</f>
        <v/>
      </c>
      <c r="R88" s="265" t="str">
        <f>IF(ResultsTeams[[#This Row],[Type]]="G",SUM(R89:R92),IF(LEFT(ResultsTeams[[#This Row],[Type]],1)="P",VALUE(ResultsTeams[[#This Row],[Score-B]]),""))</f>
        <v/>
      </c>
      <c r="S88" s="265" t="str">
        <f ca="1">IF(AND(ResultsTeams[[#This Row],[Category]]&lt;&gt;"",ResultsTeams[[#This Row],[Team A]]&lt;&gt;""),COUNTIF(INDIRECT("TeamsList[Club Name]"),ResultsTeams[[#This Row],[Team A]]),"")</f>
        <v/>
      </c>
      <c r="T88" s="265" t="str">
        <f ca="1">IF(AND(ResultsTeams[[#This Row],[Category]]&lt;&gt;"",ResultsTeams[[#This Row],[Team B]]&lt;&gt;""),COUNTIF(INDIRECT("TeamsList[Club Name]"),ResultsTeams[[#This Row],[Team B]]),"")</f>
        <v/>
      </c>
      <c r="U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 s="265" t="str">
        <f>IF(ResultsTeams[[#This Row],[Score_OK]],IF(ResultsTeams[[#This Row],[StageCpy]]="Groups",ResultsTeams[[#This Row],[Category]]&amp;"-"&amp;IF(ResultsTeams[[#This Row],[Team B]]="","",IF(ResultsTeams[[#This Row],[Match-A]]=ResultsTeams[[#This Row],[Match-B]],ResultsTeams[[#This Row],[Team A]],"")),""),"")</f>
        <v/>
      </c>
      <c r="W88" s="265" t="str">
        <f>IF(ResultsTeams[[#This Row],[Score_OK]],IF(ResultsTeams[[#This Row],[StageCpy]]="Groups",ResultsTeams[[#This Row],[Category]]&amp;"-"&amp;IF(ResultsTeams[[#This Row],[Team B]]="","",IF(ResultsTeams[[#This Row],[Match-A]]=ResultsTeams[[#This Row],[Match-B]],ResultsTeams[[#This Row],[Team B]],"")),""),"")</f>
        <v/>
      </c>
      <c r="X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 s="264" t="str">
        <f>IF(ResultsTeams[[#This Row],[Category]]="","",VLOOKUP(ResultsTeams[[#This Row],[Stage]],$R$1:$T$8,MATCH(ResultsTeams[[#This Row],[Category]],$S$1:$T$1,0)+1,FALSE))</f>
        <v/>
      </c>
      <c r="AC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 s="264" t="str">
        <f>IF(ResultsTeams[[#This Row],[Type]]="G",ResultsTeams[[#This Row],[Stage]],AD87)</f>
        <v>Groups</v>
      </c>
      <c r="AE88" s="395" t="str">
        <f>IF(ResultsTeams[[#This Row],[Type]]="G",INDEX(TeamsList[Club Name],MATCH(ResultsTeams[[#This Row],[Team A]],TeamsList[Team Name],0)),AE87)</f>
        <v>F.lli Bari Reggio Emilia</v>
      </c>
      <c r="AF88" s="395" t="str">
        <f>IF(ResultsTeams[[#This Row],[Type]]="G",INDEX(TeamsList[Club Name],MATCH(ResultsTeams[[#This Row],[Team B]],TeamsList[Team Name],0)),AF87)</f>
        <v>SC Lion's Eugies</v>
      </c>
      <c r="AG88" s="265"/>
    </row>
    <row r="89" spans="1:72" ht="12" thickBot="1" x14ac:dyDescent="0.25">
      <c r="A89" s="261" t="s">
        <v>12693</v>
      </c>
      <c r="B89" s="270" t="s">
        <v>12207</v>
      </c>
      <c r="C89" s="270">
        <v>2</v>
      </c>
      <c r="D89" s="270"/>
      <c r="E89" s="272" t="s">
        <v>12228</v>
      </c>
      <c r="F89" s="273" t="s">
        <v>479</v>
      </c>
      <c r="G89" s="273" t="s">
        <v>14589</v>
      </c>
      <c r="H89" s="275">
        <v>1</v>
      </c>
      <c r="I89" s="275">
        <v>2</v>
      </c>
      <c r="J89" s="275"/>
      <c r="K89" s="366"/>
      <c r="L89" s="366"/>
      <c r="M89" s="274"/>
      <c r="N89" s="265" t="b">
        <f>NOT(ISERROR(ResultsTeams[[#This Row],[Goal-A]]+ResultsTeams[[#This Row],[Goal-B]]))</f>
        <v>1</v>
      </c>
      <c r="O89" s="265">
        <f>IF(ResultsTeams[[#This Row],[Type]]="G",SUM(O90:O93),IF(LEFT(ResultsTeams[[#This Row],[Type]],1)="P",IF(ResultsTeams[[#This Row],[Goal-A]]&gt;ResultsTeams[[#This Row],[Goal-B]],1,0),""))</f>
        <v>1</v>
      </c>
      <c r="P89" s="265">
        <f>IF(ResultsTeams[[#This Row],[Type]]="G",SUM(P90:P93),IF(LEFT(ResultsTeams[[#This Row],[Type]],1)="P",IF(ResultsTeams[[#This Row],[Goal-A]]&lt;ResultsTeams[[#This Row],[Goal-B]],1,0),""))</f>
        <v>2</v>
      </c>
      <c r="Q89" s="265">
        <f>IF(ResultsTeams[[#This Row],[Type]]="G",SUM(Q90:Q93),IF(LEFT(ResultsTeams[[#This Row],[Type]],1)="P",VALUE(ResultsTeams[[#This Row],[Score-A]]),""))</f>
        <v>3</v>
      </c>
      <c r="R89" s="265">
        <f>IF(ResultsTeams[[#This Row],[Type]]="G",SUM(R90:R93),IF(LEFT(ResultsTeams[[#This Row],[Type]],1)="P",VALUE(ResultsTeams[[#This Row],[Score-B]]),""))</f>
        <v>7</v>
      </c>
      <c r="S89" s="265">
        <f ca="1">IF(AND(ResultsTeams[[#This Row],[Category]]&lt;&gt;"",ResultsTeams[[#This Row],[Team A]]&lt;&gt;""),COUNTIF(INDIRECT("TeamsList[Club Name]"),ResultsTeams[[#This Row],[Team A]]),"")</f>
        <v>1</v>
      </c>
      <c r="T89" s="265">
        <f ca="1">IF(AND(ResultsTeams[[#This Row],[Category]]&lt;&gt;"",ResultsTeams[[#This Row],[Team B]]&lt;&gt;""),COUNTIF(INDIRECT("TeamsList[Club Name]"),ResultsTeams[[#This Row],[Team B]]),"")</f>
        <v>0</v>
      </c>
      <c r="U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 2</v>
      </c>
      <c r="V89" s="265" t="str">
        <f>IF(ResultsTeams[[#This Row],[Score_OK]],IF(ResultsTeams[[#This Row],[StageCpy]]="Groups",ResultsTeams[[#This Row],[Category]]&amp;"-"&amp;IF(ResultsTeams[[#This Row],[Team B]]="","",IF(ResultsTeams[[#This Row],[Match-A]]=ResultsTeams[[#This Row],[Match-B]],ResultsTeams[[#This Row],[Team A]],"")),""),"")</f>
        <v>TEAM-</v>
      </c>
      <c r="W89" s="265" t="str">
        <f>IF(ResultsTeams[[#This Row],[Score_OK]],IF(ResultsTeams[[#This Row],[StageCpy]]="Groups",ResultsTeams[[#This Row],[Category]]&amp;"-"&amp;IF(ResultsTeams[[#This Row],[Team B]]="","",IF(ResultsTeams[[#This Row],[Match-A]]=ResultsTeams[[#This Row],[Match-B]],ResultsTeams[[#This Row],[Team B]],"")),""),"")</f>
        <v>TEAM-</v>
      </c>
      <c r="X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TEAM-Wobbly Hobby Subbuteo Club</v>
      </c>
      <c r="Y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A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B89" s="264" t="str">
        <f>IF(ResultsTeams[[#This Row],[Category]]="","",VLOOKUP(ResultsTeams[[#This Row],[Stage]],$R$1:$T$8,MATCH(ResultsTeams[[#This Row],[Category]],$S$1:$T$1,0)+1,FALSE))</f>
        <v>PR1</v>
      </c>
      <c r="AC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 s="264" t="str">
        <f>IF(ResultsTeams[[#This Row],[Type]]="G",ResultsTeams[[#This Row],[Stage]],AD88)</f>
        <v>Groups</v>
      </c>
      <c r="AE89" s="395" t="str">
        <f>IF(ResultsTeams[[#This Row],[Type]]="G",INDEX(TeamsList[Club Name],MATCH(ResultsTeams[[#This Row],[Team A]],TeamsList[Team Name],0)),AE88)</f>
        <v>Wobbly Hobby Subbuteo Club</v>
      </c>
      <c r="AF89" s="395" t="str">
        <f>IF(ResultsTeams[[#This Row],[Type]]="G",INDEX(TeamsList[Club Name],MATCH(ResultsTeams[[#This Row],[Team B]],TeamsList[Team Name],0)),AF88)</f>
        <v>Avenir Subbuteo Hennuyer</v>
      </c>
      <c r="AG89" s="265"/>
      <c r="AH89" s="281" t="str">
        <f>IF(AI89="","",QUOTIENT(COUNTIF(AI$26:AI89,AI89)-1,8)+1)</f>
        <v/>
      </c>
      <c r="AI89" s="315"/>
      <c r="AJ89" s="289" t="s">
        <v>14438</v>
      </c>
      <c r="AK89" s="290" t="s">
        <v>12279</v>
      </c>
      <c r="AL89" s="300" t="s">
        <v>12275</v>
      </c>
      <c r="AM89" s="296" t="s">
        <v>12276</v>
      </c>
      <c r="AN89" s="291" t="s">
        <v>12271</v>
      </c>
      <c r="AO89" s="291" t="s">
        <v>12272</v>
      </c>
      <c r="AP89" s="414" t="s">
        <v>13154</v>
      </c>
      <c r="AQ89" s="291" t="s">
        <v>12273</v>
      </c>
      <c r="AR89" s="297" t="s">
        <v>12274</v>
      </c>
      <c r="AS89" s="414" t="s">
        <v>13154</v>
      </c>
      <c r="AT89" s="296" t="s">
        <v>12199</v>
      </c>
      <c r="AU89" s="291" t="s">
        <v>12200</v>
      </c>
      <c r="AV89" s="291" t="s">
        <v>12201</v>
      </c>
      <c r="AW89" s="291" t="s">
        <v>12202</v>
      </c>
      <c r="AX89" s="291" t="s">
        <v>12203</v>
      </c>
      <c r="AY89" s="291" t="s">
        <v>12697</v>
      </c>
      <c r="AZ89" s="291" t="s">
        <v>12698</v>
      </c>
      <c r="BA89" s="291" t="s">
        <v>12699</v>
      </c>
      <c r="BB89" s="291" t="s">
        <v>12700</v>
      </c>
      <c r="BC89" s="291" t="s">
        <v>12204</v>
      </c>
      <c r="BD89" s="291" t="s">
        <v>12205</v>
      </c>
      <c r="BE89" s="297" t="s">
        <v>12206</v>
      </c>
      <c r="BF89" s="395"/>
      <c r="BG89" s="282" t="s">
        <v>12276</v>
      </c>
      <c r="BH89" s="282" t="s">
        <v>12133</v>
      </c>
      <c r="BI89" s="283" t="s">
        <v>12199</v>
      </c>
      <c r="BJ89" s="283" t="s">
        <v>12200</v>
      </c>
      <c r="BK89" s="283" t="s">
        <v>12201</v>
      </c>
      <c r="BL89" s="283" t="s">
        <v>12202</v>
      </c>
      <c r="BM89" s="283" t="s">
        <v>12203</v>
      </c>
      <c r="BN89" s="290" t="s">
        <v>12697</v>
      </c>
      <c r="BO89" s="354" t="s">
        <v>12698</v>
      </c>
      <c r="BP89" s="283" t="s">
        <v>12699</v>
      </c>
      <c r="BQ89" s="300" t="s">
        <v>12700</v>
      </c>
      <c r="BR89" s="351" t="s">
        <v>12204</v>
      </c>
      <c r="BS89" s="283" t="s">
        <v>12205</v>
      </c>
      <c r="BT89" s="300" t="s">
        <v>12206</v>
      </c>
    </row>
    <row r="90" spans="1:72" x14ac:dyDescent="0.2">
      <c r="A90" s="60"/>
      <c r="B90" s="280"/>
      <c r="C90" s="60"/>
      <c r="D90" s="60"/>
      <c r="E90" s="240" t="s">
        <v>12231</v>
      </c>
      <c r="F90" s="244" t="s">
        <v>8554</v>
      </c>
      <c r="G90" s="244" t="s">
        <v>8148</v>
      </c>
      <c r="H90" s="253">
        <v>1</v>
      </c>
      <c r="I90" s="253">
        <v>1</v>
      </c>
      <c r="J90" s="253"/>
      <c r="K90" s="362"/>
      <c r="L90" s="362"/>
      <c r="M90" s="245"/>
      <c r="N90" s="265" t="b">
        <f>NOT(ISERROR(ResultsTeams[[#This Row],[Goal-A]]+ResultsTeams[[#This Row],[Goal-B]]))</f>
        <v>1</v>
      </c>
      <c r="O90" s="265">
        <f>IF(ResultsTeams[[#This Row],[Type]]="G",SUM(O91:O94),IF(LEFT(ResultsTeams[[#This Row],[Type]],1)="P",IF(ResultsTeams[[#This Row],[Goal-A]]&gt;ResultsTeams[[#This Row],[Goal-B]],1,0),""))</f>
        <v>0</v>
      </c>
      <c r="P90" s="265">
        <f>IF(ResultsTeams[[#This Row],[Type]]="G",SUM(P91:P94),IF(LEFT(ResultsTeams[[#This Row],[Type]],1)="P",IF(ResultsTeams[[#This Row],[Goal-A]]&lt;ResultsTeams[[#This Row],[Goal-B]],1,0),""))</f>
        <v>0</v>
      </c>
      <c r="Q90" s="265">
        <f>IF(ResultsTeams[[#This Row],[Type]]="G",SUM(Q91:Q94),IF(LEFT(ResultsTeams[[#This Row],[Type]],1)="P",VALUE(ResultsTeams[[#This Row],[Score-A]]),""))</f>
        <v>1</v>
      </c>
      <c r="R90" s="265">
        <f>IF(ResultsTeams[[#This Row],[Type]]="G",SUM(R91:R94),IF(LEFT(ResultsTeams[[#This Row],[Type]],1)="P",VALUE(ResultsTeams[[#This Row],[Score-B]]),""))</f>
        <v>1</v>
      </c>
      <c r="S90" s="265" t="str">
        <f ca="1">IF(AND(ResultsTeams[[#This Row],[Category]]&lt;&gt;"",ResultsTeams[[#This Row],[Team A]]&lt;&gt;""),COUNTIF(INDIRECT("TeamsList[Club Name]"),ResultsTeams[[#This Row],[Team A]]),"")</f>
        <v/>
      </c>
      <c r="T90" s="265" t="str">
        <f ca="1">IF(AND(ResultsTeams[[#This Row],[Category]]&lt;&gt;"",ResultsTeams[[#This Row],[Team B]]&lt;&gt;""),COUNTIF(INDIRECT("TeamsList[Club Name]"),ResultsTeams[[#This Row],[Team B]]),"")</f>
        <v/>
      </c>
      <c r="U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90" s="265" t="str">
        <f>IF(ResultsTeams[[#This Row],[Score_OK]],IF(ResultsTeams[[#This Row],[StageCpy]]="Groups",ResultsTeams[[#This Row],[Category]]&amp;"-"&amp;IF(ResultsTeams[[#This Row],[Team B]]="","",IF(ResultsTeams[[#This Row],[Match-A]]=ResultsTeams[[#This Row],[Match-B]],ResultsTeams[[#This Row],[Team A]],"")),""),"")</f>
        <v>-Alan Lee</v>
      </c>
      <c r="W90" s="265" t="str">
        <f>IF(ResultsTeams[[#This Row],[Score_OK]],IF(ResultsTeams[[#This Row],[StageCpy]]="Groups",ResultsTeams[[#This Row],[Category]]&amp;"-"&amp;IF(ResultsTeams[[#This Row],[Team B]]="","",IF(ResultsTeams[[#This Row],[Match-A]]=ResultsTeams[[#This Row],[Match-B]],ResultsTeams[[#This Row],[Team B]],"")),""),"")</f>
        <v>-Matthias Averlant</v>
      </c>
      <c r="X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 s="264" t="str">
        <f>IF(ResultsTeams[[#This Row],[Category]]="","",VLOOKUP(ResultsTeams[[#This Row],[Stage]],$R$1:$T$8,MATCH(ResultsTeams[[#This Row],[Category]],$S$1:$T$1,0)+1,FALSE))</f>
        <v/>
      </c>
      <c r="AC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 s="264" t="str">
        <f>IF(ResultsTeams[[#This Row],[Type]]="G",ResultsTeams[[#This Row],[Stage]],AD89)</f>
        <v>Groups</v>
      </c>
      <c r="AE90" s="395" t="str">
        <f>IF(ResultsTeams[[#This Row],[Type]]="G",INDEX(TeamsList[Club Name],MATCH(ResultsTeams[[#This Row],[Team A]],TeamsList[Team Name],0)),AE89)</f>
        <v>Wobbly Hobby Subbuteo Club</v>
      </c>
      <c r="AF90" s="395" t="str">
        <f>IF(ResultsTeams[[#This Row],[Type]]="G",INDEX(TeamsList[Club Name],MATCH(ResultsTeams[[#This Row],[Team B]],TeamsList[Team Name],0)),AF89)</f>
        <v>Avenir Subbuteo Hennuyer</v>
      </c>
      <c r="AG90" s="265"/>
      <c r="AI90" s="12">
        <f>AI89</f>
        <v>0</v>
      </c>
      <c r="AJ90" s="309"/>
      <c r="AK90" s="320"/>
      <c r="AL90" s="311"/>
      <c r="AM90" s="292" t="str">
        <f>IF(AV90="","",SMALL(AN90:AN96,ROWS(AM90:AM90)))</f>
        <v/>
      </c>
      <c r="AN90" s="293" t="str">
        <f>IF(AV90="","",RANK(AR90,AR90:AR96)*1000+ROWS(AN90:AN90))</f>
        <v/>
      </c>
      <c r="AO90" s="316" t="str">
        <f t="shared" ref="AO90:AO96" si="66">IF(AV90="","",AT90*CritClassEq1_Points+AY90*CritClassEq1_DiffRencontres+BB90*CritClassEq1_DiffMatches+BE90*CritClassEq1_DiffButs+AZ90*CritClassEq1_Matches+BC90*CritClassEq1_Attaque)</f>
        <v/>
      </c>
      <c r="AP90" s="415" t="b">
        <f>AND(AU90&lt;&gt;"",AU90&gt;0,COUNTIF(AO90:AO96,AO90)&gt;1)</f>
        <v>0</v>
      </c>
      <c r="AQ90" s="316" t="str">
        <f t="shared" ref="AQ90:AQ96" si="67">IF(AV90="","",CritClassEq_DiffPart*AK90)</f>
        <v/>
      </c>
      <c r="AR90" s="317" t="str">
        <f t="shared" ref="AR90:AR96" si="68">IF(AV90="","",AO90+AQ90+AT90*CritClassEq2_Points+AY90*CritClassEq2_DiffRencontres+BB90*CritClassEq2_DiffMatches+BE90*CritClassEq2_DiffButs+AZ90*CritClassEq2_Matches+BC90*CritClassEq2_Attaque+AL90)</f>
        <v/>
      </c>
      <c r="AS90" s="415" t="b">
        <f>AND(AU90&lt;&gt;"",AU90&gt;0,COUNTIF(AR90:AR96,AR90)&gt;1)</f>
        <v>0</v>
      </c>
      <c r="AT90" s="355" t="str">
        <f t="shared" ref="AT90:AT96" si="69">IF(AV90="","",(AV90*Points_Victoire)+AW90*Points_Null)</f>
        <v/>
      </c>
      <c r="AU90" s="356" t="str">
        <f t="shared" ref="AU90:AU96" si="70">IF(AV90="","",SUM(AV90:AX90))</f>
        <v/>
      </c>
      <c r="AV90" s="356" t="str">
        <f>IF(OR(AI89="",AJ90=""),"",COUNTIF(ResultsTeams[Win],AI89&amp;"-"&amp;AJ90))</f>
        <v/>
      </c>
      <c r="AW90" s="356" t="str">
        <f>IF(OR(AI89="",AJ90=""),"",COUNTIF(ResultsTeams[[Draw1]:[Draw2]],AI89&amp;"-"&amp;AJ90))</f>
        <v/>
      </c>
      <c r="AX90" s="356" t="str">
        <f>IF(OR(AI89="",AJ90=""),"",COUNTIF(ResultsTeams[Lose],AI89&amp;"-"&amp;AJ90))</f>
        <v/>
      </c>
      <c r="AY90" s="356" t="str">
        <f>IF(OR(AI89="",AJ90=""),"",AV90-AX90)</f>
        <v/>
      </c>
      <c r="AZ90" s="356" t="str">
        <f>IF(OR(AI89="",AJ90=""),"",SUMIFS(ResultsTeams[Match-A],ResultsTeams[Stage],"Groups",ResultsTeams[Team A],AJ90)+SUMIFS(ResultsTeams[Match-B],ResultsTeams[Stage],"Groups",ResultsTeams[Team B],AJ90))</f>
        <v/>
      </c>
      <c r="BA90" s="356" t="str">
        <f>IF(OR(AI89="",AJ90=""),"",SUMIFS(ResultsTeams[Match-B],ResultsTeams[Stage],"Groups",ResultsTeams[Team A],AJ90)+SUMIFS(ResultsTeams[Match-A],ResultsTeams[Stage],"Groups",ResultsTeams[Team B],AJ90))</f>
        <v/>
      </c>
      <c r="BB90" s="356" t="str">
        <f>IF(OR(AI89="",AJ90=""),"",AZ90-BA90)</f>
        <v/>
      </c>
      <c r="BC90" s="356" t="str">
        <f>IF(OR(AI89="",AJ90=""),"",SUMIFS(ResultsTeams[Goal-A],ResultsTeams[Stage],"Groups",ResultsTeams[Team A],AJ90)+SUMIFS(ResultsTeams[Goal-B],ResultsTeams[Stage],"Groups",ResultsTeams[Team B],AJ90))</f>
        <v/>
      </c>
      <c r="BD90" s="356" t="str">
        <f>IF(OR(AI89="",AJ90=""),"",SUMIFS(ResultsTeams[Goal-B],ResultsTeams[Stage],"Groups",ResultsTeams[Team A],AJ90)+SUMIFS(ResultsTeams[Goal-A],ResultsTeams[Stage],"Groups",ResultsTeams[Team B],AJ90))</f>
        <v/>
      </c>
      <c r="BE90" s="357" t="str">
        <f>IF(OR(AI89="",AJ90=""),"",BC90-BD90)</f>
        <v/>
      </c>
      <c r="BF90" s="470" t="str">
        <f>IF(AM90="","",OR(VLOOKUP(AM90,AN90:BE96,3,FALSE),VLOOKUP(AM90,AN90:BE96,6,FALSE)))</f>
        <v/>
      </c>
      <c r="BG90" s="298" t="str">
        <f t="shared" ref="BG90:BG96" si="71">IF(AM90="","",INT(AM90/1000))</f>
        <v/>
      </c>
      <c r="BH90" s="285" t="str">
        <f>IF(AM90="","",INDEX(AJ90:AJ96,MATCH(AM90,AN90:AN96,0)))</f>
        <v/>
      </c>
      <c r="BI90" s="286" t="str">
        <f>IF(AM90="","",VLOOKUP(AM90,AN90:BE96,COLUMN()-COLUMN(BB89),FALSE))</f>
        <v/>
      </c>
      <c r="BJ90" s="286" t="str">
        <f>IF(AM90="","",VLOOKUP(AM90,AN90:BE96,COLUMN()-COLUMN(BB89),FALSE))</f>
        <v/>
      </c>
      <c r="BK90" s="286" t="str">
        <f>IF(AM90="","",VLOOKUP(AM90,AN90:BE96,COLUMN()-COLUMN(BB89),FALSE))</f>
        <v/>
      </c>
      <c r="BL90" s="286" t="str">
        <f>IF(AM90="","",VLOOKUP(AM90,AN90:BE96,COLUMN()-COLUMN(BB89),FALSE))</f>
        <v/>
      </c>
      <c r="BM90" s="286" t="str">
        <f>IF(AM90="","",VLOOKUP(AM90,AN90:BE96,COLUMN()-COLUMN(BB89),FALSE))</f>
        <v/>
      </c>
      <c r="BN90" s="349" t="str">
        <f>IF(AM90="","",VLOOKUP(AM90,AN90:BE96,COLUMN()-COLUMN(BB89),FALSE))</f>
        <v/>
      </c>
      <c r="BO90" s="298" t="str">
        <f>IF(AM90="","",VLOOKUP(AM90,AN90:BE96,COLUMN()-COLUMN(BB89),FALSE))</f>
        <v/>
      </c>
      <c r="BP90" s="286" t="str">
        <f>IF(AM90="","",VLOOKUP(AM90,AN90:BE96,COLUMN()-COLUMN(BB89),FALSE))</f>
        <v/>
      </c>
      <c r="BQ90" s="301" t="str">
        <f>IF(AM90="","",VLOOKUP(AM90,AN90:BE96,COLUMN()-COLUMN(BB89),FALSE))</f>
        <v/>
      </c>
      <c r="BR90" s="352" t="str">
        <f>IF(AM90="","",VLOOKUP(AM90,AN90:BE96,COLUMN()-COLUMN(BB89),FALSE))</f>
        <v/>
      </c>
      <c r="BS90" s="286" t="str">
        <f>IF(AM90="","",VLOOKUP(AM90,AN90:BE96,COLUMN()-COLUMN(BB89),FALSE))</f>
        <v/>
      </c>
      <c r="BT90" s="301" t="str">
        <f>IF(AM90="","",VLOOKUP(AM90,AN90:BE96,COLUMN()-COLUMN(BB89),FALSE))</f>
        <v/>
      </c>
    </row>
    <row r="91" spans="1:72" x14ac:dyDescent="0.2">
      <c r="A91" s="62"/>
      <c r="B91" s="280"/>
      <c r="C91" s="62"/>
      <c r="D91" s="62"/>
      <c r="E91" s="241" t="s">
        <v>12234</v>
      </c>
      <c r="F91" s="246" t="s">
        <v>8541</v>
      </c>
      <c r="G91" s="246" t="s">
        <v>8714</v>
      </c>
      <c r="H91" s="254">
        <v>2</v>
      </c>
      <c r="I91" s="254">
        <v>1</v>
      </c>
      <c r="J91" s="254"/>
      <c r="K91" s="363"/>
      <c r="L91" s="363"/>
      <c r="M91" s="247"/>
      <c r="N91" s="265" t="b">
        <f>NOT(ISERROR(ResultsTeams[[#This Row],[Goal-A]]+ResultsTeams[[#This Row],[Goal-B]]))</f>
        <v>1</v>
      </c>
      <c r="O91" s="265">
        <f>IF(ResultsTeams[[#This Row],[Type]]="G",SUM(O92:O95),IF(LEFT(ResultsTeams[[#This Row],[Type]],1)="P",IF(ResultsTeams[[#This Row],[Goal-A]]&gt;ResultsTeams[[#This Row],[Goal-B]],1,0),""))</f>
        <v>1</v>
      </c>
      <c r="P91" s="265">
        <f>IF(ResultsTeams[[#This Row],[Type]]="G",SUM(P92:P95),IF(LEFT(ResultsTeams[[#This Row],[Type]],1)="P",IF(ResultsTeams[[#This Row],[Goal-A]]&lt;ResultsTeams[[#This Row],[Goal-B]],1,0),""))</f>
        <v>0</v>
      </c>
      <c r="Q91" s="265">
        <f>IF(ResultsTeams[[#This Row],[Type]]="G",SUM(Q92:Q95),IF(LEFT(ResultsTeams[[#This Row],[Type]],1)="P",VALUE(ResultsTeams[[#This Row],[Score-A]]),""))</f>
        <v>2</v>
      </c>
      <c r="R91" s="265">
        <f>IF(ResultsTeams[[#This Row],[Type]]="G",SUM(R92:R95),IF(LEFT(ResultsTeams[[#This Row],[Type]],1)="P",VALUE(ResultsTeams[[#This Row],[Score-B]]),""))</f>
        <v>1</v>
      </c>
      <c r="S91" s="265" t="str">
        <f ca="1">IF(AND(ResultsTeams[[#This Row],[Category]]&lt;&gt;"",ResultsTeams[[#This Row],[Team A]]&lt;&gt;""),COUNTIF(INDIRECT("TeamsList[Club Name]"),ResultsTeams[[#This Row],[Team A]]),"")</f>
        <v/>
      </c>
      <c r="T91" s="265" t="str">
        <f ca="1">IF(AND(ResultsTeams[[#This Row],[Category]]&lt;&gt;"",ResultsTeams[[#This Row],[Team B]]&lt;&gt;""),COUNTIF(INDIRECT("TeamsList[Club Name]"),ResultsTeams[[#This Row],[Team B]]),"")</f>
        <v/>
      </c>
      <c r="U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91" s="265" t="str">
        <f>IF(ResultsTeams[[#This Row],[Score_OK]],IF(ResultsTeams[[#This Row],[StageCpy]]="Groups",ResultsTeams[[#This Row],[Category]]&amp;"-"&amp;IF(ResultsTeams[[#This Row],[Team B]]="","",IF(ResultsTeams[[#This Row],[Match-A]]=ResultsTeams[[#This Row],[Match-B]],ResultsTeams[[#This Row],[Team A]],"")),""),"")</f>
        <v>-</v>
      </c>
      <c r="W91" s="265" t="str">
        <f>IF(ResultsTeams[[#This Row],[Score_OK]],IF(ResultsTeams[[#This Row],[StageCpy]]="Groups",ResultsTeams[[#This Row],[Category]]&amp;"-"&amp;IF(ResultsTeams[[#This Row],[Team B]]="","",IF(ResultsTeams[[#This Row],[Match-A]]=ResultsTeams[[#This Row],[Match-B]],ResultsTeams[[#This Row],[Team B]],"")),""),"")</f>
        <v>-</v>
      </c>
      <c r="X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-Rémi Soret</v>
      </c>
      <c r="Y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 s="264" t="str">
        <f>IF(ResultsTeams[[#This Row],[Category]]="","",VLOOKUP(ResultsTeams[[#This Row],[Stage]],$R$1:$T$8,MATCH(ResultsTeams[[#This Row],[Category]],$S$1:$T$1,0)+1,FALSE))</f>
        <v/>
      </c>
      <c r="AC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 s="264" t="str">
        <f>IF(ResultsTeams[[#This Row],[Type]]="G",ResultsTeams[[#This Row],[Stage]],AD90)</f>
        <v>Groups</v>
      </c>
      <c r="AE91" s="395" t="str">
        <f>IF(ResultsTeams[[#This Row],[Type]]="G",INDEX(TeamsList[Club Name],MATCH(ResultsTeams[[#This Row],[Team A]],TeamsList[Team Name],0)),AE90)</f>
        <v>Wobbly Hobby Subbuteo Club</v>
      </c>
      <c r="AF91" s="395" t="str">
        <f>IF(ResultsTeams[[#This Row],[Type]]="G",INDEX(TeamsList[Club Name],MATCH(ResultsTeams[[#This Row],[Team B]],TeamsList[Team Name],0)),AF90)</f>
        <v>Avenir Subbuteo Hennuyer</v>
      </c>
      <c r="AG91" s="265"/>
      <c r="AI91" s="12">
        <f>AI90</f>
        <v>0</v>
      </c>
      <c r="AJ91" s="309"/>
      <c r="AK91" s="320"/>
      <c r="AL91" s="311"/>
      <c r="AM91" s="292" t="str">
        <f>IF(AV91="","",SMALL(AN90:AN96,ROWS(AM90:AM91)))</f>
        <v/>
      </c>
      <c r="AN91" s="293" t="str">
        <f>IF(AV91="","",RANK(AR91,AR90:AR96)*1000+ROWS(AN90:AN91))</f>
        <v/>
      </c>
      <c r="AO91" s="316" t="str">
        <f t="shared" si="66"/>
        <v/>
      </c>
      <c r="AP91" s="415" t="b">
        <f>AND(AU91&lt;&gt;"",AU91&gt;0,COUNTIF(AO90:AO96,AO91)&gt;1)</f>
        <v>0</v>
      </c>
      <c r="AQ91" s="316" t="str">
        <f t="shared" si="67"/>
        <v/>
      </c>
      <c r="AR91" s="317" t="str">
        <f t="shared" si="68"/>
        <v/>
      </c>
      <c r="AS91" s="415" t="b">
        <f>AND(AU91&lt;&gt;"",AU91&gt;0,COUNTIF(AR90:AR96,AR91)&gt;1)</f>
        <v>0</v>
      </c>
      <c r="AT91" s="355" t="str">
        <f t="shared" si="69"/>
        <v/>
      </c>
      <c r="AU91" s="356" t="str">
        <f t="shared" si="70"/>
        <v/>
      </c>
      <c r="AV91" s="356" t="str">
        <f>IF(OR(AI89="",AJ91=""),"",COUNTIF(ResultsTeams[Win],AI89&amp;"-"&amp;AJ91))</f>
        <v/>
      </c>
      <c r="AW91" s="356" t="str">
        <f>IF(OR(AI89="",AJ91=""),"",COUNTIF(ResultsTeams[[Draw1]:[Draw2]],AI89&amp;"-"&amp;AJ91))</f>
        <v/>
      </c>
      <c r="AX91" s="356" t="str">
        <f>IF(OR(AI89="",AJ91=""),"",COUNTIF(ResultsTeams[Lose],AI89&amp;"-"&amp;AJ91))</f>
        <v/>
      </c>
      <c r="AY91" s="356" t="str">
        <f>IF(OR(AI89="",AJ91=""),"",AV91-AX91)</f>
        <v/>
      </c>
      <c r="AZ91" s="356" t="str">
        <f>IF(OR(AI90="",AJ91=""),"",SUMIFS(ResultsTeams[Match-A],ResultsTeams[Stage],"Groups",ResultsTeams[Team A],AJ91)+SUMIFS(ResultsTeams[Match-B],ResultsTeams[Stage],"Groups",ResultsTeams[Team B],AJ91))</f>
        <v/>
      </c>
      <c r="BA91" s="356" t="str">
        <f>IF(OR(AI90="",AJ91=""),"",SUMIFS(ResultsTeams[Match-B],ResultsTeams[Stage],"Groups",ResultsTeams[Team A],AJ91)+SUMIFS(ResultsTeams[Match-A],ResultsTeams[Stage],"Groups",ResultsTeams[Team B],AJ91))</f>
        <v/>
      </c>
      <c r="BB91" s="356" t="str">
        <f t="shared" ref="BB91:BB96" si="72">IF(OR(AI90="",AJ91=""),"",AZ91-BA91)</f>
        <v/>
      </c>
      <c r="BC91" s="356" t="str">
        <f>IF(OR(AI90="",AJ91=""),"",SUMIFS(ResultsTeams[Goal-A],ResultsTeams[Stage],"Groups",ResultsTeams[Team A],AJ91)+SUMIFS(ResultsTeams[Goal-B],ResultsTeams[Stage],"Groups",ResultsTeams[Team B],AJ91))</f>
        <v/>
      </c>
      <c r="BD91" s="356" t="str">
        <f>IF(OR(AI90="",AJ91=""),"",SUMIFS(ResultsTeams[Goal-B],ResultsTeams[Stage],"Groups",ResultsTeams[Team A],AJ91)+SUMIFS(ResultsTeams[Goal-A],ResultsTeams[Stage],"Groups",ResultsTeams[Team B],AJ91))</f>
        <v/>
      </c>
      <c r="BE91" s="357" t="str">
        <f>IF(OR(AI89="",AJ91=""),"",BC91-BD91)</f>
        <v/>
      </c>
      <c r="BF91" s="470" t="str">
        <f>IF(AM91="","",OR(VLOOKUP(AM91,AN90:BE96,3,FALSE),VLOOKUP(AM91,AN90:BE96,6,FALSE)))</f>
        <v/>
      </c>
      <c r="BG91" s="298" t="str">
        <f t="shared" si="71"/>
        <v/>
      </c>
      <c r="BH91" s="285" t="str">
        <f>IF(AM91="","",INDEX(AJ90:AJ96,MATCH(AM91,AN90:AN96,0)))</f>
        <v/>
      </c>
      <c r="BI91" s="286" t="str">
        <f>IF(AM91="","",VLOOKUP(AM91,AN90:BE96,COLUMN()-COLUMN(BB89),FALSE))</f>
        <v/>
      </c>
      <c r="BJ91" s="286" t="str">
        <f>IF(AM91="","",VLOOKUP(AM91,AN90:BE96,COLUMN()-COLUMN(BB89),FALSE))</f>
        <v/>
      </c>
      <c r="BK91" s="286" t="str">
        <f>IF(AM91="","",VLOOKUP(AM91,AN90:BE96,COLUMN()-COLUMN(BB89),FALSE))</f>
        <v/>
      </c>
      <c r="BL91" s="286" t="str">
        <f>IF(AM91="","",VLOOKUP(AM91,AN90:BE96,COLUMN()-COLUMN(BB89),FALSE))</f>
        <v/>
      </c>
      <c r="BM91" s="286" t="str">
        <f>IF(AM91="","",VLOOKUP(AM91,AN90:BE96,COLUMN()-COLUMN(BB89),FALSE))</f>
        <v/>
      </c>
      <c r="BN91" s="349" t="str">
        <f>IF(AM91="","",VLOOKUP(AM91,AN90:BE96,COLUMN()-COLUMN(BB89),FALSE))</f>
        <v/>
      </c>
      <c r="BO91" s="298" t="str">
        <f>IF(AM91="","",VLOOKUP(AM91,AN90:BE96,COLUMN()-COLUMN(BB89),FALSE))</f>
        <v/>
      </c>
      <c r="BP91" s="286" t="str">
        <f>IF(AM91="","",VLOOKUP(AM91,AN90:BE96,COLUMN()-COLUMN(BB89),FALSE))</f>
        <v/>
      </c>
      <c r="BQ91" s="301" t="str">
        <f>IF(AM91="","",VLOOKUP(AM91,AN90:BE96,COLUMN()-COLUMN(BB89),FALSE))</f>
        <v/>
      </c>
      <c r="BR91" s="352" t="str">
        <f>IF(AM91="","",VLOOKUP(AM91,AN90:BE96,COLUMN()-COLUMN(BB89),FALSE))</f>
        <v/>
      </c>
      <c r="BS91" s="286" t="str">
        <f>IF(AM91="","",VLOOKUP(AM91,AN90:BE96,COLUMN()-COLUMN(BB89),FALSE))</f>
        <v/>
      </c>
      <c r="BT91" s="301" t="str">
        <f>IF(AM91="","",VLOOKUP(AM91,AN90:BE96,COLUMN()-COLUMN(BB89),FALSE))</f>
        <v/>
      </c>
    </row>
    <row r="92" spans="1:72" x14ac:dyDescent="0.2">
      <c r="A92" s="62"/>
      <c r="B92" s="280"/>
      <c r="C92" s="62"/>
      <c r="D92" s="62"/>
      <c r="E92" s="241" t="s">
        <v>12237</v>
      </c>
      <c r="F92" s="246" t="s">
        <v>8539</v>
      </c>
      <c r="G92" s="246" t="s">
        <v>8149</v>
      </c>
      <c r="H92" s="254">
        <v>0</v>
      </c>
      <c r="I92" s="254">
        <v>2</v>
      </c>
      <c r="J92" s="254"/>
      <c r="K92" s="363"/>
      <c r="L92" s="363"/>
      <c r="M92" s="247"/>
      <c r="N92" s="265" t="b">
        <f>NOT(ISERROR(ResultsTeams[[#This Row],[Goal-A]]+ResultsTeams[[#This Row],[Goal-B]]))</f>
        <v>1</v>
      </c>
      <c r="O92" s="265">
        <f>IF(ResultsTeams[[#This Row],[Type]]="G",SUM(O93:O96),IF(LEFT(ResultsTeams[[#This Row],[Type]],1)="P",IF(ResultsTeams[[#This Row],[Goal-A]]&gt;ResultsTeams[[#This Row],[Goal-B]],1,0),""))</f>
        <v>0</v>
      </c>
      <c r="P92" s="265">
        <f>IF(ResultsTeams[[#This Row],[Type]]="G",SUM(P93:P96),IF(LEFT(ResultsTeams[[#This Row],[Type]],1)="P",IF(ResultsTeams[[#This Row],[Goal-A]]&lt;ResultsTeams[[#This Row],[Goal-B]],1,0),""))</f>
        <v>1</v>
      </c>
      <c r="Q92" s="265">
        <f>IF(ResultsTeams[[#This Row],[Type]]="G",SUM(Q93:Q96),IF(LEFT(ResultsTeams[[#This Row],[Type]],1)="P",VALUE(ResultsTeams[[#This Row],[Score-A]]),""))</f>
        <v>0</v>
      </c>
      <c r="R92" s="265">
        <f>IF(ResultsTeams[[#This Row],[Type]]="G",SUM(R93:R96),IF(LEFT(ResultsTeams[[#This Row],[Type]],1)="P",VALUE(ResultsTeams[[#This Row],[Score-B]]),""))</f>
        <v>2</v>
      </c>
      <c r="S92" s="265" t="str">
        <f ca="1">IF(AND(ResultsTeams[[#This Row],[Category]]&lt;&gt;"",ResultsTeams[[#This Row],[Team A]]&lt;&gt;""),COUNTIF(INDIRECT("TeamsList[Club Name]"),ResultsTeams[[#This Row],[Team A]]),"")</f>
        <v/>
      </c>
      <c r="T92" s="265" t="str">
        <f ca="1">IF(AND(ResultsTeams[[#This Row],[Category]]&lt;&gt;"",ResultsTeams[[#This Row],[Team B]]&lt;&gt;""),COUNTIF(INDIRECT("TeamsList[Club Name]"),ResultsTeams[[#This Row],[Team B]]),"")</f>
        <v/>
      </c>
      <c r="U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-Jann Segers</v>
      </c>
      <c r="V92" s="265" t="str">
        <f>IF(ResultsTeams[[#This Row],[Score_OK]],IF(ResultsTeams[[#This Row],[StageCpy]]="Groups",ResultsTeams[[#This Row],[Category]]&amp;"-"&amp;IF(ResultsTeams[[#This Row],[Team B]]="","",IF(ResultsTeams[[#This Row],[Match-A]]=ResultsTeams[[#This Row],[Match-B]],ResultsTeams[[#This Row],[Team A]],"")),""),"")</f>
        <v>-</v>
      </c>
      <c r="W92" s="265" t="str">
        <f>IF(ResultsTeams[[#This Row],[Score_OK]],IF(ResultsTeams[[#This Row],[StageCpy]]="Groups",ResultsTeams[[#This Row],[Category]]&amp;"-"&amp;IF(ResultsTeams[[#This Row],[Team B]]="","",IF(ResultsTeams[[#This Row],[Match-A]]=ResultsTeams[[#This Row],[Match-B]],ResultsTeams[[#This Row],[Team B]],"")),""),"")</f>
        <v>-</v>
      </c>
      <c r="X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-Rudi Peterschinigg</v>
      </c>
      <c r="Y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 s="264" t="str">
        <f>IF(ResultsTeams[[#This Row],[Category]]="","",VLOOKUP(ResultsTeams[[#This Row],[Stage]],$R$1:$T$8,MATCH(ResultsTeams[[#This Row],[Category]],$S$1:$T$1,0)+1,FALSE))</f>
        <v/>
      </c>
      <c r="AC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 s="264" t="str">
        <f>IF(ResultsTeams[[#This Row],[Type]]="G",ResultsTeams[[#This Row],[Stage]],AD91)</f>
        <v>Groups</v>
      </c>
      <c r="AE92" s="395" t="str">
        <f>IF(ResultsTeams[[#This Row],[Type]]="G",INDEX(TeamsList[Club Name],MATCH(ResultsTeams[[#This Row],[Team A]],TeamsList[Team Name],0)),AE91)</f>
        <v>Wobbly Hobby Subbuteo Club</v>
      </c>
      <c r="AF92" s="395" t="str">
        <f>IF(ResultsTeams[[#This Row],[Type]]="G",INDEX(TeamsList[Club Name],MATCH(ResultsTeams[[#This Row],[Team B]],TeamsList[Team Name],0)),AF91)</f>
        <v>Avenir Subbuteo Hennuyer</v>
      </c>
      <c r="AG92" s="265"/>
      <c r="AI92" s="12">
        <f t="shared" ref="AI92:AI96" si="73">AI91</f>
        <v>0</v>
      </c>
      <c r="AJ92" s="309"/>
      <c r="AK92" s="320"/>
      <c r="AL92" s="311"/>
      <c r="AM92" s="292" t="str">
        <f>IF(AV92="","",SMALL(AN90:AN96,ROWS(AM90:AM92)))</f>
        <v/>
      </c>
      <c r="AN92" s="293" t="str">
        <f>IF(AV92="","",RANK(AR92,AR90:AR96)*1000+ROWS(AN90:AN92))</f>
        <v/>
      </c>
      <c r="AO92" s="316" t="str">
        <f t="shared" si="66"/>
        <v/>
      </c>
      <c r="AP92" s="415" t="b">
        <f>AND(AU92&lt;&gt;"",AU92&gt;0,COUNTIF(AO90:AO96,AO92)&gt;1)</f>
        <v>0</v>
      </c>
      <c r="AQ92" s="316" t="str">
        <f t="shared" si="67"/>
        <v/>
      </c>
      <c r="AR92" s="317" t="str">
        <f t="shared" si="68"/>
        <v/>
      </c>
      <c r="AS92" s="415" t="b">
        <f>AND(AU92&lt;&gt;"",AU92&gt;0,COUNTIF(AR90:AR96,AR92)&gt;1)</f>
        <v>0</v>
      </c>
      <c r="AT92" s="355" t="str">
        <f t="shared" si="69"/>
        <v/>
      </c>
      <c r="AU92" s="356" t="str">
        <f t="shared" si="70"/>
        <v/>
      </c>
      <c r="AV92" s="356" t="str">
        <f>IF(OR(AI89="",AJ92=""),"",COUNTIF(ResultsTeams[Win],AI89&amp;"-"&amp;AJ92))</f>
        <v/>
      </c>
      <c r="AW92" s="356" t="str">
        <f>IF(OR(AI89="",AJ92=""),"",COUNTIF(ResultsTeams[[Draw1]:[Draw2]],AI89&amp;"-"&amp;AJ92))</f>
        <v/>
      </c>
      <c r="AX92" s="356" t="str">
        <f>IF(OR(AI89="",AJ92=""),"",COUNTIF(ResultsTeams[Lose],AI89&amp;"-"&amp;AJ92))</f>
        <v/>
      </c>
      <c r="AY92" s="356" t="str">
        <f>IF(OR(AI89="",AJ92=""),"",AV92-AX92)</f>
        <v/>
      </c>
      <c r="AZ92" s="356" t="str">
        <f>IF(OR(AI91="",AJ92=""),"",SUMIFS(ResultsTeams[Match-A],ResultsTeams[Stage],"Groups",ResultsTeams[Team A],AJ92)+SUMIFS(ResultsTeams[Match-B],ResultsTeams[Stage],"Groups",ResultsTeams[Team B],AJ92))</f>
        <v/>
      </c>
      <c r="BA92" s="356" t="str">
        <f>IF(OR(AI91="",AJ92=""),"",SUMIFS(ResultsTeams[Match-B],ResultsTeams[Stage],"Groups",ResultsTeams[Team A],AJ92)+SUMIFS(ResultsTeams[Match-A],ResultsTeams[Stage],"Groups",ResultsTeams[Team B],AJ92))</f>
        <v/>
      </c>
      <c r="BB92" s="356" t="str">
        <f t="shared" si="72"/>
        <v/>
      </c>
      <c r="BC92" s="356" t="str">
        <f>IF(OR(AI91="",AJ92=""),"",SUMIFS(ResultsTeams[Goal-A],ResultsTeams[Stage],"Groups",ResultsTeams[Team A],AJ92)+SUMIFS(ResultsTeams[Goal-B],ResultsTeams[Stage],"Groups",ResultsTeams[Team B],AJ92))</f>
        <v/>
      </c>
      <c r="BD92" s="356" t="str">
        <f>IF(OR(AI91="",AJ92=""),"",SUMIFS(ResultsTeams[Goal-B],ResultsTeams[Stage],"Groups",ResultsTeams[Team A],AJ92)+SUMIFS(ResultsTeams[Goal-A],ResultsTeams[Stage],"Groups",ResultsTeams[Team B],AJ92))</f>
        <v/>
      </c>
      <c r="BE92" s="357" t="str">
        <f>IF(OR(AI89="",AJ92=""),"",BC92-BD92)</f>
        <v/>
      </c>
      <c r="BF92" s="470" t="str">
        <f>IF(AM92="","",OR(VLOOKUP(AM92,AN90:BE96,3,FALSE),VLOOKUP(AM92,AN90:BE96,6,FALSE)))</f>
        <v/>
      </c>
      <c r="BG92" s="298" t="str">
        <f t="shared" si="71"/>
        <v/>
      </c>
      <c r="BH92" s="285" t="str">
        <f>IF(AM92="","",INDEX(AJ90:AJ96,MATCH(AM92,AN90:AN96,0)))</f>
        <v/>
      </c>
      <c r="BI92" s="286" t="str">
        <f>IF(AM92="","",VLOOKUP(AM92,AN90:BE96,COLUMN()-COLUMN(BB89),FALSE))</f>
        <v/>
      </c>
      <c r="BJ92" s="286" t="str">
        <f>IF(AM92="","",VLOOKUP(AM92,AN90:BE96,COLUMN()-COLUMN(BB89),FALSE))</f>
        <v/>
      </c>
      <c r="BK92" s="286" t="str">
        <f>IF(AM92="","",VLOOKUP(AM92,AN90:BE96,COLUMN()-COLUMN(BB89),FALSE))</f>
        <v/>
      </c>
      <c r="BL92" s="286" t="str">
        <f>IF(AM92="","",VLOOKUP(AM92,AN90:BE96,COLUMN()-COLUMN(BB89),FALSE))</f>
        <v/>
      </c>
      <c r="BM92" s="286" t="str">
        <f>IF(AM92="","",VLOOKUP(AM92,AN90:BE96,COLUMN()-COLUMN(BB89),FALSE))</f>
        <v/>
      </c>
      <c r="BN92" s="349" t="str">
        <f>IF(AM92="","",VLOOKUP(AM92,AN90:BE96,COLUMN()-COLUMN(BB89),FALSE))</f>
        <v/>
      </c>
      <c r="BO92" s="298" t="str">
        <f>IF(AM92="","",VLOOKUP(AM92,AN90:BE96,COLUMN()-COLUMN(BB89),FALSE))</f>
        <v/>
      </c>
      <c r="BP92" s="286" t="str">
        <f>IF(AM92="","",VLOOKUP(AM92,AN90:BE96,COLUMN()-COLUMN(BB89),FALSE))</f>
        <v/>
      </c>
      <c r="BQ92" s="301" t="str">
        <f>IF(AM92="","",VLOOKUP(AM92,AN90:BE96,COLUMN()-COLUMN(BB89),FALSE))</f>
        <v/>
      </c>
      <c r="BR92" s="352" t="str">
        <f>IF(AM92="","",VLOOKUP(AM92,AN90:BE96,COLUMN()-COLUMN(BB89),FALSE))</f>
        <v/>
      </c>
      <c r="BS92" s="286" t="str">
        <f>IF(AM92="","",VLOOKUP(AM92,AN90:BE96,COLUMN()-COLUMN(BB89),FALSE))</f>
        <v/>
      </c>
      <c r="BT92" s="301" t="str">
        <f>IF(AM92="","",VLOOKUP(AM92,AN90:BE96,COLUMN()-COLUMN(BB89),FALSE))</f>
        <v/>
      </c>
    </row>
    <row r="93" spans="1:72" x14ac:dyDescent="0.2">
      <c r="A93" s="62"/>
      <c r="B93" s="280"/>
      <c r="C93" s="62"/>
      <c r="D93" s="62"/>
      <c r="E93" s="241" t="s">
        <v>12240</v>
      </c>
      <c r="F93" s="246" t="s">
        <v>8542</v>
      </c>
      <c r="G93" s="246" t="s">
        <v>8098</v>
      </c>
      <c r="H93" s="254">
        <v>0</v>
      </c>
      <c r="I93" s="254">
        <v>3</v>
      </c>
      <c r="J93" s="254"/>
      <c r="K93" s="363"/>
      <c r="L93" s="363"/>
      <c r="M93" s="247"/>
      <c r="N93" s="265" t="b">
        <f>NOT(ISERROR(ResultsTeams[[#This Row],[Goal-A]]+ResultsTeams[[#This Row],[Goal-B]]))</f>
        <v>1</v>
      </c>
      <c r="O93" s="265">
        <f>IF(ResultsTeams[[#This Row],[Type]]="G",SUM(O94:O97),IF(LEFT(ResultsTeams[[#This Row],[Type]],1)="P",IF(ResultsTeams[[#This Row],[Goal-A]]&gt;ResultsTeams[[#This Row],[Goal-B]],1,0),""))</f>
        <v>0</v>
      </c>
      <c r="P93" s="265">
        <f>IF(ResultsTeams[[#This Row],[Type]]="G",SUM(P94:P97),IF(LEFT(ResultsTeams[[#This Row],[Type]],1)="P",IF(ResultsTeams[[#This Row],[Goal-A]]&lt;ResultsTeams[[#This Row],[Goal-B]],1,0),""))</f>
        <v>1</v>
      </c>
      <c r="Q93" s="265">
        <f>IF(ResultsTeams[[#This Row],[Type]]="G",SUM(Q94:Q97),IF(LEFT(ResultsTeams[[#This Row],[Type]],1)="P",VALUE(ResultsTeams[[#This Row],[Score-A]]),""))</f>
        <v>0</v>
      </c>
      <c r="R93" s="265">
        <f>IF(ResultsTeams[[#This Row],[Type]]="G",SUM(R94:R97),IF(LEFT(ResultsTeams[[#This Row],[Type]],1)="P",VALUE(ResultsTeams[[#This Row],[Score-B]]),""))</f>
        <v>3</v>
      </c>
      <c r="S93" s="265" t="str">
        <f ca="1">IF(AND(ResultsTeams[[#This Row],[Category]]&lt;&gt;"",ResultsTeams[[#This Row],[Team A]]&lt;&gt;""),COUNTIF(INDIRECT("TeamsList[Club Name]"),ResultsTeams[[#This Row],[Team A]]),"")</f>
        <v/>
      </c>
      <c r="T93" s="265" t="str">
        <f ca="1">IF(AND(ResultsTeams[[#This Row],[Category]]&lt;&gt;"",ResultsTeams[[#This Row],[Team B]]&lt;&gt;""),COUNTIF(INDIRECT("TeamsList[Club Name]"),ResultsTeams[[#This Row],[Team B]]),"")</f>
        <v/>
      </c>
      <c r="U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-Laurent Goor</v>
      </c>
      <c r="V93" s="265" t="str">
        <f>IF(ResultsTeams[[#This Row],[Score_OK]],IF(ResultsTeams[[#This Row],[StageCpy]]="Groups",ResultsTeams[[#This Row],[Category]]&amp;"-"&amp;IF(ResultsTeams[[#This Row],[Team B]]="","",IF(ResultsTeams[[#This Row],[Match-A]]=ResultsTeams[[#This Row],[Match-B]],ResultsTeams[[#This Row],[Team A]],"")),""),"")</f>
        <v>-</v>
      </c>
      <c r="W93" s="265" t="str">
        <f>IF(ResultsTeams[[#This Row],[Score_OK]],IF(ResultsTeams[[#This Row],[StageCpy]]="Groups",ResultsTeams[[#This Row],[Category]]&amp;"-"&amp;IF(ResultsTeams[[#This Row],[Team B]]="","",IF(ResultsTeams[[#This Row],[Match-A]]=ResultsTeams[[#This Row],[Match-B]],ResultsTeams[[#This Row],[Team B]],"")),""),"")</f>
        <v>-</v>
      </c>
      <c r="X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-Aaron Skinner</v>
      </c>
      <c r="Y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3" s="264" t="str">
        <f>IF(ResultsTeams[[#This Row],[Category]]="","",VLOOKUP(ResultsTeams[[#This Row],[Stage]],$R$1:$T$8,MATCH(ResultsTeams[[#This Row],[Category]],$S$1:$T$1,0)+1,FALSE))</f>
        <v/>
      </c>
      <c r="AC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3" s="264" t="str">
        <f>IF(ResultsTeams[[#This Row],[Type]]="G",ResultsTeams[[#This Row],[Stage]],AD92)</f>
        <v>Groups</v>
      </c>
      <c r="AE93" s="395" t="str">
        <f>IF(ResultsTeams[[#This Row],[Type]]="G",INDEX(TeamsList[Club Name],MATCH(ResultsTeams[[#This Row],[Team A]],TeamsList[Team Name],0)),AE92)</f>
        <v>Wobbly Hobby Subbuteo Club</v>
      </c>
      <c r="AF93" s="395" t="str">
        <f>IF(ResultsTeams[[#This Row],[Type]]="G",INDEX(TeamsList[Club Name],MATCH(ResultsTeams[[#This Row],[Team B]],TeamsList[Team Name],0)),AF92)</f>
        <v>Avenir Subbuteo Hennuyer</v>
      </c>
      <c r="AG93" s="265"/>
      <c r="AH93" s="91"/>
      <c r="AI93" s="12">
        <f t="shared" si="73"/>
        <v>0</v>
      </c>
      <c r="AJ93" s="309"/>
      <c r="AK93" s="310"/>
      <c r="AL93" s="311"/>
      <c r="AM93" s="292" t="str">
        <f>IF(AV93="","",SMALL(AN90:AN96,ROWS(AM90:AM93)))</f>
        <v/>
      </c>
      <c r="AN93" s="293" t="str">
        <f>IF(AV93="","",RANK(AR93,AR90:AR96)*1000+ROWS(AN90:AN93))</f>
        <v/>
      </c>
      <c r="AO93" s="316" t="str">
        <f t="shared" si="66"/>
        <v/>
      </c>
      <c r="AP93" s="415" t="b">
        <f>AND(AU93&lt;&gt;"",AU93&gt;0,COUNTIF(AO90:AO96,AO93)&gt;1)</f>
        <v>0</v>
      </c>
      <c r="AQ93" s="316" t="str">
        <f t="shared" si="67"/>
        <v/>
      </c>
      <c r="AR93" s="317" t="str">
        <f t="shared" si="68"/>
        <v/>
      </c>
      <c r="AS93" s="415" t="b">
        <f>AND(AU93&lt;&gt;"",AU93&gt;0,COUNTIF(AR90:AR96,AR93)&gt;1)</f>
        <v>0</v>
      </c>
      <c r="AT93" s="355" t="str">
        <f t="shared" si="69"/>
        <v/>
      </c>
      <c r="AU93" s="356" t="str">
        <f t="shared" si="70"/>
        <v/>
      </c>
      <c r="AV93" s="356" t="str">
        <f>IF(OR(AI89="",AJ93=""),"",COUNTIF(ResultsTeams[Win],AI89&amp;"-"&amp;AJ93))</f>
        <v/>
      </c>
      <c r="AW93" s="356" t="str">
        <f>IF(OR(AI89="",AJ93=""),"",COUNTIF(ResultsTeams[[Draw1]:[Draw2]],AI89&amp;"-"&amp;AJ93))</f>
        <v/>
      </c>
      <c r="AX93" s="356" t="str">
        <f>IF(OR(AI89="",AJ93=""),"",COUNTIF(ResultsTeams[Lose],AI89&amp;"-"&amp;AJ93))</f>
        <v/>
      </c>
      <c r="AY93" s="356" t="str">
        <f>IF(OR(AI89="",AJ93=""),"",AV93-AX93)</f>
        <v/>
      </c>
      <c r="AZ93" s="356" t="str">
        <f>IF(OR(AI92="",AJ93=""),"",SUMIFS(ResultsTeams[Match-A],ResultsTeams[Stage],"Groups",ResultsTeams[Team A],AJ93)+SUMIFS(ResultsTeams[Match-B],ResultsTeams[Stage],"Groups",ResultsTeams[Team B],AJ93))</f>
        <v/>
      </c>
      <c r="BA93" s="356" t="str">
        <f>IF(OR(AI92="",AJ93=""),"",SUMIFS(ResultsTeams[Match-B],ResultsTeams[Stage],"Groups",ResultsTeams[Team A],AJ93)+SUMIFS(ResultsTeams[Match-A],ResultsTeams[Stage],"Groups",ResultsTeams[Team B],AJ93))</f>
        <v/>
      </c>
      <c r="BB93" s="356" t="str">
        <f t="shared" si="72"/>
        <v/>
      </c>
      <c r="BC93" s="356" t="str">
        <f>IF(OR(AI92="",AJ93=""),"",SUMIFS(ResultsTeams[Goal-A],ResultsTeams[Stage],"Groups",ResultsTeams[Team A],AJ93)+SUMIFS(ResultsTeams[Goal-B],ResultsTeams[Stage],"Groups",ResultsTeams[Team B],AJ93))</f>
        <v/>
      </c>
      <c r="BD93" s="356" t="str">
        <f>IF(OR(AI92="",AJ93=""),"",SUMIFS(ResultsTeams[Goal-B],ResultsTeams[Stage],"Groups",ResultsTeams[Team A],AJ93)+SUMIFS(ResultsTeams[Goal-A],ResultsTeams[Stage],"Groups",ResultsTeams[Team B],AJ93))</f>
        <v/>
      </c>
      <c r="BE93" s="357" t="str">
        <f>IF(OR(AI89="",AJ93=""),"",BC93-BD93)</f>
        <v/>
      </c>
      <c r="BF93" s="470" t="str">
        <f>IF(AM93="","",OR(VLOOKUP(AM93,AN90:BE96,3,FALSE),VLOOKUP(AM93,AN90:BE96,6,FALSE)))</f>
        <v/>
      </c>
      <c r="BG93" s="298" t="str">
        <f t="shared" si="71"/>
        <v/>
      </c>
      <c r="BH93" s="285" t="str">
        <f>IF(AM93="","",INDEX(AJ90:AJ96,MATCH(AM93,AN90:AN96,0)))</f>
        <v/>
      </c>
      <c r="BI93" s="286" t="str">
        <f>IF(AM93="","",VLOOKUP(AM93,AN90:BE96,COLUMN()-COLUMN(BB89),FALSE))</f>
        <v/>
      </c>
      <c r="BJ93" s="286" t="str">
        <f>IF(AM93="","",VLOOKUP(AM93,AN90:BE96,COLUMN()-COLUMN(BB89),FALSE))</f>
        <v/>
      </c>
      <c r="BK93" s="286" t="str">
        <f>IF(AM93="","",VLOOKUP(AM93,AN90:BE96,COLUMN()-COLUMN(BB89),FALSE))</f>
        <v/>
      </c>
      <c r="BL93" s="286" t="str">
        <f>IF(AM93="","",VLOOKUP(AM93,AN90:BE96,COLUMN()-COLUMN(BB89),FALSE))</f>
        <v/>
      </c>
      <c r="BM93" s="286" t="str">
        <f>IF(AM93="","",VLOOKUP(AM93,AN90:BE96,COLUMN()-COLUMN(BB89),FALSE))</f>
        <v/>
      </c>
      <c r="BN93" s="349" t="str">
        <f>IF(AM93="","",VLOOKUP(AM93,AN90:BE96,COLUMN()-COLUMN(BB89),FALSE))</f>
        <v/>
      </c>
      <c r="BO93" s="298" t="str">
        <f>IF(AM93="","",VLOOKUP(AM93,AN90:BE96,COLUMN()-COLUMN(BB89),FALSE))</f>
        <v/>
      </c>
      <c r="BP93" s="286" t="str">
        <f>IF(AM93="","",VLOOKUP(AM93,AN90:BE96,COLUMN()-COLUMN(BB89),FALSE))</f>
        <v/>
      </c>
      <c r="BQ93" s="301" t="str">
        <f>IF(AM93="","",VLOOKUP(AM93,AN90:BE96,COLUMN()-COLUMN(BB89),FALSE))</f>
        <v/>
      </c>
      <c r="BR93" s="352" t="str">
        <f>IF(AM93="","",VLOOKUP(AM93,AN90:BE96,COLUMN()-COLUMN(BB89),FALSE))</f>
        <v/>
      </c>
      <c r="BS93" s="286" t="str">
        <f>IF(AM93="","",VLOOKUP(AM93,AN90:BE96,COLUMN()-COLUMN(BB89),FALSE))</f>
        <v/>
      </c>
      <c r="BT93" s="301" t="str">
        <f>IF(AM93="","",VLOOKUP(AM93,AN90:BE96,COLUMN()-COLUMN(BB89),FALSE))</f>
        <v/>
      </c>
    </row>
    <row r="94" spans="1:72" x14ac:dyDescent="0.2">
      <c r="A94" s="62"/>
      <c r="B94" s="62"/>
      <c r="C94" s="62"/>
      <c r="D94" s="62"/>
      <c r="E94" s="241" t="s">
        <v>12243</v>
      </c>
      <c r="F94" s="247"/>
      <c r="G94" s="247"/>
      <c r="H94" s="254"/>
      <c r="I94" s="254"/>
      <c r="J94" s="260"/>
      <c r="K94" s="364"/>
      <c r="L94" s="364"/>
      <c r="M94" s="247"/>
      <c r="N94" s="265" t="b">
        <f>NOT(ISERROR(ResultsTeams[[#This Row],[Goal-A]]+ResultsTeams[[#This Row],[Goal-B]]))</f>
        <v>0</v>
      </c>
      <c r="O94" s="265" t="str">
        <f>IF(ResultsTeams[[#This Row],[Type]]="G",SUM(O95:O98),IF(LEFT(ResultsTeams[[#This Row],[Type]],1)="P",IF(ResultsTeams[[#This Row],[Goal-A]]&gt;ResultsTeams[[#This Row],[Goal-B]],1,0),""))</f>
        <v/>
      </c>
      <c r="P94" s="265" t="str">
        <f>IF(ResultsTeams[[#This Row],[Type]]="G",SUM(P95:P98),IF(LEFT(ResultsTeams[[#This Row],[Type]],1)="P",IF(ResultsTeams[[#This Row],[Goal-A]]&lt;ResultsTeams[[#This Row],[Goal-B]],1,0),""))</f>
        <v/>
      </c>
      <c r="Q94" s="265" t="str">
        <f>IF(ResultsTeams[[#This Row],[Type]]="G",SUM(Q95:Q98),IF(LEFT(ResultsTeams[[#This Row],[Type]],1)="P",VALUE(ResultsTeams[[#This Row],[Score-A]]),""))</f>
        <v/>
      </c>
      <c r="R94" s="265" t="str">
        <f>IF(ResultsTeams[[#This Row],[Type]]="G",SUM(R95:R98),IF(LEFT(ResultsTeams[[#This Row],[Type]],1)="P",VALUE(ResultsTeams[[#This Row],[Score-B]]),""))</f>
        <v/>
      </c>
      <c r="S94" s="265" t="str">
        <f ca="1">IF(AND(ResultsTeams[[#This Row],[Category]]&lt;&gt;"",ResultsTeams[[#This Row],[Team A]]&lt;&gt;""),COUNTIF(INDIRECT("TeamsList[Club Name]"),ResultsTeams[[#This Row],[Team A]]),"")</f>
        <v/>
      </c>
      <c r="T94" s="265" t="str">
        <f ca="1">IF(AND(ResultsTeams[[#This Row],[Category]]&lt;&gt;"",ResultsTeams[[#This Row],[Team B]]&lt;&gt;""),COUNTIF(INDIRECT("TeamsList[Club Name]"),ResultsTeams[[#This Row],[Team B]]),"")</f>
        <v/>
      </c>
      <c r="U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4" s="265" t="str">
        <f>IF(ResultsTeams[[#This Row],[Score_OK]],IF(ResultsTeams[[#This Row],[StageCpy]]="Groups",ResultsTeams[[#This Row],[Category]]&amp;"-"&amp;IF(ResultsTeams[[#This Row],[Team B]]="","",IF(ResultsTeams[[#This Row],[Match-A]]=ResultsTeams[[#This Row],[Match-B]],ResultsTeams[[#This Row],[Team A]],"")),""),"")</f>
        <v/>
      </c>
      <c r="W94" s="265" t="str">
        <f>IF(ResultsTeams[[#This Row],[Score_OK]],IF(ResultsTeams[[#This Row],[StageCpy]]="Groups",ResultsTeams[[#This Row],[Category]]&amp;"-"&amp;IF(ResultsTeams[[#This Row],[Team B]]="","",IF(ResultsTeams[[#This Row],[Match-A]]=ResultsTeams[[#This Row],[Match-B]],ResultsTeams[[#This Row],[Team B]],"")),""),"")</f>
        <v/>
      </c>
      <c r="X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4" s="264" t="str">
        <f>IF(ResultsTeams[[#This Row],[Category]]="","",VLOOKUP(ResultsTeams[[#This Row],[Stage]],$R$1:$T$8,MATCH(ResultsTeams[[#This Row],[Category]],$S$1:$T$1,0)+1,FALSE))</f>
        <v/>
      </c>
      <c r="AC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4" s="264" t="str">
        <f>IF(ResultsTeams[[#This Row],[Type]]="G",ResultsTeams[[#This Row],[Stage]],AD93)</f>
        <v>Groups</v>
      </c>
      <c r="AE94" s="395" t="str">
        <f>IF(ResultsTeams[[#This Row],[Type]]="G",INDEX(TeamsList[Club Name],MATCH(ResultsTeams[[#This Row],[Team A]],TeamsList[Team Name],0)),AE93)</f>
        <v>Wobbly Hobby Subbuteo Club</v>
      </c>
      <c r="AF94" s="395" t="str">
        <f>IF(ResultsTeams[[#This Row],[Type]]="G",INDEX(TeamsList[Club Name],MATCH(ResultsTeams[[#This Row],[Team B]],TeamsList[Team Name],0)),AF93)</f>
        <v>Avenir Subbuteo Hennuyer</v>
      </c>
      <c r="AG94" s="265"/>
      <c r="AH94" s="91"/>
      <c r="AI94" s="12">
        <f t="shared" si="73"/>
        <v>0</v>
      </c>
      <c r="AJ94" s="309"/>
      <c r="AK94" s="310"/>
      <c r="AL94" s="311"/>
      <c r="AM94" s="292" t="str">
        <f>IF(AV94="","",SMALL(AN90:AN96,ROWS(AM90:AM94)))</f>
        <v/>
      </c>
      <c r="AN94" s="293" t="str">
        <f>IF(AV94="","",RANK(AR94,AR90:AR96)*1000+ROWS(AN90:AN94))</f>
        <v/>
      </c>
      <c r="AO94" s="316" t="str">
        <f t="shared" si="66"/>
        <v/>
      </c>
      <c r="AP94" s="415" t="b">
        <f>AND(AU94&lt;&gt;"",AU94&gt;0,COUNTIF(AO90:AO96,AO94)&gt;1)</f>
        <v>0</v>
      </c>
      <c r="AQ94" s="316" t="str">
        <f t="shared" si="67"/>
        <v/>
      </c>
      <c r="AR94" s="317" t="str">
        <f t="shared" si="68"/>
        <v/>
      </c>
      <c r="AS94" s="415" t="b">
        <f>AND(AU94&lt;&gt;"",AU94&gt;0,COUNTIF(AR90:AR96,AR94)&gt;1)</f>
        <v>0</v>
      </c>
      <c r="AT94" s="355" t="str">
        <f t="shared" si="69"/>
        <v/>
      </c>
      <c r="AU94" s="356" t="str">
        <f t="shared" si="70"/>
        <v/>
      </c>
      <c r="AV94" s="356" t="str">
        <f>IF(OR(AI89="",AJ94=""),"",COUNTIF(ResultsTeams[Win],AI89&amp;"-"&amp;AJ94))</f>
        <v/>
      </c>
      <c r="AW94" s="356" t="str">
        <f>IF(OR(AI89="",AJ94=""),"",COUNTIF(ResultsTeams[[Draw1]:[Draw2]],AI89&amp;"-"&amp;AJ94))</f>
        <v/>
      </c>
      <c r="AX94" s="356" t="str">
        <f>IF(OR(AI89="",AJ94=""),"",COUNTIF(ResultsTeams[Lose],AI89&amp;"-"&amp;AJ94))</f>
        <v/>
      </c>
      <c r="AY94" s="356" t="str">
        <f>IF(OR(AI89="",AJ94=""),"",AV94-AX94)</f>
        <v/>
      </c>
      <c r="AZ94" s="356" t="str">
        <f>IF(OR(AI93="",AJ94=""),"",SUMIFS(ResultsTeams[Match-A],ResultsTeams[Stage],"Groups",ResultsTeams[Team A],AJ94)+SUMIFS(ResultsTeams[Match-B],ResultsTeams[Stage],"Groups",ResultsTeams[Team B],AJ94))</f>
        <v/>
      </c>
      <c r="BA94" s="356" t="str">
        <f>IF(OR(AI93="",AJ94=""),"",SUMIFS(ResultsTeams[Match-B],ResultsTeams[Stage],"Groups",ResultsTeams[Team A],AJ94)+SUMIFS(ResultsTeams[Match-A],ResultsTeams[Stage],"Groups",ResultsTeams[Team B],AJ94))</f>
        <v/>
      </c>
      <c r="BB94" s="356" t="str">
        <f t="shared" si="72"/>
        <v/>
      </c>
      <c r="BC94" s="356" t="str">
        <f>IF(OR(AI93="",AJ94=""),"",SUMIFS(ResultsTeams[Goal-A],ResultsTeams[Stage],"Groups",ResultsTeams[Team A],AJ94)+SUMIFS(ResultsTeams[Goal-B],ResultsTeams[Stage],"Groups",ResultsTeams[Team B],AJ94))</f>
        <v/>
      </c>
      <c r="BD94" s="356" t="str">
        <f>IF(OR(AI93="",AJ94=""),"",SUMIFS(ResultsTeams[Goal-B],ResultsTeams[Stage],"Groups",ResultsTeams[Team A],AJ94)+SUMIFS(ResultsTeams[Goal-A],ResultsTeams[Stage],"Groups",ResultsTeams[Team B],AJ94))</f>
        <v/>
      </c>
      <c r="BE94" s="357" t="str">
        <f>IF(OR(AI89="",AJ94=""),"",BC94-BD94)</f>
        <v/>
      </c>
      <c r="BF94" s="470" t="str">
        <f>IF(AM94="","",OR(VLOOKUP(AM94,AN90:BE96,3,FALSE),VLOOKUP(AM94,AN90:BE96,6,FALSE)))</f>
        <v/>
      </c>
      <c r="BG94" s="298" t="str">
        <f t="shared" si="71"/>
        <v/>
      </c>
      <c r="BH94" s="285" t="str">
        <f>IF(AM94="","",INDEX(AJ90:AJ96,MATCH(AM94,AN90:AN96,0)))</f>
        <v/>
      </c>
      <c r="BI94" s="286" t="str">
        <f>IF(AM94="","",VLOOKUP(AM94,AN90:BE96,COLUMN()-COLUMN(BB89),FALSE))</f>
        <v/>
      </c>
      <c r="BJ94" s="286" t="str">
        <f>IF(AM94="","",VLOOKUP(AM94,AN90:BE96,COLUMN()-COLUMN(BB89),FALSE))</f>
        <v/>
      </c>
      <c r="BK94" s="286" t="str">
        <f>IF(AM94="","",VLOOKUP(AM94,AN90:BE96,COLUMN()-COLUMN(BB89),FALSE))</f>
        <v/>
      </c>
      <c r="BL94" s="286" t="str">
        <f>IF(AM94="","",VLOOKUP(AM94,AN90:BE96,COLUMN()-COLUMN(BB89),FALSE))</f>
        <v/>
      </c>
      <c r="BM94" s="286" t="str">
        <f>IF(AM94="","",VLOOKUP(AM94,AN90:BE96,COLUMN()-COLUMN(BB89),FALSE))</f>
        <v/>
      </c>
      <c r="BN94" s="349" t="str">
        <f>IF(AM94="","",VLOOKUP(AM94,AN90:BE96,COLUMN()-COLUMN(BB89),FALSE))</f>
        <v/>
      </c>
      <c r="BO94" s="298" t="str">
        <f>IF(AM94="","",VLOOKUP(AM94,AN90:BE96,COLUMN()-COLUMN(BB89),FALSE))</f>
        <v/>
      </c>
      <c r="BP94" s="286" t="str">
        <f>IF(AM94="","",VLOOKUP(AM94,AN90:BE96,COLUMN()-COLUMN(BB89),FALSE))</f>
        <v/>
      </c>
      <c r="BQ94" s="301" t="str">
        <f>IF(AM94="","",VLOOKUP(AM94,AN90:BE96,COLUMN()-COLUMN(BB89),FALSE))</f>
        <v/>
      </c>
      <c r="BR94" s="352" t="str">
        <f>IF(AM94="","",VLOOKUP(AM94,AN90:BE96,COLUMN()-COLUMN(BB89),FALSE))</f>
        <v/>
      </c>
      <c r="BS94" s="286" t="str">
        <f>IF(AM94="","",VLOOKUP(AM94,AN90:BE96,COLUMN()-COLUMN(BB89),FALSE))</f>
        <v/>
      </c>
      <c r="BT94" s="301" t="str">
        <f>IF(AM94="","",VLOOKUP(AM94,AN90:BE96,COLUMN()-COLUMN(BB89),FALSE))</f>
        <v/>
      </c>
    </row>
    <row r="95" spans="1:72" ht="12" thickBot="1" x14ac:dyDescent="0.25">
      <c r="A95" s="83"/>
      <c r="B95" s="83"/>
      <c r="C95" s="83"/>
      <c r="D95" s="83"/>
      <c r="E95" s="268" t="s">
        <v>12244</v>
      </c>
      <c r="F95" s="262"/>
      <c r="G95" s="262"/>
      <c r="H95" s="324"/>
      <c r="I95" s="324"/>
      <c r="J95" s="263"/>
      <c r="K95" s="365"/>
      <c r="L95" s="365"/>
      <c r="M95" s="262"/>
      <c r="N95" s="265" t="b">
        <f>NOT(ISERROR(ResultsTeams[[#This Row],[Goal-A]]+ResultsTeams[[#This Row],[Goal-B]]))</f>
        <v>0</v>
      </c>
      <c r="O95" s="265" t="str">
        <f>IF(ResultsTeams[[#This Row],[Type]]="G",SUM(O96:O99),IF(LEFT(ResultsTeams[[#This Row],[Type]],1)="P",IF(ResultsTeams[[#This Row],[Goal-A]]&gt;ResultsTeams[[#This Row],[Goal-B]],1,0),""))</f>
        <v/>
      </c>
      <c r="P95" s="265" t="str">
        <f>IF(ResultsTeams[[#This Row],[Type]]="G",SUM(P96:P99),IF(LEFT(ResultsTeams[[#This Row],[Type]],1)="P",IF(ResultsTeams[[#This Row],[Goal-A]]&lt;ResultsTeams[[#This Row],[Goal-B]],1,0),""))</f>
        <v/>
      </c>
      <c r="Q95" s="265" t="str">
        <f>IF(ResultsTeams[[#This Row],[Type]]="G",SUM(Q96:Q99),IF(LEFT(ResultsTeams[[#This Row],[Type]],1)="P",VALUE(ResultsTeams[[#This Row],[Score-A]]),""))</f>
        <v/>
      </c>
      <c r="R95" s="265" t="str">
        <f>IF(ResultsTeams[[#This Row],[Type]]="G",SUM(R96:R99),IF(LEFT(ResultsTeams[[#This Row],[Type]],1)="P",VALUE(ResultsTeams[[#This Row],[Score-B]]),""))</f>
        <v/>
      </c>
      <c r="S95" s="265" t="str">
        <f ca="1">IF(AND(ResultsTeams[[#This Row],[Category]]&lt;&gt;"",ResultsTeams[[#This Row],[Team A]]&lt;&gt;""),COUNTIF(INDIRECT("TeamsList[Club Name]"),ResultsTeams[[#This Row],[Team A]]),"")</f>
        <v/>
      </c>
      <c r="T95" s="265" t="str">
        <f ca="1">IF(AND(ResultsTeams[[#This Row],[Category]]&lt;&gt;"",ResultsTeams[[#This Row],[Team B]]&lt;&gt;""),COUNTIF(INDIRECT("TeamsList[Club Name]"),ResultsTeams[[#This Row],[Team B]]),"")</f>
        <v/>
      </c>
      <c r="U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5" s="265" t="str">
        <f>IF(ResultsTeams[[#This Row],[Score_OK]],IF(ResultsTeams[[#This Row],[StageCpy]]="Groups",ResultsTeams[[#This Row],[Category]]&amp;"-"&amp;IF(ResultsTeams[[#This Row],[Team B]]="","",IF(ResultsTeams[[#This Row],[Match-A]]=ResultsTeams[[#This Row],[Match-B]],ResultsTeams[[#This Row],[Team A]],"")),""),"")</f>
        <v/>
      </c>
      <c r="W95" s="265" t="str">
        <f>IF(ResultsTeams[[#This Row],[Score_OK]],IF(ResultsTeams[[#This Row],[StageCpy]]="Groups",ResultsTeams[[#This Row],[Category]]&amp;"-"&amp;IF(ResultsTeams[[#This Row],[Team B]]="","",IF(ResultsTeams[[#This Row],[Match-A]]=ResultsTeams[[#This Row],[Match-B]],ResultsTeams[[#This Row],[Team B]],"")),""),"")</f>
        <v/>
      </c>
      <c r="X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5" s="264" t="str">
        <f>IF(ResultsTeams[[#This Row],[Category]]="","",VLOOKUP(ResultsTeams[[#This Row],[Stage]],$R$1:$T$8,MATCH(ResultsTeams[[#This Row],[Category]],$S$1:$T$1,0)+1,FALSE))</f>
        <v/>
      </c>
      <c r="AC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5" s="264" t="str">
        <f>IF(ResultsTeams[[#This Row],[Type]]="G",ResultsTeams[[#This Row],[Stage]],AD94)</f>
        <v>Groups</v>
      </c>
      <c r="AE95" s="395" t="str">
        <f>IF(ResultsTeams[[#This Row],[Type]]="G",INDEX(TeamsList[Club Name],MATCH(ResultsTeams[[#This Row],[Team A]],TeamsList[Team Name],0)),AE94)</f>
        <v>Wobbly Hobby Subbuteo Club</v>
      </c>
      <c r="AF95" s="395" t="str">
        <f>IF(ResultsTeams[[#This Row],[Type]]="G",INDEX(TeamsList[Club Name],MATCH(ResultsTeams[[#This Row],[Team B]],TeamsList[Team Name],0)),AF94)</f>
        <v>Avenir Subbuteo Hennuyer</v>
      </c>
      <c r="AG95" s="265"/>
      <c r="AI95" s="12">
        <f t="shared" si="73"/>
        <v>0</v>
      </c>
      <c r="AJ95" s="309"/>
      <c r="AK95" s="310"/>
      <c r="AL95" s="311"/>
      <c r="AM95" s="292" t="str">
        <f>IF(AV95="","",SMALL(AN90:AN96,ROWS(AM90:AM95)))</f>
        <v/>
      </c>
      <c r="AN95" s="293" t="str">
        <f>IF(AV95="","",RANK(AR95,AR90:AR96)*1000+ROWS(AN90:AN95))</f>
        <v/>
      </c>
      <c r="AO95" s="316" t="str">
        <f t="shared" si="66"/>
        <v/>
      </c>
      <c r="AP95" s="415" t="b">
        <f>AND(AU95&lt;&gt;"",AU95&gt;0,COUNTIF(AO90:AO96,AO95)&gt;1)</f>
        <v>0</v>
      </c>
      <c r="AQ95" s="316" t="str">
        <f t="shared" si="67"/>
        <v/>
      </c>
      <c r="AR95" s="317" t="str">
        <f t="shared" si="68"/>
        <v/>
      </c>
      <c r="AS95" s="415" t="b">
        <f>AND(AU95&lt;&gt;"",AU95&gt;0,COUNTIF(AR90:AR96,AR95)&gt;1)</f>
        <v>0</v>
      </c>
      <c r="AT95" s="355" t="str">
        <f t="shared" si="69"/>
        <v/>
      </c>
      <c r="AU95" s="356" t="str">
        <f t="shared" si="70"/>
        <v/>
      </c>
      <c r="AV95" s="356" t="str">
        <f>IF(OR(AI89="",AJ95=""),"",COUNTIF(ResultsTeams[Win],AI89&amp;"-"&amp;AJ95))</f>
        <v/>
      </c>
      <c r="AW95" s="356" t="str">
        <f>IF(OR(AI89="",AJ95=""),"",COUNTIF(ResultsTeams[[Draw1]:[Draw2]],AI89&amp;"-"&amp;AJ95))</f>
        <v/>
      </c>
      <c r="AX95" s="356" t="str">
        <f>IF(OR(AI89="",AJ95=""),"",COUNTIF(ResultsTeams[Lose],AI89&amp;"-"&amp;AJ95))</f>
        <v/>
      </c>
      <c r="AY95" s="356" t="str">
        <f>IF(OR(AI89="",AJ95=""),"",AV95-AX95)</f>
        <v/>
      </c>
      <c r="AZ95" s="356" t="str">
        <f>IF(OR(AI94="",AJ95=""),"",SUMIFS(ResultsTeams[Match-A],ResultsTeams[Stage],"Groups",ResultsTeams[Team A],AJ95)+SUMIFS(ResultsTeams[Match-B],ResultsTeams[Stage],"Groups",ResultsTeams[Team B],AJ95))</f>
        <v/>
      </c>
      <c r="BA95" s="356" t="str">
        <f>IF(OR(AI94="",AJ95=""),"",SUMIFS(ResultsTeams[Match-B],ResultsTeams[Stage],"Groups",ResultsTeams[Team A],AJ95)+SUMIFS(ResultsTeams[Match-A],ResultsTeams[Stage],"Groups",ResultsTeams[Team B],AJ95))</f>
        <v/>
      </c>
      <c r="BB95" s="356" t="str">
        <f t="shared" si="72"/>
        <v/>
      </c>
      <c r="BC95" s="356" t="str">
        <f>IF(OR(AI94="",AJ95=""),"",SUMIFS(ResultsTeams[Goal-A],ResultsTeams[Stage],"Groups",ResultsTeams[Team A],AJ95)+SUMIFS(ResultsTeams[Goal-B],ResultsTeams[Stage],"Groups",ResultsTeams[Team B],AJ95))</f>
        <v/>
      </c>
      <c r="BD95" s="356" t="str">
        <f>IF(OR(AI94="",AJ95=""),"",SUMIFS(ResultsTeams[Goal-B],ResultsTeams[Stage],"Groups",ResultsTeams[Team A],AJ95)+SUMIFS(ResultsTeams[Goal-A],ResultsTeams[Stage],"Groups",ResultsTeams[Team B],AJ95))</f>
        <v/>
      </c>
      <c r="BE95" s="357" t="str">
        <f>IF(OR(AI89="",AJ95=""),"",BC95-BD95)</f>
        <v/>
      </c>
      <c r="BF95" s="470" t="str">
        <f>IF(AM95="","",OR(VLOOKUP(AM95,AN90:BE96,3,FALSE),VLOOKUP(AM95,AN90:BE96,6,FALSE)))</f>
        <v/>
      </c>
      <c r="BG95" s="298" t="str">
        <f t="shared" si="71"/>
        <v/>
      </c>
      <c r="BH95" s="285" t="str">
        <f>IF(AM95="","",INDEX(AJ90:AJ96,MATCH(AM95,AN90:AN96,0)))</f>
        <v/>
      </c>
      <c r="BI95" s="286" t="str">
        <f>IF(AM95="","",VLOOKUP(AM95,AN90:BE96,COLUMN()-COLUMN(BB89),FALSE))</f>
        <v/>
      </c>
      <c r="BJ95" s="286" t="str">
        <f>IF(AM95="","",VLOOKUP(AM95,AN90:BE96,COLUMN()-COLUMN(BB89),FALSE))</f>
        <v/>
      </c>
      <c r="BK95" s="286" t="str">
        <f>IF(AM95="","",VLOOKUP(AM95,AN90:BE96,COLUMN()-COLUMN(BB89),FALSE))</f>
        <v/>
      </c>
      <c r="BL95" s="286" t="str">
        <f>IF(AM95="","",VLOOKUP(AM95,AN90:BE96,COLUMN()-COLUMN(BB89),FALSE))</f>
        <v/>
      </c>
      <c r="BM95" s="286" t="str">
        <f>IF(AM95="","",VLOOKUP(AM95,AN90:BE96,COLUMN()-COLUMN(BB89),FALSE))</f>
        <v/>
      </c>
      <c r="BN95" s="349" t="str">
        <f>IF(AM95="","",VLOOKUP(AM95,AN90:BE96,COLUMN()-COLUMN(BB89),FALSE))</f>
        <v/>
      </c>
      <c r="BO95" s="298" t="str">
        <f>IF(AM95="","",VLOOKUP(AM95,AN90:BE96,COLUMN()-COLUMN(BB89),FALSE))</f>
        <v/>
      </c>
      <c r="BP95" s="286" t="str">
        <f>IF(AM95="","",VLOOKUP(AM95,AN90:BE96,COLUMN()-COLUMN(BB89),FALSE))</f>
        <v/>
      </c>
      <c r="BQ95" s="301" t="str">
        <f>IF(AM95="","",VLOOKUP(AM95,AN90:BE96,COLUMN()-COLUMN(BB89),FALSE))</f>
        <v/>
      </c>
      <c r="BR95" s="352" t="str">
        <f>IF(AM95="","",VLOOKUP(AM95,AN90:BE96,COLUMN()-COLUMN(BB89),FALSE))</f>
        <v/>
      </c>
      <c r="BS95" s="286" t="str">
        <f>IF(AM95="","",VLOOKUP(AM95,AN90:BE96,COLUMN()-COLUMN(BB89),FALSE))</f>
        <v/>
      </c>
      <c r="BT95" s="301" t="str">
        <f>IF(AM95="","",VLOOKUP(AM95,AN90:BE96,COLUMN()-COLUMN(BB89),FALSE))</f>
        <v/>
      </c>
    </row>
    <row r="96" spans="1:72" ht="12" thickBot="1" x14ac:dyDescent="0.25">
      <c r="A96" s="261" t="s">
        <v>12693</v>
      </c>
      <c r="B96" s="270" t="s">
        <v>12207</v>
      </c>
      <c r="C96" s="270">
        <v>2</v>
      </c>
      <c r="D96" s="270"/>
      <c r="E96" s="272" t="s">
        <v>12228</v>
      </c>
      <c r="F96" s="273" t="s">
        <v>14589</v>
      </c>
      <c r="G96" s="273" t="s">
        <v>12558</v>
      </c>
      <c r="H96" s="275">
        <v>0</v>
      </c>
      <c r="I96" s="275">
        <v>3</v>
      </c>
      <c r="J96" s="275"/>
      <c r="K96" s="366"/>
      <c r="L96" s="366"/>
      <c r="M96" s="274"/>
      <c r="N96" s="265" t="b">
        <f>NOT(ISERROR(ResultsTeams[[#This Row],[Goal-A]]+ResultsTeams[[#This Row],[Goal-B]]))</f>
        <v>1</v>
      </c>
      <c r="O96" s="265">
        <f>IF(ResultsTeams[[#This Row],[Type]]="G",SUM(O97:O100),IF(LEFT(ResultsTeams[[#This Row],[Type]],1)="P",IF(ResultsTeams[[#This Row],[Goal-A]]&gt;ResultsTeams[[#This Row],[Goal-B]],1,0),""))</f>
        <v>0</v>
      </c>
      <c r="P96" s="265">
        <f>IF(ResultsTeams[[#This Row],[Type]]="G",SUM(P97:P100),IF(LEFT(ResultsTeams[[#This Row],[Type]],1)="P",IF(ResultsTeams[[#This Row],[Goal-A]]&lt;ResultsTeams[[#This Row],[Goal-B]],1,0),""))</f>
        <v>3</v>
      </c>
      <c r="Q96" s="265">
        <f>IF(ResultsTeams[[#This Row],[Type]]="G",SUM(Q97:Q100),IF(LEFT(ResultsTeams[[#This Row],[Type]],1)="P",VALUE(ResultsTeams[[#This Row],[Score-A]]),""))</f>
        <v>5</v>
      </c>
      <c r="R96" s="265">
        <f>IF(ResultsTeams[[#This Row],[Type]]="G",SUM(R97:R100),IF(LEFT(ResultsTeams[[#This Row],[Type]],1)="P",VALUE(ResultsTeams[[#This Row],[Score-B]]),""))</f>
        <v>20</v>
      </c>
      <c r="S96" s="265">
        <f ca="1">IF(AND(ResultsTeams[[#This Row],[Category]]&lt;&gt;"",ResultsTeams[[#This Row],[Team A]]&lt;&gt;""),COUNTIF(INDIRECT("TeamsList[Club Name]"),ResultsTeams[[#This Row],[Team A]]),"")</f>
        <v>0</v>
      </c>
      <c r="T96" s="265">
        <f ca="1">IF(AND(ResultsTeams[[#This Row],[Category]]&lt;&gt;"",ResultsTeams[[#This Row],[Team B]]&lt;&gt;""),COUNTIF(INDIRECT("TeamsList[Club Name]"),ResultsTeams[[#This Row],[Team B]]),"")</f>
        <v>1</v>
      </c>
      <c r="U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TEAM-F.lli Bari Reggio Emilia</v>
      </c>
      <c r="V96" s="265" t="str">
        <f>IF(ResultsTeams[[#This Row],[Score_OK]],IF(ResultsTeams[[#This Row],[StageCpy]]="Groups",ResultsTeams[[#This Row],[Category]]&amp;"-"&amp;IF(ResultsTeams[[#This Row],[Team B]]="","",IF(ResultsTeams[[#This Row],[Match-A]]=ResultsTeams[[#This Row],[Match-B]],ResultsTeams[[#This Row],[Team A]],"")),""),"")</f>
        <v>TEAM-</v>
      </c>
      <c r="W96" s="265" t="str">
        <f>IF(ResultsTeams[[#This Row],[Score_OK]],IF(ResultsTeams[[#This Row],[StageCpy]]="Groups",ResultsTeams[[#This Row],[Category]]&amp;"-"&amp;IF(ResultsTeams[[#This Row],[Team B]]="","",IF(ResultsTeams[[#This Row],[Match-A]]=ResultsTeams[[#This Row],[Match-B]],ResultsTeams[[#This Row],[Team B]],"")),""),"")</f>
        <v>TEAM-</v>
      </c>
      <c r="X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2</v>
      </c>
      <c r="Y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2</v>
      </c>
      <c r="AA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2</v>
      </c>
      <c r="AB96" s="264" t="str">
        <f>IF(ResultsTeams[[#This Row],[Category]]="","",VLOOKUP(ResultsTeams[[#This Row],[Stage]],$R$1:$T$8,MATCH(ResultsTeams[[#This Row],[Category]],$S$1:$T$1,0)+1,FALSE))</f>
        <v>PR1</v>
      </c>
      <c r="AC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6" s="264" t="str">
        <f>IF(ResultsTeams[[#This Row],[Type]]="G",ResultsTeams[[#This Row],[Stage]],AD95)</f>
        <v>Groups</v>
      </c>
      <c r="AE96" s="395" t="str">
        <f>IF(ResultsTeams[[#This Row],[Type]]="G",INDEX(TeamsList[Club Name],MATCH(ResultsTeams[[#This Row],[Team A]],TeamsList[Team Name],0)),AE95)</f>
        <v>Avenir Subbuteo Hennuyer</v>
      </c>
      <c r="AF96" s="395" t="str">
        <f>IF(ResultsTeams[[#This Row],[Type]]="G",INDEX(TeamsList[Club Name],MATCH(ResultsTeams[[#This Row],[Team B]],TeamsList[Team Name],0)),AF95)</f>
        <v>F.lli Bari Reggio Emilia</v>
      </c>
      <c r="AG96" s="265"/>
      <c r="AI96" s="12">
        <f t="shared" si="73"/>
        <v>0</v>
      </c>
      <c r="AJ96" s="312"/>
      <c r="AK96" s="313"/>
      <c r="AL96" s="314"/>
      <c r="AM96" s="294" t="str">
        <f>IF(AV96="","",SMALL(AN90:AN96,ROWS(AM90:AM96)))</f>
        <v/>
      </c>
      <c r="AN96" s="295" t="str">
        <f>IF(AV96="","",RANK(AR96,AR90:AR96)*1000+ROWS(AN90:AN96))</f>
        <v/>
      </c>
      <c r="AO96" s="318" t="str">
        <f t="shared" si="66"/>
        <v/>
      </c>
      <c r="AP96" s="416" t="b">
        <f>AND(AU96&lt;&gt;"",AU96&gt;0,COUNTIF(AO90:AO96,AO96)&gt;1)</f>
        <v>0</v>
      </c>
      <c r="AQ96" s="318" t="str">
        <f t="shared" si="67"/>
        <v/>
      </c>
      <c r="AR96" s="319" t="str">
        <f t="shared" si="68"/>
        <v/>
      </c>
      <c r="AS96" s="416" t="b">
        <f>AND(AU96&lt;&gt;"",AU96&gt;0,COUNTIF(AR90:AR96,AR96)&gt;1)</f>
        <v>0</v>
      </c>
      <c r="AT96" s="358" t="str">
        <f t="shared" si="69"/>
        <v/>
      </c>
      <c r="AU96" s="359" t="str">
        <f t="shared" si="70"/>
        <v/>
      </c>
      <c r="AV96" s="359" t="str">
        <f>IF(OR(AI89="",AJ96=""),"",COUNTIF(ResultsTeams[Win],AI89&amp;"-"&amp;AJ96))</f>
        <v/>
      </c>
      <c r="AW96" s="359" t="str">
        <f>IF(OR(AI89="",AJ96=""),"",COUNTIF(ResultsTeams[[Draw1]:[Draw2]],AI89&amp;"-"&amp;AJ96))</f>
        <v/>
      </c>
      <c r="AX96" s="359" t="str">
        <f>IF(OR(AI89="",AJ96=""),"",COUNTIF(ResultsTeams[Lose],AI89&amp;"-"&amp;AJ96))</f>
        <v/>
      </c>
      <c r="AY96" s="359" t="str">
        <f>IF(OR(AI89="",AJ96=""),"",AV96-AX96)</f>
        <v/>
      </c>
      <c r="AZ96" s="359" t="str">
        <f>IF(OR(AI95="",AJ96=""),"",SUMIFS(ResultsTeams[Match-A],ResultsTeams[Stage],"Groups",ResultsTeams[Team A],AJ96)+SUMIFS(ResultsTeams[Match-B],ResultsTeams[Stage],"Groups",ResultsTeams[Team B],AJ96))</f>
        <v/>
      </c>
      <c r="BA96" s="359" t="str">
        <f>IF(OR(AI95="",AJ96=""),"",SUMIFS(ResultsTeams[Match-B],ResultsTeams[Stage],"Groups",ResultsTeams[Team A],AJ96)+SUMIFS(ResultsTeams[Match-A],ResultsTeams[Stage],"Groups",ResultsTeams[Team B],AJ96))</f>
        <v/>
      </c>
      <c r="BB96" s="359" t="str">
        <f t="shared" si="72"/>
        <v/>
      </c>
      <c r="BC96" s="359" t="str">
        <f>IF(OR(AI95="",AJ96=""),"",SUMIFS(ResultsTeams[Goal-A],ResultsTeams[Stage],"Groups",ResultsTeams[Team A],AJ96)+SUMIFS(ResultsTeams[Goal-B],ResultsTeams[Stage],"Groups",ResultsTeams[Team B],AJ96))</f>
        <v/>
      </c>
      <c r="BD96" s="359" t="str">
        <f>IF(OR(AI95="",AJ96=""),"",SUMIFS(ResultsTeams[Goal-B],ResultsTeams[Stage],"Groups",ResultsTeams[Team A],AJ96)+SUMIFS(ResultsTeams[Goal-A],ResultsTeams[Stage],"Groups",ResultsTeams[Team B],AJ96))</f>
        <v/>
      </c>
      <c r="BE96" s="360" t="str">
        <f>IF(OR(AI89="",AJ96=""),"",BC96-BD96)</f>
        <v/>
      </c>
      <c r="BF96" s="470" t="str">
        <f>IF(AM96="","",OR(VLOOKUP(AM96,AN90:BE96,3,FALSE),VLOOKUP(AM96,AN90:BE96,6,FALSE)))</f>
        <v/>
      </c>
      <c r="BG96" s="299" t="str">
        <f t="shared" si="71"/>
        <v/>
      </c>
      <c r="BH96" s="287" t="str">
        <f>IF(AM96="","",INDEX(AJ90:AJ96,MATCH(AM96,AN90:AN96,0)))</f>
        <v/>
      </c>
      <c r="BI96" s="288" t="str">
        <f>IF(AM96="","",VLOOKUP(AM96,AN90:BE96,COLUMN()-COLUMN(BB89),FALSE))</f>
        <v/>
      </c>
      <c r="BJ96" s="288" t="str">
        <f>IF(AM96="","",VLOOKUP(AM96,AN90:BE96,COLUMN()-COLUMN(BB89),FALSE))</f>
        <v/>
      </c>
      <c r="BK96" s="288" t="str">
        <f>IF(AM96="","",VLOOKUP(AM96,AN90:BE96,COLUMN()-COLUMN(BB89),FALSE))</f>
        <v/>
      </c>
      <c r="BL96" s="288" t="str">
        <f>IF(AM96="","",VLOOKUP(AM96,AN90:BE96,COLUMN()-COLUMN(BB89),FALSE))</f>
        <v/>
      </c>
      <c r="BM96" s="288" t="str">
        <f>IF(AM96="","",VLOOKUP(AM96,AN90:BE96,COLUMN()-COLUMN(BB89),FALSE))</f>
        <v/>
      </c>
      <c r="BN96" s="350" t="str">
        <f>IF(AM96="","",VLOOKUP(AM96,AN90:BE96,COLUMN()-COLUMN(BB89),FALSE))</f>
        <v/>
      </c>
      <c r="BO96" s="299" t="str">
        <f>IF(AM96="","",VLOOKUP(AM96,AN90:BE96,COLUMN()-COLUMN(BB89),FALSE))</f>
        <v/>
      </c>
      <c r="BP96" s="288" t="str">
        <f>IF(AM96="","",VLOOKUP(AM96,AN90:BE96,COLUMN()-COLUMN(BB89),FALSE))</f>
        <v/>
      </c>
      <c r="BQ96" s="302" t="str">
        <f>IF(AM96="","",VLOOKUP(AM96,AN90:BE96,COLUMN()-COLUMN(BB89),FALSE))</f>
        <v/>
      </c>
      <c r="BR96" s="353" t="str">
        <f>IF(AM96="","",VLOOKUP(AM96,AN90:BE96,COLUMN()-COLUMN(BB89),FALSE))</f>
        <v/>
      </c>
      <c r="BS96" s="288" t="str">
        <f>IF(AM96="","",VLOOKUP(AM96,AN90:BE96,COLUMN()-COLUMN(BB89),FALSE))</f>
        <v/>
      </c>
      <c r="BT96" s="302" t="str">
        <f>IF(AM96="","",VLOOKUP(AM96,AN90:BE96,COLUMN()-COLUMN(BB89),FALSE))</f>
        <v/>
      </c>
    </row>
    <row r="97" spans="1:72" ht="12" thickBot="1" x14ac:dyDescent="0.25">
      <c r="A97" s="60"/>
      <c r="B97" s="280"/>
      <c r="C97" s="60"/>
      <c r="D97" s="60"/>
      <c r="E97" s="240" t="s">
        <v>12231</v>
      </c>
      <c r="F97" s="244" t="s">
        <v>8098</v>
      </c>
      <c r="G97" s="244" t="s">
        <v>9915</v>
      </c>
      <c r="H97" s="253">
        <v>0</v>
      </c>
      <c r="I97" s="253">
        <v>5</v>
      </c>
      <c r="J97" s="253"/>
      <c r="K97" s="362"/>
      <c r="L97" s="362"/>
      <c r="M97" s="245"/>
      <c r="N97" s="265" t="b">
        <f>NOT(ISERROR(ResultsTeams[[#This Row],[Goal-A]]+ResultsTeams[[#This Row],[Goal-B]]))</f>
        <v>1</v>
      </c>
      <c r="O97" s="265">
        <f>IF(ResultsTeams[[#This Row],[Type]]="G",SUM(O98:O101),IF(LEFT(ResultsTeams[[#This Row],[Type]],1)="P",IF(ResultsTeams[[#This Row],[Goal-A]]&gt;ResultsTeams[[#This Row],[Goal-B]],1,0),""))</f>
        <v>0</v>
      </c>
      <c r="P97" s="265">
        <f>IF(ResultsTeams[[#This Row],[Type]]="G",SUM(P98:P101),IF(LEFT(ResultsTeams[[#This Row],[Type]],1)="P",IF(ResultsTeams[[#This Row],[Goal-A]]&lt;ResultsTeams[[#This Row],[Goal-B]],1,0),""))</f>
        <v>1</v>
      </c>
      <c r="Q97" s="265">
        <f>IF(ResultsTeams[[#This Row],[Type]]="G",SUM(Q98:Q101),IF(LEFT(ResultsTeams[[#This Row],[Type]],1)="P",VALUE(ResultsTeams[[#This Row],[Score-A]]),""))</f>
        <v>0</v>
      </c>
      <c r="R97" s="265">
        <f>IF(ResultsTeams[[#This Row],[Type]]="G",SUM(R98:R101),IF(LEFT(ResultsTeams[[#This Row],[Type]],1)="P",VALUE(ResultsTeams[[#This Row],[Score-B]]),""))</f>
        <v>5</v>
      </c>
      <c r="S97" s="265" t="str">
        <f ca="1">IF(AND(ResultsTeams[[#This Row],[Category]]&lt;&gt;"",ResultsTeams[[#This Row],[Team A]]&lt;&gt;""),COUNTIF(INDIRECT("TeamsList[Club Name]"),ResultsTeams[[#This Row],[Team A]]),"")</f>
        <v/>
      </c>
      <c r="T97" s="265" t="str">
        <f ca="1">IF(AND(ResultsTeams[[#This Row],[Category]]&lt;&gt;"",ResultsTeams[[#This Row],[Team B]]&lt;&gt;""),COUNTIF(INDIRECT("TeamsList[Club Name]"),ResultsTeams[[#This Row],[Team B]]),"")</f>
        <v/>
      </c>
      <c r="U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-Emanuele Licheri</v>
      </c>
      <c r="V97" s="265" t="str">
        <f>IF(ResultsTeams[[#This Row],[Score_OK]],IF(ResultsTeams[[#This Row],[StageCpy]]="Groups",ResultsTeams[[#This Row],[Category]]&amp;"-"&amp;IF(ResultsTeams[[#This Row],[Team B]]="","",IF(ResultsTeams[[#This Row],[Match-A]]=ResultsTeams[[#This Row],[Match-B]],ResultsTeams[[#This Row],[Team A]],"")),""),"")</f>
        <v>-</v>
      </c>
      <c r="W97" s="265" t="str">
        <f>IF(ResultsTeams[[#This Row],[Score_OK]],IF(ResultsTeams[[#This Row],[StageCpy]]="Groups",ResultsTeams[[#This Row],[Category]]&amp;"-"&amp;IF(ResultsTeams[[#This Row],[Team B]]="","",IF(ResultsTeams[[#This Row],[Match-A]]=ResultsTeams[[#This Row],[Match-B]],ResultsTeams[[#This Row],[Team B]],"")),""),"")</f>
        <v>-</v>
      </c>
      <c r="X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-Laurent Goor</v>
      </c>
      <c r="Y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7" s="264" t="str">
        <f>IF(ResultsTeams[[#This Row],[Category]]="","",VLOOKUP(ResultsTeams[[#This Row],[Stage]],$R$1:$T$8,MATCH(ResultsTeams[[#This Row],[Category]],$S$1:$T$1,0)+1,FALSE))</f>
        <v/>
      </c>
      <c r="AC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7" s="264" t="str">
        <f>IF(ResultsTeams[[#This Row],[Type]]="G",ResultsTeams[[#This Row],[Stage]],AD96)</f>
        <v>Groups</v>
      </c>
      <c r="AE97" s="395" t="str">
        <f>IF(ResultsTeams[[#This Row],[Type]]="G",INDEX(TeamsList[Club Name],MATCH(ResultsTeams[[#This Row],[Team A]],TeamsList[Team Name],0)),AE96)</f>
        <v>Avenir Subbuteo Hennuyer</v>
      </c>
      <c r="AF97" s="395" t="str">
        <f>IF(ResultsTeams[[#This Row],[Type]]="G",INDEX(TeamsList[Club Name],MATCH(ResultsTeams[[#This Row],[Team B]],TeamsList[Team Name],0)),AF96)</f>
        <v>F.lli Bari Reggio Emilia</v>
      </c>
      <c r="AG97" s="265"/>
    </row>
    <row r="98" spans="1:72" ht="12" thickBot="1" x14ac:dyDescent="0.25">
      <c r="A98" s="62"/>
      <c r="B98" s="280"/>
      <c r="C98" s="62"/>
      <c r="D98" s="62"/>
      <c r="E98" s="241" t="s">
        <v>12234</v>
      </c>
      <c r="F98" s="246" t="s">
        <v>8091</v>
      </c>
      <c r="G98" s="246" t="s">
        <v>12894</v>
      </c>
      <c r="H98" s="254">
        <v>3</v>
      </c>
      <c r="I98" s="254">
        <v>3</v>
      </c>
      <c r="J98" s="254"/>
      <c r="K98" s="363"/>
      <c r="L98" s="363"/>
      <c r="M98" s="247"/>
      <c r="N98" s="265" t="b">
        <f>NOT(ISERROR(ResultsTeams[[#This Row],[Goal-A]]+ResultsTeams[[#This Row],[Goal-B]]))</f>
        <v>1</v>
      </c>
      <c r="O98" s="265">
        <f>IF(ResultsTeams[[#This Row],[Type]]="G",SUM(O99:O102),IF(LEFT(ResultsTeams[[#This Row],[Type]],1)="P",IF(ResultsTeams[[#This Row],[Goal-A]]&gt;ResultsTeams[[#This Row],[Goal-B]],1,0),""))</f>
        <v>0</v>
      </c>
      <c r="P98" s="265">
        <f>IF(ResultsTeams[[#This Row],[Type]]="G",SUM(P99:P102),IF(LEFT(ResultsTeams[[#This Row],[Type]],1)="P",IF(ResultsTeams[[#This Row],[Goal-A]]&lt;ResultsTeams[[#This Row],[Goal-B]],1,0),""))</f>
        <v>0</v>
      </c>
      <c r="Q98" s="265">
        <f>IF(ResultsTeams[[#This Row],[Type]]="G",SUM(Q99:Q102),IF(LEFT(ResultsTeams[[#This Row],[Type]],1)="P",VALUE(ResultsTeams[[#This Row],[Score-A]]),""))</f>
        <v>3</v>
      </c>
      <c r="R98" s="265">
        <f>IF(ResultsTeams[[#This Row],[Type]]="G",SUM(R99:R102),IF(LEFT(ResultsTeams[[#This Row],[Type]],1)="P",VALUE(ResultsTeams[[#This Row],[Score-B]]),""))</f>
        <v>3</v>
      </c>
      <c r="S98" s="265" t="str">
        <f ca="1">IF(AND(ResultsTeams[[#This Row],[Category]]&lt;&gt;"",ResultsTeams[[#This Row],[Team A]]&lt;&gt;""),COUNTIF(INDIRECT("TeamsList[Club Name]"),ResultsTeams[[#This Row],[Team A]]),"")</f>
        <v/>
      </c>
      <c r="T98" s="265" t="str">
        <f ca="1">IF(AND(ResultsTeams[[#This Row],[Category]]&lt;&gt;"",ResultsTeams[[#This Row],[Team B]]&lt;&gt;""),COUNTIF(INDIRECT("TeamsList[Club Name]"),ResultsTeams[[#This Row],[Team B]]),"")</f>
        <v/>
      </c>
      <c r="U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98" s="265" t="str">
        <f>IF(ResultsTeams[[#This Row],[Score_OK]],IF(ResultsTeams[[#This Row],[StageCpy]]="Groups",ResultsTeams[[#This Row],[Category]]&amp;"-"&amp;IF(ResultsTeams[[#This Row],[Team B]]="","",IF(ResultsTeams[[#This Row],[Match-A]]=ResultsTeams[[#This Row],[Match-B]],ResultsTeams[[#This Row],[Team A]],"")),""),"")</f>
        <v>-Delphine Dieudonne</v>
      </c>
      <c r="W98" s="265" t="str">
        <f>IF(ResultsTeams[[#This Row],[Score_OK]],IF(ResultsTeams[[#This Row],[StageCpy]]="Groups",ResultsTeams[[#This Row],[Category]]&amp;"-"&amp;IF(ResultsTeams[[#This Row],[Team B]]="","",IF(ResultsTeams[[#This Row],[Match-A]]=ResultsTeams[[#This Row],[Match-B]],ResultsTeams[[#This Row],[Team B]],"")),""),"")</f>
        <v>-Barbara Coriani</v>
      </c>
      <c r="X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8" s="264" t="str">
        <f>IF(ResultsTeams[[#This Row],[Category]]="","",VLOOKUP(ResultsTeams[[#This Row],[Stage]],$R$1:$T$8,MATCH(ResultsTeams[[#This Row],[Category]],$S$1:$T$1,0)+1,FALSE))</f>
        <v/>
      </c>
      <c r="AC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8" s="264" t="str">
        <f>IF(ResultsTeams[[#This Row],[Type]]="G",ResultsTeams[[#This Row],[Stage]],AD97)</f>
        <v>Groups</v>
      </c>
      <c r="AE98" s="395" t="str">
        <f>IF(ResultsTeams[[#This Row],[Type]]="G",INDEX(TeamsList[Club Name],MATCH(ResultsTeams[[#This Row],[Team A]],TeamsList[Team Name],0)),AE97)</f>
        <v>Avenir Subbuteo Hennuyer</v>
      </c>
      <c r="AF98" s="395" t="str">
        <f>IF(ResultsTeams[[#This Row],[Type]]="G",INDEX(TeamsList[Club Name],MATCH(ResultsTeams[[#This Row],[Team B]],TeamsList[Team Name],0)),AF97)</f>
        <v>F.lli Bari Reggio Emilia</v>
      </c>
      <c r="AG98" s="265"/>
      <c r="AH98" s="281" t="str">
        <f>IF(AI98="","",QUOTIENT(COUNTIF(AI$26:AI98,AI98)-1,8)+1)</f>
        <v/>
      </c>
      <c r="AI98" s="315"/>
      <c r="AJ98" s="289" t="s">
        <v>14438</v>
      </c>
      <c r="AK98" s="290" t="s">
        <v>12279</v>
      </c>
      <c r="AL98" s="300" t="s">
        <v>12275</v>
      </c>
      <c r="AM98" s="296" t="s">
        <v>12276</v>
      </c>
      <c r="AN98" s="291" t="s">
        <v>12271</v>
      </c>
      <c r="AO98" s="291" t="s">
        <v>12272</v>
      </c>
      <c r="AP98" s="414" t="s">
        <v>13154</v>
      </c>
      <c r="AQ98" s="291" t="s">
        <v>12273</v>
      </c>
      <c r="AR98" s="297" t="s">
        <v>12274</v>
      </c>
      <c r="AS98" s="414" t="s">
        <v>13154</v>
      </c>
      <c r="AT98" s="296" t="s">
        <v>12199</v>
      </c>
      <c r="AU98" s="291" t="s">
        <v>12200</v>
      </c>
      <c r="AV98" s="291" t="s">
        <v>12201</v>
      </c>
      <c r="AW98" s="291" t="s">
        <v>12202</v>
      </c>
      <c r="AX98" s="291" t="s">
        <v>12203</v>
      </c>
      <c r="AY98" s="291" t="s">
        <v>12697</v>
      </c>
      <c r="AZ98" s="291" t="s">
        <v>12698</v>
      </c>
      <c r="BA98" s="291" t="s">
        <v>12699</v>
      </c>
      <c r="BB98" s="291" t="s">
        <v>12700</v>
      </c>
      <c r="BC98" s="291" t="s">
        <v>12204</v>
      </c>
      <c r="BD98" s="291" t="s">
        <v>12205</v>
      </c>
      <c r="BE98" s="297" t="s">
        <v>12206</v>
      </c>
      <c r="BF98" s="395"/>
      <c r="BG98" s="282" t="s">
        <v>12276</v>
      </c>
      <c r="BH98" s="282" t="s">
        <v>12133</v>
      </c>
      <c r="BI98" s="283" t="s">
        <v>12199</v>
      </c>
      <c r="BJ98" s="283" t="s">
        <v>12200</v>
      </c>
      <c r="BK98" s="283" t="s">
        <v>12201</v>
      </c>
      <c r="BL98" s="283" t="s">
        <v>12202</v>
      </c>
      <c r="BM98" s="283" t="s">
        <v>12203</v>
      </c>
      <c r="BN98" s="290" t="s">
        <v>12697</v>
      </c>
      <c r="BO98" s="354" t="s">
        <v>12698</v>
      </c>
      <c r="BP98" s="283" t="s">
        <v>12699</v>
      </c>
      <c r="BQ98" s="300" t="s">
        <v>12700</v>
      </c>
      <c r="BR98" s="351" t="s">
        <v>12204</v>
      </c>
      <c r="BS98" s="283" t="s">
        <v>12205</v>
      </c>
      <c r="BT98" s="300" t="s">
        <v>12206</v>
      </c>
    </row>
    <row r="99" spans="1:72" x14ac:dyDescent="0.2">
      <c r="A99" s="62"/>
      <c r="B99" s="280"/>
      <c r="C99" s="62"/>
      <c r="D99" s="62"/>
      <c r="E99" s="241" t="s">
        <v>12237</v>
      </c>
      <c r="F99" s="246" t="s">
        <v>8149</v>
      </c>
      <c r="G99" s="246" t="s">
        <v>8610</v>
      </c>
      <c r="H99" s="254">
        <v>0</v>
      </c>
      <c r="I99" s="254">
        <v>6</v>
      </c>
      <c r="J99" s="254"/>
      <c r="K99" s="363"/>
      <c r="L99" s="363"/>
      <c r="M99" s="247"/>
      <c r="N99" s="265" t="b">
        <f>NOT(ISERROR(ResultsTeams[[#This Row],[Goal-A]]+ResultsTeams[[#This Row],[Goal-B]]))</f>
        <v>1</v>
      </c>
      <c r="O99" s="265">
        <f>IF(ResultsTeams[[#This Row],[Type]]="G",SUM(O100:O103),IF(LEFT(ResultsTeams[[#This Row],[Type]],1)="P",IF(ResultsTeams[[#This Row],[Goal-A]]&gt;ResultsTeams[[#This Row],[Goal-B]],1,0),""))</f>
        <v>0</v>
      </c>
      <c r="P99" s="265">
        <f>IF(ResultsTeams[[#This Row],[Type]]="G",SUM(P100:P103),IF(LEFT(ResultsTeams[[#This Row],[Type]],1)="P",IF(ResultsTeams[[#This Row],[Goal-A]]&lt;ResultsTeams[[#This Row],[Goal-B]],1,0),""))</f>
        <v>1</v>
      </c>
      <c r="Q99" s="265">
        <f>IF(ResultsTeams[[#This Row],[Type]]="G",SUM(Q100:Q103),IF(LEFT(ResultsTeams[[#This Row],[Type]],1)="P",VALUE(ResultsTeams[[#This Row],[Score-A]]),""))</f>
        <v>0</v>
      </c>
      <c r="R99" s="265">
        <f>IF(ResultsTeams[[#This Row],[Type]]="G",SUM(R100:R103),IF(LEFT(ResultsTeams[[#This Row],[Type]],1)="P",VALUE(ResultsTeams[[#This Row],[Score-B]]),""))</f>
        <v>6</v>
      </c>
      <c r="S99" s="265" t="str">
        <f ca="1">IF(AND(ResultsTeams[[#This Row],[Category]]&lt;&gt;"",ResultsTeams[[#This Row],[Team A]]&lt;&gt;""),COUNTIF(INDIRECT("TeamsList[Club Name]"),ResultsTeams[[#This Row],[Team A]]),"")</f>
        <v/>
      </c>
      <c r="T99" s="265" t="str">
        <f ca="1">IF(AND(ResultsTeams[[#This Row],[Category]]&lt;&gt;"",ResultsTeams[[#This Row],[Team B]]&lt;&gt;""),COUNTIF(INDIRECT("TeamsList[Club Name]"),ResultsTeams[[#This Row],[Team B]]),"")</f>
        <v/>
      </c>
      <c r="U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-Carlos Flores</v>
      </c>
      <c r="V99" s="265" t="str">
        <f>IF(ResultsTeams[[#This Row],[Score_OK]],IF(ResultsTeams[[#This Row],[StageCpy]]="Groups",ResultsTeams[[#This Row],[Category]]&amp;"-"&amp;IF(ResultsTeams[[#This Row],[Team B]]="","",IF(ResultsTeams[[#This Row],[Match-A]]=ResultsTeams[[#This Row],[Match-B]],ResultsTeams[[#This Row],[Team A]],"")),""),"")</f>
        <v>-</v>
      </c>
      <c r="W99" s="265" t="str">
        <f>IF(ResultsTeams[[#This Row],[Score_OK]],IF(ResultsTeams[[#This Row],[StageCpy]]="Groups",ResultsTeams[[#This Row],[Category]]&amp;"-"&amp;IF(ResultsTeams[[#This Row],[Team B]]="","",IF(ResultsTeams[[#This Row],[Match-A]]=ResultsTeams[[#This Row],[Match-B]],ResultsTeams[[#This Row],[Team B]],"")),""),"")</f>
        <v>-</v>
      </c>
      <c r="X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-Jann Segers</v>
      </c>
      <c r="Y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9" s="264" t="str">
        <f>IF(ResultsTeams[[#This Row],[Category]]="","",VLOOKUP(ResultsTeams[[#This Row],[Stage]],$R$1:$T$8,MATCH(ResultsTeams[[#This Row],[Category]],$S$1:$T$1,0)+1,FALSE))</f>
        <v/>
      </c>
      <c r="AC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9" s="264" t="str">
        <f>IF(ResultsTeams[[#This Row],[Type]]="G",ResultsTeams[[#This Row],[Stage]],AD98)</f>
        <v>Groups</v>
      </c>
      <c r="AE99" s="395" t="str">
        <f>IF(ResultsTeams[[#This Row],[Type]]="G",INDEX(TeamsList[Club Name],MATCH(ResultsTeams[[#This Row],[Team A]],TeamsList[Team Name],0)),AE98)</f>
        <v>Avenir Subbuteo Hennuyer</v>
      </c>
      <c r="AF99" s="395" t="str">
        <f>IF(ResultsTeams[[#This Row],[Type]]="G",INDEX(TeamsList[Club Name],MATCH(ResultsTeams[[#This Row],[Team B]],TeamsList[Team Name],0)),AF98)</f>
        <v>F.lli Bari Reggio Emilia</v>
      </c>
      <c r="AG99" s="265"/>
      <c r="AI99" s="12">
        <f>AI98</f>
        <v>0</v>
      </c>
      <c r="AJ99" s="309"/>
      <c r="AK99" s="320"/>
      <c r="AL99" s="311"/>
      <c r="AM99" s="292" t="str">
        <f>IF(AV99="","",SMALL(AN99:AN105,ROWS(AM99:AM99)))</f>
        <v/>
      </c>
      <c r="AN99" s="293" t="str">
        <f>IF(AV99="","",RANK(AR99,AR99:AR105)*1000+ROWS(AN99:AN99))</f>
        <v/>
      </c>
      <c r="AO99" s="316" t="str">
        <f t="shared" ref="AO99:AO105" si="74">IF(AV99="","",AT99*CritClassEq1_Points+AY99*CritClassEq1_DiffRencontres+BB99*CritClassEq1_DiffMatches+BE99*CritClassEq1_DiffButs+AZ99*CritClassEq1_Matches+BC99*CritClassEq1_Attaque)</f>
        <v/>
      </c>
      <c r="AP99" s="415" t="b">
        <f>AND(AU99&lt;&gt;"",AU99&gt;0,COUNTIF(AO99:AO105,AO99)&gt;1)</f>
        <v>0</v>
      </c>
      <c r="AQ99" s="316" t="str">
        <f t="shared" ref="AQ99:AQ105" si="75">IF(AV99="","",CritClassEq_DiffPart*AK99)</f>
        <v/>
      </c>
      <c r="AR99" s="317" t="str">
        <f t="shared" ref="AR99:AR105" si="76">IF(AV99="","",AO99+AQ99+AT99*CritClassEq2_Points+AY99*CritClassEq2_DiffRencontres+BB99*CritClassEq2_DiffMatches+BE99*CritClassEq2_DiffButs+AZ99*CritClassEq2_Matches+BC99*CritClassEq2_Attaque+AL99)</f>
        <v/>
      </c>
      <c r="AS99" s="415" t="b">
        <f>AND(AU99&lt;&gt;"",AU99&gt;0,COUNTIF(AR99:AR105,AR99)&gt;1)</f>
        <v>0</v>
      </c>
      <c r="AT99" s="355" t="str">
        <f t="shared" ref="AT99:AT105" si="77">IF(AV99="","",(AV99*Points_Victoire)+AW99*Points_Null)</f>
        <v/>
      </c>
      <c r="AU99" s="356" t="str">
        <f t="shared" ref="AU99:AU105" si="78">IF(AV99="","",SUM(AV99:AX99))</f>
        <v/>
      </c>
      <c r="AV99" s="356" t="str">
        <f>IF(OR(AI98="",AJ99=""),"",COUNTIF(ResultsTeams[Win],AI98&amp;"-"&amp;AJ99))</f>
        <v/>
      </c>
      <c r="AW99" s="356" t="str">
        <f>IF(OR(AI98="",AJ99=""),"",COUNTIF(ResultsTeams[[Draw1]:[Draw2]],AI98&amp;"-"&amp;AJ99))</f>
        <v/>
      </c>
      <c r="AX99" s="356" t="str">
        <f>IF(OR(AI98="",AJ99=""),"",COUNTIF(ResultsTeams[Lose],AI98&amp;"-"&amp;AJ99))</f>
        <v/>
      </c>
      <c r="AY99" s="356" t="str">
        <f>IF(OR(AI98="",AJ99=""),"",AV99-AX99)</f>
        <v/>
      </c>
      <c r="AZ99" s="356" t="str">
        <f>IF(OR(AI98="",AJ99=""),"",SUMIFS(ResultsTeams[Match-A],ResultsTeams[Stage],"Groups",ResultsTeams[Team A],AJ99)+SUMIFS(ResultsTeams[Match-B],ResultsTeams[Stage],"Groups",ResultsTeams[Team B],AJ99))</f>
        <v/>
      </c>
      <c r="BA99" s="356" t="str">
        <f>IF(OR(AI98="",AJ99=""),"",SUMIFS(ResultsTeams[Match-B],ResultsTeams[Stage],"Groups",ResultsTeams[Team A],AJ99)+SUMIFS(ResultsTeams[Match-A],ResultsTeams[Stage],"Groups",ResultsTeams[Team B],AJ99))</f>
        <v/>
      </c>
      <c r="BB99" s="356" t="str">
        <f>IF(OR(AI98="",AJ99=""),"",AZ99-BA99)</f>
        <v/>
      </c>
      <c r="BC99" s="356" t="str">
        <f>IF(OR(AI98="",AJ99=""),"",SUMIFS(ResultsTeams[Goal-A],ResultsTeams[Stage],"Groups",ResultsTeams[Team A],AJ99)+SUMIFS(ResultsTeams[Goal-B],ResultsTeams[Stage],"Groups",ResultsTeams[Team B],AJ99))</f>
        <v/>
      </c>
      <c r="BD99" s="356" t="str">
        <f>IF(OR(AI98="",AJ99=""),"",SUMIFS(ResultsTeams[Goal-B],ResultsTeams[Stage],"Groups",ResultsTeams[Team A],AJ99)+SUMIFS(ResultsTeams[Goal-A],ResultsTeams[Stage],"Groups",ResultsTeams[Team B],AJ99))</f>
        <v/>
      </c>
      <c r="BE99" s="357" t="str">
        <f>IF(OR(AI98="",AJ99=""),"",BC99-BD99)</f>
        <v/>
      </c>
      <c r="BF99" s="470" t="str">
        <f>IF(AM99="","",OR(VLOOKUP(AM99,AN99:BE105,3,FALSE),VLOOKUP(AM99,AN99:BE105,6,FALSE)))</f>
        <v/>
      </c>
      <c r="BG99" s="298" t="str">
        <f t="shared" ref="BG99:BG105" si="79">IF(AM99="","",INT(AM99/1000))</f>
        <v/>
      </c>
      <c r="BH99" s="285" t="str">
        <f>IF(AM99="","",INDEX(AJ99:AJ105,MATCH(AM99,AN99:AN105,0)))</f>
        <v/>
      </c>
      <c r="BI99" s="286" t="str">
        <f>IF(AM99="","",VLOOKUP(AM99,AN99:BE105,COLUMN()-COLUMN(BB98),FALSE))</f>
        <v/>
      </c>
      <c r="BJ99" s="286" t="str">
        <f>IF(AM99="","",VLOOKUP(AM99,AN99:BE105,COLUMN()-COLUMN(BB98),FALSE))</f>
        <v/>
      </c>
      <c r="BK99" s="286" t="str">
        <f>IF(AM99="","",VLOOKUP(AM99,AN99:BE105,COLUMN()-COLUMN(BB98),FALSE))</f>
        <v/>
      </c>
      <c r="BL99" s="286" t="str">
        <f>IF(AM99="","",VLOOKUP(AM99,AN99:BE105,COLUMN()-COLUMN(BB98),FALSE))</f>
        <v/>
      </c>
      <c r="BM99" s="286" t="str">
        <f>IF(AM99="","",VLOOKUP(AM99,AN99:BE105,COLUMN()-COLUMN(BB98),FALSE))</f>
        <v/>
      </c>
      <c r="BN99" s="349" t="str">
        <f>IF(AM99="","",VLOOKUP(AM99,AN99:BE105,COLUMN()-COLUMN(BB98),FALSE))</f>
        <v/>
      </c>
      <c r="BO99" s="298" t="str">
        <f>IF(AM99="","",VLOOKUP(AM99,AN99:BE105,COLUMN()-COLUMN(BB98),FALSE))</f>
        <v/>
      </c>
      <c r="BP99" s="286" t="str">
        <f>IF(AM99="","",VLOOKUP(AM99,AN99:BE105,COLUMN()-COLUMN(BB98),FALSE))</f>
        <v/>
      </c>
      <c r="BQ99" s="301" t="str">
        <f>IF(AM99="","",VLOOKUP(AM99,AN99:BE105,COLUMN()-COLUMN(BB98),FALSE))</f>
        <v/>
      </c>
      <c r="BR99" s="352" t="str">
        <f>IF(AM99="","",VLOOKUP(AM99,AN99:BE105,COLUMN()-COLUMN(BB98),FALSE))</f>
        <v/>
      </c>
      <c r="BS99" s="286" t="str">
        <f>IF(AM99="","",VLOOKUP(AM99,AN99:BE105,COLUMN()-COLUMN(BB98),FALSE))</f>
        <v/>
      </c>
      <c r="BT99" s="301" t="str">
        <f>IF(AM99="","",VLOOKUP(AM99,AN99:BE105,COLUMN()-COLUMN(BB98),FALSE))</f>
        <v/>
      </c>
    </row>
    <row r="100" spans="1:72" x14ac:dyDescent="0.2">
      <c r="A100" s="62"/>
      <c r="B100" s="280"/>
      <c r="C100" s="62"/>
      <c r="D100" s="62"/>
      <c r="E100" s="241" t="s">
        <v>12240</v>
      </c>
      <c r="F100" s="246" t="s">
        <v>8714</v>
      </c>
      <c r="G100" s="246" t="s">
        <v>9526</v>
      </c>
      <c r="H100" s="254">
        <v>2</v>
      </c>
      <c r="I100" s="254">
        <v>6</v>
      </c>
      <c r="J100" s="254"/>
      <c r="K100" s="363"/>
      <c r="L100" s="363"/>
      <c r="M100" s="247"/>
      <c r="N100" s="265" t="b">
        <f>NOT(ISERROR(ResultsTeams[[#This Row],[Goal-A]]+ResultsTeams[[#This Row],[Goal-B]]))</f>
        <v>1</v>
      </c>
      <c r="O100" s="265">
        <f>IF(ResultsTeams[[#This Row],[Type]]="G",SUM(O101:O104),IF(LEFT(ResultsTeams[[#This Row],[Type]],1)="P",IF(ResultsTeams[[#This Row],[Goal-A]]&gt;ResultsTeams[[#This Row],[Goal-B]],1,0),""))</f>
        <v>0</v>
      </c>
      <c r="P100" s="265">
        <f>IF(ResultsTeams[[#This Row],[Type]]="G",SUM(P101:P104),IF(LEFT(ResultsTeams[[#This Row],[Type]],1)="P",IF(ResultsTeams[[#This Row],[Goal-A]]&lt;ResultsTeams[[#This Row],[Goal-B]],1,0),""))</f>
        <v>1</v>
      </c>
      <c r="Q100" s="265">
        <f>IF(ResultsTeams[[#This Row],[Type]]="G",SUM(Q101:Q104),IF(LEFT(ResultsTeams[[#This Row],[Type]],1)="P",VALUE(ResultsTeams[[#This Row],[Score-A]]),""))</f>
        <v>2</v>
      </c>
      <c r="R100" s="265">
        <f>IF(ResultsTeams[[#This Row],[Type]]="G",SUM(R101:R104),IF(LEFT(ResultsTeams[[#This Row],[Type]],1)="P",VALUE(ResultsTeams[[#This Row],[Score-B]]),""))</f>
        <v>6</v>
      </c>
      <c r="S100" s="265" t="str">
        <f ca="1">IF(AND(ResultsTeams[[#This Row],[Category]]&lt;&gt;"",ResultsTeams[[#This Row],[Team A]]&lt;&gt;""),COUNTIF(INDIRECT("TeamsList[Club Name]"),ResultsTeams[[#This Row],[Team A]]),"")</f>
        <v/>
      </c>
      <c r="T100" s="265" t="str">
        <f ca="1">IF(AND(ResultsTeams[[#This Row],[Category]]&lt;&gt;"",ResultsTeams[[#This Row],[Team B]]&lt;&gt;""),COUNTIF(INDIRECT("TeamsList[Club Name]"),ResultsTeams[[#This Row],[Team B]]),"")</f>
        <v/>
      </c>
      <c r="U1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 Zambello</v>
      </c>
      <c r="V100" s="265" t="str">
        <f>IF(ResultsTeams[[#This Row],[Score_OK]],IF(ResultsTeams[[#This Row],[StageCpy]]="Groups",ResultsTeams[[#This Row],[Category]]&amp;"-"&amp;IF(ResultsTeams[[#This Row],[Team B]]="","",IF(ResultsTeams[[#This Row],[Match-A]]=ResultsTeams[[#This Row],[Match-B]],ResultsTeams[[#This Row],[Team A]],"")),""),"")</f>
        <v>-</v>
      </c>
      <c r="W100" s="265" t="str">
        <f>IF(ResultsTeams[[#This Row],[Score_OK]],IF(ResultsTeams[[#This Row],[StageCpy]]="Groups",ResultsTeams[[#This Row],[Category]]&amp;"-"&amp;IF(ResultsTeams[[#This Row],[Team B]]="","",IF(ResultsTeams[[#This Row],[Match-A]]=ResultsTeams[[#This Row],[Match-B]],ResultsTeams[[#This Row],[Team B]],"")),""),"")</f>
        <v>-</v>
      </c>
      <c r="X1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-Rémi Soret</v>
      </c>
      <c r="Y1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0" s="264" t="str">
        <f>IF(ResultsTeams[[#This Row],[Category]]="","",VLOOKUP(ResultsTeams[[#This Row],[Stage]],$R$1:$T$8,MATCH(ResultsTeams[[#This Row],[Category]],$S$1:$T$1,0)+1,FALSE))</f>
        <v/>
      </c>
      <c r="AC1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0" s="264" t="str">
        <f>IF(ResultsTeams[[#This Row],[Type]]="G",ResultsTeams[[#This Row],[Stage]],AD99)</f>
        <v>Groups</v>
      </c>
      <c r="AE100" s="395" t="str">
        <f>IF(ResultsTeams[[#This Row],[Type]]="G",INDEX(TeamsList[Club Name],MATCH(ResultsTeams[[#This Row],[Team A]],TeamsList[Team Name],0)),AE99)</f>
        <v>Avenir Subbuteo Hennuyer</v>
      </c>
      <c r="AF100" s="395" t="str">
        <f>IF(ResultsTeams[[#This Row],[Type]]="G",INDEX(TeamsList[Club Name],MATCH(ResultsTeams[[#This Row],[Team B]],TeamsList[Team Name],0)),AF99)</f>
        <v>F.lli Bari Reggio Emilia</v>
      </c>
      <c r="AG100" s="265"/>
      <c r="AI100" s="12">
        <f>AI99</f>
        <v>0</v>
      </c>
      <c r="AJ100" s="309"/>
      <c r="AK100" s="320"/>
      <c r="AL100" s="311"/>
      <c r="AM100" s="292" t="str">
        <f>IF(AV100="","",SMALL(AN99:AN105,ROWS(AM99:AM100)))</f>
        <v/>
      </c>
      <c r="AN100" s="293" t="str">
        <f>IF(AV100="","",RANK(AR100,AR99:AR105)*1000+ROWS(AN99:AN100))</f>
        <v/>
      </c>
      <c r="AO100" s="316" t="str">
        <f t="shared" si="74"/>
        <v/>
      </c>
      <c r="AP100" s="415" t="b">
        <f>AND(AU100&lt;&gt;"",AU100&gt;0,COUNTIF(AO99:AO105,AO100)&gt;1)</f>
        <v>0</v>
      </c>
      <c r="AQ100" s="316" t="str">
        <f t="shared" si="75"/>
        <v/>
      </c>
      <c r="AR100" s="317" t="str">
        <f t="shared" si="76"/>
        <v/>
      </c>
      <c r="AS100" s="415" t="b">
        <f>AND(AU100&lt;&gt;"",AU100&gt;0,COUNTIF(AR99:AR105,AR100)&gt;1)</f>
        <v>0</v>
      </c>
      <c r="AT100" s="355" t="str">
        <f t="shared" si="77"/>
        <v/>
      </c>
      <c r="AU100" s="356" t="str">
        <f t="shared" si="78"/>
        <v/>
      </c>
      <c r="AV100" s="356" t="str">
        <f>IF(OR(AI98="",AJ100=""),"",COUNTIF(ResultsTeams[Win],AI98&amp;"-"&amp;AJ100))</f>
        <v/>
      </c>
      <c r="AW100" s="356" t="str">
        <f>IF(OR(AI98="",AJ100=""),"",COUNTIF(ResultsTeams[[Draw1]:[Draw2]],AI98&amp;"-"&amp;AJ100))</f>
        <v/>
      </c>
      <c r="AX100" s="356" t="str">
        <f>IF(OR(AI98="",AJ100=""),"",COUNTIF(ResultsTeams[Lose],AI98&amp;"-"&amp;AJ100))</f>
        <v/>
      </c>
      <c r="AY100" s="356" t="str">
        <f>IF(OR(AI98="",AJ100=""),"",AV100-AX100)</f>
        <v/>
      </c>
      <c r="AZ100" s="356" t="str">
        <f>IF(OR(AI99="",AJ100=""),"",SUMIFS(ResultsTeams[Match-A],ResultsTeams[Stage],"Groups",ResultsTeams[Team A],AJ100)+SUMIFS(ResultsTeams[Match-B],ResultsTeams[Stage],"Groups",ResultsTeams[Team B],AJ100))</f>
        <v/>
      </c>
      <c r="BA100" s="356" t="str">
        <f>IF(OR(AI99="",AJ100=""),"",SUMIFS(ResultsTeams[Match-B],ResultsTeams[Stage],"Groups",ResultsTeams[Team A],AJ100)+SUMIFS(ResultsTeams[Match-A],ResultsTeams[Stage],"Groups",ResultsTeams[Team B],AJ100))</f>
        <v/>
      </c>
      <c r="BB100" s="356" t="str">
        <f t="shared" ref="BB100:BB105" si="80">IF(OR(AI99="",AJ100=""),"",AZ100-BA100)</f>
        <v/>
      </c>
      <c r="BC100" s="356" t="str">
        <f>IF(OR(AI99="",AJ100=""),"",SUMIFS(ResultsTeams[Goal-A],ResultsTeams[Stage],"Groups",ResultsTeams[Team A],AJ100)+SUMIFS(ResultsTeams[Goal-B],ResultsTeams[Stage],"Groups",ResultsTeams[Team B],AJ100))</f>
        <v/>
      </c>
      <c r="BD100" s="356" t="str">
        <f>IF(OR(AI99="",AJ100=""),"",SUMIFS(ResultsTeams[Goal-B],ResultsTeams[Stage],"Groups",ResultsTeams[Team A],AJ100)+SUMIFS(ResultsTeams[Goal-A],ResultsTeams[Stage],"Groups",ResultsTeams[Team B],AJ100))</f>
        <v/>
      </c>
      <c r="BE100" s="357" t="str">
        <f>IF(OR(AI98="",AJ100=""),"",BC100-BD100)</f>
        <v/>
      </c>
      <c r="BF100" s="470" t="str">
        <f>IF(AM100="","",OR(VLOOKUP(AM100,AN99:BE105,3,FALSE),VLOOKUP(AM100,AN99:BE105,6,FALSE)))</f>
        <v/>
      </c>
      <c r="BG100" s="298" t="str">
        <f t="shared" si="79"/>
        <v/>
      </c>
      <c r="BH100" s="285" t="str">
        <f>IF(AM100="","",INDEX(AJ99:AJ105,MATCH(AM100,AN99:AN105,0)))</f>
        <v/>
      </c>
      <c r="BI100" s="286" t="str">
        <f>IF(AM100="","",VLOOKUP(AM100,AN99:BE105,COLUMN()-COLUMN(BB98),FALSE))</f>
        <v/>
      </c>
      <c r="BJ100" s="286" t="str">
        <f>IF(AM100="","",VLOOKUP(AM100,AN99:BE105,COLUMN()-COLUMN(BB98),FALSE))</f>
        <v/>
      </c>
      <c r="BK100" s="286" t="str">
        <f>IF(AM100="","",VLOOKUP(AM100,AN99:BE105,COLUMN()-COLUMN(BB98),FALSE))</f>
        <v/>
      </c>
      <c r="BL100" s="286" t="str">
        <f>IF(AM100="","",VLOOKUP(AM100,AN99:BE105,COLUMN()-COLUMN(BB98),FALSE))</f>
        <v/>
      </c>
      <c r="BM100" s="286" t="str">
        <f>IF(AM100="","",VLOOKUP(AM100,AN99:BE105,COLUMN()-COLUMN(BB98),FALSE))</f>
        <v/>
      </c>
      <c r="BN100" s="349" t="str">
        <f>IF(AM100="","",VLOOKUP(AM100,AN99:BE105,COLUMN()-COLUMN(BB98),FALSE))</f>
        <v/>
      </c>
      <c r="BO100" s="298" t="str">
        <f>IF(AM100="","",VLOOKUP(AM100,AN99:BE105,COLUMN()-COLUMN(BB98),FALSE))</f>
        <v/>
      </c>
      <c r="BP100" s="286" t="str">
        <f>IF(AM100="","",VLOOKUP(AM100,AN99:BE105,COLUMN()-COLUMN(BB98),FALSE))</f>
        <v/>
      </c>
      <c r="BQ100" s="301" t="str">
        <f>IF(AM100="","",VLOOKUP(AM100,AN99:BE105,COLUMN()-COLUMN(BB98),FALSE))</f>
        <v/>
      </c>
      <c r="BR100" s="352" t="str">
        <f>IF(AM100="","",VLOOKUP(AM100,AN99:BE105,COLUMN()-COLUMN(BB98),FALSE))</f>
        <v/>
      </c>
      <c r="BS100" s="286" t="str">
        <f>IF(AM100="","",VLOOKUP(AM100,AN99:BE105,COLUMN()-COLUMN(BB98),FALSE))</f>
        <v/>
      </c>
      <c r="BT100" s="301" t="str">
        <f>IF(AM100="","",VLOOKUP(AM100,AN99:BE105,COLUMN()-COLUMN(BB98),FALSE))</f>
        <v/>
      </c>
    </row>
    <row r="101" spans="1:72" x14ac:dyDescent="0.2">
      <c r="A101" s="62"/>
      <c r="B101" s="62"/>
      <c r="C101" s="62"/>
      <c r="D101" s="62"/>
      <c r="E101" s="241" t="s">
        <v>12243</v>
      </c>
      <c r="F101" s="247"/>
      <c r="G101" s="247"/>
      <c r="H101" s="254"/>
      <c r="I101" s="254"/>
      <c r="J101" s="260"/>
      <c r="K101" s="364"/>
      <c r="L101" s="364"/>
      <c r="M101" s="63"/>
      <c r="N101" s="265" t="b">
        <f>NOT(ISERROR(ResultsTeams[[#This Row],[Goal-A]]+ResultsTeams[[#This Row],[Goal-B]]))</f>
        <v>0</v>
      </c>
      <c r="O101" s="265" t="str">
        <f>IF(ResultsTeams[[#This Row],[Type]]="G",SUM(O102:O105),IF(LEFT(ResultsTeams[[#This Row],[Type]],1)="P",IF(ResultsTeams[[#This Row],[Goal-A]]&gt;ResultsTeams[[#This Row],[Goal-B]],1,0),""))</f>
        <v/>
      </c>
      <c r="P101" s="265" t="str">
        <f>IF(ResultsTeams[[#This Row],[Type]]="G",SUM(P102:P105),IF(LEFT(ResultsTeams[[#This Row],[Type]],1)="P",IF(ResultsTeams[[#This Row],[Goal-A]]&lt;ResultsTeams[[#This Row],[Goal-B]],1,0),""))</f>
        <v/>
      </c>
      <c r="Q101" s="265" t="str">
        <f>IF(ResultsTeams[[#This Row],[Type]]="G",SUM(Q102:Q105),IF(LEFT(ResultsTeams[[#This Row],[Type]],1)="P",VALUE(ResultsTeams[[#This Row],[Score-A]]),""))</f>
        <v/>
      </c>
      <c r="R101" s="265" t="str">
        <f>IF(ResultsTeams[[#This Row],[Type]]="G",SUM(R102:R105),IF(LEFT(ResultsTeams[[#This Row],[Type]],1)="P",VALUE(ResultsTeams[[#This Row],[Score-B]]),""))</f>
        <v/>
      </c>
      <c r="S101" s="265" t="str">
        <f ca="1">IF(AND(ResultsTeams[[#This Row],[Category]]&lt;&gt;"",ResultsTeams[[#This Row],[Team A]]&lt;&gt;""),COUNTIF(INDIRECT("TeamsList[Club Name]"),ResultsTeams[[#This Row],[Team A]]),"")</f>
        <v/>
      </c>
      <c r="T101" s="265" t="str">
        <f ca="1">IF(AND(ResultsTeams[[#This Row],[Category]]&lt;&gt;"",ResultsTeams[[#This Row],[Team B]]&lt;&gt;""),COUNTIF(INDIRECT("TeamsList[Club Name]"),ResultsTeams[[#This Row],[Team B]]),"")</f>
        <v/>
      </c>
      <c r="U1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1" s="265" t="str">
        <f>IF(ResultsTeams[[#This Row],[Score_OK]],IF(ResultsTeams[[#This Row],[StageCpy]]="Groups",ResultsTeams[[#This Row],[Category]]&amp;"-"&amp;IF(ResultsTeams[[#This Row],[Team B]]="","",IF(ResultsTeams[[#This Row],[Match-A]]=ResultsTeams[[#This Row],[Match-B]],ResultsTeams[[#This Row],[Team A]],"")),""),"")</f>
        <v/>
      </c>
      <c r="W101" s="265" t="str">
        <f>IF(ResultsTeams[[#This Row],[Score_OK]],IF(ResultsTeams[[#This Row],[StageCpy]]="Groups",ResultsTeams[[#This Row],[Category]]&amp;"-"&amp;IF(ResultsTeams[[#This Row],[Team B]]="","",IF(ResultsTeams[[#This Row],[Match-A]]=ResultsTeams[[#This Row],[Match-B]],ResultsTeams[[#This Row],[Team B]],"")),""),"")</f>
        <v/>
      </c>
      <c r="X1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1" s="264" t="str">
        <f>IF(ResultsTeams[[#This Row],[Category]]="","",VLOOKUP(ResultsTeams[[#This Row],[Stage]],$R$1:$T$8,MATCH(ResultsTeams[[#This Row],[Category]],$S$1:$T$1,0)+1,FALSE))</f>
        <v/>
      </c>
      <c r="AC1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1" s="264" t="str">
        <f>IF(ResultsTeams[[#This Row],[Type]]="G",ResultsTeams[[#This Row],[Stage]],AD100)</f>
        <v>Groups</v>
      </c>
      <c r="AE101" s="395" t="str">
        <f>IF(ResultsTeams[[#This Row],[Type]]="G",INDEX(TeamsList[Club Name],MATCH(ResultsTeams[[#This Row],[Team A]],TeamsList[Team Name],0)),AE100)</f>
        <v>Avenir Subbuteo Hennuyer</v>
      </c>
      <c r="AF101" s="395" t="str">
        <f>IF(ResultsTeams[[#This Row],[Type]]="G",INDEX(TeamsList[Club Name],MATCH(ResultsTeams[[#This Row],[Team B]],TeamsList[Team Name],0)),AF100)</f>
        <v>F.lli Bari Reggio Emilia</v>
      </c>
      <c r="AG101" s="265"/>
      <c r="AI101" s="12">
        <f t="shared" ref="AI101:AI105" si="81">AI100</f>
        <v>0</v>
      </c>
      <c r="AJ101" s="309"/>
      <c r="AK101" s="320"/>
      <c r="AL101" s="311"/>
      <c r="AM101" s="292" t="str">
        <f>IF(AV101="","",SMALL(AN99:AN105,ROWS(AM99:AM101)))</f>
        <v/>
      </c>
      <c r="AN101" s="293" t="str">
        <f>IF(AV101="","",RANK(AR101,AR99:AR105)*1000+ROWS(AN99:AN101))</f>
        <v/>
      </c>
      <c r="AO101" s="316" t="str">
        <f t="shared" si="74"/>
        <v/>
      </c>
      <c r="AP101" s="415" t="b">
        <f>AND(AU101&lt;&gt;"",AU101&gt;0,COUNTIF(AO99:AO105,AO101)&gt;1)</f>
        <v>0</v>
      </c>
      <c r="AQ101" s="316" t="str">
        <f t="shared" si="75"/>
        <v/>
      </c>
      <c r="AR101" s="317" t="str">
        <f t="shared" si="76"/>
        <v/>
      </c>
      <c r="AS101" s="415" t="b">
        <f>AND(AU101&lt;&gt;"",AU101&gt;0,COUNTIF(AR99:AR105,AR101)&gt;1)</f>
        <v>0</v>
      </c>
      <c r="AT101" s="355" t="str">
        <f t="shared" si="77"/>
        <v/>
      </c>
      <c r="AU101" s="356" t="str">
        <f t="shared" si="78"/>
        <v/>
      </c>
      <c r="AV101" s="356" t="str">
        <f>IF(OR(AI98="",AJ101=""),"",COUNTIF(ResultsTeams[Win],AI98&amp;"-"&amp;AJ101))</f>
        <v/>
      </c>
      <c r="AW101" s="356" t="str">
        <f>IF(OR(AI98="",AJ101=""),"",COUNTIF(ResultsTeams[[Draw1]:[Draw2]],AI98&amp;"-"&amp;AJ101))</f>
        <v/>
      </c>
      <c r="AX101" s="356" t="str">
        <f>IF(OR(AI98="",AJ101=""),"",COUNTIF(ResultsTeams[Lose],AI98&amp;"-"&amp;AJ101))</f>
        <v/>
      </c>
      <c r="AY101" s="356" t="str">
        <f>IF(OR(AI98="",AJ101=""),"",AV101-AX101)</f>
        <v/>
      </c>
      <c r="AZ101" s="356" t="str">
        <f>IF(OR(AI100="",AJ101=""),"",SUMIFS(ResultsTeams[Match-A],ResultsTeams[Stage],"Groups",ResultsTeams[Team A],AJ101)+SUMIFS(ResultsTeams[Match-B],ResultsTeams[Stage],"Groups",ResultsTeams[Team B],AJ101))</f>
        <v/>
      </c>
      <c r="BA101" s="356" t="str">
        <f>IF(OR(AI100="",AJ101=""),"",SUMIFS(ResultsTeams[Match-B],ResultsTeams[Stage],"Groups",ResultsTeams[Team A],AJ101)+SUMIFS(ResultsTeams[Match-A],ResultsTeams[Stage],"Groups",ResultsTeams[Team B],AJ101))</f>
        <v/>
      </c>
      <c r="BB101" s="356" t="str">
        <f t="shared" si="80"/>
        <v/>
      </c>
      <c r="BC101" s="356" t="str">
        <f>IF(OR(AI100="",AJ101=""),"",SUMIFS(ResultsTeams[Goal-A],ResultsTeams[Stage],"Groups",ResultsTeams[Team A],AJ101)+SUMIFS(ResultsTeams[Goal-B],ResultsTeams[Stage],"Groups",ResultsTeams[Team B],AJ101))</f>
        <v/>
      </c>
      <c r="BD101" s="356" t="str">
        <f>IF(OR(AI100="",AJ101=""),"",SUMIFS(ResultsTeams[Goal-B],ResultsTeams[Stage],"Groups",ResultsTeams[Team A],AJ101)+SUMIFS(ResultsTeams[Goal-A],ResultsTeams[Stage],"Groups",ResultsTeams[Team B],AJ101))</f>
        <v/>
      </c>
      <c r="BE101" s="357" t="str">
        <f>IF(OR(AI98="",AJ101=""),"",BC101-BD101)</f>
        <v/>
      </c>
      <c r="BF101" s="470" t="str">
        <f>IF(AM101="","",OR(VLOOKUP(AM101,AN99:BE105,3,FALSE),VLOOKUP(AM101,AN99:BE105,6,FALSE)))</f>
        <v/>
      </c>
      <c r="BG101" s="298" t="str">
        <f t="shared" si="79"/>
        <v/>
      </c>
      <c r="BH101" s="285" t="str">
        <f>IF(AM101="","",INDEX(AJ99:AJ105,MATCH(AM101,AN99:AN105,0)))</f>
        <v/>
      </c>
      <c r="BI101" s="286" t="str">
        <f>IF(AM101="","",VLOOKUP(AM101,AN99:BE105,COLUMN()-COLUMN(BB98),FALSE))</f>
        <v/>
      </c>
      <c r="BJ101" s="286" t="str">
        <f>IF(AM101="","",VLOOKUP(AM101,AN99:BE105,COLUMN()-COLUMN(BB98),FALSE))</f>
        <v/>
      </c>
      <c r="BK101" s="286" t="str">
        <f>IF(AM101="","",VLOOKUP(AM101,AN99:BE105,COLUMN()-COLUMN(BB98),FALSE))</f>
        <v/>
      </c>
      <c r="BL101" s="286" t="str">
        <f>IF(AM101="","",VLOOKUP(AM101,AN99:BE105,COLUMN()-COLUMN(BB98),FALSE))</f>
        <v/>
      </c>
      <c r="BM101" s="286" t="str">
        <f>IF(AM101="","",VLOOKUP(AM101,AN99:BE105,COLUMN()-COLUMN(BB98),FALSE))</f>
        <v/>
      </c>
      <c r="BN101" s="349" t="str">
        <f>IF(AM101="","",VLOOKUP(AM101,AN99:BE105,COLUMN()-COLUMN(BB98),FALSE))</f>
        <v/>
      </c>
      <c r="BO101" s="298" t="str">
        <f>IF(AM101="","",VLOOKUP(AM101,AN99:BE105,COLUMN()-COLUMN(BB98),FALSE))</f>
        <v/>
      </c>
      <c r="BP101" s="286" t="str">
        <f>IF(AM101="","",VLOOKUP(AM101,AN99:BE105,COLUMN()-COLUMN(BB98),FALSE))</f>
        <v/>
      </c>
      <c r="BQ101" s="301" t="str">
        <f>IF(AM101="","",VLOOKUP(AM101,AN99:BE105,COLUMN()-COLUMN(BB98),FALSE))</f>
        <v/>
      </c>
      <c r="BR101" s="352" t="str">
        <f>IF(AM101="","",VLOOKUP(AM101,AN99:BE105,COLUMN()-COLUMN(BB98),FALSE))</f>
        <v/>
      </c>
      <c r="BS101" s="286" t="str">
        <f>IF(AM101="","",VLOOKUP(AM101,AN99:BE105,COLUMN()-COLUMN(BB98),FALSE))</f>
        <v/>
      </c>
      <c r="BT101" s="301" t="str">
        <f>IF(AM101="","",VLOOKUP(AM101,AN99:BE105,COLUMN()-COLUMN(BB98),FALSE))</f>
        <v/>
      </c>
    </row>
    <row r="102" spans="1:72" ht="12" thickBot="1" x14ac:dyDescent="0.25">
      <c r="A102" s="83"/>
      <c r="B102" s="83"/>
      <c r="C102" s="83"/>
      <c r="D102" s="83"/>
      <c r="E102" s="268" t="s">
        <v>12244</v>
      </c>
      <c r="F102" s="262"/>
      <c r="G102" s="262"/>
      <c r="H102" s="324"/>
      <c r="I102" s="324"/>
      <c r="J102" s="263"/>
      <c r="K102" s="365"/>
      <c r="L102" s="365"/>
      <c r="M102" s="84"/>
      <c r="N102" s="265" t="b">
        <f>NOT(ISERROR(ResultsTeams[[#This Row],[Goal-A]]+ResultsTeams[[#This Row],[Goal-B]]))</f>
        <v>0</v>
      </c>
      <c r="O102" s="265" t="str">
        <f>IF(ResultsTeams[[#This Row],[Type]]="G",SUM(O103:O106),IF(LEFT(ResultsTeams[[#This Row],[Type]],1)="P",IF(ResultsTeams[[#This Row],[Goal-A]]&gt;ResultsTeams[[#This Row],[Goal-B]],1,0),""))</f>
        <v/>
      </c>
      <c r="P102" s="265" t="str">
        <f>IF(ResultsTeams[[#This Row],[Type]]="G",SUM(P103:P106),IF(LEFT(ResultsTeams[[#This Row],[Type]],1)="P",IF(ResultsTeams[[#This Row],[Goal-A]]&lt;ResultsTeams[[#This Row],[Goal-B]],1,0),""))</f>
        <v/>
      </c>
      <c r="Q102" s="265" t="str">
        <f>IF(ResultsTeams[[#This Row],[Type]]="G",SUM(Q103:Q106),IF(LEFT(ResultsTeams[[#This Row],[Type]],1)="P",VALUE(ResultsTeams[[#This Row],[Score-A]]),""))</f>
        <v/>
      </c>
      <c r="R102" s="265" t="str">
        <f>IF(ResultsTeams[[#This Row],[Type]]="G",SUM(R103:R106),IF(LEFT(ResultsTeams[[#This Row],[Type]],1)="P",VALUE(ResultsTeams[[#This Row],[Score-B]]),""))</f>
        <v/>
      </c>
      <c r="S102" s="265" t="str">
        <f ca="1">IF(AND(ResultsTeams[[#This Row],[Category]]&lt;&gt;"",ResultsTeams[[#This Row],[Team A]]&lt;&gt;""),COUNTIF(INDIRECT("TeamsList[Club Name]"),ResultsTeams[[#This Row],[Team A]]),"")</f>
        <v/>
      </c>
      <c r="T102" s="265" t="str">
        <f ca="1">IF(AND(ResultsTeams[[#This Row],[Category]]&lt;&gt;"",ResultsTeams[[#This Row],[Team B]]&lt;&gt;""),COUNTIF(INDIRECT("TeamsList[Club Name]"),ResultsTeams[[#This Row],[Team B]]),"")</f>
        <v/>
      </c>
      <c r="U1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2" s="265" t="str">
        <f>IF(ResultsTeams[[#This Row],[Score_OK]],IF(ResultsTeams[[#This Row],[StageCpy]]="Groups",ResultsTeams[[#This Row],[Category]]&amp;"-"&amp;IF(ResultsTeams[[#This Row],[Team B]]="","",IF(ResultsTeams[[#This Row],[Match-A]]=ResultsTeams[[#This Row],[Match-B]],ResultsTeams[[#This Row],[Team A]],"")),""),"")</f>
        <v/>
      </c>
      <c r="W102" s="265" t="str">
        <f>IF(ResultsTeams[[#This Row],[Score_OK]],IF(ResultsTeams[[#This Row],[StageCpy]]="Groups",ResultsTeams[[#This Row],[Category]]&amp;"-"&amp;IF(ResultsTeams[[#This Row],[Team B]]="","",IF(ResultsTeams[[#This Row],[Match-A]]=ResultsTeams[[#This Row],[Match-B]],ResultsTeams[[#This Row],[Team B]],"")),""),"")</f>
        <v/>
      </c>
      <c r="X1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2" s="264" t="str">
        <f>IF(ResultsTeams[[#This Row],[Category]]="","",VLOOKUP(ResultsTeams[[#This Row],[Stage]],$R$1:$T$8,MATCH(ResultsTeams[[#This Row],[Category]],$S$1:$T$1,0)+1,FALSE))</f>
        <v/>
      </c>
      <c r="AC1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2" s="264" t="str">
        <f>IF(ResultsTeams[[#This Row],[Type]]="G",ResultsTeams[[#This Row],[Stage]],AD101)</f>
        <v>Groups</v>
      </c>
      <c r="AE102" s="395" t="str">
        <f>IF(ResultsTeams[[#This Row],[Type]]="G",INDEX(TeamsList[Club Name],MATCH(ResultsTeams[[#This Row],[Team A]],TeamsList[Team Name],0)),AE101)</f>
        <v>Avenir Subbuteo Hennuyer</v>
      </c>
      <c r="AF102" s="395" t="str">
        <f>IF(ResultsTeams[[#This Row],[Type]]="G",INDEX(TeamsList[Club Name],MATCH(ResultsTeams[[#This Row],[Team B]],TeamsList[Team Name],0)),AF101)</f>
        <v>F.lli Bari Reggio Emilia</v>
      </c>
      <c r="AG102" s="265"/>
      <c r="AH102" s="91"/>
      <c r="AI102" s="12">
        <f t="shared" si="81"/>
        <v>0</v>
      </c>
      <c r="AJ102" s="309"/>
      <c r="AK102" s="310"/>
      <c r="AL102" s="311"/>
      <c r="AM102" s="292" t="str">
        <f>IF(AV102="","",SMALL(AN99:AN105,ROWS(AM99:AM102)))</f>
        <v/>
      </c>
      <c r="AN102" s="293" t="str">
        <f>IF(AV102="","",RANK(AR102,AR99:AR105)*1000+ROWS(AN99:AN102))</f>
        <v/>
      </c>
      <c r="AO102" s="316" t="str">
        <f t="shared" si="74"/>
        <v/>
      </c>
      <c r="AP102" s="415" t="b">
        <f>AND(AU102&lt;&gt;"",AU102&gt;0,COUNTIF(AO99:AO105,AO102)&gt;1)</f>
        <v>0</v>
      </c>
      <c r="AQ102" s="316" t="str">
        <f t="shared" si="75"/>
        <v/>
      </c>
      <c r="AR102" s="317" t="str">
        <f t="shared" si="76"/>
        <v/>
      </c>
      <c r="AS102" s="415" t="b">
        <f>AND(AU102&lt;&gt;"",AU102&gt;0,COUNTIF(AR99:AR105,AR102)&gt;1)</f>
        <v>0</v>
      </c>
      <c r="AT102" s="355" t="str">
        <f t="shared" si="77"/>
        <v/>
      </c>
      <c r="AU102" s="356" t="str">
        <f t="shared" si="78"/>
        <v/>
      </c>
      <c r="AV102" s="356" t="str">
        <f>IF(OR(AI98="",AJ102=""),"",COUNTIF(ResultsTeams[Win],AI98&amp;"-"&amp;AJ102))</f>
        <v/>
      </c>
      <c r="AW102" s="356" t="str">
        <f>IF(OR(AI98="",AJ102=""),"",COUNTIF(ResultsTeams[[Draw1]:[Draw2]],AI98&amp;"-"&amp;AJ102))</f>
        <v/>
      </c>
      <c r="AX102" s="356" t="str">
        <f>IF(OR(AI98="",AJ102=""),"",COUNTIF(ResultsTeams[Lose],AI98&amp;"-"&amp;AJ102))</f>
        <v/>
      </c>
      <c r="AY102" s="356" t="str">
        <f>IF(OR(AI98="",AJ102=""),"",AV102-AX102)</f>
        <v/>
      </c>
      <c r="AZ102" s="356" t="str">
        <f>IF(OR(AI101="",AJ102=""),"",SUMIFS(ResultsTeams[Match-A],ResultsTeams[Stage],"Groups",ResultsTeams[Team A],AJ102)+SUMIFS(ResultsTeams[Match-B],ResultsTeams[Stage],"Groups",ResultsTeams[Team B],AJ102))</f>
        <v/>
      </c>
      <c r="BA102" s="356" t="str">
        <f>IF(OR(AI101="",AJ102=""),"",SUMIFS(ResultsTeams[Match-B],ResultsTeams[Stage],"Groups",ResultsTeams[Team A],AJ102)+SUMIFS(ResultsTeams[Match-A],ResultsTeams[Stage],"Groups",ResultsTeams[Team B],AJ102))</f>
        <v/>
      </c>
      <c r="BB102" s="356" t="str">
        <f t="shared" si="80"/>
        <v/>
      </c>
      <c r="BC102" s="356" t="str">
        <f>IF(OR(AI101="",AJ102=""),"",SUMIFS(ResultsTeams[Goal-A],ResultsTeams[Stage],"Groups",ResultsTeams[Team A],AJ102)+SUMIFS(ResultsTeams[Goal-B],ResultsTeams[Stage],"Groups",ResultsTeams[Team B],AJ102))</f>
        <v/>
      </c>
      <c r="BD102" s="356" t="str">
        <f>IF(OR(AI101="",AJ102=""),"",SUMIFS(ResultsTeams[Goal-B],ResultsTeams[Stage],"Groups",ResultsTeams[Team A],AJ102)+SUMIFS(ResultsTeams[Goal-A],ResultsTeams[Stage],"Groups",ResultsTeams[Team B],AJ102))</f>
        <v/>
      </c>
      <c r="BE102" s="357" t="str">
        <f>IF(OR(AI98="",AJ102=""),"",BC102-BD102)</f>
        <v/>
      </c>
      <c r="BF102" s="470" t="str">
        <f>IF(AM102="","",OR(VLOOKUP(AM102,AN99:BE105,3,FALSE),VLOOKUP(AM102,AN99:BE105,6,FALSE)))</f>
        <v/>
      </c>
      <c r="BG102" s="298" t="str">
        <f t="shared" si="79"/>
        <v/>
      </c>
      <c r="BH102" s="285" t="str">
        <f>IF(AM102="","",INDEX(AJ99:AJ105,MATCH(AM102,AN99:AN105,0)))</f>
        <v/>
      </c>
      <c r="BI102" s="286" t="str">
        <f>IF(AM102="","",VLOOKUP(AM102,AN99:BE105,COLUMN()-COLUMN(BB98),FALSE))</f>
        <v/>
      </c>
      <c r="BJ102" s="286" t="str">
        <f>IF(AM102="","",VLOOKUP(AM102,AN99:BE105,COLUMN()-COLUMN(BB98),FALSE))</f>
        <v/>
      </c>
      <c r="BK102" s="286" t="str">
        <f>IF(AM102="","",VLOOKUP(AM102,AN99:BE105,COLUMN()-COLUMN(BB98),FALSE))</f>
        <v/>
      </c>
      <c r="BL102" s="286" t="str">
        <f>IF(AM102="","",VLOOKUP(AM102,AN99:BE105,COLUMN()-COLUMN(BB98),FALSE))</f>
        <v/>
      </c>
      <c r="BM102" s="286" t="str">
        <f>IF(AM102="","",VLOOKUP(AM102,AN99:BE105,COLUMN()-COLUMN(BB98),FALSE))</f>
        <v/>
      </c>
      <c r="BN102" s="349" t="str">
        <f>IF(AM102="","",VLOOKUP(AM102,AN99:BE105,COLUMN()-COLUMN(BB98),FALSE))</f>
        <v/>
      </c>
      <c r="BO102" s="298" t="str">
        <f>IF(AM102="","",VLOOKUP(AM102,AN99:BE105,COLUMN()-COLUMN(BB98),FALSE))</f>
        <v/>
      </c>
      <c r="BP102" s="286" t="str">
        <f>IF(AM102="","",VLOOKUP(AM102,AN99:BE105,COLUMN()-COLUMN(BB98),FALSE))</f>
        <v/>
      </c>
      <c r="BQ102" s="301" t="str">
        <f>IF(AM102="","",VLOOKUP(AM102,AN99:BE105,COLUMN()-COLUMN(BB98),FALSE))</f>
        <v/>
      </c>
      <c r="BR102" s="352" t="str">
        <f>IF(AM102="","",VLOOKUP(AM102,AN99:BE105,COLUMN()-COLUMN(BB98),FALSE))</f>
        <v/>
      </c>
      <c r="BS102" s="286" t="str">
        <f>IF(AM102="","",VLOOKUP(AM102,AN99:BE105,COLUMN()-COLUMN(BB98),FALSE))</f>
        <v/>
      </c>
      <c r="BT102" s="301" t="str">
        <f>IF(AM102="","",VLOOKUP(AM102,AN99:BE105,COLUMN()-COLUMN(BB98),FALSE))</f>
        <v/>
      </c>
    </row>
    <row r="103" spans="1:72" ht="12" thickBot="1" x14ac:dyDescent="0.25">
      <c r="A103" s="261" t="s">
        <v>12693</v>
      </c>
      <c r="B103" s="270" t="s">
        <v>12207</v>
      </c>
      <c r="C103" s="270">
        <v>2</v>
      </c>
      <c r="D103" s="270"/>
      <c r="E103" s="272" t="s">
        <v>12228</v>
      </c>
      <c r="F103" s="273" t="s">
        <v>479</v>
      </c>
      <c r="G103" s="273" t="s">
        <v>14588</v>
      </c>
      <c r="H103" s="275">
        <v>1</v>
      </c>
      <c r="I103" s="275">
        <v>2</v>
      </c>
      <c r="J103" s="275"/>
      <c r="K103" s="366"/>
      <c r="L103" s="366"/>
      <c r="M103" s="271"/>
      <c r="N103" s="265" t="b">
        <f>NOT(ISERROR(ResultsTeams[[#This Row],[Goal-A]]+ResultsTeams[[#This Row],[Goal-B]]))</f>
        <v>1</v>
      </c>
      <c r="O103" s="265">
        <f>IF(ResultsTeams[[#This Row],[Type]]="G",SUM(O104:O107),IF(LEFT(ResultsTeams[[#This Row],[Type]],1)="P",IF(ResultsTeams[[#This Row],[Goal-A]]&gt;ResultsTeams[[#This Row],[Goal-B]],1,0),""))</f>
        <v>1</v>
      </c>
      <c r="P103" s="265">
        <f>IF(ResultsTeams[[#This Row],[Type]]="G",SUM(P104:P107),IF(LEFT(ResultsTeams[[#This Row],[Type]],1)="P",IF(ResultsTeams[[#This Row],[Goal-A]]&lt;ResultsTeams[[#This Row],[Goal-B]],1,0),""))</f>
        <v>2</v>
      </c>
      <c r="Q103" s="265">
        <f>IF(ResultsTeams[[#This Row],[Type]]="G",SUM(Q104:Q107),IF(LEFT(ResultsTeams[[#This Row],[Type]],1)="P",VALUE(ResultsTeams[[#This Row],[Score-A]]),""))</f>
        <v>5</v>
      </c>
      <c r="R103" s="265">
        <f>IF(ResultsTeams[[#This Row],[Type]]="G",SUM(R104:R107),IF(LEFT(ResultsTeams[[#This Row],[Type]],1)="P",VALUE(ResultsTeams[[#This Row],[Score-B]]),""))</f>
        <v>8</v>
      </c>
      <c r="S103" s="265">
        <f ca="1">IF(AND(ResultsTeams[[#This Row],[Category]]&lt;&gt;"",ResultsTeams[[#This Row],[Team A]]&lt;&gt;""),COUNTIF(INDIRECT("TeamsList[Club Name]"),ResultsTeams[[#This Row],[Team A]]),"")</f>
        <v>1</v>
      </c>
      <c r="T103" s="265">
        <f ca="1">IF(AND(ResultsTeams[[#This Row],[Category]]&lt;&gt;"",ResultsTeams[[#This Row],[Team B]]&lt;&gt;""),COUNTIF(INDIRECT("TeamsList[Club Name]"),ResultsTeams[[#This Row],[Team B]]),"")</f>
        <v>0</v>
      </c>
      <c r="U1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Lion's Eugies 3</v>
      </c>
      <c r="V103" s="265" t="str">
        <f>IF(ResultsTeams[[#This Row],[Score_OK]],IF(ResultsTeams[[#This Row],[StageCpy]]="Groups",ResultsTeams[[#This Row],[Category]]&amp;"-"&amp;IF(ResultsTeams[[#This Row],[Team B]]="","",IF(ResultsTeams[[#This Row],[Match-A]]=ResultsTeams[[#This Row],[Match-B]],ResultsTeams[[#This Row],[Team A]],"")),""),"")</f>
        <v>TEAM-</v>
      </c>
      <c r="W103" s="265" t="str">
        <f>IF(ResultsTeams[[#This Row],[Score_OK]],IF(ResultsTeams[[#This Row],[StageCpy]]="Groups",ResultsTeams[[#This Row],[Category]]&amp;"-"&amp;IF(ResultsTeams[[#This Row],[Team B]]="","",IF(ResultsTeams[[#This Row],[Match-A]]=ResultsTeams[[#This Row],[Match-B]],ResultsTeams[[#This Row],[Team B]],"")),""),"")</f>
        <v>TEAM-</v>
      </c>
      <c r="X1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TEAM-Wobbly Hobby Subbuteo Club</v>
      </c>
      <c r="Y1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A1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TEAM-Wobbly Hobby Subbuteo Club</v>
      </c>
      <c r="AB103" s="264" t="str">
        <f>IF(ResultsTeams[[#This Row],[Category]]="","",VLOOKUP(ResultsTeams[[#This Row],[Stage]],$R$1:$T$8,MATCH(ResultsTeams[[#This Row],[Category]],$S$1:$T$1,0)+1,FALSE))</f>
        <v>PR1</v>
      </c>
      <c r="AC1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3" s="264" t="str">
        <f>IF(ResultsTeams[[#This Row],[Type]]="G",ResultsTeams[[#This Row],[Stage]],AD102)</f>
        <v>Groups</v>
      </c>
      <c r="AE103" s="395" t="str">
        <f>IF(ResultsTeams[[#This Row],[Type]]="G",INDEX(TeamsList[Club Name],MATCH(ResultsTeams[[#This Row],[Team A]],TeamsList[Team Name],0)),AE102)</f>
        <v>Wobbly Hobby Subbuteo Club</v>
      </c>
      <c r="AF103" s="395" t="str">
        <f>IF(ResultsTeams[[#This Row],[Type]]="G",INDEX(TeamsList[Club Name],MATCH(ResultsTeams[[#This Row],[Team B]],TeamsList[Team Name],0)),AF102)</f>
        <v>SC Lion's Eugies</v>
      </c>
      <c r="AG103" s="265"/>
      <c r="AH103" s="91"/>
      <c r="AI103" s="12">
        <f t="shared" si="81"/>
        <v>0</v>
      </c>
      <c r="AJ103" s="309"/>
      <c r="AK103" s="310"/>
      <c r="AL103" s="311"/>
      <c r="AM103" s="292" t="str">
        <f>IF(AV103="","",SMALL(AN99:AN105,ROWS(AM99:AM103)))</f>
        <v/>
      </c>
      <c r="AN103" s="293" t="str">
        <f>IF(AV103="","",RANK(AR103,AR99:AR105)*1000+ROWS(AN99:AN103))</f>
        <v/>
      </c>
      <c r="AO103" s="316" t="str">
        <f t="shared" si="74"/>
        <v/>
      </c>
      <c r="AP103" s="415" t="b">
        <f>AND(AU103&lt;&gt;"",AU103&gt;0,COUNTIF(AO99:AO105,AO103)&gt;1)</f>
        <v>0</v>
      </c>
      <c r="AQ103" s="316" t="str">
        <f t="shared" si="75"/>
        <v/>
      </c>
      <c r="AR103" s="317" t="str">
        <f t="shared" si="76"/>
        <v/>
      </c>
      <c r="AS103" s="415" t="b">
        <f>AND(AU103&lt;&gt;"",AU103&gt;0,COUNTIF(AR99:AR105,AR103)&gt;1)</f>
        <v>0</v>
      </c>
      <c r="AT103" s="355" t="str">
        <f t="shared" si="77"/>
        <v/>
      </c>
      <c r="AU103" s="356" t="str">
        <f t="shared" si="78"/>
        <v/>
      </c>
      <c r="AV103" s="356" t="str">
        <f>IF(OR(AI98="",AJ103=""),"",COUNTIF(ResultsTeams[Win],AI98&amp;"-"&amp;AJ103))</f>
        <v/>
      </c>
      <c r="AW103" s="356" t="str">
        <f>IF(OR(AI98="",AJ103=""),"",COUNTIF(ResultsTeams[[Draw1]:[Draw2]],AI98&amp;"-"&amp;AJ103))</f>
        <v/>
      </c>
      <c r="AX103" s="356" t="str">
        <f>IF(OR(AI98="",AJ103=""),"",COUNTIF(ResultsTeams[Lose],AI98&amp;"-"&amp;AJ103))</f>
        <v/>
      </c>
      <c r="AY103" s="356" t="str">
        <f>IF(OR(AI98="",AJ103=""),"",AV103-AX103)</f>
        <v/>
      </c>
      <c r="AZ103" s="356" t="str">
        <f>IF(OR(AI102="",AJ103=""),"",SUMIFS(ResultsTeams[Match-A],ResultsTeams[Stage],"Groups",ResultsTeams[Team A],AJ103)+SUMIFS(ResultsTeams[Match-B],ResultsTeams[Stage],"Groups",ResultsTeams[Team B],AJ103))</f>
        <v/>
      </c>
      <c r="BA103" s="356" t="str">
        <f>IF(OR(AI102="",AJ103=""),"",SUMIFS(ResultsTeams[Match-B],ResultsTeams[Stage],"Groups",ResultsTeams[Team A],AJ103)+SUMIFS(ResultsTeams[Match-A],ResultsTeams[Stage],"Groups",ResultsTeams[Team B],AJ103))</f>
        <v/>
      </c>
      <c r="BB103" s="356" t="str">
        <f t="shared" si="80"/>
        <v/>
      </c>
      <c r="BC103" s="356" t="str">
        <f>IF(OR(AI102="",AJ103=""),"",SUMIFS(ResultsTeams[Goal-A],ResultsTeams[Stage],"Groups",ResultsTeams[Team A],AJ103)+SUMIFS(ResultsTeams[Goal-B],ResultsTeams[Stage],"Groups",ResultsTeams[Team B],AJ103))</f>
        <v/>
      </c>
      <c r="BD103" s="356" t="str">
        <f>IF(OR(AI102="",AJ103=""),"",SUMIFS(ResultsTeams[Goal-B],ResultsTeams[Stage],"Groups",ResultsTeams[Team A],AJ103)+SUMIFS(ResultsTeams[Goal-A],ResultsTeams[Stage],"Groups",ResultsTeams[Team B],AJ103))</f>
        <v/>
      </c>
      <c r="BE103" s="357" t="str">
        <f>IF(OR(AI98="",AJ103=""),"",BC103-BD103)</f>
        <v/>
      </c>
      <c r="BF103" s="470" t="str">
        <f>IF(AM103="","",OR(VLOOKUP(AM103,AN99:BE105,3,FALSE),VLOOKUP(AM103,AN99:BE105,6,FALSE)))</f>
        <v/>
      </c>
      <c r="BG103" s="298" t="str">
        <f t="shared" si="79"/>
        <v/>
      </c>
      <c r="BH103" s="285" t="str">
        <f>IF(AM103="","",INDEX(AJ99:AJ105,MATCH(AM103,AN99:AN105,0)))</f>
        <v/>
      </c>
      <c r="BI103" s="286" t="str">
        <f>IF(AM103="","",VLOOKUP(AM103,AN99:BE105,COLUMN()-COLUMN(BB98),FALSE))</f>
        <v/>
      </c>
      <c r="BJ103" s="286" t="str">
        <f>IF(AM103="","",VLOOKUP(AM103,AN99:BE105,COLUMN()-COLUMN(BB98),FALSE))</f>
        <v/>
      </c>
      <c r="BK103" s="286" t="str">
        <f>IF(AM103="","",VLOOKUP(AM103,AN99:BE105,COLUMN()-COLUMN(BB98),FALSE))</f>
        <v/>
      </c>
      <c r="BL103" s="286" t="str">
        <f>IF(AM103="","",VLOOKUP(AM103,AN99:BE105,COLUMN()-COLUMN(BB98),FALSE))</f>
        <v/>
      </c>
      <c r="BM103" s="286" t="str">
        <f>IF(AM103="","",VLOOKUP(AM103,AN99:BE105,COLUMN()-COLUMN(BB98),FALSE))</f>
        <v/>
      </c>
      <c r="BN103" s="349" t="str">
        <f>IF(AM103="","",VLOOKUP(AM103,AN99:BE105,COLUMN()-COLUMN(BB98),FALSE))</f>
        <v/>
      </c>
      <c r="BO103" s="298" t="str">
        <f>IF(AM103="","",VLOOKUP(AM103,AN99:BE105,COLUMN()-COLUMN(BB98),FALSE))</f>
        <v/>
      </c>
      <c r="BP103" s="286" t="str">
        <f>IF(AM103="","",VLOOKUP(AM103,AN99:BE105,COLUMN()-COLUMN(BB98),FALSE))</f>
        <v/>
      </c>
      <c r="BQ103" s="301" t="str">
        <f>IF(AM103="","",VLOOKUP(AM103,AN99:BE105,COLUMN()-COLUMN(BB98),FALSE))</f>
        <v/>
      </c>
      <c r="BR103" s="352" t="str">
        <f>IF(AM103="","",VLOOKUP(AM103,AN99:BE105,COLUMN()-COLUMN(BB98),FALSE))</f>
        <v/>
      </c>
      <c r="BS103" s="286" t="str">
        <f>IF(AM103="","",VLOOKUP(AM103,AN99:BE105,COLUMN()-COLUMN(BB98),FALSE))</f>
        <v/>
      </c>
      <c r="BT103" s="301" t="str">
        <f>IF(AM103="","",VLOOKUP(AM103,AN99:BE105,COLUMN()-COLUMN(BB98),FALSE))</f>
        <v/>
      </c>
    </row>
    <row r="104" spans="1:72" x14ac:dyDescent="0.2">
      <c r="A104" s="60"/>
      <c r="B104" s="280"/>
      <c r="C104" s="60"/>
      <c r="D104" s="60"/>
      <c r="E104" s="240" t="s">
        <v>12231</v>
      </c>
      <c r="F104" s="244" t="s">
        <v>8554</v>
      </c>
      <c r="G104" s="244" t="s">
        <v>8083</v>
      </c>
      <c r="H104" s="253">
        <v>2</v>
      </c>
      <c r="I104" s="253">
        <v>3</v>
      </c>
      <c r="J104" s="253"/>
      <c r="K104" s="362"/>
      <c r="L104" s="362"/>
      <c r="M104" s="61"/>
      <c r="N104" s="265" t="b">
        <f>NOT(ISERROR(ResultsTeams[[#This Row],[Goal-A]]+ResultsTeams[[#This Row],[Goal-B]]))</f>
        <v>1</v>
      </c>
      <c r="O104" s="265">
        <f>IF(ResultsTeams[[#This Row],[Type]]="G",SUM(O105:O108),IF(LEFT(ResultsTeams[[#This Row],[Type]],1)="P",IF(ResultsTeams[[#This Row],[Goal-A]]&gt;ResultsTeams[[#This Row],[Goal-B]],1,0),""))</f>
        <v>0</v>
      </c>
      <c r="P104" s="265">
        <f>IF(ResultsTeams[[#This Row],[Type]]="G",SUM(P105:P108),IF(LEFT(ResultsTeams[[#This Row],[Type]],1)="P",IF(ResultsTeams[[#This Row],[Goal-A]]&lt;ResultsTeams[[#This Row],[Goal-B]],1,0),""))</f>
        <v>1</v>
      </c>
      <c r="Q104" s="265">
        <f>IF(ResultsTeams[[#This Row],[Type]]="G",SUM(Q105:Q108),IF(LEFT(ResultsTeams[[#This Row],[Type]],1)="P",VALUE(ResultsTeams[[#This Row],[Score-A]]),""))</f>
        <v>2</v>
      </c>
      <c r="R104" s="265">
        <f>IF(ResultsTeams[[#This Row],[Type]]="G",SUM(R105:R108),IF(LEFT(ResultsTeams[[#This Row],[Type]],1)="P",VALUE(ResultsTeams[[#This Row],[Score-B]]),""))</f>
        <v>3</v>
      </c>
      <c r="S104" s="265" t="str">
        <f ca="1">IF(AND(ResultsTeams[[#This Row],[Category]]&lt;&gt;"",ResultsTeams[[#This Row],[Team A]]&lt;&gt;""),COUNTIF(INDIRECT("TeamsList[Club Name]"),ResultsTeams[[#This Row],[Team A]]),"")</f>
        <v/>
      </c>
      <c r="T104" s="265" t="str">
        <f ca="1">IF(AND(ResultsTeams[[#This Row],[Category]]&lt;&gt;"",ResultsTeams[[#This Row],[Team B]]&lt;&gt;""),COUNTIF(INDIRECT("TeamsList[Club Name]"),ResultsTeams[[#This Row],[Team B]]),"")</f>
        <v/>
      </c>
      <c r="U1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-Kenny De Schuyteneer</v>
      </c>
      <c r="V104" s="265" t="str">
        <f>IF(ResultsTeams[[#This Row],[Score_OK]],IF(ResultsTeams[[#This Row],[StageCpy]]="Groups",ResultsTeams[[#This Row],[Category]]&amp;"-"&amp;IF(ResultsTeams[[#This Row],[Team B]]="","",IF(ResultsTeams[[#This Row],[Match-A]]=ResultsTeams[[#This Row],[Match-B]],ResultsTeams[[#This Row],[Team A]],"")),""),"")</f>
        <v>-</v>
      </c>
      <c r="W104" s="265" t="str">
        <f>IF(ResultsTeams[[#This Row],[Score_OK]],IF(ResultsTeams[[#This Row],[StageCpy]]="Groups",ResultsTeams[[#This Row],[Category]]&amp;"-"&amp;IF(ResultsTeams[[#This Row],[Team B]]="","",IF(ResultsTeams[[#This Row],[Match-A]]=ResultsTeams[[#This Row],[Match-B]],ResultsTeams[[#This Row],[Team B]],"")),""),"")</f>
        <v>-</v>
      </c>
      <c r="X1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-Alan Lee</v>
      </c>
      <c r="Y1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4" s="264" t="str">
        <f>IF(ResultsTeams[[#This Row],[Category]]="","",VLOOKUP(ResultsTeams[[#This Row],[Stage]],$R$1:$T$8,MATCH(ResultsTeams[[#This Row],[Category]],$S$1:$T$1,0)+1,FALSE))</f>
        <v/>
      </c>
      <c r="AC1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4" s="264" t="str">
        <f>IF(ResultsTeams[[#This Row],[Type]]="G",ResultsTeams[[#This Row],[Stage]],AD103)</f>
        <v>Groups</v>
      </c>
      <c r="AE104" s="395" t="str">
        <f>IF(ResultsTeams[[#This Row],[Type]]="G",INDEX(TeamsList[Club Name],MATCH(ResultsTeams[[#This Row],[Team A]],TeamsList[Team Name],0)),AE103)</f>
        <v>Wobbly Hobby Subbuteo Club</v>
      </c>
      <c r="AF104" s="395" t="str">
        <f>IF(ResultsTeams[[#This Row],[Type]]="G",INDEX(TeamsList[Club Name],MATCH(ResultsTeams[[#This Row],[Team B]],TeamsList[Team Name],0)),AF103)</f>
        <v>SC Lion's Eugies</v>
      </c>
      <c r="AG104" s="265"/>
      <c r="AI104" s="12">
        <f t="shared" si="81"/>
        <v>0</v>
      </c>
      <c r="AJ104" s="309"/>
      <c r="AK104" s="310"/>
      <c r="AL104" s="311"/>
      <c r="AM104" s="292" t="str">
        <f>IF(AV104="","",SMALL(AN99:AN105,ROWS(AM99:AM104)))</f>
        <v/>
      </c>
      <c r="AN104" s="293" t="str">
        <f>IF(AV104="","",RANK(AR104,AR99:AR105)*1000+ROWS(AN99:AN104))</f>
        <v/>
      </c>
      <c r="AO104" s="316" t="str">
        <f t="shared" si="74"/>
        <v/>
      </c>
      <c r="AP104" s="415" t="b">
        <f>AND(AU104&lt;&gt;"",AU104&gt;0,COUNTIF(AO99:AO105,AO104)&gt;1)</f>
        <v>0</v>
      </c>
      <c r="AQ104" s="316" t="str">
        <f t="shared" si="75"/>
        <v/>
      </c>
      <c r="AR104" s="317" t="str">
        <f t="shared" si="76"/>
        <v/>
      </c>
      <c r="AS104" s="415" t="b">
        <f>AND(AU104&lt;&gt;"",AU104&gt;0,COUNTIF(AR99:AR105,AR104)&gt;1)</f>
        <v>0</v>
      </c>
      <c r="AT104" s="355" t="str">
        <f t="shared" si="77"/>
        <v/>
      </c>
      <c r="AU104" s="356" t="str">
        <f t="shared" si="78"/>
        <v/>
      </c>
      <c r="AV104" s="356" t="str">
        <f>IF(OR(AI98="",AJ104=""),"",COUNTIF(ResultsTeams[Win],AI98&amp;"-"&amp;AJ104))</f>
        <v/>
      </c>
      <c r="AW104" s="356" t="str">
        <f>IF(OR(AI98="",AJ104=""),"",COUNTIF(ResultsTeams[[Draw1]:[Draw2]],AI98&amp;"-"&amp;AJ104))</f>
        <v/>
      </c>
      <c r="AX104" s="356" t="str">
        <f>IF(OR(AI98="",AJ104=""),"",COUNTIF(ResultsTeams[Lose],AI98&amp;"-"&amp;AJ104))</f>
        <v/>
      </c>
      <c r="AY104" s="356" t="str">
        <f>IF(OR(AI98="",AJ104=""),"",AV104-AX104)</f>
        <v/>
      </c>
      <c r="AZ104" s="356" t="str">
        <f>IF(OR(AI103="",AJ104=""),"",SUMIFS(ResultsTeams[Match-A],ResultsTeams[Stage],"Groups",ResultsTeams[Team A],AJ104)+SUMIFS(ResultsTeams[Match-B],ResultsTeams[Stage],"Groups",ResultsTeams[Team B],AJ104))</f>
        <v/>
      </c>
      <c r="BA104" s="356" t="str">
        <f>IF(OR(AI103="",AJ104=""),"",SUMIFS(ResultsTeams[Match-B],ResultsTeams[Stage],"Groups",ResultsTeams[Team A],AJ104)+SUMIFS(ResultsTeams[Match-A],ResultsTeams[Stage],"Groups",ResultsTeams[Team B],AJ104))</f>
        <v/>
      </c>
      <c r="BB104" s="356" t="str">
        <f t="shared" si="80"/>
        <v/>
      </c>
      <c r="BC104" s="356" t="str">
        <f>IF(OR(AI103="",AJ104=""),"",SUMIFS(ResultsTeams[Goal-A],ResultsTeams[Stage],"Groups",ResultsTeams[Team A],AJ104)+SUMIFS(ResultsTeams[Goal-B],ResultsTeams[Stage],"Groups",ResultsTeams[Team B],AJ104))</f>
        <v/>
      </c>
      <c r="BD104" s="356" t="str">
        <f>IF(OR(AI103="",AJ104=""),"",SUMIFS(ResultsTeams[Goal-B],ResultsTeams[Stage],"Groups",ResultsTeams[Team A],AJ104)+SUMIFS(ResultsTeams[Goal-A],ResultsTeams[Stage],"Groups",ResultsTeams[Team B],AJ104))</f>
        <v/>
      </c>
      <c r="BE104" s="357" t="str">
        <f>IF(OR(AI98="",AJ104=""),"",BC104-BD104)</f>
        <v/>
      </c>
      <c r="BF104" s="470" t="str">
        <f>IF(AM104="","",OR(VLOOKUP(AM104,AN99:BE105,3,FALSE),VLOOKUP(AM104,AN99:BE105,6,FALSE)))</f>
        <v/>
      </c>
      <c r="BG104" s="298" t="str">
        <f t="shared" si="79"/>
        <v/>
      </c>
      <c r="BH104" s="285" t="str">
        <f>IF(AM104="","",INDEX(AJ99:AJ105,MATCH(AM104,AN99:AN105,0)))</f>
        <v/>
      </c>
      <c r="BI104" s="286" t="str">
        <f>IF(AM104="","",VLOOKUP(AM104,AN99:BE105,COLUMN()-COLUMN(BB98),FALSE))</f>
        <v/>
      </c>
      <c r="BJ104" s="286" t="str">
        <f>IF(AM104="","",VLOOKUP(AM104,AN99:BE105,COLUMN()-COLUMN(BB98),FALSE))</f>
        <v/>
      </c>
      <c r="BK104" s="286" t="str">
        <f>IF(AM104="","",VLOOKUP(AM104,AN99:BE105,COLUMN()-COLUMN(BB98),FALSE))</f>
        <v/>
      </c>
      <c r="BL104" s="286" t="str">
        <f>IF(AM104="","",VLOOKUP(AM104,AN99:BE105,COLUMN()-COLUMN(BB98),FALSE))</f>
        <v/>
      </c>
      <c r="BM104" s="286" t="str">
        <f>IF(AM104="","",VLOOKUP(AM104,AN99:BE105,COLUMN()-COLUMN(BB98),FALSE))</f>
        <v/>
      </c>
      <c r="BN104" s="349" t="str">
        <f>IF(AM104="","",VLOOKUP(AM104,AN99:BE105,COLUMN()-COLUMN(BB98),FALSE))</f>
        <v/>
      </c>
      <c r="BO104" s="298" t="str">
        <f>IF(AM104="","",VLOOKUP(AM104,AN99:BE105,COLUMN()-COLUMN(BB98),FALSE))</f>
        <v/>
      </c>
      <c r="BP104" s="286" t="str">
        <f>IF(AM104="","",VLOOKUP(AM104,AN99:BE105,COLUMN()-COLUMN(BB98),FALSE))</f>
        <v/>
      </c>
      <c r="BQ104" s="301" t="str">
        <f>IF(AM104="","",VLOOKUP(AM104,AN99:BE105,COLUMN()-COLUMN(BB98),FALSE))</f>
        <v/>
      </c>
      <c r="BR104" s="352" t="str">
        <f>IF(AM104="","",VLOOKUP(AM104,AN99:BE105,COLUMN()-COLUMN(BB98),FALSE))</f>
        <v/>
      </c>
      <c r="BS104" s="286" t="str">
        <f>IF(AM104="","",VLOOKUP(AM104,AN99:BE105,COLUMN()-COLUMN(BB98),FALSE))</f>
        <v/>
      </c>
      <c r="BT104" s="301" t="str">
        <f>IF(AM104="","",VLOOKUP(AM104,AN99:BE105,COLUMN()-COLUMN(BB98),FALSE))</f>
        <v/>
      </c>
    </row>
    <row r="105" spans="1:72" ht="12" thickBot="1" x14ac:dyDescent="0.25">
      <c r="A105" s="62"/>
      <c r="B105" s="280"/>
      <c r="C105" s="62"/>
      <c r="D105" s="62"/>
      <c r="E105" s="241" t="s">
        <v>12234</v>
      </c>
      <c r="F105" s="246" t="s">
        <v>8541</v>
      </c>
      <c r="G105" s="246" t="s">
        <v>14608</v>
      </c>
      <c r="H105" s="254">
        <v>1</v>
      </c>
      <c r="I105" s="254">
        <v>0</v>
      </c>
      <c r="J105" s="254"/>
      <c r="K105" s="363"/>
      <c r="L105" s="363"/>
      <c r="M105" s="63"/>
      <c r="N105" s="265" t="b">
        <f>NOT(ISERROR(ResultsTeams[[#This Row],[Goal-A]]+ResultsTeams[[#This Row],[Goal-B]]))</f>
        <v>1</v>
      </c>
      <c r="O105" s="265">
        <f>IF(ResultsTeams[[#This Row],[Type]]="G",SUM(O106:O109),IF(LEFT(ResultsTeams[[#This Row],[Type]],1)="P",IF(ResultsTeams[[#This Row],[Goal-A]]&gt;ResultsTeams[[#This Row],[Goal-B]],1,0),""))</f>
        <v>1</v>
      </c>
      <c r="P105" s="265">
        <f>IF(ResultsTeams[[#This Row],[Type]]="G",SUM(P106:P109),IF(LEFT(ResultsTeams[[#This Row],[Type]],1)="P",IF(ResultsTeams[[#This Row],[Goal-A]]&lt;ResultsTeams[[#This Row],[Goal-B]],1,0),""))</f>
        <v>0</v>
      </c>
      <c r="Q105" s="265">
        <f>IF(ResultsTeams[[#This Row],[Type]]="G",SUM(Q106:Q109),IF(LEFT(ResultsTeams[[#This Row],[Type]],1)="P",VALUE(ResultsTeams[[#This Row],[Score-A]]),""))</f>
        <v>1</v>
      </c>
      <c r="R105" s="265">
        <f>IF(ResultsTeams[[#This Row],[Type]]="G",SUM(R106:R109),IF(LEFT(ResultsTeams[[#This Row],[Type]],1)="P",VALUE(ResultsTeams[[#This Row],[Score-B]]),""))</f>
        <v>0</v>
      </c>
      <c r="S105" s="265" t="str">
        <f ca="1">IF(AND(ResultsTeams[[#This Row],[Category]]&lt;&gt;"",ResultsTeams[[#This Row],[Team A]]&lt;&gt;""),COUNTIF(INDIRECT("TeamsList[Club Name]"),ResultsTeams[[#This Row],[Team A]]),"")</f>
        <v/>
      </c>
      <c r="T105" s="265" t="str">
        <f ca="1">IF(AND(ResultsTeams[[#This Row],[Category]]&lt;&gt;"",ResultsTeams[[#This Row],[Team B]]&lt;&gt;""),COUNTIF(INDIRECT("TeamsList[Club Name]"),ResultsTeams[[#This Row],[Team B]]),"")</f>
        <v/>
      </c>
      <c r="U1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105" s="265" t="str">
        <f>IF(ResultsTeams[[#This Row],[Score_OK]],IF(ResultsTeams[[#This Row],[StageCpy]]="Groups",ResultsTeams[[#This Row],[Category]]&amp;"-"&amp;IF(ResultsTeams[[#This Row],[Team B]]="","",IF(ResultsTeams[[#This Row],[Match-A]]=ResultsTeams[[#This Row],[Match-B]],ResultsTeams[[#This Row],[Team A]],"")),""),"")</f>
        <v>-</v>
      </c>
      <c r="W105" s="265" t="str">
        <f>IF(ResultsTeams[[#This Row],[Score_OK]],IF(ResultsTeams[[#This Row],[StageCpy]]="Groups",ResultsTeams[[#This Row],[Category]]&amp;"-"&amp;IF(ResultsTeams[[#This Row],[Team B]]="","",IF(ResultsTeams[[#This Row],[Match-A]]=ResultsTeams[[#This Row],[Match-B]],ResultsTeams[[#This Row],[Team B]],"")),""),"")</f>
        <v>-</v>
      </c>
      <c r="X1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-Christophe Rairoux</v>
      </c>
      <c r="Y1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5" s="264" t="str">
        <f>IF(ResultsTeams[[#This Row],[Category]]="","",VLOOKUP(ResultsTeams[[#This Row],[Stage]],$R$1:$T$8,MATCH(ResultsTeams[[#This Row],[Category]],$S$1:$T$1,0)+1,FALSE))</f>
        <v/>
      </c>
      <c r="AC1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5" s="264" t="str">
        <f>IF(ResultsTeams[[#This Row],[Type]]="G",ResultsTeams[[#This Row],[Stage]],AD104)</f>
        <v>Groups</v>
      </c>
      <c r="AE105" s="395" t="str">
        <f>IF(ResultsTeams[[#This Row],[Type]]="G",INDEX(TeamsList[Club Name],MATCH(ResultsTeams[[#This Row],[Team A]],TeamsList[Team Name],0)),AE104)</f>
        <v>Wobbly Hobby Subbuteo Club</v>
      </c>
      <c r="AF105" s="395" t="str">
        <f>IF(ResultsTeams[[#This Row],[Type]]="G",INDEX(TeamsList[Club Name],MATCH(ResultsTeams[[#This Row],[Team B]],TeamsList[Team Name],0)),AF104)</f>
        <v>SC Lion's Eugies</v>
      </c>
      <c r="AG105" s="265"/>
      <c r="AI105" s="12">
        <f t="shared" si="81"/>
        <v>0</v>
      </c>
      <c r="AJ105" s="312"/>
      <c r="AK105" s="313"/>
      <c r="AL105" s="314"/>
      <c r="AM105" s="294" t="str">
        <f>IF(AV105="","",SMALL(AN99:AN105,ROWS(AM99:AM105)))</f>
        <v/>
      </c>
      <c r="AN105" s="295" t="str">
        <f>IF(AV105="","",RANK(AR105,AR99:AR105)*1000+ROWS(AN99:AN105))</f>
        <v/>
      </c>
      <c r="AO105" s="318" t="str">
        <f t="shared" si="74"/>
        <v/>
      </c>
      <c r="AP105" s="416" t="b">
        <f>AND(AU105&lt;&gt;"",AU105&gt;0,COUNTIF(AO99:AO105,AO105)&gt;1)</f>
        <v>0</v>
      </c>
      <c r="AQ105" s="318" t="str">
        <f t="shared" si="75"/>
        <v/>
      </c>
      <c r="AR105" s="319" t="str">
        <f t="shared" si="76"/>
        <v/>
      </c>
      <c r="AS105" s="416" t="b">
        <f>AND(AU105&lt;&gt;"",AU105&gt;0,COUNTIF(AR99:AR105,AR105)&gt;1)</f>
        <v>0</v>
      </c>
      <c r="AT105" s="358" t="str">
        <f t="shared" si="77"/>
        <v/>
      </c>
      <c r="AU105" s="359" t="str">
        <f t="shared" si="78"/>
        <v/>
      </c>
      <c r="AV105" s="359" t="str">
        <f>IF(OR(AI98="",AJ105=""),"",COUNTIF(ResultsTeams[Win],AI98&amp;"-"&amp;AJ105))</f>
        <v/>
      </c>
      <c r="AW105" s="359" t="str">
        <f>IF(OR(AI98="",AJ105=""),"",COUNTIF(ResultsTeams[[Draw1]:[Draw2]],AI98&amp;"-"&amp;AJ105))</f>
        <v/>
      </c>
      <c r="AX105" s="359" t="str">
        <f>IF(OR(AI98="",AJ105=""),"",COUNTIF(ResultsTeams[Lose],AI98&amp;"-"&amp;AJ105))</f>
        <v/>
      </c>
      <c r="AY105" s="359" t="str">
        <f>IF(OR(AI98="",AJ105=""),"",AV105-AX105)</f>
        <v/>
      </c>
      <c r="AZ105" s="359" t="str">
        <f>IF(OR(AI104="",AJ105=""),"",SUMIFS(ResultsTeams[Match-A],ResultsTeams[Stage],"Groups",ResultsTeams[Team A],AJ105)+SUMIFS(ResultsTeams[Match-B],ResultsTeams[Stage],"Groups",ResultsTeams[Team B],AJ105))</f>
        <v/>
      </c>
      <c r="BA105" s="359" t="str">
        <f>IF(OR(AI104="",AJ105=""),"",SUMIFS(ResultsTeams[Match-B],ResultsTeams[Stage],"Groups",ResultsTeams[Team A],AJ105)+SUMIFS(ResultsTeams[Match-A],ResultsTeams[Stage],"Groups",ResultsTeams[Team B],AJ105))</f>
        <v/>
      </c>
      <c r="BB105" s="359" t="str">
        <f t="shared" si="80"/>
        <v/>
      </c>
      <c r="BC105" s="359" t="str">
        <f>IF(OR(AI104="",AJ105=""),"",SUMIFS(ResultsTeams[Goal-A],ResultsTeams[Stage],"Groups",ResultsTeams[Team A],AJ105)+SUMIFS(ResultsTeams[Goal-B],ResultsTeams[Stage],"Groups",ResultsTeams[Team B],AJ105))</f>
        <v/>
      </c>
      <c r="BD105" s="359" t="str">
        <f>IF(OR(AI104="",AJ105=""),"",SUMIFS(ResultsTeams[Goal-B],ResultsTeams[Stage],"Groups",ResultsTeams[Team A],AJ105)+SUMIFS(ResultsTeams[Goal-A],ResultsTeams[Stage],"Groups",ResultsTeams[Team B],AJ105))</f>
        <v/>
      </c>
      <c r="BE105" s="360" t="str">
        <f>IF(OR(AI98="",AJ105=""),"",BC105-BD105)</f>
        <v/>
      </c>
      <c r="BF105" s="470" t="str">
        <f>IF(AM105="","",OR(VLOOKUP(AM105,AN99:BE105,3,FALSE),VLOOKUP(AM105,AN99:BE105,6,FALSE)))</f>
        <v/>
      </c>
      <c r="BG105" s="299" t="str">
        <f t="shared" si="79"/>
        <v/>
      </c>
      <c r="BH105" s="287" t="str">
        <f>IF(AM105="","",INDEX(AJ99:AJ105,MATCH(AM105,AN99:AN105,0)))</f>
        <v/>
      </c>
      <c r="BI105" s="288" t="str">
        <f>IF(AM105="","",VLOOKUP(AM105,AN99:BE105,COLUMN()-COLUMN(BB98),FALSE))</f>
        <v/>
      </c>
      <c r="BJ105" s="288" t="str">
        <f>IF(AM105="","",VLOOKUP(AM105,AN99:BE105,COLUMN()-COLUMN(BB98),FALSE))</f>
        <v/>
      </c>
      <c r="BK105" s="288" t="str">
        <f>IF(AM105="","",VLOOKUP(AM105,AN99:BE105,COLUMN()-COLUMN(BB98),FALSE))</f>
        <v/>
      </c>
      <c r="BL105" s="288" t="str">
        <f>IF(AM105="","",VLOOKUP(AM105,AN99:BE105,COLUMN()-COLUMN(BB98),FALSE))</f>
        <v/>
      </c>
      <c r="BM105" s="288" t="str">
        <f>IF(AM105="","",VLOOKUP(AM105,AN99:BE105,COLUMN()-COLUMN(BB98),FALSE))</f>
        <v/>
      </c>
      <c r="BN105" s="350" t="str">
        <f>IF(AM105="","",VLOOKUP(AM105,AN99:BE105,COLUMN()-COLUMN(BB98),FALSE))</f>
        <v/>
      </c>
      <c r="BO105" s="299" t="str">
        <f>IF(AM105="","",VLOOKUP(AM105,AN99:BE105,COLUMN()-COLUMN(BB98),FALSE))</f>
        <v/>
      </c>
      <c r="BP105" s="288" t="str">
        <f>IF(AM105="","",VLOOKUP(AM105,AN99:BE105,COLUMN()-COLUMN(BB98),FALSE))</f>
        <v/>
      </c>
      <c r="BQ105" s="302" t="str">
        <f>IF(AM105="","",VLOOKUP(AM105,AN99:BE105,COLUMN()-COLUMN(BB98),FALSE))</f>
        <v/>
      </c>
      <c r="BR105" s="353" t="str">
        <f>IF(AM105="","",VLOOKUP(AM105,AN99:BE105,COLUMN()-COLUMN(BB98),FALSE))</f>
        <v/>
      </c>
      <c r="BS105" s="288" t="str">
        <f>IF(AM105="","",VLOOKUP(AM105,AN99:BE105,COLUMN()-COLUMN(BB98),FALSE))</f>
        <v/>
      </c>
      <c r="BT105" s="302" t="str">
        <f>IF(AM105="","",VLOOKUP(AM105,AN99:BE105,COLUMN()-COLUMN(BB98),FALSE))</f>
        <v/>
      </c>
    </row>
    <row r="106" spans="1:72" ht="12" thickBot="1" x14ac:dyDescent="0.25">
      <c r="A106" s="62"/>
      <c r="B106" s="280"/>
      <c r="C106" s="62"/>
      <c r="D106" s="62"/>
      <c r="E106" s="241" t="s">
        <v>12237</v>
      </c>
      <c r="F106" s="246" t="s">
        <v>8539</v>
      </c>
      <c r="G106" s="246" t="s">
        <v>8170</v>
      </c>
      <c r="H106" s="254">
        <v>2</v>
      </c>
      <c r="I106" s="254">
        <v>2</v>
      </c>
      <c r="J106" s="254"/>
      <c r="K106" s="363"/>
      <c r="L106" s="363"/>
      <c r="M106" s="63"/>
      <c r="N106" s="265" t="b">
        <f>NOT(ISERROR(ResultsTeams[[#This Row],[Goal-A]]+ResultsTeams[[#This Row],[Goal-B]]))</f>
        <v>1</v>
      </c>
      <c r="O106" s="265">
        <f>IF(ResultsTeams[[#This Row],[Type]]="G",SUM(O107:O110),IF(LEFT(ResultsTeams[[#This Row],[Type]],1)="P",IF(ResultsTeams[[#This Row],[Goal-A]]&gt;ResultsTeams[[#This Row],[Goal-B]],1,0),""))</f>
        <v>0</v>
      </c>
      <c r="P106" s="265">
        <f>IF(ResultsTeams[[#This Row],[Type]]="G",SUM(P107:P110),IF(LEFT(ResultsTeams[[#This Row],[Type]],1)="P",IF(ResultsTeams[[#This Row],[Goal-A]]&lt;ResultsTeams[[#This Row],[Goal-B]],1,0),""))</f>
        <v>0</v>
      </c>
      <c r="Q106" s="265">
        <f>IF(ResultsTeams[[#This Row],[Type]]="G",SUM(Q107:Q110),IF(LEFT(ResultsTeams[[#This Row],[Type]],1)="P",VALUE(ResultsTeams[[#This Row],[Score-A]]),""))</f>
        <v>2</v>
      </c>
      <c r="R106" s="265">
        <f>IF(ResultsTeams[[#This Row],[Type]]="G",SUM(R107:R110),IF(LEFT(ResultsTeams[[#This Row],[Type]],1)="P",VALUE(ResultsTeams[[#This Row],[Score-B]]),""))</f>
        <v>2</v>
      </c>
      <c r="S106" s="265" t="str">
        <f ca="1">IF(AND(ResultsTeams[[#This Row],[Category]]&lt;&gt;"",ResultsTeams[[#This Row],[Team A]]&lt;&gt;""),COUNTIF(INDIRECT("TeamsList[Club Name]"),ResultsTeams[[#This Row],[Team A]]),"")</f>
        <v/>
      </c>
      <c r="T106" s="265" t="str">
        <f ca="1">IF(AND(ResultsTeams[[#This Row],[Category]]&lt;&gt;"",ResultsTeams[[#This Row],[Team B]]&lt;&gt;""),COUNTIF(INDIRECT("TeamsList[Club Name]"),ResultsTeams[[#This Row],[Team B]]),"")</f>
        <v/>
      </c>
      <c r="U1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06" s="265" t="str">
        <f>IF(ResultsTeams[[#This Row],[Score_OK]],IF(ResultsTeams[[#This Row],[StageCpy]]="Groups",ResultsTeams[[#This Row],[Category]]&amp;"-"&amp;IF(ResultsTeams[[#This Row],[Team B]]="","",IF(ResultsTeams[[#This Row],[Match-A]]=ResultsTeams[[#This Row],[Match-B]],ResultsTeams[[#This Row],[Team A]],"")),""),"")</f>
        <v>-Rudi Peterschinigg</v>
      </c>
      <c r="W106" s="265" t="str">
        <f>IF(ResultsTeams[[#This Row],[Score_OK]],IF(ResultsTeams[[#This Row],[StageCpy]]="Groups",ResultsTeams[[#This Row],[Category]]&amp;"-"&amp;IF(ResultsTeams[[#This Row],[Team B]]="","",IF(ResultsTeams[[#This Row],[Match-A]]=ResultsTeams[[#This Row],[Match-B]],ResultsTeams[[#This Row],[Team B]],"")),""),"")</f>
        <v>-Lucas Raison</v>
      </c>
      <c r="X1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6" s="264" t="str">
        <f>IF(ResultsTeams[[#This Row],[Category]]="","",VLOOKUP(ResultsTeams[[#This Row],[Stage]],$R$1:$T$8,MATCH(ResultsTeams[[#This Row],[Category]],$S$1:$T$1,0)+1,FALSE))</f>
        <v/>
      </c>
      <c r="AC1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6" s="264" t="str">
        <f>IF(ResultsTeams[[#This Row],[Type]]="G",ResultsTeams[[#This Row],[Stage]],AD105)</f>
        <v>Groups</v>
      </c>
      <c r="AE106" s="395" t="str">
        <f>IF(ResultsTeams[[#This Row],[Type]]="G",INDEX(TeamsList[Club Name],MATCH(ResultsTeams[[#This Row],[Team A]],TeamsList[Team Name],0)),AE105)</f>
        <v>Wobbly Hobby Subbuteo Club</v>
      </c>
      <c r="AF106" s="395" t="str">
        <f>IF(ResultsTeams[[#This Row],[Type]]="G",INDEX(TeamsList[Club Name],MATCH(ResultsTeams[[#This Row],[Team B]],TeamsList[Team Name],0)),AF105)</f>
        <v>SC Lion's Eugies</v>
      </c>
      <c r="AG106" s="265"/>
    </row>
    <row r="107" spans="1:72" ht="12" thickBot="1" x14ac:dyDescent="0.25">
      <c r="A107" s="62"/>
      <c r="B107" s="280"/>
      <c r="C107" s="62"/>
      <c r="D107" s="62"/>
      <c r="E107" s="241" t="s">
        <v>12240</v>
      </c>
      <c r="F107" s="246" t="s">
        <v>8542</v>
      </c>
      <c r="G107" s="246" t="s">
        <v>8139</v>
      </c>
      <c r="H107" s="254">
        <v>0</v>
      </c>
      <c r="I107" s="254">
        <v>3</v>
      </c>
      <c r="J107" s="254"/>
      <c r="K107" s="363"/>
      <c r="L107" s="363"/>
      <c r="M107" s="63"/>
      <c r="N107" s="265" t="b">
        <f>NOT(ISERROR(ResultsTeams[[#This Row],[Goal-A]]+ResultsTeams[[#This Row],[Goal-B]]))</f>
        <v>1</v>
      </c>
      <c r="O107" s="265">
        <f>IF(ResultsTeams[[#This Row],[Type]]="G",SUM(O108:O111),IF(LEFT(ResultsTeams[[#This Row],[Type]],1)="P",IF(ResultsTeams[[#This Row],[Goal-A]]&gt;ResultsTeams[[#This Row],[Goal-B]],1,0),""))</f>
        <v>0</v>
      </c>
      <c r="P107" s="265">
        <f>IF(ResultsTeams[[#This Row],[Type]]="G",SUM(P108:P111),IF(LEFT(ResultsTeams[[#This Row],[Type]],1)="P",IF(ResultsTeams[[#This Row],[Goal-A]]&lt;ResultsTeams[[#This Row],[Goal-B]],1,0),""))</f>
        <v>1</v>
      </c>
      <c r="Q107" s="265">
        <f>IF(ResultsTeams[[#This Row],[Type]]="G",SUM(Q108:Q111),IF(LEFT(ResultsTeams[[#This Row],[Type]],1)="P",VALUE(ResultsTeams[[#This Row],[Score-A]]),""))</f>
        <v>0</v>
      </c>
      <c r="R107" s="265">
        <f>IF(ResultsTeams[[#This Row],[Type]]="G",SUM(R108:R111),IF(LEFT(ResultsTeams[[#This Row],[Type]],1)="P",VALUE(ResultsTeams[[#This Row],[Score-B]]),""))</f>
        <v>3</v>
      </c>
      <c r="S107" s="265" t="str">
        <f ca="1">IF(AND(ResultsTeams[[#This Row],[Category]]&lt;&gt;"",ResultsTeams[[#This Row],[Team A]]&lt;&gt;""),COUNTIF(INDIRECT("TeamsList[Club Name]"),ResultsTeams[[#This Row],[Team A]]),"")</f>
        <v/>
      </c>
      <c r="T107" s="265" t="str">
        <f ca="1">IF(AND(ResultsTeams[[#This Row],[Category]]&lt;&gt;"",ResultsTeams[[#This Row],[Team B]]&lt;&gt;""),COUNTIF(INDIRECT("TeamsList[Club Name]"),ResultsTeams[[#This Row],[Team B]]),"")</f>
        <v/>
      </c>
      <c r="U1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-Olivier Van Glabeke</v>
      </c>
      <c r="V107" s="265" t="str">
        <f>IF(ResultsTeams[[#This Row],[Score_OK]],IF(ResultsTeams[[#This Row],[StageCpy]]="Groups",ResultsTeams[[#This Row],[Category]]&amp;"-"&amp;IF(ResultsTeams[[#This Row],[Team B]]="","",IF(ResultsTeams[[#This Row],[Match-A]]=ResultsTeams[[#This Row],[Match-B]],ResultsTeams[[#This Row],[Team A]],"")),""),"")</f>
        <v>-</v>
      </c>
      <c r="W107" s="265" t="str">
        <f>IF(ResultsTeams[[#This Row],[Score_OK]],IF(ResultsTeams[[#This Row],[StageCpy]]="Groups",ResultsTeams[[#This Row],[Category]]&amp;"-"&amp;IF(ResultsTeams[[#This Row],[Team B]]="","",IF(ResultsTeams[[#This Row],[Match-A]]=ResultsTeams[[#This Row],[Match-B]],ResultsTeams[[#This Row],[Team B]],"")),""),"")</f>
        <v>-</v>
      </c>
      <c r="X1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-Aaron Skinner</v>
      </c>
      <c r="Y1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7" s="264" t="str">
        <f>IF(ResultsTeams[[#This Row],[Category]]="","",VLOOKUP(ResultsTeams[[#This Row],[Stage]],$R$1:$T$8,MATCH(ResultsTeams[[#This Row],[Category]],$S$1:$T$1,0)+1,FALSE))</f>
        <v/>
      </c>
      <c r="AC1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7" s="264" t="str">
        <f>IF(ResultsTeams[[#This Row],[Type]]="G",ResultsTeams[[#This Row],[Stage]],AD106)</f>
        <v>Groups</v>
      </c>
      <c r="AE107" s="395" t="str">
        <f>IF(ResultsTeams[[#This Row],[Type]]="G",INDEX(TeamsList[Club Name],MATCH(ResultsTeams[[#This Row],[Team A]],TeamsList[Team Name],0)),AE106)</f>
        <v>Wobbly Hobby Subbuteo Club</v>
      </c>
      <c r="AF107" s="395" t="str">
        <f>IF(ResultsTeams[[#This Row],[Type]]="G",INDEX(TeamsList[Club Name],MATCH(ResultsTeams[[#This Row],[Team B]],TeamsList[Team Name],0)),AF106)</f>
        <v>SC Lion's Eugies</v>
      </c>
      <c r="AG107" s="265"/>
      <c r="AH107" s="281" t="str">
        <f>IF(AI107="","",QUOTIENT(COUNTIF(AI$26:AI107,AI107)-1,8)+1)</f>
        <v/>
      </c>
      <c r="AI107" s="315"/>
      <c r="AJ107" s="289" t="s">
        <v>14438</v>
      </c>
      <c r="AK107" s="290" t="s">
        <v>12279</v>
      </c>
      <c r="AL107" s="300" t="s">
        <v>12275</v>
      </c>
      <c r="AM107" s="296" t="s">
        <v>12276</v>
      </c>
      <c r="AN107" s="291" t="s">
        <v>12271</v>
      </c>
      <c r="AO107" s="291" t="s">
        <v>12272</v>
      </c>
      <c r="AP107" s="414" t="s">
        <v>13154</v>
      </c>
      <c r="AQ107" s="291" t="s">
        <v>12273</v>
      </c>
      <c r="AR107" s="297" t="s">
        <v>12274</v>
      </c>
      <c r="AS107" s="414" t="s">
        <v>13154</v>
      </c>
      <c r="AT107" s="296" t="s">
        <v>12199</v>
      </c>
      <c r="AU107" s="291" t="s">
        <v>12200</v>
      </c>
      <c r="AV107" s="291" t="s">
        <v>12201</v>
      </c>
      <c r="AW107" s="291" t="s">
        <v>12202</v>
      </c>
      <c r="AX107" s="291" t="s">
        <v>12203</v>
      </c>
      <c r="AY107" s="291" t="s">
        <v>12697</v>
      </c>
      <c r="AZ107" s="291" t="s">
        <v>12698</v>
      </c>
      <c r="BA107" s="291" t="s">
        <v>12699</v>
      </c>
      <c r="BB107" s="291" t="s">
        <v>12700</v>
      </c>
      <c r="BC107" s="291" t="s">
        <v>12204</v>
      </c>
      <c r="BD107" s="291" t="s">
        <v>12205</v>
      </c>
      <c r="BE107" s="297" t="s">
        <v>12206</v>
      </c>
      <c r="BF107" s="395"/>
      <c r="BG107" s="282" t="s">
        <v>12276</v>
      </c>
      <c r="BH107" s="282" t="s">
        <v>12133</v>
      </c>
      <c r="BI107" s="283" t="s">
        <v>12199</v>
      </c>
      <c r="BJ107" s="283" t="s">
        <v>12200</v>
      </c>
      <c r="BK107" s="283" t="s">
        <v>12201</v>
      </c>
      <c r="BL107" s="283" t="s">
        <v>12202</v>
      </c>
      <c r="BM107" s="283" t="s">
        <v>12203</v>
      </c>
      <c r="BN107" s="290" t="s">
        <v>12697</v>
      </c>
      <c r="BO107" s="354" t="s">
        <v>12698</v>
      </c>
      <c r="BP107" s="283" t="s">
        <v>12699</v>
      </c>
      <c r="BQ107" s="300" t="s">
        <v>12700</v>
      </c>
      <c r="BR107" s="351" t="s">
        <v>12204</v>
      </c>
      <c r="BS107" s="283" t="s">
        <v>12205</v>
      </c>
      <c r="BT107" s="300" t="s">
        <v>12206</v>
      </c>
    </row>
    <row r="108" spans="1:72" x14ac:dyDescent="0.2">
      <c r="A108" s="62"/>
      <c r="B108" s="62"/>
      <c r="C108" s="62"/>
      <c r="D108" s="62"/>
      <c r="E108" s="241" t="s">
        <v>12243</v>
      </c>
      <c r="F108" s="247"/>
      <c r="G108" s="247" t="s">
        <v>8110</v>
      </c>
      <c r="H108" s="254" t="s">
        <v>12684</v>
      </c>
      <c r="I108" s="254"/>
      <c r="J108" s="260"/>
      <c r="K108" s="364"/>
      <c r="L108" s="364"/>
      <c r="M108" s="63"/>
      <c r="N108" s="265" t="b">
        <f>NOT(ISERROR(ResultsTeams[[#This Row],[Goal-A]]+ResultsTeams[[#This Row],[Goal-B]]))</f>
        <v>0</v>
      </c>
      <c r="O108" s="265" t="str">
        <f>IF(ResultsTeams[[#This Row],[Type]]="G",SUM(O109:O112),IF(LEFT(ResultsTeams[[#This Row],[Type]],1)="P",IF(ResultsTeams[[#This Row],[Goal-A]]&gt;ResultsTeams[[#This Row],[Goal-B]],1,0),""))</f>
        <v/>
      </c>
      <c r="P108" s="265" t="str">
        <f>IF(ResultsTeams[[#This Row],[Type]]="G",SUM(P109:P112),IF(LEFT(ResultsTeams[[#This Row],[Type]],1)="P",IF(ResultsTeams[[#This Row],[Goal-A]]&lt;ResultsTeams[[#This Row],[Goal-B]],1,0),""))</f>
        <v/>
      </c>
      <c r="Q108" s="265" t="str">
        <f>IF(ResultsTeams[[#This Row],[Type]]="G",SUM(Q109:Q112),IF(LEFT(ResultsTeams[[#This Row],[Type]],1)="P",VALUE(ResultsTeams[[#This Row],[Score-A]]),""))</f>
        <v/>
      </c>
      <c r="R108" s="265" t="str">
        <f>IF(ResultsTeams[[#This Row],[Type]]="G",SUM(R109:R112),IF(LEFT(ResultsTeams[[#This Row],[Type]],1)="P",VALUE(ResultsTeams[[#This Row],[Score-B]]),""))</f>
        <v/>
      </c>
      <c r="S108" s="265" t="str">
        <f ca="1">IF(AND(ResultsTeams[[#This Row],[Category]]&lt;&gt;"",ResultsTeams[[#This Row],[Team A]]&lt;&gt;""),COUNTIF(INDIRECT("TeamsList[Club Name]"),ResultsTeams[[#This Row],[Team A]]),"")</f>
        <v/>
      </c>
      <c r="T108" s="265" t="str">
        <f ca="1">IF(AND(ResultsTeams[[#This Row],[Category]]&lt;&gt;"",ResultsTeams[[#This Row],[Team B]]&lt;&gt;""),COUNTIF(INDIRECT("TeamsList[Club Name]"),ResultsTeams[[#This Row],[Team B]]),"")</f>
        <v/>
      </c>
      <c r="U1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8" s="265" t="str">
        <f>IF(ResultsTeams[[#This Row],[Score_OK]],IF(ResultsTeams[[#This Row],[StageCpy]]="Groups",ResultsTeams[[#This Row],[Category]]&amp;"-"&amp;IF(ResultsTeams[[#This Row],[Team B]]="","",IF(ResultsTeams[[#This Row],[Match-A]]=ResultsTeams[[#This Row],[Match-B]],ResultsTeams[[#This Row],[Team A]],"")),""),"")</f>
        <v/>
      </c>
      <c r="W108" s="265" t="str">
        <f>IF(ResultsTeams[[#This Row],[Score_OK]],IF(ResultsTeams[[#This Row],[StageCpy]]="Groups",ResultsTeams[[#This Row],[Category]]&amp;"-"&amp;IF(ResultsTeams[[#This Row],[Team B]]="","",IF(ResultsTeams[[#This Row],[Match-A]]=ResultsTeams[[#This Row],[Match-B]],ResultsTeams[[#This Row],[Team B]],"")),""),"")</f>
        <v/>
      </c>
      <c r="X1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8" s="264" t="str">
        <f>IF(ResultsTeams[[#This Row],[Category]]="","",VLOOKUP(ResultsTeams[[#This Row],[Stage]],$R$1:$T$8,MATCH(ResultsTeams[[#This Row],[Category]],$S$1:$T$1,0)+1,FALSE))</f>
        <v/>
      </c>
      <c r="AC1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8" s="264" t="str">
        <f>IF(ResultsTeams[[#This Row],[Type]]="G",ResultsTeams[[#This Row],[Stage]],AD107)</f>
        <v>Groups</v>
      </c>
      <c r="AE108" s="395" t="str">
        <f>IF(ResultsTeams[[#This Row],[Type]]="G",INDEX(TeamsList[Club Name],MATCH(ResultsTeams[[#This Row],[Team A]],TeamsList[Team Name],0)),AE107)</f>
        <v>Wobbly Hobby Subbuteo Club</v>
      </c>
      <c r="AF108" s="395" t="str">
        <f>IF(ResultsTeams[[#This Row],[Type]]="G",INDEX(TeamsList[Club Name],MATCH(ResultsTeams[[#This Row],[Team B]],TeamsList[Team Name],0)),AF107)</f>
        <v>SC Lion's Eugies</v>
      </c>
      <c r="AG108" s="265"/>
      <c r="AI108" s="12">
        <f>AI107</f>
        <v>0</v>
      </c>
      <c r="AJ108" s="309"/>
      <c r="AK108" s="320"/>
      <c r="AL108" s="311"/>
      <c r="AM108" s="292" t="str">
        <f>IF(AV108="","",SMALL(AN108:AN114,ROWS(AM108:AM108)))</f>
        <v/>
      </c>
      <c r="AN108" s="293" t="str">
        <f>IF(AV108="","",RANK(AR108,AR108:AR114)*1000+ROWS(AN108:AN108))</f>
        <v/>
      </c>
      <c r="AO108" s="316" t="str">
        <f t="shared" ref="AO108:AO114" si="82">IF(AV108="","",AT108*CritClassEq1_Points+AY108*CritClassEq1_DiffRencontres+BB108*CritClassEq1_DiffMatches+BE108*CritClassEq1_DiffButs+AZ108*CritClassEq1_Matches+BC108*CritClassEq1_Attaque)</f>
        <v/>
      </c>
      <c r="AP108" s="415" t="b">
        <f>AND(AU108&lt;&gt;"",AU108&gt;0,COUNTIF(AO108:AO114,AO108)&gt;1)</f>
        <v>0</v>
      </c>
      <c r="AQ108" s="316" t="str">
        <f t="shared" ref="AQ108:AQ114" si="83">IF(AV108="","",CritClassEq_DiffPart*AK108)</f>
        <v/>
      </c>
      <c r="AR108" s="317" t="str">
        <f t="shared" ref="AR108:AR114" si="84">IF(AV108="","",AO108+AQ108+AT108*CritClassEq2_Points+AY108*CritClassEq2_DiffRencontres+BB108*CritClassEq2_DiffMatches+BE108*CritClassEq2_DiffButs+AZ108*CritClassEq2_Matches+BC108*CritClassEq2_Attaque+AL108)</f>
        <v/>
      </c>
      <c r="AS108" s="415" t="b">
        <f>AND(AU108&lt;&gt;"",AU108&gt;0,COUNTIF(AR108:AR114,AR108)&gt;1)</f>
        <v>0</v>
      </c>
      <c r="AT108" s="355" t="str">
        <f t="shared" ref="AT108:AT114" si="85">IF(AV108="","",(AV108*Points_Victoire)+AW108*Points_Null)</f>
        <v/>
      </c>
      <c r="AU108" s="356" t="str">
        <f t="shared" ref="AU108:AU114" si="86">IF(AV108="","",SUM(AV108:AX108))</f>
        <v/>
      </c>
      <c r="AV108" s="356" t="str">
        <f>IF(OR(AI107="",AJ108=""),"",COUNTIF(ResultsTeams[Win],AI107&amp;"-"&amp;AJ108))</f>
        <v/>
      </c>
      <c r="AW108" s="356" t="str">
        <f>IF(OR(AI107="",AJ108=""),"",COUNTIF(ResultsTeams[[Draw1]:[Draw2]],AI107&amp;"-"&amp;AJ108))</f>
        <v/>
      </c>
      <c r="AX108" s="356" t="str">
        <f>IF(OR(AI107="",AJ108=""),"",COUNTIF(ResultsTeams[Lose],AI107&amp;"-"&amp;AJ108))</f>
        <v/>
      </c>
      <c r="AY108" s="356" t="str">
        <f>IF(OR(AI107="",AJ108=""),"",AV108-AX108)</f>
        <v/>
      </c>
      <c r="AZ108" s="356" t="str">
        <f>IF(OR(AI107="",AJ108=""),"",SUMIFS(ResultsTeams[Match-A],ResultsTeams[Stage],"Groups",ResultsTeams[Team A],AJ108)+SUMIFS(ResultsTeams[Match-B],ResultsTeams[Stage],"Groups",ResultsTeams[Team B],AJ108))</f>
        <v/>
      </c>
      <c r="BA108" s="356" t="str">
        <f>IF(OR(AI107="",AJ108=""),"",SUMIFS(ResultsTeams[Match-B],ResultsTeams[Stage],"Groups",ResultsTeams[Team A],AJ108)+SUMIFS(ResultsTeams[Match-A],ResultsTeams[Stage],"Groups",ResultsTeams[Team B],AJ108))</f>
        <v/>
      </c>
      <c r="BB108" s="356" t="str">
        <f>IF(OR(AI107="",AJ108=""),"",AZ108-BA108)</f>
        <v/>
      </c>
      <c r="BC108" s="356" t="str">
        <f>IF(OR(AI107="",AJ108=""),"",SUMIFS(ResultsTeams[Goal-A],ResultsTeams[Stage],"Groups",ResultsTeams[Team A],AJ108)+SUMIFS(ResultsTeams[Goal-B],ResultsTeams[Stage],"Groups",ResultsTeams[Team B],AJ108))</f>
        <v/>
      </c>
      <c r="BD108" s="356" t="str">
        <f>IF(OR(AI107="",AJ108=""),"",SUMIFS(ResultsTeams[Goal-B],ResultsTeams[Stage],"Groups",ResultsTeams[Team A],AJ108)+SUMIFS(ResultsTeams[Goal-A],ResultsTeams[Stage],"Groups",ResultsTeams[Team B],AJ108))</f>
        <v/>
      </c>
      <c r="BE108" s="357" t="str">
        <f>IF(OR(AI107="",AJ108=""),"",BC108-BD108)</f>
        <v/>
      </c>
      <c r="BF108" s="470" t="str">
        <f>IF(AM108="","",OR(VLOOKUP(AM108,AN108:BE114,3,FALSE),VLOOKUP(AM108,AN108:BE114,6,FALSE)))</f>
        <v/>
      </c>
      <c r="BG108" s="298" t="str">
        <f t="shared" ref="BG108:BG114" si="87">IF(AM108="","",INT(AM108/1000))</f>
        <v/>
      </c>
      <c r="BH108" s="285" t="str">
        <f>IF(AM108="","",INDEX(AJ108:AJ114,MATCH(AM108,AN108:AN114,0)))</f>
        <v/>
      </c>
      <c r="BI108" s="286" t="str">
        <f>IF(AM108="","",VLOOKUP(AM108,AN108:BE114,COLUMN()-COLUMN(BB107),FALSE))</f>
        <v/>
      </c>
      <c r="BJ108" s="286" t="str">
        <f>IF(AM108="","",VLOOKUP(AM108,AN108:BE114,COLUMN()-COLUMN(BB107),FALSE))</f>
        <v/>
      </c>
      <c r="BK108" s="286" t="str">
        <f>IF(AM108="","",VLOOKUP(AM108,AN108:BE114,COLUMN()-COLUMN(BB107),FALSE))</f>
        <v/>
      </c>
      <c r="BL108" s="286" t="str">
        <f>IF(AM108="","",VLOOKUP(AM108,AN108:BE114,COLUMN()-COLUMN(BB107),FALSE))</f>
        <v/>
      </c>
      <c r="BM108" s="286" t="str">
        <f>IF(AM108="","",VLOOKUP(AM108,AN108:BE114,COLUMN()-COLUMN(BB107),FALSE))</f>
        <v/>
      </c>
      <c r="BN108" s="349" t="str">
        <f>IF(AM108="","",VLOOKUP(AM108,AN108:BE114,COLUMN()-COLUMN(BB107),FALSE))</f>
        <v/>
      </c>
      <c r="BO108" s="298" t="str">
        <f>IF(AM108="","",VLOOKUP(AM108,AN108:BE114,COLUMN()-COLUMN(BB107),FALSE))</f>
        <v/>
      </c>
      <c r="BP108" s="286" t="str">
        <f>IF(AM108="","",VLOOKUP(AM108,AN108:BE114,COLUMN()-COLUMN(BB107),FALSE))</f>
        <v/>
      </c>
      <c r="BQ108" s="301" t="str">
        <f>IF(AM108="","",VLOOKUP(AM108,AN108:BE114,COLUMN()-COLUMN(BB107),FALSE))</f>
        <v/>
      </c>
      <c r="BR108" s="352" t="str">
        <f>IF(AM108="","",VLOOKUP(AM108,AN108:BE114,COLUMN()-COLUMN(BB107),FALSE))</f>
        <v/>
      </c>
      <c r="BS108" s="286" t="str">
        <f>IF(AM108="","",VLOOKUP(AM108,AN108:BE114,COLUMN()-COLUMN(BB107),FALSE))</f>
        <v/>
      </c>
      <c r="BT108" s="301" t="str">
        <f>IF(AM108="","",VLOOKUP(AM108,AN108:BE114,COLUMN()-COLUMN(BB107),FALSE))</f>
        <v/>
      </c>
    </row>
    <row r="109" spans="1:72" ht="12" thickBot="1" x14ac:dyDescent="0.25">
      <c r="A109" s="83"/>
      <c r="B109" s="83"/>
      <c r="C109" s="83"/>
      <c r="D109" s="83"/>
      <c r="E109" s="268" t="s">
        <v>12244</v>
      </c>
      <c r="F109" s="262"/>
      <c r="G109" s="262"/>
      <c r="H109" s="324"/>
      <c r="I109" s="324"/>
      <c r="J109" s="263"/>
      <c r="K109" s="365"/>
      <c r="L109" s="365"/>
      <c r="M109" s="84"/>
      <c r="N109" s="265" t="b">
        <f>NOT(ISERROR(ResultsTeams[[#This Row],[Goal-A]]+ResultsTeams[[#This Row],[Goal-B]]))</f>
        <v>0</v>
      </c>
      <c r="O109" s="265" t="str">
        <f>IF(ResultsTeams[[#This Row],[Type]]="G",SUM(O110:O113),IF(LEFT(ResultsTeams[[#This Row],[Type]],1)="P",IF(ResultsTeams[[#This Row],[Goal-A]]&gt;ResultsTeams[[#This Row],[Goal-B]],1,0),""))</f>
        <v/>
      </c>
      <c r="P109" s="265" t="str">
        <f>IF(ResultsTeams[[#This Row],[Type]]="G",SUM(P110:P113),IF(LEFT(ResultsTeams[[#This Row],[Type]],1)="P",IF(ResultsTeams[[#This Row],[Goal-A]]&lt;ResultsTeams[[#This Row],[Goal-B]],1,0),""))</f>
        <v/>
      </c>
      <c r="Q109" s="265" t="str">
        <f>IF(ResultsTeams[[#This Row],[Type]]="G",SUM(Q110:Q113),IF(LEFT(ResultsTeams[[#This Row],[Type]],1)="P",VALUE(ResultsTeams[[#This Row],[Score-A]]),""))</f>
        <v/>
      </c>
      <c r="R109" s="265" t="str">
        <f>IF(ResultsTeams[[#This Row],[Type]]="G",SUM(R110:R113),IF(LEFT(ResultsTeams[[#This Row],[Type]],1)="P",VALUE(ResultsTeams[[#This Row],[Score-B]]),""))</f>
        <v/>
      </c>
      <c r="S109" s="265" t="str">
        <f ca="1">IF(AND(ResultsTeams[[#This Row],[Category]]&lt;&gt;"",ResultsTeams[[#This Row],[Team A]]&lt;&gt;""),COUNTIF(INDIRECT("TeamsList[Club Name]"),ResultsTeams[[#This Row],[Team A]]),"")</f>
        <v/>
      </c>
      <c r="T109" s="265" t="str">
        <f ca="1">IF(AND(ResultsTeams[[#This Row],[Category]]&lt;&gt;"",ResultsTeams[[#This Row],[Team B]]&lt;&gt;""),COUNTIF(INDIRECT("TeamsList[Club Name]"),ResultsTeams[[#This Row],[Team B]]),"")</f>
        <v/>
      </c>
      <c r="U1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9" s="265" t="str">
        <f>IF(ResultsTeams[[#This Row],[Score_OK]],IF(ResultsTeams[[#This Row],[StageCpy]]="Groups",ResultsTeams[[#This Row],[Category]]&amp;"-"&amp;IF(ResultsTeams[[#This Row],[Team B]]="","",IF(ResultsTeams[[#This Row],[Match-A]]=ResultsTeams[[#This Row],[Match-B]],ResultsTeams[[#This Row],[Team A]],"")),""),"")</f>
        <v/>
      </c>
      <c r="W109" s="265" t="str">
        <f>IF(ResultsTeams[[#This Row],[Score_OK]],IF(ResultsTeams[[#This Row],[StageCpy]]="Groups",ResultsTeams[[#This Row],[Category]]&amp;"-"&amp;IF(ResultsTeams[[#This Row],[Team B]]="","",IF(ResultsTeams[[#This Row],[Match-A]]=ResultsTeams[[#This Row],[Match-B]],ResultsTeams[[#This Row],[Team B]],"")),""),"")</f>
        <v/>
      </c>
      <c r="X1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9" s="264" t="str">
        <f>IF(ResultsTeams[[#This Row],[Category]]="","",VLOOKUP(ResultsTeams[[#This Row],[Stage]],$R$1:$T$8,MATCH(ResultsTeams[[#This Row],[Category]],$S$1:$T$1,0)+1,FALSE))</f>
        <v/>
      </c>
      <c r="AC1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9" s="264" t="str">
        <f>IF(ResultsTeams[[#This Row],[Type]]="G",ResultsTeams[[#This Row],[Stage]],AD108)</f>
        <v>Groups</v>
      </c>
      <c r="AE109" s="395" t="str">
        <f>IF(ResultsTeams[[#This Row],[Type]]="G",INDEX(TeamsList[Club Name],MATCH(ResultsTeams[[#This Row],[Team A]],TeamsList[Team Name],0)),AE108)</f>
        <v>Wobbly Hobby Subbuteo Club</v>
      </c>
      <c r="AF109" s="395" t="str">
        <f>IF(ResultsTeams[[#This Row],[Type]]="G",INDEX(TeamsList[Club Name],MATCH(ResultsTeams[[#This Row],[Team B]],TeamsList[Team Name],0)),AF108)</f>
        <v>SC Lion's Eugies</v>
      </c>
      <c r="AG109" s="265"/>
      <c r="AI109" s="12">
        <f>AI108</f>
        <v>0</v>
      </c>
      <c r="AJ109" s="309"/>
      <c r="AK109" s="320"/>
      <c r="AL109" s="311"/>
      <c r="AM109" s="292" t="str">
        <f>IF(AV109="","",SMALL(AN108:AN114,ROWS(AM108:AM109)))</f>
        <v/>
      </c>
      <c r="AN109" s="293" t="str">
        <f>IF(AV109="","",RANK(AR109,AR108:AR114)*1000+ROWS(AN108:AN109))</f>
        <v/>
      </c>
      <c r="AO109" s="316" t="str">
        <f t="shared" si="82"/>
        <v/>
      </c>
      <c r="AP109" s="415" t="b">
        <f>AND(AU109&lt;&gt;"",AU109&gt;0,COUNTIF(AO108:AO114,AO109)&gt;1)</f>
        <v>0</v>
      </c>
      <c r="AQ109" s="316" t="str">
        <f t="shared" si="83"/>
        <v/>
      </c>
      <c r="AR109" s="317" t="str">
        <f t="shared" si="84"/>
        <v/>
      </c>
      <c r="AS109" s="415" t="b">
        <f>AND(AU109&lt;&gt;"",AU109&gt;0,COUNTIF(AR108:AR114,AR109)&gt;1)</f>
        <v>0</v>
      </c>
      <c r="AT109" s="355" t="str">
        <f t="shared" si="85"/>
        <v/>
      </c>
      <c r="AU109" s="356" t="str">
        <f t="shared" si="86"/>
        <v/>
      </c>
      <c r="AV109" s="356" t="str">
        <f>IF(OR(AI107="",AJ109=""),"",COUNTIF(ResultsTeams[Win],AI107&amp;"-"&amp;AJ109))</f>
        <v/>
      </c>
      <c r="AW109" s="356" t="str">
        <f>IF(OR(AI107="",AJ109=""),"",COUNTIF(ResultsTeams[[Draw1]:[Draw2]],AI107&amp;"-"&amp;AJ109))</f>
        <v/>
      </c>
      <c r="AX109" s="356" t="str">
        <f>IF(OR(AI107="",AJ109=""),"",COUNTIF(ResultsTeams[Lose],AI107&amp;"-"&amp;AJ109))</f>
        <v/>
      </c>
      <c r="AY109" s="356" t="str">
        <f>IF(OR(AI107="",AJ109=""),"",AV109-AX109)</f>
        <v/>
      </c>
      <c r="AZ109" s="356" t="str">
        <f>IF(OR(AI108="",AJ109=""),"",SUMIFS(ResultsTeams[Match-A],ResultsTeams[Stage],"Groups",ResultsTeams[Team A],AJ109)+SUMIFS(ResultsTeams[Match-B],ResultsTeams[Stage],"Groups",ResultsTeams[Team B],AJ109))</f>
        <v/>
      </c>
      <c r="BA109" s="356" t="str">
        <f>IF(OR(AI108="",AJ109=""),"",SUMIFS(ResultsTeams[Match-B],ResultsTeams[Stage],"Groups",ResultsTeams[Team A],AJ109)+SUMIFS(ResultsTeams[Match-A],ResultsTeams[Stage],"Groups",ResultsTeams[Team B],AJ109))</f>
        <v/>
      </c>
      <c r="BB109" s="356" t="str">
        <f t="shared" ref="BB109:BB114" si="88">IF(OR(AI108="",AJ109=""),"",AZ109-BA109)</f>
        <v/>
      </c>
      <c r="BC109" s="356" t="str">
        <f>IF(OR(AI108="",AJ109=""),"",SUMIFS(ResultsTeams[Goal-A],ResultsTeams[Stage],"Groups",ResultsTeams[Team A],AJ109)+SUMIFS(ResultsTeams[Goal-B],ResultsTeams[Stage],"Groups",ResultsTeams[Team B],AJ109))</f>
        <v/>
      </c>
      <c r="BD109" s="356" t="str">
        <f>IF(OR(AI108="",AJ109=""),"",SUMIFS(ResultsTeams[Goal-B],ResultsTeams[Stage],"Groups",ResultsTeams[Team A],AJ109)+SUMIFS(ResultsTeams[Goal-A],ResultsTeams[Stage],"Groups",ResultsTeams[Team B],AJ109))</f>
        <v/>
      </c>
      <c r="BE109" s="357" t="str">
        <f>IF(OR(AI107="",AJ109=""),"",BC109-BD109)</f>
        <v/>
      </c>
      <c r="BF109" s="470" t="str">
        <f>IF(AM109="","",OR(VLOOKUP(AM109,AN108:BE114,3,FALSE),VLOOKUP(AM109,AN108:BE114,6,FALSE)))</f>
        <v/>
      </c>
      <c r="BG109" s="298" t="str">
        <f t="shared" si="87"/>
        <v/>
      </c>
      <c r="BH109" s="285" t="str">
        <f>IF(AM109="","",INDEX(AJ108:AJ114,MATCH(AM109,AN108:AN114,0)))</f>
        <v/>
      </c>
      <c r="BI109" s="286" t="str">
        <f>IF(AM109="","",VLOOKUP(AM109,AN108:BE114,COLUMN()-COLUMN(BB107),FALSE))</f>
        <v/>
      </c>
      <c r="BJ109" s="286" t="str">
        <f>IF(AM109="","",VLOOKUP(AM109,AN108:BE114,COLUMN()-COLUMN(BB107),FALSE))</f>
        <v/>
      </c>
      <c r="BK109" s="286" t="str">
        <f>IF(AM109="","",VLOOKUP(AM109,AN108:BE114,COLUMN()-COLUMN(BB107),FALSE))</f>
        <v/>
      </c>
      <c r="BL109" s="286" t="str">
        <f>IF(AM109="","",VLOOKUP(AM109,AN108:BE114,COLUMN()-COLUMN(BB107),FALSE))</f>
        <v/>
      </c>
      <c r="BM109" s="286" t="str">
        <f>IF(AM109="","",VLOOKUP(AM109,AN108:BE114,COLUMN()-COLUMN(BB107),FALSE))</f>
        <v/>
      </c>
      <c r="BN109" s="349" t="str">
        <f>IF(AM109="","",VLOOKUP(AM109,AN108:BE114,COLUMN()-COLUMN(BB107),FALSE))</f>
        <v/>
      </c>
      <c r="BO109" s="298" t="str">
        <f>IF(AM109="","",VLOOKUP(AM109,AN108:BE114,COLUMN()-COLUMN(BB107),FALSE))</f>
        <v/>
      </c>
      <c r="BP109" s="286" t="str">
        <f>IF(AM109="","",VLOOKUP(AM109,AN108:BE114,COLUMN()-COLUMN(BB107),FALSE))</f>
        <v/>
      </c>
      <c r="BQ109" s="301" t="str">
        <f>IF(AM109="","",VLOOKUP(AM109,AN108:BE114,COLUMN()-COLUMN(BB107),FALSE))</f>
        <v/>
      </c>
      <c r="BR109" s="352" t="str">
        <f>IF(AM109="","",VLOOKUP(AM109,AN108:BE114,COLUMN()-COLUMN(BB107),FALSE))</f>
        <v/>
      </c>
      <c r="BS109" s="286" t="str">
        <f>IF(AM109="","",VLOOKUP(AM109,AN108:BE114,COLUMN()-COLUMN(BB107),FALSE))</f>
        <v/>
      </c>
      <c r="BT109" s="301" t="str">
        <f>IF(AM109="","",VLOOKUP(AM109,AN108:BE114,COLUMN()-COLUMN(BB107),FALSE))</f>
        <v/>
      </c>
    </row>
    <row r="110" spans="1:72" ht="12" thickBot="1" x14ac:dyDescent="0.25">
      <c r="A110" s="261" t="s">
        <v>12693</v>
      </c>
      <c r="B110" s="270" t="s">
        <v>12207</v>
      </c>
      <c r="C110" s="270">
        <v>3</v>
      </c>
      <c r="D110" s="270"/>
      <c r="E110" s="272" t="s">
        <v>12228</v>
      </c>
      <c r="F110" s="273" t="s">
        <v>794</v>
      </c>
      <c r="G110" s="273" t="s">
        <v>69</v>
      </c>
      <c r="H110" s="275">
        <v>3</v>
      </c>
      <c r="I110" s="275">
        <v>0</v>
      </c>
      <c r="J110" s="275"/>
      <c r="K110" s="366"/>
      <c r="L110" s="366"/>
      <c r="M110" s="274"/>
      <c r="N110" s="265" t="b">
        <f>NOT(ISERROR(ResultsTeams[[#This Row],[Goal-A]]+ResultsTeams[[#This Row],[Goal-B]]))</f>
        <v>1</v>
      </c>
      <c r="O110" s="265">
        <f>IF(ResultsTeams[[#This Row],[Type]]="G",SUM(O111:O114),IF(LEFT(ResultsTeams[[#This Row],[Type]],1)="P",IF(ResultsTeams[[#This Row],[Goal-A]]&gt;ResultsTeams[[#This Row],[Goal-B]],1,0),""))</f>
        <v>3</v>
      </c>
      <c r="P110" s="265">
        <f>IF(ResultsTeams[[#This Row],[Type]]="G",SUM(P111:P114),IF(LEFT(ResultsTeams[[#This Row],[Type]],1)="P",IF(ResultsTeams[[#This Row],[Goal-A]]&lt;ResultsTeams[[#This Row],[Goal-B]],1,0),""))</f>
        <v>0</v>
      </c>
      <c r="Q110" s="265">
        <f>IF(ResultsTeams[[#This Row],[Type]]="G",SUM(Q111:Q114),IF(LEFT(ResultsTeams[[#This Row],[Type]],1)="P",VALUE(ResultsTeams[[#This Row],[Score-A]]),""))</f>
        <v>13</v>
      </c>
      <c r="R110" s="265">
        <f>IF(ResultsTeams[[#This Row],[Type]]="G",SUM(R111:R114),IF(LEFT(ResultsTeams[[#This Row],[Type]],1)="P",VALUE(ResultsTeams[[#This Row],[Score-B]]),""))</f>
        <v>4</v>
      </c>
      <c r="S110" s="265">
        <f ca="1">IF(AND(ResultsTeams[[#This Row],[Category]]&lt;&gt;"",ResultsTeams[[#This Row],[Team A]]&lt;&gt;""),COUNTIF(INDIRECT("TeamsList[Club Name]"),ResultsTeams[[#This Row],[Team A]]),"")</f>
        <v>1</v>
      </c>
      <c r="T110" s="265">
        <f ca="1">IF(AND(ResultsTeams[[#This Row],[Category]]&lt;&gt;"",ResultsTeams[[#This Row],[Team B]]&lt;&gt;""),COUNTIF(INDIRECT("TeamsList[Club Name]"),ResultsTeams[[#This Row],[Team B]]),"")</f>
        <v>1</v>
      </c>
      <c r="U1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TEAM-Bormla SC</v>
      </c>
      <c r="V110" s="265" t="str">
        <f>IF(ResultsTeams[[#This Row],[Score_OK]],IF(ResultsTeams[[#This Row],[StageCpy]]="Groups",ResultsTeams[[#This Row],[Category]]&amp;"-"&amp;IF(ResultsTeams[[#This Row],[Team B]]="","",IF(ResultsTeams[[#This Row],[Match-A]]=ResultsTeams[[#This Row],[Match-B]],ResultsTeams[[#This Row],[Team A]],"")),""),"")</f>
        <v>TEAM-</v>
      </c>
      <c r="W110" s="265" t="str">
        <f>IF(ResultsTeams[[#This Row],[Score_OK]],IF(ResultsTeams[[#This Row],[StageCpy]]="Groups",ResultsTeams[[#This Row],[Category]]&amp;"-"&amp;IF(ResultsTeams[[#This Row],[Team B]]="","",IF(ResultsTeams[[#This Row],[Match-A]]=ResultsTeams[[#This Row],[Match-B]],ResultsTeams[[#This Row],[Team B]],"")),""),"")</f>
        <v>TEAM-</v>
      </c>
      <c r="X1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TEAM-JSC Rochefort</v>
      </c>
      <c r="Y1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TEAM-JSC Rochefort</v>
      </c>
      <c r="AA1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TEAM-JSC Rochefort</v>
      </c>
      <c r="AB110" s="264" t="str">
        <f>IF(ResultsTeams[[#This Row],[Category]]="","",VLOOKUP(ResultsTeams[[#This Row],[Stage]],$R$1:$T$8,MATCH(ResultsTeams[[#This Row],[Category]],$S$1:$T$1,0)+1,FALSE))</f>
        <v>PR1</v>
      </c>
      <c r="AC1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0" s="264" t="str">
        <f>IF(ResultsTeams[[#This Row],[Type]]="G",ResultsTeams[[#This Row],[Stage]],AD109)</f>
        <v>Groups</v>
      </c>
      <c r="AE110" s="395" t="str">
        <f>IF(ResultsTeams[[#This Row],[Type]]="G",INDEX(TeamsList[Club Name],MATCH(ResultsTeams[[#This Row],[Team A]],TeamsList[Team Name],0)),AE109)</f>
        <v>Bormla SC</v>
      </c>
      <c r="AF110" s="395" t="str">
        <f>IF(ResultsTeams[[#This Row],[Type]]="G",INDEX(TeamsList[Club Name],MATCH(ResultsTeams[[#This Row],[Team B]],TeamsList[Team Name],0)),AF109)</f>
        <v>JSC Rochefort</v>
      </c>
      <c r="AG110" s="265"/>
      <c r="AI110" s="12">
        <f t="shared" ref="AI110:AI114" si="89">AI109</f>
        <v>0</v>
      </c>
      <c r="AJ110" s="309"/>
      <c r="AK110" s="320"/>
      <c r="AL110" s="311"/>
      <c r="AM110" s="292" t="str">
        <f>IF(AV110="","",SMALL(AN108:AN114,ROWS(AM108:AM110)))</f>
        <v/>
      </c>
      <c r="AN110" s="293" t="str">
        <f>IF(AV110="","",RANK(AR110,AR108:AR114)*1000+ROWS(AN108:AN110))</f>
        <v/>
      </c>
      <c r="AO110" s="316" t="str">
        <f t="shared" si="82"/>
        <v/>
      </c>
      <c r="AP110" s="415" t="b">
        <f>AND(AU110&lt;&gt;"",AU110&gt;0,COUNTIF(AO108:AO114,AO110)&gt;1)</f>
        <v>0</v>
      </c>
      <c r="AQ110" s="316" t="str">
        <f t="shared" si="83"/>
        <v/>
      </c>
      <c r="AR110" s="317" t="str">
        <f t="shared" si="84"/>
        <v/>
      </c>
      <c r="AS110" s="415" t="b">
        <f>AND(AU110&lt;&gt;"",AU110&gt;0,COUNTIF(AR108:AR114,AR110)&gt;1)</f>
        <v>0</v>
      </c>
      <c r="AT110" s="355" t="str">
        <f t="shared" si="85"/>
        <v/>
      </c>
      <c r="AU110" s="356" t="str">
        <f t="shared" si="86"/>
        <v/>
      </c>
      <c r="AV110" s="356" t="str">
        <f>IF(OR(AI107="",AJ110=""),"",COUNTIF(ResultsTeams[Win],AI107&amp;"-"&amp;AJ110))</f>
        <v/>
      </c>
      <c r="AW110" s="356" t="str">
        <f>IF(OR(AI107="",AJ110=""),"",COUNTIF(ResultsTeams[[Draw1]:[Draw2]],AI107&amp;"-"&amp;AJ110))</f>
        <v/>
      </c>
      <c r="AX110" s="356" t="str">
        <f>IF(OR(AI107="",AJ110=""),"",COUNTIF(ResultsTeams[Lose],AI107&amp;"-"&amp;AJ110))</f>
        <v/>
      </c>
      <c r="AY110" s="356" t="str">
        <f>IF(OR(AI107="",AJ110=""),"",AV110-AX110)</f>
        <v/>
      </c>
      <c r="AZ110" s="356" t="str">
        <f>IF(OR(AI109="",AJ110=""),"",SUMIFS(ResultsTeams[Match-A],ResultsTeams[Stage],"Groups",ResultsTeams[Team A],AJ110)+SUMIFS(ResultsTeams[Match-B],ResultsTeams[Stage],"Groups",ResultsTeams[Team B],AJ110))</f>
        <v/>
      </c>
      <c r="BA110" s="356" t="str">
        <f>IF(OR(AI109="",AJ110=""),"",SUMIFS(ResultsTeams[Match-B],ResultsTeams[Stage],"Groups",ResultsTeams[Team A],AJ110)+SUMIFS(ResultsTeams[Match-A],ResultsTeams[Stage],"Groups",ResultsTeams[Team B],AJ110))</f>
        <v/>
      </c>
      <c r="BB110" s="356" t="str">
        <f t="shared" si="88"/>
        <v/>
      </c>
      <c r="BC110" s="356" t="str">
        <f>IF(OR(AI109="",AJ110=""),"",SUMIFS(ResultsTeams[Goal-A],ResultsTeams[Stage],"Groups",ResultsTeams[Team A],AJ110)+SUMIFS(ResultsTeams[Goal-B],ResultsTeams[Stage],"Groups",ResultsTeams[Team B],AJ110))</f>
        <v/>
      </c>
      <c r="BD110" s="356" t="str">
        <f>IF(OR(AI109="",AJ110=""),"",SUMIFS(ResultsTeams[Goal-B],ResultsTeams[Stage],"Groups",ResultsTeams[Team A],AJ110)+SUMIFS(ResultsTeams[Goal-A],ResultsTeams[Stage],"Groups",ResultsTeams[Team B],AJ110))</f>
        <v/>
      </c>
      <c r="BE110" s="357" t="str">
        <f>IF(OR(AI107="",AJ110=""),"",BC110-BD110)</f>
        <v/>
      </c>
      <c r="BF110" s="470" t="str">
        <f>IF(AM110="","",OR(VLOOKUP(AM110,AN108:BE114,3,FALSE),VLOOKUP(AM110,AN108:BE114,6,FALSE)))</f>
        <v/>
      </c>
      <c r="BG110" s="298" t="str">
        <f t="shared" si="87"/>
        <v/>
      </c>
      <c r="BH110" s="285" t="str">
        <f>IF(AM110="","",INDEX(AJ108:AJ114,MATCH(AM110,AN108:AN114,0)))</f>
        <v/>
      </c>
      <c r="BI110" s="286" t="str">
        <f>IF(AM110="","",VLOOKUP(AM110,AN108:BE114,COLUMN()-COLUMN(BB107),FALSE))</f>
        <v/>
      </c>
      <c r="BJ110" s="286" t="str">
        <f>IF(AM110="","",VLOOKUP(AM110,AN108:BE114,COLUMN()-COLUMN(BB107),FALSE))</f>
        <v/>
      </c>
      <c r="BK110" s="286" t="str">
        <f>IF(AM110="","",VLOOKUP(AM110,AN108:BE114,COLUMN()-COLUMN(BB107),FALSE))</f>
        <v/>
      </c>
      <c r="BL110" s="286" t="str">
        <f>IF(AM110="","",VLOOKUP(AM110,AN108:BE114,COLUMN()-COLUMN(BB107),FALSE))</f>
        <v/>
      </c>
      <c r="BM110" s="286" t="str">
        <f>IF(AM110="","",VLOOKUP(AM110,AN108:BE114,COLUMN()-COLUMN(BB107),FALSE))</f>
        <v/>
      </c>
      <c r="BN110" s="349" t="str">
        <f>IF(AM110="","",VLOOKUP(AM110,AN108:BE114,COLUMN()-COLUMN(BB107),FALSE))</f>
        <v/>
      </c>
      <c r="BO110" s="298" t="str">
        <f>IF(AM110="","",VLOOKUP(AM110,AN108:BE114,COLUMN()-COLUMN(BB107),FALSE))</f>
        <v/>
      </c>
      <c r="BP110" s="286" t="str">
        <f>IF(AM110="","",VLOOKUP(AM110,AN108:BE114,COLUMN()-COLUMN(BB107),FALSE))</f>
        <v/>
      </c>
      <c r="BQ110" s="301" t="str">
        <f>IF(AM110="","",VLOOKUP(AM110,AN108:BE114,COLUMN()-COLUMN(BB107),FALSE))</f>
        <v/>
      </c>
      <c r="BR110" s="352" t="str">
        <f>IF(AM110="","",VLOOKUP(AM110,AN108:BE114,COLUMN()-COLUMN(BB107),FALSE))</f>
        <v/>
      </c>
      <c r="BS110" s="286" t="str">
        <f>IF(AM110="","",VLOOKUP(AM110,AN108:BE114,COLUMN()-COLUMN(BB107),FALSE))</f>
        <v/>
      </c>
      <c r="BT110" s="301" t="str">
        <f>IF(AM110="","",VLOOKUP(AM110,AN108:BE114,COLUMN()-COLUMN(BB107),FALSE))</f>
        <v/>
      </c>
    </row>
    <row r="111" spans="1:72" x14ac:dyDescent="0.2">
      <c r="A111" s="60"/>
      <c r="B111" s="280"/>
      <c r="C111" s="60"/>
      <c r="D111" s="60"/>
      <c r="E111" s="240" t="s">
        <v>12231</v>
      </c>
      <c r="F111" s="244" t="s">
        <v>10414</v>
      </c>
      <c r="G111" s="244" t="s">
        <v>8087</v>
      </c>
      <c r="H111" s="253">
        <v>5</v>
      </c>
      <c r="I111" s="253">
        <v>1</v>
      </c>
      <c r="J111" s="253"/>
      <c r="K111" s="362"/>
      <c r="L111" s="362"/>
      <c r="M111" s="245"/>
      <c r="N111" s="265" t="b">
        <f>NOT(ISERROR(ResultsTeams[[#This Row],[Goal-A]]+ResultsTeams[[#This Row],[Goal-B]]))</f>
        <v>1</v>
      </c>
      <c r="O111" s="265">
        <f>IF(ResultsTeams[[#This Row],[Type]]="G",SUM(O112:O115),IF(LEFT(ResultsTeams[[#This Row],[Type]],1)="P",IF(ResultsTeams[[#This Row],[Goal-A]]&gt;ResultsTeams[[#This Row],[Goal-B]],1,0),""))</f>
        <v>1</v>
      </c>
      <c r="P111" s="265">
        <f>IF(ResultsTeams[[#This Row],[Type]]="G",SUM(P112:P115),IF(LEFT(ResultsTeams[[#This Row],[Type]],1)="P",IF(ResultsTeams[[#This Row],[Goal-A]]&lt;ResultsTeams[[#This Row],[Goal-B]],1,0),""))</f>
        <v>0</v>
      </c>
      <c r="Q111" s="265">
        <f>IF(ResultsTeams[[#This Row],[Type]]="G",SUM(Q112:Q115),IF(LEFT(ResultsTeams[[#This Row],[Type]],1)="P",VALUE(ResultsTeams[[#This Row],[Score-A]]),""))</f>
        <v>5</v>
      </c>
      <c r="R111" s="265">
        <f>IF(ResultsTeams[[#This Row],[Type]]="G",SUM(R112:R115),IF(LEFT(ResultsTeams[[#This Row],[Type]],1)="P",VALUE(ResultsTeams[[#This Row],[Score-B]]),""))</f>
        <v>1</v>
      </c>
      <c r="S111" s="265" t="str">
        <f ca="1">IF(AND(ResultsTeams[[#This Row],[Category]]&lt;&gt;"",ResultsTeams[[#This Row],[Team A]]&lt;&gt;""),COUNTIF(INDIRECT("TeamsList[Club Name]"),ResultsTeams[[#This Row],[Team A]]),"")</f>
        <v/>
      </c>
      <c r="T111" s="265" t="str">
        <f ca="1">IF(AND(ResultsTeams[[#This Row],[Category]]&lt;&gt;"",ResultsTeams[[#This Row],[Team B]]&lt;&gt;""),COUNTIF(INDIRECT("TeamsList[Club Name]"),ResultsTeams[[#This Row],[Team B]]),"")</f>
        <v/>
      </c>
      <c r="U1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-Charles Aquilina</v>
      </c>
      <c r="V111" s="265" t="str">
        <f>IF(ResultsTeams[[#This Row],[Score_OK]],IF(ResultsTeams[[#This Row],[StageCpy]]="Groups",ResultsTeams[[#This Row],[Category]]&amp;"-"&amp;IF(ResultsTeams[[#This Row],[Team B]]="","",IF(ResultsTeams[[#This Row],[Match-A]]=ResultsTeams[[#This Row],[Match-B]],ResultsTeams[[#This Row],[Team A]],"")),""),"")</f>
        <v>-</v>
      </c>
      <c r="W111" s="265" t="str">
        <f>IF(ResultsTeams[[#This Row],[Score_OK]],IF(ResultsTeams[[#This Row],[StageCpy]]="Groups",ResultsTeams[[#This Row],[Category]]&amp;"-"&amp;IF(ResultsTeams[[#This Row],[Team B]]="","",IF(ResultsTeams[[#This Row],[Match-A]]=ResultsTeams[[#This Row],[Match-B]],ResultsTeams[[#This Row],[Team B]],"")),""),"")</f>
        <v>-</v>
      </c>
      <c r="X1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-Michaël Denooz</v>
      </c>
      <c r="Y1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1" s="264" t="str">
        <f>IF(ResultsTeams[[#This Row],[Category]]="","",VLOOKUP(ResultsTeams[[#This Row],[Stage]],$R$1:$T$8,MATCH(ResultsTeams[[#This Row],[Category]],$S$1:$T$1,0)+1,FALSE))</f>
        <v/>
      </c>
      <c r="AC1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1" s="264" t="str">
        <f>IF(ResultsTeams[[#This Row],[Type]]="G",ResultsTeams[[#This Row],[Stage]],AD110)</f>
        <v>Groups</v>
      </c>
      <c r="AE111" s="395" t="str">
        <f>IF(ResultsTeams[[#This Row],[Type]]="G",INDEX(TeamsList[Club Name],MATCH(ResultsTeams[[#This Row],[Team A]],TeamsList[Team Name],0)),AE110)</f>
        <v>Bormla SC</v>
      </c>
      <c r="AF111" s="395" t="str">
        <f>IF(ResultsTeams[[#This Row],[Type]]="G",INDEX(TeamsList[Club Name],MATCH(ResultsTeams[[#This Row],[Team B]],TeamsList[Team Name],0)),AF110)</f>
        <v>JSC Rochefort</v>
      </c>
      <c r="AG111" s="265"/>
      <c r="AH111" s="91"/>
      <c r="AI111" s="12">
        <f t="shared" si="89"/>
        <v>0</v>
      </c>
      <c r="AJ111" s="309"/>
      <c r="AK111" s="310"/>
      <c r="AL111" s="311"/>
      <c r="AM111" s="292" t="str">
        <f>IF(AV111="","",SMALL(AN108:AN114,ROWS(AM108:AM111)))</f>
        <v/>
      </c>
      <c r="AN111" s="293" t="str">
        <f>IF(AV111="","",RANK(AR111,AR108:AR114)*1000+ROWS(AN108:AN111))</f>
        <v/>
      </c>
      <c r="AO111" s="316" t="str">
        <f t="shared" si="82"/>
        <v/>
      </c>
      <c r="AP111" s="415" t="b">
        <f>AND(AU111&lt;&gt;"",AU111&gt;0,COUNTIF(AO108:AO114,AO111)&gt;1)</f>
        <v>0</v>
      </c>
      <c r="AQ111" s="316" t="str">
        <f t="shared" si="83"/>
        <v/>
      </c>
      <c r="AR111" s="317" t="str">
        <f t="shared" si="84"/>
        <v/>
      </c>
      <c r="AS111" s="415" t="b">
        <f>AND(AU111&lt;&gt;"",AU111&gt;0,COUNTIF(AR108:AR114,AR111)&gt;1)</f>
        <v>0</v>
      </c>
      <c r="AT111" s="355" t="str">
        <f t="shared" si="85"/>
        <v/>
      </c>
      <c r="AU111" s="356" t="str">
        <f t="shared" si="86"/>
        <v/>
      </c>
      <c r="AV111" s="356" t="str">
        <f>IF(OR(AI107="",AJ111=""),"",COUNTIF(ResultsTeams[Win],AI107&amp;"-"&amp;AJ111))</f>
        <v/>
      </c>
      <c r="AW111" s="356" t="str">
        <f>IF(OR(AI107="",AJ111=""),"",COUNTIF(ResultsTeams[[Draw1]:[Draw2]],AI107&amp;"-"&amp;AJ111))</f>
        <v/>
      </c>
      <c r="AX111" s="356" t="str">
        <f>IF(OR(AI107="",AJ111=""),"",COUNTIF(ResultsTeams[Lose],AI107&amp;"-"&amp;AJ111))</f>
        <v/>
      </c>
      <c r="AY111" s="356" t="str">
        <f>IF(OR(AI107="",AJ111=""),"",AV111-AX111)</f>
        <v/>
      </c>
      <c r="AZ111" s="356" t="str">
        <f>IF(OR(AI110="",AJ111=""),"",SUMIFS(ResultsTeams[Match-A],ResultsTeams[Stage],"Groups",ResultsTeams[Team A],AJ111)+SUMIFS(ResultsTeams[Match-B],ResultsTeams[Stage],"Groups",ResultsTeams[Team B],AJ111))</f>
        <v/>
      </c>
      <c r="BA111" s="356" t="str">
        <f>IF(OR(AI110="",AJ111=""),"",SUMIFS(ResultsTeams[Match-B],ResultsTeams[Stage],"Groups",ResultsTeams[Team A],AJ111)+SUMIFS(ResultsTeams[Match-A],ResultsTeams[Stage],"Groups",ResultsTeams[Team B],AJ111))</f>
        <v/>
      </c>
      <c r="BB111" s="356" t="str">
        <f t="shared" si="88"/>
        <v/>
      </c>
      <c r="BC111" s="356" t="str">
        <f>IF(OR(AI110="",AJ111=""),"",SUMIFS(ResultsTeams[Goal-A],ResultsTeams[Stage],"Groups",ResultsTeams[Team A],AJ111)+SUMIFS(ResultsTeams[Goal-B],ResultsTeams[Stage],"Groups",ResultsTeams[Team B],AJ111))</f>
        <v/>
      </c>
      <c r="BD111" s="356" t="str">
        <f>IF(OR(AI110="",AJ111=""),"",SUMIFS(ResultsTeams[Goal-B],ResultsTeams[Stage],"Groups",ResultsTeams[Team A],AJ111)+SUMIFS(ResultsTeams[Goal-A],ResultsTeams[Stage],"Groups",ResultsTeams[Team B],AJ111))</f>
        <v/>
      </c>
      <c r="BE111" s="357" t="str">
        <f>IF(OR(AI107="",AJ111=""),"",BC111-BD111)</f>
        <v/>
      </c>
      <c r="BF111" s="470" t="str">
        <f>IF(AM111="","",OR(VLOOKUP(AM111,AN108:BE114,3,FALSE),VLOOKUP(AM111,AN108:BE114,6,FALSE)))</f>
        <v/>
      </c>
      <c r="BG111" s="298" t="str">
        <f t="shared" si="87"/>
        <v/>
      </c>
      <c r="BH111" s="285" t="str">
        <f>IF(AM111="","",INDEX(AJ108:AJ114,MATCH(AM111,AN108:AN114,0)))</f>
        <v/>
      </c>
      <c r="BI111" s="286" t="str">
        <f>IF(AM111="","",VLOOKUP(AM111,AN108:BE114,COLUMN()-COLUMN(BB107),FALSE))</f>
        <v/>
      </c>
      <c r="BJ111" s="286" t="str">
        <f>IF(AM111="","",VLOOKUP(AM111,AN108:BE114,COLUMN()-COLUMN(BB107),FALSE))</f>
        <v/>
      </c>
      <c r="BK111" s="286" t="str">
        <f>IF(AM111="","",VLOOKUP(AM111,AN108:BE114,COLUMN()-COLUMN(BB107),FALSE))</f>
        <v/>
      </c>
      <c r="BL111" s="286" t="str">
        <f>IF(AM111="","",VLOOKUP(AM111,AN108:BE114,COLUMN()-COLUMN(BB107),FALSE))</f>
        <v/>
      </c>
      <c r="BM111" s="286" t="str">
        <f>IF(AM111="","",VLOOKUP(AM111,AN108:BE114,COLUMN()-COLUMN(BB107),FALSE))</f>
        <v/>
      </c>
      <c r="BN111" s="349" t="str">
        <f>IF(AM111="","",VLOOKUP(AM111,AN108:BE114,COLUMN()-COLUMN(BB107),FALSE))</f>
        <v/>
      </c>
      <c r="BO111" s="298" t="str">
        <f>IF(AM111="","",VLOOKUP(AM111,AN108:BE114,COLUMN()-COLUMN(BB107),FALSE))</f>
        <v/>
      </c>
      <c r="BP111" s="286" t="str">
        <f>IF(AM111="","",VLOOKUP(AM111,AN108:BE114,COLUMN()-COLUMN(BB107),FALSE))</f>
        <v/>
      </c>
      <c r="BQ111" s="301" t="str">
        <f>IF(AM111="","",VLOOKUP(AM111,AN108:BE114,COLUMN()-COLUMN(BB107),FALSE))</f>
        <v/>
      </c>
      <c r="BR111" s="352" t="str">
        <f>IF(AM111="","",VLOOKUP(AM111,AN108:BE114,COLUMN()-COLUMN(BB107),FALSE))</f>
        <v/>
      </c>
      <c r="BS111" s="286" t="str">
        <f>IF(AM111="","",VLOOKUP(AM111,AN108:BE114,COLUMN()-COLUMN(BB107),FALSE))</f>
        <v/>
      </c>
      <c r="BT111" s="301" t="str">
        <f>IF(AM111="","",VLOOKUP(AM111,AN108:BE114,COLUMN()-COLUMN(BB107),FALSE))</f>
        <v/>
      </c>
    </row>
    <row r="112" spans="1:72" x14ac:dyDescent="0.2">
      <c r="A112" s="62"/>
      <c r="B112" s="280"/>
      <c r="C112" s="62"/>
      <c r="D112" s="62"/>
      <c r="E112" s="241" t="s">
        <v>12234</v>
      </c>
      <c r="F112" s="246" t="s">
        <v>8062</v>
      </c>
      <c r="G112" s="246" t="s">
        <v>8092</v>
      </c>
      <c r="H112" s="254">
        <v>1</v>
      </c>
      <c r="I112" s="254">
        <v>1</v>
      </c>
      <c r="J112" s="254"/>
      <c r="K112" s="363"/>
      <c r="L112" s="363"/>
      <c r="M112" s="247"/>
      <c r="N112" s="265" t="b">
        <f>NOT(ISERROR(ResultsTeams[[#This Row],[Goal-A]]+ResultsTeams[[#This Row],[Goal-B]]))</f>
        <v>1</v>
      </c>
      <c r="O112" s="265">
        <f>IF(ResultsTeams[[#This Row],[Type]]="G",SUM(O113:O116),IF(LEFT(ResultsTeams[[#This Row],[Type]],1)="P",IF(ResultsTeams[[#This Row],[Goal-A]]&gt;ResultsTeams[[#This Row],[Goal-B]],1,0),""))</f>
        <v>0</v>
      </c>
      <c r="P112" s="265">
        <f>IF(ResultsTeams[[#This Row],[Type]]="G",SUM(P113:P116),IF(LEFT(ResultsTeams[[#This Row],[Type]],1)="P",IF(ResultsTeams[[#This Row],[Goal-A]]&lt;ResultsTeams[[#This Row],[Goal-B]],1,0),""))</f>
        <v>0</v>
      </c>
      <c r="Q112" s="265">
        <f>IF(ResultsTeams[[#This Row],[Type]]="G",SUM(Q113:Q116),IF(LEFT(ResultsTeams[[#This Row],[Type]],1)="P",VALUE(ResultsTeams[[#This Row],[Score-A]]),""))</f>
        <v>1</v>
      </c>
      <c r="R112" s="265">
        <f>IF(ResultsTeams[[#This Row],[Type]]="G",SUM(R113:R116),IF(LEFT(ResultsTeams[[#This Row],[Type]],1)="P",VALUE(ResultsTeams[[#This Row],[Score-B]]),""))</f>
        <v>1</v>
      </c>
      <c r="S112" s="265" t="str">
        <f ca="1">IF(AND(ResultsTeams[[#This Row],[Category]]&lt;&gt;"",ResultsTeams[[#This Row],[Team A]]&lt;&gt;""),COUNTIF(INDIRECT("TeamsList[Club Name]"),ResultsTeams[[#This Row],[Team A]]),"")</f>
        <v/>
      </c>
      <c r="T112" s="265" t="str">
        <f ca="1">IF(AND(ResultsTeams[[#This Row],[Category]]&lt;&gt;"",ResultsTeams[[#This Row],[Team B]]&lt;&gt;""),COUNTIF(INDIRECT("TeamsList[Club Name]"),ResultsTeams[[#This Row],[Team B]]),"")</f>
        <v/>
      </c>
      <c r="U1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12" s="265" t="str">
        <f>IF(ResultsTeams[[#This Row],[Score_OK]],IF(ResultsTeams[[#This Row],[StageCpy]]="Groups",ResultsTeams[[#This Row],[Category]]&amp;"-"&amp;IF(ResultsTeams[[#This Row],[Team B]]="","",IF(ResultsTeams[[#This Row],[Match-A]]=ResultsTeams[[#This Row],[Match-B]],ResultsTeams[[#This Row],[Team A]],"")),""),"")</f>
        <v>-David Busch</v>
      </c>
      <c r="W112" s="265" t="str">
        <f>IF(ResultsTeams[[#This Row],[Score_OK]],IF(ResultsTeams[[#This Row],[StageCpy]]="Groups",ResultsTeams[[#This Row],[Category]]&amp;"-"&amp;IF(ResultsTeams[[#This Row],[Team B]]="","",IF(ResultsTeams[[#This Row],[Match-A]]=ResultsTeams[[#This Row],[Match-B]],ResultsTeams[[#This Row],[Team B]],"")),""),"")</f>
        <v>-Nathan Dizier</v>
      </c>
      <c r="X1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2" s="264" t="str">
        <f>IF(ResultsTeams[[#This Row],[Category]]="","",VLOOKUP(ResultsTeams[[#This Row],[Stage]],$R$1:$T$8,MATCH(ResultsTeams[[#This Row],[Category]],$S$1:$T$1,0)+1,FALSE))</f>
        <v/>
      </c>
      <c r="AC1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2" s="264" t="str">
        <f>IF(ResultsTeams[[#This Row],[Type]]="G",ResultsTeams[[#This Row],[Stage]],AD111)</f>
        <v>Groups</v>
      </c>
      <c r="AE112" s="395" t="str">
        <f>IF(ResultsTeams[[#This Row],[Type]]="G",INDEX(TeamsList[Club Name],MATCH(ResultsTeams[[#This Row],[Team A]],TeamsList[Team Name],0)),AE111)</f>
        <v>Bormla SC</v>
      </c>
      <c r="AF112" s="395" t="str">
        <f>IF(ResultsTeams[[#This Row],[Type]]="G",INDEX(TeamsList[Club Name],MATCH(ResultsTeams[[#This Row],[Team B]],TeamsList[Team Name],0)),AF111)</f>
        <v>JSC Rochefort</v>
      </c>
      <c r="AG112" s="265"/>
      <c r="AH112" s="91"/>
      <c r="AI112" s="12">
        <f t="shared" si="89"/>
        <v>0</v>
      </c>
      <c r="AJ112" s="309"/>
      <c r="AK112" s="310"/>
      <c r="AL112" s="311"/>
      <c r="AM112" s="292" t="str">
        <f>IF(AV112="","",SMALL(AN108:AN114,ROWS(AM108:AM112)))</f>
        <v/>
      </c>
      <c r="AN112" s="293" t="str">
        <f>IF(AV112="","",RANK(AR112,AR108:AR114)*1000+ROWS(AN108:AN112))</f>
        <v/>
      </c>
      <c r="AO112" s="316" t="str">
        <f t="shared" si="82"/>
        <v/>
      </c>
      <c r="AP112" s="415" t="b">
        <f>AND(AU112&lt;&gt;"",AU112&gt;0,COUNTIF(AO108:AO114,AO112)&gt;1)</f>
        <v>0</v>
      </c>
      <c r="AQ112" s="316" t="str">
        <f t="shared" si="83"/>
        <v/>
      </c>
      <c r="AR112" s="317" t="str">
        <f t="shared" si="84"/>
        <v/>
      </c>
      <c r="AS112" s="415" t="b">
        <f>AND(AU112&lt;&gt;"",AU112&gt;0,COUNTIF(AR108:AR114,AR112)&gt;1)</f>
        <v>0</v>
      </c>
      <c r="AT112" s="355" t="str">
        <f t="shared" si="85"/>
        <v/>
      </c>
      <c r="AU112" s="356" t="str">
        <f t="shared" si="86"/>
        <v/>
      </c>
      <c r="AV112" s="356" t="str">
        <f>IF(OR(AI107="",AJ112=""),"",COUNTIF(ResultsTeams[Win],AI107&amp;"-"&amp;AJ112))</f>
        <v/>
      </c>
      <c r="AW112" s="356" t="str">
        <f>IF(OR(AI107="",AJ112=""),"",COUNTIF(ResultsTeams[[Draw1]:[Draw2]],AI107&amp;"-"&amp;AJ112))</f>
        <v/>
      </c>
      <c r="AX112" s="356" t="str">
        <f>IF(OR(AI107="",AJ112=""),"",COUNTIF(ResultsTeams[Lose],AI107&amp;"-"&amp;AJ112))</f>
        <v/>
      </c>
      <c r="AY112" s="356" t="str">
        <f>IF(OR(AI107="",AJ112=""),"",AV112-AX112)</f>
        <v/>
      </c>
      <c r="AZ112" s="356" t="str">
        <f>IF(OR(AI111="",AJ112=""),"",SUMIFS(ResultsTeams[Match-A],ResultsTeams[Stage],"Groups",ResultsTeams[Team A],AJ112)+SUMIFS(ResultsTeams[Match-B],ResultsTeams[Stage],"Groups",ResultsTeams[Team B],AJ112))</f>
        <v/>
      </c>
      <c r="BA112" s="356" t="str">
        <f>IF(OR(AI111="",AJ112=""),"",SUMIFS(ResultsTeams[Match-B],ResultsTeams[Stage],"Groups",ResultsTeams[Team A],AJ112)+SUMIFS(ResultsTeams[Match-A],ResultsTeams[Stage],"Groups",ResultsTeams[Team B],AJ112))</f>
        <v/>
      </c>
      <c r="BB112" s="356" t="str">
        <f t="shared" si="88"/>
        <v/>
      </c>
      <c r="BC112" s="356" t="str">
        <f>IF(OR(AI111="",AJ112=""),"",SUMIFS(ResultsTeams[Goal-A],ResultsTeams[Stage],"Groups",ResultsTeams[Team A],AJ112)+SUMIFS(ResultsTeams[Goal-B],ResultsTeams[Stage],"Groups",ResultsTeams[Team B],AJ112))</f>
        <v/>
      </c>
      <c r="BD112" s="356" t="str">
        <f>IF(OR(AI111="",AJ112=""),"",SUMIFS(ResultsTeams[Goal-B],ResultsTeams[Stage],"Groups",ResultsTeams[Team A],AJ112)+SUMIFS(ResultsTeams[Goal-A],ResultsTeams[Stage],"Groups",ResultsTeams[Team B],AJ112))</f>
        <v/>
      </c>
      <c r="BE112" s="357" t="str">
        <f>IF(OR(AI107="",AJ112=""),"",BC112-BD112)</f>
        <v/>
      </c>
      <c r="BF112" s="470" t="str">
        <f>IF(AM112="","",OR(VLOOKUP(AM112,AN108:BE114,3,FALSE),VLOOKUP(AM112,AN108:BE114,6,FALSE)))</f>
        <v/>
      </c>
      <c r="BG112" s="298" t="str">
        <f t="shared" si="87"/>
        <v/>
      </c>
      <c r="BH112" s="285" t="str">
        <f>IF(AM112="","",INDEX(AJ108:AJ114,MATCH(AM112,AN108:AN114,0)))</f>
        <v/>
      </c>
      <c r="BI112" s="286" t="str">
        <f>IF(AM112="","",VLOOKUP(AM112,AN108:BE114,COLUMN()-COLUMN(BB107),FALSE))</f>
        <v/>
      </c>
      <c r="BJ112" s="286" t="str">
        <f>IF(AM112="","",VLOOKUP(AM112,AN108:BE114,COLUMN()-COLUMN(BB107),FALSE))</f>
        <v/>
      </c>
      <c r="BK112" s="286" t="str">
        <f>IF(AM112="","",VLOOKUP(AM112,AN108:BE114,COLUMN()-COLUMN(BB107),FALSE))</f>
        <v/>
      </c>
      <c r="BL112" s="286" t="str">
        <f>IF(AM112="","",VLOOKUP(AM112,AN108:BE114,COLUMN()-COLUMN(BB107),FALSE))</f>
        <v/>
      </c>
      <c r="BM112" s="286" t="str">
        <f>IF(AM112="","",VLOOKUP(AM112,AN108:BE114,COLUMN()-COLUMN(BB107),FALSE))</f>
        <v/>
      </c>
      <c r="BN112" s="349" t="str">
        <f>IF(AM112="","",VLOOKUP(AM112,AN108:BE114,COLUMN()-COLUMN(BB107),FALSE))</f>
        <v/>
      </c>
      <c r="BO112" s="298" t="str">
        <f>IF(AM112="","",VLOOKUP(AM112,AN108:BE114,COLUMN()-COLUMN(BB107),FALSE))</f>
        <v/>
      </c>
      <c r="BP112" s="286" t="str">
        <f>IF(AM112="","",VLOOKUP(AM112,AN108:BE114,COLUMN()-COLUMN(BB107),FALSE))</f>
        <v/>
      </c>
      <c r="BQ112" s="301" t="str">
        <f>IF(AM112="","",VLOOKUP(AM112,AN108:BE114,COLUMN()-COLUMN(BB107),FALSE))</f>
        <v/>
      </c>
      <c r="BR112" s="352" t="str">
        <f>IF(AM112="","",VLOOKUP(AM112,AN108:BE114,COLUMN()-COLUMN(BB107),FALSE))</f>
        <v/>
      </c>
      <c r="BS112" s="286" t="str">
        <f>IF(AM112="","",VLOOKUP(AM112,AN108:BE114,COLUMN()-COLUMN(BB107),FALSE))</f>
        <v/>
      </c>
      <c r="BT112" s="301" t="str">
        <f>IF(AM112="","",VLOOKUP(AM112,AN108:BE114,COLUMN()-COLUMN(BB107),FALSE))</f>
        <v/>
      </c>
    </row>
    <row r="113" spans="1:72" x14ac:dyDescent="0.2">
      <c r="A113" s="62"/>
      <c r="B113" s="280"/>
      <c r="C113" s="62"/>
      <c r="D113" s="62"/>
      <c r="E113" s="241" t="s">
        <v>12237</v>
      </c>
      <c r="F113" s="246" t="s">
        <v>10431</v>
      </c>
      <c r="G113" s="246" t="s">
        <v>8192</v>
      </c>
      <c r="H113" s="254">
        <v>2</v>
      </c>
      <c r="I113" s="254">
        <v>1</v>
      </c>
      <c r="J113" s="254"/>
      <c r="K113" s="363"/>
      <c r="L113" s="363"/>
      <c r="M113" s="247"/>
      <c r="N113" s="265" t="b">
        <f>NOT(ISERROR(ResultsTeams[[#This Row],[Goal-A]]+ResultsTeams[[#This Row],[Goal-B]]))</f>
        <v>1</v>
      </c>
      <c r="O113" s="265">
        <f>IF(ResultsTeams[[#This Row],[Type]]="G",SUM(O114:O117),IF(LEFT(ResultsTeams[[#This Row],[Type]],1)="P",IF(ResultsTeams[[#This Row],[Goal-A]]&gt;ResultsTeams[[#This Row],[Goal-B]],1,0),""))</f>
        <v>1</v>
      </c>
      <c r="P113" s="265">
        <f>IF(ResultsTeams[[#This Row],[Type]]="G",SUM(P114:P117),IF(LEFT(ResultsTeams[[#This Row],[Type]],1)="P",IF(ResultsTeams[[#This Row],[Goal-A]]&lt;ResultsTeams[[#This Row],[Goal-B]],1,0),""))</f>
        <v>0</v>
      </c>
      <c r="Q113" s="265">
        <f>IF(ResultsTeams[[#This Row],[Type]]="G",SUM(Q114:Q117),IF(LEFT(ResultsTeams[[#This Row],[Type]],1)="P",VALUE(ResultsTeams[[#This Row],[Score-A]]),""))</f>
        <v>2</v>
      </c>
      <c r="R113" s="265">
        <f>IF(ResultsTeams[[#This Row],[Type]]="G",SUM(R114:R117),IF(LEFT(ResultsTeams[[#This Row],[Type]],1)="P",VALUE(ResultsTeams[[#This Row],[Score-B]]),""))</f>
        <v>1</v>
      </c>
      <c r="S113" s="265" t="str">
        <f ca="1">IF(AND(ResultsTeams[[#This Row],[Category]]&lt;&gt;"",ResultsTeams[[#This Row],[Team A]]&lt;&gt;""),COUNTIF(INDIRECT("TeamsList[Club Name]"),ResultsTeams[[#This Row],[Team A]]),"")</f>
        <v/>
      </c>
      <c r="T113" s="265" t="str">
        <f ca="1">IF(AND(ResultsTeams[[#This Row],[Category]]&lt;&gt;"",ResultsTeams[[#This Row],[Team B]]&lt;&gt;""),COUNTIF(INDIRECT("TeamsList[Club Name]"),ResultsTeams[[#This Row],[Team B]]),"")</f>
        <v/>
      </c>
      <c r="U1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-Jason Pisani</v>
      </c>
      <c r="V113" s="265" t="str">
        <f>IF(ResultsTeams[[#This Row],[Score_OK]],IF(ResultsTeams[[#This Row],[StageCpy]]="Groups",ResultsTeams[[#This Row],[Category]]&amp;"-"&amp;IF(ResultsTeams[[#This Row],[Team B]]="","",IF(ResultsTeams[[#This Row],[Match-A]]=ResultsTeams[[#This Row],[Match-B]],ResultsTeams[[#This Row],[Team A]],"")),""),"")</f>
        <v>-</v>
      </c>
      <c r="W113" s="265" t="str">
        <f>IF(ResultsTeams[[#This Row],[Score_OK]],IF(ResultsTeams[[#This Row],[StageCpy]]="Groups",ResultsTeams[[#This Row],[Category]]&amp;"-"&amp;IF(ResultsTeams[[#This Row],[Team B]]="","",IF(ResultsTeams[[#This Row],[Match-A]]=ResultsTeams[[#This Row],[Match-B]],ResultsTeams[[#This Row],[Team B]],"")),""),"")</f>
        <v>-</v>
      </c>
      <c r="X1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-Mathieu Marlair</v>
      </c>
      <c r="Y1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3" s="264" t="str">
        <f>IF(ResultsTeams[[#This Row],[Category]]="","",VLOOKUP(ResultsTeams[[#This Row],[Stage]],$R$1:$T$8,MATCH(ResultsTeams[[#This Row],[Category]],$S$1:$T$1,0)+1,FALSE))</f>
        <v/>
      </c>
      <c r="AC1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3" s="264" t="str">
        <f>IF(ResultsTeams[[#This Row],[Type]]="G",ResultsTeams[[#This Row],[Stage]],AD112)</f>
        <v>Groups</v>
      </c>
      <c r="AE113" s="395" t="str">
        <f>IF(ResultsTeams[[#This Row],[Type]]="G",INDEX(TeamsList[Club Name],MATCH(ResultsTeams[[#This Row],[Team A]],TeamsList[Team Name],0)),AE112)</f>
        <v>Bormla SC</v>
      </c>
      <c r="AF113" s="395" t="str">
        <f>IF(ResultsTeams[[#This Row],[Type]]="G",INDEX(TeamsList[Club Name],MATCH(ResultsTeams[[#This Row],[Team B]],TeamsList[Team Name],0)),AF112)</f>
        <v>JSC Rochefort</v>
      </c>
      <c r="AG113" s="265"/>
      <c r="AI113" s="12">
        <f t="shared" si="89"/>
        <v>0</v>
      </c>
      <c r="AJ113" s="309"/>
      <c r="AK113" s="310"/>
      <c r="AL113" s="311"/>
      <c r="AM113" s="292" t="str">
        <f>IF(AV113="","",SMALL(AN108:AN114,ROWS(AM108:AM113)))</f>
        <v/>
      </c>
      <c r="AN113" s="293" t="str">
        <f>IF(AV113="","",RANK(AR113,AR108:AR114)*1000+ROWS(AN108:AN113))</f>
        <v/>
      </c>
      <c r="AO113" s="316" t="str">
        <f t="shared" si="82"/>
        <v/>
      </c>
      <c r="AP113" s="415" t="b">
        <f>AND(AU113&lt;&gt;"",AU113&gt;0,COUNTIF(AO108:AO114,AO113)&gt;1)</f>
        <v>0</v>
      </c>
      <c r="AQ113" s="316" t="str">
        <f t="shared" si="83"/>
        <v/>
      </c>
      <c r="AR113" s="317" t="str">
        <f t="shared" si="84"/>
        <v/>
      </c>
      <c r="AS113" s="415" t="b">
        <f>AND(AU113&lt;&gt;"",AU113&gt;0,COUNTIF(AR108:AR114,AR113)&gt;1)</f>
        <v>0</v>
      </c>
      <c r="AT113" s="355" t="str">
        <f t="shared" si="85"/>
        <v/>
      </c>
      <c r="AU113" s="356" t="str">
        <f t="shared" si="86"/>
        <v/>
      </c>
      <c r="AV113" s="356" t="str">
        <f>IF(OR(AI107="",AJ113=""),"",COUNTIF(ResultsTeams[Win],AI107&amp;"-"&amp;AJ113))</f>
        <v/>
      </c>
      <c r="AW113" s="356" t="str">
        <f>IF(OR(AI107="",AJ113=""),"",COUNTIF(ResultsTeams[[Draw1]:[Draw2]],AI107&amp;"-"&amp;AJ113))</f>
        <v/>
      </c>
      <c r="AX113" s="356" t="str">
        <f>IF(OR(AI107="",AJ113=""),"",COUNTIF(ResultsTeams[Lose],AI107&amp;"-"&amp;AJ113))</f>
        <v/>
      </c>
      <c r="AY113" s="356" t="str">
        <f>IF(OR(AI107="",AJ113=""),"",AV113-AX113)</f>
        <v/>
      </c>
      <c r="AZ113" s="356" t="str">
        <f>IF(OR(AI112="",AJ113=""),"",SUMIFS(ResultsTeams[Match-A],ResultsTeams[Stage],"Groups",ResultsTeams[Team A],AJ113)+SUMIFS(ResultsTeams[Match-B],ResultsTeams[Stage],"Groups",ResultsTeams[Team B],AJ113))</f>
        <v/>
      </c>
      <c r="BA113" s="356" t="str">
        <f>IF(OR(AI112="",AJ113=""),"",SUMIFS(ResultsTeams[Match-B],ResultsTeams[Stage],"Groups",ResultsTeams[Team A],AJ113)+SUMIFS(ResultsTeams[Match-A],ResultsTeams[Stage],"Groups",ResultsTeams[Team B],AJ113))</f>
        <v/>
      </c>
      <c r="BB113" s="356" t="str">
        <f t="shared" si="88"/>
        <v/>
      </c>
      <c r="BC113" s="356" t="str">
        <f>IF(OR(AI112="",AJ113=""),"",SUMIFS(ResultsTeams[Goal-A],ResultsTeams[Stage],"Groups",ResultsTeams[Team A],AJ113)+SUMIFS(ResultsTeams[Goal-B],ResultsTeams[Stage],"Groups",ResultsTeams[Team B],AJ113))</f>
        <v/>
      </c>
      <c r="BD113" s="356" t="str">
        <f>IF(OR(AI112="",AJ113=""),"",SUMIFS(ResultsTeams[Goal-B],ResultsTeams[Stage],"Groups",ResultsTeams[Team A],AJ113)+SUMIFS(ResultsTeams[Goal-A],ResultsTeams[Stage],"Groups",ResultsTeams[Team B],AJ113))</f>
        <v/>
      </c>
      <c r="BE113" s="357" t="str">
        <f>IF(OR(AI107="",AJ113=""),"",BC113-BD113)</f>
        <v/>
      </c>
      <c r="BF113" s="470" t="str">
        <f>IF(AM113="","",OR(VLOOKUP(AM113,AN108:BE114,3,FALSE),VLOOKUP(AM113,AN108:BE114,6,FALSE)))</f>
        <v/>
      </c>
      <c r="BG113" s="298" t="str">
        <f t="shared" si="87"/>
        <v/>
      </c>
      <c r="BH113" s="285" t="str">
        <f>IF(AM113="","",INDEX(AJ108:AJ114,MATCH(AM113,AN108:AN114,0)))</f>
        <v/>
      </c>
      <c r="BI113" s="286" t="str">
        <f>IF(AM113="","",VLOOKUP(AM113,AN108:BE114,COLUMN()-COLUMN(BB107),FALSE))</f>
        <v/>
      </c>
      <c r="BJ113" s="286" t="str">
        <f>IF(AM113="","",VLOOKUP(AM113,AN108:BE114,COLUMN()-COLUMN(BB107),FALSE))</f>
        <v/>
      </c>
      <c r="BK113" s="286" t="str">
        <f>IF(AM113="","",VLOOKUP(AM113,AN108:BE114,COLUMN()-COLUMN(BB107),FALSE))</f>
        <v/>
      </c>
      <c r="BL113" s="286" t="str">
        <f>IF(AM113="","",VLOOKUP(AM113,AN108:BE114,COLUMN()-COLUMN(BB107),FALSE))</f>
        <v/>
      </c>
      <c r="BM113" s="286" t="str">
        <f>IF(AM113="","",VLOOKUP(AM113,AN108:BE114,COLUMN()-COLUMN(BB107),FALSE))</f>
        <v/>
      </c>
      <c r="BN113" s="349" t="str">
        <f>IF(AM113="","",VLOOKUP(AM113,AN108:BE114,COLUMN()-COLUMN(BB107),FALSE))</f>
        <v/>
      </c>
      <c r="BO113" s="298" t="str">
        <f>IF(AM113="","",VLOOKUP(AM113,AN108:BE114,COLUMN()-COLUMN(BB107),FALSE))</f>
        <v/>
      </c>
      <c r="BP113" s="286" t="str">
        <f>IF(AM113="","",VLOOKUP(AM113,AN108:BE114,COLUMN()-COLUMN(BB107),FALSE))</f>
        <v/>
      </c>
      <c r="BQ113" s="301" t="str">
        <f>IF(AM113="","",VLOOKUP(AM113,AN108:BE114,COLUMN()-COLUMN(BB107),FALSE))</f>
        <v/>
      </c>
      <c r="BR113" s="352" t="str">
        <f>IF(AM113="","",VLOOKUP(AM113,AN108:BE114,COLUMN()-COLUMN(BB107),FALSE))</f>
        <v/>
      </c>
      <c r="BS113" s="286" t="str">
        <f>IF(AM113="","",VLOOKUP(AM113,AN108:BE114,COLUMN()-COLUMN(BB107),FALSE))</f>
        <v/>
      </c>
      <c r="BT113" s="301" t="str">
        <f>IF(AM113="","",VLOOKUP(AM113,AN108:BE114,COLUMN()-COLUMN(BB107),FALSE))</f>
        <v/>
      </c>
    </row>
    <row r="114" spans="1:72" ht="12" thickBot="1" x14ac:dyDescent="0.25">
      <c r="A114" s="62"/>
      <c r="B114" s="280"/>
      <c r="C114" s="62"/>
      <c r="D114" s="62"/>
      <c r="E114" s="241" t="s">
        <v>12240</v>
      </c>
      <c r="F114" s="246" t="s">
        <v>8097</v>
      </c>
      <c r="G114" s="246" t="s">
        <v>8117</v>
      </c>
      <c r="H114" s="254">
        <v>5</v>
      </c>
      <c r="I114" s="254">
        <v>1</v>
      </c>
      <c r="J114" s="254"/>
      <c r="K114" s="363"/>
      <c r="L114" s="363"/>
      <c r="M114" s="247"/>
      <c r="N114" s="265" t="b">
        <f>NOT(ISERROR(ResultsTeams[[#This Row],[Goal-A]]+ResultsTeams[[#This Row],[Goal-B]]))</f>
        <v>1</v>
      </c>
      <c r="O114" s="265">
        <f>IF(ResultsTeams[[#This Row],[Type]]="G",SUM(O115:O118),IF(LEFT(ResultsTeams[[#This Row],[Type]],1)="P",IF(ResultsTeams[[#This Row],[Goal-A]]&gt;ResultsTeams[[#This Row],[Goal-B]],1,0),""))</f>
        <v>1</v>
      </c>
      <c r="P114" s="265">
        <f>IF(ResultsTeams[[#This Row],[Type]]="G",SUM(P115:P118),IF(LEFT(ResultsTeams[[#This Row],[Type]],1)="P",IF(ResultsTeams[[#This Row],[Goal-A]]&lt;ResultsTeams[[#This Row],[Goal-B]],1,0),""))</f>
        <v>0</v>
      </c>
      <c r="Q114" s="265">
        <f>IF(ResultsTeams[[#This Row],[Type]]="G",SUM(Q115:Q118),IF(LEFT(ResultsTeams[[#This Row],[Type]],1)="P",VALUE(ResultsTeams[[#This Row],[Score-A]]),""))</f>
        <v>5</v>
      </c>
      <c r="R114" s="265">
        <f>IF(ResultsTeams[[#This Row],[Type]]="G",SUM(R115:R118),IF(LEFT(ResultsTeams[[#This Row],[Type]],1)="P",VALUE(ResultsTeams[[#This Row],[Score-B]]),""))</f>
        <v>1</v>
      </c>
      <c r="S114" s="265" t="str">
        <f ca="1">IF(AND(ResultsTeams[[#This Row],[Category]]&lt;&gt;"",ResultsTeams[[#This Row],[Team A]]&lt;&gt;""),COUNTIF(INDIRECT("TeamsList[Club Name]"),ResultsTeams[[#This Row],[Team A]]),"")</f>
        <v/>
      </c>
      <c r="T114" s="265" t="str">
        <f ca="1">IF(AND(ResultsTeams[[#This Row],[Category]]&lt;&gt;"",ResultsTeams[[#This Row],[Team B]]&lt;&gt;""),COUNTIF(INDIRECT("TeamsList[Club Name]"),ResultsTeams[[#This Row],[Team B]]),"")</f>
        <v/>
      </c>
      <c r="U1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-Bessim Golger</v>
      </c>
      <c r="V114" s="265" t="str">
        <f>IF(ResultsTeams[[#This Row],[Score_OK]],IF(ResultsTeams[[#This Row],[StageCpy]]="Groups",ResultsTeams[[#This Row],[Category]]&amp;"-"&amp;IF(ResultsTeams[[#This Row],[Team B]]="","",IF(ResultsTeams[[#This Row],[Match-A]]=ResultsTeams[[#This Row],[Match-B]],ResultsTeams[[#This Row],[Team A]],"")),""),"")</f>
        <v>-</v>
      </c>
      <c r="W114" s="265" t="str">
        <f>IF(ResultsTeams[[#This Row],[Score_OK]],IF(ResultsTeams[[#This Row],[StageCpy]]="Groups",ResultsTeams[[#This Row],[Category]]&amp;"-"&amp;IF(ResultsTeams[[#This Row],[Team B]]="","",IF(ResultsTeams[[#This Row],[Match-A]]=ResultsTeams[[#This Row],[Match-B]],ResultsTeams[[#This Row],[Team B]],"")),""),"")</f>
        <v>-</v>
      </c>
      <c r="X1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-Maxime Muraille</v>
      </c>
      <c r="Y1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4" s="264" t="str">
        <f>IF(ResultsTeams[[#This Row],[Category]]="","",VLOOKUP(ResultsTeams[[#This Row],[Stage]],$R$1:$T$8,MATCH(ResultsTeams[[#This Row],[Category]],$S$1:$T$1,0)+1,FALSE))</f>
        <v/>
      </c>
      <c r="AC1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4" s="264" t="str">
        <f>IF(ResultsTeams[[#This Row],[Type]]="G",ResultsTeams[[#This Row],[Stage]],AD113)</f>
        <v>Groups</v>
      </c>
      <c r="AE114" s="395" t="str">
        <f>IF(ResultsTeams[[#This Row],[Type]]="G",INDEX(TeamsList[Club Name],MATCH(ResultsTeams[[#This Row],[Team A]],TeamsList[Team Name],0)),AE113)</f>
        <v>Bormla SC</v>
      </c>
      <c r="AF114" s="395" t="str">
        <f>IF(ResultsTeams[[#This Row],[Type]]="G",INDEX(TeamsList[Club Name],MATCH(ResultsTeams[[#This Row],[Team B]],TeamsList[Team Name],0)),AF113)</f>
        <v>JSC Rochefort</v>
      </c>
      <c r="AG114" s="265"/>
      <c r="AI114" s="12">
        <f t="shared" si="89"/>
        <v>0</v>
      </c>
      <c r="AJ114" s="312"/>
      <c r="AK114" s="313"/>
      <c r="AL114" s="314"/>
      <c r="AM114" s="294" t="str">
        <f>IF(AV114="","",SMALL(AN108:AN114,ROWS(AM108:AM114)))</f>
        <v/>
      </c>
      <c r="AN114" s="295" t="str">
        <f>IF(AV114="","",RANK(AR114,AR108:AR114)*1000+ROWS(AN108:AN114))</f>
        <v/>
      </c>
      <c r="AO114" s="318" t="str">
        <f t="shared" si="82"/>
        <v/>
      </c>
      <c r="AP114" s="416" t="b">
        <f>AND(AU114&lt;&gt;"",AU114&gt;0,COUNTIF(AO108:AO114,AO114)&gt;1)</f>
        <v>0</v>
      </c>
      <c r="AQ114" s="318" t="str">
        <f t="shared" si="83"/>
        <v/>
      </c>
      <c r="AR114" s="319" t="str">
        <f t="shared" si="84"/>
        <v/>
      </c>
      <c r="AS114" s="416" t="b">
        <f>AND(AU114&lt;&gt;"",AU114&gt;0,COUNTIF(AR108:AR114,AR114)&gt;1)</f>
        <v>0</v>
      </c>
      <c r="AT114" s="358" t="str">
        <f t="shared" si="85"/>
        <v/>
      </c>
      <c r="AU114" s="359" t="str">
        <f t="shared" si="86"/>
        <v/>
      </c>
      <c r="AV114" s="359" t="str">
        <f>IF(OR(AI107="",AJ114=""),"",COUNTIF(ResultsTeams[Win],AI107&amp;"-"&amp;AJ114))</f>
        <v/>
      </c>
      <c r="AW114" s="359" t="str">
        <f>IF(OR(AI107="",AJ114=""),"",COUNTIF(ResultsTeams[[Draw1]:[Draw2]],AI107&amp;"-"&amp;AJ114))</f>
        <v/>
      </c>
      <c r="AX114" s="359" t="str">
        <f>IF(OR(AI107="",AJ114=""),"",COUNTIF(ResultsTeams[Lose],AI107&amp;"-"&amp;AJ114))</f>
        <v/>
      </c>
      <c r="AY114" s="359" t="str">
        <f>IF(OR(AI107="",AJ114=""),"",AV114-AX114)</f>
        <v/>
      </c>
      <c r="AZ114" s="359" t="str">
        <f>IF(OR(AI113="",AJ114=""),"",SUMIFS(ResultsTeams[Match-A],ResultsTeams[Stage],"Groups",ResultsTeams[Team A],AJ114)+SUMIFS(ResultsTeams[Match-B],ResultsTeams[Stage],"Groups",ResultsTeams[Team B],AJ114))</f>
        <v/>
      </c>
      <c r="BA114" s="359" t="str">
        <f>IF(OR(AI113="",AJ114=""),"",SUMIFS(ResultsTeams[Match-B],ResultsTeams[Stage],"Groups",ResultsTeams[Team A],AJ114)+SUMIFS(ResultsTeams[Match-A],ResultsTeams[Stage],"Groups",ResultsTeams[Team B],AJ114))</f>
        <v/>
      </c>
      <c r="BB114" s="359" t="str">
        <f t="shared" si="88"/>
        <v/>
      </c>
      <c r="BC114" s="359" t="str">
        <f>IF(OR(AI113="",AJ114=""),"",SUMIFS(ResultsTeams[Goal-A],ResultsTeams[Stage],"Groups",ResultsTeams[Team A],AJ114)+SUMIFS(ResultsTeams[Goal-B],ResultsTeams[Stage],"Groups",ResultsTeams[Team B],AJ114))</f>
        <v/>
      </c>
      <c r="BD114" s="359" t="str">
        <f>IF(OR(AI113="",AJ114=""),"",SUMIFS(ResultsTeams[Goal-B],ResultsTeams[Stage],"Groups",ResultsTeams[Team A],AJ114)+SUMIFS(ResultsTeams[Goal-A],ResultsTeams[Stage],"Groups",ResultsTeams[Team B],AJ114))</f>
        <v/>
      </c>
      <c r="BE114" s="360" t="str">
        <f>IF(OR(AI107="",AJ114=""),"",BC114-BD114)</f>
        <v/>
      </c>
      <c r="BF114" s="470" t="str">
        <f>IF(AM114="","",OR(VLOOKUP(AM114,AN108:BE114,3,FALSE),VLOOKUP(AM114,AN108:BE114,6,FALSE)))</f>
        <v/>
      </c>
      <c r="BG114" s="299" t="str">
        <f t="shared" si="87"/>
        <v/>
      </c>
      <c r="BH114" s="287" t="str">
        <f>IF(AM114="","",INDEX(AJ108:AJ114,MATCH(AM114,AN108:AN114,0)))</f>
        <v/>
      </c>
      <c r="BI114" s="288" t="str">
        <f>IF(AM114="","",VLOOKUP(AM114,AN108:BE114,COLUMN()-COLUMN(BB107),FALSE))</f>
        <v/>
      </c>
      <c r="BJ114" s="288" t="str">
        <f>IF(AM114="","",VLOOKUP(AM114,AN108:BE114,COLUMN()-COLUMN(BB107),FALSE))</f>
        <v/>
      </c>
      <c r="BK114" s="288" t="str">
        <f>IF(AM114="","",VLOOKUP(AM114,AN108:BE114,COLUMN()-COLUMN(BB107),FALSE))</f>
        <v/>
      </c>
      <c r="BL114" s="288" t="str">
        <f>IF(AM114="","",VLOOKUP(AM114,AN108:BE114,COLUMN()-COLUMN(BB107),FALSE))</f>
        <v/>
      </c>
      <c r="BM114" s="288" t="str">
        <f>IF(AM114="","",VLOOKUP(AM114,AN108:BE114,COLUMN()-COLUMN(BB107),FALSE))</f>
        <v/>
      </c>
      <c r="BN114" s="350" t="str">
        <f>IF(AM114="","",VLOOKUP(AM114,AN108:BE114,COLUMN()-COLUMN(BB107),FALSE))</f>
        <v/>
      </c>
      <c r="BO114" s="299" t="str">
        <f>IF(AM114="","",VLOOKUP(AM114,AN108:BE114,COLUMN()-COLUMN(BB107),FALSE))</f>
        <v/>
      </c>
      <c r="BP114" s="288" t="str">
        <f>IF(AM114="","",VLOOKUP(AM114,AN108:BE114,COLUMN()-COLUMN(BB107),FALSE))</f>
        <v/>
      </c>
      <c r="BQ114" s="302" t="str">
        <f>IF(AM114="","",VLOOKUP(AM114,AN108:BE114,COLUMN()-COLUMN(BB107),FALSE))</f>
        <v/>
      </c>
      <c r="BR114" s="353" t="str">
        <f>IF(AM114="","",VLOOKUP(AM114,AN108:BE114,COLUMN()-COLUMN(BB107),FALSE))</f>
        <v/>
      </c>
      <c r="BS114" s="288" t="str">
        <f>IF(AM114="","",VLOOKUP(AM114,AN108:BE114,COLUMN()-COLUMN(BB107),FALSE))</f>
        <v/>
      </c>
      <c r="BT114" s="302" t="str">
        <f>IF(AM114="","",VLOOKUP(AM114,AN108:BE114,COLUMN()-COLUMN(BB107),FALSE))</f>
        <v/>
      </c>
    </row>
    <row r="115" spans="1:72" ht="12" thickBot="1" x14ac:dyDescent="0.25">
      <c r="A115" s="62"/>
      <c r="B115" s="62"/>
      <c r="C115" s="62"/>
      <c r="D115" s="62"/>
      <c r="E115" s="241" t="s">
        <v>12243</v>
      </c>
      <c r="F115" s="247"/>
      <c r="G115" s="247"/>
      <c r="H115" s="254"/>
      <c r="I115" s="254"/>
      <c r="J115" s="260"/>
      <c r="K115" s="364"/>
      <c r="L115" s="364"/>
      <c r="M115" s="247"/>
      <c r="N115" s="265" t="b">
        <f>NOT(ISERROR(ResultsTeams[[#This Row],[Goal-A]]+ResultsTeams[[#This Row],[Goal-B]]))</f>
        <v>0</v>
      </c>
      <c r="O115" s="265" t="str">
        <f>IF(ResultsTeams[[#This Row],[Type]]="G",SUM(O116:O119),IF(LEFT(ResultsTeams[[#This Row],[Type]],1)="P",IF(ResultsTeams[[#This Row],[Goal-A]]&gt;ResultsTeams[[#This Row],[Goal-B]],1,0),""))</f>
        <v/>
      </c>
      <c r="P115" s="265" t="str">
        <f>IF(ResultsTeams[[#This Row],[Type]]="G",SUM(P116:P119),IF(LEFT(ResultsTeams[[#This Row],[Type]],1)="P",IF(ResultsTeams[[#This Row],[Goal-A]]&lt;ResultsTeams[[#This Row],[Goal-B]],1,0),""))</f>
        <v/>
      </c>
      <c r="Q115" s="265" t="str">
        <f>IF(ResultsTeams[[#This Row],[Type]]="G",SUM(Q116:Q119),IF(LEFT(ResultsTeams[[#This Row],[Type]],1)="P",VALUE(ResultsTeams[[#This Row],[Score-A]]),""))</f>
        <v/>
      </c>
      <c r="R115" s="265" t="str">
        <f>IF(ResultsTeams[[#This Row],[Type]]="G",SUM(R116:R119),IF(LEFT(ResultsTeams[[#This Row],[Type]],1)="P",VALUE(ResultsTeams[[#This Row],[Score-B]]),""))</f>
        <v/>
      </c>
      <c r="S115" s="265" t="str">
        <f ca="1">IF(AND(ResultsTeams[[#This Row],[Category]]&lt;&gt;"",ResultsTeams[[#This Row],[Team A]]&lt;&gt;""),COUNTIF(INDIRECT("TeamsList[Club Name]"),ResultsTeams[[#This Row],[Team A]]),"")</f>
        <v/>
      </c>
      <c r="T115" s="265" t="str">
        <f ca="1">IF(AND(ResultsTeams[[#This Row],[Category]]&lt;&gt;"",ResultsTeams[[#This Row],[Team B]]&lt;&gt;""),COUNTIF(INDIRECT("TeamsList[Club Name]"),ResultsTeams[[#This Row],[Team B]]),"")</f>
        <v/>
      </c>
      <c r="U1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15" s="265" t="str">
        <f>IF(ResultsTeams[[#This Row],[Score_OK]],IF(ResultsTeams[[#This Row],[StageCpy]]="Groups",ResultsTeams[[#This Row],[Category]]&amp;"-"&amp;IF(ResultsTeams[[#This Row],[Team B]]="","",IF(ResultsTeams[[#This Row],[Match-A]]=ResultsTeams[[#This Row],[Match-B]],ResultsTeams[[#This Row],[Team A]],"")),""),"")</f>
        <v/>
      </c>
      <c r="W115" s="265" t="str">
        <f>IF(ResultsTeams[[#This Row],[Score_OK]],IF(ResultsTeams[[#This Row],[StageCpy]]="Groups",ResultsTeams[[#This Row],[Category]]&amp;"-"&amp;IF(ResultsTeams[[#This Row],[Team B]]="","",IF(ResultsTeams[[#This Row],[Match-A]]=ResultsTeams[[#This Row],[Match-B]],ResultsTeams[[#This Row],[Team B]],"")),""),"")</f>
        <v/>
      </c>
      <c r="X1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5" s="264" t="str">
        <f>IF(ResultsTeams[[#This Row],[Category]]="","",VLOOKUP(ResultsTeams[[#This Row],[Stage]],$R$1:$T$8,MATCH(ResultsTeams[[#This Row],[Category]],$S$1:$T$1,0)+1,FALSE))</f>
        <v/>
      </c>
      <c r="AC1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5" s="264" t="str">
        <f>IF(ResultsTeams[[#This Row],[Type]]="G",ResultsTeams[[#This Row],[Stage]],AD114)</f>
        <v>Groups</v>
      </c>
      <c r="AE115" s="395" t="str">
        <f>IF(ResultsTeams[[#This Row],[Type]]="G",INDEX(TeamsList[Club Name],MATCH(ResultsTeams[[#This Row],[Team A]],TeamsList[Team Name],0)),AE114)</f>
        <v>Bormla SC</v>
      </c>
      <c r="AF115" s="395" t="str">
        <f>IF(ResultsTeams[[#This Row],[Type]]="G",INDEX(TeamsList[Club Name],MATCH(ResultsTeams[[#This Row],[Team B]],TeamsList[Team Name],0)),AF114)</f>
        <v>JSC Rochefort</v>
      </c>
      <c r="AG115" s="265"/>
    </row>
    <row r="116" spans="1:72" ht="12" thickBot="1" x14ac:dyDescent="0.25">
      <c r="A116" s="83"/>
      <c r="B116" s="83"/>
      <c r="C116" s="83"/>
      <c r="D116" s="83"/>
      <c r="E116" s="268" t="s">
        <v>12244</v>
      </c>
      <c r="F116" s="262"/>
      <c r="G116" s="262"/>
      <c r="H116" s="324"/>
      <c r="I116" s="324"/>
      <c r="J116" s="263"/>
      <c r="K116" s="365"/>
      <c r="L116" s="365"/>
      <c r="M116" s="262"/>
      <c r="N116" s="265" t="b">
        <f>NOT(ISERROR(ResultsTeams[[#This Row],[Goal-A]]+ResultsTeams[[#This Row],[Goal-B]]))</f>
        <v>0</v>
      </c>
      <c r="O116" s="265" t="str">
        <f>IF(ResultsTeams[[#This Row],[Type]]="G",SUM(O117:O120),IF(LEFT(ResultsTeams[[#This Row],[Type]],1)="P",IF(ResultsTeams[[#This Row],[Goal-A]]&gt;ResultsTeams[[#This Row],[Goal-B]],1,0),""))</f>
        <v/>
      </c>
      <c r="P116" s="265" t="str">
        <f>IF(ResultsTeams[[#This Row],[Type]]="G",SUM(P117:P120),IF(LEFT(ResultsTeams[[#This Row],[Type]],1)="P",IF(ResultsTeams[[#This Row],[Goal-A]]&lt;ResultsTeams[[#This Row],[Goal-B]],1,0),""))</f>
        <v/>
      </c>
      <c r="Q116" s="265" t="str">
        <f>IF(ResultsTeams[[#This Row],[Type]]="G",SUM(Q117:Q120),IF(LEFT(ResultsTeams[[#This Row],[Type]],1)="P",VALUE(ResultsTeams[[#This Row],[Score-A]]),""))</f>
        <v/>
      </c>
      <c r="R116" s="265" t="str">
        <f>IF(ResultsTeams[[#This Row],[Type]]="G",SUM(R117:R120),IF(LEFT(ResultsTeams[[#This Row],[Type]],1)="P",VALUE(ResultsTeams[[#This Row],[Score-B]]),""))</f>
        <v/>
      </c>
      <c r="S116" s="265" t="str">
        <f ca="1">IF(AND(ResultsTeams[[#This Row],[Category]]&lt;&gt;"",ResultsTeams[[#This Row],[Team A]]&lt;&gt;""),COUNTIF(INDIRECT("TeamsList[Club Name]"),ResultsTeams[[#This Row],[Team A]]),"")</f>
        <v/>
      </c>
      <c r="T116" s="265" t="str">
        <f ca="1">IF(AND(ResultsTeams[[#This Row],[Category]]&lt;&gt;"",ResultsTeams[[#This Row],[Team B]]&lt;&gt;""),COUNTIF(INDIRECT("TeamsList[Club Name]"),ResultsTeams[[#This Row],[Team B]]),"")</f>
        <v/>
      </c>
      <c r="U1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16" s="265" t="str">
        <f>IF(ResultsTeams[[#This Row],[Score_OK]],IF(ResultsTeams[[#This Row],[StageCpy]]="Groups",ResultsTeams[[#This Row],[Category]]&amp;"-"&amp;IF(ResultsTeams[[#This Row],[Team B]]="","",IF(ResultsTeams[[#This Row],[Match-A]]=ResultsTeams[[#This Row],[Match-B]],ResultsTeams[[#This Row],[Team A]],"")),""),"")</f>
        <v/>
      </c>
      <c r="W116" s="265" t="str">
        <f>IF(ResultsTeams[[#This Row],[Score_OK]],IF(ResultsTeams[[#This Row],[StageCpy]]="Groups",ResultsTeams[[#This Row],[Category]]&amp;"-"&amp;IF(ResultsTeams[[#This Row],[Team B]]="","",IF(ResultsTeams[[#This Row],[Match-A]]=ResultsTeams[[#This Row],[Match-B]],ResultsTeams[[#This Row],[Team B]],"")),""),"")</f>
        <v/>
      </c>
      <c r="X1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6" s="264" t="str">
        <f>IF(ResultsTeams[[#This Row],[Category]]="","",VLOOKUP(ResultsTeams[[#This Row],[Stage]],$R$1:$T$8,MATCH(ResultsTeams[[#This Row],[Category]],$S$1:$T$1,0)+1,FALSE))</f>
        <v/>
      </c>
      <c r="AC1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6" s="264" t="str">
        <f>IF(ResultsTeams[[#This Row],[Type]]="G",ResultsTeams[[#This Row],[Stage]],AD115)</f>
        <v>Groups</v>
      </c>
      <c r="AE116" s="395" t="str">
        <f>IF(ResultsTeams[[#This Row],[Type]]="G",INDEX(TeamsList[Club Name],MATCH(ResultsTeams[[#This Row],[Team A]],TeamsList[Team Name],0)),AE115)</f>
        <v>Bormla SC</v>
      </c>
      <c r="AF116" s="395" t="str">
        <f>IF(ResultsTeams[[#This Row],[Type]]="G",INDEX(TeamsList[Club Name],MATCH(ResultsTeams[[#This Row],[Team B]],TeamsList[Team Name],0)),AF115)</f>
        <v>JSC Rochefort</v>
      </c>
      <c r="AG116" s="265"/>
      <c r="AH116" s="281">
        <v>3</v>
      </c>
      <c r="AI116" s="315" t="s">
        <v>12693</v>
      </c>
      <c r="AJ116" s="289" t="s">
        <v>14438</v>
      </c>
      <c r="AK116" s="290" t="s">
        <v>12279</v>
      </c>
      <c r="AL116" s="300" t="s">
        <v>12275</v>
      </c>
      <c r="AM116" s="296" t="s">
        <v>12276</v>
      </c>
      <c r="AN116" s="291" t="s">
        <v>12271</v>
      </c>
      <c r="AO116" s="291" t="s">
        <v>12272</v>
      </c>
      <c r="AP116" s="414" t="s">
        <v>13154</v>
      </c>
      <c r="AQ116" s="291" t="s">
        <v>12273</v>
      </c>
      <c r="AR116" s="297" t="s">
        <v>12274</v>
      </c>
      <c r="AS116" s="414" t="s">
        <v>13154</v>
      </c>
      <c r="AT116" s="296" t="s">
        <v>12199</v>
      </c>
      <c r="AU116" s="291" t="s">
        <v>12200</v>
      </c>
      <c r="AV116" s="291" t="s">
        <v>12201</v>
      </c>
      <c r="AW116" s="291" t="s">
        <v>12202</v>
      </c>
      <c r="AX116" s="291" t="s">
        <v>12203</v>
      </c>
      <c r="AY116" s="291" t="s">
        <v>12697</v>
      </c>
      <c r="AZ116" s="291" t="s">
        <v>12698</v>
      </c>
      <c r="BA116" s="291" t="s">
        <v>12699</v>
      </c>
      <c r="BB116" s="291" t="s">
        <v>12700</v>
      </c>
      <c r="BC116" s="291" t="s">
        <v>12204</v>
      </c>
      <c r="BD116" s="291" t="s">
        <v>12205</v>
      </c>
      <c r="BE116" s="297" t="s">
        <v>12206</v>
      </c>
      <c r="BF116" s="395"/>
      <c r="BG116" s="282" t="s">
        <v>12276</v>
      </c>
      <c r="BH116" s="282" t="s">
        <v>12133</v>
      </c>
      <c r="BI116" s="283" t="s">
        <v>12199</v>
      </c>
      <c r="BJ116" s="283" t="s">
        <v>12200</v>
      </c>
      <c r="BK116" s="283" t="s">
        <v>12201</v>
      </c>
      <c r="BL116" s="283" t="s">
        <v>12202</v>
      </c>
      <c r="BM116" s="283" t="s">
        <v>12203</v>
      </c>
      <c r="BN116" s="290" t="s">
        <v>12697</v>
      </c>
      <c r="BO116" s="354" t="s">
        <v>12698</v>
      </c>
      <c r="BP116" s="283" t="s">
        <v>12699</v>
      </c>
      <c r="BQ116" s="300" t="s">
        <v>12700</v>
      </c>
      <c r="BR116" s="351" t="s">
        <v>12204</v>
      </c>
      <c r="BS116" s="283" t="s">
        <v>12205</v>
      </c>
      <c r="BT116" s="300" t="s">
        <v>12206</v>
      </c>
    </row>
    <row r="117" spans="1:72" ht="12" thickBot="1" x14ac:dyDescent="0.25">
      <c r="A117" s="261" t="s">
        <v>12693</v>
      </c>
      <c r="B117" s="270" t="s">
        <v>12207</v>
      </c>
      <c r="C117" s="270">
        <v>3</v>
      </c>
      <c r="D117" s="270"/>
      <c r="E117" s="272" t="s">
        <v>12228</v>
      </c>
      <c r="F117" s="273" t="s">
        <v>12674</v>
      </c>
      <c r="G117" s="273" t="s">
        <v>14590</v>
      </c>
      <c r="H117" s="275">
        <v>2</v>
      </c>
      <c r="I117" s="275">
        <v>1</v>
      </c>
      <c r="J117" s="275"/>
      <c r="K117" s="366"/>
      <c r="L117" s="366"/>
      <c r="M117" s="274"/>
      <c r="N117" s="265" t="b">
        <f>NOT(ISERROR(ResultsTeams[[#This Row],[Goal-A]]+ResultsTeams[[#This Row],[Goal-B]]))</f>
        <v>1</v>
      </c>
      <c r="O117" s="265">
        <f>IF(ResultsTeams[[#This Row],[Type]]="G",SUM(O118:O121),IF(LEFT(ResultsTeams[[#This Row],[Type]],1)="P",IF(ResultsTeams[[#This Row],[Goal-A]]&gt;ResultsTeams[[#This Row],[Goal-B]],1,0),""))</f>
        <v>2</v>
      </c>
      <c r="P117" s="265">
        <f>IF(ResultsTeams[[#This Row],[Type]]="G",SUM(P118:P121),IF(LEFT(ResultsTeams[[#This Row],[Type]],1)="P",IF(ResultsTeams[[#This Row],[Goal-A]]&lt;ResultsTeams[[#This Row],[Goal-B]],1,0),""))</f>
        <v>1</v>
      </c>
      <c r="Q117" s="265">
        <f>IF(ResultsTeams[[#This Row],[Type]]="G",SUM(Q118:Q121),IF(LEFT(ResultsTeams[[#This Row],[Type]],1)="P",VALUE(ResultsTeams[[#This Row],[Score-A]]),""))</f>
        <v>11</v>
      </c>
      <c r="R117" s="265">
        <f>IF(ResultsTeams[[#This Row],[Type]]="G",SUM(R118:R121),IF(LEFT(ResultsTeams[[#This Row],[Type]],1)="P",VALUE(ResultsTeams[[#This Row],[Score-B]]),""))</f>
        <v>4</v>
      </c>
      <c r="S117" s="265">
        <f ca="1">IF(AND(ResultsTeams[[#This Row],[Category]]&lt;&gt;"",ResultsTeams[[#This Row],[Team A]]&lt;&gt;""),COUNTIF(INDIRECT("TeamsList[Club Name]"),ResultsTeams[[#This Row],[Team A]]),"")</f>
        <v>0</v>
      </c>
      <c r="T117" s="265">
        <f ca="1">IF(AND(ResultsTeams[[#This Row],[Category]]&lt;&gt;"",ResultsTeams[[#This Row],[Team B]]&lt;&gt;""),COUNTIF(INDIRECT("TeamsList[Club Name]"),ResultsTeams[[#This Row],[Team B]]),"")</f>
        <v>0</v>
      </c>
      <c r="U1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 2</v>
      </c>
      <c r="V117" s="265" t="str">
        <f>IF(ResultsTeams[[#This Row],[Score_OK]],IF(ResultsTeams[[#This Row],[StageCpy]]="Groups",ResultsTeams[[#This Row],[Category]]&amp;"-"&amp;IF(ResultsTeams[[#This Row],[Team B]]="","",IF(ResultsTeams[[#This Row],[Match-A]]=ResultsTeams[[#This Row],[Match-B]],ResultsTeams[[#This Row],[Team A]],"")),""),"")</f>
        <v>TEAM-</v>
      </c>
      <c r="W117" s="265" t="str">
        <f>IF(ResultsTeams[[#This Row],[Score_OK]],IF(ResultsTeams[[#This Row],[StageCpy]]="Groups",ResultsTeams[[#This Row],[Category]]&amp;"-"&amp;IF(ResultsTeams[[#This Row],[Team B]]="","",IF(ResultsTeams[[#This Row],[Match-A]]=ResultsTeams[[#This Row],[Match-B]],ResultsTeams[[#This Row],[Team B]],"")),""),"")</f>
        <v>TEAM-</v>
      </c>
      <c r="X1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TEAM-FTC Issy-les-Moulineaux 2</v>
      </c>
      <c r="Y1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 2</v>
      </c>
      <c r="AA1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 2</v>
      </c>
      <c r="AB117" s="264" t="str">
        <f>IF(ResultsTeams[[#This Row],[Category]]="","",VLOOKUP(ResultsTeams[[#This Row],[Stage]],$R$1:$T$8,MATCH(ResultsTeams[[#This Row],[Category]],$S$1:$T$1,0)+1,FALSE))</f>
        <v>PR1</v>
      </c>
      <c r="AC1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7" s="264" t="str">
        <f>IF(ResultsTeams[[#This Row],[Type]]="G",ResultsTeams[[#This Row],[Stage]],AD116)</f>
        <v>Groups</v>
      </c>
      <c r="AE117" s="395" t="str">
        <f>IF(ResultsTeams[[#This Row],[Type]]="G",INDEX(TeamsList[Club Name],MATCH(ResultsTeams[[#This Row],[Team A]],TeamsList[Team Name],0)),AE116)</f>
        <v>Tiburones FM</v>
      </c>
      <c r="AF117" s="395" t="str">
        <f>IF(ResultsTeams[[#This Row],[Type]]="G",INDEX(TeamsList[Club Name],MATCH(ResultsTeams[[#This Row],[Team B]],TeamsList[Team Name],0)),AF116)</f>
        <v>FTC Issy-les-Moulineaux</v>
      </c>
      <c r="AG117" s="265"/>
      <c r="AI117" s="12" t="str">
        <f>AI116</f>
        <v>TEAM</v>
      </c>
      <c r="AJ117" s="309" t="s">
        <v>794</v>
      </c>
      <c r="AK117" s="320"/>
      <c r="AL117" s="311"/>
      <c r="AM117" s="292">
        <f>IF(AV117="","",SMALL(AN117:AN123,ROWS(AM117:AM117)))</f>
        <v>1001</v>
      </c>
      <c r="AN117" s="293">
        <f>IF(AV117="","",RANK(AR117,AR117:AR123)*1000+ROWS(AN117:AN117))</f>
        <v>1001</v>
      </c>
      <c r="AO117" s="316">
        <f t="shared" ref="AO117:AO123" si="90">IF(AV117="","",AT117*CritClassEq1_Points+AY117*CritClassEq1_DiffRencontres+BB117*CritClassEq1_DiffMatches+BE117*CritClassEq1_DiffButs+AZ117*CritClassEq1_Matches+BC117*CritClassEq1_Attaque)</f>
        <v>177147000000000</v>
      </c>
      <c r="AP117" s="415" t="b">
        <f>AND(AU117&lt;&gt;"",AU117&gt;0,COUNTIF(AO117:AO123,AO117)&gt;1)</f>
        <v>0</v>
      </c>
      <c r="AQ117" s="316">
        <f t="shared" ref="AQ117:AQ123" si="91">IF(AV117="","",CritClassEq_DiffPart*AK117)</f>
        <v>0</v>
      </c>
      <c r="AR117" s="317">
        <f t="shared" ref="AR117:AR123" si="92">IF(AV117="","",AO117+AQ117+AT117*CritClassEq2_Points+AY117*CritClassEq2_DiffRencontres+BB117*CritClassEq2_DiffMatches+BE117*CritClassEq2_DiffButs+AZ117*CritClassEq2_Matches+BC117*CritClassEq2_Attaque+AL117)</f>
        <v>177147176580698</v>
      </c>
      <c r="AS117" s="415" t="b">
        <f>AND(AU117&lt;&gt;"",AU117&gt;0,COUNTIF(AR117:AR123,AR117)&gt;1)</f>
        <v>0</v>
      </c>
      <c r="AT117" s="355">
        <f t="shared" ref="AT117:AT123" si="93">IF(AV117="","",(AV117*Points_Victoire)+AW117*Points_Null)</f>
        <v>9</v>
      </c>
      <c r="AU117" s="356">
        <f t="shared" ref="AU117:AU123" si="94">IF(AV117="","",SUM(AV117:AX117))</f>
        <v>3</v>
      </c>
      <c r="AV117" s="356">
        <f>IF(OR(AI116="",AJ117=""),"",COUNTIF(ResultsTeams[Win],AI116&amp;"-"&amp;AJ117))</f>
        <v>3</v>
      </c>
      <c r="AW117" s="356">
        <f>IF(OR(AI116="",AJ117=""),"",COUNTIF(ResultsTeams[[Draw1]:[Draw2]],AI116&amp;"-"&amp;AJ117))</f>
        <v>0</v>
      </c>
      <c r="AX117" s="356">
        <f>IF(OR(AI116="",AJ117=""),"",COUNTIF(ResultsTeams[Lose],AI116&amp;"-"&amp;AJ117))</f>
        <v>0</v>
      </c>
      <c r="AY117" s="356">
        <f>IF(OR(AI116="",AJ117=""),"",AV117-AX117)</f>
        <v>3</v>
      </c>
      <c r="AZ117" s="356">
        <f>IF(OR(AI116="",AJ117=""),"",SUMIFS(ResultsTeams[Match-A],ResultsTeams[Stage],"Groups",ResultsTeams[Team A],AJ117)+SUMIFS(ResultsTeams[Match-B],ResultsTeams[Stage],"Groups",ResultsTeams[Team B],AJ117))</f>
        <v>8</v>
      </c>
      <c r="BA117" s="356">
        <f>IF(OR(AI116="",AJ117=""),"",SUMIFS(ResultsTeams[Match-B],ResultsTeams[Stage],"Groups",ResultsTeams[Team A],AJ117)+SUMIFS(ResultsTeams[Match-A],ResultsTeams[Stage],"Groups",ResultsTeams[Team B],AJ117))</f>
        <v>1</v>
      </c>
      <c r="BB117" s="356">
        <f>IF(OR(AI116="",AJ117=""),"",AZ117-BA117)</f>
        <v>7</v>
      </c>
      <c r="BC117" s="356">
        <f>IF(OR(AI116="",AJ117=""),"",SUMIFS(ResultsTeams[Goal-A],ResultsTeams[Stage],"Groups",ResultsTeams[Team A],AJ117)+SUMIFS(ResultsTeams[Goal-B],ResultsTeams[Stage],"Groups",ResultsTeams[Team B],AJ117))</f>
        <v>38</v>
      </c>
      <c r="BD117" s="356">
        <f>IF(OR(AI116="",AJ117=""),"",SUMIFS(ResultsTeams[Goal-B],ResultsTeams[Stage],"Groups",ResultsTeams[Team A],AJ117)+SUMIFS(ResultsTeams[Goal-A],ResultsTeams[Stage],"Groups",ResultsTeams[Team B],AJ117))</f>
        <v>16</v>
      </c>
      <c r="BE117" s="357">
        <f>IF(OR(AI116="",AJ117=""),"",BC117-BD117)</f>
        <v>22</v>
      </c>
      <c r="BF117" s="470" t="b">
        <f>IF(AM117="","",OR(VLOOKUP(AM117,AN117:BE123,3,FALSE),VLOOKUP(AM117,AN117:BE123,6,FALSE)))</f>
        <v>0</v>
      </c>
      <c r="BG117" s="298">
        <f t="shared" ref="BG117:BG123" si="95">IF(AM117="","",INT(AM117/1000))</f>
        <v>1</v>
      </c>
      <c r="BH117" s="285" t="str">
        <f>IF(AM117="","",INDEX(AJ117:AJ123,MATCH(AM117,AN117:AN123,0)))</f>
        <v>Bormla SC</v>
      </c>
      <c r="BI117" s="286">
        <f>IF(AM117="","",VLOOKUP(AM117,AN117:BE123,COLUMN()-COLUMN(BB116),FALSE))</f>
        <v>9</v>
      </c>
      <c r="BJ117" s="286">
        <f>IF(AM117="","",VLOOKUP(AM117,AN117:BE123,COLUMN()-COLUMN(BB116),FALSE))</f>
        <v>3</v>
      </c>
      <c r="BK117" s="286">
        <f>IF(AM117="","",VLOOKUP(AM117,AN117:BE123,COLUMN()-COLUMN(BB116),FALSE))</f>
        <v>3</v>
      </c>
      <c r="BL117" s="286">
        <f>IF(AM117="","",VLOOKUP(AM117,AN117:BE123,COLUMN()-COLUMN(BB116),FALSE))</f>
        <v>0</v>
      </c>
      <c r="BM117" s="286">
        <f>IF(AM117="","",VLOOKUP(AM117,AN117:BE123,COLUMN()-COLUMN(BB116),FALSE))</f>
        <v>0</v>
      </c>
      <c r="BN117" s="349">
        <f>IF(AM117="","",VLOOKUP(AM117,AN117:BE123,COLUMN()-COLUMN(BB116),FALSE))</f>
        <v>3</v>
      </c>
      <c r="BO117" s="298">
        <f>IF(AM117="","",VLOOKUP(AM117,AN117:BE123,COLUMN()-COLUMN(BB116),FALSE))</f>
        <v>8</v>
      </c>
      <c r="BP117" s="286">
        <f>IF(AM117="","",VLOOKUP(AM117,AN117:BE123,COLUMN()-COLUMN(BB116),FALSE))</f>
        <v>1</v>
      </c>
      <c r="BQ117" s="301">
        <f>IF(AM117="","",VLOOKUP(AM117,AN117:BE123,COLUMN()-COLUMN(BB116),FALSE))</f>
        <v>7</v>
      </c>
      <c r="BR117" s="352">
        <f>IF(AM117="","",VLOOKUP(AM117,AN117:BE123,COLUMN()-COLUMN(BB116),FALSE))</f>
        <v>38</v>
      </c>
      <c r="BS117" s="286">
        <f>IF(AM117="","",VLOOKUP(AM117,AN117:BE123,COLUMN()-COLUMN(BB116),FALSE))</f>
        <v>16</v>
      </c>
      <c r="BT117" s="301">
        <f>IF(AM117="","",VLOOKUP(AM117,AN117:BE123,COLUMN()-COLUMN(BB116),FALSE))</f>
        <v>22</v>
      </c>
    </row>
    <row r="118" spans="1:72" x14ac:dyDescent="0.2">
      <c r="A118" s="60"/>
      <c r="B118" s="280"/>
      <c r="C118" s="60"/>
      <c r="D118" s="60"/>
      <c r="E118" s="240" t="s">
        <v>12231</v>
      </c>
      <c r="F118" s="244" t="s">
        <v>8144</v>
      </c>
      <c r="G118" s="244" t="s">
        <v>8699</v>
      </c>
      <c r="H118" s="253">
        <v>1</v>
      </c>
      <c r="I118" s="253">
        <v>2</v>
      </c>
      <c r="J118" s="253"/>
      <c r="K118" s="362"/>
      <c r="L118" s="362"/>
      <c r="M118" s="245"/>
      <c r="N118" s="265" t="b">
        <f>NOT(ISERROR(ResultsTeams[[#This Row],[Goal-A]]+ResultsTeams[[#This Row],[Goal-B]]))</f>
        <v>1</v>
      </c>
      <c r="O118" s="265">
        <f>IF(ResultsTeams[[#This Row],[Type]]="G",SUM(O119:O122),IF(LEFT(ResultsTeams[[#This Row],[Type]],1)="P",IF(ResultsTeams[[#This Row],[Goal-A]]&gt;ResultsTeams[[#This Row],[Goal-B]],1,0),""))</f>
        <v>0</v>
      </c>
      <c r="P118" s="265">
        <f>IF(ResultsTeams[[#This Row],[Type]]="G",SUM(P119:P122),IF(LEFT(ResultsTeams[[#This Row],[Type]],1)="P",IF(ResultsTeams[[#This Row],[Goal-A]]&lt;ResultsTeams[[#This Row],[Goal-B]],1,0),""))</f>
        <v>1</v>
      </c>
      <c r="Q118" s="265">
        <f>IF(ResultsTeams[[#This Row],[Type]]="G",SUM(Q119:Q122),IF(LEFT(ResultsTeams[[#This Row],[Type]],1)="P",VALUE(ResultsTeams[[#This Row],[Score-A]]),""))</f>
        <v>1</v>
      </c>
      <c r="R118" s="265">
        <f>IF(ResultsTeams[[#This Row],[Type]]="G",SUM(R119:R122),IF(LEFT(ResultsTeams[[#This Row],[Type]],1)="P",VALUE(ResultsTeams[[#This Row],[Score-B]]),""))</f>
        <v>2</v>
      </c>
      <c r="S118" s="265" t="str">
        <f ca="1">IF(AND(ResultsTeams[[#This Row],[Category]]&lt;&gt;"",ResultsTeams[[#This Row],[Team A]]&lt;&gt;""),COUNTIF(INDIRECT("TeamsList[Club Name]"),ResultsTeams[[#This Row],[Team A]]),"")</f>
        <v/>
      </c>
      <c r="T118" s="265" t="str">
        <f ca="1">IF(AND(ResultsTeams[[#This Row],[Category]]&lt;&gt;"",ResultsTeams[[#This Row],[Team B]]&lt;&gt;""),COUNTIF(INDIRECT("TeamsList[Club Name]"),ResultsTeams[[#This Row],[Team B]]),"")</f>
        <v/>
      </c>
      <c r="U1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Zaki</v>
      </c>
      <c r="V118" s="265" t="str">
        <f>IF(ResultsTeams[[#This Row],[Score_OK]],IF(ResultsTeams[[#This Row],[StageCpy]]="Groups",ResultsTeams[[#This Row],[Category]]&amp;"-"&amp;IF(ResultsTeams[[#This Row],[Team B]]="","",IF(ResultsTeams[[#This Row],[Match-A]]=ResultsTeams[[#This Row],[Match-B]],ResultsTeams[[#This Row],[Team A]],"")),""),"")</f>
        <v>-</v>
      </c>
      <c r="W118" s="265" t="str">
        <f>IF(ResultsTeams[[#This Row],[Score_OK]],IF(ResultsTeams[[#This Row],[StageCpy]]="Groups",ResultsTeams[[#This Row],[Category]]&amp;"-"&amp;IF(ResultsTeams[[#This Row],[Team B]]="","",IF(ResultsTeams[[#This Row],[Match-A]]=ResultsTeams[[#This Row],[Match-B]],ResultsTeams[[#This Row],[Team B]],"")),""),"")</f>
        <v>-</v>
      </c>
      <c r="X1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-Salvatore Visconti</v>
      </c>
      <c r="Y1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8" s="264" t="str">
        <f>IF(ResultsTeams[[#This Row],[Category]]="","",VLOOKUP(ResultsTeams[[#This Row],[Stage]],$R$1:$T$8,MATCH(ResultsTeams[[#This Row],[Category]],$S$1:$T$1,0)+1,FALSE))</f>
        <v/>
      </c>
      <c r="AC1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8" s="264" t="str">
        <f>IF(ResultsTeams[[#This Row],[Type]]="G",ResultsTeams[[#This Row],[Stage]],AD117)</f>
        <v>Groups</v>
      </c>
      <c r="AE118" s="395" t="str">
        <f>IF(ResultsTeams[[#This Row],[Type]]="G",INDEX(TeamsList[Club Name],MATCH(ResultsTeams[[#This Row],[Team A]],TeamsList[Team Name],0)),AE117)</f>
        <v>Tiburones FM</v>
      </c>
      <c r="AF118" s="395" t="str">
        <f>IF(ResultsTeams[[#This Row],[Type]]="G",INDEX(TeamsList[Club Name],MATCH(ResultsTeams[[#This Row],[Team B]],TeamsList[Team Name],0)),AF117)</f>
        <v>FTC Issy-les-Moulineaux</v>
      </c>
      <c r="AG118" s="265"/>
      <c r="AI118" s="12" t="str">
        <f>AI117</f>
        <v>TEAM</v>
      </c>
      <c r="AJ118" s="309" t="s">
        <v>12674</v>
      </c>
      <c r="AK118" s="320"/>
      <c r="AL118" s="311"/>
      <c r="AM118" s="292">
        <f>IF(AV118="","",SMALL(AN117:AN123,ROWS(AM117:AM118)))</f>
        <v>2002</v>
      </c>
      <c r="AN118" s="293">
        <f>IF(AV118="","",RANK(AR118,AR117:AR123)*1000+ROWS(AN117:AN118))</f>
        <v>2002</v>
      </c>
      <c r="AO118" s="316">
        <f t="shared" si="90"/>
        <v>78732000000000</v>
      </c>
      <c r="AP118" s="415" t="b">
        <f>AND(AU118&lt;&gt;"",AU118&gt;0,COUNTIF(AO117:AO123,AO118)&gt;1)</f>
        <v>0</v>
      </c>
      <c r="AQ118" s="316">
        <f t="shared" si="91"/>
        <v>0</v>
      </c>
      <c r="AR118" s="317">
        <f t="shared" si="92"/>
        <v>78731953830023</v>
      </c>
      <c r="AS118" s="415" t="b">
        <f>AND(AU118&lt;&gt;"",AU118&gt;0,COUNTIF(AR117:AR123,AR118)&gt;1)</f>
        <v>0</v>
      </c>
      <c r="AT118" s="355">
        <f t="shared" si="93"/>
        <v>4</v>
      </c>
      <c r="AU118" s="356">
        <f t="shared" si="94"/>
        <v>3</v>
      </c>
      <c r="AV118" s="356">
        <f>IF(OR(AI116="",AJ118=""),"",COUNTIF(ResultsTeams[Win],AI116&amp;"-"&amp;AJ118))</f>
        <v>1</v>
      </c>
      <c r="AW118" s="356">
        <f>IF(OR(AI116="",AJ118=""),"",COUNTIF(ResultsTeams[[Draw1]:[Draw2]],AI116&amp;"-"&amp;AJ118))</f>
        <v>1</v>
      </c>
      <c r="AX118" s="356">
        <f>IF(OR(AI116="",AJ118=""),"",COUNTIF(ResultsTeams[Lose],AI116&amp;"-"&amp;AJ118))</f>
        <v>1</v>
      </c>
      <c r="AY118" s="356">
        <f>IF(OR(AI116="",AJ118=""),"",AV118-AX118)</f>
        <v>0</v>
      </c>
      <c r="AZ118" s="356">
        <f>IF(OR(AI117="",AJ118=""),"",SUMIFS(ResultsTeams[Match-A],ResultsTeams[Stage],"Groups",ResultsTeams[Team A],AJ118)+SUMIFS(ResultsTeams[Match-B],ResultsTeams[Stage],"Groups",ResultsTeams[Team B],AJ118))</f>
        <v>3</v>
      </c>
      <c r="BA118" s="356">
        <f>IF(OR(AI117="",AJ118=""),"",SUMIFS(ResultsTeams[Match-B],ResultsTeams[Stage],"Groups",ResultsTeams[Team A],AJ118)+SUMIFS(ResultsTeams[Match-A],ResultsTeams[Stage],"Groups",ResultsTeams[Team B],AJ118))</f>
        <v>5</v>
      </c>
      <c r="BB118" s="356">
        <f t="shared" ref="BB118:BB123" si="96">IF(OR(AI117="",AJ118=""),"",AZ118-BA118)</f>
        <v>-2</v>
      </c>
      <c r="BC118" s="356">
        <f>IF(OR(AI117="",AJ118=""),"",SUMIFS(ResultsTeams[Goal-A],ResultsTeams[Stage],"Groups",ResultsTeams[Team A],AJ118)+SUMIFS(ResultsTeams[Goal-B],ResultsTeams[Stage],"Groups",ResultsTeams[Team B],AJ118))</f>
        <v>23</v>
      </c>
      <c r="BD118" s="356">
        <f>IF(OR(AI117="",AJ118=""),"",SUMIFS(ResultsTeams[Goal-B],ResultsTeams[Stage],"Groups",ResultsTeams[Team A],AJ118)+SUMIFS(ResultsTeams[Goal-A],ResultsTeams[Stage],"Groups",ResultsTeams[Team B],AJ118))</f>
        <v>23</v>
      </c>
      <c r="BE118" s="357">
        <f>IF(OR(AI116="",AJ118=""),"",BC118-BD118)</f>
        <v>0</v>
      </c>
      <c r="BF118" s="470" t="b">
        <f>IF(AM118="","",OR(VLOOKUP(AM118,AN117:BE123,3,FALSE),VLOOKUP(AM118,AN117:BE123,6,FALSE)))</f>
        <v>0</v>
      </c>
      <c r="BG118" s="298">
        <f t="shared" si="95"/>
        <v>2</v>
      </c>
      <c r="BH118" s="285" t="str">
        <f>IF(AM118="","",INDEX(AJ117:AJ123,MATCH(AM118,AN117:AN123,0)))</f>
        <v>Tiburones FM 2</v>
      </c>
      <c r="BI118" s="286">
        <f>IF(AM118="","",VLOOKUP(AM118,AN117:BE123,COLUMN()-COLUMN(BB116),FALSE))</f>
        <v>4</v>
      </c>
      <c r="BJ118" s="286">
        <f>IF(AM118="","",VLOOKUP(AM118,AN117:BE123,COLUMN()-COLUMN(BB116),FALSE))</f>
        <v>3</v>
      </c>
      <c r="BK118" s="286">
        <f>IF(AM118="","",VLOOKUP(AM118,AN117:BE123,COLUMN()-COLUMN(BB116),FALSE))</f>
        <v>1</v>
      </c>
      <c r="BL118" s="286">
        <f>IF(AM118="","",VLOOKUP(AM118,AN117:BE123,COLUMN()-COLUMN(BB116),FALSE))</f>
        <v>1</v>
      </c>
      <c r="BM118" s="286">
        <f>IF(AM118="","",VLOOKUP(AM118,AN117:BE123,COLUMN()-COLUMN(BB116),FALSE))</f>
        <v>1</v>
      </c>
      <c r="BN118" s="349">
        <f>IF(AM118="","",VLOOKUP(AM118,AN117:BE123,COLUMN()-COLUMN(BB116),FALSE))</f>
        <v>0</v>
      </c>
      <c r="BO118" s="298">
        <f>IF(AM118="","",VLOOKUP(AM118,AN117:BE123,COLUMN()-COLUMN(BB116),FALSE))</f>
        <v>3</v>
      </c>
      <c r="BP118" s="286">
        <f>IF(AM118="","",VLOOKUP(AM118,AN117:BE123,COLUMN()-COLUMN(BB116),FALSE))</f>
        <v>5</v>
      </c>
      <c r="BQ118" s="301">
        <f>IF(AM118="","",VLOOKUP(AM118,AN117:BE123,COLUMN()-COLUMN(BB116),FALSE))</f>
        <v>-2</v>
      </c>
      <c r="BR118" s="352">
        <f>IF(AM118="","",VLOOKUP(AM118,AN117:BE123,COLUMN()-COLUMN(BB116),FALSE))</f>
        <v>23</v>
      </c>
      <c r="BS118" s="286">
        <f>IF(AM118="","",VLOOKUP(AM118,AN117:BE123,COLUMN()-COLUMN(BB116),FALSE))</f>
        <v>23</v>
      </c>
      <c r="BT118" s="301">
        <f>IF(AM118="","",VLOOKUP(AM118,AN117:BE123,COLUMN()-COLUMN(BB116),FALSE))</f>
        <v>0</v>
      </c>
    </row>
    <row r="119" spans="1:72" x14ac:dyDescent="0.2">
      <c r="A119" s="62"/>
      <c r="B119" s="280"/>
      <c r="C119" s="62"/>
      <c r="D119" s="62"/>
      <c r="E119" s="241" t="s">
        <v>12234</v>
      </c>
      <c r="F119" s="246" t="s">
        <v>11659</v>
      </c>
      <c r="G119" s="246" t="s">
        <v>8694</v>
      </c>
      <c r="H119" s="254">
        <v>1</v>
      </c>
      <c r="I119" s="254">
        <v>1</v>
      </c>
      <c r="J119" s="254"/>
      <c r="K119" s="363"/>
      <c r="L119" s="363"/>
      <c r="M119" s="247"/>
      <c r="N119" s="265" t="b">
        <f>NOT(ISERROR(ResultsTeams[[#This Row],[Goal-A]]+ResultsTeams[[#This Row],[Goal-B]]))</f>
        <v>1</v>
      </c>
      <c r="O119" s="265">
        <f>IF(ResultsTeams[[#This Row],[Type]]="G",SUM(O120:O123),IF(LEFT(ResultsTeams[[#This Row],[Type]],1)="P",IF(ResultsTeams[[#This Row],[Goal-A]]&gt;ResultsTeams[[#This Row],[Goal-B]],1,0),""))</f>
        <v>0</v>
      </c>
      <c r="P119" s="265">
        <f>IF(ResultsTeams[[#This Row],[Type]]="G",SUM(P120:P123),IF(LEFT(ResultsTeams[[#This Row],[Type]],1)="P",IF(ResultsTeams[[#This Row],[Goal-A]]&lt;ResultsTeams[[#This Row],[Goal-B]],1,0),""))</f>
        <v>0</v>
      </c>
      <c r="Q119" s="265">
        <f>IF(ResultsTeams[[#This Row],[Type]]="G",SUM(Q120:Q123),IF(LEFT(ResultsTeams[[#This Row],[Type]],1)="P",VALUE(ResultsTeams[[#This Row],[Score-A]]),""))</f>
        <v>1</v>
      </c>
      <c r="R119" s="265">
        <f>IF(ResultsTeams[[#This Row],[Type]]="G",SUM(R120:R123),IF(LEFT(ResultsTeams[[#This Row],[Type]],1)="P",VALUE(ResultsTeams[[#This Row],[Score-B]]),""))</f>
        <v>1</v>
      </c>
      <c r="S119" s="265" t="str">
        <f ca="1">IF(AND(ResultsTeams[[#This Row],[Category]]&lt;&gt;"",ResultsTeams[[#This Row],[Team A]]&lt;&gt;""),COUNTIF(INDIRECT("TeamsList[Club Name]"),ResultsTeams[[#This Row],[Team A]]),"")</f>
        <v/>
      </c>
      <c r="T119" s="265" t="str">
        <f ca="1">IF(AND(ResultsTeams[[#This Row],[Category]]&lt;&gt;"",ResultsTeams[[#This Row],[Team B]]&lt;&gt;""),COUNTIF(INDIRECT("TeamsList[Club Name]"),ResultsTeams[[#This Row],[Team B]]),"")</f>
        <v/>
      </c>
      <c r="U1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19" s="265" t="str">
        <f>IF(ResultsTeams[[#This Row],[Score_OK]],IF(ResultsTeams[[#This Row],[StageCpy]]="Groups",ResultsTeams[[#This Row],[Category]]&amp;"-"&amp;IF(ResultsTeams[[#This Row],[Team B]]="","",IF(ResultsTeams[[#This Row],[Match-A]]=ResultsTeams[[#This Row],[Match-B]],ResultsTeams[[#This Row],[Team A]],"")),""),"")</f>
        <v>-Jean Michel Cuenca</v>
      </c>
      <c r="W119" s="265" t="str">
        <f>IF(ResultsTeams[[#This Row],[Score_OK]],IF(ResultsTeams[[#This Row],[StageCpy]]="Groups",ResultsTeams[[#This Row],[Category]]&amp;"-"&amp;IF(ResultsTeams[[#This Row],[Team B]]="","",IF(ResultsTeams[[#This Row],[Match-A]]=ResultsTeams[[#This Row],[Match-B]],ResultsTeams[[#This Row],[Team B]],"")),""),"")</f>
        <v>-Thierry Vivron</v>
      </c>
      <c r="X1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9" s="264" t="str">
        <f>IF(ResultsTeams[[#This Row],[Category]]="","",VLOOKUP(ResultsTeams[[#This Row],[Stage]],$R$1:$T$8,MATCH(ResultsTeams[[#This Row],[Category]],$S$1:$T$1,0)+1,FALSE))</f>
        <v/>
      </c>
      <c r="AC1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9" s="264" t="str">
        <f>IF(ResultsTeams[[#This Row],[Type]]="G",ResultsTeams[[#This Row],[Stage]],AD118)</f>
        <v>Groups</v>
      </c>
      <c r="AE119" s="395" t="str">
        <f>IF(ResultsTeams[[#This Row],[Type]]="G",INDEX(TeamsList[Club Name],MATCH(ResultsTeams[[#This Row],[Team A]],TeamsList[Team Name],0)),AE118)</f>
        <v>Tiburones FM</v>
      </c>
      <c r="AF119" s="395" t="str">
        <f>IF(ResultsTeams[[#This Row],[Type]]="G",INDEX(TeamsList[Club Name],MATCH(ResultsTeams[[#This Row],[Team B]],TeamsList[Team Name],0)),AF118)</f>
        <v>FTC Issy-les-Moulineaux</v>
      </c>
      <c r="AG119" s="265"/>
      <c r="AI119" s="12" t="str">
        <f t="shared" ref="AI119:AI123" si="97">AI118</f>
        <v>TEAM</v>
      </c>
      <c r="AJ119" s="309" t="s">
        <v>14590</v>
      </c>
      <c r="AK119" s="320"/>
      <c r="AL119" s="311"/>
      <c r="AM119" s="292">
        <f>IF(AV119="","",SMALL(AN117:AN123,ROWS(AM117:AM119)))</f>
        <v>3004</v>
      </c>
      <c r="AN119" s="293">
        <f>IF(AV119="","",RANK(AR119,AR117:AR123)*1000+ROWS(AN117:AN119))</f>
        <v>4003</v>
      </c>
      <c r="AO119" s="316">
        <f t="shared" si="90"/>
        <v>19683000000000</v>
      </c>
      <c r="AP119" s="415" t="b">
        <f>AND(AU119&lt;&gt;"",AU119&gt;0,COUNTIF(AO117:AO123,AO119)&gt;1)</f>
        <v>0</v>
      </c>
      <c r="AQ119" s="316">
        <f t="shared" si="91"/>
        <v>0</v>
      </c>
      <c r="AR119" s="317">
        <f t="shared" si="92"/>
        <v>19682954639507</v>
      </c>
      <c r="AS119" s="415" t="b">
        <f>AND(AU119&lt;&gt;"",AU119&gt;0,COUNTIF(AR117:AR123,AR119)&gt;1)</f>
        <v>0</v>
      </c>
      <c r="AT119" s="355">
        <f t="shared" si="93"/>
        <v>1</v>
      </c>
      <c r="AU119" s="356">
        <f t="shared" si="94"/>
        <v>3</v>
      </c>
      <c r="AV119" s="356">
        <f>IF(OR(AI116="",AJ119=""),"",COUNTIF(ResultsTeams[Win],AI116&amp;"-"&amp;AJ119))</f>
        <v>0</v>
      </c>
      <c r="AW119" s="356">
        <f>IF(OR(AI116="",AJ119=""),"",COUNTIF(ResultsTeams[[Draw1]:[Draw2]],AI116&amp;"-"&amp;AJ119))</f>
        <v>1</v>
      </c>
      <c r="AX119" s="356">
        <f>IF(OR(AI116="",AJ119=""),"",COUNTIF(ResultsTeams[Lose],AI116&amp;"-"&amp;AJ119))</f>
        <v>2</v>
      </c>
      <c r="AY119" s="356">
        <f>IF(OR(AI116="",AJ119=""),"",AV119-AX119)</f>
        <v>-2</v>
      </c>
      <c r="AZ119" s="356">
        <f>IF(OR(AI118="",AJ119=""),"",SUMIFS(ResultsTeams[Match-A],ResultsTeams[Stage],"Groups",ResultsTeams[Team A],AJ119)+SUMIFS(ResultsTeams[Match-B],ResultsTeams[Stage],"Groups",ResultsTeams[Team B],AJ119))</f>
        <v>4</v>
      </c>
      <c r="BA119" s="356">
        <f>IF(OR(AI118="",AJ119=""),"",SUMIFS(ResultsTeams[Match-B],ResultsTeams[Stage],"Groups",ResultsTeams[Team A],AJ119)+SUMIFS(ResultsTeams[Match-A],ResultsTeams[Stage],"Groups",ResultsTeams[Team B],AJ119))</f>
        <v>6</v>
      </c>
      <c r="BB119" s="356">
        <f t="shared" si="96"/>
        <v>-2</v>
      </c>
      <c r="BC119" s="356">
        <f>IF(OR(AI118="",AJ119=""),"",SUMIFS(ResultsTeams[Goal-A],ResultsTeams[Stage],"Groups",ResultsTeams[Team A],AJ119)+SUMIFS(ResultsTeams[Goal-B],ResultsTeams[Stage],"Groups",ResultsTeams[Team B],AJ119))</f>
        <v>17</v>
      </c>
      <c r="BD119" s="356">
        <f>IF(OR(AI118="",AJ119=""),"",SUMIFS(ResultsTeams[Goal-B],ResultsTeams[Stage],"Groups",ResultsTeams[Team A],AJ119)+SUMIFS(ResultsTeams[Goal-A],ResultsTeams[Stage],"Groups",ResultsTeams[Team B],AJ119))</f>
        <v>34</v>
      </c>
      <c r="BE119" s="357">
        <f>IF(OR(AI116="",AJ119=""),"",BC119-BD119)</f>
        <v>-17</v>
      </c>
      <c r="BF119" s="470" t="b">
        <f>IF(AM119="","",OR(VLOOKUP(AM119,AN117:BE123,3,FALSE),VLOOKUP(AM119,AN117:BE123,6,FALSE)))</f>
        <v>0</v>
      </c>
      <c r="BG119" s="298">
        <f t="shared" si="95"/>
        <v>3</v>
      </c>
      <c r="BH119" s="285" t="str">
        <f>IF(AM119="","",INDEX(AJ117:AJ123,MATCH(AM119,AN117:AN123,0)))</f>
        <v>JSC Rochefort</v>
      </c>
      <c r="BI119" s="286">
        <f>IF(AM119="","",VLOOKUP(AM119,AN117:BE123,COLUMN()-COLUMN(BB116),FALSE))</f>
        <v>2</v>
      </c>
      <c r="BJ119" s="286">
        <f>IF(AM119="","",VLOOKUP(AM119,AN117:BE123,COLUMN()-COLUMN(BB116),FALSE))</f>
        <v>3</v>
      </c>
      <c r="BK119" s="286">
        <f>IF(AM119="","",VLOOKUP(AM119,AN117:BE123,COLUMN()-COLUMN(BB116),FALSE))</f>
        <v>0</v>
      </c>
      <c r="BL119" s="286">
        <f>IF(AM119="","",VLOOKUP(AM119,AN117:BE123,COLUMN()-COLUMN(BB116),FALSE))</f>
        <v>2</v>
      </c>
      <c r="BM119" s="286">
        <f>IF(AM119="","",VLOOKUP(AM119,AN117:BE123,COLUMN()-COLUMN(BB116),FALSE))</f>
        <v>1</v>
      </c>
      <c r="BN119" s="349">
        <f>IF(AM119="","",VLOOKUP(AM119,AN117:BE123,COLUMN()-COLUMN(BB116),FALSE))</f>
        <v>-1</v>
      </c>
      <c r="BO119" s="298">
        <f>IF(AM119="","",VLOOKUP(AM119,AN117:BE123,COLUMN()-COLUMN(BB116),FALSE))</f>
        <v>3</v>
      </c>
      <c r="BP119" s="286">
        <f>IF(AM119="","",VLOOKUP(AM119,AN117:BE123,COLUMN()-COLUMN(BB116),FALSE))</f>
        <v>6</v>
      </c>
      <c r="BQ119" s="301">
        <f>IF(AM119="","",VLOOKUP(AM119,AN117:BE123,COLUMN()-COLUMN(BB116),FALSE))</f>
        <v>-3</v>
      </c>
      <c r="BR119" s="352">
        <f>IF(AM119="","",VLOOKUP(AM119,AN117:BE123,COLUMN()-COLUMN(BB116),FALSE))</f>
        <v>21</v>
      </c>
      <c r="BS119" s="286">
        <f>IF(AM119="","",VLOOKUP(AM119,AN117:BE123,COLUMN()-COLUMN(BB116),FALSE))</f>
        <v>26</v>
      </c>
      <c r="BT119" s="301">
        <f>IF(AM119="","",VLOOKUP(AM119,AN117:BE123,COLUMN()-COLUMN(BB116),FALSE))</f>
        <v>-5</v>
      </c>
    </row>
    <row r="120" spans="1:72" x14ac:dyDescent="0.2">
      <c r="A120" s="62"/>
      <c r="B120" s="280"/>
      <c r="C120" s="62"/>
      <c r="D120" s="62"/>
      <c r="E120" s="241" t="s">
        <v>12237</v>
      </c>
      <c r="F120" s="246" t="s">
        <v>8617</v>
      </c>
      <c r="G120" s="246" t="s">
        <v>8725</v>
      </c>
      <c r="H120" s="254">
        <v>2</v>
      </c>
      <c r="I120" s="254">
        <v>0</v>
      </c>
      <c r="J120" s="254"/>
      <c r="K120" s="363"/>
      <c r="L120" s="363"/>
      <c r="M120" s="247"/>
      <c r="N120" s="265" t="b">
        <f>NOT(ISERROR(ResultsTeams[[#This Row],[Goal-A]]+ResultsTeams[[#This Row],[Goal-B]]))</f>
        <v>1</v>
      </c>
      <c r="O120" s="265">
        <f>IF(ResultsTeams[[#This Row],[Type]]="G",SUM(O121:O124),IF(LEFT(ResultsTeams[[#This Row],[Type]],1)="P",IF(ResultsTeams[[#This Row],[Goal-A]]&gt;ResultsTeams[[#This Row],[Goal-B]],1,0),""))</f>
        <v>1</v>
      </c>
      <c r="P120" s="265">
        <f>IF(ResultsTeams[[#This Row],[Type]]="G",SUM(P121:P124),IF(LEFT(ResultsTeams[[#This Row],[Type]],1)="P",IF(ResultsTeams[[#This Row],[Goal-A]]&lt;ResultsTeams[[#This Row],[Goal-B]],1,0),""))</f>
        <v>0</v>
      </c>
      <c r="Q120" s="265">
        <f>IF(ResultsTeams[[#This Row],[Type]]="G",SUM(Q121:Q124),IF(LEFT(ResultsTeams[[#This Row],[Type]],1)="P",VALUE(ResultsTeams[[#This Row],[Score-A]]),""))</f>
        <v>2</v>
      </c>
      <c r="R120" s="265">
        <f>IF(ResultsTeams[[#This Row],[Type]]="G",SUM(R121:R124),IF(LEFT(ResultsTeams[[#This Row],[Type]],1)="P",VALUE(ResultsTeams[[#This Row],[Score-B]]),""))</f>
        <v>0</v>
      </c>
      <c r="S120" s="265" t="str">
        <f ca="1">IF(AND(ResultsTeams[[#This Row],[Category]]&lt;&gt;"",ResultsTeams[[#This Row],[Team A]]&lt;&gt;""),COUNTIF(INDIRECT("TeamsList[Club Name]"),ResultsTeams[[#This Row],[Team A]]),"")</f>
        <v/>
      </c>
      <c r="T120" s="265" t="str">
        <f ca="1">IF(AND(ResultsTeams[[#This Row],[Category]]&lt;&gt;"",ResultsTeams[[#This Row],[Team B]]&lt;&gt;""),COUNTIF(INDIRECT("TeamsList[Club Name]"),ResultsTeams[[#This Row],[Team B]]),"")</f>
        <v/>
      </c>
      <c r="U1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-Ferran Coll</v>
      </c>
      <c r="V120" s="265" t="str">
        <f>IF(ResultsTeams[[#This Row],[Score_OK]],IF(ResultsTeams[[#This Row],[StageCpy]]="Groups",ResultsTeams[[#This Row],[Category]]&amp;"-"&amp;IF(ResultsTeams[[#This Row],[Team B]]="","",IF(ResultsTeams[[#This Row],[Match-A]]=ResultsTeams[[#This Row],[Match-B]],ResultsTeams[[#This Row],[Team A]],"")),""),"")</f>
        <v>-</v>
      </c>
      <c r="W120" s="265" t="str">
        <f>IF(ResultsTeams[[#This Row],[Score_OK]],IF(ResultsTeams[[#This Row],[StageCpy]]="Groups",ResultsTeams[[#This Row],[Category]]&amp;"-"&amp;IF(ResultsTeams[[#This Row],[Team B]]="","",IF(ResultsTeams[[#This Row],[Match-A]]=ResultsTeams[[#This Row],[Match-B]],ResultsTeams[[#This Row],[Team B]],"")),""),"")</f>
        <v>-</v>
      </c>
      <c r="X1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-Irène Linquercq-Rivière</v>
      </c>
      <c r="Y1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0" s="264" t="str">
        <f>IF(ResultsTeams[[#This Row],[Category]]="","",VLOOKUP(ResultsTeams[[#This Row],[Stage]],$R$1:$T$8,MATCH(ResultsTeams[[#This Row],[Category]],$S$1:$T$1,0)+1,FALSE))</f>
        <v/>
      </c>
      <c r="AC1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0" s="264" t="str">
        <f>IF(ResultsTeams[[#This Row],[Type]]="G",ResultsTeams[[#This Row],[Stage]],AD119)</f>
        <v>Groups</v>
      </c>
      <c r="AE120" s="395" t="str">
        <f>IF(ResultsTeams[[#This Row],[Type]]="G",INDEX(TeamsList[Club Name],MATCH(ResultsTeams[[#This Row],[Team A]],TeamsList[Team Name],0)),AE119)</f>
        <v>Tiburones FM</v>
      </c>
      <c r="AF120" s="395" t="str">
        <f>IF(ResultsTeams[[#This Row],[Type]]="G",INDEX(TeamsList[Club Name],MATCH(ResultsTeams[[#This Row],[Team B]],TeamsList[Team Name],0)),AF119)</f>
        <v>FTC Issy-les-Moulineaux</v>
      </c>
      <c r="AG120" s="265"/>
      <c r="AH120" s="91"/>
      <c r="AI120" s="12" t="str">
        <f t="shared" si="97"/>
        <v>TEAM</v>
      </c>
      <c r="AJ120" s="309" t="s">
        <v>69</v>
      </c>
      <c r="AK120" s="310"/>
      <c r="AL120" s="311"/>
      <c r="AM120" s="292">
        <f>IF(AV120="","",SMALL(AN117:AN123,ROWS(AM117:AM120)))</f>
        <v>4003</v>
      </c>
      <c r="AN120" s="293">
        <f>IF(AV120="","",RANK(AR120,AR117:AR123)*1000+ROWS(AN117:AN120))</f>
        <v>3004</v>
      </c>
      <c r="AO120" s="316">
        <f t="shared" si="90"/>
        <v>39366000000000</v>
      </c>
      <c r="AP120" s="415" t="b">
        <f>AND(AU120&lt;&gt;"",AU120&gt;0,COUNTIF(AO117:AO123,AO120)&gt;1)</f>
        <v>0</v>
      </c>
      <c r="AQ120" s="316">
        <f t="shared" si="91"/>
        <v>0</v>
      </c>
      <c r="AR120" s="317">
        <f t="shared" si="92"/>
        <v>39365929529871</v>
      </c>
      <c r="AS120" s="415" t="b">
        <f>AND(AU120&lt;&gt;"",AU120&gt;0,COUNTIF(AR117:AR123,AR120)&gt;1)</f>
        <v>0</v>
      </c>
      <c r="AT120" s="355">
        <f t="shared" si="93"/>
        <v>2</v>
      </c>
      <c r="AU120" s="356">
        <f t="shared" si="94"/>
        <v>3</v>
      </c>
      <c r="AV120" s="356">
        <f>IF(OR(AI116="",AJ120=""),"",COUNTIF(ResultsTeams[Win],AI116&amp;"-"&amp;AJ120))</f>
        <v>0</v>
      </c>
      <c r="AW120" s="356">
        <f>IF(OR(AI116="",AJ120=""),"",COUNTIF(ResultsTeams[[Draw1]:[Draw2]],AI116&amp;"-"&amp;AJ120))</f>
        <v>2</v>
      </c>
      <c r="AX120" s="356">
        <f>IF(OR(AI116="",AJ120=""),"",COUNTIF(ResultsTeams[Lose],AI116&amp;"-"&amp;AJ120))</f>
        <v>1</v>
      </c>
      <c r="AY120" s="356">
        <f>IF(OR(AI116="",AJ120=""),"",AV120-AX120)</f>
        <v>-1</v>
      </c>
      <c r="AZ120" s="356">
        <f>IF(OR(AI119="",AJ120=""),"",SUMIFS(ResultsTeams[Match-A],ResultsTeams[Stage],"Groups",ResultsTeams[Team A],AJ120)+SUMIFS(ResultsTeams[Match-B],ResultsTeams[Stage],"Groups",ResultsTeams[Team B],AJ120))</f>
        <v>3</v>
      </c>
      <c r="BA120" s="356">
        <f>IF(OR(AI119="",AJ120=""),"",SUMIFS(ResultsTeams[Match-B],ResultsTeams[Stage],"Groups",ResultsTeams[Team A],AJ120)+SUMIFS(ResultsTeams[Match-A],ResultsTeams[Stage],"Groups",ResultsTeams[Team B],AJ120))</f>
        <v>6</v>
      </c>
      <c r="BB120" s="356">
        <f t="shared" si="96"/>
        <v>-3</v>
      </c>
      <c r="BC120" s="356">
        <f>IF(OR(AI119="",AJ120=""),"",SUMIFS(ResultsTeams[Goal-A],ResultsTeams[Stage],"Groups",ResultsTeams[Team A],AJ120)+SUMIFS(ResultsTeams[Goal-B],ResultsTeams[Stage],"Groups",ResultsTeams[Team B],AJ120))</f>
        <v>21</v>
      </c>
      <c r="BD120" s="356">
        <f>IF(OR(AI119="",AJ120=""),"",SUMIFS(ResultsTeams[Goal-B],ResultsTeams[Stage],"Groups",ResultsTeams[Team A],AJ120)+SUMIFS(ResultsTeams[Goal-A],ResultsTeams[Stage],"Groups",ResultsTeams[Team B],AJ120))</f>
        <v>26</v>
      </c>
      <c r="BE120" s="357">
        <f>IF(OR(AI116="",AJ120=""),"",BC120-BD120)</f>
        <v>-5</v>
      </c>
      <c r="BF120" s="470" t="b">
        <f>IF(AM120="","",OR(VLOOKUP(AM120,AN117:BE123,3,FALSE),VLOOKUP(AM120,AN117:BE123,6,FALSE)))</f>
        <v>0</v>
      </c>
      <c r="BG120" s="298">
        <f t="shared" si="95"/>
        <v>4</v>
      </c>
      <c r="BH120" s="285" t="str">
        <f>IF(AM120="","",INDEX(AJ117:AJ123,MATCH(AM120,AN117:AN123,0)))</f>
        <v>FTC Issy-les-Moulineaux 2</v>
      </c>
      <c r="BI120" s="286">
        <f>IF(AM120="","",VLOOKUP(AM120,AN117:BE123,COLUMN()-COLUMN(BB116),FALSE))</f>
        <v>1</v>
      </c>
      <c r="BJ120" s="286">
        <f>IF(AM120="","",VLOOKUP(AM120,AN117:BE123,COLUMN()-COLUMN(BB116),FALSE))</f>
        <v>3</v>
      </c>
      <c r="BK120" s="286">
        <f>IF(AM120="","",VLOOKUP(AM120,AN117:BE123,COLUMN()-COLUMN(BB116),FALSE))</f>
        <v>0</v>
      </c>
      <c r="BL120" s="286">
        <f>IF(AM120="","",VLOOKUP(AM120,AN117:BE123,COLUMN()-COLUMN(BB116),FALSE))</f>
        <v>1</v>
      </c>
      <c r="BM120" s="286">
        <f>IF(AM120="","",VLOOKUP(AM120,AN117:BE123,COLUMN()-COLUMN(BB116),FALSE))</f>
        <v>2</v>
      </c>
      <c r="BN120" s="349">
        <f>IF(AM120="","",VLOOKUP(AM120,AN117:BE123,COLUMN()-COLUMN(BB116),FALSE))</f>
        <v>-2</v>
      </c>
      <c r="BO120" s="298">
        <f>IF(AM120="","",VLOOKUP(AM120,AN117:BE123,COLUMN()-COLUMN(BB116),FALSE))</f>
        <v>4</v>
      </c>
      <c r="BP120" s="286">
        <f>IF(AM120="","",VLOOKUP(AM120,AN117:BE123,COLUMN()-COLUMN(BB116),FALSE))</f>
        <v>6</v>
      </c>
      <c r="BQ120" s="301">
        <f>IF(AM120="","",VLOOKUP(AM120,AN117:BE123,COLUMN()-COLUMN(BB116),FALSE))</f>
        <v>-2</v>
      </c>
      <c r="BR120" s="352">
        <f>IF(AM120="","",VLOOKUP(AM120,AN117:BE123,COLUMN()-COLUMN(BB116),FALSE))</f>
        <v>17</v>
      </c>
      <c r="BS120" s="286">
        <f>IF(AM120="","",VLOOKUP(AM120,AN117:BE123,COLUMN()-COLUMN(BB116),FALSE))</f>
        <v>34</v>
      </c>
      <c r="BT120" s="301">
        <f>IF(AM120="","",VLOOKUP(AM120,AN117:BE123,COLUMN()-COLUMN(BB116),FALSE))</f>
        <v>-17</v>
      </c>
    </row>
    <row r="121" spans="1:72" x14ac:dyDescent="0.2">
      <c r="A121" s="62"/>
      <c r="B121" s="280"/>
      <c r="C121" s="62"/>
      <c r="D121" s="62"/>
      <c r="E121" s="241" t="s">
        <v>12240</v>
      </c>
      <c r="F121" s="246" t="s">
        <v>8096</v>
      </c>
      <c r="G121" s="246" t="s">
        <v>8698</v>
      </c>
      <c r="H121" s="254">
        <v>7</v>
      </c>
      <c r="I121" s="254">
        <v>1</v>
      </c>
      <c r="J121" s="254"/>
      <c r="K121" s="363"/>
      <c r="L121" s="363"/>
      <c r="M121" s="247"/>
      <c r="N121" s="265" t="b">
        <f>NOT(ISERROR(ResultsTeams[[#This Row],[Goal-A]]+ResultsTeams[[#This Row],[Goal-B]]))</f>
        <v>1</v>
      </c>
      <c r="O121" s="265">
        <f>IF(ResultsTeams[[#This Row],[Type]]="G",SUM(O122:O125),IF(LEFT(ResultsTeams[[#This Row],[Type]],1)="P",IF(ResultsTeams[[#This Row],[Goal-A]]&gt;ResultsTeams[[#This Row],[Goal-B]],1,0),""))</f>
        <v>1</v>
      </c>
      <c r="P121" s="265">
        <f>IF(ResultsTeams[[#This Row],[Type]]="G",SUM(P122:P125),IF(LEFT(ResultsTeams[[#This Row],[Type]],1)="P",IF(ResultsTeams[[#This Row],[Goal-A]]&lt;ResultsTeams[[#This Row],[Goal-B]],1,0),""))</f>
        <v>0</v>
      </c>
      <c r="Q121" s="265">
        <f>IF(ResultsTeams[[#This Row],[Type]]="G",SUM(Q122:Q125),IF(LEFT(ResultsTeams[[#This Row],[Type]],1)="P",VALUE(ResultsTeams[[#This Row],[Score-A]]),""))</f>
        <v>7</v>
      </c>
      <c r="R121" s="265">
        <f>IF(ResultsTeams[[#This Row],[Type]]="G",SUM(R122:R125),IF(LEFT(ResultsTeams[[#This Row],[Type]],1)="P",VALUE(ResultsTeams[[#This Row],[Score-B]]),""))</f>
        <v>1</v>
      </c>
      <c r="S121" s="265" t="str">
        <f ca="1">IF(AND(ResultsTeams[[#This Row],[Category]]&lt;&gt;"",ResultsTeams[[#This Row],[Team A]]&lt;&gt;""),COUNTIF(INDIRECT("TeamsList[Club Name]"),ResultsTeams[[#This Row],[Team A]]),"")</f>
        <v/>
      </c>
      <c r="T121" s="265" t="str">
        <f ca="1">IF(AND(ResultsTeams[[#This Row],[Category]]&lt;&gt;"",ResultsTeams[[#This Row],[Team B]]&lt;&gt;""),COUNTIF(INDIRECT("TeamsList[Club Name]"),ResultsTeams[[#This Row],[Team B]]),"")</f>
        <v/>
      </c>
      <c r="U1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-Louison Giaux</v>
      </c>
      <c r="V121" s="265" t="str">
        <f>IF(ResultsTeams[[#This Row],[Score_OK]],IF(ResultsTeams[[#This Row],[StageCpy]]="Groups",ResultsTeams[[#This Row],[Category]]&amp;"-"&amp;IF(ResultsTeams[[#This Row],[Team B]]="","",IF(ResultsTeams[[#This Row],[Match-A]]=ResultsTeams[[#This Row],[Match-B]],ResultsTeams[[#This Row],[Team A]],"")),""),"")</f>
        <v>-</v>
      </c>
      <c r="W121" s="265" t="str">
        <f>IF(ResultsTeams[[#This Row],[Score_OK]],IF(ResultsTeams[[#This Row],[StageCpy]]="Groups",ResultsTeams[[#This Row],[Category]]&amp;"-"&amp;IF(ResultsTeams[[#This Row],[Team B]]="","",IF(ResultsTeams[[#This Row],[Match-A]]=ResultsTeams[[#This Row],[Match-B]],ResultsTeams[[#This Row],[Team B]],"")),""),"")</f>
        <v>-</v>
      </c>
      <c r="X1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-Axel Modeste</v>
      </c>
      <c r="Y1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1" s="264" t="str">
        <f>IF(ResultsTeams[[#This Row],[Category]]="","",VLOOKUP(ResultsTeams[[#This Row],[Stage]],$R$1:$T$8,MATCH(ResultsTeams[[#This Row],[Category]],$S$1:$T$1,0)+1,FALSE))</f>
        <v/>
      </c>
      <c r="AC1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1" s="264" t="str">
        <f>IF(ResultsTeams[[#This Row],[Type]]="G",ResultsTeams[[#This Row],[Stage]],AD120)</f>
        <v>Groups</v>
      </c>
      <c r="AE121" s="395" t="str">
        <f>IF(ResultsTeams[[#This Row],[Type]]="G",INDEX(TeamsList[Club Name],MATCH(ResultsTeams[[#This Row],[Team A]],TeamsList[Team Name],0)),AE120)</f>
        <v>Tiburones FM</v>
      </c>
      <c r="AF121" s="395" t="str">
        <f>IF(ResultsTeams[[#This Row],[Type]]="G",INDEX(TeamsList[Club Name],MATCH(ResultsTeams[[#This Row],[Team B]],TeamsList[Team Name],0)),AF120)</f>
        <v>FTC Issy-les-Moulineaux</v>
      </c>
      <c r="AG121" s="265"/>
      <c r="AH121" s="91"/>
      <c r="AI121" s="12" t="str">
        <f t="shared" si="97"/>
        <v>TEAM</v>
      </c>
      <c r="AJ121" s="309"/>
      <c r="AK121" s="310"/>
      <c r="AL121" s="311"/>
      <c r="AM121" s="292" t="str">
        <f>IF(AV121="","",SMALL(AN117:AN123,ROWS(AM117:AM121)))</f>
        <v/>
      </c>
      <c r="AN121" s="293" t="str">
        <f>IF(AV121="","",RANK(AR121,AR117:AR123)*1000+ROWS(AN117:AN121))</f>
        <v/>
      </c>
      <c r="AO121" s="316" t="str">
        <f t="shared" si="90"/>
        <v/>
      </c>
      <c r="AP121" s="415" t="b">
        <f>AND(AU121&lt;&gt;"",AU121&gt;0,COUNTIF(AO117:AO123,AO121)&gt;1)</f>
        <v>0</v>
      </c>
      <c r="AQ121" s="316" t="str">
        <f t="shared" si="91"/>
        <v/>
      </c>
      <c r="AR121" s="317" t="str">
        <f t="shared" si="92"/>
        <v/>
      </c>
      <c r="AS121" s="415" t="b">
        <f>AND(AU121&lt;&gt;"",AU121&gt;0,COUNTIF(AR117:AR123,AR121)&gt;1)</f>
        <v>0</v>
      </c>
      <c r="AT121" s="355" t="str">
        <f t="shared" si="93"/>
        <v/>
      </c>
      <c r="AU121" s="356" t="str">
        <f t="shared" si="94"/>
        <v/>
      </c>
      <c r="AV121" s="356" t="str">
        <f>IF(OR(AI116="",AJ121=""),"",COUNTIF(ResultsTeams[Win],AI116&amp;"-"&amp;AJ121))</f>
        <v/>
      </c>
      <c r="AW121" s="356" t="str">
        <f>IF(OR(AI116="",AJ121=""),"",COUNTIF(ResultsTeams[[Draw1]:[Draw2]],AI116&amp;"-"&amp;AJ121))</f>
        <v/>
      </c>
      <c r="AX121" s="356" t="str">
        <f>IF(OR(AI116="",AJ121=""),"",COUNTIF(ResultsTeams[Lose],AI116&amp;"-"&amp;AJ121))</f>
        <v/>
      </c>
      <c r="AY121" s="356" t="str">
        <f>IF(OR(AI116="",AJ121=""),"",AV121-AX121)</f>
        <v/>
      </c>
      <c r="AZ121" s="356" t="str">
        <f>IF(OR(AI120="",AJ121=""),"",SUMIFS(ResultsTeams[Match-A],ResultsTeams[Stage],"Groups",ResultsTeams[Team A],AJ121)+SUMIFS(ResultsTeams[Match-B],ResultsTeams[Stage],"Groups",ResultsTeams[Team B],AJ121))</f>
        <v/>
      </c>
      <c r="BA121" s="356" t="str">
        <f>IF(OR(AI120="",AJ121=""),"",SUMIFS(ResultsTeams[Match-B],ResultsTeams[Stage],"Groups",ResultsTeams[Team A],AJ121)+SUMIFS(ResultsTeams[Match-A],ResultsTeams[Stage],"Groups",ResultsTeams[Team B],AJ121))</f>
        <v/>
      </c>
      <c r="BB121" s="356" t="str">
        <f t="shared" si="96"/>
        <v/>
      </c>
      <c r="BC121" s="356" t="str">
        <f>IF(OR(AI120="",AJ121=""),"",SUMIFS(ResultsTeams[Goal-A],ResultsTeams[Stage],"Groups",ResultsTeams[Team A],AJ121)+SUMIFS(ResultsTeams[Goal-B],ResultsTeams[Stage],"Groups",ResultsTeams[Team B],AJ121))</f>
        <v/>
      </c>
      <c r="BD121" s="356" t="str">
        <f>IF(OR(AI120="",AJ121=""),"",SUMIFS(ResultsTeams[Goal-B],ResultsTeams[Stage],"Groups",ResultsTeams[Team A],AJ121)+SUMIFS(ResultsTeams[Goal-A],ResultsTeams[Stage],"Groups",ResultsTeams[Team B],AJ121))</f>
        <v/>
      </c>
      <c r="BE121" s="357" t="str">
        <f>IF(OR(AI116="",AJ121=""),"",BC121-BD121)</f>
        <v/>
      </c>
      <c r="BF121" s="470" t="str">
        <f>IF(AM121="","",OR(VLOOKUP(AM121,AN117:BE123,3,FALSE),VLOOKUP(AM121,AN117:BE123,6,FALSE)))</f>
        <v/>
      </c>
      <c r="BG121" s="298" t="str">
        <f t="shared" si="95"/>
        <v/>
      </c>
      <c r="BH121" s="285" t="str">
        <f>IF(AM121="","",INDEX(AJ117:AJ123,MATCH(AM121,AN117:AN123,0)))</f>
        <v/>
      </c>
      <c r="BI121" s="286" t="str">
        <f>IF(AM121="","",VLOOKUP(AM121,AN117:BE123,COLUMN()-COLUMN(BB116),FALSE))</f>
        <v/>
      </c>
      <c r="BJ121" s="286" t="str">
        <f>IF(AM121="","",VLOOKUP(AM121,AN117:BE123,COLUMN()-COLUMN(BB116),FALSE))</f>
        <v/>
      </c>
      <c r="BK121" s="286" t="str">
        <f>IF(AM121="","",VLOOKUP(AM121,AN117:BE123,COLUMN()-COLUMN(BB116),FALSE))</f>
        <v/>
      </c>
      <c r="BL121" s="286" t="str">
        <f>IF(AM121="","",VLOOKUP(AM121,AN117:BE123,COLUMN()-COLUMN(BB116),FALSE))</f>
        <v/>
      </c>
      <c r="BM121" s="286" t="str">
        <f>IF(AM121="","",VLOOKUP(AM121,AN117:BE123,COLUMN()-COLUMN(BB116),FALSE))</f>
        <v/>
      </c>
      <c r="BN121" s="349" t="str">
        <f>IF(AM121="","",VLOOKUP(AM121,AN117:BE123,COLUMN()-COLUMN(BB116),FALSE))</f>
        <v/>
      </c>
      <c r="BO121" s="298" t="str">
        <f>IF(AM121="","",VLOOKUP(AM121,AN117:BE123,COLUMN()-COLUMN(BB116),FALSE))</f>
        <v/>
      </c>
      <c r="BP121" s="286" t="str">
        <f>IF(AM121="","",VLOOKUP(AM121,AN117:BE123,COLUMN()-COLUMN(BB116),FALSE))</f>
        <v/>
      </c>
      <c r="BQ121" s="301" t="str">
        <f>IF(AM121="","",VLOOKUP(AM121,AN117:BE123,COLUMN()-COLUMN(BB116),FALSE))</f>
        <v/>
      </c>
      <c r="BR121" s="352" t="str">
        <f>IF(AM121="","",VLOOKUP(AM121,AN117:BE123,COLUMN()-COLUMN(BB116),FALSE))</f>
        <v/>
      </c>
      <c r="BS121" s="286" t="str">
        <f>IF(AM121="","",VLOOKUP(AM121,AN117:BE123,COLUMN()-COLUMN(BB116),FALSE))</f>
        <v/>
      </c>
      <c r="BT121" s="301" t="str">
        <f>IF(AM121="","",VLOOKUP(AM121,AN117:BE123,COLUMN()-COLUMN(BB116),FALSE))</f>
        <v/>
      </c>
    </row>
    <row r="122" spans="1:72" x14ac:dyDescent="0.2">
      <c r="A122" s="62"/>
      <c r="B122" s="62"/>
      <c r="C122" s="62"/>
      <c r="D122" s="62"/>
      <c r="E122" s="241" t="s">
        <v>12243</v>
      </c>
      <c r="F122" s="247"/>
      <c r="G122" s="247"/>
      <c r="H122" s="254"/>
      <c r="I122" s="254"/>
      <c r="J122" s="260"/>
      <c r="K122" s="364"/>
      <c r="L122" s="364"/>
      <c r="M122" s="247"/>
      <c r="N122" s="265" t="b">
        <f>NOT(ISERROR(ResultsTeams[[#This Row],[Goal-A]]+ResultsTeams[[#This Row],[Goal-B]]))</f>
        <v>0</v>
      </c>
      <c r="O122" s="265" t="str">
        <f>IF(ResultsTeams[[#This Row],[Type]]="G",SUM(O123:O126),IF(LEFT(ResultsTeams[[#This Row],[Type]],1)="P",IF(ResultsTeams[[#This Row],[Goal-A]]&gt;ResultsTeams[[#This Row],[Goal-B]],1,0),""))</f>
        <v/>
      </c>
      <c r="P122" s="265" t="str">
        <f>IF(ResultsTeams[[#This Row],[Type]]="G",SUM(P123:P126),IF(LEFT(ResultsTeams[[#This Row],[Type]],1)="P",IF(ResultsTeams[[#This Row],[Goal-A]]&lt;ResultsTeams[[#This Row],[Goal-B]],1,0),""))</f>
        <v/>
      </c>
      <c r="Q122" s="265" t="str">
        <f>IF(ResultsTeams[[#This Row],[Type]]="G",SUM(Q123:Q126),IF(LEFT(ResultsTeams[[#This Row],[Type]],1)="P",VALUE(ResultsTeams[[#This Row],[Score-A]]),""))</f>
        <v/>
      </c>
      <c r="R122" s="265" t="str">
        <f>IF(ResultsTeams[[#This Row],[Type]]="G",SUM(R123:R126),IF(LEFT(ResultsTeams[[#This Row],[Type]],1)="P",VALUE(ResultsTeams[[#This Row],[Score-B]]),""))</f>
        <v/>
      </c>
      <c r="S122" s="265" t="str">
        <f ca="1">IF(AND(ResultsTeams[[#This Row],[Category]]&lt;&gt;"",ResultsTeams[[#This Row],[Team A]]&lt;&gt;""),COUNTIF(INDIRECT("TeamsList[Club Name]"),ResultsTeams[[#This Row],[Team A]]),"")</f>
        <v/>
      </c>
      <c r="T122" s="265" t="str">
        <f ca="1">IF(AND(ResultsTeams[[#This Row],[Category]]&lt;&gt;"",ResultsTeams[[#This Row],[Team B]]&lt;&gt;""),COUNTIF(INDIRECT("TeamsList[Club Name]"),ResultsTeams[[#This Row],[Team B]]),"")</f>
        <v/>
      </c>
      <c r="U1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2" s="265" t="str">
        <f>IF(ResultsTeams[[#This Row],[Score_OK]],IF(ResultsTeams[[#This Row],[StageCpy]]="Groups",ResultsTeams[[#This Row],[Category]]&amp;"-"&amp;IF(ResultsTeams[[#This Row],[Team B]]="","",IF(ResultsTeams[[#This Row],[Match-A]]=ResultsTeams[[#This Row],[Match-B]],ResultsTeams[[#This Row],[Team A]],"")),""),"")</f>
        <v/>
      </c>
      <c r="W122" s="265" t="str">
        <f>IF(ResultsTeams[[#This Row],[Score_OK]],IF(ResultsTeams[[#This Row],[StageCpy]]="Groups",ResultsTeams[[#This Row],[Category]]&amp;"-"&amp;IF(ResultsTeams[[#This Row],[Team B]]="","",IF(ResultsTeams[[#This Row],[Match-A]]=ResultsTeams[[#This Row],[Match-B]],ResultsTeams[[#This Row],[Team B]],"")),""),"")</f>
        <v/>
      </c>
      <c r="X1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2" s="264" t="str">
        <f>IF(ResultsTeams[[#This Row],[Category]]="","",VLOOKUP(ResultsTeams[[#This Row],[Stage]],$R$1:$T$8,MATCH(ResultsTeams[[#This Row],[Category]],$S$1:$T$1,0)+1,FALSE))</f>
        <v/>
      </c>
      <c r="AC1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2" s="264" t="str">
        <f>IF(ResultsTeams[[#This Row],[Type]]="G",ResultsTeams[[#This Row],[Stage]],AD121)</f>
        <v>Groups</v>
      </c>
      <c r="AE122" s="395" t="str">
        <f>IF(ResultsTeams[[#This Row],[Type]]="G",INDEX(TeamsList[Club Name],MATCH(ResultsTeams[[#This Row],[Team A]],TeamsList[Team Name],0)),AE121)</f>
        <v>Tiburones FM</v>
      </c>
      <c r="AF122" s="395" t="str">
        <f>IF(ResultsTeams[[#This Row],[Type]]="G",INDEX(TeamsList[Club Name],MATCH(ResultsTeams[[#This Row],[Team B]],TeamsList[Team Name],0)),AF121)</f>
        <v>FTC Issy-les-Moulineaux</v>
      </c>
      <c r="AG122" s="265"/>
      <c r="AI122" s="12" t="str">
        <f t="shared" si="97"/>
        <v>TEAM</v>
      </c>
      <c r="AJ122" s="309"/>
      <c r="AK122" s="310"/>
      <c r="AL122" s="311"/>
      <c r="AM122" s="292" t="str">
        <f>IF(AV122="","",SMALL(AN117:AN123,ROWS(AM117:AM122)))</f>
        <v/>
      </c>
      <c r="AN122" s="293" t="str">
        <f>IF(AV122="","",RANK(AR122,AR117:AR123)*1000+ROWS(AN117:AN122))</f>
        <v/>
      </c>
      <c r="AO122" s="316" t="str">
        <f t="shared" si="90"/>
        <v/>
      </c>
      <c r="AP122" s="415" t="b">
        <f>AND(AU122&lt;&gt;"",AU122&gt;0,COUNTIF(AO117:AO123,AO122)&gt;1)</f>
        <v>0</v>
      </c>
      <c r="AQ122" s="316" t="str">
        <f t="shared" si="91"/>
        <v/>
      </c>
      <c r="AR122" s="317" t="str">
        <f t="shared" si="92"/>
        <v/>
      </c>
      <c r="AS122" s="415" t="b">
        <f>AND(AU122&lt;&gt;"",AU122&gt;0,COUNTIF(AR117:AR123,AR122)&gt;1)</f>
        <v>0</v>
      </c>
      <c r="AT122" s="355" t="str">
        <f t="shared" si="93"/>
        <v/>
      </c>
      <c r="AU122" s="356" t="str">
        <f t="shared" si="94"/>
        <v/>
      </c>
      <c r="AV122" s="356" t="str">
        <f>IF(OR(AI116="",AJ122=""),"",COUNTIF(ResultsTeams[Win],AI116&amp;"-"&amp;AJ122))</f>
        <v/>
      </c>
      <c r="AW122" s="356" t="str">
        <f>IF(OR(AI116="",AJ122=""),"",COUNTIF(ResultsTeams[[Draw1]:[Draw2]],AI116&amp;"-"&amp;AJ122))</f>
        <v/>
      </c>
      <c r="AX122" s="356" t="str">
        <f>IF(OR(AI116="",AJ122=""),"",COUNTIF(ResultsTeams[Lose],AI116&amp;"-"&amp;AJ122))</f>
        <v/>
      </c>
      <c r="AY122" s="356" t="str">
        <f>IF(OR(AI116="",AJ122=""),"",AV122-AX122)</f>
        <v/>
      </c>
      <c r="AZ122" s="356" t="str">
        <f>IF(OR(AI121="",AJ122=""),"",SUMIFS(ResultsTeams[Match-A],ResultsTeams[Stage],"Groups",ResultsTeams[Team A],AJ122)+SUMIFS(ResultsTeams[Match-B],ResultsTeams[Stage],"Groups",ResultsTeams[Team B],AJ122))</f>
        <v/>
      </c>
      <c r="BA122" s="356" t="str">
        <f>IF(OR(AI121="",AJ122=""),"",SUMIFS(ResultsTeams[Match-B],ResultsTeams[Stage],"Groups",ResultsTeams[Team A],AJ122)+SUMIFS(ResultsTeams[Match-A],ResultsTeams[Stage],"Groups",ResultsTeams[Team B],AJ122))</f>
        <v/>
      </c>
      <c r="BB122" s="356" t="str">
        <f t="shared" si="96"/>
        <v/>
      </c>
      <c r="BC122" s="356" t="str">
        <f>IF(OR(AI121="",AJ122=""),"",SUMIFS(ResultsTeams[Goal-A],ResultsTeams[Stage],"Groups",ResultsTeams[Team A],AJ122)+SUMIFS(ResultsTeams[Goal-B],ResultsTeams[Stage],"Groups",ResultsTeams[Team B],AJ122))</f>
        <v/>
      </c>
      <c r="BD122" s="356" t="str">
        <f>IF(OR(AI121="",AJ122=""),"",SUMIFS(ResultsTeams[Goal-B],ResultsTeams[Stage],"Groups",ResultsTeams[Team A],AJ122)+SUMIFS(ResultsTeams[Goal-A],ResultsTeams[Stage],"Groups",ResultsTeams[Team B],AJ122))</f>
        <v/>
      </c>
      <c r="BE122" s="357" t="str">
        <f>IF(OR(AI116="",AJ122=""),"",BC122-BD122)</f>
        <v/>
      </c>
      <c r="BF122" s="470" t="str">
        <f>IF(AM122="","",OR(VLOOKUP(AM122,AN117:BE123,3,FALSE),VLOOKUP(AM122,AN117:BE123,6,FALSE)))</f>
        <v/>
      </c>
      <c r="BG122" s="298" t="str">
        <f t="shared" si="95"/>
        <v/>
      </c>
      <c r="BH122" s="285" t="str">
        <f>IF(AM122="","",INDEX(AJ117:AJ123,MATCH(AM122,AN117:AN123,0)))</f>
        <v/>
      </c>
      <c r="BI122" s="286" t="str">
        <f>IF(AM122="","",VLOOKUP(AM122,AN117:BE123,COLUMN()-COLUMN(BB116),FALSE))</f>
        <v/>
      </c>
      <c r="BJ122" s="286" t="str">
        <f>IF(AM122="","",VLOOKUP(AM122,AN117:BE123,COLUMN()-COLUMN(BB116),FALSE))</f>
        <v/>
      </c>
      <c r="BK122" s="286" t="str">
        <f>IF(AM122="","",VLOOKUP(AM122,AN117:BE123,COLUMN()-COLUMN(BB116),FALSE))</f>
        <v/>
      </c>
      <c r="BL122" s="286" t="str">
        <f>IF(AM122="","",VLOOKUP(AM122,AN117:BE123,COLUMN()-COLUMN(BB116),FALSE))</f>
        <v/>
      </c>
      <c r="BM122" s="286" t="str">
        <f>IF(AM122="","",VLOOKUP(AM122,AN117:BE123,COLUMN()-COLUMN(BB116),FALSE))</f>
        <v/>
      </c>
      <c r="BN122" s="349" t="str">
        <f>IF(AM122="","",VLOOKUP(AM122,AN117:BE123,COLUMN()-COLUMN(BB116),FALSE))</f>
        <v/>
      </c>
      <c r="BO122" s="298" t="str">
        <f>IF(AM122="","",VLOOKUP(AM122,AN117:BE123,COLUMN()-COLUMN(BB116),FALSE))</f>
        <v/>
      </c>
      <c r="BP122" s="286" t="str">
        <f>IF(AM122="","",VLOOKUP(AM122,AN117:BE123,COLUMN()-COLUMN(BB116),FALSE))</f>
        <v/>
      </c>
      <c r="BQ122" s="301" t="str">
        <f>IF(AM122="","",VLOOKUP(AM122,AN117:BE123,COLUMN()-COLUMN(BB116),FALSE))</f>
        <v/>
      </c>
      <c r="BR122" s="352" t="str">
        <f>IF(AM122="","",VLOOKUP(AM122,AN117:BE123,COLUMN()-COLUMN(BB116),FALSE))</f>
        <v/>
      </c>
      <c r="BS122" s="286" t="str">
        <f>IF(AM122="","",VLOOKUP(AM122,AN117:BE123,COLUMN()-COLUMN(BB116),FALSE))</f>
        <v/>
      </c>
      <c r="BT122" s="301" t="str">
        <f>IF(AM122="","",VLOOKUP(AM122,AN117:BE123,COLUMN()-COLUMN(BB116),FALSE))</f>
        <v/>
      </c>
    </row>
    <row r="123" spans="1:72" ht="12" thickBot="1" x14ac:dyDescent="0.25">
      <c r="A123" s="83"/>
      <c r="B123" s="83"/>
      <c r="C123" s="83"/>
      <c r="D123" s="83"/>
      <c r="E123" s="268" t="s">
        <v>12244</v>
      </c>
      <c r="F123" s="262"/>
      <c r="G123" s="262"/>
      <c r="H123" s="324"/>
      <c r="I123" s="324"/>
      <c r="J123" s="263"/>
      <c r="K123" s="365"/>
      <c r="L123" s="365"/>
      <c r="M123" s="262"/>
      <c r="N123" s="265" t="b">
        <f>NOT(ISERROR(ResultsTeams[[#This Row],[Goal-A]]+ResultsTeams[[#This Row],[Goal-B]]))</f>
        <v>0</v>
      </c>
      <c r="O123" s="265" t="str">
        <f>IF(ResultsTeams[[#This Row],[Type]]="G",SUM(O124:O127),IF(LEFT(ResultsTeams[[#This Row],[Type]],1)="P",IF(ResultsTeams[[#This Row],[Goal-A]]&gt;ResultsTeams[[#This Row],[Goal-B]],1,0),""))</f>
        <v/>
      </c>
      <c r="P123" s="265" t="str">
        <f>IF(ResultsTeams[[#This Row],[Type]]="G",SUM(P124:P127),IF(LEFT(ResultsTeams[[#This Row],[Type]],1)="P",IF(ResultsTeams[[#This Row],[Goal-A]]&lt;ResultsTeams[[#This Row],[Goal-B]],1,0),""))</f>
        <v/>
      </c>
      <c r="Q123" s="265" t="str">
        <f>IF(ResultsTeams[[#This Row],[Type]]="G",SUM(Q124:Q127),IF(LEFT(ResultsTeams[[#This Row],[Type]],1)="P",VALUE(ResultsTeams[[#This Row],[Score-A]]),""))</f>
        <v/>
      </c>
      <c r="R123" s="265" t="str">
        <f>IF(ResultsTeams[[#This Row],[Type]]="G",SUM(R124:R127),IF(LEFT(ResultsTeams[[#This Row],[Type]],1)="P",VALUE(ResultsTeams[[#This Row],[Score-B]]),""))</f>
        <v/>
      </c>
      <c r="S123" s="265" t="str">
        <f ca="1">IF(AND(ResultsTeams[[#This Row],[Category]]&lt;&gt;"",ResultsTeams[[#This Row],[Team A]]&lt;&gt;""),COUNTIF(INDIRECT("TeamsList[Club Name]"),ResultsTeams[[#This Row],[Team A]]),"")</f>
        <v/>
      </c>
      <c r="T123" s="265" t="str">
        <f ca="1">IF(AND(ResultsTeams[[#This Row],[Category]]&lt;&gt;"",ResultsTeams[[#This Row],[Team B]]&lt;&gt;""),COUNTIF(INDIRECT("TeamsList[Club Name]"),ResultsTeams[[#This Row],[Team B]]),"")</f>
        <v/>
      </c>
      <c r="U1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3" s="265" t="str">
        <f>IF(ResultsTeams[[#This Row],[Score_OK]],IF(ResultsTeams[[#This Row],[StageCpy]]="Groups",ResultsTeams[[#This Row],[Category]]&amp;"-"&amp;IF(ResultsTeams[[#This Row],[Team B]]="","",IF(ResultsTeams[[#This Row],[Match-A]]=ResultsTeams[[#This Row],[Match-B]],ResultsTeams[[#This Row],[Team A]],"")),""),"")</f>
        <v/>
      </c>
      <c r="W123" s="265" t="str">
        <f>IF(ResultsTeams[[#This Row],[Score_OK]],IF(ResultsTeams[[#This Row],[StageCpy]]="Groups",ResultsTeams[[#This Row],[Category]]&amp;"-"&amp;IF(ResultsTeams[[#This Row],[Team B]]="","",IF(ResultsTeams[[#This Row],[Match-A]]=ResultsTeams[[#This Row],[Match-B]],ResultsTeams[[#This Row],[Team B]],"")),""),"")</f>
        <v/>
      </c>
      <c r="X1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3" s="264" t="str">
        <f>IF(ResultsTeams[[#This Row],[Category]]="","",VLOOKUP(ResultsTeams[[#This Row],[Stage]],$R$1:$T$8,MATCH(ResultsTeams[[#This Row],[Category]],$S$1:$T$1,0)+1,FALSE))</f>
        <v/>
      </c>
      <c r="AC1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3" s="264" t="str">
        <f>IF(ResultsTeams[[#This Row],[Type]]="G",ResultsTeams[[#This Row],[Stage]],AD122)</f>
        <v>Groups</v>
      </c>
      <c r="AE123" s="395" t="str">
        <f>IF(ResultsTeams[[#This Row],[Type]]="G",INDEX(TeamsList[Club Name],MATCH(ResultsTeams[[#This Row],[Team A]],TeamsList[Team Name],0)),AE122)</f>
        <v>Tiburones FM</v>
      </c>
      <c r="AF123" s="395" t="str">
        <f>IF(ResultsTeams[[#This Row],[Type]]="G",INDEX(TeamsList[Club Name],MATCH(ResultsTeams[[#This Row],[Team B]],TeamsList[Team Name],0)),AF122)</f>
        <v>FTC Issy-les-Moulineaux</v>
      </c>
      <c r="AG123" s="265"/>
      <c r="AI123" s="12" t="str">
        <f t="shared" si="97"/>
        <v>TEAM</v>
      </c>
      <c r="AJ123" s="312"/>
      <c r="AK123" s="313"/>
      <c r="AL123" s="314"/>
      <c r="AM123" s="294" t="str">
        <f>IF(AV123="","",SMALL(AN117:AN123,ROWS(AM117:AM123)))</f>
        <v/>
      </c>
      <c r="AN123" s="295" t="str">
        <f>IF(AV123="","",RANK(AR123,AR117:AR123)*1000+ROWS(AN117:AN123))</f>
        <v/>
      </c>
      <c r="AO123" s="318" t="str">
        <f t="shared" si="90"/>
        <v/>
      </c>
      <c r="AP123" s="416" t="b">
        <f>AND(AU123&lt;&gt;"",AU123&gt;0,COUNTIF(AO117:AO123,AO123)&gt;1)</f>
        <v>0</v>
      </c>
      <c r="AQ123" s="318" t="str">
        <f t="shared" si="91"/>
        <v/>
      </c>
      <c r="AR123" s="319" t="str">
        <f t="shared" si="92"/>
        <v/>
      </c>
      <c r="AS123" s="416" t="b">
        <f>AND(AU123&lt;&gt;"",AU123&gt;0,COUNTIF(AR117:AR123,AR123)&gt;1)</f>
        <v>0</v>
      </c>
      <c r="AT123" s="358" t="str">
        <f t="shared" si="93"/>
        <v/>
      </c>
      <c r="AU123" s="359" t="str">
        <f t="shared" si="94"/>
        <v/>
      </c>
      <c r="AV123" s="359" t="str">
        <f>IF(OR(AI116="",AJ123=""),"",COUNTIF(ResultsTeams[Win],AI116&amp;"-"&amp;AJ123))</f>
        <v/>
      </c>
      <c r="AW123" s="359" t="str">
        <f>IF(OR(AI116="",AJ123=""),"",COUNTIF(ResultsTeams[[Draw1]:[Draw2]],AI116&amp;"-"&amp;AJ123))</f>
        <v/>
      </c>
      <c r="AX123" s="359" t="str">
        <f>IF(OR(AI116="",AJ123=""),"",COUNTIF(ResultsTeams[Lose],AI116&amp;"-"&amp;AJ123))</f>
        <v/>
      </c>
      <c r="AY123" s="359" t="str">
        <f>IF(OR(AI116="",AJ123=""),"",AV123-AX123)</f>
        <v/>
      </c>
      <c r="AZ123" s="359" t="str">
        <f>IF(OR(AI122="",AJ123=""),"",SUMIFS(ResultsTeams[Match-A],ResultsTeams[Stage],"Groups",ResultsTeams[Team A],AJ123)+SUMIFS(ResultsTeams[Match-B],ResultsTeams[Stage],"Groups",ResultsTeams[Team B],AJ123))</f>
        <v/>
      </c>
      <c r="BA123" s="359" t="str">
        <f>IF(OR(AI122="",AJ123=""),"",SUMIFS(ResultsTeams[Match-B],ResultsTeams[Stage],"Groups",ResultsTeams[Team A],AJ123)+SUMIFS(ResultsTeams[Match-A],ResultsTeams[Stage],"Groups",ResultsTeams[Team B],AJ123))</f>
        <v/>
      </c>
      <c r="BB123" s="359" t="str">
        <f t="shared" si="96"/>
        <v/>
      </c>
      <c r="BC123" s="359" t="str">
        <f>IF(OR(AI122="",AJ123=""),"",SUMIFS(ResultsTeams[Goal-A],ResultsTeams[Stage],"Groups",ResultsTeams[Team A],AJ123)+SUMIFS(ResultsTeams[Goal-B],ResultsTeams[Stage],"Groups",ResultsTeams[Team B],AJ123))</f>
        <v/>
      </c>
      <c r="BD123" s="359" t="str">
        <f>IF(OR(AI122="",AJ123=""),"",SUMIFS(ResultsTeams[Goal-B],ResultsTeams[Stage],"Groups",ResultsTeams[Team A],AJ123)+SUMIFS(ResultsTeams[Goal-A],ResultsTeams[Stage],"Groups",ResultsTeams[Team B],AJ123))</f>
        <v/>
      </c>
      <c r="BE123" s="360" t="str">
        <f>IF(OR(AI116="",AJ123=""),"",BC123-BD123)</f>
        <v/>
      </c>
      <c r="BF123" s="470" t="str">
        <f>IF(AM123="","",OR(VLOOKUP(AM123,AN117:BE123,3,FALSE),VLOOKUP(AM123,AN117:BE123,6,FALSE)))</f>
        <v/>
      </c>
      <c r="BG123" s="299" t="str">
        <f t="shared" si="95"/>
        <v/>
      </c>
      <c r="BH123" s="287" t="str">
        <f>IF(AM123="","",INDEX(AJ117:AJ123,MATCH(AM123,AN117:AN123,0)))</f>
        <v/>
      </c>
      <c r="BI123" s="288" t="str">
        <f>IF(AM123="","",VLOOKUP(AM123,AN117:BE123,COLUMN()-COLUMN(BB116),FALSE))</f>
        <v/>
      </c>
      <c r="BJ123" s="288" t="str">
        <f>IF(AM123="","",VLOOKUP(AM123,AN117:BE123,COLUMN()-COLUMN(BB116),FALSE))</f>
        <v/>
      </c>
      <c r="BK123" s="288" t="str">
        <f>IF(AM123="","",VLOOKUP(AM123,AN117:BE123,COLUMN()-COLUMN(BB116),FALSE))</f>
        <v/>
      </c>
      <c r="BL123" s="288" t="str">
        <f>IF(AM123="","",VLOOKUP(AM123,AN117:BE123,COLUMN()-COLUMN(BB116),FALSE))</f>
        <v/>
      </c>
      <c r="BM123" s="288" t="str">
        <f>IF(AM123="","",VLOOKUP(AM123,AN117:BE123,COLUMN()-COLUMN(BB116),FALSE))</f>
        <v/>
      </c>
      <c r="BN123" s="350" t="str">
        <f>IF(AM123="","",VLOOKUP(AM123,AN117:BE123,COLUMN()-COLUMN(BB116),FALSE))</f>
        <v/>
      </c>
      <c r="BO123" s="299" t="str">
        <f>IF(AM123="","",VLOOKUP(AM123,AN117:BE123,COLUMN()-COLUMN(BB116),FALSE))</f>
        <v/>
      </c>
      <c r="BP123" s="288" t="str">
        <f>IF(AM123="","",VLOOKUP(AM123,AN117:BE123,COLUMN()-COLUMN(BB116),FALSE))</f>
        <v/>
      </c>
      <c r="BQ123" s="302" t="str">
        <f>IF(AM123="","",VLOOKUP(AM123,AN117:BE123,COLUMN()-COLUMN(BB116),FALSE))</f>
        <v/>
      </c>
      <c r="BR123" s="353" t="str">
        <f>IF(AM123="","",VLOOKUP(AM123,AN117:BE123,COLUMN()-COLUMN(BB116),FALSE))</f>
        <v/>
      </c>
      <c r="BS123" s="288" t="str">
        <f>IF(AM123="","",VLOOKUP(AM123,AN117:BE123,COLUMN()-COLUMN(BB116),FALSE))</f>
        <v/>
      </c>
      <c r="BT123" s="302" t="str">
        <f>IF(AM123="","",VLOOKUP(AM123,AN117:BE123,COLUMN()-COLUMN(BB116),FALSE))</f>
        <v/>
      </c>
    </row>
    <row r="124" spans="1:72" ht="12" thickBot="1" x14ac:dyDescent="0.25">
      <c r="A124" s="261" t="s">
        <v>12693</v>
      </c>
      <c r="B124" s="270" t="s">
        <v>12207</v>
      </c>
      <c r="C124" s="270">
        <v>3</v>
      </c>
      <c r="D124" s="270"/>
      <c r="E124" s="272" t="s">
        <v>12228</v>
      </c>
      <c r="F124" s="273" t="s">
        <v>794</v>
      </c>
      <c r="G124" s="273" t="s">
        <v>12674</v>
      </c>
      <c r="H124" s="275">
        <v>3</v>
      </c>
      <c r="I124" s="275">
        <v>0</v>
      </c>
      <c r="J124" s="275"/>
      <c r="K124" s="366"/>
      <c r="L124" s="366"/>
      <c r="M124" s="274"/>
      <c r="N124" s="265" t="b">
        <f>NOT(ISERROR(ResultsTeams[[#This Row],[Goal-A]]+ResultsTeams[[#This Row],[Goal-B]]))</f>
        <v>1</v>
      </c>
      <c r="O124" s="265">
        <f>IF(ResultsTeams[[#This Row],[Type]]="G",SUM(O125:O128),IF(LEFT(ResultsTeams[[#This Row],[Type]],1)="P",IF(ResultsTeams[[#This Row],[Goal-A]]&gt;ResultsTeams[[#This Row],[Goal-B]],1,0),""))</f>
        <v>3</v>
      </c>
      <c r="P124" s="265">
        <f>IF(ResultsTeams[[#This Row],[Type]]="G",SUM(P125:P128),IF(LEFT(ResultsTeams[[#This Row],[Type]],1)="P",IF(ResultsTeams[[#This Row],[Goal-A]]&lt;ResultsTeams[[#This Row],[Goal-B]],1,0),""))</f>
        <v>0</v>
      </c>
      <c r="Q124" s="265">
        <f>IF(ResultsTeams[[#This Row],[Type]]="G",SUM(Q125:Q128),IF(LEFT(ResultsTeams[[#This Row],[Type]],1)="P",VALUE(ResultsTeams[[#This Row],[Score-A]]),""))</f>
        <v>11</v>
      </c>
      <c r="R124" s="265">
        <f>IF(ResultsTeams[[#This Row],[Type]]="G",SUM(R125:R128),IF(LEFT(ResultsTeams[[#This Row],[Type]],1)="P",VALUE(ResultsTeams[[#This Row],[Score-B]]),""))</f>
        <v>4</v>
      </c>
      <c r="S124" s="265">
        <f ca="1">IF(AND(ResultsTeams[[#This Row],[Category]]&lt;&gt;"",ResultsTeams[[#This Row],[Team A]]&lt;&gt;""),COUNTIF(INDIRECT("TeamsList[Club Name]"),ResultsTeams[[#This Row],[Team A]]),"")</f>
        <v>1</v>
      </c>
      <c r="T124" s="265">
        <f ca="1">IF(AND(ResultsTeams[[#This Row],[Category]]&lt;&gt;"",ResultsTeams[[#This Row],[Team B]]&lt;&gt;""),COUNTIF(INDIRECT("TeamsList[Club Name]"),ResultsTeams[[#This Row],[Team B]]),"")</f>
        <v>0</v>
      </c>
      <c r="U1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TEAM-Bormla SC</v>
      </c>
      <c r="V124" s="265" t="str">
        <f>IF(ResultsTeams[[#This Row],[Score_OK]],IF(ResultsTeams[[#This Row],[StageCpy]]="Groups",ResultsTeams[[#This Row],[Category]]&amp;"-"&amp;IF(ResultsTeams[[#This Row],[Team B]]="","",IF(ResultsTeams[[#This Row],[Match-A]]=ResultsTeams[[#This Row],[Match-B]],ResultsTeams[[#This Row],[Team A]],"")),""),"")</f>
        <v>TEAM-</v>
      </c>
      <c r="W124" s="265" t="str">
        <f>IF(ResultsTeams[[#This Row],[Score_OK]],IF(ResultsTeams[[#This Row],[StageCpy]]="Groups",ResultsTeams[[#This Row],[Category]]&amp;"-"&amp;IF(ResultsTeams[[#This Row],[Team B]]="","",IF(ResultsTeams[[#This Row],[Match-A]]=ResultsTeams[[#This Row],[Match-B]],ResultsTeams[[#This Row],[Team B]],"")),""),"")</f>
        <v>TEAM-</v>
      </c>
      <c r="X1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TEAM-Tiburones FM 2</v>
      </c>
      <c r="Y1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TEAM-Tiburones FM 2</v>
      </c>
      <c r="AA1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TEAM-Tiburones FM 2</v>
      </c>
      <c r="AB124" s="264" t="str">
        <f>IF(ResultsTeams[[#This Row],[Category]]="","",VLOOKUP(ResultsTeams[[#This Row],[Stage]],$R$1:$T$8,MATCH(ResultsTeams[[#This Row],[Category]],$S$1:$T$1,0)+1,FALSE))</f>
        <v>PR1</v>
      </c>
      <c r="AC1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4" s="264" t="str">
        <f>IF(ResultsTeams[[#This Row],[Type]]="G",ResultsTeams[[#This Row],[Stage]],AD123)</f>
        <v>Groups</v>
      </c>
      <c r="AE124" s="395" t="str">
        <f>IF(ResultsTeams[[#This Row],[Type]]="G",INDEX(TeamsList[Club Name],MATCH(ResultsTeams[[#This Row],[Team A]],TeamsList[Team Name],0)),AE123)</f>
        <v>Bormla SC</v>
      </c>
      <c r="AF124" s="395" t="str">
        <f>IF(ResultsTeams[[#This Row],[Type]]="G",INDEX(TeamsList[Club Name],MATCH(ResultsTeams[[#This Row],[Team B]],TeamsList[Team Name],0)),AF123)</f>
        <v>Tiburones FM</v>
      </c>
      <c r="AG124" s="265"/>
    </row>
    <row r="125" spans="1:72" ht="12" thickBot="1" x14ac:dyDescent="0.25">
      <c r="A125" s="60"/>
      <c r="B125" s="280"/>
      <c r="C125" s="60"/>
      <c r="D125" s="60"/>
      <c r="E125" s="240" t="s">
        <v>12231</v>
      </c>
      <c r="F125" s="244" t="s">
        <v>10424</v>
      </c>
      <c r="G125" s="244" t="s">
        <v>8096</v>
      </c>
      <c r="H125" s="253">
        <v>3</v>
      </c>
      <c r="I125" s="253">
        <v>1</v>
      </c>
      <c r="J125" s="253"/>
      <c r="K125" s="362"/>
      <c r="L125" s="362"/>
      <c r="M125" s="245"/>
      <c r="N125" s="265" t="b">
        <f>NOT(ISERROR(ResultsTeams[[#This Row],[Goal-A]]+ResultsTeams[[#This Row],[Goal-B]]))</f>
        <v>1</v>
      </c>
      <c r="O125" s="265">
        <f>IF(ResultsTeams[[#This Row],[Type]]="G",SUM(O126:O129),IF(LEFT(ResultsTeams[[#This Row],[Type]],1)="P",IF(ResultsTeams[[#This Row],[Goal-A]]&gt;ResultsTeams[[#This Row],[Goal-B]],1,0),""))</f>
        <v>1</v>
      </c>
      <c r="P125" s="265">
        <f>IF(ResultsTeams[[#This Row],[Type]]="G",SUM(P126:P129),IF(LEFT(ResultsTeams[[#This Row],[Type]],1)="P",IF(ResultsTeams[[#This Row],[Goal-A]]&lt;ResultsTeams[[#This Row],[Goal-B]],1,0),""))</f>
        <v>0</v>
      </c>
      <c r="Q125" s="265">
        <f>IF(ResultsTeams[[#This Row],[Type]]="G",SUM(Q126:Q129),IF(LEFT(ResultsTeams[[#This Row],[Type]],1)="P",VALUE(ResultsTeams[[#This Row],[Score-A]]),""))</f>
        <v>3</v>
      </c>
      <c r="R125" s="265">
        <f>IF(ResultsTeams[[#This Row],[Type]]="G",SUM(R126:R129),IF(LEFT(ResultsTeams[[#This Row],[Type]],1)="P",VALUE(ResultsTeams[[#This Row],[Score-B]]),""))</f>
        <v>1</v>
      </c>
      <c r="S125" s="265" t="str">
        <f ca="1">IF(AND(ResultsTeams[[#This Row],[Category]]&lt;&gt;"",ResultsTeams[[#This Row],[Team A]]&lt;&gt;""),COUNTIF(INDIRECT("TeamsList[Club Name]"),ResultsTeams[[#This Row],[Team A]]),"")</f>
        <v/>
      </c>
      <c r="T125" s="265" t="str">
        <f ca="1">IF(AND(ResultsTeams[[#This Row],[Category]]&lt;&gt;"",ResultsTeams[[#This Row],[Team B]]&lt;&gt;""),COUNTIF(INDIRECT("TeamsList[Club Name]"),ResultsTeams[[#This Row],[Team B]]),"")</f>
        <v/>
      </c>
      <c r="U1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-George Ebejer</v>
      </c>
      <c r="V125" s="265" t="str">
        <f>IF(ResultsTeams[[#This Row],[Score_OK]],IF(ResultsTeams[[#This Row],[StageCpy]]="Groups",ResultsTeams[[#This Row],[Category]]&amp;"-"&amp;IF(ResultsTeams[[#This Row],[Team B]]="","",IF(ResultsTeams[[#This Row],[Match-A]]=ResultsTeams[[#This Row],[Match-B]],ResultsTeams[[#This Row],[Team A]],"")),""),"")</f>
        <v>-</v>
      </c>
      <c r="W125" s="265" t="str">
        <f>IF(ResultsTeams[[#This Row],[Score_OK]],IF(ResultsTeams[[#This Row],[StageCpy]]="Groups",ResultsTeams[[#This Row],[Category]]&amp;"-"&amp;IF(ResultsTeams[[#This Row],[Team B]]="","",IF(ResultsTeams[[#This Row],[Match-A]]=ResultsTeams[[#This Row],[Match-B]],ResultsTeams[[#This Row],[Team B]],"")),""),"")</f>
        <v>-</v>
      </c>
      <c r="X1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-Louison Giaux</v>
      </c>
      <c r="Y1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5" s="264" t="str">
        <f>IF(ResultsTeams[[#This Row],[Category]]="","",VLOOKUP(ResultsTeams[[#This Row],[Stage]],$R$1:$T$8,MATCH(ResultsTeams[[#This Row],[Category]],$S$1:$T$1,0)+1,FALSE))</f>
        <v/>
      </c>
      <c r="AC1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5" s="264" t="str">
        <f>IF(ResultsTeams[[#This Row],[Type]]="G",ResultsTeams[[#This Row],[Stage]],AD124)</f>
        <v>Groups</v>
      </c>
      <c r="AE125" s="395" t="str">
        <f>IF(ResultsTeams[[#This Row],[Type]]="G",INDEX(TeamsList[Club Name],MATCH(ResultsTeams[[#This Row],[Team A]],TeamsList[Team Name],0)),AE124)</f>
        <v>Bormla SC</v>
      </c>
      <c r="AF125" s="395" t="str">
        <f>IF(ResultsTeams[[#This Row],[Type]]="G",INDEX(TeamsList[Club Name],MATCH(ResultsTeams[[#This Row],[Team B]],TeamsList[Team Name],0)),AF124)</f>
        <v>Tiburones FM</v>
      </c>
      <c r="AG125" s="265"/>
      <c r="AH125" s="281" t="str">
        <f>IF(AI125="","",QUOTIENT(COUNTIF(AI$26:AI125,AI125)-1,8)+1)</f>
        <v/>
      </c>
      <c r="AI125" s="315"/>
      <c r="AJ125" s="289" t="s">
        <v>14438</v>
      </c>
      <c r="AK125" s="290" t="s">
        <v>12279</v>
      </c>
      <c r="AL125" s="300" t="s">
        <v>12275</v>
      </c>
      <c r="AM125" s="296" t="s">
        <v>12276</v>
      </c>
      <c r="AN125" s="291" t="s">
        <v>12271</v>
      </c>
      <c r="AO125" s="291" t="s">
        <v>12272</v>
      </c>
      <c r="AP125" s="414" t="s">
        <v>13154</v>
      </c>
      <c r="AQ125" s="291" t="s">
        <v>12273</v>
      </c>
      <c r="AR125" s="297" t="s">
        <v>12274</v>
      </c>
      <c r="AS125" s="414" t="s">
        <v>13154</v>
      </c>
      <c r="AT125" s="296" t="s">
        <v>12199</v>
      </c>
      <c r="AU125" s="291" t="s">
        <v>12200</v>
      </c>
      <c r="AV125" s="291" t="s">
        <v>12201</v>
      </c>
      <c r="AW125" s="291" t="s">
        <v>12202</v>
      </c>
      <c r="AX125" s="291" t="s">
        <v>12203</v>
      </c>
      <c r="AY125" s="291" t="s">
        <v>12697</v>
      </c>
      <c r="AZ125" s="291" t="s">
        <v>12698</v>
      </c>
      <c r="BA125" s="291" t="s">
        <v>12699</v>
      </c>
      <c r="BB125" s="291" t="s">
        <v>12700</v>
      </c>
      <c r="BC125" s="291" t="s">
        <v>12204</v>
      </c>
      <c r="BD125" s="291" t="s">
        <v>12205</v>
      </c>
      <c r="BE125" s="297" t="s">
        <v>12206</v>
      </c>
      <c r="BF125" s="395"/>
      <c r="BG125" s="282" t="s">
        <v>12276</v>
      </c>
      <c r="BH125" s="282" t="s">
        <v>12133</v>
      </c>
      <c r="BI125" s="283" t="s">
        <v>12199</v>
      </c>
      <c r="BJ125" s="283" t="s">
        <v>12200</v>
      </c>
      <c r="BK125" s="283" t="s">
        <v>12201</v>
      </c>
      <c r="BL125" s="283" t="s">
        <v>12202</v>
      </c>
      <c r="BM125" s="283" t="s">
        <v>12203</v>
      </c>
      <c r="BN125" s="290" t="s">
        <v>12697</v>
      </c>
      <c r="BO125" s="354" t="s">
        <v>12698</v>
      </c>
      <c r="BP125" s="283" t="s">
        <v>12699</v>
      </c>
      <c r="BQ125" s="300" t="s">
        <v>12700</v>
      </c>
      <c r="BR125" s="351" t="s">
        <v>12204</v>
      </c>
      <c r="BS125" s="283" t="s">
        <v>12205</v>
      </c>
      <c r="BT125" s="300" t="s">
        <v>12206</v>
      </c>
    </row>
    <row r="126" spans="1:72" x14ac:dyDescent="0.2">
      <c r="A126" s="62"/>
      <c r="B126" s="280"/>
      <c r="C126" s="62"/>
      <c r="D126" s="62"/>
      <c r="E126" s="241" t="s">
        <v>12234</v>
      </c>
      <c r="F126" s="246" t="s">
        <v>10414</v>
      </c>
      <c r="G126" s="246" t="s">
        <v>11659</v>
      </c>
      <c r="H126" s="254">
        <v>4</v>
      </c>
      <c r="I126" s="254">
        <v>1</v>
      </c>
      <c r="J126" s="254"/>
      <c r="K126" s="363"/>
      <c r="L126" s="363"/>
      <c r="M126" s="247"/>
      <c r="N126" s="265" t="b">
        <f>NOT(ISERROR(ResultsTeams[[#This Row],[Goal-A]]+ResultsTeams[[#This Row],[Goal-B]]))</f>
        <v>1</v>
      </c>
      <c r="O126" s="265">
        <f>IF(ResultsTeams[[#This Row],[Type]]="G",SUM(O127:O130),IF(LEFT(ResultsTeams[[#This Row],[Type]],1)="P",IF(ResultsTeams[[#This Row],[Goal-A]]&gt;ResultsTeams[[#This Row],[Goal-B]],1,0),""))</f>
        <v>1</v>
      </c>
      <c r="P126" s="265">
        <f>IF(ResultsTeams[[#This Row],[Type]]="G",SUM(P127:P130),IF(LEFT(ResultsTeams[[#This Row],[Type]],1)="P",IF(ResultsTeams[[#This Row],[Goal-A]]&lt;ResultsTeams[[#This Row],[Goal-B]],1,0),""))</f>
        <v>0</v>
      </c>
      <c r="Q126" s="265">
        <f>IF(ResultsTeams[[#This Row],[Type]]="G",SUM(Q127:Q130),IF(LEFT(ResultsTeams[[#This Row],[Type]],1)="P",VALUE(ResultsTeams[[#This Row],[Score-A]]),""))</f>
        <v>4</v>
      </c>
      <c r="R126" s="265">
        <f>IF(ResultsTeams[[#This Row],[Type]]="G",SUM(R127:R130),IF(LEFT(ResultsTeams[[#This Row],[Type]],1)="P",VALUE(ResultsTeams[[#This Row],[Score-B]]),""))</f>
        <v>1</v>
      </c>
      <c r="S126" s="265" t="str">
        <f ca="1">IF(AND(ResultsTeams[[#This Row],[Category]]&lt;&gt;"",ResultsTeams[[#This Row],[Team A]]&lt;&gt;""),COUNTIF(INDIRECT("TeamsList[Club Name]"),ResultsTeams[[#This Row],[Team A]]),"")</f>
        <v/>
      </c>
      <c r="T126" s="265" t="str">
        <f ca="1">IF(AND(ResultsTeams[[#This Row],[Category]]&lt;&gt;"",ResultsTeams[[#This Row],[Team B]]&lt;&gt;""),COUNTIF(INDIRECT("TeamsList[Club Name]"),ResultsTeams[[#This Row],[Team B]]),"")</f>
        <v/>
      </c>
      <c r="U1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-Charles Aquilina</v>
      </c>
      <c r="V126" s="265" t="str">
        <f>IF(ResultsTeams[[#This Row],[Score_OK]],IF(ResultsTeams[[#This Row],[StageCpy]]="Groups",ResultsTeams[[#This Row],[Category]]&amp;"-"&amp;IF(ResultsTeams[[#This Row],[Team B]]="","",IF(ResultsTeams[[#This Row],[Match-A]]=ResultsTeams[[#This Row],[Match-B]],ResultsTeams[[#This Row],[Team A]],"")),""),"")</f>
        <v>-</v>
      </c>
      <c r="W126" s="265" t="str">
        <f>IF(ResultsTeams[[#This Row],[Score_OK]],IF(ResultsTeams[[#This Row],[StageCpy]]="Groups",ResultsTeams[[#This Row],[Category]]&amp;"-"&amp;IF(ResultsTeams[[#This Row],[Team B]]="","",IF(ResultsTeams[[#This Row],[Match-A]]=ResultsTeams[[#This Row],[Match-B]],ResultsTeams[[#This Row],[Team B]],"")),""),"")</f>
        <v>-</v>
      </c>
      <c r="X1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-Jean Michel Cuenca</v>
      </c>
      <c r="Y1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6" s="264" t="str">
        <f>IF(ResultsTeams[[#This Row],[Category]]="","",VLOOKUP(ResultsTeams[[#This Row],[Stage]],$R$1:$T$8,MATCH(ResultsTeams[[#This Row],[Category]],$S$1:$T$1,0)+1,FALSE))</f>
        <v/>
      </c>
      <c r="AC1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6" s="264" t="str">
        <f>IF(ResultsTeams[[#This Row],[Type]]="G",ResultsTeams[[#This Row],[Stage]],AD125)</f>
        <v>Groups</v>
      </c>
      <c r="AE126" s="395" t="str">
        <f>IF(ResultsTeams[[#This Row],[Type]]="G",INDEX(TeamsList[Club Name],MATCH(ResultsTeams[[#This Row],[Team A]],TeamsList[Team Name],0)),AE125)</f>
        <v>Bormla SC</v>
      </c>
      <c r="AF126" s="395" t="str">
        <f>IF(ResultsTeams[[#This Row],[Type]]="G",INDEX(TeamsList[Club Name],MATCH(ResultsTeams[[#This Row],[Team B]],TeamsList[Team Name],0)),AF125)</f>
        <v>Tiburones FM</v>
      </c>
      <c r="AG126" s="265"/>
      <c r="AI126" s="12">
        <f>AI125</f>
        <v>0</v>
      </c>
      <c r="AJ126" s="309"/>
      <c r="AK126" s="320"/>
      <c r="AL126" s="311"/>
      <c r="AM126" s="292" t="str">
        <f>IF(AV126="","",SMALL(AN126:AN132,ROWS(AM126:AM126)))</f>
        <v/>
      </c>
      <c r="AN126" s="293" t="str">
        <f>IF(AV126="","",RANK(AR126,AR126:AR132)*1000+ROWS(AN126:AN126))</f>
        <v/>
      </c>
      <c r="AO126" s="316" t="str">
        <f t="shared" ref="AO126:AO132" si="98">IF(AV126="","",AT126*CritClassEq1_Points+AY126*CritClassEq1_DiffRencontres+BB126*CritClassEq1_DiffMatches+BE126*CritClassEq1_DiffButs+AZ126*CritClassEq1_Matches+BC126*CritClassEq1_Attaque)</f>
        <v/>
      </c>
      <c r="AP126" s="415" t="b">
        <f>AND(AU126&lt;&gt;"",AU126&gt;0,COUNTIF(AO126:AO132,AO126)&gt;1)</f>
        <v>0</v>
      </c>
      <c r="AQ126" s="316" t="str">
        <f t="shared" ref="AQ126:AQ132" si="99">IF(AV126="","",CritClassEq_DiffPart*AK126)</f>
        <v/>
      </c>
      <c r="AR126" s="317" t="str">
        <f t="shared" ref="AR126:AR132" si="100">IF(AV126="","",AO126+AQ126+AT126*CritClassEq2_Points+AY126*CritClassEq2_DiffRencontres+BB126*CritClassEq2_DiffMatches+BE126*CritClassEq2_DiffButs+AZ126*CritClassEq2_Matches+BC126*CritClassEq2_Attaque+AL126)</f>
        <v/>
      </c>
      <c r="AS126" s="415" t="b">
        <f>AND(AU126&lt;&gt;"",AU126&gt;0,COUNTIF(AR126:AR132,AR126)&gt;1)</f>
        <v>0</v>
      </c>
      <c r="AT126" s="355" t="str">
        <f t="shared" ref="AT126:AT132" si="101">IF(AV126="","",(AV126*Points_Victoire)+AW126*Points_Null)</f>
        <v/>
      </c>
      <c r="AU126" s="356" t="str">
        <f t="shared" ref="AU126:AU132" si="102">IF(AV126="","",SUM(AV126:AX126))</f>
        <v/>
      </c>
      <c r="AV126" s="356" t="str">
        <f>IF(OR(AI125="",AJ126=""),"",COUNTIF(ResultsTeams[Win],AI125&amp;"-"&amp;AJ126))</f>
        <v/>
      </c>
      <c r="AW126" s="356" t="str">
        <f>IF(OR(AI125="",AJ126=""),"",COUNTIF(ResultsTeams[[Draw1]:[Draw2]],AI125&amp;"-"&amp;AJ126))</f>
        <v/>
      </c>
      <c r="AX126" s="356" t="str">
        <f>IF(OR(AI125="",AJ126=""),"",COUNTIF(ResultsTeams[Lose],AI125&amp;"-"&amp;AJ126))</f>
        <v/>
      </c>
      <c r="AY126" s="356" t="str">
        <f>IF(OR(AI125="",AJ126=""),"",AV126-AX126)</f>
        <v/>
      </c>
      <c r="AZ126" s="356" t="str">
        <f>IF(OR(AI125="",AJ126=""),"",SUMIFS(ResultsTeams[Match-A],ResultsTeams[Stage],"Groups",ResultsTeams[Team A],AJ126)+SUMIFS(ResultsTeams[Match-B],ResultsTeams[Stage],"Groups",ResultsTeams[Team B],AJ126))</f>
        <v/>
      </c>
      <c r="BA126" s="356" t="str">
        <f>IF(OR(AI125="",AJ126=""),"",SUMIFS(ResultsTeams[Match-B],ResultsTeams[Stage],"Groups",ResultsTeams[Team A],AJ126)+SUMIFS(ResultsTeams[Match-A],ResultsTeams[Stage],"Groups",ResultsTeams[Team B],AJ126))</f>
        <v/>
      </c>
      <c r="BB126" s="356" t="str">
        <f>IF(OR(AI125="",AJ126=""),"",AZ126-BA126)</f>
        <v/>
      </c>
      <c r="BC126" s="356" t="str">
        <f>IF(OR(AI125="",AJ126=""),"",SUMIFS(ResultsTeams[Goal-A],ResultsTeams[Stage],"Groups",ResultsTeams[Team A],AJ126)+SUMIFS(ResultsTeams[Goal-B],ResultsTeams[Stage],"Groups",ResultsTeams[Team B],AJ126))</f>
        <v/>
      </c>
      <c r="BD126" s="356" t="str">
        <f>IF(OR(AI125="",AJ126=""),"",SUMIFS(ResultsTeams[Goal-B],ResultsTeams[Stage],"Groups",ResultsTeams[Team A],AJ126)+SUMIFS(ResultsTeams[Goal-A],ResultsTeams[Stage],"Groups",ResultsTeams[Team B],AJ126))</f>
        <v/>
      </c>
      <c r="BE126" s="357" t="str">
        <f>IF(OR(AI125="",AJ126=""),"",BC126-BD126)</f>
        <v/>
      </c>
      <c r="BF126" s="470" t="str">
        <f>IF(AM126="","",OR(VLOOKUP(AM126,AN126:BE132,3,FALSE),VLOOKUP(AM126,AN126:BE132,6,FALSE)))</f>
        <v/>
      </c>
      <c r="BG126" s="298" t="str">
        <f t="shared" ref="BG126:BG132" si="103">IF(AM126="","",INT(AM126/1000))</f>
        <v/>
      </c>
      <c r="BH126" s="285" t="str">
        <f>IF(AM126="","",INDEX(AJ126:AJ132,MATCH(AM126,AN126:AN132,0)))</f>
        <v/>
      </c>
      <c r="BI126" s="286" t="str">
        <f>IF(AM126="","",VLOOKUP(AM126,AN126:BE132,COLUMN()-COLUMN(BB125),FALSE))</f>
        <v/>
      </c>
      <c r="BJ126" s="286" t="str">
        <f>IF(AM126="","",VLOOKUP(AM126,AN126:BE132,COLUMN()-COLUMN(BB125),FALSE))</f>
        <v/>
      </c>
      <c r="BK126" s="286" t="str">
        <f>IF(AM126="","",VLOOKUP(AM126,AN126:BE132,COLUMN()-COLUMN(BB125),FALSE))</f>
        <v/>
      </c>
      <c r="BL126" s="286" t="str">
        <f>IF(AM126="","",VLOOKUP(AM126,AN126:BE132,COLUMN()-COLUMN(BB125),FALSE))</f>
        <v/>
      </c>
      <c r="BM126" s="286" t="str">
        <f>IF(AM126="","",VLOOKUP(AM126,AN126:BE132,COLUMN()-COLUMN(BB125),FALSE))</f>
        <v/>
      </c>
      <c r="BN126" s="349" t="str">
        <f>IF(AM126="","",VLOOKUP(AM126,AN126:BE132,COLUMN()-COLUMN(BB125),FALSE))</f>
        <v/>
      </c>
      <c r="BO126" s="298" t="str">
        <f>IF(AM126="","",VLOOKUP(AM126,AN126:BE132,COLUMN()-COLUMN(BB125),FALSE))</f>
        <v/>
      </c>
      <c r="BP126" s="286" t="str">
        <f>IF(AM126="","",VLOOKUP(AM126,AN126:BE132,COLUMN()-COLUMN(BB125),FALSE))</f>
        <v/>
      </c>
      <c r="BQ126" s="301" t="str">
        <f>IF(AM126="","",VLOOKUP(AM126,AN126:BE132,COLUMN()-COLUMN(BB125),FALSE))</f>
        <v/>
      </c>
      <c r="BR126" s="352" t="str">
        <f>IF(AM126="","",VLOOKUP(AM126,AN126:BE132,COLUMN()-COLUMN(BB125),FALSE))</f>
        <v/>
      </c>
      <c r="BS126" s="286" t="str">
        <f>IF(AM126="","",VLOOKUP(AM126,AN126:BE132,COLUMN()-COLUMN(BB125),FALSE))</f>
        <v/>
      </c>
      <c r="BT126" s="301" t="str">
        <f>IF(AM126="","",VLOOKUP(AM126,AN126:BE132,COLUMN()-COLUMN(BB125),FALSE))</f>
        <v/>
      </c>
    </row>
    <row r="127" spans="1:72" x14ac:dyDescent="0.2">
      <c r="A127" s="62"/>
      <c r="B127" s="280"/>
      <c r="C127" s="62"/>
      <c r="D127" s="62"/>
      <c r="E127" s="241" t="s">
        <v>12237</v>
      </c>
      <c r="F127" s="246" t="s">
        <v>8062</v>
      </c>
      <c r="G127" s="246" t="s">
        <v>8144</v>
      </c>
      <c r="H127" s="254">
        <v>4</v>
      </c>
      <c r="I127" s="254">
        <v>2</v>
      </c>
      <c r="J127" s="254"/>
      <c r="K127" s="363"/>
      <c r="L127" s="363"/>
      <c r="M127" s="247"/>
      <c r="N127" s="265" t="b">
        <f>NOT(ISERROR(ResultsTeams[[#This Row],[Goal-A]]+ResultsTeams[[#This Row],[Goal-B]]))</f>
        <v>1</v>
      </c>
      <c r="O127" s="265">
        <f>IF(ResultsTeams[[#This Row],[Type]]="G",SUM(O128:O131),IF(LEFT(ResultsTeams[[#This Row],[Type]],1)="P",IF(ResultsTeams[[#This Row],[Goal-A]]&gt;ResultsTeams[[#This Row],[Goal-B]],1,0),""))</f>
        <v>1</v>
      </c>
      <c r="P127" s="265">
        <f>IF(ResultsTeams[[#This Row],[Type]]="G",SUM(P128:P131),IF(LEFT(ResultsTeams[[#This Row],[Type]],1)="P",IF(ResultsTeams[[#This Row],[Goal-A]]&lt;ResultsTeams[[#This Row],[Goal-B]],1,0),""))</f>
        <v>0</v>
      </c>
      <c r="Q127" s="265">
        <f>IF(ResultsTeams[[#This Row],[Type]]="G",SUM(Q128:Q131),IF(LEFT(ResultsTeams[[#This Row],[Type]],1)="P",VALUE(ResultsTeams[[#This Row],[Score-A]]),""))</f>
        <v>4</v>
      </c>
      <c r="R127" s="265">
        <f>IF(ResultsTeams[[#This Row],[Type]]="G",SUM(R128:R131),IF(LEFT(ResultsTeams[[#This Row],[Type]],1)="P",VALUE(ResultsTeams[[#This Row],[Score-B]]),""))</f>
        <v>2</v>
      </c>
      <c r="S127" s="265" t="str">
        <f ca="1">IF(AND(ResultsTeams[[#This Row],[Category]]&lt;&gt;"",ResultsTeams[[#This Row],[Team A]]&lt;&gt;""),COUNTIF(INDIRECT("TeamsList[Club Name]"),ResultsTeams[[#This Row],[Team A]]),"")</f>
        <v/>
      </c>
      <c r="T127" s="265" t="str">
        <f ca="1">IF(AND(ResultsTeams[[#This Row],[Category]]&lt;&gt;"",ResultsTeams[[#This Row],[Team B]]&lt;&gt;""),COUNTIF(INDIRECT("TeamsList[Club Name]"),ResultsTeams[[#This Row],[Team B]]),"")</f>
        <v/>
      </c>
      <c r="U1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Busch</v>
      </c>
      <c r="V127" s="265" t="str">
        <f>IF(ResultsTeams[[#This Row],[Score_OK]],IF(ResultsTeams[[#This Row],[StageCpy]]="Groups",ResultsTeams[[#This Row],[Category]]&amp;"-"&amp;IF(ResultsTeams[[#This Row],[Team B]]="","",IF(ResultsTeams[[#This Row],[Match-A]]=ResultsTeams[[#This Row],[Match-B]],ResultsTeams[[#This Row],[Team A]],"")),""),"")</f>
        <v>-</v>
      </c>
      <c r="W127" s="265" t="str">
        <f>IF(ResultsTeams[[#This Row],[Score_OK]],IF(ResultsTeams[[#This Row],[StageCpy]]="Groups",ResultsTeams[[#This Row],[Category]]&amp;"-"&amp;IF(ResultsTeams[[#This Row],[Team B]]="","",IF(ResultsTeams[[#This Row],[Match-A]]=ResultsTeams[[#This Row],[Match-B]],ResultsTeams[[#This Row],[Team B]],"")),""),"")</f>
        <v>-</v>
      </c>
      <c r="X1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-Salvatore Visconti</v>
      </c>
      <c r="Y1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7" s="264" t="str">
        <f>IF(ResultsTeams[[#This Row],[Category]]="","",VLOOKUP(ResultsTeams[[#This Row],[Stage]],$R$1:$T$8,MATCH(ResultsTeams[[#This Row],[Category]],$S$1:$T$1,0)+1,FALSE))</f>
        <v/>
      </c>
      <c r="AC1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7" s="264" t="str">
        <f>IF(ResultsTeams[[#This Row],[Type]]="G",ResultsTeams[[#This Row],[Stage]],AD126)</f>
        <v>Groups</v>
      </c>
      <c r="AE127" s="395" t="str">
        <f>IF(ResultsTeams[[#This Row],[Type]]="G",INDEX(TeamsList[Club Name],MATCH(ResultsTeams[[#This Row],[Team A]],TeamsList[Team Name],0)),AE126)</f>
        <v>Bormla SC</v>
      </c>
      <c r="AF127" s="395" t="str">
        <f>IF(ResultsTeams[[#This Row],[Type]]="G",INDEX(TeamsList[Club Name],MATCH(ResultsTeams[[#This Row],[Team B]],TeamsList[Team Name],0)),AF126)</f>
        <v>Tiburones FM</v>
      </c>
      <c r="AG127" s="265"/>
      <c r="AI127" s="12">
        <f>AI126</f>
        <v>0</v>
      </c>
      <c r="AJ127" s="309"/>
      <c r="AK127" s="320"/>
      <c r="AL127" s="311"/>
      <c r="AM127" s="292" t="str">
        <f>IF(AV127="","",SMALL(AN126:AN132,ROWS(AM126:AM127)))</f>
        <v/>
      </c>
      <c r="AN127" s="293" t="str">
        <f>IF(AV127="","",RANK(AR127,AR126:AR132)*1000+ROWS(AN126:AN127))</f>
        <v/>
      </c>
      <c r="AO127" s="316" t="str">
        <f t="shared" si="98"/>
        <v/>
      </c>
      <c r="AP127" s="415" t="b">
        <f>AND(AU127&lt;&gt;"",AU127&gt;0,COUNTIF(AO126:AO132,AO127)&gt;1)</f>
        <v>0</v>
      </c>
      <c r="AQ127" s="316" t="str">
        <f t="shared" si="99"/>
        <v/>
      </c>
      <c r="AR127" s="317" t="str">
        <f t="shared" si="100"/>
        <v/>
      </c>
      <c r="AS127" s="415" t="b">
        <f>AND(AU127&lt;&gt;"",AU127&gt;0,COUNTIF(AR126:AR132,AR127)&gt;1)</f>
        <v>0</v>
      </c>
      <c r="AT127" s="355" t="str">
        <f t="shared" si="101"/>
        <v/>
      </c>
      <c r="AU127" s="356" t="str">
        <f t="shared" si="102"/>
        <v/>
      </c>
      <c r="AV127" s="356" t="str">
        <f>IF(OR(AI125="",AJ127=""),"",COUNTIF(ResultsTeams[Win],AI125&amp;"-"&amp;AJ127))</f>
        <v/>
      </c>
      <c r="AW127" s="356" t="str">
        <f>IF(OR(AI125="",AJ127=""),"",COUNTIF(ResultsTeams[[Draw1]:[Draw2]],AI125&amp;"-"&amp;AJ127))</f>
        <v/>
      </c>
      <c r="AX127" s="356" t="str">
        <f>IF(OR(AI125="",AJ127=""),"",COUNTIF(ResultsTeams[Lose],AI125&amp;"-"&amp;AJ127))</f>
        <v/>
      </c>
      <c r="AY127" s="356" t="str">
        <f>IF(OR(AI125="",AJ127=""),"",AV127-AX127)</f>
        <v/>
      </c>
      <c r="AZ127" s="356" t="str">
        <f>IF(OR(AI126="",AJ127=""),"",SUMIFS(ResultsTeams[Match-A],ResultsTeams[Stage],"Groups",ResultsTeams[Team A],AJ127)+SUMIFS(ResultsTeams[Match-B],ResultsTeams[Stage],"Groups",ResultsTeams[Team B],AJ127))</f>
        <v/>
      </c>
      <c r="BA127" s="356" t="str">
        <f>IF(OR(AI126="",AJ127=""),"",SUMIFS(ResultsTeams[Match-B],ResultsTeams[Stage],"Groups",ResultsTeams[Team A],AJ127)+SUMIFS(ResultsTeams[Match-A],ResultsTeams[Stage],"Groups",ResultsTeams[Team B],AJ127))</f>
        <v/>
      </c>
      <c r="BB127" s="356" t="str">
        <f t="shared" ref="BB127:BB132" si="104">IF(OR(AI126="",AJ127=""),"",AZ127-BA127)</f>
        <v/>
      </c>
      <c r="BC127" s="356" t="str">
        <f>IF(OR(AI126="",AJ127=""),"",SUMIFS(ResultsTeams[Goal-A],ResultsTeams[Stage],"Groups",ResultsTeams[Team A],AJ127)+SUMIFS(ResultsTeams[Goal-B],ResultsTeams[Stage],"Groups",ResultsTeams[Team B],AJ127))</f>
        <v/>
      </c>
      <c r="BD127" s="356" t="str">
        <f>IF(OR(AI126="",AJ127=""),"",SUMIFS(ResultsTeams[Goal-B],ResultsTeams[Stage],"Groups",ResultsTeams[Team A],AJ127)+SUMIFS(ResultsTeams[Goal-A],ResultsTeams[Stage],"Groups",ResultsTeams[Team B],AJ127))</f>
        <v/>
      </c>
      <c r="BE127" s="357" t="str">
        <f>IF(OR(AI125="",AJ127=""),"",BC127-BD127)</f>
        <v/>
      </c>
      <c r="BF127" s="470" t="str">
        <f>IF(AM127="","",OR(VLOOKUP(AM127,AN126:BE132,3,FALSE),VLOOKUP(AM127,AN126:BE132,6,FALSE)))</f>
        <v/>
      </c>
      <c r="BG127" s="298" t="str">
        <f t="shared" si="103"/>
        <v/>
      </c>
      <c r="BH127" s="285" t="str">
        <f>IF(AM127="","",INDEX(AJ126:AJ132,MATCH(AM127,AN126:AN132,0)))</f>
        <v/>
      </c>
      <c r="BI127" s="286" t="str">
        <f>IF(AM127="","",VLOOKUP(AM127,AN126:BE132,COLUMN()-COLUMN(BB125),FALSE))</f>
        <v/>
      </c>
      <c r="BJ127" s="286" t="str">
        <f>IF(AM127="","",VLOOKUP(AM127,AN126:BE132,COLUMN()-COLUMN(BB125),FALSE))</f>
        <v/>
      </c>
      <c r="BK127" s="286" t="str">
        <f>IF(AM127="","",VLOOKUP(AM127,AN126:BE132,COLUMN()-COLUMN(BB125),FALSE))</f>
        <v/>
      </c>
      <c r="BL127" s="286" t="str">
        <f>IF(AM127="","",VLOOKUP(AM127,AN126:BE132,COLUMN()-COLUMN(BB125),FALSE))</f>
        <v/>
      </c>
      <c r="BM127" s="286" t="str">
        <f>IF(AM127="","",VLOOKUP(AM127,AN126:BE132,COLUMN()-COLUMN(BB125),FALSE))</f>
        <v/>
      </c>
      <c r="BN127" s="349" t="str">
        <f>IF(AM127="","",VLOOKUP(AM127,AN126:BE132,COLUMN()-COLUMN(BB125),FALSE))</f>
        <v/>
      </c>
      <c r="BO127" s="298" t="str">
        <f>IF(AM127="","",VLOOKUP(AM127,AN126:BE132,COLUMN()-COLUMN(BB125),FALSE))</f>
        <v/>
      </c>
      <c r="BP127" s="286" t="str">
        <f>IF(AM127="","",VLOOKUP(AM127,AN126:BE132,COLUMN()-COLUMN(BB125),FALSE))</f>
        <v/>
      </c>
      <c r="BQ127" s="301" t="str">
        <f>IF(AM127="","",VLOOKUP(AM127,AN126:BE132,COLUMN()-COLUMN(BB125),FALSE))</f>
        <v/>
      </c>
      <c r="BR127" s="352" t="str">
        <f>IF(AM127="","",VLOOKUP(AM127,AN126:BE132,COLUMN()-COLUMN(BB125),FALSE))</f>
        <v/>
      </c>
      <c r="BS127" s="286" t="str">
        <f>IF(AM127="","",VLOOKUP(AM127,AN126:BE132,COLUMN()-COLUMN(BB125),FALSE))</f>
        <v/>
      </c>
      <c r="BT127" s="301" t="str">
        <f>IF(AM127="","",VLOOKUP(AM127,AN126:BE132,COLUMN()-COLUMN(BB125),FALSE))</f>
        <v/>
      </c>
    </row>
    <row r="128" spans="1:72" x14ac:dyDescent="0.2">
      <c r="A128" s="62"/>
      <c r="B128" s="280"/>
      <c r="C128" s="62"/>
      <c r="D128" s="62"/>
      <c r="E128" s="241" t="s">
        <v>12240</v>
      </c>
      <c r="F128" s="246" t="s">
        <v>10431</v>
      </c>
      <c r="G128" s="246" t="s">
        <v>8617</v>
      </c>
      <c r="H128" s="254">
        <v>0</v>
      </c>
      <c r="I128" s="254">
        <v>0</v>
      </c>
      <c r="J128" s="254"/>
      <c r="K128" s="363"/>
      <c r="L128" s="363"/>
      <c r="M128" s="247"/>
      <c r="N128" s="265" t="b">
        <f>NOT(ISERROR(ResultsTeams[[#This Row],[Goal-A]]+ResultsTeams[[#This Row],[Goal-B]]))</f>
        <v>1</v>
      </c>
      <c r="O128" s="265">
        <f>IF(ResultsTeams[[#This Row],[Type]]="G",SUM(O129:O132),IF(LEFT(ResultsTeams[[#This Row],[Type]],1)="P",IF(ResultsTeams[[#This Row],[Goal-A]]&gt;ResultsTeams[[#This Row],[Goal-B]],1,0),""))</f>
        <v>0</v>
      </c>
      <c r="P128" s="265">
        <f>IF(ResultsTeams[[#This Row],[Type]]="G",SUM(P129:P132),IF(LEFT(ResultsTeams[[#This Row],[Type]],1)="P",IF(ResultsTeams[[#This Row],[Goal-A]]&lt;ResultsTeams[[#This Row],[Goal-B]],1,0),""))</f>
        <v>0</v>
      </c>
      <c r="Q128" s="265">
        <f>IF(ResultsTeams[[#This Row],[Type]]="G",SUM(Q129:Q132),IF(LEFT(ResultsTeams[[#This Row],[Type]],1)="P",VALUE(ResultsTeams[[#This Row],[Score-A]]),""))</f>
        <v>0</v>
      </c>
      <c r="R128" s="265">
        <f>IF(ResultsTeams[[#This Row],[Type]]="G",SUM(R129:R132),IF(LEFT(ResultsTeams[[#This Row],[Type]],1)="P",VALUE(ResultsTeams[[#This Row],[Score-B]]),""))</f>
        <v>0</v>
      </c>
      <c r="S128" s="265" t="str">
        <f ca="1">IF(AND(ResultsTeams[[#This Row],[Category]]&lt;&gt;"",ResultsTeams[[#This Row],[Team A]]&lt;&gt;""),COUNTIF(INDIRECT("TeamsList[Club Name]"),ResultsTeams[[#This Row],[Team A]]),"")</f>
        <v/>
      </c>
      <c r="T128" s="265" t="str">
        <f ca="1">IF(AND(ResultsTeams[[#This Row],[Category]]&lt;&gt;"",ResultsTeams[[#This Row],[Team B]]&lt;&gt;""),COUNTIF(INDIRECT("TeamsList[Club Name]"),ResultsTeams[[#This Row],[Team B]]),"")</f>
        <v/>
      </c>
      <c r="U1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28" s="265" t="str">
        <f>IF(ResultsTeams[[#This Row],[Score_OK]],IF(ResultsTeams[[#This Row],[StageCpy]]="Groups",ResultsTeams[[#This Row],[Category]]&amp;"-"&amp;IF(ResultsTeams[[#This Row],[Team B]]="","",IF(ResultsTeams[[#This Row],[Match-A]]=ResultsTeams[[#This Row],[Match-B]],ResultsTeams[[#This Row],[Team A]],"")),""),"")</f>
        <v>-Jason Pisani</v>
      </c>
      <c r="W128" s="265" t="str">
        <f>IF(ResultsTeams[[#This Row],[Score_OK]],IF(ResultsTeams[[#This Row],[StageCpy]]="Groups",ResultsTeams[[#This Row],[Category]]&amp;"-"&amp;IF(ResultsTeams[[#This Row],[Team B]]="","",IF(ResultsTeams[[#This Row],[Match-A]]=ResultsTeams[[#This Row],[Match-B]],ResultsTeams[[#This Row],[Team B]],"")),""),"")</f>
        <v>-Ferran Coll</v>
      </c>
      <c r="X1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8" s="264" t="str">
        <f>IF(ResultsTeams[[#This Row],[Category]]="","",VLOOKUP(ResultsTeams[[#This Row],[Stage]],$R$1:$T$8,MATCH(ResultsTeams[[#This Row],[Category]],$S$1:$T$1,0)+1,FALSE))</f>
        <v/>
      </c>
      <c r="AC1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8" s="264" t="str">
        <f>IF(ResultsTeams[[#This Row],[Type]]="G",ResultsTeams[[#This Row],[Stage]],AD127)</f>
        <v>Groups</v>
      </c>
      <c r="AE128" s="395" t="str">
        <f>IF(ResultsTeams[[#This Row],[Type]]="G",INDEX(TeamsList[Club Name],MATCH(ResultsTeams[[#This Row],[Team A]],TeamsList[Team Name],0)),AE127)</f>
        <v>Bormla SC</v>
      </c>
      <c r="AF128" s="395" t="str">
        <f>IF(ResultsTeams[[#This Row],[Type]]="G",INDEX(TeamsList[Club Name],MATCH(ResultsTeams[[#This Row],[Team B]],TeamsList[Team Name],0)),AF127)</f>
        <v>Tiburones FM</v>
      </c>
      <c r="AG128" s="265"/>
      <c r="AI128" s="12">
        <f t="shared" ref="AI128:AI132" si="105">AI127</f>
        <v>0</v>
      </c>
      <c r="AJ128" s="309"/>
      <c r="AK128" s="320"/>
      <c r="AL128" s="311"/>
      <c r="AM128" s="292" t="str">
        <f>IF(AV128="","",SMALL(AN126:AN132,ROWS(AM126:AM128)))</f>
        <v/>
      </c>
      <c r="AN128" s="293" t="str">
        <f>IF(AV128="","",RANK(AR128,AR126:AR132)*1000+ROWS(AN126:AN128))</f>
        <v/>
      </c>
      <c r="AO128" s="316" t="str">
        <f t="shared" si="98"/>
        <v/>
      </c>
      <c r="AP128" s="415" t="b">
        <f>AND(AU128&lt;&gt;"",AU128&gt;0,COUNTIF(AO126:AO132,AO128)&gt;1)</f>
        <v>0</v>
      </c>
      <c r="AQ128" s="316" t="str">
        <f t="shared" si="99"/>
        <v/>
      </c>
      <c r="AR128" s="317" t="str">
        <f t="shared" si="100"/>
        <v/>
      </c>
      <c r="AS128" s="415" t="b">
        <f>AND(AU128&lt;&gt;"",AU128&gt;0,COUNTIF(AR126:AR132,AR128)&gt;1)</f>
        <v>0</v>
      </c>
      <c r="AT128" s="355" t="str">
        <f t="shared" si="101"/>
        <v/>
      </c>
      <c r="AU128" s="356" t="str">
        <f t="shared" si="102"/>
        <v/>
      </c>
      <c r="AV128" s="356" t="str">
        <f>IF(OR(AI125="",AJ128=""),"",COUNTIF(ResultsTeams[Win],AI125&amp;"-"&amp;AJ128))</f>
        <v/>
      </c>
      <c r="AW128" s="356" t="str">
        <f>IF(OR(AI125="",AJ128=""),"",COUNTIF(ResultsTeams[[Draw1]:[Draw2]],AI125&amp;"-"&amp;AJ128))</f>
        <v/>
      </c>
      <c r="AX128" s="356" t="str">
        <f>IF(OR(AI125="",AJ128=""),"",COUNTIF(ResultsTeams[Lose],AI125&amp;"-"&amp;AJ128))</f>
        <v/>
      </c>
      <c r="AY128" s="356" t="str">
        <f>IF(OR(AI125="",AJ128=""),"",AV128-AX128)</f>
        <v/>
      </c>
      <c r="AZ128" s="356" t="str">
        <f>IF(OR(AI127="",AJ128=""),"",SUMIFS(ResultsTeams[Match-A],ResultsTeams[Stage],"Groups",ResultsTeams[Team A],AJ128)+SUMIFS(ResultsTeams[Match-B],ResultsTeams[Stage],"Groups",ResultsTeams[Team B],AJ128))</f>
        <v/>
      </c>
      <c r="BA128" s="356" t="str">
        <f>IF(OR(AI127="",AJ128=""),"",SUMIFS(ResultsTeams[Match-B],ResultsTeams[Stage],"Groups",ResultsTeams[Team A],AJ128)+SUMIFS(ResultsTeams[Match-A],ResultsTeams[Stage],"Groups",ResultsTeams[Team B],AJ128))</f>
        <v/>
      </c>
      <c r="BB128" s="356" t="str">
        <f t="shared" si="104"/>
        <v/>
      </c>
      <c r="BC128" s="356" t="str">
        <f>IF(OR(AI127="",AJ128=""),"",SUMIFS(ResultsTeams[Goal-A],ResultsTeams[Stage],"Groups",ResultsTeams[Team A],AJ128)+SUMIFS(ResultsTeams[Goal-B],ResultsTeams[Stage],"Groups",ResultsTeams[Team B],AJ128))</f>
        <v/>
      </c>
      <c r="BD128" s="356" t="str">
        <f>IF(OR(AI127="",AJ128=""),"",SUMIFS(ResultsTeams[Goal-B],ResultsTeams[Stage],"Groups",ResultsTeams[Team A],AJ128)+SUMIFS(ResultsTeams[Goal-A],ResultsTeams[Stage],"Groups",ResultsTeams[Team B],AJ128))</f>
        <v/>
      </c>
      <c r="BE128" s="357" t="str">
        <f>IF(OR(AI125="",AJ128=""),"",BC128-BD128)</f>
        <v/>
      </c>
      <c r="BF128" s="470" t="str">
        <f>IF(AM128="","",OR(VLOOKUP(AM128,AN126:BE132,3,FALSE),VLOOKUP(AM128,AN126:BE132,6,FALSE)))</f>
        <v/>
      </c>
      <c r="BG128" s="298" t="str">
        <f t="shared" si="103"/>
        <v/>
      </c>
      <c r="BH128" s="285" t="str">
        <f>IF(AM128="","",INDEX(AJ126:AJ132,MATCH(AM128,AN126:AN132,0)))</f>
        <v/>
      </c>
      <c r="BI128" s="286" t="str">
        <f>IF(AM128="","",VLOOKUP(AM128,AN126:BE132,COLUMN()-COLUMN(BB125),FALSE))</f>
        <v/>
      </c>
      <c r="BJ128" s="286" t="str">
        <f>IF(AM128="","",VLOOKUP(AM128,AN126:BE132,COLUMN()-COLUMN(BB125),FALSE))</f>
        <v/>
      </c>
      <c r="BK128" s="286" t="str">
        <f>IF(AM128="","",VLOOKUP(AM128,AN126:BE132,COLUMN()-COLUMN(BB125),FALSE))</f>
        <v/>
      </c>
      <c r="BL128" s="286" t="str">
        <f>IF(AM128="","",VLOOKUP(AM128,AN126:BE132,COLUMN()-COLUMN(BB125),FALSE))</f>
        <v/>
      </c>
      <c r="BM128" s="286" t="str">
        <f>IF(AM128="","",VLOOKUP(AM128,AN126:BE132,COLUMN()-COLUMN(BB125),FALSE))</f>
        <v/>
      </c>
      <c r="BN128" s="349" t="str">
        <f>IF(AM128="","",VLOOKUP(AM128,AN126:BE132,COLUMN()-COLUMN(BB125),FALSE))</f>
        <v/>
      </c>
      <c r="BO128" s="298" t="str">
        <f>IF(AM128="","",VLOOKUP(AM128,AN126:BE132,COLUMN()-COLUMN(BB125),FALSE))</f>
        <v/>
      </c>
      <c r="BP128" s="286" t="str">
        <f>IF(AM128="","",VLOOKUP(AM128,AN126:BE132,COLUMN()-COLUMN(BB125),FALSE))</f>
        <v/>
      </c>
      <c r="BQ128" s="301" t="str">
        <f>IF(AM128="","",VLOOKUP(AM128,AN126:BE132,COLUMN()-COLUMN(BB125),FALSE))</f>
        <v/>
      </c>
      <c r="BR128" s="352" t="str">
        <f>IF(AM128="","",VLOOKUP(AM128,AN126:BE132,COLUMN()-COLUMN(BB125),FALSE))</f>
        <v/>
      </c>
      <c r="BS128" s="286" t="str">
        <f>IF(AM128="","",VLOOKUP(AM128,AN126:BE132,COLUMN()-COLUMN(BB125),FALSE))</f>
        <v/>
      </c>
      <c r="BT128" s="301" t="str">
        <f>IF(AM128="","",VLOOKUP(AM128,AN126:BE132,COLUMN()-COLUMN(BB125),FALSE))</f>
        <v/>
      </c>
    </row>
    <row r="129" spans="1:72" x14ac:dyDescent="0.2">
      <c r="A129" s="62"/>
      <c r="B129" s="62"/>
      <c r="C129" s="62"/>
      <c r="D129" s="62"/>
      <c r="E129" s="241" t="s">
        <v>12243</v>
      </c>
      <c r="F129" s="247" t="s">
        <v>8097</v>
      </c>
      <c r="G129" s="247"/>
      <c r="H129" s="254" t="s">
        <v>12243</v>
      </c>
      <c r="I129" s="254"/>
      <c r="J129" s="260"/>
      <c r="K129" s="364"/>
      <c r="L129" s="364"/>
      <c r="M129" s="63"/>
      <c r="N129" s="265" t="b">
        <f>NOT(ISERROR(ResultsTeams[[#This Row],[Goal-A]]+ResultsTeams[[#This Row],[Goal-B]]))</f>
        <v>0</v>
      </c>
      <c r="O129" s="265" t="str">
        <f>IF(ResultsTeams[[#This Row],[Type]]="G",SUM(O130:O133),IF(LEFT(ResultsTeams[[#This Row],[Type]],1)="P",IF(ResultsTeams[[#This Row],[Goal-A]]&gt;ResultsTeams[[#This Row],[Goal-B]],1,0),""))</f>
        <v/>
      </c>
      <c r="P129" s="265" t="str">
        <f>IF(ResultsTeams[[#This Row],[Type]]="G",SUM(P130:P133),IF(LEFT(ResultsTeams[[#This Row],[Type]],1)="P",IF(ResultsTeams[[#This Row],[Goal-A]]&lt;ResultsTeams[[#This Row],[Goal-B]],1,0),""))</f>
        <v/>
      </c>
      <c r="Q129" s="265" t="str">
        <f>IF(ResultsTeams[[#This Row],[Type]]="G",SUM(Q130:Q133),IF(LEFT(ResultsTeams[[#This Row],[Type]],1)="P",VALUE(ResultsTeams[[#This Row],[Score-A]]),""))</f>
        <v/>
      </c>
      <c r="R129" s="265" t="str">
        <f>IF(ResultsTeams[[#This Row],[Type]]="G",SUM(R130:R133),IF(LEFT(ResultsTeams[[#This Row],[Type]],1)="P",VALUE(ResultsTeams[[#This Row],[Score-B]]),""))</f>
        <v/>
      </c>
      <c r="S129" s="265" t="str">
        <f ca="1">IF(AND(ResultsTeams[[#This Row],[Category]]&lt;&gt;"",ResultsTeams[[#This Row],[Team A]]&lt;&gt;""),COUNTIF(INDIRECT("TeamsList[Club Name]"),ResultsTeams[[#This Row],[Team A]]),"")</f>
        <v/>
      </c>
      <c r="T129" s="265" t="str">
        <f ca="1">IF(AND(ResultsTeams[[#This Row],[Category]]&lt;&gt;"",ResultsTeams[[#This Row],[Team B]]&lt;&gt;""),COUNTIF(INDIRECT("TeamsList[Club Name]"),ResultsTeams[[#This Row],[Team B]]),"")</f>
        <v/>
      </c>
      <c r="U1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9" s="265" t="str">
        <f>IF(ResultsTeams[[#This Row],[Score_OK]],IF(ResultsTeams[[#This Row],[StageCpy]]="Groups",ResultsTeams[[#This Row],[Category]]&amp;"-"&amp;IF(ResultsTeams[[#This Row],[Team B]]="","",IF(ResultsTeams[[#This Row],[Match-A]]=ResultsTeams[[#This Row],[Match-B]],ResultsTeams[[#This Row],[Team A]],"")),""),"")</f>
        <v/>
      </c>
      <c r="W129" s="265" t="str">
        <f>IF(ResultsTeams[[#This Row],[Score_OK]],IF(ResultsTeams[[#This Row],[StageCpy]]="Groups",ResultsTeams[[#This Row],[Category]]&amp;"-"&amp;IF(ResultsTeams[[#This Row],[Team B]]="","",IF(ResultsTeams[[#This Row],[Match-A]]=ResultsTeams[[#This Row],[Match-B]],ResultsTeams[[#This Row],[Team B]],"")),""),"")</f>
        <v/>
      </c>
      <c r="X1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9" s="264" t="str">
        <f>IF(ResultsTeams[[#This Row],[Category]]="","",VLOOKUP(ResultsTeams[[#This Row],[Stage]],$R$1:$T$8,MATCH(ResultsTeams[[#This Row],[Category]],$S$1:$T$1,0)+1,FALSE))</f>
        <v/>
      </c>
      <c r="AC1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9" s="264" t="str">
        <f>IF(ResultsTeams[[#This Row],[Type]]="G",ResultsTeams[[#This Row],[Stage]],AD128)</f>
        <v>Groups</v>
      </c>
      <c r="AE129" s="395" t="str">
        <f>IF(ResultsTeams[[#This Row],[Type]]="G",INDEX(TeamsList[Club Name],MATCH(ResultsTeams[[#This Row],[Team A]],TeamsList[Team Name],0)),AE128)</f>
        <v>Bormla SC</v>
      </c>
      <c r="AF129" s="395" t="str">
        <f>IF(ResultsTeams[[#This Row],[Type]]="G",INDEX(TeamsList[Club Name],MATCH(ResultsTeams[[#This Row],[Team B]],TeamsList[Team Name],0)),AF128)</f>
        <v>Tiburones FM</v>
      </c>
      <c r="AG129" s="265"/>
      <c r="AH129" s="91"/>
      <c r="AI129" s="12">
        <f t="shared" si="105"/>
        <v>0</v>
      </c>
      <c r="AJ129" s="309"/>
      <c r="AK129" s="310"/>
      <c r="AL129" s="311"/>
      <c r="AM129" s="292" t="str">
        <f>IF(AV129="","",SMALL(AN126:AN132,ROWS(AM126:AM129)))</f>
        <v/>
      </c>
      <c r="AN129" s="293" t="str">
        <f>IF(AV129="","",RANK(AR129,AR126:AR132)*1000+ROWS(AN126:AN129))</f>
        <v/>
      </c>
      <c r="AO129" s="316" t="str">
        <f t="shared" si="98"/>
        <v/>
      </c>
      <c r="AP129" s="415" t="b">
        <f>AND(AU129&lt;&gt;"",AU129&gt;0,COUNTIF(AO126:AO132,AO129)&gt;1)</f>
        <v>0</v>
      </c>
      <c r="AQ129" s="316" t="str">
        <f t="shared" si="99"/>
        <v/>
      </c>
      <c r="AR129" s="317" t="str">
        <f t="shared" si="100"/>
        <v/>
      </c>
      <c r="AS129" s="415" t="b">
        <f>AND(AU129&lt;&gt;"",AU129&gt;0,COUNTIF(AR126:AR132,AR129)&gt;1)</f>
        <v>0</v>
      </c>
      <c r="AT129" s="355" t="str">
        <f t="shared" si="101"/>
        <v/>
      </c>
      <c r="AU129" s="356" t="str">
        <f t="shared" si="102"/>
        <v/>
      </c>
      <c r="AV129" s="356" t="str">
        <f>IF(OR(AI125="",AJ129=""),"",COUNTIF(ResultsTeams[Win],AI125&amp;"-"&amp;AJ129))</f>
        <v/>
      </c>
      <c r="AW129" s="356" t="str">
        <f>IF(OR(AI125="",AJ129=""),"",COUNTIF(ResultsTeams[[Draw1]:[Draw2]],AI125&amp;"-"&amp;AJ129))</f>
        <v/>
      </c>
      <c r="AX129" s="356" t="str">
        <f>IF(OR(AI125="",AJ129=""),"",COUNTIF(ResultsTeams[Lose],AI125&amp;"-"&amp;AJ129))</f>
        <v/>
      </c>
      <c r="AY129" s="356" t="str">
        <f>IF(OR(AI125="",AJ129=""),"",AV129-AX129)</f>
        <v/>
      </c>
      <c r="AZ129" s="356" t="str">
        <f>IF(OR(AI128="",AJ129=""),"",SUMIFS(ResultsTeams[Match-A],ResultsTeams[Stage],"Groups",ResultsTeams[Team A],AJ129)+SUMIFS(ResultsTeams[Match-B],ResultsTeams[Stage],"Groups",ResultsTeams[Team B],AJ129))</f>
        <v/>
      </c>
      <c r="BA129" s="356" t="str">
        <f>IF(OR(AI128="",AJ129=""),"",SUMIFS(ResultsTeams[Match-B],ResultsTeams[Stage],"Groups",ResultsTeams[Team A],AJ129)+SUMIFS(ResultsTeams[Match-A],ResultsTeams[Stage],"Groups",ResultsTeams[Team B],AJ129))</f>
        <v/>
      </c>
      <c r="BB129" s="356" t="str">
        <f t="shared" si="104"/>
        <v/>
      </c>
      <c r="BC129" s="356" t="str">
        <f>IF(OR(AI128="",AJ129=""),"",SUMIFS(ResultsTeams[Goal-A],ResultsTeams[Stage],"Groups",ResultsTeams[Team A],AJ129)+SUMIFS(ResultsTeams[Goal-B],ResultsTeams[Stage],"Groups",ResultsTeams[Team B],AJ129))</f>
        <v/>
      </c>
      <c r="BD129" s="356" t="str">
        <f>IF(OR(AI128="",AJ129=""),"",SUMIFS(ResultsTeams[Goal-B],ResultsTeams[Stage],"Groups",ResultsTeams[Team A],AJ129)+SUMIFS(ResultsTeams[Goal-A],ResultsTeams[Stage],"Groups",ResultsTeams[Team B],AJ129))</f>
        <v/>
      </c>
      <c r="BE129" s="357" t="str">
        <f>IF(OR(AI125="",AJ129=""),"",BC129-BD129)</f>
        <v/>
      </c>
      <c r="BF129" s="470" t="str">
        <f>IF(AM129="","",OR(VLOOKUP(AM129,AN126:BE132,3,FALSE),VLOOKUP(AM129,AN126:BE132,6,FALSE)))</f>
        <v/>
      </c>
      <c r="BG129" s="298" t="str">
        <f t="shared" si="103"/>
        <v/>
      </c>
      <c r="BH129" s="285" t="str">
        <f>IF(AM129="","",INDEX(AJ126:AJ132,MATCH(AM129,AN126:AN132,0)))</f>
        <v/>
      </c>
      <c r="BI129" s="286" t="str">
        <f>IF(AM129="","",VLOOKUP(AM129,AN126:BE132,COLUMN()-COLUMN(BB125),FALSE))</f>
        <v/>
      </c>
      <c r="BJ129" s="286" t="str">
        <f>IF(AM129="","",VLOOKUP(AM129,AN126:BE132,COLUMN()-COLUMN(BB125),FALSE))</f>
        <v/>
      </c>
      <c r="BK129" s="286" t="str">
        <f>IF(AM129="","",VLOOKUP(AM129,AN126:BE132,COLUMN()-COLUMN(BB125),FALSE))</f>
        <v/>
      </c>
      <c r="BL129" s="286" t="str">
        <f>IF(AM129="","",VLOOKUP(AM129,AN126:BE132,COLUMN()-COLUMN(BB125),FALSE))</f>
        <v/>
      </c>
      <c r="BM129" s="286" t="str">
        <f>IF(AM129="","",VLOOKUP(AM129,AN126:BE132,COLUMN()-COLUMN(BB125),FALSE))</f>
        <v/>
      </c>
      <c r="BN129" s="349" t="str">
        <f>IF(AM129="","",VLOOKUP(AM129,AN126:BE132,COLUMN()-COLUMN(BB125),FALSE))</f>
        <v/>
      </c>
      <c r="BO129" s="298" t="str">
        <f>IF(AM129="","",VLOOKUP(AM129,AN126:BE132,COLUMN()-COLUMN(BB125),FALSE))</f>
        <v/>
      </c>
      <c r="BP129" s="286" t="str">
        <f>IF(AM129="","",VLOOKUP(AM129,AN126:BE132,COLUMN()-COLUMN(BB125),FALSE))</f>
        <v/>
      </c>
      <c r="BQ129" s="301" t="str">
        <f>IF(AM129="","",VLOOKUP(AM129,AN126:BE132,COLUMN()-COLUMN(BB125),FALSE))</f>
        <v/>
      </c>
      <c r="BR129" s="352" t="str">
        <f>IF(AM129="","",VLOOKUP(AM129,AN126:BE132,COLUMN()-COLUMN(BB125),FALSE))</f>
        <v/>
      </c>
      <c r="BS129" s="286" t="str">
        <f>IF(AM129="","",VLOOKUP(AM129,AN126:BE132,COLUMN()-COLUMN(BB125),FALSE))</f>
        <v/>
      </c>
      <c r="BT129" s="301" t="str">
        <f>IF(AM129="","",VLOOKUP(AM129,AN126:BE132,COLUMN()-COLUMN(BB125),FALSE))</f>
        <v/>
      </c>
    </row>
    <row r="130" spans="1:72" ht="12" thickBot="1" x14ac:dyDescent="0.25">
      <c r="A130" s="83"/>
      <c r="B130" s="83"/>
      <c r="C130" s="83"/>
      <c r="D130" s="83"/>
      <c r="E130" s="268" t="s">
        <v>12244</v>
      </c>
      <c r="F130" s="262"/>
      <c r="G130" s="262"/>
      <c r="H130" s="324"/>
      <c r="I130" s="324"/>
      <c r="J130" s="263"/>
      <c r="K130" s="365"/>
      <c r="L130" s="365"/>
      <c r="M130" s="84"/>
      <c r="N130" s="265" t="b">
        <f>NOT(ISERROR(ResultsTeams[[#This Row],[Goal-A]]+ResultsTeams[[#This Row],[Goal-B]]))</f>
        <v>0</v>
      </c>
      <c r="O130" s="265" t="str">
        <f>IF(ResultsTeams[[#This Row],[Type]]="G",SUM(O131:O134),IF(LEFT(ResultsTeams[[#This Row],[Type]],1)="P",IF(ResultsTeams[[#This Row],[Goal-A]]&gt;ResultsTeams[[#This Row],[Goal-B]],1,0),""))</f>
        <v/>
      </c>
      <c r="P130" s="265" t="str">
        <f>IF(ResultsTeams[[#This Row],[Type]]="G",SUM(P131:P134),IF(LEFT(ResultsTeams[[#This Row],[Type]],1)="P",IF(ResultsTeams[[#This Row],[Goal-A]]&lt;ResultsTeams[[#This Row],[Goal-B]],1,0),""))</f>
        <v/>
      </c>
      <c r="Q130" s="265" t="str">
        <f>IF(ResultsTeams[[#This Row],[Type]]="G",SUM(Q131:Q134),IF(LEFT(ResultsTeams[[#This Row],[Type]],1)="P",VALUE(ResultsTeams[[#This Row],[Score-A]]),""))</f>
        <v/>
      </c>
      <c r="R130" s="265" t="str">
        <f>IF(ResultsTeams[[#This Row],[Type]]="G",SUM(R131:R134),IF(LEFT(ResultsTeams[[#This Row],[Type]],1)="P",VALUE(ResultsTeams[[#This Row],[Score-B]]),""))</f>
        <v/>
      </c>
      <c r="S130" s="265" t="str">
        <f ca="1">IF(AND(ResultsTeams[[#This Row],[Category]]&lt;&gt;"",ResultsTeams[[#This Row],[Team A]]&lt;&gt;""),COUNTIF(INDIRECT("TeamsList[Club Name]"),ResultsTeams[[#This Row],[Team A]]),"")</f>
        <v/>
      </c>
      <c r="T130" s="265" t="str">
        <f ca="1">IF(AND(ResultsTeams[[#This Row],[Category]]&lt;&gt;"",ResultsTeams[[#This Row],[Team B]]&lt;&gt;""),COUNTIF(INDIRECT("TeamsList[Club Name]"),ResultsTeams[[#This Row],[Team B]]),"")</f>
        <v/>
      </c>
      <c r="U1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0" s="265" t="str">
        <f>IF(ResultsTeams[[#This Row],[Score_OK]],IF(ResultsTeams[[#This Row],[StageCpy]]="Groups",ResultsTeams[[#This Row],[Category]]&amp;"-"&amp;IF(ResultsTeams[[#This Row],[Team B]]="","",IF(ResultsTeams[[#This Row],[Match-A]]=ResultsTeams[[#This Row],[Match-B]],ResultsTeams[[#This Row],[Team A]],"")),""),"")</f>
        <v/>
      </c>
      <c r="W130" s="265" t="str">
        <f>IF(ResultsTeams[[#This Row],[Score_OK]],IF(ResultsTeams[[#This Row],[StageCpy]]="Groups",ResultsTeams[[#This Row],[Category]]&amp;"-"&amp;IF(ResultsTeams[[#This Row],[Team B]]="","",IF(ResultsTeams[[#This Row],[Match-A]]=ResultsTeams[[#This Row],[Match-B]],ResultsTeams[[#This Row],[Team B]],"")),""),"")</f>
        <v/>
      </c>
      <c r="X1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0" s="264" t="str">
        <f>IF(ResultsTeams[[#This Row],[Category]]="","",VLOOKUP(ResultsTeams[[#This Row],[Stage]],$R$1:$T$8,MATCH(ResultsTeams[[#This Row],[Category]],$S$1:$T$1,0)+1,FALSE))</f>
        <v/>
      </c>
      <c r="AC1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0" s="264" t="str">
        <f>IF(ResultsTeams[[#This Row],[Type]]="G",ResultsTeams[[#This Row],[Stage]],AD129)</f>
        <v>Groups</v>
      </c>
      <c r="AE130" s="395" t="str">
        <f>IF(ResultsTeams[[#This Row],[Type]]="G",INDEX(TeamsList[Club Name],MATCH(ResultsTeams[[#This Row],[Team A]],TeamsList[Team Name],0)),AE129)</f>
        <v>Bormla SC</v>
      </c>
      <c r="AF130" s="395" t="str">
        <f>IF(ResultsTeams[[#This Row],[Type]]="G",INDEX(TeamsList[Club Name],MATCH(ResultsTeams[[#This Row],[Team B]],TeamsList[Team Name],0)),AF129)</f>
        <v>Tiburones FM</v>
      </c>
      <c r="AG130" s="265"/>
      <c r="AH130" s="91"/>
      <c r="AI130" s="12">
        <f t="shared" si="105"/>
        <v>0</v>
      </c>
      <c r="AJ130" s="309"/>
      <c r="AK130" s="310"/>
      <c r="AL130" s="311"/>
      <c r="AM130" s="292" t="str">
        <f>IF(AV130="","",SMALL(AN126:AN132,ROWS(AM126:AM130)))</f>
        <v/>
      </c>
      <c r="AN130" s="293" t="str">
        <f>IF(AV130="","",RANK(AR130,AR126:AR132)*1000+ROWS(AN126:AN130))</f>
        <v/>
      </c>
      <c r="AO130" s="316" t="str">
        <f t="shared" si="98"/>
        <v/>
      </c>
      <c r="AP130" s="415" t="b">
        <f>AND(AU130&lt;&gt;"",AU130&gt;0,COUNTIF(AO126:AO132,AO130)&gt;1)</f>
        <v>0</v>
      </c>
      <c r="AQ130" s="316" t="str">
        <f t="shared" si="99"/>
        <v/>
      </c>
      <c r="AR130" s="317" t="str">
        <f t="shared" si="100"/>
        <v/>
      </c>
      <c r="AS130" s="415" t="b">
        <f>AND(AU130&lt;&gt;"",AU130&gt;0,COUNTIF(AR126:AR132,AR130)&gt;1)</f>
        <v>0</v>
      </c>
      <c r="AT130" s="355" t="str">
        <f t="shared" si="101"/>
        <v/>
      </c>
      <c r="AU130" s="356" t="str">
        <f t="shared" si="102"/>
        <v/>
      </c>
      <c r="AV130" s="356" t="str">
        <f>IF(OR(AI125="",AJ130=""),"",COUNTIF(ResultsTeams[Win],AI125&amp;"-"&amp;AJ130))</f>
        <v/>
      </c>
      <c r="AW130" s="356" t="str">
        <f>IF(OR(AI125="",AJ130=""),"",COUNTIF(ResultsTeams[[Draw1]:[Draw2]],AI125&amp;"-"&amp;AJ130))</f>
        <v/>
      </c>
      <c r="AX130" s="356" t="str">
        <f>IF(OR(AI125="",AJ130=""),"",COUNTIF(ResultsTeams[Lose],AI125&amp;"-"&amp;AJ130))</f>
        <v/>
      </c>
      <c r="AY130" s="356" t="str">
        <f>IF(OR(AI125="",AJ130=""),"",AV130-AX130)</f>
        <v/>
      </c>
      <c r="AZ130" s="356" t="str">
        <f>IF(OR(AI129="",AJ130=""),"",SUMIFS(ResultsTeams[Match-A],ResultsTeams[Stage],"Groups",ResultsTeams[Team A],AJ130)+SUMIFS(ResultsTeams[Match-B],ResultsTeams[Stage],"Groups",ResultsTeams[Team B],AJ130))</f>
        <v/>
      </c>
      <c r="BA130" s="356" t="str">
        <f>IF(OR(AI129="",AJ130=""),"",SUMIFS(ResultsTeams[Match-B],ResultsTeams[Stage],"Groups",ResultsTeams[Team A],AJ130)+SUMIFS(ResultsTeams[Match-A],ResultsTeams[Stage],"Groups",ResultsTeams[Team B],AJ130))</f>
        <v/>
      </c>
      <c r="BB130" s="356" t="str">
        <f t="shared" si="104"/>
        <v/>
      </c>
      <c r="BC130" s="356" t="str">
        <f>IF(OR(AI129="",AJ130=""),"",SUMIFS(ResultsTeams[Goal-A],ResultsTeams[Stage],"Groups",ResultsTeams[Team A],AJ130)+SUMIFS(ResultsTeams[Goal-B],ResultsTeams[Stage],"Groups",ResultsTeams[Team B],AJ130))</f>
        <v/>
      </c>
      <c r="BD130" s="356" t="str">
        <f>IF(OR(AI129="",AJ130=""),"",SUMIFS(ResultsTeams[Goal-B],ResultsTeams[Stage],"Groups",ResultsTeams[Team A],AJ130)+SUMIFS(ResultsTeams[Goal-A],ResultsTeams[Stage],"Groups",ResultsTeams[Team B],AJ130))</f>
        <v/>
      </c>
      <c r="BE130" s="357" t="str">
        <f>IF(OR(AI125="",AJ130=""),"",BC130-BD130)</f>
        <v/>
      </c>
      <c r="BF130" s="470" t="str">
        <f>IF(AM130="","",OR(VLOOKUP(AM130,AN126:BE132,3,FALSE),VLOOKUP(AM130,AN126:BE132,6,FALSE)))</f>
        <v/>
      </c>
      <c r="BG130" s="298" t="str">
        <f t="shared" si="103"/>
        <v/>
      </c>
      <c r="BH130" s="285" t="str">
        <f>IF(AM130="","",INDEX(AJ126:AJ132,MATCH(AM130,AN126:AN132,0)))</f>
        <v/>
      </c>
      <c r="BI130" s="286" t="str">
        <f>IF(AM130="","",VLOOKUP(AM130,AN126:BE132,COLUMN()-COLUMN(BB125),FALSE))</f>
        <v/>
      </c>
      <c r="BJ130" s="286" t="str">
        <f>IF(AM130="","",VLOOKUP(AM130,AN126:BE132,COLUMN()-COLUMN(BB125),FALSE))</f>
        <v/>
      </c>
      <c r="BK130" s="286" t="str">
        <f>IF(AM130="","",VLOOKUP(AM130,AN126:BE132,COLUMN()-COLUMN(BB125),FALSE))</f>
        <v/>
      </c>
      <c r="BL130" s="286" t="str">
        <f>IF(AM130="","",VLOOKUP(AM130,AN126:BE132,COLUMN()-COLUMN(BB125),FALSE))</f>
        <v/>
      </c>
      <c r="BM130" s="286" t="str">
        <f>IF(AM130="","",VLOOKUP(AM130,AN126:BE132,COLUMN()-COLUMN(BB125),FALSE))</f>
        <v/>
      </c>
      <c r="BN130" s="349" t="str">
        <f>IF(AM130="","",VLOOKUP(AM130,AN126:BE132,COLUMN()-COLUMN(BB125),FALSE))</f>
        <v/>
      </c>
      <c r="BO130" s="298" t="str">
        <f>IF(AM130="","",VLOOKUP(AM130,AN126:BE132,COLUMN()-COLUMN(BB125),FALSE))</f>
        <v/>
      </c>
      <c r="BP130" s="286" t="str">
        <f>IF(AM130="","",VLOOKUP(AM130,AN126:BE132,COLUMN()-COLUMN(BB125),FALSE))</f>
        <v/>
      </c>
      <c r="BQ130" s="301" t="str">
        <f>IF(AM130="","",VLOOKUP(AM130,AN126:BE132,COLUMN()-COLUMN(BB125),FALSE))</f>
        <v/>
      </c>
      <c r="BR130" s="352" t="str">
        <f>IF(AM130="","",VLOOKUP(AM130,AN126:BE132,COLUMN()-COLUMN(BB125),FALSE))</f>
        <v/>
      </c>
      <c r="BS130" s="286" t="str">
        <f>IF(AM130="","",VLOOKUP(AM130,AN126:BE132,COLUMN()-COLUMN(BB125),FALSE))</f>
        <v/>
      </c>
      <c r="BT130" s="301" t="str">
        <f>IF(AM130="","",VLOOKUP(AM130,AN126:BE132,COLUMN()-COLUMN(BB125),FALSE))</f>
        <v/>
      </c>
    </row>
    <row r="131" spans="1:72" ht="12" thickBot="1" x14ac:dyDescent="0.25">
      <c r="A131" s="261" t="s">
        <v>12693</v>
      </c>
      <c r="B131" s="270" t="s">
        <v>12207</v>
      </c>
      <c r="C131" s="270">
        <v>3</v>
      </c>
      <c r="D131" s="270"/>
      <c r="E131" s="272" t="s">
        <v>12228</v>
      </c>
      <c r="F131" s="273" t="s">
        <v>69</v>
      </c>
      <c r="G131" s="273" t="s">
        <v>14590</v>
      </c>
      <c r="H131" s="275">
        <v>2</v>
      </c>
      <c r="I131" s="275">
        <v>2</v>
      </c>
      <c r="J131" s="275"/>
      <c r="K131" s="366"/>
      <c r="L131" s="366"/>
      <c r="M131" s="271"/>
      <c r="N131" s="265" t="b">
        <f>NOT(ISERROR(ResultsTeams[[#This Row],[Goal-A]]+ResultsTeams[[#This Row],[Goal-B]]))</f>
        <v>1</v>
      </c>
      <c r="O131" s="265">
        <f>IF(ResultsTeams[[#This Row],[Type]]="G",SUM(O132:O135),IF(LEFT(ResultsTeams[[#This Row],[Type]],1)="P",IF(ResultsTeams[[#This Row],[Goal-A]]&gt;ResultsTeams[[#This Row],[Goal-B]],1,0),""))</f>
        <v>2</v>
      </c>
      <c r="P131" s="265">
        <f>IF(ResultsTeams[[#This Row],[Type]]="G",SUM(P132:P135),IF(LEFT(ResultsTeams[[#This Row],[Type]],1)="P",IF(ResultsTeams[[#This Row],[Goal-A]]&lt;ResultsTeams[[#This Row],[Goal-B]],1,0),""))</f>
        <v>2</v>
      </c>
      <c r="Q131" s="265">
        <f>IF(ResultsTeams[[#This Row],[Type]]="G",SUM(Q132:Q135),IF(LEFT(ResultsTeams[[#This Row],[Type]],1)="P",VALUE(ResultsTeams[[#This Row],[Score-A]]),""))</f>
        <v>9</v>
      </c>
      <c r="R131" s="265">
        <f>IF(ResultsTeams[[#This Row],[Type]]="G",SUM(R132:R135),IF(LEFT(ResultsTeams[[#This Row],[Type]],1)="P",VALUE(ResultsTeams[[#This Row],[Score-B]]),""))</f>
        <v>5</v>
      </c>
      <c r="S131" s="265">
        <f ca="1">IF(AND(ResultsTeams[[#This Row],[Category]]&lt;&gt;"",ResultsTeams[[#This Row],[Team A]]&lt;&gt;""),COUNTIF(INDIRECT("TeamsList[Club Name]"),ResultsTeams[[#This Row],[Team A]]),"")</f>
        <v>1</v>
      </c>
      <c r="T131" s="265">
        <f ca="1">IF(AND(ResultsTeams[[#This Row],[Category]]&lt;&gt;"",ResultsTeams[[#This Row],[Team B]]&lt;&gt;""),COUNTIF(INDIRECT("TeamsList[Club Name]"),ResultsTeams[[#This Row],[Team B]]),"")</f>
        <v>0</v>
      </c>
      <c r="U1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131" s="265" t="str">
        <f>IF(ResultsTeams[[#This Row],[Score_OK]],IF(ResultsTeams[[#This Row],[StageCpy]]="Groups",ResultsTeams[[#This Row],[Category]]&amp;"-"&amp;IF(ResultsTeams[[#This Row],[Team B]]="","",IF(ResultsTeams[[#This Row],[Match-A]]=ResultsTeams[[#This Row],[Match-B]],ResultsTeams[[#This Row],[Team A]],"")),""),"")</f>
        <v>TEAM-JSC Rochefort</v>
      </c>
      <c r="W131" s="265" t="str">
        <f>IF(ResultsTeams[[#This Row],[Score_OK]],IF(ResultsTeams[[#This Row],[StageCpy]]="Groups",ResultsTeams[[#This Row],[Category]]&amp;"-"&amp;IF(ResultsTeams[[#This Row],[Team B]]="","",IF(ResultsTeams[[#This Row],[Match-A]]=ResultsTeams[[#This Row],[Match-B]],ResultsTeams[[#This Row],[Team B]],"")),""),"")</f>
        <v>TEAM-FTC Issy-les-Moulineaux 2</v>
      </c>
      <c r="X1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1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TEAM-JSC Rochefort</v>
      </c>
      <c r="AA1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 2</v>
      </c>
      <c r="AB131" s="264" t="str">
        <f>IF(ResultsTeams[[#This Row],[Category]]="","",VLOOKUP(ResultsTeams[[#This Row],[Stage]],$R$1:$T$8,MATCH(ResultsTeams[[#This Row],[Category]],$S$1:$T$1,0)+1,FALSE))</f>
        <v>PR1</v>
      </c>
      <c r="AC1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1" s="264" t="str">
        <f>IF(ResultsTeams[[#This Row],[Type]]="G",ResultsTeams[[#This Row],[Stage]],AD130)</f>
        <v>Groups</v>
      </c>
      <c r="AE131" s="395" t="str">
        <f>IF(ResultsTeams[[#This Row],[Type]]="G",INDEX(TeamsList[Club Name],MATCH(ResultsTeams[[#This Row],[Team A]],TeamsList[Team Name],0)),AE130)</f>
        <v>JSC Rochefort</v>
      </c>
      <c r="AF131" s="395" t="str">
        <f>IF(ResultsTeams[[#This Row],[Type]]="G",INDEX(TeamsList[Club Name],MATCH(ResultsTeams[[#This Row],[Team B]],TeamsList[Team Name],0)),AF130)</f>
        <v>FTC Issy-les-Moulineaux</v>
      </c>
      <c r="AG131" s="265"/>
      <c r="AI131" s="12">
        <f t="shared" si="105"/>
        <v>0</v>
      </c>
      <c r="AJ131" s="309"/>
      <c r="AK131" s="310"/>
      <c r="AL131" s="311"/>
      <c r="AM131" s="292" t="str">
        <f>IF(AV131="","",SMALL(AN126:AN132,ROWS(AM126:AM131)))</f>
        <v/>
      </c>
      <c r="AN131" s="293" t="str">
        <f>IF(AV131="","",RANK(AR131,AR126:AR132)*1000+ROWS(AN126:AN131))</f>
        <v/>
      </c>
      <c r="AO131" s="316" t="str">
        <f t="shared" si="98"/>
        <v/>
      </c>
      <c r="AP131" s="415" t="b">
        <f>AND(AU131&lt;&gt;"",AU131&gt;0,COUNTIF(AO126:AO132,AO131)&gt;1)</f>
        <v>0</v>
      </c>
      <c r="AQ131" s="316" t="str">
        <f t="shared" si="99"/>
        <v/>
      </c>
      <c r="AR131" s="317" t="str">
        <f t="shared" si="100"/>
        <v/>
      </c>
      <c r="AS131" s="415" t="b">
        <f>AND(AU131&lt;&gt;"",AU131&gt;0,COUNTIF(AR126:AR132,AR131)&gt;1)</f>
        <v>0</v>
      </c>
      <c r="AT131" s="355" t="str">
        <f t="shared" si="101"/>
        <v/>
      </c>
      <c r="AU131" s="356" t="str">
        <f t="shared" si="102"/>
        <v/>
      </c>
      <c r="AV131" s="356" t="str">
        <f>IF(OR(AI125="",AJ131=""),"",COUNTIF(ResultsTeams[Win],AI125&amp;"-"&amp;AJ131))</f>
        <v/>
      </c>
      <c r="AW131" s="356" t="str">
        <f>IF(OR(AI125="",AJ131=""),"",COUNTIF(ResultsTeams[[Draw1]:[Draw2]],AI125&amp;"-"&amp;AJ131))</f>
        <v/>
      </c>
      <c r="AX131" s="356" t="str">
        <f>IF(OR(AI125="",AJ131=""),"",COUNTIF(ResultsTeams[Lose],AI125&amp;"-"&amp;AJ131))</f>
        <v/>
      </c>
      <c r="AY131" s="356" t="str">
        <f>IF(OR(AI125="",AJ131=""),"",AV131-AX131)</f>
        <v/>
      </c>
      <c r="AZ131" s="356" t="str">
        <f>IF(OR(AI130="",AJ131=""),"",SUMIFS(ResultsTeams[Match-A],ResultsTeams[Stage],"Groups",ResultsTeams[Team A],AJ131)+SUMIFS(ResultsTeams[Match-B],ResultsTeams[Stage],"Groups",ResultsTeams[Team B],AJ131))</f>
        <v/>
      </c>
      <c r="BA131" s="356" t="str">
        <f>IF(OR(AI130="",AJ131=""),"",SUMIFS(ResultsTeams[Match-B],ResultsTeams[Stage],"Groups",ResultsTeams[Team A],AJ131)+SUMIFS(ResultsTeams[Match-A],ResultsTeams[Stage],"Groups",ResultsTeams[Team B],AJ131))</f>
        <v/>
      </c>
      <c r="BB131" s="356" t="str">
        <f t="shared" si="104"/>
        <v/>
      </c>
      <c r="BC131" s="356" t="str">
        <f>IF(OR(AI130="",AJ131=""),"",SUMIFS(ResultsTeams[Goal-A],ResultsTeams[Stage],"Groups",ResultsTeams[Team A],AJ131)+SUMIFS(ResultsTeams[Goal-B],ResultsTeams[Stage],"Groups",ResultsTeams[Team B],AJ131))</f>
        <v/>
      </c>
      <c r="BD131" s="356" t="str">
        <f>IF(OR(AI130="",AJ131=""),"",SUMIFS(ResultsTeams[Goal-B],ResultsTeams[Stage],"Groups",ResultsTeams[Team A],AJ131)+SUMIFS(ResultsTeams[Goal-A],ResultsTeams[Stage],"Groups",ResultsTeams[Team B],AJ131))</f>
        <v/>
      </c>
      <c r="BE131" s="357" t="str">
        <f>IF(OR(AI125="",AJ131=""),"",BC131-BD131)</f>
        <v/>
      </c>
      <c r="BF131" s="470" t="str">
        <f>IF(AM131="","",OR(VLOOKUP(AM131,AN126:BE132,3,FALSE),VLOOKUP(AM131,AN126:BE132,6,FALSE)))</f>
        <v/>
      </c>
      <c r="BG131" s="298" t="str">
        <f t="shared" si="103"/>
        <v/>
      </c>
      <c r="BH131" s="285" t="str">
        <f>IF(AM131="","",INDEX(AJ126:AJ132,MATCH(AM131,AN126:AN132,0)))</f>
        <v/>
      </c>
      <c r="BI131" s="286" t="str">
        <f>IF(AM131="","",VLOOKUP(AM131,AN126:BE132,COLUMN()-COLUMN(BB125),FALSE))</f>
        <v/>
      </c>
      <c r="BJ131" s="286" t="str">
        <f>IF(AM131="","",VLOOKUP(AM131,AN126:BE132,COLUMN()-COLUMN(BB125),FALSE))</f>
        <v/>
      </c>
      <c r="BK131" s="286" t="str">
        <f>IF(AM131="","",VLOOKUP(AM131,AN126:BE132,COLUMN()-COLUMN(BB125),FALSE))</f>
        <v/>
      </c>
      <c r="BL131" s="286" t="str">
        <f>IF(AM131="","",VLOOKUP(AM131,AN126:BE132,COLUMN()-COLUMN(BB125),FALSE))</f>
        <v/>
      </c>
      <c r="BM131" s="286" t="str">
        <f>IF(AM131="","",VLOOKUP(AM131,AN126:BE132,COLUMN()-COLUMN(BB125),FALSE))</f>
        <v/>
      </c>
      <c r="BN131" s="349" t="str">
        <f>IF(AM131="","",VLOOKUP(AM131,AN126:BE132,COLUMN()-COLUMN(BB125),FALSE))</f>
        <v/>
      </c>
      <c r="BO131" s="298" t="str">
        <f>IF(AM131="","",VLOOKUP(AM131,AN126:BE132,COLUMN()-COLUMN(BB125),FALSE))</f>
        <v/>
      </c>
      <c r="BP131" s="286" t="str">
        <f>IF(AM131="","",VLOOKUP(AM131,AN126:BE132,COLUMN()-COLUMN(BB125),FALSE))</f>
        <v/>
      </c>
      <c r="BQ131" s="301" t="str">
        <f>IF(AM131="","",VLOOKUP(AM131,AN126:BE132,COLUMN()-COLUMN(BB125),FALSE))</f>
        <v/>
      </c>
      <c r="BR131" s="352" t="str">
        <f>IF(AM131="","",VLOOKUP(AM131,AN126:BE132,COLUMN()-COLUMN(BB125),FALSE))</f>
        <v/>
      </c>
      <c r="BS131" s="286" t="str">
        <f>IF(AM131="","",VLOOKUP(AM131,AN126:BE132,COLUMN()-COLUMN(BB125),FALSE))</f>
        <v/>
      </c>
      <c r="BT131" s="301" t="str">
        <f>IF(AM131="","",VLOOKUP(AM131,AN126:BE132,COLUMN()-COLUMN(BB125),FALSE))</f>
        <v/>
      </c>
    </row>
    <row r="132" spans="1:72" ht="12" thickBot="1" x14ac:dyDescent="0.25">
      <c r="A132" s="60"/>
      <c r="B132" s="280"/>
      <c r="C132" s="60"/>
      <c r="D132" s="60"/>
      <c r="E132" s="240" t="s">
        <v>12231</v>
      </c>
      <c r="F132" s="244" t="s">
        <v>8087</v>
      </c>
      <c r="G132" s="244" t="s">
        <v>8725</v>
      </c>
      <c r="H132" s="253">
        <v>1</v>
      </c>
      <c r="I132" s="253">
        <v>2</v>
      </c>
      <c r="J132" s="253"/>
      <c r="K132" s="362"/>
      <c r="L132" s="362"/>
      <c r="M132" s="61"/>
      <c r="N132" s="265" t="b">
        <f>NOT(ISERROR(ResultsTeams[[#This Row],[Goal-A]]+ResultsTeams[[#This Row],[Goal-B]]))</f>
        <v>1</v>
      </c>
      <c r="O132" s="265">
        <f>IF(ResultsTeams[[#This Row],[Type]]="G",SUM(O133:O136),IF(LEFT(ResultsTeams[[#This Row],[Type]],1)="P",IF(ResultsTeams[[#This Row],[Goal-A]]&gt;ResultsTeams[[#This Row],[Goal-B]],1,0),""))</f>
        <v>0</v>
      </c>
      <c r="P132" s="265">
        <f>IF(ResultsTeams[[#This Row],[Type]]="G",SUM(P133:P136),IF(LEFT(ResultsTeams[[#This Row],[Type]],1)="P",IF(ResultsTeams[[#This Row],[Goal-A]]&lt;ResultsTeams[[#This Row],[Goal-B]],1,0),""))</f>
        <v>1</v>
      </c>
      <c r="Q132" s="265">
        <f>IF(ResultsTeams[[#This Row],[Type]]="G",SUM(Q133:Q136),IF(LEFT(ResultsTeams[[#This Row],[Type]],1)="P",VALUE(ResultsTeams[[#This Row],[Score-A]]),""))</f>
        <v>1</v>
      </c>
      <c r="R132" s="265">
        <f>IF(ResultsTeams[[#This Row],[Type]]="G",SUM(R133:R136),IF(LEFT(ResultsTeams[[#This Row],[Type]],1)="P",VALUE(ResultsTeams[[#This Row],[Score-B]]),""))</f>
        <v>2</v>
      </c>
      <c r="S132" s="265" t="str">
        <f ca="1">IF(AND(ResultsTeams[[#This Row],[Category]]&lt;&gt;"",ResultsTeams[[#This Row],[Team A]]&lt;&gt;""),COUNTIF(INDIRECT("TeamsList[Club Name]"),ResultsTeams[[#This Row],[Team A]]),"")</f>
        <v/>
      </c>
      <c r="T132" s="265" t="str">
        <f ca="1">IF(AND(ResultsTeams[[#This Row],[Category]]&lt;&gt;"",ResultsTeams[[#This Row],[Team B]]&lt;&gt;""),COUNTIF(INDIRECT("TeamsList[Club Name]"),ResultsTeams[[#This Row],[Team B]]),"")</f>
        <v/>
      </c>
      <c r="U1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-Irène Linquercq-Rivière</v>
      </c>
      <c r="V132" s="265" t="str">
        <f>IF(ResultsTeams[[#This Row],[Score_OK]],IF(ResultsTeams[[#This Row],[StageCpy]]="Groups",ResultsTeams[[#This Row],[Category]]&amp;"-"&amp;IF(ResultsTeams[[#This Row],[Team B]]="","",IF(ResultsTeams[[#This Row],[Match-A]]=ResultsTeams[[#This Row],[Match-B]],ResultsTeams[[#This Row],[Team A]],"")),""),"")</f>
        <v>-</v>
      </c>
      <c r="W132" s="265" t="str">
        <f>IF(ResultsTeams[[#This Row],[Score_OK]],IF(ResultsTeams[[#This Row],[StageCpy]]="Groups",ResultsTeams[[#This Row],[Category]]&amp;"-"&amp;IF(ResultsTeams[[#This Row],[Team B]]="","",IF(ResultsTeams[[#This Row],[Match-A]]=ResultsTeams[[#This Row],[Match-B]],ResultsTeams[[#This Row],[Team B]],"")),""),"")</f>
        <v>-</v>
      </c>
      <c r="X1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-Michaël Denooz</v>
      </c>
      <c r="Y1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2" s="264" t="str">
        <f>IF(ResultsTeams[[#This Row],[Category]]="","",VLOOKUP(ResultsTeams[[#This Row],[Stage]],$R$1:$T$8,MATCH(ResultsTeams[[#This Row],[Category]],$S$1:$T$1,0)+1,FALSE))</f>
        <v/>
      </c>
      <c r="AC1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2" s="264" t="str">
        <f>IF(ResultsTeams[[#This Row],[Type]]="G",ResultsTeams[[#This Row],[Stage]],AD131)</f>
        <v>Groups</v>
      </c>
      <c r="AE132" s="395" t="str">
        <f>IF(ResultsTeams[[#This Row],[Type]]="G",INDEX(TeamsList[Club Name],MATCH(ResultsTeams[[#This Row],[Team A]],TeamsList[Team Name],0)),AE131)</f>
        <v>JSC Rochefort</v>
      </c>
      <c r="AF132" s="395" t="str">
        <f>IF(ResultsTeams[[#This Row],[Type]]="G",INDEX(TeamsList[Club Name],MATCH(ResultsTeams[[#This Row],[Team B]],TeamsList[Team Name],0)),AF131)</f>
        <v>FTC Issy-les-Moulineaux</v>
      </c>
      <c r="AG132" s="265"/>
      <c r="AI132" s="12">
        <f t="shared" si="105"/>
        <v>0</v>
      </c>
      <c r="AJ132" s="312"/>
      <c r="AK132" s="313"/>
      <c r="AL132" s="314"/>
      <c r="AM132" s="294" t="str">
        <f>IF(AV132="","",SMALL(AN126:AN132,ROWS(AM126:AM132)))</f>
        <v/>
      </c>
      <c r="AN132" s="295" t="str">
        <f>IF(AV132="","",RANK(AR132,AR126:AR132)*1000+ROWS(AN126:AN132))</f>
        <v/>
      </c>
      <c r="AO132" s="318" t="str">
        <f t="shared" si="98"/>
        <v/>
      </c>
      <c r="AP132" s="416" t="b">
        <f>AND(AU132&lt;&gt;"",AU132&gt;0,COUNTIF(AO126:AO132,AO132)&gt;1)</f>
        <v>0</v>
      </c>
      <c r="AQ132" s="318" t="str">
        <f t="shared" si="99"/>
        <v/>
      </c>
      <c r="AR132" s="319" t="str">
        <f t="shared" si="100"/>
        <v/>
      </c>
      <c r="AS132" s="416" t="b">
        <f>AND(AU132&lt;&gt;"",AU132&gt;0,COUNTIF(AR126:AR132,AR132)&gt;1)</f>
        <v>0</v>
      </c>
      <c r="AT132" s="358" t="str">
        <f t="shared" si="101"/>
        <v/>
      </c>
      <c r="AU132" s="359" t="str">
        <f t="shared" si="102"/>
        <v/>
      </c>
      <c r="AV132" s="359" t="str">
        <f>IF(OR(AI125="",AJ132=""),"",COUNTIF(ResultsTeams[Win],AI125&amp;"-"&amp;AJ132))</f>
        <v/>
      </c>
      <c r="AW132" s="359" t="str">
        <f>IF(OR(AI125="",AJ132=""),"",COUNTIF(ResultsTeams[[Draw1]:[Draw2]],AI125&amp;"-"&amp;AJ132))</f>
        <v/>
      </c>
      <c r="AX132" s="359" t="str">
        <f>IF(OR(AI125="",AJ132=""),"",COUNTIF(ResultsTeams[Lose],AI125&amp;"-"&amp;AJ132))</f>
        <v/>
      </c>
      <c r="AY132" s="359" t="str">
        <f>IF(OR(AI125="",AJ132=""),"",AV132-AX132)</f>
        <v/>
      </c>
      <c r="AZ132" s="359" t="str">
        <f>IF(OR(AI131="",AJ132=""),"",SUMIFS(ResultsTeams[Match-A],ResultsTeams[Stage],"Groups",ResultsTeams[Team A],AJ132)+SUMIFS(ResultsTeams[Match-B],ResultsTeams[Stage],"Groups",ResultsTeams[Team B],AJ132))</f>
        <v/>
      </c>
      <c r="BA132" s="359" t="str">
        <f>IF(OR(AI131="",AJ132=""),"",SUMIFS(ResultsTeams[Match-B],ResultsTeams[Stage],"Groups",ResultsTeams[Team A],AJ132)+SUMIFS(ResultsTeams[Match-A],ResultsTeams[Stage],"Groups",ResultsTeams[Team B],AJ132))</f>
        <v/>
      </c>
      <c r="BB132" s="359" t="str">
        <f t="shared" si="104"/>
        <v/>
      </c>
      <c r="BC132" s="359" t="str">
        <f>IF(OR(AI131="",AJ132=""),"",SUMIFS(ResultsTeams[Goal-A],ResultsTeams[Stage],"Groups",ResultsTeams[Team A],AJ132)+SUMIFS(ResultsTeams[Goal-B],ResultsTeams[Stage],"Groups",ResultsTeams[Team B],AJ132))</f>
        <v/>
      </c>
      <c r="BD132" s="359" t="str">
        <f>IF(OR(AI131="",AJ132=""),"",SUMIFS(ResultsTeams[Goal-B],ResultsTeams[Stage],"Groups",ResultsTeams[Team A],AJ132)+SUMIFS(ResultsTeams[Goal-A],ResultsTeams[Stage],"Groups",ResultsTeams[Team B],AJ132))</f>
        <v/>
      </c>
      <c r="BE132" s="360" t="str">
        <f>IF(OR(AI125="",AJ132=""),"",BC132-BD132)</f>
        <v/>
      </c>
      <c r="BF132" s="470" t="str">
        <f>IF(AM132="","",OR(VLOOKUP(AM132,AN126:BE132,3,FALSE),VLOOKUP(AM132,AN126:BE132,6,FALSE)))</f>
        <v/>
      </c>
      <c r="BG132" s="299" t="str">
        <f t="shared" si="103"/>
        <v/>
      </c>
      <c r="BH132" s="287" t="str">
        <f>IF(AM132="","",INDEX(AJ126:AJ132,MATCH(AM132,AN126:AN132,0)))</f>
        <v/>
      </c>
      <c r="BI132" s="288" t="str">
        <f>IF(AM132="","",VLOOKUP(AM132,AN126:BE132,COLUMN()-COLUMN(BB125),FALSE))</f>
        <v/>
      </c>
      <c r="BJ132" s="288" t="str">
        <f>IF(AM132="","",VLOOKUP(AM132,AN126:BE132,COLUMN()-COLUMN(BB125),FALSE))</f>
        <v/>
      </c>
      <c r="BK132" s="288" t="str">
        <f>IF(AM132="","",VLOOKUP(AM132,AN126:BE132,COLUMN()-COLUMN(BB125),FALSE))</f>
        <v/>
      </c>
      <c r="BL132" s="288" t="str">
        <f>IF(AM132="","",VLOOKUP(AM132,AN126:BE132,COLUMN()-COLUMN(BB125),FALSE))</f>
        <v/>
      </c>
      <c r="BM132" s="288" t="str">
        <f>IF(AM132="","",VLOOKUP(AM132,AN126:BE132,COLUMN()-COLUMN(BB125),FALSE))</f>
        <v/>
      </c>
      <c r="BN132" s="350" t="str">
        <f>IF(AM132="","",VLOOKUP(AM132,AN126:BE132,COLUMN()-COLUMN(BB125),FALSE))</f>
        <v/>
      </c>
      <c r="BO132" s="299" t="str">
        <f>IF(AM132="","",VLOOKUP(AM132,AN126:BE132,COLUMN()-COLUMN(BB125),FALSE))</f>
        <v/>
      </c>
      <c r="BP132" s="288" t="str">
        <f>IF(AM132="","",VLOOKUP(AM132,AN126:BE132,COLUMN()-COLUMN(BB125),FALSE))</f>
        <v/>
      </c>
      <c r="BQ132" s="302" t="str">
        <f>IF(AM132="","",VLOOKUP(AM132,AN126:BE132,COLUMN()-COLUMN(BB125),FALSE))</f>
        <v/>
      </c>
      <c r="BR132" s="353" t="str">
        <f>IF(AM132="","",VLOOKUP(AM132,AN126:BE132,COLUMN()-COLUMN(BB125),FALSE))</f>
        <v/>
      </c>
      <c r="BS132" s="288" t="str">
        <f>IF(AM132="","",VLOOKUP(AM132,AN126:BE132,COLUMN()-COLUMN(BB125),FALSE))</f>
        <v/>
      </c>
      <c r="BT132" s="302" t="str">
        <f>IF(AM132="","",VLOOKUP(AM132,AN126:BE132,COLUMN()-COLUMN(BB125),FALSE))</f>
        <v/>
      </c>
    </row>
    <row r="133" spans="1:72" ht="12" thickBot="1" x14ac:dyDescent="0.25">
      <c r="A133" s="62"/>
      <c r="B133" s="280"/>
      <c r="C133" s="62"/>
      <c r="D133" s="62"/>
      <c r="E133" s="241" t="s">
        <v>12234</v>
      </c>
      <c r="F133" s="246" t="s">
        <v>8192</v>
      </c>
      <c r="G133" s="246" t="s">
        <v>8699</v>
      </c>
      <c r="H133" s="254">
        <v>0</v>
      </c>
      <c r="I133" s="254">
        <v>1</v>
      </c>
      <c r="J133" s="254"/>
      <c r="K133" s="363"/>
      <c r="L133" s="363"/>
      <c r="M133" s="63"/>
      <c r="N133" s="265" t="b">
        <f>NOT(ISERROR(ResultsTeams[[#This Row],[Goal-A]]+ResultsTeams[[#This Row],[Goal-B]]))</f>
        <v>1</v>
      </c>
      <c r="O133" s="265">
        <f>IF(ResultsTeams[[#This Row],[Type]]="G",SUM(O134:O137),IF(LEFT(ResultsTeams[[#This Row],[Type]],1)="P",IF(ResultsTeams[[#This Row],[Goal-A]]&gt;ResultsTeams[[#This Row],[Goal-B]],1,0),""))</f>
        <v>0</v>
      </c>
      <c r="P133" s="265">
        <f>IF(ResultsTeams[[#This Row],[Type]]="G",SUM(P134:P137),IF(LEFT(ResultsTeams[[#This Row],[Type]],1)="P",IF(ResultsTeams[[#This Row],[Goal-A]]&lt;ResultsTeams[[#This Row],[Goal-B]],1,0),""))</f>
        <v>1</v>
      </c>
      <c r="Q133" s="265">
        <f>IF(ResultsTeams[[#This Row],[Type]]="G",SUM(Q134:Q137),IF(LEFT(ResultsTeams[[#This Row],[Type]],1)="P",VALUE(ResultsTeams[[#This Row],[Score-A]]),""))</f>
        <v>0</v>
      </c>
      <c r="R133" s="265">
        <f>IF(ResultsTeams[[#This Row],[Type]]="G",SUM(R134:R137),IF(LEFT(ResultsTeams[[#This Row],[Type]],1)="P",VALUE(ResultsTeams[[#This Row],[Score-B]]),""))</f>
        <v>1</v>
      </c>
      <c r="S133" s="265" t="str">
        <f ca="1">IF(AND(ResultsTeams[[#This Row],[Category]]&lt;&gt;"",ResultsTeams[[#This Row],[Team A]]&lt;&gt;""),COUNTIF(INDIRECT("TeamsList[Club Name]"),ResultsTeams[[#This Row],[Team A]]),"")</f>
        <v/>
      </c>
      <c r="T133" s="265" t="str">
        <f ca="1">IF(AND(ResultsTeams[[#This Row],[Category]]&lt;&gt;"",ResultsTeams[[#This Row],[Team B]]&lt;&gt;""),COUNTIF(INDIRECT("TeamsList[Club Name]"),ResultsTeams[[#This Row],[Team B]]),"")</f>
        <v/>
      </c>
      <c r="U1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Zaki</v>
      </c>
      <c r="V133" s="265" t="str">
        <f>IF(ResultsTeams[[#This Row],[Score_OK]],IF(ResultsTeams[[#This Row],[StageCpy]]="Groups",ResultsTeams[[#This Row],[Category]]&amp;"-"&amp;IF(ResultsTeams[[#This Row],[Team B]]="","",IF(ResultsTeams[[#This Row],[Match-A]]=ResultsTeams[[#This Row],[Match-B]],ResultsTeams[[#This Row],[Team A]],"")),""),"")</f>
        <v>-</v>
      </c>
      <c r="W133" s="265" t="str">
        <f>IF(ResultsTeams[[#This Row],[Score_OK]],IF(ResultsTeams[[#This Row],[StageCpy]]="Groups",ResultsTeams[[#This Row],[Category]]&amp;"-"&amp;IF(ResultsTeams[[#This Row],[Team B]]="","",IF(ResultsTeams[[#This Row],[Match-A]]=ResultsTeams[[#This Row],[Match-B]],ResultsTeams[[#This Row],[Team B]],"")),""),"")</f>
        <v>-</v>
      </c>
      <c r="X1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-Mathieu Marlair</v>
      </c>
      <c r="Y1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3" s="264" t="str">
        <f>IF(ResultsTeams[[#This Row],[Category]]="","",VLOOKUP(ResultsTeams[[#This Row],[Stage]],$R$1:$T$8,MATCH(ResultsTeams[[#This Row],[Category]],$S$1:$T$1,0)+1,FALSE))</f>
        <v/>
      </c>
      <c r="AC1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3" s="264" t="str">
        <f>IF(ResultsTeams[[#This Row],[Type]]="G",ResultsTeams[[#This Row],[Stage]],AD132)</f>
        <v>Groups</v>
      </c>
      <c r="AE133" s="395" t="str">
        <f>IF(ResultsTeams[[#This Row],[Type]]="G",INDEX(TeamsList[Club Name],MATCH(ResultsTeams[[#This Row],[Team A]],TeamsList[Team Name],0)),AE132)</f>
        <v>JSC Rochefort</v>
      </c>
      <c r="AF133" s="395" t="str">
        <f>IF(ResultsTeams[[#This Row],[Type]]="G",INDEX(TeamsList[Club Name],MATCH(ResultsTeams[[#This Row],[Team B]],TeamsList[Team Name],0)),AF132)</f>
        <v>FTC Issy-les-Moulineaux</v>
      </c>
      <c r="AG133" s="265"/>
    </row>
    <row r="134" spans="1:72" ht="12" thickBot="1" x14ac:dyDescent="0.25">
      <c r="A134" s="62"/>
      <c r="B134" s="280"/>
      <c r="C134" s="62"/>
      <c r="D134" s="62"/>
      <c r="E134" s="241" t="s">
        <v>12237</v>
      </c>
      <c r="F134" s="246" t="s">
        <v>8117</v>
      </c>
      <c r="G134" s="246" t="s">
        <v>8698</v>
      </c>
      <c r="H134" s="254">
        <v>2</v>
      </c>
      <c r="I134" s="254">
        <v>1</v>
      </c>
      <c r="J134" s="254"/>
      <c r="K134" s="363"/>
      <c r="L134" s="363"/>
      <c r="M134" s="63"/>
      <c r="N134" s="265" t="b">
        <f>NOT(ISERROR(ResultsTeams[[#This Row],[Goal-A]]+ResultsTeams[[#This Row],[Goal-B]]))</f>
        <v>1</v>
      </c>
      <c r="O134" s="265">
        <f>IF(ResultsTeams[[#This Row],[Type]]="G",SUM(O135:O138),IF(LEFT(ResultsTeams[[#This Row],[Type]],1)="P",IF(ResultsTeams[[#This Row],[Goal-A]]&gt;ResultsTeams[[#This Row],[Goal-B]],1,0),""))</f>
        <v>1</v>
      </c>
      <c r="P134" s="265">
        <f>IF(ResultsTeams[[#This Row],[Type]]="G",SUM(P135:P138),IF(LEFT(ResultsTeams[[#This Row],[Type]],1)="P",IF(ResultsTeams[[#This Row],[Goal-A]]&lt;ResultsTeams[[#This Row],[Goal-B]],1,0),""))</f>
        <v>0</v>
      </c>
      <c r="Q134" s="265">
        <f>IF(ResultsTeams[[#This Row],[Type]]="G",SUM(Q135:Q138),IF(LEFT(ResultsTeams[[#This Row],[Type]],1)="P",VALUE(ResultsTeams[[#This Row],[Score-A]]),""))</f>
        <v>2</v>
      </c>
      <c r="R134" s="265">
        <f>IF(ResultsTeams[[#This Row],[Type]]="G",SUM(R135:R138),IF(LEFT(ResultsTeams[[#This Row],[Type]],1)="P",VALUE(ResultsTeams[[#This Row],[Score-B]]),""))</f>
        <v>1</v>
      </c>
      <c r="S134" s="265" t="str">
        <f ca="1">IF(AND(ResultsTeams[[#This Row],[Category]]&lt;&gt;"",ResultsTeams[[#This Row],[Team A]]&lt;&gt;""),COUNTIF(INDIRECT("TeamsList[Club Name]"),ResultsTeams[[#This Row],[Team A]]),"")</f>
        <v/>
      </c>
      <c r="T134" s="265" t="str">
        <f ca="1">IF(AND(ResultsTeams[[#This Row],[Category]]&lt;&gt;"",ResultsTeams[[#This Row],[Team B]]&lt;&gt;""),COUNTIF(INDIRECT("TeamsList[Club Name]"),ResultsTeams[[#This Row],[Team B]]),"")</f>
        <v/>
      </c>
      <c r="U1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-Maxime Muraille</v>
      </c>
      <c r="V134" s="265" t="str">
        <f>IF(ResultsTeams[[#This Row],[Score_OK]],IF(ResultsTeams[[#This Row],[StageCpy]]="Groups",ResultsTeams[[#This Row],[Category]]&amp;"-"&amp;IF(ResultsTeams[[#This Row],[Team B]]="","",IF(ResultsTeams[[#This Row],[Match-A]]=ResultsTeams[[#This Row],[Match-B]],ResultsTeams[[#This Row],[Team A]],"")),""),"")</f>
        <v>-</v>
      </c>
      <c r="W134" s="265" t="str">
        <f>IF(ResultsTeams[[#This Row],[Score_OK]],IF(ResultsTeams[[#This Row],[StageCpy]]="Groups",ResultsTeams[[#This Row],[Category]]&amp;"-"&amp;IF(ResultsTeams[[#This Row],[Team B]]="","",IF(ResultsTeams[[#This Row],[Match-A]]=ResultsTeams[[#This Row],[Match-B]],ResultsTeams[[#This Row],[Team B]],"")),""),"")</f>
        <v>-</v>
      </c>
      <c r="X1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-Axel Modeste</v>
      </c>
      <c r="Y1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4" s="264" t="str">
        <f>IF(ResultsTeams[[#This Row],[Category]]="","",VLOOKUP(ResultsTeams[[#This Row],[Stage]],$R$1:$T$8,MATCH(ResultsTeams[[#This Row],[Category]],$S$1:$T$1,0)+1,FALSE))</f>
        <v/>
      </c>
      <c r="AC1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4" s="264" t="str">
        <f>IF(ResultsTeams[[#This Row],[Type]]="G",ResultsTeams[[#This Row],[Stage]],AD133)</f>
        <v>Groups</v>
      </c>
      <c r="AE134" s="395" t="str">
        <f>IF(ResultsTeams[[#This Row],[Type]]="G",INDEX(TeamsList[Club Name],MATCH(ResultsTeams[[#This Row],[Team A]],TeamsList[Team Name],0)),AE133)</f>
        <v>JSC Rochefort</v>
      </c>
      <c r="AF134" s="395" t="str">
        <f>IF(ResultsTeams[[#This Row],[Type]]="G",INDEX(TeamsList[Club Name],MATCH(ResultsTeams[[#This Row],[Team B]],TeamsList[Team Name],0)),AF133)</f>
        <v>FTC Issy-les-Moulineaux</v>
      </c>
      <c r="AG134" s="265"/>
      <c r="AH134" s="281" t="str">
        <f>IF(AI134="","",QUOTIENT(COUNTIF(AI$26:AI134,AI134)-1,8)+1)</f>
        <v/>
      </c>
      <c r="AI134" s="315"/>
      <c r="AJ134" s="289" t="s">
        <v>14438</v>
      </c>
      <c r="AK134" s="290" t="s">
        <v>12279</v>
      </c>
      <c r="AL134" s="300" t="s">
        <v>12275</v>
      </c>
      <c r="AM134" s="296" t="s">
        <v>12276</v>
      </c>
      <c r="AN134" s="291" t="s">
        <v>12271</v>
      </c>
      <c r="AO134" s="291" t="s">
        <v>12272</v>
      </c>
      <c r="AP134" s="414" t="s">
        <v>13154</v>
      </c>
      <c r="AQ134" s="291" t="s">
        <v>12273</v>
      </c>
      <c r="AR134" s="297" t="s">
        <v>12274</v>
      </c>
      <c r="AS134" s="414" t="s">
        <v>13154</v>
      </c>
      <c r="AT134" s="296" t="s">
        <v>12199</v>
      </c>
      <c r="AU134" s="291" t="s">
        <v>12200</v>
      </c>
      <c r="AV134" s="291" t="s">
        <v>12201</v>
      </c>
      <c r="AW134" s="291" t="s">
        <v>12202</v>
      </c>
      <c r="AX134" s="291" t="s">
        <v>12203</v>
      </c>
      <c r="AY134" s="291" t="s">
        <v>12697</v>
      </c>
      <c r="AZ134" s="291" t="s">
        <v>12698</v>
      </c>
      <c r="BA134" s="291" t="s">
        <v>12699</v>
      </c>
      <c r="BB134" s="291" t="s">
        <v>12700</v>
      </c>
      <c r="BC134" s="291" t="s">
        <v>12204</v>
      </c>
      <c r="BD134" s="291" t="s">
        <v>12205</v>
      </c>
      <c r="BE134" s="297" t="s">
        <v>12206</v>
      </c>
      <c r="BF134" s="395"/>
      <c r="BG134" s="282" t="s">
        <v>12276</v>
      </c>
      <c r="BH134" s="282" t="s">
        <v>12133</v>
      </c>
      <c r="BI134" s="283" t="s">
        <v>12199</v>
      </c>
      <c r="BJ134" s="283" t="s">
        <v>12200</v>
      </c>
      <c r="BK134" s="283" t="s">
        <v>12201</v>
      </c>
      <c r="BL134" s="283" t="s">
        <v>12202</v>
      </c>
      <c r="BM134" s="283" t="s">
        <v>12203</v>
      </c>
      <c r="BN134" s="290" t="s">
        <v>12697</v>
      </c>
      <c r="BO134" s="354" t="s">
        <v>12698</v>
      </c>
      <c r="BP134" s="283" t="s">
        <v>12699</v>
      </c>
      <c r="BQ134" s="300" t="s">
        <v>12700</v>
      </c>
      <c r="BR134" s="351" t="s">
        <v>12204</v>
      </c>
      <c r="BS134" s="283" t="s">
        <v>12205</v>
      </c>
      <c r="BT134" s="300" t="s">
        <v>12206</v>
      </c>
    </row>
    <row r="135" spans="1:72" x14ac:dyDescent="0.2">
      <c r="A135" s="62"/>
      <c r="B135" s="280"/>
      <c r="C135" s="62"/>
      <c r="D135" s="62"/>
      <c r="E135" s="241" t="s">
        <v>12240</v>
      </c>
      <c r="F135" s="246" t="s">
        <v>8092</v>
      </c>
      <c r="G135" s="246" t="s">
        <v>8694</v>
      </c>
      <c r="H135" s="254">
        <v>6</v>
      </c>
      <c r="I135" s="254">
        <v>1</v>
      </c>
      <c r="J135" s="254"/>
      <c r="K135" s="363"/>
      <c r="L135" s="363"/>
      <c r="M135" s="63"/>
      <c r="N135" s="265" t="b">
        <f>NOT(ISERROR(ResultsTeams[[#This Row],[Goal-A]]+ResultsTeams[[#This Row],[Goal-B]]))</f>
        <v>1</v>
      </c>
      <c r="O135" s="265">
        <f>IF(ResultsTeams[[#This Row],[Type]]="G",SUM(O136:O139),IF(LEFT(ResultsTeams[[#This Row],[Type]],1)="P",IF(ResultsTeams[[#This Row],[Goal-A]]&gt;ResultsTeams[[#This Row],[Goal-B]],1,0),""))</f>
        <v>1</v>
      </c>
      <c r="P135" s="265">
        <f>IF(ResultsTeams[[#This Row],[Type]]="G",SUM(P136:P139),IF(LEFT(ResultsTeams[[#This Row],[Type]],1)="P",IF(ResultsTeams[[#This Row],[Goal-A]]&lt;ResultsTeams[[#This Row],[Goal-B]],1,0),""))</f>
        <v>0</v>
      </c>
      <c r="Q135" s="265">
        <f>IF(ResultsTeams[[#This Row],[Type]]="G",SUM(Q136:Q139),IF(LEFT(ResultsTeams[[#This Row],[Type]],1)="P",VALUE(ResultsTeams[[#This Row],[Score-A]]),""))</f>
        <v>6</v>
      </c>
      <c r="R135" s="265">
        <f>IF(ResultsTeams[[#This Row],[Type]]="G",SUM(R136:R139),IF(LEFT(ResultsTeams[[#This Row],[Type]],1)="P",VALUE(ResultsTeams[[#This Row],[Score-B]]),""))</f>
        <v>1</v>
      </c>
      <c r="S135" s="265" t="str">
        <f ca="1">IF(AND(ResultsTeams[[#This Row],[Category]]&lt;&gt;"",ResultsTeams[[#This Row],[Team A]]&lt;&gt;""),COUNTIF(INDIRECT("TeamsList[Club Name]"),ResultsTeams[[#This Row],[Team A]]),"")</f>
        <v/>
      </c>
      <c r="T135" s="265" t="str">
        <f ca="1">IF(AND(ResultsTeams[[#This Row],[Category]]&lt;&gt;"",ResultsTeams[[#This Row],[Team B]]&lt;&gt;""),COUNTIF(INDIRECT("TeamsList[Club Name]"),ResultsTeams[[#This Row],[Team B]]),"")</f>
        <v/>
      </c>
      <c r="U1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-Nathan Dizier</v>
      </c>
      <c r="V135" s="265" t="str">
        <f>IF(ResultsTeams[[#This Row],[Score_OK]],IF(ResultsTeams[[#This Row],[StageCpy]]="Groups",ResultsTeams[[#This Row],[Category]]&amp;"-"&amp;IF(ResultsTeams[[#This Row],[Team B]]="","",IF(ResultsTeams[[#This Row],[Match-A]]=ResultsTeams[[#This Row],[Match-B]],ResultsTeams[[#This Row],[Team A]],"")),""),"")</f>
        <v>-</v>
      </c>
      <c r="W135" s="265" t="str">
        <f>IF(ResultsTeams[[#This Row],[Score_OK]],IF(ResultsTeams[[#This Row],[StageCpy]]="Groups",ResultsTeams[[#This Row],[Category]]&amp;"-"&amp;IF(ResultsTeams[[#This Row],[Team B]]="","",IF(ResultsTeams[[#This Row],[Match-A]]=ResultsTeams[[#This Row],[Match-B]],ResultsTeams[[#This Row],[Team B]],"")),""),"")</f>
        <v>-</v>
      </c>
      <c r="X1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-Thierry Vivron</v>
      </c>
      <c r="Y1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5" s="264" t="str">
        <f>IF(ResultsTeams[[#This Row],[Category]]="","",VLOOKUP(ResultsTeams[[#This Row],[Stage]],$R$1:$T$8,MATCH(ResultsTeams[[#This Row],[Category]],$S$1:$T$1,0)+1,FALSE))</f>
        <v/>
      </c>
      <c r="AC1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5" s="264" t="str">
        <f>IF(ResultsTeams[[#This Row],[Type]]="G",ResultsTeams[[#This Row],[Stage]],AD134)</f>
        <v>Groups</v>
      </c>
      <c r="AE135" s="395" t="str">
        <f>IF(ResultsTeams[[#This Row],[Type]]="G",INDEX(TeamsList[Club Name],MATCH(ResultsTeams[[#This Row],[Team A]],TeamsList[Team Name],0)),AE134)</f>
        <v>JSC Rochefort</v>
      </c>
      <c r="AF135" s="395" t="str">
        <f>IF(ResultsTeams[[#This Row],[Type]]="G",INDEX(TeamsList[Club Name],MATCH(ResultsTeams[[#This Row],[Team B]],TeamsList[Team Name],0)),AF134)</f>
        <v>FTC Issy-les-Moulineaux</v>
      </c>
      <c r="AG135" s="265"/>
      <c r="AI135" s="12">
        <f>AI134</f>
        <v>0</v>
      </c>
      <c r="AJ135" s="309"/>
      <c r="AK135" s="320"/>
      <c r="AL135" s="311"/>
      <c r="AM135" s="292" t="str">
        <f>IF(AV135="","",SMALL(AN135:AN141,ROWS(AM135:AM135)))</f>
        <v/>
      </c>
      <c r="AN135" s="293" t="str">
        <f>IF(AV135="","",RANK(AR135,AR135:AR141)*1000+ROWS(AN135:AN135))</f>
        <v/>
      </c>
      <c r="AO135" s="316" t="str">
        <f t="shared" ref="AO135:AO141" si="106">IF(AV135="","",AT135*CritClassEq1_Points+AY135*CritClassEq1_DiffRencontres+BB135*CritClassEq1_DiffMatches+BE135*CritClassEq1_DiffButs+AZ135*CritClassEq1_Matches+BC135*CritClassEq1_Attaque)</f>
        <v/>
      </c>
      <c r="AP135" s="415" t="b">
        <f>AND(AU135&lt;&gt;"",AU135&gt;0,COUNTIF(AO135:AO141,AO135)&gt;1)</f>
        <v>0</v>
      </c>
      <c r="AQ135" s="316" t="str">
        <f t="shared" ref="AQ135:AQ141" si="107">IF(AV135="","",CritClassEq_DiffPart*AK135)</f>
        <v/>
      </c>
      <c r="AR135" s="317" t="str">
        <f t="shared" ref="AR135:AR141" si="108">IF(AV135="","",AO135+AQ135+AT135*CritClassEq2_Points+AY135*CritClassEq2_DiffRencontres+BB135*CritClassEq2_DiffMatches+BE135*CritClassEq2_DiffButs+AZ135*CritClassEq2_Matches+BC135*CritClassEq2_Attaque+AL135)</f>
        <v/>
      </c>
      <c r="AS135" s="415" t="b">
        <f>AND(AU135&lt;&gt;"",AU135&gt;0,COUNTIF(AR135:AR141,AR135)&gt;1)</f>
        <v>0</v>
      </c>
      <c r="AT135" s="355" t="str">
        <f t="shared" ref="AT135:AT141" si="109">IF(AV135="","",(AV135*Points_Victoire)+AW135*Points_Null)</f>
        <v/>
      </c>
      <c r="AU135" s="356" t="str">
        <f t="shared" ref="AU135:AU141" si="110">IF(AV135="","",SUM(AV135:AX135))</f>
        <v/>
      </c>
      <c r="AV135" s="356" t="str">
        <f>IF(OR(AI134="",AJ135=""),"",COUNTIF(ResultsTeams[Win],AI134&amp;"-"&amp;AJ135))</f>
        <v/>
      </c>
      <c r="AW135" s="356" t="str">
        <f>IF(OR(AI134="",AJ135=""),"",COUNTIF(ResultsTeams[[Draw1]:[Draw2]],AI134&amp;"-"&amp;AJ135))</f>
        <v/>
      </c>
      <c r="AX135" s="356" t="str">
        <f>IF(OR(AI134="",AJ135=""),"",COUNTIF(ResultsTeams[Lose],AI134&amp;"-"&amp;AJ135))</f>
        <v/>
      </c>
      <c r="AY135" s="356" t="str">
        <f>IF(OR(AI134="",AJ135=""),"",AV135-AX135)</f>
        <v/>
      </c>
      <c r="AZ135" s="356" t="str">
        <f>IF(OR(AI134="",AJ135=""),"",SUMIFS(ResultsTeams[Match-A],ResultsTeams[Stage],"Groups",ResultsTeams[Team A],AJ135)+SUMIFS(ResultsTeams[Match-B],ResultsTeams[Stage],"Groups",ResultsTeams[Team B],AJ135))</f>
        <v/>
      </c>
      <c r="BA135" s="356" t="str">
        <f>IF(OR(AI134="",AJ135=""),"",SUMIFS(ResultsTeams[Match-B],ResultsTeams[Stage],"Groups",ResultsTeams[Team A],AJ135)+SUMIFS(ResultsTeams[Match-A],ResultsTeams[Stage],"Groups",ResultsTeams[Team B],AJ135))</f>
        <v/>
      </c>
      <c r="BB135" s="356" t="str">
        <f>IF(OR(AI134="",AJ135=""),"",AZ135-BA135)</f>
        <v/>
      </c>
      <c r="BC135" s="356" t="str">
        <f>IF(OR(AI134="",AJ135=""),"",SUMIFS(ResultsTeams[Goal-A],ResultsTeams[Stage],"Groups",ResultsTeams[Team A],AJ135)+SUMIFS(ResultsTeams[Goal-B],ResultsTeams[Stage],"Groups",ResultsTeams[Team B],AJ135))</f>
        <v/>
      </c>
      <c r="BD135" s="356" t="str">
        <f>IF(OR(AI134="",AJ135=""),"",SUMIFS(ResultsTeams[Goal-B],ResultsTeams[Stage],"Groups",ResultsTeams[Team A],AJ135)+SUMIFS(ResultsTeams[Goal-A],ResultsTeams[Stage],"Groups",ResultsTeams[Team B],AJ135))</f>
        <v/>
      </c>
      <c r="BE135" s="357" t="str">
        <f>IF(OR(AI134="",AJ135=""),"",BC135-BD135)</f>
        <v/>
      </c>
      <c r="BF135" s="470" t="str">
        <f>IF(AM135="","",OR(VLOOKUP(AM135,AN135:BE141,3,FALSE),VLOOKUP(AM135,AN135:BE141,6,FALSE)))</f>
        <v/>
      </c>
      <c r="BG135" s="298" t="str">
        <f t="shared" ref="BG135:BG141" si="111">IF(AM135="","",INT(AM135/1000))</f>
        <v/>
      </c>
      <c r="BH135" s="285" t="str">
        <f>IF(AM135="","",INDEX(AJ135:AJ141,MATCH(AM135,AN135:AN141,0)))</f>
        <v/>
      </c>
      <c r="BI135" s="286" t="str">
        <f>IF(AM135="","",VLOOKUP(AM135,AN135:BE141,COLUMN()-COLUMN(BB134),FALSE))</f>
        <v/>
      </c>
      <c r="BJ135" s="286" t="str">
        <f>IF(AM135="","",VLOOKUP(AM135,AN135:BE141,COLUMN()-COLUMN(BB134),FALSE))</f>
        <v/>
      </c>
      <c r="BK135" s="286" t="str">
        <f>IF(AM135="","",VLOOKUP(AM135,AN135:BE141,COLUMN()-COLUMN(BB134),FALSE))</f>
        <v/>
      </c>
      <c r="BL135" s="286" t="str">
        <f>IF(AM135="","",VLOOKUP(AM135,AN135:BE141,COLUMN()-COLUMN(BB134),FALSE))</f>
        <v/>
      </c>
      <c r="BM135" s="286" t="str">
        <f>IF(AM135="","",VLOOKUP(AM135,AN135:BE141,COLUMN()-COLUMN(BB134),FALSE))</f>
        <v/>
      </c>
      <c r="BN135" s="349" t="str">
        <f>IF(AM135="","",VLOOKUP(AM135,AN135:BE141,COLUMN()-COLUMN(BB134),FALSE))</f>
        <v/>
      </c>
      <c r="BO135" s="298" t="str">
        <f>IF(AM135="","",VLOOKUP(AM135,AN135:BE141,COLUMN()-COLUMN(BB134),FALSE))</f>
        <v/>
      </c>
      <c r="BP135" s="286" t="str">
        <f>IF(AM135="","",VLOOKUP(AM135,AN135:BE141,COLUMN()-COLUMN(BB134),FALSE))</f>
        <v/>
      </c>
      <c r="BQ135" s="301" t="str">
        <f>IF(AM135="","",VLOOKUP(AM135,AN135:BE141,COLUMN()-COLUMN(BB134),FALSE))</f>
        <v/>
      </c>
      <c r="BR135" s="352" t="str">
        <f>IF(AM135="","",VLOOKUP(AM135,AN135:BE141,COLUMN()-COLUMN(BB134),FALSE))</f>
        <v/>
      </c>
      <c r="BS135" s="286" t="str">
        <f>IF(AM135="","",VLOOKUP(AM135,AN135:BE141,COLUMN()-COLUMN(BB134),FALSE))</f>
        <v/>
      </c>
      <c r="BT135" s="301" t="str">
        <f>IF(AM135="","",VLOOKUP(AM135,AN135:BE141,COLUMN()-COLUMN(BB134),FALSE))</f>
        <v/>
      </c>
    </row>
    <row r="136" spans="1:72" x14ac:dyDescent="0.2">
      <c r="A136" s="62"/>
      <c r="B136" s="62"/>
      <c r="C136" s="62"/>
      <c r="D136" s="62"/>
      <c r="E136" s="241" t="s">
        <v>12243</v>
      </c>
      <c r="F136" s="247"/>
      <c r="G136" s="247"/>
      <c r="H136" s="254"/>
      <c r="I136" s="254"/>
      <c r="J136" s="260"/>
      <c r="K136" s="364"/>
      <c r="L136" s="364"/>
      <c r="M136" s="63"/>
      <c r="N136" s="265" t="b">
        <f>NOT(ISERROR(ResultsTeams[[#This Row],[Goal-A]]+ResultsTeams[[#This Row],[Goal-B]]))</f>
        <v>0</v>
      </c>
      <c r="O136" s="265" t="str">
        <f>IF(ResultsTeams[[#This Row],[Type]]="G",SUM(O137:O140),IF(LEFT(ResultsTeams[[#This Row],[Type]],1)="P",IF(ResultsTeams[[#This Row],[Goal-A]]&gt;ResultsTeams[[#This Row],[Goal-B]],1,0),""))</f>
        <v/>
      </c>
      <c r="P136" s="265" t="str">
        <f>IF(ResultsTeams[[#This Row],[Type]]="G",SUM(P137:P140),IF(LEFT(ResultsTeams[[#This Row],[Type]],1)="P",IF(ResultsTeams[[#This Row],[Goal-A]]&lt;ResultsTeams[[#This Row],[Goal-B]],1,0),""))</f>
        <v/>
      </c>
      <c r="Q136" s="265" t="str">
        <f>IF(ResultsTeams[[#This Row],[Type]]="G",SUM(Q137:Q140),IF(LEFT(ResultsTeams[[#This Row],[Type]],1)="P",VALUE(ResultsTeams[[#This Row],[Score-A]]),""))</f>
        <v/>
      </c>
      <c r="R136" s="265" t="str">
        <f>IF(ResultsTeams[[#This Row],[Type]]="G",SUM(R137:R140),IF(LEFT(ResultsTeams[[#This Row],[Type]],1)="P",VALUE(ResultsTeams[[#This Row],[Score-B]]),""))</f>
        <v/>
      </c>
      <c r="S136" s="265" t="str">
        <f ca="1">IF(AND(ResultsTeams[[#This Row],[Category]]&lt;&gt;"",ResultsTeams[[#This Row],[Team A]]&lt;&gt;""),COUNTIF(INDIRECT("TeamsList[Club Name]"),ResultsTeams[[#This Row],[Team A]]),"")</f>
        <v/>
      </c>
      <c r="T136" s="265" t="str">
        <f ca="1">IF(AND(ResultsTeams[[#This Row],[Category]]&lt;&gt;"",ResultsTeams[[#This Row],[Team B]]&lt;&gt;""),COUNTIF(INDIRECT("TeamsList[Club Name]"),ResultsTeams[[#This Row],[Team B]]),"")</f>
        <v/>
      </c>
      <c r="U1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6" s="265" t="str">
        <f>IF(ResultsTeams[[#This Row],[Score_OK]],IF(ResultsTeams[[#This Row],[StageCpy]]="Groups",ResultsTeams[[#This Row],[Category]]&amp;"-"&amp;IF(ResultsTeams[[#This Row],[Team B]]="","",IF(ResultsTeams[[#This Row],[Match-A]]=ResultsTeams[[#This Row],[Match-B]],ResultsTeams[[#This Row],[Team A]],"")),""),"")</f>
        <v/>
      </c>
      <c r="W136" s="265" t="str">
        <f>IF(ResultsTeams[[#This Row],[Score_OK]],IF(ResultsTeams[[#This Row],[StageCpy]]="Groups",ResultsTeams[[#This Row],[Category]]&amp;"-"&amp;IF(ResultsTeams[[#This Row],[Team B]]="","",IF(ResultsTeams[[#This Row],[Match-A]]=ResultsTeams[[#This Row],[Match-B]],ResultsTeams[[#This Row],[Team B]],"")),""),"")</f>
        <v/>
      </c>
      <c r="X1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6" s="264" t="str">
        <f>IF(ResultsTeams[[#This Row],[Category]]="","",VLOOKUP(ResultsTeams[[#This Row],[Stage]],$R$1:$T$8,MATCH(ResultsTeams[[#This Row],[Category]],$S$1:$T$1,0)+1,FALSE))</f>
        <v/>
      </c>
      <c r="AC1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6" s="264" t="str">
        <f>IF(ResultsTeams[[#This Row],[Type]]="G",ResultsTeams[[#This Row],[Stage]],AD135)</f>
        <v>Groups</v>
      </c>
      <c r="AE136" s="395" t="str">
        <f>IF(ResultsTeams[[#This Row],[Type]]="G",INDEX(TeamsList[Club Name],MATCH(ResultsTeams[[#This Row],[Team A]],TeamsList[Team Name],0)),AE135)</f>
        <v>JSC Rochefort</v>
      </c>
      <c r="AF136" s="395" t="str">
        <f>IF(ResultsTeams[[#This Row],[Type]]="G",INDEX(TeamsList[Club Name],MATCH(ResultsTeams[[#This Row],[Team B]],TeamsList[Team Name],0)),AF135)</f>
        <v>FTC Issy-les-Moulineaux</v>
      </c>
      <c r="AG136" s="265"/>
      <c r="AI136" s="12">
        <f>AI135</f>
        <v>0</v>
      </c>
      <c r="AJ136" s="309"/>
      <c r="AK136" s="320"/>
      <c r="AL136" s="311"/>
      <c r="AM136" s="292" t="str">
        <f>IF(AV136="","",SMALL(AN135:AN141,ROWS(AM135:AM136)))</f>
        <v/>
      </c>
      <c r="AN136" s="293" t="str">
        <f>IF(AV136="","",RANK(AR136,AR135:AR141)*1000+ROWS(AN135:AN136))</f>
        <v/>
      </c>
      <c r="AO136" s="316" t="str">
        <f t="shared" si="106"/>
        <v/>
      </c>
      <c r="AP136" s="415" t="b">
        <f>AND(AU136&lt;&gt;"",AU136&gt;0,COUNTIF(AO135:AO141,AO136)&gt;1)</f>
        <v>0</v>
      </c>
      <c r="AQ136" s="316" t="str">
        <f t="shared" si="107"/>
        <v/>
      </c>
      <c r="AR136" s="317" t="str">
        <f t="shared" si="108"/>
        <v/>
      </c>
      <c r="AS136" s="415" t="b">
        <f>AND(AU136&lt;&gt;"",AU136&gt;0,COUNTIF(AR135:AR141,AR136)&gt;1)</f>
        <v>0</v>
      </c>
      <c r="AT136" s="355" t="str">
        <f t="shared" si="109"/>
        <v/>
      </c>
      <c r="AU136" s="356" t="str">
        <f t="shared" si="110"/>
        <v/>
      </c>
      <c r="AV136" s="356" t="str">
        <f>IF(OR(AI134="",AJ136=""),"",COUNTIF(ResultsTeams[Win],AI134&amp;"-"&amp;AJ136))</f>
        <v/>
      </c>
      <c r="AW136" s="356" t="str">
        <f>IF(OR(AI134="",AJ136=""),"",COUNTIF(ResultsTeams[[Draw1]:[Draw2]],AI134&amp;"-"&amp;AJ136))</f>
        <v/>
      </c>
      <c r="AX136" s="356" t="str">
        <f>IF(OR(AI134="",AJ136=""),"",COUNTIF(ResultsTeams[Lose],AI134&amp;"-"&amp;AJ136))</f>
        <v/>
      </c>
      <c r="AY136" s="356" t="str">
        <f>IF(OR(AI134="",AJ136=""),"",AV136-AX136)</f>
        <v/>
      </c>
      <c r="AZ136" s="356" t="str">
        <f>IF(OR(AI135="",AJ136=""),"",SUMIFS(ResultsTeams[Match-A],ResultsTeams[Stage],"Groups",ResultsTeams[Team A],AJ136)+SUMIFS(ResultsTeams[Match-B],ResultsTeams[Stage],"Groups",ResultsTeams[Team B],AJ136))</f>
        <v/>
      </c>
      <c r="BA136" s="356" t="str">
        <f>IF(OR(AI135="",AJ136=""),"",SUMIFS(ResultsTeams[Match-B],ResultsTeams[Stage],"Groups",ResultsTeams[Team A],AJ136)+SUMIFS(ResultsTeams[Match-A],ResultsTeams[Stage],"Groups",ResultsTeams[Team B],AJ136))</f>
        <v/>
      </c>
      <c r="BB136" s="356" t="str">
        <f t="shared" ref="BB136:BB141" si="112">IF(OR(AI135="",AJ136=""),"",AZ136-BA136)</f>
        <v/>
      </c>
      <c r="BC136" s="356" t="str">
        <f>IF(OR(AI135="",AJ136=""),"",SUMIFS(ResultsTeams[Goal-A],ResultsTeams[Stage],"Groups",ResultsTeams[Team A],AJ136)+SUMIFS(ResultsTeams[Goal-B],ResultsTeams[Stage],"Groups",ResultsTeams[Team B],AJ136))</f>
        <v/>
      </c>
      <c r="BD136" s="356" t="str">
        <f>IF(OR(AI135="",AJ136=""),"",SUMIFS(ResultsTeams[Goal-B],ResultsTeams[Stage],"Groups",ResultsTeams[Team A],AJ136)+SUMIFS(ResultsTeams[Goal-A],ResultsTeams[Stage],"Groups",ResultsTeams[Team B],AJ136))</f>
        <v/>
      </c>
      <c r="BE136" s="357" t="str">
        <f>IF(OR(AI134="",AJ136=""),"",BC136-BD136)</f>
        <v/>
      </c>
      <c r="BF136" s="470" t="str">
        <f>IF(AM136="","",OR(VLOOKUP(AM136,AN135:BE141,3,FALSE),VLOOKUP(AM136,AN135:BE141,6,FALSE)))</f>
        <v/>
      </c>
      <c r="BG136" s="298" t="str">
        <f t="shared" si="111"/>
        <v/>
      </c>
      <c r="BH136" s="285" t="str">
        <f>IF(AM136="","",INDEX(AJ135:AJ141,MATCH(AM136,AN135:AN141,0)))</f>
        <v/>
      </c>
      <c r="BI136" s="286" t="str">
        <f>IF(AM136="","",VLOOKUP(AM136,AN135:BE141,COLUMN()-COLUMN(BB134),FALSE))</f>
        <v/>
      </c>
      <c r="BJ136" s="286" t="str">
        <f>IF(AM136="","",VLOOKUP(AM136,AN135:BE141,COLUMN()-COLUMN(BB134),FALSE))</f>
        <v/>
      </c>
      <c r="BK136" s="286" t="str">
        <f>IF(AM136="","",VLOOKUP(AM136,AN135:BE141,COLUMN()-COLUMN(BB134),FALSE))</f>
        <v/>
      </c>
      <c r="BL136" s="286" t="str">
        <f>IF(AM136="","",VLOOKUP(AM136,AN135:BE141,COLUMN()-COLUMN(BB134),FALSE))</f>
        <v/>
      </c>
      <c r="BM136" s="286" t="str">
        <f>IF(AM136="","",VLOOKUP(AM136,AN135:BE141,COLUMN()-COLUMN(BB134),FALSE))</f>
        <v/>
      </c>
      <c r="BN136" s="349" t="str">
        <f>IF(AM136="","",VLOOKUP(AM136,AN135:BE141,COLUMN()-COLUMN(BB134),FALSE))</f>
        <v/>
      </c>
      <c r="BO136" s="298" t="str">
        <f>IF(AM136="","",VLOOKUP(AM136,AN135:BE141,COLUMN()-COLUMN(BB134),FALSE))</f>
        <v/>
      </c>
      <c r="BP136" s="286" t="str">
        <f>IF(AM136="","",VLOOKUP(AM136,AN135:BE141,COLUMN()-COLUMN(BB134),FALSE))</f>
        <v/>
      </c>
      <c r="BQ136" s="301" t="str">
        <f>IF(AM136="","",VLOOKUP(AM136,AN135:BE141,COLUMN()-COLUMN(BB134),FALSE))</f>
        <v/>
      </c>
      <c r="BR136" s="352" t="str">
        <f>IF(AM136="","",VLOOKUP(AM136,AN135:BE141,COLUMN()-COLUMN(BB134),FALSE))</f>
        <v/>
      </c>
      <c r="BS136" s="286" t="str">
        <f>IF(AM136="","",VLOOKUP(AM136,AN135:BE141,COLUMN()-COLUMN(BB134),FALSE))</f>
        <v/>
      </c>
      <c r="BT136" s="301" t="str">
        <f>IF(AM136="","",VLOOKUP(AM136,AN135:BE141,COLUMN()-COLUMN(BB134),FALSE))</f>
        <v/>
      </c>
    </row>
    <row r="137" spans="1:72" ht="12" thickBot="1" x14ac:dyDescent="0.25">
      <c r="A137" s="83"/>
      <c r="B137" s="83"/>
      <c r="C137" s="83"/>
      <c r="D137" s="83"/>
      <c r="E137" s="268" t="s">
        <v>12244</v>
      </c>
      <c r="F137" s="262"/>
      <c r="G137" s="262"/>
      <c r="H137" s="324"/>
      <c r="I137" s="324"/>
      <c r="J137" s="263"/>
      <c r="K137" s="365"/>
      <c r="L137" s="365"/>
      <c r="M137" s="84"/>
      <c r="N137" s="265" t="b">
        <f>NOT(ISERROR(ResultsTeams[[#This Row],[Goal-A]]+ResultsTeams[[#This Row],[Goal-B]]))</f>
        <v>0</v>
      </c>
      <c r="O137" s="265" t="str">
        <f>IF(ResultsTeams[[#This Row],[Type]]="G",SUM(O138:O141),IF(LEFT(ResultsTeams[[#This Row],[Type]],1)="P",IF(ResultsTeams[[#This Row],[Goal-A]]&gt;ResultsTeams[[#This Row],[Goal-B]],1,0),""))</f>
        <v/>
      </c>
      <c r="P137" s="265" t="str">
        <f>IF(ResultsTeams[[#This Row],[Type]]="G",SUM(P138:P141),IF(LEFT(ResultsTeams[[#This Row],[Type]],1)="P",IF(ResultsTeams[[#This Row],[Goal-A]]&lt;ResultsTeams[[#This Row],[Goal-B]],1,0),""))</f>
        <v/>
      </c>
      <c r="Q137" s="265" t="str">
        <f>IF(ResultsTeams[[#This Row],[Type]]="G",SUM(Q138:Q141),IF(LEFT(ResultsTeams[[#This Row],[Type]],1)="P",VALUE(ResultsTeams[[#This Row],[Score-A]]),""))</f>
        <v/>
      </c>
      <c r="R137" s="265" t="str">
        <f>IF(ResultsTeams[[#This Row],[Type]]="G",SUM(R138:R141),IF(LEFT(ResultsTeams[[#This Row],[Type]],1)="P",VALUE(ResultsTeams[[#This Row],[Score-B]]),""))</f>
        <v/>
      </c>
      <c r="S137" s="265" t="str">
        <f ca="1">IF(AND(ResultsTeams[[#This Row],[Category]]&lt;&gt;"",ResultsTeams[[#This Row],[Team A]]&lt;&gt;""),COUNTIF(INDIRECT("TeamsList[Club Name]"),ResultsTeams[[#This Row],[Team A]]),"")</f>
        <v/>
      </c>
      <c r="T137" s="265" t="str">
        <f ca="1">IF(AND(ResultsTeams[[#This Row],[Category]]&lt;&gt;"",ResultsTeams[[#This Row],[Team B]]&lt;&gt;""),COUNTIF(INDIRECT("TeamsList[Club Name]"),ResultsTeams[[#This Row],[Team B]]),"")</f>
        <v/>
      </c>
      <c r="U1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7" s="265" t="str">
        <f>IF(ResultsTeams[[#This Row],[Score_OK]],IF(ResultsTeams[[#This Row],[StageCpy]]="Groups",ResultsTeams[[#This Row],[Category]]&amp;"-"&amp;IF(ResultsTeams[[#This Row],[Team B]]="","",IF(ResultsTeams[[#This Row],[Match-A]]=ResultsTeams[[#This Row],[Match-B]],ResultsTeams[[#This Row],[Team A]],"")),""),"")</f>
        <v/>
      </c>
      <c r="W137" s="265" t="str">
        <f>IF(ResultsTeams[[#This Row],[Score_OK]],IF(ResultsTeams[[#This Row],[StageCpy]]="Groups",ResultsTeams[[#This Row],[Category]]&amp;"-"&amp;IF(ResultsTeams[[#This Row],[Team B]]="","",IF(ResultsTeams[[#This Row],[Match-A]]=ResultsTeams[[#This Row],[Match-B]],ResultsTeams[[#This Row],[Team B]],"")),""),"")</f>
        <v/>
      </c>
      <c r="X1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7" s="264" t="str">
        <f>IF(ResultsTeams[[#This Row],[Category]]="","",VLOOKUP(ResultsTeams[[#This Row],[Stage]],$R$1:$T$8,MATCH(ResultsTeams[[#This Row],[Category]],$S$1:$T$1,0)+1,FALSE))</f>
        <v/>
      </c>
      <c r="AC1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7" s="264" t="str">
        <f>IF(ResultsTeams[[#This Row],[Type]]="G",ResultsTeams[[#This Row],[Stage]],AD136)</f>
        <v>Groups</v>
      </c>
      <c r="AE137" s="395" t="str">
        <f>IF(ResultsTeams[[#This Row],[Type]]="G",INDEX(TeamsList[Club Name],MATCH(ResultsTeams[[#This Row],[Team A]],TeamsList[Team Name],0)),AE136)</f>
        <v>JSC Rochefort</v>
      </c>
      <c r="AF137" s="395" t="str">
        <f>IF(ResultsTeams[[#This Row],[Type]]="G",INDEX(TeamsList[Club Name],MATCH(ResultsTeams[[#This Row],[Team B]],TeamsList[Team Name],0)),AF136)</f>
        <v>FTC Issy-les-Moulineaux</v>
      </c>
      <c r="AG137" s="265"/>
      <c r="AI137" s="12">
        <f t="shared" ref="AI137:AI141" si="113">AI136</f>
        <v>0</v>
      </c>
      <c r="AJ137" s="309"/>
      <c r="AK137" s="320"/>
      <c r="AL137" s="311"/>
      <c r="AM137" s="292" t="str">
        <f>IF(AV137="","",SMALL(AN135:AN141,ROWS(AM135:AM137)))</f>
        <v/>
      </c>
      <c r="AN137" s="293" t="str">
        <f>IF(AV137="","",RANK(AR137,AR135:AR141)*1000+ROWS(AN135:AN137))</f>
        <v/>
      </c>
      <c r="AO137" s="316" t="str">
        <f t="shared" si="106"/>
        <v/>
      </c>
      <c r="AP137" s="415" t="b">
        <f>AND(AU137&lt;&gt;"",AU137&gt;0,COUNTIF(AO135:AO141,AO137)&gt;1)</f>
        <v>0</v>
      </c>
      <c r="AQ137" s="316" t="str">
        <f t="shared" si="107"/>
        <v/>
      </c>
      <c r="AR137" s="317" t="str">
        <f t="shared" si="108"/>
        <v/>
      </c>
      <c r="AS137" s="415" t="b">
        <f>AND(AU137&lt;&gt;"",AU137&gt;0,COUNTIF(AR135:AR141,AR137)&gt;1)</f>
        <v>0</v>
      </c>
      <c r="AT137" s="355" t="str">
        <f t="shared" si="109"/>
        <v/>
      </c>
      <c r="AU137" s="356" t="str">
        <f t="shared" si="110"/>
        <v/>
      </c>
      <c r="AV137" s="356" t="str">
        <f>IF(OR(AI134="",AJ137=""),"",COUNTIF(ResultsTeams[Win],AI134&amp;"-"&amp;AJ137))</f>
        <v/>
      </c>
      <c r="AW137" s="356" t="str">
        <f>IF(OR(AI134="",AJ137=""),"",COUNTIF(ResultsTeams[[Draw1]:[Draw2]],AI134&amp;"-"&amp;AJ137))</f>
        <v/>
      </c>
      <c r="AX137" s="356" t="str">
        <f>IF(OR(AI134="",AJ137=""),"",COUNTIF(ResultsTeams[Lose],AI134&amp;"-"&amp;AJ137))</f>
        <v/>
      </c>
      <c r="AY137" s="356" t="str">
        <f>IF(OR(AI134="",AJ137=""),"",AV137-AX137)</f>
        <v/>
      </c>
      <c r="AZ137" s="356" t="str">
        <f>IF(OR(AI136="",AJ137=""),"",SUMIFS(ResultsTeams[Match-A],ResultsTeams[Stage],"Groups",ResultsTeams[Team A],AJ137)+SUMIFS(ResultsTeams[Match-B],ResultsTeams[Stage],"Groups",ResultsTeams[Team B],AJ137))</f>
        <v/>
      </c>
      <c r="BA137" s="356" t="str">
        <f>IF(OR(AI136="",AJ137=""),"",SUMIFS(ResultsTeams[Match-B],ResultsTeams[Stage],"Groups",ResultsTeams[Team A],AJ137)+SUMIFS(ResultsTeams[Match-A],ResultsTeams[Stage],"Groups",ResultsTeams[Team B],AJ137))</f>
        <v/>
      </c>
      <c r="BB137" s="356" t="str">
        <f t="shared" si="112"/>
        <v/>
      </c>
      <c r="BC137" s="356" t="str">
        <f>IF(OR(AI136="",AJ137=""),"",SUMIFS(ResultsTeams[Goal-A],ResultsTeams[Stage],"Groups",ResultsTeams[Team A],AJ137)+SUMIFS(ResultsTeams[Goal-B],ResultsTeams[Stage],"Groups",ResultsTeams[Team B],AJ137))</f>
        <v/>
      </c>
      <c r="BD137" s="356" t="str">
        <f>IF(OR(AI136="",AJ137=""),"",SUMIFS(ResultsTeams[Goal-B],ResultsTeams[Stage],"Groups",ResultsTeams[Team A],AJ137)+SUMIFS(ResultsTeams[Goal-A],ResultsTeams[Stage],"Groups",ResultsTeams[Team B],AJ137))</f>
        <v/>
      </c>
      <c r="BE137" s="357" t="str">
        <f>IF(OR(AI134="",AJ137=""),"",BC137-BD137)</f>
        <v/>
      </c>
      <c r="BF137" s="470" t="str">
        <f>IF(AM137="","",OR(VLOOKUP(AM137,AN135:BE141,3,FALSE),VLOOKUP(AM137,AN135:BE141,6,FALSE)))</f>
        <v/>
      </c>
      <c r="BG137" s="298" t="str">
        <f t="shared" si="111"/>
        <v/>
      </c>
      <c r="BH137" s="285" t="str">
        <f>IF(AM137="","",INDEX(AJ135:AJ141,MATCH(AM137,AN135:AN141,0)))</f>
        <v/>
      </c>
      <c r="BI137" s="286" t="str">
        <f>IF(AM137="","",VLOOKUP(AM137,AN135:BE141,COLUMN()-COLUMN(BB134),FALSE))</f>
        <v/>
      </c>
      <c r="BJ137" s="286" t="str">
        <f>IF(AM137="","",VLOOKUP(AM137,AN135:BE141,COLUMN()-COLUMN(BB134),FALSE))</f>
        <v/>
      </c>
      <c r="BK137" s="286" t="str">
        <f>IF(AM137="","",VLOOKUP(AM137,AN135:BE141,COLUMN()-COLUMN(BB134),FALSE))</f>
        <v/>
      </c>
      <c r="BL137" s="286" t="str">
        <f>IF(AM137="","",VLOOKUP(AM137,AN135:BE141,COLUMN()-COLUMN(BB134),FALSE))</f>
        <v/>
      </c>
      <c r="BM137" s="286" t="str">
        <f>IF(AM137="","",VLOOKUP(AM137,AN135:BE141,COLUMN()-COLUMN(BB134),FALSE))</f>
        <v/>
      </c>
      <c r="BN137" s="349" t="str">
        <f>IF(AM137="","",VLOOKUP(AM137,AN135:BE141,COLUMN()-COLUMN(BB134),FALSE))</f>
        <v/>
      </c>
      <c r="BO137" s="298" t="str">
        <f>IF(AM137="","",VLOOKUP(AM137,AN135:BE141,COLUMN()-COLUMN(BB134),FALSE))</f>
        <v/>
      </c>
      <c r="BP137" s="286" t="str">
        <f>IF(AM137="","",VLOOKUP(AM137,AN135:BE141,COLUMN()-COLUMN(BB134),FALSE))</f>
        <v/>
      </c>
      <c r="BQ137" s="301" t="str">
        <f>IF(AM137="","",VLOOKUP(AM137,AN135:BE141,COLUMN()-COLUMN(BB134),FALSE))</f>
        <v/>
      </c>
      <c r="BR137" s="352" t="str">
        <f>IF(AM137="","",VLOOKUP(AM137,AN135:BE141,COLUMN()-COLUMN(BB134),FALSE))</f>
        <v/>
      </c>
      <c r="BS137" s="286" t="str">
        <f>IF(AM137="","",VLOOKUP(AM137,AN135:BE141,COLUMN()-COLUMN(BB134),FALSE))</f>
        <v/>
      </c>
      <c r="BT137" s="301" t="str">
        <f>IF(AM137="","",VLOOKUP(AM137,AN135:BE141,COLUMN()-COLUMN(BB134),FALSE))</f>
        <v/>
      </c>
    </row>
    <row r="138" spans="1:72" ht="12" thickBot="1" x14ac:dyDescent="0.25">
      <c r="A138" s="261" t="s">
        <v>12693</v>
      </c>
      <c r="B138" s="270" t="s">
        <v>12207</v>
      </c>
      <c r="C138" s="270">
        <v>3</v>
      </c>
      <c r="D138" s="270"/>
      <c r="E138" s="272" t="s">
        <v>12228</v>
      </c>
      <c r="F138" s="273" t="s">
        <v>14590</v>
      </c>
      <c r="G138" s="273" t="s">
        <v>794</v>
      </c>
      <c r="H138" s="275">
        <v>1</v>
      </c>
      <c r="I138" s="275">
        <v>2</v>
      </c>
      <c r="J138" s="275"/>
      <c r="K138" s="366"/>
      <c r="L138" s="366"/>
      <c r="M138" s="274"/>
      <c r="N138" s="265" t="b">
        <f>NOT(ISERROR(ResultsTeams[[#This Row],[Goal-A]]+ResultsTeams[[#This Row],[Goal-B]]))</f>
        <v>1</v>
      </c>
      <c r="O138" s="265">
        <f>IF(ResultsTeams[[#This Row],[Type]]="G",SUM(O139:O142),IF(LEFT(ResultsTeams[[#This Row],[Type]],1)="P",IF(ResultsTeams[[#This Row],[Goal-A]]&gt;ResultsTeams[[#This Row],[Goal-B]],1,0),""))</f>
        <v>1</v>
      </c>
      <c r="P138" s="265">
        <f>IF(ResultsTeams[[#This Row],[Type]]="G",SUM(P139:P142),IF(LEFT(ResultsTeams[[#This Row],[Type]],1)="P",IF(ResultsTeams[[#This Row],[Goal-A]]&lt;ResultsTeams[[#This Row],[Goal-B]],1,0),""))</f>
        <v>2</v>
      </c>
      <c r="Q138" s="265">
        <f>IF(ResultsTeams[[#This Row],[Type]]="G",SUM(Q139:Q142),IF(LEFT(ResultsTeams[[#This Row],[Type]],1)="P",VALUE(ResultsTeams[[#This Row],[Score-A]]),""))</f>
        <v>8</v>
      </c>
      <c r="R138" s="265">
        <f>IF(ResultsTeams[[#This Row],[Type]]="G",SUM(R139:R142),IF(LEFT(ResultsTeams[[#This Row],[Type]],1)="P",VALUE(ResultsTeams[[#This Row],[Score-B]]),""))</f>
        <v>14</v>
      </c>
      <c r="S138" s="265">
        <f ca="1">IF(AND(ResultsTeams[[#This Row],[Category]]&lt;&gt;"",ResultsTeams[[#This Row],[Team A]]&lt;&gt;""),COUNTIF(INDIRECT("TeamsList[Club Name]"),ResultsTeams[[#This Row],[Team A]]),"")</f>
        <v>0</v>
      </c>
      <c r="T138" s="265">
        <f ca="1">IF(AND(ResultsTeams[[#This Row],[Category]]&lt;&gt;"",ResultsTeams[[#This Row],[Team B]]&lt;&gt;""),COUNTIF(INDIRECT("TeamsList[Club Name]"),ResultsTeams[[#This Row],[Team B]]),"")</f>
        <v>1</v>
      </c>
      <c r="U1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TEAM-Bormla SC</v>
      </c>
      <c r="V138" s="265" t="str">
        <f>IF(ResultsTeams[[#This Row],[Score_OK]],IF(ResultsTeams[[#This Row],[StageCpy]]="Groups",ResultsTeams[[#This Row],[Category]]&amp;"-"&amp;IF(ResultsTeams[[#This Row],[Team B]]="","",IF(ResultsTeams[[#This Row],[Match-A]]=ResultsTeams[[#This Row],[Match-B]],ResultsTeams[[#This Row],[Team A]],"")),""),"")</f>
        <v>TEAM-</v>
      </c>
      <c r="W138" s="265" t="str">
        <f>IF(ResultsTeams[[#This Row],[Score_OK]],IF(ResultsTeams[[#This Row],[StageCpy]]="Groups",ResultsTeams[[#This Row],[Category]]&amp;"-"&amp;IF(ResultsTeams[[#This Row],[Team B]]="","",IF(ResultsTeams[[#This Row],[Match-A]]=ResultsTeams[[#This Row],[Match-B]],ResultsTeams[[#This Row],[Team B]],"")),""),"")</f>
        <v>TEAM-</v>
      </c>
      <c r="X1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TEAM-FTC Issy-les-Moulineaux 2</v>
      </c>
      <c r="Y1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 2</v>
      </c>
      <c r="AA1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Issy-les-Moulineaux 2</v>
      </c>
      <c r="AB138" s="264" t="str">
        <f>IF(ResultsTeams[[#This Row],[Category]]="","",VLOOKUP(ResultsTeams[[#This Row],[Stage]],$R$1:$T$8,MATCH(ResultsTeams[[#This Row],[Category]],$S$1:$T$1,0)+1,FALSE))</f>
        <v>PR1</v>
      </c>
      <c r="AC1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8" s="264" t="str">
        <f>IF(ResultsTeams[[#This Row],[Type]]="G",ResultsTeams[[#This Row],[Stage]],AD137)</f>
        <v>Groups</v>
      </c>
      <c r="AE138" s="395" t="str">
        <f>IF(ResultsTeams[[#This Row],[Type]]="G",INDEX(TeamsList[Club Name],MATCH(ResultsTeams[[#This Row],[Team A]],TeamsList[Team Name],0)),AE137)</f>
        <v>FTC Issy-les-Moulineaux</v>
      </c>
      <c r="AF138" s="395" t="str">
        <f>IF(ResultsTeams[[#This Row],[Type]]="G",INDEX(TeamsList[Club Name],MATCH(ResultsTeams[[#This Row],[Team B]],TeamsList[Team Name],0)),AF137)</f>
        <v>Bormla SC</v>
      </c>
      <c r="AG138" s="265"/>
      <c r="AH138" s="91"/>
      <c r="AI138" s="12">
        <f t="shared" si="113"/>
        <v>0</v>
      </c>
      <c r="AJ138" s="309"/>
      <c r="AK138" s="310"/>
      <c r="AL138" s="311"/>
      <c r="AM138" s="292" t="str">
        <f>IF(AV138="","",SMALL(AN135:AN141,ROWS(AM135:AM138)))</f>
        <v/>
      </c>
      <c r="AN138" s="293" t="str">
        <f>IF(AV138="","",RANK(AR138,AR135:AR141)*1000+ROWS(AN135:AN138))</f>
        <v/>
      </c>
      <c r="AO138" s="316" t="str">
        <f t="shared" si="106"/>
        <v/>
      </c>
      <c r="AP138" s="415" t="b">
        <f>AND(AU138&lt;&gt;"",AU138&gt;0,COUNTIF(AO135:AO141,AO138)&gt;1)</f>
        <v>0</v>
      </c>
      <c r="AQ138" s="316" t="str">
        <f t="shared" si="107"/>
        <v/>
      </c>
      <c r="AR138" s="317" t="str">
        <f t="shared" si="108"/>
        <v/>
      </c>
      <c r="AS138" s="415" t="b">
        <f>AND(AU138&lt;&gt;"",AU138&gt;0,COUNTIF(AR135:AR141,AR138)&gt;1)</f>
        <v>0</v>
      </c>
      <c r="AT138" s="355" t="str">
        <f t="shared" si="109"/>
        <v/>
      </c>
      <c r="AU138" s="356" t="str">
        <f t="shared" si="110"/>
        <v/>
      </c>
      <c r="AV138" s="356" t="str">
        <f>IF(OR(AI134="",AJ138=""),"",COUNTIF(ResultsTeams[Win],AI134&amp;"-"&amp;AJ138))</f>
        <v/>
      </c>
      <c r="AW138" s="356" t="str">
        <f>IF(OR(AI134="",AJ138=""),"",COUNTIF(ResultsTeams[[Draw1]:[Draw2]],AI134&amp;"-"&amp;AJ138))</f>
        <v/>
      </c>
      <c r="AX138" s="356" t="str">
        <f>IF(OR(AI134="",AJ138=""),"",COUNTIF(ResultsTeams[Lose],AI134&amp;"-"&amp;AJ138))</f>
        <v/>
      </c>
      <c r="AY138" s="356" t="str">
        <f>IF(OR(AI134="",AJ138=""),"",AV138-AX138)</f>
        <v/>
      </c>
      <c r="AZ138" s="356" t="str">
        <f>IF(OR(AI137="",AJ138=""),"",SUMIFS(ResultsTeams[Match-A],ResultsTeams[Stage],"Groups",ResultsTeams[Team A],AJ138)+SUMIFS(ResultsTeams[Match-B],ResultsTeams[Stage],"Groups",ResultsTeams[Team B],AJ138))</f>
        <v/>
      </c>
      <c r="BA138" s="356" t="str">
        <f>IF(OR(AI137="",AJ138=""),"",SUMIFS(ResultsTeams[Match-B],ResultsTeams[Stage],"Groups",ResultsTeams[Team A],AJ138)+SUMIFS(ResultsTeams[Match-A],ResultsTeams[Stage],"Groups",ResultsTeams[Team B],AJ138))</f>
        <v/>
      </c>
      <c r="BB138" s="356" t="str">
        <f t="shared" si="112"/>
        <v/>
      </c>
      <c r="BC138" s="356" t="str">
        <f>IF(OR(AI137="",AJ138=""),"",SUMIFS(ResultsTeams[Goal-A],ResultsTeams[Stage],"Groups",ResultsTeams[Team A],AJ138)+SUMIFS(ResultsTeams[Goal-B],ResultsTeams[Stage],"Groups",ResultsTeams[Team B],AJ138))</f>
        <v/>
      </c>
      <c r="BD138" s="356" t="str">
        <f>IF(OR(AI137="",AJ138=""),"",SUMIFS(ResultsTeams[Goal-B],ResultsTeams[Stage],"Groups",ResultsTeams[Team A],AJ138)+SUMIFS(ResultsTeams[Goal-A],ResultsTeams[Stage],"Groups",ResultsTeams[Team B],AJ138))</f>
        <v/>
      </c>
      <c r="BE138" s="357" t="str">
        <f>IF(OR(AI134="",AJ138=""),"",BC138-BD138)</f>
        <v/>
      </c>
      <c r="BF138" s="470" t="str">
        <f>IF(AM138="","",OR(VLOOKUP(AM138,AN135:BE141,3,FALSE),VLOOKUP(AM138,AN135:BE141,6,FALSE)))</f>
        <v/>
      </c>
      <c r="BG138" s="298" t="str">
        <f t="shared" si="111"/>
        <v/>
      </c>
      <c r="BH138" s="285" t="str">
        <f>IF(AM138="","",INDEX(AJ135:AJ141,MATCH(AM138,AN135:AN141,0)))</f>
        <v/>
      </c>
      <c r="BI138" s="286" t="str">
        <f>IF(AM138="","",VLOOKUP(AM138,AN135:BE141,COLUMN()-COLUMN(BB134),FALSE))</f>
        <v/>
      </c>
      <c r="BJ138" s="286" t="str">
        <f>IF(AM138="","",VLOOKUP(AM138,AN135:BE141,COLUMN()-COLUMN(BB134),FALSE))</f>
        <v/>
      </c>
      <c r="BK138" s="286" t="str">
        <f>IF(AM138="","",VLOOKUP(AM138,AN135:BE141,COLUMN()-COLUMN(BB134),FALSE))</f>
        <v/>
      </c>
      <c r="BL138" s="286" t="str">
        <f>IF(AM138="","",VLOOKUP(AM138,AN135:BE141,COLUMN()-COLUMN(BB134),FALSE))</f>
        <v/>
      </c>
      <c r="BM138" s="286" t="str">
        <f>IF(AM138="","",VLOOKUP(AM138,AN135:BE141,COLUMN()-COLUMN(BB134),FALSE))</f>
        <v/>
      </c>
      <c r="BN138" s="349" t="str">
        <f>IF(AM138="","",VLOOKUP(AM138,AN135:BE141,COLUMN()-COLUMN(BB134),FALSE))</f>
        <v/>
      </c>
      <c r="BO138" s="298" t="str">
        <f>IF(AM138="","",VLOOKUP(AM138,AN135:BE141,COLUMN()-COLUMN(BB134),FALSE))</f>
        <v/>
      </c>
      <c r="BP138" s="286" t="str">
        <f>IF(AM138="","",VLOOKUP(AM138,AN135:BE141,COLUMN()-COLUMN(BB134),FALSE))</f>
        <v/>
      </c>
      <c r="BQ138" s="301" t="str">
        <f>IF(AM138="","",VLOOKUP(AM138,AN135:BE141,COLUMN()-COLUMN(BB134),FALSE))</f>
        <v/>
      </c>
      <c r="BR138" s="352" t="str">
        <f>IF(AM138="","",VLOOKUP(AM138,AN135:BE141,COLUMN()-COLUMN(BB134),FALSE))</f>
        <v/>
      </c>
      <c r="BS138" s="286" t="str">
        <f>IF(AM138="","",VLOOKUP(AM138,AN135:BE141,COLUMN()-COLUMN(BB134),FALSE))</f>
        <v/>
      </c>
      <c r="BT138" s="301" t="str">
        <f>IF(AM138="","",VLOOKUP(AM138,AN135:BE141,COLUMN()-COLUMN(BB134),FALSE))</f>
        <v/>
      </c>
    </row>
    <row r="139" spans="1:72" x14ac:dyDescent="0.2">
      <c r="A139" s="60"/>
      <c r="B139" s="280"/>
      <c r="C139" s="60"/>
      <c r="D139" s="60"/>
      <c r="E139" s="240" t="s">
        <v>12231</v>
      </c>
      <c r="F139" s="244" t="s">
        <v>8699</v>
      </c>
      <c r="G139" s="244" t="s">
        <v>10434</v>
      </c>
      <c r="H139" s="253">
        <v>1</v>
      </c>
      <c r="I139" s="253">
        <v>6</v>
      </c>
      <c r="J139" s="253"/>
      <c r="K139" s="362"/>
      <c r="L139" s="362"/>
      <c r="M139" s="245"/>
      <c r="N139" s="265" t="b">
        <f>NOT(ISERROR(ResultsTeams[[#This Row],[Goal-A]]+ResultsTeams[[#This Row],[Goal-B]]))</f>
        <v>1</v>
      </c>
      <c r="O139" s="265">
        <f>IF(ResultsTeams[[#This Row],[Type]]="G",SUM(O140:O143),IF(LEFT(ResultsTeams[[#This Row],[Type]],1)="P",IF(ResultsTeams[[#This Row],[Goal-A]]&gt;ResultsTeams[[#This Row],[Goal-B]],1,0),""))</f>
        <v>0</v>
      </c>
      <c r="P139" s="265">
        <f>IF(ResultsTeams[[#This Row],[Type]]="G",SUM(P140:P143),IF(LEFT(ResultsTeams[[#This Row],[Type]],1)="P",IF(ResultsTeams[[#This Row],[Goal-A]]&lt;ResultsTeams[[#This Row],[Goal-B]],1,0),""))</f>
        <v>1</v>
      </c>
      <c r="Q139" s="265">
        <f>IF(ResultsTeams[[#This Row],[Type]]="G",SUM(Q140:Q143),IF(LEFT(ResultsTeams[[#This Row],[Type]],1)="P",VALUE(ResultsTeams[[#This Row],[Score-A]]),""))</f>
        <v>1</v>
      </c>
      <c r="R139" s="265">
        <f>IF(ResultsTeams[[#This Row],[Type]]="G",SUM(R140:R143),IF(LEFT(ResultsTeams[[#This Row],[Type]],1)="P",VALUE(ResultsTeams[[#This Row],[Score-B]]),""))</f>
        <v>6</v>
      </c>
      <c r="S139" s="265" t="str">
        <f ca="1">IF(AND(ResultsTeams[[#This Row],[Category]]&lt;&gt;"",ResultsTeams[[#This Row],[Team A]]&lt;&gt;""),COUNTIF(INDIRECT("TeamsList[Club Name]"),ResultsTeams[[#This Row],[Team A]]),"")</f>
        <v/>
      </c>
      <c r="T139" s="265" t="str">
        <f ca="1">IF(AND(ResultsTeams[[#This Row],[Category]]&lt;&gt;"",ResultsTeams[[#This Row],[Team B]]&lt;&gt;""),COUNTIF(INDIRECT("TeamsList[Club Name]"),ResultsTeams[[#This Row],[Team B]]),"")</f>
        <v/>
      </c>
      <c r="U1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Zammit</v>
      </c>
      <c r="V139" s="265" t="str">
        <f>IF(ResultsTeams[[#This Row],[Score_OK]],IF(ResultsTeams[[#This Row],[StageCpy]]="Groups",ResultsTeams[[#This Row],[Category]]&amp;"-"&amp;IF(ResultsTeams[[#This Row],[Team B]]="","",IF(ResultsTeams[[#This Row],[Match-A]]=ResultsTeams[[#This Row],[Match-B]],ResultsTeams[[#This Row],[Team A]],"")),""),"")</f>
        <v>-</v>
      </c>
      <c r="W139" s="265" t="str">
        <f>IF(ResultsTeams[[#This Row],[Score_OK]],IF(ResultsTeams[[#This Row],[StageCpy]]="Groups",ResultsTeams[[#This Row],[Category]]&amp;"-"&amp;IF(ResultsTeams[[#This Row],[Team B]]="","",IF(ResultsTeams[[#This Row],[Match-A]]=ResultsTeams[[#This Row],[Match-B]],ResultsTeams[[#This Row],[Team B]],"")),""),"")</f>
        <v>-</v>
      </c>
      <c r="X1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Zaki</v>
      </c>
      <c r="Y1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9" s="264" t="str">
        <f>IF(ResultsTeams[[#This Row],[Category]]="","",VLOOKUP(ResultsTeams[[#This Row],[Stage]],$R$1:$T$8,MATCH(ResultsTeams[[#This Row],[Category]],$S$1:$T$1,0)+1,FALSE))</f>
        <v/>
      </c>
      <c r="AC1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9" s="264" t="str">
        <f>IF(ResultsTeams[[#This Row],[Type]]="G",ResultsTeams[[#This Row],[Stage]],AD138)</f>
        <v>Groups</v>
      </c>
      <c r="AE139" s="395" t="str">
        <f>IF(ResultsTeams[[#This Row],[Type]]="G",INDEX(TeamsList[Club Name],MATCH(ResultsTeams[[#This Row],[Team A]],TeamsList[Team Name],0)),AE138)</f>
        <v>FTC Issy-les-Moulineaux</v>
      </c>
      <c r="AF139" s="395" t="str">
        <f>IF(ResultsTeams[[#This Row],[Type]]="G",INDEX(TeamsList[Club Name],MATCH(ResultsTeams[[#This Row],[Team B]],TeamsList[Team Name],0)),AF138)</f>
        <v>Bormla SC</v>
      </c>
      <c r="AG139" s="265"/>
      <c r="AH139" s="91"/>
      <c r="AI139" s="12">
        <f t="shared" si="113"/>
        <v>0</v>
      </c>
      <c r="AJ139" s="309"/>
      <c r="AK139" s="310"/>
      <c r="AL139" s="311"/>
      <c r="AM139" s="292" t="str">
        <f>IF(AV139="","",SMALL(AN135:AN141,ROWS(AM135:AM139)))</f>
        <v/>
      </c>
      <c r="AN139" s="293" t="str">
        <f>IF(AV139="","",RANK(AR139,AR135:AR141)*1000+ROWS(AN135:AN139))</f>
        <v/>
      </c>
      <c r="AO139" s="316" t="str">
        <f t="shared" si="106"/>
        <v/>
      </c>
      <c r="AP139" s="415" t="b">
        <f>AND(AU139&lt;&gt;"",AU139&gt;0,COUNTIF(AO135:AO141,AO139)&gt;1)</f>
        <v>0</v>
      </c>
      <c r="AQ139" s="316" t="str">
        <f t="shared" si="107"/>
        <v/>
      </c>
      <c r="AR139" s="317" t="str">
        <f t="shared" si="108"/>
        <v/>
      </c>
      <c r="AS139" s="415" t="b">
        <f>AND(AU139&lt;&gt;"",AU139&gt;0,COUNTIF(AR135:AR141,AR139)&gt;1)</f>
        <v>0</v>
      </c>
      <c r="AT139" s="355" t="str">
        <f t="shared" si="109"/>
        <v/>
      </c>
      <c r="AU139" s="356" t="str">
        <f t="shared" si="110"/>
        <v/>
      </c>
      <c r="AV139" s="356" t="str">
        <f>IF(OR(AI134="",AJ139=""),"",COUNTIF(ResultsTeams[Win],AI134&amp;"-"&amp;AJ139))</f>
        <v/>
      </c>
      <c r="AW139" s="356" t="str">
        <f>IF(OR(AI134="",AJ139=""),"",COUNTIF(ResultsTeams[[Draw1]:[Draw2]],AI134&amp;"-"&amp;AJ139))</f>
        <v/>
      </c>
      <c r="AX139" s="356" t="str">
        <f>IF(OR(AI134="",AJ139=""),"",COUNTIF(ResultsTeams[Lose],AI134&amp;"-"&amp;AJ139))</f>
        <v/>
      </c>
      <c r="AY139" s="356" t="str">
        <f>IF(OR(AI134="",AJ139=""),"",AV139-AX139)</f>
        <v/>
      </c>
      <c r="AZ139" s="356" t="str">
        <f>IF(OR(AI138="",AJ139=""),"",SUMIFS(ResultsTeams[Match-A],ResultsTeams[Stage],"Groups",ResultsTeams[Team A],AJ139)+SUMIFS(ResultsTeams[Match-B],ResultsTeams[Stage],"Groups",ResultsTeams[Team B],AJ139))</f>
        <v/>
      </c>
      <c r="BA139" s="356" t="str">
        <f>IF(OR(AI138="",AJ139=""),"",SUMIFS(ResultsTeams[Match-B],ResultsTeams[Stage],"Groups",ResultsTeams[Team A],AJ139)+SUMIFS(ResultsTeams[Match-A],ResultsTeams[Stage],"Groups",ResultsTeams[Team B],AJ139))</f>
        <v/>
      </c>
      <c r="BB139" s="356" t="str">
        <f t="shared" si="112"/>
        <v/>
      </c>
      <c r="BC139" s="356" t="str">
        <f>IF(OR(AI138="",AJ139=""),"",SUMIFS(ResultsTeams[Goal-A],ResultsTeams[Stage],"Groups",ResultsTeams[Team A],AJ139)+SUMIFS(ResultsTeams[Goal-B],ResultsTeams[Stage],"Groups",ResultsTeams[Team B],AJ139))</f>
        <v/>
      </c>
      <c r="BD139" s="356" t="str">
        <f>IF(OR(AI138="",AJ139=""),"",SUMIFS(ResultsTeams[Goal-B],ResultsTeams[Stage],"Groups",ResultsTeams[Team A],AJ139)+SUMIFS(ResultsTeams[Goal-A],ResultsTeams[Stage],"Groups",ResultsTeams[Team B],AJ139))</f>
        <v/>
      </c>
      <c r="BE139" s="357" t="str">
        <f>IF(OR(AI134="",AJ139=""),"",BC139-BD139)</f>
        <v/>
      </c>
      <c r="BF139" s="470" t="str">
        <f>IF(AM139="","",OR(VLOOKUP(AM139,AN135:BE141,3,FALSE),VLOOKUP(AM139,AN135:BE141,6,FALSE)))</f>
        <v/>
      </c>
      <c r="BG139" s="298" t="str">
        <f t="shared" si="111"/>
        <v/>
      </c>
      <c r="BH139" s="285" t="str">
        <f>IF(AM139="","",INDEX(AJ135:AJ141,MATCH(AM139,AN135:AN141,0)))</f>
        <v/>
      </c>
      <c r="BI139" s="286" t="str">
        <f>IF(AM139="","",VLOOKUP(AM139,AN135:BE141,COLUMN()-COLUMN(BB134),FALSE))</f>
        <v/>
      </c>
      <c r="BJ139" s="286" t="str">
        <f>IF(AM139="","",VLOOKUP(AM139,AN135:BE141,COLUMN()-COLUMN(BB134),FALSE))</f>
        <v/>
      </c>
      <c r="BK139" s="286" t="str">
        <f>IF(AM139="","",VLOOKUP(AM139,AN135:BE141,COLUMN()-COLUMN(BB134),FALSE))</f>
        <v/>
      </c>
      <c r="BL139" s="286" t="str">
        <f>IF(AM139="","",VLOOKUP(AM139,AN135:BE141,COLUMN()-COLUMN(BB134),FALSE))</f>
        <v/>
      </c>
      <c r="BM139" s="286" t="str">
        <f>IF(AM139="","",VLOOKUP(AM139,AN135:BE141,COLUMN()-COLUMN(BB134),FALSE))</f>
        <v/>
      </c>
      <c r="BN139" s="349" t="str">
        <f>IF(AM139="","",VLOOKUP(AM139,AN135:BE141,COLUMN()-COLUMN(BB134),FALSE))</f>
        <v/>
      </c>
      <c r="BO139" s="298" t="str">
        <f>IF(AM139="","",VLOOKUP(AM139,AN135:BE141,COLUMN()-COLUMN(BB134),FALSE))</f>
        <v/>
      </c>
      <c r="BP139" s="286" t="str">
        <f>IF(AM139="","",VLOOKUP(AM139,AN135:BE141,COLUMN()-COLUMN(BB134),FALSE))</f>
        <v/>
      </c>
      <c r="BQ139" s="301" t="str">
        <f>IF(AM139="","",VLOOKUP(AM139,AN135:BE141,COLUMN()-COLUMN(BB134),FALSE))</f>
        <v/>
      </c>
      <c r="BR139" s="352" t="str">
        <f>IF(AM139="","",VLOOKUP(AM139,AN135:BE141,COLUMN()-COLUMN(BB134),FALSE))</f>
        <v/>
      </c>
      <c r="BS139" s="286" t="str">
        <f>IF(AM139="","",VLOOKUP(AM139,AN135:BE141,COLUMN()-COLUMN(BB134),FALSE))</f>
        <v/>
      </c>
      <c r="BT139" s="301" t="str">
        <f>IF(AM139="","",VLOOKUP(AM139,AN135:BE141,COLUMN()-COLUMN(BB134),FALSE))</f>
        <v/>
      </c>
    </row>
    <row r="140" spans="1:72" x14ac:dyDescent="0.2">
      <c r="A140" s="62"/>
      <c r="B140" s="280"/>
      <c r="C140" s="62"/>
      <c r="D140" s="62"/>
      <c r="E140" s="241" t="s">
        <v>12234</v>
      </c>
      <c r="F140" s="246" t="s">
        <v>8725</v>
      </c>
      <c r="G140" s="246" t="s">
        <v>8062</v>
      </c>
      <c r="H140" s="254">
        <v>3</v>
      </c>
      <c r="I140" s="254">
        <v>5</v>
      </c>
      <c r="J140" s="254"/>
      <c r="K140" s="363"/>
      <c r="L140" s="363"/>
      <c r="M140" s="247"/>
      <c r="N140" s="265" t="b">
        <f>NOT(ISERROR(ResultsTeams[[#This Row],[Goal-A]]+ResultsTeams[[#This Row],[Goal-B]]))</f>
        <v>1</v>
      </c>
      <c r="O140" s="265">
        <f>IF(ResultsTeams[[#This Row],[Type]]="G",SUM(O141:O144),IF(LEFT(ResultsTeams[[#This Row],[Type]],1)="P",IF(ResultsTeams[[#This Row],[Goal-A]]&gt;ResultsTeams[[#This Row],[Goal-B]],1,0),""))</f>
        <v>0</v>
      </c>
      <c r="P140" s="265">
        <f>IF(ResultsTeams[[#This Row],[Type]]="G",SUM(P141:P144),IF(LEFT(ResultsTeams[[#This Row],[Type]],1)="P",IF(ResultsTeams[[#This Row],[Goal-A]]&lt;ResultsTeams[[#This Row],[Goal-B]],1,0),""))</f>
        <v>1</v>
      </c>
      <c r="Q140" s="265">
        <f>IF(ResultsTeams[[#This Row],[Type]]="G",SUM(Q141:Q144),IF(LEFT(ResultsTeams[[#This Row],[Type]],1)="P",VALUE(ResultsTeams[[#This Row],[Score-A]]),""))</f>
        <v>3</v>
      </c>
      <c r="R140" s="265">
        <f>IF(ResultsTeams[[#This Row],[Type]]="G",SUM(R141:R144),IF(LEFT(ResultsTeams[[#This Row],[Type]],1)="P",VALUE(ResultsTeams[[#This Row],[Score-B]]),""))</f>
        <v>5</v>
      </c>
      <c r="S140" s="265" t="str">
        <f ca="1">IF(AND(ResultsTeams[[#This Row],[Category]]&lt;&gt;"",ResultsTeams[[#This Row],[Team A]]&lt;&gt;""),COUNTIF(INDIRECT("TeamsList[Club Name]"),ResultsTeams[[#This Row],[Team A]]),"")</f>
        <v/>
      </c>
      <c r="T140" s="265" t="str">
        <f ca="1">IF(AND(ResultsTeams[[#This Row],[Category]]&lt;&gt;"",ResultsTeams[[#This Row],[Team B]]&lt;&gt;""),COUNTIF(INDIRECT("TeamsList[Club Name]"),ResultsTeams[[#This Row],[Team B]]),"")</f>
        <v/>
      </c>
      <c r="U1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Busch</v>
      </c>
      <c r="V140" s="265" t="str">
        <f>IF(ResultsTeams[[#This Row],[Score_OK]],IF(ResultsTeams[[#This Row],[StageCpy]]="Groups",ResultsTeams[[#This Row],[Category]]&amp;"-"&amp;IF(ResultsTeams[[#This Row],[Team B]]="","",IF(ResultsTeams[[#This Row],[Match-A]]=ResultsTeams[[#This Row],[Match-B]],ResultsTeams[[#This Row],[Team A]],"")),""),"")</f>
        <v>-</v>
      </c>
      <c r="W140" s="265" t="str">
        <f>IF(ResultsTeams[[#This Row],[Score_OK]],IF(ResultsTeams[[#This Row],[StageCpy]]="Groups",ResultsTeams[[#This Row],[Category]]&amp;"-"&amp;IF(ResultsTeams[[#This Row],[Team B]]="","",IF(ResultsTeams[[#This Row],[Match-A]]=ResultsTeams[[#This Row],[Match-B]],ResultsTeams[[#This Row],[Team B]],"")),""),"")</f>
        <v>-</v>
      </c>
      <c r="X1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-Irène Linquercq-Rivière</v>
      </c>
      <c r="Y1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0" s="264" t="str">
        <f>IF(ResultsTeams[[#This Row],[Category]]="","",VLOOKUP(ResultsTeams[[#This Row],[Stage]],$R$1:$T$8,MATCH(ResultsTeams[[#This Row],[Category]],$S$1:$T$1,0)+1,FALSE))</f>
        <v/>
      </c>
      <c r="AC1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0" s="264" t="str">
        <f>IF(ResultsTeams[[#This Row],[Type]]="G",ResultsTeams[[#This Row],[Stage]],AD139)</f>
        <v>Groups</v>
      </c>
      <c r="AE140" s="395" t="str">
        <f>IF(ResultsTeams[[#This Row],[Type]]="G",INDEX(TeamsList[Club Name],MATCH(ResultsTeams[[#This Row],[Team A]],TeamsList[Team Name],0)),AE139)</f>
        <v>FTC Issy-les-Moulineaux</v>
      </c>
      <c r="AF140" s="395" t="str">
        <f>IF(ResultsTeams[[#This Row],[Type]]="G",INDEX(TeamsList[Club Name],MATCH(ResultsTeams[[#This Row],[Team B]],TeamsList[Team Name],0)),AF139)</f>
        <v>Bormla SC</v>
      </c>
      <c r="AG140" s="265"/>
      <c r="AI140" s="12">
        <f t="shared" si="113"/>
        <v>0</v>
      </c>
      <c r="AJ140" s="309"/>
      <c r="AK140" s="310"/>
      <c r="AL140" s="311"/>
      <c r="AM140" s="292" t="str">
        <f>IF(AV140="","",SMALL(AN135:AN141,ROWS(AM135:AM140)))</f>
        <v/>
      </c>
      <c r="AN140" s="293" t="str">
        <f>IF(AV140="","",RANK(AR140,AR135:AR141)*1000+ROWS(AN135:AN140))</f>
        <v/>
      </c>
      <c r="AO140" s="316" t="str">
        <f t="shared" si="106"/>
        <v/>
      </c>
      <c r="AP140" s="415" t="b">
        <f>AND(AU140&lt;&gt;"",AU140&gt;0,COUNTIF(AO135:AO141,AO140)&gt;1)</f>
        <v>0</v>
      </c>
      <c r="AQ140" s="316" t="str">
        <f t="shared" si="107"/>
        <v/>
      </c>
      <c r="AR140" s="317" t="str">
        <f t="shared" si="108"/>
        <v/>
      </c>
      <c r="AS140" s="415" t="b">
        <f>AND(AU140&lt;&gt;"",AU140&gt;0,COUNTIF(AR135:AR141,AR140)&gt;1)</f>
        <v>0</v>
      </c>
      <c r="AT140" s="355" t="str">
        <f t="shared" si="109"/>
        <v/>
      </c>
      <c r="AU140" s="356" t="str">
        <f t="shared" si="110"/>
        <v/>
      </c>
      <c r="AV140" s="356" t="str">
        <f>IF(OR(AI134="",AJ140=""),"",COUNTIF(ResultsTeams[Win],AI134&amp;"-"&amp;AJ140))</f>
        <v/>
      </c>
      <c r="AW140" s="356" t="str">
        <f>IF(OR(AI134="",AJ140=""),"",COUNTIF(ResultsTeams[[Draw1]:[Draw2]],AI134&amp;"-"&amp;AJ140))</f>
        <v/>
      </c>
      <c r="AX140" s="356" t="str">
        <f>IF(OR(AI134="",AJ140=""),"",COUNTIF(ResultsTeams[Lose],AI134&amp;"-"&amp;AJ140))</f>
        <v/>
      </c>
      <c r="AY140" s="356" t="str">
        <f>IF(OR(AI134="",AJ140=""),"",AV140-AX140)</f>
        <v/>
      </c>
      <c r="AZ140" s="356" t="str">
        <f>IF(OR(AI139="",AJ140=""),"",SUMIFS(ResultsTeams[Match-A],ResultsTeams[Stage],"Groups",ResultsTeams[Team A],AJ140)+SUMIFS(ResultsTeams[Match-B],ResultsTeams[Stage],"Groups",ResultsTeams[Team B],AJ140))</f>
        <v/>
      </c>
      <c r="BA140" s="356" t="str">
        <f>IF(OR(AI139="",AJ140=""),"",SUMIFS(ResultsTeams[Match-B],ResultsTeams[Stage],"Groups",ResultsTeams[Team A],AJ140)+SUMIFS(ResultsTeams[Match-A],ResultsTeams[Stage],"Groups",ResultsTeams[Team B],AJ140))</f>
        <v/>
      </c>
      <c r="BB140" s="356" t="str">
        <f t="shared" si="112"/>
        <v/>
      </c>
      <c r="BC140" s="356" t="str">
        <f>IF(OR(AI139="",AJ140=""),"",SUMIFS(ResultsTeams[Goal-A],ResultsTeams[Stage],"Groups",ResultsTeams[Team A],AJ140)+SUMIFS(ResultsTeams[Goal-B],ResultsTeams[Stage],"Groups",ResultsTeams[Team B],AJ140))</f>
        <v/>
      </c>
      <c r="BD140" s="356" t="str">
        <f>IF(OR(AI139="",AJ140=""),"",SUMIFS(ResultsTeams[Goal-B],ResultsTeams[Stage],"Groups",ResultsTeams[Team A],AJ140)+SUMIFS(ResultsTeams[Goal-A],ResultsTeams[Stage],"Groups",ResultsTeams[Team B],AJ140))</f>
        <v/>
      </c>
      <c r="BE140" s="357" t="str">
        <f>IF(OR(AI134="",AJ140=""),"",BC140-BD140)</f>
        <v/>
      </c>
      <c r="BF140" s="470" t="str">
        <f>IF(AM140="","",OR(VLOOKUP(AM140,AN135:BE141,3,FALSE),VLOOKUP(AM140,AN135:BE141,6,FALSE)))</f>
        <v/>
      </c>
      <c r="BG140" s="298" t="str">
        <f t="shared" si="111"/>
        <v/>
      </c>
      <c r="BH140" s="285" t="str">
        <f>IF(AM140="","",INDEX(AJ135:AJ141,MATCH(AM140,AN135:AN141,0)))</f>
        <v/>
      </c>
      <c r="BI140" s="286" t="str">
        <f>IF(AM140="","",VLOOKUP(AM140,AN135:BE141,COLUMN()-COLUMN(BB134),FALSE))</f>
        <v/>
      </c>
      <c r="BJ140" s="286" t="str">
        <f>IF(AM140="","",VLOOKUP(AM140,AN135:BE141,COLUMN()-COLUMN(BB134),FALSE))</f>
        <v/>
      </c>
      <c r="BK140" s="286" t="str">
        <f>IF(AM140="","",VLOOKUP(AM140,AN135:BE141,COLUMN()-COLUMN(BB134),FALSE))</f>
        <v/>
      </c>
      <c r="BL140" s="286" t="str">
        <f>IF(AM140="","",VLOOKUP(AM140,AN135:BE141,COLUMN()-COLUMN(BB134),FALSE))</f>
        <v/>
      </c>
      <c r="BM140" s="286" t="str">
        <f>IF(AM140="","",VLOOKUP(AM140,AN135:BE141,COLUMN()-COLUMN(BB134),FALSE))</f>
        <v/>
      </c>
      <c r="BN140" s="349" t="str">
        <f>IF(AM140="","",VLOOKUP(AM140,AN135:BE141,COLUMN()-COLUMN(BB134),FALSE))</f>
        <v/>
      </c>
      <c r="BO140" s="298" t="str">
        <f>IF(AM140="","",VLOOKUP(AM140,AN135:BE141,COLUMN()-COLUMN(BB134),FALSE))</f>
        <v/>
      </c>
      <c r="BP140" s="286" t="str">
        <f>IF(AM140="","",VLOOKUP(AM140,AN135:BE141,COLUMN()-COLUMN(BB134),FALSE))</f>
        <v/>
      </c>
      <c r="BQ140" s="301" t="str">
        <f>IF(AM140="","",VLOOKUP(AM140,AN135:BE141,COLUMN()-COLUMN(BB134),FALSE))</f>
        <v/>
      </c>
      <c r="BR140" s="352" t="str">
        <f>IF(AM140="","",VLOOKUP(AM140,AN135:BE141,COLUMN()-COLUMN(BB134),FALSE))</f>
        <v/>
      </c>
      <c r="BS140" s="286" t="str">
        <f>IF(AM140="","",VLOOKUP(AM140,AN135:BE141,COLUMN()-COLUMN(BB134),FALSE))</f>
        <v/>
      </c>
      <c r="BT140" s="301" t="str">
        <f>IF(AM140="","",VLOOKUP(AM140,AN135:BE141,COLUMN()-COLUMN(BB134),FALSE))</f>
        <v/>
      </c>
    </row>
    <row r="141" spans="1:72" ht="12" thickBot="1" x14ac:dyDescent="0.25">
      <c r="A141" s="62"/>
      <c r="B141" s="280"/>
      <c r="C141" s="62"/>
      <c r="D141" s="62"/>
      <c r="E141" s="241" t="s">
        <v>12237</v>
      </c>
      <c r="F141" s="246" t="s">
        <v>8694</v>
      </c>
      <c r="G141" s="246" t="s">
        <v>10431</v>
      </c>
      <c r="H141" s="254">
        <v>2</v>
      </c>
      <c r="I141" s="254">
        <v>1</v>
      </c>
      <c r="J141" s="254"/>
      <c r="K141" s="363"/>
      <c r="L141" s="363"/>
      <c r="M141" s="247"/>
      <c r="N141" s="265" t="b">
        <f>NOT(ISERROR(ResultsTeams[[#This Row],[Goal-A]]+ResultsTeams[[#This Row],[Goal-B]]))</f>
        <v>1</v>
      </c>
      <c r="O141" s="265">
        <f>IF(ResultsTeams[[#This Row],[Type]]="G",SUM(O142:O145),IF(LEFT(ResultsTeams[[#This Row],[Type]],1)="P",IF(ResultsTeams[[#This Row],[Goal-A]]&gt;ResultsTeams[[#This Row],[Goal-B]],1,0),""))</f>
        <v>1</v>
      </c>
      <c r="P141" s="265">
        <f>IF(ResultsTeams[[#This Row],[Type]]="G",SUM(P142:P145),IF(LEFT(ResultsTeams[[#This Row],[Type]],1)="P",IF(ResultsTeams[[#This Row],[Goal-A]]&lt;ResultsTeams[[#This Row],[Goal-B]],1,0),""))</f>
        <v>0</v>
      </c>
      <c r="Q141" s="265">
        <f>IF(ResultsTeams[[#This Row],[Type]]="G",SUM(Q142:Q145),IF(LEFT(ResultsTeams[[#This Row],[Type]],1)="P",VALUE(ResultsTeams[[#This Row],[Score-A]]),""))</f>
        <v>2</v>
      </c>
      <c r="R141" s="265">
        <f>IF(ResultsTeams[[#This Row],[Type]]="G",SUM(R142:R145),IF(LEFT(ResultsTeams[[#This Row],[Type]],1)="P",VALUE(ResultsTeams[[#This Row],[Score-B]]),""))</f>
        <v>1</v>
      </c>
      <c r="S141" s="265" t="str">
        <f ca="1">IF(AND(ResultsTeams[[#This Row],[Category]]&lt;&gt;"",ResultsTeams[[#This Row],[Team A]]&lt;&gt;""),COUNTIF(INDIRECT("TeamsList[Club Name]"),ResultsTeams[[#This Row],[Team A]]),"")</f>
        <v/>
      </c>
      <c r="T141" s="265" t="str">
        <f ca="1">IF(AND(ResultsTeams[[#This Row],[Category]]&lt;&gt;"",ResultsTeams[[#This Row],[Team B]]&lt;&gt;""),COUNTIF(INDIRECT("TeamsList[Club Name]"),ResultsTeams[[#This Row],[Team B]]),"")</f>
        <v/>
      </c>
      <c r="U1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-Thierry Vivron</v>
      </c>
      <c r="V141" s="265" t="str">
        <f>IF(ResultsTeams[[#This Row],[Score_OK]],IF(ResultsTeams[[#This Row],[StageCpy]]="Groups",ResultsTeams[[#This Row],[Category]]&amp;"-"&amp;IF(ResultsTeams[[#This Row],[Team B]]="","",IF(ResultsTeams[[#This Row],[Match-A]]=ResultsTeams[[#This Row],[Match-B]],ResultsTeams[[#This Row],[Team A]],"")),""),"")</f>
        <v>-</v>
      </c>
      <c r="W141" s="265" t="str">
        <f>IF(ResultsTeams[[#This Row],[Score_OK]],IF(ResultsTeams[[#This Row],[StageCpy]]="Groups",ResultsTeams[[#This Row],[Category]]&amp;"-"&amp;IF(ResultsTeams[[#This Row],[Team B]]="","",IF(ResultsTeams[[#This Row],[Match-A]]=ResultsTeams[[#This Row],[Match-B]],ResultsTeams[[#This Row],[Team B]],"")),""),"")</f>
        <v>-</v>
      </c>
      <c r="X1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-Jason Pisani</v>
      </c>
      <c r="Y1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1" s="264" t="str">
        <f>IF(ResultsTeams[[#This Row],[Category]]="","",VLOOKUP(ResultsTeams[[#This Row],[Stage]],$R$1:$T$8,MATCH(ResultsTeams[[#This Row],[Category]],$S$1:$T$1,0)+1,FALSE))</f>
        <v/>
      </c>
      <c r="AC1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1" s="264" t="str">
        <f>IF(ResultsTeams[[#This Row],[Type]]="G",ResultsTeams[[#This Row],[Stage]],AD140)</f>
        <v>Groups</v>
      </c>
      <c r="AE141" s="395" t="str">
        <f>IF(ResultsTeams[[#This Row],[Type]]="G",INDEX(TeamsList[Club Name],MATCH(ResultsTeams[[#This Row],[Team A]],TeamsList[Team Name],0)),AE140)</f>
        <v>FTC Issy-les-Moulineaux</v>
      </c>
      <c r="AF141" s="395" t="str">
        <f>IF(ResultsTeams[[#This Row],[Type]]="G",INDEX(TeamsList[Club Name],MATCH(ResultsTeams[[#This Row],[Team B]],TeamsList[Team Name],0)),AF140)</f>
        <v>Bormla SC</v>
      </c>
      <c r="AG141" s="265"/>
      <c r="AI141" s="12">
        <f t="shared" si="113"/>
        <v>0</v>
      </c>
      <c r="AJ141" s="312"/>
      <c r="AK141" s="313"/>
      <c r="AL141" s="314"/>
      <c r="AM141" s="294" t="str">
        <f>IF(AV141="","",SMALL(AN135:AN141,ROWS(AM135:AM141)))</f>
        <v/>
      </c>
      <c r="AN141" s="295" t="str">
        <f>IF(AV141="","",RANK(AR141,AR135:AR141)*1000+ROWS(AN135:AN141))</f>
        <v/>
      </c>
      <c r="AO141" s="318" t="str">
        <f t="shared" si="106"/>
        <v/>
      </c>
      <c r="AP141" s="416" t="b">
        <f>AND(AU141&lt;&gt;"",AU141&gt;0,COUNTIF(AO135:AO141,AO141)&gt;1)</f>
        <v>0</v>
      </c>
      <c r="AQ141" s="318" t="str">
        <f t="shared" si="107"/>
        <v/>
      </c>
      <c r="AR141" s="319" t="str">
        <f t="shared" si="108"/>
        <v/>
      </c>
      <c r="AS141" s="416" t="b">
        <f>AND(AU141&lt;&gt;"",AU141&gt;0,COUNTIF(AR135:AR141,AR141)&gt;1)</f>
        <v>0</v>
      </c>
      <c r="AT141" s="358" t="str">
        <f t="shared" si="109"/>
        <v/>
      </c>
      <c r="AU141" s="359" t="str">
        <f t="shared" si="110"/>
        <v/>
      </c>
      <c r="AV141" s="359" t="str">
        <f>IF(OR(AI134="",AJ141=""),"",COUNTIF(ResultsTeams[Win],AI134&amp;"-"&amp;AJ141))</f>
        <v/>
      </c>
      <c r="AW141" s="359" t="str">
        <f>IF(OR(AI134="",AJ141=""),"",COUNTIF(ResultsTeams[[Draw1]:[Draw2]],AI134&amp;"-"&amp;AJ141))</f>
        <v/>
      </c>
      <c r="AX141" s="359" t="str">
        <f>IF(OR(AI134="",AJ141=""),"",COUNTIF(ResultsTeams[Lose],AI134&amp;"-"&amp;AJ141))</f>
        <v/>
      </c>
      <c r="AY141" s="359" t="str">
        <f>IF(OR(AI134="",AJ141=""),"",AV141-AX141)</f>
        <v/>
      </c>
      <c r="AZ141" s="359" t="str">
        <f>IF(OR(AI140="",AJ141=""),"",SUMIFS(ResultsTeams[Match-A],ResultsTeams[Stage],"Groups",ResultsTeams[Team A],AJ141)+SUMIFS(ResultsTeams[Match-B],ResultsTeams[Stage],"Groups",ResultsTeams[Team B],AJ141))</f>
        <v/>
      </c>
      <c r="BA141" s="359" t="str">
        <f>IF(OR(AI140="",AJ141=""),"",SUMIFS(ResultsTeams[Match-B],ResultsTeams[Stage],"Groups",ResultsTeams[Team A],AJ141)+SUMIFS(ResultsTeams[Match-A],ResultsTeams[Stage],"Groups",ResultsTeams[Team B],AJ141))</f>
        <v/>
      </c>
      <c r="BB141" s="359" t="str">
        <f t="shared" si="112"/>
        <v/>
      </c>
      <c r="BC141" s="359" t="str">
        <f>IF(OR(AI140="",AJ141=""),"",SUMIFS(ResultsTeams[Goal-A],ResultsTeams[Stage],"Groups",ResultsTeams[Team A],AJ141)+SUMIFS(ResultsTeams[Goal-B],ResultsTeams[Stage],"Groups",ResultsTeams[Team B],AJ141))</f>
        <v/>
      </c>
      <c r="BD141" s="359" t="str">
        <f>IF(OR(AI140="",AJ141=""),"",SUMIFS(ResultsTeams[Goal-B],ResultsTeams[Stage],"Groups",ResultsTeams[Team A],AJ141)+SUMIFS(ResultsTeams[Goal-A],ResultsTeams[Stage],"Groups",ResultsTeams[Team B],AJ141))</f>
        <v/>
      </c>
      <c r="BE141" s="360" t="str">
        <f>IF(OR(AI134="",AJ141=""),"",BC141-BD141)</f>
        <v/>
      </c>
      <c r="BF141" s="470" t="str">
        <f>IF(AM141="","",OR(VLOOKUP(AM141,AN135:BE141,3,FALSE),VLOOKUP(AM141,AN135:BE141,6,FALSE)))</f>
        <v/>
      </c>
      <c r="BG141" s="299" t="str">
        <f t="shared" si="111"/>
        <v/>
      </c>
      <c r="BH141" s="287" t="str">
        <f>IF(AM141="","",INDEX(AJ135:AJ141,MATCH(AM141,AN135:AN141,0)))</f>
        <v/>
      </c>
      <c r="BI141" s="288" t="str">
        <f>IF(AM141="","",VLOOKUP(AM141,AN135:BE141,COLUMN()-COLUMN(BB134),FALSE))</f>
        <v/>
      </c>
      <c r="BJ141" s="288" t="str">
        <f>IF(AM141="","",VLOOKUP(AM141,AN135:BE141,COLUMN()-COLUMN(BB134),FALSE))</f>
        <v/>
      </c>
      <c r="BK141" s="288" t="str">
        <f>IF(AM141="","",VLOOKUP(AM141,AN135:BE141,COLUMN()-COLUMN(BB134),FALSE))</f>
        <v/>
      </c>
      <c r="BL141" s="288" t="str">
        <f>IF(AM141="","",VLOOKUP(AM141,AN135:BE141,COLUMN()-COLUMN(BB134),FALSE))</f>
        <v/>
      </c>
      <c r="BM141" s="288" t="str">
        <f>IF(AM141="","",VLOOKUP(AM141,AN135:BE141,COLUMN()-COLUMN(BB134),FALSE))</f>
        <v/>
      </c>
      <c r="BN141" s="350" t="str">
        <f>IF(AM141="","",VLOOKUP(AM141,AN135:BE141,COLUMN()-COLUMN(BB134),FALSE))</f>
        <v/>
      </c>
      <c r="BO141" s="299" t="str">
        <f>IF(AM141="","",VLOOKUP(AM141,AN135:BE141,COLUMN()-COLUMN(BB134),FALSE))</f>
        <v/>
      </c>
      <c r="BP141" s="288" t="str">
        <f>IF(AM141="","",VLOOKUP(AM141,AN135:BE141,COLUMN()-COLUMN(BB134),FALSE))</f>
        <v/>
      </c>
      <c r="BQ141" s="302" t="str">
        <f>IF(AM141="","",VLOOKUP(AM141,AN135:BE141,COLUMN()-COLUMN(BB134),FALSE))</f>
        <v/>
      </c>
      <c r="BR141" s="353" t="str">
        <f>IF(AM141="","",VLOOKUP(AM141,AN135:BE141,COLUMN()-COLUMN(BB134),FALSE))</f>
        <v/>
      </c>
      <c r="BS141" s="288" t="str">
        <f>IF(AM141="","",VLOOKUP(AM141,AN135:BE141,COLUMN()-COLUMN(BB134),FALSE))</f>
        <v/>
      </c>
      <c r="BT141" s="302" t="str">
        <f>IF(AM141="","",VLOOKUP(AM141,AN135:BE141,COLUMN()-COLUMN(BB134),FALSE))</f>
        <v/>
      </c>
    </row>
    <row r="142" spans="1:72" ht="12" thickBot="1" x14ac:dyDescent="0.25">
      <c r="A142" s="62"/>
      <c r="B142" s="280"/>
      <c r="C142" s="62"/>
      <c r="D142" s="62"/>
      <c r="E142" s="241" t="s">
        <v>12240</v>
      </c>
      <c r="F142" s="246" t="s">
        <v>8698</v>
      </c>
      <c r="G142" s="246" t="s">
        <v>10414</v>
      </c>
      <c r="H142" s="254">
        <v>2</v>
      </c>
      <c r="I142" s="254">
        <v>2</v>
      </c>
      <c r="J142" s="254"/>
      <c r="K142" s="363"/>
      <c r="L142" s="363"/>
      <c r="M142" s="247"/>
      <c r="N142" s="265" t="b">
        <f>NOT(ISERROR(ResultsTeams[[#This Row],[Goal-A]]+ResultsTeams[[#This Row],[Goal-B]]))</f>
        <v>1</v>
      </c>
      <c r="O142" s="265">
        <f>IF(ResultsTeams[[#This Row],[Type]]="G",SUM(O143:O146),IF(LEFT(ResultsTeams[[#This Row],[Type]],1)="P",IF(ResultsTeams[[#This Row],[Goal-A]]&gt;ResultsTeams[[#This Row],[Goal-B]],1,0),""))</f>
        <v>0</v>
      </c>
      <c r="P142" s="265">
        <f>IF(ResultsTeams[[#This Row],[Type]]="G",SUM(P143:P146),IF(LEFT(ResultsTeams[[#This Row],[Type]],1)="P",IF(ResultsTeams[[#This Row],[Goal-A]]&lt;ResultsTeams[[#This Row],[Goal-B]],1,0),""))</f>
        <v>0</v>
      </c>
      <c r="Q142" s="265">
        <f>IF(ResultsTeams[[#This Row],[Type]]="G",SUM(Q143:Q146),IF(LEFT(ResultsTeams[[#This Row],[Type]],1)="P",VALUE(ResultsTeams[[#This Row],[Score-A]]),""))</f>
        <v>2</v>
      </c>
      <c r="R142" s="265">
        <f>IF(ResultsTeams[[#This Row],[Type]]="G",SUM(R143:R146),IF(LEFT(ResultsTeams[[#This Row],[Type]],1)="P",VALUE(ResultsTeams[[#This Row],[Score-B]]),""))</f>
        <v>2</v>
      </c>
      <c r="S142" s="265" t="str">
        <f ca="1">IF(AND(ResultsTeams[[#This Row],[Category]]&lt;&gt;"",ResultsTeams[[#This Row],[Team A]]&lt;&gt;""),COUNTIF(INDIRECT("TeamsList[Club Name]"),ResultsTeams[[#This Row],[Team A]]),"")</f>
        <v/>
      </c>
      <c r="T142" s="265" t="str">
        <f ca="1">IF(AND(ResultsTeams[[#This Row],[Category]]&lt;&gt;"",ResultsTeams[[#This Row],[Team B]]&lt;&gt;""),COUNTIF(INDIRECT("TeamsList[Club Name]"),ResultsTeams[[#This Row],[Team B]]),"")</f>
        <v/>
      </c>
      <c r="U1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42" s="265" t="str">
        <f>IF(ResultsTeams[[#This Row],[Score_OK]],IF(ResultsTeams[[#This Row],[StageCpy]]="Groups",ResultsTeams[[#This Row],[Category]]&amp;"-"&amp;IF(ResultsTeams[[#This Row],[Team B]]="","",IF(ResultsTeams[[#This Row],[Match-A]]=ResultsTeams[[#This Row],[Match-B]],ResultsTeams[[#This Row],[Team A]],"")),""),"")</f>
        <v>-Axel Modeste</v>
      </c>
      <c r="W142" s="265" t="str">
        <f>IF(ResultsTeams[[#This Row],[Score_OK]],IF(ResultsTeams[[#This Row],[StageCpy]]="Groups",ResultsTeams[[#This Row],[Category]]&amp;"-"&amp;IF(ResultsTeams[[#This Row],[Team B]]="","",IF(ResultsTeams[[#This Row],[Match-A]]=ResultsTeams[[#This Row],[Match-B]],ResultsTeams[[#This Row],[Team B]],"")),""),"")</f>
        <v>-Charles Aquilina</v>
      </c>
      <c r="X1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2" s="264" t="str">
        <f>IF(ResultsTeams[[#This Row],[Category]]="","",VLOOKUP(ResultsTeams[[#This Row],[Stage]],$R$1:$T$8,MATCH(ResultsTeams[[#This Row],[Category]],$S$1:$T$1,0)+1,FALSE))</f>
        <v/>
      </c>
      <c r="AC1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2" s="264" t="str">
        <f>IF(ResultsTeams[[#This Row],[Type]]="G",ResultsTeams[[#This Row],[Stage]],AD141)</f>
        <v>Groups</v>
      </c>
      <c r="AE142" s="395" t="str">
        <f>IF(ResultsTeams[[#This Row],[Type]]="G",INDEX(TeamsList[Club Name],MATCH(ResultsTeams[[#This Row],[Team A]],TeamsList[Team Name],0)),AE141)</f>
        <v>FTC Issy-les-Moulineaux</v>
      </c>
      <c r="AF142" s="395" t="str">
        <f>IF(ResultsTeams[[#This Row],[Type]]="G",INDEX(TeamsList[Club Name],MATCH(ResultsTeams[[#This Row],[Team B]],TeamsList[Team Name],0)),AF141)</f>
        <v>Bormla SC</v>
      </c>
      <c r="AG142" s="265"/>
    </row>
    <row r="143" spans="1:72" ht="12" thickBot="1" x14ac:dyDescent="0.25">
      <c r="A143" s="62"/>
      <c r="B143" s="62"/>
      <c r="C143" s="62"/>
      <c r="D143" s="62"/>
      <c r="E143" s="241" t="s">
        <v>12243</v>
      </c>
      <c r="F143" s="247"/>
      <c r="G143" s="247" t="s">
        <v>8097</v>
      </c>
      <c r="H143" s="254" t="s">
        <v>12243</v>
      </c>
      <c r="I143" s="254"/>
      <c r="J143" s="260"/>
      <c r="K143" s="364"/>
      <c r="L143" s="364"/>
      <c r="M143" s="247"/>
      <c r="N143" s="265" t="b">
        <f>NOT(ISERROR(ResultsTeams[[#This Row],[Goal-A]]+ResultsTeams[[#This Row],[Goal-B]]))</f>
        <v>0</v>
      </c>
      <c r="O143" s="265" t="str">
        <f>IF(ResultsTeams[[#This Row],[Type]]="G",SUM(O144:O147),IF(LEFT(ResultsTeams[[#This Row],[Type]],1)="P",IF(ResultsTeams[[#This Row],[Goal-A]]&gt;ResultsTeams[[#This Row],[Goal-B]],1,0),""))</f>
        <v/>
      </c>
      <c r="P143" s="265" t="str">
        <f>IF(ResultsTeams[[#This Row],[Type]]="G",SUM(P144:P147),IF(LEFT(ResultsTeams[[#This Row],[Type]],1)="P",IF(ResultsTeams[[#This Row],[Goal-A]]&lt;ResultsTeams[[#This Row],[Goal-B]],1,0),""))</f>
        <v/>
      </c>
      <c r="Q143" s="265" t="str">
        <f>IF(ResultsTeams[[#This Row],[Type]]="G",SUM(Q144:Q147),IF(LEFT(ResultsTeams[[#This Row],[Type]],1)="P",VALUE(ResultsTeams[[#This Row],[Score-A]]),""))</f>
        <v/>
      </c>
      <c r="R143" s="265" t="str">
        <f>IF(ResultsTeams[[#This Row],[Type]]="G",SUM(R144:R147),IF(LEFT(ResultsTeams[[#This Row],[Type]],1)="P",VALUE(ResultsTeams[[#This Row],[Score-B]]),""))</f>
        <v/>
      </c>
      <c r="S143" s="265" t="str">
        <f ca="1">IF(AND(ResultsTeams[[#This Row],[Category]]&lt;&gt;"",ResultsTeams[[#This Row],[Team A]]&lt;&gt;""),COUNTIF(INDIRECT("TeamsList[Club Name]"),ResultsTeams[[#This Row],[Team A]]),"")</f>
        <v/>
      </c>
      <c r="T143" s="265" t="str">
        <f ca="1">IF(AND(ResultsTeams[[#This Row],[Category]]&lt;&gt;"",ResultsTeams[[#This Row],[Team B]]&lt;&gt;""),COUNTIF(INDIRECT("TeamsList[Club Name]"),ResultsTeams[[#This Row],[Team B]]),"")</f>
        <v/>
      </c>
      <c r="U1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3" s="265" t="str">
        <f>IF(ResultsTeams[[#This Row],[Score_OK]],IF(ResultsTeams[[#This Row],[StageCpy]]="Groups",ResultsTeams[[#This Row],[Category]]&amp;"-"&amp;IF(ResultsTeams[[#This Row],[Team B]]="","",IF(ResultsTeams[[#This Row],[Match-A]]=ResultsTeams[[#This Row],[Match-B]],ResultsTeams[[#This Row],[Team A]],"")),""),"")</f>
        <v/>
      </c>
      <c r="W143" s="265" t="str">
        <f>IF(ResultsTeams[[#This Row],[Score_OK]],IF(ResultsTeams[[#This Row],[StageCpy]]="Groups",ResultsTeams[[#This Row],[Category]]&amp;"-"&amp;IF(ResultsTeams[[#This Row],[Team B]]="","",IF(ResultsTeams[[#This Row],[Match-A]]=ResultsTeams[[#This Row],[Match-B]],ResultsTeams[[#This Row],[Team B]],"")),""),"")</f>
        <v/>
      </c>
      <c r="X1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3" s="264" t="str">
        <f>IF(ResultsTeams[[#This Row],[Category]]="","",VLOOKUP(ResultsTeams[[#This Row],[Stage]],$R$1:$T$8,MATCH(ResultsTeams[[#This Row],[Category]],$S$1:$T$1,0)+1,FALSE))</f>
        <v/>
      </c>
      <c r="AC1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3" s="264" t="str">
        <f>IF(ResultsTeams[[#This Row],[Type]]="G",ResultsTeams[[#This Row],[Stage]],AD142)</f>
        <v>Groups</v>
      </c>
      <c r="AE143" s="395" t="str">
        <f>IF(ResultsTeams[[#This Row],[Type]]="G",INDEX(TeamsList[Club Name],MATCH(ResultsTeams[[#This Row],[Team A]],TeamsList[Team Name],0)),AE142)</f>
        <v>FTC Issy-les-Moulineaux</v>
      </c>
      <c r="AF143" s="395" t="str">
        <f>IF(ResultsTeams[[#This Row],[Type]]="G",INDEX(TeamsList[Club Name],MATCH(ResultsTeams[[#This Row],[Team B]],TeamsList[Team Name],0)),AF142)</f>
        <v>Bormla SC</v>
      </c>
      <c r="AG143" s="265"/>
      <c r="AH143" s="281" t="str">
        <f>IF(AI143="","",QUOTIENT(COUNTIF(AI$26:AI143,AI143)-1,8)+1)</f>
        <v/>
      </c>
      <c r="AI143" s="315"/>
      <c r="AJ143" s="289" t="s">
        <v>14438</v>
      </c>
      <c r="AK143" s="290" t="s">
        <v>12279</v>
      </c>
      <c r="AL143" s="300" t="s">
        <v>12275</v>
      </c>
      <c r="AM143" s="296" t="s">
        <v>12276</v>
      </c>
      <c r="AN143" s="291" t="s">
        <v>12271</v>
      </c>
      <c r="AO143" s="291" t="s">
        <v>12272</v>
      </c>
      <c r="AP143" s="414" t="s">
        <v>13154</v>
      </c>
      <c r="AQ143" s="291" t="s">
        <v>12273</v>
      </c>
      <c r="AR143" s="297" t="s">
        <v>12274</v>
      </c>
      <c r="AS143" s="414" t="s">
        <v>13154</v>
      </c>
      <c r="AT143" s="296" t="s">
        <v>12199</v>
      </c>
      <c r="AU143" s="291" t="s">
        <v>12200</v>
      </c>
      <c r="AV143" s="291" t="s">
        <v>12201</v>
      </c>
      <c r="AW143" s="291" t="s">
        <v>12202</v>
      </c>
      <c r="AX143" s="291" t="s">
        <v>12203</v>
      </c>
      <c r="AY143" s="291" t="s">
        <v>12697</v>
      </c>
      <c r="AZ143" s="291" t="s">
        <v>12698</v>
      </c>
      <c r="BA143" s="291" t="s">
        <v>12699</v>
      </c>
      <c r="BB143" s="291" t="s">
        <v>12700</v>
      </c>
      <c r="BC143" s="291" t="s">
        <v>12204</v>
      </c>
      <c r="BD143" s="291" t="s">
        <v>12205</v>
      </c>
      <c r="BE143" s="297" t="s">
        <v>12206</v>
      </c>
      <c r="BF143" s="395"/>
      <c r="BG143" s="282" t="s">
        <v>12276</v>
      </c>
      <c r="BH143" s="282" t="s">
        <v>12133</v>
      </c>
      <c r="BI143" s="283" t="s">
        <v>12199</v>
      </c>
      <c r="BJ143" s="283" t="s">
        <v>12200</v>
      </c>
      <c r="BK143" s="283" t="s">
        <v>12201</v>
      </c>
      <c r="BL143" s="283" t="s">
        <v>12202</v>
      </c>
      <c r="BM143" s="283" t="s">
        <v>12203</v>
      </c>
      <c r="BN143" s="290" t="s">
        <v>12697</v>
      </c>
      <c r="BO143" s="354" t="s">
        <v>12698</v>
      </c>
      <c r="BP143" s="283" t="s">
        <v>12699</v>
      </c>
      <c r="BQ143" s="300" t="s">
        <v>12700</v>
      </c>
      <c r="BR143" s="351" t="s">
        <v>12204</v>
      </c>
      <c r="BS143" s="283" t="s">
        <v>12205</v>
      </c>
      <c r="BT143" s="300" t="s">
        <v>12206</v>
      </c>
    </row>
    <row r="144" spans="1:72" ht="12" thickBot="1" x14ac:dyDescent="0.25">
      <c r="A144" s="83"/>
      <c r="B144" s="83"/>
      <c r="C144" s="83"/>
      <c r="D144" s="83"/>
      <c r="E144" s="268" t="s">
        <v>12244</v>
      </c>
      <c r="F144" s="262"/>
      <c r="G144" s="262"/>
      <c r="H144" s="324"/>
      <c r="I144" s="324"/>
      <c r="J144" s="263"/>
      <c r="K144" s="365"/>
      <c r="L144" s="365"/>
      <c r="M144" s="262"/>
      <c r="N144" s="265" t="b">
        <f>NOT(ISERROR(ResultsTeams[[#This Row],[Goal-A]]+ResultsTeams[[#This Row],[Goal-B]]))</f>
        <v>0</v>
      </c>
      <c r="O144" s="265" t="str">
        <f>IF(ResultsTeams[[#This Row],[Type]]="G",SUM(O145:O148),IF(LEFT(ResultsTeams[[#This Row],[Type]],1)="P",IF(ResultsTeams[[#This Row],[Goal-A]]&gt;ResultsTeams[[#This Row],[Goal-B]],1,0),""))</f>
        <v/>
      </c>
      <c r="P144" s="265" t="str">
        <f>IF(ResultsTeams[[#This Row],[Type]]="G",SUM(P145:P148),IF(LEFT(ResultsTeams[[#This Row],[Type]],1)="P",IF(ResultsTeams[[#This Row],[Goal-A]]&lt;ResultsTeams[[#This Row],[Goal-B]],1,0),""))</f>
        <v/>
      </c>
      <c r="Q144" s="265" t="str">
        <f>IF(ResultsTeams[[#This Row],[Type]]="G",SUM(Q145:Q148),IF(LEFT(ResultsTeams[[#This Row],[Type]],1)="P",VALUE(ResultsTeams[[#This Row],[Score-A]]),""))</f>
        <v/>
      </c>
      <c r="R144" s="265" t="str">
        <f>IF(ResultsTeams[[#This Row],[Type]]="G",SUM(R145:R148),IF(LEFT(ResultsTeams[[#This Row],[Type]],1)="P",VALUE(ResultsTeams[[#This Row],[Score-B]]),""))</f>
        <v/>
      </c>
      <c r="S144" s="265" t="str">
        <f ca="1">IF(AND(ResultsTeams[[#This Row],[Category]]&lt;&gt;"",ResultsTeams[[#This Row],[Team A]]&lt;&gt;""),COUNTIF(INDIRECT("TeamsList[Club Name]"),ResultsTeams[[#This Row],[Team A]]),"")</f>
        <v/>
      </c>
      <c r="T144" s="265" t="str">
        <f ca="1">IF(AND(ResultsTeams[[#This Row],[Category]]&lt;&gt;"",ResultsTeams[[#This Row],[Team B]]&lt;&gt;""),COUNTIF(INDIRECT("TeamsList[Club Name]"),ResultsTeams[[#This Row],[Team B]]),"")</f>
        <v/>
      </c>
      <c r="U1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4" s="265" t="str">
        <f>IF(ResultsTeams[[#This Row],[Score_OK]],IF(ResultsTeams[[#This Row],[StageCpy]]="Groups",ResultsTeams[[#This Row],[Category]]&amp;"-"&amp;IF(ResultsTeams[[#This Row],[Team B]]="","",IF(ResultsTeams[[#This Row],[Match-A]]=ResultsTeams[[#This Row],[Match-B]],ResultsTeams[[#This Row],[Team A]],"")),""),"")</f>
        <v/>
      </c>
      <c r="W144" s="265" t="str">
        <f>IF(ResultsTeams[[#This Row],[Score_OK]],IF(ResultsTeams[[#This Row],[StageCpy]]="Groups",ResultsTeams[[#This Row],[Category]]&amp;"-"&amp;IF(ResultsTeams[[#This Row],[Team B]]="","",IF(ResultsTeams[[#This Row],[Match-A]]=ResultsTeams[[#This Row],[Match-B]],ResultsTeams[[#This Row],[Team B]],"")),""),"")</f>
        <v/>
      </c>
      <c r="X1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4" s="264" t="str">
        <f>IF(ResultsTeams[[#This Row],[Category]]="","",VLOOKUP(ResultsTeams[[#This Row],[Stage]],$R$1:$T$8,MATCH(ResultsTeams[[#This Row],[Category]],$S$1:$T$1,0)+1,FALSE))</f>
        <v/>
      </c>
      <c r="AC1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4" s="264" t="str">
        <f>IF(ResultsTeams[[#This Row],[Type]]="G",ResultsTeams[[#This Row],[Stage]],AD143)</f>
        <v>Groups</v>
      </c>
      <c r="AE144" s="395" t="str">
        <f>IF(ResultsTeams[[#This Row],[Type]]="G",INDEX(TeamsList[Club Name],MATCH(ResultsTeams[[#This Row],[Team A]],TeamsList[Team Name],0)),AE143)</f>
        <v>FTC Issy-les-Moulineaux</v>
      </c>
      <c r="AF144" s="395" t="str">
        <f>IF(ResultsTeams[[#This Row],[Type]]="G",INDEX(TeamsList[Club Name],MATCH(ResultsTeams[[#This Row],[Team B]],TeamsList[Team Name],0)),AF143)</f>
        <v>Bormla SC</v>
      </c>
      <c r="AG144" s="265"/>
      <c r="AI144" s="12">
        <f>AI143</f>
        <v>0</v>
      </c>
      <c r="AJ144" s="309"/>
      <c r="AK144" s="320"/>
      <c r="AL144" s="311"/>
      <c r="AM144" s="292" t="str">
        <f>IF(AV144="","",SMALL(AN144:AN150,ROWS(AM144:AM144)))</f>
        <v/>
      </c>
      <c r="AN144" s="293" t="str">
        <f>IF(AV144="","",RANK(AR144,AR144:AR150)*1000+ROWS(AN144:AN144))</f>
        <v/>
      </c>
      <c r="AO144" s="316" t="str">
        <f t="shared" ref="AO144:AO150" si="114">IF(AV144="","",AT144*CritClassEq1_Points+AY144*CritClassEq1_DiffRencontres+BB144*CritClassEq1_DiffMatches+BE144*CritClassEq1_DiffButs+AZ144*CritClassEq1_Matches+BC144*CritClassEq1_Attaque)</f>
        <v/>
      </c>
      <c r="AP144" s="415" t="b">
        <f>AND(AU144&lt;&gt;"",AU144&gt;0,COUNTIF(AO144:AO150,AO144)&gt;1)</f>
        <v>0</v>
      </c>
      <c r="AQ144" s="316" t="str">
        <f t="shared" ref="AQ144:AQ150" si="115">IF(AV144="","",CritClassEq_DiffPart*AK144)</f>
        <v/>
      </c>
      <c r="AR144" s="317" t="str">
        <f t="shared" ref="AR144:AR150" si="116">IF(AV144="","",AO144+AQ144+AT144*CritClassEq2_Points+AY144*CritClassEq2_DiffRencontres+BB144*CritClassEq2_DiffMatches+BE144*CritClassEq2_DiffButs+AZ144*CritClassEq2_Matches+BC144*CritClassEq2_Attaque+AL144)</f>
        <v/>
      </c>
      <c r="AS144" s="415" t="b">
        <f>AND(AU144&lt;&gt;"",AU144&gt;0,COUNTIF(AR144:AR150,AR144)&gt;1)</f>
        <v>0</v>
      </c>
      <c r="AT144" s="355" t="str">
        <f t="shared" ref="AT144:AT150" si="117">IF(AV144="","",(AV144*Points_Victoire)+AW144*Points_Null)</f>
        <v/>
      </c>
      <c r="AU144" s="356" t="str">
        <f t="shared" ref="AU144:AU150" si="118">IF(AV144="","",SUM(AV144:AX144))</f>
        <v/>
      </c>
      <c r="AV144" s="356" t="str">
        <f>IF(OR(AI143="",AJ144=""),"",COUNTIF(ResultsTeams[Win],AI143&amp;"-"&amp;AJ144))</f>
        <v/>
      </c>
      <c r="AW144" s="356" t="str">
        <f>IF(OR(AI143="",AJ144=""),"",COUNTIF(ResultsTeams[[Draw1]:[Draw2]],AI143&amp;"-"&amp;AJ144))</f>
        <v/>
      </c>
      <c r="AX144" s="356" t="str">
        <f>IF(OR(AI143="",AJ144=""),"",COUNTIF(ResultsTeams[Lose],AI143&amp;"-"&amp;AJ144))</f>
        <v/>
      </c>
      <c r="AY144" s="356" t="str">
        <f>IF(OR(AI143="",AJ144=""),"",AV144-AX144)</f>
        <v/>
      </c>
      <c r="AZ144" s="356" t="str">
        <f>IF(OR(AI143="",AJ144=""),"",SUMIFS(ResultsTeams[Match-A],ResultsTeams[Stage],"Groups",ResultsTeams[Team A],AJ144)+SUMIFS(ResultsTeams[Match-B],ResultsTeams[Stage],"Groups",ResultsTeams[Team B],AJ144))</f>
        <v/>
      </c>
      <c r="BA144" s="356" t="str">
        <f>IF(OR(AI143="",AJ144=""),"",SUMIFS(ResultsTeams[Match-B],ResultsTeams[Stage],"Groups",ResultsTeams[Team A],AJ144)+SUMIFS(ResultsTeams[Match-A],ResultsTeams[Stage],"Groups",ResultsTeams[Team B],AJ144))</f>
        <v/>
      </c>
      <c r="BB144" s="356" t="str">
        <f>IF(OR(AI143="",AJ144=""),"",AZ144-BA144)</f>
        <v/>
      </c>
      <c r="BC144" s="356" t="str">
        <f>IF(OR(AI143="",AJ144=""),"",SUMIFS(ResultsTeams[Goal-A],ResultsTeams[Stage],"Groups",ResultsTeams[Team A],AJ144)+SUMIFS(ResultsTeams[Goal-B],ResultsTeams[Stage],"Groups",ResultsTeams[Team B],AJ144))</f>
        <v/>
      </c>
      <c r="BD144" s="356" t="str">
        <f>IF(OR(AI143="",AJ144=""),"",SUMIFS(ResultsTeams[Goal-B],ResultsTeams[Stage],"Groups",ResultsTeams[Team A],AJ144)+SUMIFS(ResultsTeams[Goal-A],ResultsTeams[Stage],"Groups",ResultsTeams[Team B],AJ144))</f>
        <v/>
      </c>
      <c r="BE144" s="357" t="str">
        <f>IF(OR(AI143="",AJ144=""),"",BC144-BD144)</f>
        <v/>
      </c>
      <c r="BF144" s="470" t="str">
        <f>IF(AM144="","",OR(VLOOKUP(AM144,AN144:BE150,3,FALSE),VLOOKUP(AM144,AN144:BE150,6,FALSE)))</f>
        <v/>
      </c>
      <c r="BG144" s="298" t="str">
        <f t="shared" ref="BG144:BG150" si="119">IF(AM144="","",INT(AM144/1000))</f>
        <v/>
      </c>
      <c r="BH144" s="285" t="str">
        <f>IF(AM144="","",INDEX(AJ144:AJ150,MATCH(AM144,AN144:AN150,0)))</f>
        <v/>
      </c>
      <c r="BI144" s="286" t="str">
        <f>IF(AM144="","",VLOOKUP(AM144,AN144:BE150,COLUMN()-COLUMN(BB143),FALSE))</f>
        <v/>
      </c>
      <c r="BJ144" s="286" t="str">
        <f>IF(AM144="","",VLOOKUP(AM144,AN144:BE150,COLUMN()-COLUMN(BB143),FALSE))</f>
        <v/>
      </c>
      <c r="BK144" s="286" t="str">
        <f>IF(AM144="","",VLOOKUP(AM144,AN144:BE150,COLUMN()-COLUMN(BB143),FALSE))</f>
        <v/>
      </c>
      <c r="BL144" s="286" t="str">
        <f>IF(AM144="","",VLOOKUP(AM144,AN144:BE150,COLUMN()-COLUMN(BB143),FALSE))</f>
        <v/>
      </c>
      <c r="BM144" s="286" t="str">
        <f>IF(AM144="","",VLOOKUP(AM144,AN144:BE150,COLUMN()-COLUMN(BB143),FALSE))</f>
        <v/>
      </c>
      <c r="BN144" s="349" t="str">
        <f>IF(AM144="","",VLOOKUP(AM144,AN144:BE150,COLUMN()-COLUMN(BB143),FALSE))</f>
        <v/>
      </c>
      <c r="BO144" s="298" t="str">
        <f>IF(AM144="","",VLOOKUP(AM144,AN144:BE150,COLUMN()-COLUMN(BB143),FALSE))</f>
        <v/>
      </c>
      <c r="BP144" s="286" t="str">
        <f>IF(AM144="","",VLOOKUP(AM144,AN144:BE150,COLUMN()-COLUMN(BB143),FALSE))</f>
        <v/>
      </c>
      <c r="BQ144" s="301" t="str">
        <f>IF(AM144="","",VLOOKUP(AM144,AN144:BE150,COLUMN()-COLUMN(BB143),FALSE))</f>
        <v/>
      </c>
      <c r="BR144" s="352" t="str">
        <f>IF(AM144="","",VLOOKUP(AM144,AN144:BE150,COLUMN()-COLUMN(BB143),FALSE))</f>
        <v/>
      </c>
      <c r="BS144" s="286" t="str">
        <f>IF(AM144="","",VLOOKUP(AM144,AN144:BE150,COLUMN()-COLUMN(BB143),FALSE))</f>
        <v/>
      </c>
      <c r="BT144" s="301" t="str">
        <f>IF(AM144="","",VLOOKUP(AM144,AN144:BE150,COLUMN()-COLUMN(BB143),FALSE))</f>
        <v/>
      </c>
    </row>
    <row r="145" spans="1:72" ht="12" thickBot="1" x14ac:dyDescent="0.25">
      <c r="A145" s="261" t="s">
        <v>12693</v>
      </c>
      <c r="B145" s="270" t="s">
        <v>12207</v>
      </c>
      <c r="C145" s="270">
        <v>3</v>
      </c>
      <c r="D145" s="270"/>
      <c r="E145" s="272" t="s">
        <v>12228</v>
      </c>
      <c r="F145" s="273" t="s">
        <v>69</v>
      </c>
      <c r="G145" s="273" t="s">
        <v>12674</v>
      </c>
      <c r="H145" s="275">
        <v>1</v>
      </c>
      <c r="I145" s="275">
        <v>1</v>
      </c>
      <c r="J145" s="275"/>
      <c r="K145" s="366"/>
      <c r="L145" s="366"/>
      <c r="M145" s="274"/>
      <c r="N145" s="265" t="b">
        <f>NOT(ISERROR(ResultsTeams[[#This Row],[Goal-A]]+ResultsTeams[[#This Row],[Goal-B]]))</f>
        <v>1</v>
      </c>
      <c r="O145" s="265">
        <f>IF(ResultsTeams[[#This Row],[Type]]="G",SUM(O146:O149),IF(LEFT(ResultsTeams[[#This Row],[Type]],1)="P",IF(ResultsTeams[[#This Row],[Goal-A]]&gt;ResultsTeams[[#This Row],[Goal-B]],1,0),""))</f>
        <v>1</v>
      </c>
      <c r="P145" s="265">
        <f>IF(ResultsTeams[[#This Row],[Type]]="G",SUM(P146:P149),IF(LEFT(ResultsTeams[[#This Row],[Type]],1)="P",IF(ResultsTeams[[#This Row],[Goal-A]]&lt;ResultsTeams[[#This Row],[Goal-B]],1,0),""))</f>
        <v>1</v>
      </c>
      <c r="Q145" s="265">
        <f>IF(ResultsTeams[[#This Row],[Type]]="G",SUM(Q146:Q149),IF(LEFT(ResultsTeams[[#This Row],[Type]],1)="P",VALUE(ResultsTeams[[#This Row],[Score-A]]),""))</f>
        <v>8</v>
      </c>
      <c r="R145" s="265">
        <f>IF(ResultsTeams[[#This Row],[Type]]="G",SUM(R146:R149),IF(LEFT(ResultsTeams[[#This Row],[Type]],1)="P",VALUE(ResultsTeams[[#This Row],[Score-B]]),""))</f>
        <v>8</v>
      </c>
      <c r="S145" s="265">
        <f ca="1">IF(AND(ResultsTeams[[#This Row],[Category]]&lt;&gt;"",ResultsTeams[[#This Row],[Team A]]&lt;&gt;""),COUNTIF(INDIRECT("TeamsList[Club Name]"),ResultsTeams[[#This Row],[Team A]]),"")</f>
        <v>1</v>
      </c>
      <c r="T145" s="265">
        <f ca="1">IF(AND(ResultsTeams[[#This Row],[Category]]&lt;&gt;"",ResultsTeams[[#This Row],[Team B]]&lt;&gt;""),COUNTIF(INDIRECT("TeamsList[Club Name]"),ResultsTeams[[#This Row],[Team B]]),"")</f>
        <v>0</v>
      </c>
      <c r="U1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145" s="265" t="str">
        <f>IF(ResultsTeams[[#This Row],[Score_OK]],IF(ResultsTeams[[#This Row],[StageCpy]]="Groups",ResultsTeams[[#This Row],[Category]]&amp;"-"&amp;IF(ResultsTeams[[#This Row],[Team B]]="","",IF(ResultsTeams[[#This Row],[Match-A]]=ResultsTeams[[#This Row],[Match-B]],ResultsTeams[[#This Row],[Team A]],"")),""),"")</f>
        <v>TEAM-JSC Rochefort</v>
      </c>
      <c r="W145" s="265" t="str">
        <f>IF(ResultsTeams[[#This Row],[Score_OK]],IF(ResultsTeams[[#This Row],[StageCpy]]="Groups",ResultsTeams[[#This Row],[Category]]&amp;"-"&amp;IF(ResultsTeams[[#This Row],[Team B]]="","",IF(ResultsTeams[[#This Row],[Match-A]]=ResultsTeams[[#This Row],[Match-B]],ResultsTeams[[#This Row],[Team B]],"")),""),"")</f>
        <v>TEAM-Tiburones FM 2</v>
      </c>
      <c r="X1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1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TEAM-JSC Rochefort</v>
      </c>
      <c r="AA1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TEAM-Tiburones FM 2</v>
      </c>
      <c r="AB145" s="264" t="str">
        <f>IF(ResultsTeams[[#This Row],[Category]]="","",VLOOKUP(ResultsTeams[[#This Row],[Stage]],$R$1:$T$8,MATCH(ResultsTeams[[#This Row],[Category]],$S$1:$T$1,0)+1,FALSE))</f>
        <v>PR1</v>
      </c>
      <c r="AC1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5" s="264" t="str">
        <f>IF(ResultsTeams[[#This Row],[Type]]="G",ResultsTeams[[#This Row],[Stage]],AD144)</f>
        <v>Groups</v>
      </c>
      <c r="AE145" s="395" t="str">
        <f>IF(ResultsTeams[[#This Row],[Type]]="G",INDEX(TeamsList[Club Name],MATCH(ResultsTeams[[#This Row],[Team A]],TeamsList[Team Name],0)),AE144)</f>
        <v>JSC Rochefort</v>
      </c>
      <c r="AF145" s="395" t="str">
        <f>IF(ResultsTeams[[#This Row],[Type]]="G",INDEX(TeamsList[Club Name],MATCH(ResultsTeams[[#This Row],[Team B]],TeamsList[Team Name],0)),AF144)</f>
        <v>Tiburones FM</v>
      </c>
      <c r="AG145" s="265"/>
      <c r="AI145" s="12">
        <f>AI144</f>
        <v>0</v>
      </c>
      <c r="AJ145" s="309"/>
      <c r="AK145" s="320"/>
      <c r="AL145" s="311"/>
      <c r="AM145" s="292" t="str">
        <f>IF(AV145="","",SMALL(AN144:AN150,ROWS(AM144:AM145)))</f>
        <v/>
      </c>
      <c r="AN145" s="293" t="str">
        <f>IF(AV145="","",RANK(AR145,AR144:AR150)*1000+ROWS(AN144:AN145))</f>
        <v/>
      </c>
      <c r="AO145" s="316" t="str">
        <f t="shared" si="114"/>
        <v/>
      </c>
      <c r="AP145" s="415" t="b">
        <f>AND(AU145&lt;&gt;"",AU145&gt;0,COUNTIF(AO144:AO150,AO145)&gt;1)</f>
        <v>0</v>
      </c>
      <c r="AQ145" s="316" t="str">
        <f t="shared" si="115"/>
        <v/>
      </c>
      <c r="AR145" s="317" t="str">
        <f t="shared" si="116"/>
        <v/>
      </c>
      <c r="AS145" s="415" t="b">
        <f>AND(AU145&lt;&gt;"",AU145&gt;0,COUNTIF(AR144:AR150,AR145)&gt;1)</f>
        <v>0</v>
      </c>
      <c r="AT145" s="355" t="str">
        <f t="shared" si="117"/>
        <v/>
      </c>
      <c r="AU145" s="356" t="str">
        <f t="shared" si="118"/>
        <v/>
      </c>
      <c r="AV145" s="356" t="str">
        <f>IF(OR(AI143="",AJ145=""),"",COUNTIF(ResultsTeams[Win],AI143&amp;"-"&amp;AJ145))</f>
        <v/>
      </c>
      <c r="AW145" s="356" t="str">
        <f>IF(OR(AI143="",AJ145=""),"",COUNTIF(ResultsTeams[[Draw1]:[Draw2]],AI143&amp;"-"&amp;AJ145))</f>
        <v/>
      </c>
      <c r="AX145" s="356" t="str">
        <f>IF(OR(AI143="",AJ145=""),"",COUNTIF(ResultsTeams[Lose],AI143&amp;"-"&amp;AJ145))</f>
        <v/>
      </c>
      <c r="AY145" s="356" t="str">
        <f>IF(OR(AI143="",AJ145=""),"",AV145-AX145)</f>
        <v/>
      </c>
      <c r="AZ145" s="356" t="str">
        <f>IF(OR(AI144="",AJ145=""),"",SUMIFS(ResultsTeams[Match-A],ResultsTeams[Stage],"Groups",ResultsTeams[Team A],AJ145)+SUMIFS(ResultsTeams[Match-B],ResultsTeams[Stage],"Groups",ResultsTeams[Team B],AJ145))</f>
        <v/>
      </c>
      <c r="BA145" s="356" t="str">
        <f>IF(OR(AI144="",AJ145=""),"",SUMIFS(ResultsTeams[Match-B],ResultsTeams[Stage],"Groups",ResultsTeams[Team A],AJ145)+SUMIFS(ResultsTeams[Match-A],ResultsTeams[Stage],"Groups",ResultsTeams[Team B],AJ145))</f>
        <v/>
      </c>
      <c r="BB145" s="356" t="str">
        <f t="shared" ref="BB145:BB150" si="120">IF(OR(AI144="",AJ145=""),"",AZ145-BA145)</f>
        <v/>
      </c>
      <c r="BC145" s="356" t="str">
        <f>IF(OR(AI144="",AJ145=""),"",SUMIFS(ResultsTeams[Goal-A],ResultsTeams[Stage],"Groups",ResultsTeams[Team A],AJ145)+SUMIFS(ResultsTeams[Goal-B],ResultsTeams[Stage],"Groups",ResultsTeams[Team B],AJ145))</f>
        <v/>
      </c>
      <c r="BD145" s="356" t="str">
        <f>IF(OR(AI144="",AJ145=""),"",SUMIFS(ResultsTeams[Goal-B],ResultsTeams[Stage],"Groups",ResultsTeams[Team A],AJ145)+SUMIFS(ResultsTeams[Goal-A],ResultsTeams[Stage],"Groups",ResultsTeams[Team B],AJ145))</f>
        <v/>
      </c>
      <c r="BE145" s="357" t="str">
        <f>IF(OR(AI143="",AJ145=""),"",BC145-BD145)</f>
        <v/>
      </c>
      <c r="BF145" s="470" t="str">
        <f>IF(AM145="","",OR(VLOOKUP(AM145,AN144:BE150,3,FALSE),VLOOKUP(AM145,AN144:BE150,6,FALSE)))</f>
        <v/>
      </c>
      <c r="BG145" s="298" t="str">
        <f t="shared" si="119"/>
        <v/>
      </c>
      <c r="BH145" s="285" t="str">
        <f>IF(AM145="","",INDEX(AJ144:AJ150,MATCH(AM145,AN144:AN150,0)))</f>
        <v/>
      </c>
      <c r="BI145" s="286" t="str">
        <f>IF(AM145="","",VLOOKUP(AM145,AN144:BE150,COLUMN()-COLUMN(BB143),FALSE))</f>
        <v/>
      </c>
      <c r="BJ145" s="286" t="str">
        <f>IF(AM145="","",VLOOKUP(AM145,AN144:BE150,COLUMN()-COLUMN(BB143),FALSE))</f>
        <v/>
      </c>
      <c r="BK145" s="286" t="str">
        <f>IF(AM145="","",VLOOKUP(AM145,AN144:BE150,COLUMN()-COLUMN(BB143),FALSE))</f>
        <v/>
      </c>
      <c r="BL145" s="286" t="str">
        <f>IF(AM145="","",VLOOKUP(AM145,AN144:BE150,COLUMN()-COLUMN(BB143),FALSE))</f>
        <v/>
      </c>
      <c r="BM145" s="286" t="str">
        <f>IF(AM145="","",VLOOKUP(AM145,AN144:BE150,COLUMN()-COLUMN(BB143),FALSE))</f>
        <v/>
      </c>
      <c r="BN145" s="349" t="str">
        <f>IF(AM145="","",VLOOKUP(AM145,AN144:BE150,COLUMN()-COLUMN(BB143),FALSE))</f>
        <v/>
      </c>
      <c r="BO145" s="298" t="str">
        <f>IF(AM145="","",VLOOKUP(AM145,AN144:BE150,COLUMN()-COLUMN(BB143),FALSE))</f>
        <v/>
      </c>
      <c r="BP145" s="286" t="str">
        <f>IF(AM145="","",VLOOKUP(AM145,AN144:BE150,COLUMN()-COLUMN(BB143),FALSE))</f>
        <v/>
      </c>
      <c r="BQ145" s="301" t="str">
        <f>IF(AM145="","",VLOOKUP(AM145,AN144:BE150,COLUMN()-COLUMN(BB143),FALSE))</f>
        <v/>
      </c>
      <c r="BR145" s="352" t="str">
        <f>IF(AM145="","",VLOOKUP(AM145,AN144:BE150,COLUMN()-COLUMN(BB143),FALSE))</f>
        <v/>
      </c>
      <c r="BS145" s="286" t="str">
        <f>IF(AM145="","",VLOOKUP(AM145,AN144:BE150,COLUMN()-COLUMN(BB143),FALSE))</f>
        <v/>
      </c>
      <c r="BT145" s="301" t="str">
        <f>IF(AM145="","",VLOOKUP(AM145,AN144:BE150,COLUMN()-COLUMN(BB143),FALSE))</f>
        <v/>
      </c>
    </row>
    <row r="146" spans="1:72" x14ac:dyDescent="0.2">
      <c r="A146" s="60"/>
      <c r="B146" s="280"/>
      <c r="C146" s="60"/>
      <c r="D146" s="60"/>
      <c r="E146" s="240" t="s">
        <v>12231</v>
      </c>
      <c r="F146" s="244" t="s">
        <v>8117</v>
      </c>
      <c r="G146" s="244" t="s">
        <v>8617</v>
      </c>
      <c r="H146" s="253">
        <v>1</v>
      </c>
      <c r="I146" s="253">
        <v>1</v>
      </c>
      <c r="J146" s="253"/>
      <c r="K146" s="362"/>
      <c r="L146" s="362"/>
      <c r="M146" s="245"/>
      <c r="N146" s="265" t="b">
        <f>NOT(ISERROR(ResultsTeams[[#This Row],[Goal-A]]+ResultsTeams[[#This Row],[Goal-B]]))</f>
        <v>1</v>
      </c>
      <c r="O146" s="265">
        <f>IF(ResultsTeams[[#This Row],[Type]]="G",SUM(O147:O150),IF(LEFT(ResultsTeams[[#This Row],[Type]],1)="P",IF(ResultsTeams[[#This Row],[Goal-A]]&gt;ResultsTeams[[#This Row],[Goal-B]],1,0),""))</f>
        <v>0</v>
      </c>
      <c r="P146" s="265">
        <f>IF(ResultsTeams[[#This Row],[Type]]="G",SUM(P147:P150),IF(LEFT(ResultsTeams[[#This Row],[Type]],1)="P",IF(ResultsTeams[[#This Row],[Goal-A]]&lt;ResultsTeams[[#This Row],[Goal-B]],1,0),""))</f>
        <v>0</v>
      </c>
      <c r="Q146" s="265">
        <f>IF(ResultsTeams[[#This Row],[Type]]="G",SUM(Q147:Q150),IF(LEFT(ResultsTeams[[#This Row],[Type]],1)="P",VALUE(ResultsTeams[[#This Row],[Score-A]]),""))</f>
        <v>1</v>
      </c>
      <c r="R146" s="265">
        <f>IF(ResultsTeams[[#This Row],[Type]]="G",SUM(R147:R150),IF(LEFT(ResultsTeams[[#This Row],[Type]],1)="P",VALUE(ResultsTeams[[#This Row],[Score-B]]),""))</f>
        <v>1</v>
      </c>
      <c r="S146" s="265" t="str">
        <f ca="1">IF(AND(ResultsTeams[[#This Row],[Category]]&lt;&gt;"",ResultsTeams[[#This Row],[Team A]]&lt;&gt;""),COUNTIF(INDIRECT("TeamsList[Club Name]"),ResultsTeams[[#This Row],[Team A]]),"")</f>
        <v/>
      </c>
      <c r="T146" s="265" t="str">
        <f ca="1">IF(AND(ResultsTeams[[#This Row],[Category]]&lt;&gt;"",ResultsTeams[[#This Row],[Team B]]&lt;&gt;""),COUNTIF(INDIRECT("TeamsList[Club Name]"),ResultsTeams[[#This Row],[Team B]]),"")</f>
        <v/>
      </c>
      <c r="U1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46" s="265" t="str">
        <f>IF(ResultsTeams[[#This Row],[Score_OK]],IF(ResultsTeams[[#This Row],[StageCpy]]="Groups",ResultsTeams[[#This Row],[Category]]&amp;"-"&amp;IF(ResultsTeams[[#This Row],[Team B]]="","",IF(ResultsTeams[[#This Row],[Match-A]]=ResultsTeams[[#This Row],[Match-B]],ResultsTeams[[#This Row],[Team A]],"")),""),"")</f>
        <v>-Maxime Muraille</v>
      </c>
      <c r="W146" s="265" t="str">
        <f>IF(ResultsTeams[[#This Row],[Score_OK]],IF(ResultsTeams[[#This Row],[StageCpy]]="Groups",ResultsTeams[[#This Row],[Category]]&amp;"-"&amp;IF(ResultsTeams[[#This Row],[Team B]]="","",IF(ResultsTeams[[#This Row],[Match-A]]=ResultsTeams[[#This Row],[Match-B]],ResultsTeams[[#This Row],[Team B]],"")),""),"")</f>
        <v>-Ferran Coll</v>
      </c>
      <c r="X1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6" s="264" t="str">
        <f>IF(ResultsTeams[[#This Row],[Category]]="","",VLOOKUP(ResultsTeams[[#This Row],[Stage]],$R$1:$T$8,MATCH(ResultsTeams[[#This Row],[Category]],$S$1:$T$1,0)+1,FALSE))</f>
        <v/>
      </c>
      <c r="AC1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6" s="264" t="str">
        <f>IF(ResultsTeams[[#This Row],[Type]]="G",ResultsTeams[[#This Row],[Stage]],AD145)</f>
        <v>Groups</v>
      </c>
      <c r="AE146" s="395" t="str">
        <f>IF(ResultsTeams[[#This Row],[Type]]="G",INDEX(TeamsList[Club Name],MATCH(ResultsTeams[[#This Row],[Team A]],TeamsList[Team Name],0)),AE145)</f>
        <v>JSC Rochefort</v>
      </c>
      <c r="AF146" s="395" t="str">
        <f>IF(ResultsTeams[[#This Row],[Type]]="G",INDEX(TeamsList[Club Name],MATCH(ResultsTeams[[#This Row],[Team B]],TeamsList[Team Name],0)),AF145)</f>
        <v>Tiburones FM</v>
      </c>
      <c r="AG146" s="265"/>
      <c r="AI146" s="12">
        <f t="shared" ref="AI146:AI150" si="121">AI145</f>
        <v>0</v>
      </c>
      <c r="AJ146" s="309"/>
      <c r="AK146" s="320"/>
      <c r="AL146" s="311"/>
      <c r="AM146" s="292" t="str">
        <f>IF(AV146="","",SMALL(AN144:AN150,ROWS(AM144:AM146)))</f>
        <v/>
      </c>
      <c r="AN146" s="293" t="str">
        <f>IF(AV146="","",RANK(AR146,AR144:AR150)*1000+ROWS(AN144:AN146))</f>
        <v/>
      </c>
      <c r="AO146" s="316" t="str">
        <f t="shared" si="114"/>
        <v/>
      </c>
      <c r="AP146" s="415" t="b">
        <f>AND(AU146&lt;&gt;"",AU146&gt;0,COUNTIF(AO144:AO150,AO146)&gt;1)</f>
        <v>0</v>
      </c>
      <c r="AQ146" s="316" t="str">
        <f t="shared" si="115"/>
        <v/>
      </c>
      <c r="AR146" s="317" t="str">
        <f t="shared" si="116"/>
        <v/>
      </c>
      <c r="AS146" s="415" t="b">
        <f>AND(AU146&lt;&gt;"",AU146&gt;0,COUNTIF(AR144:AR150,AR146)&gt;1)</f>
        <v>0</v>
      </c>
      <c r="AT146" s="355" t="str">
        <f t="shared" si="117"/>
        <v/>
      </c>
      <c r="AU146" s="356" t="str">
        <f t="shared" si="118"/>
        <v/>
      </c>
      <c r="AV146" s="356" t="str">
        <f>IF(OR(AI143="",AJ146=""),"",COUNTIF(ResultsTeams[Win],AI143&amp;"-"&amp;AJ146))</f>
        <v/>
      </c>
      <c r="AW146" s="356" t="str">
        <f>IF(OR(AI143="",AJ146=""),"",COUNTIF(ResultsTeams[[Draw1]:[Draw2]],AI143&amp;"-"&amp;AJ146))</f>
        <v/>
      </c>
      <c r="AX146" s="356" t="str">
        <f>IF(OR(AI143="",AJ146=""),"",COUNTIF(ResultsTeams[Lose],AI143&amp;"-"&amp;AJ146))</f>
        <v/>
      </c>
      <c r="AY146" s="356" t="str">
        <f>IF(OR(AI143="",AJ146=""),"",AV146-AX146)</f>
        <v/>
      </c>
      <c r="AZ146" s="356" t="str">
        <f>IF(OR(AI145="",AJ146=""),"",SUMIFS(ResultsTeams[Match-A],ResultsTeams[Stage],"Groups",ResultsTeams[Team A],AJ146)+SUMIFS(ResultsTeams[Match-B],ResultsTeams[Stage],"Groups",ResultsTeams[Team B],AJ146))</f>
        <v/>
      </c>
      <c r="BA146" s="356" t="str">
        <f>IF(OR(AI145="",AJ146=""),"",SUMIFS(ResultsTeams[Match-B],ResultsTeams[Stage],"Groups",ResultsTeams[Team A],AJ146)+SUMIFS(ResultsTeams[Match-A],ResultsTeams[Stage],"Groups",ResultsTeams[Team B],AJ146))</f>
        <v/>
      </c>
      <c r="BB146" s="356" t="str">
        <f t="shared" si="120"/>
        <v/>
      </c>
      <c r="BC146" s="356" t="str">
        <f>IF(OR(AI145="",AJ146=""),"",SUMIFS(ResultsTeams[Goal-A],ResultsTeams[Stage],"Groups",ResultsTeams[Team A],AJ146)+SUMIFS(ResultsTeams[Goal-B],ResultsTeams[Stage],"Groups",ResultsTeams[Team B],AJ146))</f>
        <v/>
      </c>
      <c r="BD146" s="356" t="str">
        <f>IF(OR(AI145="",AJ146=""),"",SUMIFS(ResultsTeams[Goal-B],ResultsTeams[Stage],"Groups",ResultsTeams[Team A],AJ146)+SUMIFS(ResultsTeams[Goal-A],ResultsTeams[Stage],"Groups",ResultsTeams[Team B],AJ146))</f>
        <v/>
      </c>
      <c r="BE146" s="357" t="str">
        <f>IF(OR(AI143="",AJ146=""),"",BC146-BD146)</f>
        <v/>
      </c>
      <c r="BF146" s="470" t="str">
        <f>IF(AM146="","",OR(VLOOKUP(AM146,AN144:BE150,3,FALSE),VLOOKUP(AM146,AN144:BE150,6,FALSE)))</f>
        <v/>
      </c>
      <c r="BG146" s="298" t="str">
        <f t="shared" si="119"/>
        <v/>
      </c>
      <c r="BH146" s="285" t="str">
        <f>IF(AM146="","",INDEX(AJ144:AJ150,MATCH(AM146,AN144:AN150,0)))</f>
        <v/>
      </c>
      <c r="BI146" s="286" t="str">
        <f>IF(AM146="","",VLOOKUP(AM146,AN144:BE150,COLUMN()-COLUMN(BB143),FALSE))</f>
        <v/>
      </c>
      <c r="BJ146" s="286" t="str">
        <f>IF(AM146="","",VLOOKUP(AM146,AN144:BE150,COLUMN()-COLUMN(BB143),FALSE))</f>
        <v/>
      </c>
      <c r="BK146" s="286" t="str">
        <f>IF(AM146="","",VLOOKUP(AM146,AN144:BE150,COLUMN()-COLUMN(BB143),FALSE))</f>
        <v/>
      </c>
      <c r="BL146" s="286" t="str">
        <f>IF(AM146="","",VLOOKUP(AM146,AN144:BE150,COLUMN()-COLUMN(BB143),FALSE))</f>
        <v/>
      </c>
      <c r="BM146" s="286" t="str">
        <f>IF(AM146="","",VLOOKUP(AM146,AN144:BE150,COLUMN()-COLUMN(BB143),FALSE))</f>
        <v/>
      </c>
      <c r="BN146" s="349" t="str">
        <f>IF(AM146="","",VLOOKUP(AM146,AN144:BE150,COLUMN()-COLUMN(BB143),FALSE))</f>
        <v/>
      </c>
      <c r="BO146" s="298" t="str">
        <f>IF(AM146="","",VLOOKUP(AM146,AN144:BE150,COLUMN()-COLUMN(BB143),FALSE))</f>
        <v/>
      </c>
      <c r="BP146" s="286" t="str">
        <f>IF(AM146="","",VLOOKUP(AM146,AN144:BE150,COLUMN()-COLUMN(BB143),FALSE))</f>
        <v/>
      </c>
      <c r="BQ146" s="301" t="str">
        <f>IF(AM146="","",VLOOKUP(AM146,AN144:BE150,COLUMN()-COLUMN(BB143),FALSE))</f>
        <v/>
      </c>
      <c r="BR146" s="352" t="str">
        <f>IF(AM146="","",VLOOKUP(AM146,AN144:BE150,COLUMN()-COLUMN(BB143),FALSE))</f>
        <v/>
      </c>
      <c r="BS146" s="286" t="str">
        <f>IF(AM146="","",VLOOKUP(AM146,AN144:BE150,COLUMN()-COLUMN(BB143),FALSE))</f>
        <v/>
      </c>
      <c r="BT146" s="301" t="str">
        <f>IF(AM146="","",VLOOKUP(AM146,AN144:BE150,COLUMN()-COLUMN(BB143),FALSE))</f>
        <v/>
      </c>
    </row>
    <row r="147" spans="1:72" x14ac:dyDescent="0.2">
      <c r="A147" s="62"/>
      <c r="B147" s="280"/>
      <c r="C147" s="62"/>
      <c r="D147" s="62"/>
      <c r="E147" s="241" t="s">
        <v>12234</v>
      </c>
      <c r="F147" s="246" t="s">
        <v>8087</v>
      </c>
      <c r="G147" s="246" t="s">
        <v>8096</v>
      </c>
      <c r="H147" s="254">
        <v>3</v>
      </c>
      <c r="I147" s="254">
        <v>3</v>
      </c>
      <c r="J147" s="254"/>
      <c r="K147" s="363"/>
      <c r="L147" s="363"/>
      <c r="M147" s="247"/>
      <c r="N147" s="265" t="b">
        <f>NOT(ISERROR(ResultsTeams[[#This Row],[Goal-A]]+ResultsTeams[[#This Row],[Goal-B]]))</f>
        <v>1</v>
      </c>
      <c r="O147" s="265">
        <f>IF(ResultsTeams[[#This Row],[Type]]="G",SUM(O148:O151),IF(LEFT(ResultsTeams[[#This Row],[Type]],1)="P",IF(ResultsTeams[[#This Row],[Goal-A]]&gt;ResultsTeams[[#This Row],[Goal-B]],1,0),""))</f>
        <v>0</v>
      </c>
      <c r="P147" s="265">
        <f>IF(ResultsTeams[[#This Row],[Type]]="G",SUM(P148:P151),IF(LEFT(ResultsTeams[[#This Row],[Type]],1)="P",IF(ResultsTeams[[#This Row],[Goal-A]]&lt;ResultsTeams[[#This Row],[Goal-B]],1,0),""))</f>
        <v>0</v>
      </c>
      <c r="Q147" s="265">
        <f>IF(ResultsTeams[[#This Row],[Type]]="G",SUM(Q148:Q151),IF(LEFT(ResultsTeams[[#This Row],[Type]],1)="P",VALUE(ResultsTeams[[#This Row],[Score-A]]),""))</f>
        <v>3</v>
      </c>
      <c r="R147" s="265">
        <f>IF(ResultsTeams[[#This Row],[Type]]="G",SUM(R148:R151),IF(LEFT(ResultsTeams[[#This Row],[Type]],1)="P",VALUE(ResultsTeams[[#This Row],[Score-B]]),""))</f>
        <v>3</v>
      </c>
      <c r="S147" s="265" t="str">
        <f ca="1">IF(AND(ResultsTeams[[#This Row],[Category]]&lt;&gt;"",ResultsTeams[[#This Row],[Team A]]&lt;&gt;""),COUNTIF(INDIRECT("TeamsList[Club Name]"),ResultsTeams[[#This Row],[Team A]]),"")</f>
        <v/>
      </c>
      <c r="T147" s="265" t="str">
        <f ca="1">IF(AND(ResultsTeams[[#This Row],[Category]]&lt;&gt;"",ResultsTeams[[#This Row],[Team B]]&lt;&gt;""),COUNTIF(INDIRECT("TeamsList[Club Name]"),ResultsTeams[[#This Row],[Team B]]),"")</f>
        <v/>
      </c>
      <c r="U1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47" s="265" t="str">
        <f>IF(ResultsTeams[[#This Row],[Score_OK]],IF(ResultsTeams[[#This Row],[StageCpy]]="Groups",ResultsTeams[[#This Row],[Category]]&amp;"-"&amp;IF(ResultsTeams[[#This Row],[Team B]]="","",IF(ResultsTeams[[#This Row],[Match-A]]=ResultsTeams[[#This Row],[Match-B]],ResultsTeams[[#This Row],[Team A]],"")),""),"")</f>
        <v>-Michaël Denooz</v>
      </c>
      <c r="W147" s="265" t="str">
        <f>IF(ResultsTeams[[#This Row],[Score_OK]],IF(ResultsTeams[[#This Row],[StageCpy]]="Groups",ResultsTeams[[#This Row],[Category]]&amp;"-"&amp;IF(ResultsTeams[[#This Row],[Team B]]="","",IF(ResultsTeams[[#This Row],[Match-A]]=ResultsTeams[[#This Row],[Match-B]],ResultsTeams[[#This Row],[Team B]],"")),""),"")</f>
        <v>-Louison Giaux</v>
      </c>
      <c r="X1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7" s="264" t="str">
        <f>IF(ResultsTeams[[#This Row],[Category]]="","",VLOOKUP(ResultsTeams[[#This Row],[Stage]],$R$1:$T$8,MATCH(ResultsTeams[[#This Row],[Category]],$S$1:$T$1,0)+1,FALSE))</f>
        <v/>
      </c>
      <c r="AC1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7" s="264" t="str">
        <f>IF(ResultsTeams[[#This Row],[Type]]="G",ResultsTeams[[#This Row],[Stage]],AD146)</f>
        <v>Groups</v>
      </c>
      <c r="AE147" s="395" t="str">
        <f>IF(ResultsTeams[[#This Row],[Type]]="G",INDEX(TeamsList[Club Name],MATCH(ResultsTeams[[#This Row],[Team A]],TeamsList[Team Name],0)),AE146)</f>
        <v>JSC Rochefort</v>
      </c>
      <c r="AF147" s="395" t="str">
        <f>IF(ResultsTeams[[#This Row],[Type]]="G",INDEX(TeamsList[Club Name],MATCH(ResultsTeams[[#This Row],[Team B]],TeamsList[Team Name],0)),AF146)</f>
        <v>Tiburones FM</v>
      </c>
      <c r="AG147" s="265"/>
      <c r="AH147" s="91"/>
      <c r="AI147" s="12">
        <f t="shared" si="121"/>
        <v>0</v>
      </c>
      <c r="AJ147" s="309"/>
      <c r="AK147" s="310"/>
      <c r="AL147" s="311"/>
      <c r="AM147" s="292" t="str">
        <f>IF(AV147="","",SMALL(AN144:AN150,ROWS(AM144:AM147)))</f>
        <v/>
      </c>
      <c r="AN147" s="293" t="str">
        <f>IF(AV147="","",RANK(AR147,AR144:AR150)*1000+ROWS(AN144:AN147))</f>
        <v/>
      </c>
      <c r="AO147" s="316" t="str">
        <f t="shared" si="114"/>
        <v/>
      </c>
      <c r="AP147" s="415" t="b">
        <f>AND(AU147&lt;&gt;"",AU147&gt;0,COUNTIF(AO144:AO150,AO147)&gt;1)</f>
        <v>0</v>
      </c>
      <c r="AQ147" s="316" t="str">
        <f t="shared" si="115"/>
        <v/>
      </c>
      <c r="AR147" s="317" t="str">
        <f t="shared" si="116"/>
        <v/>
      </c>
      <c r="AS147" s="415" t="b">
        <f>AND(AU147&lt;&gt;"",AU147&gt;0,COUNTIF(AR144:AR150,AR147)&gt;1)</f>
        <v>0</v>
      </c>
      <c r="AT147" s="355" t="str">
        <f t="shared" si="117"/>
        <v/>
      </c>
      <c r="AU147" s="356" t="str">
        <f t="shared" si="118"/>
        <v/>
      </c>
      <c r="AV147" s="356" t="str">
        <f>IF(OR(AI143="",AJ147=""),"",COUNTIF(ResultsTeams[Win],AI143&amp;"-"&amp;AJ147))</f>
        <v/>
      </c>
      <c r="AW147" s="356" t="str">
        <f>IF(OR(AI143="",AJ147=""),"",COUNTIF(ResultsTeams[[Draw1]:[Draw2]],AI143&amp;"-"&amp;AJ147))</f>
        <v/>
      </c>
      <c r="AX147" s="356" t="str">
        <f>IF(OR(AI143="",AJ147=""),"",COUNTIF(ResultsTeams[Lose],AI143&amp;"-"&amp;AJ147))</f>
        <v/>
      </c>
      <c r="AY147" s="356" t="str">
        <f>IF(OR(AI143="",AJ147=""),"",AV147-AX147)</f>
        <v/>
      </c>
      <c r="AZ147" s="356" t="str">
        <f>IF(OR(AI146="",AJ147=""),"",SUMIFS(ResultsTeams[Match-A],ResultsTeams[Stage],"Groups",ResultsTeams[Team A],AJ147)+SUMIFS(ResultsTeams[Match-B],ResultsTeams[Stage],"Groups",ResultsTeams[Team B],AJ147))</f>
        <v/>
      </c>
      <c r="BA147" s="356" t="str">
        <f>IF(OR(AI146="",AJ147=""),"",SUMIFS(ResultsTeams[Match-B],ResultsTeams[Stage],"Groups",ResultsTeams[Team A],AJ147)+SUMIFS(ResultsTeams[Match-A],ResultsTeams[Stage],"Groups",ResultsTeams[Team B],AJ147))</f>
        <v/>
      </c>
      <c r="BB147" s="356" t="str">
        <f t="shared" si="120"/>
        <v/>
      </c>
      <c r="BC147" s="356" t="str">
        <f>IF(OR(AI146="",AJ147=""),"",SUMIFS(ResultsTeams[Goal-A],ResultsTeams[Stage],"Groups",ResultsTeams[Team A],AJ147)+SUMIFS(ResultsTeams[Goal-B],ResultsTeams[Stage],"Groups",ResultsTeams[Team B],AJ147))</f>
        <v/>
      </c>
      <c r="BD147" s="356" t="str">
        <f>IF(OR(AI146="",AJ147=""),"",SUMIFS(ResultsTeams[Goal-B],ResultsTeams[Stage],"Groups",ResultsTeams[Team A],AJ147)+SUMIFS(ResultsTeams[Goal-A],ResultsTeams[Stage],"Groups",ResultsTeams[Team B],AJ147))</f>
        <v/>
      </c>
      <c r="BE147" s="357" t="str">
        <f>IF(OR(AI143="",AJ147=""),"",BC147-BD147)</f>
        <v/>
      </c>
      <c r="BF147" s="470" t="str">
        <f>IF(AM147="","",OR(VLOOKUP(AM147,AN144:BE150,3,FALSE),VLOOKUP(AM147,AN144:BE150,6,FALSE)))</f>
        <v/>
      </c>
      <c r="BG147" s="298" t="str">
        <f t="shared" si="119"/>
        <v/>
      </c>
      <c r="BH147" s="285" t="str">
        <f>IF(AM147="","",INDEX(AJ144:AJ150,MATCH(AM147,AN144:AN150,0)))</f>
        <v/>
      </c>
      <c r="BI147" s="286" t="str">
        <f>IF(AM147="","",VLOOKUP(AM147,AN144:BE150,COLUMN()-COLUMN(BB143),FALSE))</f>
        <v/>
      </c>
      <c r="BJ147" s="286" t="str">
        <f>IF(AM147="","",VLOOKUP(AM147,AN144:BE150,COLUMN()-COLUMN(BB143),FALSE))</f>
        <v/>
      </c>
      <c r="BK147" s="286" t="str">
        <f>IF(AM147="","",VLOOKUP(AM147,AN144:BE150,COLUMN()-COLUMN(BB143),FALSE))</f>
        <v/>
      </c>
      <c r="BL147" s="286" t="str">
        <f>IF(AM147="","",VLOOKUP(AM147,AN144:BE150,COLUMN()-COLUMN(BB143),FALSE))</f>
        <v/>
      </c>
      <c r="BM147" s="286" t="str">
        <f>IF(AM147="","",VLOOKUP(AM147,AN144:BE150,COLUMN()-COLUMN(BB143),FALSE))</f>
        <v/>
      </c>
      <c r="BN147" s="349" t="str">
        <f>IF(AM147="","",VLOOKUP(AM147,AN144:BE150,COLUMN()-COLUMN(BB143),FALSE))</f>
        <v/>
      </c>
      <c r="BO147" s="298" t="str">
        <f>IF(AM147="","",VLOOKUP(AM147,AN144:BE150,COLUMN()-COLUMN(BB143),FALSE))</f>
        <v/>
      </c>
      <c r="BP147" s="286" t="str">
        <f>IF(AM147="","",VLOOKUP(AM147,AN144:BE150,COLUMN()-COLUMN(BB143),FALSE))</f>
        <v/>
      </c>
      <c r="BQ147" s="301" t="str">
        <f>IF(AM147="","",VLOOKUP(AM147,AN144:BE150,COLUMN()-COLUMN(BB143),FALSE))</f>
        <v/>
      </c>
      <c r="BR147" s="352" t="str">
        <f>IF(AM147="","",VLOOKUP(AM147,AN144:BE150,COLUMN()-COLUMN(BB143),FALSE))</f>
        <v/>
      </c>
      <c r="BS147" s="286" t="str">
        <f>IF(AM147="","",VLOOKUP(AM147,AN144:BE150,COLUMN()-COLUMN(BB143),FALSE))</f>
        <v/>
      </c>
      <c r="BT147" s="301" t="str">
        <f>IF(AM147="","",VLOOKUP(AM147,AN144:BE150,COLUMN()-COLUMN(BB143),FALSE))</f>
        <v/>
      </c>
    </row>
    <row r="148" spans="1:72" x14ac:dyDescent="0.2">
      <c r="A148" s="62"/>
      <c r="B148" s="280"/>
      <c r="C148" s="62"/>
      <c r="D148" s="62"/>
      <c r="E148" s="241" t="s">
        <v>12237</v>
      </c>
      <c r="F148" s="246" t="s">
        <v>8092</v>
      </c>
      <c r="G148" s="246" t="s">
        <v>11659</v>
      </c>
      <c r="H148" s="254">
        <v>4</v>
      </c>
      <c r="I148" s="254">
        <v>2</v>
      </c>
      <c r="J148" s="254"/>
      <c r="K148" s="363"/>
      <c r="L148" s="363"/>
      <c r="M148" s="247"/>
      <c r="N148" s="265" t="b">
        <f>NOT(ISERROR(ResultsTeams[[#This Row],[Goal-A]]+ResultsTeams[[#This Row],[Goal-B]]))</f>
        <v>1</v>
      </c>
      <c r="O148" s="265">
        <f>IF(ResultsTeams[[#This Row],[Type]]="G",SUM(O149:O152),IF(LEFT(ResultsTeams[[#This Row],[Type]],1)="P",IF(ResultsTeams[[#This Row],[Goal-A]]&gt;ResultsTeams[[#This Row],[Goal-B]],1,0),""))</f>
        <v>1</v>
      </c>
      <c r="P148" s="265">
        <f>IF(ResultsTeams[[#This Row],[Type]]="G",SUM(P149:P152),IF(LEFT(ResultsTeams[[#This Row],[Type]],1)="P",IF(ResultsTeams[[#This Row],[Goal-A]]&lt;ResultsTeams[[#This Row],[Goal-B]],1,0),""))</f>
        <v>0</v>
      </c>
      <c r="Q148" s="265">
        <f>IF(ResultsTeams[[#This Row],[Type]]="G",SUM(Q149:Q152),IF(LEFT(ResultsTeams[[#This Row],[Type]],1)="P",VALUE(ResultsTeams[[#This Row],[Score-A]]),""))</f>
        <v>4</v>
      </c>
      <c r="R148" s="265">
        <f>IF(ResultsTeams[[#This Row],[Type]]="G",SUM(R149:R152),IF(LEFT(ResultsTeams[[#This Row],[Type]],1)="P",VALUE(ResultsTeams[[#This Row],[Score-B]]),""))</f>
        <v>2</v>
      </c>
      <c r="S148" s="265" t="str">
        <f ca="1">IF(AND(ResultsTeams[[#This Row],[Category]]&lt;&gt;"",ResultsTeams[[#This Row],[Team A]]&lt;&gt;""),COUNTIF(INDIRECT("TeamsList[Club Name]"),ResultsTeams[[#This Row],[Team A]]),"")</f>
        <v/>
      </c>
      <c r="T148" s="265" t="str">
        <f ca="1">IF(AND(ResultsTeams[[#This Row],[Category]]&lt;&gt;"",ResultsTeams[[#This Row],[Team B]]&lt;&gt;""),COUNTIF(INDIRECT("TeamsList[Club Name]"),ResultsTeams[[#This Row],[Team B]]),"")</f>
        <v/>
      </c>
      <c r="U1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-Nathan Dizier</v>
      </c>
      <c r="V148" s="265" t="str">
        <f>IF(ResultsTeams[[#This Row],[Score_OK]],IF(ResultsTeams[[#This Row],[StageCpy]]="Groups",ResultsTeams[[#This Row],[Category]]&amp;"-"&amp;IF(ResultsTeams[[#This Row],[Team B]]="","",IF(ResultsTeams[[#This Row],[Match-A]]=ResultsTeams[[#This Row],[Match-B]],ResultsTeams[[#This Row],[Team A]],"")),""),"")</f>
        <v>-</v>
      </c>
      <c r="W148" s="265" t="str">
        <f>IF(ResultsTeams[[#This Row],[Score_OK]],IF(ResultsTeams[[#This Row],[StageCpy]]="Groups",ResultsTeams[[#This Row],[Category]]&amp;"-"&amp;IF(ResultsTeams[[#This Row],[Team B]]="","",IF(ResultsTeams[[#This Row],[Match-A]]=ResultsTeams[[#This Row],[Match-B]],ResultsTeams[[#This Row],[Team B]],"")),""),"")</f>
        <v>-</v>
      </c>
      <c r="X1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-Jean Michel Cuenca</v>
      </c>
      <c r="Y1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8" s="264" t="str">
        <f>IF(ResultsTeams[[#This Row],[Category]]="","",VLOOKUP(ResultsTeams[[#This Row],[Stage]],$R$1:$T$8,MATCH(ResultsTeams[[#This Row],[Category]],$S$1:$T$1,0)+1,FALSE))</f>
        <v/>
      </c>
      <c r="AC1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8" s="264" t="str">
        <f>IF(ResultsTeams[[#This Row],[Type]]="G",ResultsTeams[[#This Row],[Stage]],AD147)</f>
        <v>Groups</v>
      </c>
      <c r="AE148" s="395" t="str">
        <f>IF(ResultsTeams[[#This Row],[Type]]="G",INDEX(TeamsList[Club Name],MATCH(ResultsTeams[[#This Row],[Team A]],TeamsList[Team Name],0)),AE147)</f>
        <v>JSC Rochefort</v>
      </c>
      <c r="AF148" s="395" t="str">
        <f>IF(ResultsTeams[[#This Row],[Type]]="G",INDEX(TeamsList[Club Name],MATCH(ResultsTeams[[#This Row],[Team B]],TeamsList[Team Name],0)),AF147)</f>
        <v>Tiburones FM</v>
      </c>
      <c r="AG148" s="265"/>
      <c r="AH148" s="91"/>
      <c r="AI148" s="12">
        <f t="shared" si="121"/>
        <v>0</v>
      </c>
      <c r="AJ148" s="309"/>
      <c r="AK148" s="310"/>
      <c r="AL148" s="311"/>
      <c r="AM148" s="292" t="str">
        <f>IF(AV148="","",SMALL(AN144:AN150,ROWS(AM144:AM148)))</f>
        <v/>
      </c>
      <c r="AN148" s="293" t="str">
        <f>IF(AV148="","",RANK(AR148,AR144:AR150)*1000+ROWS(AN144:AN148))</f>
        <v/>
      </c>
      <c r="AO148" s="316" t="str">
        <f t="shared" si="114"/>
        <v/>
      </c>
      <c r="AP148" s="415" t="b">
        <f>AND(AU148&lt;&gt;"",AU148&gt;0,COUNTIF(AO144:AO150,AO148)&gt;1)</f>
        <v>0</v>
      </c>
      <c r="AQ148" s="316" t="str">
        <f t="shared" si="115"/>
        <v/>
      </c>
      <c r="AR148" s="317" t="str">
        <f t="shared" si="116"/>
        <v/>
      </c>
      <c r="AS148" s="415" t="b">
        <f>AND(AU148&lt;&gt;"",AU148&gt;0,COUNTIF(AR144:AR150,AR148)&gt;1)</f>
        <v>0</v>
      </c>
      <c r="AT148" s="355" t="str">
        <f t="shared" si="117"/>
        <v/>
      </c>
      <c r="AU148" s="356" t="str">
        <f t="shared" si="118"/>
        <v/>
      </c>
      <c r="AV148" s="356" t="str">
        <f>IF(OR(AI143="",AJ148=""),"",COUNTIF(ResultsTeams[Win],AI143&amp;"-"&amp;AJ148))</f>
        <v/>
      </c>
      <c r="AW148" s="356" t="str">
        <f>IF(OR(AI143="",AJ148=""),"",COUNTIF(ResultsTeams[[Draw1]:[Draw2]],AI143&amp;"-"&amp;AJ148))</f>
        <v/>
      </c>
      <c r="AX148" s="356" t="str">
        <f>IF(OR(AI143="",AJ148=""),"",COUNTIF(ResultsTeams[Lose],AI143&amp;"-"&amp;AJ148))</f>
        <v/>
      </c>
      <c r="AY148" s="356" t="str">
        <f>IF(OR(AI143="",AJ148=""),"",AV148-AX148)</f>
        <v/>
      </c>
      <c r="AZ148" s="356" t="str">
        <f>IF(OR(AI147="",AJ148=""),"",SUMIFS(ResultsTeams[Match-A],ResultsTeams[Stage],"Groups",ResultsTeams[Team A],AJ148)+SUMIFS(ResultsTeams[Match-B],ResultsTeams[Stage],"Groups",ResultsTeams[Team B],AJ148))</f>
        <v/>
      </c>
      <c r="BA148" s="356" t="str">
        <f>IF(OR(AI147="",AJ148=""),"",SUMIFS(ResultsTeams[Match-B],ResultsTeams[Stage],"Groups",ResultsTeams[Team A],AJ148)+SUMIFS(ResultsTeams[Match-A],ResultsTeams[Stage],"Groups",ResultsTeams[Team B],AJ148))</f>
        <v/>
      </c>
      <c r="BB148" s="356" t="str">
        <f t="shared" si="120"/>
        <v/>
      </c>
      <c r="BC148" s="356" t="str">
        <f>IF(OR(AI147="",AJ148=""),"",SUMIFS(ResultsTeams[Goal-A],ResultsTeams[Stage],"Groups",ResultsTeams[Team A],AJ148)+SUMIFS(ResultsTeams[Goal-B],ResultsTeams[Stage],"Groups",ResultsTeams[Team B],AJ148))</f>
        <v/>
      </c>
      <c r="BD148" s="356" t="str">
        <f>IF(OR(AI147="",AJ148=""),"",SUMIFS(ResultsTeams[Goal-B],ResultsTeams[Stage],"Groups",ResultsTeams[Team A],AJ148)+SUMIFS(ResultsTeams[Goal-A],ResultsTeams[Stage],"Groups",ResultsTeams[Team B],AJ148))</f>
        <v/>
      </c>
      <c r="BE148" s="357" t="str">
        <f>IF(OR(AI143="",AJ148=""),"",BC148-BD148)</f>
        <v/>
      </c>
      <c r="BF148" s="470" t="str">
        <f>IF(AM148="","",OR(VLOOKUP(AM148,AN144:BE150,3,FALSE),VLOOKUP(AM148,AN144:BE150,6,FALSE)))</f>
        <v/>
      </c>
      <c r="BG148" s="298" t="str">
        <f t="shared" si="119"/>
        <v/>
      </c>
      <c r="BH148" s="285" t="str">
        <f>IF(AM148="","",INDEX(AJ144:AJ150,MATCH(AM148,AN144:AN150,0)))</f>
        <v/>
      </c>
      <c r="BI148" s="286" t="str">
        <f>IF(AM148="","",VLOOKUP(AM148,AN144:BE150,COLUMN()-COLUMN(BB143),FALSE))</f>
        <v/>
      </c>
      <c r="BJ148" s="286" t="str">
        <f>IF(AM148="","",VLOOKUP(AM148,AN144:BE150,COLUMN()-COLUMN(BB143),FALSE))</f>
        <v/>
      </c>
      <c r="BK148" s="286" t="str">
        <f>IF(AM148="","",VLOOKUP(AM148,AN144:BE150,COLUMN()-COLUMN(BB143),FALSE))</f>
        <v/>
      </c>
      <c r="BL148" s="286" t="str">
        <f>IF(AM148="","",VLOOKUP(AM148,AN144:BE150,COLUMN()-COLUMN(BB143),FALSE))</f>
        <v/>
      </c>
      <c r="BM148" s="286" t="str">
        <f>IF(AM148="","",VLOOKUP(AM148,AN144:BE150,COLUMN()-COLUMN(BB143),FALSE))</f>
        <v/>
      </c>
      <c r="BN148" s="349" t="str">
        <f>IF(AM148="","",VLOOKUP(AM148,AN144:BE150,COLUMN()-COLUMN(BB143),FALSE))</f>
        <v/>
      </c>
      <c r="BO148" s="298" t="str">
        <f>IF(AM148="","",VLOOKUP(AM148,AN144:BE150,COLUMN()-COLUMN(BB143),FALSE))</f>
        <v/>
      </c>
      <c r="BP148" s="286" t="str">
        <f>IF(AM148="","",VLOOKUP(AM148,AN144:BE150,COLUMN()-COLUMN(BB143),FALSE))</f>
        <v/>
      </c>
      <c r="BQ148" s="301" t="str">
        <f>IF(AM148="","",VLOOKUP(AM148,AN144:BE150,COLUMN()-COLUMN(BB143),FALSE))</f>
        <v/>
      </c>
      <c r="BR148" s="352" t="str">
        <f>IF(AM148="","",VLOOKUP(AM148,AN144:BE150,COLUMN()-COLUMN(BB143),FALSE))</f>
        <v/>
      </c>
      <c r="BS148" s="286" t="str">
        <f>IF(AM148="","",VLOOKUP(AM148,AN144:BE150,COLUMN()-COLUMN(BB143),FALSE))</f>
        <v/>
      </c>
      <c r="BT148" s="301" t="str">
        <f>IF(AM148="","",VLOOKUP(AM148,AN144:BE150,COLUMN()-COLUMN(BB143),FALSE))</f>
        <v/>
      </c>
    </row>
    <row r="149" spans="1:72" x14ac:dyDescent="0.2">
      <c r="A149" s="62"/>
      <c r="B149" s="280"/>
      <c r="C149" s="62"/>
      <c r="D149" s="62"/>
      <c r="E149" s="241" t="s">
        <v>12240</v>
      </c>
      <c r="F149" s="246" t="s">
        <v>8192</v>
      </c>
      <c r="G149" s="246" t="s">
        <v>8144</v>
      </c>
      <c r="H149" s="254">
        <v>0</v>
      </c>
      <c r="I149" s="254">
        <v>2</v>
      </c>
      <c r="J149" s="254"/>
      <c r="K149" s="363"/>
      <c r="L149" s="363"/>
      <c r="M149" s="247"/>
      <c r="N149" s="265" t="b">
        <f>NOT(ISERROR(ResultsTeams[[#This Row],[Goal-A]]+ResultsTeams[[#This Row],[Goal-B]]))</f>
        <v>1</v>
      </c>
      <c r="O149" s="265">
        <f>IF(ResultsTeams[[#This Row],[Type]]="G",SUM(O150:O153),IF(LEFT(ResultsTeams[[#This Row],[Type]],1)="P",IF(ResultsTeams[[#This Row],[Goal-A]]&gt;ResultsTeams[[#This Row],[Goal-B]],1,0),""))</f>
        <v>0</v>
      </c>
      <c r="P149" s="265">
        <f>IF(ResultsTeams[[#This Row],[Type]]="G",SUM(P150:P153),IF(LEFT(ResultsTeams[[#This Row],[Type]],1)="P",IF(ResultsTeams[[#This Row],[Goal-A]]&lt;ResultsTeams[[#This Row],[Goal-B]],1,0),""))</f>
        <v>1</v>
      </c>
      <c r="Q149" s="265">
        <f>IF(ResultsTeams[[#This Row],[Type]]="G",SUM(Q150:Q153),IF(LEFT(ResultsTeams[[#This Row],[Type]],1)="P",VALUE(ResultsTeams[[#This Row],[Score-A]]),""))</f>
        <v>0</v>
      </c>
      <c r="R149" s="265">
        <f>IF(ResultsTeams[[#This Row],[Type]]="G",SUM(R150:R153),IF(LEFT(ResultsTeams[[#This Row],[Type]],1)="P",VALUE(ResultsTeams[[#This Row],[Score-B]]),""))</f>
        <v>2</v>
      </c>
      <c r="S149" s="265" t="str">
        <f ca="1">IF(AND(ResultsTeams[[#This Row],[Category]]&lt;&gt;"",ResultsTeams[[#This Row],[Team A]]&lt;&gt;""),COUNTIF(INDIRECT("TeamsList[Club Name]"),ResultsTeams[[#This Row],[Team A]]),"")</f>
        <v/>
      </c>
      <c r="T149" s="265" t="str">
        <f ca="1">IF(AND(ResultsTeams[[#This Row],[Category]]&lt;&gt;"",ResultsTeams[[#This Row],[Team B]]&lt;&gt;""),COUNTIF(INDIRECT("TeamsList[Club Name]"),ResultsTeams[[#This Row],[Team B]]),"")</f>
        <v/>
      </c>
      <c r="U1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-Salvatore Visconti</v>
      </c>
      <c r="V149" s="265" t="str">
        <f>IF(ResultsTeams[[#This Row],[Score_OK]],IF(ResultsTeams[[#This Row],[StageCpy]]="Groups",ResultsTeams[[#This Row],[Category]]&amp;"-"&amp;IF(ResultsTeams[[#This Row],[Team B]]="","",IF(ResultsTeams[[#This Row],[Match-A]]=ResultsTeams[[#This Row],[Match-B]],ResultsTeams[[#This Row],[Team A]],"")),""),"")</f>
        <v>-</v>
      </c>
      <c r="W149" s="265" t="str">
        <f>IF(ResultsTeams[[#This Row],[Score_OK]],IF(ResultsTeams[[#This Row],[StageCpy]]="Groups",ResultsTeams[[#This Row],[Category]]&amp;"-"&amp;IF(ResultsTeams[[#This Row],[Team B]]="","",IF(ResultsTeams[[#This Row],[Match-A]]=ResultsTeams[[#This Row],[Match-B]],ResultsTeams[[#This Row],[Team B]],"")),""),"")</f>
        <v>-</v>
      </c>
      <c r="X1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-Mathieu Marlair</v>
      </c>
      <c r="Y1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9" s="264" t="str">
        <f>IF(ResultsTeams[[#This Row],[Category]]="","",VLOOKUP(ResultsTeams[[#This Row],[Stage]],$R$1:$T$8,MATCH(ResultsTeams[[#This Row],[Category]],$S$1:$T$1,0)+1,FALSE))</f>
        <v/>
      </c>
      <c r="AC1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9" s="264" t="str">
        <f>IF(ResultsTeams[[#This Row],[Type]]="G",ResultsTeams[[#This Row],[Stage]],AD148)</f>
        <v>Groups</v>
      </c>
      <c r="AE149" s="395" t="str">
        <f>IF(ResultsTeams[[#This Row],[Type]]="G",INDEX(TeamsList[Club Name],MATCH(ResultsTeams[[#This Row],[Team A]],TeamsList[Team Name],0)),AE148)</f>
        <v>JSC Rochefort</v>
      </c>
      <c r="AF149" s="395" t="str">
        <f>IF(ResultsTeams[[#This Row],[Type]]="G",INDEX(TeamsList[Club Name],MATCH(ResultsTeams[[#This Row],[Team B]],TeamsList[Team Name],0)),AF148)</f>
        <v>Tiburones FM</v>
      </c>
      <c r="AG149" s="265"/>
      <c r="AI149" s="12">
        <f t="shared" si="121"/>
        <v>0</v>
      </c>
      <c r="AJ149" s="309"/>
      <c r="AK149" s="310"/>
      <c r="AL149" s="311"/>
      <c r="AM149" s="292" t="str">
        <f>IF(AV149="","",SMALL(AN144:AN150,ROWS(AM144:AM149)))</f>
        <v/>
      </c>
      <c r="AN149" s="293" t="str">
        <f>IF(AV149="","",RANK(AR149,AR144:AR150)*1000+ROWS(AN144:AN149))</f>
        <v/>
      </c>
      <c r="AO149" s="316" t="str">
        <f t="shared" si="114"/>
        <v/>
      </c>
      <c r="AP149" s="415" t="b">
        <f>AND(AU149&lt;&gt;"",AU149&gt;0,COUNTIF(AO144:AO150,AO149)&gt;1)</f>
        <v>0</v>
      </c>
      <c r="AQ149" s="316" t="str">
        <f t="shared" si="115"/>
        <v/>
      </c>
      <c r="AR149" s="317" t="str">
        <f t="shared" si="116"/>
        <v/>
      </c>
      <c r="AS149" s="415" t="b">
        <f>AND(AU149&lt;&gt;"",AU149&gt;0,COUNTIF(AR144:AR150,AR149)&gt;1)</f>
        <v>0</v>
      </c>
      <c r="AT149" s="355" t="str">
        <f t="shared" si="117"/>
        <v/>
      </c>
      <c r="AU149" s="356" t="str">
        <f t="shared" si="118"/>
        <v/>
      </c>
      <c r="AV149" s="356" t="str">
        <f>IF(OR(AI143="",AJ149=""),"",COUNTIF(ResultsTeams[Win],AI143&amp;"-"&amp;AJ149))</f>
        <v/>
      </c>
      <c r="AW149" s="356" t="str">
        <f>IF(OR(AI143="",AJ149=""),"",COUNTIF(ResultsTeams[[Draw1]:[Draw2]],AI143&amp;"-"&amp;AJ149))</f>
        <v/>
      </c>
      <c r="AX149" s="356" t="str">
        <f>IF(OR(AI143="",AJ149=""),"",COUNTIF(ResultsTeams[Lose],AI143&amp;"-"&amp;AJ149))</f>
        <v/>
      </c>
      <c r="AY149" s="356" t="str">
        <f>IF(OR(AI143="",AJ149=""),"",AV149-AX149)</f>
        <v/>
      </c>
      <c r="AZ149" s="356" t="str">
        <f>IF(OR(AI148="",AJ149=""),"",SUMIFS(ResultsTeams[Match-A],ResultsTeams[Stage],"Groups",ResultsTeams[Team A],AJ149)+SUMIFS(ResultsTeams[Match-B],ResultsTeams[Stage],"Groups",ResultsTeams[Team B],AJ149))</f>
        <v/>
      </c>
      <c r="BA149" s="356" t="str">
        <f>IF(OR(AI148="",AJ149=""),"",SUMIFS(ResultsTeams[Match-B],ResultsTeams[Stage],"Groups",ResultsTeams[Team A],AJ149)+SUMIFS(ResultsTeams[Match-A],ResultsTeams[Stage],"Groups",ResultsTeams[Team B],AJ149))</f>
        <v/>
      </c>
      <c r="BB149" s="356" t="str">
        <f t="shared" si="120"/>
        <v/>
      </c>
      <c r="BC149" s="356" t="str">
        <f>IF(OR(AI148="",AJ149=""),"",SUMIFS(ResultsTeams[Goal-A],ResultsTeams[Stage],"Groups",ResultsTeams[Team A],AJ149)+SUMIFS(ResultsTeams[Goal-B],ResultsTeams[Stage],"Groups",ResultsTeams[Team B],AJ149))</f>
        <v/>
      </c>
      <c r="BD149" s="356" t="str">
        <f>IF(OR(AI148="",AJ149=""),"",SUMIFS(ResultsTeams[Goal-B],ResultsTeams[Stage],"Groups",ResultsTeams[Team A],AJ149)+SUMIFS(ResultsTeams[Goal-A],ResultsTeams[Stage],"Groups",ResultsTeams[Team B],AJ149))</f>
        <v/>
      </c>
      <c r="BE149" s="357" t="str">
        <f>IF(OR(AI143="",AJ149=""),"",BC149-BD149)</f>
        <v/>
      </c>
      <c r="BF149" s="470" t="str">
        <f>IF(AM149="","",OR(VLOOKUP(AM149,AN144:BE150,3,FALSE),VLOOKUP(AM149,AN144:BE150,6,FALSE)))</f>
        <v/>
      </c>
      <c r="BG149" s="298" t="str">
        <f t="shared" si="119"/>
        <v/>
      </c>
      <c r="BH149" s="285" t="str">
        <f>IF(AM149="","",INDEX(AJ144:AJ150,MATCH(AM149,AN144:AN150,0)))</f>
        <v/>
      </c>
      <c r="BI149" s="286" t="str">
        <f>IF(AM149="","",VLOOKUP(AM149,AN144:BE150,COLUMN()-COLUMN(BB143),FALSE))</f>
        <v/>
      </c>
      <c r="BJ149" s="286" t="str">
        <f>IF(AM149="","",VLOOKUP(AM149,AN144:BE150,COLUMN()-COLUMN(BB143),FALSE))</f>
        <v/>
      </c>
      <c r="BK149" s="286" t="str">
        <f>IF(AM149="","",VLOOKUP(AM149,AN144:BE150,COLUMN()-COLUMN(BB143),FALSE))</f>
        <v/>
      </c>
      <c r="BL149" s="286" t="str">
        <f>IF(AM149="","",VLOOKUP(AM149,AN144:BE150,COLUMN()-COLUMN(BB143),FALSE))</f>
        <v/>
      </c>
      <c r="BM149" s="286" t="str">
        <f>IF(AM149="","",VLOOKUP(AM149,AN144:BE150,COLUMN()-COLUMN(BB143),FALSE))</f>
        <v/>
      </c>
      <c r="BN149" s="349" t="str">
        <f>IF(AM149="","",VLOOKUP(AM149,AN144:BE150,COLUMN()-COLUMN(BB143),FALSE))</f>
        <v/>
      </c>
      <c r="BO149" s="298" t="str">
        <f>IF(AM149="","",VLOOKUP(AM149,AN144:BE150,COLUMN()-COLUMN(BB143),FALSE))</f>
        <v/>
      </c>
      <c r="BP149" s="286" t="str">
        <f>IF(AM149="","",VLOOKUP(AM149,AN144:BE150,COLUMN()-COLUMN(BB143),FALSE))</f>
        <v/>
      </c>
      <c r="BQ149" s="301" t="str">
        <f>IF(AM149="","",VLOOKUP(AM149,AN144:BE150,COLUMN()-COLUMN(BB143),FALSE))</f>
        <v/>
      </c>
      <c r="BR149" s="352" t="str">
        <f>IF(AM149="","",VLOOKUP(AM149,AN144:BE150,COLUMN()-COLUMN(BB143),FALSE))</f>
        <v/>
      </c>
      <c r="BS149" s="286" t="str">
        <f>IF(AM149="","",VLOOKUP(AM149,AN144:BE150,COLUMN()-COLUMN(BB143),FALSE))</f>
        <v/>
      </c>
      <c r="BT149" s="301" t="str">
        <f>IF(AM149="","",VLOOKUP(AM149,AN144:BE150,COLUMN()-COLUMN(BB143),FALSE))</f>
        <v/>
      </c>
    </row>
    <row r="150" spans="1:72" ht="12" thickBot="1" x14ac:dyDescent="0.25">
      <c r="A150" s="62"/>
      <c r="B150" s="62"/>
      <c r="C150" s="62"/>
      <c r="D150" s="62"/>
      <c r="E150" s="241" t="s">
        <v>12243</v>
      </c>
      <c r="F150" s="247"/>
      <c r="G150" s="247"/>
      <c r="H150" s="254"/>
      <c r="I150" s="254"/>
      <c r="J150" s="260"/>
      <c r="K150" s="364"/>
      <c r="L150" s="364"/>
      <c r="M150" s="247"/>
      <c r="N150" s="265" t="b">
        <f>NOT(ISERROR(ResultsTeams[[#This Row],[Goal-A]]+ResultsTeams[[#This Row],[Goal-B]]))</f>
        <v>0</v>
      </c>
      <c r="O150" s="265" t="str">
        <f>IF(ResultsTeams[[#This Row],[Type]]="G",SUM(O151:O154),IF(LEFT(ResultsTeams[[#This Row],[Type]],1)="P",IF(ResultsTeams[[#This Row],[Goal-A]]&gt;ResultsTeams[[#This Row],[Goal-B]],1,0),""))</f>
        <v/>
      </c>
      <c r="P150" s="265" t="str">
        <f>IF(ResultsTeams[[#This Row],[Type]]="G",SUM(P151:P154),IF(LEFT(ResultsTeams[[#This Row],[Type]],1)="P",IF(ResultsTeams[[#This Row],[Goal-A]]&lt;ResultsTeams[[#This Row],[Goal-B]],1,0),""))</f>
        <v/>
      </c>
      <c r="Q150" s="265" t="str">
        <f>IF(ResultsTeams[[#This Row],[Type]]="G",SUM(Q151:Q154),IF(LEFT(ResultsTeams[[#This Row],[Type]],1)="P",VALUE(ResultsTeams[[#This Row],[Score-A]]),""))</f>
        <v/>
      </c>
      <c r="R150" s="265" t="str">
        <f>IF(ResultsTeams[[#This Row],[Type]]="G",SUM(R151:R154),IF(LEFT(ResultsTeams[[#This Row],[Type]],1)="P",VALUE(ResultsTeams[[#This Row],[Score-B]]),""))</f>
        <v/>
      </c>
      <c r="S150" s="265" t="str">
        <f ca="1">IF(AND(ResultsTeams[[#This Row],[Category]]&lt;&gt;"",ResultsTeams[[#This Row],[Team A]]&lt;&gt;""),COUNTIF(INDIRECT("TeamsList[Club Name]"),ResultsTeams[[#This Row],[Team A]]),"")</f>
        <v/>
      </c>
      <c r="T150" s="265" t="str">
        <f ca="1">IF(AND(ResultsTeams[[#This Row],[Category]]&lt;&gt;"",ResultsTeams[[#This Row],[Team B]]&lt;&gt;""),COUNTIF(INDIRECT("TeamsList[Club Name]"),ResultsTeams[[#This Row],[Team B]]),"")</f>
        <v/>
      </c>
      <c r="U1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0" s="265" t="str">
        <f>IF(ResultsTeams[[#This Row],[Score_OK]],IF(ResultsTeams[[#This Row],[StageCpy]]="Groups",ResultsTeams[[#This Row],[Category]]&amp;"-"&amp;IF(ResultsTeams[[#This Row],[Team B]]="","",IF(ResultsTeams[[#This Row],[Match-A]]=ResultsTeams[[#This Row],[Match-B]],ResultsTeams[[#This Row],[Team A]],"")),""),"")</f>
        <v/>
      </c>
      <c r="W150" s="265" t="str">
        <f>IF(ResultsTeams[[#This Row],[Score_OK]],IF(ResultsTeams[[#This Row],[StageCpy]]="Groups",ResultsTeams[[#This Row],[Category]]&amp;"-"&amp;IF(ResultsTeams[[#This Row],[Team B]]="","",IF(ResultsTeams[[#This Row],[Match-A]]=ResultsTeams[[#This Row],[Match-B]],ResultsTeams[[#This Row],[Team B]],"")),""),"")</f>
        <v/>
      </c>
      <c r="X1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0" s="264" t="str">
        <f>IF(ResultsTeams[[#This Row],[Category]]="","",VLOOKUP(ResultsTeams[[#This Row],[Stage]],$R$1:$T$8,MATCH(ResultsTeams[[#This Row],[Category]],$S$1:$T$1,0)+1,FALSE))</f>
        <v/>
      </c>
      <c r="AC1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0" s="264" t="str">
        <f>IF(ResultsTeams[[#This Row],[Type]]="G",ResultsTeams[[#This Row],[Stage]],AD149)</f>
        <v>Groups</v>
      </c>
      <c r="AE150" s="395" t="str">
        <f>IF(ResultsTeams[[#This Row],[Type]]="G",INDEX(TeamsList[Club Name],MATCH(ResultsTeams[[#This Row],[Team A]],TeamsList[Team Name],0)),AE149)</f>
        <v>JSC Rochefort</v>
      </c>
      <c r="AF150" s="395" t="str">
        <f>IF(ResultsTeams[[#This Row],[Type]]="G",INDEX(TeamsList[Club Name],MATCH(ResultsTeams[[#This Row],[Team B]],TeamsList[Team Name],0)),AF149)</f>
        <v>Tiburones FM</v>
      </c>
      <c r="AG150" s="265"/>
      <c r="AI150" s="12">
        <f t="shared" si="121"/>
        <v>0</v>
      </c>
      <c r="AJ150" s="312"/>
      <c r="AK150" s="313"/>
      <c r="AL150" s="314"/>
      <c r="AM150" s="294" t="str">
        <f>IF(AV150="","",SMALL(AN144:AN150,ROWS(AM144:AM150)))</f>
        <v/>
      </c>
      <c r="AN150" s="295" t="str">
        <f>IF(AV150="","",RANK(AR150,AR144:AR150)*1000+ROWS(AN144:AN150))</f>
        <v/>
      </c>
      <c r="AO150" s="318" t="str">
        <f t="shared" si="114"/>
        <v/>
      </c>
      <c r="AP150" s="416" t="b">
        <f>AND(AU150&lt;&gt;"",AU150&gt;0,COUNTIF(AO144:AO150,AO150)&gt;1)</f>
        <v>0</v>
      </c>
      <c r="AQ150" s="318" t="str">
        <f t="shared" si="115"/>
        <v/>
      </c>
      <c r="AR150" s="319" t="str">
        <f t="shared" si="116"/>
        <v/>
      </c>
      <c r="AS150" s="416" t="b">
        <f>AND(AU150&lt;&gt;"",AU150&gt;0,COUNTIF(AR144:AR150,AR150)&gt;1)</f>
        <v>0</v>
      </c>
      <c r="AT150" s="358" t="str">
        <f t="shared" si="117"/>
        <v/>
      </c>
      <c r="AU150" s="359" t="str">
        <f t="shared" si="118"/>
        <v/>
      </c>
      <c r="AV150" s="359" t="str">
        <f>IF(OR(AI143="",AJ150=""),"",COUNTIF(ResultsTeams[Win],AI143&amp;"-"&amp;AJ150))</f>
        <v/>
      </c>
      <c r="AW150" s="359" t="str">
        <f>IF(OR(AI143="",AJ150=""),"",COUNTIF(ResultsTeams[[Draw1]:[Draw2]],AI143&amp;"-"&amp;AJ150))</f>
        <v/>
      </c>
      <c r="AX150" s="359" t="str">
        <f>IF(OR(AI143="",AJ150=""),"",COUNTIF(ResultsTeams[Lose],AI143&amp;"-"&amp;AJ150))</f>
        <v/>
      </c>
      <c r="AY150" s="359" t="str">
        <f>IF(OR(AI143="",AJ150=""),"",AV150-AX150)</f>
        <v/>
      </c>
      <c r="AZ150" s="359" t="str">
        <f>IF(OR(AI149="",AJ150=""),"",SUMIFS(ResultsTeams[Match-A],ResultsTeams[Stage],"Groups",ResultsTeams[Team A],AJ150)+SUMIFS(ResultsTeams[Match-B],ResultsTeams[Stage],"Groups",ResultsTeams[Team B],AJ150))</f>
        <v/>
      </c>
      <c r="BA150" s="359" t="str">
        <f>IF(OR(AI149="",AJ150=""),"",SUMIFS(ResultsTeams[Match-B],ResultsTeams[Stage],"Groups",ResultsTeams[Team A],AJ150)+SUMIFS(ResultsTeams[Match-A],ResultsTeams[Stage],"Groups",ResultsTeams[Team B],AJ150))</f>
        <v/>
      </c>
      <c r="BB150" s="359" t="str">
        <f t="shared" si="120"/>
        <v/>
      </c>
      <c r="BC150" s="359" t="str">
        <f>IF(OR(AI149="",AJ150=""),"",SUMIFS(ResultsTeams[Goal-A],ResultsTeams[Stage],"Groups",ResultsTeams[Team A],AJ150)+SUMIFS(ResultsTeams[Goal-B],ResultsTeams[Stage],"Groups",ResultsTeams[Team B],AJ150))</f>
        <v/>
      </c>
      <c r="BD150" s="359" t="str">
        <f>IF(OR(AI149="",AJ150=""),"",SUMIFS(ResultsTeams[Goal-B],ResultsTeams[Stage],"Groups",ResultsTeams[Team A],AJ150)+SUMIFS(ResultsTeams[Goal-A],ResultsTeams[Stage],"Groups",ResultsTeams[Team B],AJ150))</f>
        <v/>
      </c>
      <c r="BE150" s="360" t="str">
        <f>IF(OR(AI143="",AJ150=""),"",BC150-BD150)</f>
        <v/>
      </c>
      <c r="BF150" s="470" t="str">
        <f>IF(AM150="","",OR(VLOOKUP(AM150,AN144:BE150,3,FALSE),VLOOKUP(AM150,AN144:BE150,6,FALSE)))</f>
        <v/>
      </c>
      <c r="BG150" s="299" t="str">
        <f t="shared" si="119"/>
        <v/>
      </c>
      <c r="BH150" s="287" t="str">
        <f>IF(AM150="","",INDEX(AJ144:AJ150,MATCH(AM150,AN144:AN150,0)))</f>
        <v/>
      </c>
      <c r="BI150" s="288" t="str">
        <f>IF(AM150="","",VLOOKUP(AM150,AN144:BE150,COLUMN()-COLUMN(BB143),FALSE))</f>
        <v/>
      </c>
      <c r="BJ150" s="288" t="str">
        <f>IF(AM150="","",VLOOKUP(AM150,AN144:BE150,COLUMN()-COLUMN(BB143),FALSE))</f>
        <v/>
      </c>
      <c r="BK150" s="288" t="str">
        <f>IF(AM150="","",VLOOKUP(AM150,AN144:BE150,COLUMN()-COLUMN(BB143),FALSE))</f>
        <v/>
      </c>
      <c r="BL150" s="288" t="str">
        <f>IF(AM150="","",VLOOKUP(AM150,AN144:BE150,COLUMN()-COLUMN(BB143),FALSE))</f>
        <v/>
      </c>
      <c r="BM150" s="288" t="str">
        <f>IF(AM150="","",VLOOKUP(AM150,AN144:BE150,COLUMN()-COLUMN(BB143),FALSE))</f>
        <v/>
      </c>
      <c r="BN150" s="350" t="str">
        <f>IF(AM150="","",VLOOKUP(AM150,AN144:BE150,COLUMN()-COLUMN(BB143),FALSE))</f>
        <v/>
      </c>
      <c r="BO150" s="299" t="str">
        <f>IF(AM150="","",VLOOKUP(AM150,AN144:BE150,COLUMN()-COLUMN(BB143),FALSE))</f>
        <v/>
      </c>
      <c r="BP150" s="288" t="str">
        <f>IF(AM150="","",VLOOKUP(AM150,AN144:BE150,COLUMN()-COLUMN(BB143),FALSE))</f>
        <v/>
      </c>
      <c r="BQ150" s="302" t="str">
        <f>IF(AM150="","",VLOOKUP(AM150,AN144:BE150,COLUMN()-COLUMN(BB143),FALSE))</f>
        <v/>
      </c>
      <c r="BR150" s="353" t="str">
        <f>IF(AM150="","",VLOOKUP(AM150,AN144:BE150,COLUMN()-COLUMN(BB143),FALSE))</f>
        <v/>
      </c>
      <c r="BS150" s="288" t="str">
        <f>IF(AM150="","",VLOOKUP(AM150,AN144:BE150,COLUMN()-COLUMN(BB143),FALSE))</f>
        <v/>
      </c>
      <c r="BT150" s="302" t="str">
        <f>IF(AM150="","",VLOOKUP(AM150,AN144:BE150,COLUMN()-COLUMN(BB143),FALSE))</f>
        <v/>
      </c>
    </row>
    <row r="151" spans="1:72" ht="12" thickBot="1" x14ac:dyDescent="0.25">
      <c r="A151" s="83"/>
      <c r="B151" s="83"/>
      <c r="C151" s="83"/>
      <c r="D151" s="83"/>
      <c r="E151" s="268" t="s">
        <v>12244</v>
      </c>
      <c r="F151" s="262"/>
      <c r="G151" s="262"/>
      <c r="H151" s="324"/>
      <c r="I151" s="324"/>
      <c r="J151" s="263"/>
      <c r="K151" s="365"/>
      <c r="L151" s="365"/>
      <c r="M151" s="262"/>
      <c r="N151" s="265" t="b">
        <f>NOT(ISERROR(ResultsTeams[[#This Row],[Goal-A]]+ResultsTeams[[#This Row],[Goal-B]]))</f>
        <v>0</v>
      </c>
      <c r="O151" s="265" t="str">
        <f>IF(ResultsTeams[[#This Row],[Type]]="G",SUM(O152:O155),IF(LEFT(ResultsTeams[[#This Row],[Type]],1)="P",IF(ResultsTeams[[#This Row],[Goal-A]]&gt;ResultsTeams[[#This Row],[Goal-B]],1,0),""))</f>
        <v/>
      </c>
      <c r="P151" s="265" t="str">
        <f>IF(ResultsTeams[[#This Row],[Type]]="G",SUM(P152:P155),IF(LEFT(ResultsTeams[[#This Row],[Type]],1)="P",IF(ResultsTeams[[#This Row],[Goal-A]]&lt;ResultsTeams[[#This Row],[Goal-B]],1,0),""))</f>
        <v/>
      </c>
      <c r="Q151" s="265" t="str">
        <f>IF(ResultsTeams[[#This Row],[Type]]="G",SUM(Q152:Q155),IF(LEFT(ResultsTeams[[#This Row],[Type]],1)="P",VALUE(ResultsTeams[[#This Row],[Score-A]]),""))</f>
        <v/>
      </c>
      <c r="R151" s="265" t="str">
        <f>IF(ResultsTeams[[#This Row],[Type]]="G",SUM(R152:R155),IF(LEFT(ResultsTeams[[#This Row],[Type]],1)="P",VALUE(ResultsTeams[[#This Row],[Score-B]]),""))</f>
        <v/>
      </c>
      <c r="S151" s="265" t="str">
        <f ca="1">IF(AND(ResultsTeams[[#This Row],[Category]]&lt;&gt;"",ResultsTeams[[#This Row],[Team A]]&lt;&gt;""),COUNTIF(INDIRECT("TeamsList[Club Name]"),ResultsTeams[[#This Row],[Team A]]),"")</f>
        <v/>
      </c>
      <c r="T151" s="265" t="str">
        <f ca="1">IF(AND(ResultsTeams[[#This Row],[Category]]&lt;&gt;"",ResultsTeams[[#This Row],[Team B]]&lt;&gt;""),COUNTIF(INDIRECT("TeamsList[Club Name]"),ResultsTeams[[#This Row],[Team B]]),"")</f>
        <v/>
      </c>
      <c r="U1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1" s="265" t="str">
        <f>IF(ResultsTeams[[#This Row],[Score_OK]],IF(ResultsTeams[[#This Row],[StageCpy]]="Groups",ResultsTeams[[#This Row],[Category]]&amp;"-"&amp;IF(ResultsTeams[[#This Row],[Team B]]="","",IF(ResultsTeams[[#This Row],[Match-A]]=ResultsTeams[[#This Row],[Match-B]],ResultsTeams[[#This Row],[Team A]],"")),""),"")</f>
        <v/>
      </c>
      <c r="W151" s="265" t="str">
        <f>IF(ResultsTeams[[#This Row],[Score_OK]],IF(ResultsTeams[[#This Row],[StageCpy]]="Groups",ResultsTeams[[#This Row],[Category]]&amp;"-"&amp;IF(ResultsTeams[[#This Row],[Team B]]="","",IF(ResultsTeams[[#This Row],[Match-A]]=ResultsTeams[[#This Row],[Match-B]],ResultsTeams[[#This Row],[Team B]],"")),""),"")</f>
        <v/>
      </c>
      <c r="X1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1" s="264" t="str">
        <f>IF(ResultsTeams[[#This Row],[Category]]="","",VLOOKUP(ResultsTeams[[#This Row],[Stage]],$R$1:$T$8,MATCH(ResultsTeams[[#This Row],[Category]],$S$1:$T$1,0)+1,FALSE))</f>
        <v/>
      </c>
      <c r="AC1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1" s="264" t="str">
        <f>IF(ResultsTeams[[#This Row],[Type]]="G",ResultsTeams[[#This Row],[Stage]],AD150)</f>
        <v>Groups</v>
      </c>
      <c r="AE151" s="395" t="str">
        <f>IF(ResultsTeams[[#This Row],[Type]]="G",INDEX(TeamsList[Club Name],MATCH(ResultsTeams[[#This Row],[Team A]],TeamsList[Team Name],0)),AE150)</f>
        <v>JSC Rochefort</v>
      </c>
      <c r="AF151" s="395" t="str">
        <f>IF(ResultsTeams[[#This Row],[Type]]="G",INDEX(TeamsList[Club Name],MATCH(ResultsTeams[[#This Row],[Team B]],TeamsList[Team Name],0)),AF150)</f>
        <v>Tiburones FM</v>
      </c>
      <c r="AG151" s="265"/>
    </row>
    <row r="152" spans="1:72" ht="12" thickBot="1" x14ac:dyDescent="0.25">
      <c r="A152" s="261" t="s">
        <v>12693</v>
      </c>
      <c r="B152" s="270" t="s">
        <v>12207</v>
      </c>
      <c r="C152" s="270">
        <v>4</v>
      </c>
      <c r="D152" s="270"/>
      <c r="E152" s="272" t="s">
        <v>12228</v>
      </c>
      <c r="F152" s="273" t="s">
        <v>654</v>
      </c>
      <c r="G152" s="273" t="s">
        <v>11495</v>
      </c>
      <c r="H152" s="275">
        <v>1</v>
      </c>
      <c r="I152" s="275">
        <v>2</v>
      </c>
      <c r="J152" s="275"/>
      <c r="K152" s="366"/>
      <c r="L152" s="366"/>
      <c r="M152" s="274"/>
      <c r="N152" s="265" t="b">
        <f>NOT(ISERROR(ResultsTeams[[#This Row],[Goal-A]]+ResultsTeams[[#This Row],[Goal-B]]))</f>
        <v>1</v>
      </c>
      <c r="O152" s="265">
        <f>IF(ResultsTeams[[#This Row],[Type]]="G",SUM(O153:O156),IF(LEFT(ResultsTeams[[#This Row],[Type]],1)="P",IF(ResultsTeams[[#This Row],[Goal-A]]&gt;ResultsTeams[[#This Row],[Goal-B]],1,0),""))</f>
        <v>1</v>
      </c>
      <c r="P152" s="265">
        <f>IF(ResultsTeams[[#This Row],[Type]]="G",SUM(P153:P156),IF(LEFT(ResultsTeams[[#This Row],[Type]],1)="P",IF(ResultsTeams[[#This Row],[Goal-A]]&lt;ResultsTeams[[#This Row],[Goal-B]],1,0),""))</f>
        <v>2</v>
      </c>
      <c r="Q152" s="265">
        <f>IF(ResultsTeams[[#This Row],[Type]]="G",SUM(Q153:Q156),IF(LEFT(ResultsTeams[[#This Row],[Type]],1)="P",VALUE(ResultsTeams[[#This Row],[Score-A]]),""))</f>
        <v>6</v>
      </c>
      <c r="R152" s="265">
        <f>IF(ResultsTeams[[#This Row],[Type]]="G",SUM(R153:R156),IF(LEFT(ResultsTeams[[#This Row],[Type]],1)="P",VALUE(ResultsTeams[[#This Row],[Score-B]]),""))</f>
        <v>8</v>
      </c>
      <c r="S152" s="265">
        <f ca="1">IF(AND(ResultsTeams[[#This Row],[Category]]&lt;&gt;"",ResultsTeams[[#This Row],[Team A]]&lt;&gt;""),COUNTIF(INDIRECT("TeamsList[Club Name]"),ResultsTeams[[#This Row],[Team A]]),"")</f>
        <v>1</v>
      </c>
      <c r="T152" s="265">
        <f ca="1">IF(AND(ResultsTeams[[#This Row],[Category]]&lt;&gt;"",ResultsTeams[[#This Row],[Team B]]&lt;&gt;""),COUNTIF(INDIRECT("TeamsList[Club Name]"),ResultsTeams[[#This Row],[Team B]]),"")</f>
        <v>1</v>
      </c>
      <c r="U1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TEAM-Subbuteo Dragons Azuqueca</v>
      </c>
      <c r="V152" s="265" t="str">
        <f>IF(ResultsTeams[[#This Row],[Score_OK]],IF(ResultsTeams[[#This Row],[StageCpy]]="Groups",ResultsTeams[[#This Row],[Category]]&amp;"-"&amp;IF(ResultsTeams[[#This Row],[Team B]]="","",IF(ResultsTeams[[#This Row],[Match-A]]=ResultsTeams[[#This Row],[Match-B]],ResultsTeams[[#This Row],[Team A]],"")),""),"")</f>
        <v>TEAM-</v>
      </c>
      <c r="W152" s="265" t="str">
        <f>IF(ResultsTeams[[#This Row],[Score_OK]],IF(ResultsTeams[[#This Row],[StageCpy]]="Groups",ResultsTeams[[#This Row],[Category]]&amp;"-"&amp;IF(ResultsTeams[[#This Row],[Team B]]="","",IF(ResultsTeams[[#This Row],[Match-A]]=ResultsTeams[[#This Row],[Match-B]],ResultsTeams[[#This Row],[Team B]],"")),""),"")</f>
        <v>TEAM-</v>
      </c>
      <c r="X1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TEAM-ASD SC Salernitana</v>
      </c>
      <c r="Y1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TEAM-ASD SC Salernitana</v>
      </c>
      <c r="AA1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TEAM-ASD SC Salernitana</v>
      </c>
      <c r="AB152" s="264" t="str">
        <f>IF(ResultsTeams[[#This Row],[Category]]="","",VLOOKUP(ResultsTeams[[#This Row],[Stage]],$R$1:$T$8,MATCH(ResultsTeams[[#This Row],[Category]],$S$1:$T$1,0)+1,FALSE))</f>
        <v>PR1</v>
      </c>
      <c r="AC1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2" s="264" t="str">
        <f>IF(ResultsTeams[[#This Row],[Type]]="G",ResultsTeams[[#This Row],[Stage]],AD151)</f>
        <v>Groups</v>
      </c>
      <c r="AE152" s="395" t="str">
        <f>IF(ResultsTeams[[#This Row],[Type]]="G",INDEX(TeamsList[Club Name],MATCH(ResultsTeams[[#This Row],[Team A]],TeamsList[Team Name],0)),AE151)</f>
        <v>ASD SC Salernitana</v>
      </c>
      <c r="AF152" s="395" t="str">
        <f>IF(ResultsTeams[[#This Row],[Type]]="G",INDEX(TeamsList[Club Name],MATCH(ResultsTeams[[#This Row],[Team B]],TeamsList[Team Name],0)),AF151)</f>
        <v>Subbuteo Dragons Azuqueca</v>
      </c>
      <c r="AG152" s="265"/>
      <c r="AH152" s="281">
        <v>4</v>
      </c>
      <c r="AI152" s="315"/>
      <c r="AJ152" s="289" t="s">
        <v>14438</v>
      </c>
      <c r="AK152" s="290" t="s">
        <v>12279</v>
      </c>
      <c r="AL152" s="300" t="s">
        <v>12275</v>
      </c>
      <c r="AM152" s="296" t="s">
        <v>12276</v>
      </c>
      <c r="AN152" s="291" t="s">
        <v>12271</v>
      </c>
      <c r="AO152" s="291" t="s">
        <v>12272</v>
      </c>
      <c r="AP152" s="414" t="s">
        <v>13154</v>
      </c>
      <c r="AQ152" s="291" t="s">
        <v>12273</v>
      </c>
      <c r="AR152" s="297" t="s">
        <v>12274</v>
      </c>
      <c r="AS152" s="414" t="s">
        <v>13154</v>
      </c>
      <c r="AT152" s="296" t="s">
        <v>12199</v>
      </c>
      <c r="AU152" s="291" t="s">
        <v>12200</v>
      </c>
      <c r="AV152" s="291" t="s">
        <v>12201</v>
      </c>
      <c r="AW152" s="291" t="s">
        <v>12202</v>
      </c>
      <c r="AX152" s="291" t="s">
        <v>12203</v>
      </c>
      <c r="AY152" s="291" t="s">
        <v>12697</v>
      </c>
      <c r="AZ152" s="291" t="s">
        <v>12698</v>
      </c>
      <c r="BA152" s="291" t="s">
        <v>12699</v>
      </c>
      <c r="BB152" s="291" t="s">
        <v>12700</v>
      </c>
      <c r="BC152" s="291" t="s">
        <v>12204</v>
      </c>
      <c r="BD152" s="291" t="s">
        <v>12205</v>
      </c>
      <c r="BE152" s="297" t="s">
        <v>12206</v>
      </c>
      <c r="BF152" s="395"/>
      <c r="BG152" s="282" t="s">
        <v>12276</v>
      </c>
      <c r="BH152" s="282" t="s">
        <v>12133</v>
      </c>
      <c r="BI152" s="283" t="s">
        <v>12199</v>
      </c>
      <c r="BJ152" s="283" t="s">
        <v>12200</v>
      </c>
      <c r="BK152" s="283" t="s">
        <v>12201</v>
      </c>
      <c r="BL152" s="283" t="s">
        <v>12202</v>
      </c>
      <c r="BM152" s="283" t="s">
        <v>12203</v>
      </c>
      <c r="BN152" s="290" t="s">
        <v>12697</v>
      </c>
      <c r="BO152" s="354" t="s">
        <v>12698</v>
      </c>
      <c r="BP152" s="283" t="s">
        <v>12699</v>
      </c>
      <c r="BQ152" s="300" t="s">
        <v>12700</v>
      </c>
      <c r="BR152" s="351" t="s">
        <v>12204</v>
      </c>
      <c r="BS152" s="283" t="s">
        <v>12205</v>
      </c>
      <c r="BT152" s="300" t="s">
        <v>12206</v>
      </c>
    </row>
    <row r="153" spans="1:72" x14ac:dyDescent="0.2">
      <c r="A153" s="60"/>
      <c r="B153" s="280"/>
      <c r="C153" s="60"/>
      <c r="D153" s="60"/>
      <c r="E153" s="240" t="s">
        <v>12231</v>
      </c>
      <c r="F153" s="244" t="s">
        <v>8126</v>
      </c>
      <c r="G153" s="244" t="s">
        <v>8643</v>
      </c>
      <c r="H153" s="253">
        <v>1</v>
      </c>
      <c r="I153" s="253">
        <v>3</v>
      </c>
      <c r="J153" s="253"/>
      <c r="K153" s="362"/>
      <c r="L153" s="362"/>
      <c r="M153" s="245"/>
      <c r="N153" s="265" t="b">
        <f>NOT(ISERROR(ResultsTeams[[#This Row],[Goal-A]]+ResultsTeams[[#This Row],[Goal-B]]))</f>
        <v>1</v>
      </c>
      <c r="O153" s="265">
        <f>IF(ResultsTeams[[#This Row],[Type]]="G",SUM(O154:O157),IF(LEFT(ResultsTeams[[#This Row],[Type]],1)="P",IF(ResultsTeams[[#This Row],[Goal-A]]&gt;ResultsTeams[[#This Row],[Goal-B]],1,0),""))</f>
        <v>0</v>
      </c>
      <c r="P153" s="265">
        <f>IF(ResultsTeams[[#This Row],[Type]]="G",SUM(P154:P157),IF(LEFT(ResultsTeams[[#This Row],[Type]],1)="P",IF(ResultsTeams[[#This Row],[Goal-A]]&lt;ResultsTeams[[#This Row],[Goal-B]],1,0),""))</f>
        <v>1</v>
      </c>
      <c r="Q153" s="265">
        <f>IF(ResultsTeams[[#This Row],[Type]]="G",SUM(Q154:Q157),IF(LEFT(ResultsTeams[[#This Row],[Type]],1)="P",VALUE(ResultsTeams[[#This Row],[Score-A]]),""))</f>
        <v>1</v>
      </c>
      <c r="R153" s="265">
        <f>IF(ResultsTeams[[#This Row],[Type]]="G",SUM(R154:R157),IF(LEFT(ResultsTeams[[#This Row],[Type]],1)="P",VALUE(ResultsTeams[[#This Row],[Score-B]]),""))</f>
        <v>3</v>
      </c>
      <c r="S153" s="265" t="str">
        <f ca="1">IF(AND(ResultsTeams[[#This Row],[Category]]&lt;&gt;"",ResultsTeams[[#This Row],[Team A]]&lt;&gt;""),COUNTIF(INDIRECT("TeamsList[Club Name]"),ResultsTeams[[#This Row],[Team A]]),"")</f>
        <v/>
      </c>
      <c r="T153" s="265" t="str">
        <f ca="1">IF(AND(ResultsTeams[[#This Row],[Category]]&lt;&gt;"",ResultsTeams[[#This Row],[Team B]]&lt;&gt;""),COUNTIF(INDIRECT("TeamsList[Club Name]"),ResultsTeams[[#This Row],[Team B]]),"")</f>
        <v/>
      </c>
      <c r="U1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-Alberto Gómez</v>
      </c>
      <c r="V153" s="265" t="str">
        <f>IF(ResultsTeams[[#This Row],[Score_OK]],IF(ResultsTeams[[#This Row],[StageCpy]]="Groups",ResultsTeams[[#This Row],[Category]]&amp;"-"&amp;IF(ResultsTeams[[#This Row],[Team B]]="","",IF(ResultsTeams[[#This Row],[Match-A]]=ResultsTeams[[#This Row],[Match-B]],ResultsTeams[[#This Row],[Team A]],"")),""),"")</f>
        <v>-</v>
      </c>
      <c r="W153" s="265" t="str">
        <f>IF(ResultsTeams[[#This Row],[Score_OK]],IF(ResultsTeams[[#This Row],[StageCpy]]="Groups",ResultsTeams[[#This Row],[Category]]&amp;"-"&amp;IF(ResultsTeams[[#This Row],[Team B]]="","",IF(ResultsTeams[[#This Row],[Match-A]]=ResultsTeams[[#This Row],[Match-B]],ResultsTeams[[#This Row],[Team B]],"")),""),"")</f>
        <v>-</v>
      </c>
      <c r="X1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Scheen</v>
      </c>
      <c r="Y1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3" s="264" t="str">
        <f>IF(ResultsTeams[[#This Row],[Category]]="","",VLOOKUP(ResultsTeams[[#This Row],[Stage]],$R$1:$T$8,MATCH(ResultsTeams[[#This Row],[Category]],$S$1:$T$1,0)+1,FALSE))</f>
        <v/>
      </c>
      <c r="AC1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3" s="264" t="str">
        <f>IF(ResultsTeams[[#This Row],[Type]]="G",ResultsTeams[[#This Row],[Stage]],AD152)</f>
        <v>Groups</v>
      </c>
      <c r="AE153" s="395" t="str">
        <f>IF(ResultsTeams[[#This Row],[Type]]="G",INDEX(TeamsList[Club Name],MATCH(ResultsTeams[[#This Row],[Team A]],TeamsList[Team Name],0)),AE152)</f>
        <v>ASD SC Salernitana</v>
      </c>
      <c r="AF153" s="395" t="str">
        <f>IF(ResultsTeams[[#This Row],[Type]]="G",INDEX(TeamsList[Club Name],MATCH(ResultsTeams[[#This Row],[Team B]],TeamsList[Team Name],0)),AF152)</f>
        <v>Subbuteo Dragons Azuqueca</v>
      </c>
      <c r="AG153" s="265"/>
      <c r="AI153" s="12">
        <f>AI152</f>
        <v>0</v>
      </c>
      <c r="AJ153" s="309" t="s">
        <v>654</v>
      </c>
      <c r="AK153" s="320"/>
      <c r="AL153" s="311"/>
      <c r="AM153" s="292" t="str">
        <f>IF(AV153="","",SMALL(AN153:AN159,ROWS(AM153:AM153)))</f>
        <v/>
      </c>
      <c r="AN153" s="293" t="str">
        <f>IF(AV153="","",RANK(AR153,AR153:AR159)*1000+ROWS(AN153:AN153))</f>
        <v/>
      </c>
      <c r="AO153" s="316" t="str">
        <f t="shared" ref="AO153:AO159" si="122">IF(AV153="","",AT153*CritClassEq1_Points+AY153*CritClassEq1_DiffRencontres+BB153*CritClassEq1_DiffMatches+BE153*CritClassEq1_DiffButs+AZ153*CritClassEq1_Matches+BC153*CritClassEq1_Attaque)</f>
        <v/>
      </c>
      <c r="AP153" s="415" t="b">
        <f>AND(AU153&lt;&gt;"",AU153&gt;0,COUNTIF(AO153:AO159,AO153)&gt;1)</f>
        <v>0</v>
      </c>
      <c r="AQ153" s="316" t="str">
        <f t="shared" ref="AQ153:AQ159" si="123">IF(AV153="","",CritClassEq_DiffPart*AK153)</f>
        <v/>
      </c>
      <c r="AR153" s="317" t="str">
        <f t="shared" ref="AR153:AR159" si="124">IF(AV153="","",AO153+AQ153+AT153*CritClassEq2_Points+AY153*CritClassEq2_DiffRencontres+BB153*CritClassEq2_DiffMatches+BE153*CritClassEq2_DiffButs+AZ153*CritClassEq2_Matches+BC153*CritClassEq2_Attaque+AL153)</f>
        <v/>
      </c>
      <c r="AS153" s="415" t="b">
        <f>AND(AU153&lt;&gt;"",AU153&gt;0,COUNTIF(AR153:AR159,AR153)&gt;1)</f>
        <v>0</v>
      </c>
      <c r="AT153" s="355" t="str">
        <f t="shared" ref="AT153:AT159" si="125">IF(AV153="","",(AV153*Points_Victoire)+AW153*Points_Null)</f>
        <v/>
      </c>
      <c r="AU153" s="356" t="str">
        <f t="shared" ref="AU153:AU159" si="126">IF(AV153="","",SUM(AV153:AX153))</f>
        <v/>
      </c>
      <c r="AV153" s="356" t="str">
        <f>IF(OR(AI152="",AJ153=""),"",COUNTIF(ResultsTeams[Win],AI152&amp;"-"&amp;AJ153))</f>
        <v/>
      </c>
      <c r="AW153" s="356" t="str">
        <f>IF(OR(AI152="",AJ153=""),"",COUNTIF(ResultsTeams[[Draw1]:[Draw2]],AI152&amp;"-"&amp;AJ153))</f>
        <v/>
      </c>
      <c r="AX153" s="356" t="str">
        <f>IF(OR(AI152="",AJ153=""),"",COUNTIF(ResultsTeams[Lose],AI152&amp;"-"&amp;AJ153))</f>
        <v/>
      </c>
      <c r="AY153" s="356" t="str">
        <f>IF(OR(AI152="",AJ153=""),"",AV153-AX153)</f>
        <v/>
      </c>
      <c r="AZ153" s="356" t="str">
        <f>IF(OR(AI152="",AJ153=""),"",SUMIFS(ResultsTeams[Match-A],ResultsTeams[Stage],"Groups",ResultsTeams[Team A],AJ153)+SUMIFS(ResultsTeams[Match-B],ResultsTeams[Stage],"Groups",ResultsTeams[Team B],AJ153))</f>
        <v/>
      </c>
      <c r="BA153" s="356" t="str">
        <f>IF(OR(AI152="",AJ153=""),"",SUMIFS(ResultsTeams[Match-B],ResultsTeams[Stage],"Groups",ResultsTeams[Team A],AJ153)+SUMIFS(ResultsTeams[Match-A],ResultsTeams[Stage],"Groups",ResultsTeams[Team B],AJ153))</f>
        <v/>
      </c>
      <c r="BB153" s="356" t="str">
        <f>IF(OR(AI152="",AJ153=""),"",AZ153-BA153)</f>
        <v/>
      </c>
      <c r="BC153" s="356" t="str">
        <f>IF(OR(AI152="",AJ153=""),"",SUMIFS(ResultsTeams[Goal-A],ResultsTeams[Stage],"Groups",ResultsTeams[Team A],AJ153)+SUMIFS(ResultsTeams[Goal-B],ResultsTeams[Stage],"Groups",ResultsTeams[Team B],AJ153))</f>
        <v/>
      </c>
      <c r="BD153" s="356" t="str">
        <f>IF(OR(AI152="",AJ153=""),"",SUMIFS(ResultsTeams[Goal-B],ResultsTeams[Stage],"Groups",ResultsTeams[Team A],AJ153)+SUMIFS(ResultsTeams[Goal-A],ResultsTeams[Stage],"Groups",ResultsTeams[Team B],AJ153))</f>
        <v/>
      </c>
      <c r="BE153" s="357" t="str">
        <f>IF(OR(AI152="",AJ153=""),"",BC153-BD153)</f>
        <v/>
      </c>
      <c r="BF153" s="470" t="str">
        <f>IF(AM153="","",OR(VLOOKUP(AM153,AN153:BE159,3,FALSE),VLOOKUP(AM153,AN153:BE159,6,FALSE)))</f>
        <v/>
      </c>
      <c r="BG153" s="298" t="str">
        <f t="shared" ref="BG153:BG159" si="127">IF(AM153="","",INT(AM153/1000))</f>
        <v/>
      </c>
      <c r="BH153" s="285" t="str">
        <f>IF(AM153="","",INDEX(AJ153:AJ159,MATCH(AM153,AN153:AN159,0)))</f>
        <v/>
      </c>
      <c r="BI153" s="286" t="str">
        <f>IF(AM153="","",VLOOKUP(AM153,AN153:BE159,COLUMN()-COLUMN(BB152),FALSE))</f>
        <v/>
      </c>
      <c r="BJ153" s="286" t="str">
        <f>IF(AM153="","",VLOOKUP(AM153,AN153:BE159,COLUMN()-COLUMN(BB152),FALSE))</f>
        <v/>
      </c>
      <c r="BK153" s="286" t="str">
        <f>IF(AM153="","",VLOOKUP(AM153,AN153:BE159,COLUMN()-COLUMN(BB152),FALSE))</f>
        <v/>
      </c>
      <c r="BL153" s="286" t="str">
        <f>IF(AM153="","",VLOOKUP(AM153,AN153:BE159,COLUMN()-COLUMN(BB152),FALSE))</f>
        <v/>
      </c>
      <c r="BM153" s="286" t="str">
        <f>IF(AM153="","",VLOOKUP(AM153,AN153:BE159,COLUMN()-COLUMN(BB152),FALSE))</f>
        <v/>
      </c>
      <c r="BN153" s="349" t="str">
        <f>IF(AM153="","",VLOOKUP(AM153,AN153:BE159,COLUMN()-COLUMN(BB152),FALSE))</f>
        <v/>
      </c>
      <c r="BO153" s="298" t="str">
        <f>IF(AM153="","",VLOOKUP(AM153,AN153:BE159,COLUMN()-COLUMN(BB152),FALSE))</f>
        <v/>
      </c>
      <c r="BP153" s="286" t="str">
        <f>IF(AM153="","",VLOOKUP(AM153,AN153:BE159,COLUMN()-COLUMN(BB152),FALSE))</f>
        <v/>
      </c>
      <c r="BQ153" s="301" t="str">
        <f>IF(AM153="","",VLOOKUP(AM153,AN153:BE159,COLUMN()-COLUMN(BB152),FALSE))</f>
        <v/>
      </c>
      <c r="BR153" s="352" t="str">
        <f>IF(AM153="","",VLOOKUP(AM153,AN153:BE159,COLUMN()-COLUMN(BB152),FALSE))</f>
        <v/>
      </c>
      <c r="BS153" s="286" t="str">
        <f>IF(AM153="","",VLOOKUP(AM153,AN153:BE159,COLUMN()-COLUMN(BB152),FALSE))</f>
        <v/>
      </c>
      <c r="BT153" s="301" t="str">
        <f>IF(AM153="","",VLOOKUP(AM153,AN153:BE159,COLUMN()-COLUMN(BB152),FALSE))</f>
        <v/>
      </c>
    </row>
    <row r="154" spans="1:72" x14ac:dyDescent="0.2">
      <c r="A154" s="62"/>
      <c r="B154" s="280"/>
      <c r="C154" s="62"/>
      <c r="D154" s="62"/>
      <c r="E154" s="241" t="s">
        <v>12234</v>
      </c>
      <c r="F154" s="246" t="s">
        <v>9705</v>
      </c>
      <c r="G154" s="246" t="s">
        <v>10506</v>
      </c>
      <c r="H154" s="254">
        <v>1</v>
      </c>
      <c r="I154" s="254">
        <v>2</v>
      </c>
      <c r="J154" s="254"/>
      <c r="K154" s="363"/>
      <c r="L154" s="363"/>
      <c r="M154" s="247"/>
      <c r="N154" s="265" t="b">
        <f>NOT(ISERROR(ResultsTeams[[#This Row],[Goal-A]]+ResultsTeams[[#This Row],[Goal-B]]))</f>
        <v>1</v>
      </c>
      <c r="O154" s="265">
        <f>IF(ResultsTeams[[#This Row],[Type]]="G",SUM(O155:O158),IF(LEFT(ResultsTeams[[#This Row],[Type]],1)="P",IF(ResultsTeams[[#This Row],[Goal-A]]&gt;ResultsTeams[[#This Row],[Goal-B]],1,0),""))</f>
        <v>0</v>
      </c>
      <c r="P154" s="265">
        <f>IF(ResultsTeams[[#This Row],[Type]]="G",SUM(P155:P158),IF(LEFT(ResultsTeams[[#This Row],[Type]],1)="P",IF(ResultsTeams[[#This Row],[Goal-A]]&lt;ResultsTeams[[#This Row],[Goal-B]],1,0),""))</f>
        <v>1</v>
      </c>
      <c r="Q154" s="265">
        <f>IF(ResultsTeams[[#This Row],[Type]]="G",SUM(Q155:Q158),IF(LEFT(ResultsTeams[[#This Row],[Type]],1)="P",VALUE(ResultsTeams[[#This Row],[Score-A]]),""))</f>
        <v>1</v>
      </c>
      <c r="R154" s="265">
        <f>IF(ResultsTeams[[#This Row],[Type]]="G",SUM(R155:R158),IF(LEFT(ResultsTeams[[#This Row],[Type]],1)="P",VALUE(ResultsTeams[[#This Row],[Score-B]]),""))</f>
        <v>2</v>
      </c>
      <c r="S154" s="265" t="str">
        <f ca="1">IF(AND(ResultsTeams[[#This Row],[Category]]&lt;&gt;"",ResultsTeams[[#This Row],[Team A]]&lt;&gt;""),COUNTIF(INDIRECT("TeamsList[Club Name]"),ResultsTeams[[#This Row],[Team A]]),"")</f>
        <v/>
      </c>
      <c r="T154" s="265" t="str">
        <f ca="1">IF(AND(ResultsTeams[[#This Row],[Category]]&lt;&gt;"",ResultsTeams[[#This Row],[Team B]]&lt;&gt;""),COUNTIF(INDIRECT("TeamsList[Club Name]"),ResultsTeams[[#This Row],[Team B]]),"")</f>
        <v/>
      </c>
      <c r="U1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-Ricardo José</v>
      </c>
      <c r="V154" s="265" t="str">
        <f>IF(ResultsTeams[[#This Row],[Score_OK]],IF(ResultsTeams[[#This Row],[StageCpy]]="Groups",ResultsTeams[[#This Row],[Category]]&amp;"-"&amp;IF(ResultsTeams[[#This Row],[Team B]]="","",IF(ResultsTeams[[#This Row],[Match-A]]=ResultsTeams[[#This Row],[Match-B]],ResultsTeams[[#This Row],[Team A]],"")),""),"")</f>
        <v>-</v>
      </c>
      <c r="W154" s="265" t="str">
        <f>IF(ResultsTeams[[#This Row],[Score_OK]],IF(ResultsTeams[[#This Row],[StageCpy]]="Groups",ResultsTeams[[#This Row],[Category]]&amp;"-"&amp;IF(ResultsTeams[[#This Row],[Team B]]="","",IF(ResultsTeams[[#This Row],[Match-A]]=ResultsTeams[[#This Row],[Match-B]],ResultsTeams[[#This Row],[Team B]],"")),""),"")</f>
        <v>-</v>
      </c>
      <c r="X1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-Marco Preziuso</v>
      </c>
      <c r="Y1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4" s="264" t="str">
        <f>IF(ResultsTeams[[#This Row],[Category]]="","",VLOOKUP(ResultsTeams[[#This Row],[Stage]],$R$1:$T$8,MATCH(ResultsTeams[[#This Row],[Category]],$S$1:$T$1,0)+1,FALSE))</f>
        <v/>
      </c>
      <c r="AC1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4" s="264" t="str">
        <f>IF(ResultsTeams[[#This Row],[Type]]="G",ResultsTeams[[#This Row],[Stage]],AD153)</f>
        <v>Groups</v>
      </c>
      <c r="AE154" s="395" t="str">
        <f>IF(ResultsTeams[[#This Row],[Type]]="G",INDEX(TeamsList[Club Name],MATCH(ResultsTeams[[#This Row],[Team A]],TeamsList[Team Name],0)),AE153)</f>
        <v>ASD SC Salernitana</v>
      </c>
      <c r="AF154" s="395" t="str">
        <f>IF(ResultsTeams[[#This Row],[Type]]="G",INDEX(TeamsList[Club Name],MATCH(ResultsTeams[[#This Row],[Team B]],TeamsList[Team Name],0)),AF153)</f>
        <v>Subbuteo Dragons Azuqueca</v>
      </c>
      <c r="AG154" s="265"/>
      <c r="AI154" s="12">
        <f>AI153</f>
        <v>0</v>
      </c>
      <c r="AJ154" s="309" t="s">
        <v>78</v>
      </c>
      <c r="AK154" s="320"/>
      <c r="AL154" s="311"/>
      <c r="AM154" s="292" t="str">
        <f>IF(AV154="","",SMALL(AN153:AN159,ROWS(AM153:AM154)))</f>
        <v/>
      </c>
      <c r="AN154" s="293" t="str">
        <f>IF(AV154="","",RANK(AR154,AR153:AR159)*1000+ROWS(AN153:AN154))</f>
        <v/>
      </c>
      <c r="AO154" s="316" t="str">
        <f t="shared" si="122"/>
        <v/>
      </c>
      <c r="AP154" s="415" t="b">
        <f>AND(AU154&lt;&gt;"",AU154&gt;0,COUNTIF(AO153:AO159,AO154)&gt;1)</f>
        <v>0</v>
      </c>
      <c r="AQ154" s="316" t="str">
        <f t="shared" si="123"/>
        <v/>
      </c>
      <c r="AR154" s="317" t="str">
        <f t="shared" si="124"/>
        <v/>
      </c>
      <c r="AS154" s="415" t="b">
        <f>AND(AU154&lt;&gt;"",AU154&gt;0,COUNTIF(AR153:AR159,AR154)&gt;1)</f>
        <v>0</v>
      </c>
      <c r="AT154" s="355" t="str">
        <f t="shared" si="125"/>
        <v/>
      </c>
      <c r="AU154" s="356" t="str">
        <f t="shared" si="126"/>
        <v/>
      </c>
      <c r="AV154" s="356" t="str">
        <f>IF(OR(AI152="",AJ154=""),"",COUNTIF(ResultsTeams[Win],AI152&amp;"-"&amp;AJ154))</f>
        <v/>
      </c>
      <c r="AW154" s="356" t="str">
        <f>IF(OR(AI152="",AJ154=""),"",COUNTIF(ResultsTeams[[Draw1]:[Draw2]],AI152&amp;"-"&amp;AJ154))</f>
        <v/>
      </c>
      <c r="AX154" s="356" t="str">
        <f>IF(OR(AI152="",AJ154=""),"",COUNTIF(ResultsTeams[Lose],AI152&amp;"-"&amp;AJ154))</f>
        <v/>
      </c>
      <c r="AY154" s="356" t="str">
        <f>IF(OR(AI152="",AJ154=""),"",AV154-AX154)</f>
        <v/>
      </c>
      <c r="AZ154" s="356">
        <f>IF(OR(AI153="",AJ154=""),"",SUMIFS(ResultsTeams[Match-A],ResultsTeams[Stage],"Groups",ResultsTeams[Team A],AJ154)+SUMIFS(ResultsTeams[Match-B],ResultsTeams[Stage],"Groups",ResultsTeams[Team B],AJ154))</f>
        <v>7</v>
      </c>
      <c r="BA154" s="356">
        <f>IF(OR(AI153="",AJ154=""),"",SUMIFS(ResultsTeams[Match-B],ResultsTeams[Stage],"Groups",ResultsTeams[Team A],AJ154)+SUMIFS(ResultsTeams[Match-A],ResultsTeams[Stage],"Groups",ResultsTeams[Team B],AJ154))</f>
        <v>5</v>
      </c>
      <c r="BB154" s="356">
        <f t="shared" ref="BB154:BB159" si="128">IF(OR(AI153="",AJ154=""),"",AZ154-BA154)</f>
        <v>2</v>
      </c>
      <c r="BC154" s="356">
        <f>IF(OR(AI153="",AJ154=""),"",SUMIFS(ResultsTeams[Goal-A],ResultsTeams[Stage],"Groups",ResultsTeams[Team A],AJ154)+SUMIFS(ResultsTeams[Goal-B],ResultsTeams[Stage],"Groups",ResultsTeams[Team B],AJ154))</f>
        <v>33</v>
      </c>
      <c r="BD154" s="356">
        <f>IF(OR(AI153="",AJ154=""),"",SUMIFS(ResultsTeams[Goal-B],ResultsTeams[Stage],"Groups",ResultsTeams[Team A],AJ154)+SUMIFS(ResultsTeams[Goal-A],ResultsTeams[Stage],"Groups",ResultsTeams[Team B],AJ154))</f>
        <v>16</v>
      </c>
      <c r="BE154" s="357" t="str">
        <f>IF(OR(AI152="",AJ154=""),"",BC154-BD154)</f>
        <v/>
      </c>
      <c r="BF154" s="470" t="str">
        <f>IF(AM154="","",OR(VLOOKUP(AM154,AN153:BE159,3,FALSE),VLOOKUP(AM154,AN153:BE159,6,FALSE)))</f>
        <v/>
      </c>
      <c r="BG154" s="298" t="str">
        <f t="shared" si="127"/>
        <v/>
      </c>
      <c r="BH154" s="285" t="str">
        <f>IF(AM154="","",INDEX(AJ153:AJ159,MATCH(AM154,AN153:AN159,0)))</f>
        <v/>
      </c>
      <c r="BI154" s="286" t="str">
        <f>IF(AM154="","",VLOOKUP(AM154,AN153:BE159,COLUMN()-COLUMN(BB152),FALSE))</f>
        <v/>
      </c>
      <c r="BJ154" s="286" t="str">
        <f>IF(AM154="","",VLOOKUP(AM154,AN153:BE159,COLUMN()-COLUMN(BB152),FALSE))</f>
        <v/>
      </c>
      <c r="BK154" s="286" t="str">
        <f>IF(AM154="","",VLOOKUP(AM154,AN153:BE159,COLUMN()-COLUMN(BB152),FALSE))</f>
        <v/>
      </c>
      <c r="BL154" s="286" t="str">
        <f>IF(AM154="","",VLOOKUP(AM154,AN153:BE159,COLUMN()-COLUMN(BB152),FALSE))</f>
        <v/>
      </c>
      <c r="BM154" s="286" t="str">
        <f>IF(AM154="","",VLOOKUP(AM154,AN153:BE159,COLUMN()-COLUMN(BB152),FALSE))</f>
        <v/>
      </c>
      <c r="BN154" s="349" t="str">
        <f>IF(AM154="","",VLOOKUP(AM154,AN153:BE159,COLUMN()-COLUMN(BB152),FALSE))</f>
        <v/>
      </c>
      <c r="BO154" s="298" t="str">
        <f>IF(AM154="","",VLOOKUP(AM154,AN153:BE159,COLUMN()-COLUMN(BB152),FALSE))</f>
        <v/>
      </c>
      <c r="BP154" s="286" t="str">
        <f>IF(AM154="","",VLOOKUP(AM154,AN153:BE159,COLUMN()-COLUMN(BB152),FALSE))</f>
        <v/>
      </c>
      <c r="BQ154" s="301" t="str">
        <f>IF(AM154="","",VLOOKUP(AM154,AN153:BE159,COLUMN()-COLUMN(BB152),FALSE))</f>
        <v/>
      </c>
      <c r="BR154" s="352" t="str">
        <f>IF(AM154="","",VLOOKUP(AM154,AN153:BE159,COLUMN()-COLUMN(BB152),FALSE))</f>
        <v/>
      </c>
      <c r="BS154" s="286" t="str">
        <f>IF(AM154="","",VLOOKUP(AM154,AN153:BE159,COLUMN()-COLUMN(BB152),FALSE))</f>
        <v/>
      </c>
      <c r="BT154" s="301" t="str">
        <f>IF(AM154="","",VLOOKUP(AM154,AN153:BE159,COLUMN()-COLUMN(BB152),FALSE))</f>
        <v/>
      </c>
    </row>
    <row r="155" spans="1:72" x14ac:dyDescent="0.2">
      <c r="A155" s="62"/>
      <c r="B155" s="280"/>
      <c r="C155" s="62"/>
      <c r="D155" s="62"/>
      <c r="E155" s="241" t="s">
        <v>12237</v>
      </c>
      <c r="F155" s="246" t="s">
        <v>8130</v>
      </c>
      <c r="G155" s="246" t="s">
        <v>10542</v>
      </c>
      <c r="H155" s="254">
        <v>1</v>
      </c>
      <c r="I155" s="254">
        <v>1</v>
      </c>
      <c r="J155" s="254"/>
      <c r="K155" s="363"/>
      <c r="L155" s="363"/>
      <c r="M155" s="247"/>
      <c r="N155" s="265" t="b">
        <f>NOT(ISERROR(ResultsTeams[[#This Row],[Goal-A]]+ResultsTeams[[#This Row],[Goal-B]]))</f>
        <v>1</v>
      </c>
      <c r="O155" s="265">
        <f>IF(ResultsTeams[[#This Row],[Type]]="G",SUM(O156:O159),IF(LEFT(ResultsTeams[[#This Row],[Type]],1)="P",IF(ResultsTeams[[#This Row],[Goal-A]]&gt;ResultsTeams[[#This Row],[Goal-B]],1,0),""))</f>
        <v>0</v>
      </c>
      <c r="P155" s="265">
        <f>IF(ResultsTeams[[#This Row],[Type]]="G",SUM(P156:P159),IF(LEFT(ResultsTeams[[#This Row],[Type]],1)="P",IF(ResultsTeams[[#This Row],[Goal-A]]&lt;ResultsTeams[[#This Row],[Goal-B]],1,0),""))</f>
        <v>0</v>
      </c>
      <c r="Q155" s="265">
        <f>IF(ResultsTeams[[#This Row],[Type]]="G",SUM(Q156:Q159),IF(LEFT(ResultsTeams[[#This Row],[Type]],1)="P",VALUE(ResultsTeams[[#This Row],[Score-A]]),""))</f>
        <v>1</v>
      </c>
      <c r="R155" s="265">
        <f>IF(ResultsTeams[[#This Row],[Type]]="G",SUM(R156:R159),IF(LEFT(ResultsTeams[[#This Row],[Type]],1)="P",VALUE(ResultsTeams[[#This Row],[Score-B]]),""))</f>
        <v>1</v>
      </c>
      <c r="S155" s="265" t="str">
        <f ca="1">IF(AND(ResultsTeams[[#This Row],[Category]]&lt;&gt;"",ResultsTeams[[#This Row],[Team A]]&lt;&gt;""),COUNTIF(INDIRECT("TeamsList[Club Name]"),ResultsTeams[[#This Row],[Team A]]),"")</f>
        <v/>
      </c>
      <c r="T155" s="265" t="str">
        <f ca="1">IF(AND(ResultsTeams[[#This Row],[Category]]&lt;&gt;"",ResultsTeams[[#This Row],[Team B]]&lt;&gt;""),COUNTIF(INDIRECT("TeamsList[Club Name]"),ResultsTeams[[#This Row],[Team B]]),"")</f>
        <v/>
      </c>
      <c r="U1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55" s="265" t="str">
        <f>IF(ResultsTeams[[#This Row],[Score_OK]],IF(ResultsTeams[[#This Row],[StageCpy]]="Groups",ResultsTeams[[#This Row],[Category]]&amp;"-"&amp;IF(ResultsTeams[[#This Row],[Team B]]="","",IF(ResultsTeams[[#This Row],[Match-A]]=ResultsTeams[[#This Row],[Match-B]],ResultsTeams[[#This Row],[Team A]],"")),""),"")</f>
        <v>-Sébastien Scheen</v>
      </c>
      <c r="W155" s="265" t="str">
        <f>IF(ResultsTeams[[#This Row],[Score_OK]],IF(ResultsTeams[[#This Row],[StageCpy]]="Groups",ResultsTeams[[#This Row],[Category]]&amp;"-"&amp;IF(ResultsTeams[[#This Row],[Team B]]="","",IF(ResultsTeams[[#This Row],[Match-A]]=ResultsTeams[[#This Row],[Match-B]],ResultsTeams[[#This Row],[Team B]],"")),""),"")</f>
        <v>-Carolina Villarigues</v>
      </c>
      <c r="X1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5" s="264" t="str">
        <f>IF(ResultsTeams[[#This Row],[Category]]="","",VLOOKUP(ResultsTeams[[#This Row],[Stage]],$R$1:$T$8,MATCH(ResultsTeams[[#This Row],[Category]],$S$1:$T$1,0)+1,FALSE))</f>
        <v/>
      </c>
      <c r="AC1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5" s="264" t="str">
        <f>IF(ResultsTeams[[#This Row],[Type]]="G",ResultsTeams[[#This Row],[Stage]],AD154)</f>
        <v>Groups</v>
      </c>
      <c r="AE155" s="395" t="str">
        <f>IF(ResultsTeams[[#This Row],[Type]]="G",INDEX(TeamsList[Club Name],MATCH(ResultsTeams[[#This Row],[Team A]],TeamsList[Team Name],0)),AE154)</f>
        <v>ASD SC Salernitana</v>
      </c>
      <c r="AF155" s="395" t="str">
        <f>IF(ResultsTeams[[#This Row],[Type]]="G",INDEX(TeamsList[Club Name],MATCH(ResultsTeams[[#This Row],[Team B]],TeamsList[Team Name],0)),AF154)</f>
        <v>Subbuteo Dragons Azuqueca</v>
      </c>
      <c r="AG155" s="265"/>
      <c r="AI155" s="12">
        <f t="shared" ref="AI155:AI159" si="129">AI154</f>
        <v>0</v>
      </c>
      <c r="AJ155" s="309" t="s">
        <v>11495</v>
      </c>
      <c r="AK155" s="320"/>
      <c r="AL155" s="311"/>
      <c r="AM155" s="292" t="str">
        <f>IF(AV155="","",SMALL(AN153:AN159,ROWS(AM153:AM155)))</f>
        <v/>
      </c>
      <c r="AN155" s="293" t="str">
        <f>IF(AV155="","",RANK(AR155,AR153:AR159)*1000+ROWS(AN153:AN155))</f>
        <v/>
      </c>
      <c r="AO155" s="316" t="str">
        <f t="shared" si="122"/>
        <v/>
      </c>
      <c r="AP155" s="415" t="b">
        <f>AND(AU155&lt;&gt;"",AU155&gt;0,COUNTIF(AO153:AO159,AO155)&gt;1)</f>
        <v>0</v>
      </c>
      <c r="AQ155" s="316" t="str">
        <f t="shared" si="123"/>
        <v/>
      </c>
      <c r="AR155" s="317" t="str">
        <f t="shared" si="124"/>
        <v/>
      </c>
      <c r="AS155" s="415" t="b">
        <f>AND(AU155&lt;&gt;"",AU155&gt;0,COUNTIF(AR153:AR159,AR155)&gt;1)</f>
        <v>0</v>
      </c>
      <c r="AT155" s="355" t="str">
        <f t="shared" si="125"/>
        <v/>
      </c>
      <c r="AU155" s="356" t="str">
        <f t="shared" si="126"/>
        <v/>
      </c>
      <c r="AV155" s="356" t="str">
        <f>IF(OR(AI152="",AJ155=""),"",COUNTIF(ResultsTeams[Win],AI152&amp;"-"&amp;AJ155))</f>
        <v/>
      </c>
      <c r="AW155" s="356" t="str">
        <f>IF(OR(AI152="",AJ155=""),"",COUNTIF(ResultsTeams[[Draw1]:[Draw2]],AI152&amp;"-"&amp;AJ155))</f>
        <v/>
      </c>
      <c r="AX155" s="356" t="str">
        <f>IF(OR(AI152="",AJ155=""),"",COUNTIF(ResultsTeams[Lose],AI152&amp;"-"&amp;AJ155))</f>
        <v/>
      </c>
      <c r="AY155" s="356" t="str">
        <f>IF(OR(AI152="",AJ155=""),"",AV155-AX155)</f>
        <v/>
      </c>
      <c r="AZ155" s="356">
        <f>IF(OR(AI154="",AJ155=""),"",SUMIFS(ResultsTeams[Match-A],ResultsTeams[Stage],"Groups",ResultsTeams[Team A],AJ155)+SUMIFS(ResultsTeams[Match-B],ResultsTeams[Stage],"Groups",ResultsTeams[Team B],AJ155))</f>
        <v>7</v>
      </c>
      <c r="BA155" s="356">
        <f>IF(OR(AI154="",AJ155=""),"",SUMIFS(ResultsTeams[Match-B],ResultsTeams[Stage],"Groups",ResultsTeams[Team A],AJ155)+SUMIFS(ResultsTeams[Match-A],ResultsTeams[Stage],"Groups",ResultsTeams[Team B],AJ155))</f>
        <v>4</v>
      </c>
      <c r="BB155" s="356">
        <f t="shared" si="128"/>
        <v>3</v>
      </c>
      <c r="BC155" s="356">
        <f>IF(OR(AI154="",AJ155=""),"",SUMIFS(ResultsTeams[Goal-A],ResultsTeams[Stage],"Groups",ResultsTeams[Team A],AJ155)+SUMIFS(ResultsTeams[Goal-B],ResultsTeams[Stage],"Groups",ResultsTeams[Team B],AJ155))</f>
        <v>29</v>
      </c>
      <c r="BD155" s="356">
        <f>IF(OR(AI154="",AJ155=""),"",SUMIFS(ResultsTeams[Goal-B],ResultsTeams[Stage],"Groups",ResultsTeams[Team A],AJ155)+SUMIFS(ResultsTeams[Goal-A],ResultsTeams[Stage],"Groups",ResultsTeams[Team B],AJ155))</f>
        <v>23</v>
      </c>
      <c r="BE155" s="357" t="str">
        <f>IF(OR(AI152="",AJ155=""),"",BC155-BD155)</f>
        <v/>
      </c>
      <c r="BF155" s="470" t="str">
        <f>IF(AM155="","",OR(VLOOKUP(AM155,AN153:BE159,3,FALSE),VLOOKUP(AM155,AN153:BE159,6,FALSE)))</f>
        <v/>
      </c>
      <c r="BG155" s="298" t="str">
        <f t="shared" si="127"/>
        <v/>
      </c>
      <c r="BH155" s="285" t="str">
        <f>IF(AM155="","",INDEX(AJ153:AJ159,MATCH(AM155,AN153:AN159,0)))</f>
        <v/>
      </c>
      <c r="BI155" s="286" t="str">
        <f>IF(AM155="","",VLOOKUP(AM155,AN153:BE159,COLUMN()-COLUMN(BB152),FALSE))</f>
        <v/>
      </c>
      <c r="BJ155" s="286" t="str">
        <f>IF(AM155="","",VLOOKUP(AM155,AN153:BE159,COLUMN()-COLUMN(BB152),FALSE))</f>
        <v/>
      </c>
      <c r="BK155" s="286" t="str">
        <f>IF(AM155="","",VLOOKUP(AM155,AN153:BE159,COLUMN()-COLUMN(BB152),FALSE))</f>
        <v/>
      </c>
      <c r="BL155" s="286" t="str">
        <f>IF(AM155="","",VLOOKUP(AM155,AN153:BE159,COLUMN()-COLUMN(BB152),FALSE))</f>
        <v/>
      </c>
      <c r="BM155" s="286" t="str">
        <f>IF(AM155="","",VLOOKUP(AM155,AN153:BE159,COLUMN()-COLUMN(BB152),FALSE))</f>
        <v/>
      </c>
      <c r="BN155" s="349" t="str">
        <f>IF(AM155="","",VLOOKUP(AM155,AN153:BE159,COLUMN()-COLUMN(BB152),FALSE))</f>
        <v/>
      </c>
      <c r="BO155" s="298" t="str">
        <f>IF(AM155="","",VLOOKUP(AM155,AN153:BE159,COLUMN()-COLUMN(BB152),FALSE))</f>
        <v/>
      </c>
      <c r="BP155" s="286" t="str">
        <f>IF(AM155="","",VLOOKUP(AM155,AN153:BE159,COLUMN()-COLUMN(BB152),FALSE))</f>
        <v/>
      </c>
      <c r="BQ155" s="301" t="str">
        <f>IF(AM155="","",VLOOKUP(AM155,AN153:BE159,COLUMN()-COLUMN(BB152),FALSE))</f>
        <v/>
      </c>
      <c r="BR155" s="352" t="str">
        <f>IF(AM155="","",VLOOKUP(AM155,AN153:BE159,COLUMN()-COLUMN(BB152),FALSE))</f>
        <v/>
      </c>
      <c r="BS155" s="286" t="str">
        <f>IF(AM155="","",VLOOKUP(AM155,AN153:BE159,COLUMN()-COLUMN(BB152),FALSE))</f>
        <v/>
      </c>
      <c r="BT155" s="301" t="str">
        <f>IF(AM155="","",VLOOKUP(AM155,AN153:BE159,COLUMN()-COLUMN(BB152),FALSE))</f>
        <v/>
      </c>
    </row>
    <row r="156" spans="1:72" x14ac:dyDescent="0.2">
      <c r="A156" s="62"/>
      <c r="B156" s="280"/>
      <c r="C156" s="62"/>
      <c r="D156" s="62"/>
      <c r="E156" s="241" t="s">
        <v>12240</v>
      </c>
      <c r="F156" s="246" t="s">
        <v>10243</v>
      </c>
      <c r="G156" s="246" t="s">
        <v>14609</v>
      </c>
      <c r="H156" s="254">
        <v>3</v>
      </c>
      <c r="I156" s="254">
        <v>2</v>
      </c>
      <c r="J156" s="254"/>
      <c r="K156" s="363"/>
      <c r="L156" s="363"/>
      <c r="M156" s="247"/>
      <c r="N156" s="265" t="b">
        <f>NOT(ISERROR(ResultsTeams[[#This Row],[Goal-A]]+ResultsTeams[[#This Row],[Goal-B]]))</f>
        <v>1</v>
      </c>
      <c r="O156" s="265">
        <f>IF(ResultsTeams[[#This Row],[Type]]="G",SUM(O157:O160),IF(LEFT(ResultsTeams[[#This Row],[Type]],1)="P",IF(ResultsTeams[[#This Row],[Goal-A]]&gt;ResultsTeams[[#This Row],[Goal-B]],1,0),""))</f>
        <v>1</v>
      </c>
      <c r="P156" s="265">
        <f>IF(ResultsTeams[[#This Row],[Type]]="G",SUM(P157:P160),IF(LEFT(ResultsTeams[[#This Row],[Type]],1)="P",IF(ResultsTeams[[#This Row],[Goal-A]]&lt;ResultsTeams[[#This Row],[Goal-B]],1,0),""))</f>
        <v>0</v>
      </c>
      <c r="Q156" s="265">
        <f>IF(ResultsTeams[[#This Row],[Type]]="G",SUM(Q157:Q160),IF(LEFT(ResultsTeams[[#This Row],[Type]],1)="P",VALUE(ResultsTeams[[#This Row],[Score-A]]),""))</f>
        <v>3</v>
      </c>
      <c r="R156" s="265">
        <f>IF(ResultsTeams[[#This Row],[Type]]="G",SUM(R157:R160),IF(LEFT(ResultsTeams[[#This Row],[Type]],1)="P",VALUE(ResultsTeams[[#This Row],[Score-B]]),""))</f>
        <v>2</v>
      </c>
      <c r="S156" s="265" t="str">
        <f ca="1">IF(AND(ResultsTeams[[#This Row],[Category]]&lt;&gt;"",ResultsTeams[[#This Row],[Team A]]&lt;&gt;""),COUNTIF(INDIRECT("TeamsList[Club Name]"),ResultsTeams[[#This Row],[Team A]]),"")</f>
        <v/>
      </c>
      <c r="T156" s="265" t="str">
        <f ca="1">IF(AND(ResultsTeams[[#This Row],[Category]]&lt;&gt;"",ResultsTeams[[#This Row],[Team B]]&lt;&gt;""),COUNTIF(INDIRECT("TeamsList[Club Name]"),ResultsTeams[[#This Row],[Team B]]),"")</f>
        <v/>
      </c>
      <c r="U1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-Lucio Canicchio</v>
      </c>
      <c r="V156" s="265" t="str">
        <f>IF(ResultsTeams[[#This Row],[Score_OK]],IF(ResultsTeams[[#This Row],[StageCpy]]="Groups",ResultsTeams[[#This Row],[Category]]&amp;"-"&amp;IF(ResultsTeams[[#This Row],[Team B]]="","",IF(ResultsTeams[[#This Row],[Match-A]]=ResultsTeams[[#This Row],[Match-B]],ResultsTeams[[#This Row],[Team A]],"")),""),"")</f>
        <v>-</v>
      </c>
      <c r="W156" s="265" t="str">
        <f>IF(ResultsTeams[[#This Row],[Score_OK]],IF(ResultsTeams[[#This Row],[StageCpy]]="Groups",ResultsTeams[[#This Row],[Category]]&amp;"-"&amp;IF(ResultsTeams[[#This Row],[Team B]]="","",IF(ResultsTeams[[#This Row],[Match-A]]=ResultsTeams[[#This Row],[Match-B]],ResultsTeams[[#This Row],[Team B]],"")),""),"")</f>
        <v>-</v>
      </c>
      <c r="X1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-Emilio Tomás Torrico</v>
      </c>
      <c r="Y1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6" s="264" t="str">
        <f>IF(ResultsTeams[[#This Row],[Category]]="","",VLOOKUP(ResultsTeams[[#This Row],[Stage]],$R$1:$T$8,MATCH(ResultsTeams[[#This Row],[Category]],$S$1:$T$1,0)+1,FALSE))</f>
        <v/>
      </c>
      <c r="AC1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6" s="264" t="str">
        <f>IF(ResultsTeams[[#This Row],[Type]]="G",ResultsTeams[[#This Row],[Stage]],AD155)</f>
        <v>Groups</v>
      </c>
      <c r="AE156" s="395" t="str">
        <f>IF(ResultsTeams[[#This Row],[Type]]="G",INDEX(TeamsList[Club Name],MATCH(ResultsTeams[[#This Row],[Team A]],TeamsList[Team Name],0)),AE155)</f>
        <v>ASD SC Salernitana</v>
      </c>
      <c r="AF156" s="395" t="str">
        <f>IF(ResultsTeams[[#This Row],[Type]]="G",INDEX(TeamsList[Club Name],MATCH(ResultsTeams[[#This Row],[Team B]],TeamsList[Team Name],0)),AF155)</f>
        <v>Subbuteo Dragons Azuqueca</v>
      </c>
      <c r="AG156" s="265"/>
      <c r="AH156" s="91"/>
      <c r="AI156" s="12">
        <f t="shared" si="129"/>
        <v>0</v>
      </c>
      <c r="AJ156" s="309" t="s">
        <v>6490</v>
      </c>
      <c r="AK156" s="310"/>
      <c r="AL156" s="311"/>
      <c r="AM156" s="292" t="str">
        <f>IF(AV156="","",SMALL(AN153:AN159,ROWS(AM153:AM156)))</f>
        <v/>
      </c>
      <c r="AN156" s="293" t="str">
        <f>IF(AV156="","",RANK(AR156,AR153:AR159)*1000+ROWS(AN153:AN156))</f>
        <v/>
      </c>
      <c r="AO156" s="316" t="str">
        <f t="shared" si="122"/>
        <v/>
      </c>
      <c r="AP156" s="415" t="b">
        <f>AND(AU156&lt;&gt;"",AU156&gt;0,COUNTIF(AO153:AO159,AO156)&gt;1)</f>
        <v>0</v>
      </c>
      <c r="AQ156" s="316" t="str">
        <f t="shared" si="123"/>
        <v/>
      </c>
      <c r="AR156" s="317" t="str">
        <f t="shared" si="124"/>
        <v/>
      </c>
      <c r="AS156" s="415" t="b">
        <f>AND(AU156&lt;&gt;"",AU156&gt;0,COUNTIF(AR153:AR159,AR156)&gt;1)</f>
        <v>0</v>
      </c>
      <c r="AT156" s="355" t="str">
        <f t="shared" si="125"/>
        <v/>
      </c>
      <c r="AU156" s="356" t="str">
        <f t="shared" si="126"/>
        <v/>
      </c>
      <c r="AV156" s="356" t="str">
        <f>IF(OR(AI152="",AJ156=""),"",COUNTIF(ResultsTeams[Win],AI152&amp;"-"&amp;AJ156))</f>
        <v/>
      </c>
      <c r="AW156" s="356" t="str">
        <f>IF(OR(AI152="",AJ156=""),"",COUNTIF(ResultsTeams[[Draw1]:[Draw2]],AI152&amp;"-"&amp;AJ156))</f>
        <v/>
      </c>
      <c r="AX156" s="356" t="str">
        <f>IF(OR(AI152="",AJ156=""),"",COUNTIF(ResultsTeams[Lose],AI152&amp;"-"&amp;AJ156))</f>
        <v/>
      </c>
      <c r="AY156" s="356" t="str">
        <f>IF(OR(AI152="",AJ156=""),"",AV156-AX156)</f>
        <v/>
      </c>
      <c r="AZ156" s="356">
        <f>IF(OR(AI155="",AJ156=""),"",SUMIFS(ResultsTeams[Match-A],ResultsTeams[Stage],"Groups",ResultsTeams[Team A],AJ156)+SUMIFS(ResultsTeams[Match-B],ResultsTeams[Stage],"Groups",ResultsTeams[Team B],AJ156))</f>
        <v>1</v>
      </c>
      <c r="BA156" s="356">
        <f>IF(OR(AI155="",AJ156=""),"",SUMIFS(ResultsTeams[Match-B],ResultsTeams[Stage],"Groups",ResultsTeams[Team A],AJ156)+SUMIFS(ResultsTeams[Match-A],ResultsTeams[Stage],"Groups",ResultsTeams[Team B],AJ156))</f>
        <v>11</v>
      </c>
      <c r="BB156" s="356">
        <f t="shared" si="128"/>
        <v>-10</v>
      </c>
      <c r="BC156" s="356">
        <f>IF(OR(AI155="",AJ156=""),"",SUMIFS(ResultsTeams[Goal-A],ResultsTeams[Stage],"Groups",ResultsTeams[Team A],AJ156)+SUMIFS(ResultsTeams[Goal-B],ResultsTeams[Stage],"Groups",ResultsTeams[Team B],AJ156))</f>
        <v>9</v>
      </c>
      <c r="BD156" s="356">
        <f>IF(OR(AI155="",AJ156=""),"",SUMIFS(ResultsTeams[Goal-B],ResultsTeams[Stage],"Groups",ResultsTeams[Team A],AJ156)+SUMIFS(ResultsTeams[Goal-A],ResultsTeams[Stage],"Groups",ResultsTeams[Team B],AJ156))</f>
        <v>62</v>
      </c>
      <c r="BE156" s="357" t="str">
        <f>IF(OR(AI152="",AJ156=""),"",BC156-BD156)</f>
        <v/>
      </c>
      <c r="BF156" s="470" t="str">
        <f>IF(AM156="","",OR(VLOOKUP(AM156,AN153:BE159,3,FALSE),VLOOKUP(AM156,AN153:BE159,6,FALSE)))</f>
        <v/>
      </c>
      <c r="BG156" s="298" t="str">
        <f t="shared" si="127"/>
        <v/>
      </c>
      <c r="BH156" s="285" t="str">
        <f>IF(AM156="","",INDEX(AJ153:AJ159,MATCH(AM156,AN153:AN159,0)))</f>
        <v/>
      </c>
      <c r="BI156" s="286" t="str">
        <f>IF(AM156="","",VLOOKUP(AM156,AN153:BE159,COLUMN()-COLUMN(BB152),FALSE))</f>
        <v/>
      </c>
      <c r="BJ156" s="286" t="str">
        <f>IF(AM156="","",VLOOKUP(AM156,AN153:BE159,COLUMN()-COLUMN(BB152),FALSE))</f>
        <v/>
      </c>
      <c r="BK156" s="286" t="str">
        <f>IF(AM156="","",VLOOKUP(AM156,AN153:BE159,COLUMN()-COLUMN(BB152),FALSE))</f>
        <v/>
      </c>
      <c r="BL156" s="286" t="str">
        <f>IF(AM156="","",VLOOKUP(AM156,AN153:BE159,COLUMN()-COLUMN(BB152),FALSE))</f>
        <v/>
      </c>
      <c r="BM156" s="286" t="str">
        <f>IF(AM156="","",VLOOKUP(AM156,AN153:BE159,COLUMN()-COLUMN(BB152),FALSE))</f>
        <v/>
      </c>
      <c r="BN156" s="349" t="str">
        <f>IF(AM156="","",VLOOKUP(AM156,AN153:BE159,COLUMN()-COLUMN(BB152),FALSE))</f>
        <v/>
      </c>
      <c r="BO156" s="298" t="str">
        <f>IF(AM156="","",VLOOKUP(AM156,AN153:BE159,COLUMN()-COLUMN(BB152),FALSE))</f>
        <v/>
      </c>
      <c r="BP156" s="286" t="str">
        <f>IF(AM156="","",VLOOKUP(AM156,AN153:BE159,COLUMN()-COLUMN(BB152),FALSE))</f>
        <v/>
      </c>
      <c r="BQ156" s="301" t="str">
        <f>IF(AM156="","",VLOOKUP(AM156,AN153:BE159,COLUMN()-COLUMN(BB152),FALSE))</f>
        <v/>
      </c>
      <c r="BR156" s="352" t="str">
        <f>IF(AM156="","",VLOOKUP(AM156,AN153:BE159,COLUMN()-COLUMN(BB152),FALSE))</f>
        <v/>
      </c>
      <c r="BS156" s="286" t="str">
        <f>IF(AM156="","",VLOOKUP(AM156,AN153:BE159,COLUMN()-COLUMN(BB152),FALSE))</f>
        <v/>
      </c>
      <c r="BT156" s="301" t="str">
        <f>IF(AM156="","",VLOOKUP(AM156,AN153:BE159,COLUMN()-COLUMN(BB152),FALSE))</f>
        <v/>
      </c>
    </row>
    <row r="157" spans="1:72" x14ac:dyDescent="0.2">
      <c r="A157" s="62"/>
      <c r="B157" s="62"/>
      <c r="C157" s="62"/>
      <c r="D157" s="62"/>
      <c r="E157" s="241" t="s">
        <v>12243</v>
      </c>
      <c r="F157" s="247"/>
      <c r="G157" s="247"/>
      <c r="H157" s="254"/>
      <c r="I157" s="254"/>
      <c r="J157" s="260"/>
      <c r="K157" s="364"/>
      <c r="L157" s="364"/>
      <c r="M157" s="63"/>
      <c r="N157" s="265" t="b">
        <f>NOT(ISERROR(ResultsTeams[[#This Row],[Goal-A]]+ResultsTeams[[#This Row],[Goal-B]]))</f>
        <v>0</v>
      </c>
      <c r="O157" s="265" t="str">
        <f>IF(ResultsTeams[[#This Row],[Type]]="G",SUM(O158:O161),IF(LEFT(ResultsTeams[[#This Row],[Type]],1)="P",IF(ResultsTeams[[#This Row],[Goal-A]]&gt;ResultsTeams[[#This Row],[Goal-B]],1,0),""))</f>
        <v/>
      </c>
      <c r="P157" s="265" t="str">
        <f>IF(ResultsTeams[[#This Row],[Type]]="G",SUM(P158:P161),IF(LEFT(ResultsTeams[[#This Row],[Type]],1)="P",IF(ResultsTeams[[#This Row],[Goal-A]]&lt;ResultsTeams[[#This Row],[Goal-B]],1,0),""))</f>
        <v/>
      </c>
      <c r="Q157" s="265" t="str">
        <f>IF(ResultsTeams[[#This Row],[Type]]="G",SUM(Q158:Q161),IF(LEFT(ResultsTeams[[#This Row],[Type]],1)="P",VALUE(ResultsTeams[[#This Row],[Score-A]]),""))</f>
        <v/>
      </c>
      <c r="R157" s="265" t="str">
        <f>IF(ResultsTeams[[#This Row],[Type]]="G",SUM(R158:R161),IF(LEFT(ResultsTeams[[#This Row],[Type]],1)="P",VALUE(ResultsTeams[[#This Row],[Score-B]]),""))</f>
        <v/>
      </c>
      <c r="S157" s="265" t="str">
        <f ca="1">IF(AND(ResultsTeams[[#This Row],[Category]]&lt;&gt;"",ResultsTeams[[#This Row],[Team A]]&lt;&gt;""),COUNTIF(INDIRECT("TeamsList[Club Name]"),ResultsTeams[[#This Row],[Team A]]),"")</f>
        <v/>
      </c>
      <c r="T157" s="265" t="str">
        <f ca="1">IF(AND(ResultsTeams[[#This Row],[Category]]&lt;&gt;"",ResultsTeams[[#This Row],[Team B]]&lt;&gt;""),COUNTIF(INDIRECT("TeamsList[Club Name]"),ResultsTeams[[#This Row],[Team B]]),"")</f>
        <v/>
      </c>
      <c r="U1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7" s="265" t="str">
        <f>IF(ResultsTeams[[#This Row],[Score_OK]],IF(ResultsTeams[[#This Row],[StageCpy]]="Groups",ResultsTeams[[#This Row],[Category]]&amp;"-"&amp;IF(ResultsTeams[[#This Row],[Team B]]="","",IF(ResultsTeams[[#This Row],[Match-A]]=ResultsTeams[[#This Row],[Match-B]],ResultsTeams[[#This Row],[Team A]],"")),""),"")</f>
        <v/>
      </c>
      <c r="W157" s="265" t="str">
        <f>IF(ResultsTeams[[#This Row],[Score_OK]],IF(ResultsTeams[[#This Row],[StageCpy]]="Groups",ResultsTeams[[#This Row],[Category]]&amp;"-"&amp;IF(ResultsTeams[[#This Row],[Team B]]="","",IF(ResultsTeams[[#This Row],[Match-A]]=ResultsTeams[[#This Row],[Match-B]],ResultsTeams[[#This Row],[Team B]],"")),""),"")</f>
        <v/>
      </c>
      <c r="X1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7" s="264" t="str">
        <f>IF(ResultsTeams[[#This Row],[Category]]="","",VLOOKUP(ResultsTeams[[#This Row],[Stage]],$R$1:$T$8,MATCH(ResultsTeams[[#This Row],[Category]],$S$1:$T$1,0)+1,FALSE))</f>
        <v/>
      </c>
      <c r="AC1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7" s="264" t="str">
        <f>IF(ResultsTeams[[#This Row],[Type]]="G",ResultsTeams[[#This Row],[Stage]],AD156)</f>
        <v>Groups</v>
      </c>
      <c r="AE157" s="395" t="str">
        <f>IF(ResultsTeams[[#This Row],[Type]]="G",INDEX(TeamsList[Club Name],MATCH(ResultsTeams[[#This Row],[Team A]],TeamsList[Team Name],0)),AE156)</f>
        <v>ASD SC Salernitana</v>
      </c>
      <c r="AF157" s="395" t="str">
        <f>IF(ResultsTeams[[#This Row],[Type]]="G",INDEX(TeamsList[Club Name],MATCH(ResultsTeams[[#This Row],[Team B]],TeamsList[Team Name],0)),AF156)</f>
        <v>Subbuteo Dragons Azuqueca</v>
      </c>
      <c r="AG157" s="265"/>
      <c r="AH157" s="91"/>
      <c r="AI157" s="12">
        <f t="shared" si="129"/>
        <v>0</v>
      </c>
      <c r="AJ157" s="309"/>
      <c r="AK157" s="310"/>
      <c r="AL157" s="311"/>
      <c r="AM157" s="292" t="str">
        <f>IF(AV157="","",SMALL(AN153:AN159,ROWS(AM153:AM157)))</f>
        <v/>
      </c>
      <c r="AN157" s="293" t="str">
        <f>IF(AV157="","",RANK(AR157,AR153:AR159)*1000+ROWS(AN153:AN157))</f>
        <v/>
      </c>
      <c r="AO157" s="316" t="str">
        <f t="shared" si="122"/>
        <v/>
      </c>
      <c r="AP157" s="415" t="b">
        <f>AND(AU157&lt;&gt;"",AU157&gt;0,COUNTIF(AO153:AO159,AO157)&gt;1)</f>
        <v>0</v>
      </c>
      <c r="AQ157" s="316" t="str">
        <f t="shared" si="123"/>
        <v/>
      </c>
      <c r="AR157" s="317" t="str">
        <f t="shared" si="124"/>
        <v/>
      </c>
      <c r="AS157" s="415" t="b">
        <f>AND(AU157&lt;&gt;"",AU157&gt;0,COUNTIF(AR153:AR159,AR157)&gt;1)</f>
        <v>0</v>
      </c>
      <c r="AT157" s="355" t="str">
        <f t="shared" si="125"/>
        <v/>
      </c>
      <c r="AU157" s="356" t="str">
        <f t="shared" si="126"/>
        <v/>
      </c>
      <c r="AV157" s="356" t="str">
        <f>IF(OR(AI152="",AJ157=""),"",COUNTIF(ResultsTeams[Win],AI152&amp;"-"&amp;AJ157))</f>
        <v/>
      </c>
      <c r="AW157" s="356" t="str">
        <f>IF(OR(AI152="",AJ157=""),"",COUNTIF(ResultsTeams[[Draw1]:[Draw2]],AI152&amp;"-"&amp;AJ157))</f>
        <v/>
      </c>
      <c r="AX157" s="356" t="str">
        <f>IF(OR(AI152="",AJ157=""),"",COUNTIF(ResultsTeams[Lose],AI152&amp;"-"&amp;AJ157))</f>
        <v/>
      </c>
      <c r="AY157" s="356" t="str">
        <f>IF(OR(AI152="",AJ157=""),"",AV157-AX157)</f>
        <v/>
      </c>
      <c r="AZ157" s="356" t="str">
        <f>IF(OR(AI156="",AJ157=""),"",SUMIFS(ResultsTeams[Match-A],ResultsTeams[Stage],"Groups",ResultsTeams[Team A],AJ157)+SUMIFS(ResultsTeams[Match-B],ResultsTeams[Stage],"Groups",ResultsTeams[Team B],AJ157))</f>
        <v/>
      </c>
      <c r="BA157" s="356" t="str">
        <f>IF(OR(AI156="",AJ157=""),"",SUMIFS(ResultsTeams[Match-B],ResultsTeams[Stage],"Groups",ResultsTeams[Team A],AJ157)+SUMIFS(ResultsTeams[Match-A],ResultsTeams[Stage],"Groups",ResultsTeams[Team B],AJ157))</f>
        <v/>
      </c>
      <c r="BB157" s="356" t="str">
        <f t="shared" si="128"/>
        <v/>
      </c>
      <c r="BC157" s="356" t="str">
        <f>IF(OR(AI156="",AJ157=""),"",SUMIFS(ResultsTeams[Goal-A],ResultsTeams[Stage],"Groups",ResultsTeams[Team A],AJ157)+SUMIFS(ResultsTeams[Goal-B],ResultsTeams[Stage],"Groups",ResultsTeams[Team B],AJ157))</f>
        <v/>
      </c>
      <c r="BD157" s="356" t="str">
        <f>IF(OR(AI156="",AJ157=""),"",SUMIFS(ResultsTeams[Goal-B],ResultsTeams[Stage],"Groups",ResultsTeams[Team A],AJ157)+SUMIFS(ResultsTeams[Goal-A],ResultsTeams[Stage],"Groups",ResultsTeams[Team B],AJ157))</f>
        <v/>
      </c>
      <c r="BE157" s="357" t="str">
        <f>IF(OR(AI152="",AJ157=""),"",BC157-BD157)</f>
        <v/>
      </c>
      <c r="BF157" s="470" t="str">
        <f>IF(AM157="","",OR(VLOOKUP(AM157,AN153:BE159,3,FALSE),VLOOKUP(AM157,AN153:BE159,6,FALSE)))</f>
        <v/>
      </c>
      <c r="BG157" s="298" t="str">
        <f t="shared" si="127"/>
        <v/>
      </c>
      <c r="BH157" s="285" t="str">
        <f>IF(AM157="","",INDEX(AJ153:AJ159,MATCH(AM157,AN153:AN159,0)))</f>
        <v/>
      </c>
      <c r="BI157" s="286" t="str">
        <f>IF(AM157="","",VLOOKUP(AM157,AN153:BE159,COLUMN()-COLUMN(BB152),FALSE))</f>
        <v/>
      </c>
      <c r="BJ157" s="286" t="str">
        <f>IF(AM157="","",VLOOKUP(AM157,AN153:BE159,COLUMN()-COLUMN(BB152),FALSE))</f>
        <v/>
      </c>
      <c r="BK157" s="286" t="str">
        <f>IF(AM157="","",VLOOKUP(AM157,AN153:BE159,COLUMN()-COLUMN(BB152),FALSE))</f>
        <v/>
      </c>
      <c r="BL157" s="286" t="str">
        <f>IF(AM157="","",VLOOKUP(AM157,AN153:BE159,COLUMN()-COLUMN(BB152),FALSE))</f>
        <v/>
      </c>
      <c r="BM157" s="286" t="str">
        <f>IF(AM157="","",VLOOKUP(AM157,AN153:BE159,COLUMN()-COLUMN(BB152),FALSE))</f>
        <v/>
      </c>
      <c r="BN157" s="349" t="str">
        <f>IF(AM157="","",VLOOKUP(AM157,AN153:BE159,COLUMN()-COLUMN(BB152),FALSE))</f>
        <v/>
      </c>
      <c r="BO157" s="298" t="str">
        <f>IF(AM157="","",VLOOKUP(AM157,AN153:BE159,COLUMN()-COLUMN(BB152),FALSE))</f>
        <v/>
      </c>
      <c r="BP157" s="286" t="str">
        <f>IF(AM157="","",VLOOKUP(AM157,AN153:BE159,COLUMN()-COLUMN(BB152),FALSE))</f>
        <v/>
      </c>
      <c r="BQ157" s="301" t="str">
        <f>IF(AM157="","",VLOOKUP(AM157,AN153:BE159,COLUMN()-COLUMN(BB152),FALSE))</f>
        <v/>
      </c>
      <c r="BR157" s="352" t="str">
        <f>IF(AM157="","",VLOOKUP(AM157,AN153:BE159,COLUMN()-COLUMN(BB152),FALSE))</f>
        <v/>
      </c>
      <c r="BS157" s="286" t="str">
        <f>IF(AM157="","",VLOOKUP(AM157,AN153:BE159,COLUMN()-COLUMN(BB152),FALSE))</f>
        <v/>
      </c>
      <c r="BT157" s="301" t="str">
        <f>IF(AM157="","",VLOOKUP(AM157,AN153:BE159,COLUMN()-COLUMN(BB152),FALSE))</f>
        <v/>
      </c>
    </row>
    <row r="158" spans="1:72" ht="12" thickBot="1" x14ac:dyDescent="0.25">
      <c r="A158" s="83"/>
      <c r="B158" s="83"/>
      <c r="C158" s="83"/>
      <c r="D158" s="83"/>
      <c r="E158" s="268" t="s">
        <v>12244</v>
      </c>
      <c r="F158" s="262"/>
      <c r="G158" s="262"/>
      <c r="H158" s="324"/>
      <c r="I158" s="324"/>
      <c r="J158" s="263"/>
      <c r="K158" s="365"/>
      <c r="L158" s="365"/>
      <c r="M158" s="84"/>
      <c r="N158" s="265" t="b">
        <f>NOT(ISERROR(ResultsTeams[[#This Row],[Goal-A]]+ResultsTeams[[#This Row],[Goal-B]]))</f>
        <v>0</v>
      </c>
      <c r="O158" s="265" t="str">
        <f>IF(ResultsTeams[[#This Row],[Type]]="G",SUM(O159:O162),IF(LEFT(ResultsTeams[[#This Row],[Type]],1)="P",IF(ResultsTeams[[#This Row],[Goal-A]]&gt;ResultsTeams[[#This Row],[Goal-B]],1,0),""))</f>
        <v/>
      </c>
      <c r="P158" s="265" t="str">
        <f>IF(ResultsTeams[[#This Row],[Type]]="G",SUM(P159:P162),IF(LEFT(ResultsTeams[[#This Row],[Type]],1)="P",IF(ResultsTeams[[#This Row],[Goal-A]]&lt;ResultsTeams[[#This Row],[Goal-B]],1,0),""))</f>
        <v/>
      </c>
      <c r="Q158" s="265" t="str">
        <f>IF(ResultsTeams[[#This Row],[Type]]="G",SUM(Q159:Q162),IF(LEFT(ResultsTeams[[#This Row],[Type]],1)="P",VALUE(ResultsTeams[[#This Row],[Score-A]]),""))</f>
        <v/>
      </c>
      <c r="R158" s="265" t="str">
        <f>IF(ResultsTeams[[#This Row],[Type]]="G",SUM(R159:R162),IF(LEFT(ResultsTeams[[#This Row],[Type]],1)="P",VALUE(ResultsTeams[[#This Row],[Score-B]]),""))</f>
        <v/>
      </c>
      <c r="S158" s="265" t="str">
        <f ca="1">IF(AND(ResultsTeams[[#This Row],[Category]]&lt;&gt;"",ResultsTeams[[#This Row],[Team A]]&lt;&gt;""),COUNTIF(INDIRECT("TeamsList[Club Name]"),ResultsTeams[[#This Row],[Team A]]),"")</f>
        <v/>
      </c>
      <c r="T158" s="265" t="str">
        <f ca="1">IF(AND(ResultsTeams[[#This Row],[Category]]&lt;&gt;"",ResultsTeams[[#This Row],[Team B]]&lt;&gt;""),COUNTIF(INDIRECT("TeamsList[Club Name]"),ResultsTeams[[#This Row],[Team B]]),"")</f>
        <v/>
      </c>
      <c r="U1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8" s="265" t="str">
        <f>IF(ResultsTeams[[#This Row],[Score_OK]],IF(ResultsTeams[[#This Row],[StageCpy]]="Groups",ResultsTeams[[#This Row],[Category]]&amp;"-"&amp;IF(ResultsTeams[[#This Row],[Team B]]="","",IF(ResultsTeams[[#This Row],[Match-A]]=ResultsTeams[[#This Row],[Match-B]],ResultsTeams[[#This Row],[Team A]],"")),""),"")</f>
        <v/>
      </c>
      <c r="W158" s="265" t="str">
        <f>IF(ResultsTeams[[#This Row],[Score_OK]],IF(ResultsTeams[[#This Row],[StageCpy]]="Groups",ResultsTeams[[#This Row],[Category]]&amp;"-"&amp;IF(ResultsTeams[[#This Row],[Team B]]="","",IF(ResultsTeams[[#This Row],[Match-A]]=ResultsTeams[[#This Row],[Match-B]],ResultsTeams[[#This Row],[Team B]],"")),""),"")</f>
        <v/>
      </c>
      <c r="X1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8" s="264" t="str">
        <f>IF(ResultsTeams[[#This Row],[Category]]="","",VLOOKUP(ResultsTeams[[#This Row],[Stage]],$R$1:$T$8,MATCH(ResultsTeams[[#This Row],[Category]],$S$1:$T$1,0)+1,FALSE))</f>
        <v/>
      </c>
      <c r="AC1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8" s="264" t="str">
        <f>IF(ResultsTeams[[#This Row],[Type]]="G",ResultsTeams[[#This Row],[Stage]],AD157)</f>
        <v>Groups</v>
      </c>
      <c r="AE158" s="395" t="str">
        <f>IF(ResultsTeams[[#This Row],[Type]]="G",INDEX(TeamsList[Club Name],MATCH(ResultsTeams[[#This Row],[Team A]],TeamsList[Team Name],0)),AE157)</f>
        <v>ASD SC Salernitana</v>
      </c>
      <c r="AF158" s="395" t="str">
        <f>IF(ResultsTeams[[#This Row],[Type]]="G",INDEX(TeamsList[Club Name],MATCH(ResultsTeams[[#This Row],[Team B]],TeamsList[Team Name],0)),AF157)</f>
        <v>Subbuteo Dragons Azuqueca</v>
      </c>
      <c r="AG158" s="265"/>
      <c r="AI158" s="12">
        <f t="shared" si="129"/>
        <v>0</v>
      </c>
      <c r="AJ158" s="309"/>
      <c r="AK158" s="310"/>
      <c r="AL158" s="311"/>
      <c r="AM158" s="292" t="str">
        <f>IF(AV158="","",SMALL(AN153:AN159,ROWS(AM153:AM158)))</f>
        <v/>
      </c>
      <c r="AN158" s="293" t="str">
        <f>IF(AV158="","",RANK(AR158,AR153:AR159)*1000+ROWS(AN153:AN158))</f>
        <v/>
      </c>
      <c r="AO158" s="316" t="str">
        <f t="shared" si="122"/>
        <v/>
      </c>
      <c r="AP158" s="415" t="b">
        <f>AND(AU158&lt;&gt;"",AU158&gt;0,COUNTIF(AO153:AO159,AO158)&gt;1)</f>
        <v>0</v>
      </c>
      <c r="AQ158" s="316" t="str">
        <f t="shared" si="123"/>
        <v/>
      </c>
      <c r="AR158" s="317" t="str">
        <f t="shared" si="124"/>
        <v/>
      </c>
      <c r="AS158" s="415" t="b">
        <f>AND(AU158&lt;&gt;"",AU158&gt;0,COUNTIF(AR153:AR159,AR158)&gt;1)</f>
        <v>0</v>
      </c>
      <c r="AT158" s="355" t="str">
        <f t="shared" si="125"/>
        <v/>
      </c>
      <c r="AU158" s="356" t="str">
        <f t="shared" si="126"/>
        <v/>
      </c>
      <c r="AV158" s="356" t="str">
        <f>IF(OR(AI152="",AJ158=""),"",COUNTIF(ResultsTeams[Win],AI152&amp;"-"&amp;AJ158))</f>
        <v/>
      </c>
      <c r="AW158" s="356" t="str">
        <f>IF(OR(AI152="",AJ158=""),"",COUNTIF(ResultsTeams[[Draw1]:[Draw2]],AI152&amp;"-"&amp;AJ158))</f>
        <v/>
      </c>
      <c r="AX158" s="356" t="str">
        <f>IF(OR(AI152="",AJ158=""),"",COUNTIF(ResultsTeams[Lose],AI152&amp;"-"&amp;AJ158))</f>
        <v/>
      </c>
      <c r="AY158" s="356" t="str">
        <f>IF(OR(AI152="",AJ158=""),"",AV158-AX158)</f>
        <v/>
      </c>
      <c r="AZ158" s="356" t="str">
        <f>IF(OR(AI157="",AJ158=""),"",SUMIFS(ResultsTeams[Match-A],ResultsTeams[Stage],"Groups",ResultsTeams[Team A],AJ158)+SUMIFS(ResultsTeams[Match-B],ResultsTeams[Stage],"Groups",ResultsTeams[Team B],AJ158))</f>
        <v/>
      </c>
      <c r="BA158" s="356" t="str">
        <f>IF(OR(AI157="",AJ158=""),"",SUMIFS(ResultsTeams[Match-B],ResultsTeams[Stage],"Groups",ResultsTeams[Team A],AJ158)+SUMIFS(ResultsTeams[Match-A],ResultsTeams[Stage],"Groups",ResultsTeams[Team B],AJ158))</f>
        <v/>
      </c>
      <c r="BB158" s="356" t="str">
        <f t="shared" si="128"/>
        <v/>
      </c>
      <c r="BC158" s="356" t="str">
        <f>IF(OR(AI157="",AJ158=""),"",SUMIFS(ResultsTeams[Goal-A],ResultsTeams[Stage],"Groups",ResultsTeams[Team A],AJ158)+SUMIFS(ResultsTeams[Goal-B],ResultsTeams[Stage],"Groups",ResultsTeams[Team B],AJ158))</f>
        <v/>
      </c>
      <c r="BD158" s="356" t="str">
        <f>IF(OR(AI157="",AJ158=""),"",SUMIFS(ResultsTeams[Goal-B],ResultsTeams[Stage],"Groups",ResultsTeams[Team A],AJ158)+SUMIFS(ResultsTeams[Goal-A],ResultsTeams[Stage],"Groups",ResultsTeams[Team B],AJ158))</f>
        <v/>
      </c>
      <c r="BE158" s="357" t="str">
        <f>IF(OR(AI152="",AJ158=""),"",BC158-BD158)</f>
        <v/>
      </c>
      <c r="BF158" s="470" t="str">
        <f>IF(AM158="","",OR(VLOOKUP(AM158,AN153:BE159,3,FALSE),VLOOKUP(AM158,AN153:BE159,6,FALSE)))</f>
        <v/>
      </c>
      <c r="BG158" s="298" t="str">
        <f t="shared" si="127"/>
        <v/>
      </c>
      <c r="BH158" s="285" t="str">
        <f>IF(AM158="","",INDEX(AJ153:AJ159,MATCH(AM158,AN153:AN159,0)))</f>
        <v/>
      </c>
      <c r="BI158" s="286" t="str">
        <f>IF(AM158="","",VLOOKUP(AM158,AN153:BE159,COLUMN()-COLUMN(BB152),FALSE))</f>
        <v/>
      </c>
      <c r="BJ158" s="286" t="str">
        <f>IF(AM158="","",VLOOKUP(AM158,AN153:BE159,COLUMN()-COLUMN(BB152),FALSE))</f>
        <v/>
      </c>
      <c r="BK158" s="286" t="str">
        <f>IF(AM158="","",VLOOKUP(AM158,AN153:BE159,COLUMN()-COLUMN(BB152),FALSE))</f>
        <v/>
      </c>
      <c r="BL158" s="286" t="str">
        <f>IF(AM158="","",VLOOKUP(AM158,AN153:BE159,COLUMN()-COLUMN(BB152),FALSE))</f>
        <v/>
      </c>
      <c r="BM158" s="286" t="str">
        <f>IF(AM158="","",VLOOKUP(AM158,AN153:BE159,COLUMN()-COLUMN(BB152),FALSE))</f>
        <v/>
      </c>
      <c r="BN158" s="349" t="str">
        <f>IF(AM158="","",VLOOKUP(AM158,AN153:BE159,COLUMN()-COLUMN(BB152),FALSE))</f>
        <v/>
      </c>
      <c r="BO158" s="298" t="str">
        <f>IF(AM158="","",VLOOKUP(AM158,AN153:BE159,COLUMN()-COLUMN(BB152),FALSE))</f>
        <v/>
      </c>
      <c r="BP158" s="286" t="str">
        <f>IF(AM158="","",VLOOKUP(AM158,AN153:BE159,COLUMN()-COLUMN(BB152),FALSE))</f>
        <v/>
      </c>
      <c r="BQ158" s="301" t="str">
        <f>IF(AM158="","",VLOOKUP(AM158,AN153:BE159,COLUMN()-COLUMN(BB152),FALSE))</f>
        <v/>
      </c>
      <c r="BR158" s="352" t="str">
        <f>IF(AM158="","",VLOOKUP(AM158,AN153:BE159,COLUMN()-COLUMN(BB152),FALSE))</f>
        <v/>
      </c>
      <c r="BS158" s="286" t="str">
        <f>IF(AM158="","",VLOOKUP(AM158,AN153:BE159,COLUMN()-COLUMN(BB152),FALSE))</f>
        <v/>
      </c>
      <c r="BT158" s="301" t="str">
        <f>IF(AM158="","",VLOOKUP(AM158,AN153:BE159,COLUMN()-COLUMN(BB152),FALSE))</f>
        <v/>
      </c>
    </row>
    <row r="159" spans="1:72" ht="12" thickBot="1" x14ac:dyDescent="0.25">
      <c r="A159" s="261" t="s">
        <v>12693</v>
      </c>
      <c r="B159" s="270" t="s">
        <v>12207</v>
      </c>
      <c r="C159" s="270">
        <v>4</v>
      </c>
      <c r="D159" s="270"/>
      <c r="E159" s="272" t="s">
        <v>12228</v>
      </c>
      <c r="F159" s="273" t="s">
        <v>78</v>
      </c>
      <c r="G159" s="273" t="s">
        <v>6490</v>
      </c>
      <c r="H159" s="275">
        <v>4</v>
      </c>
      <c r="I159" s="275">
        <v>0</v>
      </c>
      <c r="J159" s="275"/>
      <c r="K159" s="366"/>
      <c r="L159" s="366"/>
      <c r="M159" s="271"/>
      <c r="N159" s="265" t="b">
        <f>NOT(ISERROR(ResultsTeams[[#This Row],[Goal-A]]+ResultsTeams[[#This Row],[Goal-B]]))</f>
        <v>1</v>
      </c>
      <c r="O159" s="265">
        <f>IF(ResultsTeams[[#This Row],[Type]]="G",SUM(O160:O163),IF(LEFT(ResultsTeams[[#This Row],[Type]],1)="P",IF(ResultsTeams[[#This Row],[Goal-A]]&gt;ResultsTeams[[#This Row],[Goal-B]],1,0),""))</f>
        <v>4</v>
      </c>
      <c r="P159" s="265">
        <f>IF(ResultsTeams[[#This Row],[Type]]="G",SUM(P160:P163),IF(LEFT(ResultsTeams[[#This Row],[Type]],1)="P",IF(ResultsTeams[[#This Row],[Goal-A]]&lt;ResultsTeams[[#This Row],[Goal-B]],1,0),""))</f>
        <v>0</v>
      </c>
      <c r="Q159" s="265">
        <f>IF(ResultsTeams[[#This Row],[Type]]="G",SUM(Q160:Q163),IF(LEFT(ResultsTeams[[#This Row],[Type]],1)="P",VALUE(ResultsTeams[[#This Row],[Score-A]]),""))</f>
        <v>16</v>
      </c>
      <c r="R159" s="265">
        <f>IF(ResultsTeams[[#This Row],[Type]]="G",SUM(R160:R163),IF(LEFT(ResultsTeams[[#This Row],[Type]],1)="P",VALUE(ResultsTeams[[#This Row],[Score-B]]),""))</f>
        <v>1</v>
      </c>
      <c r="S159" s="265">
        <f ca="1">IF(AND(ResultsTeams[[#This Row],[Category]]&lt;&gt;"",ResultsTeams[[#This Row],[Team A]]&lt;&gt;""),COUNTIF(INDIRECT("TeamsList[Club Name]"),ResultsTeams[[#This Row],[Team A]]),"")</f>
        <v>1</v>
      </c>
      <c r="T159" s="265">
        <f ca="1">IF(AND(ResultsTeams[[#This Row],[Category]]&lt;&gt;"",ResultsTeams[[#This Row],[Team B]]&lt;&gt;""),COUNTIF(INDIRECT("TeamsList[Club Name]"),ResultsTeams[[#This Row],[Team B]]),"")</f>
        <v>1</v>
      </c>
      <c r="U1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Temploux</v>
      </c>
      <c r="V159" s="265" t="str">
        <f>IF(ResultsTeams[[#This Row],[Score_OK]],IF(ResultsTeams[[#This Row],[StageCpy]]="Groups",ResultsTeams[[#This Row],[Category]]&amp;"-"&amp;IF(ResultsTeams[[#This Row],[Team B]]="","",IF(ResultsTeams[[#This Row],[Match-A]]=ResultsTeams[[#This Row],[Match-B]],ResultsTeams[[#This Row],[Team A]],"")),""),"")</f>
        <v>TEAM-</v>
      </c>
      <c r="W159" s="265" t="str">
        <f>IF(ResultsTeams[[#This Row],[Score_OK]],IF(ResultsTeams[[#This Row],[StageCpy]]="Groups",ResultsTeams[[#This Row],[Category]]&amp;"-"&amp;IF(ResultsTeams[[#This Row],[Team B]]="","",IF(ResultsTeams[[#This Row],[Match-A]]=ResultsTeams[[#This Row],[Match-B]],ResultsTeams[[#This Row],[Team B]],"")),""),"")</f>
        <v>TEAM-</v>
      </c>
      <c r="X1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v>
      </c>
      <c r="Y1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A1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B159" s="264" t="str">
        <f>IF(ResultsTeams[[#This Row],[Category]]="","",VLOOKUP(ResultsTeams[[#This Row],[Stage]],$R$1:$T$8,MATCH(ResultsTeams[[#This Row],[Category]],$S$1:$T$1,0)+1,FALSE))</f>
        <v>PR1</v>
      </c>
      <c r="AC1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9" s="264" t="str">
        <f>IF(ResultsTeams[[#This Row],[Type]]="G",ResultsTeams[[#This Row],[Stage]],AD158)</f>
        <v>Groups</v>
      </c>
      <c r="AE159" s="395" t="str">
        <f>IF(ResultsTeams[[#This Row],[Type]]="G",INDEX(TeamsList[Club Name],MATCH(ResultsTeams[[#This Row],[Team A]],TeamsList[Team Name],0)),AE158)</f>
        <v>SC Temploux</v>
      </c>
      <c r="AF159" s="395" t="str">
        <f>IF(ResultsTeams[[#This Row],[Type]]="G",INDEX(TeamsList[Club Name],MATCH(ResultsTeams[[#This Row],[Team B]],TeamsList[Team Name],0)),AF158)</f>
        <v>Dutch Legends</v>
      </c>
      <c r="AG159" s="265"/>
      <c r="AI159" s="12">
        <f t="shared" si="129"/>
        <v>0</v>
      </c>
      <c r="AJ159" s="312"/>
      <c r="AK159" s="313"/>
      <c r="AL159" s="314"/>
      <c r="AM159" s="294" t="str">
        <f>IF(AV159="","",SMALL(AN153:AN159,ROWS(AM153:AM159)))</f>
        <v/>
      </c>
      <c r="AN159" s="295" t="str">
        <f>IF(AV159="","",RANK(AR159,AR153:AR159)*1000+ROWS(AN153:AN159))</f>
        <v/>
      </c>
      <c r="AO159" s="318" t="str">
        <f t="shared" si="122"/>
        <v/>
      </c>
      <c r="AP159" s="416" t="b">
        <f>AND(AU159&lt;&gt;"",AU159&gt;0,COUNTIF(AO153:AO159,AO159)&gt;1)</f>
        <v>0</v>
      </c>
      <c r="AQ159" s="318" t="str">
        <f t="shared" si="123"/>
        <v/>
      </c>
      <c r="AR159" s="319" t="str">
        <f t="shared" si="124"/>
        <v/>
      </c>
      <c r="AS159" s="416" t="b">
        <f>AND(AU159&lt;&gt;"",AU159&gt;0,COUNTIF(AR153:AR159,AR159)&gt;1)</f>
        <v>0</v>
      </c>
      <c r="AT159" s="358" t="str">
        <f t="shared" si="125"/>
        <v/>
      </c>
      <c r="AU159" s="359" t="str">
        <f t="shared" si="126"/>
        <v/>
      </c>
      <c r="AV159" s="359" t="str">
        <f>IF(OR(AI152="",AJ159=""),"",COUNTIF(ResultsTeams[Win],AI152&amp;"-"&amp;AJ159))</f>
        <v/>
      </c>
      <c r="AW159" s="359" t="str">
        <f>IF(OR(AI152="",AJ159=""),"",COUNTIF(ResultsTeams[[Draw1]:[Draw2]],AI152&amp;"-"&amp;AJ159))</f>
        <v/>
      </c>
      <c r="AX159" s="359" t="str">
        <f>IF(OR(AI152="",AJ159=""),"",COUNTIF(ResultsTeams[Lose],AI152&amp;"-"&amp;AJ159))</f>
        <v/>
      </c>
      <c r="AY159" s="359" t="str">
        <f>IF(OR(AI152="",AJ159=""),"",AV159-AX159)</f>
        <v/>
      </c>
      <c r="AZ159" s="359" t="str">
        <f>IF(OR(AI158="",AJ159=""),"",SUMIFS(ResultsTeams[Match-A],ResultsTeams[Stage],"Groups",ResultsTeams[Team A],AJ159)+SUMIFS(ResultsTeams[Match-B],ResultsTeams[Stage],"Groups",ResultsTeams[Team B],AJ159))</f>
        <v/>
      </c>
      <c r="BA159" s="359" t="str">
        <f>IF(OR(AI158="",AJ159=""),"",SUMIFS(ResultsTeams[Match-B],ResultsTeams[Stage],"Groups",ResultsTeams[Team A],AJ159)+SUMIFS(ResultsTeams[Match-A],ResultsTeams[Stage],"Groups",ResultsTeams[Team B],AJ159))</f>
        <v/>
      </c>
      <c r="BB159" s="359" t="str">
        <f t="shared" si="128"/>
        <v/>
      </c>
      <c r="BC159" s="359" t="str">
        <f>IF(OR(AI158="",AJ159=""),"",SUMIFS(ResultsTeams[Goal-A],ResultsTeams[Stage],"Groups",ResultsTeams[Team A],AJ159)+SUMIFS(ResultsTeams[Goal-B],ResultsTeams[Stage],"Groups",ResultsTeams[Team B],AJ159))</f>
        <v/>
      </c>
      <c r="BD159" s="359" t="str">
        <f>IF(OR(AI158="",AJ159=""),"",SUMIFS(ResultsTeams[Goal-B],ResultsTeams[Stage],"Groups",ResultsTeams[Team A],AJ159)+SUMIFS(ResultsTeams[Goal-A],ResultsTeams[Stage],"Groups",ResultsTeams[Team B],AJ159))</f>
        <v/>
      </c>
      <c r="BE159" s="360" t="str">
        <f>IF(OR(AI152="",AJ159=""),"",BC159-BD159)</f>
        <v/>
      </c>
      <c r="BF159" s="470" t="str">
        <f>IF(AM159="","",OR(VLOOKUP(AM159,AN153:BE159,3,FALSE),VLOOKUP(AM159,AN153:BE159,6,FALSE)))</f>
        <v/>
      </c>
      <c r="BG159" s="299" t="str">
        <f t="shared" si="127"/>
        <v/>
      </c>
      <c r="BH159" s="287" t="str">
        <f>IF(AM159="","",INDEX(AJ153:AJ159,MATCH(AM159,AN153:AN159,0)))</f>
        <v/>
      </c>
      <c r="BI159" s="288" t="str">
        <f>IF(AM159="","",VLOOKUP(AM159,AN153:BE159,COLUMN()-COLUMN(BB152),FALSE))</f>
        <v/>
      </c>
      <c r="BJ159" s="288" t="str">
        <f>IF(AM159="","",VLOOKUP(AM159,AN153:BE159,COLUMN()-COLUMN(BB152),FALSE))</f>
        <v/>
      </c>
      <c r="BK159" s="288" t="str">
        <f>IF(AM159="","",VLOOKUP(AM159,AN153:BE159,COLUMN()-COLUMN(BB152),FALSE))</f>
        <v/>
      </c>
      <c r="BL159" s="288" t="str">
        <f>IF(AM159="","",VLOOKUP(AM159,AN153:BE159,COLUMN()-COLUMN(BB152),FALSE))</f>
        <v/>
      </c>
      <c r="BM159" s="288" t="str">
        <f>IF(AM159="","",VLOOKUP(AM159,AN153:BE159,COLUMN()-COLUMN(BB152),FALSE))</f>
        <v/>
      </c>
      <c r="BN159" s="350" t="str">
        <f>IF(AM159="","",VLOOKUP(AM159,AN153:BE159,COLUMN()-COLUMN(BB152),FALSE))</f>
        <v/>
      </c>
      <c r="BO159" s="299" t="str">
        <f>IF(AM159="","",VLOOKUP(AM159,AN153:BE159,COLUMN()-COLUMN(BB152),FALSE))</f>
        <v/>
      </c>
      <c r="BP159" s="288" t="str">
        <f>IF(AM159="","",VLOOKUP(AM159,AN153:BE159,COLUMN()-COLUMN(BB152),FALSE))</f>
        <v/>
      </c>
      <c r="BQ159" s="302" t="str">
        <f>IF(AM159="","",VLOOKUP(AM159,AN153:BE159,COLUMN()-COLUMN(BB152),FALSE))</f>
        <v/>
      </c>
      <c r="BR159" s="353" t="str">
        <f>IF(AM159="","",VLOOKUP(AM159,AN153:BE159,COLUMN()-COLUMN(BB152),FALSE))</f>
        <v/>
      </c>
      <c r="BS159" s="288" t="str">
        <f>IF(AM159="","",VLOOKUP(AM159,AN153:BE159,COLUMN()-COLUMN(BB152),FALSE))</f>
        <v/>
      </c>
      <c r="BT159" s="302" t="str">
        <f>IF(AM159="","",VLOOKUP(AM159,AN153:BE159,COLUMN()-COLUMN(BB152),FALSE))</f>
        <v/>
      </c>
    </row>
    <row r="160" spans="1:72" ht="12" thickBot="1" x14ac:dyDescent="0.25">
      <c r="A160" s="60"/>
      <c r="B160" s="280"/>
      <c r="C160" s="60"/>
      <c r="D160" s="60"/>
      <c r="E160" s="240" t="s">
        <v>12231</v>
      </c>
      <c r="F160" s="244" t="s">
        <v>8118</v>
      </c>
      <c r="G160" s="244" t="s">
        <v>12619</v>
      </c>
      <c r="H160" s="253">
        <v>5</v>
      </c>
      <c r="I160" s="253">
        <v>1</v>
      </c>
      <c r="J160" s="253"/>
      <c r="K160" s="362"/>
      <c r="L160" s="362"/>
      <c r="M160" s="61"/>
      <c r="N160" s="265" t="b">
        <f>NOT(ISERROR(ResultsTeams[[#This Row],[Goal-A]]+ResultsTeams[[#This Row],[Goal-B]]))</f>
        <v>1</v>
      </c>
      <c r="O160" s="265">
        <f>IF(ResultsTeams[[#This Row],[Type]]="G",SUM(O161:O164),IF(LEFT(ResultsTeams[[#This Row],[Type]],1)="P",IF(ResultsTeams[[#This Row],[Goal-A]]&gt;ResultsTeams[[#This Row],[Goal-B]],1,0),""))</f>
        <v>1</v>
      </c>
      <c r="P160" s="265">
        <f>IF(ResultsTeams[[#This Row],[Type]]="G",SUM(P161:P164),IF(LEFT(ResultsTeams[[#This Row],[Type]],1)="P",IF(ResultsTeams[[#This Row],[Goal-A]]&lt;ResultsTeams[[#This Row],[Goal-B]],1,0),""))</f>
        <v>0</v>
      </c>
      <c r="Q160" s="265">
        <f>IF(ResultsTeams[[#This Row],[Type]]="G",SUM(Q161:Q164),IF(LEFT(ResultsTeams[[#This Row],[Type]],1)="P",VALUE(ResultsTeams[[#This Row],[Score-A]]),""))</f>
        <v>5</v>
      </c>
      <c r="R160" s="265">
        <f>IF(ResultsTeams[[#This Row],[Type]]="G",SUM(R161:R164),IF(LEFT(ResultsTeams[[#This Row],[Type]],1)="P",VALUE(ResultsTeams[[#This Row],[Score-B]]),""))</f>
        <v>1</v>
      </c>
      <c r="S160" s="265" t="str">
        <f ca="1">IF(AND(ResultsTeams[[#This Row],[Category]]&lt;&gt;"",ResultsTeams[[#This Row],[Team A]]&lt;&gt;""),COUNTIF(INDIRECT("TeamsList[Club Name]"),ResultsTeams[[#This Row],[Team A]]),"")</f>
        <v/>
      </c>
      <c r="T160" s="265" t="str">
        <f ca="1">IF(AND(ResultsTeams[[#This Row],[Category]]&lt;&gt;"",ResultsTeams[[#This Row],[Team B]]&lt;&gt;""),COUNTIF(INDIRECT("TeamsList[Club Name]"),ResultsTeams[[#This Row],[Team B]]),"")</f>
        <v/>
      </c>
      <c r="U1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-Arnaud Nullens</v>
      </c>
      <c r="V160" s="265" t="str">
        <f>IF(ResultsTeams[[#This Row],[Score_OK]],IF(ResultsTeams[[#This Row],[StageCpy]]="Groups",ResultsTeams[[#This Row],[Category]]&amp;"-"&amp;IF(ResultsTeams[[#This Row],[Team B]]="","",IF(ResultsTeams[[#This Row],[Match-A]]=ResultsTeams[[#This Row],[Match-B]],ResultsTeams[[#This Row],[Team A]],"")),""),"")</f>
        <v>-</v>
      </c>
      <c r="W160" s="265" t="str">
        <f>IF(ResultsTeams[[#This Row],[Score_OK]],IF(ResultsTeams[[#This Row],[StageCpy]]="Groups",ResultsTeams[[#This Row],[Category]]&amp;"-"&amp;IF(ResultsTeams[[#This Row],[Team B]]="","",IF(ResultsTeams[[#This Row],[Match-A]]=ResultsTeams[[#This Row],[Match-B]],ResultsTeams[[#This Row],[Team B]],"")),""),"")</f>
        <v>-</v>
      </c>
      <c r="X1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-Richard Oranje</v>
      </c>
      <c r="Y1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0" s="264" t="str">
        <f>IF(ResultsTeams[[#This Row],[Category]]="","",VLOOKUP(ResultsTeams[[#This Row],[Stage]],$R$1:$T$8,MATCH(ResultsTeams[[#This Row],[Category]],$S$1:$T$1,0)+1,FALSE))</f>
        <v/>
      </c>
      <c r="AC1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0" s="264" t="str">
        <f>IF(ResultsTeams[[#This Row],[Type]]="G",ResultsTeams[[#This Row],[Stage]],AD159)</f>
        <v>Groups</v>
      </c>
      <c r="AE160" s="395" t="str">
        <f>IF(ResultsTeams[[#This Row],[Type]]="G",INDEX(TeamsList[Club Name],MATCH(ResultsTeams[[#This Row],[Team A]],TeamsList[Team Name],0)),AE159)</f>
        <v>SC Temploux</v>
      </c>
      <c r="AF160" s="395" t="str">
        <f>IF(ResultsTeams[[#This Row],[Type]]="G",INDEX(TeamsList[Club Name],MATCH(ResultsTeams[[#This Row],[Team B]],TeamsList[Team Name],0)),AF159)</f>
        <v>Dutch Legends</v>
      </c>
      <c r="AG160" s="265"/>
    </row>
    <row r="161" spans="1:72" ht="12" thickBot="1" x14ac:dyDescent="0.25">
      <c r="A161" s="62"/>
      <c r="B161" s="280"/>
      <c r="C161" s="62"/>
      <c r="D161" s="62"/>
      <c r="E161" s="241" t="s">
        <v>12234</v>
      </c>
      <c r="F161" s="246" t="s">
        <v>8125</v>
      </c>
      <c r="G161" s="246" t="s">
        <v>11459</v>
      </c>
      <c r="H161" s="254">
        <v>5</v>
      </c>
      <c r="I161" s="254">
        <v>0</v>
      </c>
      <c r="J161" s="254"/>
      <c r="K161" s="363"/>
      <c r="L161" s="363"/>
      <c r="M161" s="63"/>
      <c r="N161" s="265" t="b">
        <f>NOT(ISERROR(ResultsTeams[[#This Row],[Goal-A]]+ResultsTeams[[#This Row],[Goal-B]]))</f>
        <v>1</v>
      </c>
      <c r="O161" s="265">
        <f>IF(ResultsTeams[[#This Row],[Type]]="G",SUM(O162:O165),IF(LEFT(ResultsTeams[[#This Row],[Type]],1)="P",IF(ResultsTeams[[#This Row],[Goal-A]]&gt;ResultsTeams[[#This Row],[Goal-B]],1,0),""))</f>
        <v>1</v>
      </c>
      <c r="P161" s="265">
        <f>IF(ResultsTeams[[#This Row],[Type]]="G",SUM(P162:P165),IF(LEFT(ResultsTeams[[#This Row],[Type]],1)="P",IF(ResultsTeams[[#This Row],[Goal-A]]&lt;ResultsTeams[[#This Row],[Goal-B]],1,0),""))</f>
        <v>0</v>
      </c>
      <c r="Q161" s="265">
        <f>IF(ResultsTeams[[#This Row],[Type]]="G",SUM(Q162:Q165),IF(LEFT(ResultsTeams[[#This Row],[Type]],1)="P",VALUE(ResultsTeams[[#This Row],[Score-A]]),""))</f>
        <v>5</v>
      </c>
      <c r="R161" s="265">
        <f>IF(ResultsTeams[[#This Row],[Type]]="G",SUM(R162:R165),IF(LEFT(ResultsTeams[[#This Row],[Type]],1)="P",VALUE(ResultsTeams[[#This Row],[Score-B]]),""))</f>
        <v>0</v>
      </c>
      <c r="S161" s="265" t="str">
        <f ca="1">IF(AND(ResultsTeams[[#This Row],[Category]]&lt;&gt;"",ResultsTeams[[#This Row],[Team A]]&lt;&gt;""),COUNTIF(INDIRECT("TeamsList[Club Name]"),ResultsTeams[[#This Row],[Team A]]),"")</f>
        <v/>
      </c>
      <c r="T161" s="265" t="str">
        <f ca="1">IF(AND(ResultsTeams[[#This Row],[Category]]&lt;&gt;"",ResultsTeams[[#This Row],[Team B]]&lt;&gt;""),COUNTIF(INDIRECT("TeamsList[Club Name]"),ResultsTeams[[#This Row],[Team B]]),"")</f>
        <v/>
      </c>
      <c r="U1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-Philippe Roufosse</v>
      </c>
      <c r="V161" s="265" t="str">
        <f>IF(ResultsTeams[[#This Row],[Score_OK]],IF(ResultsTeams[[#This Row],[StageCpy]]="Groups",ResultsTeams[[#This Row],[Category]]&amp;"-"&amp;IF(ResultsTeams[[#This Row],[Team B]]="","",IF(ResultsTeams[[#This Row],[Match-A]]=ResultsTeams[[#This Row],[Match-B]],ResultsTeams[[#This Row],[Team A]],"")),""),"")</f>
        <v>-</v>
      </c>
      <c r="W161" s="265" t="str">
        <f>IF(ResultsTeams[[#This Row],[Score_OK]],IF(ResultsTeams[[#This Row],[StageCpy]]="Groups",ResultsTeams[[#This Row],[Category]]&amp;"-"&amp;IF(ResultsTeams[[#This Row],[Team B]]="","",IF(ResultsTeams[[#This Row],[Match-A]]=ResultsTeams[[#This Row],[Match-B]],ResultsTeams[[#This Row],[Team B]],"")),""),"")</f>
        <v>-</v>
      </c>
      <c r="X1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-Cailim Marks</v>
      </c>
      <c r="Y1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1" s="264" t="str">
        <f>IF(ResultsTeams[[#This Row],[Category]]="","",VLOOKUP(ResultsTeams[[#This Row],[Stage]],$R$1:$T$8,MATCH(ResultsTeams[[#This Row],[Category]],$S$1:$T$1,0)+1,FALSE))</f>
        <v/>
      </c>
      <c r="AC1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1" s="264" t="str">
        <f>IF(ResultsTeams[[#This Row],[Type]]="G",ResultsTeams[[#This Row],[Stage]],AD160)</f>
        <v>Groups</v>
      </c>
      <c r="AE161" s="395" t="str">
        <f>IF(ResultsTeams[[#This Row],[Type]]="G",INDEX(TeamsList[Club Name],MATCH(ResultsTeams[[#This Row],[Team A]],TeamsList[Team Name],0)),AE160)</f>
        <v>SC Temploux</v>
      </c>
      <c r="AF161" s="395" t="str">
        <f>IF(ResultsTeams[[#This Row],[Type]]="G",INDEX(TeamsList[Club Name],MATCH(ResultsTeams[[#This Row],[Team B]],TeamsList[Team Name],0)),AF160)</f>
        <v>Dutch Legends</v>
      </c>
      <c r="AG161" s="265"/>
      <c r="AH161" s="281" t="str">
        <f>IF(AI161="","",QUOTIENT(COUNTIF(AI$26:AI161,AI161)-1,8)+1)</f>
        <v/>
      </c>
      <c r="AI161" s="315"/>
      <c r="AJ161" s="289" t="s">
        <v>14438</v>
      </c>
      <c r="AK161" s="290" t="s">
        <v>12279</v>
      </c>
      <c r="AL161" s="300" t="s">
        <v>12275</v>
      </c>
      <c r="AM161" s="296" t="s">
        <v>12276</v>
      </c>
      <c r="AN161" s="291" t="s">
        <v>12271</v>
      </c>
      <c r="AO161" s="291" t="s">
        <v>12272</v>
      </c>
      <c r="AP161" s="414" t="s">
        <v>13154</v>
      </c>
      <c r="AQ161" s="291" t="s">
        <v>12273</v>
      </c>
      <c r="AR161" s="297" t="s">
        <v>12274</v>
      </c>
      <c r="AS161" s="414" t="s">
        <v>13154</v>
      </c>
      <c r="AT161" s="296" t="s">
        <v>12199</v>
      </c>
      <c r="AU161" s="291" t="s">
        <v>12200</v>
      </c>
      <c r="AV161" s="291" t="s">
        <v>12201</v>
      </c>
      <c r="AW161" s="291" t="s">
        <v>12202</v>
      </c>
      <c r="AX161" s="291" t="s">
        <v>12203</v>
      </c>
      <c r="AY161" s="291" t="s">
        <v>12697</v>
      </c>
      <c r="AZ161" s="291" t="s">
        <v>12698</v>
      </c>
      <c r="BA161" s="291" t="s">
        <v>12699</v>
      </c>
      <c r="BB161" s="291" t="s">
        <v>12700</v>
      </c>
      <c r="BC161" s="291" t="s">
        <v>12204</v>
      </c>
      <c r="BD161" s="291" t="s">
        <v>12205</v>
      </c>
      <c r="BE161" s="297" t="s">
        <v>12206</v>
      </c>
      <c r="BF161" s="395"/>
      <c r="BG161" s="282" t="s">
        <v>12276</v>
      </c>
      <c r="BH161" s="282" t="s">
        <v>12133</v>
      </c>
      <c r="BI161" s="283" t="s">
        <v>12199</v>
      </c>
      <c r="BJ161" s="283" t="s">
        <v>12200</v>
      </c>
      <c r="BK161" s="283" t="s">
        <v>12201</v>
      </c>
      <c r="BL161" s="283" t="s">
        <v>12202</v>
      </c>
      <c r="BM161" s="283" t="s">
        <v>12203</v>
      </c>
      <c r="BN161" s="290" t="s">
        <v>12697</v>
      </c>
      <c r="BO161" s="354" t="s">
        <v>12698</v>
      </c>
      <c r="BP161" s="283" t="s">
        <v>12699</v>
      </c>
      <c r="BQ161" s="300" t="s">
        <v>12700</v>
      </c>
      <c r="BR161" s="351" t="s">
        <v>12204</v>
      </c>
      <c r="BS161" s="283" t="s">
        <v>12205</v>
      </c>
      <c r="BT161" s="300" t="s">
        <v>12206</v>
      </c>
    </row>
    <row r="162" spans="1:72" x14ac:dyDescent="0.2">
      <c r="A162" s="62"/>
      <c r="B162" s="280"/>
      <c r="C162" s="62"/>
      <c r="D162" s="62"/>
      <c r="E162" s="241" t="s">
        <v>12237</v>
      </c>
      <c r="F162" s="246" t="s">
        <v>8116</v>
      </c>
      <c r="G162" s="246" t="s">
        <v>11466</v>
      </c>
      <c r="H162" s="254">
        <v>1</v>
      </c>
      <c r="I162" s="254">
        <v>0</v>
      </c>
      <c r="J162" s="254"/>
      <c r="K162" s="363"/>
      <c r="L162" s="363"/>
      <c r="M162" s="63"/>
      <c r="N162" s="265" t="b">
        <f>NOT(ISERROR(ResultsTeams[[#This Row],[Goal-A]]+ResultsTeams[[#This Row],[Goal-B]]))</f>
        <v>1</v>
      </c>
      <c r="O162" s="265">
        <f>IF(ResultsTeams[[#This Row],[Type]]="G",SUM(O163:O166),IF(LEFT(ResultsTeams[[#This Row],[Type]],1)="P",IF(ResultsTeams[[#This Row],[Goal-A]]&gt;ResultsTeams[[#This Row],[Goal-B]],1,0),""))</f>
        <v>1</v>
      </c>
      <c r="P162" s="265">
        <f>IF(ResultsTeams[[#This Row],[Type]]="G",SUM(P163:P166),IF(LEFT(ResultsTeams[[#This Row],[Type]],1)="P",IF(ResultsTeams[[#This Row],[Goal-A]]&lt;ResultsTeams[[#This Row],[Goal-B]],1,0),""))</f>
        <v>0</v>
      </c>
      <c r="Q162" s="265">
        <f>IF(ResultsTeams[[#This Row],[Type]]="G",SUM(Q163:Q166),IF(LEFT(ResultsTeams[[#This Row],[Type]],1)="P",VALUE(ResultsTeams[[#This Row],[Score-A]]),""))</f>
        <v>1</v>
      </c>
      <c r="R162" s="265">
        <f>IF(ResultsTeams[[#This Row],[Type]]="G",SUM(R163:R166),IF(LEFT(ResultsTeams[[#This Row],[Type]],1)="P",VALUE(ResultsTeams[[#This Row],[Score-B]]),""))</f>
        <v>0</v>
      </c>
      <c r="S162" s="265" t="str">
        <f ca="1">IF(AND(ResultsTeams[[#This Row],[Category]]&lt;&gt;"",ResultsTeams[[#This Row],[Team A]]&lt;&gt;""),COUNTIF(INDIRECT("TeamsList[Club Name]"),ResultsTeams[[#This Row],[Team A]]),"")</f>
        <v/>
      </c>
      <c r="T162" s="265" t="str">
        <f ca="1">IF(AND(ResultsTeams[[#This Row],[Category]]&lt;&gt;"",ResultsTeams[[#This Row],[Team B]]&lt;&gt;""),COUNTIF(INDIRECT("TeamsList[Club Name]"),ResultsTeams[[#This Row],[Team B]]),"")</f>
        <v/>
      </c>
      <c r="U1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-Benoît Massart</v>
      </c>
      <c r="V162" s="265" t="str">
        <f>IF(ResultsTeams[[#This Row],[Score_OK]],IF(ResultsTeams[[#This Row],[StageCpy]]="Groups",ResultsTeams[[#This Row],[Category]]&amp;"-"&amp;IF(ResultsTeams[[#This Row],[Team B]]="","",IF(ResultsTeams[[#This Row],[Match-A]]=ResultsTeams[[#This Row],[Match-B]],ResultsTeams[[#This Row],[Team A]],"")),""),"")</f>
        <v>-</v>
      </c>
      <c r="W162" s="265" t="str">
        <f>IF(ResultsTeams[[#This Row],[Score_OK]],IF(ResultsTeams[[#This Row],[StageCpy]]="Groups",ResultsTeams[[#This Row],[Category]]&amp;"-"&amp;IF(ResultsTeams[[#This Row],[Team B]]="","",IF(ResultsTeams[[#This Row],[Match-A]]=ResultsTeams[[#This Row],[Match-B]],ResultsTeams[[#This Row],[Team B]],"")),""),"")</f>
        <v>-</v>
      </c>
      <c r="X1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-Jarno Marks</v>
      </c>
      <c r="Y1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2" s="264" t="str">
        <f>IF(ResultsTeams[[#This Row],[Category]]="","",VLOOKUP(ResultsTeams[[#This Row],[Stage]],$R$1:$T$8,MATCH(ResultsTeams[[#This Row],[Category]],$S$1:$T$1,0)+1,FALSE))</f>
        <v/>
      </c>
      <c r="AC1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2" s="264" t="str">
        <f>IF(ResultsTeams[[#This Row],[Type]]="G",ResultsTeams[[#This Row],[Stage]],AD161)</f>
        <v>Groups</v>
      </c>
      <c r="AE162" s="395" t="str">
        <f>IF(ResultsTeams[[#This Row],[Type]]="G",INDEX(TeamsList[Club Name],MATCH(ResultsTeams[[#This Row],[Team A]],TeamsList[Team Name],0)),AE161)</f>
        <v>SC Temploux</v>
      </c>
      <c r="AF162" s="395" t="str">
        <f>IF(ResultsTeams[[#This Row],[Type]]="G",INDEX(TeamsList[Club Name],MATCH(ResultsTeams[[#This Row],[Team B]],TeamsList[Team Name],0)),AF161)</f>
        <v>Dutch Legends</v>
      </c>
      <c r="AG162" s="265"/>
      <c r="AI162" s="12">
        <f>AI161</f>
        <v>0</v>
      </c>
      <c r="AJ162" s="309"/>
      <c r="AK162" s="320"/>
      <c r="AL162" s="311"/>
      <c r="AM162" s="292" t="str">
        <f>IF(AV162="","",SMALL(AN162:AN168,ROWS(AM162:AM162)))</f>
        <v/>
      </c>
      <c r="AN162" s="293" t="str">
        <f>IF(AV162="","",RANK(AR162,AR162:AR168)*1000+ROWS(AN162:AN162))</f>
        <v/>
      </c>
      <c r="AO162" s="316" t="str">
        <f t="shared" ref="AO162:AO168" si="130">IF(AV162="","",AT162*CritClassEq1_Points+AY162*CritClassEq1_DiffRencontres+BB162*CritClassEq1_DiffMatches+BE162*CritClassEq1_DiffButs+AZ162*CritClassEq1_Matches+BC162*CritClassEq1_Attaque)</f>
        <v/>
      </c>
      <c r="AP162" s="415" t="b">
        <f>AND(AU162&lt;&gt;"",AU162&gt;0,COUNTIF(AO162:AO168,AO162)&gt;1)</f>
        <v>0</v>
      </c>
      <c r="AQ162" s="316" t="str">
        <f t="shared" ref="AQ162:AQ168" si="131">IF(AV162="","",CritClassEq_DiffPart*AK162)</f>
        <v/>
      </c>
      <c r="AR162" s="317" t="str">
        <f t="shared" ref="AR162:AR168" si="132">IF(AV162="","",AO162+AQ162+AT162*CritClassEq2_Points+AY162*CritClassEq2_DiffRencontres+BB162*CritClassEq2_DiffMatches+BE162*CritClassEq2_DiffButs+AZ162*CritClassEq2_Matches+BC162*CritClassEq2_Attaque+AL162)</f>
        <v/>
      </c>
      <c r="AS162" s="415" t="b">
        <f>AND(AU162&lt;&gt;"",AU162&gt;0,COUNTIF(AR162:AR168,AR162)&gt;1)</f>
        <v>0</v>
      </c>
      <c r="AT162" s="355" t="str">
        <f t="shared" ref="AT162:AT168" si="133">IF(AV162="","",(AV162*Points_Victoire)+AW162*Points_Null)</f>
        <v/>
      </c>
      <c r="AU162" s="356" t="str">
        <f t="shared" ref="AU162:AU168" si="134">IF(AV162="","",SUM(AV162:AX162))</f>
        <v/>
      </c>
      <c r="AV162" s="356" t="str">
        <f>IF(OR(AI161="",AJ162=""),"",COUNTIF(ResultsTeams[Win],AI161&amp;"-"&amp;AJ162))</f>
        <v/>
      </c>
      <c r="AW162" s="356" t="str">
        <f>IF(OR(AI161="",AJ162=""),"",COUNTIF(ResultsTeams[[Draw1]:[Draw2]],AI161&amp;"-"&amp;AJ162))</f>
        <v/>
      </c>
      <c r="AX162" s="356" t="str">
        <f>IF(OR(AI161="",AJ162=""),"",COUNTIF(ResultsTeams[Lose],AI161&amp;"-"&amp;AJ162))</f>
        <v/>
      </c>
      <c r="AY162" s="356" t="str">
        <f>IF(OR(AI161="",AJ162=""),"",AV162-AX162)</f>
        <v/>
      </c>
      <c r="AZ162" s="356" t="str">
        <f>IF(OR(AI161="",AJ162=""),"",SUMIFS(ResultsTeams[Match-A],ResultsTeams[Stage],"Groups",ResultsTeams[Team A],AJ162)+SUMIFS(ResultsTeams[Match-B],ResultsTeams[Stage],"Groups",ResultsTeams[Team B],AJ162))</f>
        <v/>
      </c>
      <c r="BA162" s="356" t="str">
        <f>IF(OR(AI161="",AJ162=""),"",SUMIFS(ResultsTeams[Match-B],ResultsTeams[Stage],"Groups",ResultsTeams[Team A],AJ162)+SUMIFS(ResultsTeams[Match-A],ResultsTeams[Stage],"Groups",ResultsTeams[Team B],AJ162))</f>
        <v/>
      </c>
      <c r="BB162" s="356" t="str">
        <f>IF(OR(AI161="",AJ162=""),"",AZ162-BA162)</f>
        <v/>
      </c>
      <c r="BC162" s="356" t="str">
        <f>IF(OR(AI161="",AJ162=""),"",SUMIFS(ResultsTeams[Goal-A],ResultsTeams[Stage],"Groups",ResultsTeams[Team A],AJ162)+SUMIFS(ResultsTeams[Goal-B],ResultsTeams[Stage],"Groups",ResultsTeams[Team B],AJ162))</f>
        <v/>
      </c>
      <c r="BD162" s="356" t="str">
        <f>IF(OR(AI161="",AJ162=""),"",SUMIFS(ResultsTeams[Goal-B],ResultsTeams[Stage],"Groups",ResultsTeams[Team A],AJ162)+SUMIFS(ResultsTeams[Goal-A],ResultsTeams[Stage],"Groups",ResultsTeams[Team B],AJ162))</f>
        <v/>
      </c>
      <c r="BE162" s="357" t="str">
        <f>IF(OR(AI161="",AJ162=""),"",BC162-BD162)</f>
        <v/>
      </c>
      <c r="BF162" s="470" t="str">
        <f>IF(AM162="","",OR(VLOOKUP(AM162,AN162:BE168,3,FALSE),VLOOKUP(AM162,AN162:BE168,6,FALSE)))</f>
        <v/>
      </c>
      <c r="BG162" s="298" t="str">
        <f t="shared" ref="BG162:BG168" si="135">IF(AM162="","",INT(AM162/1000))</f>
        <v/>
      </c>
      <c r="BH162" s="285" t="str">
        <f>IF(AM162="","",INDEX(AJ162:AJ168,MATCH(AM162,AN162:AN168,0)))</f>
        <v/>
      </c>
      <c r="BI162" s="286" t="str">
        <f>IF(AM162="","",VLOOKUP(AM162,AN162:BE168,COLUMN()-COLUMN(BB161),FALSE))</f>
        <v/>
      </c>
      <c r="BJ162" s="286" t="str">
        <f>IF(AM162="","",VLOOKUP(AM162,AN162:BE168,COLUMN()-COLUMN(BB161),FALSE))</f>
        <v/>
      </c>
      <c r="BK162" s="286" t="str">
        <f>IF(AM162="","",VLOOKUP(AM162,AN162:BE168,COLUMN()-COLUMN(BB161),FALSE))</f>
        <v/>
      </c>
      <c r="BL162" s="286" t="str">
        <f>IF(AM162="","",VLOOKUP(AM162,AN162:BE168,COLUMN()-COLUMN(BB161),FALSE))</f>
        <v/>
      </c>
      <c r="BM162" s="286" t="str">
        <f>IF(AM162="","",VLOOKUP(AM162,AN162:BE168,COLUMN()-COLUMN(BB161),FALSE))</f>
        <v/>
      </c>
      <c r="BN162" s="349" t="str">
        <f>IF(AM162="","",VLOOKUP(AM162,AN162:BE168,COLUMN()-COLUMN(BB161),FALSE))</f>
        <v/>
      </c>
      <c r="BO162" s="298" t="str">
        <f>IF(AM162="","",VLOOKUP(AM162,AN162:BE168,COLUMN()-COLUMN(BB161),FALSE))</f>
        <v/>
      </c>
      <c r="BP162" s="286" t="str">
        <f>IF(AM162="","",VLOOKUP(AM162,AN162:BE168,COLUMN()-COLUMN(BB161),FALSE))</f>
        <v/>
      </c>
      <c r="BQ162" s="301" t="str">
        <f>IF(AM162="","",VLOOKUP(AM162,AN162:BE168,COLUMN()-COLUMN(BB161),FALSE))</f>
        <v/>
      </c>
      <c r="BR162" s="352" t="str">
        <f>IF(AM162="","",VLOOKUP(AM162,AN162:BE168,COLUMN()-COLUMN(BB161),FALSE))</f>
        <v/>
      </c>
      <c r="BS162" s="286" t="str">
        <f>IF(AM162="","",VLOOKUP(AM162,AN162:BE168,COLUMN()-COLUMN(BB161),FALSE))</f>
        <v/>
      </c>
      <c r="BT162" s="301" t="str">
        <f>IF(AM162="","",VLOOKUP(AM162,AN162:BE168,COLUMN()-COLUMN(BB161),FALSE))</f>
        <v/>
      </c>
    </row>
    <row r="163" spans="1:72" x14ac:dyDescent="0.2">
      <c r="A163" s="62"/>
      <c r="B163" s="280"/>
      <c r="C163" s="62"/>
      <c r="D163" s="62"/>
      <c r="E163" s="241" t="s">
        <v>12240</v>
      </c>
      <c r="F163" s="246" t="s">
        <v>8138</v>
      </c>
      <c r="G163" s="246" t="s">
        <v>10459</v>
      </c>
      <c r="H163" s="254">
        <v>5</v>
      </c>
      <c r="I163" s="254">
        <v>0</v>
      </c>
      <c r="J163" s="254"/>
      <c r="K163" s="363"/>
      <c r="L163" s="363"/>
      <c r="M163" s="63"/>
      <c r="N163" s="265" t="b">
        <f>NOT(ISERROR(ResultsTeams[[#This Row],[Goal-A]]+ResultsTeams[[#This Row],[Goal-B]]))</f>
        <v>1</v>
      </c>
      <c r="O163" s="265">
        <f>IF(ResultsTeams[[#This Row],[Type]]="G",SUM(O164:O167),IF(LEFT(ResultsTeams[[#This Row],[Type]],1)="P",IF(ResultsTeams[[#This Row],[Goal-A]]&gt;ResultsTeams[[#This Row],[Goal-B]],1,0),""))</f>
        <v>1</v>
      </c>
      <c r="P163" s="265">
        <f>IF(ResultsTeams[[#This Row],[Type]]="G",SUM(P164:P167),IF(LEFT(ResultsTeams[[#This Row],[Type]],1)="P",IF(ResultsTeams[[#This Row],[Goal-A]]&lt;ResultsTeams[[#This Row],[Goal-B]],1,0),""))</f>
        <v>0</v>
      </c>
      <c r="Q163" s="265">
        <f>IF(ResultsTeams[[#This Row],[Type]]="G",SUM(Q164:Q167),IF(LEFT(ResultsTeams[[#This Row],[Type]],1)="P",VALUE(ResultsTeams[[#This Row],[Score-A]]),""))</f>
        <v>5</v>
      </c>
      <c r="R163" s="265">
        <f>IF(ResultsTeams[[#This Row],[Type]]="G",SUM(R164:R167),IF(LEFT(ResultsTeams[[#This Row],[Type]],1)="P",VALUE(ResultsTeams[[#This Row],[Score-B]]),""))</f>
        <v>0</v>
      </c>
      <c r="S163" s="265" t="str">
        <f ca="1">IF(AND(ResultsTeams[[#This Row],[Category]]&lt;&gt;"",ResultsTeams[[#This Row],[Team A]]&lt;&gt;""),COUNTIF(INDIRECT("TeamsList[Club Name]"),ResultsTeams[[#This Row],[Team A]]),"")</f>
        <v/>
      </c>
      <c r="T163" s="265" t="str">
        <f ca="1">IF(AND(ResultsTeams[[#This Row],[Category]]&lt;&gt;"",ResultsTeams[[#This Row],[Team B]]&lt;&gt;""),COUNTIF(INDIRECT("TeamsList[Club Name]"),ResultsTeams[[#This Row],[Team B]]),"")</f>
        <v/>
      </c>
      <c r="U1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Van Den Houte</v>
      </c>
      <c r="V163" s="265" t="str">
        <f>IF(ResultsTeams[[#This Row],[Score_OK]],IF(ResultsTeams[[#This Row],[StageCpy]]="Groups",ResultsTeams[[#This Row],[Category]]&amp;"-"&amp;IF(ResultsTeams[[#This Row],[Team B]]="","",IF(ResultsTeams[[#This Row],[Match-A]]=ResultsTeams[[#This Row],[Match-B]],ResultsTeams[[#This Row],[Team A]],"")),""),"")</f>
        <v>-</v>
      </c>
      <c r="W163" s="265" t="str">
        <f>IF(ResultsTeams[[#This Row],[Score_OK]],IF(ResultsTeams[[#This Row],[StageCpy]]="Groups",ResultsTeams[[#This Row],[Category]]&amp;"-"&amp;IF(ResultsTeams[[#This Row],[Team B]]="","",IF(ResultsTeams[[#This Row],[Match-A]]=ResultsTeams[[#This Row],[Match-B]],ResultsTeams[[#This Row],[Team B]],"")),""),"")</f>
        <v>-</v>
      </c>
      <c r="X1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-Nico Marks</v>
      </c>
      <c r="Y1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3" s="264" t="str">
        <f>IF(ResultsTeams[[#This Row],[Category]]="","",VLOOKUP(ResultsTeams[[#This Row],[Stage]],$R$1:$T$8,MATCH(ResultsTeams[[#This Row],[Category]],$S$1:$T$1,0)+1,FALSE))</f>
        <v/>
      </c>
      <c r="AC1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3" s="264" t="str">
        <f>IF(ResultsTeams[[#This Row],[Type]]="G",ResultsTeams[[#This Row],[Stage]],AD162)</f>
        <v>Groups</v>
      </c>
      <c r="AE163" s="395" t="str">
        <f>IF(ResultsTeams[[#This Row],[Type]]="G",INDEX(TeamsList[Club Name],MATCH(ResultsTeams[[#This Row],[Team A]],TeamsList[Team Name],0)),AE162)</f>
        <v>SC Temploux</v>
      </c>
      <c r="AF163" s="395" t="str">
        <f>IF(ResultsTeams[[#This Row],[Type]]="G",INDEX(TeamsList[Club Name],MATCH(ResultsTeams[[#This Row],[Team B]],TeamsList[Team Name],0)),AF162)</f>
        <v>Dutch Legends</v>
      </c>
      <c r="AG163" s="265"/>
      <c r="AI163" s="12">
        <f>AI162</f>
        <v>0</v>
      </c>
      <c r="AJ163" s="309"/>
      <c r="AK163" s="320"/>
      <c r="AL163" s="311"/>
      <c r="AM163" s="292" t="str">
        <f>IF(AV163="","",SMALL(AN162:AN168,ROWS(AM162:AM163)))</f>
        <v/>
      </c>
      <c r="AN163" s="293" t="str">
        <f>IF(AV163="","",RANK(AR163,AR162:AR168)*1000+ROWS(AN162:AN163))</f>
        <v/>
      </c>
      <c r="AO163" s="316" t="str">
        <f t="shared" si="130"/>
        <v/>
      </c>
      <c r="AP163" s="415" t="b">
        <f>AND(AU163&lt;&gt;"",AU163&gt;0,COUNTIF(AO162:AO168,AO163)&gt;1)</f>
        <v>0</v>
      </c>
      <c r="AQ163" s="316" t="str">
        <f t="shared" si="131"/>
        <v/>
      </c>
      <c r="AR163" s="317" t="str">
        <f t="shared" si="132"/>
        <v/>
      </c>
      <c r="AS163" s="415" t="b">
        <f>AND(AU163&lt;&gt;"",AU163&gt;0,COUNTIF(AR162:AR168,AR163)&gt;1)</f>
        <v>0</v>
      </c>
      <c r="AT163" s="355" t="str">
        <f t="shared" si="133"/>
        <v/>
      </c>
      <c r="AU163" s="356" t="str">
        <f t="shared" si="134"/>
        <v/>
      </c>
      <c r="AV163" s="356" t="str">
        <f>IF(OR(AI161="",AJ163=""),"",COUNTIF(ResultsTeams[Win],AI161&amp;"-"&amp;AJ163))</f>
        <v/>
      </c>
      <c r="AW163" s="356" t="str">
        <f>IF(OR(AI161="",AJ163=""),"",COUNTIF(ResultsTeams[[Draw1]:[Draw2]],AI161&amp;"-"&amp;AJ163))</f>
        <v/>
      </c>
      <c r="AX163" s="356" t="str">
        <f>IF(OR(AI161="",AJ163=""),"",COUNTIF(ResultsTeams[Lose],AI161&amp;"-"&amp;AJ163))</f>
        <v/>
      </c>
      <c r="AY163" s="356" t="str">
        <f>IF(OR(AI161="",AJ163=""),"",AV163-AX163)</f>
        <v/>
      </c>
      <c r="AZ163" s="356" t="str">
        <f>IF(OR(AI162="",AJ163=""),"",SUMIFS(ResultsTeams[Match-A],ResultsTeams[Stage],"Groups",ResultsTeams[Team A],AJ163)+SUMIFS(ResultsTeams[Match-B],ResultsTeams[Stage],"Groups",ResultsTeams[Team B],AJ163))</f>
        <v/>
      </c>
      <c r="BA163" s="356" t="str">
        <f>IF(OR(AI162="",AJ163=""),"",SUMIFS(ResultsTeams[Match-B],ResultsTeams[Stage],"Groups",ResultsTeams[Team A],AJ163)+SUMIFS(ResultsTeams[Match-A],ResultsTeams[Stage],"Groups",ResultsTeams[Team B],AJ163))</f>
        <v/>
      </c>
      <c r="BB163" s="356" t="str">
        <f t="shared" ref="BB163:BB168" si="136">IF(OR(AI162="",AJ163=""),"",AZ163-BA163)</f>
        <v/>
      </c>
      <c r="BC163" s="356" t="str">
        <f>IF(OR(AI162="",AJ163=""),"",SUMIFS(ResultsTeams[Goal-A],ResultsTeams[Stage],"Groups",ResultsTeams[Team A],AJ163)+SUMIFS(ResultsTeams[Goal-B],ResultsTeams[Stage],"Groups",ResultsTeams[Team B],AJ163))</f>
        <v/>
      </c>
      <c r="BD163" s="356" t="str">
        <f>IF(OR(AI162="",AJ163=""),"",SUMIFS(ResultsTeams[Goal-B],ResultsTeams[Stage],"Groups",ResultsTeams[Team A],AJ163)+SUMIFS(ResultsTeams[Goal-A],ResultsTeams[Stage],"Groups",ResultsTeams[Team B],AJ163))</f>
        <v/>
      </c>
      <c r="BE163" s="357" t="str">
        <f>IF(OR(AI161="",AJ163=""),"",BC163-BD163)</f>
        <v/>
      </c>
      <c r="BF163" s="470" t="str">
        <f>IF(AM163="","",OR(VLOOKUP(AM163,AN162:BE168,3,FALSE),VLOOKUP(AM163,AN162:BE168,6,FALSE)))</f>
        <v/>
      </c>
      <c r="BG163" s="298" t="str">
        <f t="shared" si="135"/>
        <v/>
      </c>
      <c r="BH163" s="285" t="str">
        <f>IF(AM163="","",INDEX(AJ162:AJ168,MATCH(AM163,AN162:AN168,0)))</f>
        <v/>
      </c>
      <c r="BI163" s="286" t="str">
        <f>IF(AM163="","",VLOOKUP(AM163,AN162:BE168,COLUMN()-COLUMN(BB161),FALSE))</f>
        <v/>
      </c>
      <c r="BJ163" s="286" t="str">
        <f>IF(AM163="","",VLOOKUP(AM163,AN162:BE168,COLUMN()-COLUMN(BB161),FALSE))</f>
        <v/>
      </c>
      <c r="BK163" s="286" t="str">
        <f>IF(AM163="","",VLOOKUP(AM163,AN162:BE168,COLUMN()-COLUMN(BB161),FALSE))</f>
        <v/>
      </c>
      <c r="BL163" s="286" t="str">
        <f>IF(AM163="","",VLOOKUP(AM163,AN162:BE168,COLUMN()-COLUMN(BB161),FALSE))</f>
        <v/>
      </c>
      <c r="BM163" s="286" t="str">
        <f>IF(AM163="","",VLOOKUP(AM163,AN162:BE168,COLUMN()-COLUMN(BB161),FALSE))</f>
        <v/>
      </c>
      <c r="BN163" s="349" t="str">
        <f>IF(AM163="","",VLOOKUP(AM163,AN162:BE168,COLUMN()-COLUMN(BB161),FALSE))</f>
        <v/>
      </c>
      <c r="BO163" s="298" t="str">
        <f>IF(AM163="","",VLOOKUP(AM163,AN162:BE168,COLUMN()-COLUMN(BB161),FALSE))</f>
        <v/>
      </c>
      <c r="BP163" s="286" t="str">
        <f>IF(AM163="","",VLOOKUP(AM163,AN162:BE168,COLUMN()-COLUMN(BB161),FALSE))</f>
        <v/>
      </c>
      <c r="BQ163" s="301" t="str">
        <f>IF(AM163="","",VLOOKUP(AM163,AN162:BE168,COLUMN()-COLUMN(BB161),FALSE))</f>
        <v/>
      </c>
      <c r="BR163" s="352" t="str">
        <f>IF(AM163="","",VLOOKUP(AM163,AN162:BE168,COLUMN()-COLUMN(BB161),FALSE))</f>
        <v/>
      </c>
      <c r="BS163" s="286" t="str">
        <f>IF(AM163="","",VLOOKUP(AM163,AN162:BE168,COLUMN()-COLUMN(BB161),FALSE))</f>
        <v/>
      </c>
      <c r="BT163" s="301" t="str">
        <f>IF(AM163="","",VLOOKUP(AM163,AN162:BE168,COLUMN()-COLUMN(BB161),FALSE))</f>
        <v/>
      </c>
    </row>
    <row r="164" spans="1:72" x14ac:dyDescent="0.2">
      <c r="A164" s="62"/>
      <c r="B164" s="62"/>
      <c r="C164" s="62"/>
      <c r="D164" s="62"/>
      <c r="E164" s="241" t="s">
        <v>12243</v>
      </c>
      <c r="F164" s="247" t="s">
        <v>8178</v>
      </c>
      <c r="G164" s="247" t="s">
        <v>11473</v>
      </c>
      <c r="H164" s="254" t="s">
        <v>12244</v>
      </c>
      <c r="I164" s="254" t="s">
        <v>12243</v>
      </c>
      <c r="J164" s="260"/>
      <c r="K164" s="364"/>
      <c r="L164" s="364"/>
      <c r="M164" s="63"/>
      <c r="N164" s="265" t="b">
        <f>NOT(ISERROR(ResultsTeams[[#This Row],[Goal-A]]+ResultsTeams[[#This Row],[Goal-B]]))</f>
        <v>0</v>
      </c>
      <c r="O164" s="265" t="str">
        <f>IF(ResultsTeams[[#This Row],[Type]]="G",SUM(O165:O168),IF(LEFT(ResultsTeams[[#This Row],[Type]],1)="P",IF(ResultsTeams[[#This Row],[Goal-A]]&gt;ResultsTeams[[#This Row],[Goal-B]],1,0),""))</f>
        <v/>
      </c>
      <c r="P164" s="265" t="str">
        <f>IF(ResultsTeams[[#This Row],[Type]]="G",SUM(P165:P168),IF(LEFT(ResultsTeams[[#This Row],[Type]],1)="P",IF(ResultsTeams[[#This Row],[Goal-A]]&lt;ResultsTeams[[#This Row],[Goal-B]],1,0),""))</f>
        <v/>
      </c>
      <c r="Q164" s="265" t="str">
        <f>IF(ResultsTeams[[#This Row],[Type]]="G",SUM(Q165:Q168),IF(LEFT(ResultsTeams[[#This Row],[Type]],1)="P",VALUE(ResultsTeams[[#This Row],[Score-A]]),""))</f>
        <v/>
      </c>
      <c r="R164" s="265" t="str">
        <f>IF(ResultsTeams[[#This Row],[Type]]="G",SUM(R165:R168),IF(LEFT(ResultsTeams[[#This Row],[Type]],1)="P",VALUE(ResultsTeams[[#This Row],[Score-B]]),""))</f>
        <v/>
      </c>
      <c r="S164" s="265" t="str">
        <f ca="1">IF(AND(ResultsTeams[[#This Row],[Category]]&lt;&gt;"",ResultsTeams[[#This Row],[Team A]]&lt;&gt;""),COUNTIF(INDIRECT("TeamsList[Club Name]"),ResultsTeams[[#This Row],[Team A]]),"")</f>
        <v/>
      </c>
      <c r="T164" s="265" t="str">
        <f ca="1">IF(AND(ResultsTeams[[#This Row],[Category]]&lt;&gt;"",ResultsTeams[[#This Row],[Team B]]&lt;&gt;""),COUNTIF(INDIRECT("TeamsList[Club Name]"),ResultsTeams[[#This Row],[Team B]]),"")</f>
        <v/>
      </c>
      <c r="U1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4" s="265" t="str">
        <f>IF(ResultsTeams[[#This Row],[Score_OK]],IF(ResultsTeams[[#This Row],[StageCpy]]="Groups",ResultsTeams[[#This Row],[Category]]&amp;"-"&amp;IF(ResultsTeams[[#This Row],[Team B]]="","",IF(ResultsTeams[[#This Row],[Match-A]]=ResultsTeams[[#This Row],[Match-B]],ResultsTeams[[#This Row],[Team A]],"")),""),"")</f>
        <v/>
      </c>
      <c r="W164" s="265" t="str">
        <f>IF(ResultsTeams[[#This Row],[Score_OK]],IF(ResultsTeams[[#This Row],[StageCpy]]="Groups",ResultsTeams[[#This Row],[Category]]&amp;"-"&amp;IF(ResultsTeams[[#This Row],[Team B]]="","",IF(ResultsTeams[[#This Row],[Match-A]]=ResultsTeams[[#This Row],[Match-B]],ResultsTeams[[#This Row],[Team B]],"")),""),"")</f>
        <v/>
      </c>
      <c r="X1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4" s="264" t="str">
        <f>IF(ResultsTeams[[#This Row],[Category]]="","",VLOOKUP(ResultsTeams[[#This Row],[Stage]],$R$1:$T$8,MATCH(ResultsTeams[[#This Row],[Category]],$S$1:$T$1,0)+1,FALSE))</f>
        <v/>
      </c>
      <c r="AC1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4" s="264" t="str">
        <f>IF(ResultsTeams[[#This Row],[Type]]="G",ResultsTeams[[#This Row],[Stage]],AD163)</f>
        <v>Groups</v>
      </c>
      <c r="AE164" s="395" t="str">
        <f>IF(ResultsTeams[[#This Row],[Type]]="G",INDEX(TeamsList[Club Name],MATCH(ResultsTeams[[#This Row],[Team A]],TeamsList[Team Name],0)),AE163)</f>
        <v>SC Temploux</v>
      </c>
      <c r="AF164" s="395" t="str">
        <f>IF(ResultsTeams[[#This Row],[Type]]="G",INDEX(TeamsList[Club Name],MATCH(ResultsTeams[[#This Row],[Team B]],TeamsList[Team Name],0)),AF163)</f>
        <v>Dutch Legends</v>
      </c>
      <c r="AG164" s="265"/>
      <c r="AI164" s="12">
        <f t="shared" ref="AI164:AI168" si="137">AI163</f>
        <v>0</v>
      </c>
      <c r="AJ164" s="309"/>
      <c r="AK164" s="320"/>
      <c r="AL164" s="311"/>
      <c r="AM164" s="292" t="str">
        <f>IF(AV164="","",SMALL(AN162:AN168,ROWS(AM162:AM164)))</f>
        <v/>
      </c>
      <c r="AN164" s="293" t="str">
        <f>IF(AV164="","",RANK(AR164,AR162:AR168)*1000+ROWS(AN162:AN164))</f>
        <v/>
      </c>
      <c r="AO164" s="316" t="str">
        <f t="shared" si="130"/>
        <v/>
      </c>
      <c r="AP164" s="415" t="b">
        <f>AND(AU164&lt;&gt;"",AU164&gt;0,COUNTIF(AO162:AO168,AO164)&gt;1)</f>
        <v>0</v>
      </c>
      <c r="AQ164" s="316" t="str">
        <f t="shared" si="131"/>
        <v/>
      </c>
      <c r="AR164" s="317" t="str">
        <f t="shared" si="132"/>
        <v/>
      </c>
      <c r="AS164" s="415" t="b">
        <f>AND(AU164&lt;&gt;"",AU164&gt;0,COUNTIF(AR162:AR168,AR164)&gt;1)</f>
        <v>0</v>
      </c>
      <c r="AT164" s="355" t="str">
        <f t="shared" si="133"/>
        <v/>
      </c>
      <c r="AU164" s="356" t="str">
        <f t="shared" si="134"/>
        <v/>
      </c>
      <c r="AV164" s="356" t="str">
        <f>IF(OR(AI161="",AJ164=""),"",COUNTIF(ResultsTeams[Win],AI161&amp;"-"&amp;AJ164))</f>
        <v/>
      </c>
      <c r="AW164" s="356" t="str">
        <f>IF(OR(AI161="",AJ164=""),"",COUNTIF(ResultsTeams[[Draw1]:[Draw2]],AI161&amp;"-"&amp;AJ164))</f>
        <v/>
      </c>
      <c r="AX164" s="356" t="str">
        <f>IF(OR(AI161="",AJ164=""),"",COUNTIF(ResultsTeams[Lose],AI161&amp;"-"&amp;AJ164))</f>
        <v/>
      </c>
      <c r="AY164" s="356" t="str">
        <f>IF(OR(AI161="",AJ164=""),"",AV164-AX164)</f>
        <v/>
      </c>
      <c r="AZ164" s="356" t="str">
        <f>IF(OR(AI163="",AJ164=""),"",SUMIFS(ResultsTeams[Match-A],ResultsTeams[Stage],"Groups",ResultsTeams[Team A],AJ164)+SUMIFS(ResultsTeams[Match-B],ResultsTeams[Stage],"Groups",ResultsTeams[Team B],AJ164))</f>
        <v/>
      </c>
      <c r="BA164" s="356" t="str">
        <f>IF(OR(AI163="",AJ164=""),"",SUMIFS(ResultsTeams[Match-B],ResultsTeams[Stage],"Groups",ResultsTeams[Team A],AJ164)+SUMIFS(ResultsTeams[Match-A],ResultsTeams[Stage],"Groups",ResultsTeams[Team B],AJ164))</f>
        <v/>
      </c>
      <c r="BB164" s="356" t="str">
        <f t="shared" si="136"/>
        <v/>
      </c>
      <c r="BC164" s="356" t="str">
        <f>IF(OR(AI163="",AJ164=""),"",SUMIFS(ResultsTeams[Goal-A],ResultsTeams[Stage],"Groups",ResultsTeams[Team A],AJ164)+SUMIFS(ResultsTeams[Goal-B],ResultsTeams[Stage],"Groups",ResultsTeams[Team B],AJ164))</f>
        <v/>
      </c>
      <c r="BD164" s="356" t="str">
        <f>IF(OR(AI163="",AJ164=""),"",SUMIFS(ResultsTeams[Goal-B],ResultsTeams[Stage],"Groups",ResultsTeams[Team A],AJ164)+SUMIFS(ResultsTeams[Goal-A],ResultsTeams[Stage],"Groups",ResultsTeams[Team B],AJ164))</f>
        <v/>
      </c>
      <c r="BE164" s="357" t="str">
        <f>IF(OR(AI161="",AJ164=""),"",BC164-BD164)</f>
        <v/>
      </c>
      <c r="BF164" s="470" t="str">
        <f>IF(AM164="","",OR(VLOOKUP(AM164,AN162:BE168,3,FALSE),VLOOKUP(AM164,AN162:BE168,6,FALSE)))</f>
        <v/>
      </c>
      <c r="BG164" s="298" t="str">
        <f t="shared" si="135"/>
        <v/>
      </c>
      <c r="BH164" s="285" t="str">
        <f>IF(AM164="","",INDEX(AJ162:AJ168,MATCH(AM164,AN162:AN168,0)))</f>
        <v/>
      </c>
      <c r="BI164" s="286" t="str">
        <f>IF(AM164="","",VLOOKUP(AM164,AN162:BE168,COLUMN()-COLUMN(BB161),FALSE))</f>
        <v/>
      </c>
      <c r="BJ164" s="286" t="str">
        <f>IF(AM164="","",VLOOKUP(AM164,AN162:BE168,COLUMN()-COLUMN(BB161),FALSE))</f>
        <v/>
      </c>
      <c r="BK164" s="286" t="str">
        <f>IF(AM164="","",VLOOKUP(AM164,AN162:BE168,COLUMN()-COLUMN(BB161),FALSE))</f>
        <v/>
      </c>
      <c r="BL164" s="286" t="str">
        <f>IF(AM164="","",VLOOKUP(AM164,AN162:BE168,COLUMN()-COLUMN(BB161),FALSE))</f>
        <v/>
      </c>
      <c r="BM164" s="286" t="str">
        <f>IF(AM164="","",VLOOKUP(AM164,AN162:BE168,COLUMN()-COLUMN(BB161),FALSE))</f>
        <v/>
      </c>
      <c r="BN164" s="349" t="str">
        <f>IF(AM164="","",VLOOKUP(AM164,AN162:BE168,COLUMN()-COLUMN(BB161),FALSE))</f>
        <v/>
      </c>
      <c r="BO164" s="298" t="str">
        <f>IF(AM164="","",VLOOKUP(AM164,AN162:BE168,COLUMN()-COLUMN(BB161),FALSE))</f>
        <v/>
      </c>
      <c r="BP164" s="286" t="str">
        <f>IF(AM164="","",VLOOKUP(AM164,AN162:BE168,COLUMN()-COLUMN(BB161),FALSE))</f>
        <v/>
      </c>
      <c r="BQ164" s="301" t="str">
        <f>IF(AM164="","",VLOOKUP(AM164,AN162:BE168,COLUMN()-COLUMN(BB161),FALSE))</f>
        <v/>
      </c>
      <c r="BR164" s="352" t="str">
        <f>IF(AM164="","",VLOOKUP(AM164,AN162:BE168,COLUMN()-COLUMN(BB161),FALSE))</f>
        <v/>
      </c>
      <c r="BS164" s="286" t="str">
        <f>IF(AM164="","",VLOOKUP(AM164,AN162:BE168,COLUMN()-COLUMN(BB161),FALSE))</f>
        <v/>
      </c>
      <c r="BT164" s="301" t="str">
        <f>IF(AM164="","",VLOOKUP(AM164,AN162:BE168,COLUMN()-COLUMN(BB161),FALSE))</f>
        <v/>
      </c>
    </row>
    <row r="165" spans="1:72" ht="12" thickBot="1" x14ac:dyDescent="0.25">
      <c r="A165" s="83"/>
      <c r="B165" s="83"/>
      <c r="C165" s="83"/>
      <c r="D165" s="83"/>
      <c r="E165" s="268" t="s">
        <v>12244</v>
      </c>
      <c r="F165" s="262"/>
      <c r="G165" s="262"/>
      <c r="H165" s="324"/>
      <c r="I165" s="324"/>
      <c r="J165" s="263"/>
      <c r="K165" s="365"/>
      <c r="L165" s="365"/>
      <c r="M165" s="84"/>
      <c r="N165" s="265" t="b">
        <f>NOT(ISERROR(ResultsTeams[[#This Row],[Goal-A]]+ResultsTeams[[#This Row],[Goal-B]]))</f>
        <v>0</v>
      </c>
      <c r="O165" s="265" t="str">
        <f>IF(ResultsTeams[[#This Row],[Type]]="G",SUM(O166:O169),IF(LEFT(ResultsTeams[[#This Row],[Type]],1)="P",IF(ResultsTeams[[#This Row],[Goal-A]]&gt;ResultsTeams[[#This Row],[Goal-B]],1,0),""))</f>
        <v/>
      </c>
      <c r="P165" s="265" t="str">
        <f>IF(ResultsTeams[[#This Row],[Type]]="G",SUM(P166:P169),IF(LEFT(ResultsTeams[[#This Row],[Type]],1)="P",IF(ResultsTeams[[#This Row],[Goal-A]]&lt;ResultsTeams[[#This Row],[Goal-B]],1,0),""))</f>
        <v/>
      </c>
      <c r="Q165" s="265" t="str">
        <f>IF(ResultsTeams[[#This Row],[Type]]="G",SUM(Q166:Q169),IF(LEFT(ResultsTeams[[#This Row],[Type]],1)="P",VALUE(ResultsTeams[[#This Row],[Score-A]]),""))</f>
        <v/>
      </c>
      <c r="R165" s="265" t="str">
        <f>IF(ResultsTeams[[#This Row],[Type]]="G",SUM(R166:R169),IF(LEFT(ResultsTeams[[#This Row],[Type]],1)="P",VALUE(ResultsTeams[[#This Row],[Score-B]]),""))</f>
        <v/>
      </c>
      <c r="S165" s="265" t="str">
        <f ca="1">IF(AND(ResultsTeams[[#This Row],[Category]]&lt;&gt;"",ResultsTeams[[#This Row],[Team A]]&lt;&gt;""),COUNTIF(INDIRECT("TeamsList[Club Name]"),ResultsTeams[[#This Row],[Team A]]),"")</f>
        <v/>
      </c>
      <c r="T165" s="265" t="str">
        <f ca="1">IF(AND(ResultsTeams[[#This Row],[Category]]&lt;&gt;"",ResultsTeams[[#This Row],[Team B]]&lt;&gt;""),COUNTIF(INDIRECT("TeamsList[Club Name]"),ResultsTeams[[#This Row],[Team B]]),"")</f>
        <v/>
      </c>
      <c r="U1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5" s="265" t="str">
        <f>IF(ResultsTeams[[#This Row],[Score_OK]],IF(ResultsTeams[[#This Row],[StageCpy]]="Groups",ResultsTeams[[#This Row],[Category]]&amp;"-"&amp;IF(ResultsTeams[[#This Row],[Team B]]="","",IF(ResultsTeams[[#This Row],[Match-A]]=ResultsTeams[[#This Row],[Match-B]],ResultsTeams[[#This Row],[Team A]],"")),""),"")</f>
        <v/>
      </c>
      <c r="W165" s="265" t="str">
        <f>IF(ResultsTeams[[#This Row],[Score_OK]],IF(ResultsTeams[[#This Row],[StageCpy]]="Groups",ResultsTeams[[#This Row],[Category]]&amp;"-"&amp;IF(ResultsTeams[[#This Row],[Team B]]="","",IF(ResultsTeams[[#This Row],[Match-A]]=ResultsTeams[[#This Row],[Match-B]],ResultsTeams[[#This Row],[Team B]],"")),""),"")</f>
        <v/>
      </c>
      <c r="X1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5" s="264" t="str">
        <f>IF(ResultsTeams[[#This Row],[Category]]="","",VLOOKUP(ResultsTeams[[#This Row],[Stage]],$R$1:$T$8,MATCH(ResultsTeams[[#This Row],[Category]],$S$1:$T$1,0)+1,FALSE))</f>
        <v/>
      </c>
      <c r="AC1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5" s="264" t="str">
        <f>IF(ResultsTeams[[#This Row],[Type]]="G",ResultsTeams[[#This Row],[Stage]],AD164)</f>
        <v>Groups</v>
      </c>
      <c r="AE165" s="395" t="str">
        <f>IF(ResultsTeams[[#This Row],[Type]]="G",INDEX(TeamsList[Club Name],MATCH(ResultsTeams[[#This Row],[Team A]],TeamsList[Team Name],0)),AE164)</f>
        <v>SC Temploux</v>
      </c>
      <c r="AF165" s="395" t="str">
        <f>IF(ResultsTeams[[#This Row],[Type]]="G",INDEX(TeamsList[Club Name],MATCH(ResultsTeams[[#This Row],[Team B]],TeamsList[Team Name],0)),AF164)</f>
        <v>Dutch Legends</v>
      </c>
      <c r="AG165" s="265"/>
      <c r="AH165" s="91"/>
      <c r="AI165" s="12">
        <f t="shared" si="137"/>
        <v>0</v>
      </c>
      <c r="AJ165" s="309"/>
      <c r="AK165" s="310"/>
      <c r="AL165" s="311"/>
      <c r="AM165" s="292" t="str">
        <f>IF(AV165="","",SMALL(AN162:AN168,ROWS(AM162:AM165)))</f>
        <v/>
      </c>
      <c r="AN165" s="293" t="str">
        <f>IF(AV165="","",RANK(AR165,AR162:AR168)*1000+ROWS(AN162:AN165))</f>
        <v/>
      </c>
      <c r="AO165" s="316" t="str">
        <f t="shared" si="130"/>
        <v/>
      </c>
      <c r="AP165" s="415" t="b">
        <f>AND(AU165&lt;&gt;"",AU165&gt;0,COUNTIF(AO162:AO168,AO165)&gt;1)</f>
        <v>0</v>
      </c>
      <c r="AQ165" s="316" t="str">
        <f t="shared" si="131"/>
        <v/>
      </c>
      <c r="AR165" s="317" t="str">
        <f t="shared" si="132"/>
        <v/>
      </c>
      <c r="AS165" s="415" t="b">
        <f>AND(AU165&lt;&gt;"",AU165&gt;0,COUNTIF(AR162:AR168,AR165)&gt;1)</f>
        <v>0</v>
      </c>
      <c r="AT165" s="355" t="str">
        <f t="shared" si="133"/>
        <v/>
      </c>
      <c r="AU165" s="356" t="str">
        <f t="shared" si="134"/>
        <v/>
      </c>
      <c r="AV165" s="356" t="str">
        <f>IF(OR(AI161="",AJ165=""),"",COUNTIF(ResultsTeams[Win],AI161&amp;"-"&amp;AJ165))</f>
        <v/>
      </c>
      <c r="AW165" s="356" t="str">
        <f>IF(OR(AI161="",AJ165=""),"",COUNTIF(ResultsTeams[[Draw1]:[Draw2]],AI161&amp;"-"&amp;AJ165))</f>
        <v/>
      </c>
      <c r="AX165" s="356" t="str">
        <f>IF(OR(AI161="",AJ165=""),"",COUNTIF(ResultsTeams[Lose],AI161&amp;"-"&amp;AJ165))</f>
        <v/>
      </c>
      <c r="AY165" s="356" t="str">
        <f>IF(OR(AI161="",AJ165=""),"",AV165-AX165)</f>
        <v/>
      </c>
      <c r="AZ165" s="356" t="str">
        <f>IF(OR(AI164="",AJ165=""),"",SUMIFS(ResultsTeams[Match-A],ResultsTeams[Stage],"Groups",ResultsTeams[Team A],AJ165)+SUMIFS(ResultsTeams[Match-B],ResultsTeams[Stage],"Groups",ResultsTeams[Team B],AJ165))</f>
        <v/>
      </c>
      <c r="BA165" s="356" t="str">
        <f>IF(OR(AI164="",AJ165=""),"",SUMIFS(ResultsTeams[Match-B],ResultsTeams[Stage],"Groups",ResultsTeams[Team A],AJ165)+SUMIFS(ResultsTeams[Match-A],ResultsTeams[Stage],"Groups",ResultsTeams[Team B],AJ165))</f>
        <v/>
      </c>
      <c r="BB165" s="356" t="str">
        <f t="shared" si="136"/>
        <v/>
      </c>
      <c r="BC165" s="356" t="str">
        <f>IF(OR(AI164="",AJ165=""),"",SUMIFS(ResultsTeams[Goal-A],ResultsTeams[Stage],"Groups",ResultsTeams[Team A],AJ165)+SUMIFS(ResultsTeams[Goal-B],ResultsTeams[Stage],"Groups",ResultsTeams[Team B],AJ165))</f>
        <v/>
      </c>
      <c r="BD165" s="356" t="str">
        <f>IF(OR(AI164="",AJ165=""),"",SUMIFS(ResultsTeams[Goal-B],ResultsTeams[Stage],"Groups",ResultsTeams[Team A],AJ165)+SUMIFS(ResultsTeams[Goal-A],ResultsTeams[Stage],"Groups",ResultsTeams[Team B],AJ165))</f>
        <v/>
      </c>
      <c r="BE165" s="357" t="str">
        <f>IF(OR(AI161="",AJ165=""),"",BC165-BD165)</f>
        <v/>
      </c>
      <c r="BF165" s="470" t="str">
        <f>IF(AM165="","",OR(VLOOKUP(AM165,AN162:BE168,3,FALSE),VLOOKUP(AM165,AN162:BE168,6,FALSE)))</f>
        <v/>
      </c>
      <c r="BG165" s="298" t="str">
        <f t="shared" si="135"/>
        <v/>
      </c>
      <c r="BH165" s="285" t="str">
        <f>IF(AM165="","",INDEX(AJ162:AJ168,MATCH(AM165,AN162:AN168,0)))</f>
        <v/>
      </c>
      <c r="BI165" s="286" t="str">
        <f>IF(AM165="","",VLOOKUP(AM165,AN162:BE168,COLUMN()-COLUMN(BB161),FALSE))</f>
        <v/>
      </c>
      <c r="BJ165" s="286" t="str">
        <f>IF(AM165="","",VLOOKUP(AM165,AN162:BE168,COLUMN()-COLUMN(BB161),FALSE))</f>
        <v/>
      </c>
      <c r="BK165" s="286" t="str">
        <f>IF(AM165="","",VLOOKUP(AM165,AN162:BE168,COLUMN()-COLUMN(BB161),FALSE))</f>
        <v/>
      </c>
      <c r="BL165" s="286" t="str">
        <f>IF(AM165="","",VLOOKUP(AM165,AN162:BE168,COLUMN()-COLUMN(BB161),FALSE))</f>
        <v/>
      </c>
      <c r="BM165" s="286" t="str">
        <f>IF(AM165="","",VLOOKUP(AM165,AN162:BE168,COLUMN()-COLUMN(BB161),FALSE))</f>
        <v/>
      </c>
      <c r="BN165" s="349" t="str">
        <f>IF(AM165="","",VLOOKUP(AM165,AN162:BE168,COLUMN()-COLUMN(BB161),FALSE))</f>
        <v/>
      </c>
      <c r="BO165" s="298" t="str">
        <f>IF(AM165="","",VLOOKUP(AM165,AN162:BE168,COLUMN()-COLUMN(BB161),FALSE))</f>
        <v/>
      </c>
      <c r="BP165" s="286" t="str">
        <f>IF(AM165="","",VLOOKUP(AM165,AN162:BE168,COLUMN()-COLUMN(BB161),FALSE))</f>
        <v/>
      </c>
      <c r="BQ165" s="301" t="str">
        <f>IF(AM165="","",VLOOKUP(AM165,AN162:BE168,COLUMN()-COLUMN(BB161),FALSE))</f>
        <v/>
      </c>
      <c r="BR165" s="352" t="str">
        <f>IF(AM165="","",VLOOKUP(AM165,AN162:BE168,COLUMN()-COLUMN(BB161),FALSE))</f>
        <v/>
      </c>
      <c r="BS165" s="286" t="str">
        <f>IF(AM165="","",VLOOKUP(AM165,AN162:BE168,COLUMN()-COLUMN(BB161),FALSE))</f>
        <v/>
      </c>
      <c r="BT165" s="301" t="str">
        <f>IF(AM165="","",VLOOKUP(AM165,AN162:BE168,COLUMN()-COLUMN(BB161),FALSE))</f>
        <v/>
      </c>
    </row>
    <row r="166" spans="1:72" ht="12" thickBot="1" x14ac:dyDescent="0.25">
      <c r="A166" s="261" t="s">
        <v>12693</v>
      </c>
      <c r="B166" s="270" t="s">
        <v>12207</v>
      </c>
      <c r="C166" s="270">
        <v>4</v>
      </c>
      <c r="D166" s="270"/>
      <c r="E166" s="272" t="s">
        <v>12228</v>
      </c>
      <c r="F166" s="273" t="s">
        <v>654</v>
      </c>
      <c r="G166" s="273" t="s">
        <v>78</v>
      </c>
      <c r="H166" s="275">
        <v>3</v>
      </c>
      <c r="I166" s="275">
        <v>1</v>
      </c>
      <c r="J166" s="275"/>
      <c r="K166" s="366"/>
      <c r="L166" s="366"/>
      <c r="M166" s="274"/>
      <c r="N166" s="265" t="b">
        <f>NOT(ISERROR(ResultsTeams[[#This Row],[Goal-A]]+ResultsTeams[[#This Row],[Goal-B]]))</f>
        <v>1</v>
      </c>
      <c r="O166" s="265">
        <f>IF(ResultsTeams[[#This Row],[Type]]="G",SUM(O167:O170),IF(LEFT(ResultsTeams[[#This Row],[Type]],1)="P",IF(ResultsTeams[[#This Row],[Goal-A]]&gt;ResultsTeams[[#This Row],[Goal-B]],1,0),""))</f>
        <v>3</v>
      </c>
      <c r="P166" s="265">
        <f>IF(ResultsTeams[[#This Row],[Type]]="G",SUM(P167:P170),IF(LEFT(ResultsTeams[[#This Row],[Type]],1)="P",IF(ResultsTeams[[#This Row],[Goal-A]]&lt;ResultsTeams[[#This Row],[Goal-B]],1,0),""))</f>
        <v>1</v>
      </c>
      <c r="Q166" s="265">
        <f>IF(ResultsTeams[[#This Row],[Type]]="G",SUM(Q167:Q170),IF(LEFT(ResultsTeams[[#This Row],[Type]],1)="P",VALUE(ResultsTeams[[#This Row],[Score-A]]),""))</f>
        <v>11</v>
      </c>
      <c r="R166" s="265">
        <f>IF(ResultsTeams[[#This Row],[Type]]="G",SUM(R167:R170),IF(LEFT(ResultsTeams[[#This Row],[Type]],1)="P",VALUE(ResultsTeams[[#This Row],[Score-B]]),""))</f>
        <v>5</v>
      </c>
      <c r="S166" s="265">
        <f ca="1">IF(AND(ResultsTeams[[#This Row],[Category]]&lt;&gt;"",ResultsTeams[[#This Row],[Team A]]&lt;&gt;""),COUNTIF(INDIRECT("TeamsList[Club Name]"),ResultsTeams[[#This Row],[Team A]]),"")</f>
        <v>1</v>
      </c>
      <c r="T166" s="265">
        <f ca="1">IF(AND(ResultsTeams[[#This Row],[Category]]&lt;&gt;"",ResultsTeams[[#This Row],[Team B]]&lt;&gt;""),COUNTIF(INDIRECT("TeamsList[Club Name]"),ResultsTeams[[#This Row],[Team B]]),"")</f>
        <v>1</v>
      </c>
      <c r="U1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TEAM-ASD SC Salernitana</v>
      </c>
      <c r="V166" s="265" t="str">
        <f>IF(ResultsTeams[[#This Row],[Score_OK]],IF(ResultsTeams[[#This Row],[StageCpy]]="Groups",ResultsTeams[[#This Row],[Category]]&amp;"-"&amp;IF(ResultsTeams[[#This Row],[Team B]]="","",IF(ResultsTeams[[#This Row],[Match-A]]=ResultsTeams[[#This Row],[Match-B]],ResultsTeams[[#This Row],[Team A]],"")),""),"")</f>
        <v>TEAM-</v>
      </c>
      <c r="W166" s="265" t="str">
        <f>IF(ResultsTeams[[#This Row],[Score_OK]],IF(ResultsTeams[[#This Row],[StageCpy]]="Groups",ResultsTeams[[#This Row],[Category]]&amp;"-"&amp;IF(ResultsTeams[[#This Row],[Team B]]="","",IF(ResultsTeams[[#This Row],[Match-A]]=ResultsTeams[[#This Row],[Match-B]],ResultsTeams[[#This Row],[Team B]],"")),""),"")</f>
        <v>TEAM-</v>
      </c>
      <c r="X1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Temploux</v>
      </c>
      <c r="Y1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Temploux</v>
      </c>
      <c r="AA1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Temploux</v>
      </c>
      <c r="AB166" s="264" t="str">
        <f>IF(ResultsTeams[[#This Row],[Category]]="","",VLOOKUP(ResultsTeams[[#This Row],[Stage]],$R$1:$T$8,MATCH(ResultsTeams[[#This Row],[Category]],$S$1:$T$1,0)+1,FALSE))</f>
        <v>PR1</v>
      </c>
      <c r="AC1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6" s="264" t="str">
        <f>IF(ResultsTeams[[#This Row],[Type]]="G",ResultsTeams[[#This Row],[Stage]],AD165)</f>
        <v>Groups</v>
      </c>
      <c r="AE166" s="395" t="str">
        <f>IF(ResultsTeams[[#This Row],[Type]]="G",INDEX(TeamsList[Club Name],MATCH(ResultsTeams[[#This Row],[Team A]],TeamsList[Team Name],0)),AE165)</f>
        <v>ASD SC Salernitana</v>
      </c>
      <c r="AF166" s="395" t="str">
        <f>IF(ResultsTeams[[#This Row],[Type]]="G",INDEX(TeamsList[Club Name],MATCH(ResultsTeams[[#This Row],[Team B]],TeamsList[Team Name],0)),AF165)</f>
        <v>SC Temploux</v>
      </c>
      <c r="AG166" s="265"/>
      <c r="AH166" s="91"/>
      <c r="AI166" s="12">
        <f t="shared" si="137"/>
        <v>0</v>
      </c>
      <c r="AJ166" s="309"/>
      <c r="AK166" s="310"/>
      <c r="AL166" s="311"/>
      <c r="AM166" s="292" t="str">
        <f>IF(AV166="","",SMALL(AN162:AN168,ROWS(AM162:AM166)))</f>
        <v/>
      </c>
      <c r="AN166" s="293" t="str">
        <f>IF(AV166="","",RANK(AR166,AR162:AR168)*1000+ROWS(AN162:AN166))</f>
        <v/>
      </c>
      <c r="AO166" s="316" t="str">
        <f t="shared" si="130"/>
        <v/>
      </c>
      <c r="AP166" s="415" t="b">
        <f>AND(AU166&lt;&gt;"",AU166&gt;0,COUNTIF(AO162:AO168,AO166)&gt;1)</f>
        <v>0</v>
      </c>
      <c r="AQ166" s="316" t="str">
        <f t="shared" si="131"/>
        <v/>
      </c>
      <c r="AR166" s="317" t="str">
        <f t="shared" si="132"/>
        <v/>
      </c>
      <c r="AS166" s="415" t="b">
        <f>AND(AU166&lt;&gt;"",AU166&gt;0,COUNTIF(AR162:AR168,AR166)&gt;1)</f>
        <v>0</v>
      </c>
      <c r="AT166" s="355" t="str">
        <f t="shared" si="133"/>
        <v/>
      </c>
      <c r="AU166" s="356" t="str">
        <f t="shared" si="134"/>
        <v/>
      </c>
      <c r="AV166" s="356" t="str">
        <f>IF(OR(AI161="",AJ166=""),"",COUNTIF(ResultsTeams[Win],AI161&amp;"-"&amp;AJ166))</f>
        <v/>
      </c>
      <c r="AW166" s="356" t="str">
        <f>IF(OR(AI161="",AJ166=""),"",COUNTIF(ResultsTeams[[Draw1]:[Draw2]],AI161&amp;"-"&amp;AJ166))</f>
        <v/>
      </c>
      <c r="AX166" s="356" t="str">
        <f>IF(OR(AI161="",AJ166=""),"",COUNTIF(ResultsTeams[Lose],AI161&amp;"-"&amp;AJ166))</f>
        <v/>
      </c>
      <c r="AY166" s="356" t="str">
        <f>IF(OR(AI161="",AJ166=""),"",AV166-AX166)</f>
        <v/>
      </c>
      <c r="AZ166" s="356" t="str">
        <f>IF(OR(AI165="",AJ166=""),"",SUMIFS(ResultsTeams[Match-A],ResultsTeams[Stage],"Groups",ResultsTeams[Team A],AJ166)+SUMIFS(ResultsTeams[Match-B],ResultsTeams[Stage],"Groups",ResultsTeams[Team B],AJ166))</f>
        <v/>
      </c>
      <c r="BA166" s="356" t="str">
        <f>IF(OR(AI165="",AJ166=""),"",SUMIFS(ResultsTeams[Match-B],ResultsTeams[Stage],"Groups",ResultsTeams[Team A],AJ166)+SUMIFS(ResultsTeams[Match-A],ResultsTeams[Stage],"Groups",ResultsTeams[Team B],AJ166))</f>
        <v/>
      </c>
      <c r="BB166" s="356" t="str">
        <f t="shared" si="136"/>
        <v/>
      </c>
      <c r="BC166" s="356" t="str">
        <f>IF(OR(AI165="",AJ166=""),"",SUMIFS(ResultsTeams[Goal-A],ResultsTeams[Stage],"Groups",ResultsTeams[Team A],AJ166)+SUMIFS(ResultsTeams[Goal-B],ResultsTeams[Stage],"Groups",ResultsTeams[Team B],AJ166))</f>
        <v/>
      </c>
      <c r="BD166" s="356" t="str">
        <f>IF(OR(AI165="",AJ166=""),"",SUMIFS(ResultsTeams[Goal-B],ResultsTeams[Stage],"Groups",ResultsTeams[Team A],AJ166)+SUMIFS(ResultsTeams[Goal-A],ResultsTeams[Stage],"Groups",ResultsTeams[Team B],AJ166))</f>
        <v/>
      </c>
      <c r="BE166" s="357" t="str">
        <f>IF(OR(AI161="",AJ166=""),"",BC166-BD166)</f>
        <v/>
      </c>
      <c r="BF166" s="470" t="str">
        <f>IF(AM166="","",OR(VLOOKUP(AM166,AN162:BE168,3,FALSE),VLOOKUP(AM166,AN162:BE168,6,FALSE)))</f>
        <v/>
      </c>
      <c r="BG166" s="298" t="str">
        <f t="shared" si="135"/>
        <v/>
      </c>
      <c r="BH166" s="285" t="str">
        <f>IF(AM166="","",INDEX(AJ162:AJ168,MATCH(AM166,AN162:AN168,0)))</f>
        <v/>
      </c>
      <c r="BI166" s="286" t="str">
        <f>IF(AM166="","",VLOOKUP(AM166,AN162:BE168,COLUMN()-COLUMN(BB161),FALSE))</f>
        <v/>
      </c>
      <c r="BJ166" s="286" t="str">
        <f>IF(AM166="","",VLOOKUP(AM166,AN162:BE168,COLUMN()-COLUMN(BB161),FALSE))</f>
        <v/>
      </c>
      <c r="BK166" s="286" t="str">
        <f>IF(AM166="","",VLOOKUP(AM166,AN162:BE168,COLUMN()-COLUMN(BB161),FALSE))</f>
        <v/>
      </c>
      <c r="BL166" s="286" t="str">
        <f>IF(AM166="","",VLOOKUP(AM166,AN162:BE168,COLUMN()-COLUMN(BB161),FALSE))</f>
        <v/>
      </c>
      <c r="BM166" s="286" t="str">
        <f>IF(AM166="","",VLOOKUP(AM166,AN162:BE168,COLUMN()-COLUMN(BB161),FALSE))</f>
        <v/>
      </c>
      <c r="BN166" s="349" t="str">
        <f>IF(AM166="","",VLOOKUP(AM166,AN162:BE168,COLUMN()-COLUMN(BB161),FALSE))</f>
        <v/>
      </c>
      <c r="BO166" s="298" t="str">
        <f>IF(AM166="","",VLOOKUP(AM166,AN162:BE168,COLUMN()-COLUMN(BB161),FALSE))</f>
        <v/>
      </c>
      <c r="BP166" s="286" t="str">
        <f>IF(AM166="","",VLOOKUP(AM166,AN162:BE168,COLUMN()-COLUMN(BB161),FALSE))</f>
        <v/>
      </c>
      <c r="BQ166" s="301" t="str">
        <f>IF(AM166="","",VLOOKUP(AM166,AN162:BE168,COLUMN()-COLUMN(BB161),FALSE))</f>
        <v/>
      </c>
      <c r="BR166" s="352" t="str">
        <f>IF(AM166="","",VLOOKUP(AM166,AN162:BE168,COLUMN()-COLUMN(BB161),FALSE))</f>
        <v/>
      </c>
      <c r="BS166" s="286" t="str">
        <f>IF(AM166="","",VLOOKUP(AM166,AN162:BE168,COLUMN()-COLUMN(BB161),FALSE))</f>
        <v/>
      </c>
      <c r="BT166" s="301" t="str">
        <f>IF(AM166="","",VLOOKUP(AM166,AN162:BE168,COLUMN()-COLUMN(BB161),FALSE))</f>
        <v/>
      </c>
    </row>
    <row r="167" spans="1:72" x14ac:dyDescent="0.2">
      <c r="A167" s="60"/>
      <c r="B167" s="280"/>
      <c r="C167" s="60"/>
      <c r="D167" s="60"/>
      <c r="E167" s="240" t="s">
        <v>12231</v>
      </c>
      <c r="F167" s="244" t="s">
        <v>8922</v>
      </c>
      <c r="G167" s="244" t="s">
        <v>8116</v>
      </c>
      <c r="H167" s="253">
        <v>3</v>
      </c>
      <c r="I167" s="253">
        <v>0</v>
      </c>
      <c r="J167" s="253"/>
      <c r="K167" s="362"/>
      <c r="L167" s="362"/>
      <c r="M167" s="245"/>
      <c r="N167" s="265" t="b">
        <f>NOT(ISERROR(ResultsTeams[[#This Row],[Goal-A]]+ResultsTeams[[#This Row],[Goal-B]]))</f>
        <v>1</v>
      </c>
      <c r="O167" s="265">
        <f>IF(ResultsTeams[[#This Row],[Type]]="G",SUM(O168:O171),IF(LEFT(ResultsTeams[[#This Row],[Type]],1)="P",IF(ResultsTeams[[#This Row],[Goal-A]]&gt;ResultsTeams[[#This Row],[Goal-B]],1,0),""))</f>
        <v>1</v>
      </c>
      <c r="P167" s="265">
        <f>IF(ResultsTeams[[#This Row],[Type]]="G",SUM(P168:P171),IF(LEFT(ResultsTeams[[#This Row],[Type]],1)="P",IF(ResultsTeams[[#This Row],[Goal-A]]&lt;ResultsTeams[[#This Row],[Goal-B]],1,0),""))</f>
        <v>0</v>
      </c>
      <c r="Q167" s="265">
        <f>IF(ResultsTeams[[#This Row],[Type]]="G",SUM(Q168:Q171),IF(LEFT(ResultsTeams[[#This Row],[Type]],1)="P",VALUE(ResultsTeams[[#This Row],[Score-A]]),""))</f>
        <v>3</v>
      </c>
      <c r="R167" s="265">
        <f>IF(ResultsTeams[[#This Row],[Type]]="G",SUM(R168:R171),IF(LEFT(ResultsTeams[[#This Row],[Type]],1)="P",VALUE(ResultsTeams[[#This Row],[Score-B]]),""))</f>
        <v>0</v>
      </c>
      <c r="S167" s="265" t="str">
        <f ca="1">IF(AND(ResultsTeams[[#This Row],[Category]]&lt;&gt;"",ResultsTeams[[#This Row],[Team A]]&lt;&gt;""),COUNTIF(INDIRECT("TeamsList[Club Name]"),ResultsTeams[[#This Row],[Team A]]),"")</f>
        <v/>
      </c>
      <c r="T167" s="265" t="str">
        <f ca="1">IF(AND(ResultsTeams[[#This Row],[Category]]&lt;&gt;"",ResultsTeams[[#This Row],[Team B]]&lt;&gt;""),COUNTIF(INDIRECT("TeamsList[Club Name]"),ResultsTeams[[#This Row],[Team B]]),"")</f>
        <v/>
      </c>
      <c r="U1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-Georgios Genitsaropoulos</v>
      </c>
      <c r="V167" s="265" t="str">
        <f>IF(ResultsTeams[[#This Row],[Score_OK]],IF(ResultsTeams[[#This Row],[StageCpy]]="Groups",ResultsTeams[[#This Row],[Category]]&amp;"-"&amp;IF(ResultsTeams[[#This Row],[Team B]]="","",IF(ResultsTeams[[#This Row],[Match-A]]=ResultsTeams[[#This Row],[Match-B]],ResultsTeams[[#This Row],[Team A]],"")),""),"")</f>
        <v>-</v>
      </c>
      <c r="W167" s="265" t="str">
        <f>IF(ResultsTeams[[#This Row],[Score_OK]],IF(ResultsTeams[[#This Row],[StageCpy]]="Groups",ResultsTeams[[#This Row],[Category]]&amp;"-"&amp;IF(ResultsTeams[[#This Row],[Team B]]="","",IF(ResultsTeams[[#This Row],[Match-A]]=ResultsTeams[[#This Row],[Match-B]],ResultsTeams[[#This Row],[Team B]],"")),""),"")</f>
        <v>-</v>
      </c>
      <c r="X1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-Benoît Massart</v>
      </c>
      <c r="Y1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7" s="264" t="str">
        <f>IF(ResultsTeams[[#This Row],[Category]]="","",VLOOKUP(ResultsTeams[[#This Row],[Stage]],$R$1:$T$8,MATCH(ResultsTeams[[#This Row],[Category]],$S$1:$T$1,0)+1,FALSE))</f>
        <v/>
      </c>
      <c r="AC1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7" s="264" t="str">
        <f>IF(ResultsTeams[[#This Row],[Type]]="G",ResultsTeams[[#This Row],[Stage]],AD166)</f>
        <v>Groups</v>
      </c>
      <c r="AE167" s="395" t="str">
        <f>IF(ResultsTeams[[#This Row],[Type]]="G",INDEX(TeamsList[Club Name],MATCH(ResultsTeams[[#This Row],[Team A]],TeamsList[Team Name],0)),AE166)</f>
        <v>ASD SC Salernitana</v>
      </c>
      <c r="AF167" s="395" t="str">
        <f>IF(ResultsTeams[[#This Row],[Type]]="G",INDEX(TeamsList[Club Name],MATCH(ResultsTeams[[#This Row],[Team B]],TeamsList[Team Name],0)),AF166)</f>
        <v>SC Temploux</v>
      </c>
      <c r="AG167" s="265"/>
      <c r="AI167" s="12">
        <f t="shared" si="137"/>
        <v>0</v>
      </c>
      <c r="AJ167" s="309"/>
      <c r="AK167" s="310"/>
      <c r="AL167" s="311"/>
      <c r="AM167" s="292" t="str">
        <f>IF(AV167="","",SMALL(AN162:AN168,ROWS(AM162:AM167)))</f>
        <v/>
      </c>
      <c r="AN167" s="293" t="str">
        <f>IF(AV167="","",RANK(AR167,AR162:AR168)*1000+ROWS(AN162:AN167))</f>
        <v/>
      </c>
      <c r="AO167" s="316" t="str">
        <f t="shared" si="130"/>
        <v/>
      </c>
      <c r="AP167" s="415" t="b">
        <f>AND(AU167&lt;&gt;"",AU167&gt;0,COUNTIF(AO162:AO168,AO167)&gt;1)</f>
        <v>0</v>
      </c>
      <c r="AQ167" s="316" t="str">
        <f t="shared" si="131"/>
        <v/>
      </c>
      <c r="AR167" s="317" t="str">
        <f t="shared" si="132"/>
        <v/>
      </c>
      <c r="AS167" s="415" t="b">
        <f>AND(AU167&lt;&gt;"",AU167&gt;0,COUNTIF(AR162:AR168,AR167)&gt;1)</f>
        <v>0</v>
      </c>
      <c r="AT167" s="355" t="str">
        <f t="shared" si="133"/>
        <v/>
      </c>
      <c r="AU167" s="356" t="str">
        <f t="shared" si="134"/>
        <v/>
      </c>
      <c r="AV167" s="356" t="str">
        <f>IF(OR(AI161="",AJ167=""),"",COUNTIF(ResultsTeams[Win],AI161&amp;"-"&amp;AJ167))</f>
        <v/>
      </c>
      <c r="AW167" s="356" t="str">
        <f>IF(OR(AI161="",AJ167=""),"",COUNTIF(ResultsTeams[[Draw1]:[Draw2]],AI161&amp;"-"&amp;AJ167))</f>
        <v/>
      </c>
      <c r="AX167" s="356" t="str">
        <f>IF(OR(AI161="",AJ167=""),"",COUNTIF(ResultsTeams[Lose],AI161&amp;"-"&amp;AJ167))</f>
        <v/>
      </c>
      <c r="AY167" s="356" t="str">
        <f>IF(OR(AI161="",AJ167=""),"",AV167-AX167)</f>
        <v/>
      </c>
      <c r="AZ167" s="356" t="str">
        <f>IF(OR(AI166="",AJ167=""),"",SUMIFS(ResultsTeams[Match-A],ResultsTeams[Stage],"Groups",ResultsTeams[Team A],AJ167)+SUMIFS(ResultsTeams[Match-B],ResultsTeams[Stage],"Groups",ResultsTeams[Team B],AJ167))</f>
        <v/>
      </c>
      <c r="BA167" s="356" t="str">
        <f>IF(OR(AI166="",AJ167=""),"",SUMIFS(ResultsTeams[Match-B],ResultsTeams[Stage],"Groups",ResultsTeams[Team A],AJ167)+SUMIFS(ResultsTeams[Match-A],ResultsTeams[Stage],"Groups",ResultsTeams[Team B],AJ167))</f>
        <v/>
      </c>
      <c r="BB167" s="356" t="str">
        <f t="shared" si="136"/>
        <v/>
      </c>
      <c r="BC167" s="356" t="str">
        <f>IF(OR(AI166="",AJ167=""),"",SUMIFS(ResultsTeams[Goal-A],ResultsTeams[Stage],"Groups",ResultsTeams[Team A],AJ167)+SUMIFS(ResultsTeams[Goal-B],ResultsTeams[Stage],"Groups",ResultsTeams[Team B],AJ167))</f>
        <v/>
      </c>
      <c r="BD167" s="356" t="str">
        <f>IF(OR(AI166="",AJ167=""),"",SUMIFS(ResultsTeams[Goal-B],ResultsTeams[Stage],"Groups",ResultsTeams[Team A],AJ167)+SUMIFS(ResultsTeams[Goal-A],ResultsTeams[Stage],"Groups",ResultsTeams[Team B],AJ167))</f>
        <v/>
      </c>
      <c r="BE167" s="357" t="str">
        <f>IF(OR(AI161="",AJ167=""),"",BC167-BD167)</f>
        <v/>
      </c>
      <c r="BF167" s="470" t="str">
        <f>IF(AM167="","",OR(VLOOKUP(AM167,AN162:BE168,3,FALSE),VLOOKUP(AM167,AN162:BE168,6,FALSE)))</f>
        <v/>
      </c>
      <c r="BG167" s="298" t="str">
        <f t="shared" si="135"/>
        <v/>
      </c>
      <c r="BH167" s="285" t="str">
        <f>IF(AM167="","",INDEX(AJ162:AJ168,MATCH(AM167,AN162:AN168,0)))</f>
        <v/>
      </c>
      <c r="BI167" s="286" t="str">
        <f>IF(AM167="","",VLOOKUP(AM167,AN162:BE168,COLUMN()-COLUMN(BB161),FALSE))</f>
        <v/>
      </c>
      <c r="BJ167" s="286" t="str">
        <f>IF(AM167="","",VLOOKUP(AM167,AN162:BE168,COLUMN()-COLUMN(BB161),FALSE))</f>
        <v/>
      </c>
      <c r="BK167" s="286" t="str">
        <f>IF(AM167="","",VLOOKUP(AM167,AN162:BE168,COLUMN()-COLUMN(BB161),FALSE))</f>
        <v/>
      </c>
      <c r="BL167" s="286" t="str">
        <f>IF(AM167="","",VLOOKUP(AM167,AN162:BE168,COLUMN()-COLUMN(BB161),FALSE))</f>
        <v/>
      </c>
      <c r="BM167" s="286" t="str">
        <f>IF(AM167="","",VLOOKUP(AM167,AN162:BE168,COLUMN()-COLUMN(BB161),FALSE))</f>
        <v/>
      </c>
      <c r="BN167" s="349" t="str">
        <f>IF(AM167="","",VLOOKUP(AM167,AN162:BE168,COLUMN()-COLUMN(BB161),FALSE))</f>
        <v/>
      </c>
      <c r="BO167" s="298" t="str">
        <f>IF(AM167="","",VLOOKUP(AM167,AN162:BE168,COLUMN()-COLUMN(BB161),FALSE))</f>
        <v/>
      </c>
      <c r="BP167" s="286" t="str">
        <f>IF(AM167="","",VLOOKUP(AM167,AN162:BE168,COLUMN()-COLUMN(BB161),FALSE))</f>
        <v/>
      </c>
      <c r="BQ167" s="301" t="str">
        <f>IF(AM167="","",VLOOKUP(AM167,AN162:BE168,COLUMN()-COLUMN(BB161),FALSE))</f>
        <v/>
      </c>
      <c r="BR167" s="352" t="str">
        <f>IF(AM167="","",VLOOKUP(AM167,AN162:BE168,COLUMN()-COLUMN(BB161),FALSE))</f>
        <v/>
      </c>
      <c r="BS167" s="286" t="str">
        <f>IF(AM167="","",VLOOKUP(AM167,AN162:BE168,COLUMN()-COLUMN(BB161),FALSE))</f>
        <v/>
      </c>
      <c r="BT167" s="301" t="str">
        <f>IF(AM167="","",VLOOKUP(AM167,AN162:BE168,COLUMN()-COLUMN(BB161),FALSE))</f>
        <v/>
      </c>
    </row>
    <row r="168" spans="1:72" ht="12" thickBot="1" x14ac:dyDescent="0.25">
      <c r="A168" s="62"/>
      <c r="B168" s="280"/>
      <c r="C168" s="62"/>
      <c r="D168" s="62"/>
      <c r="E168" s="241" t="s">
        <v>12234</v>
      </c>
      <c r="F168" s="246" t="s">
        <v>10243</v>
      </c>
      <c r="G168" s="246" t="s">
        <v>8138</v>
      </c>
      <c r="H168" s="254">
        <v>1</v>
      </c>
      <c r="I168" s="254">
        <v>4</v>
      </c>
      <c r="J168" s="254"/>
      <c r="K168" s="363"/>
      <c r="L168" s="363"/>
      <c r="M168" s="247"/>
      <c r="N168" s="265" t="b">
        <f>NOT(ISERROR(ResultsTeams[[#This Row],[Goal-A]]+ResultsTeams[[#This Row],[Goal-B]]))</f>
        <v>1</v>
      </c>
      <c r="O168" s="265">
        <f>IF(ResultsTeams[[#This Row],[Type]]="G",SUM(O169:O172),IF(LEFT(ResultsTeams[[#This Row],[Type]],1)="P",IF(ResultsTeams[[#This Row],[Goal-A]]&gt;ResultsTeams[[#This Row],[Goal-B]],1,0),""))</f>
        <v>0</v>
      </c>
      <c r="P168" s="265">
        <f>IF(ResultsTeams[[#This Row],[Type]]="G",SUM(P169:P172),IF(LEFT(ResultsTeams[[#This Row],[Type]],1)="P",IF(ResultsTeams[[#This Row],[Goal-A]]&lt;ResultsTeams[[#This Row],[Goal-B]],1,0),""))</f>
        <v>1</v>
      </c>
      <c r="Q168" s="265">
        <f>IF(ResultsTeams[[#This Row],[Type]]="G",SUM(Q169:Q172),IF(LEFT(ResultsTeams[[#This Row],[Type]],1)="P",VALUE(ResultsTeams[[#This Row],[Score-A]]),""))</f>
        <v>1</v>
      </c>
      <c r="R168" s="265">
        <f>IF(ResultsTeams[[#This Row],[Type]]="G",SUM(R169:R172),IF(LEFT(ResultsTeams[[#This Row],[Type]],1)="P",VALUE(ResultsTeams[[#This Row],[Score-B]]),""))</f>
        <v>4</v>
      </c>
      <c r="S168" s="265" t="str">
        <f ca="1">IF(AND(ResultsTeams[[#This Row],[Category]]&lt;&gt;"",ResultsTeams[[#This Row],[Team A]]&lt;&gt;""),COUNTIF(INDIRECT("TeamsList[Club Name]"),ResultsTeams[[#This Row],[Team A]]),"")</f>
        <v/>
      </c>
      <c r="T168" s="265" t="str">
        <f ca="1">IF(AND(ResultsTeams[[#This Row],[Category]]&lt;&gt;"",ResultsTeams[[#This Row],[Team B]]&lt;&gt;""),COUNTIF(INDIRECT("TeamsList[Club Name]"),ResultsTeams[[#This Row],[Team B]]),"")</f>
        <v/>
      </c>
      <c r="U1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Van Den Houte</v>
      </c>
      <c r="V168" s="265" t="str">
        <f>IF(ResultsTeams[[#This Row],[Score_OK]],IF(ResultsTeams[[#This Row],[StageCpy]]="Groups",ResultsTeams[[#This Row],[Category]]&amp;"-"&amp;IF(ResultsTeams[[#This Row],[Team B]]="","",IF(ResultsTeams[[#This Row],[Match-A]]=ResultsTeams[[#This Row],[Match-B]],ResultsTeams[[#This Row],[Team A]],"")),""),"")</f>
        <v>-</v>
      </c>
      <c r="W168" s="265" t="str">
        <f>IF(ResultsTeams[[#This Row],[Score_OK]],IF(ResultsTeams[[#This Row],[StageCpy]]="Groups",ResultsTeams[[#This Row],[Category]]&amp;"-"&amp;IF(ResultsTeams[[#This Row],[Team B]]="","",IF(ResultsTeams[[#This Row],[Match-A]]=ResultsTeams[[#This Row],[Match-B]],ResultsTeams[[#This Row],[Team B]],"")),""),"")</f>
        <v>-</v>
      </c>
      <c r="X1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-Lucio Canicchio</v>
      </c>
      <c r="Y1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8" s="264" t="str">
        <f>IF(ResultsTeams[[#This Row],[Category]]="","",VLOOKUP(ResultsTeams[[#This Row],[Stage]],$R$1:$T$8,MATCH(ResultsTeams[[#This Row],[Category]],$S$1:$T$1,0)+1,FALSE))</f>
        <v/>
      </c>
      <c r="AC1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8" s="264" t="str">
        <f>IF(ResultsTeams[[#This Row],[Type]]="G",ResultsTeams[[#This Row],[Stage]],AD167)</f>
        <v>Groups</v>
      </c>
      <c r="AE168" s="395" t="str">
        <f>IF(ResultsTeams[[#This Row],[Type]]="G",INDEX(TeamsList[Club Name],MATCH(ResultsTeams[[#This Row],[Team A]],TeamsList[Team Name],0)),AE167)</f>
        <v>ASD SC Salernitana</v>
      </c>
      <c r="AF168" s="395" t="str">
        <f>IF(ResultsTeams[[#This Row],[Type]]="G",INDEX(TeamsList[Club Name],MATCH(ResultsTeams[[#This Row],[Team B]],TeamsList[Team Name],0)),AF167)</f>
        <v>SC Temploux</v>
      </c>
      <c r="AG168" s="265"/>
      <c r="AI168" s="12">
        <f t="shared" si="137"/>
        <v>0</v>
      </c>
      <c r="AJ168" s="312"/>
      <c r="AK168" s="313"/>
      <c r="AL168" s="314"/>
      <c r="AM168" s="294" t="str">
        <f>IF(AV168="","",SMALL(AN162:AN168,ROWS(AM162:AM168)))</f>
        <v/>
      </c>
      <c r="AN168" s="295" t="str">
        <f>IF(AV168="","",RANK(AR168,AR162:AR168)*1000+ROWS(AN162:AN168))</f>
        <v/>
      </c>
      <c r="AO168" s="318" t="str">
        <f t="shared" si="130"/>
        <v/>
      </c>
      <c r="AP168" s="416" t="b">
        <f>AND(AU168&lt;&gt;"",AU168&gt;0,COUNTIF(AO162:AO168,AO168)&gt;1)</f>
        <v>0</v>
      </c>
      <c r="AQ168" s="318" t="str">
        <f t="shared" si="131"/>
        <v/>
      </c>
      <c r="AR168" s="319" t="str">
        <f t="shared" si="132"/>
        <v/>
      </c>
      <c r="AS168" s="416" t="b">
        <f>AND(AU168&lt;&gt;"",AU168&gt;0,COUNTIF(AR162:AR168,AR168)&gt;1)</f>
        <v>0</v>
      </c>
      <c r="AT168" s="358" t="str">
        <f t="shared" si="133"/>
        <v/>
      </c>
      <c r="AU168" s="359" t="str">
        <f t="shared" si="134"/>
        <v/>
      </c>
      <c r="AV168" s="359" t="str">
        <f>IF(OR(AI161="",AJ168=""),"",COUNTIF(ResultsTeams[Win],AI161&amp;"-"&amp;AJ168))</f>
        <v/>
      </c>
      <c r="AW168" s="359" t="str">
        <f>IF(OR(AI161="",AJ168=""),"",COUNTIF(ResultsTeams[[Draw1]:[Draw2]],AI161&amp;"-"&amp;AJ168))</f>
        <v/>
      </c>
      <c r="AX168" s="359" t="str">
        <f>IF(OR(AI161="",AJ168=""),"",COUNTIF(ResultsTeams[Lose],AI161&amp;"-"&amp;AJ168))</f>
        <v/>
      </c>
      <c r="AY168" s="359" t="str">
        <f>IF(OR(AI161="",AJ168=""),"",AV168-AX168)</f>
        <v/>
      </c>
      <c r="AZ168" s="359" t="str">
        <f>IF(OR(AI167="",AJ168=""),"",SUMIFS(ResultsTeams[Match-A],ResultsTeams[Stage],"Groups",ResultsTeams[Team A],AJ168)+SUMIFS(ResultsTeams[Match-B],ResultsTeams[Stage],"Groups",ResultsTeams[Team B],AJ168))</f>
        <v/>
      </c>
      <c r="BA168" s="359" t="str">
        <f>IF(OR(AI167="",AJ168=""),"",SUMIFS(ResultsTeams[Match-B],ResultsTeams[Stage],"Groups",ResultsTeams[Team A],AJ168)+SUMIFS(ResultsTeams[Match-A],ResultsTeams[Stage],"Groups",ResultsTeams[Team B],AJ168))</f>
        <v/>
      </c>
      <c r="BB168" s="359" t="str">
        <f t="shared" si="136"/>
        <v/>
      </c>
      <c r="BC168" s="359" t="str">
        <f>IF(OR(AI167="",AJ168=""),"",SUMIFS(ResultsTeams[Goal-A],ResultsTeams[Stage],"Groups",ResultsTeams[Team A],AJ168)+SUMIFS(ResultsTeams[Goal-B],ResultsTeams[Stage],"Groups",ResultsTeams[Team B],AJ168))</f>
        <v/>
      </c>
      <c r="BD168" s="359" t="str">
        <f>IF(OR(AI167="",AJ168=""),"",SUMIFS(ResultsTeams[Goal-B],ResultsTeams[Stage],"Groups",ResultsTeams[Team A],AJ168)+SUMIFS(ResultsTeams[Goal-A],ResultsTeams[Stage],"Groups",ResultsTeams[Team B],AJ168))</f>
        <v/>
      </c>
      <c r="BE168" s="360" t="str">
        <f>IF(OR(AI161="",AJ168=""),"",BC168-BD168)</f>
        <v/>
      </c>
      <c r="BF168" s="470" t="str">
        <f>IF(AM168="","",OR(VLOOKUP(AM168,AN162:BE168,3,FALSE),VLOOKUP(AM168,AN162:BE168,6,FALSE)))</f>
        <v/>
      </c>
      <c r="BG168" s="299" t="str">
        <f t="shared" si="135"/>
        <v/>
      </c>
      <c r="BH168" s="287" t="str">
        <f>IF(AM168="","",INDEX(AJ162:AJ168,MATCH(AM168,AN162:AN168,0)))</f>
        <v/>
      </c>
      <c r="BI168" s="288" t="str">
        <f>IF(AM168="","",VLOOKUP(AM168,AN162:BE168,COLUMN()-COLUMN(BB161),FALSE))</f>
        <v/>
      </c>
      <c r="BJ168" s="288" t="str">
        <f>IF(AM168="","",VLOOKUP(AM168,AN162:BE168,COLUMN()-COLUMN(BB161),FALSE))</f>
        <v/>
      </c>
      <c r="BK168" s="288" t="str">
        <f>IF(AM168="","",VLOOKUP(AM168,AN162:BE168,COLUMN()-COLUMN(BB161),FALSE))</f>
        <v/>
      </c>
      <c r="BL168" s="288" t="str">
        <f>IF(AM168="","",VLOOKUP(AM168,AN162:BE168,COLUMN()-COLUMN(BB161),FALSE))</f>
        <v/>
      </c>
      <c r="BM168" s="288" t="str">
        <f>IF(AM168="","",VLOOKUP(AM168,AN162:BE168,COLUMN()-COLUMN(BB161),FALSE))</f>
        <v/>
      </c>
      <c r="BN168" s="350" t="str">
        <f>IF(AM168="","",VLOOKUP(AM168,AN162:BE168,COLUMN()-COLUMN(BB161),FALSE))</f>
        <v/>
      </c>
      <c r="BO168" s="299" t="str">
        <f>IF(AM168="","",VLOOKUP(AM168,AN162:BE168,COLUMN()-COLUMN(BB161),FALSE))</f>
        <v/>
      </c>
      <c r="BP168" s="288" t="str">
        <f>IF(AM168="","",VLOOKUP(AM168,AN162:BE168,COLUMN()-COLUMN(BB161),FALSE))</f>
        <v/>
      </c>
      <c r="BQ168" s="302" t="str">
        <f>IF(AM168="","",VLOOKUP(AM168,AN162:BE168,COLUMN()-COLUMN(BB161),FALSE))</f>
        <v/>
      </c>
      <c r="BR168" s="353" t="str">
        <f>IF(AM168="","",VLOOKUP(AM168,AN162:BE168,COLUMN()-COLUMN(BB161),FALSE))</f>
        <v/>
      </c>
      <c r="BS168" s="288" t="str">
        <f>IF(AM168="","",VLOOKUP(AM168,AN162:BE168,COLUMN()-COLUMN(BB161),FALSE))</f>
        <v/>
      </c>
      <c r="BT168" s="302" t="str">
        <f>IF(AM168="","",VLOOKUP(AM168,AN162:BE168,COLUMN()-COLUMN(BB161),FALSE))</f>
        <v/>
      </c>
    </row>
    <row r="169" spans="1:72" ht="12" thickBot="1" x14ac:dyDescent="0.25">
      <c r="A169" s="62"/>
      <c r="B169" s="280"/>
      <c r="C169" s="62"/>
      <c r="D169" s="62"/>
      <c r="E169" s="241" t="s">
        <v>12237</v>
      </c>
      <c r="F169" s="246" t="s">
        <v>8130</v>
      </c>
      <c r="G169" s="246" t="s">
        <v>8118</v>
      </c>
      <c r="H169" s="254">
        <v>2</v>
      </c>
      <c r="I169" s="254">
        <v>0</v>
      </c>
      <c r="J169" s="254"/>
      <c r="K169" s="363"/>
      <c r="L169" s="363"/>
      <c r="M169" s="247"/>
      <c r="N169" s="265" t="b">
        <f>NOT(ISERROR(ResultsTeams[[#This Row],[Goal-A]]+ResultsTeams[[#This Row],[Goal-B]]))</f>
        <v>1</v>
      </c>
      <c r="O169" s="265">
        <f>IF(ResultsTeams[[#This Row],[Type]]="G",SUM(O170:O173),IF(LEFT(ResultsTeams[[#This Row],[Type]],1)="P",IF(ResultsTeams[[#This Row],[Goal-A]]&gt;ResultsTeams[[#This Row],[Goal-B]],1,0),""))</f>
        <v>1</v>
      </c>
      <c r="P169" s="265">
        <f>IF(ResultsTeams[[#This Row],[Type]]="G",SUM(P170:P173),IF(LEFT(ResultsTeams[[#This Row],[Type]],1)="P",IF(ResultsTeams[[#This Row],[Goal-A]]&lt;ResultsTeams[[#This Row],[Goal-B]],1,0),""))</f>
        <v>0</v>
      </c>
      <c r="Q169" s="265">
        <f>IF(ResultsTeams[[#This Row],[Type]]="G",SUM(Q170:Q173),IF(LEFT(ResultsTeams[[#This Row],[Type]],1)="P",VALUE(ResultsTeams[[#This Row],[Score-A]]),""))</f>
        <v>2</v>
      </c>
      <c r="R169" s="265">
        <f>IF(ResultsTeams[[#This Row],[Type]]="G",SUM(R170:R173),IF(LEFT(ResultsTeams[[#This Row],[Type]],1)="P",VALUE(ResultsTeams[[#This Row],[Score-B]]),""))</f>
        <v>0</v>
      </c>
      <c r="S169" s="265" t="str">
        <f ca="1">IF(AND(ResultsTeams[[#This Row],[Category]]&lt;&gt;"",ResultsTeams[[#This Row],[Team A]]&lt;&gt;""),COUNTIF(INDIRECT("TeamsList[Club Name]"),ResultsTeams[[#This Row],[Team A]]),"")</f>
        <v/>
      </c>
      <c r="T169" s="265" t="str">
        <f ca="1">IF(AND(ResultsTeams[[#This Row],[Category]]&lt;&gt;"",ResultsTeams[[#This Row],[Team B]]&lt;&gt;""),COUNTIF(INDIRECT("TeamsList[Club Name]"),ResultsTeams[[#This Row],[Team B]]),"")</f>
        <v/>
      </c>
      <c r="U1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-Sébastien Scheen</v>
      </c>
      <c r="V169" s="265" t="str">
        <f>IF(ResultsTeams[[#This Row],[Score_OK]],IF(ResultsTeams[[#This Row],[StageCpy]]="Groups",ResultsTeams[[#This Row],[Category]]&amp;"-"&amp;IF(ResultsTeams[[#This Row],[Team B]]="","",IF(ResultsTeams[[#This Row],[Match-A]]=ResultsTeams[[#This Row],[Match-B]],ResultsTeams[[#This Row],[Team A]],"")),""),"")</f>
        <v>-</v>
      </c>
      <c r="W169" s="265" t="str">
        <f>IF(ResultsTeams[[#This Row],[Score_OK]],IF(ResultsTeams[[#This Row],[StageCpy]]="Groups",ResultsTeams[[#This Row],[Category]]&amp;"-"&amp;IF(ResultsTeams[[#This Row],[Team B]]="","",IF(ResultsTeams[[#This Row],[Match-A]]=ResultsTeams[[#This Row],[Match-B]],ResultsTeams[[#This Row],[Team B]],"")),""),"")</f>
        <v>-</v>
      </c>
      <c r="X1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-Arnaud Nullens</v>
      </c>
      <c r="Y1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9" s="264" t="str">
        <f>IF(ResultsTeams[[#This Row],[Category]]="","",VLOOKUP(ResultsTeams[[#This Row],[Stage]],$R$1:$T$8,MATCH(ResultsTeams[[#This Row],[Category]],$S$1:$T$1,0)+1,FALSE))</f>
        <v/>
      </c>
      <c r="AC1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9" s="264" t="str">
        <f>IF(ResultsTeams[[#This Row],[Type]]="G",ResultsTeams[[#This Row],[Stage]],AD168)</f>
        <v>Groups</v>
      </c>
      <c r="AE169" s="395" t="str">
        <f>IF(ResultsTeams[[#This Row],[Type]]="G",INDEX(TeamsList[Club Name],MATCH(ResultsTeams[[#This Row],[Team A]],TeamsList[Team Name],0)),AE168)</f>
        <v>ASD SC Salernitana</v>
      </c>
      <c r="AF169" s="395" t="str">
        <f>IF(ResultsTeams[[#This Row],[Type]]="G",INDEX(TeamsList[Club Name],MATCH(ResultsTeams[[#This Row],[Team B]],TeamsList[Team Name],0)),AF168)</f>
        <v>SC Temploux</v>
      </c>
      <c r="AG169" s="265"/>
    </row>
    <row r="170" spans="1:72" ht="12" thickBot="1" x14ac:dyDescent="0.25">
      <c r="A170" s="62"/>
      <c r="B170" s="280"/>
      <c r="C170" s="62"/>
      <c r="D170" s="62"/>
      <c r="E170" s="241" t="s">
        <v>12240</v>
      </c>
      <c r="F170" s="246" t="s">
        <v>9705</v>
      </c>
      <c r="G170" s="246" t="s">
        <v>8125</v>
      </c>
      <c r="H170" s="254">
        <v>5</v>
      </c>
      <c r="I170" s="254">
        <v>1</v>
      </c>
      <c r="J170" s="254"/>
      <c r="K170" s="363"/>
      <c r="L170" s="363"/>
      <c r="M170" s="247"/>
      <c r="N170" s="265" t="b">
        <f>NOT(ISERROR(ResultsTeams[[#This Row],[Goal-A]]+ResultsTeams[[#This Row],[Goal-B]]))</f>
        <v>1</v>
      </c>
      <c r="O170" s="265">
        <f>IF(ResultsTeams[[#This Row],[Type]]="G",SUM(O171:O174),IF(LEFT(ResultsTeams[[#This Row],[Type]],1)="P",IF(ResultsTeams[[#This Row],[Goal-A]]&gt;ResultsTeams[[#This Row],[Goal-B]],1,0),""))</f>
        <v>1</v>
      </c>
      <c r="P170" s="265">
        <f>IF(ResultsTeams[[#This Row],[Type]]="G",SUM(P171:P174),IF(LEFT(ResultsTeams[[#This Row],[Type]],1)="P",IF(ResultsTeams[[#This Row],[Goal-A]]&lt;ResultsTeams[[#This Row],[Goal-B]],1,0),""))</f>
        <v>0</v>
      </c>
      <c r="Q170" s="265">
        <f>IF(ResultsTeams[[#This Row],[Type]]="G",SUM(Q171:Q174),IF(LEFT(ResultsTeams[[#This Row],[Type]],1)="P",VALUE(ResultsTeams[[#This Row],[Score-A]]),""))</f>
        <v>5</v>
      </c>
      <c r="R170" s="265">
        <f>IF(ResultsTeams[[#This Row],[Type]]="G",SUM(R171:R174),IF(LEFT(ResultsTeams[[#This Row],[Type]],1)="P",VALUE(ResultsTeams[[#This Row],[Score-B]]),""))</f>
        <v>1</v>
      </c>
      <c r="S170" s="265" t="str">
        <f ca="1">IF(AND(ResultsTeams[[#This Row],[Category]]&lt;&gt;"",ResultsTeams[[#This Row],[Team A]]&lt;&gt;""),COUNTIF(INDIRECT("TeamsList[Club Name]"),ResultsTeams[[#This Row],[Team A]]),"")</f>
        <v/>
      </c>
      <c r="T170" s="265" t="str">
        <f ca="1">IF(AND(ResultsTeams[[#This Row],[Category]]&lt;&gt;"",ResultsTeams[[#This Row],[Team B]]&lt;&gt;""),COUNTIF(INDIRECT("TeamsList[Club Name]"),ResultsTeams[[#This Row],[Team B]]),"")</f>
        <v/>
      </c>
      <c r="U1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Preziuso</v>
      </c>
      <c r="V170" s="265" t="str">
        <f>IF(ResultsTeams[[#This Row],[Score_OK]],IF(ResultsTeams[[#This Row],[StageCpy]]="Groups",ResultsTeams[[#This Row],[Category]]&amp;"-"&amp;IF(ResultsTeams[[#This Row],[Team B]]="","",IF(ResultsTeams[[#This Row],[Match-A]]=ResultsTeams[[#This Row],[Match-B]],ResultsTeams[[#This Row],[Team A]],"")),""),"")</f>
        <v>-</v>
      </c>
      <c r="W170" s="265" t="str">
        <f>IF(ResultsTeams[[#This Row],[Score_OK]],IF(ResultsTeams[[#This Row],[StageCpy]]="Groups",ResultsTeams[[#This Row],[Category]]&amp;"-"&amp;IF(ResultsTeams[[#This Row],[Team B]]="","",IF(ResultsTeams[[#This Row],[Match-A]]=ResultsTeams[[#This Row],[Match-B]],ResultsTeams[[#This Row],[Team B]],"")),""),"")</f>
        <v>-</v>
      </c>
      <c r="X1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-Philippe Roufosse</v>
      </c>
      <c r="Y1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0" s="264" t="str">
        <f>IF(ResultsTeams[[#This Row],[Category]]="","",VLOOKUP(ResultsTeams[[#This Row],[Stage]],$R$1:$T$8,MATCH(ResultsTeams[[#This Row],[Category]],$S$1:$T$1,0)+1,FALSE))</f>
        <v/>
      </c>
      <c r="AC1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0" s="264" t="str">
        <f>IF(ResultsTeams[[#This Row],[Type]]="G",ResultsTeams[[#This Row],[Stage]],AD169)</f>
        <v>Groups</v>
      </c>
      <c r="AE170" s="395" t="str">
        <f>IF(ResultsTeams[[#This Row],[Type]]="G",INDEX(TeamsList[Club Name],MATCH(ResultsTeams[[#This Row],[Team A]],TeamsList[Team Name],0)),AE169)</f>
        <v>ASD SC Salernitana</v>
      </c>
      <c r="AF170" s="395" t="str">
        <f>IF(ResultsTeams[[#This Row],[Type]]="G",INDEX(TeamsList[Club Name],MATCH(ResultsTeams[[#This Row],[Team B]],TeamsList[Team Name],0)),AF169)</f>
        <v>SC Temploux</v>
      </c>
      <c r="AG170" s="265"/>
      <c r="AH170" s="281" t="str">
        <f>IF(AI170="","",QUOTIENT(COUNTIF(AI$26:AI170,AI170)-1,8)+1)</f>
        <v/>
      </c>
      <c r="AI170" s="315"/>
      <c r="AJ170" s="289" t="s">
        <v>14438</v>
      </c>
      <c r="AK170" s="290" t="s">
        <v>12279</v>
      </c>
      <c r="AL170" s="300" t="s">
        <v>12275</v>
      </c>
      <c r="AM170" s="296" t="s">
        <v>12276</v>
      </c>
      <c r="AN170" s="291" t="s">
        <v>12271</v>
      </c>
      <c r="AO170" s="291" t="s">
        <v>12272</v>
      </c>
      <c r="AP170" s="414" t="s">
        <v>13154</v>
      </c>
      <c r="AQ170" s="291" t="s">
        <v>12273</v>
      </c>
      <c r="AR170" s="297" t="s">
        <v>12274</v>
      </c>
      <c r="AS170" s="414" t="s">
        <v>13154</v>
      </c>
      <c r="AT170" s="296" t="s">
        <v>12199</v>
      </c>
      <c r="AU170" s="291" t="s">
        <v>12200</v>
      </c>
      <c r="AV170" s="291" t="s">
        <v>12201</v>
      </c>
      <c r="AW170" s="291" t="s">
        <v>12202</v>
      </c>
      <c r="AX170" s="291" t="s">
        <v>12203</v>
      </c>
      <c r="AY170" s="291" t="s">
        <v>12697</v>
      </c>
      <c r="AZ170" s="291" t="s">
        <v>12698</v>
      </c>
      <c r="BA170" s="291" t="s">
        <v>12699</v>
      </c>
      <c r="BB170" s="291" t="s">
        <v>12700</v>
      </c>
      <c r="BC170" s="291" t="s">
        <v>12204</v>
      </c>
      <c r="BD170" s="291" t="s">
        <v>12205</v>
      </c>
      <c r="BE170" s="297" t="s">
        <v>12206</v>
      </c>
      <c r="BF170" s="395"/>
      <c r="BG170" s="282" t="s">
        <v>12276</v>
      </c>
      <c r="BH170" s="282" t="s">
        <v>12133</v>
      </c>
      <c r="BI170" s="283" t="s">
        <v>12199</v>
      </c>
      <c r="BJ170" s="283" t="s">
        <v>12200</v>
      </c>
      <c r="BK170" s="283" t="s">
        <v>12201</v>
      </c>
      <c r="BL170" s="283" t="s">
        <v>12202</v>
      </c>
      <c r="BM170" s="283" t="s">
        <v>12203</v>
      </c>
      <c r="BN170" s="290" t="s">
        <v>12697</v>
      </c>
      <c r="BO170" s="354" t="s">
        <v>12698</v>
      </c>
      <c r="BP170" s="283" t="s">
        <v>12699</v>
      </c>
      <c r="BQ170" s="300" t="s">
        <v>12700</v>
      </c>
      <c r="BR170" s="351" t="s">
        <v>12204</v>
      </c>
      <c r="BS170" s="283" t="s">
        <v>12205</v>
      </c>
      <c r="BT170" s="300" t="s">
        <v>12206</v>
      </c>
    </row>
    <row r="171" spans="1:72" x14ac:dyDescent="0.2">
      <c r="A171" s="62"/>
      <c r="B171" s="62"/>
      <c r="C171" s="62"/>
      <c r="D171" s="62"/>
      <c r="E171" s="241" t="s">
        <v>12243</v>
      </c>
      <c r="F171" s="247"/>
      <c r="G171" s="247"/>
      <c r="H171" s="254"/>
      <c r="I171" s="254"/>
      <c r="J171" s="260"/>
      <c r="K171" s="364"/>
      <c r="L171" s="364"/>
      <c r="M171" s="247"/>
      <c r="N171" s="265" t="b">
        <f>NOT(ISERROR(ResultsTeams[[#This Row],[Goal-A]]+ResultsTeams[[#This Row],[Goal-B]]))</f>
        <v>0</v>
      </c>
      <c r="O171" s="265" t="str">
        <f>IF(ResultsTeams[[#This Row],[Type]]="G",SUM(O172:O175),IF(LEFT(ResultsTeams[[#This Row],[Type]],1)="P",IF(ResultsTeams[[#This Row],[Goal-A]]&gt;ResultsTeams[[#This Row],[Goal-B]],1,0),""))</f>
        <v/>
      </c>
      <c r="P171" s="265" t="str">
        <f>IF(ResultsTeams[[#This Row],[Type]]="G",SUM(P172:P175),IF(LEFT(ResultsTeams[[#This Row],[Type]],1)="P",IF(ResultsTeams[[#This Row],[Goal-A]]&lt;ResultsTeams[[#This Row],[Goal-B]],1,0),""))</f>
        <v/>
      </c>
      <c r="Q171" s="265" t="str">
        <f>IF(ResultsTeams[[#This Row],[Type]]="G",SUM(Q172:Q175),IF(LEFT(ResultsTeams[[#This Row],[Type]],1)="P",VALUE(ResultsTeams[[#This Row],[Score-A]]),""))</f>
        <v/>
      </c>
      <c r="R171" s="265" t="str">
        <f>IF(ResultsTeams[[#This Row],[Type]]="G",SUM(R172:R175),IF(LEFT(ResultsTeams[[#This Row],[Type]],1)="P",VALUE(ResultsTeams[[#This Row],[Score-B]]),""))</f>
        <v/>
      </c>
      <c r="S171" s="265" t="str">
        <f ca="1">IF(AND(ResultsTeams[[#This Row],[Category]]&lt;&gt;"",ResultsTeams[[#This Row],[Team A]]&lt;&gt;""),COUNTIF(INDIRECT("TeamsList[Club Name]"),ResultsTeams[[#This Row],[Team A]]),"")</f>
        <v/>
      </c>
      <c r="T171" s="265" t="str">
        <f ca="1">IF(AND(ResultsTeams[[#This Row],[Category]]&lt;&gt;"",ResultsTeams[[#This Row],[Team B]]&lt;&gt;""),COUNTIF(INDIRECT("TeamsList[Club Name]"),ResultsTeams[[#This Row],[Team B]]),"")</f>
        <v/>
      </c>
      <c r="U1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1" s="265" t="str">
        <f>IF(ResultsTeams[[#This Row],[Score_OK]],IF(ResultsTeams[[#This Row],[StageCpy]]="Groups",ResultsTeams[[#This Row],[Category]]&amp;"-"&amp;IF(ResultsTeams[[#This Row],[Team B]]="","",IF(ResultsTeams[[#This Row],[Match-A]]=ResultsTeams[[#This Row],[Match-B]],ResultsTeams[[#This Row],[Team A]],"")),""),"")</f>
        <v/>
      </c>
      <c r="W171" s="265" t="str">
        <f>IF(ResultsTeams[[#This Row],[Score_OK]],IF(ResultsTeams[[#This Row],[StageCpy]]="Groups",ResultsTeams[[#This Row],[Category]]&amp;"-"&amp;IF(ResultsTeams[[#This Row],[Team B]]="","",IF(ResultsTeams[[#This Row],[Match-A]]=ResultsTeams[[#This Row],[Match-B]],ResultsTeams[[#This Row],[Team B]],"")),""),"")</f>
        <v/>
      </c>
      <c r="X1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1" s="264" t="str">
        <f>IF(ResultsTeams[[#This Row],[Category]]="","",VLOOKUP(ResultsTeams[[#This Row],[Stage]],$R$1:$T$8,MATCH(ResultsTeams[[#This Row],[Category]],$S$1:$T$1,0)+1,FALSE))</f>
        <v/>
      </c>
      <c r="AC1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1" s="264" t="str">
        <f>IF(ResultsTeams[[#This Row],[Type]]="G",ResultsTeams[[#This Row],[Stage]],AD170)</f>
        <v>Groups</v>
      </c>
      <c r="AE171" s="395" t="str">
        <f>IF(ResultsTeams[[#This Row],[Type]]="G",INDEX(TeamsList[Club Name],MATCH(ResultsTeams[[#This Row],[Team A]],TeamsList[Team Name],0)),AE170)</f>
        <v>ASD SC Salernitana</v>
      </c>
      <c r="AF171" s="395" t="str">
        <f>IF(ResultsTeams[[#This Row],[Type]]="G",INDEX(TeamsList[Club Name],MATCH(ResultsTeams[[#This Row],[Team B]],TeamsList[Team Name],0)),AF170)</f>
        <v>SC Temploux</v>
      </c>
      <c r="AG171" s="265"/>
      <c r="AI171" s="12">
        <f>AI170</f>
        <v>0</v>
      </c>
      <c r="AJ171" s="309"/>
      <c r="AK171" s="320"/>
      <c r="AL171" s="311"/>
      <c r="AM171" s="292" t="str">
        <f>IF(AV171="","",SMALL(AN171:AN177,ROWS(AM171:AM171)))</f>
        <v/>
      </c>
      <c r="AN171" s="293" t="str">
        <f>IF(AV171="","",RANK(AR171,AR171:AR177)*1000+ROWS(AN171:AN171))</f>
        <v/>
      </c>
      <c r="AO171" s="316" t="str">
        <f t="shared" ref="AO171:AO177" si="138">IF(AV171="","",AT171*CritClassEq1_Points+AY171*CritClassEq1_DiffRencontres+BB171*CritClassEq1_DiffMatches+BE171*CritClassEq1_DiffButs+AZ171*CritClassEq1_Matches+BC171*CritClassEq1_Attaque)</f>
        <v/>
      </c>
      <c r="AP171" s="415" t="b">
        <f>AND(AU171&lt;&gt;"",AU171&gt;0,COUNTIF(AO171:AO177,AO171)&gt;1)</f>
        <v>0</v>
      </c>
      <c r="AQ171" s="316" t="str">
        <f t="shared" ref="AQ171:AQ177" si="139">IF(AV171="","",CritClassEq_DiffPart*AK171)</f>
        <v/>
      </c>
      <c r="AR171" s="317" t="str">
        <f t="shared" ref="AR171:AR177" si="140">IF(AV171="","",AO171+AQ171+AT171*CritClassEq2_Points+AY171*CritClassEq2_DiffRencontres+BB171*CritClassEq2_DiffMatches+BE171*CritClassEq2_DiffButs+AZ171*CritClassEq2_Matches+BC171*CritClassEq2_Attaque+AL171)</f>
        <v/>
      </c>
      <c r="AS171" s="415" t="b">
        <f>AND(AU171&lt;&gt;"",AU171&gt;0,COUNTIF(AR171:AR177,AR171)&gt;1)</f>
        <v>0</v>
      </c>
      <c r="AT171" s="355" t="str">
        <f t="shared" ref="AT171:AT177" si="141">IF(AV171="","",(AV171*Points_Victoire)+AW171*Points_Null)</f>
        <v/>
      </c>
      <c r="AU171" s="356" t="str">
        <f t="shared" ref="AU171:AU177" si="142">IF(AV171="","",SUM(AV171:AX171))</f>
        <v/>
      </c>
      <c r="AV171" s="356" t="str">
        <f>IF(OR(AI170="",AJ171=""),"",COUNTIF(ResultsTeams[Win],AI170&amp;"-"&amp;AJ171))</f>
        <v/>
      </c>
      <c r="AW171" s="356" t="str">
        <f>IF(OR(AI170="",AJ171=""),"",COUNTIF(ResultsTeams[[Draw1]:[Draw2]],AI170&amp;"-"&amp;AJ171))</f>
        <v/>
      </c>
      <c r="AX171" s="356" t="str">
        <f>IF(OR(AI170="",AJ171=""),"",COUNTIF(ResultsTeams[Lose],AI170&amp;"-"&amp;AJ171))</f>
        <v/>
      </c>
      <c r="AY171" s="356" t="str">
        <f>IF(OR(AI170="",AJ171=""),"",AV171-AX171)</f>
        <v/>
      </c>
      <c r="AZ171" s="356" t="str">
        <f>IF(OR(AI170="",AJ171=""),"",SUMIFS(ResultsTeams[Match-A],ResultsTeams[Stage],"Groups",ResultsTeams[Team A],AJ171)+SUMIFS(ResultsTeams[Match-B],ResultsTeams[Stage],"Groups",ResultsTeams[Team B],AJ171))</f>
        <v/>
      </c>
      <c r="BA171" s="356" t="str">
        <f>IF(OR(AI170="",AJ171=""),"",SUMIFS(ResultsTeams[Match-B],ResultsTeams[Stage],"Groups",ResultsTeams[Team A],AJ171)+SUMIFS(ResultsTeams[Match-A],ResultsTeams[Stage],"Groups",ResultsTeams[Team B],AJ171))</f>
        <v/>
      </c>
      <c r="BB171" s="356" t="str">
        <f>IF(OR(AI170="",AJ171=""),"",AZ171-BA171)</f>
        <v/>
      </c>
      <c r="BC171" s="356" t="str">
        <f>IF(OR(AI170="",AJ171=""),"",SUMIFS(ResultsTeams[Goal-A],ResultsTeams[Stage],"Groups",ResultsTeams[Team A],AJ171)+SUMIFS(ResultsTeams[Goal-B],ResultsTeams[Stage],"Groups",ResultsTeams[Team B],AJ171))</f>
        <v/>
      </c>
      <c r="BD171" s="356" t="str">
        <f>IF(OR(AI170="",AJ171=""),"",SUMIFS(ResultsTeams[Goal-B],ResultsTeams[Stage],"Groups",ResultsTeams[Team A],AJ171)+SUMIFS(ResultsTeams[Goal-A],ResultsTeams[Stage],"Groups",ResultsTeams[Team B],AJ171))</f>
        <v/>
      </c>
      <c r="BE171" s="357" t="str">
        <f>IF(OR(AI170="",AJ171=""),"",BC171-BD171)</f>
        <v/>
      </c>
      <c r="BF171" s="470" t="str">
        <f>IF(AM171="","",OR(VLOOKUP(AM171,AN171:BE177,3,FALSE),VLOOKUP(AM171,AN171:BE177,6,FALSE)))</f>
        <v/>
      </c>
      <c r="BG171" s="298" t="str">
        <f t="shared" ref="BG171:BG177" si="143">IF(AM171="","",INT(AM171/1000))</f>
        <v/>
      </c>
      <c r="BH171" s="285" t="str">
        <f>IF(AM171="","",INDEX(AJ171:AJ177,MATCH(AM171,AN171:AN177,0)))</f>
        <v/>
      </c>
      <c r="BI171" s="286" t="str">
        <f>IF(AM171="","",VLOOKUP(AM171,AN171:BE177,COLUMN()-COLUMN(BB170),FALSE))</f>
        <v/>
      </c>
      <c r="BJ171" s="286" t="str">
        <f>IF(AM171="","",VLOOKUP(AM171,AN171:BE177,COLUMN()-COLUMN(BB170),FALSE))</f>
        <v/>
      </c>
      <c r="BK171" s="286" t="str">
        <f>IF(AM171="","",VLOOKUP(AM171,AN171:BE177,COLUMN()-COLUMN(BB170),FALSE))</f>
        <v/>
      </c>
      <c r="BL171" s="286" t="str">
        <f>IF(AM171="","",VLOOKUP(AM171,AN171:BE177,COLUMN()-COLUMN(BB170),FALSE))</f>
        <v/>
      </c>
      <c r="BM171" s="286" t="str">
        <f>IF(AM171="","",VLOOKUP(AM171,AN171:BE177,COLUMN()-COLUMN(BB170),FALSE))</f>
        <v/>
      </c>
      <c r="BN171" s="349" t="str">
        <f>IF(AM171="","",VLOOKUP(AM171,AN171:BE177,COLUMN()-COLUMN(BB170),FALSE))</f>
        <v/>
      </c>
      <c r="BO171" s="298" t="str">
        <f>IF(AM171="","",VLOOKUP(AM171,AN171:BE177,COLUMN()-COLUMN(BB170),FALSE))</f>
        <v/>
      </c>
      <c r="BP171" s="286" t="str">
        <f>IF(AM171="","",VLOOKUP(AM171,AN171:BE177,COLUMN()-COLUMN(BB170),FALSE))</f>
        <v/>
      </c>
      <c r="BQ171" s="301" t="str">
        <f>IF(AM171="","",VLOOKUP(AM171,AN171:BE177,COLUMN()-COLUMN(BB170),FALSE))</f>
        <v/>
      </c>
      <c r="BR171" s="352" t="str">
        <f>IF(AM171="","",VLOOKUP(AM171,AN171:BE177,COLUMN()-COLUMN(BB170),FALSE))</f>
        <v/>
      </c>
      <c r="BS171" s="286" t="str">
        <f>IF(AM171="","",VLOOKUP(AM171,AN171:BE177,COLUMN()-COLUMN(BB170),FALSE))</f>
        <v/>
      </c>
      <c r="BT171" s="301" t="str">
        <f>IF(AM171="","",VLOOKUP(AM171,AN171:BE177,COLUMN()-COLUMN(BB170),FALSE))</f>
        <v/>
      </c>
    </row>
    <row r="172" spans="1:72" ht="12" thickBot="1" x14ac:dyDescent="0.25">
      <c r="A172" s="83"/>
      <c r="B172" s="83"/>
      <c r="C172" s="83"/>
      <c r="D172" s="83"/>
      <c r="E172" s="268" t="s">
        <v>12244</v>
      </c>
      <c r="F172" s="262"/>
      <c r="G172" s="262"/>
      <c r="H172" s="324"/>
      <c r="I172" s="324"/>
      <c r="J172" s="263"/>
      <c r="K172" s="365"/>
      <c r="L172" s="365"/>
      <c r="M172" s="262"/>
      <c r="N172" s="265" t="b">
        <f>NOT(ISERROR(ResultsTeams[[#This Row],[Goal-A]]+ResultsTeams[[#This Row],[Goal-B]]))</f>
        <v>0</v>
      </c>
      <c r="O172" s="265" t="str">
        <f>IF(ResultsTeams[[#This Row],[Type]]="G",SUM(O173:O176),IF(LEFT(ResultsTeams[[#This Row],[Type]],1)="P",IF(ResultsTeams[[#This Row],[Goal-A]]&gt;ResultsTeams[[#This Row],[Goal-B]],1,0),""))</f>
        <v/>
      </c>
      <c r="P172" s="265" t="str">
        <f>IF(ResultsTeams[[#This Row],[Type]]="G",SUM(P173:P176),IF(LEFT(ResultsTeams[[#This Row],[Type]],1)="P",IF(ResultsTeams[[#This Row],[Goal-A]]&lt;ResultsTeams[[#This Row],[Goal-B]],1,0),""))</f>
        <v/>
      </c>
      <c r="Q172" s="265" t="str">
        <f>IF(ResultsTeams[[#This Row],[Type]]="G",SUM(Q173:Q176),IF(LEFT(ResultsTeams[[#This Row],[Type]],1)="P",VALUE(ResultsTeams[[#This Row],[Score-A]]),""))</f>
        <v/>
      </c>
      <c r="R172" s="265" t="str">
        <f>IF(ResultsTeams[[#This Row],[Type]]="G",SUM(R173:R176),IF(LEFT(ResultsTeams[[#This Row],[Type]],1)="P",VALUE(ResultsTeams[[#This Row],[Score-B]]),""))</f>
        <v/>
      </c>
      <c r="S172" s="265" t="str">
        <f ca="1">IF(AND(ResultsTeams[[#This Row],[Category]]&lt;&gt;"",ResultsTeams[[#This Row],[Team A]]&lt;&gt;""),COUNTIF(INDIRECT("TeamsList[Club Name]"),ResultsTeams[[#This Row],[Team A]]),"")</f>
        <v/>
      </c>
      <c r="T172" s="265" t="str">
        <f ca="1">IF(AND(ResultsTeams[[#This Row],[Category]]&lt;&gt;"",ResultsTeams[[#This Row],[Team B]]&lt;&gt;""),COUNTIF(INDIRECT("TeamsList[Club Name]"),ResultsTeams[[#This Row],[Team B]]),"")</f>
        <v/>
      </c>
      <c r="U1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2" s="265" t="str">
        <f>IF(ResultsTeams[[#This Row],[Score_OK]],IF(ResultsTeams[[#This Row],[StageCpy]]="Groups",ResultsTeams[[#This Row],[Category]]&amp;"-"&amp;IF(ResultsTeams[[#This Row],[Team B]]="","",IF(ResultsTeams[[#This Row],[Match-A]]=ResultsTeams[[#This Row],[Match-B]],ResultsTeams[[#This Row],[Team A]],"")),""),"")</f>
        <v/>
      </c>
      <c r="W172" s="265" t="str">
        <f>IF(ResultsTeams[[#This Row],[Score_OK]],IF(ResultsTeams[[#This Row],[StageCpy]]="Groups",ResultsTeams[[#This Row],[Category]]&amp;"-"&amp;IF(ResultsTeams[[#This Row],[Team B]]="","",IF(ResultsTeams[[#This Row],[Match-A]]=ResultsTeams[[#This Row],[Match-B]],ResultsTeams[[#This Row],[Team B]],"")),""),"")</f>
        <v/>
      </c>
      <c r="X1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2" s="264" t="str">
        <f>IF(ResultsTeams[[#This Row],[Category]]="","",VLOOKUP(ResultsTeams[[#This Row],[Stage]],$R$1:$T$8,MATCH(ResultsTeams[[#This Row],[Category]],$S$1:$T$1,0)+1,FALSE))</f>
        <v/>
      </c>
      <c r="AC1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2" s="264" t="str">
        <f>IF(ResultsTeams[[#This Row],[Type]]="G",ResultsTeams[[#This Row],[Stage]],AD171)</f>
        <v>Groups</v>
      </c>
      <c r="AE172" s="395" t="str">
        <f>IF(ResultsTeams[[#This Row],[Type]]="G",INDEX(TeamsList[Club Name],MATCH(ResultsTeams[[#This Row],[Team A]],TeamsList[Team Name],0)),AE171)</f>
        <v>ASD SC Salernitana</v>
      </c>
      <c r="AF172" s="395" t="str">
        <f>IF(ResultsTeams[[#This Row],[Type]]="G",INDEX(TeamsList[Club Name],MATCH(ResultsTeams[[#This Row],[Team B]],TeamsList[Team Name],0)),AF171)</f>
        <v>SC Temploux</v>
      </c>
      <c r="AG172" s="265"/>
      <c r="AI172" s="12">
        <f>AI171</f>
        <v>0</v>
      </c>
      <c r="AJ172" s="309"/>
      <c r="AK172" s="320"/>
      <c r="AL172" s="311"/>
      <c r="AM172" s="292" t="str">
        <f>IF(AV172="","",SMALL(AN171:AN177,ROWS(AM171:AM172)))</f>
        <v/>
      </c>
      <c r="AN172" s="293" t="str">
        <f>IF(AV172="","",RANK(AR172,AR171:AR177)*1000+ROWS(AN171:AN172))</f>
        <v/>
      </c>
      <c r="AO172" s="316" t="str">
        <f t="shared" si="138"/>
        <v/>
      </c>
      <c r="AP172" s="415" t="b">
        <f>AND(AU172&lt;&gt;"",AU172&gt;0,COUNTIF(AO171:AO177,AO172)&gt;1)</f>
        <v>0</v>
      </c>
      <c r="AQ172" s="316" t="str">
        <f t="shared" si="139"/>
        <v/>
      </c>
      <c r="AR172" s="317" t="str">
        <f t="shared" si="140"/>
        <v/>
      </c>
      <c r="AS172" s="415" t="b">
        <f>AND(AU172&lt;&gt;"",AU172&gt;0,COUNTIF(AR171:AR177,AR172)&gt;1)</f>
        <v>0</v>
      </c>
      <c r="AT172" s="355" t="str">
        <f t="shared" si="141"/>
        <v/>
      </c>
      <c r="AU172" s="356" t="str">
        <f t="shared" si="142"/>
        <v/>
      </c>
      <c r="AV172" s="356" t="str">
        <f>IF(OR(AI170="",AJ172=""),"",COUNTIF(ResultsTeams[Win],AI170&amp;"-"&amp;AJ172))</f>
        <v/>
      </c>
      <c r="AW172" s="356" t="str">
        <f>IF(OR(AI170="",AJ172=""),"",COUNTIF(ResultsTeams[[Draw1]:[Draw2]],AI170&amp;"-"&amp;AJ172))</f>
        <v/>
      </c>
      <c r="AX172" s="356" t="str">
        <f>IF(OR(AI170="",AJ172=""),"",COUNTIF(ResultsTeams[Lose],AI170&amp;"-"&amp;AJ172))</f>
        <v/>
      </c>
      <c r="AY172" s="356" t="str">
        <f>IF(OR(AI170="",AJ172=""),"",AV172-AX172)</f>
        <v/>
      </c>
      <c r="AZ172" s="356" t="str">
        <f>IF(OR(AI171="",AJ172=""),"",SUMIFS(ResultsTeams[Match-A],ResultsTeams[Stage],"Groups",ResultsTeams[Team A],AJ172)+SUMIFS(ResultsTeams[Match-B],ResultsTeams[Stage],"Groups",ResultsTeams[Team B],AJ172))</f>
        <v/>
      </c>
      <c r="BA172" s="356" t="str">
        <f>IF(OR(AI171="",AJ172=""),"",SUMIFS(ResultsTeams[Match-B],ResultsTeams[Stage],"Groups",ResultsTeams[Team A],AJ172)+SUMIFS(ResultsTeams[Match-A],ResultsTeams[Stage],"Groups",ResultsTeams[Team B],AJ172))</f>
        <v/>
      </c>
      <c r="BB172" s="356" t="str">
        <f t="shared" ref="BB172:BB177" si="144">IF(OR(AI171="",AJ172=""),"",AZ172-BA172)</f>
        <v/>
      </c>
      <c r="BC172" s="356" t="str">
        <f>IF(OR(AI171="",AJ172=""),"",SUMIFS(ResultsTeams[Goal-A],ResultsTeams[Stage],"Groups",ResultsTeams[Team A],AJ172)+SUMIFS(ResultsTeams[Goal-B],ResultsTeams[Stage],"Groups",ResultsTeams[Team B],AJ172))</f>
        <v/>
      </c>
      <c r="BD172" s="356" t="str">
        <f>IF(OR(AI171="",AJ172=""),"",SUMIFS(ResultsTeams[Goal-B],ResultsTeams[Stage],"Groups",ResultsTeams[Team A],AJ172)+SUMIFS(ResultsTeams[Goal-A],ResultsTeams[Stage],"Groups",ResultsTeams[Team B],AJ172))</f>
        <v/>
      </c>
      <c r="BE172" s="357" t="str">
        <f>IF(OR(AI170="",AJ172=""),"",BC172-BD172)</f>
        <v/>
      </c>
      <c r="BF172" s="470" t="str">
        <f>IF(AM172="","",OR(VLOOKUP(AM172,AN171:BE177,3,FALSE),VLOOKUP(AM172,AN171:BE177,6,FALSE)))</f>
        <v/>
      </c>
      <c r="BG172" s="298" t="str">
        <f t="shared" si="143"/>
        <v/>
      </c>
      <c r="BH172" s="285" t="str">
        <f>IF(AM172="","",INDEX(AJ171:AJ177,MATCH(AM172,AN171:AN177,0)))</f>
        <v/>
      </c>
      <c r="BI172" s="286" t="str">
        <f>IF(AM172="","",VLOOKUP(AM172,AN171:BE177,COLUMN()-COLUMN(BB170),FALSE))</f>
        <v/>
      </c>
      <c r="BJ172" s="286" t="str">
        <f>IF(AM172="","",VLOOKUP(AM172,AN171:BE177,COLUMN()-COLUMN(BB170),FALSE))</f>
        <v/>
      </c>
      <c r="BK172" s="286" t="str">
        <f>IF(AM172="","",VLOOKUP(AM172,AN171:BE177,COLUMN()-COLUMN(BB170),FALSE))</f>
        <v/>
      </c>
      <c r="BL172" s="286" t="str">
        <f>IF(AM172="","",VLOOKUP(AM172,AN171:BE177,COLUMN()-COLUMN(BB170),FALSE))</f>
        <v/>
      </c>
      <c r="BM172" s="286" t="str">
        <f>IF(AM172="","",VLOOKUP(AM172,AN171:BE177,COLUMN()-COLUMN(BB170),FALSE))</f>
        <v/>
      </c>
      <c r="BN172" s="349" t="str">
        <f>IF(AM172="","",VLOOKUP(AM172,AN171:BE177,COLUMN()-COLUMN(BB170),FALSE))</f>
        <v/>
      </c>
      <c r="BO172" s="298" t="str">
        <f>IF(AM172="","",VLOOKUP(AM172,AN171:BE177,COLUMN()-COLUMN(BB170),FALSE))</f>
        <v/>
      </c>
      <c r="BP172" s="286" t="str">
        <f>IF(AM172="","",VLOOKUP(AM172,AN171:BE177,COLUMN()-COLUMN(BB170),FALSE))</f>
        <v/>
      </c>
      <c r="BQ172" s="301" t="str">
        <f>IF(AM172="","",VLOOKUP(AM172,AN171:BE177,COLUMN()-COLUMN(BB170),FALSE))</f>
        <v/>
      </c>
      <c r="BR172" s="352" t="str">
        <f>IF(AM172="","",VLOOKUP(AM172,AN171:BE177,COLUMN()-COLUMN(BB170),FALSE))</f>
        <v/>
      </c>
      <c r="BS172" s="286" t="str">
        <f>IF(AM172="","",VLOOKUP(AM172,AN171:BE177,COLUMN()-COLUMN(BB170),FALSE))</f>
        <v/>
      </c>
      <c r="BT172" s="301" t="str">
        <f>IF(AM172="","",VLOOKUP(AM172,AN171:BE177,COLUMN()-COLUMN(BB170),FALSE))</f>
        <v/>
      </c>
    </row>
    <row r="173" spans="1:72" ht="12" thickBot="1" x14ac:dyDescent="0.25">
      <c r="A173" s="261" t="s">
        <v>12693</v>
      </c>
      <c r="B173" s="270" t="s">
        <v>12207</v>
      </c>
      <c r="C173" s="270">
        <v>4</v>
      </c>
      <c r="D173" s="270"/>
      <c r="E173" s="272" t="s">
        <v>12228</v>
      </c>
      <c r="F173" s="273" t="s">
        <v>11495</v>
      </c>
      <c r="G173" s="273" t="s">
        <v>6490</v>
      </c>
      <c r="H173" s="275">
        <v>3</v>
      </c>
      <c r="I173" s="275">
        <v>1</v>
      </c>
      <c r="J173" s="275"/>
      <c r="K173" s="366"/>
      <c r="L173" s="366"/>
      <c r="M173" s="274"/>
      <c r="N173" s="265" t="b">
        <f>NOT(ISERROR(ResultsTeams[[#This Row],[Goal-A]]+ResultsTeams[[#This Row],[Goal-B]]))</f>
        <v>1</v>
      </c>
      <c r="O173" s="265">
        <f>IF(ResultsTeams[[#This Row],[Type]]="G",SUM(O174:O177),IF(LEFT(ResultsTeams[[#This Row],[Type]],1)="P",IF(ResultsTeams[[#This Row],[Goal-A]]&gt;ResultsTeams[[#This Row],[Goal-B]],1,0),""))</f>
        <v>3</v>
      </c>
      <c r="P173" s="265">
        <f>IF(ResultsTeams[[#This Row],[Type]]="G",SUM(P174:P177),IF(LEFT(ResultsTeams[[#This Row],[Type]],1)="P",IF(ResultsTeams[[#This Row],[Goal-A]]&lt;ResultsTeams[[#This Row],[Goal-B]],1,0),""))</f>
        <v>1</v>
      </c>
      <c r="Q173" s="265">
        <f>IF(ResultsTeams[[#This Row],[Type]]="G",SUM(Q174:Q177),IF(LEFT(ResultsTeams[[#This Row],[Type]],1)="P",VALUE(ResultsTeams[[#This Row],[Score-A]]),""))</f>
        <v>17</v>
      </c>
      <c r="R173" s="265">
        <f>IF(ResultsTeams[[#This Row],[Type]]="G",SUM(R174:R177),IF(LEFT(ResultsTeams[[#This Row],[Type]],1)="P",VALUE(ResultsTeams[[#This Row],[Score-B]]),""))</f>
        <v>5</v>
      </c>
      <c r="S173" s="265">
        <f ca="1">IF(AND(ResultsTeams[[#This Row],[Category]]&lt;&gt;"",ResultsTeams[[#This Row],[Team A]]&lt;&gt;""),COUNTIF(INDIRECT("TeamsList[Club Name]"),ResultsTeams[[#This Row],[Team A]]),"")</f>
        <v>1</v>
      </c>
      <c r="T173" s="265">
        <f ca="1">IF(AND(ResultsTeams[[#This Row],[Category]]&lt;&gt;"",ResultsTeams[[#This Row],[Team B]]&lt;&gt;""),COUNTIF(INDIRECT("TeamsList[Club Name]"),ResultsTeams[[#This Row],[Team B]]),"")</f>
        <v>1</v>
      </c>
      <c r="U1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TEAM-Subbuteo Dragons Azuqueca</v>
      </c>
      <c r="V173" s="265" t="str">
        <f>IF(ResultsTeams[[#This Row],[Score_OK]],IF(ResultsTeams[[#This Row],[StageCpy]]="Groups",ResultsTeams[[#This Row],[Category]]&amp;"-"&amp;IF(ResultsTeams[[#This Row],[Team B]]="","",IF(ResultsTeams[[#This Row],[Match-A]]=ResultsTeams[[#This Row],[Match-B]],ResultsTeams[[#This Row],[Team A]],"")),""),"")</f>
        <v>TEAM-</v>
      </c>
      <c r="W173" s="265" t="str">
        <f>IF(ResultsTeams[[#This Row],[Score_OK]],IF(ResultsTeams[[#This Row],[StageCpy]]="Groups",ResultsTeams[[#This Row],[Category]]&amp;"-"&amp;IF(ResultsTeams[[#This Row],[Team B]]="","",IF(ResultsTeams[[#This Row],[Match-A]]=ResultsTeams[[#This Row],[Match-B]],ResultsTeams[[#This Row],[Team B]],"")),""),"")</f>
        <v>TEAM-</v>
      </c>
      <c r="X1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v>
      </c>
      <c r="Y1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A1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B173" s="264" t="str">
        <f>IF(ResultsTeams[[#This Row],[Category]]="","",VLOOKUP(ResultsTeams[[#This Row],[Stage]],$R$1:$T$8,MATCH(ResultsTeams[[#This Row],[Category]],$S$1:$T$1,0)+1,FALSE))</f>
        <v>PR1</v>
      </c>
      <c r="AC1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3" s="264" t="str">
        <f>IF(ResultsTeams[[#This Row],[Type]]="G",ResultsTeams[[#This Row],[Stage]],AD172)</f>
        <v>Groups</v>
      </c>
      <c r="AE173" s="395" t="str">
        <f>IF(ResultsTeams[[#This Row],[Type]]="G",INDEX(TeamsList[Club Name],MATCH(ResultsTeams[[#This Row],[Team A]],TeamsList[Team Name],0)),AE172)</f>
        <v>Subbuteo Dragons Azuqueca</v>
      </c>
      <c r="AF173" s="395" t="str">
        <f>IF(ResultsTeams[[#This Row],[Type]]="G",INDEX(TeamsList[Club Name],MATCH(ResultsTeams[[#This Row],[Team B]],TeamsList[Team Name],0)),AF172)</f>
        <v>Dutch Legends</v>
      </c>
      <c r="AG173" s="265"/>
      <c r="AI173" s="12">
        <f t="shared" ref="AI173:AI177" si="145">AI172</f>
        <v>0</v>
      </c>
      <c r="AJ173" s="309"/>
      <c r="AK173" s="320"/>
      <c r="AL173" s="311"/>
      <c r="AM173" s="292" t="str">
        <f>IF(AV173="","",SMALL(AN171:AN177,ROWS(AM171:AM173)))</f>
        <v/>
      </c>
      <c r="AN173" s="293" t="str">
        <f>IF(AV173="","",RANK(AR173,AR171:AR177)*1000+ROWS(AN171:AN173))</f>
        <v/>
      </c>
      <c r="AO173" s="316" t="str">
        <f t="shared" si="138"/>
        <v/>
      </c>
      <c r="AP173" s="415" t="b">
        <f>AND(AU173&lt;&gt;"",AU173&gt;0,COUNTIF(AO171:AO177,AO173)&gt;1)</f>
        <v>0</v>
      </c>
      <c r="AQ173" s="316" t="str">
        <f t="shared" si="139"/>
        <v/>
      </c>
      <c r="AR173" s="317" t="str">
        <f t="shared" si="140"/>
        <v/>
      </c>
      <c r="AS173" s="415" t="b">
        <f>AND(AU173&lt;&gt;"",AU173&gt;0,COUNTIF(AR171:AR177,AR173)&gt;1)</f>
        <v>0</v>
      </c>
      <c r="AT173" s="355" t="str">
        <f t="shared" si="141"/>
        <v/>
      </c>
      <c r="AU173" s="356" t="str">
        <f t="shared" si="142"/>
        <v/>
      </c>
      <c r="AV173" s="356" t="str">
        <f>IF(OR(AI170="",AJ173=""),"",COUNTIF(ResultsTeams[Win],AI170&amp;"-"&amp;AJ173))</f>
        <v/>
      </c>
      <c r="AW173" s="356" t="str">
        <f>IF(OR(AI170="",AJ173=""),"",COUNTIF(ResultsTeams[[Draw1]:[Draw2]],AI170&amp;"-"&amp;AJ173))</f>
        <v/>
      </c>
      <c r="AX173" s="356" t="str">
        <f>IF(OR(AI170="",AJ173=""),"",COUNTIF(ResultsTeams[Lose],AI170&amp;"-"&amp;AJ173))</f>
        <v/>
      </c>
      <c r="AY173" s="356" t="str">
        <f>IF(OR(AI170="",AJ173=""),"",AV173-AX173)</f>
        <v/>
      </c>
      <c r="AZ173" s="356" t="str">
        <f>IF(OR(AI172="",AJ173=""),"",SUMIFS(ResultsTeams[Match-A],ResultsTeams[Stage],"Groups",ResultsTeams[Team A],AJ173)+SUMIFS(ResultsTeams[Match-B],ResultsTeams[Stage],"Groups",ResultsTeams[Team B],AJ173))</f>
        <v/>
      </c>
      <c r="BA173" s="356" t="str">
        <f>IF(OR(AI172="",AJ173=""),"",SUMIFS(ResultsTeams[Match-B],ResultsTeams[Stage],"Groups",ResultsTeams[Team A],AJ173)+SUMIFS(ResultsTeams[Match-A],ResultsTeams[Stage],"Groups",ResultsTeams[Team B],AJ173))</f>
        <v/>
      </c>
      <c r="BB173" s="356" t="str">
        <f t="shared" si="144"/>
        <v/>
      </c>
      <c r="BC173" s="356" t="str">
        <f>IF(OR(AI172="",AJ173=""),"",SUMIFS(ResultsTeams[Goal-A],ResultsTeams[Stage],"Groups",ResultsTeams[Team A],AJ173)+SUMIFS(ResultsTeams[Goal-B],ResultsTeams[Stage],"Groups",ResultsTeams[Team B],AJ173))</f>
        <v/>
      </c>
      <c r="BD173" s="356" t="str">
        <f>IF(OR(AI172="",AJ173=""),"",SUMIFS(ResultsTeams[Goal-B],ResultsTeams[Stage],"Groups",ResultsTeams[Team A],AJ173)+SUMIFS(ResultsTeams[Goal-A],ResultsTeams[Stage],"Groups",ResultsTeams[Team B],AJ173))</f>
        <v/>
      </c>
      <c r="BE173" s="357" t="str">
        <f>IF(OR(AI170="",AJ173=""),"",BC173-BD173)</f>
        <v/>
      </c>
      <c r="BF173" s="470" t="str">
        <f>IF(AM173="","",OR(VLOOKUP(AM173,AN171:BE177,3,FALSE),VLOOKUP(AM173,AN171:BE177,6,FALSE)))</f>
        <v/>
      </c>
      <c r="BG173" s="298" t="str">
        <f t="shared" si="143"/>
        <v/>
      </c>
      <c r="BH173" s="285" t="str">
        <f>IF(AM173="","",INDEX(AJ171:AJ177,MATCH(AM173,AN171:AN177,0)))</f>
        <v/>
      </c>
      <c r="BI173" s="286" t="str">
        <f>IF(AM173="","",VLOOKUP(AM173,AN171:BE177,COLUMN()-COLUMN(BB170),FALSE))</f>
        <v/>
      </c>
      <c r="BJ173" s="286" t="str">
        <f>IF(AM173="","",VLOOKUP(AM173,AN171:BE177,COLUMN()-COLUMN(BB170),FALSE))</f>
        <v/>
      </c>
      <c r="BK173" s="286" t="str">
        <f>IF(AM173="","",VLOOKUP(AM173,AN171:BE177,COLUMN()-COLUMN(BB170),FALSE))</f>
        <v/>
      </c>
      <c r="BL173" s="286" t="str">
        <f>IF(AM173="","",VLOOKUP(AM173,AN171:BE177,COLUMN()-COLUMN(BB170),FALSE))</f>
        <v/>
      </c>
      <c r="BM173" s="286" t="str">
        <f>IF(AM173="","",VLOOKUP(AM173,AN171:BE177,COLUMN()-COLUMN(BB170),FALSE))</f>
        <v/>
      </c>
      <c r="BN173" s="349" t="str">
        <f>IF(AM173="","",VLOOKUP(AM173,AN171:BE177,COLUMN()-COLUMN(BB170),FALSE))</f>
        <v/>
      </c>
      <c r="BO173" s="298" t="str">
        <f>IF(AM173="","",VLOOKUP(AM173,AN171:BE177,COLUMN()-COLUMN(BB170),FALSE))</f>
        <v/>
      </c>
      <c r="BP173" s="286" t="str">
        <f>IF(AM173="","",VLOOKUP(AM173,AN171:BE177,COLUMN()-COLUMN(BB170),FALSE))</f>
        <v/>
      </c>
      <c r="BQ173" s="301" t="str">
        <f>IF(AM173="","",VLOOKUP(AM173,AN171:BE177,COLUMN()-COLUMN(BB170),FALSE))</f>
        <v/>
      </c>
      <c r="BR173" s="352" t="str">
        <f>IF(AM173="","",VLOOKUP(AM173,AN171:BE177,COLUMN()-COLUMN(BB170),FALSE))</f>
        <v/>
      </c>
      <c r="BS173" s="286" t="str">
        <f>IF(AM173="","",VLOOKUP(AM173,AN171:BE177,COLUMN()-COLUMN(BB170),FALSE))</f>
        <v/>
      </c>
      <c r="BT173" s="301" t="str">
        <f>IF(AM173="","",VLOOKUP(AM173,AN171:BE177,COLUMN()-COLUMN(BB170),FALSE))</f>
        <v/>
      </c>
    </row>
    <row r="174" spans="1:72" x14ac:dyDescent="0.2">
      <c r="A174" s="60"/>
      <c r="B174" s="280"/>
      <c r="C174" s="60"/>
      <c r="D174" s="60"/>
      <c r="E174" s="240" t="s">
        <v>12231</v>
      </c>
      <c r="F174" s="244" t="s">
        <v>8643</v>
      </c>
      <c r="G174" s="244" t="s">
        <v>11459</v>
      </c>
      <c r="H174" s="253">
        <v>11</v>
      </c>
      <c r="I174" s="253">
        <v>1</v>
      </c>
      <c r="J174" s="253"/>
      <c r="K174" s="362"/>
      <c r="L174" s="362"/>
      <c r="M174" s="245"/>
      <c r="N174" s="265" t="b">
        <f>NOT(ISERROR(ResultsTeams[[#This Row],[Goal-A]]+ResultsTeams[[#This Row],[Goal-B]]))</f>
        <v>1</v>
      </c>
      <c r="O174" s="265">
        <f>IF(ResultsTeams[[#This Row],[Type]]="G",SUM(O175:O178),IF(LEFT(ResultsTeams[[#This Row],[Type]],1)="P",IF(ResultsTeams[[#This Row],[Goal-A]]&gt;ResultsTeams[[#This Row],[Goal-B]],1,0),""))</f>
        <v>1</v>
      </c>
      <c r="P174" s="265">
        <f>IF(ResultsTeams[[#This Row],[Type]]="G",SUM(P175:P178),IF(LEFT(ResultsTeams[[#This Row],[Type]],1)="P",IF(ResultsTeams[[#This Row],[Goal-A]]&lt;ResultsTeams[[#This Row],[Goal-B]],1,0),""))</f>
        <v>0</v>
      </c>
      <c r="Q174" s="265">
        <f>IF(ResultsTeams[[#This Row],[Type]]="G",SUM(Q175:Q178),IF(LEFT(ResultsTeams[[#This Row],[Type]],1)="P",VALUE(ResultsTeams[[#This Row],[Score-A]]),""))</f>
        <v>11</v>
      </c>
      <c r="R174" s="265">
        <f>IF(ResultsTeams[[#This Row],[Type]]="G",SUM(R175:R178),IF(LEFT(ResultsTeams[[#This Row],[Type]],1)="P",VALUE(ResultsTeams[[#This Row],[Score-B]]),""))</f>
        <v>1</v>
      </c>
      <c r="S174" s="265" t="str">
        <f ca="1">IF(AND(ResultsTeams[[#This Row],[Category]]&lt;&gt;"",ResultsTeams[[#This Row],[Team A]]&lt;&gt;""),COUNTIF(INDIRECT("TeamsList[Club Name]"),ResultsTeams[[#This Row],[Team A]]),"")</f>
        <v/>
      </c>
      <c r="T174" s="265" t="str">
        <f ca="1">IF(AND(ResultsTeams[[#This Row],[Category]]&lt;&gt;"",ResultsTeams[[#This Row],[Team B]]&lt;&gt;""),COUNTIF(INDIRECT("TeamsList[Club Name]"),ResultsTeams[[#This Row],[Team B]]),"")</f>
        <v/>
      </c>
      <c r="U1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-Alberto Gómez</v>
      </c>
      <c r="V174" s="265" t="str">
        <f>IF(ResultsTeams[[#This Row],[Score_OK]],IF(ResultsTeams[[#This Row],[StageCpy]]="Groups",ResultsTeams[[#This Row],[Category]]&amp;"-"&amp;IF(ResultsTeams[[#This Row],[Team B]]="","",IF(ResultsTeams[[#This Row],[Match-A]]=ResultsTeams[[#This Row],[Match-B]],ResultsTeams[[#This Row],[Team A]],"")),""),"")</f>
        <v>-</v>
      </c>
      <c r="W174" s="265" t="str">
        <f>IF(ResultsTeams[[#This Row],[Score_OK]],IF(ResultsTeams[[#This Row],[StageCpy]]="Groups",ResultsTeams[[#This Row],[Category]]&amp;"-"&amp;IF(ResultsTeams[[#This Row],[Team B]]="","",IF(ResultsTeams[[#This Row],[Match-A]]=ResultsTeams[[#This Row],[Match-B]],ResultsTeams[[#This Row],[Team B]],"")),""),"")</f>
        <v>-</v>
      </c>
      <c r="X1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-Cailim Marks</v>
      </c>
      <c r="Y1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4" s="264" t="str">
        <f>IF(ResultsTeams[[#This Row],[Category]]="","",VLOOKUP(ResultsTeams[[#This Row],[Stage]],$R$1:$T$8,MATCH(ResultsTeams[[#This Row],[Category]],$S$1:$T$1,0)+1,FALSE))</f>
        <v/>
      </c>
      <c r="AC1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4" s="264" t="str">
        <f>IF(ResultsTeams[[#This Row],[Type]]="G",ResultsTeams[[#This Row],[Stage]],AD173)</f>
        <v>Groups</v>
      </c>
      <c r="AE174" s="395" t="str">
        <f>IF(ResultsTeams[[#This Row],[Type]]="G",INDEX(TeamsList[Club Name],MATCH(ResultsTeams[[#This Row],[Team A]],TeamsList[Team Name],0)),AE173)</f>
        <v>Subbuteo Dragons Azuqueca</v>
      </c>
      <c r="AF174" s="395" t="str">
        <f>IF(ResultsTeams[[#This Row],[Type]]="G",INDEX(TeamsList[Club Name],MATCH(ResultsTeams[[#This Row],[Team B]],TeamsList[Team Name],0)),AF173)</f>
        <v>Dutch Legends</v>
      </c>
      <c r="AG174" s="265"/>
      <c r="AH174" s="91"/>
      <c r="AI174" s="12">
        <f t="shared" si="145"/>
        <v>0</v>
      </c>
      <c r="AJ174" s="309"/>
      <c r="AK174" s="310"/>
      <c r="AL174" s="311"/>
      <c r="AM174" s="292" t="str">
        <f>IF(AV174="","",SMALL(AN171:AN177,ROWS(AM171:AM174)))</f>
        <v/>
      </c>
      <c r="AN174" s="293" t="str">
        <f>IF(AV174="","",RANK(AR174,AR171:AR177)*1000+ROWS(AN171:AN174))</f>
        <v/>
      </c>
      <c r="AO174" s="316" t="str">
        <f t="shared" si="138"/>
        <v/>
      </c>
      <c r="AP174" s="415" t="b">
        <f>AND(AU174&lt;&gt;"",AU174&gt;0,COUNTIF(AO171:AO177,AO174)&gt;1)</f>
        <v>0</v>
      </c>
      <c r="AQ174" s="316" t="str">
        <f t="shared" si="139"/>
        <v/>
      </c>
      <c r="AR174" s="317" t="str">
        <f t="shared" si="140"/>
        <v/>
      </c>
      <c r="AS174" s="415" t="b">
        <f>AND(AU174&lt;&gt;"",AU174&gt;0,COUNTIF(AR171:AR177,AR174)&gt;1)</f>
        <v>0</v>
      </c>
      <c r="AT174" s="355" t="str">
        <f t="shared" si="141"/>
        <v/>
      </c>
      <c r="AU174" s="356" t="str">
        <f t="shared" si="142"/>
        <v/>
      </c>
      <c r="AV174" s="356" t="str">
        <f>IF(OR(AI170="",AJ174=""),"",COUNTIF(ResultsTeams[Win],AI170&amp;"-"&amp;AJ174))</f>
        <v/>
      </c>
      <c r="AW174" s="356" t="str">
        <f>IF(OR(AI170="",AJ174=""),"",COUNTIF(ResultsTeams[[Draw1]:[Draw2]],AI170&amp;"-"&amp;AJ174))</f>
        <v/>
      </c>
      <c r="AX174" s="356" t="str">
        <f>IF(OR(AI170="",AJ174=""),"",COUNTIF(ResultsTeams[Lose],AI170&amp;"-"&amp;AJ174))</f>
        <v/>
      </c>
      <c r="AY174" s="356" t="str">
        <f>IF(OR(AI170="",AJ174=""),"",AV174-AX174)</f>
        <v/>
      </c>
      <c r="AZ174" s="356" t="str">
        <f>IF(OR(AI173="",AJ174=""),"",SUMIFS(ResultsTeams[Match-A],ResultsTeams[Stage],"Groups",ResultsTeams[Team A],AJ174)+SUMIFS(ResultsTeams[Match-B],ResultsTeams[Stage],"Groups",ResultsTeams[Team B],AJ174))</f>
        <v/>
      </c>
      <c r="BA174" s="356" t="str">
        <f>IF(OR(AI173="",AJ174=""),"",SUMIFS(ResultsTeams[Match-B],ResultsTeams[Stage],"Groups",ResultsTeams[Team A],AJ174)+SUMIFS(ResultsTeams[Match-A],ResultsTeams[Stage],"Groups",ResultsTeams[Team B],AJ174))</f>
        <v/>
      </c>
      <c r="BB174" s="356" t="str">
        <f t="shared" si="144"/>
        <v/>
      </c>
      <c r="BC174" s="356" t="str">
        <f>IF(OR(AI173="",AJ174=""),"",SUMIFS(ResultsTeams[Goal-A],ResultsTeams[Stage],"Groups",ResultsTeams[Team A],AJ174)+SUMIFS(ResultsTeams[Goal-B],ResultsTeams[Stage],"Groups",ResultsTeams[Team B],AJ174))</f>
        <v/>
      </c>
      <c r="BD174" s="356" t="str">
        <f>IF(OR(AI173="",AJ174=""),"",SUMIFS(ResultsTeams[Goal-B],ResultsTeams[Stage],"Groups",ResultsTeams[Team A],AJ174)+SUMIFS(ResultsTeams[Goal-A],ResultsTeams[Stage],"Groups",ResultsTeams[Team B],AJ174))</f>
        <v/>
      </c>
      <c r="BE174" s="357" t="str">
        <f>IF(OR(AI170="",AJ174=""),"",BC174-BD174)</f>
        <v/>
      </c>
      <c r="BF174" s="470" t="str">
        <f>IF(AM174="","",OR(VLOOKUP(AM174,AN171:BE177,3,FALSE),VLOOKUP(AM174,AN171:BE177,6,FALSE)))</f>
        <v/>
      </c>
      <c r="BG174" s="298" t="str">
        <f t="shared" si="143"/>
        <v/>
      </c>
      <c r="BH174" s="285" t="str">
        <f>IF(AM174="","",INDEX(AJ171:AJ177,MATCH(AM174,AN171:AN177,0)))</f>
        <v/>
      </c>
      <c r="BI174" s="286" t="str">
        <f>IF(AM174="","",VLOOKUP(AM174,AN171:BE177,COLUMN()-COLUMN(BB170),FALSE))</f>
        <v/>
      </c>
      <c r="BJ174" s="286" t="str">
        <f>IF(AM174="","",VLOOKUP(AM174,AN171:BE177,COLUMN()-COLUMN(BB170),FALSE))</f>
        <v/>
      </c>
      <c r="BK174" s="286" t="str">
        <f>IF(AM174="","",VLOOKUP(AM174,AN171:BE177,COLUMN()-COLUMN(BB170),FALSE))</f>
        <v/>
      </c>
      <c r="BL174" s="286" t="str">
        <f>IF(AM174="","",VLOOKUP(AM174,AN171:BE177,COLUMN()-COLUMN(BB170),FALSE))</f>
        <v/>
      </c>
      <c r="BM174" s="286" t="str">
        <f>IF(AM174="","",VLOOKUP(AM174,AN171:BE177,COLUMN()-COLUMN(BB170),FALSE))</f>
        <v/>
      </c>
      <c r="BN174" s="349" t="str">
        <f>IF(AM174="","",VLOOKUP(AM174,AN171:BE177,COLUMN()-COLUMN(BB170),FALSE))</f>
        <v/>
      </c>
      <c r="BO174" s="298" t="str">
        <f>IF(AM174="","",VLOOKUP(AM174,AN171:BE177,COLUMN()-COLUMN(BB170),FALSE))</f>
        <v/>
      </c>
      <c r="BP174" s="286" t="str">
        <f>IF(AM174="","",VLOOKUP(AM174,AN171:BE177,COLUMN()-COLUMN(BB170),FALSE))</f>
        <v/>
      </c>
      <c r="BQ174" s="301" t="str">
        <f>IF(AM174="","",VLOOKUP(AM174,AN171:BE177,COLUMN()-COLUMN(BB170),FALSE))</f>
        <v/>
      </c>
      <c r="BR174" s="352" t="str">
        <f>IF(AM174="","",VLOOKUP(AM174,AN171:BE177,COLUMN()-COLUMN(BB170),FALSE))</f>
        <v/>
      </c>
      <c r="BS174" s="286" t="str">
        <f>IF(AM174="","",VLOOKUP(AM174,AN171:BE177,COLUMN()-COLUMN(BB170),FALSE))</f>
        <v/>
      </c>
      <c r="BT174" s="301" t="str">
        <f>IF(AM174="","",VLOOKUP(AM174,AN171:BE177,COLUMN()-COLUMN(BB170),FALSE))</f>
        <v/>
      </c>
    </row>
    <row r="175" spans="1:72" x14ac:dyDescent="0.2">
      <c r="A175" s="62"/>
      <c r="B175" s="280"/>
      <c r="C175" s="62"/>
      <c r="D175" s="62"/>
      <c r="E175" s="241" t="s">
        <v>12234</v>
      </c>
      <c r="F175" s="246" t="s">
        <v>10542</v>
      </c>
      <c r="G175" s="246" t="s">
        <v>12619</v>
      </c>
      <c r="H175" s="254">
        <v>3</v>
      </c>
      <c r="I175" s="254">
        <v>0</v>
      </c>
      <c r="J175" s="254"/>
      <c r="K175" s="363"/>
      <c r="L175" s="363"/>
      <c r="M175" s="247"/>
      <c r="N175" s="265" t="b">
        <f>NOT(ISERROR(ResultsTeams[[#This Row],[Goal-A]]+ResultsTeams[[#This Row],[Goal-B]]))</f>
        <v>1</v>
      </c>
      <c r="O175" s="265">
        <f>IF(ResultsTeams[[#This Row],[Type]]="G",SUM(O176:O179),IF(LEFT(ResultsTeams[[#This Row],[Type]],1)="P",IF(ResultsTeams[[#This Row],[Goal-A]]&gt;ResultsTeams[[#This Row],[Goal-B]],1,0),""))</f>
        <v>1</v>
      </c>
      <c r="P175" s="265">
        <f>IF(ResultsTeams[[#This Row],[Type]]="G",SUM(P176:P179),IF(LEFT(ResultsTeams[[#This Row],[Type]],1)="P",IF(ResultsTeams[[#This Row],[Goal-A]]&lt;ResultsTeams[[#This Row],[Goal-B]],1,0),""))</f>
        <v>0</v>
      </c>
      <c r="Q175" s="265">
        <f>IF(ResultsTeams[[#This Row],[Type]]="G",SUM(Q176:Q179),IF(LEFT(ResultsTeams[[#This Row],[Type]],1)="P",VALUE(ResultsTeams[[#This Row],[Score-A]]),""))</f>
        <v>3</v>
      </c>
      <c r="R175" s="265">
        <f>IF(ResultsTeams[[#This Row],[Type]]="G",SUM(R176:R179),IF(LEFT(ResultsTeams[[#This Row],[Type]],1)="P",VALUE(ResultsTeams[[#This Row],[Score-B]]),""))</f>
        <v>0</v>
      </c>
      <c r="S175" s="265" t="str">
        <f ca="1">IF(AND(ResultsTeams[[#This Row],[Category]]&lt;&gt;"",ResultsTeams[[#This Row],[Team A]]&lt;&gt;""),COUNTIF(INDIRECT("TeamsList[Club Name]"),ResultsTeams[[#This Row],[Team A]]),"")</f>
        <v/>
      </c>
      <c r="T175" s="265" t="str">
        <f ca="1">IF(AND(ResultsTeams[[#This Row],[Category]]&lt;&gt;"",ResultsTeams[[#This Row],[Team B]]&lt;&gt;""),COUNTIF(INDIRECT("TeamsList[Club Name]"),ResultsTeams[[#This Row],[Team B]]),"")</f>
        <v/>
      </c>
      <c r="U1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-Carolina Villarigues</v>
      </c>
      <c r="V175" s="265" t="str">
        <f>IF(ResultsTeams[[#This Row],[Score_OK]],IF(ResultsTeams[[#This Row],[StageCpy]]="Groups",ResultsTeams[[#This Row],[Category]]&amp;"-"&amp;IF(ResultsTeams[[#This Row],[Team B]]="","",IF(ResultsTeams[[#This Row],[Match-A]]=ResultsTeams[[#This Row],[Match-B]],ResultsTeams[[#This Row],[Team A]],"")),""),"")</f>
        <v>-</v>
      </c>
      <c r="W175" s="265" t="str">
        <f>IF(ResultsTeams[[#This Row],[Score_OK]],IF(ResultsTeams[[#This Row],[StageCpy]]="Groups",ResultsTeams[[#This Row],[Category]]&amp;"-"&amp;IF(ResultsTeams[[#This Row],[Team B]]="","",IF(ResultsTeams[[#This Row],[Match-A]]=ResultsTeams[[#This Row],[Match-B]],ResultsTeams[[#This Row],[Team B]],"")),""),"")</f>
        <v>-</v>
      </c>
      <c r="X1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-Richard Oranje</v>
      </c>
      <c r="Y1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5" s="264" t="str">
        <f>IF(ResultsTeams[[#This Row],[Category]]="","",VLOOKUP(ResultsTeams[[#This Row],[Stage]],$R$1:$T$8,MATCH(ResultsTeams[[#This Row],[Category]],$S$1:$T$1,0)+1,FALSE))</f>
        <v/>
      </c>
      <c r="AC1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5" s="264" t="str">
        <f>IF(ResultsTeams[[#This Row],[Type]]="G",ResultsTeams[[#This Row],[Stage]],AD174)</f>
        <v>Groups</v>
      </c>
      <c r="AE175" s="395" t="str">
        <f>IF(ResultsTeams[[#This Row],[Type]]="G",INDEX(TeamsList[Club Name],MATCH(ResultsTeams[[#This Row],[Team A]],TeamsList[Team Name],0)),AE174)</f>
        <v>Subbuteo Dragons Azuqueca</v>
      </c>
      <c r="AF175" s="395" t="str">
        <f>IF(ResultsTeams[[#This Row],[Type]]="G",INDEX(TeamsList[Club Name],MATCH(ResultsTeams[[#This Row],[Team B]],TeamsList[Team Name],0)),AF174)</f>
        <v>Dutch Legends</v>
      </c>
      <c r="AG175" s="265"/>
      <c r="AH175" s="91"/>
      <c r="AI175" s="12">
        <f t="shared" si="145"/>
        <v>0</v>
      </c>
      <c r="AJ175" s="309"/>
      <c r="AK175" s="310"/>
      <c r="AL175" s="311"/>
      <c r="AM175" s="292" t="str">
        <f>IF(AV175="","",SMALL(AN171:AN177,ROWS(AM171:AM175)))</f>
        <v/>
      </c>
      <c r="AN175" s="293" t="str">
        <f>IF(AV175="","",RANK(AR175,AR171:AR177)*1000+ROWS(AN171:AN175))</f>
        <v/>
      </c>
      <c r="AO175" s="316" t="str">
        <f t="shared" si="138"/>
        <v/>
      </c>
      <c r="AP175" s="415" t="b">
        <f>AND(AU175&lt;&gt;"",AU175&gt;0,COUNTIF(AO171:AO177,AO175)&gt;1)</f>
        <v>0</v>
      </c>
      <c r="AQ175" s="316" t="str">
        <f t="shared" si="139"/>
        <v/>
      </c>
      <c r="AR175" s="317" t="str">
        <f t="shared" si="140"/>
        <v/>
      </c>
      <c r="AS175" s="415" t="b">
        <f>AND(AU175&lt;&gt;"",AU175&gt;0,COUNTIF(AR171:AR177,AR175)&gt;1)</f>
        <v>0</v>
      </c>
      <c r="AT175" s="355" t="str">
        <f t="shared" si="141"/>
        <v/>
      </c>
      <c r="AU175" s="356" t="str">
        <f t="shared" si="142"/>
        <v/>
      </c>
      <c r="AV175" s="356" t="str">
        <f>IF(OR(AI170="",AJ175=""),"",COUNTIF(ResultsTeams[Win],AI170&amp;"-"&amp;AJ175))</f>
        <v/>
      </c>
      <c r="AW175" s="356" t="str">
        <f>IF(OR(AI170="",AJ175=""),"",COUNTIF(ResultsTeams[[Draw1]:[Draw2]],AI170&amp;"-"&amp;AJ175))</f>
        <v/>
      </c>
      <c r="AX175" s="356" t="str">
        <f>IF(OR(AI170="",AJ175=""),"",COUNTIF(ResultsTeams[Lose],AI170&amp;"-"&amp;AJ175))</f>
        <v/>
      </c>
      <c r="AY175" s="356" t="str">
        <f>IF(OR(AI170="",AJ175=""),"",AV175-AX175)</f>
        <v/>
      </c>
      <c r="AZ175" s="356" t="str">
        <f>IF(OR(AI174="",AJ175=""),"",SUMIFS(ResultsTeams[Match-A],ResultsTeams[Stage],"Groups",ResultsTeams[Team A],AJ175)+SUMIFS(ResultsTeams[Match-B],ResultsTeams[Stage],"Groups",ResultsTeams[Team B],AJ175))</f>
        <v/>
      </c>
      <c r="BA175" s="356" t="str">
        <f>IF(OR(AI174="",AJ175=""),"",SUMIFS(ResultsTeams[Match-B],ResultsTeams[Stage],"Groups",ResultsTeams[Team A],AJ175)+SUMIFS(ResultsTeams[Match-A],ResultsTeams[Stage],"Groups",ResultsTeams[Team B],AJ175))</f>
        <v/>
      </c>
      <c r="BB175" s="356" t="str">
        <f t="shared" si="144"/>
        <v/>
      </c>
      <c r="BC175" s="356" t="str">
        <f>IF(OR(AI174="",AJ175=""),"",SUMIFS(ResultsTeams[Goal-A],ResultsTeams[Stage],"Groups",ResultsTeams[Team A],AJ175)+SUMIFS(ResultsTeams[Goal-B],ResultsTeams[Stage],"Groups",ResultsTeams[Team B],AJ175))</f>
        <v/>
      </c>
      <c r="BD175" s="356" t="str">
        <f>IF(OR(AI174="",AJ175=""),"",SUMIFS(ResultsTeams[Goal-B],ResultsTeams[Stage],"Groups",ResultsTeams[Team A],AJ175)+SUMIFS(ResultsTeams[Goal-A],ResultsTeams[Stage],"Groups",ResultsTeams[Team B],AJ175))</f>
        <v/>
      </c>
      <c r="BE175" s="357" t="str">
        <f>IF(OR(AI170="",AJ175=""),"",BC175-BD175)</f>
        <v/>
      </c>
      <c r="BF175" s="470" t="str">
        <f>IF(AM175="","",OR(VLOOKUP(AM175,AN171:BE177,3,FALSE),VLOOKUP(AM175,AN171:BE177,6,FALSE)))</f>
        <v/>
      </c>
      <c r="BG175" s="298" t="str">
        <f t="shared" si="143"/>
        <v/>
      </c>
      <c r="BH175" s="285" t="str">
        <f>IF(AM175="","",INDEX(AJ171:AJ177,MATCH(AM175,AN171:AN177,0)))</f>
        <v/>
      </c>
      <c r="BI175" s="286" t="str">
        <f>IF(AM175="","",VLOOKUP(AM175,AN171:BE177,COLUMN()-COLUMN(BB170),FALSE))</f>
        <v/>
      </c>
      <c r="BJ175" s="286" t="str">
        <f>IF(AM175="","",VLOOKUP(AM175,AN171:BE177,COLUMN()-COLUMN(BB170),FALSE))</f>
        <v/>
      </c>
      <c r="BK175" s="286" t="str">
        <f>IF(AM175="","",VLOOKUP(AM175,AN171:BE177,COLUMN()-COLUMN(BB170),FALSE))</f>
        <v/>
      </c>
      <c r="BL175" s="286" t="str">
        <f>IF(AM175="","",VLOOKUP(AM175,AN171:BE177,COLUMN()-COLUMN(BB170),FALSE))</f>
        <v/>
      </c>
      <c r="BM175" s="286" t="str">
        <f>IF(AM175="","",VLOOKUP(AM175,AN171:BE177,COLUMN()-COLUMN(BB170),FALSE))</f>
        <v/>
      </c>
      <c r="BN175" s="349" t="str">
        <f>IF(AM175="","",VLOOKUP(AM175,AN171:BE177,COLUMN()-COLUMN(BB170),FALSE))</f>
        <v/>
      </c>
      <c r="BO175" s="298" t="str">
        <f>IF(AM175="","",VLOOKUP(AM175,AN171:BE177,COLUMN()-COLUMN(BB170),FALSE))</f>
        <v/>
      </c>
      <c r="BP175" s="286" t="str">
        <f>IF(AM175="","",VLOOKUP(AM175,AN171:BE177,COLUMN()-COLUMN(BB170),FALSE))</f>
        <v/>
      </c>
      <c r="BQ175" s="301" t="str">
        <f>IF(AM175="","",VLOOKUP(AM175,AN171:BE177,COLUMN()-COLUMN(BB170),FALSE))</f>
        <v/>
      </c>
      <c r="BR175" s="352" t="str">
        <f>IF(AM175="","",VLOOKUP(AM175,AN171:BE177,COLUMN()-COLUMN(BB170),FALSE))</f>
        <v/>
      </c>
      <c r="BS175" s="286" t="str">
        <f>IF(AM175="","",VLOOKUP(AM175,AN171:BE177,COLUMN()-COLUMN(BB170),FALSE))</f>
        <v/>
      </c>
      <c r="BT175" s="301" t="str">
        <f>IF(AM175="","",VLOOKUP(AM175,AN171:BE177,COLUMN()-COLUMN(BB170),FALSE))</f>
        <v/>
      </c>
    </row>
    <row r="176" spans="1:72" x14ac:dyDescent="0.2">
      <c r="A176" s="62"/>
      <c r="B176" s="280"/>
      <c r="C176" s="62"/>
      <c r="D176" s="62"/>
      <c r="E176" s="241" t="s">
        <v>12237</v>
      </c>
      <c r="F176" s="246" t="s">
        <v>14609</v>
      </c>
      <c r="G176" s="246" t="s">
        <v>11473</v>
      </c>
      <c r="H176" s="254">
        <v>0</v>
      </c>
      <c r="I176" s="254">
        <v>2</v>
      </c>
      <c r="J176" s="254"/>
      <c r="K176" s="363"/>
      <c r="L176" s="363"/>
      <c r="M176" s="247"/>
      <c r="N176" s="265" t="b">
        <f>NOT(ISERROR(ResultsTeams[[#This Row],[Goal-A]]+ResultsTeams[[#This Row],[Goal-B]]))</f>
        <v>1</v>
      </c>
      <c r="O176" s="265">
        <f>IF(ResultsTeams[[#This Row],[Type]]="G",SUM(O177:O180),IF(LEFT(ResultsTeams[[#This Row],[Type]],1)="P",IF(ResultsTeams[[#This Row],[Goal-A]]&gt;ResultsTeams[[#This Row],[Goal-B]],1,0),""))</f>
        <v>0</v>
      </c>
      <c r="P176" s="265">
        <f>IF(ResultsTeams[[#This Row],[Type]]="G",SUM(P177:P180),IF(LEFT(ResultsTeams[[#This Row],[Type]],1)="P",IF(ResultsTeams[[#This Row],[Goal-A]]&lt;ResultsTeams[[#This Row],[Goal-B]],1,0),""))</f>
        <v>1</v>
      </c>
      <c r="Q176" s="265">
        <f>IF(ResultsTeams[[#This Row],[Type]]="G",SUM(Q177:Q180),IF(LEFT(ResultsTeams[[#This Row],[Type]],1)="P",VALUE(ResultsTeams[[#This Row],[Score-A]]),""))</f>
        <v>0</v>
      </c>
      <c r="R176" s="265">
        <f>IF(ResultsTeams[[#This Row],[Type]]="G",SUM(R177:R180),IF(LEFT(ResultsTeams[[#This Row],[Type]],1)="P",VALUE(ResultsTeams[[#This Row],[Score-B]]),""))</f>
        <v>2</v>
      </c>
      <c r="S176" s="265" t="str">
        <f ca="1">IF(AND(ResultsTeams[[#This Row],[Category]]&lt;&gt;"",ResultsTeams[[#This Row],[Team A]]&lt;&gt;""),COUNTIF(INDIRECT("TeamsList[Club Name]"),ResultsTeams[[#This Row],[Team A]]),"")</f>
        <v/>
      </c>
      <c r="T176" s="265" t="str">
        <f ca="1">IF(AND(ResultsTeams[[#This Row],[Category]]&lt;&gt;"",ResultsTeams[[#This Row],[Team B]]&lt;&gt;""),COUNTIF(INDIRECT("TeamsList[Club Name]"),ResultsTeams[[#This Row],[Team B]]),"")</f>
        <v/>
      </c>
      <c r="U1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-Xavier Aret</v>
      </c>
      <c r="V176" s="265" t="str">
        <f>IF(ResultsTeams[[#This Row],[Score_OK]],IF(ResultsTeams[[#This Row],[StageCpy]]="Groups",ResultsTeams[[#This Row],[Category]]&amp;"-"&amp;IF(ResultsTeams[[#This Row],[Team B]]="","",IF(ResultsTeams[[#This Row],[Match-A]]=ResultsTeams[[#This Row],[Match-B]],ResultsTeams[[#This Row],[Team A]],"")),""),"")</f>
        <v>-</v>
      </c>
      <c r="W176" s="265" t="str">
        <f>IF(ResultsTeams[[#This Row],[Score_OK]],IF(ResultsTeams[[#This Row],[StageCpy]]="Groups",ResultsTeams[[#This Row],[Category]]&amp;"-"&amp;IF(ResultsTeams[[#This Row],[Team B]]="","",IF(ResultsTeams[[#This Row],[Match-A]]=ResultsTeams[[#This Row],[Match-B]],ResultsTeams[[#This Row],[Team B]],"")),""),"")</f>
        <v>-</v>
      </c>
      <c r="X1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-Emilio Tomás Torrico</v>
      </c>
      <c r="Y1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6" s="264" t="str">
        <f>IF(ResultsTeams[[#This Row],[Category]]="","",VLOOKUP(ResultsTeams[[#This Row],[Stage]],$R$1:$T$8,MATCH(ResultsTeams[[#This Row],[Category]],$S$1:$T$1,0)+1,FALSE))</f>
        <v/>
      </c>
      <c r="AC1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6" s="264" t="str">
        <f>IF(ResultsTeams[[#This Row],[Type]]="G",ResultsTeams[[#This Row],[Stage]],AD175)</f>
        <v>Groups</v>
      </c>
      <c r="AE176" s="395" t="str">
        <f>IF(ResultsTeams[[#This Row],[Type]]="G",INDEX(TeamsList[Club Name],MATCH(ResultsTeams[[#This Row],[Team A]],TeamsList[Team Name],0)),AE175)</f>
        <v>Subbuteo Dragons Azuqueca</v>
      </c>
      <c r="AF176" s="395" t="str">
        <f>IF(ResultsTeams[[#This Row],[Type]]="G",INDEX(TeamsList[Club Name],MATCH(ResultsTeams[[#This Row],[Team B]],TeamsList[Team Name],0)),AF175)</f>
        <v>Dutch Legends</v>
      </c>
      <c r="AG176" s="265"/>
      <c r="AI176" s="12">
        <f t="shared" si="145"/>
        <v>0</v>
      </c>
      <c r="AJ176" s="309"/>
      <c r="AK176" s="310"/>
      <c r="AL176" s="311"/>
      <c r="AM176" s="292" t="str">
        <f>IF(AV176="","",SMALL(AN171:AN177,ROWS(AM171:AM176)))</f>
        <v/>
      </c>
      <c r="AN176" s="293" t="str">
        <f>IF(AV176="","",RANK(AR176,AR171:AR177)*1000+ROWS(AN171:AN176))</f>
        <v/>
      </c>
      <c r="AO176" s="316" t="str">
        <f t="shared" si="138"/>
        <v/>
      </c>
      <c r="AP176" s="415" t="b">
        <f>AND(AU176&lt;&gt;"",AU176&gt;0,COUNTIF(AO171:AO177,AO176)&gt;1)</f>
        <v>0</v>
      </c>
      <c r="AQ176" s="316" t="str">
        <f t="shared" si="139"/>
        <v/>
      </c>
      <c r="AR176" s="317" t="str">
        <f t="shared" si="140"/>
        <v/>
      </c>
      <c r="AS176" s="415" t="b">
        <f>AND(AU176&lt;&gt;"",AU176&gt;0,COUNTIF(AR171:AR177,AR176)&gt;1)</f>
        <v>0</v>
      </c>
      <c r="AT176" s="355" t="str">
        <f t="shared" si="141"/>
        <v/>
      </c>
      <c r="AU176" s="356" t="str">
        <f t="shared" si="142"/>
        <v/>
      </c>
      <c r="AV176" s="356" t="str">
        <f>IF(OR(AI170="",AJ176=""),"",COUNTIF(ResultsTeams[Win],AI170&amp;"-"&amp;AJ176))</f>
        <v/>
      </c>
      <c r="AW176" s="356" t="str">
        <f>IF(OR(AI170="",AJ176=""),"",COUNTIF(ResultsTeams[[Draw1]:[Draw2]],AI170&amp;"-"&amp;AJ176))</f>
        <v/>
      </c>
      <c r="AX176" s="356" t="str">
        <f>IF(OR(AI170="",AJ176=""),"",COUNTIF(ResultsTeams[Lose],AI170&amp;"-"&amp;AJ176))</f>
        <v/>
      </c>
      <c r="AY176" s="356" t="str">
        <f>IF(OR(AI170="",AJ176=""),"",AV176-AX176)</f>
        <v/>
      </c>
      <c r="AZ176" s="356" t="str">
        <f>IF(OR(AI175="",AJ176=""),"",SUMIFS(ResultsTeams[Match-A],ResultsTeams[Stage],"Groups",ResultsTeams[Team A],AJ176)+SUMIFS(ResultsTeams[Match-B],ResultsTeams[Stage],"Groups",ResultsTeams[Team B],AJ176))</f>
        <v/>
      </c>
      <c r="BA176" s="356" t="str">
        <f>IF(OR(AI175="",AJ176=""),"",SUMIFS(ResultsTeams[Match-B],ResultsTeams[Stage],"Groups",ResultsTeams[Team A],AJ176)+SUMIFS(ResultsTeams[Match-A],ResultsTeams[Stage],"Groups",ResultsTeams[Team B],AJ176))</f>
        <v/>
      </c>
      <c r="BB176" s="356" t="str">
        <f t="shared" si="144"/>
        <v/>
      </c>
      <c r="BC176" s="356" t="str">
        <f>IF(OR(AI175="",AJ176=""),"",SUMIFS(ResultsTeams[Goal-A],ResultsTeams[Stage],"Groups",ResultsTeams[Team A],AJ176)+SUMIFS(ResultsTeams[Goal-B],ResultsTeams[Stage],"Groups",ResultsTeams[Team B],AJ176))</f>
        <v/>
      </c>
      <c r="BD176" s="356" t="str">
        <f>IF(OR(AI175="",AJ176=""),"",SUMIFS(ResultsTeams[Goal-B],ResultsTeams[Stage],"Groups",ResultsTeams[Team A],AJ176)+SUMIFS(ResultsTeams[Goal-A],ResultsTeams[Stage],"Groups",ResultsTeams[Team B],AJ176))</f>
        <v/>
      </c>
      <c r="BE176" s="357" t="str">
        <f>IF(OR(AI170="",AJ176=""),"",BC176-BD176)</f>
        <v/>
      </c>
      <c r="BF176" s="470" t="str">
        <f>IF(AM176="","",OR(VLOOKUP(AM176,AN171:BE177,3,FALSE),VLOOKUP(AM176,AN171:BE177,6,FALSE)))</f>
        <v/>
      </c>
      <c r="BG176" s="298" t="str">
        <f t="shared" si="143"/>
        <v/>
      </c>
      <c r="BH176" s="285" t="str">
        <f>IF(AM176="","",INDEX(AJ171:AJ177,MATCH(AM176,AN171:AN177,0)))</f>
        <v/>
      </c>
      <c r="BI176" s="286" t="str">
        <f>IF(AM176="","",VLOOKUP(AM176,AN171:BE177,COLUMN()-COLUMN(BB170),FALSE))</f>
        <v/>
      </c>
      <c r="BJ176" s="286" t="str">
        <f>IF(AM176="","",VLOOKUP(AM176,AN171:BE177,COLUMN()-COLUMN(BB170),FALSE))</f>
        <v/>
      </c>
      <c r="BK176" s="286" t="str">
        <f>IF(AM176="","",VLOOKUP(AM176,AN171:BE177,COLUMN()-COLUMN(BB170),FALSE))</f>
        <v/>
      </c>
      <c r="BL176" s="286" t="str">
        <f>IF(AM176="","",VLOOKUP(AM176,AN171:BE177,COLUMN()-COLUMN(BB170),FALSE))</f>
        <v/>
      </c>
      <c r="BM176" s="286" t="str">
        <f>IF(AM176="","",VLOOKUP(AM176,AN171:BE177,COLUMN()-COLUMN(BB170),FALSE))</f>
        <v/>
      </c>
      <c r="BN176" s="349" t="str">
        <f>IF(AM176="","",VLOOKUP(AM176,AN171:BE177,COLUMN()-COLUMN(BB170),FALSE))</f>
        <v/>
      </c>
      <c r="BO176" s="298" t="str">
        <f>IF(AM176="","",VLOOKUP(AM176,AN171:BE177,COLUMN()-COLUMN(BB170),FALSE))</f>
        <v/>
      </c>
      <c r="BP176" s="286" t="str">
        <f>IF(AM176="","",VLOOKUP(AM176,AN171:BE177,COLUMN()-COLUMN(BB170),FALSE))</f>
        <v/>
      </c>
      <c r="BQ176" s="301" t="str">
        <f>IF(AM176="","",VLOOKUP(AM176,AN171:BE177,COLUMN()-COLUMN(BB170),FALSE))</f>
        <v/>
      </c>
      <c r="BR176" s="352" t="str">
        <f>IF(AM176="","",VLOOKUP(AM176,AN171:BE177,COLUMN()-COLUMN(BB170),FALSE))</f>
        <v/>
      </c>
      <c r="BS176" s="286" t="str">
        <f>IF(AM176="","",VLOOKUP(AM176,AN171:BE177,COLUMN()-COLUMN(BB170),FALSE))</f>
        <v/>
      </c>
      <c r="BT176" s="301" t="str">
        <f>IF(AM176="","",VLOOKUP(AM176,AN171:BE177,COLUMN()-COLUMN(BB170),FALSE))</f>
        <v/>
      </c>
    </row>
    <row r="177" spans="1:72" ht="12" thickBot="1" x14ac:dyDescent="0.25">
      <c r="A177" s="62"/>
      <c r="B177" s="280"/>
      <c r="C177" s="62"/>
      <c r="D177" s="62"/>
      <c r="E177" s="241" t="s">
        <v>12240</v>
      </c>
      <c r="F177" s="246" t="s">
        <v>10506</v>
      </c>
      <c r="G177" s="246" t="s">
        <v>10459</v>
      </c>
      <c r="H177" s="254">
        <v>3</v>
      </c>
      <c r="I177" s="254">
        <v>2</v>
      </c>
      <c r="J177" s="254"/>
      <c r="K177" s="363"/>
      <c r="L177" s="363"/>
      <c r="M177" s="247"/>
      <c r="N177" s="265" t="b">
        <f>NOT(ISERROR(ResultsTeams[[#This Row],[Goal-A]]+ResultsTeams[[#This Row],[Goal-B]]))</f>
        <v>1</v>
      </c>
      <c r="O177" s="265">
        <f>IF(ResultsTeams[[#This Row],[Type]]="G",SUM(O178:O181),IF(LEFT(ResultsTeams[[#This Row],[Type]],1)="P",IF(ResultsTeams[[#This Row],[Goal-A]]&gt;ResultsTeams[[#This Row],[Goal-B]],1,0),""))</f>
        <v>1</v>
      </c>
      <c r="P177" s="265">
        <f>IF(ResultsTeams[[#This Row],[Type]]="G",SUM(P178:P181),IF(LEFT(ResultsTeams[[#This Row],[Type]],1)="P",IF(ResultsTeams[[#This Row],[Goal-A]]&lt;ResultsTeams[[#This Row],[Goal-B]],1,0),""))</f>
        <v>0</v>
      </c>
      <c r="Q177" s="265">
        <f>IF(ResultsTeams[[#This Row],[Type]]="G",SUM(Q178:Q181),IF(LEFT(ResultsTeams[[#This Row],[Type]],1)="P",VALUE(ResultsTeams[[#This Row],[Score-A]]),""))</f>
        <v>3</v>
      </c>
      <c r="R177" s="265">
        <f>IF(ResultsTeams[[#This Row],[Type]]="G",SUM(R178:R181),IF(LEFT(ResultsTeams[[#This Row],[Type]],1)="P",VALUE(ResultsTeams[[#This Row],[Score-B]]),""))</f>
        <v>2</v>
      </c>
      <c r="S177" s="265" t="str">
        <f ca="1">IF(AND(ResultsTeams[[#This Row],[Category]]&lt;&gt;"",ResultsTeams[[#This Row],[Team A]]&lt;&gt;""),COUNTIF(INDIRECT("TeamsList[Club Name]"),ResultsTeams[[#This Row],[Team A]]),"")</f>
        <v/>
      </c>
      <c r="T177" s="265" t="str">
        <f ca="1">IF(AND(ResultsTeams[[#This Row],[Category]]&lt;&gt;"",ResultsTeams[[#This Row],[Team B]]&lt;&gt;""),COUNTIF(INDIRECT("TeamsList[Club Name]"),ResultsTeams[[#This Row],[Team B]]),"")</f>
        <v/>
      </c>
      <c r="U1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-Ricardo José</v>
      </c>
      <c r="V177" s="265" t="str">
        <f>IF(ResultsTeams[[#This Row],[Score_OK]],IF(ResultsTeams[[#This Row],[StageCpy]]="Groups",ResultsTeams[[#This Row],[Category]]&amp;"-"&amp;IF(ResultsTeams[[#This Row],[Team B]]="","",IF(ResultsTeams[[#This Row],[Match-A]]=ResultsTeams[[#This Row],[Match-B]],ResultsTeams[[#This Row],[Team A]],"")),""),"")</f>
        <v>-</v>
      </c>
      <c r="W177" s="265" t="str">
        <f>IF(ResultsTeams[[#This Row],[Score_OK]],IF(ResultsTeams[[#This Row],[StageCpy]]="Groups",ResultsTeams[[#This Row],[Category]]&amp;"-"&amp;IF(ResultsTeams[[#This Row],[Team B]]="","",IF(ResultsTeams[[#This Row],[Match-A]]=ResultsTeams[[#This Row],[Match-B]],ResultsTeams[[#This Row],[Team B]],"")),""),"")</f>
        <v>-</v>
      </c>
      <c r="X1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-Nico Marks</v>
      </c>
      <c r="Y1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7" s="264" t="str">
        <f>IF(ResultsTeams[[#This Row],[Category]]="","",VLOOKUP(ResultsTeams[[#This Row],[Stage]],$R$1:$T$8,MATCH(ResultsTeams[[#This Row],[Category]],$S$1:$T$1,0)+1,FALSE))</f>
        <v/>
      </c>
      <c r="AC1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7" s="264" t="str">
        <f>IF(ResultsTeams[[#This Row],[Type]]="G",ResultsTeams[[#This Row],[Stage]],AD176)</f>
        <v>Groups</v>
      </c>
      <c r="AE177" s="395" t="str">
        <f>IF(ResultsTeams[[#This Row],[Type]]="G",INDEX(TeamsList[Club Name],MATCH(ResultsTeams[[#This Row],[Team A]],TeamsList[Team Name],0)),AE176)</f>
        <v>Subbuteo Dragons Azuqueca</v>
      </c>
      <c r="AF177" s="395" t="str">
        <f>IF(ResultsTeams[[#This Row],[Type]]="G",INDEX(TeamsList[Club Name],MATCH(ResultsTeams[[#This Row],[Team B]],TeamsList[Team Name],0)),AF176)</f>
        <v>Dutch Legends</v>
      </c>
      <c r="AG177" s="265"/>
      <c r="AI177" s="12">
        <f t="shared" si="145"/>
        <v>0</v>
      </c>
      <c r="AJ177" s="312"/>
      <c r="AK177" s="313"/>
      <c r="AL177" s="314"/>
      <c r="AM177" s="294" t="str">
        <f>IF(AV177="","",SMALL(AN171:AN177,ROWS(AM171:AM177)))</f>
        <v/>
      </c>
      <c r="AN177" s="295" t="str">
        <f>IF(AV177="","",RANK(AR177,AR171:AR177)*1000+ROWS(AN171:AN177))</f>
        <v/>
      </c>
      <c r="AO177" s="318" t="str">
        <f t="shared" si="138"/>
        <v/>
      </c>
      <c r="AP177" s="416" t="b">
        <f>AND(AU177&lt;&gt;"",AU177&gt;0,COUNTIF(AO171:AO177,AO177)&gt;1)</f>
        <v>0</v>
      </c>
      <c r="AQ177" s="318" t="str">
        <f t="shared" si="139"/>
        <v/>
      </c>
      <c r="AR177" s="319" t="str">
        <f t="shared" si="140"/>
        <v/>
      </c>
      <c r="AS177" s="416" t="b">
        <f>AND(AU177&lt;&gt;"",AU177&gt;0,COUNTIF(AR171:AR177,AR177)&gt;1)</f>
        <v>0</v>
      </c>
      <c r="AT177" s="358" t="str">
        <f t="shared" si="141"/>
        <v/>
      </c>
      <c r="AU177" s="359" t="str">
        <f t="shared" si="142"/>
        <v/>
      </c>
      <c r="AV177" s="359" t="str">
        <f>IF(OR(AI170="",AJ177=""),"",COUNTIF(ResultsTeams[Win],AI170&amp;"-"&amp;AJ177))</f>
        <v/>
      </c>
      <c r="AW177" s="359" t="str">
        <f>IF(OR(AI170="",AJ177=""),"",COUNTIF(ResultsTeams[[Draw1]:[Draw2]],AI170&amp;"-"&amp;AJ177))</f>
        <v/>
      </c>
      <c r="AX177" s="359" t="str">
        <f>IF(OR(AI170="",AJ177=""),"",COUNTIF(ResultsTeams[Lose],AI170&amp;"-"&amp;AJ177))</f>
        <v/>
      </c>
      <c r="AY177" s="359" t="str">
        <f>IF(OR(AI170="",AJ177=""),"",AV177-AX177)</f>
        <v/>
      </c>
      <c r="AZ177" s="359" t="str">
        <f>IF(OR(AI176="",AJ177=""),"",SUMIFS(ResultsTeams[Match-A],ResultsTeams[Stage],"Groups",ResultsTeams[Team A],AJ177)+SUMIFS(ResultsTeams[Match-B],ResultsTeams[Stage],"Groups",ResultsTeams[Team B],AJ177))</f>
        <v/>
      </c>
      <c r="BA177" s="359" t="str">
        <f>IF(OR(AI176="",AJ177=""),"",SUMIFS(ResultsTeams[Match-B],ResultsTeams[Stage],"Groups",ResultsTeams[Team A],AJ177)+SUMIFS(ResultsTeams[Match-A],ResultsTeams[Stage],"Groups",ResultsTeams[Team B],AJ177))</f>
        <v/>
      </c>
      <c r="BB177" s="359" t="str">
        <f t="shared" si="144"/>
        <v/>
      </c>
      <c r="BC177" s="359" t="str">
        <f>IF(OR(AI176="",AJ177=""),"",SUMIFS(ResultsTeams[Goal-A],ResultsTeams[Stage],"Groups",ResultsTeams[Team A],AJ177)+SUMIFS(ResultsTeams[Goal-B],ResultsTeams[Stage],"Groups",ResultsTeams[Team B],AJ177))</f>
        <v/>
      </c>
      <c r="BD177" s="359" t="str">
        <f>IF(OR(AI176="",AJ177=""),"",SUMIFS(ResultsTeams[Goal-B],ResultsTeams[Stage],"Groups",ResultsTeams[Team A],AJ177)+SUMIFS(ResultsTeams[Goal-A],ResultsTeams[Stage],"Groups",ResultsTeams[Team B],AJ177))</f>
        <v/>
      </c>
      <c r="BE177" s="360" t="str">
        <f>IF(OR(AI170="",AJ177=""),"",BC177-BD177)</f>
        <v/>
      </c>
      <c r="BF177" s="470" t="str">
        <f>IF(AM177="","",OR(VLOOKUP(AM177,AN171:BE177,3,FALSE),VLOOKUP(AM177,AN171:BE177,6,FALSE)))</f>
        <v/>
      </c>
      <c r="BG177" s="299" t="str">
        <f t="shared" si="143"/>
        <v/>
      </c>
      <c r="BH177" s="287" t="str">
        <f>IF(AM177="","",INDEX(AJ171:AJ177,MATCH(AM177,AN171:AN177,0)))</f>
        <v/>
      </c>
      <c r="BI177" s="288" t="str">
        <f>IF(AM177="","",VLOOKUP(AM177,AN171:BE177,COLUMN()-COLUMN(BB170),FALSE))</f>
        <v/>
      </c>
      <c r="BJ177" s="288" t="str">
        <f>IF(AM177="","",VLOOKUP(AM177,AN171:BE177,COLUMN()-COLUMN(BB170),FALSE))</f>
        <v/>
      </c>
      <c r="BK177" s="288" t="str">
        <f>IF(AM177="","",VLOOKUP(AM177,AN171:BE177,COLUMN()-COLUMN(BB170),FALSE))</f>
        <v/>
      </c>
      <c r="BL177" s="288" t="str">
        <f>IF(AM177="","",VLOOKUP(AM177,AN171:BE177,COLUMN()-COLUMN(BB170),FALSE))</f>
        <v/>
      </c>
      <c r="BM177" s="288" t="str">
        <f>IF(AM177="","",VLOOKUP(AM177,AN171:BE177,COLUMN()-COLUMN(BB170),FALSE))</f>
        <v/>
      </c>
      <c r="BN177" s="350" t="str">
        <f>IF(AM177="","",VLOOKUP(AM177,AN171:BE177,COLUMN()-COLUMN(BB170),FALSE))</f>
        <v/>
      </c>
      <c r="BO177" s="299" t="str">
        <f>IF(AM177="","",VLOOKUP(AM177,AN171:BE177,COLUMN()-COLUMN(BB170),FALSE))</f>
        <v/>
      </c>
      <c r="BP177" s="288" t="str">
        <f>IF(AM177="","",VLOOKUP(AM177,AN171:BE177,COLUMN()-COLUMN(BB170),FALSE))</f>
        <v/>
      </c>
      <c r="BQ177" s="302" t="str">
        <f>IF(AM177="","",VLOOKUP(AM177,AN171:BE177,COLUMN()-COLUMN(BB170),FALSE))</f>
        <v/>
      </c>
      <c r="BR177" s="353" t="str">
        <f>IF(AM177="","",VLOOKUP(AM177,AN171:BE177,COLUMN()-COLUMN(BB170),FALSE))</f>
        <v/>
      </c>
      <c r="BS177" s="288" t="str">
        <f>IF(AM177="","",VLOOKUP(AM177,AN171:BE177,COLUMN()-COLUMN(BB170),FALSE))</f>
        <v/>
      </c>
      <c r="BT177" s="302" t="str">
        <f>IF(AM177="","",VLOOKUP(AM177,AN171:BE177,COLUMN()-COLUMN(BB170),FALSE))</f>
        <v/>
      </c>
    </row>
    <row r="178" spans="1:72" ht="12" thickBot="1" x14ac:dyDescent="0.25">
      <c r="A178" s="62"/>
      <c r="B178" s="62"/>
      <c r="C178" s="62"/>
      <c r="D178" s="62"/>
      <c r="E178" s="241" t="s">
        <v>12243</v>
      </c>
      <c r="F178" s="247"/>
      <c r="G178" s="247"/>
      <c r="H178" s="254"/>
      <c r="I178" s="254"/>
      <c r="J178" s="260"/>
      <c r="K178" s="364"/>
      <c r="L178" s="364"/>
      <c r="M178" s="247"/>
      <c r="N178" s="265" t="b">
        <f>NOT(ISERROR(ResultsTeams[[#This Row],[Goal-A]]+ResultsTeams[[#This Row],[Goal-B]]))</f>
        <v>0</v>
      </c>
      <c r="O178" s="265" t="str">
        <f>IF(ResultsTeams[[#This Row],[Type]]="G",SUM(O179:O182),IF(LEFT(ResultsTeams[[#This Row],[Type]],1)="P",IF(ResultsTeams[[#This Row],[Goal-A]]&gt;ResultsTeams[[#This Row],[Goal-B]],1,0),""))</f>
        <v/>
      </c>
      <c r="P178" s="265" t="str">
        <f>IF(ResultsTeams[[#This Row],[Type]]="G",SUM(P179:P182),IF(LEFT(ResultsTeams[[#This Row],[Type]],1)="P",IF(ResultsTeams[[#This Row],[Goal-A]]&lt;ResultsTeams[[#This Row],[Goal-B]],1,0),""))</f>
        <v/>
      </c>
      <c r="Q178" s="265" t="str">
        <f>IF(ResultsTeams[[#This Row],[Type]]="G",SUM(Q179:Q182),IF(LEFT(ResultsTeams[[#This Row],[Type]],1)="P",VALUE(ResultsTeams[[#This Row],[Score-A]]),""))</f>
        <v/>
      </c>
      <c r="R178" s="265" t="str">
        <f>IF(ResultsTeams[[#This Row],[Type]]="G",SUM(R179:R182),IF(LEFT(ResultsTeams[[#This Row],[Type]],1)="P",VALUE(ResultsTeams[[#This Row],[Score-B]]),""))</f>
        <v/>
      </c>
      <c r="S178" s="265" t="str">
        <f ca="1">IF(AND(ResultsTeams[[#This Row],[Category]]&lt;&gt;"",ResultsTeams[[#This Row],[Team A]]&lt;&gt;""),COUNTIF(INDIRECT("TeamsList[Club Name]"),ResultsTeams[[#This Row],[Team A]]),"")</f>
        <v/>
      </c>
      <c r="T178" s="265" t="str">
        <f ca="1">IF(AND(ResultsTeams[[#This Row],[Category]]&lt;&gt;"",ResultsTeams[[#This Row],[Team B]]&lt;&gt;""),COUNTIF(INDIRECT("TeamsList[Club Name]"),ResultsTeams[[#This Row],[Team B]]),"")</f>
        <v/>
      </c>
      <c r="U1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8" s="265" t="str">
        <f>IF(ResultsTeams[[#This Row],[Score_OK]],IF(ResultsTeams[[#This Row],[StageCpy]]="Groups",ResultsTeams[[#This Row],[Category]]&amp;"-"&amp;IF(ResultsTeams[[#This Row],[Team B]]="","",IF(ResultsTeams[[#This Row],[Match-A]]=ResultsTeams[[#This Row],[Match-B]],ResultsTeams[[#This Row],[Team A]],"")),""),"")</f>
        <v/>
      </c>
      <c r="W178" s="265" t="str">
        <f>IF(ResultsTeams[[#This Row],[Score_OK]],IF(ResultsTeams[[#This Row],[StageCpy]]="Groups",ResultsTeams[[#This Row],[Category]]&amp;"-"&amp;IF(ResultsTeams[[#This Row],[Team B]]="","",IF(ResultsTeams[[#This Row],[Match-A]]=ResultsTeams[[#This Row],[Match-B]],ResultsTeams[[#This Row],[Team B]],"")),""),"")</f>
        <v/>
      </c>
      <c r="X1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8" s="264" t="str">
        <f>IF(ResultsTeams[[#This Row],[Category]]="","",VLOOKUP(ResultsTeams[[#This Row],[Stage]],$R$1:$T$8,MATCH(ResultsTeams[[#This Row],[Category]],$S$1:$T$1,0)+1,FALSE))</f>
        <v/>
      </c>
      <c r="AC1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8" s="264" t="str">
        <f>IF(ResultsTeams[[#This Row],[Type]]="G",ResultsTeams[[#This Row],[Stage]],AD177)</f>
        <v>Groups</v>
      </c>
      <c r="AE178" s="395" t="str">
        <f>IF(ResultsTeams[[#This Row],[Type]]="G",INDEX(TeamsList[Club Name],MATCH(ResultsTeams[[#This Row],[Team A]],TeamsList[Team Name],0)),AE177)</f>
        <v>Subbuteo Dragons Azuqueca</v>
      </c>
      <c r="AF178" s="395" t="str">
        <f>IF(ResultsTeams[[#This Row],[Type]]="G",INDEX(TeamsList[Club Name],MATCH(ResultsTeams[[#This Row],[Team B]],TeamsList[Team Name],0)),AF177)</f>
        <v>Dutch Legends</v>
      </c>
      <c r="AG178" s="265"/>
    </row>
    <row r="179" spans="1:72" ht="12" thickBot="1" x14ac:dyDescent="0.25">
      <c r="A179" s="83"/>
      <c r="B179" s="83"/>
      <c r="C179" s="83"/>
      <c r="D179" s="83"/>
      <c r="E179" s="268" t="s">
        <v>12244</v>
      </c>
      <c r="F179" s="262"/>
      <c r="G179" s="262"/>
      <c r="H179" s="324"/>
      <c r="I179" s="324"/>
      <c r="J179" s="263"/>
      <c r="K179" s="365"/>
      <c r="L179" s="365"/>
      <c r="M179" s="262"/>
      <c r="N179" s="265" t="b">
        <f>NOT(ISERROR(ResultsTeams[[#This Row],[Goal-A]]+ResultsTeams[[#This Row],[Goal-B]]))</f>
        <v>0</v>
      </c>
      <c r="O179" s="265" t="str">
        <f>IF(ResultsTeams[[#This Row],[Type]]="G",SUM(O180:O183),IF(LEFT(ResultsTeams[[#This Row],[Type]],1)="P",IF(ResultsTeams[[#This Row],[Goal-A]]&gt;ResultsTeams[[#This Row],[Goal-B]],1,0),""))</f>
        <v/>
      </c>
      <c r="P179" s="265" t="str">
        <f>IF(ResultsTeams[[#This Row],[Type]]="G",SUM(P180:P183),IF(LEFT(ResultsTeams[[#This Row],[Type]],1)="P",IF(ResultsTeams[[#This Row],[Goal-A]]&lt;ResultsTeams[[#This Row],[Goal-B]],1,0),""))</f>
        <v/>
      </c>
      <c r="Q179" s="265" t="str">
        <f>IF(ResultsTeams[[#This Row],[Type]]="G",SUM(Q180:Q183),IF(LEFT(ResultsTeams[[#This Row],[Type]],1)="P",VALUE(ResultsTeams[[#This Row],[Score-A]]),""))</f>
        <v/>
      </c>
      <c r="R179" s="265" t="str">
        <f>IF(ResultsTeams[[#This Row],[Type]]="G",SUM(R180:R183),IF(LEFT(ResultsTeams[[#This Row],[Type]],1)="P",VALUE(ResultsTeams[[#This Row],[Score-B]]),""))</f>
        <v/>
      </c>
      <c r="S179" s="265" t="str">
        <f ca="1">IF(AND(ResultsTeams[[#This Row],[Category]]&lt;&gt;"",ResultsTeams[[#This Row],[Team A]]&lt;&gt;""),COUNTIF(INDIRECT("TeamsList[Club Name]"),ResultsTeams[[#This Row],[Team A]]),"")</f>
        <v/>
      </c>
      <c r="T179" s="265" t="str">
        <f ca="1">IF(AND(ResultsTeams[[#This Row],[Category]]&lt;&gt;"",ResultsTeams[[#This Row],[Team B]]&lt;&gt;""),COUNTIF(INDIRECT("TeamsList[Club Name]"),ResultsTeams[[#This Row],[Team B]]),"")</f>
        <v/>
      </c>
      <c r="U1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9" s="265" t="str">
        <f>IF(ResultsTeams[[#This Row],[Score_OK]],IF(ResultsTeams[[#This Row],[StageCpy]]="Groups",ResultsTeams[[#This Row],[Category]]&amp;"-"&amp;IF(ResultsTeams[[#This Row],[Team B]]="","",IF(ResultsTeams[[#This Row],[Match-A]]=ResultsTeams[[#This Row],[Match-B]],ResultsTeams[[#This Row],[Team A]],"")),""),"")</f>
        <v/>
      </c>
      <c r="W179" s="265" t="str">
        <f>IF(ResultsTeams[[#This Row],[Score_OK]],IF(ResultsTeams[[#This Row],[StageCpy]]="Groups",ResultsTeams[[#This Row],[Category]]&amp;"-"&amp;IF(ResultsTeams[[#This Row],[Team B]]="","",IF(ResultsTeams[[#This Row],[Match-A]]=ResultsTeams[[#This Row],[Match-B]],ResultsTeams[[#This Row],[Team B]],"")),""),"")</f>
        <v/>
      </c>
      <c r="X1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9" s="264" t="str">
        <f>IF(ResultsTeams[[#This Row],[Category]]="","",VLOOKUP(ResultsTeams[[#This Row],[Stage]],$R$1:$T$8,MATCH(ResultsTeams[[#This Row],[Category]],$S$1:$T$1,0)+1,FALSE))</f>
        <v/>
      </c>
      <c r="AC1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9" s="264" t="str">
        <f>IF(ResultsTeams[[#This Row],[Type]]="G",ResultsTeams[[#This Row],[Stage]],AD178)</f>
        <v>Groups</v>
      </c>
      <c r="AE179" s="395" t="str">
        <f>IF(ResultsTeams[[#This Row],[Type]]="G",INDEX(TeamsList[Club Name],MATCH(ResultsTeams[[#This Row],[Team A]],TeamsList[Team Name],0)),AE178)</f>
        <v>Subbuteo Dragons Azuqueca</v>
      </c>
      <c r="AF179" s="395" t="str">
        <f>IF(ResultsTeams[[#This Row],[Type]]="G",INDEX(TeamsList[Club Name],MATCH(ResultsTeams[[#This Row],[Team B]],TeamsList[Team Name],0)),AF178)</f>
        <v>Dutch Legends</v>
      </c>
      <c r="AG179" s="265"/>
      <c r="AH179" s="281" t="str">
        <f>IF(AI179="","",QUOTIENT(COUNTIF(AI$26:AI179,AI179)-1,8)+1)</f>
        <v/>
      </c>
      <c r="AI179" s="315"/>
      <c r="AJ179" s="289" t="s">
        <v>14438</v>
      </c>
      <c r="AK179" s="290" t="s">
        <v>12279</v>
      </c>
      <c r="AL179" s="300" t="s">
        <v>12275</v>
      </c>
      <c r="AM179" s="296" t="s">
        <v>12276</v>
      </c>
      <c r="AN179" s="291" t="s">
        <v>12271</v>
      </c>
      <c r="AO179" s="291" t="s">
        <v>12272</v>
      </c>
      <c r="AP179" s="414" t="s">
        <v>13154</v>
      </c>
      <c r="AQ179" s="291" t="s">
        <v>12273</v>
      </c>
      <c r="AR179" s="297" t="s">
        <v>12274</v>
      </c>
      <c r="AS179" s="414" t="s">
        <v>13154</v>
      </c>
      <c r="AT179" s="296" t="s">
        <v>12199</v>
      </c>
      <c r="AU179" s="291" t="s">
        <v>12200</v>
      </c>
      <c r="AV179" s="291" t="s">
        <v>12201</v>
      </c>
      <c r="AW179" s="291" t="s">
        <v>12202</v>
      </c>
      <c r="AX179" s="291" t="s">
        <v>12203</v>
      </c>
      <c r="AY179" s="291" t="s">
        <v>12697</v>
      </c>
      <c r="AZ179" s="291" t="s">
        <v>12698</v>
      </c>
      <c r="BA179" s="291" t="s">
        <v>12699</v>
      </c>
      <c r="BB179" s="291" t="s">
        <v>12700</v>
      </c>
      <c r="BC179" s="291" t="s">
        <v>12204</v>
      </c>
      <c r="BD179" s="291" t="s">
        <v>12205</v>
      </c>
      <c r="BE179" s="297" t="s">
        <v>12206</v>
      </c>
      <c r="BF179" s="395"/>
      <c r="BG179" s="282" t="s">
        <v>12276</v>
      </c>
      <c r="BH179" s="282" t="s">
        <v>12133</v>
      </c>
      <c r="BI179" s="283" t="s">
        <v>12199</v>
      </c>
      <c r="BJ179" s="283" t="s">
        <v>12200</v>
      </c>
      <c r="BK179" s="283" t="s">
        <v>12201</v>
      </c>
      <c r="BL179" s="283" t="s">
        <v>12202</v>
      </c>
      <c r="BM179" s="283" t="s">
        <v>12203</v>
      </c>
      <c r="BN179" s="290" t="s">
        <v>12697</v>
      </c>
      <c r="BO179" s="354" t="s">
        <v>12698</v>
      </c>
      <c r="BP179" s="283" t="s">
        <v>12699</v>
      </c>
      <c r="BQ179" s="300" t="s">
        <v>12700</v>
      </c>
      <c r="BR179" s="351" t="s">
        <v>12204</v>
      </c>
      <c r="BS179" s="283" t="s">
        <v>12205</v>
      </c>
      <c r="BT179" s="300" t="s">
        <v>12206</v>
      </c>
    </row>
    <row r="180" spans="1:72" ht="12" thickBot="1" x14ac:dyDescent="0.25">
      <c r="A180" s="261" t="s">
        <v>12693</v>
      </c>
      <c r="B180" s="270" t="s">
        <v>12207</v>
      </c>
      <c r="C180" s="270">
        <v>4</v>
      </c>
      <c r="D180" s="270"/>
      <c r="E180" s="272" t="s">
        <v>12228</v>
      </c>
      <c r="F180" s="273" t="s">
        <v>6490</v>
      </c>
      <c r="G180" s="273" t="s">
        <v>654</v>
      </c>
      <c r="H180" s="275">
        <v>0</v>
      </c>
      <c r="I180" s="275">
        <v>4</v>
      </c>
      <c r="J180" s="275"/>
      <c r="K180" s="366"/>
      <c r="L180" s="366"/>
      <c r="M180" s="274"/>
      <c r="N180" s="265" t="b">
        <f>NOT(ISERROR(ResultsTeams[[#This Row],[Goal-A]]+ResultsTeams[[#This Row],[Goal-B]]))</f>
        <v>1</v>
      </c>
      <c r="O180" s="265">
        <f>IF(ResultsTeams[[#This Row],[Type]]="G",SUM(O181:O184),IF(LEFT(ResultsTeams[[#This Row],[Type]],1)="P",IF(ResultsTeams[[#This Row],[Goal-A]]&gt;ResultsTeams[[#This Row],[Goal-B]],1,0),""))</f>
        <v>0</v>
      </c>
      <c r="P180" s="265">
        <f>IF(ResultsTeams[[#This Row],[Type]]="G",SUM(P181:P184),IF(LEFT(ResultsTeams[[#This Row],[Type]],1)="P",IF(ResultsTeams[[#This Row],[Goal-A]]&lt;ResultsTeams[[#This Row],[Goal-B]],1,0),""))</f>
        <v>4</v>
      </c>
      <c r="Q180" s="265">
        <f>IF(ResultsTeams[[#This Row],[Type]]="G",SUM(Q181:Q184),IF(LEFT(ResultsTeams[[#This Row],[Type]],1)="P",VALUE(ResultsTeams[[#This Row],[Score-A]]),""))</f>
        <v>3</v>
      </c>
      <c r="R180" s="265">
        <f>IF(ResultsTeams[[#This Row],[Type]]="G",SUM(R181:R184),IF(LEFT(ResultsTeams[[#This Row],[Type]],1)="P",VALUE(ResultsTeams[[#This Row],[Score-B]]),""))</f>
        <v>29</v>
      </c>
      <c r="S180" s="265">
        <f ca="1">IF(AND(ResultsTeams[[#This Row],[Category]]&lt;&gt;"",ResultsTeams[[#This Row],[Team A]]&lt;&gt;""),COUNTIF(INDIRECT("TeamsList[Club Name]"),ResultsTeams[[#This Row],[Team A]]),"")</f>
        <v>1</v>
      </c>
      <c r="T180" s="265">
        <f ca="1">IF(AND(ResultsTeams[[#This Row],[Category]]&lt;&gt;"",ResultsTeams[[#This Row],[Team B]]&lt;&gt;""),COUNTIF(INDIRECT("TeamsList[Club Name]"),ResultsTeams[[#This Row],[Team B]]),"")</f>
        <v>1</v>
      </c>
      <c r="U1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TEAM-ASD SC Salernitana</v>
      </c>
      <c r="V180" s="265" t="str">
        <f>IF(ResultsTeams[[#This Row],[Score_OK]],IF(ResultsTeams[[#This Row],[StageCpy]]="Groups",ResultsTeams[[#This Row],[Category]]&amp;"-"&amp;IF(ResultsTeams[[#This Row],[Team B]]="","",IF(ResultsTeams[[#This Row],[Match-A]]=ResultsTeams[[#This Row],[Match-B]],ResultsTeams[[#This Row],[Team A]],"")),""),"")</f>
        <v>TEAM-</v>
      </c>
      <c r="W180" s="265" t="str">
        <f>IF(ResultsTeams[[#This Row],[Score_OK]],IF(ResultsTeams[[#This Row],[StageCpy]]="Groups",ResultsTeams[[#This Row],[Category]]&amp;"-"&amp;IF(ResultsTeams[[#This Row],[Team B]]="","",IF(ResultsTeams[[#This Row],[Match-A]]=ResultsTeams[[#This Row],[Match-B]],ResultsTeams[[#This Row],[Team B]],"")),""),"")</f>
        <v>TEAM-</v>
      </c>
      <c r="X1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v>
      </c>
      <c r="Y1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A1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B180" s="264" t="str">
        <f>IF(ResultsTeams[[#This Row],[Category]]="","",VLOOKUP(ResultsTeams[[#This Row],[Stage]],$R$1:$T$8,MATCH(ResultsTeams[[#This Row],[Category]],$S$1:$T$1,0)+1,FALSE))</f>
        <v>PR1</v>
      </c>
      <c r="AC1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0" s="264" t="str">
        <f>IF(ResultsTeams[[#This Row],[Type]]="G",ResultsTeams[[#This Row],[Stage]],AD179)</f>
        <v>Groups</v>
      </c>
      <c r="AE180" s="395" t="str">
        <f>IF(ResultsTeams[[#This Row],[Type]]="G",INDEX(TeamsList[Club Name],MATCH(ResultsTeams[[#This Row],[Team A]],TeamsList[Team Name],0)),AE179)</f>
        <v>Dutch Legends</v>
      </c>
      <c r="AF180" s="395" t="str">
        <f>IF(ResultsTeams[[#This Row],[Type]]="G",INDEX(TeamsList[Club Name],MATCH(ResultsTeams[[#This Row],[Team B]],TeamsList[Team Name],0)),AF179)</f>
        <v>ASD SC Salernitana</v>
      </c>
      <c r="AG180" s="265"/>
      <c r="AI180" s="12">
        <f>AI179</f>
        <v>0</v>
      </c>
      <c r="AJ180" s="309"/>
      <c r="AK180" s="320"/>
      <c r="AL180" s="311"/>
      <c r="AM180" s="292" t="str">
        <f>IF(AV180="","",SMALL(AN180:AN186,ROWS(AM180:AM180)))</f>
        <v/>
      </c>
      <c r="AN180" s="293" t="str">
        <f>IF(AV180="","",RANK(AR180,AR180:AR186)*1000+ROWS(AN180:AN180))</f>
        <v/>
      </c>
      <c r="AO180" s="316" t="str">
        <f t="shared" ref="AO180:AO186" si="146">IF(AV180="","",AT180*CritClassEq1_Points+AY180*CritClassEq1_DiffRencontres+BB180*CritClassEq1_DiffMatches+BE180*CritClassEq1_DiffButs+AZ180*CritClassEq1_Matches+BC180*CritClassEq1_Attaque)</f>
        <v/>
      </c>
      <c r="AP180" s="415" t="b">
        <f>AND(AU180&lt;&gt;"",AU180&gt;0,COUNTIF(AO180:AO186,AO180)&gt;1)</f>
        <v>0</v>
      </c>
      <c r="AQ180" s="316" t="str">
        <f t="shared" ref="AQ180:AQ186" si="147">IF(AV180="","",CritClassEq_DiffPart*AK180)</f>
        <v/>
      </c>
      <c r="AR180" s="317" t="str">
        <f t="shared" ref="AR180:AR186" si="148">IF(AV180="","",AO180+AQ180+AT180*CritClassEq2_Points+AY180*CritClassEq2_DiffRencontres+BB180*CritClassEq2_DiffMatches+BE180*CritClassEq2_DiffButs+AZ180*CritClassEq2_Matches+BC180*CritClassEq2_Attaque+AL180)</f>
        <v/>
      </c>
      <c r="AS180" s="415" t="b">
        <f>AND(AU180&lt;&gt;"",AU180&gt;0,COUNTIF(AR180:AR186,AR180)&gt;1)</f>
        <v>0</v>
      </c>
      <c r="AT180" s="355" t="str">
        <f t="shared" ref="AT180:AT186" si="149">IF(AV180="","",(AV180*Points_Victoire)+AW180*Points_Null)</f>
        <v/>
      </c>
      <c r="AU180" s="356" t="str">
        <f t="shared" ref="AU180:AU186" si="150">IF(AV180="","",SUM(AV180:AX180))</f>
        <v/>
      </c>
      <c r="AV180" s="356" t="str">
        <f>IF(OR(AI179="",AJ180=""),"",COUNTIF(ResultsTeams[Win],AI179&amp;"-"&amp;AJ180))</f>
        <v/>
      </c>
      <c r="AW180" s="356" t="str">
        <f>IF(OR(AI179="",AJ180=""),"",COUNTIF(ResultsTeams[[Draw1]:[Draw2]],AI179&amp;"-"&amp;AJ180))</f>
        <v/>
      </c>
      <c r="AX180" s="356" t="str">
        <f>IF(OR(AI179="",AJ180=""),"",COUNTIF(ResultsTeams[Lose],AI179&amp;"-"&amp;AJ180))</f>
        <v/>
      </c>
      <c r="AY180" s="356" t="str">
        <f>IF(OR(AI179="",AJ180=""),"",AV180-AX180)</f>
        <v/>
      </c>
      <c r="AZ180" s="356" t="str">
        <f>IF(OR(AI179="",AJ180=""),"",SUMIFS(ResultsTeams[Match-A],ResultsTeams[Stage],"Groups",ResultsTeams[Team A],AJ180)+SUMIFS(ResultsTeams[Match-B],ResultsTeams[Stage],"Groups",ResultsTeams[Team B],AJ180))</f>
        <v/>
      </c>
      <c r="BA180" s="356" t="str">
        <f>IF(OR(AI179="",AJ180=""),"",SUMIFS(ResultsTeams[Match-B],ResultsTeams[Stage],"Groups",ResultsTeams[Team A],AJ180)+SUMIFS(ResultsTeams[Match-A],ResultsTeams[Stage],"Groups",ResultsTeams[Team B],AJ180))</f>
        <v/>
      </c>
      <c r="BB180" s="356" t="str">
        <f>IF(OR(AI179="",AJ180=""),"",AZ180-BA180)</f>
        <v/>
      </c>
      <c r="BC180" s="356" t="str">
        <f>IF(OR(AI179="",AJ180=""),"",SUMIFS(ResultsTeams[Goal-A],ResultsTeams[Stage],"Groups",ResultsTeams[Team A],AJ180)+SUMIFS(ResultsTeams[Goal-B],ResultsTeams[Stage],"Groups",ResultsTeams[Team B],AJ180))</f>
        <v/>
      </c>
      <c r="BD180" s="356" t="str">
        <f>IF(OR(AI179="",AJ180=""),"",SUMIFS(ResultsTeams[Goal-B],ResultsTeams[Stage],"Groups",ResultsTeams[Team A],AJ180)+SUMIFS(ResultsTeams[Goal-A],ResultsTeams[Stage],"Groups",ResultsTeams[Team B],AJ180))</f>
        <v/>
      </c>
      <c r="BE180" s="357" t="str">
        <f>IF(OR(AI179="",AJ180=""),"",BC180-BD180)</f>
        <v/>
      </c>
      <c r="BF180" s="470" t="str">
        <f>IF(AM180="","",OR(VLOOKUP(AM180,AN180:BE186,3,FALSE),VLOOKUP(AM180,AN180:BE186,6,FALSE)))</f>
        <v/>
      </c>
      <c r="BG180" s="298" t="str">
        <f t="shared" ref="BG180:BG186" si="151">IF(AM180="","",INT(AM180/1000))</f>
        <v/>
      </c>
      <c r="BH180" s="285" t="str">
        <f>IF(AM180="","",INDEX(AJ180:AJ186,MATCH(AM180,AN180:AN186,0)))</f>
        <v/>
      </c>
      <c r="BI180" s="286" t="str">
        <f>IF(AM180="","",VLOOKUP(AM180,AN180:BE186,COLUMN()-COLUMN(BB179),FALSE))</f>
        <v/>
      </c>
      <c r="BJ180" s="286" t="str">
        <f>IF(AM180="","",VLOOKUP(AM180,AN180:BE186,COLUMN()-COLUMN(BB179),FALSE))</f>
        <v/>
      </c>
      <c r="BK180" s="286" t="str">
        <f>IF(AM180="","",VLOOKUP(AM180,AN180:BE186,COLUMN()-COLUMN(BB179),FALSE))</f>
        <v/>
      </c>
      <c r="BL180" s="286" t="str">
        <f>IF(AM180="","",VLOOKUP(AM180,AN180:BE186,COLUMN()-COLUMN(BB179),FALSE))</f>
        <v/>
      </c>
      <c r="BM180" s="286" t="str">
        <f>IF(AM180="","",VLOOKUP(AM180,AN180:BE186,COLUMN()-COLUMN(BB179),FALSE))</f>
        <v/>
      </c>
      <c r="BN180" s="349" t="str">
        <f>IF(AM180="","",VLOOKUP(AM180,AN180:BE186,COLUMN()-COLUMN(BB179),FALSE))</f>
        <v/>
      </c>
      <c r="BO180" s="298" t="str">
        <f>IF(AM180="","",VLOOKUP(AM180,AN180:BE186,COLUMN()-COLUMN(BB179),FALSE))</f>
        <v/>
      </c>
      <c r="BP180" s="286" t="str">
        <f>IF(AM180="","",VLOOKUP(AM180,AN180:BE186,COLUMN()-COLUMN(BB179),FALSE))</f>
        <v/>
      </c>
      <c r="BQ180" s="301" t="str">
        <f>IF(AM180="","",VLOOKUP(AM180,AN180:BE186,COLUMN()-COLUMN(BB179),FALSE))</f>
        <v/>
      </c>
      <c r="BR180" s="352" t="str">
        <f>IF(AM180="","",VLOOKUP(AM180,AN180:BE186,COLUMN()-COLUMN(BB179),FALSE))</f>
        <v/>
      </c>
      <c r="BS180" s="286" t="str">
        <f>IF(AM180="","",VLOOKUP(AM180,AN180:BE186,COLUMN()-COLUMN(BB179),FALSE))</f>
        <v/>
      </c>
      <c r="BT180" s="301" t="str">
        <f>IF(AM180="","",VLOOKUP(AM180,AN180:BE186,COLUMN()-COLUMN(BB179),FALSE))</f>
        <v/>
      </c>
    </row>
    <row r="181" spans="1:72" x14ac:dyDescent="0.2">
      <c r="A181" s="60"/>
      <c r="B181" s="280"/>
      <c r="C181" s="60"/>
      <c r="D181" s="60"/>
      <c r="E181" s="240" t="s">
        <v>12231</v>
      </c>
      <c r="F181" s="244" t="s">
        <v>12619</v>
      </c>
      <c r="G181" s="244" t="s">
        <v>9705</v>
      </c>
      <c r="H181" s="253">
        <v>0</v>
      </c>
      <c r="I181" s="253">
        <v>10</v>
      </c>
      <c r="J181" s="253"/>
      <c r="K181" s="362"/>
      <c r="L181" s="362"/>
      <c r="M181" s="245"/>
      <c r="N181" s="265" t="b">
        <f>NOT(ISERROR(ResultsTeams[[#This Row],[Goal-A]]+ResultsTeams[[#This Row],[Goal-B]]))</f>
        <v>1</v>
      </c>
      <c r="O181" s="265">
        <f>IF(ResultsTeams[[#This Row],[Type]]="G",SUM(O182:O185),IF(LEFT(ResultsTeams[[#This Row],[Type]],1)="P",IF(ResultsTeams[[#This Row],[Goal-A]]&gt;ResultsTeams[[#This Row],[Goal-B]],1,0),""))</f>
        <v>0</v>
      </c>
      <c r="P181" s="265">
        <f>IF(ResultsTeams[[#This Row],[Type]]="G",SUM(P182:P185),IF(LEFT(ResultsTeams[[#This Row],[Type]],1)="P",IF(ResultsTeams[[#This Row],[Goal-A]]&lt;ResultsTeams[[#This Row],[Goal-B]],1,0),""))</f>
        <v>1</v>
      </c>
      <c r="Q181" s="265">
        <f>IF(ResultsTeams[[#This Row],[Type]]="G",SUM(Q182:Q185),IF(LEFT(ResultsTeams[[#This Row],[Type]],1)="P",VALUE(ResultsTeams[[#This Row],[Score-A]]),""))</f>
        <v>0</v>
      </c>
      <c r="R181" s="265">
        <f>IF(ResultsTeams[[#This Row],[Type]]="G",SUM(R182:R185),IF(LEFT(ResultsTeams[[#This Row],[Type]],1)="P",VALUE(ResultsTeams[[#This Row],[Score-B]]),""))</f>
        <v>10</v>
      </c>
      <c r="S181" s="265" t="str">
        <f ca="1">IF(AND(ResultsTeams[[#This Row],[Category]]&lt;&gt;"",ResultsTeams[[#This Row],[Team A]]&lt;&gt;""),COUNTIF(INDIRECT("TeamsList[Club Name]"),ResultsTeams[[#This Row],[Team A]]),"")</f>
        <v/>
      </c>
      <c r="T181" s="265" t="str">
        <f ca="1">IF(AND(ResultsTeams[[#This Row],[Category]]&lt;&gt;"",ResultsTeams[[#This Row],[Team B]]&lt;&gt;""),COUNTIF(INDIRECT("TeamsList[Club Name]"),ResultsTeams[[#This Row],[Team B]]),"")</f>
        <v/>
      </c>
      <c r="U1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Preziuso</v>
      </c>
      <c r="V181" s="265" t="str">
        <f>IF(ResultsTeams[[#This Row],[Score_OK]],IF(ResultsTeams[[#This Row],[StageCpy]]="Groups",ResultsTeams[[#This Row],[Category]]&amp;"-"&amp;IF(ResultsTeams[[#This Row],[Team B]]="","",IF(ResultsTeams[[#This Row],[Match-A]]=ResultsTeams[[#This Row],[Match-B]],ResultsTeams[[#This Row],[Team A]],"")),""),"")</f>
        <v>-</v>
      </c>
      <c r="W181" s="265" t="str">
        <f>IF(ResultsTeams[[#This Row],[Score_OK]],IF(ResultsTeams[[#This Row],[StageCpy]]="Groups",ResultsTeams[[#This Row],[Category]]&amp;"-"&amp;IF(ResultsTeams[[#This Row],[Team B]]="","",IF(ResultsTeams[[#This Row],[Match-A]]=ResultsTeams[[#This Row],[Match-B]],ResultsTeams[[#This Row],[Team B]],"")),""),"")</f>
        <v>-</v>
      </c>
      <c r="X1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-Richard Oranje</v>
      </c>
      <c r="Y1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1" s="264" t="str">
        <f>IF(ResultsTeams[[#This Row],[Category]]="","",VLOOKUP(ResultsTeams[[#This Row],[Stage]],$R$1:$T$8,MATCH(ResultsTeams[[#This Row],[Category]],$S$1:$T$1,0)+1,FALSE))</f>
        <v/>
      </c>
      <c r="AC1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1" s="264" t="str">
        <f>IF(ResultsTeams[[#This Row],[Type]]="G",ResultsTeams[[#This Row],[Stage]],AD180)</f>
        <v>Groups</v>
      </c>
      <c r="AE181" s="395" t="str">
        <f>IF(ResultsTeams[[#This Row],[Type]]="G",INDEX(TeamsList[Club Name],MATCH(ResultsTeams[[#This Row],[Team A]],TeamsList[Team Name],0)),AE180)</f>
        <v>Dutch Legends</v>
      </c>
      <c r="AF181" s="395" t="str">
        <f>IF(ResultsTeams[[#This Row],[Type]]="G",INDEX(TeamsList[Club Name],MATCH(ResultsTeams[[#This Row],[Team B]],TeamsList[Team Name],0)),AF180)</f>
        <v>ASD SC Salernitana</v>
      </c>
      <c r="AG181" s="265"/>
      <c r="AI181" s="12">
        <f>AI180</f>
        <v>0</v>
      </c>
      <c r="AJ181" s="309"/>
      <c r="AK181" s="320"/>
      <c r="AL181" s="311"/>
      <c r="AM181" s="292" t="str">
        <f>IF(AV181="","",SMALL(AN180:AN186,ROWS(AM180:AM181)))</f>
        <v/>
      </c>
      <c r="AN181" s="293" t="str">
        <f>IF(AV181="","",RANK(AR181,AR180:AR186)*1000+ROWS(AN180:AN181))</f>
        <v/>
      </c>
      <c r="AO181" s="316" t="str">
        <f t="shared" si="146"/>
        <v/>
      </c>
      <c r="AP181" s="415" t="b">
        <f>AND(AU181&lt;&gt;"",AU181&gt;0,COUNTIF(AO180:AO186,AO181)&gt;1)</f>
        <v>0</v>
      </c>
      <c r="AQ181" s="316" t="str">
        <f t="shared" si="147"/>
        <v/>
      </c>
      <c r="AR181" s="317" t="str">
        <f t="shared" si="148"/>
        <v/>
      </c>
      <c r="AS181" s="415" t="b">
        <f>AND(AU181&lt;&gt;"",AU181&gt;0,COUNTIF(AR180:AR186,AR181)&gt;1)</f>
        <v>0</v>
      </c>
      <c r="AT181" s="355" t="str">
        <f t="shared" si="149"/>
        <v/>
      </c>
      <c r="AU181" s="356" t="str">
        <f t="shared" si="150"/>
        <v/>
      </c>
      <c r="AV181" s="356" t="str">
        <f>IF(OR(AI179="",AJ181=""),"",COUNTIF(ResultsTeams[Win],AI179&amp;"-"&amp;AJ181))</f>
        <v/>
      </c>
      <c r="AW181" s="356" t="str">
        <f>IF(OR(AI179="",AJ181=""),"",COUNTIF(ResultsTeams[[Draw1]:[Draw2]],AI179&amp;"-"&amp;AJ181))</f>
        <v/>
      </c>
      <c r="AX181" s="356" t="str">
        <f>IF(OR(AI179="",AJ181=""),"",COUNTIF(ResultsTeams[Lose],AI179&amp;"-"&amp;AJ181))</f>
        <v/>
      </c>
      <c r="AY181" s="356" t="str">
        <f>IF(OR(AI179="",AJ181=""),"",AV181-AX181)</f>
        <v/>
      </c>
      <c r="AZ181" s="356" t="str">
        <f>IF(OR(AI180="",AJ181=""),"",SUMIFS(ResultsTeams[Match-A],ResultsTeams[Stage],"Groups",ResultsTeams[Team A],AJ181)+SUMIFS(ResultsTeams[Match-B],ResultsTeams[Stage],"Groups",ResultsTeams[Team B],AJ181))</f>
        <v/>
      </c>
      <c r="BA181" s="356" t="str">
        <f>IF(OR(AI180="",AJ181=""),"",SUMIFS(ResultsTeams[Match-B],ResultsTeams[Stage],"Groups",ResultsTeams[Team A],AJ181)+SUMIFS(ResultsTeams[Match-A],ResultsTeams[Stage],"Groups",ResultsTeams[Team B],AJ181))</f>
        <v/>
      </c>
      <c r="BB181" s="356" t="str">
        <f t="shared" ref="BB181:BB186" si="152">IF(OR(AI180="",AJ181=""),"",AZ181-BA181)</f>
        <v/>
      </c>
      <c r="BC181" s="356" t="str">
        <f>IF(OR(AI180="",AJ181=""),"",SUMIFS(ResultsTeams[Goal-A],ResultsTeams[Stage],"Groups",ResultsTeams[Team A],AJ181)+SUMIFS(ResultsTeams[Goal-B],ResultsTeams[Stage],"Groups",ResultsTeams[Team B],AJ181))</f>
        <v/>
      </c>
      <c r="BD181" s="356" t="str">
        <f>IF(OR(AI180="",AJ181=""),"",SUMIFS(ResultsTeams[Goal-B],ResultsTeams[Stage],"Groups",ResultsTeams[Team A],AJ181)+SUMIFS(ResultsTeams[Goal-A],ResultsTeams[Stage],"Groups",ResultsTeams[Team B],AJ181))</f>
        <v/>
      </c>
      <c r="BE181" s="357" t="str">
        <f>IF(OR(AI179="",AJ181=""),"",BC181-BD181)</f>
        <v/>
      </c>
      <c r="BF181" s="470" t="str">
        <f>IF(AM181="","",OR(VLOOKUP(AM181,AN180:BE186,3,FALSE),VLOOKUP(AM181,AN180:BE186,6,FALSE)))</f>
        <v/>
      </c>
      <c r="BG181" s="298" t="str">
        <f t="shared" si="151"/>
        <v/>
      </c>
      <c r="BH181" s="285" t="str">
        <f>IF(AM181="","",INDEX(AJ180:AJ186,MATCH(AM181,AN180:AN186,0)))</f>
        <v/>
      </c>
      <c r="BI181" s="286" t="str">
        <f>IF(AM181="","",VLOOKUP(AM181,AN180:BE186,COLUMN()-COLUMN(BB179),FALSE))</f>
        <v/>
      </c>
      <c r="BJ181" s="286" t="str">
        <f>IF(AM181="","",VLOOKUP(AM181,AN180:BE186,COLUMN()-COLUMN(BB179),FALSE))</f>
        <v/>
      </c>
      <c r="BK181" s="286" t="str">
        <f>IF(AM181="","",VLOOKUP(AM181,AN180:BE186,COLUMN()-COLUMN(BB179),FALSE))</f>
        <v/>
      </c>
      <c r="BL181" s="286" t="str">
        <f>IF(AM181="","",VLOOKUP(AM181,AN180:BE186,COLUMN()-COLUMN(BB179),FALSE))</f>
        <v/>
      </c>
      <c r="BM181" s="286" t="str">
        <f>IF(AM181="","",VLOOKUP(AM181,AN180:BE186,COLUMN()-COLUMN(BB179),FALSE))</f>
        <v/>
      </c>
      <c r="BN181" s="349" t="str">
        <f>IF(AM181="","",VLOOKUP(AM181,AN180:BE186,COLUMN()-COLUMN(BB179),FALSE))</f>
        <v/>
      </c>
      <c r="BO181" s="298" t="str">
        <f>IF(AM181="","",VLOOKUP(AM181,AN180:BE186,COLUMN()-COLUMN(BB179),FALSE))</f>
        <v/>
      </c>
      <c r="BP181" s="286" t="str">
        <f>IF(AM181="","",VLOOKUP(AM181,AN180:BE186,COLUMN()-COLUMN(BB179),FALSE))</f>
        <v/>
      </c>
      <c r="BQ181" s="301" t="str">
        <f>IF(AM181="","",VLOOKUP(AM181,AN180:BE186,COLUMN()-COLUMN(BB179),FALSE))</f>
        <v/>
      </c>
      <c r="BR181" s="352" t="str">
        <f>IF(AM181="","",VLOOKUP(AM181,AN180:BE186,COLUMN()-COLUMN(BB179),FALSE))</f>
        <v/>
      </c>
      <c r="BS181" s="286" t="str">
        <f>IF(AM181="","",VLOOKUP(AM181,AN180:BE186,COLUMN()-COLUMN(BB179),FALSE))</f>
        <v/>
      </c>
      <c r="BT181" s="301" t="str">
        <f>IF(AM181="","",VLOOKUP(AM181,AN180:BE186,COLUMN()-COLUMN(BB179),FALSE))</f>
        <v/>
      </c>
    </row>
    <row r="182" spans="1:72" x14ac:dyDescent="0.2">
      <c r="A182" s="62"/>
      <c r="B182" s="280"/>
      <c r="C182" s="62"/>
      <c r="D182" s="62"/>
      <c r="E182" s="241" t="s">
        <v>12234</v>
      </c>
      <c r="F182" s="246" t="s">
        <v>11459</v>
      </c>
      <c r="G182" s="246" t="s">
        <v>8126</v>
      </c>
      <c r="H182" s="254">
        <v>0</v>
      </c>
      <c r="I182" s="254">
        <v>8</v>
      </c>
      <c r="J182" s="254"/>
      <c r="K182" s="363"/>
      <c r="L182" s="363"/>
      <c r="M182" s="247"/>
      <c r="N182" s="265" t="b">
        <f>NOT(ISERROR(ResultsTeams[[#This Row],[Goal-A]]+ResultsTeams[[#This Row],[Goal-B]]))</f>
        <v>1</v>
      </c>
      <c r="O182" s="265">
        <f>IF(ResultsTeams[[#This Row],[Type]]="G",SUM(O183:O186),IF(LEFT(ResultsTeams[[#This Row],[Type]],1)="P",IF(ResultsTeams[[#This Row],[Goal-A]]&gt;ResultsTeams[[#This Row],[Goal-B]],1,0),""))</f>
        <v>0</v>
      </c>
      <c r="P182" s="265">
        <f>IF(ResultsTeams[[#This Row],[Type]]="G",SUM(P183:P186),IF(LEFT(ResultsTeams[[#This Row],[Type]],1)="P",IF(ResultsTeams[[#This Row],[Goal-A]]&lt;ResultsTeams[[#This Row],[Goal-B]],1,0),""))</f>
        <v>1</v>
      </c>
      <c r="Q182" s="265">
        <f>IF(ResultsTeams[[#This Row],[Type]]="G",SUM(Q183:Q186),IF(LEFT(ResultsTeams[[#This Row],[Type]],1)="P",VALUE(ResultsTeams[[#This Row],[Score-A]]),""))</f>
        <v>0</v>
      </c>
      <c r="R182" s="265">
        <f>IF(ResultsTeams[[#This Row],[Type]]="G",SUM(R183:R186),IF(LEFT(ResultsTeams[[#This Row],[Type]],1)="P",VALUE(ResultsTeams[[#This Row],[Score-B]]),""))</f>
        <v>8</v>
      </c>
      <c r="S182" s="265" t="str">
        <f ca="1">IF(AND(ResultsTeams[[#This Row],[Category]]&lt;&gt;"",ResultsTeams[[#This Row],[Team A]]&lt;&gt;""),COUNTIF(INDIRECT("TeamsList[Club Name]"),ResultsTeams[[#This Row],[Team A]]),"")</f>
        <v/>
      </c>
      <c r="T182" s="265" t="str">
        <f ca="1">IF(AND(ResultsTeams[[#This Row],[Category]]&lt;&gt;"",ResultsTeams[[#This Row],[Team B]]&lt;&gt;""),COUNTIF(INDIRECT("TeamsList[Club Name]"),ResultsTeams[[#This Row],[Team B]]),"")</f>
        <v/>
      </c>
      <c r="U1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Scheen</v>
      </c>
      <c r="V182" s="265" t="str">
        <f>IF(ResultsTeams[[#This Row],[Score_OK]],IF(ResultsTeams[[#This Row],[StageCpy]]="Groups",ResultsTeams[[#This Row],[Category]]&amp;"-"&amp;IF(ResultsTeams[[#This Row],[Team B]]="","",IF(ResultsTeams[[#This Row],[Match-A]]=ResultsTeams[[#This Row],[Match-B]],ResultsTeams[[#This Row],[Team A]],"")),""),"")</f>
        <v>-</v>
      </c>
      <c r="W182" s="265" t="str">
        <f>IF(ResultsTeams[[#This Row],[Score_OK]],IF(ResultsTeams[[#This Row],[StageCpy]]="Groups",ResultsTeams[[#This Row],[Category]]&amp;"-"&amp;IF(ResultsTeams[[#This Row],[Team B]]="","",IF(ResultsTeams[[#This Row],[Match-A]]=ResultsTeams[[#This Row],[Match-B]],ResultsTeams[[#This Row],[Team B]],"")),""),"")</f>
        <v>-</v>
      </c>
      <c r="X1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-Cailim Marks</v>
      </c>
      <c r="Y1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2" s="264" t="str">
        <f>IF(ResultsTeams[[#This Row],[Category]]="","",VLOOKUP(ResultsTeams[[#This Row],[Stage]],$R$1:$T$8,MATCH(ResultsTeams[[#This Row],[Category]],$S$1:$T$1,0)+1,FALSE))</f>
        <v/>
      </c>
      <c r="AC1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2" s="264" t="str">
        <f>IF(ResultsTeams[[#This Row],[Type]]="G",ResultsTeams[[#This Row],[Stage]],AD181)</f>
        <v>Groups</v>
      </c>
      <c r="AE182" s="395" t="str">
        <f>IF(ResultsTeams[[#This Row],[Type]]="G",INDEX(TeamsList[Club Name],MATCH(ResultsTeams[[#This Row],[Team A]],TeamsList[Team Name],0)),AE181)</f>
        <v>Dutch Legends</v>
      </c>
      <c r="AF182" s="395" t="str">
        <f>IF(ResultsTeams[[#This Row],[Type]]="G",INDEX(TeamsList[Club Name],MATCH(ResultsTeams[[#This Row],[Team B]],TeamsList[Team Name],0)),AF181)</f>
        <v>ASD SC Salernitana</v>
      </c>
      <c r="AG182" s="265"/>
      <c r="AI182" s="12">
        <f t="shared" ref="AI182:AI186" si="153">AI181</f>
        <v>0</v>
      </c>
      <c r="AJ182" s="309"/>
      <c r="AK182" s="320"/>
      <c r="AL182" s="311"/>
      <c r="AM182" s="292" t="str">
        <f>IF(AV182="","",SMALL(AN180:AN186,ROWS(AM180:AM182)))</f>
        <v/>
      </c>
      <c r="AN182" s="293" t="str">
        <f>IF(AV182="","",RANK(AR182,AR180:AR186)*1000+ROWS(AN180:AN182))</f>
        <v/>
      </c>
      <c r="AO182" s="316" t="str">
        <f t="shared" si="146"/>
        <v/>
      </c>
      <c r="AP182" s="415" t="b">
        <f>AND(AU182&lt;&gt;"",AU182&gt;0,COUNTIF(AO180:AO186,AO182)&gt;1)</f>
        <v>0</v>
      </c>
      <c r="AQ182" s="316" t="str">
        <f t="shared" si="147"/>
        <v/>
      </c>
      <c r="AR182" s="317" t="str">
        <f t="shared" si="148"/>
        <v/>
      </c>
      <c r="AS182" s="415" t="b">
        <f>AND(AU182&lt;&gt;"",AU182&gt;0,COUNTIF(AR180:AR186,AR182)&gt;1)</f>
        <v>0</v>
      </c>
      <c r="AT182" s="355" t="str">
        <f t="shared" si="149"/>
        <v/>
      </c>
      <c r="AU182" s="356" t="str">
        <f t="shared" si="150"/>
        <v/>
      </c>
      <c r="AV182" s="356" t="str">
        <f>IF(OR(AI179="",AJ182=""),"",COUNTIF(ResultsTeams[Win],AI179&amp;"-"&amp;AJ182))</f>
        <v/>
      </c>
      <c r="AW182" s="356" t="str">
        <f>IF(OR(AI179="",AJ182=""),"",COUNTIF(ResultsTeams[[Draw1]:[Draw2]],AI179&amp;"-"&amp;AJ182))</f>
        <v/>
      </c>
      <c r="AX182" s="356" t="str">
        <f>IF(OR(AI179="",AJ182=""),"",COUNTIF(ResultsTeams[Lose],AI179&amp;"-"&amp;AJ182))</f>
        <v/>
      </c>
      <c r="AY182" s="356" t="str">
        <f>IF(OR(AI179="",AJ182=""),"",AV182-AX182)</f>
        <v/>
      </c>
      <c r="AZ182" s="356" t="str">
        <f>IF(OR(AI181="",AJ182=""),"",SUMIFS(ResultsTeams[Match-A],ResultsTeams[Stage],"Groups",ResultsTeams[Team A],AJ182)+SUMIFS(ResultsTeams[Match-B],ResultsTeams[Stage],"Groups",ResultsTeams[Team B],AJ182))</f>
        <v/>
      </c>
      <c r="BA182" s="356" t="str">
        <f>IF(OR(AI181="",AJ182=""),"",SUMIFS(ResultsTeams[Match-B],ResultsTeams[Stage],"Groups",ResultsTeams[Team A],AJ182)+SUMIFS(ResultsTeams[Match-A],ResultsTeams[Stage],"Groups",ResultsTeams[Team B],AJ182))</f>
        <v/>
      </c>
      <c r="BB182" s="356" t="str">
        <f t="shared" si="152"/>
        <v/>
      </c>
      <c r="BC182" s="356" t="str">
        <f>IF(OR(AI181="",AJ182=""),"",SUMIFS(ResultsTeams[Goal-A],ResultsTeams[Stage],"Groups",ResultsTeams[Team A],AJ182)+SUMIFS(ResultsTeams[Goal-B],ResultsTeams[Stage],"Groups",ResultsTeams[Team B],AJ182))</f>
        <v/>
      </c>
      <c r="BD182" s="356" t="str">
        <f>IF(OR(AI181="",AJ182=""),"",SUMIFS(ResultsTeams[Goal-B],ResultsTeams[Stage],"Groups",ResultsTeams[Team A],AJ182)+SUMIFS(ResultsTeams[Goal-A],ResultsTeams[Stage],"Groups",ResultsTeams[Team B],AJ182))</f>
        <v/>
      </c>
      <c r="BE182" s="357" t="str">
        <f>IF(OR(AI179="",AJ182=""),"",BC182-BD182)</f>
        <v/>
      </c>
      <c r="BF182" s="470" t="str">
        <f>IF(AM182="","",OR(VLOOKUP(AM182,AN180:BE186,3,FALSE),VLOOKUP(AM182,AN180:BE186,6,FALSE)))</f>
        <v/>
      </c>
      <c r="BG182" s="298" t="str">
        <f t="shared" si="151"/>
        <v/>
      </c>
      <c r="BH182" s="285" t="str">
        <f>IF(AM182="","",INDEX(AJ180:AJ186,MATCH(AM182,AN180:AN186,0)))</f>
        <v/>
      </c>
      <c r="BI182" s="286" t="str">
        <f>IF(AM182="","",VLOOKUP(AM182,AN180:BE186,COLUMN()-COLUMN(BB179),FALSE))</f>
        <v/>
      </c>
      <c r="BJ182" s="286" t="str">
        <f>IF(AM182="","",VLOOKUP(AM182,AN180:BE186,COLUMN()-COLUMN(BB179),FALSE))</f>
        <v/>
      </c>
      <c r="BK182" s="286" t="str">
        <f>IF(AM182="","",VLOOKUP(AM182,AN180:BE186,COLUMN()-COLUMN(BB179),FALSE))</f>
        <v/>
      </c>
      <c r="BL182" s="286" t="str">
        <f>IF(AM182="","",VLOOKUP(AM182,AN180:BE186,COLUMN()-COLUMN(BB179),FALSE))</f>
        <v/>
      </c>
      <c r="BM182" s="286" t="str">
        <f>IF(AM182="","",VLOOKUP(AM182,AN180:BE186,COLUMN()-COLUMN(BB179),FALSE))</f>
        <v/>
      </c>
      <c r="BN182" s="349" t="str">
        <f>IF(AM182="","",VLOOKUP(AM182,AN180:BE186,COLUMN()-COLUMN(BB179),FALSE))</f>
        <v/>
      </c>
      <c r="BO182" s="298" t="str">
        <f>IF(AM182="","",VLOOKUP(AM182,AN180:BE186,COLUMN()-COLUMN(BB179),FALSE))</f>
        <v/>
      </c>
      <c r="BP182" s="286" t="str">
        <f>IF(AM182="","",VLOOKUP(AM182,AN180:BE186,COLUMN()-COLUMN(BB179),FALSE))</f>
        <v/>
      </c>
      <c r="BQ182" s="301" t="str">
        <f>IF(AM182="","",VLOOKUP(AM182,AN180:BE186,COLUMN()-COLUMN(BB179),FALSE))</f>
        <v/>
      </c>
      <c r="BR182" s="352" t="str">
        <f>IF(AM182="","",VLOOKUP(AM182,AN180:BE186,COLUMN()-COLUMN(BB179),FALSE))</f>
        <v/>
      </c>
      <c r="BS182" s="286" t="str">
        <f>IF(AM182="","",VLOOKUP(AM182,AN180:BE186,COLUMN()-COLUMN(BB179),FALSE))</f>
        <v/>
      </c>
      <c r="BT182" s="301" t="str">
        <f>IF(AM182="","",VLOOKUP(AM182,AN180:BE186,COLUMN()-COLUMN(BB179),FALSE))</f>
        <v/>
      </c>
    </row>
    <row r="183" spans="1:72" x14ac:dyDescent="0.2">
      <c r="A183" s="62"/>
      <c r="B183" s="280"/>
      <c r="C183" s="62"/>
      <c r="D183" s="62"/>
      <c r="E183" s="241" t="s">
        <v>12237</v>
      </c>
      <c r="F183" s="246" t="s">
        <v>11473</v>
      </c>
      <c r="G183" s="246" t="s">
        <v>8922</v>
      </c>
      <c r="H183" s="254">
        <v>1</v>
      </c>
      <c r="I183" s="254">
        <v>8</v>
      </c>
      <c r="J183" s="254"/>
      <c r="K183" s="363"/>
      <c r="L183" s="363"/>
      <c r="M183" s="247"/>
      <c r="N183" s="265" t="b">
        <f>NOT(ISERROR(ResultsTeams[[#This Row],[Goal-A]]+ResultsTeams[[#This Row],[Goal-B]]))</f>
        <v>1</v>
      </c>
      <c r="O183" s="265">
        <f>IF(ResultsTeams[[#This Row],[Type]]="G",SUM(O184:O187),IF(LEFT(ResultsTeams[[#This Row],[Type]],1)="P",IF(ResultsTeams[[#This Row],[Goal-A]]&gt;ResultsTeams[[#This Row],[Goal-B]],1,0),""))</f>
        <v>0</v>
      </c>
      <c r="P183" s="265">
        <f>IF(ResultsTeams[[#This Row],[Type]]="G",SUM(P184:P187),IF(LEFT(ResultsTeams[[#This Row],[Type]],1)="P",IF(ResultsTeams[[#This Row],[Goal-A]]&lt;ResultsTeams[[#This Row],[Goal-B]],1,0),""))</f>
        <v>1</v>
      </c>
      <c r="Q183" s="265">
        <f>IF(ResultsTeams[[#This Row],[Type]]="G",SUM(Q184:Q187),IF(LEFT(ResultsTeams[[#This Row],[Type]],1)="P",VALUE(ResultsTeams[[#This Row],[Score-A]]),""))</f>
        <v>1</v>
      </c>
      <c r="R183" s="265">
        <f>IF(ResultsTeams[[#This Row],[Type]]="G",SUM(R184:R187),IF(LEFT(ResultsTeams[[#This Row],[Type]],1)="P",VALUE(ResultsTeams[[#This Row],[Score-B]]),""))</f>
        <v>8</v>
      </c>
      <c r="S183" s="265" t="str">
        <f ca="1">IF(AND(ResultsTeams[[#This Row],[Category]]&lt;&gt;"",ResultsTeams[[#This Row],[Team A]]&lt;&gt;""),COUNTIF(INDIRECT("TeamsList[Club Name]"),ResultsTeams[[#This Row],[Team A]]),"")</f>
        <v/>
      </c>
      <c r="T183" s="265" t="str">
        <f ca="1">IF(AND(ResultsTeams[[#This Row],[Category]]&lt;&gt;"",ResultsTeams[[#This Row],[Team B]]&lt;&gt;""),COUNTIF(INDIRECT("TeamsList[Club Name]"),ResultsTeams[[#This Row],[Team B]]),"")</f>
        <v/>
      </c>
      <c r="U1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-Georgios Genitsaropoulos</v>
      </c>
      <c r="V183" s="265" t="str">
        <f>IF(ResultsTeams[[#This Row],[Score_OK]],IF(ResultsTeams[[#This Row],[StageCpy]]="Groups",ResultsTeams[[#This Row],[Category]]&amp;"-"&amp;IF(ResultsTeams[[#This Row],[Team B]]="","",IF(ResultsTeams[[#This Row],[Match-A]]=ResultsTeams[[#This Row],[Match-B]],ResultsTeams[[#This Row],[Team A]],"")),""),"")</f>
        <v>-</v>
      </c>
      <c r="W183" s="265" t="str">
        <f>IF(ResultsTeams[[#This Row],[Score_OK]],IF(ResultsTeams[[#This Row],[StageCpy]]="Groups",ResultsTeams[[#This Row],[Category]]&amp;"-"&amp;IF(ResultsTeams[[#This Row],[Team B]]="","",IF(ResultsTeams[[#This Row],[Match-A]]=ResultsTeams[[#This Row],[Match-B]],ResultsTeams[[#This Row],[Team B]],"")),""),"")</f>
        <v>-</v>
      </c>
      <c r="X1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-Xavier Aret</v>
      </c>
      <c r="Y1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3" s="264" t="str">
        <f>IF(ResultsTeams[[#This Row],[Category]]="","",VLOOKUP(ResultsTeams[[#This Row],[Stage]],$R$1:$T$8,MATCH(ResultsTeams[[#This Row],[Category]],$S$1:$T$1,0)+1,FALSE))</f>
        <v/>
      </c>
      <c r="AC1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3" s="264" t="str">
        <f>IF(ResultsTeams[[#This Row],[Type]]="G",ResultsTeams[[#This Row],[Stage]],AD182)</f>
        <v>Groups</v>
      </c>
      <c r="AE183" s="395" t="str">
        <f>IF(ResultsTeams[[#This Row],[Type]]="G",INDEX(TeamsList[Club Name],MATCH(ResultsTeams[[#This Row],[Team A]],TeamsList[Team Name],0)),AE182)</f>
        <v>Dutch Legends</v>
      </c>
      <c r="AF183" s="395" t="str">
        <f>IF(ResultsTeams[[#This Row],[Type]]="G",INDEX(TeamsList[Club Name],MATCH(ResultsTeams[[#This Row],[Team B]],TeamsList[Team Name],0)),AF182)</f>
        <v>ASD SC Salernitana</v>
      </c>
      <c r="AG183" s="265"/>
      <c r="AH183" s="91"/>
      <c r="AI183" s="12">
        <f t="shared" si="153"/>
        <v>0</v>
      </c>
      <c r="AJ183" s="309"/>
      <c r="AK183" s="310"/>
      <c r="AL183" s="311"/>
      <c r="AM183" s="292" t="str">
        <f>IF(AV183="","",SMALL(AN180:AN186,ROWS(AM180:AM183)))</f>
        <v/>
      </c>
      <c r="AN183" s="293" t="str">
        <f>IF(AV183="","",RANK(AR183,AR180:AR186)*1000+ROWS(AN180:AN183))</f>
        <v/>
      </c>
      <c r="AO183" s="316" t="str">
        <f t="shared" si="146"/>
        <v/>
      </c>
      <c r="AP183" s="415" t="b">
        <f>AND(AU183&lt;&gt;"",AU183&gt;0,COUNTIF(AO180:AO186,AO183)&gt;1)</f>
        <v>0</v>
      </c>
      <c r="AQ183" s="316" t="str">
        <f t="shared" si="147"/>
        <v/>
      </c>
      <c r="AR183" s="317" t="str">
        <f t="shared" si="148"/>
        <v/>
      </c>
      <c r="AS183" s="415" t="b">
        <f>AND(AU183&lt;&gt;"",AU183&gt;0,COUNTIF(AR180:AR186,AR183)&gt;1)</f>
        <v>0</v>
      </c>
      <c r="AT183" s="355" t="str">
        <f t="shared" si="149"/>
        <v/>
      </c>
      <c r="AU183" s="356" t="str">
        <f t="shared" si="150"/>
        <v/>
      </c>
      <c r="AV183" s="356" t="str">
        <f>IF(OR(AI179="",AJ183=""),"",COUNTIF(ResultsTeams[Win],AI179&amp;"-"&amp;AJ183))</f>
        <v/>
      </c>
      <c r="AW183" s="356" t="str">
        <f>IF(OR(AI179="",AJ183=""),"",COUNTIF(ResultsTeams[[Draw1]:[Draw2]],AI179&amp;"-"&amp;AJ183))</f>
        <v/>
      </c>
      <c r="AX183" s="356" t="str">
        <f>IF(OR(AI179="",AJ183=""),"",COUNTIF(ResultsTeams[Lose],AI179&amp;"-"&amp;AJ183))</f>
        <v/>
      </c>
      <c r="AY183" s="356" t="str">
        <f>IF(OR(AI179="",AJ183=""),"",AV183-AX183)</f>
        <v/>
      </c>
      <c r="AZ183" s="356" t="str">
        <f>IF(OR(AI182="",AJ183=""),"",SUMIFS(ResultsTeams[Match-A],ResultsTeams[Stage],"Groups",ResultsTeams[Team A],AJ183)+SUMIFS(ResultsTeams[Match-B],ResultsTeams[Stage],"Groups",ResultsTeams[Team B],AJ183))</f>
        <v/>
      </c>
      <c r="BA183" s="356" t="str">
        <f>IF(OR(AI182="",AJ183=""),"",SUMIFS(ResultsTeams[Match-B],ResultsTeams[Stage],"Groups",ResultsTeams[Team A],AJ183)+SUMIFS(ResultsTeams[Match-A],ResultsTeams[Stage],"Groups",ResultsTeams[Team B],AJ183))</f>
        <v/>
      </c>
      <c r="BB183" s="356" t="str">
        <f t="shared" si="152"/>
        <v/>
      </c>
      <c r="BC183" s="356" t="str">
        <f>IF(OR(AI182="",AJ183=""),"",SUMIFS(ResultsTeams[Goal-A],ResultsTeams[Stage],"Groups",ResultsTeams[Team A],AJ183)+SUMIFS(ResultsTeams[Goal-B],ResultsTeams[Stage],"Groups",ResultsTeams[Team B],AJ183))</f>
        <v/>
      </c>
      <c r="BD183" s="356" t="str">
        <f>IF(OR(AI182="",AJ183=""),"",SUMIFS(ResultsTeams[Goal-B],ResultsTeams[Stage],"Groups",ResultsTeams[Team A],AJ183)+SUMIFS(ResultsTeams[Goal-A],ResultsTeams[Stage],"Groups",ResultsTeams[Team B],AJ183))</f>
        <v/>
      </c>
      <c r="BE183" s="357" t="str">
        <f>IF(OR(AI179="",AJ183=""),"",BC183-BD183)</f>
        <v/>
      </c>
      <c r="BF183" s="470" t="str">
        <f>IF(AM183="","",OR(VLOOKUP(AM183,AN180:BE186,3,FALSE),VLOOKUP(AM183,AN180:BE186,6,FALSE)))</f>
        <v/>
      </c>
      <c r="BG183" s="298" t="str">
        <f t="shared" si="151"/>
        <v/>
      </c>
      <c r="BH183" s="285" t="str">
        <f>IF(AM183="","",INDEX(AJ180:AJ186,MATCH(AM183,AN180:AN186,0)))</f>
        <v/>
      </c>
      <c r="BI183" s="286" t="str">
        <f>IF(AM183="","",VLOOKUP(AM183,AN180:BE186,COLUMN()-COLUMN(BB179),FALSE))</f>
        <v/>
      </c>
      <c r="BJ183" s="286" t="str">
        <f>IF(AM183="","",VLOOKUP(AM183,AN180:BE186,COLUMN()-COLUMN(BB179),FALSE))</f>
        <v/>
      </c>
      <c r="BK183" s="286" t="str">
        <f>IF(AM183="","",VLOOKUP(AM183,AN180:BE186,COLUMN()-COLUMN(BB179),FALSE))</f>
        <v/>
      </c>
      <c r="BL183" s="286" t="str">
        <f>IF(AM183="","",VLOOKUP(AM183,AN180:BE186,COLUMN()-COLUMN(BB179),FALSE))</f>
        <v/>
      </c>
      <c r="BM183" s="286" t="str">
        <f>IF(AM183="","",VLOOKUP(AM183,AN180:BE186,COLUMN()-COLUMN(BB179),FALSE))</f>
        <v/>
      </c>
      <c r="BN183" s="349" t="str">
        <f>IF(AM183="","",VLOOKUP(AM183,AN180:BE186,COLUMN()-COLUMN(BB179),FALSE))</f>
        <v/>
      </c>
      <c r="BO183" s="298" t="str">
        <f>IF(AM183="","",VLOOKUP(AM183,AN180:BE186,COLUMN()-COLUMN(BB179),FALSE))</f>
        <v/>
      </c>
      <c r="BP183" s="286" t="str">
        <f>IF(AM183="","",VLOOKUP(AM183,AN180:BE186,COLUMN()-COLUMN(BB179),FALSE))</f>
        <v/>
      </c>
      <c r="BQ183" s="301" t="str">
        <f>IF(AM183="","",VLOOKUP(AM183,AN180:BE186,COLUMN()-COLUMN(BB179),FALSE))</f>
        <v/>
      </c>
      <c r="BR183" s="352" t="str">
        <f>IF(AM183="","",VLOOKUP(AM183,AN180:BE186,COLUMN()-COLUMN(BB179),FALSE))</f>
        <v/>
      </c>
      <c r="BS183" s="286" t="str">
        <f>IF(AM183="","",VLOOKUP(AM183,AN180:BE186,COLUMN()-COLUMN(BB179),FALSE))</f>
        <v/>
      </c>
      <c r="BT183" s="301" t="str">
        <f>IF(AM183="","",VLOOKUP(AM183,AN180:BE186,COLUMN()-COLUMN(BB179),FALSE))</f>
        <v/>
      </c>
    </row>
    <row r="184" spans="1:72" x14ac:dyDescent="0.2">
      <c r="A184" s="62"/>
      <c r="B184" s="280"/>
      <c r="C184" s="62"/>
      <c r="D184" s="62"/>
      <c r="E184" s="241" t="s">
        <v>12240</v>
      </c>
      <c r="F184" s="246" t="s">
        <v>11466</v>
      </c>
      <c r="G184" s="246" t="s">
        <v>10243</v>
      </c>
      <c r="H184" s="254">
        <v>2</v>
      </c>
      <c r="I184" s="254">
        <v>3</v>
      </c>
      <c r="J184" s="254"/>
      <c r="K184" s="363"/>
      <c r="L184" s="363"/>
      <c r="M184" s="247"/>
      <c r="N184" s="265" t="b">
        <f>NOT(ISERROR(ResultsTeams[[#This Row],[Goal-A]]+ResultsTeams[[#This Row],[Goal-B]]))</f>
        <v>1</v>
      </c>
      <c r="O184" s="265">
        <f>IF(ResultsTeams[[#This Row],[Type]]="G",SUM(O185:O188),IF(LEFT(ResultsTeams[[#This Row],[Type]],1)="P",IF(ResultsTeams[[#This Row],[Goal-A]]&gt;ResultsTeams[[#This Row],[Goal-B]],1,0),""))</f>
        <v>0</v>
      </c>
      <c r="P184" s="265">
        <f>IF(ResultsTeams[[#This Row],[Type]]="G",SUM(P185:P188),IF(LEFT(ResultsTeams[[#This Row],[Type]],1)="P",IF(ResultsTeams[[#This Row],[Goal-A]]&lt;ResultsTeams[[#This Row],[Goal-B]],1,0),""))</f>
        <v>1</v>
      </c>
      <c r="Q184" s="265">
        <f>IF(ResultsTeams[[#This Row],[Type]]="G",SUM(Q185:Q188),IF(LEFT(ResultsTeams[[#This Row],[Type]],1)="P",VALUE(ResultsTeams[[#This Row],[Score-A]]),""))</f>
        <v>2</v>
      </c>
      <c r="R184" s="265">
        <f>IF(ResultsTeams[[#This Row],[Type]]="G",SUM(R185:R188),IF(LEFT(ResultsTeams[[#This Row],[Type]],1)="P",VALUE(ResultsTeams[[#This Row],[Score-B]]),""))</f>
        <v>3</v>
      </c>
      <c r="S184" s="265" t="str">
        <f ca="1">IF(AND(ResultsTeams[[#This Row],[Category]]&lt;&gt;"",ResultsTeams[[#This Row],[Team A]]&lt;&gt;""),COUNTIF(INDIRECT("TeamsList[Club Name]"),ResultsTeams[[#This Row],[Team A]]),"")</f>
        <v/>
      </c>
      <c r="T184" s="265" t="str">
        <f ca="1">IF(AND(ResultsTeams[[#This Row],[Category]]&lt;&gt;"",ResultsTeams[[#This Row],[Team B]]&lt;&gt;""),COUNTIF(INDIRECT("TeamsList[Club Name]"),ResultsTeams[[#This Row],[Team B]]),"")</f>
        <v/>
      </c>
      <c r="U1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-Lucio Canicchio</v>
      </c>
      <c r="V184" s="265" t="str">
        <f>IF(ResultsTeams[[#This Row],[Score_OK]],IF(ResultsTeams[[#This Row],[StageCpy]]="Groups",ResultsTeams[[#This Row],[Category]]&amp;"-"&amp;IF(ResultsTeams[[#This Row],[Team B]]="","",IF(ResultsTeams[[#This Row],[Match-A]]=ResultsTeams[[#This Row],[Match-B]],ResultsTeams[[#This Row],[Team A]],"")),""),"")</f>
        <v>-</v>
      </c>
      <c r="W184" s="265" t="str">
        <f>IF(ResultsTeams[[#This Row],[Score_OK]],IF(ResultsTeams[[#This Row],[StageCpy]]="Groups",ResultsTeams[[#This Row],[Category]]&amp;"-"&amp;IF(ResultsTeams[[#This Row],[Team B]]="","",IF(ResultsTeams[[#This Row],[Match-A]]=ResultsTeams[[#This Row],[Match-B]],ResultsTeams[[#This Row],[Team B]],"")),""),"")</f>
        <v>-</v>
      </c>
      <c r="X1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-Jarno Marks</v>
      </c>
      <c r="Y1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4" s="264" t="str">
        <f>IF(ResultsTeams[[#This Row],[Category]]="","",VLOOKUP(ResultsTeams[[#This Row],[Stage]],$R$1:$T$8,MATCH(ResultsTeams[[#This Row],[Category]],$S$1:$T$1,0)+1,FALSE))</f>
        <v/>
      </c>
      <c r="AC1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4" s="264" t="str">
        <f>IF(ResultsTeams[[#This Row],[Type]]="G",ResultsTeams[[#This Row],[Stage]],AD183)</f>
        <v>Groups</v>
      </c>
      <c r="AE184" s="395" t="str">
        <f>IF(ResultsTeams[[#This Row],[Type]]="G",INDEX(TeamsList[Club Name],MATCH(ResultsTeams[[#This Row],[Team A]],TeamsList[Team Name],0)),AE183)</f>
        <v>Dutch Legends</v>
      </c>
      <c r="AF184" s="395" t="str">
        <f>IF(ResultsTeams[[#This Row],[Type]]="G",INDEX(TeamsList[Club Name],MATCH(ResultsTeams[[#This Row],[Team B]],TeamsList[Team Name],0)),AF183)</f>
        <v>ASD SC Salernitana</v>
      </c>
      <c r="AG184" s="265"/>
      <c r="AH184" s="91"/>
      <c r="AI184" s="12">
        <f t="shared" si="153"/>
        <v>0</v>
      </c>
      <c r="AJ184" s="309"/>
      <c r="AK184" s="310"/>
      <c r="AL184" s="311"/>
      <c r="AM184" s="292" t="str">
        <f>IF(AV184="","",SMALL(AN180:AN186,ROWS(AM180:AM184)))</f>
        <v/>
      </c>
      <c r="AN184" s="293" t="str">
        <f>IF(AV184="","",RANK(AR184,AR180:AR186)*1000+ROWS(AN180:AN184))</f>
        <v/>
      </c>
      <c r="AO184" s="316" t="str">
        <f t="shared" si="146"/>
        <v/>
      </c>
      <c r="AP184" s="415" t="b">
        <f>AND(AU184&lt;&gt;"",AU184&gt;0,COUNTIF(AO180:AO186,AO184)&gt;1)</f>
        <v>0</v>
      </c>
      <c r="AQ184" s="316" t="str">
        <f t="shared" si="147"/>
        <v/>
      </c>
      <c r="AR184" s="317" t="str">
        <f t="shared" si="148"/>
        <v/>
      </c>
      <c r="AS184" s="415" t="b">
        <f>AND(AU184&lt;&gt;"",AU184&gt;0,COUNTIF(AR180:AR186,AR184)&gt;1)</f>
        <v>0</v>
      </c>
      <c r="AT184" s="355" t="str">
        <f t="shared" si="149"/>
        <v/>
      </c>
      <c r="AU184" s="356" t="str">
        <f t="shared" si="150"/>
        <v/>
      </c>
      <c r="AV184" s="356" t="str">
        <f>IF(OR(AI179="",AJ184=""),"",COUNTIF(ResultsTeams[Win],AI179&amp;"-"&amp;AJ184))</f>
        <v/>
      </c>
      <c r="AW184" s="356" t="str">
        <f>IF(OR(AI179="",AJ184=""),"",COUNTIF(ResultsTeams[[Draw1]:[Draw2]],AI179&amp;"-"&amp;AJ184))</f>
        <v/>
      </c>
      <c r="AX184" s="356" t="str">
        <f>IF(OR(AI179="",AJ184=""),"",COUNTIF(ResultsTeams[Lose],AI179&amp;"-"&amp;AJ184))</f>
        <v/>
      </c>
      <c r="AY184" s="356" t="str">
        <f>IF(OR(AI179="",AJ184=""),"",AV184-AX184)</f>
        <v/>
      </c>
      <c r="AZ184" s="356" t="str">
        <f>IF(OR(AI183="",AJ184=""),"",SUMIFS(ResultsTeams[Match-A],ResultsTeams[Stage],"Groups",ResultsTeams[Team A],AJ184)+SUMIFS(ResultsTeams[Match-B],ResultsTeams[Stage],"Groups",ResultsTeams[Team B],AJ184))</f>
        <v/>
      </c>
      <c r="BA184" s="356" t="str">
        <f>IF(OR(AI183="",AJ184=""),"",SUMIFS(ResultsTeams[Match-B],ResultsTeams[Stage],"Groups",ResultsTeams[Team A],AJ184)+SUMIFS(ResultsTeams[Match-A],ResultsTeams[Stage],"Groups",ResultsTeams[Team B],AJ184))</f>
        <v/>
      </c>
      <c r="BB184" s="356" t="str">
        <f t="shared" si="152"/>
        <v/>
      </c>
      <c r="BC184" s="356" t="str">
        <f>IF(OR(AI183="",AJ184=""),"",SUMIFS(ResultsTeams[Goal-A],ResultsTeams[Stage],"Groups",ResultsTeams[Team A],AJ184)+SUMIFS(ResultsTeams[Goal-B],ResultsTeams[Stage],"Groups",ResultsTeams[Team B],AJ184))</f>
        <v/>
      </c>
      <c r="BD184" s="356" t="str">
        <f>IF(OR(AI183="",AJ184=""),"",SUMIFS(ResultsTeams[Goal-B],ResultsTeams[Stage],"Groups",ResultsTeams[Team A],AJ184)+SUMIFS(ResultsTeams[Goal-A],ResultsTeams[Stage],"Groups",ResultsTeams[Team B],AJ184))</f>
        <v/>
      </c>
      <c r="BE184" s="357" t="str">
        <f>IF(OR(AI179="",AJ184=""),"",BC184-BD184)</f>
        <v/>
      </c>
      <c r="BF184" s="470" t="str">
        <f>IF(AM184="","",OR(VLOOKUP(AM184,AN180:BE186,3,FALSE),VLOOKUP(AM184,AN180:BE186,6,FALSE)))</f>
        <v/>
      </c>
      <c r="BG184" s="298" t="str">
        <f t="shared" si="151"/>
        <v/>
      </c>
      <c r="BH184" s="285" t="str">
        <f>IF(AM184="","",INDEX(AJ180:AJ186,MATCH(AM184,AN180:AN186,0)))</f>
        <v/>
      </c>
      <c r="BI184" s="286" t="str">
        <f>IF(AM184="","",VLOOKUP(AM184,AN180:BE186,COLUMN()-COLUMN(BB179),FALSE))</f>
        <v/>
      </c>
      <c r="BJ184" s="286" t="str">
        <f>IF(AM184="","",VLOOKUP(AM184,AN180:BE186,COLUMN()-COLUMN(BB179),FALSE))</f>
        <v/>
      </c>
      <c r="BK184" s="286" t="str">
        <f>IF(AM184="","",VLOOKUP(AM184,AN180:BE186,COLUMN()-COLUMN(BB179),FALSE))</f>
        <v/>
      </c>
      <c r="BL184" s="286" t="str">
        <f>IF(AM184="","",VLOOKUP(AM184,AN180:BE186,COLUMN()-COLUMN(BB179),FALSE))</f>
        <v/>
      </c>
      <c r="BM184" s="286" t="str">
        <f>IF(AM184="","",VLOOKUP(AM184,AN180:BE186,COLUMN()-COLUMN(BB179),FALSE))</f>
        <v/>
      </c>
      <c r="BN184" s="349" t="str">
        <f>IF(AM184="","",VLOOKUP(AM184,AN180:BE186,COLUMN()-COLUMN(BB179),FALSE))</f>
        <v/>
      </c>
      <c r="BO184" s="298" t="str">
        <f>IF(AM184="","",VLOOKUP(AM184,AN180:BE186,COLUMN()-COLUMN(BB179),FALSE))</f>
        <v/>
      </c>
      <c r="BP184" s="286" t="str">
        <f>IF(AM184="","",VLOOKUP(AM184,AN180:BE186,COLUMN()-COLUMN(BB179),FALSE))</f>
        <v/>
      </c>
      <c r="BQ184" s="301" t="str">
        <f>IF(AM184="","",VLOOKUP(AM184,AN180:BE186,COLUMN()-COLUMN(BB179),FALSE))</f>
        <v/>
      </c>
      <c r="BR184" s="352" t="str">
        <f>IF(AM184="","",VLOOKUP(AM184,AN180:BE186,COLUMN()-COLUMN(BB179),FALSE))</f>
        <v/>
      </c>
      <c r="BS184" s="286" t="str">
        <f>IF(AM184="","",VLOOKUP(AM184,AN180:BE186,COLUMN()-COLUMN(BB179),FALSE))</f>
        <v/>
      </c>
      <c r="BT184" s="301" t="str">
        <f>IF(AM184="","",VLOOKUP(AM184,AN180:BE186,COLUMN()-COLUMN(BB179),FALSE))</f>
        <v/>
      </c>
    </row>
    <row r="185" spans="1:72" x14ac:dyDescent="0.2">
      <c r="A185" s="62"/>
      <c r="B185" s="62"/>
      <c r="C185" s="62"/>
      <c r="D185" s="62"/>
      <c r="E185" s="241" t="s">
        <v>12243</v>
      </c>
      <c r="F185" s="247"/>
      <c r="G185" s="247"/>
      <c r="H185" s="254"/>
      <c r="I185" s="254"/>
      <c r="J185" s="260"/>
      <c r="K185" s="364"/>
      <c r="L185" s="364"/>
      <c r="M185" s="63"/>
      <c r="N185" s="265" t="b">
        <f>NOT(ISERROR(ResultsTeams[[#This Row],[Goal-A]]+ResultsTeams[[#This Row],[Goal-B]]))</f>
        <v>0</v>
      </c>
      <c r="O185" s="265" t="str">
        <f>IF(ResultsTeams[[#This Row],[Type]]="G",SUM(O186:O189),IF(LEFT(ResultsTeams[[#This Row],[Type]],1)="P",IF(ResultsTeams[[#This Row],[Goal-A]]&gt;ResultsTeams[[#This Row],[Goal-B]],1,0),""))</f>
        <v/>
      </c>
      <c r="P185" s="265" t="str">
        <f>IF(ResultsTeams[[#This Row],[Type]]="G",SUM(P186:P189),IF(LEFT(ResultsTeams[[#This Row],[Type]],1)="P",IF(ResultsTeams[[#This Row],[Goal-A]]&lt;ResultsTeams[[#This Row],[Goal-B]],1,0),""))</f>
        <v/>
      </c>
      <c r="Q185" s="265" t="str">
        <f>IF(ResultsTeams[[#This Row],[Type]]="G",SUM(Q186:Q189),IF(LEFT(ResultsTeams[[#This Row],[Type]],1)="P",VALUE(ResultsTeams[[#This Row],[Score-A]]),""))</f>
        <v/>
      </c>
      <c r="R185" s="265" t="str">
        <f>IF(ResultsTeams[[#This Row],[Type]]="G",SUM(R186:R189),IF(LEFT(ResultsTeams[[#This Row],[Type]],1)="P",VALUE(ResultsTeams[[#This Row],[Score-B]]),""))</f>
        <v/>
      </c>
      <c r="S185" s="265" t="str">
        <f ca="1">IF(AND(ResultsTeams[[#This Row],[Category]]&lt;&gt;"",ResultsTeams[[#This Row],[Team A]]&lt;&gt;""),COUNTIF(INDIRECT("TeamsList[Club Name]"),ResultsTeams[[#This Row],[Team A]]),"")</f>
        <v/>
      </c>
      <c r="T185" s="265" t="str">
        <f ca="1">IF(AND(ResultsTeams[[#This Row],[Category]]&lt;&gt;"",ResultsTeams[[#This Row],[Team B]]&lt;&gt;""),COUNTIF(INDIRECT("TeamsList[Club Name]"),ResultsTeams[[#This Row],[Team B]]),"")</f>
        <v/>
      </c>
      <c r="U1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5" s="265" t="str">
        <f>IF(ResultsTeams[[#This Row],[Score_OK]],IF(ResultsTeams[[#This Row],[StageCpy]]="Groups",ResultsTeams[[#This Row],[Category]]&amp;"-"&amp;IF(ResultsTeams[[#This Row],[Team B]]="","",IF(ResultsTeams[[#This Row],[Match-A]]=ResultsTeams[[#This Row],[Match-B]],ResultsTeams[[#This Row],[Team A]],"")),""),"")</f>
        <v/>
      </c>
      <c r="W185" s="265" t="str">
        <f>IF(ResultsTeams[[#This Row],[Score_OK]],IF(ResultsTeams[[#This Row],[StageCpy]]="Groups",ResultsTeams[[#This Row],[Category]]&amp;"-"&amp;IF(ResultsTeams[[#This Row],[Team B]]="","",IF(ResultsTeams[[#This Row],[Match-A]]=ResultsTeams[[#This Row],[Match-B]],ResultsTeams[[#This Row],[Team B]],"")),""),"")</f>
        <v/>
      </c>
      <c r="X1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5" s="264" t="str">
        <f>IF(ResultsTeams[[#This Row],[Category]]="","",VLOOKUP(ResultsTeams[[#This Row],[Stage]],$R$1:$T$8,MATCH(ResultsTeams[[#This Row],[Category]],$S$1:$T$1,0)+1,FALSE))</f>
        <v/>
      </c>
      <c r="AC1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5" s="264" t="str">
        <f>IF(ResultsTeams[[#This Row],[Type]]="G",ResultsTeams[[#This Row],[Stage]],AD184)</f>
        <v>Groups</v>
      </c>
      <c r="AE185" s="395" t="str">
        <f>IF(ResultsTeams[[#This Row],[Type]]="G",INDEX(TeamsList[Club Name],MATCH(ResultsTeams[[#This Row],[Team A]],TeamsList[Team Name],0)),AE184)</f>
        <v>Dutch Legends</v>
      </c>
      <c r="AF185" s="395" t="str">
        <f>IF(ResultsTeams[[#This Row],[Type]]="G",INDEX(TeamsList[Club Name],MATCH(ResultsTeams[[#This Row],[Team B]],TeamsList[Team Name],0)),AF184)</f>
        <v>ASD SC Salernitana</v>
      </c>
      <c r="AG185" s="265"/>
      <c r="AI185" s="12">
        <f t="shared" si="153"/>
        <v>0</v>
      </c>
      <c r="AJ185" s="309"/>
      <c r="AK185" s="310"/>
      <c r="AL185" s="311"/>
      <c r="AM185" s="292" t="str">
        <f>IF(AV185="","",SMALL(AN180:AN186,ROWS(AM180:AM185)))</f>
        <v/>
      </c>
      <c r="AN185" s="293" t="str">
        <f>IF(AV185="","",RANK(AR185,AR180:AR186)*1000+ROWS(AN180:AN185))</f>
        <v/>
      </c>
      <c r="AO185" s="316" t="str">
        <f t="shared" si="146"/>
        <v/>
      </c>
      <c r="AP185" s="415" t="b">
        <f>AND(AU185&lt;&gt;"",AU185&gt;0,COUNTIF(AO180:AO186,AO185)&gt;1)</f>
        <v>0</v>
      </c>
      <c r="AQ185" s="316" t="str">
        <f t="shared" si="147"/>
        <v/>
      </c>
      <c r="AR185" s="317" t="str">
        <f t="shared" si="148"/>
        <v/>
      </c>
      <c r="AS185" s="415" t="b">
        <f>AND(AU185&lt;&gt;"",AU185&gt;0,COUNTIF(AR180:AR186,AR185)&gt;1)</f>
        <v>0</v>
      </c>
      <c r="AT185" s="355" t="str">
        <f t="shared" si="149"/>
        <v/>
      </c>
      <c r="AU185" s="356" t="str">
        <f t="shared" si="150"/>
        <v/>
      </c>
      <c r="AV185" s="356" t="str">
        <f>IF(OR(AI179="",AJ185=""),"",COUNTIF(ResultsTeams[Win],AI179&amp;"-"&amp;AJ185))</f>
        <v/>
      </c>
      <c r="AW185" s="356" t="str">
        <f>IF(OR(AI179="",AJ185=""),"",COUNTIF(ResultsTeams[[Draw1]:[Draw2]],AI179&amp;"-"&amp;AJ185))</f>
        <v/>
      </c>
      <c r="AX185" s="356" t="str">
        <f>IF(OR(AI179="",AJ185=""),"",COUNTIF(ResultsTeams[Lose],AI179&amp;"-"&amp;AJ185))</f>
        <v/>
      </c>
      <c r="AY185" s="356" t="str">
        <f>IF(OR(AI179="",AJ185=""),"",AV185-AX185)</f>
        <v/>
      </c>
      <c r="AZ185" s="356" t="str">
        <f>IF(OR(AI184="",AJ185=""),"",SUMIFS(ResultsTeams[Match-A],ResultsTeams[Stage],"Groups",ResultsTeams[Team A],AJ185)+SUMIFS(ResultsTeams[Match-B],ResultsTeams[Stage],"Groups",ResultsTeams[Team B],AJ185))</f>
        <v/>
      </c>
      <c r="BA185" s="356" t="str">
        <f>IF(OR(AI184="",AJ185=""),"",SUMIFS(ResultsTeams[Match-B],ResultsTeams[Stage],"Groups",ResultsTeams[Team A],AJ185)+SUMIFS(ResultsTeams[Match-A],ResultsTeams[Stage],"Groups",ResultsTeams[Team B],AJ185))</f>
        <v/>
      </c>
      <c r="BB185" s="356" t="str">
        <f t="shared" si="152"/>
        <v/>
      </c>
      <c r="BC185" s="356" t="str">
        <f>IF(OR(AI184="",AJ185=""),"",SUMIFS(ResultsTeams[Goal-A],ResultsTeams[Stage],"Groups",ResultsTeams[Team A],AJ185)+SUMIFS(ResultsTeams[Goal-B],ResultsTeams[Stage],"Groups",ResultsTeams[Team B],AJ185))</f>
        <v/>
      </c>
      <c r="BD185" s="356" t="str">
        <f>IF(OR(AI184="",AJ185=""),"",SUMIFS(ResultsTeams[Goal-B],ResultsTeams[Stage],"Groups",ResultsTeams[Team A],AJ185)+SUMIFS(ResultsTeams[Goal-A],ResultsTeams[Stage],"Groups",ResultsTeams[Team B],AJ185))</f>
        <v/>
      </c>
      <c r="BE185" s="357" t="str">
        <f>IF(OR(AI179="",AJ185=""),"",BC185-BD185)</f>
        <v/>
      </c>
      <c r="BF185" s="470" t="str">
        <f>IF(AM185="","",OR(VLOOKUP(AM185,AN180:BE186,3,FALSE),VLOOKUP(AM185,AN180:BE186,6,FALSE)))</f>
        <v/>
      </c>
      <c r="BG185" s="298" t="str">
        <f t="shared" si="151"/>
        <v/>
      </c>
      <c r="BH185" s="285" t="str">
        <f>IF(AM185="","",INDEX(AJ180:AJ186,MATCH(AM185,AN180:AN186,0)))</f>
        <v/>
      </c>
      <c r="BI185" s="286" t="str">
        <f>IF(AM185="","",VLOOKUP(AM185,AN180:BE186,COLUMN()-COLUMN(BB179),FALSE))</f>
        <v/>
      </c>
      <c r="BJ185" s="286" t="str">
        <f>IF(AM185="","",VLOOKUP(AM185,AN180:BE186,COLUMN()-COLUMN(BB179),FALSE))</f>
        <v/>
      </c>
      <c r="BK185" s="286" t="str">
        <f>IF(AM185="","",VLOOKUP(AM185,AN180:BE186,COLUMN()-COLUMN(BB179),FALSE))</f>
        <v/>
      </c>
      <c r="BL185" s="286" t="str">
        <f>IF(AM185="","",VLOOKUP(AM185,AN180:BE186,COLUMN()-COLUMN(BB179),FALSE))</f>
        <v/>
      </c>
      <c r="BM185" s="286" t="str">
        <f>IF(AM185="","",VLOOKUP(AM185,AN180:BE186,COLUMN()-COLUMN(BB179),FALSE))</f>
        <v/>
      </c>
      <c r="BN185" s="349" t="str">
        <f>IF(AM185="","",VLOOKUP(AM185,AN180:BE186,COLUMN()-COLUMN(BB179),FALSE))</f>
        <v/>
      </c>
      <c r="BO185" s="298" t="str">
        <f>IF(AM185="","",VLOOKUP(AM185,AN180:BE186,COLUMN()-COLUMN(BB179),FALSE))</f>
        <v/>
      </c>
      <c r="BP185" s="286" t="str">
        <f>IF(AM185="","",VLOOKUP(AM185,AN180:BE186,COLUMN()-COLUMN(BB179),FALSE))</f>
        <v/>
      </c>
      <c r="BQ185" s="301" t="str">
        <f>IF(AM185="","",VLOOKUP(AM185,AN180:BE186,COLUMN()-COLUMN(BB179),FALSE))</f>
        <v/>
      </c>
      <c r="BR185" s="352" t="str">
        <f>IF(AM185="","",VLOOKUP(AM185,AN180:BE186,COLUMN()-COLUMN(BB179),FALSE))</f>
        <v/>
      </c>
      <c r="BS185" s="286" t="str">
        <f>IF(AM185="","",VLOOKUP(AM185,AN180:BE186,COLUMN()-COLUMN(BB179),FALSE))</f>
        <v/>
      </c>
      <c r="BT185" s="301" t="str">
        <f>IF(AM185="","",VLOOKUP(AM185,AN180:BE186,COLUMN()-COLUMN(BB179),FALSE))</f>
        <v/>
      </c>
    </row>
    <row r="186" spans="1:72" ht="12" thickBot="1" x14ac:dyDescent="0.25">
      <c r="A186" s="83"/>
      <c r="B186" s="83"/>
      <c r="C186" s="83"/>
      <c r="D186" s="83"/>
      <c r="E186" s="268" t="s">
        <v>12244</v>
      </c>
      <c r="F186" s="262"/>
      <c r="G186" s="262"/>
      <c r="H186" s="324"/>
      <c r="I186" s="324"/>
      <c r="J186" s="263"/>
      <c r="K186" s="365"/>
      <c r="L186" s="365"/>
      <c r="M186" s="84"/>
      <c r="N186" s="265" t="b">
        <f>NOT(ISERROR(ResultsTeams[[#This Row],[Goal-A]]+ResultsTeams[[#This Row],[Goal-B]]))</f>
        <v>0</v>
      </c>
      <c r="O186" s="265" t="str">
        <f>IF(ResultsTeams[[#This Row],[Type]]="G",SUM(O187:O190),IF(LEFT(ResultsTeams[[#This Row],[Type]],1)="P",IF(ResultsTeams[[#This Row],[Goal-A]]&gt;ResultsTeams[[#This Row],[Goal-B]],1,0),""))</f>
        <v/>
      </c>
      <c r="P186" s="265" t="str">
        <f>IF(ResultsTeams[[#This Row],[Type]]="G",SUM(P187:P190),IF(LEFT(ResultsTeams[[#This Row],[Type]],1)="P",IF(ResultsTeams[[#This Row],[Goal-A]]&lt;ResultsTeams[[#This Row],[Goal-B]],1,0),""))</f>
        <v/>
      </c>
      <c r="Q186" s="265" t="str">
        <f>IF(ResultsTeams[[#This Row],[Type]]="G",SUM(Q187:Q190),IF(LEFT(ResultsTeams[[#This Row],[Type]],1)="P",VALUE(ResultsTeams[[#This Row],[Score-A]]),""))</f>
        <v/>
      </c>
      <c r="R186" s="265" t="str">
        <f>IF(ResultsTeams[[#This Row],[Type]]="G",SUM(R187:R190),IF(LEFT(ResultsTeams[[#This Row],[Type]],1)="P",VALUE(ResultsTeams[[#This Row],[Score-B]]),""))</f>
        <v/>
      </c>
      <c r="S186" s="265" t="str">
        <f ca="1">IF(AND(ResultsTeams[[#This Row],[Category]]&lt;&gt;"",ResultsTeams[[#This Row],[Team A]]&lt;&gt;""),COUNTIF(INDIRECT("TeamsList[Club Name]"),ResultsTeams[[#This Row],[Team A]]),"")</f>
        <v/>
      </c>
      <c r="T186" s="265" t="str">
        <f ca="1">IF(AND(ResultsTeams[[#This Row],[Category]]&lt;&gt;"",ResultsTeams[[#This Row],[Team B]]&lt;&gt;""),COUNTIF(INDIRECT("TeamsList[Club Name]"),ResultsTeams[[#This Row],[Team B]]),"")</f>
        <v/>
      </c>
      <c r="U1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6" s="265" t="str">
        <f>IF(ResultsTeams[[#This Row],[Score_OK]],IF(ResultsTeams[[#This Row],[StageCpy]]="Groups",ResultsTeams[[#This Row],[Category]]&amp;"-"&amp;IF(ResultsTeams[[#This Row],[Team B]]="","",IF(ResultsTeams[[#This Row],[Match-A]]=ResultsTeams[[#This Row],[Match-B]],ResultsTeams[[#This Row],[Team A]],"")),""),"")</f>
        <v/>
      </c>
      <c r="W186" s="265" t="str">
        <f>IF(ResultsTeams[[#This Row],[Score_OK]],IF(ResultsTeams[[#This Row],[StageCpy]]="Groups",ResultsTeams[[#This Row],[Category]]&amp;"-"&amp;IF(ResultsTeams[[#This Row],[Team B]]="","",IF(ResultsTeams[[#This Row],[Match-A]]=ResultsTeams[[#This Row],[Match-B]],ResultsTeams[[#This Row],[Team B]],"")),""),"")</f>
        <v/>
      </c>
      <c r="X1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6" s="264" t="str">
        <f>IF(ResultsTeams[[#This Row],[Category]]="","",VLOOKUP(ResultsTeams[[#This Row],[Stage]],$R$1:$T$8,MATCH(ResultsTeams[[#This Row],[Category]],$S$1:$T$1,0)+1,FALSE))</f>
        <v/>
      </c>
      <c r="AC1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6" s="264" t="str">
        <f>IF(ResultsTeams[[#This Row],[Type]]="G",ResultsTeams[[#This Row],[Stage]],AD185)</f>
        <v>Groups</v>
      </c>
      <c r="AE186" s="395" t="str">
        <f>IF(ResultsTeams[[#This Row],[Type]]="G",INDEX(TeamsList[Club Name],MATCH(ResultsTeams[[#This Row],[Team A]],TeamsList[Team Name],0)),AE185)</f>
        <v>Dutch Legends</v>
      </c>
      <c r="AF186" s="395" t="str">
        <f>IF(ResultsTeams[[#This Row],[Type]]="G",INDEX(TeamsList[Club Name],MATCH(ResultsTeams[[#This Row],[Team B]],TeamsList[Team Name],0)),AF185)</f>
        <v>ASD SC Salernitana</v>
      </c>
      <c r="AG186" s="265"/>
      <c r="AI186" s="12">
        <f t="shared" si="153"/>
        <v>0</v>
      </c>
      <c r="AJ186" s="312"/>
      <c r="AK186" s="313"/>
      <c r="AL186" s="314"/>
      <c r="AM186" s="294" t="str">
        <f>IF(AV186="","",SMALL(AN180:AN186,ROWS(AM180:AM186)))</f>
        <v/>
      </c>
      <c r="AN186" s="295" t="str">
        <f>IF(AV186="","",RANK(AR186,AR180:AR186)*1000+ROWS(AN180:AN186))</f>
        <v/>
      </c>
      <c r="AO186" s="318" t="str">
        <f t="shared" si="146"/>
        <v/>
      </c>
      <c r="AP186" s="416" t="b">
        <f>AND(AU186&lt;&gt;"",AU186&gt;0,COUNTIF(AO180:AO186,AO186)&gt;1)</f>
        <v>0</v>
      </c>
      <c r="AQ186" s="318" t="str">
        <f t="shared" si="147"/>
        <v/>
      </c>
      <c r="AR186" s="319" t="str">
        <f t="shared" si="148"/>
        <v/>
      </c>
      <c r="AS186" s="416" t="b">
        <f>AND(AU186&lt;&gt;"",AU186&gt;0,COUNTIF(AR180:AR186,AR186)&gt;1)</f>
        <v>0</v>
      </c>
      <c r="AT186" s="358" t="str">
        <f t="shared" si="149"/>
        <v/>
      </c>
      <c r="AU186" s="359" t="str">
        <f t="shared" si="150"/>
        <v/>
      </c>
      <c r="AV186" s="359" t="str">
        <f>IF(OR(AI179="",AJ186=""),"",COUNTIF(ResultsTeams[Win],AI179&amp;"-"&amp;AJ186))</f>
        <v/>
      </c>
      <c r="AW186" s="359" t="str">
        <f>IF(OR(AI179="",AJ186=""),"",COUNTIF(ResultsTeams[[Draw1]:[Draw2]],AI179&amp;"-"&amp;AJ186))</f>
        <v/>
      </c>
      <c r="AX186" s="359" t="str">
        <f>IF(OR(AI179="",AJ186=""),"",COUNTIF(ResultsTeams[Lose],AI179&amp;"-"&amp;AJ186))</f>
        <v/>
      </c>
      <c r="AY186" s="359" t="str">
        <f>IF(OR(AI179="",AJ186=""),"",AV186-AX186)</f>
        <v/>
      </c>
      <c r="AZ186" s="359" t="str">
        <f>IF(OR(AI185="",AJ186=""),"",SUMIFS(ResultsTeams[Match-A],ResultsTeams[Stage],"Groups",ResultsTeams[Team A],AJ186)+SUMIFS(ResultsTeams[Match-B],ResultsTeams[Stage],"Groups",ResultsTeams[Team B],AJ186))</f>
        <v/>
      </c>
      <c r="BA186" s="359" t="str">
        <f>IF(OR(AI185="",AJ186=""),"",SUMIFS(ResultsTeams[Match-B],ResultsTeams[Stage],"Groups",ResultsTeams[Team A],AJ186)+SUMIFS(ResultsTeams[Match-A],ResultsTeams[Stage],"Groups",ResultsTeams[Team B],AJ186))</f>
        <v/>
      </c>
      <c r="BB186" s="359" t="str">
        <f t="shared" si="152"/>
        <v/>
      </c>
      <c r="BC186" s="359" t="str">
        <f>IF(OR(AI185="",AJ186=""),"",SUMIFS(ResultsTeams[Goal-A],ResultsTeams[Stage],"Groups",ResultsTeams[Team A],AJ186)+SUMIFS(ResultsTeams[Goal-B],ResultsTeams[Stage],"Groups",ResultsTeams[Team B],AJ186))</f>
        <v/>
      </c>
      <c r="BD186" s="359" t="str">
        <f>IF(OR(AI185="",AJ186=""),"",SUMIFS(ResultsTeams[Goal-B],ResultsTeams[Stage],"Groups",ResultsTeams[Team A],AJ186)+SUMIFS(ResultsTeams[Goal-A],ResultsTeams[Stage],"Groups",ResultsTeams[Team B],AJ186))</f>
        <v/>
      </c>
      <c r="BE186" s="360" t="str">
        <f>IF(OR(AI179="",AJ186=""),"",BC186-BD186)</f>
        <v/>
      </c>
      <c r="BF186" s="470" t="str">
        <f>IF(AM186="","",OR(VLOOKUP(AM186,AN180:BE186,3,FALSE),VLOOKUP(AM186,AN180:BE186,6,FALSE)))</f>
        <v/>
      </c>
      <c r="BG186" s="299" t="str">
        <f t="shared" si="151"/>
        <v/>
      </c>
      <c r="BH186" s="287" t="str">
        <f>IF(AM186="","",INDEX(AJ180:AJ186,MATCH(AM186,AN180:AN186,0)))</f>
        <v/>
      </c>
      <c r="BI186" s="288" t="str">
        <f>IF(AM186="","",VLOOKUP(AM186,AN180:BE186,COLUMN()-COLUMN(BB179),FALSE))</f>
        <v/>
      </c>
      <c r="BJ186" s="288" t="str">
        <f>IF(AM186="","",VLOOKUP(AM186,AN180:BE186,COLUMN()-COLUMN(BB179),FALSE))</f>
        <v/>
      </c>
      <c r="BK186" s="288" t="str">
        <f>IF(AM186="","",VLOOKUP(AM186,AN180:BE186,COLUMN()-COLUMN(BB179),FALSE))</f>
        <v/>
      </c>
      <c r="BL186" s="288" t="str">
        <f>IF(AM186="","",VLOOKUP(AM186,AN180:BE186,COLUMN()-COLUMN(BB179),FALSE))</f>
        <v/>
      </c>
      <c r="BM186" s="288" t="str">
        <f>IF(AM186="","",VLOOKUP(AM186,AN180:BE186,COLUMN()-COLUMN(BB179),FALSE))</f>
        <v/>
      </c>
      <c r="BN186" s="350" t="str">
        <f>IF(AM186="","",VLOOKUP(AM186,AN180:BE186,COLUMN()-COLUMN(BB179),FALSE))</f>
        <v/>
      </c>
      <c r="BO186" s="299" t="str">
        <f>IF(AM186="","",VLOOKUP(AM186,AN180:BE186,COLUMN()-COLUMN(BB179),FALSE))</f>
        <v/>
      </c>
      <c r="BP186" s="288" t="str">
        <f>IF(AM186="","",VLOOKUP(AM186,AN180:BE186,COLUMN()-COLUMN(BB179),FALSE))</f>
        <v/>
      </c>
      <c r="BQ186" s="302" t="str">
        <f>IF(AM186="","",VLOOKUP(AM186,AN180:BE186,COLUMN()-COLUMN(BB179),FALSE))</f>
        <v/>
      </c>
      <c r="BR186" s="353" t="str">
        <f>IF(AM186="","",VLOOKUP(AM186,AN180:BE186,COLUMN()-COLUMN(BB179),FALSE))</f>
        <v/>
      </c>
      <c r="BS186" s="288" t="str">
        <f>IF(AM186="","",VLOOKUP(AM186,AN180:BE186,COLUMN()-COLUMN(BB179),FALSE))</f>
        <v/>
      </c>
      <c r="BT186" s="302" t="str">
        <f>IF(AM186="","",VLOOKUP(AM186,AN180:BE186,COLUMN()-COLUMN(BB179),FALSE))</f>
        <v/>
      </c>
    </row>
    <row r="187" spans="1:72" ht="12" thickBot="1" x14ac:dyDescent="0.25">
      <c r="A187" s="261" t="s">
        <v>12693</v>
      </c>
      <c r="B187" s="270" t="s">
        <v>12207</v>
      </c>
      <c r="C187" s="270">
        <v>4</v>
      </c>
      <c r="D187" s="270"/>
      <c r="E187" s="272" t="s">
        <v>12228</v>
      </c>
      <c r="F187" s="273" t="s">
        <v>11495</v>
      </c>
      <c r="G187" s="273" t="s">
        <v>78</v>
      </c>
      <c r="H187" s="275">
        <v>2</v>
      </c>
      <c r="I187" s="275">
        <v>2</v>
      </c>
      <c r="J187" s="275"/>
      <c r="K187" s="366"/>
      <c r="L187" s="366"/>
      <c r="M187" s="271"/>
      <c r="N187" s="265" t="b">
        <f>NOT(ISERROR(ResultsTeams[[#This Row],[Goal-A]]+ResultsTeams[[#This Row],[Goal-B]]))</f>
        <v>1</v>
      </c>
      <c r="O187" s="265">
        <f>IF(ResultsTeams[[#This Row],[Type]]="G",SUM(O188:O191),IF(LEFT(ResultsTeams[[#This Row],[Type]],1)="P",IF(ResultsTeams[[#This Row],[Goal-A]]&gt;ResultsTeams[[#This Row],[Goal-B]],1,0),""))</f>
        <v>2</v>
      </c>
      <c r="P187" s="265">
        <f>IF(ResultsTeams[[#This Row],[Type]]="G",SUM(P188:P191),IF(LEFT(ResultsTeams[[#This Row],[Type]],1)="P",IF(ResultsTeams[[#This Row],[Goal-A]]&lt;ResultsTeams[[#This Row],[Goal-B]],1,0),""))</f>
        <v>2</v>
      </c>
      <c r="Q187" s="265">
        <f>IF(ResultsTeams[[#This Row],[Type]]="G",SUM(Q188:Q191),IF(LEFT(ResultsTeams[[#This Row],[Type]],1)="P",VALUE(ResultsTeams[[#This Row],[Score-A]]),""))</f>
        <v>4</v>
      </c>
      <c r="R187" s="265">
        <f>IF(ResultsTeams[[#This Row],[Type]]="G",SUM(R188:R191),IF(LEFT(ResultsTeams[[#This Row],[Type]],1)="P",VALUE(ResultsTeams[[#This Row],[Score-B]]),""))</f>
        <v>12</v>
      </c>
      <c r="S187" s="265">
        <f ca="1">IF(AND(ResultsTeams[[#This Row],[Category]]&lt;&gt;"",ResultsTeams[[#This Row],[Team A]]&lt;&gt;""),COUNTIF(INDIRECT("TeamsList[Club Name]"),ResultsTeams[[#This Row],[Team A]]),"")</f>
        <v>1</v>
      </c>
      <c r="T187" s="265">
        <f ca="1">IF(AND(ResultsTeams[[#This Row],[Category]]&lt;&gt;"",ResultsTeams[[#This Row],[Team B]]&lt;&gt;""),COUNTIF(INDIRECT("TeamsList[Club Name]"),ResultsTeams[[#This Row],[Team B]]),"")</f>
        <v>1</v>
      </c>
      <c r="U1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187" s="265" t="str">
        <f>IF(ResultsTeams[[#This Row],[Score_OK]],IF(ResultsTeams[[#This Row],[StageCpy]]="Groups",ResultsTeams[[#This Row],[Category]]&amp;"-"&amp;IF(ResultsTeams[[#This Row],[Team B]]="","",IF(ResultsTeams[[#This Row],[Match-A]]=ResultsTeams[[#This Row],[Match-B]],ResultsTeams[[#This Row],[Team A]],"")),""),"")</f>
        <v>TEAM-Subbuteo Dragons Azuqueca</v>
      </c>
      <c r="W187" s="265" t="str">
        <f>IF(ResultsTeams[[#This Row],[Score_OK]],IF(ResultsTeams[[#This Row],[StageCpy]]="Groups",ResultsTeams[[#This Row],[Category]]&amp;"-"&amp;IF(ResultsTeams[[#This Row],[Team B]]="","",IF(ResultsTeams[[#This Row],[Match-A]]=ResultsTeams[[#This Row],[Match-B]],ResultsTeams[[#This Row],[Team B]],"")),""),"")</f>
        <v>TEAM-SC Temploux</v>
      </c>
      <c r="X1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1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TEAM-Subbuteo Dragons Azuqueca</v>
      </c>
      <c r="AA1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Temploux</v>
      </c>
      <c r="AB187" s="264" t="str">
        <f>IF(ResultsTeams[[#This Row],[Category]]="","",VLOOKUP(ResultsTeams[[#This Row],[Stage]],$R$1:$T$8,MATCH(ResultsTeams[[#This Row],[Category]],$S$1:$T$1,0)+1,FALSE))</f>
        <v>PR1</v>
      </c>
      <c r="AC1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7" s="264" t="str">
        <f>IF(ResultsTeams[[#This Row],[Type]]="G",ResultsTeams[[#This Row],[Stage]],AD186)</f>
        <v>Groups</v>
      </c>
      <c r="AE187" s="395" t="str">
        <f>IF(ResultsTeams[[#This Row],[Type]]="G",INDEX(TeamsList[Club Name],MATCH(ResultsTeams[[#This Row],[Team A]],TeamsList[Team Name],0)),AE186)</f>
        <v>Subbuteo Dragons Azuqueca</v>
      </c>
      <c r="AF187" s="395" t="str">
        <f>IF(ResultsTeams[[#This Row],[Type]]="G",INDEX(TeamsList[Club Name],MATCH(ResultsTeams[[#This Row],[Team B]],TeamsList[Team Name],0)),AF186)</f>
        <v>SC Temploux</v>
      </c>
      <c r="AG187" s="265"/>
    </row>
    <row r="188" spans="1:72" ht="12" thickBot="1" x14ac:dyDescent="0.25">
      <c r="A188" s="60"/>
      <c r="B188" s="280"/>
      <c r="C188" s="60"/>
      <c r="D188" s="60"/>
      <c r="E188" s="240" t="s">
        <v>12231</v>
      </c>
      <c r="F188" s="244" t="s">
        <v>8630</v>
      </c>
      <c r="G188" s="244" t="s">
        <v>8118</v>
      </c>
      <c r="H188" s="253">
        <v>2</v>
      </c>
      <c r="I188" s="253">
        <v>1</v>
      </c>
      <c r="J188" s="253"/>
      <c r="K188" s="362"/>
      <c r="L188" s="362"/>
      <c r="M188" s="61"/>
      <c r="N188" s="265" t="b">
        <f>NOT(ISERROR(ResultsTeams[[#This Row],[Goal-A]]+ResultsTeams[[#This Row],[Goal-B]]))</f>
        <v>1</v>
      </c>
      <c r="O188" s="265">
        <f>IF(ResultsTeams[[#This Row],[Type]]="G",SUM(O189:O192),IF(LEFT(ResultsTeams[[#This Row],[Type]],1)="P",IF(ResultsTeams[[#This Row],[Goal-A]]&gt;ResultsTeams[[#This Row],[Goal-B]],1,0),""))</f>
        <v>1</v>
      </c>
      <c r="P188" s="265">
        <f>IF(ResultsTeams[[#This Row],[Type]]="G",SUM(P189:P192),IF(LEFT(ResultsTeams[[#This Row],[Type]],1)="P",IF(ResultsTeams[[#This Row],[Goal-A]]&lt;ResultsTeams[[#This Row],[Goal-B]],1,0),""))</f>
        <v>0</v>
      </c>
      <c r="Q188" s="265">
        <f>IF(ResultsTeams[[#This Row],[Type]]="G",SUM(Q189:Q192),IF(LEFT(ResultsTeams[[#This Row],[Type]],1)="P",VALUE(ResultsTeams[[#This Row],[Score-A]]),""))</f>
        <v>2</v>
      </c>
      <c r="R188" s="265">
        <f>IF(ResultsTeams[[#This Row],[Type]]="G",SUM(R189:R192),IF(LEFT(ResultsTeams[[#This Row],[Type]],1)="P",VALUE(ResultsTeams[[#This Row],[Score-B]]),""))</f>
        <v>1</v>
      </c>
      <c r="S188" s="265" t="str">
        <f ca="1">IF(AND(ResultsTeams[[#This Row],[Category]]&lt;&gt;"",ResultsTeams[[#This Row],[Team A]]&lt;&gt;""),COUNTIF(INDIRECT("TeamsList[Club Name]"),ResultsTeams[[#This Row],[Team A]]),"")</f>
        <v/>
      </c>
      <c r="T188" s="265" t="str">
        <f ca="1">IF(AND(ResultsTeams[[#This Row],[Category]]&lt;&gt;"",ResultsTeams[[#This Row],[Team B]]&lt;&gt;""),COUNTIF(INDIRECT("TeamsList[Club Name]"),ResultsTeams[[#This Row],[Team B]]),"")</f>
        <v/>
      </c>
      <c r="U1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-José David Somoza</v>
      </c>
      <c r="V188" s="265" t="str">
        <f>IF(ResultsTeams[[#This Row],[Score_OK]],IF(ResultsTeams[[#This Row],[StageCpy]]="Groups",ResultsTeams[[#This Row],[Category]]&amp;"-"&amp;IF(ResultsTeams[[#This Row],[Team B]]="","",IF(ResultsTeams[[#This Row],[Match-A]]=ResultsTeams[[#This Row],[Match-B]],ResultsTeams[[#This Row],[Team A]],"")),""),"")</f>
        <v>-</v>
      </c>
      <c r="W188" s="265" t="str">
        <f>IF(ResultsTeams[[#This Row],[Score_OK]],IF(ResultsTeams[[#This Row],[StageCpy]]="Groups",ResultsTeams[[#This Row],[Category]]&amp;"-"&amp;IF(ResultsTeams[[#This Row],[Team B]]="","",IF(ResultsTeams[[#This Row],[Match-A]]=ResultsTeams[[#This Row],[Match-B]],ResultsTeams[[#This Row],[Team B]],"")),""),"")</f>
        <v>-</v>
      </c>
      <c r="X1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-Arnaud Nullens</v>
      </c>
      <c r="Y1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8" s="264" t="str">
        <f>IF(ResultsTeams[[#This Row],[Category]]="","",VLOOKUP(ResultsTeams[[#This Row],[Stage]],$R$1:$T$8,MATCH(ResultsTeams[[#This Row],[Category]],$S$1:$T$1,0)+1,FALSE))</f>
        <v/>
      </c>
      <c r="AC1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8" s="264" t="str">
        <f>IF(ResultsTeams[[#This Row],[Type]]="G",ResultsTeams[[#This Row],[Stage]],AD187)</f>
        <v>Groups</v>
      </c>
      <c r="AE188" s="395" t="str">
        <f>IF(ResultsTeams[[#This Row],[Type]]="G",INDEX(TeamsList[Club Name],MATCH(ResultsTeams[[#This Row],[Team A]],TeamsList[Team Name],0)),AE187)</f>
        <v>Subbuteo Dragons Azuqueca</v>
      </c>
      <c r="AF188" s="395" t="str">
        <f>IF(ResultsTeams[[#This Row],[Type]]="G",INDEX(TeamsList[Club Name],MATCH(ResultsTeams[[#This Row],[Team B]],TeamsList[Team Name],0)),AF187)</f>
        <v>SC Temploux</v>
      </c>
      <c r="AG188" s="265"/>
      <c r="AH188" s="281" t="str">
        <f>IF(AI188="","",QUOTIENT(COUNTIF(AI$26:AI188,AI188)-1,8)+1)</f>
        <v/>
      </c>
      <c r="AI188" s="315"/>
      <c r="AJ188" s="289" t="s">
        <v>14438</v>
      </c>
      <c r="AK188" s="290" t="s">
        <v>12279</v>
      </c>
      <c r="AL188" s="300" t="s">
        <v>12275</v>
      </c>
      <c r="AM188" s="296" t="s">
        <v>12276</v>
      </c>
      <c r="AN188" s="291" t="s">
        <v>12271</v>
      </c>
      <c r="AO188" s="291" t="s">
        <v>12272</v>
      </c>
      <c r="AP188" s="414" t="s">
        <v>13154</v>
      </c>
      <c r="AQ188" s="291" t="s">
        <v>12273</v>
      </c>
      <c r="AR188" s="297" t="s">
        <v>12274</v>
      </c>
      <c r="AS188" s="414" t="s">
        <v>13154</v>
      </c>
      <c r="AT188" s="296" t="s">
        <v>12199</v>
      </c>
      <c r="AU188" s="291" t="s">
        <v>12200</v>
      </c>
      <c r="AV188" s="291" t="s">
        <v>12201</v>
      </c>
      <c r="AW188" s="291" t="s">
        <v>12202</v>
      </c>
      <c r="AX188" s="291" t="s">
        <v>12203</v>
      </c>
      <c r="AY188" s="291" t="s">
        <v>12697</v>
      </c>
      <c r="AZ188" s="291" t="s">
        <v>12698</v>
      </c>
      <c r="BA188" s="291" t="s">
        <v>12699</v>
      </c>
      <c r="BB188" s="291" t="s">
        <v>12700</v>
      </c>
      <c r="BC188" s="291" t="s">
        <v>12204</v>
      </c>
      <c r="BD188" s="291" t="s">
        <v>12205</v>
      </c>
      <c r="BE188" s="297" t="s">
        <v>12206</v>
      </c>
      <c r="BF188" s="395"/>
      <c r="BG188" s="282" t="s">
        <v>12276</v>
      </c>
      <c r="BH188" s="282" t="s">
        <v>12133</v>
      </c>
      <c r="BI188" s="283" t="s">
        <v>12199</v>
      </c>
      <c r="BJ188" s="283" t="s">
        <v>12200</v>
      </c>
      <c r="BK188" s="283" t="s">
        <v>12201</v>
      </c>
      <c r="BL188" s="283" t="s">
        <v>12202</v>
      </c>
      <c r="BM188" s="283" t="s">
        <v>12203</v>
      </c>
      <c r="BN188" s="290" t="s">
        <v>12697</v>
      </c>
      <c r="BO188" s="354" t="s">
        <v>12698</v>
      </c>
      <c r="BP188" s="283" t="s">
        <v>12699</v>
      </c>
      <c r="BQ188" s="300" t="s">
        <v>12700</v>
      </c>
      <c r="BR188" s="351" t="s">
        <v>12204</v>
      </c>
      <c r="BS188" s="283" t="s">
        <v>12205</v>
      </c>
      <c r="BT188" s="300" t="s">
        <v>12206</v>
      </c>
    </row>
    <row r="189" spans="1:72" x14ac:dyDescent="0.2">
      <c r="A189" s="62"/>
      <c r="B189" s="280"/>
      <c r="C189" s="62"/>
      <c r="D189" s="62"/>
      <c r="E189" s="241" t="s">
        <v>12234</v>
      </c>
      <c r="F189" s="246" t="s">
        <v>8643</v>
      </c>
      <c r="G189" s="246" t="s">
        <v>8116</v>
      </c>
      <c r="H189" s="254">
        <v>0</v>
      </c>
      <c r="I189" s="254">
        <v>1</v>
      </c>
      <c r="J189" s="254"/>
      <c r="K189" s="363"/>
      <c r="L189" s="363"/>
      <c r="M189" s="63"/>
      <c r="N189" s="265" t="b">
        <f>NOT(ISERROR(ResultsTeams[[#This Row],[Goal-A]]+ResultsTeams[[#This Row],[Goal-B]]))</f>
        <v>1</v>
      </c>
      <c r="O189" s="265">
        <f>IF(ResultsTeams[[#This Row],[Type]]="G",SUM(O190:O193),IF(LEFT(ResultsTeams[[#This Row],[Type]],1)="P",IF(ResultsTeams[[#This Row],[Goal-A]]&gt;ResultsTeams[[#This Row],[Goal-B]],1,0),""))</f>
        <v>0</v>
      </c>
      <c r="P189" s="265">
        <f>IF(ResultsTeams[[#This Row],[Type]]="G",SUM(P190:P193),IF(LEFT(ResultsTeams[[#This Row],[Type]],1)="P",IF(ResultsTeams[[#This Row],[Goal-A]]&lt;ResultsTeams[[#This Row],[Goal-B]],1,0),""))</f>
        <v>1</v>
      </c>
      <c r="Q189" s="265">
        <f>IF(ResultsTeams[[#This Row],[Type]]="G",SUM(Q190:Q193),IF(LEFT(ResultsTeams[[#This Row],[Type]],1)="P",VALUE(ResultsTeams[[#This Row],[Score-A]]),""))</f>
        <v>0</v>
      </c>
      <c r="R189" s="265">
        <f>IF(ResultsTeams[[#This Row],[Type]]="G",SUM(R190:R193),IF(LEFT(ResultsTeams[[#This Row],[Type]],1)="P",VALUE(ResultsTeams[[#This Row],[Score-B]]),""))</f>
        <v>1</v>
      </c>
      <c r="S189" s="265" t="str">
        <f ca="1">IF(AND(ResultsTeams[[#This Row],[Category]]&lt;&gt;"",ResultsTeams[[#This Row],[Team A]]&lt;&gt;""),COUNTIF(INDIRECT("TeamsList[Club Name]"),ResultsTeams[[#This Row],[Team A]]),"")</f>
        <v/>
      </c>
      <c r="T189" s="265" t="str">
        <f ca="1">IF(AND(ResultsTeams[[#This Row],[Category]]&lt;&gt;"",ResultsTeams[[#This Row],[Team B]]&lt;&gt;""),COUNTIF(INDIRECT("TeamsList[Club Name]"),ResultsTeams[[#This Row],[Team B]]),"")</f>
        <v/>
      </c>
      <c r="U1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-Benoît Massart</v>
      </c>
      <c r="V189" s="265" t="str">
        <f>IF(ResultsTeams[[#This Row],[Score_OK]],IF(ResultsTeams[[#This Row],[StageCpy]]="Groups",ResultsTeams[[#This Row],[Category]]&amp;"-"&amp;IF(ResultsTeams[[#This Row],[Team B]]="","",IF(ResultsTeams[[#This Row],[Match-A]]=ResultsTeams[[#This Row],[Match-B]],ResultsTeams[[#This Row],[Team A]],"")),""),"")</f>
        <v>-</v>
      </c>
      <c r="W189" s="265" t="str">
        <f>IF(ResultsTeams[[#This Row],[Score_OK]],IF(ResultsTeams[[#This Row],[StageCpy]]="Groups",ResultsTeams[[#This Row],[Category]]&amp;"-"&amp;IF(ResultsTeams[[#This Row],[Team B]]="","",IF(ResultsTeams[[#This Row],[Match-A]]=ResultsTeams[[#This Row],[Match-B]],ResultsTeams[[#This Row],[Team B]],"")),""),"")</f>
        <v>-</v>
      </c>
      <c r="X1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-Alberto Gómez</v>
      </c>
      <c r="Y1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9" s="264" t="str">
        <f>IF(ResultsTeams[[#This Row],[Category]]="","",VLOOKUP(ResultsTeams[[#This Row],[Stage]],$R$1:$T$8,MATCH(ResultsTeams[[#This Row],[Category]],$S$1:$T$1,0)+1,FALSE))</f>
        <v/>
      </c>
      <c r="AC1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9" s="264" t="str">
        <f>IF(ResultsTeams[[#This Row],[Type]]="G",ResultsTeams[[#This Row],[Stage]],AD188)</f>
        <v>Groups</v>
      </c>
      <c r="AE189" s="395" t="str">
        <f>IF(ResultsTeams[[#This Row],[Type]]="G",INDEX(TeamsList[Club Name],MATCH(ResultsTeams[[#This Row],[Team A]],TeamsList[Team Name],0)),AE188)</f>
        <v>Subbuteo Dragons Azuqueca</v>
      </c>
      <c r="AF189" s="395" t="str">
        <f>IF(ResultsTeams[[#This Row],[Type]]="G",INDEX(TeamsList[Club Name],MATCH(ResultsTeams[[#This Row],[Team B]],TeamsList[Team Name],0)),AF188)</f>
        <v>SC Temploux</v>
      </c>
      <c r="AG189" s="265"/>
      <c r="AI189" s="12">
        <f>AI188</f>
        <v>0</v>
      </c>
      <c r="AJ189" s="309"/>
      <c r="AK189" s="320"/>
      <c r="AL189" s="311"/>
      <c r="AM189" s="292" t="str">
        <f>IF(AV189="","",SMALL(AN189:AN195,ROWS(AM189:AM189)))</f>
        <v/>
      </c>
      <c r="AN189" s="293" t="str">
        <f>IF(AV189="","",RANK(AR189,AR189:AR195)*1000+ROWS(AN189:AN189))</f>
        <v/>
      </c>
      <c r="AO189" s="316" t="str">
        <f t="shared" ref="AO189:AO195" si="154">IF(AV189="","",AT189*CritClassEq1_Points+AY189*CritClassEq1_DiffRencontres+BB189*CritClassEq1_DiffMatches+BE189*CritClassEq1_DiffButs+AZ189*CritClassEq1_Matches+BC189*CritClassEq1_Attaque)</f>
        <v/>
      </c>
      <c r="AP189" s="415" t="b">
        <f>AND(AU189&lt;&gt;"",AU189&gt;0,COUNTIF(AO189:AO195,AO189)&gt;1)</f>
        <v>0</v>
      </c>
      <c r="AQ189" s="316" t="str">
        <f t="shared" ref="AQ189:AQ195" si="155">IF(AV189="","",CritClassEq_DiffPart*AK189)</f>
        <v/>
      </c>
      <c r="AR189" s="317" t="str">
        <f t="shared" ref="AR189:AR195" si="156">IF(AV189="","",AO189+AQ189+AT189*CritClassEq2_Points+AY189*CritClassEq2_DiffRencontres+BB189*CritClassEq2_DiffMatches+BE189*CritClassEq2_DiffButs+AZ189*CritClassEq2_Matches+BC189*CritClassEq2_Attaque+AL189)</f>
        <v/>
      </c>
      <c r="AS189" s="415" t="b">
        <f>AND(AU189&lt;&gt;"",AU189&gt;0,COUNTIF(AR189:AR195,AR189)&gt;1)</f>
        <v>0</v>
      </c>
      <c r="AT189" s="355" t="str">
        <f t="shared" ref="AT189:AT195" si="157">IF(AV189="","",(AV189*Points_Victoire)+AW189*Points_Null)</f>
        <v/>
      </c>
      <c r="AU189" s="356" t="str">
        <f t="shared" ref="AU189:AU195" si="158">IF(AV189="","",SUM(AV189:AX189))</f>
        <v/>
      </c>
      <c r="AV189" s="356" t="str">
        <f>IF(OR(AI188="",AJ189=""),"",COUNTIF(ResultsTeams[Win],AI188&amp;"-"&amp;AJ189))</f>
        <v/>
      </c>
      <c r="AW189" s="356" t="str">
        <f>IF(OR(AI188="",AJ189=""),"",COUNTIF(ResultsTeams[[Draw1]:[Draw2]],AI188&amp;"-"&amp;AJ189))</f>
        <v/>
      </c>
      <c r="AX189" s="356" t="str">
        <f>IF(OR(AI188="",AJ189=""),"",COUNTIF(ResultsTeams[Lose],AI188&amp;"-"&amp;AJ189))</f>
        <v/>
      </c>
      <c r="AY189" s="356" t="str">
        <f>IF(OR(AI188="",AJ189=""),"",AV189-AX189)</f>
        <v/>
      </c>
      <c r="AZ189" s="356" t="str">
        <f>IF(OR(AI188="",AJ189=""),"",SUMIFS(ResultsTeams[Match-A],ResultsTeams[Stage],"Groups",ResultsTeams[Team A],AJ189)+SUMIFS(ResultsTeams[Match-B],ResultsTeams[Stage],"Groups",ResultsTeams[Team B],AJ189))</f>
        <v/>
      </c>
      <c r="BA189" s="356" t="str">
        <f>IF(OR(AI188="",AJ189=""),"",SUMIFS(ResultsTeams[Match-B],ResultsTeams[Stage],"Groups",ResultsTeams[Team A],AJ189)+SUMIFS(ResultsTeams[Match-A],ResultsTeams[Stage],"Groups",ResultsTeams[Team B],AJ189))</f>
        <v/>
      </c>
      <c r="BB189" s="356" t="str">
        <f>IF(OR(AI188="",AJ189=""),"",AZ189-BA189)</f>
        <v/>
      </c>
      <c r="BC189" s="356" t="str">
        <f>IF(OR(AI188="",AJ189=""),"",SUMIFS(ResultsTeams[Goal-A],ResultsTeams[Stage],"Groups",ResultsTeams[Team A],AJ189)+SUMIFS(ResultsTeams[Goal-B],ResultsTeams[Stage],"Groups",ResultsTeams[Team B],AJ189))</f>
        <v/>
      </c>
      <c r="BD189" s="356" t="str">
        <f>IF(OR(AI188="",AJ189=""),"",SUMIFS(ResultsTeams[Goal-B],ResultsTeams[Stage],"Groups",ResultsTeams[Team A],AJ189)+SUMIFS(ResultsTeams[Goal-A],ResultsTeams[Stage],"Groups",ResultsTeams[Team B],AJ189))</f>
        <v/>
      </c>
      <c r="BE189" s="357" t="str">
        <f>IF(OR(AI188="",AJ189=""),"",BC189-BD189)</f>
        <v/>
      </c>
      <c r="BF189" s="470" t="str">
        <f>IF(AM189="","",OR(VLOOKUP(AM189,AN189:BE195,3,FALSE),VLOOKUP(AM189,AN189:BE195,6,FALSE)))</f>
        <v/>
      </c>
      <c r="BG189" s="298" t="str">
        <f t="shared" ref="BG189:BG195" si="159">IF(AM189="","",INT(AM189/1000))</f>
        <v/>
      </c>
      <c r="BH189" s="285" t="str">
        <f>IF(AM189="","",INDEX(AJ189:AJ195,MATCH(AM189,AN189:AN195,0)))</f>
        <v/>
      </c>
      <c r="BI189" s="286" t="str">
        <f>IF(AM189="","",VLOOKUP(AM189,AN189:BE195,COLUMN()-COLUMN(BB188),FALSE))</f>
        <v/>
      </c>
      <c r="BJ189" s="286" t="str">
        <f>IF(AM189="","",VLOOKUP(AM189,AN189:BE195,COLUMN()-COLUMN(BB188),FALSE))</f>
        <v/>
      </c>
      <c r="BK189" s="286" t="str">
        <f>IF(AM189="","",VLOOKUP(AM189,AN189:BE195,COLUMN()-COLUMN(BB188),FALSE))</f>
        <v/>
      </c>
      <c r="BL189" s="286" t="str">
        <f>IF(AM189="","",VLOOKUP(AM189,AN189:BE195,COLUMN()-COLUMN(BB188),FALSE))</f>
        <v/>
      </c>
      <c r="BM189" s="286" t="str">
        <f>IF(AM189="","",VLOOKUP(AM189,AN189:BE195,COLUMN()-COLUMN(BB188),FALSE))</f>
        <v/>
      </c>
      <c r="BN189" s="349" t="str">
        <f>IF(AM189="","",VLOOKUP(AM189,AN189:BE195,COLUMN()-COLUMN(BB188),FALSE))</f>
        <v/>
      </c>
      <c r="BO189" s="298" t="str">
        <f>IF(AM189="","",VLOOKUP(AM189,AN189:BE195,COLUMN()-COLUMN(BB188),FALSE))</f>
        <v/>
      </c>
      <c r="BP189" s="286" t="str">
        <f>IF(AM189="","",VLOOKUP(AM189,AN189:BE195,COLUMN()-COLUMN(BB188),FALSE))</f>
        <v/>
      </c>
      <c r="BQ189" s="301" t="str">
        <f>IF(AM189="","",VLOOKUP(AM189,AN189:BE195,COLUMN()-COLUMN(BB188),FALSE))</f>
        <v/>
      </c>
      <c r="BR189" s="352" t="str">
        <f>IF(AM189="","",VLOOKUP(AM189,AN189:BE195,COLUMN()-COLUMN(BB188),FALSE))</f>
        <v/>
      </c>
      <c r="BS189" s="286" t="str">
        <f>IF(AM189="","",VLOOKUP(AM189,AN189:BE195,COLUMN()-COLUMN(BB188),FALSE))</f>
        <v/>
      </c>
      <c r="BT189" s="301" t="str">
        <f>IF(AM189="","",VLOOKUP(AM189,AN189:BE195,COLUMN()-COLUMN(BB188),FALSE))</f>
        <v/>
      </c>
    </row>
    <row r="190" spans="1:72" x14ac:dyDescent="0.2">
      <c r="A190" s="62"/>
      <c r="B190" s="280"/>
      <c r="C190" s="62"/>
      <c r="D190" s="62"/>
      <c r="E190" s="241" t="s">
        <v>12237</v>
      </c>
      <c r="F190" s="246" t="s">
        <v>14609</v>
      </c>
      <c r="G190" s="246" t="s">
        <v>8138</v>
      </c>
      <c r="H190" s="254">
        <v>0</v>
      </c>
      <c r="I190" s="254">
        <v>9</v>
      </c>
      <c r="J190" s="254"/>
      <c r="K190" s="363"/>
      <c r="L190" s="363"/>
      <c r="M190" s="63"/>
      <c r="N190" s="265" t="b">
        <f>NOT(ISERROR(ResultsTeams[[#This Row],[Goal-A]]+ResultsTeams[[#This Row],[Goal-B]]))</f>
        <v>1</v>
      </c>
      <c r="O190" s="265">
        <f>IF(ResultsTeams[[#This Row],[Type]]="G",SUM(O191:O194),IF(LEFT(ResultsTeams[[#This Row],[Type]],1)="P",IF(ResultsTeams[[#This Row],[Goal-A]]&gt;ResultsTeams[[#This Row],[Goal-B]],1,0),""))</f>
        <v>0</v>
      </c>
      <c r="P190" s="265">
        <f>IF(ResultsTeams[[#This Row],[Type]]="G",SUM(P191:P194),IF(LEFT(ResultsTeams[[#This Row],[Type]],1)="P",IF(ResultsTeams[[#This Row],[Goal-A]]&lt;ResultsTeams[[#This Row],[Goal-B]],1,0),""))</f>
        <v>1</v>
      </c>
      <c r="Q190" s="265">
        <f>IF(ResultsTeams[[#This Row],[Type]]="G",SUM(Q191:Q194),IF(LEFT(ResultsTeams[[#This Row],[Type]],1)="P",VALUE(ResultsTeams[[#This Row],[Score-A]]),""))</f>
        <v>0</v>
      </c>
      <c r="R190" s="265">
        <f>IF(ResultsTeams[[#This Row],[Type]]="G",SUM(R191:R194),IF(LEFT(ResultsTeams[[#This Row],[Type]],1)="P",VALUE(ResultsTeams[[#This Row],[Score-B]]),""))</f>
        <v>9</v>
      </c>
      <c r="S190" s="265" t="str">
        <f ca="1">IF(AND(ResultsTeams[[#This Row],[Category]]&lt;&gt;"",ResultsTeams[[#This Row],[Team A]]&lt;&gt;""),COUNTIF(INDIRECT("TeamsList[Club Name]"),ResultsTeams[[#This Row],[Team A]]),"")</f>
        <v/>
      </c>
      <c r="T190" s="265" t="str">
        <f ca="1">IF(AND(ResultsTeams[[#This Row],[Category]]&lt;&gt;"",ResultsTeams[[#This Row],[Team B]]&lt;&gt;""),COUNTIF(INDIRECT("TeamsList[Club Name]"),ResultsTeams[[#This Row],[Team B]]),"")</f>
        <v/>
      </c>
      <c r="U1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Van Den Houte</v>
      </c>
      <c r="V190" s="265" t="str">
        <f>IF(ResultsTeams[[#This Row],[Score_OK]],IF(ResultsTeams[[#This Row],[StageCpy]]="Groups",ResultsTeams[[#This Row],[Category]]&amp;"-"&amp;IF(ResultsTeams[[#This Row],[Team B]]="","",IF(ResultsTeams[[#This Row],[Match-A]]=ResultsTeams[[#This Row],[Match-B]],ResultsTeams[[#This Row],[Team A]],"")),""),"")</f>
        <v>-</v>
      </c>
      <c r="W190" s="265" t="str">
        <f>IF(ResultsTeams[[#This Row],[Score_OK]],IF(ResultsTeams[[#This Row],[StageCpy]]="Groups",ResultsTeams[[#This Row],[Category]]&amp;"-"&amp;IF(ResultsTeams[[#This Row],[Team B]]="","",IF(ResultsTeams[[#This Row],[Match-A]]=ResultsTeams[[#This Row],[Match-B]],ResultsTeams[[#This Row],[Team B]],"")),""),"")</f>
        <v>-</v>
      </c>
      <c r="X1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-Emilio Tomás Torrico</v>
      </c>
      <c r="Y1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0" s="264" t="str">
        <f>IF(ResultsTeams[[#This Row],[Category]]="","",VLOOKUP(ResultsTeams[[#This Row],[Stage]],$R$1:$T$8,MATCH(ResultsTeams[[#This Row],[Category]],$S$1:$T$1,0)+1,FALSE))</f>
        <v/>
      </c>
      <c r="AC1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0" s="264" t="str">
        <f>IF(ResultsTeams[[#This Row],[Type]]="G",ResultsTeams[[#This Row],[Stage]],AD189)</f>
        <v>Groups</v>
      </c>
      <c r="AE190" s="395" t="str">
        <f>IF(ResultsTeams[[#This Row],[Type]]="G",INDEX(TeamsList[Club Name],MATCH(ResultsTeams[[#This Row],[Team A]],TeamsList[Team Name],0)),AE189)</f>
        <v>Subbuteo Dragons Azuqueca</v>
      </c>
      <c r="AF190" s="395" t="str">
        <f>IF(ResultsTeams[[#This Row],[Type]]="G",INDEX(TeamsList[Club Name],MATCH(ResultsTeams[[#This Row],[Team B]],TeamsList[Team Name],0)),AF189)</f>
        <v>SC Temploux</v>
      </c>
      <c r="AG190" s="265"/>
      <c r="AI190" s="12">
        <f>AI189</f>
        <v>0</v>
      </c>
      <c r="AJ190" s="309"/>
      <c r="AK190" s="320"/>
      <c r="AL190" s="311"/>
      <c r="AM190" s="292" t="str">
        <f>IF(AV190="","",SMALL(AN189:AN195,ROWS(AM189:AM190)))</f>
        <v/>
      </c>
      <c r="AN190" s="293" t="str">
        <f>IF(AV190="","",RANK(AR190,AR189:AR195)*1000+ROWS(AN189:AN190))</f>
        <v/>
      </c>
      <c r="AO190" s="316" t="str">
        <f t="shared" si="154"/>
        <v/>
      </c>
      <c r="AP190" s="415" t="b">
        <f>AND(AU190&lt;&gt;"",AU190&gt;0,COUNTIF(AO189:AO195,AO190)&gt;1)</f>
        <v>0</v>
      </c>
      <c r="AQ190" s="316" t="str">
        <f t="shared" si="155"/>
        <v/>
      </c>
      <c r="AR190" s="317" t="str">
        <f t="shared" si="156"/>
        <v/>
      </c>
      <c r="AS190" s="415" t="b">
        <f>AND(AU190&lt;&gt;"",AU190&gt;0,COUNTIF(AR189:AR195,AR190)&gt;1)</f>
        <v>0</v>
      </c>
      <c r="AT190" s="355" t="str">
        <f t="shared" si="157"/>
        <v/>
      </c>
      <c r="AU190" s="356" t="str">
        <f t="shared" si="158"/>
        <v/>
      </c>
      <c r="AV190" s="356" t="str">
        <f>IF(OR(AI188="",AJ190=""),"",COUNTIF(ResultsTeams[Win],AI188&amp;"-"&amp;AJ190))</f>
        <v/>
      </c>
      <c r="AW190" s="356" t="str">
        <f>IF(OR(AI188="",AJ190=""),"",COUNTIF(ResultsTeams[[Draw1]:[Draw2]],AI188&amp;"-"&amp;AJ190))</f>
        <v/>
      </c>
      <c r="AX190" s="356" t="str">
        <f>IF(OR(AI188="",AJ190=""),"",COUNTIF(ResultsTeams[Lose],AI188&amp;"-"&amp;AJ190))</f>
        <v/>
      </c>
      <c r="AY190" s="356" t="str">
        <f>IF(OR(AI188="",AJ190=""),"",AV190-AX190)</f>
        <v/>
      </c>
      <c r="AZ190" s="356" t="str">
        <f>IF(OR(AI189="",AJ190=""),"",SUMIFS(ResultsTeams[Match-A],ResultsTeams[Stage],"Groups",ResultsTeams[Team A],AJ190)+SUMIFS(ResultsTeams[Match-B],ResultsTeams[Stage],"Groups",ResultsTeams[Team B],AJ190))</f>
        <v/>
      </c>
      <c r="BA190" s="356" t="str">
        <f>IF(OR(AI189="",AJ190=""),"",SUMIFS(ResultsTeams[Match-B],ResultsTeams[Stage],"Groups",ResultsTeams[Team A],AJ190)+SUMIFS(ResultsTeams[Match-A],ResultsTeams[Stage],"Groups",ResultsTeams[Team B],AJ190))</f>
        <v/>
      </c>
      <c r="BB190" s="356" t="str">
        <f t="shared" ref="BB190:BB195" si="160">IF(OR(AI189="",AJ190=""),"",AZ190-BA190)</f>
        <v/>
      </c>
      <c r="BC190" s="356" t="str">
        <f>IF(OR(AI189="",AJ190=""),"",SUMIFS(ResultsTeams[Goal-A],ResultsTeams[Stage],"Groups",ResultsTeams[Team A],AJ190)+SUMIFS(ResultsTeams[Goal-B],ResultsTeams[Stage],"Groups",ResultsTeams[Team B],AJ190))</f>
        <v/>
      </c>
      <c r="BD190" s="356" t="str">
        <f>IF(OR(AI189="",AJ190=""),"",SUMIFS(ResultsTeams[Goal-B],ResultsTeams[Stage],"Groups",ResultsTeams[Team A],AJ190)+SUMIFS(ResultsTeams[Goal-A],ResultsTeams[Stage],"Groups",ResultsTeams[Team B],AJ190))</f>
        <v/>
      </c>
      <c r="BE190" s="357" t="str">
        <f>IF(OR(AI188="",AJ190=""),"",BC190-BD190)</f>
        <v/>
      </c>
      <c r="BF190" s="470" t="str">
        <f>IF(AM190="","",OR(VLOOKUP(AM190,AN189:BE195,3,FALSE),VLOOKUP(AM190,AN189:BE195,6,FALSE)))</f>
        <v/>
      </c>
      <c r="BG190" s="298" t="str">
        <f t="shared" si="159"/>
        <v/>
      </c>
      <c r="BH190" s="285" t="str">
        <f>IF(AM190="","",INDEX(AJ189:AJ195,MATCH(AM190,AN189:AN195,0)))</f>
        <v/>
      </c>
      <c r="BI190" s="286" t="str">
        <f>IF(AM190="","",VLOOKUP(AM190,AN189:BE195,COLUMN()-COLUMN(BB188),FALSE))</f>
        <v/>
      </c>
      <c r="BJ190" s="286" t="str">
        <f>IF(AM190="","",VLOOKUP(AM190,AN189:BE195,COLUMN()-COLUMN(BB188),FALSE))</f>
        <v/>
      </c>
      <c r="BK190" s="286" t="str">
        <f>IF(AM190="","",VLOOKUP(AM190,AN189:BE195,COLUMN()-COLUMN(BB188),FALSE))</f>
        <v/>
      </c>
      <c r="BL190" s="286" t="str">
        <f>IF(AM190="","",VLOOKUP(AM190,AN189:BE195,COLUMN()-COLUMN(BB188),FALSE))</f>
        <v/>
      </c>
      <c r="BM190" s="286" t="str">
        <f>IF(AM190="","",VLOOKUP(AM190,AN189:BE195,COLUMN()-COLUMN(BB188),FALSE))</f>
        <v/>
      </c>
      <c r="BN190" s="349" t="str">
        <f>IF(AM190="","",VLOOKUP(AM190,AN189:BE195,COLUMN()-COLUMN(BB188),FALSE))</f>
        <v/>
      </c>
      <c r="BO190" s="298" t="str">
        <f>IF(AM190="","",VLOOKUP(AM190,AN189:BE195,COLUMN()-COLUMN(BB188),FALSE))</f>
        <v/>
      </c>
      <c r="BP190" s="286" t="str">
        <f>IF(AM190="","",VLOOKUP(AM190,AN189:BE195,COLUMN()-COLUMN(BB188),FALSE))</f>
        <v/>
      </c>
      <c r="BQ190" s="301" t="str">
        <f>IF(AM190="","",VLOOKUP(AM190,AN189:BE195,COLUMN()-COLUMN(BB188),FALSE))</f>
        <v/>
      </c>
      <c r="BR190" s="352" t="str">
        <f>IF(AM190="","",VLOOKUP(AM190,AN189:BE195,COLUMN()-COLUMN(BB188),FALSE))</f>
        <v/>
      </c>
      <c r="BS190" s="286" t="str">
        <f>IF(AM190="","",VLOOKUP(AM190,AN189:BE195,COLUMN()-COLUMN(BB188),FALSE))</f>
        <v/>
      </c>
      <c r="BT190" s="301" t="str">
        <f>IF(AM190="","",VLOOKUP(AM190,AN189:BE195,COLUMN()-COLUMN(BB188),FALSE))</f>
        <v/>
      </c>
    </row>
    <row r="191" spans="1:72" x14ac:dyDescent="0.2">
      <c r="A191" s="62"/>
      <c r="B191" s="280"/>
      <c r="C191" s="62"/>
      <c r="D191" s="62"/>
      <c r="E191" s="241" t="s">
        <v>12240</v>
      </c>
      <c r="F191" s="246" t="s">
        <v>10542</v>
      </c>
      <c r="G191" s="246" t="s">
        <v>8125</v>
      </c>
      <c r="H191" s="254">
        <v>2</v>
      </c>
      <c r="I191" s="254">
        <v>1</v>
      </c>
      <c r="J191" s="254"/>
      <c r="K191" s="363"/>
      <c r="L191" s="363"/>
      <c r="M191" s="63"/>
      <c r="N191" s="265" t="b">
        <f>NOT(ISERROR(ResultsTeams[[#This Row],[Goal-A]]+ResultsTeams[[#This Row],[Goal-B]]))</f>
        <v>1</v>
      </c>
      <c r="O191" s="265">
        <f>IF(ResultsTeams[[#This Row],[Type]]="G",SUM(O192:O195),IF(LEFT(ResultsTeams[[#This Row],[Type]],1)="P",IF(ResultsTeams[[#This Row],[Goal-A]]&gt;ResultsTeams[[#This Row],[Goal-B]],1,0),""))</f>
        <v>1</v>
      </c>
      <c r="P191" s="265">
        <f>IF(ResultsTeams[[#This Row],[Type]]="G",SUM(P192:P195),IF(LEFT(ResultsTeams[[#This Row],[Type]],1)="P",IF(ResultsTeams[[#This Row],[Goal-A]]&lt;ResultsTeams[[#This Row],[Goal-B]],1,0),""))</f>
        <v>0</v>
      </c>
      <c r="Q191" s="265">
        <f>IF(ResultsTeams[[#This Row],[Type]]="G",SUM(Q192:Q195),IF(LEFT(ResultsTeams[[#This Row],[Type]],1)="P",VALUE(ResultsTeams[[#This Row],[Score-A]]),""))</f>
        <v>2</v>
      </c>
      <c r="R191" s="265">
        <f>IF(ResultsTeams[[#This Row],[Type]]="G",SUM(R192:R195),IF(LEFT(ResultsTeams[[#This Row],[Type]],1)="P",VALUE(ResultsTeams[[#This Row],[Score-B]]),""))</f>
        <v>1</v>
      </c>
      <c r="S191" s="265" t="str">
        <f ca="1">IF(AND(ResultsTeams[[#This Row],[Category]]&lt;&gt;"",ResultsTeams[[#This Row],[Team A]]&lt;&gt;""),COUNTIF(INDIRECT("TeamsList[Club Name]"),ResultsTeams[[#This Row],[Team A]]),"")</f>
        <v/>
      </c>
      <c r="T191" s="265" t="str">
        <f ca="1">IF(AND(ResultsTeams[[#This Row],[Category]]&lt;&gt;"",ResultsTeams[[#This Row],[Team B]]&lt;&gt;""),COUNTIF(INDIRECT("TeamsList[Club Name]"),ResultsTeams[[#This Row],[Team B]]),"")</f>
        <v/>
      </c>
      <c r="U1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-Carolina Villarigues</v>
      </c>
      <c r="V191" s="265" t="str">
        <f>IF(ResultsTeams[[#This Row],[Score_OK]],IF(ResultsTeams[[#This Row],[StageCpy]]="Groups",ResultsTeams[[#This Row],[Category]]&amp;"-"&amp;IF(ResultsTeams[[#This Row],[Team B]]="","",IF(ResultsTeams[[#This Row],[Match-A]]=ResultsTeams[[#This Row],[Match-B]],ResultsTeams[[#This Row],[Team A]],"")),""),"")</f>
        <v>-</v>
      </c>
      <c r="W191" s="265" t="str">
        <f>IF(ResultsTeams[[#This Row],[Score_OK]],IF(ResultsTeams[[#This Row],[StageCpy]]="Groups",ResultsTeams[[#This Row],[Category]]&amp;"-"&amp;IF(ResultsTeams[[#This Row],[Team B]]="","",IF(ResultsTeams[[#This Row],[Match-A]]=ResultsTeams[[#This Row],[Match-B]],ResultsTeams[[#This Row],[Team B]],"")),""),"")</f>
        <v>-</v>
      </c>
      <c r="X1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-Philippe Roufosse</v>
      </c>
      <c r="Y1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1" s="264" t="str">
        <f>IF(ResultsTeams[[#This Row],[Category]]="","",VLOOKUP(ResultsTeams[[#This Row],[Stage]],$R$1:$T$8,MATCH(ResultsTeams[[#This Row],[Category]],$S$1:$T$1,0)+1,FALSE))</f>
        <v/>
      </c>
      <c r="AC1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1" s="264" t="str">
        <f>IF(ResultsTeams[[#This Row],[Type]]="G",ResultsTeams[[#This Row],[Stage]],AD190)</f>
        <v>Groups</v>
      </c>
      <c r="AE191" s="395" t="str">
        <f>IF(ResultsTeams[[#This Row],[Type]]="G",INDEX(TeamsList[Club Name],MATCH(ResultsTeams[[#This Row],[Team A]],TeamsList[Team Name],0)),AE190)</f>
        <v>Subbuteo Dragons Azuqueca</v>
      </c>
      <c r="AF191" s="395" t="str">
        <f>IF(ResultsTeams[[#This Row],[Type]]="G",INDEX(TeamsList[Club Name],MATCH(ResultsTeams[[#This Row],[Team B]],TeamsList[Team Name],0)),AF190)</f>
        <v>SC Temploux</v>
      </c>
      <c r="AG191" s="265"/>
      <c r="AI191" s="12">
        <f t="shared" ref="AI191:AI195" si="161">AI190</f>
        <v>0</v>
      </c>
      <c r="AJ191" s="309"/>
      <c r="AK191" s="320"/>
      <c r="AL191" s="311"/>
      <c r="AM191" s="292" t="str">
        <f>IF(AV191="","",SMALL(AN189:AN195,ROWS(AM189:AM191)))</f>
        <v/>
      </c>
      <c r="AN191" s="293" t="str">
        <f>IF(AV191="","",RANK(AR191,AR189:AR195)*1000+ROWS(AN189:AN191))</f>
        <v/>
      </c>
      <c r="AO191" s="316" t="str">
        <f t="shared" si="154"/>
        <v/>
      </c>
      <c r="AP191" s="415" t="b">
        <f>AND(AU191&lt;&gt;"",AU191&gt;0,COUNTIF(AO189:AO195,AO191)&gt;1)</f>
        <v>0</v>
      </c>
      <c r="AQ191" s="316" t="str">
        <f t="shared" si="155"/>
        <v/>
      </c>
      <c r="AR191" s="317" t="str">
        <f t="shared" si="156"/>
        <v/>
      </c>
      <c r="AS191" s="415" t="b">
        <f>AND(AU191&lt;&gt;"",AU191&gt;0,COUNTIF(AR189:AR195,AR191)&gt;1)</f>
        <v>0</v>
      </c>
      <c r="AT191" s="355" t="str">
        <f t="shared" si="157"/>
        <v/>
      </c>
      <c r="AU191" s="356" t="str">
        <f t="shared" si="158"/>
        <v/>
      </c>
      <c r="AV191" s="356" t="str">
        <f>IF(OR(AI188="",AJ191=""),"",COUNTIF(ResultsTeams[Win],AI188&amp;"-"&amp;AJ191))</f>
        <v/>
      </c>
      <c r="AW191" s="356" t="str">
        <f>IF(OR(AI188="",AJ191=""),"",COUNTIF(ResultsTeams[[Draw1]:[Draw2]],AI188&amp;"-"&amp;AJ191))</f>
        <v/>
      </c>
      <c r="AX191" s="356" t="str">
        <f>IF(OR(AI188="",AJ191=""),"",COUNTIF(ResultsTeams[Lose],AI188&amp;"-"&amp;AJ191))</f>
        <v/>
      </c>
      <c r="AY191" s="356" t="str">
        <f>IF(OR(AI188="",AJ191=""),"",AV191-AX191)</f>
        <v/>
      </c>
      <c r="AZ191" s="356" t="str">
        <f>IF(OR(AI190="",AJ191=""),"",SUMIFS(ResultsTeams[Match-A],ResultsTeams[Stage],"Groups",ResultsTeams[Team A],AJ191)+SUMIFS(ResultsTeams[Match-B],ResultsTeams[Stage],"Groups",ResultsTeams[Team B],AJ191))</f>
        <v/>
      </c>
      <c r="BA191" s="356" t="str">
        <f>IF(OR(AI190="",AJ191=""),"",SUMIFS(ResultsTeams[Match-B],ResultsTeams[Stage],"Groups",ResultsTeams[Team A],AJ191)+SUMIFS(ResultsTeams[Match-A],ResultsTeams[Stage],"Groups",ResultsTeams[Team B],AJ191))</f>
        <v/>
      </c>
      <c r="BB191" s="356" t="str">
        <f t="shared" si="160"/>
        <v/>
      </c>
      <c r="BC191" s="356" t="str">
        <f>IF(OR(AI190="",AJ191=""),"",SUMIFS(ResultsTeams[Goal-A],ResultsTeams[Stage],"Groups",ResultsTeams[Team A],AJ191)+SUMIFS(ResultsTeams[Goal-B],ResultsTeams[Stage],"Groups",ResultsTeams[Team B],AJ191))</f>
        <v/>
      </c>
      <c r="BD191" s="356" t="str">
        <f>IF(OR(AI190="",AJ191=""),"",SUMIFS(ResultsTeams[Goal-B],ResultsTeams[Stage],"Groups",ResultsTeams[Team A],AJ191)+SUMIFS(ResultsTeams[Goal-A],ResultsTeams[Stage],"Groups",ResultsTeams[Team B],AJ191))</f>
        <v/>
      </c>
      <c r="BE191" s="357" t="str">
        <f>IF(OR(AI188="",AJ191=""),"",BC191-BD191)</f>
        <v/>
      </c>
      <c r="BF191" s="470" t="str">
        <f>IF(AM191="","",OR(VLOOKUP(AM191,AN189:BE195,3,FALSE),VLOOKUP(AM191,AN189:BE195,6,FALSE)))</f>
        <v/>
      </c>
      <c r="BG191" s="298" t="str">
        <f t="shared" si="159"/>
        <v/>
      </c>
      <c r="BH191" s="285" t="str">
        <f>IF(AM191="","",INDEX(AJ189:AJ195,MATCH(AM191,AN189:AN195,0)))</f>
        <v/>
      </c>
      <c r="BI191" s="286" t="str">
        <f>IF(AM191="","",VLOOKUP(AM191,AN189:BE195,COLUMN()-COLUMN(BB188),FALSE))</f>
        <v/>
      </c>
      <c r="BJ191" s="286" t="str">
        <f>IF(AM191="","",VLOOKUP(AM191,AN189:BE195,COLUMN()-COLUMN(BB188),FALSE))</f>
        <v/>
      </c>
      <c r="BK191" s="286" t="str">
        <f>IF(AM191="","",VLOOKUP(AM191,AN189:BE195,COLUMN()-COLUMN(BB188),FALSE))</f>
        <v/>
      </c>
      <c r="BL191" s="286" t="str">
        <f>IF(AM191="","",VLOOKUP(AM191,AN189:BE195,COLUMN()-COLUMN(BB188),FALSE))</f>
        <v/>
      </c>
      <c r="BM191" s="286" t="str">
        <f>IF(AM191="","",VLOOKUP(AM191,AN189:BE195,COLUMN()-COLUMN(BB188),FALSE))</f>
        <v/>
      </c>
      <c r="BN191" s="349" t="str">
        <f>IF(AM191="","",VLOOKUP(AM191,AN189:BE195,COLUMN()-COLUMN(BB188),FALSE))</f>
        <v/>
      </c>
      <c r="BO191" s="298" t="str">
        <f>IF(AM191="","",VLOOKUP(AM191,AN189:BE195,COLUMN()-COLUMN(BB188),FALSE))</f>
        <v/>
      </c>
      <c r="BP191" s="286" t="str">
        <f>IF(AM191="","",VLOOKUP(AM191,AN189:BE195,COLUMN()-COLUMN(BB188),FALSE))</f>
        <v/>
      </c>
      <c r="BQ191" s="301" t="str">
        <f>IF(AM191="","",VLOOKUP(AM191,AN189:BE195,COLUMN()-COLUMN(BB188),FALSE))</f>
        <v/>
      </c>
      <c r="BR191" s="352" t="str">
        <f>IF(AM191="","",VLOOKUP(AM191,AN189:BE195,COLUMN()-COLUMN(BB188),FALSE))</f>
        <v/>
      </c>
      <c r="BS191" s="286" t="str">
        <f>IF(AM191="","",VLOOKUP(AM191,AN189:BE195,COLUMN()-COLUMN(BB188),FALSE))</f>
        <v/>
      </c>
      <c r="BT191" s="301" t="str">
        <f>IF(AM191="","",VLOOKUP(AM191,AN189:BE195,COLUMN()-COLUMN(BB188),FALSE))</f>
        <v/>
      </c>
    </row>
    <row r="192" spans="1:72" x14ac:dyDescent="0.2">
      <c r="A192" s="62"/>
      <c r="B192" s="62"/>
      <c r="C192" s="62"/>
      <c r="D192" s="62"/>
      <c r="E192" s="241" t="s">
        <v>12243</v>
      </c>
      <c r="F192" s="247"/>
      <c r="G192" s="247"/>
      <c r="H192" s="254"/>
      <c r="I192" s="254"/>
      <c r="J192" s="260"/>
      <c r="K192" s="364"/>
      <c r="L192" s="364"/>
      <c r="M192" s="63"/>
      <c r="N192" s="265" t="b">
        <f>NOT(ISERROR(ResultsTeams[[#This Row],[Goal-A]]+ResultsTeams[[#This Row],[Goal-B]]))</f>
        <v>0</v>
      </c>
      <c r="O192" s="265" t="str">
        <f>IF(ResultsTeams[[#This Row],[Type]]="G",SUM(O193:O196),IF(LEFT(ResultsTeams[[#This Row],[Type]],1)="P",IF(ResultsTeams[[#This Row],[Goal-A]]&gt;ResultsTeams[[#This Row],[Goal-B]],1,0),""))</f>
        <v/>
      </c>
      <c r="P192" s="265" t="str">
        <f>IF(ResultsTeams[[#This Row],[Type]]="G",SUM(P193:P196),IF(LEFT(ResultsTeams[[#This Row],[Type]],1)="P",IF(ResultsTeams[[#This Row],[Goal-A]]&lt;ResultsTeams[[#This Row],[Goal-B]],1,0),""))</f>
        <v/>
      </c>
      <c r="Q192" s="265" t="str">
        <f>IF(ResultsTeams[[#This Row],[Type]]="G",SUM(Q193:Q196),IF(LEFT(ResultsTeams[[#This Row],[Type]],1)="P",VALUE(ResultsTeams[[#This Row],[Score-A]]),""))</f>
        <v/>
      </c>
      <c r="R192" s="265" t="str">
        <f>IF(ResultsTeams[[#This Row],[Type]]="G",SUM(R193:R196),IF(LEFT(ResultsTeams[[#This Row],[Type]],1)="P",VALUE(ResultsTeams[[#This Row],[Score-B]]),""))</f>
        <v/>
      </c>
      <c r="S192" s="265" t="str">
        <f ca="1">IF(AND(ResultsTeams[[#This Row],[Category]]&lt;&gt;"",ResultsTeams[[#This Row],[Team A]]&lt;&gt;""),COUNTIF(INDIRECT("TeamsList[Club Name]"),ResultsTeams[[#This Row],[Team A]]),"")</f>
        <v/>
      </c>
      <c r="T192" s="265" t="str">
        <f ca="1">IF(AND(ResultsTeams[[#This Row],[Category]]&lt;&gt;"",ResultsTeams[[#This Row],[Team B]]&lt;&gt;""),COUNTIF(INDIRECT("TeamsList[Club Name]"),ResultsTeams[[#This Row],[Team B]]),"")</f>
        <v/>
      </c>
      <c r="U1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2" s="265" t="str">
        <f>IF(ResultsTeams[[#This Row],[Score_OK]],IF(ResultsTeams[[#This Row],[StageCpy]]="Groups",ResultsTeams[[#This Row],[Category]]&amp;"-"&amp;IF(ResultsTeams[[#This Row],[Team B]]="","",IF(ResultsTeams[[#This Row],[Match-A]]=ResultsTeams[[#This Row],[Match-B]],ResultsTeams[[#This Row],[Team A]],"")),""),"")</f>
        <v/>
      </c>
      <c r="W192" s="265" t="str">
        <f>IF(ResultsTeams[[#This Row],[Score_OK]],IF(ResultsTeams[[#This Row],[StageCpy]]="Groups",ResultsTeams[[#This Row],[Category]]&amp;"-"&amp;IF(ResultsTeams[[#This Row],[Team B]]="","",IF(ResultsTeams[[#This Row],[Match-A]]=ResultsTeams[[#This Row],[Match-B]],ResultsTeams[[#This Row],[Team B]],"")),""),"")</f>
        <v/>
      </c>
      <c r="X1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2" s="264" t="str">
        <f>IF(ResultsTeams[[#This Row],[Category]]="","",VLOOKUP(ResultsTeams[[#This Row],[Stage]],$R$1:$T$8,MATCH(ResultsTeams[[#This Row],[Category]],$S$1:$T$1,0)+1,FALSE))</f>
        <v/>
      </c>
      <c r="AC1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2" s="264" t="str">
        <f>IF(ResultsTeams[[#This Row],[Type]]="G",ResultsTeams[[#This Row],[Stage]],AD191)</f>
        <v>Groups</v>
      </c>
      <c r="AE192" s="395" t="str">
        <f>IF(ResultsTeams[[#This Row],[Type]]="G",INDEX(TeamsList[Club Name],MATCH(ResultsTeams[[#This Row],[Team A]],TeamsList[Team Name],0)),AE191)</f>
        <v>Subbuteo Dragons Azuqueca</v>
      </c>
      <c r="AF192" s="395" t="str">
        <f>IF(ResultsTeams[[#This Row],[Type]]="G",INDEX(TeamsList[Club Name],MATCH(ResultsTeams[[#This Row],[Team B]],TeamsList[Team Name],0)),AF191)</f>
        <v>SC Temploux</v>
      </c>
      <c r="AG192" s="265"/>
      <c r="AH192" s="91"/>
      <c r="AI192" s="12">
        <f t="shared" si="161"/>
        <v>0</v>
      </c>
      <c r="AJ192" s="309"/>
      <c r="AK192" s="310"/>
      <c r="AL192" s="311"/>
      <c r="AM192" s="292" t="str">
        <f>IF(AV192="","",SMALL(AN189:AN195,ROWS(AM189:AM192)))</f>
        <v/>
      </c>
      <c r="AN192" s="293" t="str">
        <f>IF(AV192="","",RANK(AR192,AR189:AR195)*1000+ROWS(AN189:AN192))</f>
        <v/>
      </c>
      <c r="AO192" s="316" t="str">
        <f t="shared" si="154"/>
        <v/>
      </c>
      <c r="AP192" s="415" t="b">
        <f>AND(AU192&lt;&gt;"",AU192&gt;0,COUNTIF(AO189:AO195,AO192)&gt;1)</f>
        <v>0</v>
      </c>
      <c r="AQ192" s="316" t="str">
        <f t="shared" si="155"/>
        <v/>
      </c>
      <c r="AR192" s="317" t="str">
        <f t="shared" si="156"/>
        <v/>
      </c>
      <c r="AS192" s="415" t="b">
        <f>AND(AU192&lt;&gt;"",AU192&gt;0,COUNTIF(AR189:AR195,AR192)&gt;1)</f>
        <v>0</v>
      </c>
      <c r="AT192" s="355" t="str">
        <f t="shared" si="157"/>
        <v/>
      </c>
      <c r="AU192" s="356" t="str">
        <f t="shared" si="158"/>
        <v/>
      </c>
      <c r="AV192" s="356" t="str">
        <f>IF(OR(AI188="",AJ192=""),"",COUNTIF(ResultsTeams[Win],AI188&amp;"-"&amp;AJ192))</f>
        <v/>
      </c>
      <c r="AW192" s="356" t="str">
        <f>IF(OR(AI188="",AJ192=""),"",COUNTIF(ResultsTeams[[Draw1]:[Draw2]],AI188&amp;"-"&amp;AJ192))</f>
        <v/>
      </c>
      <c r="AX192" s="356" t="str">
        <f>IF(OR(AI188="",AJ192=""),"",COUNTIF(ResultsTeams[Lose],AI188&amp;"-"&amp;AJ192))</f>
        <v/>
      </c>
      <c r="AY192" s="356" t="str">
        <f>IF(OR(AI188="",AJ192=""),"",AV192-AX192)</f>
        <v/>
      </c>
      <c r="AZ192" s="356" t="str">
        <f>IF(OR(AI191="",AJ192=""),"",SUMIFS(ResultsTeams[Match-A],ResultsTeams[Stage],"Groups",ResultsTeams[Team A],AJ192)+SUMIFS(ResultsTeams[Match-B],ResultsTeams[Stage],"Groups",ResultsTeams[Team B],AJ192))</f>
        <v/>
      </c>
      <c r="BA192" s="356" t="str">
        <f>IF(OR(AI191="",AJ192=""),"",SUMIFS(ResultsTeams[Match-B],ResultsTeams[Stage],"Groups",ResultsTeams[Team A],AJ192)+SUMIFS(ResultsTeams[Match-A],ResultsTeams[Stage],"Groups",ResultsTeams[Team B],AJ192))</f>
        <v/>
      </c>
      <c r="BB192" s="356" t="str">
        <f t="shared" si="160"/>
        <v/>
      </c>
      <c r="BC192" s="356" t="str">
        <f>IF(OR(AI191="",AJ192=""),"",SUMIFS(ResultsTeams[Goal-A],ResultsTeams[Stage],"Groups",ResultsTeams[Team A],AJ192)+SUMIFS(ResultsTeams[Goal-B],ResultsTeams[Stage],"Groups",ResultsTeams[Team B],AJ192))</f>
        <v/>
      </c>
      <c r="BD192" s="356" t="str">
        <f>IF(OR(AI191="",AJ192=""),"",SUMIFS(ResultsTeams[Goal-B],ResultsTeams[Stage],"Groups",ResultsTeams[Team A],AJ192)+SUMIFS(ResultsTeams[Goal-A],ResultsTeams[Stage],"Groups",ResultsTeams[Team B],AJ192))</f>
        <v/>
      </c>
      <c r="BE192" s="357" t="str">
        <f>IF(OR(AI188="",AJ192=""),"",BC192-BD192)</f>
        <v/>
      </c>
      <c r="BF192" s="470" t="str">
        <f>IF(AM192="","",OR(VLOOKUP(AM192,AN189:BE195,3,FALSE),VLOOKUP(AM192,AN189:BE195,6,FALSE)))</f>
        <v/>
      </c>
      <c r="BG192" s="298" t="str">
        <f t="shared" si="159"/>
        <v/>
      </c>
      <c r="BH192" s="285" t="str">
        <f>IF(AM192="","",INDEX(AJ189:AJ195,MATCH(AM192,AN189:AN195,0)))</f>
        <v/>
      </c>
      <c r="BI192" s="286" t="str">
        <f>IF(AM192="","",VLOOKUP(AM192,AN189:BE195,COLUMN()-COLUMN(BB188),FALSE))</f>
        <v/>
      </c>
      <c r="BJ192" s="286" t="str">
        <f>IF(AM192="","",VLOOKUP(AM192,AN189:BE195,COLUMN()-COLUMN(BB188),FALSE))</f>
        <v/>
      </c>
      <c r="BK192" s="286" t="str">
        <f>IF(AM192="","",VLOOKUP(AM192,AN189:BE195,COLUMN()-COLUMN(BB188),FALSE))</f>
        <v/>
      </c>
      <c r="BL192" s="286" t="str">
        <f>IF(AM192="","",VLOOKUP(AM192,AN189:BE195,COLUMN()-COLUMN(BB188),FALSE))</f>
        <v/>
      </c>
      <c r="BM192" s="286" t="str">
        <f>IF(AM192="","",VLOOKUP(AM192,AN189:BE195,COLUMN()-COLUMN(BB188),FALSE))</f>
        <v/>
      </c>
      <c r="BN192" s="349" t="str">
        <f>IF(AM192="","",VLOOKUP(AM192,AN189:BE195,COLUMN()-COLUMN(BB188),FALSE))</f>
        <v/>
      </c>
      <c r="BO192" s="298" t="str">
        <f>IF(AM192="","",VLOOKUP(AM192,AN189:BE195,COLUMN()-COLUMN(BB188),FALSE))</f>
        <v/>
      </c>
      <c r="BP192" s="286" t="str">
        <f>IF(AM192="","",VLOOKUP(AM192,AN189:BE195,COLUMN()-COLUMN(BB188),FALSE))</f>
        <v/>
      </c>
      <c r="BQ192" s="301" t="str">
        <f>IF(AM192="","",VLOOKUP(AM192,AN189:BE195,COLUMN()-COLUMN(BB188),FALSE))</f>
        <v/>
      </c>
      <c r="BR192" s="352" t="str">
        <f>IF(AM192="","",VLOOKUP(AM192,AN189:BE195,COLUMN()-COLUMN(BB188),FALSE))</f>
        <v/>
      </c>
      <c r="BS192" s="286" t="str">
        <f>IF(AM192="","",VLOOKUP(AM192,AN189:BE195,COLUMN()-COLUMN(BB188),FALSE))</f>
        <v/>
      </c>
      <c r="BT192" s="301" t="str">
        <f>IF(AM192="","",VLOOKUP(AM192,AN189:BE195,COLUMN()-COLUMN(BB188),FALSE))</f>
        <v/>
      </c>
    </row>
    <row r="193" spans="1:72" ht="12" thickBot="1" x14ac:dyDescent="0.25">
      <c r="A193" s="83"/>
      <c r="B193" s="83"/>
      <c r="C193" s="83"/>
      <c r="D193" s="83"/>
      <c r="E193" s="268" t="s">
        <v>12244</v>
      </c>
      <c r="F193" s="262"/>
      <c r="G193" s="262"/>
      <c r="H193" s="324"/>
      <c r="I193" s="324"/>
      <c r="J193" s="263"/>
      <c r="K193" s="365"/>
      <c r="L193" s="365"/>
      <c r="M193" s="84"/>
      <c r="N193" s="265" t="b">
        <f>NOT(ISERROR(ResultsTeams[[#This Row],[Goal-A]]+ResultsTeams[[#This Row],[Goal-B]]))</f>
        <v>0</v>
      </c>
      <c r="O193" s="265" t="str">
        <f>IF(ResultsTeams[[#This Row],[Type]]="G",SUM(O194:O197),IF(LEFT(ResultsTeams[[#This Row],[Type]],1)="P",IF(ResultsTeams[[#This Row],[Goal-A]]&gt;ResultsTeams[[#This Row],[Goal-B]],1,0),""))</f>
        <v/>
      </c>
      <c r="P193" s="265" t="str">
        <f>IF(ResultsTeams[[#This Row],[Type]]="G",SUM(P194:P197),IF(LEFT(ResultsTeams[[#This Row],[Type]],1)="P",IF(ResultsTeams[[#This Row],[Goal-A]]&lt;ResultsTeams[[#This Row],[Goal-B]],1,0),""))</f>
        <v/>
      </c>
      <c r="Q193" s="265" t="str">
        <f>IF(ResultsTeams[[#This Row],[Type]]="G",SUM(Q194:Q197),IF(LEFT(ResultsTeams[[#This Row],[Type]],1)="P",VALUE(ResultsTeams[[#This Row],[Score-A]]),""))</f>
        <v/>
      </c>
      <c r="R193" s="265" t="str">
        <f>IF(ResultsTeams[[#This Row],[Type]]="G",SUM(R194:R197),IF(LEFT(ResultsTeams[[#This Row],[Type]],1)="P",VALUE(ResultsTeams[[#This Row],[Score-B]]),""))</f>
        <v/>
      </c>
      <c r="S193" s="265" t="str">
        <f ca="1">IF(AND(ResultsTeams[[#This Row],[Category]]&lt;&gt;"",ResultsTeams[[#This Row],[Team A]]&lt;&gt;""),COUNTIF(INDIRECT("TeamsList[Club Name]"),ResultsTeams[[#This Row],[Team A]]),"")</f>
        <v/>
      </c>
      <c r="T193" s="265" t="str">
        <f ca="1">IF(AND(ResultsTeams[[#This Row],[Category]]&lt;&gt;"",ResultsTeams[[#This Row],[Team B]]&lt;&gt;""),COUNTIF(INDIRECT("TeamsList[Club Name]"),ResultsTeams[[#This Row],[Team B]]),"")</f>
        <v/>
      </c>
      <c r="U1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3" s="265" t="str">
        <f>IF(ResultsTeams[[#This Row],[Score_OK]],IF(ResultsTeams[[#This Row],[StageCpy]]="Groups",ResultsTeams[[#This Row],[Category]]&amp;"-"&amp;IF(ResultsTeams[[#This Row],[Team B]]="","",IF(ResultsTeams[[#This Row],[Match-A]]=ResultsTeams[[#This Row],[Match-B]],ResultsTeams[[#This Row],[Team A]],"")),""),"")</f>
        <v/>
      </c>
      <c r="W193" s="265" t="str">
        <f>IF(ResultsTeams[[#This Row],[Score_OK]],IF(ResultsTeams[[#This Row],[StageCpy]]="Groups",ResultsTeams[[#This Row],[Category]]&amp;"-"&amp;IF(ResultsTeams[[#This Row],[Team B]]="","",IF(ResultsTeams[[#This Row],[Match-A]]=ResultsTeams[[#This Row],[Match-B]],ResultsTeams[[#This Row],[Team B]],"")),""),"")</f>
        <v/>
      </c>
      <c r="X1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3" s="264" t="str">
        <f>IF(ResultsTeams[[#This Row],[Category]]="","",VLOOKUP(ResultsTeams[[#This Row],[Stage]],$R$1:$T$8,MATCH(ResultsTeams[[#This Row],[Category]],$S$1:$T$1,0)+1,FALSE))</f>
        <v/>
      </c>
      <c r="AC1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3" s="264" t="str">
        <f>IF(ResultsTeams[[#This Row],[Type]]="G",ResultsTeams[[#This Row],[Stage]],AD192)</f>
        <v>Groups</v>
      </c>
      <c r="AE193" s="395" t="str">
        <f>IF(ResultsTeams[[#This Row],[Type]]="G",INDEX(TeamsList[Club Name],MATCH(ResultsTeams[[#This Row],[Team A]],TeamsList[Team Name],0)),AE192)</f>
        <v>Subbuteo Dragons Azuqueca</v>
      </c>
      <c r="AF193" s="395" t="str">
        <f>IF(ResultsTeams[[#This Row],[Type]]="G",INDEX(TeamsList[Club Name],MATCH(ResultsTeams[[#This Row],[Team B]],TeamsList[Team Name],0)),AF192)</f>
        <v>SC Temploux</v>
      </c>
      <c r="AG193" s="265"/>
      <c r="AH193" s="91"/>
      <c r="AI193" s="12">
        <f t="shared" si="161"/>
        <v>0</v>
      </c>
      <c r="AJ193" s="309"/>
      <c r="AK193" s="310"/>
      <c r="AL193" s="311"/>
      <c r="AM193" s="292" t="str">
        <f>IF(AV193="","",SMALL(AN189:AN195,ROWS(AM189:AM193)))</f>
        <v/>
      </c>
      <c r="AN193" s="293" t="str">
        <f>IF(AV193="","",RANK(AR193,AR189:AR195)*1000+ROWS(AN189:AN193))</f>
        <v/>
      </c>
      <c r="AO193" s="316" t="str">
        <f t="shared" si="154"/>
        <v/>
      </c>
      <c r="AP193" s="415" t="b">
        <f>AND(AU193&lt;&gt;"",AU193&gt;0,COUNTIF(AO189:AO195,AO193)&gt;1)</f>
        <v>0</v>
      </c>
      <c r="AQ193" s="316" t="str">
        <f t="shared" si="155"/>
        <v/>
      </c>
      <c r="AR193" s="317" t="str">
        <f t="shared" si="156"/>
        <v/>
      </c>
      <c r="AS193" s="415" t="b">
        <f>AND(AU193&lt;&gt;"",AU193&gt;0,COUNTIF(AR189:AR195,AR193)&gt;1)</f>
        <v>0</v>
      </c>
      <c r="AT193" s="355" t="str">
        <f t="shared" si="157"/>
        <v/>
      </c>
      <c r="AU193" s="356" t="str">
        <f t="shared" si="158"/>
        <v/>
      </c>
      <c r="AV193" s="356" t="str">
        <f>IF(OR(AI188="",AJ193=""),"",COUNTIF(ResultsTeams[Win],AI188&amp;"-"&amp;AJ193))</f>
        <v/>
      </c>
      <c r="AW193" s="356" t="str">
        <f>IF(OR(AI188="",AJ193=""),"",COUNTIF(ResultsTeams[[Draw1]:[Draw2]],AI188&amp;"-"&amp;AJ193))</f>
        <v/>
      </c>
      <c r="AX193" s="356" t="str">
        <f>IF(OR(AI188="",AJ193=""),"",COUNTIF(ResultsTeams[Lose],AI188&amp;"-"&amp;AJ193))</f>
        <v/>
      </c>
      <c r="AY193" s="356" t="str">
        <f>IF(OR(AI188="",AJ193=""),"",AV193-AX193)</f>
        <v/>
      </c>
      <c r="AZ193" s="356" t="str">
        <f>IF(OR(AI192="",AJ193=""),"",SUMIFS(ResultsTeams[Match-A],ResultsTeams[Stage],"Groups",ResultsTeams[Team A],AJ193)+SUMIFS(ResultsTeams[Match-B],ResultsTeams[Stage],"Groups",ResultsTeams[Team B],AJ193))</f>
        <v/>
      </c>
      <c r="BA193" s="356" t="str">
        <f>IF(OR(AI192="",AJ193=""),"",SUMIFS(ResultsTeams[Match-B],ResultsTeams[Stage],"Groups",ResultsTeams[Team A],AJ193)+SUMIFS(ResultsTeams[Match-A],ResultsTeams[Stage],"Groups",ResultsTeams[Team B],AJ193))</f>
        <v/>
      </c>
      <c r="BB193" s="356" t="str">
        <f t="shared" si="160"/>
        <v/>
      </c>
      <c r="BC193" s="356" t="str">
        <f>IF(OR(AI192="",AJ193=""),"",SUMIFS(ResultsTeams[Goal-A],ResultsTeams[Stage],"Groups",ResultsTeams[Team A],AJ193)+SUMIFS(ResultsTeams[Goal-B],ResultsTeams[Stage],"Groups",ResultsTeams[Team B],AJ193))</f>
        <v/>
      </c>
      <c r="BD193" s="356" t="str">
        <f>IF(OR(AI192="",AJ193=""),"",SUMIFS(ResultsTeams[Goal-B],ResultsTeams[Stage],"Groups",ResultsTeams[Team A],AJ193)+SUMIFS(ResultsTeams[Goal-A],ResultsTeams[Stage],"Groups",ResultsTeams[Team B],AJ193))</f>
        <v/>
      </c>
      <c r="BE193" s="357" t="str">
        <f>IF(OR(AI188="",AJ193=""),"",BC193-BD193)</f>
        <v/>
      </c>
      <c r="BF193" s="470" t="str">
        <f>IF(AM193="","",OR(VLOOKUP(AM193,AN189:BE195,3,FALSE),VLOOKUP(AM193,AN189:BE195,6,FALSE)))</f>
        <v/>
      </c>
      <c r="BG193" s="298" t="str">
        <f t="shared" si="159"/>
        <v/>
      </c>
      <c r="BH193" s="285" t="str">
        <f>IF(AM193="","",INDEX(AJ189:AJ195,MATCH(AM193,AN189:AN195,0)))</f>
        <v/>
      </c>
      <c r="BI193" s="286" t="str">
        <f>IF(AM193="","",VLOOKUP(AM193,AN189:BE195,COLUMN()-COLUMN(BB188),FALSE))</f>
        <v/>
      </c>
      <c r="BJ193" s="286" t="str">
        <f>IF(AM193="","",VLOOKUP(AM193,AN189:BE195,COLUMN()-COLUMN(BB188),FALSE))</f>
        <v/>
      </c>
      <c r="BK193" s="286" t="str">
        <f>IF(AM193="","",VLOOKUP(AM193,AN189:BE195,COLUMN()-COLUMN(BB188),FALSE))</f>
        <v/>
      </c>
      <c r="BL193" s="286" t="str">
        <f>IF(AM193="","",VLOOKUP(AM193,AN189:BE195,COLUMN()-COLUMN(BB188),FALSE))</f>
        <v/>
      </c>
      <c r="BM193" s="286" t="str">
        <f>IF(AM193="","",VLOOKUP(AM193,AN189:BE195,COLUMN()-COLUMN(BB188),FALSE))</f>
        <v/>
      </c>
      <c r="BN193" s="349" t="str">
        <f>IF(AM193="","",VLOOKUP(AM193,AN189:BE195,COLUMN()-COLUMN(BB188),FALSE))</f>
        <v/>
      </c>
      <c r="BO193" s="298" t="str">
        <f>IF(AM193="","",VLOOKUP(AM193,AN189:BE195,COLUMN()-COLUMN(BB188),FALSE))</f>
        <v/>
      </c>
      <c r="BP193" s="286" t="str">
        <f>IF(AM193="","",VLOOKUP(AM193,AN189:BE195,COLUMN()-COLUMN(BB188),FALSE))</f>
        <v/>
      </c>
      <c r="BQ193" s="301" t="str">
        <f>IF(AM193="","",VLOOKUP(AM193,AN189:BE195,COLUMN()-COLUMN(BB188),FALSE))</f>
        <v/>
      </c>
      <c r="BR193" s="352" t="str">
        <f>IF(AM193="","",VLOOKUP(AM193,AN189:BE195,COLUMN()-COLUMN(BB188),FALSE))</f>
        <v/>
      </c>
      <c r="BS193" s="286" t="str">
        <f>IF(AM193="","",VLOOKUP(AM193,AN189:BE195,COLUMN()-COLUMN(BB188),FALSE))</f>
        <v/>
      </c>
      <c r="BT193" s="301" t="str">
        <f>IF(AM193="","",VLOOKUP(AM193,AN189:BE195,COLUMN()-COLUMN(BB188),FALSE))</f>
        <v/>
      </c>
    </row>
    <row r="194" spans="1:72" ht="12" thickBot="1" x14ac:dyDescent="0.25">
      <c r="A194" s="261" t="s">
        <v>12693</v>
      </c>
      <c r="B194" s="270" t="s">
        <v>12207</v>
      </c>
      <c r="C194" s="270">
        <v>4</v>
      </c>
      <c r="D194" s="270"/>
      <c r="E194" s="272" t="s">
        <v>12228</v>
      </c>
      <c r="F194" s="273" t="s">
        <v>201</v>
      </c>
      <c r="G194" s="273" t="s">
        <v>415</v>
      </c>
      <c r="H194" s="275">
        <v>4</v>
      </c>
      <c r="I194" s="275">
        <v>0</v>
      </c>
      <c r="J194" s="275"/>
      <c r="K194" s="366"/>
      <c r="L194" s="366"/>
      <c r="M194" s="274"/>
      <c r="N194" s="265" t="b">
        <f>NOT(ISERROR(ResultsTeams[[#This Row],[Goal-A]]+ResultsTeams[[#This Row],[Goal-B]]))</f>
        <v>1</v>
      </c>
      <c r="O194" s="265">
        <f>IF(ResultsTeams[[#This Row],[Type]]="G",SUM(O195:O198),IF(LEFT(ResultsTeams[[#This Row],[Type]],1)="P",IF(ResultsTeams[[#This Row],[Goal-A]]&gt;ResultsTeams[[#This Row],[Goal-B]],1,0),""))</f>
        <v>4</v>
      </c>
      <c r="P194" s="265">
        <f>IF(ResultsTeams[[#This Row],[Type]]="G",SUM(P195:P198),IF(LEFT(ResultsTeams[[#This Row],[Type]],1)="P",IF(ResultsTeams[[#This Row],[Goal-A]]&lt;ResultsTeams[[#This Row],[Goal-B]],1,0),""))</f>
        <v>0</v>
      </c>
      <c r="Q194" s="265">
        <f>IF(ResultsTeams[[#This Row],[Type]]="G",SUM(Q195:Q198),IF(LEFT(ResultsTeams[[#This Row],[Type]],1)="P",VALUE(ResultsTeams[[#This Row],[Score-A]]),""))</f>
        <v>25</v>
      </c>
      <c r="R194" s="265">
        <f>IF(ResultsTeams[[#This Row],[Type]]="G",SUM(R195:R198),IF(LEFT(ResultsTeams[[#This Row],[Type]],1)="P",VALUE(ResultsTeams[[#This Row],[Score-B]]),""))</f>
        <v>3</v>
      </c>
      <c r="S194" s="265">
        <f ca="1">IF(AND(ResultsTeams[[#This Row],[Category]]&lt;&gt;"",ResultsTeams[[#This Row],[Team A]]&lt;&gt;""),COUNTIF(INDIRECT("TeamsList[Club Name]"),ResultsTeams[[#This Row],[Team A]]),"")</f>
        <v>1</v>
      </c>
      <c r="T194" s="265">
        <f ca="1">IF(AND(ResultsTeams[[#This Row],[Category]]&lt;&gt;"",ResultsTeams[[#This Row],[Team B]]&lt;&gt;""),COUNTIF(INDIRECT("TeamsList[Club Name]"),ResultsTeams[[#This Row],[Team B]]),"")</f>
        <v>2</v>
      </c>
      <c r="U1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TEAM-CCT Eagles Napoli</v>
      </c>
      <c r="V194" s="265" t="str">
        <f>IF(ResultsTeams[[#This Row],[Score_OK]],IF(ResultsTeams[[#This Row],[StageCpy]]="Groups",ResultsTeams[[#This Row],[Category]]&amp;"-"&amp;IF(ResultsTeams[[#This Row],[Team B]]="","",IF(ResultsTeams[[#This Row],[Match-A]]=ResultsTeams[[#This Row],[Match-B]],ResultsTeams[[#This Row],[Team A]],"")),""),"")</f>
        <v>TEAM-</v>
      </c>
      <c r="W194" s="265" t="str">
        <f>IF(ResultsTeams[[#This Row],[Score_OK]],IF(ResultsTeams[[#This Row],[StageCpy]]="Groups",ResultsTeams[[#This Row],[Category]]&amp;"-"&amp;IF(ResultsTeams[[#This Row],[Team B]]="","",IF(ResultsTeams[[#This Row],[Match-A]]=ResultsTeams[[#This Row],[Match-B]],ResultsTeams[[#This Row],[Team B]],"")),""),"")</f>
        <v>TEAM-</v>
      </c>
      <c r="X1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v>
      </c>
      <c r="Y1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A1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B194" s="264" t="str">
        <f>IF(ResultsTeams[[#This Row],[Category]]="","",VLOOKUP(ResultsTeams[[#This Row],[Stage]],$R$1:$T$8,MATCH(ResultsTeams[[#This Row],[Category]],$S$1:$T$1,0)+1,FALSE))</f>
        <v>PR1</v>
      </c>
      <c r="AC1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4" s="264" t="str">
        <f>IF(ResultsTeams[[#This Row],[Type]]="G",ResultsTeams[[#This Row],[Stage]],AD193)</f>
        <v>Groups</v>
      </c>
      <c r="AE194" s="395" t="str">
        <f>IF(ResultsTeams[[#This Row],[Type]]="G",INDEX(TeamsList[Club Name],MATCH(ResultsTeams[[#This Row],[Team A]],TeamsList[Team Name],0)),AE193)</f>
        <v>CCT Eagles Napoli</v>
      </c>
      <c r="AF194" s="395" t="str">
        <f>IF(ResultsTeams[[#This Row],[Type]]="G",INDEX(TeamsList[Club Name],MATCH(ResultsTeams[[#This Row],[Team B]],TeamsList[Team Name],0)),AF193)</f>
        <v>Kent Invicta TFC</v>
      </c>
      <c r="AG194" s="265"/>
      <c r="AI194" s="12">
        <f t="shared" si="161"/>
        <v>0</v>
      </c>
      <c r="AJ194" s="309"/>
      <c r="AK194" s="310"/>
      <c r="AL194" s="311"/>
      <c r="AM194" s="292" t="str">
        <f>IF(AV194="","",SMALL(AN189:AN195,ROWS(AM189:AM194)))</f>
        <v/>
      </c>
      <c r="AN194" s="293" t="str">
        <f>IF(AV194="","",RANK(AR194,AR189:AR195)*1000+ROWS(AN189:AN194))</f>
        <v/>
      </c>
      <c r="AO194" s="316" t="str">
        <f t="shared" si="154"/>
        <v/>
      </c>
      <c r="AP194" s="415" t="b">
        <f>AND(AU194&lt;&gt;"",AU194&gt;0,COUNTIF(AO189:AO195,AO194)&gt;1)</f>
        <v>0</v>
      </c>
      <c r="AQ194" s="316" t="str">
        <f t="shared" si="155"/>
        <v/>
      </c>
      <c r="AR194" s="317" t="str">
        <f t="shared" si="156"/>
        <v/>
      </c>
      <c r="AS194" s="415" t="b">
        <f>AND(AU194&lt;&gt;"",AU194&gt;0,COUNTIF(AR189:AR195,AR194)&gt;1)</f>
        <v>0</v>
      </c>
      <c r="AT194" s="355" t="str">
        <f t="shared" si="157"/>
        <v/>
      </c>
      <c r="AU194" s="356" t="str">
        <f t="shared" si="158"/>
        <v/>
      </c>
      <c r="AV194" s="356" t="str">
        <f>IF(OR(AI188="",AJ194=""),"",COUNTIF(ResultsTeams[Win],AI188&amp;"-"&amp;AJ194))</f>
        <v/>
      </c>
      <c r="AW194" s="356" t="str">
        <f>IF(OR(AI188="",AJ194=""),"",COUNTIF(ResultsTeams[[Draw1]:[Draw2]],AI188&amp;"-"&amp;AJ194))</f>
        <v/>
      </c>
      <c r="AX194" s="356" t="str">
        <f>IF(OR(AI188="",AJ194=""),"",COUNTIF(ResultsTeams[Lose],AI188&amp;"-"&amp;AJ194))</f>
        <v/>
      </c>
      <c r="AY194" s="356" t="str">
        <f>IF(OR(AI188="",AJ194=""),"",AV194-AX194)</f>
        <v/>
      </c>
      <c r="AZ194" s="356" t="str">
        <f>IF(OR(AI193="",AJ194=""),"",SUMIFS(ResultsTeams[Match-A],ResultsTeams[Stage],"Groups",ResultsTeams[Team A],AJ194)+SUMIFS(ResultsTeams[Match-B],ResultsTeams[Stage],"Groups",ResultsTeams[Team B],AJ194))</f>
        <v/>
      </c>
      <c r="BA194" s="356" t="str">
        <f>IF(OR(AI193="",AJ194=""),"",SUMIFS(ResultsTeams[Match-B],ResultsTeams[Stage],"Groups",ResultsTeams[Team A],AJ194)+SUMIFS(ResultsTeams[Match-A],ResultsTeams[Stage],"Groups",ResultsTeams[Team B],AJ194))</f>
        <v/>
      </c>
      <c r="BB194" s="356" t="str">
        <f t="shared" si="160"/>
        <v/>
      </c>
      <c r="BC194" s="356" t="str">
        <f>IF(OR(AI193="",AJ194=""),"",SUMIFS(ResultsTeams[Goal-A],ResultsTeams[Stage],"Groups",ResultsTeams[Team A],AJ194)+SUMIFS(ResultsTeams[Goal-B],ResultsTeams[Stage],"Groups",ResultsTeams[Team B],AJ194))</f>
        <v/>
      </c>
      <c r="BD194" s="356" t="str">
        <f>IF(OR(AI193="",AJ194=""),"",SUMIFS(ResultsTeams[Goal-B],ResultsTeams[Stage],"Groups",ResultsTeams[Team A],AJ194)+SUMIFS(ResultsTeams[Goal-A],ResultsTeams[Stage],"Groups",ResultsTeams[Team B],AJ194))</f>
        <v/>
      </c>
      <c r="BE194" s="357" t="str">
        <f>IF(OR(AI188="",AJ194=""),"",BC194-BD194)</f>
        <v/>
      </c>
      <c r="BF194" s="470" t="str">
        <f>IF(AM194="","",OR(VLOOKUP(AM194,AN189:BE195,3,FALSE),VLOOKUP(AM194,AN189:BE195,6,FALSE)))</f>
        <v/>
      </c>
      <c r="BG194" s="298" t="str">
        <f t="shared" si="159"/>
        <v/>
      </c>
      <c r="BH194" s="285" t="str">
        <f>IF(AM194="","",INDEX(AJ189:AJ195,MATCH(AM194,AN189:AN195,0)))</f>
        <v/>
      </c>
      <c r="BI194" s="286" t="str">
        <f>IF(AM194="","",VLOOKUP(AM194,AN189:BE195,COLUMN()-COLUMN(BB188),FALSE))</f>
        <v/>
      </c>
      <c r="BJ194" s="286" t="str">
        <f>IF(AM194="","",VLOOKUP(AM194,AN189:BE195,COLUMN()-COLUMN(BB188),FALSE))</f>
        <v/>
      </c>
      <c r="BK194" s="286" t="str">
        <f>IF(AM194="","",VLOOKUP(AM194,AN189:BE195,COLUMN()-COLUMN(BB188),FALSE))</f>
        <v/>
      </c>
      <c r="BL194" s="286" t="str">
        <f>IF(AM194="","",VLOOKUP(AM194,AN189:BE195,COLUMN()-COLUMN(BB188),FALSE))</f>
        <v/>
      </c>
      <c r="BM194" s="286" t="str">
        <f>IF(AM194="","",VLOOKUP(AM194,AN189:BE195,COLUMN()-COLUMN(BB188),FALSE))</f>
        <v/>
      </c>
      <c r="BN194" s="349" t="str">
        <f>IF(AM194="","",VLOOKUP(AM194,AN189:BE195,COLUMN()-COLUMN(BB188),FALSE))</f>
        <v/>
      </c>
      <c r="BO194" s="298" t="str">
        <f>IF(AM194="","",VLOOKUP(AM194,AN189:BE195,COLUMN()-COLUMN(BB188),FALSE))</f>
        <v/>
      </c>
      <c r="BP194" s="286" t="str">
        <f>IF(AM194="","",VLOOKUP(AM194,AN189:BE195,COLUMN()-COLUMN(BB188),FALSE))</f>
        <v/>
      </c>
      <c r="BQ194" s="301" t="str">
        <f>IF(AM194="","",VLOOKUP(AM194,AN189:BE195,COLUMN()-COLUMN(BB188),FALSE))</f>
        <v/>
      </c>
      <c r="BR194" s="352" t="str">
        <f>IF(AM194="","",VLOOKUP(AM194,AN189:BE195,COLUMN()-COLUMN(BB188),FALSE))</f>
        <v/>
      </c>
      <c r="BS194" s="286" t="str">
        <f>IF(AM194="","",VLOOKUP(AM194,AN189:BE195,COLUMN()-COLUMN(BB188),FALSE))</f>
        <v/>
      </c>
      <c r="BT194" s="301" t="str">
        <f>IF(AM194="","",VLOOKUP(AM194,AN189:BE195,COLUMN()-COLUMN(BB188),FALSE))</f>
        <v/>
      </c>
    </row>
    <row r="195" spans="1:72" ht="12" thickBot="1" x14ac:dyDescent="0.25">
      <c r="A195" s="60"/>
      <c r="B195" s="280"/>
      <c r="C195" s="60"/>
      <c r="D195" s="60"/>
      <c r="E195" s="240" t="s">
        <v>12231</v>
      </c>
      <c r="F195" s="244" t="s">
        <v>10282</v>
      </c>
      <c r="G195" s="244" t="s">
        <v>11636</v>
      </c>
      <c r="H195" s="253">
        <v>3</v>
      </c>
      <c r="I195" s="253">
        <v>0</v>
      </c>
      <c r="J195" s="253"/>
      <c r="K195" s="362"/>
      <c r="L195" s="362"/>
      <c r="M195" s="245"/>
      <c r="N195" s="265" t="b">
        <f>NOT(ISERROR(ResultsTeams[[#This Row],[Goal-A]]+ResultsTeams[[#This Row],[Goal-B]]))</f>
        <v>1</v>
      </c>
      <c r="O195" s="265">
        <f>IF(ResultsTeams[[#This Row],[Type]]="G",SUM(O196:O199),IF(LEFT(ResultsTeams[[#This Row],[Type]],1)="P",IF(ResultsTeams[[#This Row],[Goal-A]]&gt;ResultsTeams[[#This Row],[Goal-B]],1,0),""))</f>
        <v>1</v>
      </c>
      <c r="P195" s="265">
        <f>IF(ResultsTeams[[#This Row],[Type]]="G",SUM(P196:P199),IF(LEFT(ResultsTeams[[#This Row],[Type]],1)="P",IF(ResultsTeams[[#This Row],[Goal-A]]&lt;ResultsTeams[[#This Row],[Goal-B]],1,0),""))</f>
        <v>0</v>
      </c>
      <c r="Q195" s="265">
        <f>IF(ResultsTeams[[#This Row],[Type]]="G",SUM(Q196:Q199),IF(LEFT(ResultsTeams[[#This Row],[Type]],1)="P",VALUE(ResultsTeams[[#This Row],[Score-A]]),""))</f>
        <v>3</v>
      </c>
      <c r="R195" s="265">
        <f>IF(ResultsTeams[[#This Row],[Type]]="G",SUM(R196:R199),IF(LEFT(ResultsTeams[[#This Row],[Type]],1)="P",VALUE(ResultsTeams[[#This Row],[Score-B]]),""))</f>
        <v>0</v>
      </c>
      <c r="S195" s="265" t="str">
        <f ca="1">IF(AND(ResultsTeams[[#This Row],[Category]]&lt;&gt;"",ResultsTeams[[#This Row],[Team A]]&lt;&gt;""),COUNTIF(INDIRECT("TeamsList[Club Name]"),ResultsTeams[[#This Row],[Team A]]),"")</f>
        <v/>
      </c>
      <c r="T195" s="265" t="str">
        <f ca="1">IF(AND(ResultsTeams[[#This Row],[Category]]&lt;&gt;"",ResultsTeams[[#This Row],[Team B]]&lt;&gt;""),COUNTIF(INDIRECT("TeamsList[Club Name]"),ResultsTeams[[#This Row],[Team B]]),"")</f>
        <v/>
      </c>
      <c r="U1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-Andrea Bolognino</v>
      </c>
      <c r="V195" s="265" t="str">
        <f>IF(ResultsTeams[[#This Row],[Score_OK]],IF(ResultsTeams[[#This Row],[StageCpy]]="Groups",ResultsTeams[[#This Row],[Category]]&amp;"-"&amp;IF(ResultsTeams[[#This Row],[Team B]]="","",IF(ResultsTeams[[#This Row],[Match-A]]=ResultsTeams[[#This Row],[Match-B]],ResultsTeams[[#This Row],[Team A]],"")),""),"")</f>
        <v>-</v>
      </c>
      <c r="W195" s="265" t="str">
        <f>IF(ResultsTeams[[#This Row],[Score_OK]],IF(ResultsTeams[[#This Row],[StageCpy]]="Groups",ResultsTeams[[#This Row],[Category]]&amp;"-"&amp;IF(ResultsTeams[[#This Row],[Team B]]="","",IF(ResultsTeams[[#This Row],[Match-A]]=ResultsTeams[[#This Row],[Match-B]],ResultsTeams[[#This Row],[Team B]],"")),""),"")</f>
        <v>-</v>
      </c>
      <c r="X1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 Pereira</v>
      </c>
      <c r="Y1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5" s="264" t="str">
        <f>IF(ResultsTeams[[#This Row],[Category]]="","",VLOOKUP(ResultsTeams[[#This Row],[Stage]],$R$1:$T$8,MATCH(ResultsTeams[[#This Row],[Category]],$S$1:$T$1,0)+1,FALSE))</f>
        <v/>
      </c>
      <c r="AC1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5" s="264" t="str">
        <f>IF(ResultsTeams[[#This Row],[Type]]="G",ResultsTeams[[#This Row],[Stage]],AD194)</f>
        <v>Groups</v>
      </c>
      <c r="AE195" s="395" t="str">
        <f>IF(ResultsTeams[[#This Row],[Type]]="G",INDEX(TeamsList[Club Name],MATCH(ResultsTeams[[#This Row],[Team A]],TeamsList[Team Name],0)),AE194)</f>
        <v>CCT Eagles Napoli</v>
      </c>
      <c r="AF195" s="395" t="str">
        <f>IF(ResultsTeams[[#This Row],[Type]]="G",INDEX(TeamsList[Club Name],MATCH(ResultsTeams[[#This Row],[Team B]],TeamsList[Team Name],0)),AF194)</f>
        <v>Kent Invicta TFC</v>
      </c>
      <c r="AG195" s="265"/>
      <c r="AI195" s="12">
        <f t="shared" si="161"/>
        <v>0</v>
      </c>
      <c r="AJ195" s="312"/>
      <c r="AK195" s="313"/>
      <c r="AL195" s="314"/>
      <c r="AM195" s="294" t="str">
        <f>IF(AV195="","",SMALL(AN189:AN195,ROWS(AM189:AM195)))</f>
        <v/>
      </c>
      <c r="AN195" s="295" t="str">
        <f>IF(AV195="","",RANK(AR195,AR189:AR195)*1000+ROWS(AN189:AN195))</f>
        <v/>
      </c>
      <c r="AO195" s="318" t="str">
        <f t="shared" si="154"/>
        <v/>
      </c>
      <c r="AP195" s="416" t="b">
        <f>AND(AU195&lt;&gt;"",AU195&gt;0,COUNTIF(AO189:AO195,AO195)&gt;1)</f>
        <v>0</v>
      </c>
      <c r="AQ195" s="318" t="str">
        <f t="shared" si="155"/>
        <v/>
      </c>
      <c r="AR195" s="319" t="str">
        <f t="shared" si="156"/>
        <v/>
      </c>
      <c r="AS195" s="416" t="b">
        <f>AND(AU195&lt;&gt;"",AU195&gt;0,COUNTIF(AR189:AR195,AR195)&gt;1)</f>
        <v>0</v>
      </c>
      <c r="AT195" s="358" t="str">
        <f t="shared" si="157"/>
        <v/>
      </c>
      <c r="AU195" s="359" t="str">
        <f t="shared" si="158"/>
        <v/>
      </c>
      <c r="AV195" s="359" t="str">
        <f>IF(OR(AI188="",AJ195=""),"",COUNTIF(ResultsTeams[Win],AI188&amp;"-"&amp;AJ195))</f>
        <v/>
      </c>
      <c r="AW195" s="359" t="str">
        <f>IF(OR(AI188="",AJ195=""),"",COUNTIF(ResultsTeams[[Draw1]:[Draw2]],AI188&amp;"-"&amp;AJ195))</f>
        <v/>
      </c>
      <c r="AX195" s="359" t="str">
        <f>IF(OR(AI188="",AJ195=""),"",COUNTIF(ResultsTeams[Lose],AI188&amp;"-"&amp;AJ195))</f>
        <v/>
      </c>
      <c r="AY195" s="359" t="str">
        <f>IF(OR(AI188="",AJ195=""),"",AV195-AX195)</f>
        <v/>
      </c>
      <c r="AZ195" s="359" t="str">
        <f>IF(OR(AI194="",AJ195=""),"",SUMIFS(ResultsTeams[Match-A],ResultsTeams[Stage],"Groups",ResultsTeams[Team A],AJ195)+SUMIFS(ResultsTeams[Match-B],ResultsTeams[Stage],"Groups",ResultsTeams[Team B],AJ195))</f>
        <v/>
      </c>
      <c r="BA195" s="359" t="str">
        <f>IF(OR(AI194="",AJ195=""),"",SUMIFS(ResultsTeams[Match-B],ResultsTeams[Stage],"Groups",ResultsTeams[Team A],AJ195)+SUMIFS(ResultsTeams[Match-A],ResultsTeams[Stage],"Groups",ResultsTeams[Team B],AJ195))</f>
        <v/>
      </c>
      <c r="BB195" s="359" t="str">
        <f t="shared" si="160"/>
        <v/>
      </c>
      <c r="BC195" s="359" t="str">
        <f>IF(OR(AI194="",AJ195=""),"",SUMIFS(ResultsTeams[Goal-A],ResultsTeams[Stage],"Groups",ResultsTeams[Team A],AJ195)+SUMIFS(ResultsTeams[Goal-B],ResultsTeams[Stage],"Groups",ResultsTeams[Team B],AJ195))</f>
        <v/>
      </c>
      <c r="BD195" s="359" t="str">
        <f>IF(OR(AI194="",AJ195=""),"",SUMIFS(ResultsTeams[Goal-B],ResultsTeams[Stage],"Groups",ResultsTeams[Team A],AJ195)+SUMIFS(ResultsTeams[Goal-A],ResultsTeams[Stage],"Groups",ResultsTeams[Team B],AJ195))</f>
        <v/>
      </c>
      <c r="BE195" s="360" t="str">
        <f>IF(OR(AI188="",AJ195=""),"",BC195-BD195)</f>
        <v/>
      </c>
      <c r="BF195" s="470" t="str">
        <f>IF(AM195="","",OR(VLOOKUP(AM195,AN189:BE195,3,FALSE),VLOOKUP(AM195,AN189:BE195,6,FALSE)))</f>
        <v/>
      </c>
      <c r="BG195" s="299" t="str">
        <f t="shared" si="159"/>
        <v/>
      </c>
      <c r="BH195" s="287" t="str">
        <f>IF(AM195="","",INDEX(AJ189:AJ195,MATCH(AM195,AN189:AN195,0)))</f>
        <v/>
      </c>
      <c r="BI195" s="288" t="str">
        <f>IF(AM195="","",VLOOKUP(AM195,AN189:BE195,COLUMN()-COLUMN(BB188),FALSE))</f>
        <v/>
      </c>
      <c r="BJ195" s="288" t="str">
        <f>IF(AM195="","",VLOOKUP(AM195,AN189:BE195,COLUMN()-COLUMN(BB188),FALSE))</f>
        <v/>
      </c>
      <c r="BK195" s="288" t="str">
        <f>IF(AM195="","",VLOOKUP(AM195,AN189:BE195,COLUMN()-COLUMN(BB188),FALSE))</f>
        <v/>
      </c>
      <c r="BL195" s="288" t="str">
        <f>IF(AM195="","",VLOOKUP(AM195,AN189:BE195,COLUMN()-COLUMN(BB188),FALSE))</f>
        <v/>
      </c>
      <c r="BM195" s="288" t="str">
        <f>IF(AM195="","",VLOOKUP(AM195,AN189:BE195,COLUMN()-COLUMN(BB188),FALSE))</f>
        <v/>
      </c>
      <c r="BN195" s="350" t="str">
        <f>IF(AM195="","",VLOOKUP(AM195,AN189:BE195,COLUMN()-COLUMN(BB188),FALSE))</f>
        <v/>
      </c>
      <c r="BO195" s="299" t="str">
        <f>IF(AM195="","",VLOOKUP(AM195,AN189:BE195,COLUMN()-COLUMN(BB188),FALSE))</f>
        <v/>
      </c>
      <c r="BP195" s="288" t="str">
        <f>IF(AM195="","",VLOOKUP(AM195,AN189:BE195,COLUMN()-COLUMN(BB188),FALSE))</f>
        <v/>
      </c>
      <c r="BQ195" s="302" t="str">
        <f>IF(AM195="","",VLOOKUP(AM195,AN189:BE195,COLUMN()-COLUMN(BB188),FALSE))</f>
        <v/>
      </c>
      <c r="BR195" s="353" t="str">
        <f>IF(AM195="","",VLOOKUP(AM195,AN189:BE195,COLUMN()-COLUMN(BB188),FALSE))</f>
        <v/>
      </c>
      <c r="BS195" s="288" t="str">
        <f>IF(AM195="","",VLOOKUP(AM195,AN189:BE195,COLUMN()-COLUMN(BB188),FALSE))</f>
        <v/>
      </c>
      <c r="BT195" s="302" t="str">
        <f>IF(AM195="","",VLOOKUP(AM195,AN189:BE195,COLUMN()-COLUMN(BB188),FALSE))</f>
        <v/>
      </c>
    </row>
    <row r="196" spans="1:72" ht="12" thickBot="1" x14ac:dyDescent="0.25">
      <c r="A196" s="62"/>
      <c r="B196" s="280"/>
      <c r="C196" s="62"/>
      <c r="D196" s="62"/>
      <c r="E196" s="241" t="s">
        <v>12234</v>
      </c>
      <c r="F196" s="246" t="s">
        <v>10088</v>
      </c>
      <c r="G196" s="246" t="s">
        <v>8513</v>
      </c>
      <c r="H196" s="254">
        <v>8</v>
      </c>
      <c r="I196" s="254">
        <v>0</v>
      </c>
      <c r="J196" s="254"/>
      <c r="K196" s="363"/>
      <c r="L196" s="363"/>
      <c r="M196" s="247"/>
      <c r="N196" s="265" t="b">
        <f>NOT(ISERROR(ResultsTeams[[#This Row],[Goal-A]]+ResultsTeams[[#This Row],[Goal-B]]))</f>
        <v>1</v>
      </c>
      <c r="O196" s="265">
        <f>IF(ResultsTeams[[#This Row],[Type]]="G",SUM(O197:O200),IF(LEFT(ResultsTeams[[#This Row],[Type]],1)="P",IF(ResultsTeams[[#This Row],[Goal-A]]&gt;ResultsTeams[[#This Row],[Goal-B]],1,0),""))</f>
        <v>1</v>
      </c>
      <c r="P196" s="265">
        <f>IF(ResultsTeams[[#This Row],[Type]]="G",SUM(P197:P200),IF(LEFT(ResultsTeams[[#This Row],[Type]],1)="P",IF(ResultsTeams[[#This Row],[Goal-A]]&lt;ResultsTeams[[#This Row],[Goal-B]],1,0),""))</f>
        <v>0</v>
      </c>
      <c r="Q196" s="265">
        <f>IF(ResultsTeams[[#This Row],[Type]]="G",SUM(Q197:Q200),IF(LEFT(ResultsTeams[[#This Row],[Type]],1)="P",VALUE(ResultsTeams[[#This Row],[Score-A]]),""))</f>
        <v>8</v>
      </c>
      <c r="R196" s="265">
        <f>IF(ResultsTeams[[#This Row],[Type]]="G",SUM(R197:R200),IF(LEFT(ResultsTeams[[#This Row],[Type]],1)="P",VALUE(ResultsTeams[[#This Row],[Score-B]]),""))</f>
        <v>0</v>
      </c>
      <c r="S196" s="265" t="str">
        <f ca="1">IF(AND(ResultsTeams[[#This Row],[Category]]&lt;&gt;"",ResultsTeams[[#This Row],[Team A]]&lt;&gt;""),COUNTIF(INDIRECT("TeamsList[Club Name]"),ResultsTeams[[#This Row],[Team A]]),"")</f>
        <v/>
      </c>
      <c r="T196" s="265" t="str">
        <f ca="1">IF(AND(ResultsTeams[[#This Row],[Category]]&lt;&gt;"",ResultsTeams[[#This Row],[Team B]]&lt;&gt;""),COUNTIF(INDIRECT("TeamsList[Club Name]"),ResultsTeams[[#This Row],[Team B]]),"")</f>
        <v/>
      </c>
      <c r="U1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-Luigi Di Vito</v>
      </c>
      <c r="V196" s="265" t="str">
        <f>IF(ResultsTeams[[#This Row],[Score_OK]],IF(ResultsTeams[[#This Row],[StageCpy]]="Groups",ResultsTeams[[#This Row],[Category]]&amp;"-"&amp;IF(ResultsTeams[[#This Row],[Team B]]="","",IF(ResultsTeams[[#This Row],[Match-A]]=ResultsTeams[[#This Row],[Match-B]],ResultsTeams[[#This Row],[Team A]],"")),""),"")</f>
        <v>-</v>
      </c>
      <c r="W196" s="265" t="str">
        <f>IF(ResultsTeams[[#This Row],[Score_OK]],IF(ResultsTeams[[#This Row],[StageCpy]]="Groups",ResultsTeams[[#This Row],[Category]]&amp;"-"&amp;IF(ResultsTeams[[#This Row],[Team B]]="","",IF(ResultsTeams[[#This Row],[Match-A]]=ResultsTeams[[#This Row],[Match-B]],ResultsTeams[[#This Row],[Team B]],"")),""),"")</f>
        <v>-</v>
      </c>
      <c r="X1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-Kye Arnold</v>
      </c>
      <c r="Y1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6" s="264" t="str">
        <f>IF(ResultsTeams[[#This Row],[Category]]="","",VLOOKUP(ResultsTeams[[#This Row],[Stage]],$R$1:$T$8,MATCH(ResultsTeams[[#This Row],[Category]],$S$1:$T$1,0)+1,FALSE))</f>
        <v/>
      </c>
      <c r="AC1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6" s="264" t="str">
        <f>IF(ResultsTeams[[#This Row],[Type]]="G",ResultsTeams[[#This Row],[Stage]],AD195)</f>
        <v>Groups</v>
      </c>
      <c r="AE196" s="395" t="str">
        <f>IF(ResultsTeams[[#This Row],[Type]]="G",INDEX(TeamsList[Club Name],MATCH(ResultsTeams[[#This Row],[Team A]],TeamsList[Team Name],0)),AE195)</f>
        <v>CCT Eagles Napoli</v>
      </c>
      <c r="AF196" s="395" t="str">
        <f>IF(ResultsTeams[[#This Row],[Type]]="G",INDEX(TeamsList[Club Name],MATCH(ResultsTeams[[#This Row],[Team B]],TeamsList[Team Name],0)),AF195)</f>
        <v>Kent Invicta TFC</v>
      </c>
      <c r="AG196" s="265"/>
    </row>
    <row r="197" spans="1:72" ht="12" thickBot="1" x14ac:dyDescent="0.25">
      <c r="A197" s="62"/>
      <c r="B197" s="280"/>
      <c r="C197" s="62"/>
      <c r="D197" s="62"/>
      <c r="E197" s="241" t="s">
        <v>12237</v>
      </c>
      <c r="F197" s="246" t="s">
        <v>8089</v>
      </c>
      <c r="G197" s="246" t="s">
        <v>8107</v>
      </c>
      <c r="H197" s="254">
        <v>5</v>
      </c>
      <c r="I197" s="254">
        <v>1</v>
      </c>
      <c r="J197" s="254"/>
      <c r="K197" s="363"/>
      <c r="L197" s="363"/>
      <c r="M197" s="247"/>
      <c r="N197" s="265" t="b">
        <f>NOT(ISERROR(ResultsTeams[[#This Row],[Goal-A]]+ResultsTeams[[#This Row],[Goal-B]]))</f>
        <v>1</v>
      </c>
      <c r="O197" s="265">
        <f>IF(ResultsTeams[[#This Row],[Type]]="G",SUM(O198:O201),IF(LEFT(ResultsTeams[[#This Row],[Type]],1)="P",IF(ResultsTeams[[#This Row],[Goal-A]]&gt;ResultsTeams[[#This Row],[Goal-B]],1,0),""))</f>
        <v>1</v>
      </c>
      <c r="P197" s="265">
        <f>IF(ResultsTeams[[#This Row],[Type]]="G",SUM(P198:P201),IF(LEFT(ResultsTeams[[#This Row],[Type]],1)="P",IF(ResultsTeams[[#This Row],[Goal-A]]&lt;ResultsTeams[[#This Row],[Goal-B]],1,0),""))</f>
        <v>0</v>
      </c>
      <c r="Q197" s="265">
        <f>IF(ResultsTeams[[#This Row],[Type]]="G",SUM(Q198:Q201),IF(LEFT(ResultsTeams[[#This Row],[Type]],1)="P",VALUE(ResultsTeams[[#This Row],[Score-A]]),""))</f>
        <v>5</v>
      </c>
      <c r="R197" s="265">
        <f>IF(ResultsTeams[[#This Row],[Type]]="G",SUM(R198:R201),IF(LEFT(ResultsTeams[[#This Row],[Type]],1)="P",VALUE(ResultsTeams[[#This Row],[Score-B]]),""))</f>
        <v>1</v>
      </c>
      <c r="S197" s="265" t="str">
        <f ca="1">IF(AND(ResultsTeams[[#This Row],[Category]]&lt;&gt;"",ResultsTeams[[#This Row],[Team A]]&lt;&gt;""),COUNTIF(INDIRECT("TeamsList[Club Name]"),ResultsTeams[[#This Row],[Team A]]),"")</f>
        <v/>
      </c>
      <c r="T197" s="265" t="str">
        <f ca="1">IF(AND(ResultsTeams[[#This Row],[Category]]&lt;&gt;"",ResultsTeams[[#This Row],[Team B]]&lt;&gt;""),COUNTIF(INDIRECT("TeamsList[Club Name]"),ResultsTeams[[#This Row],[Team B]]),"")</f>
        <v/>
      </c>
      <c r="U1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Dheur</v>
      </c>
      <c r="V197" s="265" t="str">
        <f>IF(ResultsTeams[[#This Row],[Score_OK]],IF(ResultsTeams[[#This Row],[StageCpy]]="Groups",ResultsTeams[[#This Row],[Category]]&amp;"-"&amp;IF(ResultsTeams[[#This Row],[Team B]]="","",IF(ResultsTeams[[#This Row],[Match-A]]=ResultsTeams[[#This Row],[Match-B]],ResultsTeams[[#This Row],[Team A]],"")),""),"")</f>
        <v>-</v>
      </c>
      <c r="W197" s="265" t="str">
        <f>IF(ResultsTeams[[#This Row],[Score_OK]],IF(ResultsTeams[[#This Row],[StageCpy]]="Groups",ResultsTeams[[#This Row],[Category]]&amp;"-"&amp;IF(ResultsTeams[[#This Row],[Team B]]="","",IF(ResultsTeams[[#This Row],[Match-A]]=ResultsTeams[[#This Row],[Match-B]],ResultsTeams[[#This Row],[Team B]],"")),""),"")</f>
        <v>-</v>
      </c>
      <c r="X1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-Stéphane Lambert</v>
      </c>
      <c r="Y1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7" s="264" t="str">
        <f>IF(ResultsTeams[[#This Row],[Category]]="","",VLOOKUP(ResultsTeams[[#This Row],[Stage]],$R$1:$T$8,MATCH(ResultsTeams[[#This Row],[Category]],$S$1:$T$1,0)+1,FALSE))</f>
        <v/>
      </c>
      <c r="AC1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7" s="264" t="str">
        <f>IF(ResultsTeams[[#This Row],[Type]]="G",ResultsTeams[[#This Row],[Stage]],AD196)</f>
        <v>Groups</v>
      </c>
      <c r="AE197" s="395" t="str">
        <f>IF(ResultsTeams[[#This Row],[Type]]="G",INDEX(TeamsList[Club Name],MATCH(ResultsTeams[[#This Row],[Team A]],TeamsList[Team Name],0)),AE196)</f>
        <v>CCT Eagles Napoli</v>
      </c>
      <c r="AF197" s="395" t="str">
        <f>IF(ResultsTeams[[#This Row],[Type]]="G",INDEX(TeamsList[Club Name],MATCH(ResultsTeams[[#This Row],[Team B]],TeamsList[Team Name],0)),AF196)</f>
        <v>Kent Invicta TFC</v>
      </c>
      <c r="AG197" s="265"/>
      <c r="AH197" s="281">
        <v>4</v>
      </c>
      <c r="AI197" s="315" t="s">
        <v>12693</v>
      </c>
      <c r="AJ197" s="289" t="s">
        <v>14438</v>
      </c>
      <c r="AK197" s="290" t="s">
        <v>12279</v>
      </c>
      <c r="AL197" s="300" t="s">
        <v>12275</v>
      </c>
      <c r="AM197" s="296" t="s">
        <v>12276</v>
      </c>
      <c r="AN197" s="291" t="s">
        <v>12271</v>
      </c>
      <c r="AO197" s="291" t="s">
        <v>12272</v>
      </c>
      <c r="AP197" s="414" t="s">
        <v>13154</v>
      </c>
      <c r="AQ197" s="291" t="s">
        <v>12273</v>
      </c>
      <c r="AR197" s="297" t="s">
        <v>12274</v>
      </c>
      <c r="AS197" s="414" t="s">
        <v>13154</v>
      </c>
      <c r="AT197" s="296" t="s">
        <v>12199</v>
      </c>
      <c r="AU197" s="291" t="s">
        <v>12200</v>
      </c>
      <c r="AV197" s="291" t="s">
        <v>12201</v>
      </c>
      <c r="AW197" s="291" t="s">
        <v>12202</v>
      </c>
      <c r="AX197" s="291" t="s">
        <v>12203</v>
      </c>
      <c r="AY197" s="291" t="s">
        <v>12697</v>
      </c>
      <c r="AZ197" s="291" t="s">
        <v>12698</v>
      </c>
      <c r="BA197" s="291" t="s">
        <v>12699</v>
      </c>
      <c r="BB197" s="291" t="s">
        <v>12700</v>
      </c>
      <c r="BC197" s="291" t="s">
        <v>12204</v>
      </c>
      <c r="BD197" s="291" t="s">
        <v>12205</v>
      </c>
      <c r="BE197" s="297" t="s">
        <v>12206</v>
      </c>
      <c r="BF197" s="395"/>
      <c r="BG197" s="282" t="s">
        <v>12276</v>
      </c>
      <c r="BH197" s="282" t="s">
        <v>12133</v>
      </c>
      <c r="BI197" s="283" t="s">
        <v>12199</v>
      </c>
      <c r="BJ197" s="283" t="s">
        <v>12200</v>
      </c>
      <c r="BK197" s="283" t="s">
        <v>12201</v>
      </c>
      <c r="BL197" s="283" t="s">
        <v>12202</v>
      </c>
      <c r="BM197" s="283" t="s">
        <v>12203</v>
      </c>
      <c r="BN197" s="290" t="s">
        <v>12697</v>
      </c>
      <c r="BO197" s="354" t="s">
        <v>12698</v>
      </c>
      <c r="BP197" s="283" t="s">
        <v>12699</v>
      </c>
      <c r="BQ197" s="300" t="s">
        <v>12700</v>
      </c>
      <c r="BR197" s="351" t="s">
        <v>12204</v>
      </c>
      <c r="BS197" s="283" t="s">
        <v>12205</v>
      </c>
      <c r="BT197" s="300" t="s">
        <v>12206</v>
      </c>
    </row>
    <row r="198" spans="1:72" x14ac:dyDescent="0.2">
      <c r="A198" s="62"/>
      <c r="B198" s="280"/>
      <c r="C198" s="62"/>
      <c r="D198" s="62"/>
      <c r="E198" s="241" t="s">
        <v>12240</v>
      </c>
      <c r="F198" s="246" t="s">
        <v>9827</v>
      </c>
      <c r="G198" s="246" t="s">
        <v>8547</v>
      </c>
      <c r="H198" s="254">
        <v>9</v>
      </c>
      <c r="I198" s="254">
        <v>2</v>
      </c>
      <c r="J198" s="254"/>
      <c r="K198" s="363"/>
      <c r="L198" s="363"/>
      <c r="M198" s="247"/>
      <c r="N198" s="265" t="b">
        <f>NOT(ISERROR(ResultsTeams[[#This Row],[Goal-A]]+ResultsTeams[[#This Row],[Goal-B]]))</f>
        <v>1</v>
      </c>
      <c r="O198" s="265">
        <f>IF(ResultsTeams[[#This Row],[Type]]="G",SUM(O199:O202),IF(LEFT(ResultsTeams[[#This Row],[Type]],1)="P",IF(ResultsTeams[[#This Row],[Goal-A]]&gt;ResultsTeams[[#This Row],[Goal-B]],1,0),""))</f>
        <v>1</v>
      </c>
      <c r="P198" s="265">
        <f>IF(ResultsTeams[[#This Row],[Type]]="G",SUM(P199:P202),IF(LEFT(ResultsTeams[[#This Row],[Type]],1)="P",IF(ResultsTeams[[#This Row],[Goal-A]]&lt;ResultsTeams[[#This Row],[Goal-B]],1,0),""))</f>
        <v>0</v>
      </c>
      <c r="Q198" s="265">
        <f>IF(ResultsTeams[[#This Row],[Type]]="G",SUM(Q199:Q202),IF(LEFT(ResultsTeams[[#This Row],[Type]],1)="P",VALUE(ResultsTeams[[#This Row],[Score-A]]),""))</f>
        <v>9</v>
      </c>
      <c r="R198" s="265">
        <f>IF(ResultsTeams[[#This Row],[Type]]="G",SUM(R199:R202),IF(LEFT(ResultsTeams[[#This Row],[Type]],1)="P",VALUE(ResultsTeams[[#This Row],[Score-B]]),""))</f>
        <v>2</v>
      </c>
      <c r="S198" s="265" t="str">
        <f ca="1">IF(AND(ResultsTeams[[#This Row],[Category]]&lt;&gt;"",ResultsTeams[[#This Row],[Team A]]&lt;&gt;""),COUNTIF(INDIRECT("TeamsList[Club Name]"),ResultsTeams[[#This Row],[Team A]]),"")</f>
        <v/>
      </c>
      <c r="T198" s="265" t="str">
        <f ca="1">IF(AND(ResultsTeams[[#This Row],[Category]]&lt;&gt;"",ResultsTeams[[#This Row],[Team B]]&lt;&gt;""),COUNTIF(INDIRECT("TeamsList[Club Name]"),ResultsTeams[[#This Row],[Team B]]),"")</f>
        <v/>
      </c>
      <c r="U1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Mettivieri</v>
      </c>
      <c r="V198" s="265" t="str">
        <f>IF(ResultsTeams[[#This Row],[Score_OK]],IF(ResultsTeams[[#This Row],[StageCpy]]="Groups",ResultsTeams[[#This Row],[Category]]&amp;"-"&amp;IF(ResultsTeams[[#This Row],[Team B]]="","",IF(ResultsTeams[[#This Row],[Match-A]]=ResultsTeams[[#This Row],[Match-B]],ResultsTeams[[#This Row],[Team A]],"")),""),"")</f>
        <v>-</v>
      </c>
      <c r="W198" s="265" t="str">
        <f>IF(ResultsTeams[[#This Row],[Score_OK]],IF(ResultsTeams[[#This Row],[StageCpy]]="Groups",ResultsTeams[[#This Row],[Category]]&amp;"-"&amp;IF(ResultsTeams[[#This Row],[Team B]]="","",IF(ResultsTeams[[#This Row],[Match-A]]=ResultsTeams[[#This Row],[Match-B]],ResultsTeams[[#This Row],[Team B]],"")),""),"")</f>
        <v>-</v>
      </c>
      <c r="X1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-Jason Christopher</v>
      </c>
      <c r="Y1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8" s="264" t="str">
        <f>IF(ResultsTeams[[#This Row],[Category]]="","",VLOOKUP(ResultsTeams[[#This Row],[Stage]],$R$1:$T$8,MATCH(ResultsTeams[[#This Row],[Category]],$S$1:$T$1,0)+1,FALSE))</f>
        <v/>
      </c>
      <c r="AC1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8" s="264" t="str">
        <f>IF(ResultsTeams[[#This Row],[Type]]="G",ResultsTeams[[#This Row],[Stage]],AD197)</f>
        <v>Groups</v>
      </c>
      <c r="AE198" s="395" t="str">
        <f>IF(ResultsTeams[[#This Row],[Type]]="G",INDEX(TeamsList[Club Name],MATCH(ResultsTeams[[#This Row],[Team A]],TeamsList[Team Name],0)),AE197)</f>
        <v>CCT Eagles Napoli</v>
      </c>
      <c r="AF198" s="395" t="str">
        <f>IF(ResultsTeams[[#This Row],[Type]]="G",INDEX(TeamsList[Club Name],MATCH(ResultsTeams[[#This Row],[Team B]],TeamsList[Team Name],0)),AF197)</f>
        <v>Kent Invicta TFC</v>
      </c>
      <c r="AG198" s="265"/>
      <c r="AI198" s="12" t="str">
        <f>AI197</f>
        <v>TEAM</v>
      </c>
      <c r="AJ198" s="309" t="s">
        <v>201</v>
      </c>
      <c r="AK198" s="320"/>
      <c r="AL198" s="311"/>
      <c r="AM198" s="292">
        <f>IF(AV198="","",SMALL(AN198:AN204,ROWS(AM198:AM198)))</f>
        <v>1001</v>
      </c>
      <c r="AN198" s="293">
        <f>IF(AV198="","",RANK(AR198,AR198:AR204)*1000+ROWS(AN198:AN198))</f>
        <v>1001</v>
      </c>
      <c r="AO198" s="316">
        <f t="shared" ref="AO198:AO204" si="162">IF(AV198="","",AT198*CritClassEq1_Points+AY198*CritClassEq1_DiffRencontres+BB198*CritClassEq1_DiffMatches+BE198*CritClassEq1_DiffButs+AZ198*CritClassEq1_Matches+BC198*CritClassEq1_Attaque)</f>
        <v>177147000000000</v>
      </c>
      <c r="AP198" s="415" t="b">
        <f>AND(AU198&lt;&gt;"",AU198&gt;0,COUNTIF(AO198:AO204,AO198)&gt;1)</f>
        <v>0</v>
      </c>
      <c r="AQ198" s="316">
        <f t="shared" ref="AQ198:AQ204" si="163">IF(AV198="","",CritClassEq_DiffPart*AK198)</f>
        <v>0</v>
      </c>
      <c r="AR198" s="317">
        <f t="shared" ref="AR198:AR204" si="164">IF(AV198="","",AO198+AQ198+AT198*CritClassEq2_Points+AY198*CritClassEq2_DiffRencontres+BB198*CritClassEq2_DiffMatches+BE198*CritClassEq2_DiffButs+AZ198*CritClassEq2_Matches+BC198*CritClassEq2_Attaque+AL198)</f>
        <v>177147201691222</v>
      </c>
      <c r="AS198" s="415" t="b">
        <f>AND(AU198&lt;&gt;"",AU198&gt;0,COUNTIF(AR198:AR204,AR198)&gt;1)</f>
        <v>0</v>
      </c>
      <c r="AT198" s="355">
        <f t="shared" ref="AT198:AT204" si="165">IF(AV198="","",(AV198*Points_Victoire)+AW198*Points_Null)</f>
        <v>9</v>
      </c>
      <c r="AU198" s="356">
        <f t="shared" ref="AU198:AU204" si="166">IF(AV198="","",SUM(AV198:AX198))</f>
        <v>3</v>
      </c>
      <c r="AV198" s="356">
        <f>IF(OR(AI197="",AJ198=""),"",COUNTIF(ResultsTeams[Win],AI197&amp;"-"&amp;AJ198))</f>
        <v>3</v>
      </c>
      <c r="AW198" s="356">
        <f>IF(OR(AI197="",AJ198=""),"",COUNTIF(ResultsTeams[[Draw1]:[Draw2]],AI197&amp;"-"&amp;AJ198))</f>
        <v>0</v>
      </c>
      <c r="AX198" s="356">
        <f>IF(OR(AI197="",AJ198=""),"",COUNTIF(ResultsTeams[Lose],AI197&amp;"-"&amp;AJ198))</f>
        <v>0</v>
      </c>
      <c r="AY198" s="356">
        <f>IF(OR(AI197="",AJ198=""),"",AV198-AX198)</f>
        <v>3</v>
      </c>
      <c r="AZ198" s="356">
        <f>IF(OR(AI197="",AJ198=""),"",SUMIFS(ResultsTeams[Match-A],ResultsTeams[Stage],"Groups",ResultsTeams[Team A],AJ198)+SUMIFS(ResultsTeams[Match-B],ResultsTeams[Stage],"Groups",ResultsTeams[Team B],AJ198))</f>
        <v>9</v>
      </c>
      <c r="BA198" s="356">
        <f>IF(OR(AI197="",AJ198=""),"",SUMIFS(ResultsTeams[Match-B],ResultsTeams[Stage],"Groups",ResultsTeams[Team A],AJ198)+SUMIFS(ResultsTeams[Match-A],ResultsTeams[Stage],"Groups",ResultsTeams[Team B],AJ198))</f>
        <v>1</v>
      </c>
      <c r="BB198" s="356">
        <f>IF(OR(AI197="",AJ198=""),"",AZ198-BA198)</f>
        <v>8</v>
      </c>
      <c r="BC198" s="356">
        <f>IF(OR(AI197="",AJ198=""),"",SUMIFS(ResultsTeams[Goal-A],ResultsTeams[Stage],"Groups",ResultsTeams[Team A],AJ198)+SUMIFS(ResultsTeams[Goal-B],ResultsTeams[Stage],"Groups",ResultsTeams[Team B],AJ198))</f>
        <v>52</v>
      </c>
      <c r="BD198" s="356">
        <f>IF(OR(AI197="",AJ198=""),"",SUMIFS(ResultsTeams[Goal-B],ResultsTeams[Stage],"Groups",ResultsTeams[Team A],AJ198)+SUMIFS(ResultsTeams[Goal-A],ResultsTeams[Stage],"Groups",ResultsTeams[Team B],AJ198))</f>
        <v>13</v>
      </c>
      <c r="BE198" s="357">
        <f>IF(OR(AI197="",AJ198=""),"",BC198-BD198)</f>
        <v>39</v>
      </c>
      <c r="BF198" s="470" t="b">
        <f>IF(AM198="","",OR(VLOOKUP(AM198,AN198:BE204,3,FALSE),VLOOKUP(AM198,AN198:BE204,6,FALSE)))</f>
        <v>0</v>
      </c>
      <c r="BG198" s="298">
        <f t="shared" ref="BG198:BG204" si="167">IF(AM198="","",INT(AM198/1000))</f>
        <v>1</v>
      </c>
      <c r="BH198" s="285" t="str">
        <f>IF(AM198="","",INDEX(AJ198:AJ204,MATCH(AM198,AN198:AN204,0)))</f>
        <v>CCT Eagles Napoli</v>
      </c>
      <c r="BI198" s="286">
        <f>IF(AM198="","",VLOOKUP(AM198,AN198:BE204,COLUMN()-COLUMN(BB197),FALSE))</f>
        <v>9</v>
      </c>
      <c r="BJ198" s="286">
        <f>IF(AM198="","",VLOOKUP(AM198,AN198:BE204,COLUMN()-COLUMN(BB197),FALSE))</f>
        <v>3</v>
      </c>
      <c r="BK198" s="286">
        <f>IF(AM198="","",VLOOKUP(AM198,AN198:BE204,COLUMN()-COLUMN(BB197),FALSE))</f>
        <v>3</v>
      </c>
      <c r="BL198" s="286">
        <f>IF(AM198="","",VLOOKUP(AM198,AN198:BE204,COLUMN()-COLUMN(BB197),FALSE))</f>
        <v>0</v>
      </c>
      <c r="BM198" s="286">
        <f>IF(AM198="","",VLOOKUP(AM198,AN198:BE204,COLUMN()-COLUMN(BB197),FALSE))</f>
        <v>0</v>
      </c>
      <c r="BN198" s="349">
        <f>IF(AM198="","",VLOOKUP(AM198,AN198:BE204,COLUMN()-COLUMN(BB197),FALSE))</f>
        <v>3</v>
      </c>
      <c r="BO198" s="298">
        <f>IF(AM198="","",VLOOKUP(AM198,AN198:BE204,COLUMN()-COLUMN(BB197),FALSE))</f>
        <v>9</v>
      </c>
      <c r="BP198" s="286">
        <f>IF(AM198="","",VLOOKUP(AM198,AN198:BE204,COLUMN()-COLUMN(BB197),FALSE))</f>
        <v>1</v>
      </c>
      <c r="BQ198" s="301">
        <f>IF(AM198="","",VLOOKUP(AM198,AN198:BE204,COLUMN()-COLUMN(BB197),FALSE))</f>
        <v>8</v>
      </c>
      <c r="BR198" s="352">
        <f>IF(AM198="","",VLOOKUP(AM198,AN198:BE204,COLUMN()-COLUMN(BB197),FALSE))</f>
        <v>52</v>
      </c>
      <c r="BS198" s="286">
        <f>IF(AM198="","",VLOOKUP(AM198,AN198:BE204,COLUMN()-COLUMN(BB197),FALSE))</f>
        <v>13</v>
      </c>
      <c r="BT198" s="301">
        <f>IF(AM198="","",VLOOKUP(AM198,AN198:BE204,COLUMN()-COLUMN(BB197),FALSE))</f>
        <v>39</v>
      </c>
    </row>
    <row r="199" spans="1:72" x14ac:dyDescent="0.2">
      <c r="A199" s="62"/>
      <c r="B199" s="62"/>
      <c r="C199" s="62"/>
      <c r="D199" s="62"/>
      <c r="E199" s="241" t="s">
        <v>12243</v>
      </c>
      <c r="F199" s="247" t="s">
        <v>10089</v>
      </c>
      <c r="G199" s="247" t="s">
        <v>13241</v>
      </c>
      <c r="H199" s="254" t="s">
        <v>12243</v>
      </c>
      <c r="I199" s="254"/>
      <c r="J199" s="260"/>
      <c r="K199" s="364"/>
      <c r="L199" s="364"/>
      <c r="M199" s="247"/>
      <c r="N199" s="265" t="b">
        <f>NOT(ISERROR(ResultsTeams[[#This Row],[Goal-A]]+ResultsTeams[[#This Row],[Goal-B]]))</f>
        <v>0</v>
      </c>
      <c r="O199" s="265" t="str">
        <f>IF(ResultsTeams[[#This Row],[Type]]="G",SUM(O200:O203),IF(LEFT(ResultsTeams[[#This Row],[Type]],1)="P",IF(ResultsTeams[[#This Row],[Goal-A]]&gt;ResultsTeams[[#This Row],[Goal-B]],1,0),""))</f>
        <v/>
      </c>
      <c r="P199" s="265" t="str">
        <f>IF(ResultsTeams[[#This Row],[Type]]="G",SUM(P200:P203),IF(LEFT(ResultsTeams[[#This Row],[Type]],1)="P",IF(ResultsTeams[[#This Row],[Goal-A]]&lt;ResultsTeams[[#This Row],[Goal-B]],1,0),""))</f>
        <v/>
      </c>
      <c r="Q199" s="265" t="str">
        <f>IF(ResultsTeams[[#This Row],[Type]]="G",SUM(Q200:Q203),IF(LEFT(ResultsTeams[[#This Row],[Type]],1)="P",VALUE(ResultsTeams[[#This Row],[Score-A]]),""))</f>
        <v/>
      </c>
      <c r="R199" s="265" t="str">
        <f>IF(ResultsTeams[[#This Row],[Type]]="G",SUM(R200:R203),IF(LEFT(ResultsTeams[[#This Row],[Type]],1)="P",VALUE(ResultsTeams[[#This Row],[Score-B]]),""))</f>
        <v/>
      </c>
      <c r="S199" s="265" t="str">
        <f ca="1">IF(AND(ResultsTeams[[#This Row],[Category]]&lt;&gt;"",ResultsTeams[[#This Row],[Team A]]&lt;&gt;""),COUNTIF(INDIRECT("TeamsList[Club Name]"),ResultsTeams[[#This Row],[Team A]]),"")</f>
        <v/>
      </c>
      <c r="T199" s="265" t="str">
        <f ca="1">IF(AND(ResultsTeams[[#This Row],[Category]]&lt;&gt;"",ResultsTeams[[#This Row],[Team B]]&lt;&gt;""),COUNTIF(INDIRECT("TeamsList[Club Name]"),ResultsTeams[[#This Row],[Team B]]),"")</f>
        <v/>
      </c>
      <c r="U1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9" s="265" t="str">
        <f>IF(ResultsTeams[[#This Row],[Score_OK]],IF(ResultsTeams[[#This Row],[StageCpy]]="Groups",ResultsTeams[[#This Row],[Category]]&amp;"-"&amp;IF(ResultsTeams[[#This Row],[Team B]]="","",IF(ResultsTeams[[#This Row],[Match-A]]=ResultsTeams[[#This Row],[Match-B]],ResultsTeams[[#This Row],[Team A]],"")),""),"")</f>
        <v/>
      </c>
      <c r="W199" s="265" t="str">
        <f>IF(ResultsTeams[[#This Row],[Score_OK]],IF(ResultsTeams[[#This Row],[StageCpy]]="Groups",ResultsTeams[[#This Row],[Category]]&amp;"-"&amp;IF(ResultsTeams[[#This Row],[Team B]]="","",IF(ResultsTeams[[#This Row],[Match-A]]=ResultsTeams[[#This Row],[Match-B]],ResultsTeams[[#This Row],[Team B]],"")),""),"")</f>
        <v/>
      </c>
      <c r="X1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9" s="264" t="str">
        <f>IF(ResultsTeams[[#This Row],[Category]]="","",VLOOKUP(ResultsTeams[[#This Row],[Stage]],$R$1:$T$8,MATCH(ResultsTeams[[#This Row],[Category]],$S$1:$T$1,0)+1,FALSE))</f>
        <v/>
      </c>
      <c r="AC1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9" s="264" t="str">
        <f>IF(ResultsTeams[[#This Row],[Type]]="G",ResultsTeams[[#This Row],[Stage]],AD198)</f>
        <v>Groups</v>
      </c>
      <c r="AE199" s="395" t="str">
        <f>IF(ResultsTeams[[#This Row],[Type]]="G",INDEX(TeamsList[Club Name],MATCH(ResultsTeams[[#This Row],[Team A]],TeamsList[Team Name],0)),AE198)</f>
        <v>CCT Eagles Napoli</v>
      </c>
      <c r="AF199" s="395" t="str">
        <f>IF(ResultsTeams[[#This Row],[Type]]="G",INDEX(TeamsList[Club Name],MATCH(ResultsTeams[[#This Row],[Team B]],TeamsList[Team Name],0)),AF198)</f>
        <v>Kent Invicta TFC</v>
      </c>
      <c r="AG199" s="265"/>
      <c r="AI199" s="12" t="str">
        <f>AI198</f>
        <v>TEAM</v>
      </c>
      <c r="AJ199" s="309" t="s">
        <v>57</v>
      </c>
      <c r="AK199" s="320"/>
      <c r="AL199" s="311"/>
      <c r="AM199" s="292">
        <f>IF(AV199="","",SMALL(AN198:AN204,ROWS(AM198:AM199)))</f>
        <v>2002</v>
      </c>
      <c r="AN199" s="293">
        <f>IF(AV199="","",RANK(AR199,AR198:AR204)*1000+ROWS(AN198:AN199))</f>
        <v>2002</v>
      </c>
      <c r="AO199" s="316">
        <f t="shared" si="162"/>
        <v>118098000000000</v>
      </c>
      <c r="AP199" s="415" t="b">
        <f>AND(AU199&lt;&gt;"",AU199&gt;0,COUNTIF(AO198:AO204,AO199)&gt;1)</f>
        <v>0</v>
      </c>
      <c r="AQ199" s="316">
        <f t="shared" si="163"/>
        <v>0</v>
      </c>
      <c r="AR199" s="317">
        <f t="shared" si="164"/>
        <v>118098078570575</v>
      </c>
      <c r="AS199" s="415" t="b">
        <f>AND(AU199&lt;&gt;"",AU199&gt;0,COUNTIF(AR198:AR204,AR199)&gt;1)</f>
        <v>0</v>
      </c>
      <c r="AT199" s="355">
        <f t="shared" si="165"/>
        <v>6</v>
      </c>
      <c r="AU199" s="356">
        <f t="shared" si="166"/>
        <v>3</v>
      </c>
      <c r="AV199" s="356">
        <f>IF(OR(AI197="",AJ199=""),"",COUNTIF(ResultsTeams[Win],AI197&amp;"-"&amp;AJ199))</f>
        <v>2</v>
      </c>
      <c r="AW199" s="356">
        <f>IF(OR(AI197="",AJ199=""),"",COUNTIF(ResultsTeams[[Draw1]:[Draw2]],AI197&amp;"-"&amp;AJ199))</f>
        <v>0</v>
      </c>
      <c r="AX199" s="356">
        <f>IF(OR(AI197="",AJ199=""),"",COUNTIF(ResultsTeams[Lose],AI197&amp;"-"&amp;AJ199))</f>
        <v>1</v>
      </c>
      <c r="AY199" s="356">
        <f>IF(OR(AI197="",AJ199=""),"",AV199-AX199)</f>
        <v>1</v>
      </c>
      <c r="AZ199" s="356">
        <f>IF(OR(AI198="",AJ199=""),"",SUMIFS(ResultsTeams[Match-A],ResultsTeams[Stage],"Groups",ResultsTeams[Team A],AJ199)+SUMIFS(ResultsTeams[Match-B],ResultsTeams[Stage],"Groups",ResultsTeams[Team B],AJ199))</f>
        <v>7</v>
      </c>
      <c r="BA199" s="356">
        <f>IF(OR(AI198="",AJ199=""),"",SUMIFS(ResultsTeams[Match-B],ResultsTeams[Stage],"Groups",ResultsTeams[Team A],AJ199)+SUMIFS(ResultsTeams[Match-A],ResultsTeams[Stage],"Groups",ResultsTeams[Team B],AJ199))</f>
        <v>4</v>
      </c>
      <c r="BB199" s="356">
        <f t="shared" ref="BB199:BB204" si="168">IF(OR(AI198="",AJ199=""),"",AZ199-BA199)</f>
        <v>3</v>
      </c>
      <c r="BC199" s="356">
        <f>IF(OR(AI198="",AJ199=""),"",SUMIFS(ResultsTeams[Goal-A],ResultsTeams[Stage],"Groups",ResultsTeams[Team A],AJ199)+SUMIFS(ResultsTeams[Goal-B],ResultsTeams[Stage],"Groups",ResultsTeams[Team B],AJ199))</f>
        <v>35</v>
      </c>
      <c r="BD199" s="356">
        <f>IF(OR(AI198="",AJ199=""),"",SUMIFS(ResultsTeams[Goal-B],ResultsTeams[Stage],"Groups",ResultsTeams[Team A],AJ199)+SUMIFS(ResultsTeams[Goal-A],ResultsTeams[Stage],"Groups",ResultsTeams[Team B],AJ199))</f>
        <v>17</v>
      </c>
      <c r="BE199" s="357">
        <f>IF(OR(AI197="",AJ199=""),"",BC199-BD199)</f>
        <v>18</v>
      </c>
      <c r="BF199" s="470" t="b">
        <f>IF(AM199="","",OR(VLOOKUP(AM199,AN198:BE204,3,FALSE),VLOOKUP(AM199,AN198:BE204,6,FALSE)))</f>
        <v>0</v>
      </c>
      <c r="BG199" s="298">
        <f t="shared" si="167"/>
        <v>2</v>
      </c>
      <c r="BH199" s="285" t="str">
        <f>IF(AM199="","",INDEX(AJ198:AJ204,MATCH(AM199,AN198:AN204,0)))</f>
        <v>SC Charleroi</v>
      </c>
      <c r="BI199" s="286">
        <f>IF(AM199="","",VLOOKUP(AM199,AN198:BE204,COLUMN()-COLUMN(BB197),FALSE))</f>
        <v>6</v>
      </c>
      <c r="BJ199" s="286">
        <f>IF(AM199="","",VLOOKUP(AM199,AN198:BE204,COLUMN()-COLUMN(BB197),FALSE))</f>
        <v>3</v>
      </c>
      <c r="BK199" s="286">
        <f>IF(AM199="","",VLOOKUP(AM199,AN198:BE204,COLUMN()-COLUMN(BB197),FALSE))</f>
        <v>2</v>
      </c>
      <c r="BL199" s="286">
        <f>IF(AM199="","",VLOOKUP(AM199,AN198:BE204,COLUMN()-COLUMN(BB197),FALSE))</f>
        <v>0</v>
      </c>
      <c r="BM199" s="286">
        <f>IF(AM199="","",VLOOKUP(AM199,AN198:BE204,COLUMN()-COLUMN(BB197),FALSE))</f>
        <v>1</v>
      </c>
      <c r="BN199" s="349">
        <f>IF(AM199="","",VLOOKUP(AM199,AN198:BE204,COLUMN()-COLUMN(BB197),FALSE))</f>
        <v>1</v>
      </c>
      <c r="BO199" s="298">
        <f>IF(AM199="","",VLOOKUP(AM199,AN198:BE204,COLUMN()-COLUMN(BB197),FALSE))</f>
        <v>7</v>
      </c>
      <c r="BP199" s="286">
        <f>IF(AM199="","",VLOOKUP(AM199,AN198:BE204,COLUMN()-COLUMN(BB197),FALSE))</f>
        <v>4</v>
      </c>
      <c r="BQ199" s="301">
        <f>IF(AM199="","",VLOOKUP(AM199,AN198:BE204,COLUMN()-COLUMN(BB197),FALSE))</f>
        <v>3</v>
      </c>
      <c r="BR199" s="352">
        <f>IF(AM199="","",VLOOKUP(AM199,AN198:BE204,COLUMN()-COLUMN(BB197),FALSE))</f>
        <v>35</v>
      </c>
      <c r="BS199" s="286">
        <f>IF(AM199="","",VLOOKUP(AM199,AN198:BE204,COLUMN()-COLUMN(BB197),FALSE))</f>
        <v>17</v>
      </c>
      <c r="BT199" s="301">
        <f>IF(AM199="","",VLOOKUP(AM199,AN198:BE204,COLUMN()-COLUMN(BB197),FALSE))</f>
        <v>18</v>
      </c>
    </row>
    <row r="200" spans="1:72" ht="12" thickBot="1" x14ac:dyDescent="0.25">
      <c r="A200" s="83"/>
      <c r="B200" s="83"/>
      <c r="C200" s="83"/>
      <c r="D200" s="83"/>
      <c r="E200" s="268" t="s">
        <v>12244</v>
      </c>
      <c r="F200" s="262"/>
      <c r="G200" s="262"/>
      <c r="H200" s="324"/>
      <c r="I200" s="324"/>
      <c r="J200" s="263"/>
      <c r="K200" s="365"/>
      <c r="L200" s="365"/>
      <c r="M200" s="262"/>
      <c r="N200" s="265" t="b">
        <f>NOT(ISERROR(ResultsTeams[[#This Row],[Goal-A]]+ResultsTeams[[#This Row],[Goal-B]]))</f>
        <v>0</v>
      </c>
      <c r="O200" s="265" t="str">
        <f>IF(ResultsTeams[[#This Row],[Type]]="G",SUM(O201:O204),IF(LEFT(ResultsTeams[[#This Row],[Type]],1)="P",IF(ResultsTeams[[#This Row],[Goal-A]]&gt;ResultsTeams[[#This Row],[Goal-B]],1,0),""))</f>
        <v/>
      </c>
      <c r="P200" s="265" t="str">
        <f>IF(ResultsTeams[[#This Row],[Type]]="G",SUM(P201:P204),IF(LEFT(ResultsTeams[[#This Row],[Type]],1)="P",IF(ResultsTeams[[#This Row],[Goal-A]]&lt;ResultsTeams[[#This Row],[Goal-B]],1,0),""))</f>
        <v/>
      </c>
      <c r="Q200" s="265" t="str">
        <f>IF(ResultsTeams[[#This Row],[Type]]="G",SUM(Q201:Q204),IF(LEFT(ResultsTeams[[#This Row],[Type]],1)="P",VALUE(ResultsTeams[[#This Row],[Score-A]]),""))</f>
        <v/>
      </c>
      <c r="R200" s="265" t="str">
        <f>IF(ResultsTeams[[#This Row],[Type]]="G",SUM(R201:R204),IF(LEFT(ResultsTeams[[#This Row],[Type]],1)="P",VALUE(ResultsTeams[[#This Row],[Score-B]]),""))</f>
        <v/>
      </c>
      <c r="S200" s="265" t="str">
        <f ca="1">IF(AND(ResultsTeams[[#This Row],[Category]]&lt;&gt;"",ResultsTeams[[#This Row],[Team A]]&lt;&gt;""),COUNTIF(INDIRECT("TeamsList[Club Name]"),ResultsTeams[[#This Row],[Team A]]),"")</f>
        <v/>
      </c>
      <c r="T200" s="265" t="str">
        <f ca="1">IF(AND(ResultsTeams[[#This Row],[Category]]&lt;&gt;"",ResultsTeams[[#This Row],[Team B]]&lt;&gt;""),COUNTIF(INDIRECT("TeamsList[Club Name]"),ResultsTeams[[#This Row],[Team B]]),"")</f>
        <v/>
      </c>
      <c r="U2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0" s="265" t="str">
        <f>IF(ResultsTeams[[#This Row],[Score_OK]],IF(ResultsTeams[[#This Row],[StageCpy]]="Groups",ResultsTeams[[#This Row],[Category]]&amp;"-"&amp;IF(ResultsTeams[[#This Row],[Team B]]="","",IF(ResultsTeams[[#This Row],[Match-A]]=ResultsTeams[[#This Row],[Match-B]],ResultsTeams[[#This Row],[Team A]],"")),""),"")</f>
        <v/>
      </c>
      <c r="W200" s="265" t="str">
        <f>IF(ResultsTeams[[#This Row],[Score_OK]],IF(ResultsTeams[[#This Row],[StageCpy]]="Groups",ResultsTeams[[#This Row],[Category]]&amp;"-"&amp;IF(ResultsTeams[[#This Row],[Team B]]="","",IF(ResultsTeams[[#This Row],[Match-A]]=ResultsTeams[[#This Row],[Match-B]],ResultsTeams[[#This Row],[Team B]],"")),""),"")</f>
        <v/>
      </c>
      <c r="X2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0" s="264" t="str">
        <f>IF(ResultsTeams[[#This Row],[Category]]="","",VLOOKUP(ResultsTeams[[#This Row],[Stage]],$R$1:$T$8,MATCH(ResultsTeams[[#This Row],[Category]],$S$1:$T$1,0)+1,FALSE))</f>
        <v/>
      </c>
      <c r="AC2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0" s="264" t="str">
        <f>IF(ResultsTeams[[#This Row],[Type]]="G",ResultsTeams[[#This Row],[Stage]],AD199)</f>
        <v>Groups</v>
      </c>
      <c r="AE200" s="395" t="str">
        <f>IF(ResultsTeams[[#This Row],[Type]]="G",INDEX(TeamsList[Club Name],MATCH(ResultsTeams[[#This Row],[Team A]],TeamsList[Team Name],0)),AE199)</f>
        <v>CCT Eagles Napoli</v>
      </c>
      <c r="AF200" s="395" t="str">
        <f>IF(ResultsTeams[[#This Row],[Type]]="G",INDEX(TeamsList[Club Name],MATCH(ResultsTeams[[#This Row],[Team B]],TeamsList[Team Name],0)),AF199)</f>
        <v>Kent Invicta TFC</v>
      </c>
      <c r="AG200" s="265"/>
      <c r="AI200" s="12" t="str">
        <f t="shared" ref="AI200:AI204" si="169">AI199</f>
        <v>TEAM</v>
      </c>
      <c r="AJ200" s="309" t="s">
        <v>14591</v>
      </c>
      <c r="AK200" s="320"/>
      <c r="AL200" s="311"/>
      <c r="AM200" s="292">
        <f>IF(AV200="","",SMALL(AN198:AN204,ROWS(AM198:AM200)))</f>
        <v>3003</v>
      </c>
      <c r="AN200" s="293">
        <f>IF(AV200="","",RANK(AR200,AR198:AR204)*1000+ROWS(AN198:AN200))</f>
        <v>3003</v>
      </c>
      <c r="AO200" s="316">
        <f t="shared" si="162"/>
        <v>59049000000000</v>
      </c>
      <c r="AP200" s="415" t="b">
        <f>AND(AU200&lt;&gt;"",AU200&gt;0,COUNTIF(AO198:AO204,AO200)&gt;1)</f>
        <v>0</v>
      </c>
      <c r="AQ200" s="316">
        <f t="shared" si="163"/>
        <v>0</v>
      </c>
      <c r="AR200" s="317">
        <f t="shared" si="164"/>
        <v>59048929529446</v>
      </c>
      <c r="AS200" s="415" t="b">
        <f>AND(AU200&lt;&gt;"",AU200&gt;0,COUNTIF(AR198:AR204,AR200)&gt;1)</f>
        <v>0</v>
      </c>
      <c r="AT200" s="355">
        <f t="shared" si="165"/>
        <v>3</v>
      </c>
      <c r="AU200" s="356">
        <f t="shared" si="166"/>
        <v>3</v>
      </c>
      <c r="AV200" s="356">
        <f>IF(OR(AI197="",AJ200=""),"",COUNTIF(ResultsTeams[Win],AI197&amp;"-"&amp;AJ200))</f>
        <v>1</v>
      </c>
      <c r="AW200" s="356">
        <f>IF(OR(AI197="",AJ200=""),"",COUNTIF(ResultsTeams[[Draw1]:[Draw2]],AI197&amp;"-"&amp;AJ200))</f>
        <v>0</v>
      </c>
      <c r="AX200" s="356">
        <f>IF(OR(AI197="",AJ200=""),"",COUNTIF(ResultsTeams[Lose],AI197&amp;"-"&amp;AJ200))</f>
        <v>2</v>
      </c>
      <c r="AY200" s="356">
        <f>IF(OR(AI197="",AJ200=""),"",AV200-AX200)</f>
        <v>-1</v>
      </c>
      <c r="AZ200" s="356">
        <f>IF(OR(AI199="",AJ200=""),"",SUMIFS(ResultsTeams[Match-A],ResultsTeams[Stage],"Groups",ResultsTeams[Team A],AJ200)+SUMIFS(ResultsTeams[Match-B],ResultsTeams[Stage],"Groups",ResultsTeams[Team B],AJ200))</f>
        <v>3</v>
      </c>
      <c r="BA200" s="356">
        <f>IF(OR(AI199="",AJ200=""),"",SUMIFS(ResultsTeams[Match-B],ResultsTeams[Stage],"Groups",ResultsTeams[Team A],AJ200)+SUMIFS(ResultsTeams[Match-A],ResultsTeams[Stage],"Groups",ResultsTeams[Team B],AJ200))</f>
        <v>6</v>
      </c>
      <c r="BB200" s="356">
        <f t="shared" si="168"/>
        <v>-3</v>
      </c>
      <c r="BC200" s="356">
        <f>IF(OR(AI199="",AJ200=""),"",SUMIFS(ResultsTeams[Goal-A],ResultsTeams[Stage],"Groups",ResultsTeams[Team A],AJ200)+SUMIFS(ResultsTeams[Goal-B],ResultsTeams[Stage],"Groups",ResultsTeams[Team B],AJ200))</f>
        <v>16</v>
      </c>
      <c r="BD200" s="356">
        <f>IF(OR(AI199="",AJ200=""),"",SUMIFS(ResultsTeams[Goal-B],ResultsTeams[Stage],"Groups",ResultsTeams[Team A],AJ200)+SUMIFS(ResultsTeams[Goal-A],ResultsTeams[Stage],"Groups",ResultsTeams[Team B],AJ200))</f>
        <v>35</v>
      </c>
      <c r="BE200" s="357">
        <f>IF(OR(AI197="",AJ200=""),"",BC200-BD200)</f>
        <v>-19</v>
      </c>
      <c r="BF200" s="470" t="b">
        <f>IF(AM200="","",OR(VLOOKUP(AM200,AN198:BE204,3,FALSE),VLOOKUP(AM200,AN198:BE204,6,FALSE)))</f>
        <v>0</v>
      </c>
      <c r="BG200" s="298">
        <f t="shared" si="167"/>
        <v>3</v>
      </c>
      <c r="BH200" s="285" t="str">
        <f>IF(AM200="","",INDEX(AJ198:AJ204,MATCH(AM200,AN198:AN204,0)))</f>
        <v>FTC Caen 2</v>
      </c>
      <c r="BI200" s="286">
        <f>IF(AM200="","",VLOOKUP(AM200,AN198:BE204,COLUMN()-COLUMN(BB197),FALSE))</f>
        <v>3</v>
      </c>
      <c r="BJ200" s="286">
        <f>IF(AM200="","",VLOOKUP(AM200,AN198:BE204,COLUMN()-COLUMN(BB197),FALSE))</f>
        <v>3</v>
      </c>
      <c r="BK200" s="286">
        <f>IF(AM200="","",VLOOKUP(AM200,AN198:BE204,COLUMN()-COLUMN(BB197),FALSE))</f>
        <v>1</v>
      </c>
      <c r="BL200" s="286">
        <f>IF(AM200="","",VLOOKUP(AM200,AN198:BE204,COLUMN()-COLUMN(BB197),FALSE))</f>
        <v>0</v>
      </c>
      <c r="BM200" s="286">
        <f>IF(AM200="","",VLOOKUP(AM200,AN198:BE204,COLUMN()-COLUMN(BB197),FALSE))</f>
        <v>2</v>
      </c>
      <c r="BN200" s="349">
        <f>IF(AM200="","",VLOOKUP(AM200,AN198:BE204,COLUMN()-COLUMN(BB197),FALSE))</f>
        <v>-1</v>
      </c>
      <c r="BO200" s="298">
        <f>IF(AM200="","",VLOOKUP(AM200,AN198:BE204,COLUMN()-COLUMN(BB197),FALSE))</f>
        <v>3</v>
      </c>
      <c r="BP200" s="286">
        <f>IF(AM200="","",VLOOKUP(AM200,AN198:BE204,COLUMN()-COLUMN(BB197),FALSE))</f>
        <v>6</v>
      </c>
      <c r="BQ200" s="301">
        <f>IF(AM200="","",VLOOKUP(AM200,AN198:BE204,COLUMN()-COLUMN(BB197),FALSE))</f>
        <v>-3</v>
      </c>
      <c r="BR200" s="352">
        <f>IF(AM200="","",VLOOKUP(AM200,AN198:BE204,COLUMN()-COLUMN(BB197),FALSE))</f>
        <v>16</v>
      </c>
      <c r="BS200" s="286">
        <f>IF(AM200="","",VLOOKUP(AM200,AN198:BE204,COLUMN()-COLUMN(BB197),FALSE))</f>
        <v>35</v>
      </c>
      <c r="BT200" s="301">
        <f>IF(AM200="","",VLOOKUP(AM200,AN198:BE204,COLUMN()-COLUMN(BB197),FALSE))</f>
        <v>-19</v>
      </c>
    </row>
    <row r="201" spans="1:72" ht="12" thickBot="1" x14ac:dyDescent="0.25">
      <c r="A201" s="261" t="s">
        <v>12693</v>
      </c>
      <c r="B201" s="270" t="s">
        <v>12207</v>
      </c>
      <c r="C201" s="270">
        <v>4</v>
      </c>
      <c r="D201" s="270"/>
      <c r="E201" s="272" t="s">
        <v>12228</v>
      </c>
      <c r="F201" s="273" t="s">
        <v>57</v>
      </c>
      <c r="G201" s="273" t="s">
        <v>14591</v>
      </c>
      <c r="H201" s="275">
        <v>3</v>
      </c>
      <c r="I201" s="275">
        <v>0</v>
      </c>
      <c r="J201" s="275"/>
      <c r="K201" s="366"/>
      <c r="L201" s="366"/>
      <c r="M201" s="274"/>
      <c r="N201" s="265" t="b">
        <f>NOT(ISERROR(ResultsTeams[[#This Row],[Goal-A]]+ResultsTeams[[#This Row],[Goal-B]]))</f>
        <v>1</v>
      </c>
      <c r="O201" s="265">
        <f>IF(ResultsTeams[[#This Row],[Type]]="G",SUM(O202:O205),IF(LEFT(ResultsTeams[[#This Row],[Type]],1)="P",IF(ResultsTeams[[#This Row],[Goal-A]]&gt;ResultsTeams[[#This Row],[Goal-B]],1,0),""))</f>
        <v>3</v>
      </c>
      <c r="P201" s="265">
        <f>IF(ResultsTeams[[#This Row],[Type]]="G",SUM(P202:P205),IF(LEFT(ResultsTeams[[#This Row],[Type]],1)="P",IF(ResultsTeams[[#This Row],[Goal-A]]&lt;ResultsTeams[[#This Row],[Goal-B]],1,0),""))</f>
        <v>0</v>
      </c>
      <c r="Q201" s="265">
        <f>IF(ResultsTeams[[#This Row],[Type]]="G",SUM(Q202:Q205),IF(LEFT(ResultsTeams[[#This Row],[Type]],1)="P",VALUE(ResultsTeams[[#This Row],[Score-A]]),""))</f>
        <v>12</v>
      </c>
      <c r="R201" s="265">
        <f>IF(ResultsTeams[[#This Row],[Type]]="G",SUM(R202:R205),IF(LEFT(ResultsTeams[[#This Row],[Type]],1)="P",VALUE(ResultsTeams[[#This Row],[Score-B]]),""))</f>
        <v>2</v>
      </c>
      <c r="S201" s="265">
        <f ca="1">IF(AND(ResultsTeams[[#This Row],[Category]]&lt;&gt;"",ResultsTeams[[#This Row],[Team A]]&lt;&gt;""),COUNTIF(INDIRECT("TeamsList[Club Name]"),ResultsTeams[[#This Row],[Team A]]),"")</f>
        <v>1</v>
      </c>
      <c r="T201" s="265">
        <f ca="1">IF(AND(ResultsTeams[[#This Row],[Category]]&lt;&gt;"",ResultsTeams[[#This Row],[Team B]]&lt;&gt;""),COUNTIF(INDIRECT("TeamsList[Club Name]"),ResultsTeams[[#This Row],[Team B]]),"")</f>
        <v>0</v>
      </c>
      <c r="U2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Charleroi</v>
      </c>
      <c r="V201" s="265" t="str">
        <f>IF(ResultsTeams[[#This Row],[Score_OK]],IF(ResultsTeams[[#This Row],[StageCpy]]="Groups",ResultsTeams[[#This Row],[Category]]&amp;"-"&amp;IF(ResultsTeams[[#This Row],[Team B]]="","",IF(ResultsTeams[[#This Row],[Match-A]]=ResultsTeams[[#This Row],[Match-B]],ResultsTeams[[#This Row],[Team A]],"")),""),"")</f>
        <v>TEAM-</v>
      </c>
      <c r="W201" s="265" t="str">
        <f>IF(ResultsTeams[[#This Row],[Score_OK]],IF(ResultsTeams[[#This Row],[StageCpy]]="Groups",ResultsTeams[[#This Row],[Category]]&amp;"-"&amp;IF(ResultsTeams[[#This Row],[Team B]]="","",IF(ResultsTeams[[#This Row],[Match-A]]=ResultsTeams[[#This Row],[Match-B]],ResultsTeams[[#This Row],[Team B]],"")),""),"")</f>
        <v>TEAM-</v>
      </c>
      <c r="X2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TEAM-FTC Caen 2</v>
      </c>
      <c r="Y2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TEAM-FTC Caen 2</v>
      </c>
      <c r="AA2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Caen 2</v>
      </c>
      <c r="AB201" s="264" t="str">
        <f>IF(ResultsTeams[[#This Row],[Category]]="","",VLOOKUP(ResultsTeams[[#This Row],[Stage]],$R$1:$T$8,MATCH(ResultsTeams[[#This Row],[Category]],$S$1:$T$1,0)+1,FALSE))</f>
        <v>PR1</v>
      </c>
      <c r="AC2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1" s="264" t="str">
        <f>IF(ResultsTeams[[#This Row],[Type]]="G",ResultsTeams[[#This Row],[Stage]],AD200)</f>
        <v>Groups</v>
      </c>
      <c r="AE201" s="395" t="str">
        <f>IF(ResultsTeams[[#This Row],[Type]]="G",INDEX(TeamsList[Club Name],MATCH(ResultsTeams[[#This Row],[Team A]],TeamsList[Team Name],0)),AE200)</f>
        <v>SC Charleroi</v>
      </c>
      <c r="AF201" s="395" t="str">
        <f>IF(ResultsTeams[[#This Row],[Type]]="G",INDEX(TeamsList[Club Name],MATCH(ResultsTeams[[#This Row],[Team B]],TeamsList[Team Name],0)),AF200)</f>
        <v>FTC Caen</v>
      </c>
      <c r="AG201" s="265"/>
      <c r="AH201" s="91"/>
      <c r="AI201" s="12" t="str">
        <f t="shared" si="169"/>
        <v>TEAM</v>
      </c>
      <c r="AJ201" s="309" t="s">
        <v>415</v>
      </c>
      <c r="AK201" s="310"/>
      <c r="AL201" s="311"/>
      <c r="AM201" s="292">
        <f>IF(AV201="","",SMALL(AN198:AN204,ROWS(AM198:AM201)))</f>
        <v>4004</v>
      </c>
      <c r="AN201" s="293">
        <f>IF(AV201="","",RANK(AR201,AR198:AR204)*1000+ROWS(AN198:AN201))</f>
        <v>4004</v>
      </c>
      <c r="AO201" s="316">
        <f t="shared" si="162"/>
        <v>0</v>
      </c>
      <c r="AP201" s="415" t="b">
        <f>AND(AU201&lt;&gt;"",AU201&gt;0,COUNTIF(AO198:AO204,AO201)&gt;1)</f>
        <v>0</v>
      </c>
      <c r="AQ201" s="316">
        <f t="shared" si="163"/>
        <v>0</v>
      </c>
      <c r="AR201" s="317">
        <f t="shared" si="164"/>
        <v>-192781126</v>
      </c>
      <c r="AS201" s="415" t="b">
        <f>AND(AU201&lt;&gt;"",AU201&gt;0,COUNTIF(AR198:AR204,AR201)&gt;1)</f>
        <v>0</v>
      </c>
      <c r="AT201" s="355">
        <f t="shared" si="165"/>
        <v>0</v>
      </c>
      <c r="AU201" s="356">
        <f t="shared" si="166"/>
        <v>3</v>
      </c>
      <c r="AV201" s="356">
        <f>IF(OR(AI197="",AJ201=""),"",COUNTIF(ResultsTeams[Win],AI197&amp;"-"&amp;AJ201))</f>
        <v>0</v>
      </c>
      <c r="AW201" s="356">
        <f>IF(OR(AI197="",AJ201=""),"",COUNTIF(ResultsTeams[[Draw1]:[Draw2]],AI197&amp;"-"&amp;AJ201))</f>
        <v>0</v>
      </c>
      <c r="AX201" s="356">
        <f>IF(OR(AI197="",AJ201=""),"",COUNTIF(ResultsTeams[Lose],AI197&amp;"-"&amp;AJ201))</f>
        <v>3</v>
      </c>
      <c r="AY201" s="356">
        <f>IF(OR(AI197="",AJ201=""),"",AV201-AX201)</f>
        <v>-3</v>
      </c>
      <c r="AZ201" s="356">
        <f>IF(OR(AI200="",AJ201=""),"",SUMIFS(ResultsTeams[Match-A],ResultsTeams[Stage],"Groups",ResultsTeams[Team A],AJ201)+SUMIFS(ResultsTeams[Match-B],ResultsTeams[Stage],"Groups",ResultsTeams[Team B],AJ201))</f>
        <v>2</v>
      </c>
      <c r="BA201" s="356">
        <f>IF(OR(AI200="",AJ201=""),"",SUMIFS(ResultsTeams[Match-B],ResultsTeams[Stage],"Groups",ResultsTeams[Team A],AJ201)+SUMIFS(ResultsTeams[Match-A],ResultsTeams[Stage],"Groups",ResultsTeams[Team B],AJ201))</f>
        <v>10</v>
      </c>
      <c r="BB201" s="356">
        <f t="shared" si="168"/>
        <v>-8</v>
      </c>
      <c r="BC201" s="356">
        <f>IF(OR(AI200="",AJ201=""),"",SUMIFS(ResultsTeams[Goal-A],ResultsTeams[Stage],"Groups",ResultsTeams[Team A],AJ201)+SUMIFS(ResultsTeams[Goal-B],ResultsTeams[Stage],"Groups",ResultsTeams[Team B],AJ201))</f>
        <v>14</v>
      </c>
      <c r="BD201" s="356">
        <f>IF(OR(AI200="",AJ201=""),"",SUMIFS(ResultsTeams[Goal-B],ResultsTeams[Stage],"Groups",ResultsTeams[Team A],AJ201)+SUMIFS(ResultsTeams[Goal-A],ResultsTeams[Stage],"Groups",ResultsTeams[Team B],AJ201))</f>
        <v>52</v>
      </c>
      <c r="BE201" s="357">
        <f>IF(OR(AI197="",AJ201=""),"",BC201-BD201)</f>
        <v>-38</v>
      </c>
      <c r="BF201" s="470" t="b">
        <f>IF(AM201="","",OR(VLOOKUP(AM201,AN198:BE204,3,FALSE),VLOOKUP(AM201,AN198:BE204,6,FALSE)))</f>
        <v>0</v>
      </c>
      <c r="BG201" s="298">
        <f t="shared" si="167"/>
        <v>4</v>
      </c>
      <c r="BH201" s="285" t="str">
        <f>IF(AM201="","",INDEX(AJ198:AJ204,MATCH(AM201,AN198:AN204,0)))</f>
        <v>Kent Invicta TFC</v>
      </c>
      <c r="BI201" s="286">
        <f>IF(AM201="","",VLOOKUP(AM201,AN198:BE204,COLUMN()-COLUMN(BB197),FALSE))</f>
        <v>0</v>
      </c>
      <c r="BJ201" s="286">
        <f>IF(AM201="","",VLOOKUP(AM201,AN198:BE204,COLUMN()-COLUMN(BB197),FALSE))</f>
        <v>3</v>
      </c>
      <c r="BK201" s="286">
        <f>IF(AM201="","",VLOOKUP(AM201,AN198:BE204,COLUMN()-COLUMN(BB197),FALSE))</f>
        <v>0</v>
      </c>
      <c r="BL201" s="286">
        <f>IF(AM201="","",VLOOKUP(AM201,AN198:BE204,COLUMN()-COLUMN(BB197),FALSE))</f>
        <v>0</v>
      </c>
      <c r="BM201" s="286">
        <f>IF(AM201="","",VLOOKUP(AM201,AN198:BE204,COLUMN()-COLUMN(BB197),FALSE))</f>
        <v>3</v>
      </c>
      <c r="BN201" s="349">
        <f>IF(AM201="","",VLOOKUP(AM201,AN198:BE204,COLUMN()-COLUMN(BB197),FALSE))</f>
        <v>-3</v>
      </c>
      <c r="BO201" s="298">
        <f>IF(AM201="","",VLOOKUP(AM201,AN198:BE204,COLUMN()-COLUMN(BB197),FALSE))</f>
        <v>2</v>
      </c>
      <c r="BP201" s="286">
        <f>IF(AM201="","",VLOOKUP(AM201,AN198:BE204,COLUMN()-COLUMN(BB197),FALSE))</f>
        <v>10</v>
      </c>
      <c r="BQ201" s="301">
        <f>IF(AM201="","",VLOOKUP(AM201,AN198:BE204,COLUMN()-COLUMN(BB197),FALSE))</f>
        <v>-8</v>
      </c>
      <c r="BR201" s="352">
        <f>IF(AM201="","",VLOOKUP(AM201,AN198:BE204,COLUMN()-COLUMN(BB197),FALSE))</f>
        <v>14</v>
      </c>
      <c r="BS201" s="286">
        <f>IF(AM201="","",VLOOKUP(AM201,AN198:BE204,COLUMN()-COLUMN(BB197),FALSE))</f>
        <v>52</v>
      </c>
      <c r="BT201" s="301">
        <f>IF(AM201="","",VLOOKUP(AM201,AN198:BE204,COLUMN()-COLUMN(BB197),FALSE))</f>
        <v>-38</v>
      </c>
    </row>
    <row r="202" spans="1:72" x14ac:dyDescent="0.2">
      <c r="A202" s="60"/>
      <c r="B202" s="280"/>
      <c r="C202" s="60"/>
      <c r="D202" s="60"/>
      <c r="E202" s="240" t="s">
        <v>12231</v>
      </c>
      <c r="F202" s="244" t="s">
        <v>8094</v>
      </c>
      <c r="G202" s="244" t="s">
        <v>14389</v>
      </c>
      <c r="H202" s="253">
        <v>2</v>
      </c>
      <c r="I202" s="253">
        <v>0</v>
      </c>
      <c r="J202" s="253"/>
      <c r="K202" s="362"/>
      <c r="L202" s="362"/>
      <c r="M202" s="245"/>
      <c r="N202" s="265" t="b">
        <f>NOT(ISERROR(ResultsTeams[[#This Row],[Goal-A]]+ResultsTeams[[#This Row],[Goal-B]]))</f>
        <v>1</v>
      </c>
      <c r="O202" s="265">
        <f>IF(ResultsTeams[[#This Row],[Type]]="G",SUM(O203:O206),IF(LEFT(ResultsTeams[[#This Row],[Type]],1)="P",IF(ResultsTeams[[#This Row],[Goal-A]]&gt;ResultsTeams[[#This Row],[Goal-B]],1,0),""))</f>
        <v>1</v>
      </c>
      <c r="P202" s="265">
        <f>IF(ResultsTeams[[#This Row],[Type]]="G",SUM(P203:P206),IF(LEFT(ResultsTeams[[#This Row],[Type]],1)="P",IF(ResultsTeams[[#This Row],[Goal-A]]&lt;ResultsTeams[[#This Row],[Goal-B]],1,0),""))</f>
        <v>0</v>
      </c>
      <c r="Q202" s="265">
        <f>IF(ResultsTeams[[#This Row],[Type]]="G",SUM(Q203:Q206),IF(LEFT(ResultsTeams[[#This Row],[Type]],1)="P",VALUE(ResultsTeams[[#This Row],[Score-A]]),""))</f>
        <v>2</v>
      </c>
      <c r="R202" s="265">
        <f>IF(ResultsTeams[[#This Row],[Type]]="G",SUM(R203:R206),IF(LEFT(ResultsTeams[[#This Row],[Type]],1)="P",VALUE(ResultsTeams[[#This Row],[Score-B]]),""))</f>
        <v>0</v>
      </c>
      <c r="S202" s="265" t="str">
        <f ca="1">IF(AND(ResultsTeams[[#This Row],[Category]]&lt;&gt;"",ResultsTeams[[#This Row],[Team A]]&lt;&gt;""),COUNTIF(INDIRECT("TeamsList[Club Name]"),ResultsTeams[[#This Row],[Team A]]),"")</f>
        <v/>
      </c>
      <c r="T202" s="265" t="str">
        <f ca="1">IF(AND(ResultsTeams[[#This Row],[Category]]&lt;&gt;"",ResultsTeams[[#This Row],[Team B]]&lt;&gt;""),COUNTIF(INDIRECT("TeamsList[Club Name]"),ResultsTeams[[#This Row],[Team B]]),"")</f>
        <v/>
      </c>
      <c r="U2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Fraikin</v>
      </c>
      <c r="V202" s="265" t="str">
        <f>IF(ResultsTeams[[#This Row],[Score_OK]],IF(ResultsTeams[[#This Row],[StageCpy]]="Groups",ResultsTeams[[#This Row],[Category]]&amp;"-"&amp;IF(ResultsTeams[[#This Row],[Team B]]="","",IF(ResultsTeams[[#This Row],[Match-A]]=ResultsTeams[[#This Row],[Match-B]],ResultsTeams[[#This Row],[Team A]],"")),""),"")</f>
        <v>-</v>
      </c>
      <c r="W202" s="265" t="str">
        <f>IF(ResultsTeams[[#This Row],[Score_OK]],IF(ResultsTeams[[#This Row],[StageCpy]]="Groups",ResultsTeams[[#This Row],[Category]]&amp;"-"&amp;IF(ResultsTeams[[#This Row],[Team B]]="","",IF(ResultsTeams[[#This Row],[Match-A]]=ResultsTeams[[#This Row],[Match-B]],ResultsTeams[[#This Row],[Team B]],"")),""),"")</f>
        <v>-</v>
      </c>
      <c r="X2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-Abdelmaneum Rouis</v>
      </c>
      <c r="Y2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2" s="264" t="str">
        <f>IF(ResultsTeams[[#This Row],[Category]]="","",VLOOKUP(ResultsTeams[[#This Row],[Stage]],$R$1:$T$8,MATCH(ResultsTeams[[#This Row],[Category]],$S$1:$T$1,0)+1,FALSE))</f>
        <v/>
      </c>
      <c r="AC2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2" s="264" t="str">
        <f>IF(ResultsTeams[[#This Row],[Type]]="G",ResultsTeams[[#This Row],[Stage]],AD201)</f>
        <v>Groups</v>
      </c>
      <c r="AE202" s="395" t="str">
        <f>IF(ResultsTeams[[#This Row],[Type]]="G",INDEX(TeamsList[Club Name],MATCH(ResultsTeams[[#This Row],[Team A]],TeamsList[Team Name],0)),AE201)</f>
        <v>SC Charleroi</v>
      </c>
      <c r="AF202" s="395" t="str">
        <f>IF(ResultsTeams[[#This Row],[Type]]="G",INDEX(TeamsList[Club Name],MATCH(ResultsTeams[[#This Row],[Team B]],TeamsList[Team Name],0)),AF201)</f>
        <v>FTC Caen</v>
      </c>
      <c r="AG202" s="265"/>
      <c r="AH202" s="91"/>
      <c r="AI202" s="12" t="str">
        <f t="shared" si="169"/>
        <v>TEAM</v>
      </c>
      <c r="AJ202" s="309"/>
      <c r="AK202" s="310"/>
      <c r="AL202" s="311"/>
      <c r="AM202" s="292" t="str">
        <f>IF(AV202="","",SMALL(AN198:AN204,ROWS(AM198:AM202)))</f>
        <v/>
      </c>
      <c r="AN202" s="293" t="str">
        <f>IF(AV202="","",RANK(AR202,AR198:AR204)*1000+ROWS(AN198:AN202))</f>
        <v/>
      </c>
      <c r="AO202" s="316" t="str">
        <f t="shared" si="162"/>
        <v/>
      </c>
      <c r="AP202" s="415" t="b">
        <f>AND(AU202&lt;&gt;"",AU202&gt;0,COUNTIF(AO198:AO204,AO202)&gt;1)</f>
        <v>0</v>
      </c>
      <c r="AQ202" s="316" t="str">
        <f t="shared" si="163"/>
        <v/>
      </c>
      <c r="AR202" s="317" t="str">
        <f t="shared" si="164"/>
        <v/>
      </c>
      <c r="AS202" s="415" t="b">
        <f>AND(AU202&lt;&gt;"",AU202&gt;0,COUNTIF(AR198:AR204,AR202)&gt;1)</f>
        <v>0</v>
      </c>
      <c r="AT202" s="355" t="str">
        <f t="shared" si="165"/>
        <v/>
      </c>
      <c r="AU202" s="356" t="str">
        <f t="shared" si="166"/>
        <v/>
      </c>
      <c r="AV202" s="356" t="str">
        <f>IF(OR(AI197="",AJ202=""),"",COUNTIF(ResultsTeams[Win],AI197&amp;"-"&amp;AJ202))</f>
        <v/>
      </c>
      <c r="AW202" s="356" t="str">
        <f>IF(OR(AI197="",AJ202=""),"",COUNTIF(ResultsTeams[[Draw1]:[Draw2]],AI197&amp;"-"&amp;AJ202))</f>
        <v/>
      </c>
      <c r="AX202" s="356" t="str">
        <f>IF(OR(AI197="",AJ202=""),"",COUNTIF(ResultsTeams[Lose],AI197&amp;"-"&amp;AJ202))</f>
        <v/>
      </c>
      <c r="AY202" s="356" t="str">
        <f>IF(OR(AI197="",AJ202=""),"",AV202-AX202)</f>
        <v/>
      </c>
      <c r="AZ202" s="356" t="str">
        <f>IF(OR(AI201="",AJ202=""),"",SUMIFS(ResultsTeams[Match-A],ResultsTeams[Stage],"Groups",ResultsTeams[Team A],AJ202)+SUMIFS(ResultsTeams[Match-B],ResultsTeams[Stage],"Groups",ResultsTeams[Team B],AJ202))</f>
        <v/>
      </c>
      <c r="BA202" s="356" t="str">
        <f>IF(OR(AI201="",AJ202=""),"",SUMIFS(ResultsTeams[Match-B],ResultsTeams[Stage],"Groups",ResultsTeams[Team A],AJ202)+SUMIFS(ResultsTeams[Match-A],ResultsTeams[Stage],"Groups",ResultsTeams[Team B],AJ202))</f>
        <v/>
      </c>
      <c r="BB202" s="356" t="str">
        <f t="shared" si="168"/>
        <v/>
      </c>
      <c r="BC202" s="356" t="str">
        <f>IF(OR(AI201="",AJ202=""),"",SUMIFS(ResultsTeams[Goal-A],ResultsTeams[Stage],"Groups",ResultsTeams[Team A],AJ202)+SUMIFS(ResultsTeams[Goal-B],ResultsTeams[Stage],"Groups",ResultsTeams[Team B],AJ202))</f>
        <v/>
      </c>
      <c r="BD202" s="356" t="str">
        <f>IF(OR(AI201="",AJ202=""),"",SUMIFS(ResultsTeams[Goal-B],ResultsTeams[Stage],"Groups",ResultsTeams[Team A],AJ202)+SUMIFS(ResultsTeams[Goal-A],ResultsTeams[Stage],"Groups",ResultsTeams[Team B],AJ202))</f>
        <v/>
      </c>
      <c r="BE202" s="357" t="str">
        <f>IF(OR(AI197="",AJ202=""),"",BC202-BD202)</f>
        <v/>
      </c>
      <c r="BF202" s="470" t="str">
        <f>IF(AM202="","",OR(VLOOKUP(AM202,AN198:BE204,3,FALSE),VLOOKUP(AM202,AN198:BE204,6,FALSE)))</f>
        <v/>
      </c>
      <c r="BG202" s="298" t="str">
        <f t="shared" si="167"/>
        <v/>
      </c>
      <c r="BH202" s="285" t="str">
        <f>IF(AM202="","",INDEX(AJ198:AJ204,MATCH(AM202,AN198:AN204,0)))</f>
        <v/>
      </c>
      <c r="BI202" s="286" t="str">
        <f>IF(AM202="","",VLOOKUP(AM202,AN198:BE204,COLUMN()-COLUMN(BB197),FALSE))</f>
        <v/>
      </c>
      <c r="BJ202" s="286" t="str">
        <f>IF(AM202="","",VLOOKUP(AM202,AN198:BE204,COLUMN()-COLUMN(BB197),FALSE))</f>
        <v/>
      </c>
      <c r="BK202" s="286" t="str">
        <f>IF(AM202="","",VLOOKUP(AM202,AN198:BE204,COLUMN()-COLUMN(BB197),FALSE))</f>
        <v/>
      </c>
      <c r="BL202" s="286" t="str">
        <f>IF(AM202="","",VLOOKUP(AM202,AN198:BE204,COLUMN()-COLUMN(BB197),FALSE))</f>
        <v/>
      </c>
      <c r="BM202" s="286" t="str">
        <f>IF(AM202="","",VLOOKUP(AM202,AN198:BE204,COLUMN()-COLUMN(BB197),FALSE))</f>
        <v/>
      </c>
      <c r="BN202" s="349" t="str">
        <f>IF(AM202="","",VLOOKUP(AM202,AN198:BE204,COLUMN()-COLUMN(BB197),FALSE))</f>
        <v/>
      </c>
      <c r="BO202" s="298" t="str">
        <f>IF(AM202="","",VLOOKUP(AM202,AN198:BE204,COLUMN()-COLUMN(BB197),FALSE))</f>
        <v/>
      </c>
      <c r="BP202" s="286" t="str">
        <f>IF(AM202="","",VLOOKUP(AM202,AN198:BE204,COLUMN()-COLUMN(BB197),FALSE))</f>
        <v/>
      </c>
      <c r="BQ202" s="301" t="str">
        <f>IF(AM202="","",VLOOKUP(AM202,AN198:BE204,COLUMN()-COLUMN(BB197),FALSE))</f>
        <v/>
      </c>
      <c r="BR202" s="352" t="str">
        <f>IF(AM202="","",VLOOKUP(AM202,AN198:BE204,COLUMN()-COLUMN(BB197),FALSE))</f>
        <v/>
      </c>
      <c r="BS202" s="286" t="str">
        <f>IF(AM202="","",VLOOKUP(AM202,AN198:BE204,COLUMN()-COLUMN(BB197),FALSE))</f>
        <v/>
      </c>
      <c r="BT202" s="301" t="str">
        <f>IF(AM202="","",VLOOKUP(AM202,AN198:BE204,COLUMN()-COLUMN(BB197),FALSE))</f>
        <v/>
      </c>
    </row>
    <row r="203" spans="1:72" x14ac:dyDescent="0.2">
      <c r="A203" s="62"/>
      <c r="B203" s="280"/>
      <c r="C203" s="62"/>
      <c r="D203" s="62"/>
      <c r="E203" s="241" t="s">
        <v>12234</v>
      </c>
      <c r="F203" s="246" t="s">
        <v>8080</v>
      </c>
      <c r="G203" s="246" t="s">
        <v>8717</v>
      </c>
      <c r="H203" s="254">
        <v>1</v>
      </c>
      <c r="I203" s="254">
        <v>1</v>
      </c>
      <c r="J203" s="254"/>
      <c r="K203" s="363"/>
      <c r="L203" s="363"/>
      <c r="M203" s="247"/>
      <c r="N203" s="265" t="b">
        <f>NOT(ISERROR(ResultsTeams[[#This Row],[Goal-A]]+ResultsTeams[[#This Row],[Goal-B]]))</f>
        <v>1</v>
      </c>
      <c r="O203" s="265">
        <f>IF(ResultsTeams[[#This Row],[Type]]="G",SUM(O204:O207),IF(LEFT(ResultsTeams[[#This Row],[Type]],1)="P",IF(ResultsTeams[[#This Row],[Goal-A]]&gt;ResultsTeams[[#This Row],[Goal-B]],1,0),""))</f>
        <v>0</v>
      </c>
      <c r="P203" s="265">
        <f>IF(ResultsTeams[[#This Row],[Type]]="G",SUM(P204:P207),IF(LEFT(ResultsTeams[[#This Row],[Type]],1)="P",IF(ResultsTeams[[#This Row],[Goal-A]]&lt;ResultsTeams[[#This Row],[Goal-B]],1,0),""))</f>
        <v>0</v>
      </c>
      <c r="Q203" s="265">
        <f>IF(ResultsTeams[[#This Row],[Type]]="G",SUM(Q204:Q207),IF(LEFT(ResultsTeams[[#This Row],[Type]],1)="P",VALUE(ResultsTeams[[#This Row],[Score-A]]),""))</f>
        <v>1</v>
      </c>
      <c r="R203" s="265">
        <f>IF(ResultsTeams[[#This Row],[Type]]="G",SUM(R204:R207),IF(LEFT(ResultsTeams[[#This Row],[Type]],1)="P",VALUE(ResultsTeams[[#This Row],[Score-B]]),""))</f>
        <v>1</v>
      </c>
      <c r="S203" s="265" t="str">
        <f ca="1">IF(AND(ResultsTeams[[#This Row],[Category]]&lt;&gt;"",ResultsTeams[[#This Row],[Team A]]&lt;&gt;""),COUNTIF(INDIRECT("TeamsList[Club Name]"),ResultsTeams[[#This Row],[Team A]]),"")</f>
        <v/>
      </c>
      <c r="T203" s="265" t="str">
        <f ca="1">IF(AND(ResultsTeams[[#This Row],[Category]]&lt;&gt;"",ResultsTeams[[#This Row],[Team B]]&lt;&gt;""),COUNTIF(INDIRECT("TeamsList[Club Name]"),ResultsTeams[[#This Row],[Team B]]),"")</f>
        <v/>
      </c>
      <c r="U2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03" s="265" t="str">
        <f>IF(ResultsTeams[[#This Row],[Score_OK]],IF(ResultsTeams[[#This Row],[StageCpy]]="Groups",ResultsTeams[[#This Row],[Category]]&amp;"-"&amp;IF(ResultsTeams[[#This Row],[Team B]]="","",IF(ResultsTeams[[#This Row],[Match-A]]=ResultsTeams[[#This Row],[Match-B]],ResultsTeams[[#This Row],[Team A]],"")),""),"")</f>
        <v>-Michaël Casciano</v>
      </c>
      <c r="W203" s="265" t="str">
        <f>IF(ResultsTeams[[#This Row],[Score_OK]],IF(ResultsTeams[[#This Row],[StageCpy]]="Groups",ResultsTeams[[#This Row],[Category]]&amp;"-"&amp;IF(ResultsTeams[[#This Row],[Team B]]="","",IF(ResultsTeams[[#This Row],[Match-A]]=ResultsTeams[[#This Row],[Match-B]],ResultsTeams[[#This Row],[Team B]],"")),""),"")</f>
        <v>-Xavier Dubois</v>
      </c>
      <c r="X2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3" s="264" t="str">
        <f>IF(ResultsTeams[[#This Row],[Category]]="","",VLOOKUP(ResultsTeams[[#This Row],[Stage]],$R$1:$T$8,MATCH(ResultsTeams[[#This Row],[Category]],$S$1:$T$1,0)+1,FALSE))</f>
        <v/>
      </c>
      <c r="AC2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3" s="264" t="str">
        <f>IF(ResultsTeams[[#This Row],[Type]]="G",ResultsTeams[[#This Row],[Stage]],AD202)</f>
        <v>Groups</v>
      </c>
      <c r="AE203" s="395" t="str">
        <f>IF(ResultsTeams[[#This Row],[Type]]="G",INDEX(TeamsList[Club Name],MATCH(ResultsTeams[[#This Row],[Team A]],TeamsList[Team Name],0)),AE202)</f>
        <v>SC Charleroi</v>
      </c>
      <c r="AF203" s="395" t="str">
        <f>IF(ResultsTeams[[#This Row],[Type]]="G",INDEX(TeamsList[Club Name],MATCH(ResultsTeams[[#This Row],[Team B]],TeamsList[Team Name],0)),AF202)</f>
        <v>FTC Caen</v>
      </c>
      <c r="AG203" s="265"/>
      <c r="AI203" s="12" t="str">
        <f t="shared" si="169"/>
        <v>TEAM</v>
      </c>
      <c r="AJ203" s="309"/>
      <c r="AK203" s="310"/>
      <c r="AL203" s="311"/>
      <c r="AM203" s="292" t="str">
        <f>IF(AV203="","",SMALL(AN198:AN204,ROWS(AM198:AM203)))</f>
        <v/>
      </c>
      <c r="AN203" s="293" t="str">
        <f>IF(AV203="","",RANK(AR203,AR198:AR204)*1000+ROWS(AN198:AN203))</f>
        <v/>
      </c>
      <c r="AO203" s="316" t="str">
        <f t="shared" si="162"/>
        <v/>
      </c>
      <c r="AP203" s="415" t="b">
        <f>AND(AU203&lt;&gt;"",AU203&gt;0,COUNTIF(AO198:AO204,AO203)&gt;1)</f>
        <v>0</v>
      </c>
      <c r="AQ203" s="316" t="str">
        <f t="shared" si="163"/>
        <v/>
      </c>
      <c r="AR203" s="317" t="str">
        <f t="shared" si="164"/>
        <v/>
      </c>
      <c r="AS203" s="415" t="b">
        <f>AND(AU203&lt;&gt;"",AU203&gt;0,COUNTIF(AR198:AR204,AR203)&gt;1)</f>
        <v>0</v>
      </c>
      <c r="AT203" s="355" t="str">
        <f t="shared" si="165"/>
        <v/>
      </c>
      <c r="AU203" s="356" t="str">
        <f t="shared" si="166"/>
        <v/>
      </c>
      <c r="AV203" s="356" t="str">
        <f>IF(OR(AI197="",AJ203=""),"",COUNTIF(ResultsTeams[Win],AI197&amp;"-"&amp;AJ203))</f>
        <v/>
      </c>
      <c r="AW203" s="356" t="str">
        <f>IF(OR(AI197="",AJ203=""),"",COUNTIF(ResultsTeams[[Draw1]:[Draw2]],AI197&amp;"-"&amp;AJ203))</f>
        <v/>
      </c>
      <c r="AX203" s="356" t="str">
        <f>IF(OR(AI197="",AJ203=""),"",COUNTIF(ResultsTeams[Lose],AI197&amp;"-"&amp;AJ203))</f>
        <v/>
      </c>
      <c r="AY203" s="356" t="str">
        <f>IF(OR(AI197="",AJ203=""),"",AV203-AX203)</f>
        <v/>
      </c>
      <c r="AZ203" s="356" t="str">
        <f>IF(OR(AI202="",AJ203=""),"",SUMIFS(ResultsTeams[Match-A],ResultsTeams[Stage],"Groups",ResultsTeams[Team A],AJ203)+SUMIFS(ResultsTeams[Match-B],ResultsTeams[Stage],"Groups",ResultsTeams[Team B],AJ203))</f>
        <v/>
      </c>
      <c r="BA203" s="356" t="str">
        <f>IF(OR(AI202="",AJ203=""),"",SUMIFS(ResultsTeams[Match-B],ResultsTeams[Stage],"Groups",ResultsTeams[Team A],AJ203)+SUMIFS(ResultsTeams[Match-A],ResultsTeams[Stage],"Groups",ResultsTeams[Team B],AJ203))</f>
        <v/>
      </c>
      <c r="BB203" s="356" t="str">
        <f t="shared" si="168"/>
        <v/>
      </c>
      <c r="BC203" s="356" t="str">
        <f>IF(OR(AI202="",AJ203=""),"",SUMIFS(ResultsTeams[Goal-A],ResultsTeams[Stage],"Groups",ResultsTeams[Team A],AJ203)+SUMIFS(ResultsTeams[Goal-B],ResultsTeams[Stage],"Groups",ResultsTeams[Team B],AJ203))</f>
        <v/>
      </c>
      <c r="BD203" s="356" t="str">
        <f>IF(OR(AI202="",AJ203=""),"",SUMIFS(ResultsTeams[Goal-B],ResultsTeams[Stage],"Groups",ResultsTeams[Team A],AJ203)+SUMIFS(ResultsTeams[Goal-A],ResultsTeams[Stage],"Groups",ResultsTeams[Team B],AJ203))</f>
        <v/>
      </c>
      <c r="BE203" s="357" t="str">
        <f>IF(OR(AI197="",AJ203=""),"",BC203-BD203)</f>
        <v/>
      </c>
      <c r="BF203" s="470" t="str">
        <f>IF(AM203="","",OR(VLOOKUP(AM203,AN198:BE204,3,FALSE),VLOOKUP(AM203,AN198:BE204,6,FALSE)))</f>
        <v/>
      </c>
      <c r="BG203" s="298" t="str">
        <f t="shared" si="167"/>
        <v/>
      </c>
      <c r="BH203" s="285" t="str">
        <f>IF(AM203="","",INDEX(AJ198:AJ204,MATCH(AM203,AN198:AN204,0)))</f>
        <v/>
      </c>
      <c r="BI203" s="286" t="str">
        <f>IF(AM203="","",VLOOKUP(AM203,AN198:BE204,COLUMN()-COLUMN(BB197),FALSE))</f>
        <v/>
      </c>
      <c r="BJ203" s="286" t="str">
        <f>IF(AM203="","",VLOOKUP(AM203,AN198:BE204,COLUMN()-COLUMN(BB197),FALSE))</f>
        <v/>
      </c>
      <c r="BK203" s="286" t="str">
        <f>IF(AM203="","",VLOOKUP(AM203,AN198:BE204,COLUMN()-COLUMN(BB197),FALSE))</f>
        <v/>
      </c>
      <c r="BL203" s="286" t="str">
        <f>IF(AM203="","",VLOOKUP(AM203,AN198:BE204,COLUMN()-COLUMN(BB197),FALSE))</f>
        <v/>
      </c>
      <c r="BM203" s="286" t="str">
        <f>IF(AM203="","",VLOOKUP(AM203,AN198:BE204,COLUMN()-COLUMN(BB197),FALSE))</f>
        <v/>
      </c>
      <c r="BN203" s="349" t="str">
        <f>IF(AM203="","",VLOOKUP(AM203,AN198:BE204,COLUMN()-COLUMN(BB197),FALSE))</f>
        <v/>
      </c>
      <c r="BO203" s="298" t="str">
        <f>IF(AM203="","",VLOOKUP(AM203,AN198:BE204,COLUMN()-COLUMN(BB197),FALSE))</f>
        <v/>
      </c>
      <c r="BP203" s="286" t="str">
        <f>IF(AM203="","",VLOOKUP(AM203,AN198:BE204,COLUMN()-COLUMN(BB197),FALSE))</f>
        <v/>
      </c>
      <c r="BQ203" s="301" t="str">
        <f>IF(AM203="","",VLOOKUP(AM203,AN198:BE204,COLUMN()-COLUMN(BB197),FALSE))</f>
        <v/>
      </c>
      <c r="BR203" s="352" t="str">
        <f>IF(AM203="","",VLOOKUP(AM203,AN198:BE204,COLUMN()-COLUMN(BB197),FALSE))</f>
        <v/>
      </c>
      <c r="BS203" s="286" t="str">
        <f>IF(AM203="","",VLOOKUP(AM203,AN198:BE204,COLUMN()-COLUMN(BB197),FALSE))</f>
        <v/>
      </c>
      <c r="BT203" s="301" t="str">
        <f>IF(AM203="","",VLOOKUP(AM203,AN198:BE204,COLUMN()-COLUMN(BB197),FALSE))</f>
        <v/>
      </c>
    </row>
    <row r="204" spans="1:72" ht="12" thickBot="1" x14ac:dyDescent="0.25">
      <c r="A204" s="62"/>
      <c r="B204" s="280"/>
      <c r="C204" s="62"/>
      <c r="D204" s="62"/>
      <c r="E204" s="241" t="s">
        <v>12237</v>
      </c>
      <c r="F204" s="246" t="s">
        <v>8134</v>
      </c>
      <c r="G204" s="246" t="s">
        <v>8708</v>
      </c>
      <c r="H204" s="254">
        <v>4</v>
      </c>
      <c r="I204" s="254">
        <v>1</v>
      </c>
      <c r="J204" s="254"/>
      <c r="K204" s="363"/>
      <c r="L204" s="363"/>
      <c r="M204" s="247"/>
      <c r="N204" s="265" t="b">
        <f>NOT(ISERROR(ResultsTeams[[#This Row],[Goal-A]]+ResultsTeams[[#This Row],[Goal-B]]))</f>
        <v>1</v>
      </c>
      <c r="O204" s="265">
        <f>IF(ResultsTeams[[#This Row],[Type]]="G",SUM(O205:O208),IF(LEFT(ResultsTeams[[#This Row],[Type]],1)="P",IF(ResultsTeams[[#This Row],[Goal-A]]&gt;ResultsTeams[[#This Row],[Goal-B]],1,0),""))</f>
        <v>1</v>
      </c>
      <c r="P204" s="265">
        <f>IF(ResultsTeams[[#This Row],[Type]]="G",SUM(P205:P208),IF(LEFT(ResultsTeams[[#This Row],[Type]],1)="P",IF(ResultsTeams[[#This Row],[Goal-A]]&lt;ResultsTeams[[#This Row],[Goal-B]],1,0),""))</f>
        <v>0</v>
      </c>
      <c r="Q204" s="265">
        <f>IF(ResultsTeams[[#This Row],[Type]]="G",SUM(Q205:Q208),IF(LEFT(ResultsTeams[[#This Row],[Type]],1)="P",VALUE(ResultsTeams[[#This Row],[Score-A]]),""))</f>
        <v>4</v>
      </c>
      <c r="R204" s="265">
        <f>IF(ResultsTeams[[#This Row],[Type]]="G",SUM(R205:R208),IF(LEFT(ResultsTeams[[#This Row],[Type]],1)="P",VALUE(ResultsTeams[[#This Row],[Score-B]]),""))</f>
        <v>1</v>
      </c>
      <c r="S204" s="265" t="str">
        <f ca="1">IF(AND(ResultsTeams[[#This Row],[Category]]&lt;&gt;"",ResultsTeams[[#This Row],[Team A]]&lt;&gt;""),COUNTIF(INDIRECT("TeamsList[Club Name]"),ResultsTeams[[#This Row],[Team A]]),"")</f>
        <v/>
      </c>
      <c r="T204" s="265" t="str">
        <f ca="1">IF(AND(ResultsTeams[[#This Row],[Category]]&lt;&gt;"",ResultsTeams[[#This Row],[Team B]]&lt;&gt;""),COUNTIF(INDIRECT("TeamsList[Club Name]"),ResultsTeams[[#This Row],[Team B]]),"")</f>
        <v/>
      </c>
      <c r="U2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-Sami Targui</v>
      </c>
      <c r="V204" s="265" t="str">
        <f>IF(ResultsTeams[[#This Row],[Score_OK]],IF(ResultsTeams[[#This Row],[StageCpy]]="Groups",ResultsTeams[[#This Row],[Category]]&amp;"-"&amp;IF(ResultsTeams[[#This Row],[Team B]]="","",IF(ResultsTeams[[#This Row],[Match-A]]=ResultsTeams[[#This Row],[Match-B]],ResultsTeams[[#This Row],[Team A]],"")),""),"")</f>
        <v>-</v>
      </c>
      <c r="W204" s="265" t="str">
        <f>IF(ResultsTeams[[#This Row],[Score_OK]],IF(ResultsTeams[[#This Row],[StageCpy]]="Groups",ResultsTeams[[#This Row],[Category]]&amp;"-"&amp;IF(ResultsTeams[[#This Row],[Team B]]="","",IF(ResultsTeams[[#This Row],[Match-A]]=ResultsTeams[[#This Row],[Match-B]],ResultsTeams[[#This Row],[Team B]],"")),""),"")</f>
        <v>-</v>
      </c>
      <c r="X2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-Stéphane Pommier</v>
      </c>
      <c r="Y2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4" s="264" t="str">
        <f>IF(ResultsTeams[[#This Row],[Category]]="","",VLOOKUP(ResultsTeams[[#This Row],[Stage]],$R$1:$T$8,MATCH(ResultsTeams[[#This Row],[Category]],$S$1:$T$1,0)+1,FALSE))</f>
        <v/>
      </c>
      <c r="AC2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4" s="264" t="str">
        <f>IF(ResultsTeams[[#This Row],[Type]]="G",ResultsTeams[[#This Row],[Stage]],AD203)</f>
        <v>Groups</v>
      </c>
      <c r="AE204" s="395" t="str">
        <f>IF(ResultsTeams[[#This Row],[Type]]="G",INDEX(TeamsList[Club Name],MATCH(ResultsTeams[[#This Row],[Team A]],TeamsList[Team Name],0)),AE203)</f>
        <v>SC Charleroi</v>
      </c>
      <c r="AF204" s="395" t="str">
        <f>IF(ResultsTeams[[#This Row],[Type]]="G",INDEX(TeamsList[Club Name],MATCH(ResultsTeams[[#This Row],[Team B]],TeamsList[Team Name],0)),AF203)</f>
        <v>FTC Caen</v>
      </c>
      <c r="AG204" s="265"/>
      <c r="AI204" s="12" t="str">
        <f t="shared" si="169"/>
        <v>TEAM</v>
      </c>
      <c r="AJ204" s="312"/>
      <c r="AK204" s="313"/>
      <c r="AL204" s="314"/>
      <c r="AM204" s="294" t="str">
        <f>IF(AV204="","",SMALL(AN198:AN204,ROWS(AM198:AM204)))</f>
        <v/>
      </c>
      <c r="AN204" s="295" t="str">
        <f>IF(AV204="","",RANK(AR204,AR198:AR204)*1000+ROWS(AN198:AN204))</f>
        <v/>
      </c>
      <c r="AO204" s="318" t="str">
        <f t="shared" si="162"/>
        <v/>
      </c>
      <c r="AP204" s="416" t="b">
        <f>AND(AU204&lt;&gt;"",AU204&gt;0,COUNTIF(AO198:AO204,AO204)&gt;1)</f>
        <v>0</v>
      </c>
      <c r="AQ204" s="318" t="str">
        <f t="shared" si="163"/>
        <v/>
      </c>
      <c r="AR204" s="319" t="str">
        <f t="shared" si="164"/>
        <v/>
      </c>
      <c r="AS204" s="416" t="b">
        <f>AND(AU204&lt;&gt;"",AU204&gt;0,COUNTIF(AR198:AR204,AR204)&gt;1)</f>
        <v>0</v>
      </c>
      <c r="AT204" s="358" t="str">
        <f t="shared" si="165"/>
        <v/>
      </c>
      <c r="AU204" s="359" t="str">
        <f t="shared" si="166"/>
        <v/>
      </c>
      <c r="AV204" s="359" t="str">
        <f>IF(OR(AI197="",AJ204=""),"",COUNTIF(ResultsTeams[Win],AI197&amp;"-"&amp;AJ204))</f>
        <v/>
      </c>
      <c r="AW204" s="359" t="str">
        <f>IF(OR(AI197="",AJ204=""),"",COUNTIF(ResultsTeams[[Draw1]:[Draw2]],AI197&amp;"-"&amp;AJ204))</f>
        <v/>
      </c>
      <c r="AX204" s="359" t="str">
        <f>IF(OR(AI197="",AJ204=""),"",COUNTIF(ResultsTeams[Lose],AI197&amp;"-"&amp;AJ204))</f>
        <v/>
      </c>
      <c r="AY204" s="359" t="str">
        <f>IF(OR(AI197="",AJ204=""),"",AV204-AX204)</f>
        <v/>
      </c>
      <c r="AZ204" s="359" t="str">
        <f>IF(OR(AI203="",AJ204=""),"",SUMIFS(ResultsTeams[Match-A],ResultsTeams[Stage],"Groups",ResultsTeams[Team A],AJ204)+SUMIFS(ResultsTeams[Match-B],ResultsTeams[Stage],"Groups",ResultsTeams[Team B],AJ204))</f>
        <v/>
      </c>
      <c r="BA204" s="359" t="str">
        <f>IF(OR(AI203="",AJ204=""),"",SUMIFS(ResultsTeams[Match-B],ResultsTeams[Stage],"Groups",ResultsTeams[Team A],AJ204)+SUMIFS(ResultsTeams[Match-A],ResultsTeams[Stage],"Groups",ResultsTeams[Team B],AJ204))</f>
        <v/>
      </c>
      <c r="BB204" s="359" t="str">
        <f t="shared" si="168"/>
        <v/>
      </c>
      <c r="BC204" s="359" t="str">
        <f>IF(OR(AI203="",AJ204=""),"",SUMIFS(ResultsTeams[Goal-A],ResultsTeams[Stage],"Groups",ResultsTeams[Team A],AJ204)+SUMIFS(ResultsTeams[Goal-B],ResultsTeams[Stage],"Groups",ResultsTeams[Team B],AJ204))</f>
        <v/>
      </c>
      <c r="BD204" s="359" t="str">
        <f>IF(OR(AI203="",AJ204=""),"",SUMIFS(ResultsTeams[Goal-B],ResultsTeams[Stage],"Groups",ResultsTeams[Team A],AJ204)+SUMIFS(ResultsTeams[Goal-A],ResultsTeams[Stage],"Groups",ResultsTeams[Team B],AJ204))</f>
        <v/>
      </c>
      <c r="BE204" s="360" t="str">
        <f>IF(OR(AI197="",AJ204=""),"",BC204-BD204)</f>
        <v/>
      </c>
      <c r="BF204" s="470" t="str">
        <f>IF(AM204="","",OR(VLOOKUP(AM204,AN198:BE204,3,FALSE),VLOOKUP(AM204,AN198:BE204,6,FALSE)))</f>
        <v/>
      </c>
      <c r="BG204" s="299" t="str">
        <f t="shared" si="167"/>
        <v/>
      </c>
      <c r="BH204" s="287" t="str">
        <f>IF(AM204="","",INDEX(AJ198:AJ204,MATCH(AM204,AN198:AN204,0)))</f>
        <v/>
      </c>
      <c r="BI204" s="288" t="str">
        <f>IF(AM204="","",VLOOKUP(AM204,AN198:BE204,COLUMN()-COLUMN(BB197),FALSE))</f>
        <v/>
      </c>
      <c r="BJ204" s="288" t="str">
        <f>IF(AM204="","",VLOOKUP(AM204,AN198:BE204,COLUMN()-COLUMN(BB197),FALSE))</f>
        <v/>
      </c>
      <c r="BK204" s="288" t="str">
        <f>IF(AM204="","",VLOOKUP(AM204,AN198:BE204,COLUMN()-COLUMN(BB197),FALSE))</f>
        <v/>
      </c>
      <c r="BL204" s="288" t="str">
        <f>IF(AM204="","",VLOOKUP(AM204,AN198:BE204,COLUMN()-COLUMN(BB197),FALSE))</f>
        <v/>
      </c>
      <c r="BM204" s="288" t="str">
        <f>IF(AM204="","",VLOOKUP(AM204,AN198:BE204,COLUMN()-COLUMN(BB197),FALSE))</f>
        <v/>
      </c>
      <c r="BN204" s="350" t="str">
        <f>IF(AM204="","",VLOOKUP(AM204,AN198:BE204,COLUMN()-COLUMN(BB197),FALSE))</f>
        <v/>
      </c>
      <c r="BO204" s="299" t="str">
        <f>IF(AM204="","",VLOOKUP(AM204,AN198:BE204,COLUMN()-COLUMN(BB197),FALSE))</f>
        <v/>
      </c>
      <c r="BP204" s="288" t="str">
        <f>IF(AM204="","",VLOOKUP(AM204,AN198:BE204,COLUMN()-COLUMN(BB197),FALSE))</f>
        <v/>
      </c>
      <c r="BQ204" s="302" t="str">
        <f>IF(AM204="","",VLOOKUP(AM204,AN198:BE204,COLUMN()-COLUMN(BB197),FALSE))</f>
        <v/>
      </c>
      <c r="BR204" s="353" t="str">
        <f>IF(AM204="","",VLOOKUP(AM204,AN198:BE204,COLUMN()-COLUMN(BB197),FALSE))</f>
        <v/>
      </c>
      <c r="BS204" s="288" t="str">
        <f>IF(AM204="","",VLOOKUP(AM204,AN198:BE204,COLUMN()-COLUMN(BB197),FALSE))</f>
        <v/>
      </c>
      <c r="BT204" s="302" t="str">
        <f>IF(AM204="","",VLOOKUP(AM204,AN198:BE204,COLUMN()-COLUMN(BB197),FALSE))</f>
        <v/>
      </c>
    </row>
    <row r="205" spans="1:72" ht="12" thickBot="1" x14ac:dyDescent="0.25">
      <c r="A205" s="62"/>
      <c r="B205" s="280"/>
      <c r="C205" s="62"/>
      <c r="D205" s="62"/>
      <c r="E205" s="241" t="s">
        <v>12240</v>
      </c>
      <c r="F205" s="246" t="s">
        <v>8078</v>
      </c>
      <c r="G205" s="246" t="s">
        <v>10784</v>
      </c>
      <c r="H205" s="254">
        <v>5</v>
      </c>
      <c r="I205" s="254">
        <v>0</v>
      </c>
      <c r="J205" s="254"/>
      <c r="K205" s="363"/>
      <c r="L205" s="363"/>
      <c r="M205" s="247"/>
      <c r="N205" s="265" t="b">
        <f>NOT(ISERROR(ResultsTeams[[#This Row],[Goal-A]]+ResultsTeams[[#This Row],[Goal-B]]))</f>
        <v>1</v>
      </c>
      <c r="O205" s="265">
        <f>IF(ResultsTeams[[#This Row],[Type]]="G",SUM(O206:O209),IF(LEFT(ResultsTeams[[#This Row],[Type]],1)="P",IF(ResultsTeams[[#This Row],[Goal-A]]&gt;ResultsTeams[[#This Row],[Goal-B]],1,0),""))</f>
        <v>1</v>
      </c>
      <c r="P205" s="265">
        <f>IF(ResultsTeams[[#This Row],[Type]]="G",SUM(P206:P209),IF(LEFT(ResultsTeams[[#This Row],[Type]],1)="P",IF(ResultsTeams[[#This Row],[Goal-A]]&lt;ResultsTeams[[#This Row],[Goal-B]],1,0),""))</f>
        <v>0</v>
      </c>
      <c r="Q205" s="265">
        <f>IF(ResultsTeams[[#This Row],[Type]]="G",SUM(Q206:Q209),IF(LEFT(ResultsTeams[[#This Row],[Type]],1)="P",VALUE(ResultsTeams[[#This Row],[Score-A]]),""))</f>
        <v>5</v>
      </c>
      <c r="R205" s="265">
        <f>IF(ResultsTeams[[#This Row],[Type]]="G",SUM(R206:R209),IF(LEFT(ResultsTeams[[#This Row],[Type]],1)="P",VALUE(ResultsTeams[[#This Row],[Score-B]]),""))</f>
        <v>0</v>
      </c>
      <c r="S205" s="265" t="str">
        <f ca="1">IF(AND(ResultsTeams[[#This Row],[Category]]&lt;&gt;"",ResultsTeams[[#This Row],[Team A]]&lt;&gt;""),COUNTIF(INDIRECT("TeamsList[Club Name]"),ResultsTeams[[#This Row],[Team A]]),"")</f>
        <v/>
      </c>
      <c r="T205" s="265" t="str">
        <f ca="1">IF(AND(ResultsTeams[[#This Row],[Category]]&lt;&gt;"",ResultsTeams[[#This Row],[Team B]]&lt;&gt;""),COUNTIF(INDIRECT("TeamsList[Club Name]"),ResultsTeams[[#This Row],[Team B]]),"")</f>
        <v/>
      </c>
      <c r="U2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Brach</v>
      </c>
      <c r="V205" s="265" t="str">
        <f>IF(ResultsTeams[[#This Row],[Score_OK]],IF(ResultsTeams[[#This Row],[StageCpy]]="Groups",ResultsTeams[[#This Row],[Category]]&amp;"-"&amp;IF(ResultsTeams[[#This Row],[Team B]]="","",IF(ResultsTeams[[#This Row],[Match-A]]=ResultsTeams[[#This Row],[Match-B]],ResultsTeams[[#This Row],[Team A]],"")),""),"")</f>
        <v>-</v>
      </c>
      <c r="W205" s="265" t="str">
        <f>IF(ResultsTeams[[#This Row],[Score_OK]],IF(ResultsTeams[[#This Row],[StageCpy]]="Groups",ResultsTeams[[#This Row],[Category]]&amp;"-"&amp;IF(ResultsTeams[[#This Row],[Team B]]="","",IF(ResultsTeams[[#This Row],[Match-A]]=ResultsTeams[[#This Row],[Match-B]],ResultsTeams[[#This Row],[Team B]],"")),""),"")</f>
        <v>-</v>
      </c>
      <c r="X2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-Yasser Rouis</v>
      </c>
      <c r="Y2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5" s="264" t="str">
        <f>IF(ResultsTeams[[#This Row],[Category]]="","",VLOOKUP(ResultsTeams[[#This Row],[Stage]],$R$1:$T$8,MATCH(ResultsTeams[[#This Row],[Category]],$S$1:$T$1,0)+1,FALSE))</f>
        <v/>
      </c>
      <c r="AC2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5" s="264" t="str">
        <f>IF(ResultsTeams[[#This Row],[Type]]="G",ResultsTeams[[#This Row],[Stage]],AD204)</f>
        <v>Groups</v>
      </c>
      <c r="AE205" s="395" t="str">
        <f>IF(ResultsTeams[[#This Row],[Type]]="G",INDEX(TeamsList[Club Name],MATCH(ResultsTeams[[#This Row],[Team A]],TeamsList[Team Name],0)),AE204)</f>
        <v>SC Charleroi</v>
      </c>
      <c r="AF205" s="395" t="str">
        <f>IF(ResultsTeams[[#This Row],[Type]]="G",INDEX(TeamsList[Club Name],MATCH(ResultsTeams[[#This Row],[Team B]],TeamsList[Team Name],0)),AF204)</f>
        <v>FTC Caen</v>
      </c>
      <c r="AG205" s="265"/>
    </row>
    <row r="206" spans="1:72" ht="12" thickBot="1" x14ac:dyDescent="0.25">
      <c r="A206" s="62"/>
      <c r="B206" s="62"/>
      <c r="C206" s="62"/>
      <c r="D206" s="62"/>
      <c r="E206" s="241" t="s">
        <v>12243</v>
      </c>
      <c r="F206" s="247"/>
      <c r="G206" s="247"/>
      <c r="H206" s="254"/>
      <c r="I206" s="254"/>
      <c r="J206" s="260"/>
      <c r="K206" s="364"/>
      <c r="L206" s="364"/>
      <c r="M206" s="247"/>
      <c r="N206" s="265" t="b">
        <f>NOT(ISERROR(ResultsTeams[[#This Row],[Goal-A]]+ResultsTeams[[#This Row],[Goal-B]]))</f>
        <v>0</v>
      </c>
      <c r="O206" s="265" t="str">
        <f>IF(ResultsTeams[[#This Row],[Type]]="G",SUM(O207:O210),IF(LEFT(ResultsTeams[[#This Row],[Type]],1)="P",IF(ResultsTeams[[#This Row],[Goal-A]]&gt;ResultsTeams[[#This Row],[Goal-B]],1,0),""))</f>
        <v/>
      </c>
      <c r="P206" s="265" t="str">
        <f>IF(ResultsTeams[[#This Row],[Type]]="G",SUM(P207:P210),IF(LEFT(ResultsTeams[[#This Row],[Type]],1)="P",IF(ResultsTeams[[#This Row],[Goal-A]]&lt;ResultsTeams[[#This Row],[Goal-B]],1,0),""))</f>
        <v/>
      </c>
      <c r="Q206" s="265" t="str">
        <f>IF(ResultsTeams[[#This Row],[Type]]="G",SUM(Q207:Q210),IF(LEFT(ResultsTeams[[#This Row],[Type]],1)="P",VALUE(ResultsTeams[[#This Row],[Score-A]]),""))</f>
        <v/>
      </c>
      <c r="R206" s="265" t="str">
        <f>IF(ResultsTeams[[#This Row],[Type]]="G",SUM(R207:R210),IF(LEFT(ResultsTeams[[#This Row],[Type]],1)="P",VALUE(ResultsTeams[[#This Row],[Score-B]]),""))</f>
        <v/>
      </c>
      <c r="S206" s="265" t="str">
        <f ca="1">IF(AND(ResultsTeams[[#This Row],[Category]]&lt;&gt;"",ResultsTeams[[#This Row],[Team A]]&lt;&gt;""),COUNTIF(INDIRECT("TeamsList[Club Name]"),ResultsTeams[[#This Row],[Team A]]),"")</f>
        <v/>
      </c>
      <c r="T206" s="265" t="str">
        <f ca="1">IF(AND(ResultsTeams[[#This Row],[Category]]&lt;&gt;"",ResultsTeams[[#This Row],[Team B]]&lt;&gt;""),COUNTIF(INDIRECT("TeamsList[Club Name]"),ResultsTeams[[#This Row],[Team B]]),"")</f>
        <v/>
      </c>
      <c r="U2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6" s="265" t="str">
        <f>IF(ResultsTeams[[#This Row],[Score_OK]],IF(ResultsTeams[[#This Row],[StageCpy]]="Groups",ResultsTeams[[#This Row],[Category]]&amp;"-"&amp;IF(ResultsTeams[[#This Row],[Team B]]="","",IF(ResultsTeams[[#This Row],[Match-A]]=ResultsTeams[[#This Row],[Match-B]],ResultsTeams[[#This Row],[Team A]],"")),""),"")</f>
        <v/>
      </c>
      <c r="W206" s="265" t="str">
        <f>IF(ResultsTeams[[#This Row],[Score_OK]],IF(ResultsTeams[[#This Row],[StageCpy]]="Groups",ResultsTeams[[#This Row],[Category]]&amp;"-"&amp;IF(ResultsTeams[[#This Row],[Team B]]="","",IF(ResultsTeams[[#This Row],[Match-A]]=ResultsTeams[[#This Row],[Match-B]],ResultsTeams[[#This Row],[Team B]],"")),""),"")</f>
        <v/>
      </c>
      <c r="X2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6" s="264" t="str">
        <f>IF(ResultsTeams[[#This Row],[Category]]="","",VLOOKUP(ResultsTeams[[#This Row],[Stage]],$R$1:$T$8,MATCH(ResultsTeams[[#This Row],[Category]],$S$1:$T$1,0)+1,FALSE))</f>
        <v/>
      </c>
      <c r="AC2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6" s="264" t="str">
        <f>IF(ResultsTeams[[#This Row],[Type]]="G",ResultsTeams[[#This Row],[Stage]],AD205)</f>
        <v>Groups</v>
      </c>
      <c r="AE206" s="395" t="str">
        <f>IF(ResultsTeams[[#This Row],[Type]]="G",INDEX(TeamsList[Club Name],MATCH(ResultsTeams[[#This Row],[Team A]],TeamsList[Team Name],0)),AE205)</f>
        <v>SC Charleroi</v>
      </c>
      <c r="AF206" s="395" t="str">
        <f>IF(ResultsTeams[[#This Row],[Type]]="G",INDEX(TeamsList[Club Name],MATCH(ResultsTeams[[#This Row],[Team B]],TeamsList[Team Name],0)),AF205)</f>
        <v>FTC Caen</v>
      </c>
      <c r="AG206" s="265"/>
      <c r="AH206" s="281"/>
      <c r="AI206" s="315"/>
      <c r="AJ206" s="289" t="s">
        <v>14438</v>
      </c>
      <c r="AK206" s="290" t="s">
        <v>12279</v>
      </c>
      <c r="AL206" s="300" t="s">
        <v>12275</v>
      </c>
      <c r="AM206" s="296" t="s">
        <v>12276</v>
      </c>
      <c r="AN206" s="291" t="s">
        <v>12271</v>
      </c>
      <c r="AO206" s="291" t="s">
        <v>12272</v>
      </c>
      <c r="AP206" s="414" t="s">
        <v>13154</v>
      </c>
      <c r="AQ206" s="291" t="s">
        <v>12273</v>
      </c>
      <c r="AR206" s="297" t="s">
        <v>12274</v>
      </c>
      <c r="AS206" s="414" t="s">
        <v>13154</v>
      </c>
      <c r="AT206" s="296" t="s">
        <v>12199</v>
      </c>
      <c r="AU206" s="291" t="s">
        <v>12200</v>
      </c>
      <c r="AV206" s="291" t="s">
        <v>12201</v>
      </c>
      <c r="AW206" s="291" t="s">
        <v>12202</v>
      </c>
      <c r="AX206" s="291" t="s">
        <v>12203</v>
      </c>
      <c r="AY206" s="291" t="s">
        <v>12697</v>
      </c>
      <c r="AZ206" s="291" t="s">
        <v>12698</v>
      </c>
      <c r="BA206" s="291" t="s">
        <v>12699</v>
      </c>
      <c r="BB206" s="291" t="s">
        <v>12700</v>
      </c>
      <c r="BC206" s="291" t="s">
        <v>12204</v>
      </c>
      <c r="BD206" s="291" t="s">
        <v>12205</v>
      </c>
      <c r="BE206" s="297" t="s">
        <v>12206</v>
      </c>
      <c r="BF206" s="395"/>
      <c r="BG206" s="282" t="s">
        <v>12276</v>
      </c>
      <c r="BH206" s="282" t="s">
        <v>12133</v>
      </c>
      <c r="BI206" s="283" t="s">
        <v>12199</v>
      </c>
      <c r="BJ206" s="283" t="s">
        <v>12200</v>
      </c>
      <c r="BK206" s="283" t="s">
        <v>12201</v>
      </c>
      <c r="BL206" s="283" t="s">
        <v>12202</v>
      </c>
      <c r="BM206" s="283" t="s">
        <v>12203</v>
      </c>
      <c r="BN206" s="290" t="s">
        <v>12697</v>
      </c>
      <c r="BO206" s="354" t="s">
        <v>12698</v>
      </c>
      <c r="BP206" s="283" t="s">
        <v>12699</v>
      </c>
      <c r="BQ206" s="300" t="s">
        <v>12700</v>
      </c>
      <c r="BR206" s="351" t="s">
        <v>12204</v>
      </c>
      <c r="BS206" s="283" t="s">
        <v>12205</v>
      </c>
      <c r="BT206" s="300" t="s">
        <v>12206</v>
      </c>
    </row>
    <row r="207" spans="1:72" ht="12" thickBot="1" x14ac:dyDescent="0.25">
      <c r="A207" s="83"/>
      <c r="B207" s="83"/>
      <c r="C207" s="83"/>
      <c r="D207" s="83"/>
      <c r="E207" s="268" t="s">
        <v>12244</v>
      </c>
      <c r="F207" s="262"/>
      <c r="G207" s="262"/>
      <c r="H207" s="324"/>
      <c r="I207" s="324"/>
      <c r="J207" s="263"/>
      <c r="K207" s="365"/>
      <c r="L207" s="365"/>
      <c r="M207" s="262"/>
      <c r="N207" s="265" t="b">
        <f>NOT(ISERROR(ResultsTeams[[#This Row],[Goal-A]]+ResultsTeams[[#This Row],[Goal-B]]))</f>
        <v>0</v>
      </c>
      <c r="O207" s="265" t="str">
        <f>IF(ResultsTeams[[#This Row],[Type]]="G",SUM(O208:O211),IF(LEFT(ResultsTeams[[#This Row],[Type]],1)="P",IF(ResultsTeams[[#This Row],[Goal-A]]&gt;ResultsTeams[[#This Row],[Goal-B]],1,0),""))</f>
        <v/>
      </c>
      <c r="P207" s="265" t="str">
        <f>IF(ResultsTeams[[#This Row],[Type]]="G",SUM(P208:P211),IF(LEFT(ResultsTeams[[#This Row],[Type]],1)="P",IF(ResultsTeams[[#This Row],[Goal-A]]&lt;ResultsTeams[[#This Row],[Goal-B]],1,0),""))</f>
        <v/>
      </c>
      <c r="Q207" s="265" t="str">
        <f>IF(ResultsTeams[[#This Row],[Type]]="G",SUM(Q208:Q211),IF(LEFT(ResultsTeams[[#This Row],[Type]],1)="P",VALUE(ResultsTeams[[#This Row],[Score-A]]),""))</f>
        <v/>
      </c>
      <c r="R207" s="265" t="str">
        <f>IF(ResultsTeams[[#This Row],[Type]]="G",SUM(R208:R211),IF(LEFT(ResultsTeams[[#This Row],[Type]],1)="P",VALUE(ResultsTeams[[#This Row],[Score-B]]),""))</f>
        <v/>
      </c>
      <c r="S207" s="265" t="str">
        <f ca="1">IF(AND(ResultsTeams[[#This Row],[Category]]&lt;&gt;"",ResultsTeams[[#This Row],[Team A]]&lt;&gt;""),COUNTIF(INDIRECT("TeamsList[Club Name]"),ResultsTeams[[#This Row],[Team A]]),"")</f>
        <v/>
      </c>
      <c r="T207" s="265" t="str">
        <f ca="1">IF(AND(ResultsTeams[[#This Row],[Category]]&lt;&gt;"",ResultsTeams[[#This Row],[Team B]]&lt;&gt;""),COUNTIF(INDIRECT("TeamsList[Club Name]"),ResultsTeams[[#This Row],[Team B]]),"")</f>
        <v/>
      </c>
      <c r="U2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7" s="265" t="str">
        <f>IF(ResultsTeams[[#This Row],[Score_OK]],IF(ResultsTeams[[#This Row],[StageCpy]]="Groups",ResultsTeams[[#This Row],[Category]]&amp;"-"&amp;IF(ResultsTeams[[#This Row],[Team B]]="","",IF(ResultsTeams[[#This Row],[Match-A]]=ResultsTeams[[#This Row],[Match-B]],ResultsTeams[[#This Row],[Team A]],"")),""),"")</f>
        <v/>
      </c>
      <c r="W207" s="265" t="str">
        <f>IF(ResultsTeams[[#This Row],[Score_OK]],IF(ResultsTeams[[#This Row],[StageCpy]]="Groups",ResultsTeams[[#This Row],[Category]]&amp;"-"&amp;IF(ResultsTeams[[#This Row],[Team B]]="","",IF(ResultsTeams[[#This Row],[Match-A]]=ResultsTeams[[#This Row],[Match-B]],ResultsTeams[[#This Row],[Team B]],"")),""),"")</f>
        <v/>
      </c>
      <c r="X2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7" s="264" t="str">
        <f>IF(ResultsTeams[[#This Row],[Category]]="","",VLOOKUP(ResultsTeams[[#This Row],[Stage]],$R$1:$T$8,MATCH(ResultsTeams[[#This Row],[Category]],$S$1:$T$1,0)+1,FALSE))</f>
        <v/>
      </c>
      <c r="AC2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7" s="264" t="str">
        <f>IF(ResultsTeams[[#This Row],[Type]]="G",ResultsTeams[[#This Row],[Stage]],AD206)</f>
        <v>Groups</v>
      </c>
      <c r="AE207" s="395" t="str">
        <f>IF(ResultsTeams[[#This Row],[Type]]="G",INDEX(TeamsList[Club Name],MATCH(ResultsTeams[[#This Row],[Team A]],TeamsList[Team Name],0)),AE206)</f>
        <v>SC Charleroi</v>
      </c>
      <c r="AF207" s="395" t="str">
        <f>IF(ResultsTeams[[#This Row],[Type]]="G",INDEX(TeamsList[Club Name],MATCH(ResultsTeams[[#This Row],[Team B]],TeamsList[Team Name],0)),AF206)</f>
        <v>FTC Caen</v>
      </c>
      <c r="AG207" s="265"/>
      <c r="AI207" s="12">
        <f>AI206</f>
        <v>0</v>
      </c>
      <c r="AJ207" s="309"/>
      <c r="AK207" s="320"/>
      <c r="AL207" s="311"/>
      <c r="AM207" s="292" t="str">
        <f>IF(AV207="","",SMALL(AN207:AN213,ROWS(AM207:AM207)))</f>
        <v/>
      </c>
      <c r="AN207" s="293" t="str">
        <f>IF(AV207="","",RANK(AR207,AR207:AR213)*1000+ROWS(AN207:AN207))</f>
        <v/>
      </c>
      <c r="AO207" s="316" t="str">
        <f t="shared" ref="AO207:AO213" si="170">IF(AV207="","",AT207*CritClassEq1_Points+AY207*CritClassEq1_DiffRencontres+BB207*CritClassEq1_DiffMatches+BE207*CritClassEq1_DiffButs+AZ207*CritClassEq1_Matches+BC207*CritClassEq1_Attaque)</f>
        <v/>
      </c>
      <c r="AP207" s="415" t="b">
        <f>AND(AU207&lt;&gt;"",AU207&gt;0,COUNTIF(AO207:AO213,AO207)&gt;1)</f>
        <v>0</v>
      </c>
      <c r="AQ207" s="316" t="str">
        <f t="shared" ref="AQ207:AQ213" si="171">IF(AV207="","",CritClassEq_DiffPart*AK207)</f>
        <v/>
      </c>
      <c r="AR207" s="317" t="str">
        <f t="shared" ref="AR207:AR213" si="172">IF(AV207="","",AO207+AQ207+AT207*CritClassEq2_Points+AY207*CritClassEq2_DiffRencontres+BB207*CritClassEq2_DiffMatches+BE207*CritClassEq2_DiffButs+AZ207*CritClassEq2_Matches+BC207*CritClassEq2_Attaque+AL207)</f>
        <v/>
      </c>
      <c r="AS207" s="415" t="b">
        <f>AND(AU207&lt;&gt;"",AU207&gt;0,COUNTIF(AR207:AR213,AR207)&gt;1)</f>
        <v>0</v>
      </c>
      <c r="AT207" s="355" t="str">
        <f t="shared" ref="AT207:AT213" si="173">IF(AV207="","",(AV207*Points_Victoire)+AW207*Points_Null)</f>
        <v/>
      </c>
      <c r="AU207" s="356" t="str">
        <f t="shared" ref="AU207:AU213" si="174">IF(AV207="","",SUM(AV207:AX207))</f>
        <v/>
      </c>
      <c r="AV207" s="356" t="str">
        <f>IF(OR(AI206="",AJ207=""),"",COUNTIF(ResultsTeams[Win],AI206&amp;"-"&amp;AJ207))</f>
        <v/>
      </c>
      <c r="AW207" s="356" t="str">
        <f>IF(OR(AI206="",AJ207=""),"",COUNTIF(ResultsTeams[[Draw1]:[Draw2]],AI206&amp;"-"&amp;AJ207))</f>
        <v/>
      </c>
      <c r="AX207" s="356" t="str">
        <f>IF(OR(AI206="",AJ207=""),"",COUNTIF(ResultsTeams[Lose],AI206&amp;"-"&amp;AJ207))</f>
        <v/>
      </c>
      <c r="AY207" s="356" t="str">
        <f>IF(OR(AI206="",AJ207=""),"",AV207-AX207)</f>
        <v/>
      </c>
      <c r="AZ207" s="356" t="str">
        <f>IF(OR(AI206="",AJ207=""),"",SUMIFS(ResultsTeams[Match-A],ResultsTeams[Stage],"Groups",ResultsTeams[Team A],AJ207)+SUMIFS(ResultsTeams[Match-B],ResultsTeams[Stage],"Groups",ResultsTeams[Team B],AJ207))</f>
        <v/>
      </c>
      <c r="BA207" s="356" t="str">
        <f>IF(OR(AI206="",AJ207=""),"",SUMIFS(ResultsTeams[Match-B],ResultsTeams[Stage],"Groups",ResultsTeams[Team A],AJ207)+SUMIFS(ResultsTeams[Match-A],ResultsTeams[Stage],"Groups",ResultsTeams[Team B],AJ207))</f>
        <v/>
      </c>
      <c r="BB207" s="356" t="str">
        <f>IF(OR(AI206="",AJ207=""),"",AZ207-BA207)</f>
        <v/>
      </c>
      <c r="BC207" s="356" t="str">
        <f>IF(OR(AI206="",AJ207=""),"",SUMIFS(ResultsTeams[Goal-A],ResultsTeams[Stage],"Groups",ResultsTeams[Team A],AJ207)+SUMIFS(ResultsTeams[Goal-B],ResultsTeams[Stage],"Groups",ResultsTeams[Team B],AJ207))</f>
        <v/>
      </c>
      <c r="BD207" s="356" t="str">
        <f>IF(OR(AI206="",AJ207=""),"",SUMIFS(ResultsTeams[Goal-B],ResultsTeams[Stage],"Groups",ResultsTeams[Team A],AJ207)+SUMIFS(ResultsTeams[Goal-A],ResultsTeams[Stage],"Groups",ResultsTeams[Team B],AJ207))</f>
        <v/>
      </c>
      <c r="BE207" s="357" t="str">
        <f>IF(OR(AI206="",AJ207=""),"",BC207-BD207)</f>
        <v/>
      </c>
      <c r="BF207" s="470" t="str">
        <f>IF(AM207="","",OR(VLOOKUP(AM207,AN207:BE213,3,FALSE),VLOOKUP(AM207,AN207:BE213,6,FALSE)))</f>
        <v/>
      </c>
      <c r="BG207" s="298" t="str">
        <f t="shared" ref="BG207:BG213" si="175">IF(AM207="","",INT(AM207/1000))</f>
        <v/>
      </c>
      <c r="BH207" s="285" t="str">
        <f>IF(AM207="","",INDEX(AJ207:AJ213,MATCH(AM207,AN207:AN213,0)))</f>
        <v/>
      </c>
      <c r="BI207" s="286" t="str">
        <f>IF(AM207="","",VLOOKUP(AM207,AN207:BE213,COLUMN()-COLUMN(BB206),FALSE))</f>
        <v/>
      </c>
      <c r="BJ207" s="286" t="str">
        <f>IF(AM207="","",VLOOKUP(AM207,AN207:BE213,COLUMN()-COLUMN(BB206),FALSE))</f>
        <v/>
      </c>
      <c r="BK207" s="286" t="str">
        <f>IF(AM207="","",VLOOKUP(AM207,AN207:BE213,COLUMN()-COLUMN(BB206),FALSE))</f>
        <v/>
      </c>
      <c r="BL207" s="286" t="str">
        <f>IF(AM207="","",VLOOKUP(AM207,AN207:BE213,COLUMN()-COLUMN(BB206),FALSE))</f>
        <v/>
      </c>
      <c r="BM207" s="286" t="str">
        <f>IF(AM207="","",VLOOKUP(AM207,AN207:BE213,COLUMN()-COLUMN(BB206),FALSE))</f>
        <v/>
      </c>
      <c r="BN207" s="349" t="str">
        <f>IF(AM207="","",VLOOKUP(AM207,AN207:BE213,COLUMN()-COLUMN(BB206),FALSE))</f>
        <v/>
      </c>
      <c r="BO207" s="298" t="str">
        <f>IF(AM207="","",VLOOKUP(AM207,AN207:BE213,COLUMN()-COLUMN(BB206),FALSE))</f>
        <v/>
      </c>
      <c r="BP207" s="286" t="str">
        <f>IF(AM207="","",VLOOKUP(AM207,AN207:BE213,COLUMN()-COLUMN(BB206),FALSE))</f>
        <v/>
      </c>
      <c r="BQ207" s="301" t="str">
        <f>IF(AM207="","",VLOOKUP(AM207,AN207:BE213,COLUMN()-COLUMN(BB206),FALSE))</f>
        <v/>
      </c>
      <c r="BR207" s="352" t="str">
        <f>IF(AM207="","",VLOOKUP(AM207,AN207:BE213,COLUMN()-COLUMN(BB206),FALSE))</f>
        <v/>
      </c>
      <c r="BS207" s="286" t="str">
        <f>IF(AM207="","",VLOOKUP(AM207,AN207:BE213,COLUMN()-COLUMN(BB206),FALSE))</f>
        <v/>
      </c>
      <c r="BT207" s="301" t="str">
        <f>IF(AM207="","",VLOOKUP(AM207,AN207:BE213,COLUMN()-COLUMN(BB206),FALSE))</f>
        <v/>
      </c>
    </row>
    <row r="208" spans="1:72" ht="12" thickBot="1" x14ac:dyDescent="0.25">
      <c r="A208" s="261" t="s">
        <v>12693</v>
      </c>
      <c r="B208" s="270" t="s">
        <v>12207</v>
      </c>
      <c r="C208" s="270">
        <v>4</v>
      </c>
      <c r="D208" s="270"/>
      <c r="E208" s="272" t="s">
        <v>12228</v>
      </c>
      <c r="F208" s="273" t="s">
        <v>201</v>
      </c>
      <c r="G208" s="273" t="s">
        <v>57</v>
      </c>
      <c r="H208" s="275">
        <v>3</v>
      </c>
      <c r="I208" s="275">
        <v>1</v>
      </c>
      <c r="J208" s="275"/>
      <c r="K208" s="366"/>
      <c r="L208" s="366"/>
      <c r="M208" s="274"/>
      <c r="N208" s="265" t="b">
        <f>NOT(ISERROR(ResultsTeams[[#This Row],[Goal-A]]+ResultsTeams[[#This Row],[Goal-B]]))</f>
        <v>1</v>
      </c>
      <c r="O208" s="265">
        <f>IF(ResultsTeams[[#This Row],[Type]]="G",SUM(O209:O212),IF(LEFT(ResultsTeams[[#This Row],[Type]],1)="P",IF(ResultsTeams[[#This Row],[Goal-A]]&gt;ResultsTeams[[#This Row],[Goal-B]],1,0),""))</f>
        <v>3</v>
      </c>
      <c r="P208" s="265">
        <f>IF(ResultsTeams[[#This Row],[Type]]="G",SUM(P209:P212),IF(LEFT(ResultsTeams[[#This Row],[Type]],1)="P",IF(ResultsTeams[[#This Row],[Goal-A]]&lt;ResultsTeams[[#This Row],[Goal-B]],1,0),""))</f>
        <v>1</v>
      </c>
      <c r="Q208" s="265">
        <f>IF(ResultsTeams[[#This Row],[Type]]="G",SUM(Q209:Q212),IF(LEFT(ResultsTeams[[#This Row],[Type]],1)="P",VALUE(ResultsTeams[[#This Row],[Score-A]]),""))</f>
        <v>12</v>
      </c>
      <c r="R208" s="265">
        <f>IF(ResultsTeams[[#This Row],[Type]]="G",SUM(R209:R212),IF(LEFT(ResultsTeams[[#This Row],[Type]],1)="P",VALUE(ResultsTeams[[#This Row],[Score-B]]),""))</f>
        <v>6</v>
      </c>
      <c r="S208" s="265">
        <f ca="1">IF(AND(ResultsTeams[[#This Row],[Category]]&lt;&gt;"",ResultsTeams[[#This Row],[Team A]]&lt;&gt;""),COUNTIF(INDIRECT("TeamsList[Club Name]"),ResultsTeams[[#This Row],[Team A]]),"")</f>
        <v>1</v>
      </c>
      <c r="T208" s="265">
        <f ca="1">IF(AND(ResultsTeams[[#This Row],[Category]]&lt;&gt;"",ResultsTeams[[#This Row],[Team B]]&lt;&gt;""),COUNTIF(INDIRECT("TeamsList[Club Name]"),ResultsTeams[[#This Row],[Team B]]),"")</f>
        <v>1</v>
      </c>
      <c r="U2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TEAM-CCT Eagles Napoli</v>
      </c>
      <c r="V208" s="265" t="str">
        <f>IF(ResultsTeams[[#This Row],[Score_OK]],IF(ResultsTeams[[#This Row],[StageCpy]]="Groups",ResultsTeams[[#This Row],[Category]]&amp;"-"&amp;IF(ResultsTeams[[#This Row],[Team B]]="","",IF(ResultsTeams[[#This Row],[Match-A]]=ResultsTeams[[#This Row],[Match-B]],ResultsTeams[[#This Row],[Team A]],"")),""),"")</f>
        <v>TEAM-</v>
      </c>
      <c r="W208" s="265" t="str">
        <f>IF(ResultsTeams[[#This Row],[Score_OK]],IF(ResultsTeams[[#This Row],[StageCpy]]="Groups",ResultsTeams[[#This Row],[Category]]&amp;"-"&amp;IF(ResultsTeams[[#This Row],[Team B]]="","",IF(ResultsTeams[[#This Row],[Match-A]]=ResultsTeams[[#This Row],[Match-B]],ResultsTeams[[#This Row],[Team B]],"")),""),"")</f>
        <v>TEAM-</v>
      </c>
      <c r="X2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Charleroi</v>
      </c>
      <c r="Y2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Charleroi</v>
      </c>
      <c r="AA2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Charleroi</v>
      </c>
      <c r="AB208" s="264" t="str">
        <f>IF(ResultsTeams[[#This Row],[Category]]="","",VLOOKUP(ResultsTeams[[#This Row],[Stage]],$R$1:$T$8,MATCH(ResultsTeams[[#This Row],[Category]],$S$1:$T$1,0)+1,FALSE))</f>
        <v>PR1</v>
      </c>
      <c r="AC2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8" s="264" t="str">
        <f>IF(ResultsTeams[[#This Row],[Type]]="G",ResultsTeams[[#This Row],[Stage]],AD207)</f>
        <v>Groups</v>
      </c>
      <c r="AE208" s="395" t="str">
        <f>IF(ResultsTeams[[#This Row],[Type]]="G",INDEX(TeamsList[Club Name],MATCH(ResultsTeams[[#This Row],[Team A]],TeamsList[Team Name],0)),AE207)</f>
        <v>CCT Eagles Napoli</v>
      </c>
      <c r="AF208" s="395" t="str">
        <f>IF(ResultsTeams[[#This Row],[Type]]="G",INDEX(TeamsList[Club Name],MATCH(ResultsTeams[[#This Row],[Team B]],TeamsList[Team Name],0)),AF207)</f>
        <v>SC Charleroi</v>
      </c>
      <c r="AG208" s="265"/>
      <c r="AI208" s="12">
        <f>AI207</f>
        <v>0</v>
      </c>
      <c r="AJ208" s="309"/>
      <c r="AK208" s="320"/>
      <c r="AL208" s="311"/>
      <c r="AM208" s="292" t="str">
        <f>IF(AV208="","",SMALL(AN207:AN213,ROWS(AM207:AM208)))</f>
        <v/>
      </c>
      <c r="AN208" s="293" t="str">
        <f>IF(AV208="","",RANK(AR208,AR207:AR213)*1000+ROWS(AN207:AN208))</f>
        <v/>
      </c>
      <c r="AO208" s="316" t="str">
        <f t="shared" si="170"/>
        <v/>
      </c>
      <c r="AP208" s="415" t="b">
        <f>AND(AU208&lt;&gt;"",AU208&gt;0,COUNTIF(AO207:AO213,AO208)&gt;1)</f>
        <v>0</v>
      </c>
      <c r="AQ208" s="316" t="str">
        <f t="shared" si="171"/>
        <v/>
      </c>
      <c r="AR208" s="317" t="str">
        <f t="shared" si="172"/>
        <v/>
      </c>
      <c r="AS208" s="415" t="b">
        <f>AND(AU208&lt;&gt;"",AU208&gt;0,COUNTIF(AR207:AR213,AR208)&gt;1)</f>
        <v>0</v>
      </c>
      <c r="AT208" s="355" t="str">
        <f t="shared" si="173"/>
        <v/>
      </c>
      <c r="AU208" s="356" t="str">
        <f t="shared" si="174"/>
        <v/>
      </c>
      <c r="AV208" s="356" t="str">
        <f>IF(OR(AI206="",AJ208=""),"",COUNTIF(ResultsTeams[Win],AI206&amp;"-"&amp;AJ208))</f>
        <v/>
      </c>
      <c r="AW208" s="356" t="str">
        <f>IF(OR(AI206="",AJ208=""),"",COUNTIF(ResultsTeams[[Draw1]:[Draw2]],AI206&amp;"-"&amp;AJ208))</f>
        <v/>
      </c>
      <c r="AX208" s="356" t="str">
        <f>IF(OR(AI206="",AJ208=""),"",COUNTIF(ResultsTeams[Lose],AI206&amp;"-"&amp;AJ208))</f>
        <v/>
      </c>
      <c r="AY208" s="356" t="str">
        <f>IF(OR(AI206="",AJ208=""),"",AV208-AX208)</f>
        <v/>
      </c>
      <c r="AZ208" s="356" t="str">
        <f>IF(OR(AI207="",AJ208=""),"",SUMIFS(ResultsTeams[Match-A],ResultsTeams[Stage],"Groups",ResultsTeams[Team A],AJ208)+SUMIFS(ResultsTeams[Match-B],ResultsTeams[Stage],"Groups",ResultsTeams[Team B],AJ208))</f>
        <v/>
      </c>
      <c r="BA208" s="356" t="str">
        <f>IF(OR(AI207="",AJ208=""),"",SUMIFS(ResultsTeams[Match-B],ResultsTeams[Stage],"Groups",ResultsTeams[Team A],AJ208)+SUMIFS(ResultsTeams[Match-A],ResultsTeams[Stage],"Groups",ResultsTeams[Team B],AJ208))</f>
        <v/>
      </c>
      <c r="BB208" s="356" t="str">
        <f t="shared" ref="BB208:BB213" si="176">IF(OR(AI207="",AJ208=""),"",AZ208-BA208)</f>
        <v/>
      </c>
      <c r="BC208" s="356" t="str">
        <f>IF(OR(AI207="",AJ208=""),"",SUMIFS(ResultsTeams[Goal-A],ResultsTeams[Stage],"Groups",ResultsTeams[Team A],AJ208)+SUMIFS(ResultsTeams[Goal-B],ResultsTeams[Stage],"Groups",ResultsTeams[Team B],AJ208))</f>
        <v/>
      </c>
      <c r="BD208" s="356" t="str">
        <f>IF(OR(AI207="",AJ208=""),"",SUMIFS(ResultsTeams[Goal-B],ResultsTeams[Stage],"Groups",ResultsTeams[Team A],AJ208)+SUMIFS(ResultsTeams[Goal-A],ResultsTeams[Stage],"Groups",ResultsTeams[Team B],AJ208))</f>
        <v/>
      </c>
      <c r="BE208" s="357" t="str">
        <f>IF(OR(AI206="",AJ208=""),"",BC208-BD208)</f>
        <v/>
      </c>
      <c r="BF208" s="470" t="str">
        <f>IF(AM208="","",OR(VLOOKUP(AM208,AN207:BE213,3,FALSE),VLOOKUP(AM208,AN207:BE213,6,FALSE)))</f>
        <v/>
      </c>
      <c r="BG208" s="298" t="str">
        <f t="shared" si="175"/>
        <v/>
      </c>
      <c r="BH208" s="285" t="str">
        <f>IF(AM208="","",INDEX(AJ207:AJ213,MATCH(AM208,AN207:AN213,0)))</f>
        <v/>
      </c>
      <c r="BI208" s="286" t="str">
        <f>IF(AM208="","",VLOOKUP(AM208,AN207:BE213,COLUMN()-COLUMN(BB206),FALSE))</f>
        <v/>
      </c>
      <c r="BJ208" s="286" t="str">
        <f>IF(AM208="","",VLOOKUP(AM208,AN207:BE213,COLUMN()-COLUMN(BB206),FALSE))</f>
        <v/>
      </c>
      <c r="BK208" s="286" t="str">
        <f>IF(AM208="","",VLOOKUP(AM208,AN207:BE213,COLUMN()-COLUMN(BB206),FALSE))</f>
        <v/>
      </c>
      <c r="BL208" s="286" t="str">
        <f>IF(AM208="","",VLOOKUP(AM208,AN207:BE213,COLUMN()-COLUMN(BB206),FALSE))</f>
        <v/>
      </c>
      <c r="BM208" s="286" t="str">
        <f>IF(AM208="","",VLOOKUP(AM208,AN207:BE213,COLUMN()-COLUMN(BB206),FALSE))</f>
        <v/>
      </c>
      <c r="BN208" s="349" t="str">
        <f>IF(AM208="","",VLOOKUP(AM208,AN207:BE213,COLUMN()-COLUMN(BB206),FALSE))</f>
        <v/>
      </c>
      <c r="BO208" s="298" t="str">
        <f>IF(AM208="","",VLOOKUP(AM208,AN207:BE213,COLUMN()-COLUMN(BB206),FALSE))</f>
        <v/>
      </c>
      <c r="BP208" s="286" t="str">
        <f>IF(AM208="","",VLOOKUP(AM208,AN207:BE213,COLUMN()-COLUMN(BB206),FALSE))</f>
        <v/>
      </c>
      <c r="BQ208" s="301" t="str">
        <f>IF(AM208="","",VLOOKUP(AM208,AN207:BE213,COLUMN()-COLUMN(BB206),FALSE))</f>
        <v/>
      </c>
      <c r="BR208" s="352" t="str">
        <f>IF(AM208="","",VLOOKUP(AM208,AN207:BE213,COLUMN()-COLUMN(BB206),FALSE))</f>
        <v/>
      </c>
      <c r="BS208" s="286" t="str">
        <f>IF(AM208="","",VLOOKUP(AM208,AN207:BE213,COLUMN()-COLUMN(BB206),FALSE))</f>
        <v/>
      </c>
      <c r="BT208" s="301" t="str">
        <f>IF(AM208="","",VLOOKUP(AM208,AN207:BE213,COLUMN()-COLUMN(BB206),FALSE))</f>
        <v/>
      </c>
    </row>
    <row r="209" spans="1:72" x14ac:dyDescent="0.2">
      <c r="A209" s="60"/>
      <c r="B209" s="280"/>
      <c r="C209" s="60"/>
      <c r="D209" s="60"/>
      <c r="E209" s="240" t="s">
        <v>12231</v>
      </c>
      <c r="F209" s="244" t="s">
        <v>8089</v>
      </c>
      <c r="G209" s="244" t="s">
        <v>8082</v>
      </c>
      <c r="H209" s="253">
        <v>1</v>
      </c>
      <c r="I209" s="253">
        <v>0</v>
      </c>
      <c r="J209" s="253"/>
      <c r="K209" s="362"/>
      <c r="L209" s="362"/>
      <c r="M209" s="245"/>
      <c r="N209" s="265" t="b">
        <f>NOT(ISERROR(ResultsTeams[[#This Row],[Goal-A]]+ResultsTeams[[#This Row],[Goal-B]]))</f>
        <v>1</v>
      </c>
      <c r="O209" s="265">
        <f>IF(ResultsTeams[[#This Row],[Type]]="G",SUM(O210:O213),IF(LEFT(ResultsTeams[[#This Row],[Type]],1)="P",IF(ResultsTeams[[#This Row],[Goal-A]]&gt;ResultsTeams[[#This Row],[Goal-B]],1,0),""))</f>
        <v>1</v>
      </c>
      <c r="P209" s="265">
        <f>IF(ResultsTeams[[#This Row],[Type]]="G",SUM(P210:P213),IF(LEFT(ResultsTeams[[#This Row],[Type]],1)="P",IF(ResultsTeams[[#This Row],[Goal-A]]&lt;ResultsTeams[[#This Row],[Goal-B]],1,0),""))</f>
        <v>0</v>
      </c>
      <c r="Q209" s="265">
        <f>IF(ResultsTeams[[#This Row],[Type]]="G",SUM(Q210:Q213),IF(LEFT(ResultsTeams[[#This Row],[Type]],1)="P",VALUE(ResultsTeams[[#This Row],[Score-A]]),""))</f>
        <v>1</v>
      </c>
      <c r="R209" s="265">
        <f>IF(ResultsTeams[[#This Row],[Type]]="G",SUM(R210:R213),IF(LEFT(ResultsTeams[[#This Row],[Type]],1)="P",VALUE(ResultsTeams[[#This Row],[Score-B]]),""))</f>
        <v>0</v>
      </c>
      <c r="S209" s="265" t="str">
        <f ca="1">IF(AND(ResultsTeams[[#This Row],[Category]]&lt;&gt;"",ResultsTeams[[#This Row],[Team A]]&lt;&gt;""),COUNTIF(INDIRECT("TeamsList[Club Name]"),ResultsTeams[[#This Row],[Team A]]),"")</f>
        <v/>
      </c>
      <c r="T209" s="265" t="str">
        <f ca="1">IF(AND(ResultsTeams[[#This Row],[Category]]&lt;&gt;"",ResultsTeams[[#This Row],[Team B]]&lt;&gt;""),COUNTIF(INDIRECT("TeamsList[Club Name]"),ResultsTeams[[#This Row],[Team B]]),"")</f>
        <v/>
      </c>
      <c r="U2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Dheur</v>
      </c>
      <c r="V209" s="265" t="str">
        <f>IF(ResultsTeams[[#This Row],[Score_OK]],IF(ResultsTeams[[#This Row],[StageCpy]]="Groups",ResultsTeams[[#This Row],[Category]]&amp;"-"&amp;IF(ResultsTeams[[#This Row],[Team B]]="","",IF(ResultsTeams[[#This Row],[Match-A]]=ResultsTeams[[#This Row],[Match-B]],ResultsTeams[[#This Row],[Team A]],"")),""),"")</f>
        <v>-</v>
      </c>
      <c r="W209" s="265" t="str">
        <f>IF(ResultsTeams[[#This Row],[Score_OK]],IF(ResultsTeams[[#This Row],[StageCpy]]="Groups",ResultsTeams[[#This Row],[Category]]&amp;"-"&amp;IF(ResultsTeams[[#This Row],[Team B]]="","",IF(ResultsTeams[[#This Row],[Match-A]]=ResultsTeams[[#This Row],[Match-B]],ResultsTeams[[#This Row],[Team B]],"")),""),"")</f>
        <v>-</v>
      </c>
      <c r="X2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-Pierre De Leeuw</v>
      </c>
      <c r="Y2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9" s="264" t="str">
        <f>IF(ResultsTeams[[#This Row],[Category]]="","",VLOOKUP(ResultsTeams[[#This Row],[Stage]],$R$1:$T$8,MATCH(ResultsTeams[[#This Row],[Category]],$S$1:$T$1,0)+1,FALSE))</f>
        <v/>
      </c>
      <c r="AC2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9" s="264" t="str">
        <f>IF(ResultsTeams[[#This Row],[Type]]="G",ResultsTeams[[#This Row],[Stage]],AD208)</f>
        <v>Groups</v>
      </c>
      <c r="AE209" s="395" t="str">
        <f>IF(ResultsTeams[[#This Row],[Type]]="G",INDEX(TeamsList[Club Name],MATCH(ResultsTeams[[#This Row],[Team A]],TeamsList[Team Name],0)),AE208)</f>
        <v>CCT Eagles Napoli</v>
      </c>
      <c r="AF209" s="395" t="str">
        <f>IF(ResultsTeams[[#This Row],[Type]]="G",INDEX(TeamsList[Club Name],MATCH(ResultsTeams[[#This Row],[Team B]],TeamsList[Team Name],0)),AF208)</f>
        <v>SC Charleroi</v>
      </c>
      <c r="AG209" s="265"/>
      <c r="AI209" s="12">
        <f t="shared" ref="AI209:AI213" si="177">AI208</f>
        <v>0</v>
      </c>
      <c r="AJ209" s="309"/>
      <c r="AK209" s="320"/>
      <c r="AL209" s="311"/>
      <c r="AM209" s="292" t="str">
        <f>IF(AV209="","",SMALL(AN207:AN213,ROWS(AM207:AM209)))</f>
        <v/>
      </c>
      <c r="AN209" s="293" t="str">
        <f>IF(AV209="","",RANK(AR209,AR207:AR213)*1000+ROWS(AN207:AN209))</f>
        <v/>
      </c>
      <c r="AO209" s="316" t="str">
        <f t="shared" si="170"/>
        <v/>
      </c>
      <c r="AP209" s="415" t="b">
        <f>AND(AU209&lt;&gt;"",AU209&gt;0,COUNTIF(AO207:AO213,AO209)&gt;1)</f>
        <v>0</v>
      </c>
      <c r="AQ209" s="316" t="str">
        <f t="shared" si="171"/>
        <v/>
      </c>
      <c r="AR209" s="317" t="str">
        <f t="shared" si="172"/>
        <v/>
      </c>
      <c r="AS209" s="415" t="b">
        <f>AND(AU209&lt;&gt;"",AU209&gt;0,COUNTIF(AR207:AR213,AR209)&gt;1)</f>
        <v>0</v>
      </c>
      <c r="AT209" s="355" t="str">
        <f t="shared" si="173"/>
        <v/>
      </c>
      <c r="AU209" s="356" t="str">
        <f t="shared" si="174"/>
        <v/>
      </c>
      <c r="AV209" s="356" t="str">
        <f>IF(OR(AI206="",AJ209=""),"",COUNTIF(ResultsTeams[Win],AI206&amp;"-"&amp;AJ209))</f>
        <v/>
      </c>
      <c r="AW209" s="356" t="str">
        <f>IF(OR(AI206="",AJ209=""),"",COUNTIF(ResultsTeams[[Draw1]:[Draw2]],AI206&amp;"-"&amp;AJ209))</f>
        <v/>
      </c>
      <c r="AX209" s="356" t="str">
        <f>IF(OR(AI206="",AJ209=""),"",COUNTIF(ResultsTeams[Lose],AI206&amp;"-"&amp;AJ209))</f>
        <v/>
      </c>
      <c r="AY209" s="356" t="str">
        <f>IF(OR(AI206="",AJ209=""),"",AV209-AX209)</f>
        <v/>
      </c>
      <c r="AZ209" s="356" t="str">
        <f>IF(OR(AI208="",AJ209=""),"",SUMIFS(ResultsTeams[Match-A],ResultsTeams[Stage],"Groups",ResultsTeams[Team A],AJ209)+SUMIFS(ResultsTeams[Match-B],ResultsTeams[Stage],"Groups",ResultsTeams[Team B],AJ209))</f>
        <v/>
      </c>
      <c r="BA209" s="356" t="str">
        <f>IF(OR(AI208="",AJ209=""),"",SUMIFS(ResultsTeams[Match-B],ResultsTeams[Stage],"Groups",ResultsTeams[Team A],AJ209)+SUMIFS(ResultsTeams[Match-A],ResultsTeams[Stage],"Groups",ResultsTeams[Team B],AJ209))</f>
        <v/>
      </c>
      <c r="BB209" s="356" t="str">
        <f t="shared" si="176"/>
        <v/>
      </c>
      <c r="BC209" s="356" t="str">
        <f>IF(OR(AI208="",AJ209=""),"",SUMIFS(ResultsTeams[Goal-A],ResultsTeams[Stage],"Groups",ResultsTeams[Team A],AJ209)+SUMIFS(ResultsTeams[Goal-B],ResultsTeams[Stage],"Groups",ResultsTeams[Team B],AJ209))</f>
        <v/>
      </c>
      <c r="BD209" s="356" t="str">
        <f>IF(OR(AI208="",AJ209=""),"",SUMIFS(ResultsTeams[Goal-B],ResultsTeams[Stage],"Groups",ResultsTeams[Team A],AJ209)+SUMIFS(ResultsTeams[Goal-A],ResultsTeams[Stage],"Groups",ResultsTeams[Team B],AJ209))</f>
        <v/>
      </c>
      <c r="BE209" s="357" t="str">
        <f>IF(OR(AI206="",AJ209=""),"",BC209-BD209)</f>
        <v/>
      </c>
      <c r="BF209" s="470" t="str">
        <f>IF(AM209="","",OR(VLOOKUP(AM209,AN207:BE213,3,FALSE),VLOOKUP(AM209,AN207:BE213,6,FALSE)))</f>
        <v/>
      </c>
      <c r="BG209" s="298" t="str">
        <f t="shared" si="175"/>
        <v/>
      </c>
      <c r="BH209" s="285" t="str">
        <f>IF(AM209="","",INDEX(AJ207:AJ213,MATCH(AM209,AN207:AN213,0)))</f>
        <v/>
      </c>
      <c r="BI209" s="286" t="str">
        <f>IF(AM209="","",VLOOKUP(AM209,AN207:BE213,COLUMN()-COLUMN(BB206),FALSE))</f>
        <v/>
      </c>
      <c r="BJ209" s="286" t="str">
        <f>IF(AM209="","",VLOOKUP(AM209,AN207:BE213,COLUMN()-COLUMN(BB206),FALSE))</f>
        <v/>
      </c>
      <c r="BK209" s="286" t="str">
        <f>IF(AM209="","",VLOOKUP(AM209,AN207:BE213,COLUMN()-COLUMN(BB206),FALSE))</f>
        <v/>
      </c>
      <c r="BL209" s="286" t="str">
        <f>IF(AM209="","",VLOOKUP(AM209,AN207:BE213,COLUMN()-COLUMN(BB206),FALSE))</f>
        <v/>
      </c>
      <c r="BM209" s="286" t="str">
        <f>IF(AM209="","",VLOOKUP(AM209,AN207:BE213,COLUMN()-COLUMN(BB206),FALSE))</f>
        <v/>
      </c>
      <c r="BN209" s="349" t="str">
        <f>IF(AM209="","",VLOOKUP(AM209,AN207:BE213,COLUMN()-COLUMN(BB206),FALSE))</f>
        <v/>
      </c>
      <c r="BO209" s="298" t="str">
        <f>IF(AM209="","",VLOOKUP(AM209,AN207:BE213,COLUMN()-COLUMN(BB206),FALSE))</f>
        <v/>
      </c>
      <c r="BP209" s="286" t="str">
        <f>IF(AM209="","",VLOOKUP(AM209,AN207:BE213,COLUMN()-COLUMN(BB206),FALSE))</f>
        <v/>
      </c>
      <c r="BQ209" s="301" t="str">
        <f>IF(AM209="","",VLOOKUP(AM209,AN207:BE213,COLUMN()-COLUMN(BB206),FALSE))</f>
        <v/>
      </c>
      <c r="BR209" s="352" t="str">
        <f>IF(AM209="","",VLOOKUP(AM209,AN207:BE213,COLUMN()-COLUMN(BB206),FALSE))</f>
        <v/>
      </c>
      <c r="BS209" s="286" t="str">
        <f>IF(AM209="","",VLOOKUP(AM209,AN207:BE213,COLUMN()-COLUMN(BB206),FALSE))</f>
        <v/>
      </c>
      <c r="BT209" s="301" t="str">
        <f>IF(AM209="","",VLOOKUP(AM209,AN207:BE213,COLUMN()-COLUMN(BB206),FALSE))</f>
        <v/>
      </c>
    </row>
    <row r="210" spans="1:72" x14ac:dyDescent="0.2">
      <c r="A210" s="62"/>
      <c r="B210" s="280"/>
      <c r="C210" s="62"/>
      <c r="D210" s="62"/>
      <c r="E210" s="241" t="s">
        <v>12234</v>
      </c>
      <c r="F210" s="246" t="s">
        <v>10089</v>
      </c>
      <c r="G210" s="246" t="s">
        <v>8080</v>
      </c>
      <c r="H210" s="254">
        <v>4</v>
      </c>
      <c r="I210" s="254">
        <v>1</v>
      </c>
      <c r="J210" s="254"/>
      <c r="K210" s="363"/>
      <c r="L210" s="363"/>
      <c r="M210" s="247"/>
      <c r="N210" s="265" t="b">
        <f>NOT(ISERROR(ResultsTeams[[#This Row],[Goal-A]]+ResultsTeams[[#This Row],[Goal-B]]))</f>
        <v>1</v>
      </c>
      <c r="O210" s="265">
        <f>IF(ResultsTeams[[#This Row],[Type]]="G",SUM(O211:O214),IF(LEFT(ResultsTeams[[#This Row],[Type]],1)="P",IF(ResultsTeams[[#This Row],[Goal-A]]&gt;ResultsTeams[[#This Row],[Goal-B]],1,0),""))</f>
        <v>1</v>
      </c>
      <c r="P210" s="265">
        <f>IF(ResultsTeams[[#This Row],[Type]]="G",SUM(P211:P214),IF(LEFT(ResultsTeams[[#This Row],[Type]],1)="P",IF(ResultsTeams[[#This Row],[Goal-A]]&lt;ResultsTeams[[#This Row],[Goal-B]],1,0),""))</f>
        <v>0</v>
      </c>
      <c r="Q210" s="265">
        <f>IF(ResultsTeams[[#This Row],[Type]]="G",SUM(Q211:Q214),IF(LEFT(ResultsTeams[[#This Row],[Type]],1)="P",VALUE(ResultsTeams[[#This Row],[Score-A]]),""))</f>
        <v>4</v>
      </c>
      <c r="R210" s="265">
        <f>IF(ResultsTeams[[#This Row],[Type]]="G",SUM(R211:R214),IF(LEFT(ResultsTeams[[#This Row],[Type]],1)="P",VALUE(ResultsTeams[[#This Row],[Score-B]]),""))</f>
        <v>1</v>
      </c>
      <c r="S210" s="265" t="str">
        <f ca="1">IF(AND(ResultsTeams[[#This Row],[Category]]&lt;&gt;"",ResultsTeams[[#This Row],[Team A]]&lt;&gt;""),COUNTIF(INDIRECT("TeamsList[Club Name]"),ResultsTeams[[#This Row],[Team A]]),"")</f>
        <v/>
      </c>
      <c r="T210" s="265" t="str">
        <f ca="1">IF(AND(ResultsTeams[[#This Row],[Category]]&lt;&gt;"",ResultsTeams[[#This Row],[Team B]]&lt;&gt;""),COUNTIF(INDIRECT("TeamsList[Club Name]"),ResultsTeams[[#This Row],[Team B]]),"")</f>
        <v/>
      </c>
      <c r="U2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Di Vito</v>
      </c>
      <c r="V210" s="265" t="str">
        <f>IF(ResultsTeams[[#This Row],[Score_OK]],IF(ResultsTeams[[#This Row],[StageCpy]]="Groups",ResultsTeams[[#This Row],[Category]]&amp;"-"&amp;IF(ResultsTeams[[#This Row],[Team B]]="","",IF(ResultsTeams[[#This Row],[Match-A]]=ResultsTeams[[#This Row],[Match-B]],ResultsTeams[[#This Row],[Team A]],"")),""),"")</f>
        <v>-</v>
      </c>
      <c r="W210" s="265" t="str">
        <f>IF(ResultsTeams[[#This Row],[Score_OK]],IF(ResultsTeams[[#This Row],[StageCpy]]="Groups",ResultsTeams[[#This Row],[Category]]&amp;"-"&amp;IF(ResultsTeams[[#This Row],[Team B]]="","",IF(ResultsTeams[[#This Row],[Match-A]]=ResultsTeams[[#This Row],[Match-B]],ResultsTeams[[#This Row],[Team B]],"")),""),"")</f>
        <v>-</v>
      </c>
      <c r="X2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-Michaël Casciano</v>
      </c>
      <c r="Y2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0" s="264" t="str">
        <f>IF(ResultsTeams[[#This Row],[Category]]="","",VLOOKUP(ResultsTeams[[#This Row],[Stage]],$R$1:$T$8,MATCH(ResultsTeams[[#This Row],[Category]],$S$1:$T$1,0)+1,FALSE))</f>
        <v/>
      </c>
      <c r="AC2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0" s="264" t="str">
        <f>IF(ResultsTeams[[#This Row],[Type]]="G",ResultsTeams[[#This Row],[Stage]],AD209)</f>
        <v>Groups</v>
      </c>
      <c r="AE210" s="395" t="str">
        <f>IF(ResultsTeams[[#This Row],[Type]]="G",INDEX(TeamsList[Club Name],MATCH(ResultsTeams[[#This Row],[Team A]],TeamsList[Team Name],0)),AE209)</f>
        <v>CCT Eagles Napoli</v>
      </c>
      <c r="AF210" s="395" t="str">
        <f>IF(ResultsTeams[[#This Row],[Type]]="G",INDEX(TeamsList[Club Name],MATCH(ResultsTeams[[#This Row],[Team B]],TeamsList[Team Name],0)),AF209)</f>
        <v>SC Charleroi</v>
      </c>
      <c r="AG210" s="265"/>
      <c r="AH210" s="91"/>
      <c r="AI210" s="12">
        <f t="shared" si="177"/>
        <v>0</v>
      </c>
      <c r="AJ210" s="309"/>
      <c r="AK210" s="310"/>
      <c r="AL210" s="311"/>
      <c r="AM210" s="292" t="str">
        <f>IF(AV210="","",SMALL(AN207:AN213,ROWS(AM207:AM210)))</f>
        <v/>
      </c>
      <c r="AN210" s="293" t="str">
        <f>IF(AV210="","",RANK(AR210,AR207:AR213)*1000+ROWS(AN207:AN210))</f>
        <v/>
      </c>
      <c r="AO210" s="316" t="str">
        <f t="shared" si="170"/>
        <v/>
      </c>
      <c r="AP210" s="415" t="b">
        <f>AND(AU210&lt;&gt;"",AU210&gt;0,COUNTIF(AO207:AO213,AO210)&gt;1)</f>
        <v>0</v>
      </c>
      <c r="AQ210" s="316" t="str">
        <f t="shared" si="171"/>
        <v/>
      </c>
      <c r="AR210" s="317" t="str">
        <f t="shared" si="172"/>
        <v/>
      </c>
      <c r="AS210" s="415" t="b">
        <f>AND(AU210&lt;&gt;"",AU210&gt;0,COUNTIF(AR207:AR213,AR210)&gt;1)</f>
        <v>0</v>
      </c>
      <c r="AT210" s="355" t="str">
        <f t="shared" si="173"/>
        <v/>
      </c>
      <c r="AU210" s="356" t="str">
        <f t="shared" si="174"/>
        <v/>
      </c>
      <c r="AV210" s="356" t="str">
        <f>IF(OR(AI206="",AJ210=""),"",COUNTIF(ResultsTeams[Win],AI206&amp;"-"&amp;AJ210))</f>
        <v/>
      </c>
      <c r="AW210" s="356" t="str">
        <f>IF(OR(AI206="",AJ210=""),"",COUNTIF(ResultsTeams[[Draw1]:[Draw2]],AI206&amp;"-"&amp;AJ210))</f>
        <v/>
      </c>
      <c r="AX210" s="356" t="str">
        <f>IF(OR(AI206="",AJ210=""),"",COUNTIF(ResultsTeams[Lose],AI206&amp;"-"&amp;AJ210))</f>
        <v/>
      </c>
      <c r="AY210" s="356" t="str">
        <f>IF(OR(AI206="",AJ210=""),"",AV210-AX210)</f>
        <v/>
      </c>
      <c r="AZ210" s="356" t="str">
        <f>IF(OR(AI209="",AJ210=""),"",SUMIFS(ResultsTeams[Match-A],ResultsTeams[Stage],"Groups",ResultsTeams[Team A],AJ210)+SUMIFS(ResultsTeams[Match-B],ResultsTeams[Stage],"Groups",ResultsTeams[Team B],AJ210))</f>
        <v/>
      </c>
      <c r="BA210" s="356" t="str">
        <f>IF(OR(AI209="",AJ210=""),"",SUMIFS(ResultsTeams[Match-B],ResultsTeams[Stage],"Groups",ResultsTeams[Team A],AJ210)+SUMIFS(ResultsTeams[Match-A],ResultsTeams[Stage],"Groups",ResultsTeams[Team B],AJ210))</f>
        <v/>
      </c>
      <c r="BB210" s="356" t="str">
        <f t="shared" si="176"/>
        <v/>
      </c>
      <c r="BC210" s="356" t="str">
        <f>IF(OR(AI209="",AJ210=""),"",SUMIFS(ResultsTeams[Goal-A],ResultsTeams[Stage],"Groups",ResultsTeams[Team A],AJ210)+SUMIFS(ResultsTeams[Goal-B],ResultsTeams[Stage],"Groups",ResultsTeams[Team B],AJ210))</f>
        <v/>
      </c>
      <c r="BD210" s="356" t="str">
        <f>IF(OR(AI209="",AJ210=""),"",SUMIFS(ResultsTeams[Goal-B],ResultsTeams[Stage],"Groups",ResultsTeams[Team A],AJ210)+SUMIFS(ResultsTeams[Goal-A],ResultsTeams[Stage],"Groups",ResultsTeams[Team B],AJ210))</f>
        <v/>
      </c>
      <c r="BE210" s="357" t="str">
        <f>IF(OR(AI206="",AJ210=""),"",BC210-BD210)</f>
        <v/>
      </c>
      <c r="BF210" s="470" t="str">
        <f>IF(AM210="","",OR(VLOOKUP(AM210,AN207:BE213,3,FALSE),VLOOKUP(AM210,AN207:BE213,6,FALSE)))</f>
        <v/>
      </c>
      <c r="BG210" s="298" t="str">
        <f t="shared" si="175"/>
        <v/>
      </c>
      <c r="BH210" s="285" t="str">
        <f>IF(AM210="","",INDEX(AJ207:AJ213,MATCH(AM210,AN207:AN213,0)))</f>
        <v/>
      </c>
      <c r="BI210" s="286" t="str">
        <f>IF(AM210="","",VLOOKUP(AM210,AN207:BE213,COLUMN()-COLUMN(BB206),FALSE))</f>
        <v/>
      </c>
      <c r="BJ210" s="286" t="str">
        <f>IF(AM210="","",VLOOKUP(AM210,AN207:BE213,COLUMN()-COLUMN(BB206),FALSE))</f>
        <v/>
      </c>
      <c r="BK210" s="286" t="str">
        <f>IF(AM210="","",VLOOKUP(AM210,AN207:BE213,COLUMN()-COLUMN(BB206),FALSE))</f>
        <v/>
      </c>
      <c r="BL210" s="286" t="str">
        <f>IF(AM210="","",VLOOKUP(AM210,AN207:BE213,COLUMN()-COLUMN(BB206),FALSE))</f>
        <v/>
      </c>
      <c r="BM210" s="286" t="str">
        <f>IF(AM210="","",VLOOKUP(AM210,AN207:BE213,COLUMN()-COLUMN(BB206),FALSE))</f>
        <v/>
      </c>
      <c r="BN210" s="349" t="str">
        <f>IF(AM210="","",VLOOKUP(AM210,AN207:BE213,COLUMN()-COLUMN(BB206),FALSE))</f>
        <v/>
      </c>
      <c r="BO210" s="298" t="str">
        <f>IF(AM210="","",VLOOKUP(AM210,AN207:BE213,COLUMN()-COLUMN(BB206),FALSE))</f>
        <v/>
      </c>
      <c r="BP210" s="286" t="str">
        <f>IF(AM210="","",VLOOKUP(AM210,AN207:BE213,COLUMN()-COLUMN(BB206),FALSE))</f>
        <v/>
      </c>
      <c r="BQ210" s="301" t="str">
        <f>IF(AM210="","",VLOOKUP(AM210,AN207:BE213,COLUMN()-COLUMN(BB206),FALSE))</f>
        <v/>
      </c>
      <c r="BR210" s="352" t="str">
        <f>IF(AM210="","",VLOOKUP(AM210,AN207:BE213,COLUMN()-COLUMN(BB206),FALSE))</f>
        <v/>
      </c>
      <c r="BS210" s="286" t="str">
        <f>IF(AM210="","",VLOOKUP(AM210,AN207:BE213,COLUMN()-COLUMN(BB206),FALSE))</f>
        <v/>
      </c>
      <c r="BT210" s="301" t="str">
        <f>IF(AM210="","",VLOOKUP(AM210,AN207:BE213,COLUMN()-COLUMN(BB206),FALSE))</f>
        <v/>
      </c>
    </row>
    <row r="211" spans="1:72" x14ac:dyDescent="0.2">
      <c r="A211" s="62"/>
      <c r="B211" s="280"/>
      <c r="C211" s="62"/>
      <c r="D211" s="62"/>
      <c r="E211" s="241" t="s">
        <v>12237</v>
      </c>
      <c r="F211" s="246" t="s">
        <v>10022</v>
      </c>
      <c r="G211" s="246" t="s">
        <v>8094</v>
      </c>
      <c r="H211" s="254">
        <v>5</v>
      </c>
      <c r="I211" s="254">
        <v>1</v>
      </c>
      <c r="J211" s="254"/>
      <c r="K211" s="363"/>
      <c r="L211" s="363"/>
      <c r="M211" s="247"/>
      <c r="N211" s="265" t="b">
        <f>NOT(ISERROR(ResultsTeams[[#This Row],[Goal-A]]+ResultsTeams[[#This Row],[Goal-B]]))</f>
        <v>1</v>
      </c>
      <c r="O211" s="265">
        <f>IF(ResultsTeams[[#This Row],[Type]]="G",SUM(O212:O215),IF(LEFT(ResultsTeams[[#This Row],[Type]],1)="P",IF(ResultsTeams[[#This Row],[Goal-A]]&gt;ResultsTeams[[#This Row],[Goal-B]],1,0),""))</f>
        <v>1</v>
      </c>
      <c r="P211" s="265">
        <f>IF(ResultsTeams[[#This Row],[Type]]="G",SUM(P212:P215),IF(LEFT(ResultsTeams[[#This Row],[Type]],1)="P",IF(ResultsTeams[[#This Row],[Goal-A]]&lt;ResultsTeams[[#This Row],[Goal-B]],1,0),""))</f>
        <v>0</v>
      </c>
      <c r="Q211" s="265">
        <f>IF(ResultsTeams[[#This Row],[Type]]="G",SUM(Q212:Q215),IF(LEFT(ResultsTeams[[#This Row],[Type]],1)="P",VALUE(ResultsTeams[[#This Row],[Score-A]]),""))</f>
        <v>5</v>
      </c>
      <c r="R211" s="265">
        <f>IF(ResultsTeams[[#This Row],[Type]]="G",SUM(R212:R215),IF(LEFT(ResultsTeams[[#This Row],[Type]],1)="P",VALUE(ResultsTeams[[#This Row],[Score-B]]),""))</f>
        <v>1</v>
      </c>
      <c r="S211" s="265" t="str">
        <f ca="1">IF(AND(ResultsTeams[[#This Row],[Category]]&lt;&gt;"",ResultsTeams[[#This Row],[Team A]]&lt;&gt;""),COUNTIF(INDIRECT("TeamsList[Club Name]"),ResultsTeams[[#This Row],[Team A]]),"")</f>
        <v/>
      </c>
      <c r="T211" s="265" t="str">
        <f ca="1">IF(AND(ResultsTeams[[#This Row],[Category]]&lt;&gt;"",ResultsTeams[[#This Row],[Team B]]&lt;&gt;""),COUNTIF(INDIRECT("TeamsList[Club Name]"),ResultsTeams[[#This Row],[Team B]]),"")</f>
        <v/>
      </c>
      <c r="U2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Fucci</v>
      </c>
      <c r="V211" s="265" t="str">
        <f>IF(ResultsTeams[[#This Row],[Score_OK]],IF(ResultsTeams[[#This Row],[StageCpy]]="Groups",ResultsTeams[[#This Row],[Category]]&amp;"-"&amp;IF(ResultsTeams[[#This Row],[Team B]]="","",IF(ResultsTeams[[#This Row],[Match-A]]=ResultsTeams[[#This Row],[Match-B]],ResultsTeams[[#This Row],[Team A]],"")),""),"")</f>
        <v>-</v>
      </c>
      <c r="W211" s="265" t="str">
        <f>IF(ResultsTeams[[#This Row],[Score_OK]],IF(ResultsTeams[[#This Row],[StageCpy]]="Groups",ResultsTeams[[#This Row],[Category]]&amp;"-"&amp;IF(ResultsTeams[[#This Row],[Team B]]="","",IF(ResultsTeams[[#This Row],[Match-A]]=ResultsTeams[[#This Row],[Match-B]],ResultsTeams[[#This Row],[Team B]],"")),""),"")</f>
        <v>-</v>
      </c>
      <c r="X2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Fraikin</v>
      </c>
      <c r="Y2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1" s="264" t="str">
        <f>IF(ResultsTeams[[#This Row],[Category]]="","",VLOOKUP(ResultsTeams[[#This Row],[Stage]],$R$1:$T$8,MATCH(ResultsTeams[[#This Row],[Category]],$S$1:$T$1,0)+1,FALSE))</f>
        <v/>
      </c>
      <c r="AC2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1" s="264" t="str">
        <f>IF(ResultsTeams[[#This Row],[Type]]="G",ResultsTeams[[#This Row],[Stage]],AD210)</f>
        <v>Groups</v>
      </c>
      <c r="AE211" s="395" t="str">
        <f>IF(ResultsTeams[[#This Row],[Type]]="G",INDEX(TeamsList[Club Name],MATCH(ResultsTeams[[#This Row],[Team A]],TeamsList[Team Name],0)),AE210)</f>
        <v>CCT Eagles Napoli</v>
      </c>
      <c r="AF211" s="395" t="str">
        <f>IF(ResultsTeams[[#This Row],[Type]]="G",INDEX(TeamsList[Club Name],MATCH(ResultsTeams[[#This Row],[Team B]],TeamsList[Team Name],0)),AF210)</f>
        <v>SC Charleroi</v>
      </c>
      <c r="AG211" s="265"/>
      <c r="AH211" s="91"/>
      <c r="AI211" s="12">
        <f t="shared" si="177"/>
        <v>0</v>
      </c>
      <c r="AJ211" s="309"/>
      <c r="AK211" s="310"/>
      <c r="AL211" s="311"/>
      <c r="AM211" s="292" t="str">
        <f>IF(AV211="","",SMALL(AN207:AN213,ROWS(AM207:AM211)))</f>
        <v/>
      </c>
      <c r="AN211" s="293" t="str">
        <f>IF(AV211="","",RANK(AR211,AR207:AR213)*1000+ROWS(AN207:AN211))</f>
        <v/>
      </c>
      <c r="AO211" s="316" t="str">
        <f t="shared" si="170"/>
        <v/>
      </c>
      <c r="AP211" s="415" t="b">
        <f>AND(AU211&lt;&gt;"",AU211&gt;0,COUNTIF(AO207:AO213,AO211)&gt;1)</f>
        <v>0</v>
      </c>
      <c r="AQ211" s="316" t="str">
        <f t="shared" si="171"/>
        <v/>
      </c>
      <c r="AR211" s="317" t="str">
        <f t="shared" si="172"/>
        <v/>
      </c>
      <c r="AS211" s="415" t="b">
        <f>AND(AU211&lt;&gt;"",AU211&gt;0,COUNTIF(AR207:AR213,AR211)&gt;1)</f>
        <v>0</v>
      </c>
      <c r="AT211" s="355" t="str">
        <f t="shared" si="173"/>
        <v/>
      </c>
      <c r="AU211" s="356" t="str">
        <f t="shared" si="174"/>
        <v/>
      </c>
      <c r="AV211" s="356" t="str">
        <f>IF(OR(AI206="",AJ211=""),"",COUNTIF(ResultsTeams[Win],AI206&amp;"-"&amp;AJ211))</f>
        <v/>
      </c>
      <c r="AW211" s="356" t="str">
        <f>IF(OR(AI206="",AJ211=""),"",COUNTIF(ResultsTeams[[Draw1]:[Draw2]],AI206&amp;"-"&amp;AJ211))</f>
        <v/>
      </c>
      <c r="AX211" s="356" t="str">
        <f>IF(OR(AI206="",AJ211=""),"",COUNTIF(ResultsTeams[Lose],AI206&amp;"-"&amp;AJ211))</f>
        <v/>
      </c>
      <c r="AY211" s="356" t="str">
        <f>IF(OR(AI206="",AJ211=""),"",AV211-AX211)</f>
        <v/>
      </c>
      <c r="AZ211" s="356" t="str">
        <f>IF(OR(AI210="",AJ211=""),"",SUMIFS(ResultsTeams[Match-A],ResultsTeams[Stage],"Groups",ResultsTeams[Team A],AJ211)+SUMIFS(ResultsTeams[Match-B],ResultsTeams[Stage],"Groups",ResultsTeams[Team B],AJ211))</f>
        <v/>
      </c>
      <c r="BA211" s="356" t="str">
        <f>IF(OR(AI210="",AJ211=""),"",SUMIFS(ResultsTeams[Match-B],ResultsTeams[Stage],"Groups",ResultsTeams[Team A],AJ211)+SUMIFS(ResultsTeams[Match-A],ResultsTeams[Stage],"Groups",ResultsTeams[Team B],AJ211))</f>
        <v/>
      </c>
      <c r="BB211" s="356" t="str">
        <f t="shared" si="176"/>
        <v/>
      </c>
      <c r="BC211" s="356" t="str">
        <f>IF(OR(AI210="",AJ211=""),"",SUMIFS(ResultsTeams[Goal-A],ResultsTeams[Stage],"Groups",ResultsTeams[Team A],AJ211)+SUMIFS(ResultsTeams[Goal-B],ResultsTeams[Stage],"Groups",ResultsTeams[Team B],AJ211))</f>
        <v/>
      </c>
      <c r="BD211" s="356" t="str">
        <f>IF(OR(AI210="",AJ211=""),"",SUMIFS(ResultsTeams[Goal-B],ResultsTeams[Stage],"Groups",ResultsTeams[Team A],AJ211)+SUMIFS(ResultsTeams[Goal-A],ResultsTeams[Stage],"Groups",ResultsTeams[Team B],AJ211))</f>
        <v/>
      </c>
      <c r="BE211" s="357" t="str">
        <f>IF(OR(AI206="",AJ211=""),"",BC211-BD211)</f>
        <v/>
      </c>
      <c r="BF211" s="470" t="str">
        <f>IF(AM211="","",OR(VLOOKUP(AM211,AN207:BE213,3,FALSE),VLOOKUP(AM211,AN207:BE213,6,FALSE)))</f>
        <v/>
      </c>
      <c r="BG211" s="298" t="str">
        <f t="shared" si="175"/>
        <v/>
      </c>
      <c r="BH211" s="285" t="str">
        <f>IF(AM211="","",INDEX(AJ207:AJ213,MATCH(AM211,AN207:AN213,0)))</f>
        <v/>
      </c>
      <c r="BI211" s="286" t="str">
        <f>IF(AM211="","",VLOOKUP(AM211,AN207:BE213,COLUMN()-COLUMN(BB206),FALSE))</f>
        <v/>
      </c>
      <c r="BJ211" s="286" t="str">
        <f>IF(AM211="","",VLOOKUP(AM211,AN207:BE213,COLUMN()-COLUMN(BB206),FALSE))</f>
        <v/>
      </c>
      <c r="BK211" s="286" t="str">
        <f>IF(AM211="","",VLOOKUP(AM211,AN207:BE213,COLUMN()-COLUMN(BB206),FALSE))</f>
        <v/>
      </c>
      <c r="BL211" s="286" t="str">
        <f>IF(AM211="","",VLOOKUP(AM211,AN207:BE213,COLUMN()-COLUMN(BB206),FALSE))</f>
        <v/>
      </c>
      <c r="BM211" s="286" t="str">
        <f>IF(AM211="","",VLOOKUP(AM211,AN207:BE213,COLUMN()-COLUMN(BB206),FALSE))</f>
        <v/>
      </c>
      <c r="BN211" s="349" t="str">
        <f>IF(AM211="","",VLOOKUP(AM211,AN207:BE213,COLUMN()-COLUMN(BB206),FALSE))</f>
        <v/>
      </c>
      <c r="BO211" s="298" t="str">
        <f>IF(AM211="","",VLOOKUP(AM211,AN207:BE213,COLUMN()-COLUMN(BB206),FALSE))</f>
        <v/>
      </c>
      <c r="BP211" s="286" t="str">
        <f>IF(AM211="","",VLOOKUP(AM211,AN207:BE213,COLUMN()-COLUMN(BB206),FALSE))</f>
        <v/>
      </c>
      <c r="BQ211" s="301" t="str">
        <f>IF(AM211="","",VLOOKUP(AM211,AN207:BE213,COLUMN()-COLUMN(BB206),FALSE))</f>
        <v/>
      </c>
      <c r="BR211" s="352" t="str">
        <f>IF(AM211="","",VLOOKUP(AM211,AN207:BE213,COLUMN()-COLUMN(BB206),FALSE))</f>
        <v/>
      </c>
      <c r="BS211" s="286" t="str">
        <f>IF(AM211="","",VLOOKUP(AM211,AN207:BE213,COLUMN()-COLUMN(BB206),FALSE))</f>
        <v/>
      </c>
      <c r="BT211" s="301" t="str">
        <f>IF(AM211="","",VLOOKUP(AM211,AN207:BE213,COLUMN()-COLUMN(BB206),FALSE))</f>
        <v/>
      </c>
    </row>
    <row r="212" spans="1:72" x14ac:dyDescent="0.2">
      <c r="A212" s="62"/>
      <c r="B212" s="280"/>
      <c r="C212" s="62"/>
      <c r="D212" s="62"/>
      <c r="E212" s="241" t="s">
        <v>12240</v>
      </c>
      <c r="F212" s="246" t="s">
        <v>10088</v>
      </c>
      <c r="G212" s="246" t="s">
        <v>8134</v>
      </c>
      <c r="H212" s="254">
        <v>2</v>
      </c>
      <c r="I212" s="254">
        <v>4</v>
      </c>
      <c r="J212" s="254"/>
      <c r="K212" s="363"/>
      <c r="L212" s="363"/>
      <c r="M212" s="247"/>
      <c r="N212" s="265" t="b">
        <f>NOT(ISERROR(ResultsTeams[[#This Row],[Goal-A]]+ResultsTeams[[#This Row],[Goal-B]]))</f>
        <v>1</v>
      </c>
      <c r="O212" s="265">
        <f>IF(ResultsTeams[[#This Row],[Type]]="G",SUM(O213:O216),IF(LEFT(ResultsTeams[[#This Row],[Type]],1)="P",IF(ResultsTeams[[#This Row],[Goal-A]]&gt;ResultsTeams[[#This Row],[Goal-B]],1,0),""))</f>
        <v>0</v>
      </c>
      <c r="P212" s="265">
        <f>IF(ResultsTeams[[#This Row],[Type]]="G",SUM(P213:P216),IF(LEFT(ResultsTeams[[#This Row],[Type]],1)="P",IF(ResultsTeams[[#This Row],[Goal-A]]&lt;ResultsTeams[[#This Row],[Goal-B]],1,0),""))</f>
        <v>1</v>
      </c>
      <c r="Q212" s="265">
        <f>IF(ResultsTeams[[#This Row],[Type]]="G",SUM(Q213:Q216),IF(LEFT(ResultsTeams[[#This Row],[Type]],1)="P",VALUE(ResultsTeams[[#This Row],[Score-A]]),""))</f>
        <v>2</v>
      </c>
      <c r="R212" s="265">
        <f>IF(ResultsTeams[[#This Row],[Type]]="G",SUM(R213:R216),IF(LEFT(ResultsTeams[[#This Row],[Type]],1)="P",VALUE(ResultsTeams[[#This Row],[Score-B]]),""))</f>
        <v>4</v>
      </c>
      <c r="S212" s="265" t="str">
        <f ca="1">IF(AND(ResultsTeams[[#This Row],[Category]]&lt;&gt;"",ResultsTeams[[#This Row],[Team A]]&lt;&gt;""),COUNTIF(INDIRECT("TeamsList[Club Name]"),ResultsTeams[[#This Row],[Team A]]),"")</f>
        <v/>
      </c>
      <c r="T212" s="265" t="str">
        <f ca="1">IF(AND(ResultsTeams[[#This Row],[Category]]&lt;&gt;"",ResultsTeams[[#This Row],[Team B]]&lt;&gt;""),COUNTIF(INDIRECT("TeamsList[Club Name]"),ResultsTeams[[#This Row],[Team B]]),"")</f>
        <v/>
      </c>
      <c r="U2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-Sami Targui</v>
      </c>
      <c r="V212" s="265" t="str">
        <f>IF(ResultsTeams[[#This Row],[Score_OK]],IF(ResultsTeams[[#This Row],[StageCpy]]="Groups",ResultsTeams[[#This Row],[Category]]&amp;"-"&amp;IF(ResultsTeams[[#This Row],[Team B]]="","",IF(ResultsTeams[[#This Row],[Match-A]]=ResultsTeams[[#This Row],[Match-B]],ResultsTeams[[#This Row],[Team A]],"")),""),"")</f>
        <v>-</v>
      </c>
      <c r="W212" s="265" t="str">
        <f>IF(ResultsTeams[[#This Row],[Score_OK]],IF(ResultsTeams[[#This Row],[StageCpy]]="Groups",ResultsTeams[[#This Row],[Category]]&amp;"-"&amp;IF(ResultsTeams[[#This Row],[Team B]]="","",IF(ResultsTeams[[#This Row],[Match-A]]=ResultsTeams[[#This Row],[Match-B]],ResultsTeams[[#This Row],[Team B]],"")),""),"")</f>
        <v>-</v>
      </c>
      <c r="X2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-Luigi Di Vito</v>
      </c>
      <c r="Y2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2" s="264" t="str">
        <f>IF(ResultsTeams[[#This Row],[Category]]="","",VLOOKUP(ResultsTeams[[#This Row],[Stage]],$R$1:$T$8,MATCH(ResultsTeams[[#This Row],[Category]],$S$1:$T$1,0)+1,FALSE))</f>
        <v/>
      </c>
      <c r="AC2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2" s="264" t="str">
        <f>IF(ResultsTeams[[#This Row],[Type]]="G",ResultsTeams[[#This Row],[Stage]],AD211)</f>
        <v>Groups</v>
      </c>
      <c r="AE212" s="395" t="str">
        <f>IF(ResultsTeams[[#This Row],[Type]]="G",INDEX(TeamsList[Club Name],MATCH(ResultsTeams[[#This Row],[Team A]],TeamsList[Team Name],0)),AE211)</f>
        <v>CCT Eagles Napoli</v>
      </c>
      <c r="AF212" s="395" t="str">
        <f>IF(ResultsTeams[[#This Row],[Type]]="G",INDEX(TeamsList[Club Name],MATCH(ResultsTeams[[#This Row],[Team B]],TeamsList[Team Name],0)),AF211)</f>
        <v>SC Charleroi</v>
      </c>
      <c r="AG212" s="265"/>
      <c r="AI212" s="12">
        <f t="shared" si="177"/>
        <v>0</v>
      </c>
      <c r="AJ212" s="309"/>
      <c r="AK212" s="310"/>
      <c r="AL212" s="311"/>
      <c r="AM212" s="292" t="str">
        <f>IF(AV212="","",SMALL(AN207:AN213,ROWS(AM207:AM212)))</f>
        <v/>
      </c>
      <c r="AN212" s="293" t="str">
        <f>IF(AV212="","",RANK(AR212,AR207:AR213)*1000+ROWS(AN207:AN212))</f>
        <v/>
      </c>
      <c r="AO212" s="316" t="str">
        <f t="shared" si="170"/>
        <v/>
      </c>
      <c r="AP212" s="415" t="b">
        <f>AND(AU212&lt;&gt;"",AU212&gt;0,COUNTIF(AO207:AO213,AO212)&gt;1)</f>
        <v>0</v>
      </c>
      <c r="AQ212" s="316" t="str">
        <f t="shared" si="171"/>
        <v/>
      </c>
      <c r="AR212" s="317" t="str">
        <f t="shared" si="172"/>
        <v/>
      </c>
      <c r="AS212" s="415" t="b">
        <f>AND(AU212&lt;&gt;"",AU212&gt;0,COUNTIF(AR207:AR213,AR212)&gt;1)</f>
        <v>0</v>
      </c>
      <c r="AT212" s="355" t="str">
        <f t="shared" si="173"/>
        <v/>
      </c>
      <c r="AU212" s="356" t="str">
        <f t="shared" si="174"/>
        <v/>
      </c>
      <c r="AV212" s="356" t="str">
        <f>IF(OR(AI206="",AJ212=""),"",COUNTIF(ResultsTeams[Win],AI206&amp;"-"&amp;AJ212))</f>
        <v/>
      </c>
      <c r="AW212" s="356" t="str">
        <f>IF(OR(AI206="",AJ212=""),"",COUNTIF(ResultsTeams[[Draw1]:[Draw2]],AI206&amp;"-"&amp;AJ212))</f>
        <v/>
      </c>
      <c r="AX212" s="356" t="str">
        <f>IF(OR(AI206="",AJ212=""),"",COUNTIF(ResultsTeams[Lose],AI206&amp;"-"&amp;AJ212))</f>
        <v/>
      </c>
      <c r="AY212" s="356" t="str">
        <f>IF(OR(AI206="",AJ212=""),"",AV212-AX212)</f>
        <v/>
      </c>
      <c r="AZ212" s="356" t="str">
        <f>IF(OR(AI211="",AJ212=""),"",SUMIFS(ResultsTeams[Match-A],ResultsTeams[Stage],"Groups",ResultsTeams[Team A],AJ212)+SUMIFS(ResultsTeams[Match-B],ResultsTeams[Stage],"Groups",ResultsTeams[Team B],AJ212))</f>
        <v/>
      </c>
      <c r="BA212" s="356" t="str">
        <f>IF(OR(AI211="",AJ212=""),"",SUMIFS(ResultsTeams[Match-B],ResultsTeams[Stage],"Groups",ResultsTeams[Team A],AJ212)+SUMIFS(ResultsTeams[Match-A],ResultsTeams[Stage],"Groups",ResultsTeams[Team B],AJ212))</f>
        <v/>
      </c>
      <c r="BB212" s="356" t="str">
        <f t="shared" si="176"/>
        <v/>
      </c>
      <c r="BC212" s="356" t="str">
        <f>IF(OR(AI211="",AJ212=""),"",SUMIFS(ResultsTeams[Goal-A],ResultsTeams[Stage],"Groups",ResultsTeams[Team A],AJ212)+SUMIFS(ResultsTeams[Goal-B],ResultsTeams[Stage],"Groups",ResultsTeams[Team B],AJ212))</f>
        <v/>
      </c>
      <c r="BD212" s="356" t="str">
        <f>IF(OR(AI211="",AJ212=""),"",SUMIFS(ResultsTeams[Goal-B],ResultsTeams[Stage],"Groups",ResultsTeams[Team A],AJ212)+SUMIFS(ResultsTeams[Goal-A],ResultsTeams[Stage],"Groups",ResultsTeams[Team B],AJ212))</f>
        <v/>
      </c>
      <c r="BE212" s="357" t="str">
        <f>IF(OR(AI206="",AJ212=""),"",BC212-BD212)</f>
        <v/>
      </c>
      <c r="BF212" s="470" t="str">
        <f>IF(AM212="","",OR(VLOOKUP(AM212,AN207:BE213,3,FALSE),VLOOKUP(AM212,AN207:BE213,6,FALSE)))</f>
        <v/>
      </c>
      <c r="BG212" s="298" t="str">
        <f t="shared" si="175"/>
        <v/>
      </c>
      <c r="BH212" s="285" t="str">
        <f>IF(AM212="","",INDEX(AJ207:AJ213,MATCH(AM212,AN207:AN213,0)))</f>
        <v/>
      </c>
      <c r="BI212" s="286" t="str">
        <f>IF(AM212="","",VLOOKUP(AM212,AN207:BE213,COLUMN()-COLUMN(BB206),FALSE))</f>
        <v/>
      </c>
      <c r="BJ212" s="286" t="str">
        <f>IF(AM212="","",VLOOKUP(AM212,AN207:BE213,COLUMN()-COLUMN(BB206),FALSE))</f>
        <v/>
      </c>
      <c r="BK212" s="286" t="str">
        <f>IF(AM212="","",VLOOKUP(AM212,AN207:BE213,COLUMN()-COLUMN(BB206),FALSE))</f>
        <v/>
      </c>
      <c r="BL212" s="286" t="str">
        <f>IF(AM212="","",VLOOKUP(AM212,AN207:BE213,COLUMN()-COLUMN(BB206),FALSE))</f>
        <v/>
      </c>
      <c r="BM212" s="286" t="str">
        <f>IF(AM212="","",VLOOKUP(AM212,AN207:BE213,COLUMN()-COLUMN(BB206),FALSE))</f>
        <v/>
      </c>
      <c r="BN212" s="349" t="str">
        <f>IF(AM212="","",VLOOKUP(AM212,AN207:BE213,COLUMN()-COLUMN(BB206),FALSE))</f>
        <v/>
      </c>
      <c r="BO212" s="298" t="str">
        <f>IF(AM212="","",VLOOKUP(AM212,AN207:BE213,COLUMN()-COLUMN(BB206),FALSE))</f>
        <v/>
      </c>
      <c r="BP212" s="286" t="str">
        <f>IF(AM212="","",VLOOKUP(AM212,AN207:BE213,COLUMN()-COLUMN(BB206),FALSE))</f>
        <v/>
      </c>
      <c r="BQ212" s="301" t="str">
        <f>IF(AM212="","",VLOOKUP(AM212,AN207:BE213,COLUMN()-COLUMN(BB206),FALSE))</f>
        <v/>
      </c>
      <c r="BR212" s="352" t="str">
        <f>IF(AM212="","",VLOOKUP(AM212,AN207:BE213,COLUMN()-COLUMN(BB206),FALSE))</f>
        <v/>
      </c>
      <c r="BS212" s="286" t="str">
        <f>IF(AM212="","",VLOOKUP(AM212,AN207:BE213,COLUMN()-COLUMN(BB206),FALSE))</f>
        <v/>
      </c>
      <c r="BT212" s="301" t="str">
        <f>IF(AM212="","",VLOOKUP(AM212,AN207:BE213,COLUMN()-COLUMN(BB206),FALSE))</f>
        <v/>
      </c>
    </row>
    <row r="213" spans="1:72" ht="12" thickBot="1" x14ac:dyDescent="0.25">
      <c r="A213" s="62"/>
      <c r="B213" s="62"/>
      <c r="C213" s="62"/>
      <c r="D213" s="62"/>
      <c r="E213" s="241" t="s">
        <v>12243</v>
      </c>
      <c r="F213" s="247"/>
      <c r="G213" s="247" t="s">
        <v>8078</v>
      </c>
      <c r="H213" s="254"/>
      <c r="I213" s="254" t="s">
        <v>12244</v>
      </c>
      <c r="J213" s="260"/>
      <c r="K213" s="364"/>
      <c r="L213" s="364"/>
      <c r="M213" s="63"/>
      <c r="N213" s="265" t="b">
        <f>NOT(ISERROR(ResultsTeams[[#This Row],[Goal-A]]+ResultsTeams[[#This Row],[Goal-B]]))</f>
        <v>0</v>
      </c>
      <c r="O213" s="265" t="str">
        <f>IF(ResultsTeams[[#This Row],[Type]]="G",SUM(O214:O217),IF(LEFT(ResultsTeams[[#This Row],[Type]],1)="P",IF(ResultsTeams[[#This Row],[Goal-A]]&gt;ResultsTeams[[#This Row],[Goal-B]],1,0),""))</f>
        <v/>
      </c>
      <c r="P213" s="265" t="str">
        <f>IF(ResultsTeams[[#This Row],[Type]]="G",SUM(P214:P217),IF(LEFT(ResultsTeams[[#This Row],[Type]],1)="P",IF(ResultsTeams[[#This Row],[Goal-A]]&lt;ResultsTeams[[#This Row],[Goal-B]],1,0),""))</f>
        <v/>
      </c>
      <c r="Q213" s="265" t="str">
        <f>IF(ResultsTeams[[#This Row],[Type]]="G",SUM(Q214:Q217),IF(LEFT(ResultsTeams[[#This Row],[Type]],1)="P",VALUE(ResultsTeams[[#This Row],[Score-A]]),""))</f>
        <v/>
      </c>
      <c r="R213" s="265" t="str">
        <f>IF(ResultsTeams[[#This Row],[Type]]="G",SUM(R214:R217),IF(LEFT(ResultsTeams[[#This Row],[Type]],1)="P",VALUE(ResultsTeams[[#This Row],[Score-B]]),""))</f>
        <v/>
      </c>
      <c r="S213" s="265" t="str">
        <f ca="1">IF(AND(ResultsTeams[[#This Row],[Category]]&lt;&gt;"",ResultsTeams[[#This Row],[Team A]]&lt;&gt;""),COUNTIF(INDIRECT("TeamsList[Club Name]"),ResultsTeams[[#This Row],[Team A]]),"")</f>
        <v/>
      </c>
      <c r="T213" s="265" t="str">
        <f ca="1">IF(AND(ResultsTeams[[#This Row],[Category]]&lt;&gt;"",ResultsTeams[[#This Row],[Team B]]&lt;&gt;""),COUNTIF(INDIRECT("TeamsList[Club Name]"),ResultsTeams[[#This Row],[Team B]]),"")</f>
        <v/>
      </c>
      <c r="U2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3" s="265" t="str">
        <f>IF(ResultsTeams[[#This Row],[Score_OK]],IF(ResultsTeams[[#This Row],[StageCpy]]="Groups",ResultsTeams[[#This Row],[Category]]&amp;"-"&amp;IF(ResultsTeams[[#This Row],[Team B]]="","",IF(ResultsTeams[[#This Row],[Match-A]]=ResultsTeams[[#This Row],[Match-B]],ResultsTeams[[#This Row],[Team A]],"")),""),"")</f>
        <v/>
      </c>
      <c r="W213" s="265" t="str">
        <f>IF(ResultsTeams[[#This Row],[Score_OK]],IF(ResultsTeams[[#This Row],[StageCpy]]="Groups",ResultsTeams[[#This Row],[Category]]&amp;"-"&amp;IF(ResultsTeams[[#This Row],[Team B]]="","",IF(ResultsTeams[[#This Row],[Match-A]]=ResultsTeams[[#This Row],[Match-B]],ResultsTeams[[#This Row],[Team B]],"")),""),"")</f>
        <v/>
      </c>
      <c r="X2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3" s="264" t="str">
        <f>IF(ResultsTeams[[#This Row],[Category]]="","",VLOOKUP(ResultsTeams[[#This Row],[Stage]],$R$1:$T$8,MATCH(ResultsTeams[[#This Row],[Category]],$S$1:$T$1,0)+1,FALSE))</f>
        <v/>
      </c>
      <c r="AC2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3" s="264" t="str">
        <f>IF(ResultsTeams[[#This Row],[Type]]="G",ResultsTeams[[#This Row],[Stage]],AD212)</f>
        <v>Groups</v>
      </c>
      <c r="AE213" s="395" t="str">
        <f>IF(ResultsTeams[[#This Row],[Type]]="G",INDEX(TeamsList[Club Name],MATCH(ResultsTeams[[#This Row],[Team A]],TeamsList[Team Name],0)),AE212)</f>
        <v>CCT Eagles Napoli</v>
      </c>
      <c r="AF213" s="395" t="str">
        <f>IF(ResultsTeams[[#This Row],[Type]]="G",INDEX(TeamsList[Club Name],MATCH(ResultsTeams[[#This Row],[Team B]],TeamsList[Team Name],0)),AF212)</f>
        <v>SC Charleroi</v>
      </c>
      <c r="AG213" s="265"/>
      <c r="AI213" s="12">
        <f t="shared" si="177"/>
        <v>0</v>
      </c>
      <c r="AJ213" s="312"/>
      <c r="AK213" s="313"/>
      <c r="AL213" s="314"/>
      <c r="AM213" s="294" t="str">
        <f>IF(AV213="","",SMALL(AN207:AN213,ROWS(AM207:AM213)))</f>
        <v/>
      </c>
      <c r="AN213" s="295" t="str">
        <f>IF(AV213="","",RANK(AR213,AR207:AR213)*1000+ROWS(AN207:AN213))</f>
        <v/>
      </c>
      <c r="AO213" s="318" t="str">
        <f t="shared" si="170"/>
        <v/>
      </c>
      <c r="AP213" s="416" t="b">
        <f>AND(AU213&lt;&gt;"",AU213&gt;0,COUNTIF(AO207:AO213,AO213)&gt;1)</f>
        <v>0</v>
      </c>
      <c r="AQ213" s="318" t="str">
        <f t="shared" si="171"/>
        <v/>
      </c>
      <c r="AR213" s="319" t="str">
        <f t="shared" si="172"/>
        <v/>
      </c>
      <c r="AS213" s="416" t="b">
        <f>AND(AU213&lt;&gt;"",AU213&gt;0,COUNTIF(AR207:AR213,AR213)&gt;1)</f>
        <v>0</v>
      </c>
      <c r="AT213" s="358" t="str">
        <f t="shared" si="173"/>
        <v/>
      </c>
      <c r="AU213" s="359" t="str">
        <f t="shared" si="174"/>
        <v/>
      </c>
      <c r="AV213" s="359" t="str">
        <f>IF(OR(AI206="",AJ213=""),"",COUNTIF(ResultsTeams[Win],AI206&amp;"-"&amp;AJ213))</f>
        <v/>
      </c>
      <c r="AW213" s="359" t="str">
        <f>IF(OR(AI206="",AJ213=""),"",COUNTIF(ResultsTeams[[Draw1]:[Draw2]],AI206&amp;"-"&amp;AJ213))</f>
        <v/>
      </c>
      <c r="AX213" s="359" t="str">
        <f>IF(OR(AI206="",AJ213=""),"",COUNTIF(ResultsTeams[Lose],AI206&amp;"-"&amp;AJ213))</f>
        <v/>
      </c>
      <c r="AY213" s="359" t="str">
        <f>IF(OR(AI206="",AJ213=""),"",AV213-AX213)</f>
        <v/>
      </c>
      <c r="AZ213" s="359" t="str">
        <f>IF(OR(AI212="",AJ213=""),"",SUMIFS(ResultsTeams[Match-A],ResultsTeams[Stage],"Groups",ResultsTeams[Team A],AJ213)+SUMIFS(ResultsTeams[Match-B],ResultsTeams[Stage],"Groups",ResultsTeams[Team B],AJ213))</f>
        <v/>
      </c>
      <c r="BA213" s="359" t="str">
        <f>IF(OR(AI212="",AJ213=""),"",SUMIFS(ResultsTeams[Match-B],ResultsTeams[Stage],"Groups",ResultsTeams[Team A],AJ213)+SUMIFS(ResultsTeams[Match-A],ResultsTeams[Stage],"Groups",ResultsTeams[Team B],AJ213))</f>
        <v/>
      </c>
      <c r="BB213" s="359" t="str">
        <f t="shared" si="176"/>
        <v/>
      </c>
      <c r="BC213" s="359" t="str">
        <f>IF(OR(AI212="",AJ213=""),"",SUMIFS(ResultsTeams[Goal-A],ResultsTeams[Stage],"Groups",ResultsTeams[Team A],AJ213)+SUMIFS(ResultsTeams[Goal-B],ResultsTeams[Stage],"Groups",ResultsTeams[Team B],AJ213))</f>
        <v/>
      </c>
      <c r="BD213" s="359" t="str">
        <f>IF(OR(AI212="",AJ213=""),"",SUMIFS(ResultsTeams[Goal-B],ResultsTeams[Stage],"Groups",ResultsTeams[Team A],AJ213)+SUMIFS(ResultsTeams[Goal-A],ResultsTeams[Stage],"Groups",ResultsTeams[Team B],AJ213))</f>
        <v/>
      </c>
      <c r="BE213" s="360" t="str">
        <f>IF(OR(AI206="",AJ213=""),"",BC213-BD213)</f>
        <v/>
      </c>
      <c r="BF213" s="470" t="str">
        <f>IF(AM213="","",OR(VLOOKUP(AM213,AN207:BE213,3,FALSE),VLOOKUP(AM213,AN207:BE213,6,FALSE)))</f>
        <v/>
      </c>
      <c r="BG213" s="299" t="str">
        <f t="shared" si="175"/>
        <v/>
      </c>
      <c r="BH213" s="287" t="str">
        <f>IF(AM213="","",INDEX(AJ207:AJ213,MATCH(AM213,AN207:AN213,0)))</f>
        <v/>
      </c>
      <c r="BI213" s="288" t="str">
        <f>IF(AM213="","",VLOOKUP(AM213,AN207:BE213,COLUMN()-COLUMN(BB206),FALSE))</f>
        <v/>
      </c>
      <c r="BJ213" s="288" t="str">
        <f>IF(AM213="","",VLOOKUP(AM213,AN207:BE213,COLUMN()-COLUMN(BB206),FALSE))</f>
        <v/>
      </c>
      <c r="BK213" s="288" t="str">
        <f>IF(AM213="","",VLOOKUP(AM213,AN207:BE213,COLUMN()-COLUMN(BB206),FALSE))</f>
        <v/>
      </c>
      <c r="BL213" s="288" t="str">
        <f>IF(AM213="","",VLOOKUP(AM213,AN207:BE213,COLUMN()-COLUMN(BB206),FALSE))</f>
        <v/>
      </c>
      <c r="BM213" s="288" t="str">
        <f>IF(AM213="","",VLOOKUP(AM213,AN207:BE213,COLUMN()-COLUMN(BB206),FALSE))</f>
        <v/>
      </c>
      <c r="BN213" s="350" t="str">
        <f>IF(AM213="","",VLOOKUP(AM213,AN207:BE213,COLUMN()-COLUMN(BB206),FALSE))</f>
        <v/>
      </c>
      <c r="BO213" s="299" t="str">
        <f>IF(AM213="","",VLOOKUP(AM213,AN207:BE213,COLUMN()-COLUMN(BB206),FALSE))</f>
        <v/>
      </c>
      <c r="BP213" s="288" t="str">
        <f>IF(AM213="","",VLOOKUP(AM213,AN207:BE213,COLUMN()-COLUMN(BB206),FALSE))</f>
        <v/>
      </c>
      <c r="BQ213" s="302" t="str">
        <f>IF(AM213="","",VLOOKUP(AM213,AN207:BE213,COLUMN()-COLUMN(BB206),FALSE))</f>
        <v/>
      </c>
      <c r="BR213" s="353" t="str">
        <f>IF(AM213="","",VLOOKUP(AM213,AN207:BE213,COLUMN()-COLUMN(BB206),FALSE))</f>
        <v/>
      </c>
      <c r="BS213" s="288" t="str">
        <f>IF(AM213="","",VLOOKUP(AM213,AN207:BE213,COLUMN()-COLUMN(BB206),FALSE))</f>
        <v/>
      </c>
      <c r="BT213" s="302" t="str">
        <f>IF(AM213="","",VLOOKUP(AM213,AN207:BE213,COLUMN()-COLUMN(BB206),FALSE))</f>
        <v/>
      </c>
    </row>
    <row r="214" spans="1:72" ht="12" thickBot="1" x14ac:dyDescent="0.25">
      <c r="A214" s="83"/>
      <c r="B214" s="83"/>
      <c r="C214" s="83"/>
      <c r="D214" s="83"/>
      <c r="E214" s="268" t="s">
        <v>12244</v>
      </c>
      <c r="F214" s="262"/>
      <c r="G214" s="262"/>
      <c r="H214" s="324"/>
      <c r="I214" s="324"/>
      <c r="J214" s="263"/>
      <c r="K214" s="365"/>
      <c r="L214" s="365"/>
      <c r="M214" s="84"/>
      <c r="N214" s="265" t="b">
        <f>NOT(ISERROR(ResultsTeams[[#This Row],[Goal-A]]+ResultsTeams[[#This Row],[Goal-B]]))</f>
        <v>0</v>
      </c>
      <c r="O214" s="265" t="str">
        <f>IF(ResultsTeams[[#This Row],[Type]]="G",SUM(O215:O218),IF(LEFT(ResultsTeams[[#This Row],[Type]],1)="P",IF(ResultsTeams[[#This Row],[Goal-A]]&gt;ResultsTeams[[#This Row],[Goal-B]],1,0),""))</f>
        <v/>
      </c>
      <c r="P214" s="265" t="str">
        <f>IF(ResultsTeams[[#This Row],[Type]]="G",SUM(P215:P218),IF(LEFT(ResultsTeams[[#This Row],[Type]],1)="P",IF(ResultsTeams[[#This Row],[Goal-A]]&lt;ResultsTeams[[#This Row],[Goal-B]],1,0),""))</f>
        <v/>
      </c>
      <c r="Q214" s="265" t="str">
        <f>IF(ResultsTeams[[#This Row],[Type]]="G",SUM(Q215:Q218),IF(LEFT(ResultsTeams[[#This Row],[Type]],1)="P",VALUE(ResultsTeams[[#This Row],[Score-A]]),""))</f>
        <v/>
      </c>
      <c r="R214" s="265" t="str">
        <f>IF(ResultsTeams[[#This Row],[Type]]="G",SUM(R215:R218),IF(LEFT(ResultsTeams[[#This Row],[Type]],1)="P",VALUE(ResultsTeams[[#This Row],[Score-B]]),""))</f>
        <v/>
      </c>
      <c r="S214" s="265" t="str">
        <f ca="1">IF(AND(ResultsTeams[[#This Row],[Category]]&lt;&gt;"",ResultsTeams[[#This Row],[Team A]]&lt;&gt;""),COUNTIF(INDIRECT("TeamsList[Club Name]"),ResultsTeams[[#This Row],[Team A]]),"")</f>
        <v/>
      </c>
      <c r="T214" s="265" t="str">
        <f ca="1">IF(AND(ResultsTeams[[#This Row],[Category]]&lt;&gt;"",ResultsTeams[[#This Row],[Team B]]&lt;&gt;""),COUNTIF(INDIRECT("TeamsList[Club Name]"),ResultsTeams[[#This Row],[Team B]]),"")</f>
        <v/>
      </c>
      <c r="U2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4" s="265" t="str">
        <f>IF(ResultsTeams[[#This Row],[Score_OK]],IF(ResultsTeams[[#This Row],[StageCpy]]="Groups",ResultsTeams[[#This Row],[Category]]&amp;"-"&amp;IF(ResultsTeams[[#This Row],[Team B]]="","",IF(ResultsTeams[[#This Row],[Match-A]]=ResultsTeams[[#This Row],[Match-B]],ResultsTeams[[#This Row],[Team A]],"")),""),"")</f>
        <v/>
      </c>
      <c r="W214" s="265" t="str">
        <f>IF(ResultsTeams[[#This Row],[Score_OK]],IF(ResultsTeams[[#This Row],[StageCpy]]="Groups",ResultsTeams[[#This Row],[Category]]&amp;"-"&amp;IF(ResultsTeams[[#This Row],[Team B]]="","",IF(ResultsTeams[[#This Row],[Match-A]]=ResultsTeams[[#This Row],[Match-B]],ResultsTeams[[#This Row],[Team B]],"")),""),"")</f>
        <v/>
      </c>
      <c r="X2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4" s="264" t="str">
        <f>IF(ResultsTeams[[#This Row],[Category]]="","",VLOOKUP(ResultsTeams[[#This Row],[Stage]],$R$1:$T$8,MATCH(ResultsTeams[[#This Row],[Category]],$S$1:$T$1,0)+1,FALSE))</f>
        <v/>
      </c>
      <c r="AC2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4" s="264" t="str">
        <f>IF(ResultsTeams[[#This Row],[Type]]="G",ResultsTeams[[#This Row],[Stage]],AD213)</f>
        <v>Groups</v>
      </c>
      <c r="AE214" s="395" t="str">
        <f>IF(ResultsTeams[[#This Row],[Type]]="G",INDEX(TeamsList[Club Name],MATCH(ResultsTeams[[#This Row],[Team A]],TeamsList[Team Name],0)),AE213)</f>
        <v>CCT Eagles Napoli</v>
      </c>
      <c r="AF214" s="395" t="str">
        <f>IF(ResultsTeams[[#This Row],[Type]]="G",INDEX(TeamsList[Club Name],MATCH(ResultsTeams[[#This Row],[Team B]],TeamsList[Team Name],0)),AF213)</f>
        <v>SC Charleroi</v>
      </c>
      <c r="AG214" s="265"/>
    </row>
    <row r="215" spans="1:72" ht="12" thickBot="1" x14ac:dyDescent="0.25">
      <c r="A215" s="261" t="s">
        <v>12693</v>
      </c>
      <c r="B215" s="270" t="s">
        <v>12207</v>
      </c>
      <c r="C215" s="270">
        <v>4</v>
      </c>
      <c r="D215" s="270"/>
      <c r="E215" s="272" t="s">
        <v>12228</v>
      </c>
      <c r="F215" s="273" t="s">
        <v>415</v>
      </c>
      <c r="G215" s="273" t="s">
        <v>14591</v>
      </c>
      <c r="H215" s="275">
        <v>1</v>
      </c>
      <c r="I215" s="275">
        <v>3</v>
      </c>
      <c r="J215" s="275"/>
      <c r="K215" s="366"/>
      <c r="L215" s="366"/>
      <c r="M215" s="271"/>
      <c r="N215" s="265" t="b">
        <f>NOT(ISERROR(ResultsTeams[[#This Row],[Goal-A]]+ResultsTeams[[#This Row],[Goal-B]]))</f>
        <v>1</v>
      </c>
      <c r="O215" s="265">
        <f>IF(ResultsTeams[[#This Row],[Type]]="G",SUM(O216:O219),IF(LEFT(ResultsTeams[[#This Row],[Type]],1)="P",IF(ResultsTeams[[#This Row],[Goal-A]]&gt;ResultsTeams[[#This Row],[Goal-B]],1,0),""))</f>
        <v>1</v>
      </c>
      <c r="P215" s="265">
        <f>IF(ResultsTeams[[#This Row],[Type]]="G",SUM(P216:P219),IF(LEFT(ResultsTeams[[#This Row],[Type]],1)="P",IF(ResultsTeams[[#This Row],[Goal-A]]&lt;ResultsTeams[[#This Row],[Goal-B]],1,0),""))</f>
        <v>3</v>
      </c>
      <c r="Q215" s="265">
        <f>IF(ResultsTeams[[#This Row],[Type]]="G",SUM(Q216:Q219),IF(LEFT(ResultsTeams[[#This Row],[Type]],1)="P",VALUE(ResultsTeams[[#This Row],[Score-A]]),""))</f>
        <v>8</v>
      </c>
      <c r="R215" s="265">
        <f>IF(ResultsTeams[[#This Row],[Type]]="G",SUM(R216:R219),IF(LEFT(ResultsTeams[[#This Row],[Type]],1)="P",VALUE(ResultsTeams[[#This Row],[Score-B]]),""))</f>
        <v>10</v>
      </c>
      <c r="S215" s="265">
        <f ca="1">IF(AND(ResultsTeams[[#This Row],[Category]]&lt;&gt;"",ResultsTeams[[#This Row],[Team A]]&lt;&gt;""),COUNTIF(INDIRECT("TeamsList[Club Name]"),ResultsTeams[[#This Row],[Team A]]),"")</f>
        <v>2</v>
      </c>
      <c r="T215" s="265">
        <f ca="1">IF(AND(ResultsTeams[[#This Row],[Category]]&lt;&gt;"",ResultsTeams[[#This Row],[Team B]]&lt;&gt;""),COUNTIF(INDIRECT("TeamsList[Club Name]"),ResultsTeams[[#This Row],[Team B]]),"")</f>
        <v>0</v>
      </c>
      <c r="U2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Caen 2</v>
      </c>
      <c r="V215" s="265" t="str">
        <f>IF(ResultsTeams[[#This Row],[Score_OK]],IF(ResultsTeams[[#This Row],[StageCpy]]="Groups",ResultsTeams[[#This Row],[Category]]&amp;"-"&amp;IF(ResultsTeams[[#This Row],[Team B]]="","",IF(ResultsTeams[[#This Row],[Match-A]]=ResultsTeams[[#This Row],[Match-B]],ResultsTeams[[#This Row],[Team A]],"")),""),"")</f>
        <v>TEAM-</v>
      </c>
      <c r="W215" s="265" t="str">
        <f>IF(ResultsTeams[[#This Row],[Score_OK]],IF(ResultsTeams[[#This Row],[StageCpy]]="Groups",ResultsTeams[[#This Row],[Category]]&amp;"-"&amp;IF(ResultsTeams[[#This Row],[Team B]]="","",IF(ResultsTeams[[#This Row],[Match-A]]=ResultsTeams[[#This Row],[Match-B]],ResultsTeams[[#This Row],[Team B]],"")),""),"")</f>
        <v>TEAM-</v>
      </c>
      <c r="X2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v>
      </c>
      <c r="Y2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A2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B215" s="264" t="str">
        <f>IF(ResultsTeams[[#This Row],[Category]]="","",VLOOKUP(ResultsTeams[[#This Row],[Stage]],$R$1:$T$8,MATCH(ResultsTeams[[#This Row],[Category]],$S$1:$T$1,0)+1,FALSE))</f>
        <v>PR1</v>
      </c>
      <c r="AC2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5" s="264" t="str">
        <f>IF(ResultsTeams[[#This Row],[Type]]="G",ResultsTeams[[#This Row],[Stage]],AD214)</f>
        <v>Groups</v>
      </c>
      <c r="AE215" s="395" t="str">
        <f>IF(ResultsTeams[[#This Row],[Type]]="G",INDEX(TeamsList[Club Name],MATCH(ResultsTeams[[#This Row],[Team A]],TeamsList[Team Name],0)),AE214)</f>
        <v>Kent Invicta TFC</v>
      </c>
      <c r="AF215" s="395" t="str">
        <f>IF(ResultsTeams[[#This Row],[Type]]="G",INDEX(TeamsList[Club Name],MATCH(ResultsTeams[[#This Row],[Team B]],TeamsList[Team Name],0)),AF214)</f>
        <v>FTC Caen</v>
      </c>
      <c r="AG215" s="265"/>
      <c r="AH215" s="281"/>
      <c r="AI215" s="315"/>
      <c r="AJ215" s="289" t="s">
        <v>14438</v>
      </c>
      <c r="AK215" s="290" t="s">
        <v>12279</v>
      </c>
      <c r="AL215" s="300" t="s">
        <v>12275</v>
      </c>
      <c r="AM215" s="296" t="s">
        <v>12276</v>
      </c>
      <c r="AN215" s="291" t="s">
        <v>12271</v>
      </c>
      <c r="AO215" s="291" t="s">
        <v>12272</v>
      </c>
      <c r="AP215" s="414" t="s">
        <v>13154</v>
      </c>
      <c r="AQ215" s="291" t="s">
        <v>12273</v>
      </c>
      <c r="AR215" s="297" t="s">
        <v>12274</v>
      </c>
      <c r="AS215" s="414" t="s">
        <v>13154</v>
      </c>
      <c r="AT215" s="296" t="s">
        <v>12199</v>
      </c>
      <c r="AU215" s="291" t="s">
        <v>12200</v>
      </c>
      <c r="AV215" s="291" t="s">
        <v>12201</v>
      </c>
      <c r="AW215" s="291" t="s">
        <v>12202</v>
      </c>
      <c r="AX215" s="291" t="s">
        <v>12203</v>
      </c>
      <c r="AY215" s="291" t="s">
        <v>12697</v>
      </c>
      <c r="AZ215" s="291" t="s">
        <v>12698</v>
      </c>
      <c r="BA215" s="291" t="s">
        <v>12699</v>
      </c>
      <c r="BB215" s="291" t="s">
        <v>12700</v>
      </c>
      <c r="BC215" s="291" t="s">
        <v>12204</v>
      </c>
      <c r="BD215" s="291" t="s">
        <v>12205</v>
      </c>
      <c r="BE215" s="297" t="s">
        <v>12206</v>
      </c>
      <c r="BF215" s="395"/>
      <c r="BG215" s="282" t="s">
        <v>12276</v>
      </c>
      <c r="BH215" s="282" t="s">
        <v>12133</v>
      </c>
      <c r="BI215" s="283" t="s">
        <v>12199</v>
      </c>
      <c r="BJ215" s="283" t="s">
        <v>12200</v>
      </c>
      <c r="BK215" s="283" t="s">
        <v>12201</v>
      </c>
      <c r="BL215" s="283" t="s">
        <v>12202</v>
      </c>
      <c r="BM215" s="283" t="s">
        <v>12203</v>
      </c>
      <c r="BN215" s="290" t="s">
        <v>12697</v>
      </c>
      <c r="BO215" s="354" t="s">
        <v>12698</v>
      </c>
      <c r="BP215" s="283" t="s">
        <v>12699</v>
      </c>
      <c r="BQ215" s="300" t="s">
        <v>12700</v>
      </c>
      <c r="BR215" s="351" t="s">
        <v>12204</v>
      </c>
      <c r="BS215" s="283" t="s">
        <v>12205</v>
      </c>
      <c r="BT215" s="300" t="s">
        <v>12206</v>
      </c>
    </row>
    <row r="216" spans="1:72" x14ac:dyDescent="0.2">
      <c r="A216" s="60"/>
      <c r="B216" s="280"/>
      <c r="C216" s="60"/>
      <c r="D216" s="60"/>
      <c r="E216" s="240" t="s">
        <v>12231</v>
      </c>
      <c r="F216" s="244" t="s">
        <v>13241</v>
      </c>
      <c r="G216" s="244" t="s">
        <v>14389</v>
      </c>
      <c r="H216" s="253">
        <v>3</v>
      </c>
      <c r="I216" s="253">
        <v>2</v>
      </c>
      <c r="J216" s="253"/>
      <c r="K216" s="362"/>
      <c r="L216" s="362"/>
      <c r="M216" s="61"/>
      <c r="N216" s="265" t="b">
        <f>NOT(ISERROR(ResultsTeams[[#This Row],[Goal-A]]+ResultsTeams[[#This Row],[Goal-B]]))</f>
        <v>1</v>
      </c>
      <c r="O216" s="265">
        <f>IF(ResultsTeams[[#This Row],[Type]]="G",SUM(O217:O220),IF(LEFT(ResultsTeams[[#This Row],[Type]],1)="P",IF(ResultsTeams[[#This Row],[Goal-A]]&gt;ResultsTeams[[#This Row],[Goal-B]],1,0),""))</f>
        <v>1</v>
      </c>
      <c r="P216" s="265">
        <f>IF(ResultsTeams[[#This Row],[Type]]="G",SUM(P217:P220),IF(LEFT(ResultsTeams[[#This Row],[Type]],1)="P",IF(ResultsTeams[[#This Row],[Goal-A]]&lt;ResultsTeams[[#This Row],[Goal-B]],1,0),""))</f>
        <v>0</v>
      </c>
      <c r="Q216" s="265">
        <f>IF(ResultsTeams[[#This Row],[Type]]="G",SUM(Q217:Q220),IF(LEFT(ResultsTeams[[#This Row],[Type]],1)="P",VALUE(ResultsTeams[[#This Row],[Score-A]]),""))</f>
        <v>3</v>
      </c>
      <c r="R216" s="265">
        <f>IF(ResultsTeams[[#This Row],[Type]]="G",SUM(R217:R220),IF(LEFT(ResultsTeams[[#This Row],[Type]],1)="P",VALUE(ResultsTeams[[#This Row],[Score-B]]),""))</f>
        <v>2</v>
      </c>
      <c r="S216" s="265" t="str">
        <f ca="1">IF(AND(ResultsTeams[[#This Row],[Category]]&lt;&gt;"",ResultsTeams[[#This Row],[Team A]]&lt;&gt;""),COUNTIF(INDIRECT("TeamsList[Club Name]"),ResultsTeams[[#This Row],[Team A]]),"")</f>
        <v/>
      </c>
      <c r="T216" s="265" t="str">
        <f ca="1">IF(AND(ResultsTeams[[#This Row],[Category]]&lt;&gt;"",ResultsTeams[[#This Row],[Team B]]&lt;&gt;""),COUNTIF(INDIRECT("TeamsList[Club Name]"),ResultsTeams[[#This Row],[Team B]]),"")</f>
        <v/>
      </c>
      <c r="U2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-Miguel Pereira</v>
      </c>
      <c r="V216" s="265" t="str">
        <f>IF(ResultsTeams[[#This Row],[Score_OK]],IF(ResultsTeams[[#This Row],[StageCpy]]="Groups",ResultsTeams[[#This Row],[Category]]&amp;"-"&amp;IF(ResultsTeams[[#This Row],[Team B]]="","",IF(ResultsTeams[[#This Row],[Match-A]]=ResultsTeams[[#This Row],[Match-B]],ResultsTeams[[#This Row],[Team A]],"")),""),"")</f>
        <v>-</v>
      </c>
      <c r="W216" s="265" t="str">
        <f>IF(ResultsTeams[[#This Row],[Score_OK]],IF(ResultsTeams[[#This Row],[StageCpy]]="Groups",ResultsTeams[[#This Row],[Category]]&amp;"-"&amp;IF(ResultsTeams[[#This Row],[Team B]]="","",IF(ResultsTeams[[#This Row],[Match-A]]=ResultsTeams[[#This Row],[Match-B]],ResultsTeams[[#This Row],[Team B]],"")),""),"")</f>
        <v>-</v>
      </c>
      <c r="X2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-Abdelmaneum Rouis</v>
      </c>
      <c r="Y2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6" s="264" t="str">
        <f>IF(ResultsTeams[[#This Row],[Category]]="","",VLOOKUP(ResultsTeams[[#This Row],[Stage]],$R$1:$T$8,MATCH(ResultsTeams[[#This Row],[Category]],$S$1:$T$1,0)+1,FALSE))</f>
        <v/>
      </c>
      <c r="AC2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6" s="264" t="str">
        <f>IF(ResultsTeams[[#This Row],[Type]]="G",ResultsTeams[[#This Row],[Stage]],AD215)</f>
        <v>Groups</v>
      </c>
      <c r="AE216" s="395" t="str">
        <f>IF(ResultsTeams[[#This Row],[Type]]="G",INDEX(TeamsList[Club Name],MATCH(ResultsTeams[[#This Row],[Team A]],TeamsList[Team Name],0)),AE215)</f>
        <v>Kent Invicta TFC</v>
      </c>
      <c r="AF216" s="395" t="str">
        <f>IF(ResultsTeams[[#This Row],[Type]]="G",INDEX(TeamsList[Club Name],MATCH(ResultsTeams[[#This Row],[Team B]],TeamsList[Team Name],0)),AF215)</f>
        <v>FTC Caen</v>
      </c>
      <c r="AG216" s="265"/>
      <c r="AI216" s="12">
        <f>AI215</f>
        <v>0</v>
      </c>
      <c r="AJ216" s="309"/>
      <c r="AK216" s="320"/>
      <c r="AL216" s="311"/>
      <c r="AM216" s="292" t="str">
        <f>IF(AV216="","",SMALL(AN216:AN222,ROWS(AM216:AM216)))</f>
        <v/>
      </c>
      <c r="AN216" s="293" t="str">
        <f>IF(AV216="","",RANK(AR216,AR216:AR222)*1000+ROWS(AN216:AN216))</f>
        <v/>
      </c>
      <c r="AO216" s="316" t="str">
        <f t="shared" ref="AO216:AO222" si="178">IF(AV216="","",AT216*CritClassEq1_Points+AY216*CritClassEq1_DiffRencontres+BB216*CritClassEq1_DiffMatches+BE216*CritClassEq1_DiffButs+AZ216*CritClassEq1_Matches+BC216*CritClassEq1_Attaque)</f>
        <v/>
      </c>
      <c r="AP216" s="415" t="b">
        <f>AND(AU216&lt;&gt;"",AU216&gt;0,COUNTIF(AO216:AO222,AO216)&gt;1)</f>
        <v>0</v>
      </c>
      <c r="AQ216" s="316" t="str">
        <f t="shared" ref="AQ216:AQ222" si="179">IF(AV216="","",CritClassEq_DiffPart*AK216)</f>
        <v/>
      </c>
      <c r="AR216" s="317" t="str">
        <f t="shared" ref="AR216:AR222" si="180">IF(AV216="","",AO216+AQ216+AT216*CritClassEq2_Points+AY216*CritClassEq2_DiffRencontres+BB216*CritClassEq2_DiffMatches+BE216*CritClassEq2_DiffButs+AZ216*CritClassEq2_Matches+BC216*CritClassEq2_Attaque+AL216)</f>
        <v/>
      </c>
      <c r="AS216" s="415" t="b">
        <f>AND(AU216&lt;&gt;"",AU216&gt;0,COUNTIF(AR216:AR222,AR216)&gt;1)</f>
        <v>0</v>
      </c>
      <c r="AT216" s="355" t="str">
        <f t="shared" ref="AT216:AT222" si="181">IF(AV216="","",(AV216*Points_Victoire)+AW216*Points_Null)</f>
        <v/>
      </c>
      <c r="AU216" s="356" t="str">
        <f t="shared" ref="AU216:AU222" si="182">IF(AV216="","",SUM(AV216:AX216))</f>
        <v/>
      </c>
      <c r="AV216" s="356" t="str">
        <f>IF(OR(AI215="",AJ216=""),"",COUNTIF(ResultsTeams[Win],AI215&amp;"-"&amp;AJ216))</f>
        <v/>
      </c>
      <c r="AW216" s="356" t="str">
        <f>IF(OR(AI215="",AJ216=""),"",COUNTIF(ResultsTeams[[Draw1]:[Draw2]],AI215&amp;"-"&amp;AJ216))</f>
        <v/>
      </c>
      <c r="AX216" s="356" t="str">
        <f>IF(OR(AI215="",AJ216=""),"",COUNTIF(ResultsTeams[Lose],AI215&amp;"-"&amp;AJ216))</f>
        <v/>
      </c>
      <c r="AY216" s="356" t="str">
        <f>IF(OR(AI215="",AJ216=""),"",AV216-AX216)</f>
        <v/>
      </c>
      <c r="AZ216" s="356" t="str">
        <f>IF(OR(AI215="",AJ216=""),"",SUMIFS(ResultsTeams[Match-A],ResultsTeams[Stage],"Groups",ResultsTeams[Team A],AJ216)+SUMIFS(ResultsTeams[Match-B],ResultsTeams[Stage],"Groups",ResultsTeams[Team B],AJ216))</f>
        <v/>
      </c>
      <c r="BA216" s="356" t="str">
        <f>IF(OR(AI215="",AJ216=""),"",SUMIFS(ResultsTeams[Match-B],ResultsTeams[Stage],"Groups",ResultsTeams[Team A],AJ216)+SUMIFS(ResultsTeams[Match-A],ResultsTeams[Stage],"Groups",ResultsTeams[Team B],AJ216))</f>
        <v/>
      </c>
      <c r="BB216" s="356" t="str">
        <f>IF(OR(AI215="",AJ216=""),"",AZ216-BA216)</f>
        <v/>
      </c>
      <c r="BC216" s="356" t="str">
        <f>IF(OR(AI215="",AJ216=""),"",SUMIFS(ResultsTeams[Goal-A],ResultsTeams[Stage],"Groups",ResultsTeams[Team A],AJ216)+SUMIFS(ResultsTeams[Goal-B],ResultsTeams[Stage],"Groups",ResultsTeams[Team B],AJ216))</f>
        <v/>
      </c>
      <c r="BD216" s="356" t="str">
        <f>IF(OR(AI215="",AJ216=""),"",SUMIFS(ResultsTeams[Goal-B],ResultsTeams[Stage],"Groups",ResultsTeams[Team A],AJ216)+SUMIFS(ResultsTeams[Goal-A],ResultsTeams[Stage],"Groups",ResultsTeams[Team B],AJ216))</f>
        <v/>
      </c>
      <c r="BE216" s="357" t="str">
        <f>IF(OR(AI215="",AJ216=""),"",BC216-BD216)</f>
        <v/>
      </c>
      <c r="BF216" s="470" t="str">
        <f>IF(AM216="","",OR(VLOOKUP(AM216,AN216:BE222,3,FALSE),VLOOKUP(AM216,AN216:BE222,6,FALSE)))</f>
        <v/>
      </c>
      <c r="BG216" s="298" t="str">
        <f t="shared" ref="BG216:BG222" si="183">IF(AM216="","",INT(AM216/1000))</f>
        <v/>
      </c>
      <c r="BH216" s="285" t="str">
        <f>IF(AM216="","",INDEX(AJ216:AJ222,MATCH(AM216,AN216:AN222,0)))</f>
        <v/>
      </c>
      <c r="BI216" s="286" t="str">
        <f>IF(AM216="","",VLOOKUP(AM216,AN216:BE222,COLUMN()-COLUMN(BB215),FALSE))</f>
        <v/>
      </c>
      <c r="BJ216" s="286" t="str">
        <f>IF(AM216="","",VLOOKUP(AM216,AN216:BE222,COLUMN()-COLUMN(BB215),FALSE))</f>
        <v/>
      </c>
      <c r="BK216" s="286" t="str">
        <f>IF(AM216="","",VLOOKUP(AM216,AN216:BE222,COLUMN()-COLUMN(BB215),FALSE))</f>
        <v/>
      </c>
      <c r="BL216" s="286" t="str">
        <f>IF(AM216="","",VLOOKUP(AM216,AN216:BE222,COLUMN()-COLUMN(BB215),FALSE))</f>
        <v/>
      </c>
      <c r="BM216" s="286" t="str">
        <f>IF(AM216="","",VLOOKUP(AM216,AN216:BE222,COLUMN()-COLUMN(BB215),FALSE))</f>
        <v/>
      </c>
      <c r="BN216" s="349" t="str">
        <f>IF(AM216="","",VLOOKUP(AM216,AN216:BE222,COLUMN()-COLUMN(BB215),FALSE))</f>
        <v/>
      </c>
      <c r="BO216" s="298" t="str">
        <f>IF(AM216="","",VLOOKUP(AM216,AN216:BE222,COLUMN()-COLUMN(BB215),FALSE))</f>
        <v/>
      </c>
      <c r="BP216" s="286" t="str">
        <f>IF(AM216="","",VLOOKUP(AM216,AN216:BE222,COLUMN()-COLUMN(BB215),FALSE))</f>
        <v/>
      </c>
      <c r="BQ216" s="301" t="str">
        <f>IF(AM216="","",VLOOKUP(AM216,AN216:BE222,COLUMN()-COLUMN(BB215),FALSE))</f>
        <v/>
      </c>
      <c r="BR216" s="352" t="str">
        <f>IF(AM216="","",VLOOKUP(AM216,AN216:BE222,COLUMN()-COLUMN(BB215),FALSE))</f>
        <v/>
      </c>
      <c r="BS216" s="286" t="str">
        <f>IF(AM216="","",VLOOKUP(AM216,AN216:BE222,COLUMN()-COLUMN(BB215),FALSE))</f>
        <v/>
      </c>
      <c r="BT216" s="301" t="str">
        <f>IF(AM216="","",VLOOKUP(AM216,AN216:BE222,COLUMN()-COLUMN(BB215),FALSE))</f>
        <v/>
      </c>
    </row>
    <row r="217" spans="1:72" x14ac:dyDescent="0.2">
      <c r="A217" s="62"/>
      <c r="B217" s="280"/>
      <c r="C217" s="62"/>
      <c r="D217" s="62"/>
      <c r="E217" s="241" t="s">
        <v>12234</v>
      </c>
      <c r="F217" s="246" t="s">
        <v>8546</v>
      </c>
      <c r="G217" s="246" t="s">
        <v>10784</v>
      </c>
      <c r="H217" s="254">
        <v>2</v>
      </c>
      <c r="I217" s="254">
        <v>3</v>
      </c>
      <c r="J217" s="254"/>
      <c r="K217" s="363"/>
      <c r="L217" s="363"/>
      <c r="M217" s="63"/>
      <c r="N217" s="265" t="b">
        <f>NOT(ISERROR(ResultsTeams[[#This Row],[Goal-A]]+ResultsTeams[[#This Row],[Goal-B]]))</f>
        <v>1</v>
      </c>
      <c r="O217" s="265">
        <f>IF(ResultsTeams[[#This Row],[Type]]="G",SUM(O218:O221),IF(LEFT(ResultsTeams[[#This Row],[Type]],1)="P",IF(ResultsTeams[[#This Row],[Goal-A]]&gt;ResultsTeams[[#This Row],[Goal-B]],1,0),""))</f>
        <v>0</v>
      </c>
      <c r="P217" s="265">
        <f>IF(ResultsTeams[[#This Row],[Type]]="G",SUM(P218:P221),IF(LEFT(ResultsTeams[[#This Row],[Type]],1)="P",IF(ResultsTeams[[#This Row],[Goal-A]]&lt;ResultsTeams[[#This Row],[Goal-B]],1,0),""))</f>
        <v>1</v>
      </c>
      <c r="Q217" s="265">
        <f>IF(ResultsTeams[[#This Row],[Type]]="G",SUM(Q218:Q221),IF(LEFT(ResultsTeams[[#This Row],[Type]],1)="P",VALUE(ResultsTeams[[#This Row],[Score-A]]),""))</f>
        <v>2</v>
      </c>
      <c r="R217" s="265">
        <f>IF(ResultsTeams[[#This Row],[Type]]="G",SUM(R218:R221),IF(LEFT(ResultsTeams[[#This Row],[Type]],1)="P",VALUE(ResultsTeams[[#This Row],[Score-B]]),""))</f>
        <v>3</v>
      </c>
      <c r="S217" s="265" t="str">
        <f ca="1">IF(AND(ResultsTeams[[#This Row],[Category]]&lt;&gt;"",ResultsTeams[[#This Row],[Team A]]&lt;&gt;""),COUNTIF(INDIRECT("TeamsList[Club Name]"),ResultsTeams[[#This Row],[Team A]]),"")</f>
        <v/>
      </c>
      <c r="T217" s="265" t="str">
        <f ca="1">IF(AND(ResultsTeams[[#This Row],[Category]]&lt;&gt;"",ResultsTeams[[#This Row],[Team B]]&lt;&gt;""),COUNTIF(INDIRECT("TeamsList[Club Name]"),ResultsTeams[[#This Row],[Team B]]),"")</f>
        <v/>
      </c>
      <c r="U2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-Yasser Rouis</v>
      </c>
      <c r="V217" s="265" t="str">
        <f>IF(ResultsTeams[[#This Row],[Score_OK]],IF(ResultsTeams[[#This Row],[StageCpy]]="Groups",ResultsTeams[[#This Row],[Category]]&amp;"-"&amp;IF(ResultsTeams[[#This Row],[Team B]]="","",IF(ResultsTeams[[#This Row],[Match-A]]=ResultsTeams[[#This Row],[Match-B]],ResultsTeams[[#This Row],[Team A]],"")),""),"")</f>
        <v>-</v>
      </c>
      <c r="W217" s="265" t="str">
        <f>IF(ResultsTeams[[#This Row],[Score_OK]],IF(ResultsTeams[[#This Row],[StageCpy]]="Groups",ResultsTeams[[#This Row],[Category]]&amp;"-"&amp;IF(ResultsTeams[[#This Row],[Team B]]="","",IF(ResultsTeams[[#This Row],[Match-A]]=ResultsTeams[[#This Row],[Match-B]],ResultsTeams[[#This Row],[Team B]],"")),""),"")</f>
        <v>-</v>
      </c>
      <c r="X2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-Malcolm Jamieson</v>
      </c>
      <c r="Y2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7" s="264" t="str">
        <f>IF(ResultsTeams[[#This Row],[Category]]="","",VLOOKUP(ResultsTeams[[#This Row],[Stage]],$R$1:$T$8,MATCH(ResultsTeams[[#This Row],[Category]],$S$1:$T$1,0)+1,FALSE))</f>
        <v/>
      </c>
      <c r="AC2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7" s="264" t="str">
        <f>IF(ResultsTeams[[#This Row],[Type]]="G",ResultsTeams[[#This Row],[Stage]],AD216)</f>
        <v>Groups</v>
      </c>
      <c r="AE217" s="395" t="str">
        <f>IF(ResultsTeams[[#This Row],[Type]]="G",INDEX(TeamsList[Club Name],MATCH(ResultsTeams[[#This Row],[Team A]],TeamsList[Team Name],0)),AE216)</f>
        <v>Kent Invicta TFC</v>
      </c>
      <c r="AF217" s="395" t="str">
        <f>IF(ResultsTeams[[#This Row],[Type]]="G",INDEX(TeamsList[Club Name],MATCH(ResultsTeams[[#This Row],[Team B]],TeamsList[Team Name],0)),AF216)</f>
        <v>FTC Caen</v>
      </c>
      <c r="AG217" s="265"/>
      <c r="AI217" s="12">
        <f>AI216</f>
        <v>0</v>
      </c>
      <c r="AJ217" s="309"/>
      <c r="AK217" s="320"/>
      <c r="AL217" s="311"/>
      <c r="AM217" s="292" t="str">
        <f>IF(AV217="","",SMALL(AN216:AN222,ROWS(AM216:AM217)))</f>
        <v/>
      </c>
      <c r="AN217" s="293" t="str">
        <f>IF(AV217="","",RANK(AR217,AR216:AR222)*1000+ROWS(AN216:AN217))</f>
        <v/>
      </c>
      <c r="AO217" s="316" t="str">
        <f t="shared" si="178"/>
        <v/>
      </c>
      <c r="AP217" s="415" t="b">
        <f>AND(AU217&lt;&gt;"",AU217&gt;0,COUNTIF(AO216:AO222,AO217)&gt;1)</f>
        <v>0</v>
      </c>
      <c r="AQ217" s="316" t="str">
        <f t="shared" si="179"/>
        <v/>
      </c>
      <c r="AR217" s="317" t="str">
        <f t="shared" si="180"/>
        <v/>
      </c>
      <c r="AS217" s="415" t="b">
        <f>AND(AU217&lt;&gt;"",AU217&gt;0,COUNTIF(AR216:AR222,AR217)&gt;1)</f>
        <v>0</v>
      </c>
      <c r="AT217" s="355" t="str">
        <f t="shared" si="181"/>
        <v/>
      </c>
      <c r="AU217" s="356" t="str">
        <f t="shared" si="182"/>
        <v/>
      </c>
      <c r="AV217" s="356" t="str">
        <f>IF(OR(AI215="",AJ217=""),"",COUNTIF(ResultsTeams[Win],AI215&amp;"-"&amp;AJ217))</f>
        <v/>
      </c>
      <c r="AW217" s="356" t="str">
        <f>IF(OR(AI215="",AJ217=""),"",COUNTIF(ResultsTeams[[Draw1]:[Draw2]],AI215&amp;"-"&amp;AJ217))</f>
        <v/>
      </c>
      <c r="AX217" s="356" t="str">
        <f>IF(OR(AI215="",AJ217=""),"",COUNTIF(ResultsTeams[Lose],AI215&amp;"-"&amp;AJ217))</f>
        <v/>
      </c>
      <c r="AY217" s="356" t="str">
        <f>IF(OR(AI215="",AJ217=""),"",AV217-AX217)</f>
        <v/>
      </c>
      <c r="AZ217" s="356" t="str">
        <f>IF(OR(AI216="",AJ217=""),"",SUMIFS(ResultsTeams[Match-A],ResultsTeams[Stage],"Groups",ResultsTeams[Team A],AJ217)+SUMIFS(ResultsTeams[Match-B],ResultsTeams[Stage],"Groups",ResultsTeams[Team B],AJ217))</f>
        <v/>
      </c>
      <c r="BA217" s="356" t="str">
        <f>IF(OR(AI216="",AJ217=""),"",SUMIFS(ResultsTeams[Match-B],ResultsTeams[Stage],"Groups",ResultsTeams[Team A],AJ217)+SUMIFS(ResultsTeams[Match-A],ResultsTeams[Stage],"Groups",ResultsTeams[Team B],AJ217))</f>
        <v/>
      </c>
      <c r="BB217" s="356" t="str">
        <f t="shared" ref="BB217:BB222" si="184">IF(OR(AI216="",AJ217=""),"",AZ217-BA217)</f>
        <v/>
      </c>
      <c r="BC217" s="356" t="str">
        <f>IF(OR(AI216="",AJ217=""),"",SUMIFS(ResultsTeams[Goal-A],ResultsTeams[Stage],"Groups",ResultsTeams[Team A],AJ217)+SUMIFS(ResultsTeams[Goal-B],ResultsTeams[Stage],"Groups",ResultsTeams[Team B],AJ217))</f>
        <v/>
      </c>
      <c r="BD217" s="356" t="str">
        <f>IF(OR(AI216="",AJ217=""),"",SUMIFS(ResultsTeams[Goal-B],ResultsTeams[Stage],"Groups",ResultsTeams[Team A],AJ217)+SUMIFS(ResultsTeams[Goal-A],ResultsTeams[Stage],"Groups",ResultsTeams[Team B],AJ217))</f>
        <v/>
      </c>
      <c r="BE217" s="357" t="str">
        <f>IF(OR(AI215="",AJ217=""),"",BC217-BD217)</f>
        <v/>
      </c>
      <c r="BF217" s="470" t="str">
        <f>IF(AM217="","",OR(VLOOKUP(AM217,AN216:BE222,3,FALSE),VLOOKUP(AM217,AN216:BE222,6,FALSE)))</f>
        <v/>
      </c>
      <c r="BG217" s="298" t="str">
        <f t="shared" si="183"/>
        <v/>
      </c>
      <c r="BH217" s="285" t="str">
        <f>IF(AM217="","",INDEX(AJ216:AJ222,MATCH(AM217,AN216:AN222,0)))</f>
        <v/>
      </c>
      <c r="BI217" s="286" t="str">
        <f>IF(AM217="","",VLOOKUP(AM217,AN216:BE222,COLUMN()-COLUMN(BB215),FALSE))</f>
        <v/>
      </c>
      <c r="BJ217" s="286" t="str">
        <f>IF(AM217="","",VLOOKUP(AM217,AN216:BE222,COLUMN()-COLUMN(BB215),FALSE))</f>
        <v/>
      </c>
      <c r="BK217" s="286" t="str">
        <f>IF(AM217="","",VLOOKUP(AM217,AN216:BE222,COLUMN()-COLUMN(BB215),FALSE))</f>
        <v/>
      </c>
      <c r="BL217" s="286" t="str">
        <f>IF(AM217="","",VLOOKUP(AM217,AN216:BE222,COLUMN()-COLUMN(BB215),FALSE))</f>
        <v/>
      </c>
      <c r="BM217" s="286" t="str">
        <f>IF(AM217="","",VLOOKUP(AM217,AN216:BE222,COLUMN()-COLUMN(BB215),FALSE))</f>
        <v/>
      </c>
      <c r="BN217" s="349" t="str">
        <f>IF(AM217="","",VLOOKUP(AM217,AN216:BE222,COLUMN()-COLUMN(BB215),FALSE))</f>
        <v/>
      </c>
      <c r="BO217" s="298" t="str">
        <f>IF(AM217="","",VLOOKUP(AM217,AN216:BE222,COLUMN()-COLUMN(BB215),FALSE))</f>
        <v/>
      </c>
      <c r="BP217" s="286" t="str">
        <f>IF(AM217="","",VLOOKUP(AM217,AN216:BE222,COLUMN()-COLUMN(BB215),FALSE))</f>
        <v/>
      </c>
      <c r="BQ217" s="301" t="str">
        <f>IF(AM217="","",VLOOKUP(AM217,AN216:BE222,COLUMN()-COLUMN(BB215),FALSE))</f>
        <v/>
      </c>
      <c r="BR217" s="352" t="str">
        <f>IF(AM217="","",VLOOKUP(AM217,AN216:BE222,COLUMN()-COLUMN(BB215),FALSE))</f>
        <v/>
      </c>
      <c r="BS217" s="286" t="str">
        <f>IF(AM217="","",VLOOKUP(AM217,AN216:BE222,COLUMN()-COLUMN(BB215),FALSE))</f>
        <v/>
      </c>
      <c r="BT217" s="301" t="str">
        <f>IF(AM217="","",VLOOKUP(AM217,AN216:BE222,COLUMN()-COLUMN(BB215),FALSE))</f>
        <v/>
      </c>
    </row>
    <row r="218" spans="1:72" x14ac:dyDescent="0.2">
      <c r="A218" s="62"/>
      <c r="B218" s="280"/>
      <c r="C218" s="62"/>
      <c r="D218" s="62"/>
      <c r="E218" s="241" t="s">
        <v>12237</v>
      </c>
      <c r="F218" s="246" t="s">
        <v>11636</v>
      </c>
      <c r="G218" s="246" t="s">
        <v>8717</v>
      </c>
      <c r="H218" s="254">
        <v>1</v>
      </c>
      <c r="I218" s="254">
        <v>2</v>
      </c>
      <c r="J218" s="254"/>
      <c r="K218" s="363"/>
      <c r="L218" s="363"/>
      <c r="M218" s="63"/>
      <c r="N218" s="265" t="b">
        <f>NOT(ISERROR(ResultsTeams[[#This Row],[Goal-A]]+ResultsTeams[[#This Row],[Goal-B]]))</f>
        <v>1</v>
      </c>
      <c r="O218" s="265">
        <f>IF(ResultsTeams[[#This Row],[Type]]="G",SUM(O219:O222),IF(LEFT(ResultsTeams[[#This Row],[Type]],1)="P",IF(ResultsTeams[[#This Row],[Goal-A]]&gt;ResultsTeams[[#This Row],[Goal-B]],1,0),""))</f>
        <v>0</v>
      </c>
      <c r="P218" s="265">
        <f>IF(ResultsTeams[[#This Row],[Type]]="G",SUM(P219:P222),IF(LEFT(ResultsTeams[[#This Row],[Type]],1)="P",IF(ResultsTeams[[#This Row],[Goal-A]]&lt;ResultsTeams[[#This Row],[Goal-B]],1,0),""))</f>
        <v>1</v>
      </c>
      <c r="Q218" s="265">
        <f>IF(ResultsTeams[[#This Row],[Type]]="G",SUM(Q219:Q222),IF(LEFT(ResultsTeams[[#This Row],[Type]],1)="P",VALUE(ResultsTeams[[#This Row],[Score-A]]),""))</f>
        <v>1</v>
      </c>
      <c r="R218" s="265">
        <f>IF(ResultsTeams[[#This Row],[Type]]="G",SUM(R219:R222),IF(LEFT(ResultsTeams[[#This Row],[Type]],1)="P",VALUE(ResultsTeams[[#This Row],[Score-B]]),""))</f>
        <v>2</v>
      </c>
      <c r="S218" s="265" t="str">
        <f ca="1">IF(AND(ResultsTeams[[#This Row],[Category]]&lt;&gt;"",ResultsTeams[[#This Row],[Team A]]&lt;&gt;""),COUNTIF(INDIRECT("TeamsList[Club Name]"),ResultsTeams[[#This Row],[Team A]]),"")</f>
        <v/>
      </c>
      <c r="T218" s="265" t="str">
        <f ca="1">IF(AND(ResultsTeams[[#This Row],[Category]]&lt;&gt;"",ResultsTeams[[#This Row],[Team B]]&lt;&gt;""),COUNTIF(INDIRECT("TeamsList[Club Name]"),ResultsTeams[[#This Row],[Team B]]),"")</f>
        <v/>
      </c>
      <c r="U2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-Xavier Dubois</v>
      </c>
      <c r="V218" s="265" t="str">
        <f>IF(ResultsTeams[[#This Row],[Score_OK]],IF(ResultsTeams[[#This Row],[StageCpy]]="Groups",ResultsTeams[[#This Row],[Category]]&amp;"-"&amp;IF(ResultsTeams[[#This Row],[Team B]]="","",IF(ResultsTeams[[#This Row],[Match-A]]=ResultsTeams[[#This Row],[Match-B]],ResultsTeams[[#This Row],[Team A]],"")),""),"")</f>
        <v>-</v>
      </c>
      <c r="W218" s="265" t="str">
        <f>IF(ResultsTeams[[#This Row],[Score_OK]],IF(ResultsTeams[[#This Row],[StageCpy]]="Groups",ResultsTeams[[#This Row],[Category]]&amp;"-"&amp;IF(ResultsTeams[[#This Row],[Team B]]="","",IF(ResultsTeams[[#This Row],[Match-A]]=ResultsTeams[[#This Row],[Match-B]],ResultsTeams[[#This Row],[Team B]],"")),""),"")</f>
        <v>-</v>
      </c>
      <c r="X2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 Pereira</v>
      </c>
      <c r="Y2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8" s="264" t="str">
        <f>IF(ResultsTeams[[#This Row],[Category]]="","",VLOOKUP(ResultsTeams[[#This Row],[Stage]],$R$1:$T$8,MATCH(ResultsTeams[[#This Row],[Category]],$S$1:$T$1,0)+1,FALSE))</f>
        <v/>
      </c>
      <c r="AC2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8" s="264" t="str">
        <f>IF(ResultsTeams[[#This Row],[Type]]="G",ResultsTeams[[#This Row],[Stage]],AD217)</f>
        <v>Groups</v>
      </c>
      <c r="AE218" s="395" t="str">
        <f>IF(ResultsTeams[[#This Row],[Type]]="G",INDEX(TeamsList[Club Name],MATCH(ResultsTeams[[#This Row],[Team A]],TeamsList[Team Name],0)),AE217)</f>
        <v>Kent Invicta TFC</v>
      </c>
      <c r="AF218" s="395" t="str">
        <f>IF(ResultsTeams[[#This Row],[Type]]="G",INDEX(TeamsList[Club Name],MATCH(ResultsTeams[[#This Row],[Team B]],TeamsList[Team Name],0)),AF217)</f>
        <v>FTC Caen</v>
      </c>
      <c r="AG218" s="265"/>
      <c r="AI218" s="12">
        <f t="shared" ref="AI218:AI222" si="185">AI217</f>
        <v>0</v>
      </c>
      <c r="AJ218" s="309"/>
      <c r="AK218" s="320"/>
      <c r="AL218" s="311"/>
      <c r="AM218" s="292" t="str">
        <f>IF(AV218="","",SMALL(AN216:AN222,ROWS(AM216:AM218)))</f>
        <v/>
      </c>
      <c r="AN218" s="293" t="str">
        <f>IF(AV218="","",RANK(AR218,AR216:AR222)*1000+ROWS(AN216:AN218))</f>
        <v/>
      </c>
      <c r="AO218" s="316" t="str">
        <f t="shared" si="178"/>
        <v/>
      </c>
      <c r="AP218" s="415" t="b">
        <f>AND(AU218&lt;&gt;"",AU218&gt;0,COUNTIF(AO216:AO222,AO218)&gt;1)</f>
        <v>0</v>
      </c>
      <c r="AQ218" s="316" t="str">
        <f t="shared" si="179"/>
        <v/>
      </c>
      <c r="AR218" s="317" t="str">
        <f t="shared" si="180"/>
        <v/>
      </c>
      <c r="AS218" s="415" t="b">
        <f>AND(AU218&lt;&gt;"",AU218&gt;0,COUNTIF(AR216:AR222,AR218)&gt;1)</f>
        <v>0</v>
      </c>
      <c r="AT218" s="355" t="str">
        <f t="shared" si="181"/>
        <v/>
      </c>
      <c r="AU218" s="356" t="str">
        <f t="shared" si="182"/>
        <v/>
      </c>
      <c r="AV218" s="356" t="str">
        <f>IF(OR(AI215="",AJ218=""),"",COUNTIF(ResultsTeams[Win],AI215&amp;"-"&amp;AJ218))</f>
        <v/>
      </c>
      <c r="AW218" s="356" t="str">
        <f>IF(OR(AI215="",AJ218=""),"",COUNTIF(ResultsTeams[[Draw1]:[Draw2]],AI215&amp;"-"&amp;AJ218))</f>
        <v/>
      </c>
      <c r="AX218" s="356" t="str">
        <f>IF(OR(AI215="",AJ218=""),"",COUNTIF(ResultsTeams[Lose],AI215&amp;"-"&amp;AJ218))</f>
        <v/>
      </c>
      <c r="AY218" s="356" t="str">
        <f>IF(OR(AI215="",AJ218=""),"",AV218-AX218)</f>
        <v/>
      </c>
      <c r="AZ218" s="356" t="str">
        <f>IF(OR(AI217="",AJ218=""),"",SUMIFS(ResultsTeams[Match-A],ResultsTeams[Stage],"Groups",ResultsTeams[Team A],AJ218)+SUMIFS(ResultsTeams[Match-B],ResultsTeams[Stage],"Groups",ResultsTeams[Team B],AJ218))</f>
        <v/>
      </c>
      <c r="BA218" s="356" t="str">
        <f>IF(OR(AI217="",AJ218=""),"",SUMIFS(ResultsTeams[Match-B],ResultsTeams[Stage],"Groups",ResultsTeams[Team A],AJ218)+SUMIFS(ResultsTeams[Match-A],ResultsTeams[Stage],"Groups",ResultsTeams[Team B],AJ218))</f>
        <v/>
      </c>
      <c r="BB218" s="356" t="str">
        <f t="shared" si="184"/>
        <v/>
      </c>
      <c r="BC218" s="356" t="str">
        <f>IF(OR(AI217="",AJ218=""),"",SUMIFS(ResultsTeams[Goal-A],ResultsTeams[Stage],"Groups",ResultsTeams[Team A],AJ218)+SUMIFS(ResultsTeams[Goal-B],ResultsTeams[Stage],"Groups",ResultsTeams[Team B],AJ218))</f>
        <v/>
      </c>
      <c r="BD218" s="356" t="str">
        <f>IF(OR(AI217="",AJ218=""),"",SUMIFS(ResultsTeams[Goal-B],ResultsTeams[Stage],"Groups",ResultsTeams[Team A],AJ218)+SUMIFS(ResultsTeams[Goal-A],ResultsTeams[Stage],"Groups",ResultsTeams[Team B],AJ218))</f>
        <v/>
      </c>
      <c r="BE218" s="357" t="str">
        <f>IF(OR(AI215="",AJ218=""),"",BC218-BD218)</f>
        <v/>
      </c>
      <c r="BF218" s="470" t="str">
        <f>IF(AM218="","",OR(VLOOKUP(AM218,AN216:BE222,3,FALSE),VLOOKUP(AM218,AN216:BE222,6,FALSE)))</f>
        <v/>
      </c>
      <c r="BG218" s="298" t="str">
        <f t="shared" si="183"/>
        <v/>
      </c>
      <c r="BH218" s="285" t="str">
        <f>IF(AM218="","",INDEX(AJ216:AJ222,MATCH(AM218,AN216:AN222,0)))</f>
        <v/>
      </c>
      <c r="BI218" s="286" t="str">
        <f>IF(AM218="","",VLOOKUP(AM218,AN216:BE222,COLUMN()-COLUMN(BB215),FALSE))</f>
        <v/>
      </c>
      <c r="BJ218" s="286" t="str">
        <f>IF(AM218="","",VLOOKUP(AM218,AN216:BE222,COLUMN()-COLUMN(BB215),FALSE))</f>
        <v/>
      </c>
      <c r="BK218" s="286" t="str">
        <f>IF(AM218="","",VLOOKUP(AM218,AN216:BE222,COLUMN()-COLUMN(BB215),FALSE))</f>
        <v/>
      </c>
      <c r="BL218" s="286" t="str">
        <f>IF(AM218="","",VLOOKUP(AM218,AN216:BE222,COLUMN()-COLUMN(BB215),FALSE))</f>
        <v/>
      </c>
      <c r="BM218" s="286" t="str">
        <f>IF(AM218="","",VLOOKUP(AM218,AN216:BE222,COLUMN()-COLUMN(BB215),FALSE))</f>
        <v/>
      </c>
      <c r="BN218" s="349" t="str">
        <f>IF(AM218="","",VLOOKUP(AM218,AN216:BE222,COLUMN()-COLUMN(BB215),FALSE))</f>
        <v/>
      </c>
      <c r="BO218" s="298" t="str">
        <f>IF(AM218="","",VLOOKUP(AM218,AN216:BE222,COLUMN()-COLUMN(BB215),FALSE))</f>
        <v/>
      </c>
      <c r="BP218" s="286" t="str">
        <f>IF(AM218="","",VLOOKUP(AM218,AN216:BE222,COLUMN()-COLUMN(BB215),FALSE))</f>
        <v/>
      </c>
      <c r="BQ218" s="301" t="str">
        <f>IF(AM218="","",VLOOKUP(AM218,AN216:BE222,COLUMN()-COLUMN(BB215),FALSE))</f>
        <v/>
      </c>
      <c r="BR218" s="352" t="str">
        <f>IF(AM218="","",VLOOKUP(AM218,AN216:BE222,COLUMN()-COLUMN(BB215),FALSE))</f>
        <v/>
      </c>
      <c r="BS218" s="286" t="str">
        <f>IF(AM218="","",VLOOKUP(AM218,AN216:BE222,COLUMN()-COLUMN(BB215),FALSE))</f>
        <v/>
      </c>
      <c r="BT218" s="301" t="str">
        <f>IF(AM218="","",VLOOKUP(AM218,AN216:BE222,COLUMN()-COLUMN(BB215),FALSE))</f>
        <v/>
      </c>
    </row>
    <row r="219" spans="1:72" x14ac:dyDescent="0.2">
      <c r="A219" s="62"/>
      <c r="B219" s="280"/>
      <c r="C219" s="62"/>
      <c r="D219" s="62"/>
      <c r="E219" s="241" t="s">
        <v>12240</v>
      </c>
      <c r="F219" s="246" t="s">
        <v>8547</v>
      </c>
      <c r="G219" s="246" t="s">
        <v>8708</v>
      </c>
      <c r="H219" s="254">
        <v>2</v>
      </c>
      <c r="I219" s="254">
        <v>3</v>
      </c>
      <c r="J219" s="254"/>
      <c r="K219" s="363"/>
      <c r="L219" s="363"/>
      <c r="M219" s="63"/>
      <c r="N219" s="265" t="b">
        <f>NOT(ISERROR(ResultsTeams[[#This Row],[Goal-A]]+ResultsTeams[[#This Row],[Goal-B]]))</f>
        <v>1</v>
      </c>
      <c r="O219" s="265">
        <f>IF(ResultsTeams[[#This Row],[Type]]="G",SUM(O220:O223),IF(LEFT(ResultsTeams[[#This Row],[Type]],1)="P",IF(ResultsTeams[[#This Row],[Goal-A]]&gt;ResultsTeams[[#This Row],[Goal-B]],1,0),""))</f>
        <v>0</v>
      </c>
      <c r="P219" s="265">
        <f>IF(ResultsTeams[[#This Row],[Type]]="G",SUM(P220:P223),IF(LEFT(ResultsTeams[[#This Row],[Type]],1)="P",IF(ResultsTeams[[#This Row],[Goal-A]]&lt;ResultsTeams[[#This Row],[Goal-B]],1,0),""))</f>
        <v>1</v>
      </c>
      <c r="Q219" s="265">
        <f>IF(ResultsTeams[[#This Row],[Type]]="G",SUM(Q220:Q223),IF(LEFT(ResultsTeams[[#This Row],[Type]],1)="P",VALUE(ResultsTeams[[#This Row],[Score-A]]),""))</f>
        <v>2</v>
      </c>
      <c r="R219" s="265">
        <f>IF(ResultsTeams[[#This Row],[Type]]="G",SUM(R220:R223),IF(LEFT(ResultsTeams[[#This Row],[Type]],1)="P",VALUE(ResultsTeams[[#This Row],[Score-B]]),""))</f>
        <v>3</v>
      </c>
      <c r="S219" s="265" t="str">
        <f ca="1">IF(AND(ResultsTeams[[#This Row],[Category]]&lt;&gt;"",ResultsTeams[[#This Row],[Team A]]&lt;&gt;""),COUNTIF(INDIRECT("TeamsList[Club Name]"),ResultsTeams[[#This Row],[Team A]]),"")</f>
        <v/>
      </c>
      <c r="T219" s="265" t="str">
        <f ca="1">IF(AND(ResultsTeams[[#This Row],[Category]]&lt;&gt;"",ResultsTeams[[#This Row],[Team B]]&lt;&gt;""),COUNTIF(INDIRECT("TeamsList[Club Name]"),ResultsTeams[[#This Row],[Team B]]),"")</f>
        <v/>
      </c>
      <c r="U2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-Stéphane Pommier</v>
      </c>
      <c r="V219" s="265" t="str">
        <f>IF(ResultsTeams[[#This Row],[Score_OK]],IF(ResultsTeams[[#This Row],[StageCpy]]="Groups",ResultsTeams[[#This Row],[Category]]&amp;"-"&amp;IF(ResultsTeams[[#This Row],[Team B]]="","",IF(ResultsTeams[[#This Row],[Match-A]]=ResultsTeams[[#This Row],[Match-B]],ResultsTeams[[#This Row],[Team A]],"")),""),"")</f>
        <v>-</v>
      </c>
      <c r="W219" s="265" t="str">
        <f>IF(ResultsTeams[[#This Row],[Score_OK]],IF(ResultsTeams[[#This Row],[StageCpy]]="Groups",ResultsTeams[[#This Row],[Category]]&amp;"-"&amp;IF(ResultsTeams[[#This Row],[Team B]]="","",IF(ResultsTeams[[#This Row],[Match-A]]=ResultsTeams[[#This Row],[Match-B]],ResultsTeams[[#This Row],[Team B]],"")),""),"")</f>
        <v>-</v>
      </c>
      <c r="X2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-Jason Christopher</v>
      </c>
      <c r="Y2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9" s="264" t="str">
        <f>IF(ResultsTeams[[#This Row],[Category]]="","",VLOOKUP(ResultsTeams[[#This Row],[Stage]],$R$1:$T$8,MATCH(ResultsTeams[[#This Row],[Category]],$S$1:$T$1,0)+1,FALSE))</f>
        <v/>
      </c>
      <c r="AC2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9" s="264" t="str">
        <f>IF(ResultsTeams[[#This Row],[Type]]="G",ResultsTeams[[#This Row],[Stage]],AD218)</f>
        <v>Groups</v>
      </c>
      <c r="AE219" s="395" t="str">
        <f>IF(ResultsTeams[[#This Row],[Type]]="G",INDEX(TeamsList[Club Name],MATCH(ResultsTeams[[#This Row],[Team A]],TeamsList[Team Name],0)),AE218)</f>
        <v>Kent Invicta TFC</v>
      </c>
      <c r="AF219" s="395" t="str">
        <f>IF(ResultsTeams[[#This Row],[Type]]="G",INDEX(TeamsList[Club Name],MATCH(ResultsTeams[[#This Row],[Team B]],TeamsList[Team Name],0)),AF218)</f>
        <v>FTC Caen</v>
      </c>
      <c r="AG219" s="265"/>
      <c r="AH219" s="91"/>
      <c r="AI219" s="12">
        <f t="shared" si="185"/>
        <v>0</v>
      </c>
      <c r="AJ219" s="309"/>
      <c r="AK219" s="310"/>
      <c r="AL219" s="311"/>
      <c r="AM219" s="292" t="str">
        <f>IF(AV219="","",SMALL(AN216:AN222,ROWS(AM216:AM219)))</f>
        <v/>
      </c>
      <c r="AN219" s="293" t="str">
        <f>IF(AV219="","",RANK(AR219,AR216:AR222)*1000+ROWS(AN216:AN219))</f>
        <v/>
      </c>
      <c r="AO219" s="316" t="str">
        <f t="shared" si="178"/>
        <v/>
      </c>
      <c r="AP219" s="415" t="b">
        <f>AND(AU219&lt;&gt;"",AU219&gt;0,COUNTIF(AO216:AO222,AO219)&gt;1)</f>
        <v>0</v>
      </c>
      <c r="AQ219" s="316" t="str">
        <f t="shared" si="179"/>
        <v/>
      </c>
      <c r="AR219" s="317" t="str">
        <f t="shared" si="180"/>
        <v/>
      </c>
      <c r="AS219" s="415" t="b">
        <f>AND(AU219&lt;&gt;"",AU219&gt;0,COUNTIF(AR216:AR222,AR219)&gt;1)</f>
        <v>0</v>
      </c>
      <c r="AT219" s="355" t="str">
        <f t="shared" si="181"/>
        <v/>
      </c>
      <c r="AU219" s="356" t="str">
        <f t="shared" si="182"/>
        <v/>
      </c>
      <c r="AV219" s="356" t="str">
        <f>IF(OR(AI215="",AJ219=""),"",COUNTIF(ResultsTeams[Win],AI215&amp;"-"&amp;AJ219))</f>
        <v/>
      </c>
      <c r="AW219" s="356" t="str">
        <f>IF(OR(AI215="",AJ219=""),"",COUNTIF(ResultsTeams[[Draw1]:[Draw2]],AI215&amp;"-"&amp;AJ219))</f>
        <v/>
      </c>
      <c r="AX219" s="356" t="str">
        <f>IF(OR(AI215="",AJ219=""),"",COUNTIF(ResultsTeams[Lose],AI215&amp;"-"&amp;AJ219))</f>
        <v/>
      </c>
      <c r="AY219" s="356" t="str">
        <f>IF(OR(AI215="",AJ219=""),"",AV219-AX219)</f>
        <v/>
      </c>
      <c r="AZ219" s="356" t="str">
        <f>IF(OR(AI218="",AJ219=""),"",SUMIFS(ResultsTeams[Match-A],ResultsTeams[Stage],"Groups",ResultsTeams[Team A],AJ219)+SUMIFS(ResultsTeams[Match-B],ResultsTeams[Stage],"Groups",ResultsTeams[Team B],AJ219))</f>
        <v/>
      </c>
      <c r="BA219" s="356" t="str">
        <f>IF(OR(AI218="",AJ219=""),"",SUMIFS(ResultsTeams[Match-B],ResultsTeams[Stage],"Groups",ResultsTeams[Team A],AJ219)+SUMIFS(ResultsTeams[Match-A],ResultsTeams[Stage],"Groups",ResultsTeams[Team B],AJ219))</f>
        <v/>
      </c>
      <c r="BB219" s="356" t="str">
        <f t="shared" si="184"/>
        <v/>
      </c>
      <c r="BC219" s="356" t="str">
        <f>IF(OR(AI218="",AJ219=""),"",SUMIFS(ResultsTeams[Goal-A],ResultsTeams[Stage],"Groups",ResultsTeams[Team A],AJ219)+SUMIFS(ResultsTeams[Goal-B],ResultsTeams[Stage],"Groups",ResultsTeams[Team B],AJ219))</f>
        <v/>
      </c>
      <c r="BD219" s="356" t="str">
        <f>IF(OR(AI218="",AJ219=""),"",SUMIFS(ResultsTeams[Goal-B],ResultsTeams[Stage],"Groups",ResultsTeams[Team A],AJ219)+SUMIFS(ResultsTeams[Goal-A],ResultsTeams[Stage],"Groups",ResultsTeams[Team B],AJ219))</f>
        <v/>
      </c>
      <c r="BE219" s="357" t="str">
        <f>IF(OR(AI215="",AJ219=""),"",BC219-BD219)</f>
        <v/>
      </c>
      <c r="BF219" s="470" t="str">
        <f>IF(AM219="","",OR(VLOOKUP(AM219,AN216:BE222,3,FALSE),VLOOKUP(AM219,AN216:BE222,6,FALSE)))</f>
        <v/>
      </c>
      <c r="BG219" s="298" t="str">
        <f t="shared" si="183"/>
        <v/>
      </c>
      <c r="BH219" s="285" t="str">
        <f>IF(AM219="","",INDEX(AJ216:AJ222,MATCH(AM219,AN216:AN222,0)))</f>
        <v/>
      </c>
      <c r="BI219" s="286" t="str">
        <f>IF(AM219="","",VLOOKUP(AM219,AN216:BE222,COLUMN()-COLUMN(BB215),FALSE))</f>
        <v/>
      </c>
      <c r="BJ219" s="286" t="str">
        <f>IF(AM219="","",VLOOKUP(AM219,AN216:BE222,COLUMN()-COLUMN(BB215),FALSE))</f>
        <v/>
      </c>
      <c r="BK219" s="286" t="str">
        <f>IF(AM219="","",VLOOKUP(AM219,AN216:BE222,COLUMN()-COLUMN(BB215),FALSE))</f>
        <v/>
      </c>
      <c r="BL219" s="286" t="str">
        <f>IF(AM219="","",VLOOKUP(AM219,AN216:BE222,COLUMN()-COLUMN(BB215),FALSE))</f>
        <v/>
      </c>
      <c r="BM219" s="286" t="str">
        <f>IF(AM219="","",VLOOKUP(AM219,AN216:BE222,COLUMN()-COLUMN(BB215),FALSE))</f>
        <v/>
      </c>
      <c r="BN219" s="349" t="str">
        <f>IF(AM219="","",VLOOKUP(AM219,AN216:BE222,COLUMN()-COLUMN(BB215),FALSE))</f>
        <v/>
      </c>
      <c r="BO219" s="298" t="str">
        <f>IF(AM219="","",VLOOKUP(AM219,AN216:BE222,COLUMN()-COLUMN(BB215),FALSE))</f>
        <v/>
      </c>
      <c r="BP219" s="286" t="str">
        <f>IF(AM219="","",VLOOKUP(AM219,AN216:BE222,COLUMN()-COLUMN(BB215),FALSE))</f>
        <v/>
      </c>
      <c r="BQ219" s="301" t="str">
        <f>IF(AM219="","",VLOOKUP(AM219,AN216:BE222,COLUMN()-COLUMN(BB215),FALSE))</f>
        <v/>
      </c>
      <c r="BR219" s="352" t="str">
        <f>IF(AM219="","",VLOOKUP(AM219,AN216:BE222,COLUMN()-COLUMN(BB215),FALSE))</f>
        <v/>
      </c>
      <c r="BS219" s="286" t="str">
        <f>IF(AM219="","",VLOOKUP(AM219,AN216:BE222,COLUMN()-COLUMN(BB215),FALSE))</f>
        <v/>
      </c>
      <c r="BT219" s="301" t="str">
        <f>IF(AM219="","",VLOOKUP(AM219,AN216:BE222,COLUMN()-COLUMN(BB215),FALSE))</f>
        <v/>
      </c>
    </row>
    <row r="220" spans="1:72" x14ac:dyDescent="0.2">
      <c r="A220" s="62"/>
      <c r="B220" s="62"/>
      <c r="C220" s="62"/>
      <c r="D220" s="62"/>
      <c r="E220" s="241" t="s">
        <v>12243</v>
      </c>
      <c r="F220" s="246" t="s">
        <v>8107</v>
      </c>
      <c r="G220" s="247"/>
      <c r="H220" s="254" t="s">
        <v>12244</v>
      </c>
      <c r="I220" s="254"/>
      <c r="J220" s="260"/>
      <c r="K220" s="364"/>
      <c r="L220" s="364"/>
      <c r="M220" s="63"/>
      <c r="N220" s="265" t="b">
        <f>NOT(ISERROR(ResultsTeams[[#This Row],[Goal-A]]+ResultsTeams[[#This Row],[Goal-B]]))</f>
        <v>0</v>
      </c>
      <c r="O220" s="265" t="str">
        <f>IF(ResultsTeams[[#This Row],[Type]]="G",SUM(O221:O224),IF(LEFT(ResultsTeams[[#This Row],[Type]],1)="P",IF(ResultsTeams[[#This Row],[Goal-A]]&gt;ResultsTeams[[#This Row],[Goal-B]],1,0),""))</f>
        <v/>
      </c>
      <c r="P220" s="265" t="str">
        <f>IF(ResultsTeams[[#This Row],[Type]]="G",SUM(P221:P224),IF(LEFT(ResultsTeams[[#This Row],[Type]],1)="P",IF(ResultsTeams[[#This Row],[Goal-A]]&lt;ResultsTeams[[#This Row],[Goal-B]],1,0),""))</f>
        <v/>
      </c>
      <c r="Q220" s="265" t="str">
        <f>IF(ResultsTeams[[#This Row],[Type]]="G",SUM(Q221:Q224),IF(LEFT(ResultsTeams[[#This Row],[Type]],1)="P",VALUE(ResultsTeams[[#This Row],[Score-A]]),""))</f>
        <v/>
      </c>
      <c r="R220" s="265" t="str">
        <f>IF(ResultsTeams[[#This Row],[Type]]="G",SUM(R221:R224),IF(LEFT(ResultsTeams[[#This Row],[Type]],1)="P",VALUE(ResultsTeams[[#This Row],[Score-B]]),""))</f>
        <v/>
      </c>
      <c r="S220" s="265" t="str">
        <f ca="1">IF(AND(ResultsTeams[[#This Row],[Category]]&lt;&gt;"",ResultsTeams[[#This Row],[Team A]]&lt;&gt;""),COUNTIF(INDIRECT("TeamsList[Club Name]"),ResultsTeams[[#This Row],[Team A]]),"")</f>
        <v/>
      </c>
      <c r="T220" s="265" t="str">
        <f ca="1">IF(AND(ResultsTeams[[#This Row],[Category]]&lt;&gt;"",ResultsTeams[[#This Row],[Team B]]&lt;&gt;""),COUNTIF(INDIRECT("TeamsList[Club Name]"),ResultsTeams[[#This Row],[Team B]]),"")</f>
        <v/>
      </c>
      <c r="U2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0" s="265" t="str">
        <f>IF(ResultsTeams[[#This Row],[Score_OK]],IF(ResultsTeams[[#This Row],[StageCpy]]="Groups",ResultsTeams[[#This Row],[Category]]&amp;"-"&amp;IF(ResultsTeams[[#This Row],[Team B]]="","",IF(ResultsTeams[[#This Row],[Match-A]]=ResultsTeams[[#This Row],[Match-B]],ResultsTeams[[#This Row],[Team A]],"")),""),"")</f>
        <v/>
      </c>
      <c r="W220" s="265" t="str">
        <f>IF(ResultsTeams[[#This Row],[Score_OK]],IF(ResultsTeams[[#This Row],[StageCpy]]="Groups",ResultsTeams[[#This Row],[Category]]&amp;"-"&amp;IF(ResultsTeams[[#This Row],[Team B]]="","",IF(ResultsTeams[[#This Row],[Match-A]]=ResultsTeams[[#This Row],[Match-B]],ResultsTeams[[#This Row],[Team B]],"")),""),"")</f>
        <v/>
      </c>
      <c r="X2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0" s="264" t="str">
        <f>IF(ResultsTeams[[#This Row],[Category]]="","",VLOOKUP(ResultsTeams[[#This Row],[Stage]],$R$1:$T$8,MATCH(ResultsTeams[[#This Row],[Category]],$S$1:$T$1,0)+1,FALSE))</f>
        <v/>
      </c>
      <c r="AC2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0" s="264" t="str">
        <f>IF(ResultsTeams[[#This Row],[Type]]="G",ResultsTeams[[#This Row],[Stage]],AD219)</f>
        <v>Groups</v>
      </c>
      <c r="AE220" s="395" t="str">
        <f>IF(ResultsTeams[[#This Row],[Type]]="G",INDEX(TeamsList[Club Name],MATCH(ResultsTeams[[#This Row],[Team A]],TeamsList[Team Name],0)),AE219)</f>
        <v>Kent Invicta TFC</v>
      </c>
      <c r="AF220" s="395" t="str">
        <f>IF(ResultsTeams[[#This Row],[Type]]="G",INDEX(TeamsList[Club Name],MATCH(ResultsTeams[[#This Row],[Team B]],TeamsList[Team Name],0)),AF219)</f>
        <v>FTC Caen</v>
      </c>
      <c r="AG220" s="265"/>
      <c r="AH220" s="91"/>
      <c r="AI220" s="12">
        <f t="shared" si="185"/>
        <v>0</v>
      </c>
      <c r="AJ220" s="309"/>
      <c r="AK220" s="310"/>
      <c r="AL220" s="311"/>
      <c r="AM220" s="292" t="str">
        <f>IF(AV220="","",SMALL(AN216:AN222,ROWS(AM216:AM220)))</f>
        <v/>
      </c>
      <c r="AN220" s="293" t="str">
        <f>IF(AV220="","",RANK(AR220,AR216:AR222)*1000+ROWS(AN216:AN220))</f>
        <v/>
      </c>
      <c r="AO220" s="316" t="str">
        <f t="shared" si="178"/>
        <v/>
      </c>
      <c r="AP220" s="415" t="b">
        <f>AND(AU220&lt;&gt;"",AU220&gt;0,COUNTIF(AO216:AO222,AO220)&gt;1)</f>
        <v>0</v>
      </c>
      <c r="AQ220" s="316" t="str">
        <f t="shared" si="179"/>
        <v/>
      </c>
      <c r="AR220" s="317" t="str">
        <f t="shared" si="180"/>
        <v/>
      </c>
      <c r="AS220" s="415" t="b">
        <f>AND(AU220&lt;&gt;"",AU220&gt;0,COUNTIF(AR216:AR222,AR220)&gt;1)</f>
        <v>0</v>
      </c>
      <c r="AT220" s="355" t="str">
        <f t="shared" si="181"/>
        <v/>
      </c>
      <c r="AU220" s="356" t="str">
        <f t="shared" si="182"/>
        <v/>
      </c>
      <c r="AV220" s="356" t="str">
        <f>IF(OR(AI215="",AJ220=""),"",COUNTIF(ResultsTeams[Win],AI215&amp;"-"&amp;AJ220))</f>
        <v/>
      </c>
      <c r="AW220" s="356" t="str">
        <f>IF(OR(AI215="",AJ220=""),"",COUNTIF(ResultsTeams[[Draw1]:[Draw2]],AI215&amp;"-"&amp;AJ220))</f>
        <v/>
      </c>
      <c r="AX220" s="356" t="str">
        <f>IF(OR(AI215="",AJ220=""),"",COUNTIF(ResultsTeams[Lose],AI215&amp;"-"&amp;AJ220))</f>
        <v/>
      </c>
      <c r="AY220" s="356" t="str">
        <f>IF(OR(AI215="",AJ220=""),"",AV220-AX220)</f>
        <v/>
      </c>
      <c r="AZ220" s="356" t="str">
        <f>IF(OR(AI219="",AJ220=""),"",SUMIFS(ResultsTeams[Match-A],ResultsTeams[Stage],"Groups",ResultsTeams[Team A],AJ220)+SUMIFS(ResultsTeams[Match-B],ResultsTeams[Stage],"Groups",ResultsTeams[Team B],AJ220))</f>
        <v/>
      </c>
      <c r="BA220" s="356" t="str">
        <f>IF(OR(AI219="",AJ220=""),"",SUMIFS(ResultsTeams[Match-B],ResultsTeams[Stage],"Groups",ResultsTeams[Team A],AJ220)+SUMIFS(ResultsTeams[Match-A],ResultsTeams[Stage],"Groups",ResultsTeams[Team B],AJ220))</f>
        <v/>
      </c>
      <c r="BB220" s="356" t="str">
        <f t="shared" si="184"/>
        <v/>
      </c>
      <c r="BC220" s="356" t="str">
        <f>IF(OR(AI219="",AJ220=""),"",SUMIFS(ResultsTeams[Goal-A],ResultsTeams[Stage],"Groups",ResultsTeams[Team A],AJ220)+SUMIFS(ResultsTeams[Goal-B],ResultsTeams[Stage],"Groups",ResultsTeams[Team B],AJ220))</f>
        <v/>
      </c>
      <c r="BD220" s="356" t="str">
        <f>IF(OR(AI219="",AJ220=""),"",SUMIFS(ResultsTeams[Goal-B],ResultsTeams[Stage],"Groups",ResultsTeams[Team A],AJ220)+SUMIFS(ResultsTeams[Goal-A],ResultsTeams[Stage],"Groups",ResultsTeams[Team B],AJ220))</f>
        <v/>
      </c>
      <c r="BE220" s="357" t="str">
        <f>IF(OR(AI215="",AJ220=""),"",BC220-BD220)</f>
        <v/>
      </c>
      <c r="BF220" s="470" t="str">
        <f>IF(AM220="","",OR(VLOOKUP(AM220,AN216:BE222,3,FALSE),VLOOKUP(AM220,AN216:BE222,6,FALSE)))</f>
        <v/>
      </c>
      <c r="BG220" s="298" t="str">
        <f t="shared" si="183"/>
        <v/>
      </c>
      <c r="BH220" s="285" t="str">
        <f>IF(AM220="","",INDEX(AJ216:AJ222,MATCH(AM220,AN216:AN222,0)))</f>
        <v/>
      </c>
      <c r="BI220" s="286" t="str">
        <f>IF(AM220="","",VLOOKUP(AM220,AN216:BE222,COLUMN()-COLUMN(BB215),FALSE))</f>
        <v/>
      </c>
      <c r="BJ220" s="286" t="str">
        <f>IF(AM220="","",VLOOKUP(AM220,AN216:BE222,COLUMN()-COLUMN(BB215),FALSE))</f>
        <v/>
      </c>
      <c r="BK220" s="286" t="str">
        <f>IF(AM220="","",VLOOKUP(AM220,AN216:BE222,COLUMN()-COLUMN(BB215),FALSE))</f>
        <v/>
      </c>
      <c r="BL220" s="286" t="str">
        <f>IF(AM220="","",VLOOKUP(AM220,AN216:BE222,COLUMN()-COLUMN(BB215),FALSE))</f>
        <v/>
      </c>
      <c r="BM220" s="286" t="str">
        <f>IF(AM220="","",VLOOKUP(AM220,AN216:BE222,COLUMN()-COLUMN(BB215),FALSE))</f>
        <v/>
      </c>
      <c r="BN220" s="349" t="str">
        <f>IF(AM220="","",VLOOKUP(AM220,AN216:BE222,COLUMN()-COLUMN(BB215),FALSE))</f>
        <v/>
      </c>
      <c r="BO220" s="298" t="str">
        <f>IF(AM220="","",VLOOKUP(AM220,AN216:BE222,COLUMN()-COLUMN(BB215),FALSE))</f>
        <v/>
      </c>
      <c r="BP220" s="286" t="str">
        <f>IF(AM220="","",VLOOKUP(AM220,AN216:BE222,COLUMN()-COLUMN(BB215),FALSE))</f>
        <v/>
      </c>
      <c r="BQ220" s="301" t="str">
        <f>IF(AM220="","",VLOOKUP(AM220,AN216:BE222,COLUMN()-COLUMN(BB215),FALSE))</f>
        <v/>
      </c>
      <c r="BR220" s="352" t="str">
        <f>IF(AM220="","",VLOOKUP(AM220,AN216:BE222,COLUMN()-COLUMN(BB215),FALSE))</f>
        <v/>
      </c>
      <c r="BS220" s="286" t="str">
        <f>IF(AM220="","",VLOOKUP(AM220,AN216:BE222,COLUMN()-COLUMN(BB215),FALSE))</f>
        <v/>
      </c>
      <c r="BT220" s="301" t="str">
        <f>IF(AM220="","",VLOOKUP(AM220,AN216:BE222,COLUMN()-COLUMN(BB215),FALSE))</f>
        <v/>
      </c>
    </row>
    <row r="221" spans="1:72" ht="12" thickBot="1" x14ac:dyDescent="0.25">
      <c r="A221" s="83"/>
      <c r="B221" s="83"/>
      <c r="C221" s="83"/>
      <c r="D221" s="83"/>
      <c r="E221" s="268" t="s">
        <v>12244</v>
      </c>
      <c r="F221" s="262"/>
      <c r="G221" s="262"/>
      <c r="H221" s="324"/>
      <c r="I221" s="324"/>
      <c r="J221" s="263"/>
      <c r="K221" s="365"/>
      <c r="L221" s="365"/>
      <c r="M221" s="84"/>
      <c r="N221" s="265" t="b">
        <f>NOT(ISERROR(ResultsTeams[[#This Row],[Goal-A]]+ResultsTeams[[#This Row],[Goal-B]]))</f>
        <v>0</v>
      </c>
      <c r="O221" s="265" t="str">
        <f>IF(ResultsTeams[[#This Row],[Type]]="G",SUM(O222:O225),IF(LEFT(ResultsTeams[[#This Row],[Type]],1)="P",IF(ResultsTeams[[#This Row],[Goal-A]]&gt;ResultsTeams[[#This Row],[Goal-B]],1,0),""))</f>
        <v/>
      </c>
      <c r="P221" s="265" t="str">
        <f>IF(ResultsTeams[[#This Row],[Type]]="G",SUM(P222:P225),IF(LEFT(ResultsTeams[[#This Row],[Type]],1)="P",IF(ResultsTeams[[#This Row],[Goal-A]]&lt;ResultsTeams[[#This Row],[Goal-B]],1,0),""))</f>
        <v/>
      </c>
      <c r="Q221" s="265" t="str">
        <f>IF(ResultsTeams[[#This Row],[Type]]="G",SUM(Q222:Q225),IF(LEFT(ResultsTeams[[#This Row],[Type]],1)="P",VALUE(ResultsTeams[[#This Row],[Score-A]]),""))</f>
        <v/>
      </c>
      <c r="R221" s="265" t="str">
        <f>IF(ResultsTeams[[#This Row],[Type]]="G",SUM(R222:R225),IF(LEFT(ResultsTeams[[#This Row],[Type]],1)="P",VALUE(ResultsTeams[[#This Row],[Score-B]]),""))</f>
        <v/>
      </c>
      <c r="S221" s="265" t="str">
        <f ca="1">IF(AND(ResultsTeams[[#This Row],[Category]]&lt;&gt;"",ResultsTeams[[#This Row],[Team A]]&lt;&gt;""),COUNTIF(INDIRECT("TeamsList[Club Name]"),ResultsTeams[[#This Row],[Team A]]),"")</f>
        <v/>
      </c>
      <c r="T221" s="265" t="str">
        <f ca="1">IF(AND(ResultsTeams[[#This Row],[Category]]&lt;&gt;"",ResultsTeams[[#This Row],[Team B]]&lt;&gt;""),COUNTIF(INDIRECT("TeamsList[Club Name]"),ResultsTeams[[#This Row],[Team B]]),"")</f>
        <v/>
      </c>
      <c r="U2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1" s="265" t="str">
        <f>IF(ResultsTeams[[#This Row],[Score_OK]],IF(ResultsTeams[[#This Row],[StageCpy]]="Groups",ResultsTeams[[#This Row],[Category]]&amp;"-"&amp;IF(ResultsTeams[[#This Row],[Team B]]="","",IF(ResultsTeams[[#This Row],[Match-A]]=ResultsTeams[[#This Row],[Match-B]],ResultsTeams[[#This Row],[Team A]],"")),""),"")</f>
        <v/>
      </c>
      <c r="W221" s="265" t="str">
        <f>IF(ResultsTeams[[#This Row],[Score_OK]],IF(ResultsTeams[[#This Row],[StageCpy]]="Groups",ResultsTeams[[#This Row],[Category]]&amp;"-"&amp;IF(ResultsTeams[[#This Row],[Team B]]="","",IF(ResultsTeams[[#This Row],[Match-A]]=ResultsTeams[[#This Row],[Match-B]],ResultsTeams[[#This Row],[Team B]],"")),""),"")</f>
        <v/>
      </c>
      <c r="X2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1" s="264" t="str">
        <f>IF(ResultsTeams[[#This Row],[Category]]="","",VLOOKUP(ResultsTeams[[#This Row],[Stage]],$R$1:$T$8,MATCH(ResultsTeams[[#This Row],[Category]],$S$1:$T$1,0)+1,FALSE))</f>
        <v/>
      </c>
      <c r="AC2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1" s="264" t="str">
        <f>IF(ResultsTeams[[#This Row],[Type]]="G",ResultsTeams[[#This Row],[Stage]],AD220)</f>
        <v>Groups</v>
      </c>
      <c r="AE221" s="395" t="str">
        <f>IF(ResultsTeams[[#This Row],[Type]]="G",INDEX(TeamsList[Club Name],MATCH(ResultsTeams[[#This Row],[Team A]],TeamsList[Team Name],0)),AE220)</f>
        <v>Kent Invicta TFC</v>
      </c>
      <c r="AF221" s="395" t="str">
        <f>IF(ResultsTeams[[#This Row],[Type]]="G",INDEX(TeamsList[Club Name],MATCH(ResultsTeams[[#This Row],[Team B]],TeamsList[Team Name],0)),AF220)</f>
        <v>FTC Caen</v>
      </c>
      <c r="AG221" s="265"/>
      <c r="AI221" s="12">
        <f t="shared" si="185"/>
        <v>0</v>
      </c>
      <c r="AJ221" s="309"/>
      <c r="AK221" s="310"/>
      <c r="AL221" s="311"/>
      <c r="AM221" s="292" t="str">
        <f>IF(AV221="","",SMALL(AN216:AN222,ROWS(AM216:AM221)))</f>
        <v/>
      </c>
      <c r="AN221" s="293" t="str">
        <f>IF(AV221="","",RANK(AR221,AR216:AR222)*1000+ROWS(AN216:AN221))</f>
        <v/>
      </c>
      <c r="AO221" s="316" t="str">
        <f t="shared" si="178"/>
        <v/>
      </c>
      <c r="AP221" s="415" t="b">
        <f>AND(AU221&lt;&gt;"",AU221&gt;0,COUNTIF(AO216:AO222,AO221)&gt;1)</f>
        <v>0</v>
      </c>
      <c r="AQ221" s="316" t="str">
        <f t="shared" si="179"/>
        <v/>
      </c>
      <c r="AR221" s="317" t="str">
        <f t="shared" si="180"/>
        <v/>
      </c>
      <c r="AS221" s="415" t="b">
        <f>AND(AU221&lt;&gt;"",AU221&gt;0,COUNTIF(AR216:AR222,AR221)&gt;1)</f>
        <v>0</v>
      </c>
      <c r="AT221" s="355" t="str">
        <f t="shared" si="181"/>
        <v/>
      </c>
      <c r="AU221" s="356" t="str">
        <f t="shared" si="182"/>
        <v/>
      </c>
      <c r="AV221" s="356" t="str">
        <f>IF(OR(AI215="",AJ221=""),"",COUNTIF(ResultsTeams[Win],AI215&amp;"-"&amp;AJ221))</f>
        <v/>
      </c>
      <c r="AW221" s="356" t="str">
        <f>IF(OR(AI215="",AJ221=""),"",COUNTIF(ResultsTeams[[Draw1]:[Draw2]],AI215&amp;"-"&amp;AJ221))</f>
        <v/>
      </c>
      <c r="AX221" s="356" t="str">
        <f>IF(OR(AI215="",AJ221=""),"",COUNTIF(ResultsTeams[Lose],AI215&amp;"-"&amp;AJ221))</f>
        <v/>
      </c>
      <c r="AY221" s="356" t="str">
        <f>IF(OR(AI215="",AJ221=""),"",AV221-AX221)</f>
        <v/>
      </c>
      <c r="AZ221" s="356" t="str">
        <f>IF(OR(AI220="",AJ221=""),"",SUMIFS(ResultsTeams[Match-A],ResultsTeams[Stage],"Groups",ResultsTeams[Team A],AJ221)+SUMIFS(ResultsTeams[Match-B],ResultsTeams[Stage],"Groups",ResultsTeams[Team B],AJ221))</f>
        <v/>
      </c>
      <c r="BA221" s="356" t="str">
        <f>IF(OR(AI220="",AJ221=""),"",SUMIFS(ResultsTeams[Match-B],ResultsTeams[Stage],"Groups",ResultsTeams[Team A],AJ221)+SUMIFS(ResultsTeams[Match-A],ResultsTeams[Stage],"Groups",ResultsTeams[Team B],AJ221))</f>
        <v/>
      </c>
      <c r="BB221" s="356" t="str">
        <f t="shared" si="184"/>
        <v/>
      </c>
      <c r="BC221" s="356" t="str">
        <f>IF(OR(AI220="",AJ221=""),"",SUMIFS(ResultsTeams[Goal-A],ResultsTeams[Stage],"Groups",ResultsTeams[Team A],AJ221)+SUMIFS(ResultsTeams[Goal-B],ResultsTeams[Stage],"Groups",ResultsTeams[Team B],AJ221))</f>
        <v/>
      </c>
      <c r="BD221" s="356" t="str">
        <f>IF(OR(AI220="",AJ221=""),"",SUMIFS(ResultsTeams[Goal-B],ResultsTeams[Stage],"Groups",ResultsTeams[Team A],AJ221)+SUMIFS(ResultsTeams[Goal-A],ResultsTeams[Stage],"Groups",ResultsTeams[Team B],AJ221))</f>
        <v/>
      </c>
      <c r="BE221" s="357" t="str">
        <f>IF(OR(AI215="",AJ221=""),"",BC221-BD221)</f>
        <v/>
      </c>
      <c r="BF221" s="470" t="str">
        <f>IF(AM221="","",OR(VLOOKUP(AM221,AN216:BE222,3,FALSE),VLOOKUP(AM221,AN216:BE222,6,FALSE)))</f>
        <v/>
      </c>
      <c r="BG221" s="298" t="str">
        <f t="shared" si="183"/>
        <v/>
      </c>
      <c r="BH221" s="285" t="str">
        <f>IF(AM221="","",INDEX(AJ216:AJ222,MATCH(AM221,AN216:AN222,0)))</f>
        <v/>
      </c>
      <c r="BI221" s="286" t="str">
        <f>IF(AM221="","",VLOOKUP(AM221,AN216:BE222,COLUMN()-COLUMN(BB215),FALSE))</f>
        <v/>
      </c>
      <c r="BJ221" s="286" t="str">
        <f>IF(AM221="","",VLOOKUP(AM221,AN216:BE222,COLUMN()-COLUMN(BB215),FALSE))</f>
        <v/>
      </c>
      <c r="BK221" s="286" t="str">
        <f>IF(AM221="","",VLOOKUP(AM221,AN216:BE222,COLUMN()-COLUMN(BB215),FALSE))</f>
        <v/>
      </c>
      <c r="BL221" s="286" t="str">
        <f>IF(AM221="","",VLOOKUP(AM221,AN216:BE222,COLUMN()-COLUMN(BB215),FALSE))</f>
        <v/>
      </c>
      <c r="BM221" s="286" t="str">
        <f>IF(AM221="","",VLOOKUP(AM221,AN216:BE222,COLUMN()-COLUMN(BB215),FALSE))</f>
        <v/>
      </c>
      <c r="BN221" s="349" t="str">
        <f>IF(AM221="","",VLOOKUP(AM221,AN216:BE222,COLUMN()-COLUMN(BB215),FALSE))</f>
        <v/>
      </c>
      <c r="BO221" s="298" t="str">
        <f>IF(AM221="","",VLOOKUP(AM221,AN216:BE222,COLUMN()-COLUMN(BB215),FALSE))</f>
        <v/>
      </c>
      <c r="BP221" s="286" t="str">
        <f>IF(AM221="","",VLOOKUP(AM221,AN216:BE222,COLUMN()-COLUMN(BB215),FALSE))</f>
        <v/>
      </c>
      <c r="BQ221" s="301" t="str">
        <f>IF(AM221="","",VLOOKUP(AM221,AN216:BE222,COLUMN()-COLUMN(BB215),FALSE))</f>
        <v/>
      </c>
      <c r="BR221" s="352" t="str">
        <f>IF(AM221="","",VLOOKUP(AM221,AN216:BE222,COLUMN()-COLUMN(BB215),FALSE))</f>
        <v/>
      </c>
      <c r="BS221" s="286" t="str">
        <f>IF(AM221="","",VLOOKUP(AM221,AN216:BE222,COLUMN()-COLUMN(BB215),FALSE))</f>
        <v/>
      </c>
      <c r="BT221" s="301" t="str">
        <f>IF(AM221="","",VLOOKUP(AM221,AN216:BE222,COLUMN()-COLUMN(BB215),FALSE))</f>
        <v/>
      </c>
    </row>
    <row r="222" spans="1:72" ht="12" thickBot="1" x14ac:dyDescent="0.25">
      <c r="A222" s="261" t="s">
        <v>12693</v>
      </c>
      <c r="B222" s="270" t="s">
        <v>12207</v>
      </c>
      <c r="C222" s="270">
        <v>4</v>
      </c>
      <c r="D222" s="270"/>
      <c r="E222" s="272" t="s">
        <v>12228</v>
      </c>
      <c r="F222" s="273" t="s">
        <v>14591</v>
      </c>
      <c r="G222" s="273" t="s">
        <v>201</v>
      </c>
      <c r="H222" s="275">
        <v>0</v>
      </c>
      <c r="I222" s="275">
        <v>2</v>
      </c>
      <c r="J222" s="275"/>
      <c r="K222" s="366"/>
      <c r="L222" s="366"/>
      <c r="M222" s="274"/>
      <c r="N222" s="265" t="b">
        <f>NOT(ISERROR(ResultsTeams[[#This Row],[Goal-A]]+ResultsTeams[[#This Row],[Goal-B]]))</f>
        <v>1</v>
      </c>
      <c r="O222" s="265">
        <f>IF(ResultsTeams[[#This Row],[Type]]="G",SUM(O223:O226),IF(LEFT(ResultsTeams[[#This Row],[Type]],1)="P",IF(ResultsTeams[[#This Row],[Goal-A]]&gt;ResultsTeams[[#This Row],[Goal-B]],1,0),""))</f>
        <v>0</v>
      </c>
      <c r="P222" s="265">
        <f>IF(ResultsTeams[[#This Row],[Type]]="G",SUM(P223:P226),IF(LEFT(ResultsTeams[[#This Row],[Type]],1)="P",IF(ResultsTeams[[#This Row],[Goal-A]]&lt;ResultsTeams[[#This Row],[Goal-B]],1,0),""))</f>
        <v>2</v>
      </c>
      <c r="Q222" s="265">
        <f>IF(ResultsTeams[[#This Row],[Type]]="G",SUM(Q223:Q226),IF(LEFT(ResultsTeams[[#This Row],[Type]],1)="P",VALUE(ResultsTeams[[#This Row],[Score-A]]),""))</f>
        <v>4</v>
      </c>
      <c r="R222" s="265">
        <f>IF(ResultsTeams[[#This Row],[Type]]="G",SUM(R223:R226),IF(LEFT(ResultsTeams[[#This Row],[Type]],1)="P",VALUE(ResultsTeams[[#This Row],[Score-B]]),""))</f>
        <v>15</v>
      </c>
      <c r="S222" s="265">
        <f ca="1">IF(AND(ResultsTeams[[#This Row],[Category]]&lt;&gt;"",ResultsTeams[[#This Row],[Team A]]&lt;&gt;""),COUNTIF(INDIRECT("TeamsList[Club Name]"),ResultsTeams[[#This Row],[Team A]]),"")</f>
        <v>0</v>
      </c>
      <c r="T222" s="265">
        <f ca="1">IF(AND(ResultsTeams[[#This Row],[Category]]&lt;&gt;"",ResultsTeams[[#This Row],[Team B]]&lt;&gt;""),COUNTIF(INDIRECT("TeamsList[Club Name]"),ResultsTeams[[#This Row],[Team B]]),"")</f>
        <v>1</v>
      </c>
      <c r="U2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TEAM-CCT Eagles Napoli</v>
      </c>
      <c r="V222" s="265" t="str">
        <f>IF(ResultsTeams[[#This Row],[Score_OK]],IF(ResultsTeams[[#This Row],[StageCpy]]="Groups",ResultsTeams[[#This Row],[Category]]&amp;"-"&amp;IF(ResultsTeams[[#This Row],[Team B]]="","",IF(ResultsTeams[[#This Row],[Match-A]]=ResultsTeams[[#This Row],[Match-B]],ResultsTeams[[#This Row],[Team A]],"")),""),"")</f>
        <v>TEAM-</v>
      </c>
      <c r="W222" s="265" t="str">
        <f>IF(ResultsTeams[[#This Row],[Score_OK]],IF(ResultsTeams[[#This Row],[StageCpy]]="Groups",ResultsTeams[[#This Row],[Category]]&amp;"-"&amp;IF(ResultsTeams[[#This Row],[Team B]]="","",IF(ResultsTeams[[#This Row],[Match-A]]=ResultsTeams[[#This Row],[Match-B]],ResultsTeams[[#This Row],[Team B]],"")),""),"")</f>
        <v>TEAM-</v>
      </c>
      <c r="X2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TEAM-FTC Caen 2</v>
      </c>
      <c r="Y2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TEAM-FTC Caen 2</v>
      </c>
      <c r="AA2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Caen 2</v>
      </c>
      <c r="AB222" s="264" t="str">
        <f>IF(ResultsTeams[[#This Row],[Category]]="","",VLOOKUP(ResultsTeams[[#This Row],[Stage]],$R$1:$T$8,MATCH(ResultsTeams[[#This Row],[Category]],$S$1:$T$1,0)+1,FALSE))</f>
        <v>PR1</v>
      </c>
      <c r="AC2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2" s="264" t="str">
        <f>IF(ResultsTeams[[#This Row],[Type]]="G",ResultsTeams[[#This Row],[Stage]],AD221)</f>
        <v>Groups</v>
      </c>
      <c r="AE222" s="395" t="str">
        <f>IF(ResultsTeams[[#This Row],[Type]]="G",INDEX(TeamsList[Club Name],MATCH(ResultsTeams[[#This Row],[Team A]],TeamsList[Team Name],0)),AE221)</f>
        <v>FTC Caen</v>
      </c>
      <c r="AF222" s="395" t="str">
        <f>IF(ResultsTeams[[#This Row],[Type]]="G",INDEX(TeamsList[Club Name],MATCH(ResultsTeams[[#This Row],[Team B]],TeamsList[Team Name],0)),AF221)</f>
        <v>CCT Eagles Napoli</v>
      </c>
      <c r="AG222" s="265"/>
      <c r="AI222" s="12">
        <f t="shared" si="185"/>
        <v>0</v>
      </c>
      <c r="AJ222" s="312"/>
      <c r="AK222" s="313"/>
      <c r="AL222" s="314"/>
      <c r="AM222" s="294" t="str">
        <f>IF(AV222="","",SMALL(AN216:AN222,ROWS(AM216:AM222)))</f>
        <v/>
      </c>
      <c r="AN222" s="295" t="str">
        <f>IF(AV222="","",RANK(AR222,AR216:AR222)*1000+ROWS(AN216:AN222))</f>
        <v/>
      </c>
      <c r="AO222" s="318" t="str">
        <f t="shared" si="178"/>
        <v/>
      </c>
      <c r="AP222" s="416" t="b">
        <f>AND(AU222&lt;&gt;"",AU222&gt;0,COUNTIF(AO216:AO222,AO222)&gt;1)</f>
        <v>0</v>
      </c>
      <c r="AQ222" s="318" t="str">
        <f t="shared" si="179"/>
        <v/>
      </c>
      <c r="AR222" s="319" t="str">
        <f t="shared" si="180"/>
        <v/>
      </c>
      <c r="AS222" s="416" t="b">
        <f>AND(AU222&lt;&gt;"",AU222&gt;0,COUNTIF(AR216:AR222,AR222)&gt;1)</f>
        <v>0</v>
      </c>
      <c r="AT222" s="358" t="str">
        <f t="shared" si="181"/>
        <v/>
      </c>
      <c r="AU222" s="359" t="str">
        <f t="shared" si="182"/>
        <v/>
      </c>
      <c r="AV222" s="359" t="str">
        <f>IF(OR(AI215="",AJ222=""),"",COUNTIF(ResultsTeams[Win],AI215&amp;"-"&amp;AJ222))</f>
        <v/>
      </c>
      <c r="AW222" s="359" t="str">
        <f>IF(OR(AI215="",AJ222=""),"",COUNTIF(ResultsTeams[[Draw1]:[Draw2]],AI215&amp;"-"&amp;AJ222))</f>
        <v/>
      </c>
      <c r="AX222" s="359" t="str">
        <f>IF(OR(AI215="",AJ222=""),"",COUNTIF(ResultsTeams[Lose],AI215&amp;"-"&amp;AJ222))</f>
        <v/>
      </c>
      <c r="AY222" s="359" t="str">
        <f>IF(OR(AI215="",AJ222=""),"",AV222-AX222)</f>
        <v/>
      </c>
      <c r="AZ222" s="359" t="str">
        <f>IF(OR(AI221="",AJ222=""),"",SUMIFS(ResultsTeams[Match-A],ResultsTeams[Stage],"Groups",ResultsTeams[Team A],AJ222)+SUMIFS(ResultsTeams[Match-B],ResultsTeams[Stage],"Groups",ResultsTeams[Team B],AJ222))</f>
        <v/>
      </c>
      <c r="BA222" s="359" t="str">
        <f>IF(OR(AI221="",AJ222=""),"",SUMIFS(ResultsTeams[Match-B],ResultsTeams[Stage],"Groups",ResultsTeams[Team A],AJ222)+SUMIFS(ResultsTeams[Match-A],ResultsTeams[Stage],"Groups",ResultsTeams[Team B],AJ222))</f>
        <v/>
      </c>
      <c r="BB222" s="359" t="str">
        <f t="shared" si="184"/>
        <v/>
      </c>
      <c r="BC222" s="359" t="str">
        <f>IF(OR(AI221="",AJ222=""),"",SUMIFS(ResultsTeams[Goal-A],ResultsTeams[Stage],"Groups",ResultsTeams[Team A],AJ222)+SUMIFS(ResultsTeams[Goal-B],ResultsTeams[Stage],"Groups",ResultsTeams[Team B],AJ222))</f>
        <v/>
      </c>
      <c r="BD222" s="359" t="str">
        <f>IF(OR(AI221="",AJ222=""),"",SUMIFS(ResultsTeams[Goal-B],ResultsTeams[Stage],"Groups",ResultsTeams[Team A],AJ222)+SUMIFS(ResultsTeams[Goal-A],ResultsTeams[Stage],"Groups",ResultsTeams[Team B],AJ222))</f>
        <v/>
      </c>
      <c r="BE222" s="360" t="str">
        <f>IF(OR(AI215="",AJ222=""),"",BC222-BD222)</f>
        <v/>
      </c>
      <c r="BF222" s="470" t="str">
        <f>IF(AM222="","",OR(VLOOKUP(AM222,AN216:BE222,3,FALSE),VLOOKUP(AM222,AN216:BE222,6,FALSE)))</f>
        <v/>
      </c>
      <c r="BG222" s="299" t="str">
        <f t="shared" si="183"/>
        <v/>
      </c>
      <c r="BH222" s="287" t="str">
        <f>IF(AM222="","",INDEX(AJ216:AJ222,MATCH(AM222,AN216:AN222,0)))</f>
        <v/>
      </c>
      <c r="BI222" s="288" t="str">
        <f>IF(AM222="","",VLOOKUP(AM222,AN216:BE222,COLUMN()-COLUMN(BB215),FALSE))</f>
        <v/>
      </c>
      <c r="BJ222" s="288" t="str">
        <f>IF(AM222="","",VLOOKUP(AM222,AN216:BE222,COLUMN()-COLUMN(BB215),FALSE))</f>
        <v/>
      </c>
      <c r="BK222" s="288" t="str">
        <f>IF(AM222="","",VLOOKUP(AM222,AN216:BE222,COLUMN()-COLUMN(BB215),FALSE))</f>
        <v/>
      </c>
      <c r="BL222" s="288" t="str">
        <f>IF(AM222="","",VLOOKUP(AM222,AN216:BE222,COLUMN()-COLUMN(BB215),FALSE))</f>
        <v/>
      </c>
      <c r="BM222" s="288" t="str">
        <f>IF(AM222="","",VLOOKUP(AM222,AN216:BE222,COLUMN()-COLUMN(BB215),FALSE))</f>
        <v/>
      </c>
      <c r="BN222" s="350" t="str">
        <f>IF(AM222="","",VLOOKUP(AM222,AN216:BE222,COLUMN()-COLUMN(BB215),FALSE))</f>
        <v/>
      </c>
      <c r="BO222" s="299" t="str">
        <f>IF(AM222="","",VLOOKUP(AM222,AN216:BE222,COLUMN()-COLUMN(BB215),FALSE))</f>
        <v/>
      </c>
      <c r="BP222" s="288" t="str">
        <f>IF(AM222="","",VLOOKUP(AM222,AN216:BE222,COLUMN()-COLUMN(BB215),FALSE))</f>
        <v/>
      </c>
      <c r="BQ222" s="302" t="str">
        <f>IF(AM222="","",VLOOKUP(AM222,AN216:BE222,COLUMN()-COLUMN(BB215),FALSE))</f>
        <v/>
      </c>
      <c r="BR222" s="353" t="str">
        <f>IF(AM222="","",VLOOKUP(AM222,AN216:BE222,COLUMN()-COLUMN(BB215),FALSE))</f>
        <v/>
      </c>
      <c r="BS222" s="288" t="str">
        <f>IF(AM222="","",VLOOKUP(AM222,AN216:BE222,COLUMN()-COLUMN(BB215),FALSE))</f>
        <v/>
      </c>
      <c r="BT222" s="302" t="str">
        <f>IF(AM222="","",VLOOKUP(AM222,AN216:BE222,COLUMN()-COLUMN(BB215),FALSE))</f>
        <v/>
      </c>
    </row>
    <row r="223" spans="1:72" ht="12" thickBot="1" x14ac:dyDescent="0.25">
      <c r="A223" s="60"/>
      <c r="B223" s="280"/>
      <c r="C223" s="60"/>
      <c r="D223" s="60"/>
      <c r="E223" s="240" t="s">
        <v>12231</v>
      </c>
      <c r="F223" s="244" t="s">
        <v>8708</v>
      </c>
      <c r="G223" s="244" t="s">
        <v>9827</v>
      </c>
      <c r="H223" s="253">
        <v>0</v>
      </c>
      <c r="I223" s="253">
        <v>0</v>
      </c>
      <c r="J223" s="253"/>
      <c r="K223" s="362"/>
      <c r="L223" s="362"/>
      <c r="M223" s="245"/>
      <c r="N223" s="265" t="b">
        <f>NOT(ISERROR(ResultsTeams[[#This Row],[Goal-A]]+ResultsTeams[[#This Row],[Goal-B]]))</f>
        <v>1</v>
      </c>
      <c r="O223" s="265">
        <f>IF(ResultsTeams[[#This Row],[Type]]="G",SUM(O224:O227),IF(LEFT(ResultsTeams[[#This Row],[Type]],1)="P",IF(ResultsTeams[[#This Row],[Goal-A]]&gt;ResultsTeams[[#This Row],[Goal-B]],1,0),""))</f>
        <v>0</v>
      </c>
      <c r="P223" s="265">
        <f>IF(ResultsTeams[[#This Row],[Type]]="G",SUM(P224:P227),IF(LEFT(ResultsTeams[[#This Row],[Type]],1)="P",IF(ResultsTeams[[#This Row],[Goal-A]]&lt;ResultsTeams[[#This Row],[Goal-B]],1,0),""))</f>
        <v>0</v>
      </c>
      <c r="Q223" s="265">
        <f>IF(ResultsTeams[[#This Row],[Type]]="G",SUM(Q224:Q227),IF(LEFT(ResultsTeams[[#This Row],[Type]],1)="P",VALUE(ResultsTeams[[#This Row],[Score-A]]),""))</f>
        <v>0</v>
      </c>
      <c r="R223" s="265">
        <f>IF(ResultsTeams[[#This Row],[Type]]="G",SUM(R224:R227),IF(LEFT(ResultsTeams[[#This Row],[Type]],1)="P",VALUE(ResultsTeams[[#This Row],[Score-B]]),""))</f>
        <v>0</v>
      </c>
      <c r="S223" s="265" t="str">
        <f ca="1">IF(AND(ResultsTeams[[#This Row],[Category]]&lt;&gt;"",ResultsTeams[[#This Row],[Team A]]&lt;&gt;""),COUNTIF(INDIRECT("TeamsList[Club Name]"),ResultsTeams[[#This Row],[Team A]]),"")</f>
        <v/>
      </c>
      <c r="T223" s="265" t="str">
        <f ca="1">IF(AND(ResultsTeams[[#This Row],[Category]]&lt;&gt;"",ResultsTeams[[#This Row],[Team B]]&lt;&gt;""),COUNTIF(INDIRECT("TeamsList[Club Name]"),ResultsTeams[[#This Row],[Team B]]),"")</f>
        <v/>
      </c>
      <c r="U2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23" s="265" t="str">
        <f>IF(ResultsTeams[[#This Row],[Score_OK]],IF(ResultsTeams[[#This Row],[StageCpy]]="Groups",ResultsTeams[[#This Row],[Category]]&amp;"-"&amp;IF(ResultsTeams[[#This Row],[Team B]]="","",IF(ResultsTeams[[#This Row],[Match-A]]=ResultsTeams[[#This Row],[Match-B]],ResultsTeams[[#This Row],[Team A]],"")),""),"")</f>
        <v>-Stéphane Pommier</v>
      </c>
      <c r="W223" s="265" t="str">
        <f>IF(ResultsTeams[[#This Row],[Score_OK]],IF(ResultsTeams[[#This Row],[StageCpy]]="Groups",ResultsTeams[[#This Row],[Category]]&amp;"-"&amp;IF(ResultsTeams[[#This Row],[Team B]]="","",IF(ResultsTeams[[#This Row],[Match-A]]=ResultsTeams[[#This Row],[Match-B]],ResultsTeams[[#This Row],[Team B]],"")),""),"")</f>
        <v>-Antonio Mettivieri</v>
      </c>
      <c r="X2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3" s="264" t="str">
        <f>IF(ResultsTeams[[#This Row],[Category]]="","",VLOOKUP(ResultsTeams[[#This Row],[Stage]],$R$1:$T$8,MATCH(ResultsTeams[[#This Row],[Category]],$S$1:$T$1,0)+1,FALSE))</f>
        <v/>
      </c>
      <c r="AC2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3" s="264" t="str">
        <f>IF(ResultsTeams[[#This Row],[Type]]="G",ResultsTeams[[#This Row],[Stage]],AD222)</f>
        <v>Groups</v>
      </c>
      <c r="AE223" s="395" t="str">
        <f>IF(ResultsTeams[[#This Row],[Type]]="G",INDEX(TeamsList[Club Name],MATCH(ResultsTeams[[#This Row],[Team A]],TeamsList[Team Name],0)),AE222)</f>
        <v>FTC Caen</v>
      </c>
      <c r="AF223" s="395" t="str">
        <f>IF(ResultsTeams[[#This Row],[Type]]="G",INDEX(TeamsList[Club Name],MATCH(ResultsTeams[[#This Row],[Team B]],TeamsList[Team Name],0)),AF222)</f>
        <v>CCT Eagles Napoli</v>
      </c>
      <c r="AG223" s="265"/>
    </row>
    <row r="224" spans="1:72" ht="12" thickBot="1" x14ac:dyDescent="0.25">
      <c r="A224" s="62"/>
      <c r="B224" s="280"/>
      <c r="C224" s="62"/>
      <c r="D224" s="62"/>
      <c r="E224" s="241" t="s">
        <v>12234</v>
      </c>
      <c r="F224" s="246" t="s">
        <v>14389</v>
      </c>
      <c r="G224" s="246" t="s">
        <v>10088</v>
      </c>
      <c r="H224" s="254">
        <v>2</v>
      </c>
      <c r="I224" s="254">
        <v>8</v>
      </c>
      <c r="J224" s="254"/>
      <c r="K224" s="363"/>
      <c r="L224" s="363"/>
      <c r="M224" s="247"/>
      <c r="N224" s="265" t="b">
        <f>NOT(ISERROR(ResultsTeams[[#This Row],[Goal-A]]+ResultsTeams[[#This Row],[Goal-B]]))</f>
        <v>1</v>
      </c>
      <c r="O224" s="265">
        <f>IF(ResultsTeams[[#This Row],[Type]]="G",SUM(O225:O228),IF(LEFT(ResultsTeams[[#This Row],[Type]],1)="P",IF(ResultsTeams[[#This Row],[Goal-A]]&gt;ResultsTeams[[#This Row],[Goal-B]],1,0),""))</f>
        <v>0</v>
      </c>
      <c r="P224" s="265">
        <f>IF(ResultsTeams[[#This Row],[Type]]="G",SUM(P225:P228),IF(LEFT(ResultsTeams[[#This Row],[Type]],1)="P",IF(ResultsTeams[[#This Row],[Goal-A]]&lt;ResultsTeams[[#This Row],[Goal-B]],1,0),""))</f>
        <v>1</v>
      </c>
      <c r="Q224" s="265">
        <f>IF(ResultsTeams[[#This Row],[Type]]="G",SUM(Q225:Q228),IF(LEFT(ResultsTeams[[#This Row],[Type]],1)="P",VALUE(ResultsTeams[[#This Row],[Score-A]]),""))</f>
        <v>2</v>
      </c>
      <c r="R224" s="265">
        <f>IF(ResultsTeams[[#This Row],[Type]]="G",SUM(R225:R228),IF(LEFT(ResultsTeams[[#This Row],[Type]],1)="P",VALUE(ResultsTeams[[#This Row],[Score-B]]),""))</f>
        <v>8</v>
      </c>
      <c r="S224" s="265" t="str">
        <f ca="1">IF(AND(ResultsTeams[[#This Row],[Category]]&lt;&gt;"",ResultsTeams[[#This Row],[Team A]]&lt;&gt;""),COUNTIF(INDIRECT("TeamsList[Club Name]"),ResultsTeams[[#This Row],[Team A]]),"")</f>
        <v/>
      </c>
      <c r="T224" s="265" t="str">
        <f ca="1">IF(AND(ResultsTeams[[#This Row],[Category]]&lt;&gt;"",ResultsTeams[[#This Row],[Team B]]&lt;&gt;""),COUNTIF(INDIRECT("TeamsList[Club Name]"),ResultsTeams[[#This Row],[Team B]]),"")</f>
        <v/>
      </c>
      <c r="U2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-Luigi Di Vito</v>
      </c>
      <c r="V224" s="265" t="str">
        <f>IF(ResultsTeams[[#This Row],[Score_OK]],IF(ResultsTeams[[#This Row],[StageCpy]]="Groups",ResultsTeams[[#This Row],[Category]]&amp;"-"&amp;IF(ResultsTeams[[#This Row],[Team B]]="","",IF(ResultsTeams[[#This Row],[Match-A]]=ResultsTeams[[#This Row],[Match-B]],ResultsTeams[[#This Row],[Team A]],"")),""),"")</f>
        <v>-</v>
      </c>
      <c r="W224" s="265" t="str">
        <f>IF(ResultsTeams[[#This Row],[Score_OK]],IF(ResultsTeams[[#This Row],[StageCpy]]="Groups",ResultsTeams[[#This Row],[Category]]&amp;"-"&amp;IF(ResultsTeams[[#This Row],[Team B]]="","",IF(ResultsTeams[[#This Row],[Match-A]]=ResultsTeams[[#This Row],[Match-B]],ResultsTeams[[#This Row],[Team B]],"")),""),"")</f>
        <v>-</v>
      </c>
      <c r="X2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-Abdelmaneum Rouis</v>
      </c>
      <c r="Y2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4" s="264" t="str">
        <f>IF(ResultsTeams[[#This Row],[Category]]="","",VLOOKUP(ResultsTeams[[#This Row],[Stage]],$R$1:$T$8,MATCH(ResultsTeams[[#This Row],[Category]],$S$1:$T$1,0)+1,FALSE))</f>
        <v/>
      </c>
      <c r="AC2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4" s="264" t="str">
        <f>IF(ResultsTeams[[#This Row],[Type]]="G",ResultsTeams[[#This Row],[Stage]],AD223)</f>
        <v>Groups</v>
      </c>
      <c r="AE224" s="395" t="str">
        <f>IF(ResultsTeams[[#This Row],[Type]]="G",INDEX(TeamsList[Club Name],MATCH(ResultsTeams[[#This Row],[Team A]],TeamsList[Team Name],0)),AE223)</f>
        <v>FTC Caen</v>
      </c>
      <c r="AF224" s="395" t="str">
        <f>IF(ResultsTeams[[#This Row],[Type]]="G",INDEX(TeamsList[Club Name],MATCH(ResultsTeams[[#This Row],[Team B]],TeamsList[Team Name],0)),AF223)</f>
        <v>CCT Eagles Napoli</v>
      </c>
      <c r="AG224" s="265"/>
      <c r="AH224" s="281"/>
      <c r="AI224" s="315"/>
      <c r="AJ224" s="289" t="s">
        <v>14438</v>
      </c>
      <c r="AK224" s="290" t="s">
        <v>12279</v>
      </c>
      <c r="AL224" s="300" t="s">
        <v>12275</v>
      </c>
      <c r="AM224" s="296" t="s">
        <v>12276</v>
      </c>
      <c r="AN224" s="291" t="s">
        <v>12271</v>
      </c>
      <c r="AO224" s="291" t="s">
        <v>12272</v>
      </c>
      <c r="AP224" s="414" t="s">
        <v>13154</v>
      </c>
      <c r="AQ224" s="291" t="s">
        <v>12273</v>
      </c>
      <c r="AR224" s="297" t="s">
        <v>12274</v>
      </c>
      <c r="AS224" s="414" t="s">
        <v>13154</v>
      </c>
      <c r="AT224" s="296" t="s">
        <v>12199</v>
      </c>
      <c r="AU224" s="291" t="s">
        <v>12200</v>
      </c>
      <c r="AV224" s="291" t="s">
        <v>12201</v>
      </c>
      <c r="AW224" s="291" t="s">
        <v>12202</v>
      </c>
      <c r="AX224" s="291" t="s">
        <v>12203</v>
      </c>
      <c r="AY224" s="291" t="s">
        <v>12697</v>
      </c>
      <c r="AZ224" s="291" t="s">
        <v>12698</v>
      </c>
      <c r="BA224" s="291" t="s">
        <v>12699</v>
      </c>
      <c r="BB224" s="291" t="s">
        <v>12700</v>
      </c>
      <c r="BC224" s="291" t="s">
        <v>12204</v>
      </c>
      <c r="BD224" s="291" t="s">
        <v>12205</v>
      </c>
      <c r="BE224" s="297" t="s">
        <v>12206</v>
      </c>
      <c r="BF224" s="395"/>
      <c r="BG224" s="282" t="s">
        <v>12276</v>
      </c>
      <c r="BH224" s="282" t="s">
        <v>12133</v>
      </c>
      <c r="BI224" s="283" t="s">
        <v>12199</v>
      </c>
      <c r="BJ224" s="283" t="s">
        <v>12200</v>
      </c>
      <c r="BK224" s="283" t="s">
        <v>12201</v>
      </c>
      <c r="BL224" s="283" t="s">
        <v>12202</v>
      </c>
      <c r="BM224" s="283" t="s">
        <v>12203</v>
      </c>
      <c r="BN224" s="290" t="s">
        <v>12697</v>
      </c>
      <c r="BO224" s="354" t="s">
        <v>12698</v>
      </c>
      <c r="BP224" s="283" t="s">
        <v>12699</v>
      </c>
      <c r="BQ224" s="300" t="s">
        <v>12700</v>
      </c>
      <c r="BR224" s="351" t="s">
        <v>12204</v>
      </c>
      <c r="BS224" s="283" t="s">
        <v>12205</v>
      </c>
      <c r="BT224" s="300" t="s">
        <v>12206</v>
      </c>
    </row>
    <row r="225" spans="1:72" x14ac:dyDescent="0.2">
      <c r="A225" s="62"/>
      <c r="B225" s="280"/>
      <c r="C225" s="62"/>
      <c r="D225" s="62"/>
      <c r="E225" s="241" t="s">
        <v>12237</v>
      </c>
      <c r="F225" s="246" t="s">
        <v>8717</v>
      </c>
      <c r="G225" s="246" t="s">
        <v>10281</v>
      </c>
      <c r="H225" s="254">
        <v>1</v>
      </c>
      <c r="I225" s="254">
        <v>1</v>
      </c>
      <c r="J225" s="254"/>
      <c r="K225" s="363"/>
      <c r="L225" s="363"/>
      <c r="M225" s="247"/>
      <c r="N225" s="265" t="b">
        <f>NOT(ISERROR(ResultsTeams[[#This Row],[Goal-A]]+ResultsTeams[[#This Row],[Goal-B]]))</f>
        <v>1</v>
      </c>
      <c r="O225" s="265">
        <f>IF(ResultsTeams[[#This Row],[Type]]="G",SUM(O226:O229),IF(LEFT(ResultsTeams[[#This Row],[Type]],1)="P",IF(ResultsTeams[[#This Row],[Goal-A]]&gt;ResultsTeams[[#This Row],[Goal-B]],1,0),""))</f>
        <v>0</v>
      </c>
      <c r="P225" s="265">
        <f>IF(ResultsTeams[[#This Row],[Type]]="G",SUM(P226:P229),IF(LEFT(ResultsTeams[[#This Row],[Type]],1)="P",IF(ResultsTeams[[#This Row],[Goal-A]]&lt;ResultsTeams[[#This Row],[Goal-B]],1,0),""))</f>
        <v>0</v>
      </c>
      <c r="Q225" s="265">
        <f>IF(ResultsTeams[[#This Row],[Type]]="G",SUM(Q226:Q229),IF(LEFT(ResultsTeams[[#This Row],[Type]],1)="P",VALUE(ResultsTeams[[#This Row],[Score-A]]),""))</f>
        <v>1</v>
      </c>
      <c r="R225" s="265">
        <f>IF(ResultsTeams[[#This Row],[Type]]="G",SUM(R226:R229),IF(LEFT(ResultsTeams[[#This Row],[Type]],1)="P",VALUE(ResultsTeams[[#This Row],[Score-B]]),""))</f>
        <v>1</v>
      </c>
      <c r="S225" s="265" t="str">
        <f ca="1">IF(AND(ResultsTeams[[#This Row],[Category]]&lt;&gt;"",ResultsTeams[[#This Row],[Team A]]&lt;&gt;""),COUNTIF(INDIRECT("TeamsList[Club Name]"),ResultsTeams[[#This Row],[Team A]]),"")</f>
        <v/>
      </c>
      <c r="T225" s="265" t="str">
        <f ca="1">IF(AND(ResultsTeams[[#This Row],[Category]]&lt;&gt;"",ResultsTeams[[#This Row],[Team B]]&lt;&gt;""),COUNTIF(INDIRECT("TeamsList[Club Name]"),ResultsTeams[[#This Row],[Team B]]),"")</f>
        <v/>
      </c>
      <c r="U2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25" s="265" t="str">
        <f>IF(ResultsTeams[[#This Row],[Score_OK]],IF(ResultsTeams[[#This Row],[StageCpy]]="Groups",ResultsTeams[[#This Row],[Category]]&amp;"-"&amp;IF(ResultsTeams[[#This Row],[Team B]]="","",IF(ResultsTeams[[#This Row],[Match-A]]=ResultsTeams[[#This Row],[Match-B]],ResultsTeams[[#This Row],[Team A]],"")),""),"")</f>
        <v>-Xavier Dubois</v>
      </c>
      <c r="W225" s="265" t="str">
        <f>IF(ResultsTeams[[#This Row],[Score_OK]],IF(ResultsTeams[[#This Row],[StageCpy]]="Groups",ResultsTeams[[#This Row],[Category]]&amp;"-"&amp;IF(ResultsTeams[[#This Row],[Team B]]="","",IF(ResultsTeams[[#This Row],[Match-A]]=ResultsTeams[[#This Row],[Match-B]],ResultsTeams[[#This Row],[Team B]],"")),""),"")</f>
        <v>-Massimo Bolognino</v>
      </c>
      <c r="X2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5" s="264" t="str">
        <f>IF(ResultsTeams[[#This Row],[Category]]="","",VLOOKUP(ResultsTeams[[#This Row],[Stage]],$R$1:$T$8,MATCH(ResultsTeams[[#This Row],[Category]],$S$1:$T$1,0)+1,FALSE))</f>
        <v/>
      </c>
      <c r="AC2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5" s="264" t="str">
        <f>IF(ResultsTeams[[#This Row],[Type]]="G",ResultsTeams[[#This Row],[Stage]],AD224)</f>
        <v>Groups</v>
      </c>
      <c r="AE225" s="395" t="str">
        <f>IF(ResultsTeams[[#This Row],[Type]]="G",INDEX(TeamsList[Club Name],MATCH(ResultsTeams[[#This Row],[Team A]],TeamsList[Team Name],0)),AE224)</f>
        <v>FTC Caen</v>
      </c>
      <c r="AF225" s="395" t="str">
        <f>IF(ResultsTeams[[#This Row],[Type]]="G",INDEX(TeamsList[Club Name],MATCH(ResultsTeams[[#This Row],[Team B]],TeamsList[Team Name],0)),AF224)</f>
        <v>CCT Eagles Napoli</v>
      </c>
      <c r="AG225" s="265"/>
      <c r="AI225" s="12">
        <f>AI224</f>
        <v>0</v>
      </c>
      <c r="AJ225" s="309"/>
      <c r="AK225" s="320"/>
      <c r="AL225" s="311"/>
      <c r="AM225" s="292" t="str">
        <f>IF(AV225="","",SMALL(AN225:AN231,ROWS(AM225:AM225)))</f>
        <v/>
      </c>
      <c r="AN225" s="293" t="str">
        <f>IF(AV225="","",RANK(AR225,AR225:AR231)*1000+ROWS(AN225:AN225))</f>
        <v/>
      </c>
      <c r="AO225" s="316" t="str">
        <f t="shared" ref="AO225:AO231" si="186">IF(AV225="","",AT225*CritClassEq1_Points+AY225*CritClassEq1_DiffRencontres+BB225*CritClassEq1_DiffMatches+BE225*CritClassEq1_DiffButs+AZ225*CritClassEq1_Matches+BC225*CritClassEq1_Attaque)</f>
        <v/>
      </c>
      <c r="AP225" s="415" t="b">
        <f>AND(AU225&lt;&gt;"",AU225&gt;0,COUNTIF(AO225:AO231,AO225)&gt;1)</f>
        <v>0</v>
      </c>
      <c r="AQ225" s="316" t="str">
        <f t="shared" ref="AQ225:AQ231" si="187">IF(AV225="","",CritClassEq_DiffPart*AK225)</f>
        <v/>
      </c>
      <c r="AR225" s="317" t="str">
        <f t="shared" ref="AR225:AR231" si="188">IF(AV225="","",AO225+AQ225+AT225*CritClassEq2_Points+AY225*CritClassEq2_DiffRencontres+BB225*CritClassEq2_DiffMatches+BE225*CritClassEq2_DiffButs+AZ225*CritClassEq2_Matches+BC225*CritClassEq2_Attaque+AL225)</f>
        <v/>
      </c>
      <c r="AS225" s="415" t="b">
        <f>AND(AU225&lt;&gt;"",AU225&gt;0,COUNTIF(AR225:AR231,AR225)&gt;1)</f>
        <v>0</v>
      </c>
      <c r="AT225" s="355" t="str">
        <f t="shared" ref="AT225:AT231" si="189">IF(AV225="","",(AV225*Points_Victoire)+AW225*Points_Null)</f>
        <v/>
      </c>
      <c r="AU225" s="356" t="str">
        <f t="shared" ref="AU225:AU231" si="190">IF(AV225="","",SUM(AV225:AX225))</f>
        <v/>
      </c>
      <c r="AV225" s="356" t="str">
        <f>IF(OR(AI224="",AJ225=""),"",COUNTIF(ResultsTeams[Win],AI224&amp;"-"&amp;AJ225))</f>
        <v/>
      </c>
      <c r="AW225" s="356" t="str">
        <f>IF(OR(AI224="",AJ225=""),"",COUNTIF(ResultsTeams[[Draw1]:[Draw2]],AI224&amp;"-"&amp;AJ225))</f>
        <v/>
      </c>
      <c r="AX225" s="356" t="str">
        <f>IF(OR(AI224="",AJ225=""),"",COUNTIF(ResultsTeams[Lose],AI224&amp;"-"&amp;AJ225))</f>
        <v/>
      </c>
      <c r="AY225" s="356" t="str">
        <f>IF(OR(AI224="",AJ225=""),"",AV225-AX225)</f>
        <v/>
      </c>
      <c r="AZ225" s="356" t="str">
        <f>IF(OR(AI224="",AJ225=""),"",SUMIFS(ResultsTeams[Match-A],ResultsTeams[Stage],"Groups",ResultsTeams[Team A],AJ225)+SUMIFS(ResultsTeams[Match-B],ResultsTeams[Stage],"Groups",ResultsTeams[Team B],AJ225))</f>
        <v/>
      </c>
      <c r="BA225" s="356" t="str">
        <f>IF(OR(AI224="",AJ225=""),"",SUMIFS(ResultsTeams[Match-B],ResultsTeams[Stage],"Groups",ResultsTeams[Team A],AJ225)+SUMIFS(ResultsTeams[Match-A],ResultsTeams[Stage],"Groups",ResultsTeams[Team B],AJ225))</f>
        <v/>
      </c>
      <c r="BB225" s="356" t="str">
        <f>IF(OR(AI224="",AJ225=""),"",AZ225-BA225)</f>
        <v/>
      </c>
      <c r="BC225" s="356" t="str">
        <f>IF(OR(AI224="",AJ225=""),"",SUMIFS(ResultsTeams[Goal-A],ResultsTeams[Stage],"Groups",ResultsTeams[Team A],AJ225)+SUMIFS(ResultsTeams[Goal-B],ResultsTeams[Stage],"Groups",ResultsTeams[Team B],AJ225))</f>
        <v/>
      </c>
      <c r="BD225" s="356" t="str">
        <f>IF(OR(AI224="",AJ225=""),"",SUMIFS(ResultsTeams[Goal-B],ResultsTeams[Stage],"Groups",ResultsTeams[Team A],AJ225)+SUMIFS(ResultsTeams[Goal-A],ResultsTeams[Stage],"Groups",ResultsTeams[Team B],AJ225))</f>
        <v/>
      </c>
      <c r="BE225" s="357" t="str">
        <f>IF(OR(AI224="",AJ225=""),"",BC225-BD225)</f>
        <v/>
      </c>
      <c r="BF225" s="470" t="str">
        <f>IF(AM225="","",OR(VLOOKUP(AM225,AN225:BE231,3,FALSE),VLOOKUP(AM225,AN225:BE231,6,FALSE)))</f>
        <v/>
      </c>
      <c r="BG225" s="298" t="str">
        <f t="shared" ref="BG225:BG231" si="191">IF(AM225="","",INT(AM225/1000))</f>
        <v/>
      </c>
      <c r="BH225" s="285" t="str">
        <f>IF(AM225="","",INDEX(AJ225:AJ231,MATCH(AM225,AN225:AN231,0)))</f>
        <v/>
      </c>
      <c r="BI225" s="286" t="str">
        <f>IF(AM225="","",VLOOKUP(AM225,AN225:BE231,COLUMN()-COLUMN(BB224),FALSE))</f>
        <v/>
      </c>
      <c r="BJ225" s="286" t="str">
        <f>IF(AM225="","",VLOOKUP(AM225,AN225:BE231,COLUMN()-COLUMN(BB224),FALSE))</f>
        <v/>
      </c>
      <c r="BK225" s="286" t="str">
        <f>IF(AM225="","",VLOOKUP(AM225,AN225:BE231,COLUMN()-COLUMN(BB224),FALSE))</f>
        <v/>
      </c>
      <c r="BL225" s="286" t="str">
        <f>IF(AM225="","",VLOOKUP(AM225,AN225:BE231,COLUMN()-COLUMN(BB224),FALSE))</f>
        <v/>
      </c>
      <c r="BM225" s="286" t="str">
        <f>IF(AM225="","",VLOOKUP(AM225,AN225:BE231,COLUMN()-COLUMN(BB224),FALSE))</f>
        <v/>
      </c>
      <c r="BN225" s="349" t="str">
        <f>IF(AM225="","",VLOOKUP(AM225,AN225:BE231,COLUMN()-COLUMN(BB224),FALSE))</f>
        <v/>
      </c>
      <c r="BO225" s="298" t="str">
        <f>IF(AM225="","",VLOOKUP(AM225,AN225:BE231,COLUMN()-COLUMN(BB224),FALSE))</f>
        <v/>
      </c>
      <c r="BP225" s="286" t="str">
        <f>IF(AM225="","",VLOOKUP(AM225,AN225:BE231,COLUMN()-COLUMN(BB224),FALSE))</f>
        <v/>
      </c>
      <c r="BQ225" s="301" t="str">
        <f>IF(AM225="","",VLOOKUP(AM225,AN225:BE231,COLUMN()-COLUMN(BB224),FALSE))</f>
        <v/>
      </c>
      <c r="BR225" s="352" t="str">
        <f>IF(AM225="","",VLOOKUP(AM225,AN225:BE231,COLUMN()-COLUMN(BB224),FALSE))</f>
        <v/>
      </c>
      <c r="BS225" s="286" t="str">
        <f>IF(AM225="","",VLOOKUP(AM225,AN225:BE231,COLUMN()-COLUMN(BB224),FALSE))</f>
        <v/>
      </c>
      <c r="BT225" s="301" t="str">
        <f>IF(AM225="","",VLOOKUP(AM225,AN225:BE231,COLUMN()-COLUMN(BB224),FALSE))</f>
        <v/>
      </c>
    </row>
    <row r="226" spans="1:72" x14ac:dyDescent="0.2">
      <c r="A226" s="62"/>
      <c r="B226" s="280"/>
      <c r="C226" s="62"/>
      <c r="D226" s="62"/>
      <c r="E226" s="241" t="s">
        <v>12240</v>
      </c>
      <c r="F226" s="246" t="s">
        <v>10784</v>
      </c>
      <c r="G226" s="246" t="s">
        <v>8089</v>
      </c>
      <c r="H226" s="254">
        <v>1</v>
      </c>
      <c r="I226" s="254">
        <v>6</v>
      </c>
      <c r="J226" s="254"/>
      <c r="K226" s="363"/>
      <c r="L226" s="363"/>
      <c r="M226" s="247"/>
      <c r="N226" s="265" t="b">
        <f>NOT(ISERROR(ResultsTeams[[#This Row],[Goal-A]]+ResultsTeams[[#This Row],[Goal-B]]))</f>
        <v>1</v>
      </c>
      <c r="O226" s="265">
        <f>IF(ResultsTeams[[#This Row],[Type]]="G",SUM(O227:O230),IF(LEFT(ResultsTeams[[#This Row],[Type]],1)="P",IF(ResultsTeams[[#This Row],[Goal-A]]&gt;ResultsTeams[[#This Row],[Goal-B]],1,0),""))</f>
        <v>0</v>
      </c>
      <c r="P226" s="265">
        <f>IF(ResultsTeams[[#This Row],[Type]]="G",SUM(P227:P230),IF(LEFT(ResultsTeams[[#This Row],[Type]],1)="P",IF(ResultsTeams[[#This Row],[Goal-A]]&lt;ResultsTeams[[#This Row],[Goal-B]],1,0),""))</f>
        <v>1</v>
      </c>
      <c r="Q226" s="265">
        <f>IF(ResultsTeams[[#This Row],[Type]]="G",SUM(Q227:Q230),IF(LEFT(ResultsTeams[[#This Row],[Type]],1)="P",VALUE(ResultsTeams[[#This Row],[Score-A]]),""))</f>
        <v>1</v>
      </c>
      <c r="R226" s="265">
        <f>IF(ResultsTeams[[#This Row],[Type]]="G",SUM(R227:R230),IF(LEFT(ResultsTeams[[#This Row],[Type]],1)="P",VALUE(ResultsTeams[[#This Row],[Score-B]]),""))</f>
        <v>6</v>
      </c>
      <c r="S226" s="265" t="str">
        <f ca="1">IF(AND(ResultsTeams[[#This Row],[Category]]&lt;&gt;"",ResultsTeams[[#This Row],[Team A]]&lt;&gt;""),COUNTIF(INDIRECT("TeamsList[Club Name]"),ResultsTeams[[#This Row],[Team A]]),"")</f>
        <v/>
      </c>
      <c r="T226" s="265" t="str">
        <f ca="1">IF(AND(ResultsTeams[[#This Row],[Category]]&lt;&gt;"",ResultsTeams[[#This Row],[Team B]]&lt;&gt;""),COUNTIF(INDIRECT("TeamsList[Club Name]"),ResultsTeams[[#This Row],[Team B]]),"")</f>
        <v/>
      </c>
      <c r="U2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Dheur</v>
      </c>
      <c r="V226" s="265" t="str">
        <f>IF(ResultsTeams[[#This Row],[Score_OK]],IF(ResultsTeams[[#This Row],[StageCpy]]="Groups",ResultsTeams[[#This Row],[Category]]&amp;"-"&amp;IF(ResultsTeams[[#This Row],[Team B]]="","",IF(ResultsTeams[[#This Row],[Match-A]]=ResultsTeams[[#This Row],[Match-B]],ResultsTeams[[#This Row],[Team A]],"")),""),"")</f>
        <v>-</v>
      </c>
      <c r="W226" s="265" t="str">
        <f>IF(ResultsTeams[[#This Row],[Score_OK]],IF(ResultsTeams[[#This Row],[StageCpy]]="Groups",ResultsTeams[[#This Row],[Category]]&amp;"-"&amp;IF(ResultsTeams[[#This Row],[Team B]]="","",IF(ResultsTeams[[#This Row],[Match-A]]=ResultsTeams[[#This Row],[Match-B]],ResultsTeams[[#This Row],[Team B]],"")),""),"")</f>
        <v>-</v>
      </c>
      <c r="X2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-Yasser Rouis</v>
      </c>
      <c r="Y2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6" s="264" t="str">
        <f>IF(ResultsTeams[[#This Row],[Category]]="","",VLOOKUP(ResultsTeams[[#This Row],[Stage]],$R$1:$T$8,MATCH(ResultsTeams[[#This Row],[Category]],$S$1:$T$1,0)+1,FALSE))</f>
        <v/>
      </c>
      <c r="AC2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6" s="264" t="str">
        <f>IF(ResultsTeams[[#This Row],[Type]]="G",ResultsTeams[[#This Row],[Stage]],AD225)</f>
        <v>Groups</v>
      </c>
      <c r="AE226" s="395" t="str">
        <f>IF(ResultsTeams[[#This Row],[Type]]="G",INDEX(TeamsList[Club Name],MATCH(ResultsTeams[[#This Row],[Team A]],TeamsList[Team Name],0)),AE225)</f>
        <v>FTC Caen</v>
      </c>
      <c r="AF226" s="395" t="str">
        <f>IF(ResultsTeams[[#This Row],[Type]]="G",INDEX(TeamsList[Club Name],MATCH(ResultsTeams[[#This Row],[Team B]],TeamsList[Team Name],0)),AF225)</f>
        <v>CCT Eagles Napoli</v>
      </c>
      <c r="AG226" s="265"/>
      <c r="AI226" s="12">
        <f>AI225</f>
        <v>0</v>
      </c>
      <c r="AJ226" s="309"/>
      <c r="AK226" s="320"/>
      <c r="AL226" s="311"/>
      <c r="AM226" s="292" t="str">
        <f>IF(AV226="","",SMALL(AN225:AN231,ROWS(AM225:AM226)))</f>
        <v/>
      </c>
      <c r="AN226" s="293" t="str">
        <f>IF(AV226="","",RANK(AR226,AR225:AR231)*1000+ROWS(AN225:AN226))</f>
        <v/>
      </c>
      <c r="AO226" s="316" t="str">
        <f t="shared" si="186"/>
        <v/>
      </c>
      <c r="AP226" s="415" t="b">
        <f>AND(AU226&lt;&gt;"",AU226&gt;0,COUNTIF(AO225:AO231,AO226)&gt;1)</f>
        <v>0</v>
      </c>
      <c r="AQ226" s="316" t="str">
        <f t="shared" si="187"/>
        <v/>
      </c>
      <c r="AR226" s="317" t="str">
        <f t="shared" si="188"/>
        <v/>
      </c>
      <c r="AS226" s="415" t="b">
        <f>AND(AU226&lt;&gt;"",AU226&gt;0,COUNTIF(AR225:AR231,AR226)&gt;1)</f>
        <v>0</v>
      </c>
      <c r="AT226" s="355" t="str">
        <f t="shared" si="189"/>
        <v/>
      </c>
      <c r="AU226" s="356" t="str">
        <f t="shared" si="190"/>
        <v/>
      </c>
      <c r="AV226" s="356" t="str">
        <f>IF(OR(AI224="",AJ226=""),"",COUNTIF(ResultsTeams[Win],AI224&amp;"-"&amp;AJ226))</f>
        <v/>
      </c>
      <c r="AW226" s="356" t="str">
        <f>IF(OR(AI224="",AJ226=""),"",COUNTIF(ResultsTeams[[Draw1]:[Draw2]],AI224&amp;"-"&amp;AJ226))</f>
        <v/>
      </c>
      <c r="AX226" s="356" t="str">
        <f>IF(OR(AI224="",AJ226=""),"",COUNTIF(ResultsTeams[Lose],AI224&amp;"-"&amp;AJ226))</f>
        <v/>
      </c>
      <c r="AY226" s="356" t="str">
        <f>IF(OR(AI224="",AJ226=""),"",AV226-AX226)</f>
        <v/>
      </c>
      <c r="AZ226" s="356" t="str">
        <f>IF(OR(AI225="",AJ226=""),"",SUMIFS(ResultsTeams[Match-A],ResultsTeams[Stage],"Groups",ResultsTeams[Team A],AJ226)+SUMIFS(ResultsTeams[Match-B],ResultsTeams[Stage],"Groups",ResultsTeams[Team B],AJ226))</f>
        <v/>
      </c>
      <c r="BA226" s="356" t="str">
        <f>IF(OR(AI225="",AJ226=""),"",SUMIFS(ResultsTeams[Match-B],ResultsTeams[Stage],"Groups",ResultsTeams[Team A],AJ226)+SUMIFS(ResultsTeams[Match-A],ResultsTeams[Stage],"Groups",ResultsTeams[Team B],AJ226))</f>
        <v/>
      </c>
      <c r="BB226" s="356" t="str">
        <f t="shared" ref="BB226:BB231" si="192">IF(OR(AI225="",AJ226=""),"",AZ226-BA226)</f>
        <v/>
      </c>
      <c r="BC226" s="356" t="str">
        <f>IF(OR(AI225="",AJ226=""),"",SUMIFS(ResultsTeams[Goal-A],ResultsTeams[Stage],"Groups",ResultsTeams[Team A],AJ226)+SUMIFS(ResultsTeams[Goal-B],ResultsTeams[Stage],"Groups",ResultsTeams[Team B],AJ226))</f>
        <v/>
      </c>
      <c r="BD226" s="356" t="str">
        <f>IF(OR(AI225="",AJ226=""),"",SUMIFS(ResultsTeams[Goal-B],ResultsTeams[Stage],"Groups",ResultsTeams[Team A],AJ226)+SUMIFS(ResultsTeams[Goal-A],ResultsTeams[Stage],"Groups",ResultsTeams[Team B],AJ226))</f>
        <v/>
      </c>
      <c r="BE226" s="357" t="str">
        <f>IF(OR(AI224="",AJ226=""),"",BC226-BD226)</f>
        <v/>
      </c>
      <c r="BF226" s="470" t="str">
        <f>IF(AM226="","",OR(VLOOKUP(AM226,AN225:BE231,3,FALSE),VLOOKUP(AM226,AN225:BE231,6,FALSE)))</f>
        <v/>
      </c>
      <c r="BG226" s="298" t="str">
        <f t="shared" si="191"/>
        <v/>
      </c>
      <c r="BH226" s="285" t="str">
        <f>IF(AM226="","",INDEX(AJ225:AJ231,MATCH(AM226,AN225:AN231,0)))</f>
        <v/>
      </c>
      <c r="BI226" s="286" t="str">
        <f>IF(AM226="","",VLOOKUP(AM226,AN225:BE231,COLUMN()-COLUMN(BB224),FALSE))</f>
        <v/>
      </c>
      <c r="BJ226" s="286" t="str">
        <f>IF(AM226="","",VLOOKUP(AM226,AN225:BE231,COLUMN()-COLUMN(BB224),FALSE))</f>
        <v/>
      </c>
      <c r="BK226" s="286" t="str">
        <f>IF(AM226="","",VLOOKUP(AM226,AN225:BE231,COLUMN()-COLUMN(BB224),FALSE))</f>
        <v/>
      </c>
      <c r="BL226" s="286" t="str">
        <f>IF(AM226="","",VLOOKUP(AM226,AN225:BE231,COLUMN()-COLUMN(BB224),FALSE))</f>
        <v/>
      </c>
      <c r="BM226" s="286" t="str">
        <f>IF(AM226="","",VLOOKUP(AM226,AN225:BE231,COLUMN()-COLUMN(BB224),FALSE))</f>
        <v/>
      </c>
      <c r="BN226" s="349" t="str">
        <f>IF(AM226="","",VLOOKUP(AM226,AN225:BE231,COLUMN()-COLUMN(BB224),FALSE))</f>
        <v/>
      </c>
      <c r="BO226" s="298" t="str">
        <f>IF(AM226="","",VLOOKUP(AM226,AN225:BE231,COLUMN()-COLUMN(BB224),FALSE))</f>
        <v/>
      </c>
      <c r="BP226" s="286" t="str">
        <f>IF(AM226="","",VLOOKUP(AM226,AN225:BE231,COLUMN()-COLUMN(BB224),FALSE))</f>
        <v/>
      </c>
      <c r="BQ226" s="301" t="str">
        <f>IF(AM226="","",VLOOKUP(AM226,AN225:BE231,COLUMN()-COLUMN(BB224),FALSE))</f>
        <v/>
      </c>
      <c r="BR226" s="352" t="str">
        <f>IF(AM226="","",VLOOKUP(AM226,AN225:BE231,COLUMN()-COLUMN(BB224),FALSE))</f>
        <v/>
      </c>
      <c r="BS226" s="286" t="str">
        <f>IF(AM226="","",VLOOKUP(AM226,AN225:BE231,COLUMN()-COLUMN(BB224),FALSE))</f>
        <v/>
      </c>
      <c r="BT226" s="301" t="str">
        <f>IF(AM226="","",VLOOKUP(AM226,AN225:BE231,COLUMN()-COLUMN(BB224),FALSE))</f>
        <v/>
      </c>
    </row>
    <row r="227" spans="1:72" x14ac:dyDescent="0.2">
      <c r="A227" s="62"/>
      <c r="B227" s="62"/>
      <c r="C227" s="62"/>
      <c r="D227" s="62"/>
      <c r="E227" s="241" t="s">
        <v>12243</v>
      </c>
      <c r="F227" s="247"/>
      <c r="G227" s="247"/>
      <c r="H227" s="254"/>
      <c r="I227" s="254"/>
      <c r="J227" s="260"/>
      <c r="K227" s="364"/>
      <c r="L227" s="364"/>
      <c r="M227" s="247"/>
      <c r="N227" s="265" t="b">
        <f>NOT(ISERROR(ResultsTeams[[#This Row],[Goal-A]]+ResultsTeams[[#This Row],[Goal-B]]))</f>
        <v>0</v>
      </c>
      <c r="O227" s="265" t="str">
        <f>IF(ResultsTeams[[#This Row],[Type]]="G",SUM(O228:O231),IF(LEFT(ResultsTeams[[#This Row],[Type]],1)="P",IF(ResultsTeams[[#This Row],[Goal-A]]&gt;ResultsTeams[[#This Row],[Goal-B]],1,0),""))</f>
        <v/>
      </c>
      <c r="P227" s="265" t="str">
        <f>IF(ResultsTeams[[#This Row],[Type]]="G",SUM(P228:P231),IF(LEFT(ResultsTeams[[#This Row],[Type]],1)="P",IF(ResultsTeams[[#This Row],[Goal-A]]&lt;ResultsTeams[[#This Row],[Goal-B]],1,0),""))</f>
        <v/>
      </c>
      <c r="Q227" s="265" t="str">
        <f>IF(ResultsTeams[[#This Row],[Type]]="G",SUM(Q228:Q231),IF(LEFT(ResultsTeams[[#This Row],[Type]],1)="P",VALUE(ResultsTeams[[#This Row],[Score-A]]),""))</f>
        <v/>
      </c>
      <c r="R227" s="265" t="str">
        <f>IF(ResultsTeams[[#This Row],[Type]]="G",SUM(R228:R231),IF(LEFT(ResultsTeams[[#This Row],[Type]],1)="P",VALUE(ResultsTeams[[#This Row],[Score-B]]),""))</f>
        <v/>
      </c>
      <c r="S227" s="265" t="str">
        <f ca="1">IF(AND(ResultsTeams[[#This Row],[Category]]&lt;&gt;"",ResultsTeams[[#This Row],[Team A]]&lt;&gt;""),COUNTIF(INDIRECT("TeamsList[Club Name]"),ResultsTeams[[#This Row],[Team A]]),"")</f>
        <v/>
      </c>
      <c r="T227" s="265" t="str">
        <f ca="1">IF(AND(ResultsTeams[[#This Row],[Category]]&lt;&gt;"",ResultsTeams[[#This Row],[Team B]]&lt;&gt;""),COUNTIF(INDIRECT("TeamsList[Club Name]"),ResultsTeams[[#This Row],[Team B]]),"")</f>
        <v/>
      </c>
      <c r="U2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7" s="265" t="str">
        <f>IF(ResultsTeams[[#This Row],[Score_OK]],IF(ResultsTeams[[#This Row],[StageCpy]]="Groups",ResultsTeams[[#This Row],[Category]]&amp;"-"&amp;IF(ResultsTeams[[#This Row],[Team B]]="","",IF(ResultsTeams[[#This Row],[Match-A]]=ResultsTeams[[#This Row],[Match-B]],ResultsTeams[[#This Row],[Team A]],"")),""),"")</f>
        <v/>
      </c>
      <c r="W227" s="265" t="str">
        <f>IF(ResultsTeams[[#This Row],[Score_OK]],IF(ResultsTeams[[#This Row],[StageCpy]]="Groups",ResultsTeams[[#This Row],[Category]]&amp;"-"&amp;IF(ResultsTeams[[#This Row],[Team B]]="","",IF(ResultsTeams[[#This Row],[Match-A]]=ResultsTeams[[#This Row],[Match-B]],ResultsTeams[[#This Row],[Team B]],"")),""),"")</f>
        <v/>
      </c>
      <c r="X2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7" s="264" t="str">
        <f>IF(ResultsTeams[[#This Row],[Category]]="","",VLOOKUP(ResultsTeams[[#This Row],[Stage]],$R$1:$T$8,MATCH(ResultsTeams[[#This Row],[Category]],$S$1:$T$1,0)+1,FALSE))</f>
        <v/>
      </c>
      <c r="AC2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7" s="264" t="str">
        <f>IF(ResultsTeams[[#This Row],[Type]]="G",ResultsTeams[[#This Row],[Stage]],AD226)</f>
        <v>Groups</v>
      </c>
      <c r="AE227" s="395" t="str">
        <f>IF(ResultsTeams[[#This Row],[Type]]="G",INDEX(TeamsList[Club Name],MATCH(ResultsTeams[[#This Row],[Team A]],TeamsList[Team Name],0)),AE226)</f>
        <v>FTC Caen</v>
      </c>
      <c r="AF227" s="395" t="str">
        <f>IF(ResultsTeams[[#This Row],[Type]]="G",INDEX(TeamsList[Club Name],MATCH(ResultsTeams[[#This Row],[Team B]],TeamsList[Team Name],0)),AF226)</f>
        <v>CCT Eagles Napoli</v>
      </c>
      <c r="AG227" s="265"/>
      <c r="AI227" s="12">
        <f t="shared" ref="AI227:AI231" si="193">AI226</f>
        <v>0</v>
      </c>
      <c r="AJ227" s="309"/>
      <c r="AK227" s="320"/>
      <c r="AL227" s="311"/>
      <c r="AM227" s="292" t="str">
        <f>IF(AV227="","",SMALL(AN225:AN231,ROWS(AM225:AM227)))</f>
        <v/>
      </c>
      <c r="AN227" s="293" t="str">
        <f>IF(AV227="","",RANK(AR227,AR225:AR231)*1000+ROWS(AN225:AN227))</f>
        <v/>
      </c>
      <c r="AO227" s="316" t="str">
        <f t="shared" si="186"/>
        <v/>
      </c>
      <c r="AP227" s="415" t="b">
        <f>AND(AU227&lt;&gt;"",AU227&gt;0,COUNTIF(AO225:AO231,AO227)&gt;1)</f>
        <v>0</v>
      </c>
      <c r="AQ227" s="316" t="str">
        <f t="shared" si="187"/>
        <v/>
      </c>
      <c r="AR227" s="317" t="str">
        <f t="shared" si="188"/>
        <v/>
      </c>
      <c r="AS227" s="415" t="b">
        <f>AND(AU227&lt;&gt;"",AU227&gt;0,COUNTIF(AR225:AR231,AR227)&gt;1)</f>
        <v>0</v>
      </c>
      <c r="AT227" s="355" t="str">
        <f t="shared" si="189"/>
        <v/>
      </c>
      <c r="AU227" s="356" t="str">
        <f t="shared" si="190"/>
        <v/>
      </c>
      <c r="AV227" s="356" t="str">
        <f>IF(OR(AI224="",AJ227=""),"",COUNTIF(ResultsTeams[Win],AI224&amp;"-"&amp;AJ227))</f>
        <v/>
      </c>
      <c r="AW227" s="356" t="str">
        <f>IF(OR(AI224="",AJ227=""),"",COUNTIF(ResultsTeams[[Draw1]:[Draw2]],AI224&amp;"-"&amp;AJ227))</f>
        <v/>
      </c>
      <c r="AX227" s="356" t="str">
        <f>IF(OR(AI224="",AJ227=""),"",COUNTIF(ResultsTeams[Lose],AI224&amp;"-"&amp;AJ227))</f>
        <v/>
      </c>
      <c r="AY227" s="356" t="str">
        <f>IF(OR(AI224="",AJ227=""),"",AV227-AX227)</f>
        <v/>
      </c>
      <c r="AZ227" s="356" t="str">
        <f>IF(OR(AI226="",AJ227=""),"",SUMIFS(ResultsTeams[Match-A],ResultsTeams[Stage],"Groups",ResultsTeams[Team A],AJ227)+SUMIFS(ResultsTeams[Match-B],ResultsTeams[Stage],"Groups",ResultsTeams[Team B],AJ227))</f>
        <v/>
      </c>
      <c r="BA227" s="356" t="str">
        <f>IF(OR(AI226="",AJ227=""),"",SUMIFS(ResultsTeams[Match-B],ResultsTeams[Stage],"Groups",ResultsTeams[Team A],AJ227)+SUMIFS(ResultsTeams[Match-A],ResultsTeams[Stage],"Groups",ResultsTeams[Team B],AJ227))</f>
        <v/>
      </c>
      <c r="BB227" s="356" t="str">
        <f t="shared" si="192"/>
        <v/>
      </c>
      <c r="BC227" s="356" t="str">
        <f>IF(OR(AI226="",AJ227=""),"",SUMIFS(ResultsTeams[Goal-A],ResultsTeams[Stage],"Groups",ResultsTeams[Team A],AJ227)+SUMIFS(ResultsTeams[Goal-B],ResultsTeams[Stage],"Groups",ResultsTeams[Team B],AJ227))</f>
        <v/>
      </c>
      <c r="BD227" s="356" t="str">
        <f>IF(OR(AI226="",AJ227=""),"",SUMIFS(ResultsTeams[Goal-B],ResultsTeams[Stage],"Groups",ResultsTeams[Team A],AJ227)+SUMIFS(ResultsTeams[Goal-A],ResultsTeams[Stage],"Groups",ResultsTeams[Team B],AJ227))</f>
        <v/>
      </c>
      <c r="BE227" s="357" t="str">
        <f>IF(OR(AI224="",AJ227=""),"",BC227-BD227)</f>
        <v/>
      </c>
      <c r="BF227" s="470" t="str">
        <f>IF(AM227="","",OR(VLOOKUP(AM227,AN225:BE231,3,FALSE),VLOOKUP(AM227,AN225:BE231,6,FALSE)))</f>
        <v/>
      </c>
      <c r="BG227" s="298" t="str">
        <f t="shared" si="191"/>
        <v/>
      </c>
      <c r="BH227" s="285" t="str">
        <f>IF(AM227="","",INDEX(AJ225:AJ231,MATCH(AM227,AN225:AN231,0)))</f>
        <v/>
      </c>
      <c r="BI227" s="286" t="str">
        <f>IF(AM227="","",VLOOKUP(AM227,AN225:BE231,COLUMN()-COLUMN(BB224),FALSE))</f>
        <v/>
      </c>
      <c r="BJ227" s="286" t="str">
        <f>IF(AM227="","",VLOOKUP(AM227,AN225:BE231,COLUMN()-COLUMN(BB224),FALSE))</f>
        <v/>
      </c>
      <c r="BK227" s="286" t="str">
        <f>IF(AM227="","",VLOOKUP(AM227,AN225:BE231,COLUMN()-COLUMN(BB224),FALSE))</f>
        <v/>
      </c>
      <c r="BL227" s="286" t="str">
        <f>IF(AM227="","",VLOOKUP(AM227,AN225:BE231,COLUMN()-COLUMN(BB224),FALSE))</f>
        <v/>
      </c>
      <c r="BM227" s="286" t="str">
        <f>IF(AM227="","",VLOOKUP(AM227,AN225:BE231,COLUMN()-COLUMN(BB224),FALSE))</f>
        <v/>
      </c>
      <c r="BN227" s="349" t="str">
        <f>IF(AM227="","",VLOOKUP(AM227,AN225:BE231,COLUMN()-COLUMN(BB224),FALSE))</f>
        <v/>
      </c>
      <c r="BO227" s="298" t="str">
        <f>IF(AM227="","",VLOOKUP(AM227,AN225:BE231,COLUMN()-COLUMN(BB224),FALSE))</f>
        <v/>
      </c>
      <c r="BP227" s="286" t="str">
        <f>IF(AM227="","",VLOOKUP(AM227,AN225:BE231,COLUMN()-COLUMN(BB224),FALSE))</f>
        <v/>
      </c>
      <c r="BQ227" s="301" t="str">
        <f>IF(AM227="","",VLOOKUP(AM227,AN225:BE231,COLUMN()-COLUMN(BB224),FALSE))</f>
        <v/>
      </c>
      <c r="BR227" s="352" t="str">
        <f>IF(AM227="","",VLOOKUP(AM227,AN225:BE231,COLUMN()-COLUMN(BB224),FALSE))</f>
        <v/>
      </c>
      <c r="BS227" s="286" t="str">
        <f>IF(AM227="","",VLOOKUP(AM227,AN225:BE231,COLUMN()-COLUMN(BB224),FALSE))</f>
        <v/>
      </c>
      <c r="BT227" s="301" t="str">
        <f>IF(AM227="","",VLOOKUP(AM227,AN225:BE231,COLUMN()-COLUMN(BB224),FALSE))</f>
        <v/>
      </c>
    </row>
    <row r="228" spans="1:72" ht="12" thickBot="1" x14ac:dyDescent="0.25">
      <c r="A228" s="83"/>
      <c r="B228" s="83"/>
      <c r="C228" s="83"/>
      <c r="D228" s="83"/>
      <c r="E228" s="268" t="s">
        <v>12244</v>
      </c>
      <c r="F228" s="262"/>
      <c r="G228" s="262"/>
      <c r="H228" s="324"/>
      <c r="I228" s="324"/>
      <c r="J228" s="263"/>
      <c r="K228" s="365"/>
      <c r="L228" s="365"/>
      <c r="M228" s="262"/>
      <c r="N228" s="265" t="b">
        <f>NOT(ISERROR(ResultsTeams[[#This Row],[Goal-A]]+ResultsTeams[[#This Row],[Goal-B]]))</f>
        <v>0</v>
      </c>
      <c r="O228" s="265" t="str">
        <f>IF(ResultsTeams[[#This Row],[Type]]="G",SUM(O229:O232),IF(LEFT(ResultsTeams[[#This Row],[Type]],1)="P",IF(ResultsTeams[[#This Row],[Goal-A]]&gt;ResultsTeams[[#This Row],[Goal-B]],1,0),""))</f>
        <v/>
      </c>
      <c r="P228" s="265" t="str">
        <f>IF(ResultsTeams[[#This Row],[Type]]="G",SUM(P229:P232),IF(LEFT(ResultsTeams[[#This Row],[Type]],1)="P",IF(ResultsTeams[[#This Row],[Goal-A]]&lt;ResultsTeams[[#This Row],[Goal-B]],1,0),""))</f>
        <v/>
      </c>
      <c r="Q228" s="265" t="str">
        <f>IF(ResultsTeams[[#This Row],[Type]]="G",SUM(Q229:Q232),IF(LEFT(ResultsTeams[[#This Row],[Type]],1)="P",VALUE(ResultsTeams[[#This Row],[Score-A]]),""))</f>
        <v/>
      </c>
      <c r="R228" s="265" t="str">
        <f>IF(ResultsTeams[[#This Row],[Type]]="G",SUM(R229:R232),IF(LEFT(ResultsTeams[[#This Row],[Type]],1)="P",VALUE(ResultsTeams[[#This Row],[Score-B]]),""))</f>
        <v/>
      </c>
      <c r="S228" s="265" t="str">
        <f ca="1">IF(AND(ResultsTeams[[#This Row],[Category]]&lt;&gt;"",ResultsTeams[[#This Row],[Team A]]&lt;&gt;""),COUNTIF(INDIRECT("TeamsList[Club Name]"),ResultsTeams[[#This Row],[Team A]]),"")</f>
        <v/>
      </c>
      <c r="T228" s="265" t="str">
        <f ca="1">IF(AND(ResultsTeams[[#This Row],[Category]]&lt;&gt;"",ResultsTeams[[#This Row],[Team B]]&lt;&gt;""),COUNTIF(INDIRECT("TeamsList[Club Name]"),ResultsTeams[[#This Row],[Team B]]),"")</f>
        <v/>
      </c>
      <c r="U2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8" s="265" t="str">
        <f>IF(ResultsTeams[[#This Row],[Score_OK]],IF(ResultsTeams[[#This Row],[StageCpy]]="Groups",ResultsTeams[[#This Row],[Category]]&amp;"-"&amp;IF(ResultsTeams[[#This Row],[Team B]]="","",IF(ResultsTeams[[#This Row],[Match-A]]=ResultsTeams[[#This Row],[Match-B]],ResultsTeams[[#This Row],[Team A]],"")),""),"")</f>
        <v/>
      </c>
      <c r="W228" s="265" t="str">
        <f>IF(ResultsTeams[[#This Row],[Score_OK]],IF(ResultsTeams[[#This Row],[StageCpy]]="Groups",ResultsTeams[[#This Row],[Category]]&amp;"-"&amp;IF(ResultsTeams[[#This Row],[Team B]]="","",IF(ResultsTeams[[#This Row],[Match-A]]=ResultsTeams[[#This Row],[Match-B]],ResultsTeams[[#This Row],[Team B]],"")),""),"")</f>
        <v/>
      </c>
      <c r="X2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8" s="264" t="str">
        <f>IF(ResultsTeams[[#This Row],[Category]]="","",VLOOKUP(ResultsTeams[[#This Row],[Stage]],$R$1:$T$8,MATCH(ResultsTeams[[#This Row],[Category]],$S$1:$T$1,0)+1,FALSE))</f>
        <v/>
      </c>
      <c r="AC2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8" s="264" t="str">
        <f>IF(ResultsTeams[[#This Row],[Type]]="G",ResultsTeams[[#This Row],[Stage]],AD227)</f>
        <v>Groups</v>
      </c>
      <c r="AE228" s="395" t="str">
        <f>IF(ResultsTeams[[#This Row],[Type]]="G",INDEX(TeamsList[Club Name],MATCH(ResultsTeams[[#This Row],[Team A]],TeamsList[Team Name],0)),AE227)</f>
        <v>FTC Caen</v>
      </c>
      <c r="AF228" s="395" t="str">
        <f>IF(ResultsTeams[[#This Row],[Type]]="G",INDEX(TeamsList[Club Name],MATCH(ResultsTeams[[#This Row],[Team B]],TeamsList[Team Name],0)),AF227)</f>
        <v>CCT Eagles Napoli</v>
      </c>
      <c r="AG228" s="265"/>
      <c r="AH228" s="91"/>
      <c r="AI228" s="12">
        <f t="shared" si="193"/>
        <v>0</v>
      </c>
      <c r="AJ228" s="309"/>
      <c r="AK228" s="310"/>
      <c r="AL228" s="311"/>
      <c r="AM228" s="292" t="str">
        <f>IF(AV228="","",SMALL(AN225:AN231,ROWS(AM225:AM228)))</f>
        <v/>
      </c>
      <c r="AN228" s="293" t="str">
        <f>IF(AV228="","",RANK(AR228,AR225:AR231)*1000+ROWS(AN225:AN228))</f>
        <v/>
      </c>
      <c r="AO228" s="316" t="str">
        <f t="shared" si="186"/>
        <v/>
      </c>
      <c r="AP228" s="415" t="b">
        <f>AND(AU228&lt;&gt;"",AU228&gt;0,COUNTIF(AO225:AO231,AO228)&gt;1)</f>
        <v>0</v>
      </c>
      <c r="AQ228" s="316" t="str">
        <f t="shared" si="187"/>
        <v/>
      </c>
      <c r="AR228" s="317" t="str">
        <f t="shared" si="188"/>
        <v/>
      </c>
      <c r="AS228" s="415" t="b">
        <f>AND(AU228&lt;&gt;"",AU228&gt;0,COUNTIF(AR225:AR231,AR228)&gt;1)</f>
        <v>0</v>
      </c>
      <c r="AT228" s="355" t="str">
        <f t="shared" si="189"/>
        <v/>
      </c>
      <c r="AU228" s="356" t="str">
        <f t="shared" si="190"/>
        <v/>
      </c>
      <c r="AV228" s="356" t="str">
        <f>IF(OR(AI224="",AJ228=""),"",COUNTIF(ResultsTeams[Win],AI224&amp;"-"&amp;AJ228))</f>
        <v/>
      </c>
      <c r="AW228" s="356" t="str">
        <f>IF(OR(AI224="",AJ228=""),"",COUNTIF(ResultsTeams[[Draw1]:[Draw2]],AI224&amp;"-"&amp;AJ228))</f>
        <v/>
      </c>
      <c r="AX228" s="356" t="str">
        <f>IF(OR(AI224="",AJ228=""),"",COUNTIF(ResultsTeams[Lose],AI224&amp;"-"&amp;AJ228))</f>
        <v/>
      </c>
      <c r="AY228" s="356" t="str">
        <f>IF(OR(AI224="",AJ228=""),"",AV228-AX228)</f>
        <v/>
      </c>
      <c r="AZ228" s="356" t="str">
        <f>IF(OR(AI227="",AJ228=""),"",SUMIFS(ResultsTeams[Match-A],ResultsTeams[Stage],"Groups",ResultsTeams[Team A],AJ228)+SUMIFS(ResultsTeams[Match-B],ResultsTeams[Stage],"Groups",ResultsTeams[Team B],AJ228))</f>
        <v/>
      </c>
      <c r="BA228" s="356" t="str">
        <f>IF(OR(AI227="",AJ228=""),"",SUMIFS(ResultsTeams[Match-B],ResultsTeams[Stage],"Groups",ResultsTeams[Team A],AJ228)+SUMIFS(ResultsTeams[Match-A],ResultsTeams[Stage],"Groups",ResultsTeams[Team B],AJ228))</f>
        <v/>
      </c>
      <c r="BB228" s="356" t="str">
        <f t="shared" si="192"/>
        <v/>
      </c>
      <c r="BC228" s="356" t="str">
        <f>IF(OR(AI227="",AJ228=""),"",SUMIFS(ResultsTeams[Goal-A],ResultsTeams[Stage],"Groups",ResultsTeams[Team A],AJ228)+SUMIFS(ResultsTeams[Goal-B],ResultsTeams[Stage],"Groups",ResultsTeams[Team B],AJ228))</f>
        <v/>
      </c>
      <c r="BD228" s="356" t="str">
        <f>IF(OR(AI227="",AJ228=""),"",SUMIFS(ResultsTeams[Goal-B],ResultsTeams[Stage],"Groups",ResultsTeams[Team A],AJ228)+SUMIFS(ResultsTeams[Goal-A],ResultsTeams[Stage],"Groups",ResultsTeams[Team B],AJ228))</f>
        <v/>
      </c>
      <c r="BE228" s="357" t="str">
        <f>IF(OR(AI224="",AJ228=""),"",BC228-BD228)</f>
        <v/>
      </c>
      <c r="BF228" s="470" t="str">
        <f>IF(AM228="","",OR(VLOOKUP(AM228,AN225:BE231,3,FALSE),VLOOKUP(AM228,AN225:BE231,6,FALSE)))</f>
        <v/>
      </c>
      <c r="BG228" s="298" t="str">
        <f t="shared" si="191"/>
        <v/>
      </c>
      <c r="BH228" s="285" t="str">
        <f>IF(AM228="","",INDEX(AJ225:AJ231,MATCH(AM228,AN225:AN231,0)))</f>
        <v/>
      </c>
      <c r="BI228" s="286" t="str">
        <f>IF(AM228="","",VLOOKUP(AM228,AN225:BE231,COLUMN()-COLUMN(BB224),FALSE))</f>
        <v/>
      </c>
      <c r="BJ228" s="286" t="str">
        <f>IF(AM228="","",VLOOKUP(AM228,AN225:BE231,COLUMN()-COLUMN(BB224),FALSE))</f>
        <v/>
      </c>
      <c r="BK228" s="286" t="str">
        <f>IF(AM228="","",VLOOKUP(AM228,AN225:BE231,COLUMN()-COLUMN(BB224),FALSE))</f>
        <v/>
      </c>
      <c r="BL228" s="286" t="str">
        <f>IF(AM228="","",VLOOKUP(AM228,AN225:BE231,COLUMN()-COLUMN(BB224),FALSE))</f>
        <v/>
      </c>
      <c r="BM228" s="286" t="str">
        <f>IF(AM228="","",VLOOKUP(AM228,AN225:BE231,COLUMN()-COLUMN(BB224),FALSE))</f>
        <v/>
      </c>
      <c r="BN228" s="349" t="str">
        <f>IF(AM228="","",VLOOKUP(AM228,AN225:BE231,COLUMN()-COLUMN(BB224),FALSE))</f>
        <v/>
      </c>
      <c r="BO228" s="298" t="str">
        <f>IF(AM228="","",VLOOKUP(AM228,AN225:BE231,COLUMN()-COLUMN(BB224),FALSE))</f>
        <v/>
      </c>
      <c r="BP228" s="286" t="str">
        <f>IF(AM228="","",VLOOKUP(AM228,AN225:BE231,COLUMN()-COLUMN(BB224),FALSE))</f>
        <v/>
      </c>
      <c r="BQ228" s="301" t="str">
        <f>IF(AM228="","",VLOOKUP(AM228,AN225:BE231,COLUMN()-COLUMN(BB224),FALSE))</f>
        <v/>
      </c>
      <c r="BR228" s="352" t="str">
        <f>IF(AM228="","",VLOOKUP(AM228,AN225:BE231,COLUMN()-COLUMN(BB224),FALSE))</f>
        <v/>
      </c>
      <c r="BS228" s="286" t="str">
        <f>IF(AM228="","",VLOOKUP(AM228,AN225:BE231,COLUMN()-COLUMN(BB224),FALSE))</f>
        <v/>
      </c>
      <c r="BT228" s="301" t="str">
        <f>IF(AM228="","",VLOOKUP(AM228,AN225:BE231,COLUMN()-COLUMN(BB224),FALSE))</f>
        <v/>
      </c>
    </row>
    <row r="229" spans="1:72" ht="12" thickBot="1" x14ac:dyDescent="0.25">
      <c r="A229" s="261" t="s">
        <v>12693</v>
      </c>
      <c r="B229" s="270" t="s">
        <v>12207</v>
      </c>
      <c r="C229" s="270">
        <v>4</v>
      </c>
      <c r="D229" s="270"/>
      <c r="E229" s="272" t="s">
        <v>12228</v>
      </c>
      <c r="F229" s="273" t="s">
        <v>415</v>
      </c>
      <c r="G229" s="273" t="s">
        <v>57</v>
      </c>
      <c r="H229" s="275">
        <v>1</v>
      </c>
      <c r="I229" s="275">
        <v>3</v>
      </c>
      <c r="J229" s="275"/>
      <c r="K229" s="366"/>
      <c r="L229" s="366"/>
      <c r="M229" s="274"/>
      <c r="N229" s="265" t="b">
        <f>NOT(ISERROR(ResultsTeams[[#This Row],[Goal-A]]+ResultsTeams[[#This Row],[Goal-B]]))</f>
        <v>1</v>
      </c>
      <c r="O229" s="265">
        <f>IF(ResultsTeams[[#This Row],[Type]]="G",SUM(O230:O233),IF(LEFT(ResultsTeams[[#This Row],[Type]],1)="P",IF(ResultsTeams[[#This Row],[Goal-A]]&gt;ResultsTeams[[#This Row],[Goal-B]],1,0),""))</f>
        <v>1</v>
      </c>
      <c r="P229" s="265">
        <f>IF(ResultsTeams[[#This Row],[Type]]="G",SUM(P230:P233),IF(LEFT(ResultsTeams[[#This Row],[Type]],1)="P",IF(ResultsTeams[[#This Row],[Goal-A]]&lt;ResultsTeams[[#This Row],[Goal-B]],1,0),""))</f>
        <v>3</v>
      </c>
      <c r="Q229" s="265">
        <f>IF(ResultsTeams[[#This Row],[Type]]="G",SUM(Q230:Q233),IF(LEFT(ResultsTeams[[#This Row],[Type]],1)="P",VALUE(ResultsTeams[[#This Row],[Score-A]]),""))</f>
        <v>3</v>
      </c>
      <c r="R229" s="265">
        <f>IF(ResultsTeams[[#This Row],[Type]]="G",SUM(R230:R233),IF(LEFT(ResultsTeams[[#This Row],[Type]],1)="P",VALUE(ResultsTeams[[#This Row],[Score-B]]),""))</f>
        <v>17</v>
      </c>
      <c r="S229" s="265">
        <f ca="1">IF(AND(ResultsTeams[[#This Row],[Category]]&lt;&gt;"",ResultsTeams[[#This Row],[Team A]]&lt;&gt;""),COUNTIF(INDIRECT("TeamsList[Club Name]"),ResultsTeams[[#This Row],[Team A]]),"")</f>
        <v>2</v>
      </c>
      <c r="T229" s="265">
        <f ca="1">IF(AND(ResultsTeams[[#This Row],[Category]]&lt;&gt;"",ResultsTeams[[#This Row],[Team B]]&lt;&gt;""),COUNTIF(INDIRECT("TeamsList[Club Name]"),ResultsTeams[[#This Row],[Team B]]),"")</f>
        <v>1</v>
      </c>
      <c r="U2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Charleroi</v>
      </c>
      <c r="V229" s="265" t="str">
        <f>IF(ResultsTeams[[#This Row],[Score_OK]],IF(ResultsTeams[[#This Row],[StageCpy]]="Groups",ResultsTeams[[#This Row],[Category]]&amp;"-"&amp;IF(ResultsTeams[[#This Row],[Team B]]="","",IF(ResultsTeams[[#This Row],[Match-A]]=ResultsTeams[[#This Row],[Match-B]],ResultsTeams[[#This Row],[Team A]],"")),""),"")</f>
        <v>TEAM-</v>
      </c>
      <c r="W229" s="265" t="str">
        <f>IF(ResultsTeams[[#This Row],[Score_OK]],IF(ResultsTeams[[#This Row],[StageCpy]]="Groups",ResultsTeams[[#This Row],[Category]]&amp;"-"&amp;IF(ResultsTeams[[#This Row],[Team B]]="","",IF(ResultsTeams[[#This Row],[Match-A]]=ResultsTeams[[#This Row],[Match-B]],ResultsTeams[[#This Row],[Team B]],"")),""),"")</f>
        <v>TEAM-</v>
      </c>
      <c r="X2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v>
      </c>
      <c r="Y2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A2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v>
      </c>
      <c r="AB229" s="264" t="str">
        <f>IF(ResultsTeams[[#This Row],[Category]]="","",VLOOKUP(ResultsTeams[[#This Row],[Stage]],$R$1:$T$8,MATCH(ResultsTeams[[#This Row],[Category]],$S$1:$T$1,0)+1,FALSE))</f>
        <v>PR1</v>
      </c>
      <c r="AC2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9" s="264" t="str">
        <f>IF(ResultsTeams[[#This Row],[Type]]="G",ResultsTeams[[#This Row],[Stage]],AD228)</f>
        <v>Groups</v>
      </c>
      <c r="AE229" s="395" t="str">
        <f>IF(ResultsTeams[[#This Row],[Type]]="G",INDEX(TeamsList[Club Name],MATCH(ResultsTeams[[#This Row],[Team A]],TeamsList[Team Name],0)),AE228)</f>
        <v>Kent Invicta TFC</v>
      </c>
      <c r="AF229" s="395" t="str">
        <f>IF(ResultsTeams[[#This Row],[Type]]="G",INDEX(TeamsList[Club Name],MATCH(ResultsTeams[[#This Row],[Team B]],TeamsList[Team Name],0)),AF228)</f>
        <v>SC Charleroi</v>
      </c>
      <c r="AG229" s="265"/>
      <c r="AH229" s="91"/>
      <c r="AI229" s="12">
        <f t="shared" si="193"/>
        <v>0</v>
      </c>
      <c r="AJ229" s="309"/>
      <c r="AK229" s="310"/>
      <c r="AL229" s="311"/>
      <c r="AM229" s="292" t="str">
        <f>IF(AV229="","",SMALL(AN225:AN231,ROWS(AM225:AM229)))</f>
        <v/>
      </c>
      <c r="AN229" s="293" t="str">
        <f>IF(AV229="","",RANK(AR229,AR225:AR231)*1000+ROWS(AN225:AN229))</f>
        <v/>
      </c>
      <c r="AO229" s="316" t="str">
        <f t="shared" si="186"/>
        <v/>
      </c>
      <c r="AP229" s="415" t="b">
        <f>AND(AU229&lt;&gt;"",AU229&gt;0,COUNTIF(AO225:AO231,AO229)&gt;1)</f>
        <v>0</v>
      </c>
      <c r="AQ229" s="316" t="str">
        <f t="shared" si="187"/>
        <v/>
      </c>
      <c r="AR229" s="317" t="str">
        <f t="shared" si="188"/>
        <v/>
      </c>
      <c r="AS229" s="415" t="b">
        <f>AND(AU229&lt;&gt;"",AU229&gt;0,COUNTIF(AR225:AR231,AR229)&gt;1)</f>
        <v>0</v>
      </c>
      <c r="AT229" s="355" t="str">
        <f t="shared" si="189"/>
        <v/>
      </c>
      <c r="AU229" s="356" t="str">
        <f t="shared" si="190"/>
        <v/>
      </c>
      <c r="AV229" s="356" t="str">
        <f>IF(OR(AI224="",AJ229=""),"",COUNTIF(ResultsTeams[Win],AI224&amp;"-"&amp;AJ229))</f>
        <v/>
      </c>
      <c r="AW229" s="356" t="str">
        <f>IF(OR(AI224="",AJ229=""),"",COUNTIF(ResultsTeams[[Draw1]:[Draw2]],AI224&amp;"-"&amp;AJ229))</f>
        <v/>
      </c>
      <c r="AX229" s="356" t="str">
        <f>IF(OR(AI224="",AJ229=""),"",COUNTIF(ResultsTeams[Lose],AI224&amp;"-"&amp;AJ229))</f>
        <v/>
      </c>
      <c r="AY229" s="356" t="str">
        <f>IF(OR(AI224="",AJ229=""),"",AV229-AX229)</f>
        <v/>
      </c>
      <c r="AZ229" s="356" t="str">
        <f>IF(OR(AI228="",AJ229=""),"",SUMIFS(ResultsTeams[Match-A],ResultsTeams[Stage],"Groups",ResultsTeams[Team A],AJ229)+SUMIFS(ResultsTeams[Match-B],ResultsTeams[Stage],"Groups",ResultsTeams[Team B],AJ229))</f>
        <v/>
      </c>
      <c r="BA229" s="356" t="str">
        <f>IF(OR(AI228="",AJ229=""),"",SUMIFS(ResultsTeams[Match-B],ResultsTeams[Stage],"Groups",ResultsTeams[Team A],AJ229)+SUMIFS(ResultsTeams[Match-A],ResultsTeams[Stage],"Groups",ResultsTeams[Team B],AJ229))</f>
        <v/>
      </c>
      <c r="BB229" s="356" t="str">
        <f t="shared" si="192"/>
        <v/>
      </c>
      <c r="BC229" s="356" t="str">
        <f>IF(OR(AI228="",AJ229=""),"",SUMIFS(ResultsTeams[Goal-A],ResultsTeams[Stage],"Groups",ResultsTeams[Team A],AJ229)+SUMIFS(ResultsTeams[Goal-B],ResultsTeams[Stage],"Groups",ResultsTeams[Team B],AJ229))</f>
        <v/>
      </c>
      <c r="BD229" s="356" t="str">
        <f>IF(OR(AI228="",AJ229=""),"",SUMIFS(ResultsTeams[Goal-B],ResultsTeams[Stage],"Groups",ResultsTeams[Team A],AJ229)+SUMIFS(ResultsTeams[Goal-A],ResultsTeams[Stage],"Groups",ResultsTeams[Team B],AJ229))</f>
        <v/>
      </c>
      <c r="BE229" s="357" t="str">
        <f>IF(OR(AI224="",AJ229=""),"",BC229-BD229)</f>
        <v/>
      </c>
      <c r="BF229" s="470" t="str">
        <f>IF(AM229="","",OR(VLOOKUP(AM229,AN225:BE231,3,FALSE),VLOOKUP(AM229,AN225:BE231,6,FALSE)))</f>
        <v/>
      </c>
      <c r="BG229" s="298" t="str">
        <f t="shared" si="191"/>
        <v/>
      </c>
      <c r="BH229" s="285" t="str">
        <f>IF(AM229="","",INDEX(AJ225:AJ231,MATCH(AM229,AN225:AN231,0)))</f>
        <v/>
      </c>
      <c r="BI229" s="286" t="str">
        <f>IF(AM229="","",VLOOKUP(AM229,AN225:BE231,COLUMN()-COLUMN(BB224),FALSE))</f>
        <v/>
      </c>
      <c r="BJ229" s="286" t="str">
        <f>IF(AM229="","",VLOOKUP(AM229,AN225:BE231,COLUMN()-COLUMN(BB224),FALSE))</f>
        <v/>
      </c>
      <c r="BK229" s="286" t="str">
        <f>IF(AM229="","",VLOOKUP(AM229,AN225:BE231,COLUMN()-COLUMN(BB224),FALSE))</f>
        <v/>
      </c>
      <c r="BL229" s="286" t="str">
        <f>IF(AM229="","",VLOOKUP(AM229,AN225:BE231,COLUMN()-COLUMN(BB224),FALSE))</f>
        <v/>
      </c>
      <c r="BM229" s="286" t="str">
        <f>IF(AM229="","",VLOOKUP(AM229,AN225:BE231,COLUMN()-COLUMN(BB224),FALSE))</f>
        <v/>
      </c>
      <c r="BN229" s="349" t="str">
        <f>IF(AM229="","",VLOOKUP(AM229,AN225:BE231,COLUMN()-COLUMN(BB224),FALSE))</f>
        <v/>
      </c>
      <c r="BO229" s="298" t="str">
        <f>IF(AM229="","",VLOOKUP(AM229,AN225:BE231,COLUMN()-COLUMN(BB224),FALSE))</f>
        <v/>
      </c>
      <c r="BP229" s="286" t="str">
        <f>IF(AM229="","",VLOOKUP(AM229,AN225:BE231,COLUMN()-COLUMN(BB224),FALSE))</f>
        <v/>
      </c>
      <c r="BQ229" s="301" t="str">
        <f>IF(AM229="","",VLOOKUP(AM229,AN225:BE231,COLUMN()-COLUMN(BB224),FALSE))</f>
        <v/>
      </c>
      <c r="BR229" s="352" t="str">
        <f>IF(AM229="","",VLOOKUP(AM229,AN225:BE231,COLUMN()-COLUMN(BB224),FALSE))</f>
        <v/>
      </c>
      <c r="BS229" s="286" t="str">
        <f>IF(AM229="","",VLOOKUP(AM229,AN225:BE231,COLUMN()-COLUMN(BB224),FALSE))</f>
        <v/>
      </c>
      <c r="BT229" s="301" t="str">
        <f>IF(AM229="","",VLOOKUP(AM229,AN225:BE231,COLUMN()-COLUMN(BB224),FALSE))</f>
        <v/>
      </c>
    </row>
    <row r="230" spans="1:72" x14ac:dyDescent="0.2">
      <c r="A230" s="60"/>
      <c r="B230" s="280"/>
      <c r="C230" s="60"/>
      <c r="D230" s="60"/>
      <c r="E230" s="240" t="s">
        <v>12231</v>
      </c>
      <c r="F230" s="244" t="s">
        <v>11636</v>
      </c>
      <c r="G230" s="244" t="s">
        <v>8082</v>
      </c>
      <c r="H230" s="253">
        <v>3</v>
      </c>
      <c r="I230" s="253">
        <v>1</v>
      </c>
      <c r="J230" s="253"/>
      <c r="K230" s="362"/>
      <c r="L230" s="362"/>
      <c r="M230" s="245"/>
      <c r="N230" s="265" t="b">
        <f>NOT(ISERROR(ResultsTeams[[#This Row],[Goal-A]]+ResultsTeams[[#This Row],[Goal-B]]))</f>
        <v>1</v>
      </c>
      <c r="O230" s="265">
        <f>IF(ResultsTeams[[#This Row],[Type]]="G",SUM(O231:O234),IF(LEFT(ResultsTeams[[#This Row],[Type]],1)="P",IF(ResultsTeams[[#This Row],[Goal-A]]&gt;ResultsTeams[[#This Row],[Goal-B]],1,0),""))</f>
        <v>1</v>
      </c>
      <c r="P230" s="265">
        <f>IF(ResultsTeams[[#This Row],[Type]]="G",SUM(P231:P234),IF(LEFT(ResultsTeams[[#This Row],[Type]],1)="P",IF(ResultsTeams[[#This Row],[Goal-A]]&lt;ResultsTeams[[#This Row],[Goal-B]],1,0),""))</f>
        <v>0</v>
      </c>
      <c r="Q230" s="265">
        <f>IF(ResultsTeams[[#This Row],[Type]]="G",SUM(Q231:Q234),IF(LEFT(ResultsTeams[[#This Row],[Type]],1)="P",VALUE(ResultsTeams[[#This Row],[Score-A]]),""))</f>
        <v>3</v>
      </c>
      <c r="R230" s="265">
        <f>IF(ResultsTeams[[#This Row],[Type]]="G",SUM(R231:R234),IF(LEFT(ResultsTeams[[#This Row],[Type]],1)="P",VALUE(ResultsTeams[[#This Row],[Score-B]]),""))</f>
        <v>1</v>
      </c>
      <c r="S230" s="265" t="str">
        <f ca="1">IF(AND(ResultsTeams[[#This Row],[Category]]&lt;&gt;"",ResultsTeams[[#This Row],[Team A]]&lt;&gt;""),COUNTIF(INDIRECT("TeamsList[Club Name]"),ResultsTeams[[#This Row],[Team A]]),"")</f>
        <v/>
      </c>
      <c r="T230" s="265" t="str">
        <f ca="1">IF(AND(ResultsTeams[[#This Row],[Category]]&lt;&gt;"",ResultsTeams[[#This Row],[Team B]]&lt;&gt;""),COUNTIF(INDIRECT("TeamsList[Club Name]"),ResultsTeams[[#This Row],[Team B]]),"")</f>
        <v/>
      </c>
      <c r="U2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-Max Pereira</v>
      </c>
      <c r="V230" s="265" t="str">
        <f>IF(ResultsTeams[[#This Row],[Score_OK]],IF(ResultsTeams[[#This Row],[StageCpy]]="Groups",ResultsTeams[[#This Row],[Category]]&amp;"-"&amp;IF(ResultsTeams[[#This Row],[Team B]]="","",IF(ResultsTeams[[#This Row],[Match-A]]=ResultsTeams[[#This Row],[Match-B]],ResultsTeams[[#This Row],[Team A]],"")),""),"")</f>
        <v>-</v>
      </c>
      <c r="W230" s="265" t="str">
        <f>IF(ResultsTeams[[#This Row],[Score_OK]],IF(ResultsTeams[[#This Row],[StageCpy]]="Groups",ResultsTeams[[#This Row],[Category]]&amp;"-"&amp;IF(ResultsTeams[[#This Row],[Team B]]="","",IF(ResultsTeams[[#This Row],[Match-A]]=ResultsTeams[[#This Row],[Match-B]],ResultsTeams[[#This Row],[Team B]],"")),""),"")</f>
        <v>-</v>
      </c>
      <c r="X2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-Pierre De Leeuw</v>
      </c>
      <c r="Y2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0" s="264" t="str">
        <f>IF(ResultsTeams[[#This Row],[Category]]="","",VLOOKUP(ResultsTeams[[#This Row],[Stage]],$R$1:$T$8,MATCH(ResultsTeams[[#This Row],[Category]],$S$1:$T$1,0)+1,FALSE))</f>
        <v/>
      </c>
      <c r="AC2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0" s="264" t="str">
        <f>IF(ResultsTeams[[#This Row],[Type]]="G",ResultsTeams[[#This Row],[Stage]],AD229)</f>
        <v>Groups</v>
      </c>
      <c r="AE230" s="395" t="str">
        <f>IF(ResultsTeams[[#This Row],[Type]]="G",INDEX(TeamsList[Club Name],MATCH(ResultsTeams[[#This Row],[Team A]],TeamsList[Team Name],0)),AE229)</f>
        <v>Kent Invicta TFC</v>
      </c>
      <c r="AF230" s="395" t="str">
        <f>IF(ResultsTeams[[#This Row],[Type]]="G",INDEX(TeamsList[Club Name],MATCH(ResultsTeams[[#This Row],[Team B]],TeamsList[Team Name],0)),AF229)</f>
        <v>SC Charleroi</v>
      </c>
      <c r="AG230" s="265"/>
      <c r="AI230" s="12">
        <f t="shared" si="193"/>
        <v>0</v>
      </c>
      <c r="AJ230" s="309"/>
      <c r="AK230" s="310"/>
      <c r="AL230" s="311"/>
      <c r="AM230" s="292" t="str">
        <f>IF(AV230="","",SMALL(AN225:AN231,ROWS(AM225:AM230)))</f>
        <v/>
      </c>
      <c r="AN230" s="293" t="str">
        <f>IF(AV230="","",RANK(AR230,AR225:AR231)*1000+ROWS(AN225:AN230))</f>
        <v/>
      </c>
      <c r="AO230" s="316" t="str">
        <f t="shared" si="186"/>
        <v/>
      </c>
      <c r="AP230" s="415" t="b">
        <f>AND(AU230&lt;&gt;"",AU230&gt;0,COUNTIF(AO225:AO231,AO230)&gt;1)</f>
        <v>0</v>
      </c>
      <c r="AQ230" s="316" t="str">
        <f t="shared" si="187"/>
        <v/>
      </c>
      <c r="AR230" s="317" t="str">
        <f t="shared" si="188"/>
        <v/>
      </c>
      <c r="AS230" s="415" t="b">
        <f>AND(AU230&lt;&gt;"",AU230&gt;0,COUNTIF(AR225:AR231,AR230)&gt;1)</f>
        <v>0</v>
      </c>
      <c r="AT230" s="355" t="str">
        <f t="shared" si="189"/>
        <v/>
      </c>
      <c r="AU230" s="356" t="str">
        <f t="shared" si="190"/>
        <v/>
      </c>
      <c r="AV230" s="356" t="str">
        <f>IF(OR(AI224="",AJ230=""),"",COUNTIF(ResultsTeams[Win],AI224&amp;"-"&amp;AJ230))</f>
        <v/>
      </c>
      <c r="AW230" s="356" t="str">
        <f>IF(OR(AI224="",AJ230=""),"",COUNTIF(ResultsTeams[[Draw1]:[Draw2]],AI224&amp;"-"&amp;AJ230))</f>
        <v/>
      </c>
      <c r="AX230" s="356" t="str">
        <f>IF(OR(AI224="",AJ230=""),"",COUNTIF(ResultsTeams[Lose],AI224&amp;"-"&amp;AJ230))</f>
        <v/>
      </c>
      <c r="AY230" s="356" t="str">
        <f>IF(OR(AI224="",AJ230=""),"",AV230-AX230)</f>
        <v/>
      </c>
      <c r="AZ230" s="356" t="str">
        <f>IF(OR(AI229="",AJ230=""),"",SUMIFS(ResultsTeams[Match-A],ResultsTeams[Stage],"Groups",ResultsTeams[Team A],AJ230)+SUMIFS(ResultsTeams[Match-B],ResultsTeams[Stage],"Groups",ResultsTeams[Team B],AJ230))</f>
        <v/>
      </c>
      <c r="BA230" s="356" t="str">
        <f>IF(OR(AI229="",AJ230=""),"",SUMIFS(ResultsTeams[Match-B],ResultsTeams[Stage],"Groups",ResultsTeams[Team A],AJ230)+SUMIFS(ResultsTeams[Match-A],ResultsTeams[Stage],"Groups",ResultsTeams[Team B],AJ230))</f>
        <v/>
      </c>
      <c r="BB230" s="356" t="str">
        <f t="shared" si="192"/>
        <v/>
      </c>
      <c r="BC230" s="356" t="str">
        <f>IF(OR(AI229="",AJ230=""),"",SUMIFS(ResultsTeams[Goal-A],ResultsTeams[Stage],"Groups",ResultsTeams[Team A],AJ230)+SUMIFS(ResultsTeams[Goal-B],ResultsTeams[Stage],"Groups",ResultsTeams[Team B],AJ230))</f>
        <v/>
      </c>
      <c r="BD230" s="356" t="str">
        <f>IF(OR(AI229="",AJ230=""),"",SUMIFS(ResultsTeams[Goal-B],ResultsTeams[Stage],"Groups",ResultsTeams[Team A],AJ230)+SUMIFS(ResultsTeams[Goal-A],ResultsTeams[Stage],"Groups",ResultsTeams[Team B],AJ230))</f>
        <v/>
      </c>
      <c r="BE230" s="357" t="str">
        <f>IF(OR(AI224="",AJ230=""),"",BC230-BD230)</f>
        <v/>
      </c>
      <c r="BF230" s="470" t="str">
        <f>IF(AM230="","",OR(VLOOKUP(AM230,AN225:BE231,3,FALSE),VLOOKUP(AM230,AN225:BE231,6,FALSE)))</f>
        <v/>
      </c>
      <c r="BG230" s="298" t="str">
        <f t="shared" si="191"/>
        <v/>
      </c>
      <c r="BH230" s="285" t="str">
        <f>IF(AM230="","",INDEX(AJ225:AJ231,MATCH(AM230,AN225:AN231,0)))</f>
        <v/>
      </c>
      <c r="BI230" s="286" t="str">
        <f>IF(AM230="","",VLOOKUP(AM230,AN225:BE231,COLUMN()-COLUMN(BB224),FALSE))</f>
        <v/>
      </c>
      <c r="BJ230" s="286" t="str">
        <f>IF(AM230="","",VLOOKUP(AM230,AN225:BE231,COLUMN()-COLUMN(BB224),FALSE))</f>
        <v/>
      </c>
      <c r="BK230" s="286" t="str">
        <f>IF(AM230="","",VLOOKUP(AM230,AN225:BE231,COLUMN()-COLUMN(BB224),FALSE))</f>
        <v/>
      </c>
      <c r="BL230" s="286" t="str">
        <f>IF(AM230="","",VLOOKUP(AM230,AN225:BE231,COLUMN()-COLUMN(BB224),FALSE))</f>
        <v/>
      </c>
      <c r="BM230" s="286" t="str">
        <f>IF(AM230="","",VLOOKUP(AM230,AN225:BE231,COLUMN()-COLUMN(BB224),FALSE))</f>
        <v/>
      </c>
      <c r="BN230" s="349" t="str">
        <f>IF(AM230="","",VLOOKUP(AM230,AN225:BE231,COLUMN()-COLUMN(BB224),FALSE))</f>
        <v/>
      </c>
      <c r="BO230" s="298" t="str">
        <f>IF(AM230="","",VLOOKUP(AM230,AN225:BE231,COLUMN()-COLUMN(BB224),FALSE))</f>
        <v/>
      </c>
      <c r="BP230" s="286" t="str">
        <f>IF(AM230="","",VLOOKUP(AM230,AN225:BE231,COLUMN()-COLUMN(BB224),FALSE))</f>
        <v/>
      </c>
      <c r="BQ230" s="301" t="str">
        <f>IF(AM230="","",VLOOKUP(AM230,AN225:BE231,COLUMN()-COLUMN(BB224),FALSE))</f>
        <v/>
      </c>
      <c r="BR230" s="352" t="str">
        <f>IF(AM230="","",VLOOKUP(AM230,AN225:BE231,COLUMN()-COLUMN(BB224),FALSE))</f>
        <v/>
      </c>
      <c r="BS230" s="286" t="str">
        <f>IF(AM230="","",VLOOKUP(AM230,AN225:BE231,COLUMN()-COLUMN(BB224),FALSE))</f>
        <v/>
      </c>
      <c r="BT230" s="301" t="str">
        <f>IF(AM230="","",VLOOKUP(AM230,AN225:BE231,COLUMN()-COLUMN(BB224),FALSE))</f>
        <v/>
      </c>
    </row>
    <row r="231" spans="1:72" ht="12" thickBot="1" x14ac:dyDescent="0.25">
      <c r="A231" s="62"/>
      <c r="B231" s="280"/>
      <c r="C231" s="62"/>
      <c r="D231" s="62"/>
      <c r="E231" s="241" t="s">
        <v>12234</v>
      </c>
      <c r="F231" s="246" t="s">
        <v>8513</v>
      </c>
      <c r="G231" s="246" t="s">
        <v>8199</v>
      </c>
      <c r="H231" s="254">
        <v>0</v>
      </c>
      <c r="I231" s="254">
        <v>7</v>
      </c>
      <c r="J231" s="254"/>
      <c r="K231" s="363"/>
      <c r="L231" s="363"/>
      <c r="M231" s="247"/>
      <c r="N231" s="265" t="b">
        <f>NOT(ISERROR(ResultsTeams[[#This Row],[Goal-A]]+ResultsTeams[[#This Row],[Goal-B]]))</f>
        <v>1</v>
      </c>
      <c r="O231" s="265">
        <f>IF(ResultsTeams[[#This Row],[Type]]="G",SUM(O232:O235),IF(LEFT(ResultsTeams[[#This Row],[Type]],1)="P",IF(ResultsTeams[[#This Row],[Goal-A]]&gt;ResultsTeams[[#This Row],[Goal-B]],1,0),""))</f>
        <v>0</v>
      </c>
      <c r="P231" s="265">
        <f>IF(ResultsTeams[[#This Row],[Type]]="G",SUM(P232:P235),IF(LEFT(ResultsTeams[[#This Row],[Type]],1)="P",IF(ResultsTeams[[#This Row],[Goal-A]]&lt;ResultsTeams[[#This Row],[Goal-B]],1,0),""))</f>
        <v>1</v>
      </c>
      <c r="Q231" s="265">
        <f>IF(ResultsTeams[[#This Row],[Type]]="G",SUM(Q232:Q235),IF(LEFT(ResultsTeams[[#This Row],[Type]],1)="P",VALUE(ResultsTeams[[#This Row],[Score-A]]),""))</f>
        <v>0</v>
      </c>
      <c r="R231" s="265">
        <f>IF(ResultsTeams[[#This Row],[Type]]="G",SUM(R232:R235),IF(LEFT(ResultsTeams[[#This Row],[Type]],1)="P",VALUE(ResultsTeams[[#This Row],[Score-B]]),""))</f>
        <v>7</v>
      </c>
      <c r="S231" s="265" t="str">
        <f ca="1">IF(AND(ResultsTeams[[#This Row],[Category]]&lt;&gt;"",ResultsTeams[[#This Row],[Team A]]&lt;&gt;""),COUNTIF(INDIRECT("TeamsList[Club Name]"),ResultsTeams[[#This Row],[Team A]]),"")</f>
        <v/>
      </c>
      <c r="T231" s="265" t="str">
        <f ca="1">IF(AND(ResultsTeams[[#This Row],[Category]]&lt;&gt;"",ResultsTeams[[#This Row],[Team B]]&lt;&gt;""),COUNTIF(INDIRECT("TeamsList[Club Name]"),ResultsTeams[[#This Row],[Team B]]),"")</f>
        <v/>
      </c>
      <c r="U2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-Fabio Casciano</v>
      </c>
      <c r="V231" s="265" t="str">
        <f>IF(ResultsTeams[[#This Row],[Score_OK]],IF(ResultsTeams[[#This Row],[StageCpy]]="Groups",ResultsTeams[[#This Row],[Category]]&amp;"-"&amp;IF(ResultsTeams[[#This Row],[Team B]]="","",IF(ResultsTeams[[#This Row],[Match-A]]=ResultsTeams[[#This Row],[Match-B]],ResultsTeams[[#This Row],[Team A]],"")),""),"")</f>
        <v>-</v>
      </c>
      <c r="W231" s="265" t="str">
        <f>IF(ResultsTeams[[#This Row],[Score_OK]],IF(ResultsTeams[[#This Row],[StageCpy]]="Groups",ResultsTeams[[#This Row],[Category]]&amp;"-"&amp;IF(ResultsTeams[[#This Row],[Team B]]="","",IF(ResultsTeams[[#This Row],[Match-A]]=ResultsTeams[[#This Row],[Match-B]],ResultsTeams[[#This Row],[Team B]],"")),""),"")</f>
        <v>-</v>
      </c>
      <c r="X2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-Kye Arnold</v>
      </c>
      <c r="Y2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1" s="264" t="str">
        <f>IF(ResultsTeams[[#This Row],[Category]]="","",VLOOKUP(ResultsTeams[[#This Row],[Stage]],$R$1:$T$8,MATCH(ResultsTeams[[#This Row],[Category]],$S$1:$T$1,0)+1,FALSE))</f>
        <v/>
      </c>
      <c r="AC2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1" s="264" t="str">
        <f>IF(ResultsTeams[[#This Row],[Type]]="G",ResultsTeams[[#This Row],[Stage]],AD230)</f>
        <v>Groups</v>
      </c>
      <c r="AE231" s="395" t="str">
        <f>IF(ResultsTeams[[#This Row],[Type]]="G",INDEX(TeamsList[Club Name],MATCH(ResultsTeams[[#This Row],[Team A]],TeamsList[Team Name],0)),AE230)</f>
        <v>Kent Invicta TFC</v>
      </c>
      <c r="AF231" s="395" t="str">
        <f>IF(ResultsTeams[[#This Row],[Type]]="G",INDEX(TeamsList[Club Name],MATCH(ResultsTeams[[#This Row],[Team B]],TeamsList[Team Name],0)),AF230)</f>
        <v>SC Charleroi</v>
      </c>
      <c r="AG231" s="265"/>
      <c r="AI231" s="12">
        <f t="shared" si="193"/>
        <v>0</v>
      </c>
      <c r="AJ231" s="312"/>
      <c r="AK231" s="313"/>
      <c r="AL231" s="314"/>
      <c r="AM231" s="294" t="str">
        <f>IF(AV231="","",SMALL(AN225:AN231,ROWS(AM225:AM231)))</f>
        <v/>
      </c>
      <c r="AN231" s="295" t="str">
        <f>IF(AV231="","",RANK(AR231,AR225:AR231)*1000+ROWS(AN225:AN231))</f>
        <v/>
      </c>
      <c r="AO231" s="318" t="str">
        <f t="shared" si="186"/>
        <v/>
      </c>
      <c r="AP231" s="416" t="b">
        <f>AND(AU231&lt;&gt;"",AU231&gt;0,COUNTIF(AO225:AO231,AO231)&gt;1)</f>
        <v>0</v>
      </c>
      <c r="AQ231" s="318" t="str">
        <f t="shared" si="187"/>
        <v/>
      </c>
      <c r="AR231" s="319" t="str">
        <f t="shared" si="188"/>
        <v/>
      </c>
      <c r="AS231" s="416" t="b">
        <f>AND(AU231&lt;&gt;"",AU231&gt;0,COUNTIF(AR225:AR231,AR231)&gt;1)</f>
        <v>0</v>
      </c>
      <c r="AT231" s="358" t="str">
        <f t="shared" si="189"/>
        <v/>
      </c>
      <c r="AU231" s="359" t="str">
        <f t="shared" si="190"/>
        <v/>
      </c>
      <c r="AV231" s="359" t="str">
        <f>IF(OR(AI224="",AJ231=""),"",COUNTIF(ResultsTeams[Win],AI224&amp;"-"&amp;AJ231))</f>
        <v/>
      </c>
      <c r="AW231" s="359" t="str">
        <f>IF(OR(AI224="",AJ231=""),"",COUNTIF(ResultsTeams[[Draw1]:[Draw2]],AI224&amp;"-"&amp;AJ231))</f>
        <v/>
      </c>
      <c r="AX231" s="359" t="str">
        <f>IF(OR(AI224="",AJ231=""),"",COUNTIF(ResultsTeams[Lose],AI224&amp;"-"&amp;AJ231))</f>
        <v/>
      </c>
      <c r="AY231" s="359" t="str">
        <f>IF(OR(AI224="",AJ231=""),"",AV231-AX231)</f>
        <v/>
      </c>
      <c r="AZ231" s="359" t="str">
        <f>IF(OR(AI230="",AJ231=""),"",SUMIFS(ResultsTeams[Match-A],ResultsTeams[Stage],"Groups",ResultsTeams[Team A],AJ231)+SUMIFS(ResultsTeams[Match-B],ResultsTeams[Stage],"Groups",ResultsTeams[Team B],AJ231))</f>
        <v/>
      </c>
      <c r="BA231" s="359" t="str">
        <f>IF(OR(AI230="",AJ231=""),"",SUMIFS(ResultsTeams[Match-B],ResultsTeams[Stage],"Groups",ResultsTeams[Team A],AJ231)+SUMIFS(ResultsTeams[Match-A],ResultsTeams[Stage],"Groups",ResultsTeams[Team B],AJ231))</f>
        <v/>
      </c>
      <c r="BB231" s="359" t="str">
        <f t="shared" si="192"/>
        <v/>
      </c>
      <c r="BC231" s="359" t="str">
        <f>IF(OR(AI230="",AJ231=""),"",SUMIFS(ResultsTeams[Goal-A],ResultsTeams[Stage],"Groups",ResultsTeams[Team A],AJ231)+SUMIFS(ResultsTeams[Goal-B],ResultsTeams[Stage],"Groups",ResultsTeams[Team B],AJ231))</f>
        <v/>
      </c>
      <c r="BD231" s="359" t="str">
        <f>IF(OR(AI230="",AJ231=""),"",SUMIFS(ResultsTeams[Goal-B],ResultsTeams[Stage],"Groups",ResultsTeams[Team A],AJ231)+SUMIFS(ResultsTeams[Goal-A],ResultsTeams[Stage],"Groups",ResultsTeams[Team B],AJ231))</f>
        <v/>
      </c>
      <c r="BE231" s="360" t="str">
        <f>IF(OR(AI224="",AJ231=""),"",BC231-BD231)</f>
        <v/>
      </c>
      <c r="BF231" s="470" t="str">
        <f>IF(AM231="","",OR(VLOOKUP(AM231,AN225:BE231,3,FALSE),VLOOKUP(AM231,AN225:BE231,6,FALSE)))</f>
        <v/>
      </c>
      <c r="BG231" s="299" t="str">
        <f t="shared" si="191"/>
        <v/>
      </c>
      <c r="BH231" s="287" t="str">
        <f>IF(AM231="","",INDEX(AJ225:AJ231,MATCH(AM231,AN225:AN231,0)))</f>
        <v/>
      </c>
      <c r="BI231" s="288" t="str">
        <f>IF(AM231="","",VLOOKUP(AM231,AN225:BE231,COLUMN()-COLUMN(BB224),FALSE))</f>
        <v/>
      </c>
      <c r="BJ231" s="288" t="str">
        <f>IF(AM231="","",VLOOKUP(AM231,AN225:BE231,COLUMN()-COLUMN(BB224),FALSE))</f>
        <v/>
      </c>
      <c r="BK231" s="288" t="str">
        <f>IF(AM231="","",VLOOKUP(AM231,AN225:BE231,COLUMN()-COLUMN(BB224),FALSE))</f>
        <v/>
      </c>
      <c r="BL231" s="288" t="str">
        <f>IF(AM231="","",VLOOKUP(AM231,AN225:BE231,COLUMN()-COLUMN(BB224),FALSE))</f>
        <v/>
      </c>
      <c r="BM231" s="288" t="str">
        <f>IF(AM231="","",VLOOKUP(AM231,AN225:BE231,COLUMN()-COLUMN(BB224),FALSE))</f>
        <v/>
      </c>
      <c r="BN231" s="350" t="str">
        <f>IF(AM231="","",VLOOKUP(AM231,AN225:BE231,COLUMN()-COLUMN(BB224),FALSE))</f>
        <v/>
      </c>
      <c r="BO231" s="299" t="str">
        <f>IF(AM231="","",VLOOKUP(AM231,AN225:BE231,COLUMN()-COLUMN(BB224),FALSE))</f>
        <v/>
      </c>
      <c r="BP231" s="288" t="str">
        <f>IF(AM231="","",VLOOKUP(AM231,AN225:BE231,COLUMN()-COLUMN(BB224),FALSE))</f>
        <v/>
      </c>
      <c r="BQ231" s="302" t="str">
        <f>IF(AM231="","",VLOOKUP(AM231,AN225:BE231,COLUMN()-COLUMN(BB224),FALSE))</f>
        <v/>
      </c>
      <c r="BR231" s="353" t="str">
        <f>IF(AM231="","",VLOOKUP(AM231,AN225:BE231,COLUMN()-COLUMN(BB224),FALSE))</f>
        <v/>
      </c>
      <c r="BS231" s="288" t="str">
        <f>IF(AM231="","",VLOOKUP(AM231,AN225:BE231,COLUMN()-COLUMN(BB224),FALSE))</f>
        <v/>
      </c>
      <c r="BT231" s="302" t="str">
        <f>IF(AM231="","",VLOOKUP(AM231,AN225:BE231,COLUMN()-COLUMN(BB224),FALSE))</f>
        <v/>
      </c>
    </row>
    <row r="232" spans="1:72" ht="12" thickBot="1" x14ac:dyDescent="0.25">
      <c r="A232" s="62"/>
      <c r="B232" s="280"/>
      <c r="C232" s="62"/>
      <c r="D232" s="62"/>
      <c r="E232" s="241" t="s">
        <v>12237</v>
      </c>
      <c r="F232" s="246" t="s">
        <v>8107</v>
      </c>
      <c r="G232" s="246" t="s">
        <v>8094</v>
      </c>
      <c r="H232" s="254">
        <v>0</v>
      </c>
      <c r="I232" s="254">
        <v>3</v>
      </c>
      <c r="J232" s="254"/>
      <c r="K232" s="363"/>
      <c r="L232" s="363"/>
      <c r="M232" s="247"/>
      <c r="N232" s="265" t="b">
        <f>NOT(ISERROR(ResultsTeams[[#This Row],[Goal-A]]+ResultsTeams[[#This Row],[Goal-B]]))</f>
        <v>1</v>
      </c>
      <c r="O232" s="265">
        <f>IF(ResultsTeams[[#This Row],[Type]]="G",SUM(O233:O236),IF(LEFT(ResultsTeams[[#This Row],[Type]],1)="P",IF(ResultsTeams[[#This Row],[Goal-A]]&gt;ResultsTeams[[#This Row],[Goal-B]],1,0),""))</f>
        <v>0</v>
      </c>
      <c r="P232" s="265">
        <f>IF(ResultsTeams[[#This Row],[Type]]="G",SUM(P233:P236),IF(LEFT(ResultsTeams[[#This Row],[Type]],1)="P",IF(ResultsTeams[[#This Row],[Goal-A]]&lt;ResultsTeams[[#This Row],[Goal-B]],1,0),""))</f>
        <v>1</v>
      </c>
      <c r="Q232" s="265">
        <f>IF(ResultsTeams[[#This Row],[Type]]="G",SUM(Q233:Q236),IF(LEFT(ResultsTeams[[#This Row],[Type]],1)="P",VALUE(ResultsTeams[[#This Row],[Score-A]]),""))</f>
        <v>0</v>
      </c>
      <c r="R232" s="265">
        <f>IF(ResultsTeams[[#This Row],[Type]]="G",SUM(R233:R236),IF(LEFT(ResultsTeams[[#This Row],[Type]],1)="P",VALUE(ResultsTeams[[#This Row],[Score-B]]),""))</f>
        <v>3</v>
      </c>
      <c r="S232" s="265" t="str">
        <f ca="1">IF(AND(ResultsTeams[[#This Row],[Category]]&lt;&gt;"",ResultsTeams[[#This Row],[Team A]]&lt;&gt;""),COUNTIF(INDIRECT("TeamsList[Club Name]"),ResultsTeams[[#This Row],[Team A]]),"")</f>
        <v/>
      </c>
      <c r="T232" s="265" t="str">
        <f ca="1">IF(AND(ResultsTeams[[#This Row],[Category]]&lt;&gt;"",ResultsTeams[[#This Row],[Team B]]&lt;&gt;""),COUNTIF(INDIRECT("TeamsList[Club Name]"),ResultsTeams[[#This Row],[Team B]]),"")</f>
        <v/>
      </c>
      <c r="U2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Fraikin</v>
      </c>
      <c r="V232" s="265" t="str">
        <f>IF(ResultsTeams[[#This Row],[Score_OK]],IF(ResultsTeams[[#This Row],[StageCpy]]="Groups",ResultsTeams[[#This Row],[Category]]&amp;"-"&amp;IF(ResultsTeams[[#This Row],[Team B]]="","",IF(ResultsTeams[[#This Row],[Match-A]]=ResultsTeams[[#This Row],[Match-B]],ResultsTeams[[#This Row],[Team A]],"")),""),"")</f>
        <v>-</v>
      </c>
      <c r="W232" s="265" t="str">
        <f>IF(ResultsTeams[[#This Row],[Score_OK]],IF(ResultsTeams[[#This Row],[StageCpy]]="Groups",ResultsTeams[[#This Row],[Category]]&amp;"-"&amp;IF(ResultsTeams[[#This Row],[Team B]]="","",IF(ResultsTeams[[#This Row],[Match-A]]=ResultsTeams[[#This Row],[Match-B]],ResultsTeams[[#This Row],[Team B]],"")),""),"")</f>
        <v>-</v>
      </c>
      <c r="X2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-Stéphane Lambert</v>
      </c>
      <c r="Y2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2" s="264" t="str">
        <f>IF(ResultsTeams[[#This Row],[Category]]="","",VLOOKUP(ResultsTeams[[#This Row],[Stage]],$R$1:$T$8,MATCH(ResultsTeams[[#This Row],[Category]],$S$1:$T$1,0)+1,FALSE))</f>
        <v/>
      </c>
      <c r="AC2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2" s="264" t="str">
        <f>IF(ResultsTeams[[#This Row],[Type]]="G",ResultsTeams[[#This Row],[Stage]],AD231)</f>
        <v>Groups</v>
      </c>
      <c r="AE232" s="395" t="str">
        <f>IF(ResultsTeams[[#This Row],[Type]]="G",INDEX(TeamsList[Club Name],MATCH(ResultsTeams[[#This Row],[Team A]],TeamsList[Team Name],0)),AE231)</f>
        <v>Kent Invicta TFC</v>
      </c>
      <c r="AF232" s="395" t="str">
        <f>IF(ResultsTeams[[#This Row],[Type]]="G",INDEX(TeamsList[Club Name],MATCH(ResultsTeams[[#This Row],[Team B]],TeamsList[Team Name],0)),AF231)</f>
        <v>SC Charleroi</v>
      </c>
      <c r="AG232" s="265"/>
    </row>
    <row r="233" spans="1:72" ht="12" thickBot="1" x14ac:dyDescent="0.25">
      <c r="A233" s="62"/>
      <c r="B233" s="280"/>
      <c r="C233" s="62"/>
      <c r="D233" s="62"/>
      <c r="E233" s="241" t="s">
        <v>12240</v>
      </c>
      <c r="F233" s="246" t="s">
        <v>8546</v>
      </c>
      <c r="G233" s="246" t="s">
        <v>8078</v>
      </c>
      <c r="H233" s="254">
        <v>0</v>
      </c>
      <c r="I233" s="254">
        <v>6</v>
      </c>
      <c r="J233" s="254"/>
      <c r="K233" s="363"/>
      <c r="L233" s="363"/>
      <c r="M233" s="247"/>
      <c r="N233" s="265" t="b">
        <f>NOT(ISERROR(ResultsTeams[[#This Row],[Goal-A]]+ResultsTeams[[#This Row],[Goal-B]]))</f>
        <v>1</v>
      </c>
      <c r="O233" s="265">
        <f>IF(ResultsTeams[[#This Row],[Type]]="G",SUM(O234:O237),IF(LEFT(ResultsTeams[[#This Row],[Type]],1)="P",IF(ResultsTeams[[#This Row],[Goal-A]]&gt;ResultsTeams[[#This Row],[Goal-B]],1,0),""))</f>
        <v>0</v>
      </c>
      <c r="P233" s="265">
        <f>IF(ResultsTeams[[#This Row],[Type]]="G",SUM(P234:P237),IF(LEFT(ResultsTeams[[#This Row],[Type]],1)="P",IF(ResultsTeams[[#This Row],[Goal-A]]&lt;ResultsTeams[[#This Row],[Goal-B]],1,0),""))</f>
        <v>1</v>
      </c>
      <c r="Q233" s="265">
        <f>IF(ResultsTeams[[#This Row],[Type]]="G",SUM(Q234:Q237),IF(LEFT(ResultsTeams[[#This Row],[Type]],1)="P",VALUE(ResultsTeams[[#This Row],[Score-A]]),""))</f>
        <v>0</v>
      </c>
      <c r="R233" s="265">
        <f>IF(ResultsTeams[[#This Row],[Type]]="G",SUM(R234:R237),IF(LEFT(ResultsTeams[[#This Row],[Type]],1)="P",VALUE(ResultsTeams[[#This Row],[Score-B]]),""))</f>
        <v>6</v>
      </c>
      <c r="S233" s="265" t="str">
        <f ca="1">IF(AND(ResultsTeams[[#This Row],[Category]]&lt;&gt;"",ResultsTeams[[#This Row],[Team A]]&lt;&gt;""),COUNTIF(INDIRECT("TeamsList[Club Name]"),ResultsTeams[[#This Row],[Team A]]),"")</f>
        <v/>
      </c>
      <c r="T233" s="265" t="str">
        <f ca="1">IF(AND(ResultsTeams[[#This Row],[Category]]&lt;&gt;"",ResultsTeams[[#This Row],[Team B]]&lt;&gt;""),COUNTIF(INDIRECT("TeamsList[Club Name]"),ResultsTeams[[#This Row],[Team B]]),"")</f>
        <v/>
      </c>
      <c r="U2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Brach</v>
      </c>
      <c r="V233" s="265" t="str">
        <f>IF(ResultsTeams[[#This Row],[Score_OK]],IF(ResultsTeams[[#This Row],[StageCpy]]="Groups",ResultsTeams[[#This Row],[Category]]&amp;"-"&amp;IF(ResultsTeams[[#This Row],[Team B]]="","",IF(ResultsTeams[[#This Row],[Match-A]]=ResultsTeams[[#This Row],[Match-B]],ResultsTeams[[#This Row],[Team A]],"")),""),"")</f>
        <v>-</v>
      </c>
      <c r="W233" s="265" t="str">
        <f>IF(ResultsTeams[[#This Row],[Score_OK]],IF(ResultsTeams[[#This Row],[StageCpy]]="Groups",ResultsTeams[[#This Row],[Category]]&amp;"-"&amp;IF(ResultsTeams[[#This Row],[Team B]]="","",IF(ResultsTeams[[#This Row],[Match-A]]=ResultsTeams[[#This Row],[Match-B]],ResultsTeams[[#This Row],[Team B]],"")),""),"")</f>
        <v>-</v>
      </c>
      <c r="X2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-Malcolm Jamieson</v>
      </c>
      <c r="Y2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3" s="264" t="str">
        <f>IF(ResultsTeams[[#This Row],[Category]]="","",VLOOKUP(ResultsTeams[[#This Row],[Stage]],$R$1:$T$8,MATCH(ResultsTeams[[#This Row],[Category]],$S$1:$T$1,0)+1,FALSE))</f>
        <v/>
      </c>
      <c r="AC2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3" s="264" t="str">
        <f>IF(ResultsTeams[[#This Row],[Type]]="G",ResultsTeams[[#This Row],[Stage]],AD232)</f>
        <v>Groups</v>
      </c>
      <c r="AE233" s="395" t="str">
        <f>IF(ResultsTeams[[#This Row],[Type]]="G",INDEX(TeamsList[Club Name],MATCH(ResultsTeams[[#This Row],[Team A]],TeamsList[Team Name],0)),AE232)</f>
        <v>Kent Invicta TFC</v>
      </c>
      <c r="AF233" s="395" t="str">
        <f>IF(ResultsTeams[[#This Row],[Type]]="G",INDEX(TeamsList[Club Name],MATCH(ResultsTeams[[#This Row],[Team B]],TeamsList[Team Name],0)),AF232)</f>
        <v>SC Charleroi</v>
      </c>
      <c r="AG233" s="265"/>
      <c r="AH233" s="281" t="str">
        <f>IF(AI233="","",QUOTIENT(COUNTIF(AI$26:AI233,AI233)-1,8)+1)</f>
        <v/>
      </c>
      <c r="AI233" s="315"/>
      <c r="AJ233" s="289" t="s">
        <v>14438</v>
      </c>
      <c r="AK233" s="290" t="s">
        <v>12279</v>
      </c>
      <c r="AL233" s="300" t="s">
        <v>12275</v>
      </c>
      <c r="AM233" s="296" t="s">
        <v>12276</v>
      </c>
      <c r="AN233" s="291" t="s">
        <v>12271</v>
      </c>
      <c r="AO233" s="291" t="s">
        <v>12272</v>
      </c>
      <c r="AP233" s="414" t="s">
        <v>13154</v>
      </c>
      <c r="AQ233" s="291" t="s">
        <v>12273</v>
      </c>
      <c r="AR233" s="297" t="s">
        <v>12274</v>
      </c>
      <c r="AS233" s="414" t="s">
        <v>13154</v>
      </c>
      <c r="AT233" s="296" t="s">
        <v>12199</v>
      </c>
      <c r="AU233" s="291" t="s">
        <v>12200</v>
      </c>
      <c r="AV233" s="291" t="s">
        <v>12201</v>
      </c>
      <c r="AW233" s="291" t="s">
        <v>12202</v>
      </c>
      <c r="AX233" s="291" t="s">
        <v>12203</v>
      </c>
      <c r="AY233" s="291" t="s">
        <v>12697</v>
      </c>
      <c r="AZ233" s="291" t="s">
        <v>12698</v>
      </c>
      <c r="BA233" s="291" t="s">
        <v>12699</v>
      </c>
      <c r="BB233" s="291" t="s">
        <v>12700</v>
      </c>
      <c r="BC233" s="291" t="s">
        <v>12204</v>
      </c>
      <c r="BD233" s="291" t="s">
        <v>12205</v>
      </c>
      <c r="BE233" s="297" t="s">
        <v>12206</v>
      </c>
      <c r="BF233" s="395"/>
      <c r="BG233" s="282" t="s">
        <v>12276</v>
      </c>
      <c r="BH233" s="282" t="s">
        <v>12133</v>
      </c>
      <c r="BI233" s="283" t="s">
        <v>12199</v>
      </c>
      <c r="BJ233" s="283" t="s">
        <v>12200</v>
      </c>
      <c r="BK233" s="283" t="s">
        <v>12201</v>
      </c>
      <c r="BL233" s="283" t="s">
        <v>12202</v>
      </c>
      <c r="BM233" s="283" t="s">
        <v>12203</v>
      </c>
      <c r="BN233" s="290" t="s">
        <v>12697</v>
      </c>
      <c r="BO233" s="354" t="s">
        <v>12698</v>
      </c>
      <c r="BP233" s="283" t="s">
        <v>12699</v>
      </c>
      <c r="BQ233" s="300" t="s">
        <v>12700</v>
      </c>
      <c r="BR233" s="351" t="s">
        <v>12204</v>
      </c>
      <c r="BS233" s="283" t="s">
        <v>12205</v>
      </c>
      <c r="BT233" s="300" t="s">
        <v>12206</v>
      </c>
    </row>
    <row r="234" spans="1:72" x14ac:dyDescent="0.2">
      <c r="A234" s="62"/>
      <c r="B234" s="62"/>
      <c r="C234" s="62"/>
      <c r="D234" s="62"/>
      <c r="E234" s="241" t="s">
        <v>12243</v>
      </c>
      <c r="F234" s="247"/>
      <c r="G234" s="247"/>
      <c r="H234" s="254"/>
      <c r="I234" s="254"/>
      <c r="J234" s="260"/>
      <c r="K234" s="364"/>
      <c r="L234" s="364"/>
      <c r="M234" s="247"/>
      <c r="N234" s="265" t="b">
        <f>NOT(ISERROR(ResultsTeams[[#This Row],[Goal-A]]+ResultsTeams[[#This Row],[Goal-B]]))</f>
        <v>0</v>
      </c>
      <c r="O234" s="265" t="str">
        <f>IF(ResultsTeams[[#This Row],[Type]]="G",SUM(O235:O238),IF(LEFT(ResultsTeams[[#This Row],[Type]],1)="P",IF(ResultsTeams[[#This Row],[Goal-A]]&gt;ResultsTeams[[#This Row],[Goal-B]],1,0),""))</f>
        <v/>
      </c>
      <c r="P234" s="265" t="str">
        <f>IF(ResultsTeams[[#This Row],[Type]]="G",SUM(P235:P238),IF(LEFT(ResultsTeams[[#This Row],[Type]],1)="P",IF(ResultsTeams[[#This Row],[Goal-A]]&lt;ResultsTeams[[#This Row],[Goal-B]],1,0),""))</f>
        <v/>
      </c>
      <c r="Q234" s="265" t="str">
        <f>IF(ResultsTeams[[#This Row],[Type]]="G",SUM(Q235:Q238),IF(LEFT(ResultsTeams[[#This Row],[Type]],1)="P",VALUE(ResultsTeams[[#This Row],[Score-A]]),""))</f>
        <v/>
      </c>
      <c r="R234" s="265" t="str">
        <f>IF(ResultsTeams[[#This Row],[Type]]="G",SUM(R235:R238),IF(LEFT(ResultsTeams[[#This Row],[Type]],1)="P",VALUE(ResultsTeams[[#This Row],[Score-B]]),""))</f>
        <v/>
      </c>
      <c r="S234" s="265" t="str">
        <f ca="1">IF(AND(ResultsTeams[[#This Row],[Category]]&lt;&gt;"",ResultsTeams[[#This Row],[Team A]]&lt;&gt;""),COUNTIF(INDIRECT("TeamsList[Club Name]"),ResultsTeams[[#This Row],[Team A]]),"")</f>
        <v/>
      </c>
      <c r="T234" s="265" t="str">
        <f ca="1">IF(AND(ResultsTeams[[#This Row],[Category]]&lt;&gt;"",ResultsTeams[[#This Row],[Team B]]&lt;&gt;""),COUNTIF(INDIRECT("TeamsList[Club Name]"),ResultsTeams[[#This Row],[Team B]]),"")</f>
        <v/>
      </c>
      <c r="U2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4" s="265" t="str">
        <f>IF(ResultsTeams[[#This Row],[Score_OK]],IF(ResultsTeams[[#This Row],[StageCpy]]="Groups",ResultsTeams[[#This Row],[Category]]&amp;"-"&amp;IF(ResultsTeams[[#This Row],[Team B]]="","",IF(ResultsTeams[[#This Row],[Match-A]]=ResultsTeams[[#This Row],[Match-B]],ResultsTeams[[#This Row],[Team A]],"")),""),"")</f>
        <v/>
      </c>
      <c r="W234" s="265" t="str">
        <f>IF(ResultsTeams[[#This Row],[Score_OK]],IF(ResultsTeams[[#This Row],[StageCpy]]="Groups",ResultsTeams[[#This Row],[Category]]&amp;"-"&amp;IF(ResultsTeams[[#This Row],[Team B]]="","",IF(ResultsTeams[[#This Row],[Match-A]]=ResultsTeams[[#This Row],[Match-B]],ResultsTeams[[#This Row],[Team B]],"")),""),"")</f>
        <v/>
      </c>
      <c r="X2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4" s="264" t="str">
        <f>IF(ResultsTeams[[#This Row],[Category]]="","",VLOOKUP(ResultsTeams[[#This Row],[Stage]],$R$1:$T$8,MATCH(ResultsTeams[[#This Row],[Category]],$S$1:$T$1,0)+1,FALSE))</f>
        <v/>
      </c>
      <c r="AC2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4" s="264" t="str">
        <f>IF(ResultsTeams[[#This Row],[Type]]="G",ResultsTeams[[#This Row],[Stage]],AD233)</f>
        <v>Groups</v>
      </c>
      <c r="AE234" s="395" t="str">
        <f>IF(ResultsTeams[[#This Row],[Type]]="G",INDEX(TeamsList[Club Name],MATCH(ResultsTeams[[#This Row],[Team A]],TeamsList[Team Name],0)),AE233)</f>
        <v>Kent Invicta TFC</v>
      </c>
      <c r="AF234" s="395" t="str">
        <f>IF(ResultsTeams[[#This Row],[Type]]="G",INDEX(TeamsList[Club Name],MATCH(ResultsTeams[[#This Row],[Team B]],TeamsList[Team Name],0)),AF233)</f>
        <v>SC Charleroi</v>
      </c>
      <c r="AG234" s="265"/>
      <c r="AI234" s="12">
        <f>AI233</f>
        <v>0</v>
      </c>
      <c r="AJ234" s="309"/>
      <c r="AK234" s="320"/>
      <c r="AL234" s="311"/>
      <c r="AM234" s="292" t="str">
        <f>IF(AV234="","",SMALL(AN234:AN240,ROWS(AM234:AM234)))</f>
        <v/>
      </c>
      <c r="AN234" s="293" t="str">
        <f>IF(AV234="","",RANK(AR234,AR234:AR240)*1000+ROWS(AN234:AN234))</f>
        <v/>
      </c>
      <c r="AO234" s="316" t="str">
        <f t="shared" ref="AO234:AO240" si="194">IF(AV234="","",AT234*CritClassEq1_Points+AY234*CritClassEq1_DiffRencontres+BB234*CritClassEq1_DiffMatches+BE234*CritClassEq1_DiffButs+AZ234*CritClassEq1_Matches+BC234*CritClassEq1_Attaque)</f>
        <v/>
      </c>
      <c r="AP234" s="415" t="b">
        <f>AND(AU234&lt;&gt;"",AU234&gt;0,COUNTIF(AO234:AO240,AO234)&gt;1)</f>
        <v>0</v>
      </c>
      <c r="AQ234" s="316" t="str">
        <f t="shared" ref="AQ234:AQ240" si="195">IF(AV234="","",CritClassEq_DiffPart*AK234)</f>
        <v/>
      </c>
      <c r="AR234" s="317" t="str">
        <f t="shared" ref="AR234:AR240" si="196">IF(AV234="","",AO234+AQ234+AT234*CritClassEq2_Points+AY234*CritClassEq2_DiffRencontres+BB234*CritClassEq2_DiffMatches+BE234*CritClassEq2_DiffButs+AZ234*CritClassEq2_Matches+BC234*CritClassEq2_Attaque+AL234)</f>
        <v/>
      </c>
      <c r="AS234" s="415" t="b">
        <f>AND(AU234&lt;&gt;"",AU234&gt;0,COUNTIF(AR234:AR240,AR234)&gt;1)</f>
        <v>0</v>
      </c>
      <c r="AT234" s="355" t="str">
        <f t="shared" ref="AT234:AT240" si="197">IF(AV234="","",(AV234*Points_Victoire)+AW234*Points_Null)</f>
        <v/>
      </c>
      <c r="AU234" s="356" t="str">
        <f t="shared" ref="AU234:AU240" si="198">IF(AV234="","",SUM(AV234:AX234))</f>
        <v/>
      </c>
      <c r="AV234" s="356" t="str">
        <f>IF(OR(AI233="",AJ234=""),"",COUNTIF(ResultsTeams[Win],AI233&amp;"-"&amp;AJ234))</f>
        <v/>
      </c>
      <c r="AW234" s="356" t="str">
        <f>IF(OR(AI233="",AJ234=""),"",COUNTIF(ResultsTeams[[Draw1]:[Draw2]],AI233&amp;"-"&amp;AJ234))</f>
        <v/>
      </c>
      <c r="AX234" s="356" t="str">
        <f>IF(OR(AI233="",AJ234=""),"",COUNTIF(ResultsTeams[Lose],AI233&amp;"-"&amp;AJ234))</f>
        <v/>
      </c>
      <c r="AY234" s="356" t="str">
        <f>IF(OR(AI233="",AJ234=""),"",AV234-AX234)</f>
        <v/>
      </c>
      <c r="AZ234" s="356" t="str">
        <f>IF(OR(AI233="",AJ234=""),"",SUMIFS(ResultsTeams[Match-A],ResultsTeams[Stage],"Groups",ResultsTeams[Team A],AJ234)+SUMIFS(ResultsTeams[Match-B],ResultsTeams[Stage],"Groups",ResultsTeams[Team B],AJ234))</f>
        <v/>
      </c>
      <c r="BA234" s="356" t="str">
        <f>IF(OR(AI233="",AJ234=""),"",SUMIFS(ResultsTeams[Match-B],ResultsTeams[Stage],"Groups",ResultsTeams[Team A],AJ234)+SUMIFS(ResultsTeams[Match-A],ResultsTeams[Stage],"Groups",ResultsTeams[Team B],AJ234))</f>
        <v/>
      </c>
      <c r="BB234" s="356" t="str">
        <f>IF(OR(AI233="",AJ234=""),"",AZ234-BA234)</f>
        <v/>
      </c>
      <c r="BC234" s="356" t="str">
        <f>IF(OR(AI233="",AJ234=""),"",SUMIFS(ResultsTeams[Goal-A],ResultsTeams[Stage],"Groups",ResultsTeams[Team A],AJ234)+SUMIFS(ResultsTeams[Goal-B],ResultsTeams[Stage],"Groups",ResultsTeams[Team B],AJ234))</f>
        <v/>
      </c>
      <c r="BD234" s="356" t="str">
        <f>IF(OR(AI233="",AJ234=""),"",SUMIFS(ResultsTeams[Goal-B],ResultsTeams[Stage],"Groups",ResultsTeams[Team A],AJ234)+SUMIFS(ResultsTeams[Goal-A],ResultsTeams[Stage],"Groups",ResultsTeams[Team B],AJ234))</f>
        <v/>
      </c>
      <c r="BE234" s="357" t="str">
        <f>IF(OR(AI233="",AJ234=""),"",BC234-BD234)</f>
        <v/>
      </c>
      <c r="BF234" s="470" t="str">
        <f>IF(AM234="","",OR(VLOOKUP(AM234,AN234:BE240,3,FALSE),VLOOKUP(AM234,AN234:BE240,6,FALSE)))</f>
        <v/>
      </c>
      <c r="BG234" s="298" t="str">
        <f t="shared" ref="BG234:BG240" si="199">IF(AM234="","",INT(AM234/1000))</f>
        <v/>
      </c>
      <c r="BH234" s="285" t="str">
        <f>IF(AM234="","",INDEX(AJ234:AJ240,MATCH(AM234,AN234:AN240,0)))</f>
        <v/>
      </c>
      <c r="BI234" s="286" t="str">
        <f>IF(AM234="","",VLOOKUP(AM234,AN234:BE240,COLUMN()-COLUMN(BB233),FALSE))</f>
        <v/>
      </c>
      <c r="BJ234" s="286" t="str">
        <f>IF(AM234="","",VLOOKUP(AM234,AN234:BE240,COLUMN()-COLUMN(BB233),FALSE))</f>
        <v/>
      </c>
      <c r="BK234" s="286" t="str">
        <f>IF(AM234="","",VLOOKUP(AM234,AN234:BE240,COLUMN()-COLUMN(BB233),FALSE))</f>
        <v/>
      </c>
      <c r="BL234" s="286" t="str">
        <f>IF(AM234="","",VLOOKUP(AM234,AN234:BE240,COLUMN()-COLUMN(BB233),FALSE))</f>
        <v/>
      </c>
      <c r="BM234" s="286" t="str">
        <f>IF(AM234="","",VLOOKUP(AM234,AN234:BE240,COLUMN()-COLUMN(BB233),FALSE))</f>
        <v/>
      </c>
      <c r="BN234" s="349" t="str">
        <f>IF(AM234="","",VLOOKUP(AM234,AN234:BE240,COLUMN()-COLUMN(BB233),FALSE))</f>
        <v/>
      </c>
      <c r="BO234" s="298" t="str">
        <f>IF(AM234="","",VLOOKUP(AM234,AN234:BE240,COLUMN()-COLUMN(BB233),FALSE))</f>
        <v/>
      </c>
      <c r="BP234" s="286" t="str">
        <f>IF(AM234="","",VLOOKUP(AM234,AN234:BE240,COLUMN()-COLUMN(BB233),FALSE))</f>
        <v/>
      </c>
      <c r="BQ234" s="301" t="str">
        <f>IF(AM234="","",VLOOKUP(AM234,AN234:BE240,COLUMN()-COLUMN(BB233),FALSE))</f>
        <v/>
      </c>
      <c r="BR234" s="352" t="str">
        <f>IF(AM234="","",VLOOKUP(AM234,AN234:BE240,COLUMN()-COLUMN(BB233),FALSE))</f>
        <v/>
      </c>
      <c r="BS234" s="286" t="str">
        <f>IF(AM234="","",VLOOKUP(AM234,AN234:BE240,COLUMN()-COLUMN(BB233),FALSE))</f>
        <v/>
      </c>
      <c r="BT234" s="301" t="str">
        <f>IF(AM234="","",VLOOKUP(AM234,AN234:BE240,COLUMN()-COLUMN(BB233),FALSE))</f>
        <v/>
      </c>
    </row>
    <row r="235" spans="1:72" ht="12" thickBot="1" x14ac:dyDescent="0.25">
      <c r="A235" s="83"/>
      <c r="B235" s="83"/>
      <c r="C235" s="83"/>
      <c r="D235" s="83"/>
      <c r="E235" s="268" t="s">
        <v>12244</v>
      </c>
      <c r="F235" s="262"/>
      <c r="G235" s="262"/>
      <c r="H235" s="324"/>
      <c r="I235" s="324"/>
      <c r="J235" s="263"/>
      <c r="K235" s="365"/>
      <c r="L235" s="365"/>
      <c r="M235" s="262"/>
      <c r="N235" s="265" t="b">
        <f>NOT(ISERROR(ResultsTeams[[#This Row],[Goal-A]]+ResultsTeams[[#This Row],[Goal-B]]))</f>
        <v>0</v>
      </c>
      <c r="O235" s="265" t="str">
        <f>IF(ResultsTeams[[#This Row],[Type]]="G",SUM(O236:O239),IF(LEFT(ResultsTeams[[#This Row],[Type]],1)="P",IF(ResultsTeams[[#This Row],[Goal-A]]&gt;ResultsTeams[[#This Row],[Goal-B]],1,0),""))</f>
        <v/>
      </c>
      <c r="P235" s="265" t="str">
        <f>IF(ResultsTeams[[#This Row],[Type]]="G",SUM(P236:P239),IF(LEFT(ResultsTeams[[#This Row],[Type]],1)="P",IF(ResultsTeams[[#This Row],[Goal-A]]&lt;ResultsTeams[[#This Row],[Goal-B]],1,0),""))</f>
        <v/>
      </c>
      <c r="Q235" s="265" t="str">
        <f>IF(ResultsTeams[[#This Row],[Type]]="G",SUM(Q236:Q239),IF(LEFT(ResultsTeams[[#This Row],[Type]],1)="P",VALUE(ResultsTeams[[#This Row],[Score-A]]),""))</f>
        <v/>
      </c>
      <c r="R235" s="265" t="str">
        <f>IF(ResultsTeams[[#This Row],[Type]]="G",SUM(R236:R239),IF(LEFT(ResultsTeams[[#This Row],[Type]],1)="P",VALUE(ResultsTeams[[#This Row],[Score-B]]),""))</f>
        <v/>
      </c>
      <c r="S235" s="265" t="str">
        <f ca="1">IF(AND(ResultsTeams[[#This Row],[Category]]&lt;&gt;"",ResultsTeams[[#This Row],[Team A]]&lt;&gt;""),COUNTIF(INDIRECT("TeamsList[Club Name]"),ResultsTeams[[#This Row],[Team A]]),"")</f>
        <v/>
      </c>
      <c r="T235" s="265" t="str">
        <f ca="1">IF(AND(ResultsTeams[[#This Row],[Category]]&lt;&gt;"",ResultsTeams[[#This Row],[Team B]]&lt;&gt;""),COUNTIF(INDIRECT("TeamsList[Club Name]"),ResultsTeams[[#This Row],[Team B]]),"")</f>
        <v/>
      </c>
      <c r="U2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5" s="265" t="str">
        <f>IF(ResultsTeams[[#This Row],[Score_OK]],IF(ResultsTeams[[#This Row],[StageCpy]]="Groups",ResultsTeams[[#This Row],[Category]]&amp;"-"&amp;IF(ResultsTeams[[#This Row],[Team B]]="","",IF(ResultsTeams[[#This Row],[Match-A]]=ResultsTeams[[#This Row],[Match-B]],ResultsTeams[[#This Row],[Team A]],"")),""),"")</f>
        <v/>
      </c>
      <c r="W235" s="265" t="str">
        <f>IF(ResultsTeams[[#This Row],[Score_OK]],IF(ResultsTeams[[#This Row],[StageCpy]]="Groups",ResultsTeams[[#This Row],[Category]]&amp;"-"&amp;IF(ResultsTeams[[#This Row],[Team B]]="","",IF(ResultsTeams[[#This Row],[Match-A]]=ResultsTeams[[#This Row],[Match-B]],ResultsTeams[[#This Row],[Team B]],"")),""),"")</f>
        <v/>
      </c>
      <c r="X2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5" s="264" t="str">
        <f>IF(ResultsTeams[[#This Row],[Category]]="","",VLOOKUP(ResultsTeams[[#This Row],[Stage]],$R$1:$T$8,MATCH(ResultsTeams[[#This Row],[Category]],$S$1:$T$1,0)+1,FALSE))</f>
        <v/>
      </c>
      <c r="AC2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5" s="264" t="str">
        <f>IF(ResultsTeams[[#This Row],[Type]]="G",ResultsTeams[[#This Row],[Stage]],AD234)</f>
        <v>Groups</v>
      </c>
      <c r="AE235" s="395" t="str">
        <f>IF(ResultsTeams[[#This Row],[Type]]="G",INDEX(TeamsList[Club Name],MATCH(ResultsTeams[[#This Row],[Team A]],TeamsList[Team Name],0)),AE234)</f>
        <v>Kent Invicta TFC</v>
      </c>
      <c r="AF235" s="395" t="str">
        <f>IF(ResultsTeams[[#This Row],[Type]]="G",INDEX(TeamsList[Club Name],MATCH(ResultsTeams[[#This Row],[Team B]],TeamsList[Team Name],0)),AF234)</f>
        <v>SC Charleroi</v>
      </c>
      <c r="AG235" s="265"/>
      <c r="AI235" s="12">
        <f>AI234</f>
        <v>0</v>
      </c>
      <c r="AJ235" s="309"/>
      <c r="AK235" s="320"/>
      <c r="AL235" s="311"/>
      <c r="AM235" s="292" t="str">
        <f>IF(AV235="","",SMALL(AN234:AN240,ROWS(AM234:AM235)))</f>
        <v/>
      </c>
      <c r="AN235" s="293" t="str">
        <f>IF(AV235="","",RANK(AR235,AR234:AR240)*1000+ROWS(AN234:AN235))</f>
        <v/>
      </c>
      <c r="AO235" s="316" t="str">
        <f t="shared" si="194"/>
        <v/>
      </c>
      <c r="AP235" s="415" t="b">
        <f>AND(AU235&lt;&gt;"",AU235&gt;0,COUNTIF(AO234:AO240,AO235)&gt;1)</f>
        <v>0</v>
      </c>
      <c r="AQ235" s="316" t="str">
        <f t="shared" si="195"/>
        <v/>
      </c>
      <c r="AR235" s="317" t="str">
        <f t="shared" si="196"/>
        <v/>
      </c>
      <c r="AS235" s="415" t="b">
        <f>AND(AU235&lt;&gt;"",AU235&gt;0,COUNTIF(AR234:AR240,AR235)&gt;1)</f>
        <v>0</v>
      </c>
      <c r="AT235" s="355" t="str">
        <f t="shared" si="197"/>
        <v/>
      </c>
      <c r="AU235" s="356" t="str">
        <f t="shared" si="198"/>
        <v/>
      </c>
      <c r="AV235" s="356" t="str">
        <f>IF(OR(AI233="",AJ235=""),"",COUNTIF(ResultsTeams[Win],AI233&amp;"-"&amp;AJ235))</f>
        <v/>
      </c>
      <c r="AW235" s="356" t="str">
        <f>IF(OR(AI233="",AJ235=""),"",COUNTIF(ResultsTeams[[Draw1]:[Draw2]],AI233&amp;"-"&amp;AJ235))</f>
        <v/>
      </c>
      <c r="AX235" s="356" t="str">
        <f>IF(OR(AI233="",AJ235=""),"",COUNTIF(ResultsTeams[Lose],AI233&amp;"-"&amp;AJ235))</f>
        <v/>
      </c>
      <c r="AY235" s="356" t="str">
        <f>IF(OR(AI233="",AJ235=""),"",AV235-AX235)</f>
        <v/>
      </c>
      <c r="AZ235" s="356" t="str">
        <f>IF(OR(AI234="",AJ235=""),"",SUMIFS(ResultsTeams[Match-A],ResultsTeams[Stage],"Groups",ResultsTeams[Team A],AJ235)+SUMIFS(ResultsTeams[Match-B],ResultsTeams[Stage],"Groups",ResultsTeams[Team B],AJ235))</f>
        <v/>
      </c>
      <c r="BA235" s="356" t="str">
        <f>IF(OR(AI234="",AJ235=""),"",SUMIFS(ResultsTeams[Match-B],ResultsTeams[Stage],"Groups",ResultsTeams[Team A],AJ235)+SUMIFS(ResultsTeams[Match-A],ResultsTeams[Stage],"Groups",ResultsTeams[Team B],AJ235))</f>
        <v/>
      </c>
      <c r="BB235" s="356" t="str">
        <f t="shared" ref="BB235:BB240" si="200">IF(OR(AI234="",AJ235=""),"",AZ235-BA235)</f>
        <v/>
      </c>
      <c r="BC235" s="356" t="str">
        <f>IF(OR(AI234="",AJ235=""),"",SUMIFS(ResultsTeams[Goal-A],ResultsTeams[Stage],"Groups",ResultsTeams[Team A],AJ235)+SUMIFS(ResultsTeams[Goal-B],ResultsTeams[Stage],"Groups",ResultsTeams[Team B],AJ235))</f>
        <v/>
      </c>
      <c r="BD235" s="356" t="str">
        <f>IF(OR(AI234="",AJ235=""),"",SUMIFS(ResultsTeams[Goal-B],ResultsTeams[Stage],"Groups",ResultsTeams[Team A],AJ235)+SUMIFS(ResultsTeams[Goal-A],ResultsTeams[Stage],"Groups",ResultsTeams[Team B],AJ235))</f>
        <v/>
      </c>
      <c r="BE235" s="357" t="str">
        <f>IF(OR(AI233="",AJ235=""),"",BC235-BD235)</f>
        <v/>
      </c>
      <c r="BF235" s="470" t="str">
        <f>IF(AM235="","",OR(VLOOKUP(AM235,AN234:BE240,3,FALSE),VLOOKUP(AM235,AN234:BE240,6,FALSE)))</f>
        <v/>
      </c>
      <c r="BG235" s="298" t="str">
        <f t="shared" si="199"/>
        <v/>
      </c>
      <c r="BH235" s="285" t="str">
        <f>IF(AM235="","",INDEX(AJ234:AJ240,MATCH(AM235,AN234:AN240,0)))</f>
        <v/>
      </c>
      <c r="BI235" s="286" t="str">
        <f>IF(AM235="","",VLOOKUP(AM235,AN234:BE240,COLUMN()-COLUMN(BB233),FALSE))</f>
        <v/>
      </c>
      <c r="BJ235" s="286" t="str">
        <f>IF(AM235="","",VLOOKUP(AM235,AN234:BE240,COLUMN()-COLUMN(BB233),FALSE))</f>
        <v/>
      </c>
      <c r="BK235" s="286" t="str">
        <f>IF(AM235="","",VLOOKUP(AM235,AN234:BE240,COLUMN()-COLUMN(BB233),FALSE))</f>
        <v/>
      </c>
      <c r="BL235" s="286" t="str">
        <f>IF(AM235="","",VLOOKUP(AM235,AN234:BE240,COLUMN()-COLUMN(BB233),FALSE))</f>
        <v/>
      </c>
      <c r="BM235" s="286" t="str">
        <f>IF(AM235="","",VLOOKUP(AM235,AN234:BE240,COLUMN()-COLUMN(BB233),FALSE))</f>
        <v/>
      </c>
      <c r="BN235" s="349" t="str">
        <f>IF(AM235="","",VLOOKUP(AM235,AN234:BE240,COLUMN()-COLUMN(BB233),FALSE))</f>
        <v/>
      </c>
      <c r="BO235" s="298" t="str">
        <f>IF(AM235="","",VLOOKUP(AM235,AN234:BE240,COLUMN()-COLUMN(BB233),FALSE))</f>
        <v/>
      </c>
      <c r="BP235" s="286" t="str">
        <f>IF(AM235="","",VLOOKUP(AM235,AN234:BE240,COLUMN()-COLUMN(BB233),FALSE))</f>
        <v/>
      </c>
      <c r="BQ235" s="301" t="str">
        <f>IF(AM235="","",VLOOKUP(AM235,AN234:BE240,COLUMN()-COLUMN(BB233),FALSE))</f>
        <v/>
      </c>
      <c r="BR235" s="352" t="str">
        <f>IF(AM235="","",VLOOKUP(AM235,AN234:BE240,COLUMN()-COLUMN(BB233),FALSE))</f>
        <v/>
      </c>
      <c r="BS235" s="286" t="str">
        <f>IF(AM235="","",VLOOKUP(AM235,AN234:BE240,COLUMN()-COLUMN(BB233),FALSE))</f>
        <v/>
      </c>
      <c r="BT235" s="301" t="str">
        <f>IF(AM235="","",VLOOKUP(AM235,AN234:BE240,COLUMN()-COLUMN(BB233),FALSE))</f>
        <v/>
      </c>
    </row>
    <row r="236" spans="1:72" ht="12" thickBot="1" x14ac:dyDescent="0.25">
      <c r="A236" s="261" t="s">
        <v>12693</v>
      </c>
      <c r="B236" s="270" t="s">
        <v>12207</v>
      </c>
      <c r="C236" s="270">
        <v>6</v>
      </c>
      <c r="D236" s="270"/>
      <c r="E236" s="272" t="s">
        <v>12228</v>
      </c>
      <c r="F236" s="273" t="s">
        <v>197</v>
      </c>
      <c r="G236" s="273" t="s">
        <v>547</v>
      </c>
      <c r="H236" s="275">
        <v>2</v>
      </c>
      <c r="I236" s="275">
        <v>1</v>
      </c>
      <c r="J236" s="275"/>
      <c r="K236" s="366"/>
      <c r="L236" s="366"/>
      <c r="M236" s="274"/>
      <c r="N236" s="265" t="b">
        <f>NOT(ISERROR(ResultsTeams[[#This Row],[Goal-A]]+ResultsTeams[[#This Row],[Goal-B]]))</f>
        <v>1</v>
      </c>
      <c r="O236" s="265">
        <f>IF(ResultsTeams[[#This Row],[Type]]="G",SUM(O237:O240),IF(LEFT(ResultsTeams[[#This Row],[Type]],1)="P",IF(ResultsTeams[[#This Row],[Goal-A]]&gt;ResultsTeams[[#This Row],[Goal-B]],1,0),""))</f>
        <v>2</v>
      </c>
      <c r="P236" s="265">
        <f>IF(ResultsTeams[[#This Row],[Type]]="G",SUM(P237:P240),IF(LEFT(ResultsTeams[[#This Row],[Type]],1)="P",IF(ResultsTeams[[#This Row],[Goal-A]]&lt;ResultsTeams[[#This Row],[Goal-B]],1,0),""))</f>
        <v>1</v>
      </c>
      <c r="Q236" s="265">
        <f>IF(ResultsTeams[[#This Row],[Type]]="G",SUM(Q237:Q240),IF(LEFT(ResultsTeams[[#This Row],[Type]],1)="P",VALUE(ResultsTeams[[#This Row],[Score-A]]),""))</f>
        <v>5</v>
      </c>
      <c r="R236" s="265">
        <f>IF(ResultsTeams[[#This Row],[Type]]="G",SUM(R237:R240),IF(LEFT(ResultsTeams[[#This Row],[Type]],1)="P",VALUE(ResultsTeams[[#This Row],[Score-B]]),""))</f>
        <v>2</v>
      </c>
      <c r="S236" s="265">
        <f ca="1">IF(AND(ResultsTeams[[#This Row],[Category]]&lt;&gt;"",ResultsTeams[[#This Row],[Team A]]&lt;&gt;""),COUNTIF(INDIRECT("TeamsList[Club Name]"),ResultsTeams[[#This Row],[Team A]]),"")</f>
        <v>1</v>
      </c>
      <c r="T236" s="265">
        <f ca="1">IF(AND(ResultsTeams[[#This Row],[Category]]&lt;&gt;"",ResultsTeams[[#This Row],[Team B]]&lt;&gt;""),COUNTIF(INDIRECT("TeamsList[Club Name]"),ResultsTeams[[#This Row],[Team B]]),"")</f>
        <v>1</v>
      </c>
      <c r="U2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TEAM-Bologna Tigers Subbuteo</v>
      </c>
      <c r="V236" s="265" t="str">
        <f>IF(ResultsTeams[[#This Row],[Score_OK]],IF(ResultsTeams[[#This Row],[StageCpy]]="Groups",ResultsTeams[[#This Row],[Category]]&amp;"-"&amp;IF(ResultsTeams[[#This Row],[Team B]]="","",IF(ResultsTeams[[#This Row],[Match-A]]=ResultsTeams[[#This Row],[Match-B]],ResultsTeams[[#This Row],[Team A]],"")),""),"")</f>
        <v>TEAM-</v>
      </c>
      <c r="W236" s="265" t="str">
        <f>IF(ResultsTeams[[#This Row],[Score_OK]],IF(ResultsTeams[[#This Row],[StageCpy]]="Groups",ResultsTeams[[#This Row],[Category]]&amp;"-"&amp;IF(ResultsTeams[[#This Row],[Team B]]="","",IF(ResultsTeams[[#This Row],[Match-A]]=ResultsTeams[[#This Row],[Match-B]],ResultsTeams[[#This Row],[Team B]],"")),""),"")</f>
        <v>TEAM-</v>
      </c>
      <c r="X2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TEAM-Atlas FTC</v>
      </c>
      <c r="Y2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TEAM-Atlas FTC</v>
      </c>
      <c r="AA2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TEAM-Atlas FTC</v>
      </c>
      <c r="AB236" s="264" t="str">
        <f>IF(ResultsTeams[[#This Row],[Category]]="","",VLOOKUP(ResultsTeams[[#This Row],[Stage]],$R$1:$T$8,MATCH(ResultsTeams[[#This Row],[Category]],$S$1:$T$1,0)+1,FALSE))</f>
        <v>PR1</v>
      </c>
      <c r="AC2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6" s="264" t="str">
        <f>IF(ResultsTeams[[#This Row],[Type]]="G",ResultsTeams[[#This Row],[Stage]],AD235)</f>
        <v>Groups</v>
      </c>
      <c r="AE236" s="395" t="str">
        <f>IF(ResultsTeams[[#This Row],[Type]]="G",INDEX(TeamsList[Club Name],MATCH(ResultsTeams[[#This Row],[Team A]],TeamsList[Team Name],0)),AE235)</f>
        <v>Bologna Tigers Subbuteo</v>
      </c>
      <c r="AF236" s="395" t="str">
        <f>IF(ResultsTeams[[#This Row],[Type]]="G",INDEX(TeamsList[Club Name],MATCH(ResultsTeams[[#This Row],[Team B]],TeamsList[Team Name],0)),AF235)</f>
        <v>Atlas FTC</v>
      </c>
      <c r="AG236" s="265"/>
      <c r="AI236" s="12">
        <f t="shared" ref="AI236:AI240" si="201">AI235</f>
        <v>0</v>
      </c>
      <c r="AJ236" s="309"/>
      <c r="AK236" s="320"/>
      <c r="AL236" s="311"/>
      <c r="AM236" s="292" t="str">
        <f>IF(AV236="","",SMALL(AN234:AN240,ROWS(AM234:AM236)))</f>
        <v/>
      </c>
      <c r="AN236" s="293" t="str">
        <f>IF(AV236="","",RANK(AR236,AR234:AR240)*1000+ROWS(AN234:AN236))</f>
        <v/>
      </c>
      <c r="AO236" s="316" t="str">
        <f t="shared" si="194"/>
        <v/>
      </c>
      <c r="AP236" s="415" t="b">
        <f>AND(AU236&lt;&gt;"",AU236&gt;0,COUNTIF(AO234:AO240,AO236)&gt;1)</f>
        <v>0</v>
      </c>
      <c r="AQ236" s="316" t="str">
        <f t="shared" si="195"/>
        <v/>
      </c>
      <c r="AR236" s="317" t="str">
        <f t="shared" si="196"/>
        <v/>
      </c>
      <c r="AS236" s="415" t="b">
        <f>AND(AU236&lt;&gt;"",AU236&gt;0,COUNTIF(AR234:AR240,AR236)&gt;1)</f>
        <v>0</v>
      </c>
      <c r="AT236" s="355" t="str">
        <f t="shared" si="197"/>
        <v/>
      </c>
      <c r="AU236" s="356" t="str">
        <f t="shared" si="198"/>
        <v/>
      </c>
      <c r="AV236" s="356" t="str">
        <f>IF(OR(AI233="",AJ236=""),"",COUNTIF(ResultsTeams[Win],AI233&amp;"-"&amp;AJ236))</f>
        <v/>
      </c>
      <c r="AW236" s="356" t="str">
        <f>IF(OR(AI233="",AJ236=""),"",COUNTIF(ResultsTeams[[Draw1]:[Draw2]],AI233&amp;"-"&amp;AJ236))</f>
        <v/>
      </c>
      <c r="AX236" s="356" t="str">
        <f>IF(OR(AI233="",AJ236=""),"",COUNTIF(ResultsTeams[Lose],AI233&amp;"-"&amp;AJ236))</f>
        <v/>
      </c>
      <c r="AY236" s="356" t="str">
        <f>IF(OR(AI233="",AJ236=""),"",AV236-AX236)</f>
        <v/>
      </c>
      <c r="AZ236" s="356" t="str">
        <f>IF(OR(AI235="",AJ236=""),"",SUMIFS(ResultsTeams[Match-A],ResultsTeams[Stage],"Groups",ResultsTeams[Team A],AJ236)+SUMIFS(ResultsTeams[Match-B],ResultsTeams[Stage],"Groups",ResultsTeams[Team B],AJ236))</f>
        <v/>
      </c>
      <c r="BA236" s="356" t="str">
        <f>IF(OR(AI235="",AJ236=""),"",SUMIFS(ResultsTeams[Match-B],ResultsTeams[Stage],"Groups",ResultsTeams[Team A],AJ236)+SUMIFS(ResultsTeams[Match-A],ResultsTeams[Stage],"Groups",ResultsTeams[Team B],AJ236))</f>
        <v/>
      </c>
      <c r="BB236" s="356" t="str">
        <f t="shared" si="200"/>
        <v/>
      </c>
      <c r="BC236" s="356" t="str">
        <f>IF(OR(AI235="",AJ236=""),"",SUMIFS(ResultsTeams[Goal-A],ResultsTeams[Stage],"Groups",ResultsTeams[Team A],AJ236)+SUMIFS(ResultsTeams[Goal-B],ResultsTeams[Stage],"Groups",ResultsTeams[Team B],AJ236))</f>
        <v/>
      </c>
      <c r="BD236" s="356" t="str">
        <f>IF(OR(AI235="",AJ236=""),"",SUMIFS(ResultsTeams[Goal-B],ResultsTeams[Stage],"Groups",ResultsTeams[Team A],AJ236)+SUMIFS(ResultsTeams[Goal-A],ResultsTeams[Stage],"Groups",ResultsTeams[Team B],AJ236))</f>
        <v/>
      </c>
      <c r="BE236" s="357" t="str">
        <f>IF(OR(AI233="",AJ236=""),"",BC236-BD236)</f>
        <v/>
      </c>
      <c r="BF236" s="470" t="str">
        <f>IF(AM236="","",OR(VLOOKUP(AM236,AN234:BE240,3,FALSE),VLOOKUP(AM236,AN234:BE240,6,FALSE)))</f>
        <v/>
      </c>
      <c r="BG236" s="298" t="str">
        <f t="shared" si="199"/>
        <v/>
      </c>
      <c r="BH236" s="285" t="str">
        <f>IF(AM236="","",INDEX(AJ234:AJ240,MATCH(AM236,AN234:AN240,0)))</f>
        <v/>
      </c>
      <c r="BI236" s="286" t="str">
        <f>IF(AM236="","",VLOOKUP(AM236,AN234:BE240,COLUMN()-COLUMN(BB233),FALSE))</f>
        <v/>
      </c>
      <c r="BJ236" s="286" t="str">
        <f>IF(AM236="","",VLOOKUP(AM236,AN234:BE240,COLUMN()-COLUMN(BB233),FALSE))</f>
        <v/>
      </c>
      <c r="BK236" s="286" t="str">
        <f>IF(AM236="","",VLOOKUP(AM236,AN234:BE240,COLUMN()-COLUMN(BB233),FALSE))</f>
        <v/>
      </c>
      <c r="BL236" s="286" t="str">
        <f>IF(AM236="","",VLOOKUP(AM236,AN234:BE240,COLUMN()-COLUMN(BB233),FALSE))</f>
        <v/>
      </c>
      <c r="BM236" s="286" t="str">
        <f>IF(AM236="","",VLOOKUP(AM236,AN234:BE240,COLUMN()-COLUMN(BB233),FALSE))</f>
        <v/>
      </c>
      <c r="BN236" s="349" t="str">
        <f>IF(AM236="","",VLOOKUP(AM236,AN234:BE240,COLUMN()-COLUMN(BB233),FALSE))</f>
        <v/>
      </c>
      <c r="BO236" s="298" t="str">
        <f>IF(AM236="","",VLOOKUP(AM236,AN234:BE240,COLUMN()-COLUMN(BB233),FALSE))</f>
        <v/>
      </c>
      <c r="BP236" s="286" t="str">
        <f>IF(AM236="","",VLOOKUP(AM236,AN234:BE240,COLUMN()-COLUMN(BB233),FALSE))</f>
        <v/>
      </c>
      <c r="BQ236" s="301" t="str">
        <f>IF(AM236="","",VLOOKUP(AM236,AN234:BE240,COLUMN()-COLUMN(BB233),FALSE))</f>
        <v/>
      </c>
      <c r="BR236" s="352" t="str">
        <f>IF(AM236="","",VLOOKUP(AM236,AN234:BE240,COLUMN()-COLUMN(BB233),FALSE))</f>
        <v/>
      </c>
      <c r="BS236" s="286" t="str">
        <f>IF(AM236="","",VLOOKUP(AM236,AN234:BE240,COLUMN()-COLUMN(BB233),FALSE))</f>
        <v/>
      </c>
      <c r="BT236" s="301" t="str">
        <f>IF(AM236="","",VLOOKUP(AM236,AN234:BE240,COLUMN()-COLUMN(BB233),FALSE))</f>
        <v/>
      </c>
    </row>
    <row r="237" spans="1:72" x14ac:dyDescent="0.2">
      <c r="A237" s="60"/>
      <c r="B237" s="280"/>
      <c r="C237" s="60"/>
      <c r="D237" s="60"/>
      <c r="E237" s="240" t="s">
        <v>12231</v>
      </c>
      <c r="F237" s="244" t="s">
        <v>9838</v>
      </c>
      <c r="G237" s="244" t="s">
        <v>9229</v>
      </c>
      <c r="H237" s="253">
        <v>0</v>
      </c>
      <c r="I237" s="253">
        <v>1</v>
      </c>
      <c r="J237" s="253"/>
      <c r="K237" s="362"/>
      <c r="L237" s="362"/>
      <c r="M237" s="245"/>
      <c r="N237" s="265" t="b">
        <f>NOT(ISERROR(ResultsTeams[[#This Row],[Goal-A]]+ResultsTeams[[#This Row],[Goal-B]]))</f>
        <v>1</v>
      </c>
      <c r="O237" s="265">
        <f>IF(ResultsTeams[[#This Row],[Type]]="G",SUM(O238:O241),IF(LEFT(ResultsTeams[[#This Row],[Type]],1)="P",IF(ResultsTeams[[#This Row],[Goal-A]]&gt;ResultsTeams[[#This Row],[Goal-B]],1,0),""))</f>
        <v>0</v>
      </c>
      <c r="P237" s="265">
        <f>IF(ResultsTeams[[#This Row],[Type]]="G",SUM(P238:P241),IF(LEFT(ResultsTeams[[#This Row],[Type]],1)="P",IF(ResultsTeams[[#This Row],[Goal-A]]&lt;ResultsTeams[[#This Row],[Goal-B]],1,0),""))</f>
        <v>1</v>
      </c>
      <c r="Q237" s="265">
        <f>IF(ResultsTeams[[#This Row],[Type]]="G",SUM(Q238:Q241),IF(LEFT(ResultsTeams[[#This Row],[Type]],1)="P",VALUE(ResultsTeams[[#This Row],[Score-A]]),""))</f>
        <v>0</v>
      </c>
      <c r="R237" s="265">
        <f>IF(ResultsTeams[[#This Row],[Type]]="G",SUM(R238:R241),IF(LEFT(ResultsTeams[[#This Row],[Type]],1)="P",VALUE(ResultsTeams[[#This Row],[Score-B]]),""))</f>
        <v>1</v>
      </c>
      <c r="S237" s="265" t="str">
        <f ca="1">IF(AND(ResultsTeams[[#This Row],[Category]]&lt;&gt;"",ResultsTeams[[#This Row],[Team A]]&lt;&gt;""),COUNTIF(INDIRECT("TeamsList[Club Name]"),ResultsTeams[[#This Row],[Team A]]),"")</f>
        <v/>
      </c>
      <c r="T237" s="265" t="str">
        <f ca="1">IF(AND(ResultsTeams[[#This Row],[Category]]&lt;&gt;"",ResultsTeams[[#This Row],[Team B]]&lt;&gt;""),COUNTIF(INDIRECT("TeamsList[Club Name]"),ResultsTeams[[#This Row],[Team B]]),"")</f>
        <v/>
      </c>
      <c r="U2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-Manolis Papadakis</v>
      </c>
      <c r="V237" s="265" t="str">
        <f>IF(ResultsTeams[[#This Row],[Score_OK]],IF(ResultsTeams[[#This Row],[StageCpy]]="Groups",ResultsTeams[[#This Row],[Category]]&amp;"-"&amp;IF(ResultsTeams[[#This Row],[Team B]]="","",IF(ResultsTeams[[#This Row],[Match-A]]=ResultsTeams[[#This Row],[Match-B]],ResultsTeams[[#This Row],[Team A]],"")),""),"")</f>
        <v>-</v>
      </c>
      <c r="W237" s="265" t="str">
        <f>IF(ResultsTeams[[#This Row],[Score_OK]],IF(ResultsTeams[[#This Row],[StageCpy]]="Groups",ResultsTeams[[#This Row],[Category]]&amp;"-"&amp;IF(ResultsTeams[[#This Row],[Team B]]="","",IF(ResultsTeams[[#This Row],[Match-A]]=ResultsTeams[[#This Row],[Match-B]],ResultsTeams[[#This Row],[Team B]],"")),""),"")</f>
        <v>-</v>
      </c>
      <c r="X2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-Francesco Mattiangeli</v>
      </c>
      <c r="Y2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7" s="264" t="str">
        <f>IF(ResultsTeams[[#This Row],[Category]]="","",VLOOKUP(ResultsTeams[[#This Row],[Stage]],$R$1:$T$8,MATCH(ResultsTeams[[#This Row],[Category]],$S$1:$T$1,0)+1,FALSE))</f>
        <v/>
      </c>
      <c r="AC2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7" s="264" t="str">
        <f>IF(ResultsTeams[[#This Row],[Type]]="G",ResultsTeams[[#This Row],[Stage]],AD236)</f>
        <v>Groups</v>
      </c>
      <c r="AE237" s="395" t="str">
        <f>IF(ResultsTeams[[#This Row],[Type]]="G",INDEX(TeamsList[Club Name],MATCH(ResultsTeams[[#This Row],[Team A]],TeamsList[Team Name],0)),AE236)</f>
        <v>Bologna Tigers Subbuteo</v>
      </c>
      <c r="AF237" s="395" t="str">
        <f>IF(ResultsTeams[[#This Row],[Type]]="G",INDEX(TeamsList[Club Name],MATCH(ResultsTeams[[#This Row],[Team B]],TeamsList[Team Name],0)),AF236)</f>
        <v>Atlas FTC</v>
      </c>
      <c r="AG237" s="265"/>
      <c r="AH237" s="91"/>
      <c r="AI237" s="12">
        <f t="shared" si="201"/>
        <v>0</v>
      </c>
      <c r="AJ237" s="309"/>
      <c r="AK237" s="310"/>
      <c r="AL237" s="311"/>
      <c r="AM237" s="292" t="str">
        <f>IF(AV237="","",SMALL(AN234:AN240,ROWS(AM234:AM237)))</f>
        <v/>
      </c>
      <c r="AN237" s="293" t="str">
        <f>IF(AV237="","",RANK(AR237,AR234:AR240)*1000+ROWS(AN234:AN237))</f>
        <v/>
      </c>
      <c r="AO237" s="316" t="str">
        <f t="shared" si="194"/>
        <v/>
      </c>
      <c r="AP237" s="415" t="b">
        <f>AND(AU237&lt;&gt;"",AU237&gt;0,COUNTIF(AO234:AO240,AO237)&gt;1)</f>
        <v>0</v>
      </c>
      <c r="AQ237" s="316" t="str">
        <f t="shared" si="195"/>
        <v/>
      </c>
      <c r="AR237" s="317" t="str">
        <f t="shared" si="196"/>
        <v/>
      </c>
      <c r="AS237" s="415" t="b">
        <f>AND(AU237&lt;&gt;"",AU237&gt;0,COUNTIF(AR234:AR240,AR237)&gt;1)</f>
        <v>0</v>
      </c>
      <c r="AT237" s="355" t="str">
        <f t="shared" si="197"/>
        <v/>
      </c>
      <c r="AU237" s="356" t="str">
        <f t="shared" si="198"/>
        <v/>
      </c>
      <c r="AV237" s="356" t="str">
        <f>IF(OR(AI233="",AJ237=""),"",COUNTIF(ResultsTeams[Win],AI233&amp;"-"&amp;AJ237))</f>
        <v/>
      </c>
      <c r="AW237" s="356" t="str">
        <f>IF(OR(AI233="",AJ237=""),"",COUNTIF(ResultsTeams[[Draw1]:[Draw2]],AI233&amp;"-"&amp;AJ237))</f>
        <v/>
      </c>
      <c r="AX237" s="356" t="str">
        <f>IF(OR(AI233="",AJ237=""),"",COUNTIF(ResultsTeams[Lose],AI233&amp;"-"&amp;AJ237))</f>
        <v/>
      </c>
      <c r="AY237" s="356" t="str">
        <f>IF(OR(AI233="",AJ237=""),"",AV237-AX237)</f>
        <v/>
      </c>
      <c r="AZ237" s="356" t="str">
        <f>IF(OR(AI236="",AJ237=""),"",SUMIFS(ResultsTeams[Match-A],ResultsTeams[Stage],"Groups",ResultsTeams[Team A],AJ237)+SUMIFS(ResultsTeams[Match-B],ResultsTeams[Stage],"Groups",ResultsTeams[Team B],AJ237))</f>
        <v/>
      </c>
      <c r="BA237" s="356" t="str">
        <f>IF(OR(AI236="",AJ237=""),"",SUMIFS(ResultsTeams[Match-B],ResultsTeams[Stage],"Groups",ResultsTeams[Team A],AJ237)+SUMIFS(ResultsTeams[Match-A],ResultsTeams[Stage],"Groups",ResultsTeams[Team B],AJ237))</f>
        <v/>
      </c>
      <c r="BB237" s="356" t="str">
        <f t="shared" si="200"/>
        <v/>
      </c>
      <c r="BC237" s="356" t="str">
        <f>IF(OR(AI236="",AJ237=""),"",SUMIFS(ResultsTeams[Goal-A],ResultsTeams[Stage],"Groups",ResultsTeams[Team A],AJ237)+SUMIFS(ResultsTeams[Goal-B],ResultsTeams[Stage],"Groups",ResultsTeams[Team B],AJ237))</f>
        <v/>
      </c>
      <c r="BD237" s="356" t="str">
        <f>IF(OR(AI236="",AJ237=""),"",SUMIFS(ResultsTeams[Goal-B],ResultsTeams[Stage],"Groups",ResultsTeams[Team A],AJ237)+SUMIFS(ResultsTeams[Goal-A],ResultsTeams[Stage],"Groups",ResultsTeams[Team B],AJ237))</f>
        <v/>
      </c>
      <c r="BE237" s="357" t="str">
        <f>IF(OR(AI233="",AJ237=""),"",BC237-BD237)</f>
        <v/>
      </c>
      <c r="BF237" s="470" t="str">
        <f>IF(AM237="","",OR(VLOOKUP(AM237,AN234:BE240,3,FALSE),VLOOKUP(AM237,AN234:BE240,6,FALSE)))</f>
        <v/>
      </c>
      <c r="BG237" s="298" t="str">
        <f t="shared" si="199"/>
        <v/>
      </c>
      <c r="BH237" s="285" t="str">
        <f>IF(AM237="","",INDEX(AJ234:AJ240,MATCH(AM237,AN234:AN240,0)))</f>
        <v/>
      </c>
      <c r="BI237" s="286" t="str">
        <f>IF(AM237="","",VLOOKUP(AM237,AN234:BE240,COLUMN()-COLUMN(BB233),FALSE))</f>
        <v/>
      </c>
      <c r="BJ237" s="286" t="str">
        <f>IF(AM237="","",VLOOKUP(AM237,AN234:BE240,COLUMN()-COLUMN(BB233),FALSE))</f>
        <v/>
      </c>
      <c r="BK237" s="286" t="str">
        <f>IF(AM237="","",VLOOKUP(AM237,AN234:BE240,COLUMN()-COLUMN(BB233),FALSE))</f>
        <v/>
      </c>
      <c r="BL237" s="286" t="str">
        <f>IF(AM237="","",VLOOKUP(AM237,AN234:BE240,COLUMN()-COLUMN(BB233),FALSE))</f>
        <v/>
      </c>
      <c r="BM237" s="286" t="str">
        <f>IF(AM237="","",VLOOKUP(AM237,AN234:BE240,COLUMN()-COLUMN(BB233),FALSE))</f>
        <v/>
      </c>
      <c r="BN237" s="349" t="str">
        <f>IF(AM237="","",VLOOKUP(AM237,AN234:BE240,COLUMN()-COLUMN(BB233),FALSE))</f>
        <v/>
      </c>
      <c r="BO237" s="298" t="str">
        <f>IF(AM237="","",VLOOKUP(AM237,AN234:BE240,COLUMN()-COLUMN(BB233),FALSE))</f>
        <v/>
      </c>
      <c r="BP237" s="286" t="str">
        <f>IF(AM237="","",VLOOKUP(AM237,AN234:BE240,COLUMN()-COLUMN(BB233),FALSE))</f>
        <v/>
      </c>
      <c r="BQ237" s="301" t="str">
        <f>IF(AM237="","",VLOOKUP(AM237,AN234:BE240,COLUMN()-COLUMN(BB233),FALSE))</f>
        <v/>
      </c>
      <c r="BR237" s="352" t="str">
        <f>IF(AM237="","",VLOOKUP(AM237,AN234:BE240,COLUMN()-COLUMN(BB233),FALSE))</f>
        <v/>
      </c>
      <c r="BS237" s="286" t="str">
        <f>IF(AM237="","",VLOOKUP(AM237,AN234:BE240,COLUMN()-COLUMN(BB233),FALSE))</f>
        <v/>
      </c>
      <c r="BT237" s="301" t="str">
        <f>IF(AM237="","",VLOOKUP(AM237,AN234:BE240,COLUMN()-COLUMN(BB233),FALSE))</f>
        <v/>
      </c>
    </row>
    <row r="238" spans="1:72" x14ac:dyDescent="0.2">
      <c r="A238" s="62"/>
      <c r="B238" s="280"/>
      <c r="C238" s="62"/>
      <c r="D238" s="62"/>
      <c r="E238" s="241" t="s">
        <v>12234</v>
      </c>
      <c r="F238" s="246" t="s">
        <v>9744</v>
      </c>
      <c r="G238" s="246" t="s">
        <v>14019</v>
      </c>
      <c r="H238" s="254">
        <v>1</v>
      </c>
      <c r="I238" s="254">
        <v>1</v>
      </c>
      <c r="J238" s="254"/>
      <c r="K238" s="363"/>
      <c r="L238" s="363"/>
      <c r="M238" s="247"/>
      <c r="N238" s="265" t="b">
        <f>NOT(ISERROR(ResultsTeams[[#This Row],[Goal-A]]+ResultsTeams[[#This Row],[Goal-B]]))</f>
        <v>1</v>
      </c>
      <c r="O238" s="265">
        <f>IF(ResultsTeams[[#This Row],[Type]]="G",SUM(O239:O242),IF(LEFT(ResultsTeams[[#This Row],[Type]],1)="P",IF(ResultsTeams[[#This Row],[Goal-A]]&gt;ResultsTeams[[#This Row],[Goal-B]],1,0),""))</f>
        <v>0</v>
      </c>
      <c r="P238" s="265">
        <f>IF(ResultsTeams[[#This Row],[Type]]="G",SUM(P239:P242),IF(LEFT(ResultsTeams[[#This Row],[Type]],1)="P",IF(ResultsTeams[[#This Row],[Goal-A]]&lt;ResultsTeams[[#This Row],[Goal-B]],1,0),""))</f>
        <v>0</v>
      </c>
      <c r="Q238" s="265">
        <f>IF(ResultsTeams[[#This Row],[Type]]="G",SUM(Q239:Q242),IF(LEFT(ResultsTeams[[#This Row],[Type]],1)="P",VALUE(ResultsTeams[[#This Row],[Score-A]]),""))</f>
        <v>1</v>
      </c>
      <c r="R238" s="265">
        <f>IF(ResultsTeams[[#This Row],[Type]]="G",SUM(R239:R242),IF(LEFT(ResultsTeams[[#This Row],[Type]],1)="P",VALUE(ResultsTeams[[#This Row],[Score-B]]),""))</f>
        <v>1</v>
      </c>
      <c r="S238" s="265" t="str">
        <f ca="1">IF(AND(ResultsTeams[[#This Row],[Category]]&lt;&gt;"",ResultsTeams[[#This Row],[Team A]]&lt;&gt;""),COUNTIF(INDIRECT("TeamsList[Club Name]"),ResultsTeams[[#This Row],[Team A]]),"")</f>
        <v/>
      </c>
      <c r="T238" s="265" t="str">
        <f ca="1">IF(AND(ResultsTeams[[#This Row],[Category]]&lt;&gt;"",ResultsTeams[[#This Row],[Team B]]&lt;&gt;""),COUNTIF(INDIRECT("TeamsList[Club Name]"),ResultsTeams[[#This Row],[Team B]]),"")</f>
        <v/>
      </c>
      <c r="U2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38" s="265" t="str">
        <f>IF(ResultsTeams[[#This Row],[Score_OK]],IF(ResultsTeams[[#This Row],[StageCpy]]="Groups",ResultsTeams[[#This Row],[Category]]&amp;"-"&amp;IF(ResultsTeams[[#This Row],[Team B]]="","",IF(ResultsTeams[[#This Row],[Match-A]]=ResultsTeams[[#This Row],[Match-B]],ResultsTeams[[#This Row],[Team A]],"")),""),"")</f>
        <v>-Gerardo Patruno</v>
      </c>
      <c r="W238" s="265" t="str">
        <f>IF(ResultsTeams[[#This Row],[Score_OK]],IF(ResultsTeams[[#This Row],[StageCpy]]="Groups",ResultsTeams[[#This Row],[Category]]&amp;"-"&amp;IF(ResultsTeams[[#This Row],[Team B]]="","",IF(ResultsTeams[[#This Row],[Match-A]]=ResultsTeams[[#This Row],[Match-B]],ResultsTeams[[#This Row],[Team B]],"")),""),"")</f>
        <v>-Stylianos Tsangouris</v>
      </c>
      <c r="X2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8" s="264" t="str">
        <f>IF(ResultsTeams[[#This Row],[Category]]="","",VLOOKUP(ResultsTeams[[#This Row],[Stage]],$R$1:$T$8,MATCH(ResultsTeams[[#This Row],[Category]],$S$1:$T$1,0)+1,FALSE))</f>
        <v/>
      </c>
      <c r="AC2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8" s="264" t="str">
        <f>IF(ResultsTeams[[#This Row],[Type]]="G",ResultsTeams[[#This Row],[Stage]],AD237)</f>
        <v>Groups</v>
      </c>
      <c r="AE238" s="395" t="str">
        <f>IF(ResultsTeams[[#This Row],[Type]]="G",INDEX(TeamsList[Club Name],MATCH(ResultsTeams[[#This Row],[Team A]],TeamsList[Team Name],0)),AE237)</f>
        <v>Bologna Tigers Subbuteo</v>
      </c>
      <c r="AF238" s="395" t="str">
        <f>IF(ResultsTeams[[#This Row],[Type]]="G",INDEX(TeamsList[Club Name],MATCH(ResultsTeams[[#This Row],[Team B]],TeamsList[Team Name],0)),AF237)</f>
        <v>Atlas FTC</v>
      </c>
      <c r="AG238" s="265"/>
      <c r="AH238" s="91"/>
      <c r="AI238" s="12">
        <f t="shared" si="201"/>
        <v>0</v>
      </c>
      <c r="AJ238" s="309"/>
      <c r="AK238" s="310"/>
      <c r="AL238" s="311"/>
      <c r="AM238" s="292" t="str">
        <f>IF(AV238="","",SMALL(AN234:AN240,ROWS(AM234:AM238)))</f>
        <v/>
      </c>
      <c r="AN238" s="293" t="str">
        <f>IF(AV238="","",RANK(AR238,AR234:AR240)*1000+ROWS(AN234:AN238))</f>
        <v/>
      </c>
      <c r="AO238" s="316" t="str">
        <f t="shared" si="194"/>
        <v/>
      </c>
      <c r="AP238" s="415" t="b">
        <f>AND(AU238&lt;&gt;"",AU238&gt;0,COUNTIF(AO234:AO240,AO238)&gt;1)</f>
        <v>0</v>
      </c>
      <c r="AQ238" s="316" t="str">
        <f t="shared" si="195"/>
        <v/>
      </c>
      <c r="AR238" s="317" t="str">
        <f t="shared" si="196"/>
        <v/>
      </c>
      <c r="AS238" s="415" t="b">
        <f>AND(AU238&lt;&gt;"",AU238&gt;0,COUNTIF(AR234:AR240,AR238)&gt;1)</f>
        <v>0</v>
      </c>
      <c r="AT238" s="355" t="str">
        <f t="shared" si="197"/>
        <v/>
      </c>
      <c r="AU238" s="356" t="str">
        <f t="shared" si="198"/>
        <v/>
      </c>
      <c r="AV238" s="356" t="str">
        <f>IF(OR(AI233="",AJ238=""),"",COUNTIF(ResultsTeams[Win],AI233&amp;"-"&amp;AJ238))</f>
        <v/>
      </c>
      <c r="AW238" s="356" t="str">
        <f>IF(OR(AI233="",AJ238=""),"",COUNTIF(ResultsTeams[[Draw1]:[Draw2]],AI233&amp;"-"&amp;AJ238))</f>
        <v/>
      </c>
      <c r="AX238" s="356" t="str">
        <f>IF(OR(AI233="",AJ238=""),"",COUNTIF(ResultsTeams[Lose],AI233&amp;"-"&amp;AJ238))</f>
        <v/>
      </c>
      <c r="AY238" s="356" t="str">
        <f>IF(OR(AI233="",AJ238=""),"",AV238-AX238)</f>
        <v/>
      </c>
      <c r="AZ238" s="356" t="str">
        <f>IF(OR(AI237="",AJ238=""),"",SUMIFS(ResultsTeams[Match-A],ResultsTeams[Stage],"Groups",ResultsTeams[Team A],AJ238)+SUMIFS(ResultsTeams[Match-B],ResultsTeams[Stage],"Groups",ResultsTeams[Team B],AJ238))</f>
        <v/>
      </c>
      <c r="BA238" s="356" t="str">
        <f>IF(OR(AI237="",AJ238=""),"",SUMIFS(ResultsTeams[Match-B],ResultsTeams[Stage],"Groups",ResultsTeams[Team A],AJ238)+SUMIFS(ResultsTeams[Match-A],ResultsTeams[Stage],"Groups",ResultsTeams[Team B],AJ238))</f>
        <v/>
      </c>
      <c r="BB238" s="356" t="str">
        <f t="shared" si="200"/>
        <v/>
      </c>
      <c r="BC238" s="356" t="str">
        <f>IF(OR(AI237="",AJ238=""),"",SUMIFS(ResultsTeams[Goal-A],ResultsTeams[Stage],"Groups",ResultsTeams[Team A],AJ238)+SUMIFS(ResultsTeams[Goal-B],ResultsTeams[Stage],"Groups",ResultsTeams[Team B],AJ238))</f>
        <v/>
      </c>
      <c r="BD238" s="356" t="str">
        <f>IF(OR(AI237="",AJ238=""),"",SUMIFS(ResultsTeams[Goal-B],ResultsTeams[Stage],"Groups",ResultsTeams[Team A],AJ238)+SUMIFS(ResultsTeams[Goal-A],ResultsTeams[Stage],"Groups",ResultsTeams[Team B],AJ238))</f>
        <v/>
      </c>
      <c r="BE238" s="357" t="str">
        <f>IF(OR(AI233="",AJ238=""),"",BC238-BD238)</f>
        <v/>
      </c>
      <c r="BF238" s="470" t="str">
        <f>IF(AM238="","",OR(VLOOKUP(AM238,AN234:BE240,3,FALSE),VLOOKUP(AM238,AN234:BE240,6,FALSE)))</f>
        <v/>
      </c>
      <c r="BG238" s="298" t="str">
        <f t="shared" si="199"/>
        <v/>
      </c>
      <c r="BH238" s="285" t="str">
        <f>IF(AM238="","",INDEX(AJ234:AJ240,MATCH(AM238,AN234:AN240,0)))</f>
        <v/>
      </c>
      <c r="BI238" s="286" t="str">
        <f>IF(AM238="","",VLOOKUP(AM238,AN234:BE240,COLUMN()-COLUMN(BB233),FALSE))</f>
        <v/>
      </c>
      <c r="BJ238" s="286" t="str">
        <f>IF(AM238="","",VLOOKUP(AM238,AN234:BE240,COLUMN()-COLUMN(BB233),FALSE))</f>
        <v/>
      </c>
      <c r="BK238" s="286" t="str">
        <f>IF(AM238="","",VLOOKUP(AM238,AN234:BE240,COLUMN()-COLUMN(BB233),FALSE))</f>
        <v/>
      </c>
      <c r="BL238" s="286" t="str">
        <f>IF(AM238="","",VLOOKUP(AM238,AN234:BE240,COLUMN()-COLUMN(BB233),FALSE))</f>
        <v/>
      </c>
      <c r="BM238" s="286" t="str">
        <f>IF(AM238="","",VLOOKUP(AM238,AN234:BE240,COLUMN()-COLUMN(BB233),FALSE))</f>
        <v/>
      </c>
      <c r="BN238" s="349" t="str">
        <f>IF(AM238="","",VLOOKUP(AM238,AN234:BE240,COLUMN()-COLUMN(BB233),FALSE))</f>
        <v/>
      </c>
      <c r="BO238" s="298" t="str">
        <f>IF(AM238="","",VLOOKUP(AM238,AN234:BE240,COLUMN()-COLUMN(BB233),FALSE))</f>
        <v/>
      </c>
      <c r="BP238" s="286" t="str">
        <f>IF(AM238="","",VLOOKUP(AM238,AN234:BE240,COLUMN()-COLUMN(BB233),FALSE))</f>
        <v/>
      </c>
      <c r="BQ238" s="301" t="str">
        <f>IF(AM238="","",VLOOKUP(AM238,AN234:BE240,COLUMN()-COLUMN(BB233),FALSE))</f>
        <v/>
      </c>
      <c r="BR238" s="352" t="str">
        <f>IF(AM238="","",VLOOKUP(AM238,AN234:BE240,COLUMN()-COLUMN(BB233),FALSE))</f>
        <v/>
      </c>
      <c r="BS238" s="286" t="str">
        <f>IF(AM238="","",VLOOKUP(AM238,AN234:BE240,COLUMN()-COLUMN(BB233),FALSE))</f>
        <v/>
      </c>
      <c r="BT238" s="301" t="str">
        <f>IF(AM238="","",VLOOKUP(AM238,AN234:BE240,COLUMN()-COLUMN(BB233),FALSE))</f>
        <v/>
      </c>
    </row>
    <row r="239" spans="1:72" x14ac:dyDescent="0.2">
      <c r="A239" s="62"/>
      <c r="B239" s="280"/>
      <c r="C239" s="62"/>
      <c r="D239" s="62"/>
      <c r="E239" s="241" t="s">
        <v>12237</v>
      </c>
      <c r="F239" s="246" t="s">
        <v>8874</v>
      </c>
      <c r="G239" s="246" t="s">
        <v>9194</v>
      </c>
      <c r="H239" s="254">
        <v>3</v>
      </c>
      <c r="I239" s="254">
        <v>0</v>
      </c>
      <c r="J239" s="254"/>
      <c r="K239" s="363"/>
      <c r="L239" s="363"/>
      <c r="M239" s="247"/>
      <c r="N239" s="265" t="b">
        <f>NOT(ISERROR(ResultsTeams[[#This Row],[Goal-A]]+ResultsTeams[[#This Row],[Goal-B]]))</f>
        <v>1</v>
      </c>
      <c r="O239" s="265">
        <f>IF(ResultsTeams[[#This Row],[Type]]="G",SUM(O240:O243),IF(LEFT(ResultsTeams[[#This Row],[Type]],1)="P",IF(ResultsTeams[[#This Row],[Goal-A]]&gt;ResultsTeams[[#This Row],[Goal-B]],1,0),""))</f>
        <v>1</v>
      </c>
      <c r="P239" s="265">
        <f>IF(ResultsTeams[[#This Row],[Type]]="G",SUM(P240:P243),IF(LEFT(ResultsTeams[[#This Row],[Type]],1)="P",IF(ResultsTeams[[#This Row],[Goal-A]]&lt;ResultsTeams[[#This Row],[Goal-B]],1,0),""))</f>
        <v>0</v>
      </c>
      <c r="Q239" s="265">
        <f>IF(ResultsTeams[[#This Row],[Type]]="G",SUM(Q240:Q243),IF(LEFT(ResultsTeams[[#This Row],[Type]],1)="P",VALUE(ResultsTeams[[#This Row],[Score-A]]),""))</f>
        <v>3</v>
      </c>
      <c r="R239" s="265">
        <f>IF(ResultsTeams[[#This Row],[Type]]="G",SUM(R240:R243),IF(LEFT(ResultsTeams[[#This Row],[Type]],1)="P",VALUE(ResultsTeams[[#This Row],[Score-B]]),""))</f>
        <v>0</v>
      </c>
      <c r="S239" s="265" t="str">
        <f ca="1">IF(AND(ResultsTeams[[#This Row],[Category]]&lt;&gt;"",ResultsTeams[[#This Row],[Team A]]&lt;&gt;""),COUNTIF(INDIRECT("TeamsList[Club Name]"),ResultsTeams[[#This Row],[Team A]]),"")</f>
        <v/>
      </c>
      <c r="T239" s="265" t="str">
        <f ca="1">IF(AND(ResultsTeams[[#This Row],[Category]]&lt;&gt;"",ResultsTeams[[#This Row],[Team B]]&lt;&gt;""),COUNTIF(INDIRECT("TeamsList[Club Name]"),ResultsTeams[[#This Row],[Team B]]),"")</f>
        <v/>
      </c>
      <c r="U2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-Alberto Di Maggio</v>
      </c>
      <c r="V239" s="265" t="str">
        <f>IF(ResultsTeams[[#This Row],[Score_OK]],IF(ResultsTeams[[#This Row],[StageCpy]]="Groups",ResultsTeams[[#This Row],[Category]]&amp;"-"&amp;IF(ResultsTeams[[#This Row],[Team B]]="","",IF(ResultsTeams[[#This Row],[Match-A]]=ResultsTeams[[#This Row],[Match-B]],ResultsTeams[[#This Row],[Team A]],"")),""),"")</f>
        <v>-</v>
      </c>
      <c r="W239" s="265" t="str">
        <f>IF(ResultsTeams[[#This Row],[Score_OK]],IF(ResultsTeams[[#This Row],[StageCpy]]="Groups",ResultsTeams[[#This Row],[Category]]&amp;"-"&amp;IF(ResultsTeams[[#This Row],[Team B]]="","",IF(ResultsTeams[[#This Row],[Match-A]]=ResultsTeams[[#This Row],[Match-B]],ResultsTeams[[#This Row],[Team B]],"")),""),"")</f>
        <v>-</v>
      </c>
      <c r="X2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-Giannis Nikolaidis</v>
      </c>
      <c r="Y2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9" s="264" t="str">
        <f>IF(ResultsTeams[[#This Row],[Category]]="","",VLOOKUP(ResultsTeams[[#This Row],[Stage]],$R$1:$T$8,MATCH(ResultsTeams[[#This Row],[Category]],$S$1:$T$1,0)+1,FALSE))</f>
        <v/>
      </c>
      <c r="AC2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9" s="264" t="str">
        <f>IF(ResultsTeams[[#This Row],[Type]]="G",ResultsTeams[[#This Row],[Stage]],AD238)</f>
        <v>Groups</v>
      </c>
      <c r="AE239" s="395" t="str">
        <f>IF(ResultsTeams[[#This Row],[Type]]="G",INDEX(TeamsList[Club Name],MATCH(ResultsTeams[[#This Row],[Team A]],TeamsList[Team Name],0)),AE238)</f>
        <v>Bologna Tigers Subbuteo</v>
      </c>
      <c r="AF239" s="395" t="str">
        <f>IF(ResultsTeams[[#This Row],[Type]]="G",INDEX(TeamsList[Club Name],MATCH(ResultsTeams[[#This Row],[Team B]],TeamsList[Team Name],0)),AF238)</f>
        <v>Atlas FTC</v>
      </c>
      <c r="AG239" s="265"/>
      <c r="AI239" s="12">
        <f t="shared" si="201"/>
        <v>0</v>
      </c>
      <c r="AJ239" s="309"/>
      <c r="AK239" s="310"/>
      <c r="AL239" s="311"/>
      <c r="AM239" s="292" t="str">
        <f>IF(AV239="","",SMALL(AN234:AN240,ROWS(AM234:AM239)))</f>
        <v/>
      </c>
      <c r="AN239" s="293" t="str">
        <f>IF(AV239="","",RANK(AR239,AR234:AR240)*1000+ROWS(AN234:AN239))</f>
        <v/>
      </c>
      <c r="AO239" s="316" t="str">
        <f t="shared" si="194"/>
        <v/>
      </c>
      <c r="AP239" s="415" t="b">
        <f>AND(AU239&lt;&gt;"",AU239&gt;0,COUNTIF(AO234:AO240,AO239)&gt;1)</f>
        <v>0</v>
      </c>
      <c r="AQ239" s="316" t="str">
        <f t="shared" si="195"/>
        <v/>
      </c>
      <c r="AR239" s="317" t="str">
        <f t="shared" si="196"/>
        <v/>
      </c>
      <c r="AS239" s="415" t="b">
        <f>AND(AU239&lt;&gt;"",AU239&gt;0,COUNTIF(AR234:AR240,AR239)&gt;1)</f>
        <v>0</v>
      </c>
      <c r="AT239" s="355" t="str">
        <f t="shared" si="197"/>
        <v/>
      </c>
      <c r="AU239" s="356" t="str">
        <f t="shared" si="198"/>
        <v/>
      </c>
      <c r="AV239" s="356" t="str">
        <f>IF(OR(AI233="",AJ239=""),"",COUNTIF(ResultsTeams[Win],AI233&amp;"-"&amp;AJ239))</f>
        <v/>
      </c>
      <c r="AW239" s="356" t="str">
        <f>IF(OR(AI233="",AJ239=""),"",COUNTIF(ResultsTeams[[Draw1]:[Draw2]],AI233&amp;"-"&amp;AJ239))</f>
        <v/>
      </c>
      <c r="AX239" s="356" t="str">
        <f>IF(OR(AI233="",AJ239=""),"",COUNTIF(ResultsTeams[Lose],AI233&amp;"-"&amp;AJ239))</f>
        <v/>
      </c>
      <c r="AY239" s="356" t="str">
        <f>IF(OR(AI233="",AJ239=""),"",AV239-AX239)</f>
        <v/>
      </c>
      <c r="AZ239" s="356" t="str">
        <f>IF(OR(AI238="",AJ239=""),"",SUMIFS(ResultsTeams[Match-A],ResultsTeams[Stage],"Groups",ResultsTeams[Team A],AJ239)+SUMIFS(ResultsTeams[Match-B],ResultsTeams[Stage],"Groups",ResultsTeams[Team B],AJ239))</f>
        <v/>
      </c>
      <c r="BA239" s="356" t="str">
        <f>IF(OR(AI238="",AJ239=""),"",SUMIFS(ResultsTeams[Match-B],ResultsTeams[Stage],"Groups",ResultsTeams[Team A],AJ239)+SUMIFS(ResultsTeams[Match-A],ResultsTeams[Stage],"Groups",ResultsTeams[Team B],AJ239))</f>
        <v/>
      </c>
      <c r="BB239" s="356" t="str">
        <f t="shared" si="200"/>
        <v/>
      </c>
      <c r="BC239" s="356" t="str">
        <f>IF(OR(AI238="",AJ239=""),"",SUMIFS(ResultsTeams[Goal-A],ResultsTeams[Stage],"Groups",ResultsTeams[Team A],AJ239)+SUMIFS(ResultsTeams[Goal-B],ResultsTeams[Stage],"Groups",ResultsTeams[Team B],AJ239))</f>
        <v/>
      </c>
      <c r="BD239" s="356" t="str">
        <f>IF(OR(AI238="",AJ239=""),"",SUMIFS(ResultsTeams[Goal-B],ResultsTeams[Stage],"Groups",ResultsTeams[Team A],AJ239)+SUMIFS(ResultsTeams[Goal-A],ResultsTeams[Stage],"Groups",ResultsTeams[Team B],AJ239))</f>
        <v/>
      </c>
      <c r="BE239" s="357" t="str">
        <f>IF(OR(AI233="",AJ239=""),"",BC239-BD239)</f>
        <v/>
      </c>
      <c r="BF239" s="470" t="str">
        <f>IF(AM239="","",OR(VLOOKUP(AM239,AN234:BE240,3,FALSE),VLOOKUP(AM239,AN234:BE240,6,FALSE)))</f>
        <v/>
      </c>
      <c r="BG239" s="298" t="str">
        <f t="shared" si="199"/>
        <v/>
      </c>
      <c r="BH239" s="285" t="str">
        <f>IF(AM239="","",INDEX(AJ234:AJ240,MATCH(AM239,AN234:AN240,0)))</f>
        <v/>
      </c>
      <c r="BI239" s="286" t="str">
        <f>IF(AM239="","",VLOOKUP(AM239,AN234:BE240,COLUMN()-COLUMN(BB233),FALSE))</f>
        <v/>
      </c>
      <c r="BJ239" s="286" t="str">
        <f>IF(AM239="","",VLOOKUP(AM239,AN234:BE240,COLUMN()-COLUMN(BB233),FALSE))</f>
        <v/>
      </c>
      <c r="BK239" s="286" t="str">
        <f>IF(AM239="","",VLOOKUP(AM239,AN234:BE240,COLUMN()-COLUMN(BB233),FALSE))</f>
        <v/>
      </c>
      <c r="BL239" s="286" t="str">
        <f>IF(AM239="","",VLOOKUP(AM239,AN234:BE240,COLUMN()-COLUMN(BB233),FALSE))</f>
        <v/>
      </c>
      <c r="BM239" s="286" t="str">
        <f>IF(AM239="","",VLOOKUP(AM239,AN234:BE240,COLUMN()-COLUMN(BB233),FALSE))</f>
        <v/>
      </c>
      <c r="BN239" s="349" t="str">
        <f>IF(AM239="","",VLOOKUP(AM239,AN234:BE240,COLUMN()-COLUMN(BB233),FALSE))</f>
        <v/>
      </c>
      <c r="BO239" s="298" t="str">
        <f>IF(AM239="","",VLOOKUP(AM239,AN234:BE240,COLUMN()-COLUMN(BB233),FALSE))</f>
        <v/>
      </c>
      <c r="BP239" s="286" t="str">
        <f>IF(AM239="","",VLOOKUP(AM239,AN234:BE240,COLUMN()-COLUMN(BB233),FALSE))</f>
        <v/>
      </c>
      <c r="BQ239" s="301" t="str">
        <f>IF(AM239="","",VLOOKUP(AM239,AN234:BE240,COLUMN()-COLUMN(BB233),FALSE))</f>
        <v/>
      </c>
      <c r="BR239" s="352" t="str">
        <f>IF(AM239="","",VLOOKUP(AM239,AN234:BE240,COLUMN()-COLUMN(BB233),FALSE))</f>
        <v/>
      </c>
      <c r="BS239" s="286" t="str">
        <f>IF(AM239="","",VLOOKUP(AM239,AN234:BE240,COLUMN()-COLUMN(BB233),FALSE))</f>
        <v/>
      </c>
      <c r="BT239" s="301" t="str">
        <f>IF(AM239="","",VLOOKUP(AM239,AN234:BE240,COLUMN()-COLUMN(BB233),FALSE))</f>
        <v/>
      </c>
    </row>
    <row r="240" spans="1:72" ht="12" thickBot="1" x14ac:dyDescent="0.25">
      <c r="A240" s="62"/>
      <c r="B240" s="280"/>
      <c r="C240" s="62"/>
      <c r="D240" s="62"/>
      <c r="E240" s="241" t="s">
        <v>12240</v>
      </c>
      <c r="F240" s="246" t="s">
        <v>10090</v>
      </c>
      <c r="G240" s="246" t="s">
        <v>11084</v>
      </c>
      <c r="H240" s="254">
        <v>1</v>
      </c>
      <c r="I240" s="254">
        <v>0</v>
      </c>
      <c r="J240" s="254"/>
      <c r="K240" s="363"/>
      <c r="L240" s="363"/>
      <c r="M240" s="247"/>
      <c r="N240" s="265" t="b">
        <f>NOT(ISERROR(ResultsTeams[[#This Row],[Goal-A]]+ResultsTeams[[#This Row],[Goal-B]]))</f>
        <v>1</v>
      </c>
      <c r="O240" s="265">
        <f>IF(ResultsTeams[[#This Row],[Type]]="G",SUM(O241:O244),IF(LEFT(ResultsTeams[[#This Row],[Type]],1)="P",IF(ResultsTeams[[#This Row],[Goal-A]]&gt;ResultsTeams[[#This Row],[Goal-B]],1,0),""))</f>
        <v>1</v>
      </c>
      <c r="P240" s="265">
        <f>IF(ResultsTeams[[#This Row],[Type]]="G",SUM(P241:P244),IF(LEFT(ResultsTeams[[#This Row],[Type]],1)="P",IF(ResultsTeams[[#This Row],[Goal-A]]&lt;ResultsTeams[[#This Row],[Goal-B]],1,0),""))</f>
        <v>0</v>
      </c>
      <c r="Q240" s="265">
        <f>IF(ResultsTeams[[#This Row],[Type]]="G",SUM(Q241:Q244),IF(LEFT(ResultsTeams[[#This Row],[Type]],1)="P",VALUE(ResultsTeams[[#This Row],[Score-A]]),""))</f>
        <v>1</v>
      </c>
      <c r="R240" s="265">
        <f>IF(ResultsTeams[[#This Row],[Type]]="G",SUM(R241:R244),IF(LEFT(ResultsTeams[[#This Row],[Type]],1)="P",VALUE(ResultsTeams[[#This Row],[Score-B]]),""))</f>
        <v>0</v>
      </c>
      <c r="S240" s="265" t="str">
        <f ca="1">IF(AND(ResultsTeams[[#This Row],[Category]]&lt;&gt;"",ResultsTeams[[#This Row],[Team A]]&lt;&gt;""),COUNTIF(INDIRECT("TeamsList[Club Name]"),ResultsTeams[[#This Row],[Team A]]),"")</f>
        <v/>
      </c>
      <c r="T240" s="265" t="str">
        <f ca="1">IF(AND(ResultsTeams[[#This Row],[Category]]&lt;&gt;"",ResultsTeams[[#This Row],[Team B]]&lt;&gt;""),COUNTIF(INDIRECT("TeamsList[Club Name]"),ResultsTeams[[#This Row],[Team B]]),"")</f>
        <v/>
      </c>
      <c r="U2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-Andrea Di Vincenzo</v>
      </c>
      <c r="V240" s="265" t="str">
        <f>IF(ResultsTeams[[#This Row],[Score_OK]],IF(ResultsTeams[[#This Row],[StageCpy]]="Groups",ResultsTeams[[#This Row],[Category]]&amp;"-"&amp;IF(ResultsTeams[[#This Row],[Team B]]="","",IF(ResultsTeams[[#This Row],[Match-A]]=ResultsTeams[[#This Row],[Match-B]],ResultsTeams[[#This Row],[Team A]],"")),""),"")</f>
        <v>-</v>
      </c>
      <c r="W240" s="265" t="str">
        <f>IF(ResultsTeams[[#This Row],[Score_OK]],IF(ResultsTeams[[#This Row],[StageCpy]]="Groups",ResultsTeams[[#This Row],[Category]]&amp;"-"&amp;IF(ResultsTeams[[#This Row],[Team B]]="","",IF(ResultsTeams[[#This Row],[Match-A]]=ResultsTeams[[#This Row],[Match-B]],ResultsTeams[[#This Row],[Team B]],"")),""),"")</f>
        <v>-</v>
      </c>
      <c r="X2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-Rudi Knuf</v>
      </c>
      <c r="Y2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0" s="264" t="str">
        <f>IF(ResultsTeams[[#This Row],[Category]]="","",VLOOKUP(ResultsTeams[[#This Row],[Stage]],$R$1:$T$8,MATCH(ResultsTeams[[#This Row],[Category]],$S$1:$T$1,0)+1,FALSE))</f>
        <v/>
      </c>
      <c r="AC2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0" s="264" t="str">
        <f>IF(ResultsTeams[[#This Row],[Type]]="G",ResultsTeams[[#This Row],[Stage]],AD239)</f>
        <v>Groups</v>
      </c>
      <c r="AE240" s="395" t="str">
        <f>IF(ResultsTeams[[#This Row],[Type]]="G",INDEX(TeamsList[Club Name],MATCH(ResultsTeams[[#This Row],[Team A]],TeamsList[Team Name],0)),AE239)</f>
        <v>Bologna Tigers Subbuteo</v>
      </c>
      <c r="AF240" s="395" t="str">
        <f>IF(ResultsTeams[[#This Row],[Type]]="G",INDEX(TeamsList[Club Name],MATCH(ResultsTeams[[#This Row],[Team B]],TeamsList[Team Name],0)),AF239)</f>
        <v>Atlas FTC</v>
      </c>
      <c r="AG240" s="265"/>
      <c r="AI240" s="12">
        <f t="shared" si="201"/>
        <v>0</v>
      </c>
      <c r="AJ240" s="312"/>
      <c r="AK240" s="313"/>
      <c r="AL240" s="314"/>
      <c r="AM240" s="294" t="str">
        <f>IF(AV240="","",SMALL(AN234:AN240,ROWS(AM234:AM240)))</f>
        <v/>
      </c>
      <c r="AN240" s="295" t="str">
        <f>IF(AV240="","",RANK(AR240,AR234:AR240)*1000+ROWS(AN234:AN240))</f>
        <v/>
      </c>
      <c r="AO240" s="318" t="str">
        <f t="shared" si="194"/>
        <v/>
      </c>
      <c r="AP240" s="416" t="b">
        <f>AND(AU240&lt;&gt;"",AU240&gt;0,COUNTIF(AO234:AO240,AO240)&gt;1)</f>
        <v>0</v>
      </c>
      <c r="AQ240" s="318" t="str">
        <f t="shared" si="195"/>
        <v/>
      </c>
      <c r="AR240" s="319" t="str">
        <f t="shared" si="196"/>
        <v/>
      </c>
      <c r="AS240" s="416" t="b">
        <f>AND(AU240&lt;&gt;"",AU240&gt;0,COUNTIF(AR234:AR240,AR240)&gt;1)</f>
        <v>0</v>
      </c>
      <c r="AT240" s="358" t="str">
        <f t="shared" si="197"/>
        <v/>
      </c>
      <c r="AU240" s="359" t="str">
        <f t="shared" si="198"/>
        <v/>
      </c>
      <c r="AV240" s="359" t="str">
        <f>IF(OR(AI233="",AJ240=""),"",COUNTIF(ResultsTeams[Win],AI233&amp;"-"&amp;AJ240))</f>
        <v/>
      </c>
      <c r="AW240" s="359" t="str">
        <f>IF(OR(AI233="",AJ240=""),"",COUNTIF(ResultsTeams[[Draw1]:[Draw2]],AI233&amp;"-"&amp;AJ240))</f>
        <v/>
      </c>
      <c r="AX240" s="359" t="str">
        <f>IF(OR(AI233="",AJ240=""),"",COUNTIF(ResultsTeams[Lose],AI233&amp;"-"&amp;AJ240))</f>
        <v/>
      </c>
      <c r="AY240" s="359" t="str">
        <f>IF(OR(AI233="",AJ240=""),"",AV240-AX240)</f>
        <v/>
      </c>
      <c r="AZ240" s="359" t="str">
        <f>IF(OR(AI239="",AJ240=""),"",SUMIFS(ResultsTeams[Match-A],ResultsTeams[Stage],"Groups",ResultsTeams[Team A],AJ240)+SUMIFS(ResultsTeams[Match-B],ResultsTeams[Stage],"Groups",ResultsTeams[Team B],AJ240))</f>
        <v/>
      </c>
      <c r="BA240" s="359" t="str">
        <f>IF(OR(AI239="",AJ240=""),"",SUMIFS(ResultsTeams[Match-B],ResultsTeams[Stage],"Groups",ResultsTeams[Team A],AJ240)+SUMIFS(ResultsTeams[Match-A],ResultsTeams[Stage],"Groups",ResultsTeams[Team B],AJ240))</f>
        <v/>
      </c>
      <c r="BB240" s="359" t="str">
        <f t="shared" si="200"/>
        <v/>
      </c>
      <c r="BC240" s="359" t="str">
        <f>IF(OR(AI239="",AJ240=""),"",SUMIFS(ResultsTeams[Goal-A],ResultsTeams[Stage],"Groups",ResultsTeams[Team A],AJ240)+SUMIFS(ResultsTeams[Goal-B],ResultsTeams[Stage],"Groups",ResultsTeams[Team B],AJ240))</f>
        <v/>
      </c>
      <c r="BD240" s="359" t="str">
        <f>IF(OR(AI239="",AJ240=""),"",SUMIFS(ResultsTeams[Goal-B],ResultsTeams[Stage],"Groups",ResultsTeams[Team A],AJ240)+SUMIFS(ResultsTeams[Goal-A],ResultsTeams[Stage],"Groups",ResultsTeams[Team B],AJ240))</f>
        <v/>
      </c>
      <c r="BE240" s="360" t="str">
        <f>IF(OR(AI233="",AJ240=""),"",BC240-BD240)</f>
        <v/>
      </c>
      <c r="BF240" s="470" t="str">
        <f>IF(AM240="","",OR(VLOOKUP(AM240,AN234:BE240,3,FALSE),VLOOKUP(AM240,AN234:BE240,6,FALSE)))</f>
        <v/>
      </c>
      <c r="BG240" s="299" t="str">
        <f t="shared" si="199"/>
        <v/>
      </c>
      <c r="BH240" s="287" t="str">
        <f>IF(AM240="","",INDEX(AJ234:AJ240,MATCH(AM240,AN234:AN240,0)))</f>
        <v/>
      </c>
      <c r="BI240" s="288" t="str">
        <f>IF(AM240="","",VLOOKUP(AM240,AN234:BE240,COLUMN()-COLUMN(BB233),FALSE))</f>
        <v/>
      </c>
      <c r="BJ240" s="288" t="str">
        <f>IF(AM240="","",VLOOKUP(AM240,AN234:BE240,COLUMN()-COLUMN(BB233),FALSE))</f>
        <v/>
      </c>
      <c r="BK240" s="288" t="str">
        <f>IF(AM240="","",VLOOKUP(AM240,AN234:BE240,COLUMN()-COLUMN(BB233),FALSE))</f>
        <v/>
      </c>
      <c r="BL240" s="288" t="str">
        <f>IF(AM240="","",VLOOKUP(AM240,AN234:BE240,COLUMN()-COLUMN(BB233),FALSE))</f>
        <v/>
      </c>
      <c r="BM240" s="288" t="str">
        <f>IF(AM240="","",VLOOKUP(AM240,AN234:BE240,COLUMN()-COLUMN(BB233),FALSE))</f>
        <v/>
      </c>
      <c r="BN240" s="350" t="str">
        <f>IF(AM240="","",VLOOKUP(AM240,AN234:BE240,COLUMN()-COLUMN(BB233),FALSE))</f>
        <v/>
      </c>
      <c r="BO240" s="299" t="str">
        <f>IF(AM240="","",VLOOKUP(AM240,AN234:BE240,COLUMN()-COLUMN(BB233),FALSE))</f>
        <v/>
      </c>
      <c r="BP240" s="288" t="str">
        <f>IF(AM240="","",VLOOKUP(AM240,AN234:BE240,COLUMN()-COLUMN(BB233),FALSE))</f>
        <v/>
      </c>
      <c r="BQ240" s="302" t="str">
        <f>IF(AM240="","",VLOOKUP(AM240,AN234:BE240,COLUMN()-COLUMN(BB233),FALSE))</f>
        <v/>
      </c>
      <c r="BR240" s="353" t="str">
        <f>IF(AM240="","",VLOOKUP(AM240,AN234:BE240,COLUMN()-COLUMN(BB233),FALSE))</f>
        <v/>
      </c>
      <c r="BS240" s="288" t="str">
        <f>IF(AM240="","",VLOOKUP(AM240,AN234:BE240,COLUMN()-COLUMN(BB233),FALSE))</f>
        <v/>
      </c>
      <c r="BT240" s="302" t="str">
        <f>IF(AM240="","",VLOOKUP(AM240,AN234:BE240,COLUMN()-COLUMN(BB233),FALSE))</f>
        <v/>
      </c>
    </row>
    <row r="241" spans="1:72" ht="12" thickBot="1" x14ac:dyDescent="0.25">
      <c r="A241" s="62"/>
      <c r="B241" s="62"/>
      <c r="C241" s="62"/>
      <c r="D241" s="62"/>
      <c r="E241" s="241" t="s">
        <v>12243</v>
      </c>
      <c r="F241" s="247"/>
      <c r="G241" s="247"/>
      <c r="H241" s="254"/>
      <c r="I241" s="254"/>
      <c r="J241" s="260"/>
      <c r="K241" s="364"/>
      <c r="L241" s="364"/>
      <c r="M241" s="63"/>
      <c r="N241" s="265" t="b">
        <f>NOT(ISERROR(ResultsTeams[[#This Row],[Goal-A]]+ResultsTeams[[#This Row],[Goal-B]]))</f>
        <v>0</v>
      </c>
      <c r="O241" s="265" t="str">
        <f>IF(ResultsTeams[[#This Row],[Type]]="G",SUM(O242:O245),IF(LEFT(ResultsTeams[[#This Row],[Type]],1)="P",IF(ResultsTeams[[#This Row],[Goal-A]]&gt;ResultsTeams[[#This Row],[Goal-B]],1,0),""))</f>
        <v/>
      </c>
      <c r="P241" s="265" t="str">
        <f>IF(ResultsTeams[[#This Row],[Type]]="G",SUM(P242:P245),IF(LEFT(ResultsTeams[[#This Row],[Type]],1)="P",IF(ResultsTeams[[#This Row],[Goal-A]]&lt;ResultsTeams[[#This Row],[Goal-B]],1,0),""))</f>
        <v/>
      </c>
      <c r="Q241" s="265" t="str">
        <f>IF(ResultsTeams[[#This Row],[Type]]="G",SUM(Q242:Q245),IF(LEFT(ResultsTeams[[#This Row],[Type]],1)="P",VALUE(ResultsTeams[[#This Row],[Score-A]]),""))</f>
        <v/>
      </c>
      <c r="R241" s="265" t="str">
        <f>IF(ResultsTeams[[#This Row],[Type]]="G",SUM(R242:R245),IF(LEFT(ResultsTeams[[#This Row],[Type]],1)="P",VALUE(ResultsTeams[[#This Row],[Score-B]]),""))</f>
        <v/>
      </c>
      <c r="S241" s="265" t="str">
        <f ca="1">IF(AND(ResultsTeams[[#This Row],[Category]]&lt;&gt;"",ResultsTeams[[#This Row],[Team A]]&lt;&gt;""),COUNTIF(INDIRECT("TeamsList[Club Name]"),ResultsTeams[[#This Row],[Team A]]),"")</f>
        <v/>
      </c>
      <c r="T241" s="265" t="str">
        <f ca="1">IF(AND(ResultsTeams[[#This Row],[Category]]&lt;&gt;"",ResultsTeams[[#This Row],[Team B]]&lt;&gt;""),COUNTIF(INDIRECT("TeamsList[Club Name]"),ResultsTeams[[#This Row],[Team B]]),"")</f>
        <v/>
      </c>
      <c r="U2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1" s="265" t="str">
        <f>IF(ResultsTeams[[#This Row],[Score_OK]],IF(ResultsTeams[[#This Row],[StageCpy]]="Groups",ResultsTeams[[#This Row],[Category]]&amp;"-"&amp;IF(ResultsTeams[[#This Row],[Team B]]="","",IF(ResultsTeams[[#This Row],[Match-A]]=ResultsTeams[[#This Row],[Match-B]],ResultsTeams[[#This Row],[Team A]],"")),""),"")</f>
        <v/>
      </c>
      <c r="W241" s="265" t="str">
        <f>IF(ResultsTeams[[#This Row],[Score_OK]],IF(ResultsTeams[[#This Row],[StageCpy]]="Groups",ResultsTeams[[#This Row],[Category]]&amp;"-"&amp;IF(ResultsTeams[[#This Row],[Team B]]="","",IF(ResultsTeams[[#This Row],[Match-A]]=ResultsTeams[[#This Row],[Match-B]],ResultsTeams[[#This Row],[Team B]],"")),""),"")</f>
        <v/>
      </c>
      <c r="X2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1" s="264" t="str">
        <f>IF(ResultsTeams[[#This Row],[Category]]="","",VLOOKUP(ResultsTeams[[#This Row],[Stage]],$R$1:$T$8,MATCH(ResultsTeams[[#This Row],[Category]],$S$1:$T$1,0)+1,FALSE))</f>
        <v/>
      </c>
      <c r="AC2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1" s="264" t="str">
        <f>IF(ResultsTeams[[#This Row],[Type]]="G",ResultsTeams[[#This Row],[Stage]],AD240)</f>
        <v>Groups</v>
      </c>
      <c r="AE241" s="395" t="str">
        <f>IF(ResultsTeams[[#This Row],[Type]]="G",INDEX(TeamsList[Club Name],MATCH(ResultsTeams[[#This Row],[Team A]],TeamsList[Team Name],0)),AE240)</f>
        <v>Bologna Tigers Subbuteo</v>
      </c>
      <c r="AF241" s="395" t="str">
        <f>IF(ResultsTeams[[#This Row],[Type]]="G",INDEX(TeamsList[Club Name],MATCH(ResultsTeams[[#This Row],[Team B]],TeamsList[Team Name],0)),AF240)</f>
        <v>Atlas FTC</v>
      </c>
      <c r="AG241" s="265"/>
    </row>
    <row r="242" spans="1:72" ht="12" thickBot="1" x14ac:dyDescent="0.25">
      <c r="A242" s="83"/>
      <c r="B242" s="83"/>
      <c r="C242" s="83"/>
      <c r="D242" s="83"/>
      <c r="E242" s="268" t="s">
        <v>12244</v>
      </c>
      <c r="F242" s="262"/>
      <c r="G242" s="262"/>
      <c r="H242" s="324"/>
      <c r="I242" s="324"/>
      <c r="J242" s="263"/>
      <c r="K242" s="365"/>
      <c r="L242" s="365"/>
      <c r="M242" s="84"/>
      <c r="N242" s="265" t="b">
        <f>NOT(ISERROR(ResultsTeams[[#This Row],[Goal-A]]+ResultsTeams[[#This Row],[Goal-B]]))</f>
        <v>0</v>
      </c>
      <c r="O242" s="265" t="str">
        <f>IF(ResultsTeams[[#This Row],[Type]]="G",SUM(O243:O246),IF(LEFT(ResultsTeams[[#This Row],[Type]],1)="P",IF(ResultsTeams[[#This Row],[Goal-A]]&gt;ResultsTeams[[#This Row],[Goal-B]],1,0),""))</f>
        <v/>
      </c>
      <c r="P242" s="265" t="str">
        <f>IF(ResultsTeams[[#This Row],[Type]]="G",SUM(P243:P246),IF(LEFT(ResultsTeams[[#This Row],[Type]],1)="P",IF(ResultsTeams[[#This Row],[Goal-A]]&lt;ResultsTeams[[#This Row],[Goal-B]],1,0),""))</f>
        <v/>
      </c>
      <c r="Q242" s="265" t="str">
        <f>IF(ResultsTeams[[#This Row],[Type]]="G",SUM(Q243:Q246),IF(LEFT(ResultsTeams[[#This Row],[Type]],1)="P",VALUE(ResultsTeams[[#This Row],[Score-A]]),""))</f>
        <v/>
      </c>
      <c r="R242" s="265" t="str">
        <f>IF(ResultsTeams[[#This Row],[Type]]="G",SUM(R243:R246),IF(LEFT(ResultsTeams[[#This Row],[Type]],1)="P",VALUE(ResultsTeams[[#This Row],[Score-B]]),""))</f>
        <v/>
      </c>
      <c r="S242" s="265" t="str">
        <f ca="1">IF(AND(ResultsTeams[[#This Row],[Category]]&lt;&gt;"",ResultsTeams[[#This Row],[Team A]]&lt;&gt;""),COUNTIF(INDIRECT("TeamsList[Club Name]"),ResultsTeams[[#This Row],[Team A]]),"")</f>
        <v/>
      </c>
      <c r="T242" s="265" t="str">
        <f ca="1">IF(AND(ResultsTeams[[#This Row],[Category]]&lt;&gt;"",ResultsTeams[[#This Row],[Team B]]&lt;&gt;""),COUNTIF(INDIRECT("TeamsList[Club Name]"),ResultsTeams[[#This Row],[Team B]]),"")</f>
        <v/>
      </c>
      <c r="U2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2" s="265" t="str">
        <f>IF(ResultsTeams[[#This Row],[Score_OK]],IF(ResultsTeams[[#This Row],[StageCpy]]="Groups",ResultsTeams[[#This Row],[Category]]&amp;"-"&amp;IF(ResultsTeams[[#This Row],[Team B]]="","",IF(ResultsTeams[[#This Row],[Match-A]]=ResultsTeams[[#This Row],[Match-B]],ResultsTeams[[#This Row],[Team A]],"")),""),"")</f>
        <v/>
      </c>
      <c r="W242" s="265" t="str">
        <f>IF(ResultsTeams[[#This Row],[Score_OK]],IF(ResultsTeams[[#This Row],[StageCpy]]="Groups",ResultsTeams[[#This Row],[Category]]&amp;"-"&amp;IF(ResultsTeams[[#This Row],[Team B]]="","",IF(ResultsTeams[[#This Row],[Match-A]]=ResultsTeams[[#This Row],[Match-B]],ResultsTeams[[#This Row],[Team B]],"")),""),"")</f>
        <v/>
      </c>
      <c r="X2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2" s="264" t="str">
        <f>IF(ResultsTeams[[#This Row],[Category]]="","",VLOOKUP(ResultsTeams[[#This Row],[Stage]],$R$1:$T$8,MATCH(ResultsTeams[[#This Row],[Category]],$S$1:$T$1,0)+1,FALSE))</f>
        <v/>
      </c>
      <c r="AC2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2" s="264" t="str">
        <f>IF(ResultsTeams[[#This Row],[Type]]="G",ResultsTeams[[#This Row],[Stage]],AD241)</f>
        <v>Groups</v>
      </c>
      <c r="AE242" s="395" t="str">
        <f>IF(ResultsTeams[[#This Row],[Type]]="G",INDEX(TeamsList[Club Name],MATCH(ResultsTeams[[#This Row],[Team A]],TeamsList[Team Name],0)),AE241)</f>
        <v>Bologna Tigers Subbuteo</v>
      </c>
      <c r="AF242" s="395" t="str">
        <f>IF(ResultsTeams[[#This Row],[Type]]="G",INDEX(TeamsList[Club Name],MATCH(ResultsTeams[[#This Row],[Team B]],TeamsList[Team Name],0)),AF241)</f>
        <v>Atlas FTC</v>
      </c>
      <c r="AG242" s="265"/>
      <c r="AH242" s="281">
        <v>6</v>
      </c>
      <c r="AI242" s="315" t="s">
        <v>12693</v>
      </c>
      <c r="AJ242" s="289" t="s">
        <v>14438</v>
      </c>
      <c r="AK242" s="290" t="s">
        <v>12279</v>
      </c>
      <c r="AL242" s="300" t="s">
        <v>12275</v>
      </c>
      <c r="AM242" s="296" t="s">
        <v>12276</v>
      </c>
      <c r="AN242" s="291" t="s">
        <v>12271</v>
      </c>
      <c r="AO242" s="291" t="s">
        <v>12272</v>
      </c>
      <c r="AP242" s="414" t="s">
        <v>13154</v>
      </c>
      <c r="AQ242" s="291" t="s">
        <v>12273</v>
      </c>
      <c r="AR242" s="297" t="s">
        <v>12274</v>
      </c>
      <c r="AS242" s="414" t="s">
        <v>13154</v>
      </c>
      <c r="AT242" s="296" t="s">
        <v>12199</v>
      </c>
      <c r="AU242" s="291" t="s">
        <v>12200</v>
      </c>
      <c r="AV242" s="291" t="s">
        <v>12201</v>
      </c>
      <c r="AW242" s="291" t="s">
        <v>12202</v>
      </c>
      <c r="AX242" s="291" t="s">
        <v>12203</v>
      </c>
      <c r="AY242" s="291" t="s">
        <v>12697</v>
      </c>
      <c r="AZ242" s="291" t="s">
        <v>12698</v>
      </c>
      <c r="BA242" s="291" t="s">
        <v>12699</v>
      </c>
      <c r="BB242" s="291" t="s">
        <v>12700</v>
      </c>
      <c r="BC242" s="291" t="s">
        <v>12204</v>
      </c>
      <c r="BD242" s="291" t="s">
        <v>12205</v>
      </c>
      <c r="BE242" s="297" t="s">
        <v>12206</v>
      </c>
      <c r="BF242" s="395"/>
      <c r="BG242" s="282" t="s">
        <v>12276</v>
      </c>
      <c r="BH242" s="282" t="s">
        <v>12133</v>
      </c>
      <c r="BI242" s="283" t="s">
        <v>12199</v>
      </c>
      <c r="BJ242" s="283" t="s">
        <v>12200</v>
      </c>
      <c r="BK242" s="283" t="s">
        <v>12201</v>
      </c>
      <c r="BL242" s="283" t="s">
        <v>12202</v>
      </c>
      <c r="BM242" s="283" t="s">
        <v>12203</v>
      </c>
      <c r="BN242" s="290" t="s">
        <v>12697</v>
      </c>
      <c r="BO242" s="354" t="s">
        <v>12698</v>
      </c>
      <c r="BP242" s="283" t="s">
        <v>12699</v>
      </c>
      <c r="BQ242" s="300" t="s">
        <v>12700</v>
      </c>
      <c r="BR242" s="351" t="s">
        <v>12204</v>
      </c>
      <c r="BS242" s="283" t="s">
        <v>12205</v>
      </c>
      <c r="BT242" s="300" t="s">
        <v>12206</v>
      </c>
    </row>
    <row r="243" spans="1:72" ht="12" thickBot="1" x14ac:dyDescent="0.25">
      <c r="A243" s="261" t="s">
        <v>12693</v>
      </c>
      <c r="B243" s="270" t="s">
        <v>12207</v>
      </c>
      <c r="C243" s="270">
        <v>6</v>
      </c>
      <c r="D243" s="270"/>
      <c r="E243" s="272" t="s">
        <v>12228</v>
      </c>
      <c r="F243" s="273" t="s">
        <v>14592</v>
      </c>
      <c r="G243" s="273" t="s">
        <v>343</v>
      </c>
      <c r="H243" s="275">
        <v>0</v>
      </c>
      <c r="I243" s="275">
        <v>3</v>
      </c>
      <c r="J243" s="275"/>
      <c r="K243" s="366"/>
      <c r="L243" s="366"/>
      <c r="M243" s="271"/>
      <c r="N243" s="265" t="b">
        <f>NOT(ISERROR(ResultsTeams[[#This Row],[Goal-A]]+ResultsTeams[[#This Row],[Goal-B]]))</f>
        <v>1</v>
      </c>
      <c r="O243" s="265">
        <f>IF(ResultsTeams[[#This Row],[Type]]="G",SUM(O244:O247),IF(LEFT(ResultsTeams[[#This Row],[Type]],1)="P",IF(ResultsTeams[[#This Row],[Goal-A]]&gt;ResultsTeams[[#This Row],[Goal-B]],1,0),""))</f>
        <v>0</v>
      </c>
      <c r="P243" s="265">
        <f>IF(ResultsTeams[[#This Row],[Type]]="G",SUM(P244:P247),IF(LEFT(ResultsTeams[[#This Row],[Type]],1)="P",IF(ResultsTeams[[#This Row],[Goal-A]]&lt;ResultsTeams[[#This Row],[Goal-B]],1,0),""))</f>
        <v>3</v>
      </c>
      <c r="Q243" s="265">
        <f>IF(ResultsTeams[[#This Row],[Type]]="G",SUM(Q244:Q247),IF(LEFT(ResultsTeams[[#This Row],[Type]],1)="P",VALUE(ResultsTeams[[#This Row],[Score-A]]),""))</f>
        <v>3</v>
      </c>
      <c r="R243" s="265">
        <f>IF(ResultsTeams[[#This Row],[Type]]="G",SUM(R244:R247),IF(LEFT(ResultsTeams[[#This Row],[Type]],1)="P",VALUE(ResultsTeams[[#This Row],[Score-B]]),""))</f>
        <v>13</v>
      </c>
      <c r="S243" s="265">
        <f ca="1">IF(AND(ResultsTeams[[#This Row],[Category]]&lt;&gt;"",ResultsTeams[[#This Row],[Team A]]&lt;&gt;""),COUNTIF(INDIRECT("TeamsList[Club Name]"),ResultsTeams[[#This Row],[Team A]]),"")</f>
        <v>0</v>
      </c>
      <c r="T243" s="265">
        <f ca="1">IF(AND(ResultsTeams[[#This Row],[Category]]&lt;&gt;"",ResultsTeams[[#This Row],[Team B]]&lt;&gt;""),COUNTIF(INDIRECT("TeamsList[Club Name]"),ResultsTeams[[#This Row],[Team B]]),"")</f>
        <v>1</v>
      </c>
      <c r="U2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TEAM-US Huy</v>
      </c>
      <c r="V243" s="265" t="str">
        <f>IF(ResultsTeams[[#This Row],[Score_OK]],IF(ResultsTeams[[#This Row],[StageCpy]]="Groups",ResultsTeams[[#This Row],[Category]]&amp;"-"&amp;IF(ResultsTeams[[#This Row],[Team B]]="","",IF(ResultsTeams[[#This Row],[Match-A]]=ResultsTeams[[#This Row],[Match-B]],ResultsTeams[[#This Row],[Team A]],"")),""),"")</f>
        <v>TEAM-</v>
      </c>
      <c r="W243" s="265" t="str">
        <f>IF(ResultsTeams[[#This Row],[Score_OK]],IF(ResultsTeams[[#This Row],[StageCpy]]="Groups",ResultsTeams[[#This Row],[Category]]&amp;"-"&amp;IF(ResultsTeams[[#This Row],[Team B]]="","",IF(ResultsTeams[[#This Row],[Match-A]]=ResultsTeams[[#This Row],[Match-B]],ResultsTeams[[#This Row],[Team B]],"")),""),"")</f>
        <v>TEAM-</v>
      </c>
      <c r="X2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4</v>
      </c>
      <c r="Y2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4</v>
      </c>
      <c r="AA2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4</v>
      </c>
      <c r="AB243" s="264" t="str">
        <f>IF(ResultsTeams[[#This Row],[Category]]="","",VLOOKUP(ResultsTeams[[#This Row],[Stage]],$R$1:$T$8,MATCH(ResultsTeams[[#This Row],[Category]],$S$1:$T$1,0)+1,FALSE))</f>
        <v>PR1</v>
      </c>
      <c r="AC2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3" s="264" t="str">
        <f>IF(ResultsTeams[[#This Row],[Type]]="G",ResultsTeams[[#This Row],[Stage]],AD242)</f>
        <v>Groups</v>
      </c>
      <c r="AE243" s="395" t="str">
        <f>IF(ResultsTeams[[#This Row],[Type]]="G",INDEX(TeamsList[Club Name],MATCH(ResultsTeams[[#This Row],[Team A]],TeamsList[Team Name],0)),AE242)</f>
        <v>SC Lion's Eugies</v>
      </c>
      <c r="AF243" s="395" t="str">
        <f>IF(ResultsTeams[[#This Row],[Type]]="G",INDEX(TeamsList[Club Name],MATCH(ResultsTeams[[#This Row],[Team B]],TeamsList[Team Name],0)),AF242)</f>
        <v>US Huy</v>
      </c>
      <c r="AG243" s="265"/>
      <c r="AI243" s="12" t="str">
        <f>AI242</f>
        <v>TEAM</v>
      </c>
      <c r="AJ243" s="309" t="s">
        <v>197</v>
      </c>
      <c r="AK243" s="320"/>
      <c r="AL243" s="311"/>
      <c r="AM243" s="292">
        <f>IF(AV243="","",SMALL(AN243:AN249,ROWS(AM243:AM243)))</f>
        <v>1001</v>
      </c>
      <c r="AN243" s="293">
        <f>IF(AV243="","",RANK(AR243,AR243:AR249)*1000+ROWS(AN243:AN243))</f>
        <v>1001</v>
      </c>
      <c r="AO243" s="316">
        <f t="shared" ref="AO243:AO249" si="202">IF(AV243="","",AT243*CritClassEq1_Points+AY243*CritClassEq1_DiffRencontres+BB243*CritClassEq1_DiffMatches+BE243*CritClassEq1_DiffButs+AZ243*CritClassEq1_Matches+BC243*CritClassEq1_Attaque)</f>
        <v>177147000000000</v>
      </c>
      <c r="AP243" s="415" t="b">
        <f>AND(AU243&lt;&gt;"",AU243&gt;0,COUNTIF(AO243:AO249,AO243)&gt;1)</f>
        <v>0</v>
      </c>
      <c r="AQ243" s="316">
        <f t="shared" ref="AQ243:AQ249" si="203">IF(AV243="","",CritClassEq_DiffPart*AK243)</f>
        <v>0</v>
      </c>
      <c r="AR243" s="317">
        <f t="shared" ref="AR243:AR249" si="204">IF(AV243="","",AO243+AQ243+AT243*CritClassEq2_Points+AY243*CritClassEq2_DiffRencontres+BB243*CritClassEq2_DiffMatches+BE243*CritClassEq2_DiffButs+AZ243*CritClassEq2_Matches+BC243*CritClassEq2_Attaque+AL243)</f>
        <v>177147226801400</v>
      </c>
      <c r="AS243" s="415" t="b">
        <f>AND(AU243&lt;&gt;"",AU243&gt;0,COUNTIF(AR243:AR249,AR243)&gt;1)</f>
        <v>0</v>
      </c>
      <c r="AT243" s="355">
        <f t="shared" ref="AT243:AT249" si="205">IF(AV243="","",(AV243*Points_Victoire)+AW243*Points_Null)</f>
        <v>9</v>
      </c>
      <c r="AU243" s="356">
        <f t="shared" ref="AU243:AU249" si="206">IF(AV243="","",SUM(AV243:AX243))</f>
        <v>3</v>
      </c>
      <c r="AV243" s="356">
        <f>IF(OR(AI242="",AJ243=""),"",COUNTIF(ResultsTeams[Win],AI242&amp;"-"&amp;AJ243))</f>
        <v>3</v>
      </c>
      <c r="AW243" s="356">
        <f>IF(OR(AI242="",AJ243=""),"",COUNTIF(ResultsTeams[[Draw1]:[Draw2]],AI242&amp;"-"&amp;AJ243))</f>
        <v>0</v>
      </c>
      <c r="AX243" s="356">
        <f>IF(OR(AI242="",AJ243=""),"",COUNTIF(ResultsTeams[Lose],AI242&amp;"-"&amp;AJ243))</f>
        <v>0</v>
      </c>
      <c r="AY243" s="356">
        <f>IF(OR(AI242="",AJ243=""),"",AV243-AX243)</f>
        <v>3</v>
      </c>
      <c r="AZ243" s="356">
        <f>IF(OR(AI242="",AJ243=""),"",SUMIFS(ResultsTeams[Match-A],ResultsTeams[Stage],"Groups",ResultsTeams[Team A],AJ243)+SUMIFS(ResultsTeams[Match-B],ResultsTeams[Stage],"Groups",ResultsTeams[Team B],AJ243))</f>
        <v>10</v>
      </c>
      <c r="BA243" s="356">
        <f>IF(OR(AI242="",AJ243=""),"",SUMIFS(ResultsTeams[Match-B],ResultsTeams[Stage],"Groups",ResultsTeams[Team A],AJ243)+SUMIFS(ResultsTeams[Match-A],ResultsTeams[Stage],"Groups",ResultsTeams[Team B],AJ243))</f>
        <v>1</v>
      </c>
      <c r="BB243" s="356">
        <f>IF(OR(AI242="",AJ243=""),"",AZ243-BA243)</f>
        <v>9</v>
      </c>
      <c r="BC243" s="356">
        <f>IF(OR(AI242="",AJ243=""),"",SUMIFS(ResultsTeams[Goal-A],ResultsTeams[Stage],"Groups",ResultsTeams[Team A],AJ243)+SUMIFS(ResultsTeams[Goal-B],ResultsTeams[Stage],"Groups",ResultsTeams[Team B],AJ243))</f>
        <v>50</v>
      </c>
      <c r="BD243" s="356">
        <f>IF(OR(AI242="",AJ243=""),"",SUMIFS(ResultsTeams[Goal-B],ResultsTeams[Stage],"Groups",ResultsTeams[Team A],AJ243)+SUMIFS(ResultsTeams[Goal-A],ResultsTeams[Stage],"Groups",ResultsTeams[Team B],AJ243))</f>
        <v>5</v>
      </c>
      <c r="BE243" s="357">
        <f>IF(OR(AI242="",AJ243=""),"",BC243-BD243)</f>
        <v>45</v>
      </c>
      <c r="BF243" s="470" t="b">
        <f>IF(AM243="","",OR(VLOOKUP(AM243,AN243:BE249,3,FALSE),VLOOKUP(AM243,AN243:BE249,6,FALSE)))</f>
        <v>0</v>
      </c>
      <c r="BG243" s="298">
        <f t="shared" ref="BG243:BG249" si="207">IF(AM243="","",INT(AM243/1000))</f>
        <v>1</v>
      </c>
      <c r="BH243" s="285" t="str">
        <f>IF(AM243="","",INDEX(AJ243:AJ249,MATCH(AM243,AN243:AN249,0)))</f>
        <v>Bologna Tigers Subbuteo</v>
      </c>
      <c r="BI243" s="286">
        <f>IF(AM243="","",VLOOKUP(AM243,AN243:BE249,COLUMN()-COLUMN(BB242),FALSE))</f>
        <v>9</v>
      </c>
      <c r="BJ243" s="286">
        <f>IF(AM243="","",VLOOKUP(AM243,AN243:BE249,COLUMN()-COLUMN(BB242),FALSE))</f>
        <v>3</v>
      </c>
      <c r="BK243" s="286">
        <f>IF(AM243="","",VLOOKUP(AM243,AN243:BE249,COLUMN()-COLUMN(BB242),FALSE))</f>
        <v>3</v>
      </c>
      <c r="BL243" s="286">
        <f>IF(AM243="","",VLOOKUP(AM243,AN243:BE249,COLUMN()-COLUMN(BB242),FALSE))</f>
        <v>0</v>
      </c>
      <c r="BM243" s="286">
        <f>IF(AM243="","",VLOOKUP(AM243,AN243:BE249,COLUMN()-COLUMN(BB242),FALSE))</f>
        <v>0</v>
      </c>
      <c r="BN243" s="349">
        <f>IF(AM243="","",VLOOKUP(AM243,AN243:BE249,COLUMN()-COLUMN(BB242),FALSE))</f>
        <v>3</v>
      </c>
      <c r="BO243" s="298">
        <f>IF(AM243="","",VLOOKUP(AM243,AN243:BE249,COLUMN()-COLUMN(BB242),FALSE))</f>
        <v>10</v>
      </c>
      <c r="BP243" s="286">
        <f>IF(AM243="","",VLOOKUP(AM243,AN243:BE249,COLUMN()-COLUMN(BB242),FALSE))</f>
        <v>1</v>
      </c>
      <c r="BQ243" s="301">
        <f>IF(AM243="","",VLOOKUP(AM243,AN243:BE249,COLUMN()-COLUMN(BB242),FALSE))</f>
        <v>9</v>
      </c>
      <c r="BR243" s="352">
        <f>IF(AM243="","",VLOOKUP(AM243,AN243:BE249,COLUMN()-COLUMN(BB242),FALSE))</f>
        <v>50</v>
      </c>
      <c r="BS243" s="286">
        <f>IF(AM243="","",VLOOKUP(AM243,AN243:BE249,COLUMN()-COLUMN(BB242),FALSE))</f>
        <v>5</v>
      </c>
      <c r="BT243" s="301">
        <f>IF(AM243="","",VLOOKUP(AM243,AN243:BE249,COLUMN()-COLUMN(BB242),FALSE))</f>
        <v>45</v>
      </c>
    </row>
    <row r="244" spans="1:72" x14ac:dyDescent="0.2">
      <c r="A244" s="60"/>
      <c r="B244" s="280"/>
      <c r="C244" s="60"/>
      <c r="D244" s="60"/>
      <c r="E244" s="240" t="s">
        <v>12231</v>
      </c>
      <c r="F244" s="244" t="s">
        <v>8201</v>
      </c>
      <c r="G244" s="244" t="s">
        <v>12756</v>
      </c>
      <c r="H244" s="253">
        <v>1</v>
      </c>
      <c r="I244" s="253">
        <v>4</v>
      </c>
      <c r="J244" s="253"/>
      <c r="K244" s="362"/>
      <c r="L244" s="362"/>
      <c r="M244" s="61"/>
      <c r="N244" s="265" t="b">
        <f>NOT(ISERROR(ResultsTeams[[#This Row],[Goal-A]]+ResultsTeams[[#This Row],[Goal-B]]))</f>
        <v>1</v>
      </c>
      <c r="O244" s="265">
        <f>IF(ResultsTeams[[#This Row],[Type]]="G",SUM(O245:O248),IF(LEFT(ResultsTeams[[#This Row],[Type]],1)="P",IF(ResultsTeams[[#This Row],[Goal-A]]&gt;ResultsTeams[[#This Row],[Goal-B]],1,0),""))</f>
        <v>0</v>
      </c>
      <c r="P244" s="265">
        <f>IF(ResultsTeams[[#This Row],[Type]]="G",SUM(P245:P248),IF(LEFT(ResultsTeams[[#This Row],[Type]],1)="P",IF(ResultsTeams[[#This Row],[Goal-A]]&lt;ResultsTeams[[#This Row],[Goal-B]],1,0),""))</f>
        <v>1</v>
      </c>
      <c r="Q244" s="265">
        <f>IF(ResultsTeams[[#This Row],[Type]]="G",SUM(Q245:Q248),IF(LEFT(ResultsTeams[[#This Row],[Type]],1)="P",VALUE(ResultsTeams[[#This Row],[Score-A]]),""))</f>
        <v>1</v>
      </c>
      <c r="R244" s="265">
        <f>IF(ResultsTeams[[#This Row],[Type]]="G",SUM(R245:R248),IF(LEFT(ResultsTeams[[#This Row],[Type]],1)="P",VALUE(ResultsTeams[[#This Row],[Score-B]]),""))</f>
        <v>4</v>
      </c>
      <c r="S244" s="265" t="str">
        <f ca="1">IF(AND(ResultsTeams[[#This Row],[Category]]&lt;&gt;"",ResultsTeams[[#This Row],[Team A]]&lt;&gt;""),COUNTIF(INDIRECT("TeamsList[Club Name]"),ResultsTeams[[#This Row],[Team A]]),"")</f>
        <v/>
      </c>
      <c r="T244" s="265" t="str">
        <f ca="1">IF(AND(ResultsTeams[[#This Row],[Category]]&lt;&gt;"",ResultsTeams[[#This Row],[Team B]]&lt;&gt;""),COUNTIF(INDIRECT("TeamsList[Club Name]"),ResultsTeams[[#This Row],[Team B]]),"")</f>
        <v/>
      </c>
      <c r="U2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-Ronald Scheffer</v>
      </c>
      <c r="V244" s="265" t="str">
        <f>IF(ResultsTeams[[#This Row],[Score_OK]],IF(ResultsTeams[[#This Row],[StageCpy]]="Groups",ResultsTeams[[#This Row],[Category]]&amp;"-"&amp;IF(ResultsTeams[[#This Row],[Team B]]="","",IF(ResultsTeams[[#This Row],[Match-A]]=ResultsTeams[[#This Row],[Match-B]],ResultsTeams[[#This Row],[Team A]],"")),""),"")</f>
        <v>-</v>
      </c>
      <c r="W244" s="265" t="str">
        <f>IF(ResultsTeams[[#This Row],[Score_OK]],IF(ResultsTeams[[#This Row],[StageCpy]]="Groups",ResultsTeams[[#This Row],[Category]]&amp;"-"&amp;IF(ResultsTeams[[#This Row],[Team B]]="","",IF(ResultsTeams[[#This Row],[Match-A]]=ResultsTeams[[#This Row],[Match-B]],ResultsTeams[[#This Row],[Team B]],"")),""),"")</f>
        <v>-</v>
      </c>
      <c r="X2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-Kostandinos Tsangouris</v>
      </c>
      <c r="Y2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4" s="264" t="str">
        <f>IF(ResultsTeams[[#This Row],[Category]]="","",VLOOKUP(ResultsTeams[[#This Row],[Stage]],$R$1:$T$8,MATCH(ResultsTeams[[#This Row],[Category]],$S$1:$T$1,0)+1,FALSE))</f>
        <v/>
      </c>
      <c r="AC2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4" s="264" t="str">
        <f>IF(ResultsTeams[[#This Row],[Type]]="G",ResultsTeams[[#This Row],[Stage]],AD243)</f>
        <v>Groups</v>
      </c>
      <c r="AE244" s="395" t="str">
        <f>IF(ResultsTeams[[#This Row],[Type]]="G",INDEX(TeamsList[Club Name],MATCH(ResultsTeams[[#This Row],[Team A]],TeamsList[Team Name],0)),AE243)</f>
        <v>SC Lion's Eugies</v>
      </c>
      <c r="AF244" s="395" t="str">
        <f>IF(ResultsTeams[[#This Row],[Type]]="G",INDEX(TeamsList[Club Name],MATCH(ResultsTeams[[#This Row],[Team B]],TeamsList[Team Name],0)),AF243)</f>
        <v>US Huy</v>
      </c>
      <c r="AG244" s="265"/>
      <c r="AI244" s="12" t="str">
        <f>AI243</f>
        <v>TEAM</v>
      </c>
      <c r="AJ244" s="309" t="s">
        <v>547</v>
      </c>
      <c r="AK244" s="320"/>
      <c r="AL244" s="311"/>
      <c r="AM244" s="292">
        <f>IF(AV244="","",SMALL(AN243:AN249,ROWS(AM243:AM244)))</f>
        <v>2002</v>
      </c>
      <c r="AN244" s="293">
        <f>IF(AV244="","",RANK(AR244,AR243:AR249)*1000+ROWS(AN243:AN244))</f>
        <v>2002</v>
      </c>
      <c r="AO244" s="316">
        <f t="shared" si="202"/>
        <v>118098000000000</v>
      </c>
      <c r="AP244" s="415" t="b">
        <f>AND(AU244&lt;&gt;"",AU244&gt;0,COUNTIF(AO243:AO249,AO244)&gt;1)</f>
        <v>0</v>
      </c>
      <c r="AQ244" s="316">
        <f t="shared" si="203"/>
        <v>0</v>
      </c>
      <c r="AR244" s="317">
        <f t="shared" si="204"/>
        <v>118098127980724</v>
      </c>
      <c r="AS244" s="415" t="b">
        <f>AND(AU244&lt;&gt;"",AU244&gt;0,COUNTIF(AR243:AR249,AR244)&gt;1)</f>
        <v>0</v>
      </c>
      <c r="AT244" s="355">
        <f t="shared" si="205"/>
        <v>6</v>
      </c>
      <c r="AU244" s="356">
        <f t="shared" si="206"/>
        <v>3</v>
      </c>
      <c r="AV244" s="356">
        <f>IF(OR(AI242="",AJ244=""),"",COUNTIF(ResultsTeams[Win],AI242&amp;"-"&amp;AJ244))</f>
        <v>2</v>
      </c>
      <c r="AW244" s="356">
        <f>IF(OR(AI242="",AJ244=""),"",COUNTIF(ResultsTeams[[Draw1]:[Draw2]],AI242&amp;"-"&amp;AJ244))</f>
        <v>0</v>
      </c>
      <c r="AX244" s="356">
        <f>IF(OR(AI242="",AJ244=""),"",COUNTIF(ResultsTeams[Lose],AI242&amp;"-"&amp;AJ244))</f>
        <v>1</v>
      </c>
      <c r="AY244" s="356">
        <f>IF(OR(AI242="",AJ244=""),"",AV244-AX244)</f>
        <v>1</v>
      </c>
      <c r="AZ244" s="356">
        <f>IF(OR(AI243="",AJ244=""),"",SUMIFS(ResultsTeams[Match-A],ResultsTeams[Stage],"Groups",ResultsTeams[Team A],AJ244)+SUMIFS(ResultsTeams[Match-B],ResultsTeams[Stage],"Groups",ResultsTeams[Team B],AJ244))</f>
        <v>8</v>
      </c>
      <c r="BA244" s="356">
        <f>IF(OR(AI243="",AJ244=""),"",SUMIFS(ResultsTeams[Match-B],ResultsTeams[Stage],"Groups",ResultsTeams[Team A],AJ244)+SUMIFS(ResultsTeams[Match-A],ResultsTeams[Stage],"Groups",ResultsTeams[Team B],AJ244))</f>
        <v>3</v>
      </c>
      <c r="BB244" s="356">
        <f t="shared" ref="BB244:BB249" si="208">IF(OR(AI243="",AJ244=""),"",AZ244-BA244)</f>
        <v>5</v>
      </c>
      <c r="BC244" s="356">
        <f>IF(OR(AI243="",AJ244=""),"",SUMIFS(ResultsTeams[Goal-A],ResultsTeams[Stage],"Groups",ResultsTeams[Team A],AJ244)+SUMIFS(ResultsTeams[Goal-B],ResultsTeams[Stage],"Groups",ResultsTeams[Team B],AJ244))</f>
        <v>34</v>
      </c>
      <c r="BD244" s="356">
        <f>IF(OR(AI243="",AJ244=""),"",SUMIFS(ResultsTeams[Goal-B],ResultsTeams[Stage],"Groups",ResultsTeams[Team A],AJ244)+SUMIFS(ResultsTeams[Goal-A],ResultsTeams[Stage],"Groups",ResultsTeams[Team B],AJ244))</f>
        <v>11</v>
      </c>
      <c r="BE244" s="357">
        <f>IF(OR(AI242="",AJ244=""),"",BC244-BD244)</f>
        <v>23</v>
      </c>
      <c r="BF244" s="470" t="b">
        <f>IF(AM244="","",OR(VLOOKUP(AM244,AN243:BE249,3,FALSE),VLOOKUP(AM244,AN243:BE249,6,FALSE)))</f>
        <v>0</v>
      </c>
      <c r="BG244" s="298">
        <f t="shared" si="207"/>
        <v>2</v>
      </c>
      <c r="BH244" s="285" t="str">
        <f>IF(AM244="","",INDEX(AJ243:AJ249,MATCH(AM244,AN243:AN249,0)))</f>
        <v>Atlas FTC</v>
      </c>
      <c r="BI244" s="286">
        <f>IF(AM244="","",VLOOKUP(AM244,AN243:BE249,COLUMN()-COLUMN(BB242),FALSE))</f>
        <v>6</v>
      </c>
      <c r="BJ244" s="286">
        <f>IF(AM244="","",VLOOKUP(AM244,AN243:BE249,COLUMN()-COLUMN(BB242),FALSE))</f>
        <v>3</v>
      </c>
      <c r="BK244" s="286">
        <f>IF(AM244="","",VLOOKUP(AM244,AN243:BE249,COLUMN()-COLUMN(BB242),FALSE))</f>
        <v>2</v>
      </c>
      <c r="BL244" s="286">
        <f>IF(AM244="","",VLOOKUP(AM244,AN243:BE249,COLUMN()-COLUMN(BB242),FALSE))</f>
        <v>0</v>
      </c>
      <c r="BM244" s="286">
        <f>IF(AM244="","",VLOOKUP(AM244,AN243:BE249,COLUMN()-COLUMN(BB242),FALSE))</f>
        <v>1</v>
      </c>
      <c r="BN244" s="349">
        <f>IF(AM244="","",VLOOKUP(AM244,AN243:BE249,COLUMN()-COLUMN(BB242),FALSE))</f>
        <v>1</v>
      </c>
      <c r="BO244" s="298">
        <f>IF(AM244="","",VLOOKUP(AM244,AN243:BE249,COLUMN()-COLUMN(BB242),FALSE))</f>
        <v>8</v>
      </c>
      <c r="BP244" s="286">
        <f>IF(AM244="","",VLOOKUP(AM244,AN243:BE249,COLUMN()-COLUMN(BB242),FALSE))</f>
        <v>3</v>
      </c>
      <c r="BQ244" s="301">
        <f>IF(AM244="","",VLOOKUP(AM244,AN243:BE249,COLUMN()-COLUMN(BB242),FALSE))</f>
        <v>5</v>
      </c>
      <c r="BR244" s="352">
        <f>IF(AM244="","",VLOOKUP(AM244,AN243:BE249,COLUMN()-COLUMN(BB242),FALSE))</f>
        <v>34</v>
      </c>
      <c r="BS244" s="286">
        <f>IF(AM244="","",VLOOKUP(AM244,AN243:BE249,COLUMN()-COLUMN(BB242),FALSE))</f>
        <v>11</v>
      </c>
      <c r="BT244" s="301">
        <f>IF(AM244="","",VLOOKUP(AM244,AN243:BE249,COLUMN()-COLUMN(BB242),FALSE))</f>
        <v>23</v>
      </c>
    </row>
    <row r="245" spans="1:72" x14ac:dyDescent="0.2">
      <c r="A245" s="62"/>
      <c r="B245" s="280"/>
      <c r="C245" s="62"/>
      <c r="D245" s="62"/>
      <c r="E245" s="241" t="s">
        <v>12234</v>
      </c>
      <c r="F245" s="246" t="s">
        <v>8202</v>
      </c>
      <c r="G245" s="246" t="s">
        <v>11601</v>
      </c>
      <c r="H245" s="254">
        <v>1</v>
      </c>
      <c r="I245" s="254">
        <v>1</v>
      </c>
      <c r="J245" s="254"/>
      <c r="K245" s="363"/>
      <c r="L245" s="363"/>
      <c r="M245" s="63"/>
      <c r="N245" s="265" t="b">
        <f>NOT(ISERROR(ResultsTeams[[#This Row],[Goal-A]]+ResultsTeams[[#This Row],[Goal-B]]))</f>
        <v>1</v>
      </c>
      <c r="O245" s="265">
        <f>IF(ResultsTeams[[#This Row],[Type]]="G",SUM(O246:O249),IF(LEFT(ResultsTeams[[#This Row],[Type]],1)="P",IF(ResultsTeams[[#This Row],[Goal-A]]&gt;ResultsTeams[[#This Row],[Goal-B]],1,0),""))</f>
        <v>0</v>
      </c>
      <c r="P245" s="265">
        <f>IF(ResultsTeams[[#This Row],[Type]]="G",SUM(P246:P249),IF(LEFT(ResultsTeams[[#This Row],[Type]],1)="P",IF(ResultsTeams[[#This Row],[Goal-A]]&lt;ResultsTeams[[#This Row],[Goal-B]],1,0),""))</f>
        <v>0</v>
      </c>
      <c r="Q245" s="265">
        <f>IF(ResultsTeams[[#This Row],[Type]]="G",SUM(Q246:Q249),IF(LEFT(ResultsTeams[[#This Row],[Type]],1)="P",VALUE(ResultsTeams[[#This Row],[Score-A]]),""))</f>
        <v>1</v>
      </c>
      <c r="R245" s="265">
        <f>IF(ResultsTeams[[#This Row],[Type]]="G",SUM(R246:R249),IF(LEFT(ResultsTeams[[#This Row],[Type]],1)="P",VALUE(ResultsTeams[[#This Row],[Score-B]]),""))</f>
        <v>1</v>
      </c>
      <c r="S245" s="265" t="str">
        <f ca="1">IF(AND(ResultsTeams[[#This Row],[Category]]&lt;&gt;"",ResultsTeams[[#This Row],[Team A]]&lt;&gt;""),COUNTIF(INDIRECT("TeamsList[Club Name]"),ResultsTeams[[#This Row],[Team A]]),"")</f>
        <v/>
      </c>
      <c r="T245" s="265" t="str">
        <f ca="1">IF(AND(ResultsTeams[[#This Row],[Category]]&lt;&gt;"",ResultsTeams[[#This Row],[Team B]]&lt;&gt;""),COUNTIF(INDIRECT("TeamsList[Club Name]"),ResultsTeams[[#This Row],[Team B]]),"")</f>
        <v/>
      </c>
      <c r="U2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45" s="265" t="str">
        <f>IF(ResultsTeams[[#This Row],[Score_OK]],IF(ResultsTeams[[#This Row],[StageCpy]]="Groups",ResultsTeams[[#This Row],[Category]]&amp;"-"&amp;IF(ResultsTeams[[#This Row],[Team B]]="","",IF(ResultsTeams[[#This Row],[Match-A]]=ResultsTeams[[#This Row],[Match-B]],ResultsTeams[[#This Row],[Team A]],"")),""),"")</f>
        <v>-Xavier Outers</v>
      </c>
      <c r="W245" s="265" t="str">
        <f>IF(ResultsTeams[[#This Row],[Score_OK]],IF(ResultsTeams[[#This Row],[StageCpy]]="Groups",ResultsTeams[[#This Row],[Category]]&amp;"-"&amp;IF(ResultsTeams[[#This Row],[Team B]]="","",IF(ResultsTeams[[#This Row],[Match-A]]=ResultsTeams[[#This Row],[Match-B]],ResultsTeams[[#This Row],[Team B]],"")),""),"")</f>
        <v>-Fabrice Guyaux</v>
      </c>
      <c r="X2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5" s="264" t="str">
        <f>IF(ResultsTeams[[#This Row],[Category]]="","",VLOOKUP(ResultsTeams[[#This Row],[Stage]],$R$1:$T$8,MATCH(ResultsTeams[[#This Row],[Category]],$S$1:$T$1,0)+1,FALSE))</f>
        <v/>
      </c>
      <c r="AC2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5" s="264" t="str">
        <f>IF(ResultsTeams[[#This Row],[Type]]="G",ResultsTeams[[#This Row],[Stage]],AD244)</f>
        <v>Groups</v>
      </c>
      <c r="AE245" s="395" t="str">
        <f>IF(ResultsTeams[[#This Row],[Type]]="G",INDEX(TeamsList[Club Name],MATCH(ResultsTeams[[#This Row],[Team A]],TeamsList[Team Name],0)),AE244)</f>
        <v>SC Lion's Eugies</v>
      </c>
      <c r="AF245" s="395" t="str">
        <f>IF(ResultsTeams[[#This Row],[Type]]="G",INDEX(TeamsList[Club Name],MATCH(ResultsTeams[[#This Row],[Team B]],TeamsList[Team Name],0)),AF244)</f>
        <v>US Huy</v>
      </c>
      <c r="AG245" s="265"/>
      <c r="AI245" s="12" t="str">
        <f t="shared" ref="AI245:AI249" si="209">AI244</f>
        <v>TEAM</v>
      </c>
      <c r="AJ245" s="309" t="s">
        <v>343</v>
      </c>
      <c r="AK245" s="320"/>
      <c r="AL245" s="311"/>
      <c r="AM245" s="292">
        <f>IF(AV245="","",SMALL(AN243:AN249,ROWS(AM243:AM245)))</f>
        <v>3003</v>
      </c>
      <c r="AN245" s="293">
        <f>IF(AV245="","",RANK(AR245,AR243:AR249)*1000+ROWS(AN243:AN245))</f>
        <v>3003</v>
      </c>
      <c r="AO245" s="316">
        <f t="shared" si="202"/>
        <v>59049000000000</v>
      </c>
      <c r="AP245" s="415" t="b">
        <f>AND(AU245&lt;&gt;"",AU245&gt;0,COUNTIF(AO243:AO249,AO245)&gt;1)</f>
        <v>0</v>
      </c>
      <c r="AQ245" s="316">
        <f t="shared" si="203"/>
        <v>0</v>
      </c>
      <c r="AR245" s="317">
        <f t="shared" si="204"/>
        <v>59048930339718</v>
      </c>
      <c r="AS245" s="415" t="b">
        <f>AND(AU245&lt;&gt;"",AU245&gt;0,COUNTIF(AR243:AR249,AR245)&gt;1)</f>
        <v>0</v>
      </c>
      <c r="AT245" s="355">
        <f t="shared" si="205"/>
        <v>3</v>
      </c>
      <c r="AU245" s="356">
        <f t="shared" si="206"/>
        <v>3</v>
      </c>
      <c r="AV245" s="356">
        <f>IF(OR(AI242="",AJ245=""),"",COUNTIF(ResultsTeams[Win],AI242&amp;"-"&amp;AJ245))</f>
        <v>1</v>
      </c>
      <c r="AW245" s="356">
        <f>IF(OR(AI242="",AJ245=""),"",COUNTIF(ResultsTeams[[Draw1]:[Draw2]],AI242&amp;"-"&amp;AJ245))</f>
        <v>0</v>
      </c>
      <c r="AX245" s="356">
        <f>IF(OR(AI242="",AJ245=""),"",COUNTIF(ResultsTeams[Lose],AI242&amp;"-"&amp;AJ245))</f>
        <v>2</v>
      </c>
      <c r="AY245" s="356">
        <f>IF(OR(AI242="",AJ245=""),"",AV245-AX245)</f>
        <v>-1</v>
      </c>
      <c r="AZ245" s="356">
        <f>IF(OR(AI244="",AJ245=""),"",SUMIFS(ResultsTeams[Match-A],ResultsTeams[Stage],"Groups",ResultsTeams[Team A],AJ245)+SUMIFS(ResultsTeams[Match-B],ResultsTeams[Stage],"Groups",ResultsTeams[Team B],AJ245))</f>
        <v>4</v>
      </c>
      <c r="BA245" s="356">
        <f>IF(OR(AI244="",AJ245=""),"",SUMIFS(ResultsTeams[Match-B],ResultsTeams[Stage],"Groups",ResultsTeams[Team A],AJ245)+SUMIFS(ResultsTeams[Match-A],ResultsTeams[Stage],"Groups",ResultsTeams[Team B],AJ245))</f>
        <v>7</v>
      </c>
      <c r="BB245" s="356">
        <f t="shared" si="208"/>
        <v>-3</v>
      </c>
      <c r="BC245" s="356">
        <f>IF(OR(AI244="",AJ245=""),"",SUMIFS(ResultsTeams[Goal-A],ResultsTeams[Stage],"Groups",ResultsTeams[Team A],AJ245)+SUMIFS(ResultsTeams[Goal-B],ResultsTeams[Stage],"Groups",ResultsTeams[Team B],AJ245))</f>
        <v>18</v>
      </c>
      <c r="BD245" s="356">
        <f>IF(OR(AI244="",AJ245=""),"",SUMIFS(ResultsTeams[Goal-B],ResultsTeams[Stage],"Groups",ResultsTeams[Team A],AJ245)+SUMIFS(ResultsTeams[Goal-A],ResultsTeams[Stage],"Groups",ResultsTeams[Team B],AJ245))</f>
        <v>28</v>
      </c>
      <c r="BE245" s="357">
        <f>IF(OR(AI242="",AJ245=""),"",BC245-BD245)</f>
        <v>-10</v>
      </c>
      <c r="BF245" s="470" t="b">
        <f>IF(AM245="","",OR(VLOOKUP(AM245,AN243:BE249,3,FALSE),VLOOKUP(AM245,AN243:BE249,6,FALSE)))</f>
        <v>0</v>
      </c>
      <c r="BG245" s="298">
        <f t="shared" si="207"/>
        <v>3</v>
      </c>
      <c r="BH245" s="285" t="str">
        <f>IF(AM245="","",INDEX(AJ243:AJ249,MATCH(AM245,AN243:AN249,0)))</f>
        <v>US Huy</v>
      </c>
      <c r="BI245" s="286">
        <f>IF(AM245="","",VLOOKUP(AM245,AN243:BE249,COLUMN()-COLUMN(BB242),FALSE))</f>
        <v>3</v>
      </c>
      <c r="BJ245" s="286">
        <f>IF(AM245="","",VLOOKUP(AM245,AN243:BE249,COLUMN()-COLUMN(BB242),FALSE))</f>
        <v>3</v>
      </c>
      <c r="BK245" s="286">
        <f>IF(AM245="","",VLOOKUP(AM245,AN243:BE249,COLUMN()-COLUMN(BB242),FALSE))</f>
        <v>1</v>
      </c>
      <c r="BL245" s="286">
        <f>IF(AM245="","",VLOOKUP(AM245,AN243:BE249,COLUMN()-COLUMN(BB242),FALSE))</f>
        <v>0</v>
      </c>
      <c r="BM245" s="286">
        <f>IF(AM245="","",VLOOKUP(AM245,AN243:BE249,COLUMN()-COLUMN(BB242),FALSE))</f>
        <v>2</v>
      </c>
      <c r="BN245" s="349">
        <f>IF(AM245="","",VLOOKUP(AM245,AN243:BE249,COLUMN()-COLUMN(BB242),FALSE))</f>
        <v>-1</v>
      </c>
      <c r="BO245" s="298">
        <f>IF(AM245="","",VLOOKUP(AM245,AN243:BE249,COLUMN()-COLUMN(BB242),FALSE))</f>
        <v>4</v>
      </c>
      <c r="BP245" s="286">
        <f>IF(AM245="","",VLOOKUP(AM245,AN243:BE249,COLUMN()-COLUMN(BB242),FALSE))</f>
        <v>7</v>
      </c>
      <c r="BQ245" s="301">
        <f>IF(AM245="","",VLOOKUP(AM245,AN243:BE249,COLUMN()-COLUMN(BB242),FALSE))</f>
        <v>-3</v>
      </c>
      <c r="BR245" s="352">
        <f>IF(AM245="","",VLOOKUP(AM245,AN243:BE249,COLUMN()-COLUMN(BB242),FALSE))</f>
        <v>18</v>
      </c>
      <c r="BS245" s="286">
        <f>IF(AM245="","",VLOOKUP(AM245,AN243:BE249,COLUMN()-COLUMN(BB242),FALSE))</f>
        <v>28</v>
      </c>
      <c r="BT245" s="301">
        <f>IF(AM245="","",VLOOKUP(AM245,AN243:BE249,COLUMN()-COLUMN(BB242),FALSE))</f>
        <v>-10</v>
      </c>
    </row>
    <row r="246" spans="1:72" x14ac:dyDescent="0.2">
      <c r="A246" s="62"/>
      <c r="B246" s="280"/>
      <c r="C246" s="62"/>
      <c r="D246" s="62"/>
      <c r="E246" s="241" t="s">
        <v>12237</v>
      </c>
      <c r="F246" s="246" t="s">
        <v>11590</v>
      </c>
      <c r="G246" s="246" t="s">
        <v>8152</v>
      </c>
      <c r="H246" s="254">
        <v>1</v>
      </c>
      <c r="I246" s="254">
        <v>2</v>
      </c>
      <c r="J246" s="254"/>
      <c r="K246" s="363"/>
      <c r="L246" s="363"/>
      <c r="M246" s="63"/>
      <c r="N246" s="265" t="b">
        <f>NOT(ISERROR(ResultsTeams[[#This Row],[Goal-A]]+ResultsTeams[[#This Row],[Goal-B]]))</f>
        <v>1</v>
      </c>
      <c r="O246" s="265">
        <f>IF(ResultsTeams[[#This Row],[Type]]="G",SUM(O247:O250),IF(LEFT(ResultsTeams[[#This Row],[Type]],1)="P",IF(ResultsTeams[[#This Row],[Goal-A]]&gt;ResultsTeams[[#This Row],[Goal-B]],1,0),""))</f>
        <v>0</v>
      </c>
      <c r="P246" s="265">
        <f>IF(ResultsTeams[[#This Row],[Type]]="G",SUM(P247:P250),IF(LEFT(ResultsTeams[[#This Row],[Type]],1)="P",IF(ResultsTeams[[#This Row],[Goal-A]]&lt;ResultsTeams[[#This Row],[Goal-B]],1,0),""))</f>
        <v>1</v>
      </c>
      <c r="Q246" s="265">
        <f>IF(ResultsTeams[[#This Row],[Type]]="G",SUM(Q247:Q250),IF(LEFT(ResultsTeams[[#This Row],[Type]],1)="P",VALUE(ResultsTeams[[#This Row],[Score-A]]),""))</f>
        <v>1</v>
      </c>
      <c r="R246" s="265">
        <f>IF(ResultsTeams[[#This Row],[Type]]="G",SUM(R247:R250),IF(LEFT(ResultsTeams[[#This Row],[Type]],1)="P",VALUE(ResultsTeams[[#This Row],[Score-B]]),""))</f>
        <v>2</v>
      </c>
      <c r="S246" s="265" t="str">
        <f ca="1">IF(AND(ResultsTeams[[#This Row],[Category]]&lt;&gt;"",ResultsTeams[[#This Row],[Team A]]&lt;&gt;""),COUNTIF(INDIRECT("TeamsList[Club Name]"),ResultsTeams[[#This Row],[Team A]]),"")</f>
        <v/>
      </c>
      <c r="T246" s="265" t="str">
        <f ca="1">IF(AND(ResultsTeams[[#This Row],[Category]]&lt;&gt;"",ResultsTeams[[#This Row],[Team B]]&lt;&gt;""),COUNTIF(INDIRECT("TeamsList[Club Name]"),ResultsTeams[[#This Row],[Team B]]),"")</f>
        <v/>
      </c>
      <c r="U2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-Sébastien Darmont</v>
      </c>
      <c r="V246" s="265" t="str">
        <f>IF(ResultsTeams[[#This Row],[Score_OK]],IF(ResultsTeams[[#This Row],[StageCpy]]="Groups",ResultsTeams[[#This Row],[Category]]&amp;"-"&amp;IF(ResultsTeams[[#This Row],[Team B]]="","",IF(ResultsTeams[[#This Row],[Match-A]]=ResultsTeams[[#This Row],[Match-B]],ResultsTeams[[#This Row],[Team A]],"")),""),"")</f>
        <v>-</v>
      </c>
      <c r="W246" s="265" t="str">
        <f>IF(ResultsTeams[[#This Row],[Score_OK]],IF(ResultsTeams[[#This Row],[StageCpy]]="Groups",ResultsTeams[[#This Row],[Category]]&amp;"-"&amp;IF(ResultsTeams[[#This Row],[Team B]]="","",IF(ResultsTeams[[#This Row],[Match-A]]=ResultsTeams[[#This Row],[Match-B]],ResultsTeams[[#This Row],[Team B]],"")),""),"")</f>
        <v>-</v>
      </c>
      <c r="X2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-Emeric Delcroix</v>
      </c>
      <c r="Y2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6" s="264" t="str">
        <f>IF(ResultsTeams[[#This Row],[Category]]="","",VLOOKUP(ResultsTeams[[#This Row],[Stage]],$R$1:$T$8,MATCH(ResultsTeams[[#This Row],[Category]],$S$1:$T$1,0)+1,FALSE))</f>
        <v/>
      </c>
      <c r="AC2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6" s="264" t="str">
        <f>IF(ResultsTeams[[#This Row],[Type]]="G",ResultsTeams[[#This Row],[Stage]],AD245)</f>
        <v>Groups</v>
      </c>
      <c r="AE246" s="395" t="str">
        <f>IF(ResultsTeams[[#This Row],[Type]]="G",INDEX(TeamsList[Club Name],MATCH(ResultsTeams[[#This Row],[Team A]],TeamsList[Team Name],0)),AE245)</f>
        <v>SC Lion's Eugies</v>
      </c>
      <c r="AF246" s="395" t="str">
        <f>IF(ResultsTeams[[#This Row],[Type]]="G",INDEX(TeamsList[Club Name],MATCH(ResultsTeams[[#This Row],[Team B]],TeamsList[Team Name],0)),AF245)</f>
        <v>US Huy</v>
      </c>
      <c r="AG246" s="265"/>
      <c r="AH246" s="91"/>
      <c r="AI246" s="12" t="str">
        <f t="shared" si="209"/>
        <v>TEAM</v>
      </c>
      <c r="AJ246" s="309" t="s">
        <v>14592</v>
      </c>
      <c r="AK246" s="310"/>
      <c r="AL246" s="311"/>
      <c r="AM246" s="292">
        <f>IF(AV246="","",SMALL(AN243:AN249,ROWS(AM243:AM246)))</f>
        <v>4004</v>
      </c>
      <c r="AN246" s="293">
        <f>IF(AV246="","",RANK(AR246,AR243:AR249)*1000+ROWS(AN243:AN246))</f>
        <v>4004</v>
      </c>
      <c r="AO246" s="316">
        <f t="shared" si="202"/>
        <v>0</v>
      </c>
      <c r="AP246" s="415" t="b">
        <f>AND(AU246&lt;&gt;"",AU246&gt;0,COUNTIF(AO243:AO249,AO246)&gt;1)</f>
        <v>0</v>
      </c>
      <c r="AQ246" s="316">
        <f t="shared" si="203"/>
        <v>0</v>
      </c>
      <c r="AR246" s="317">
        <f t="shared" si="204"/>
        <v>-267301733</v>
      </c>
      <c r="AS246" s="415" t="b">
        <f>AND(AU246&lt;&gt;"",AU246&gt;0,COUNTIF(AR243:AR249,AR246)&gt;1)</f>
        <v>0</v>
      </c>
      <c r="AT246" s="355">
        <f t="shared" si="205"/>
        <v>0</v>
      </c>
      <c r="AU246" s="356">
        <f t="shared" si="206"/>
        <v>3</v>
      </c>
      <c r="AV246" s="356">
        <f>IF(OR(AI242="",AJ246=""),"",COUNTIF(ResultsTeams[Win],AI242&amp;"-"&amp;AJ246))</f>
        <v>0</v>
      </c>
      <c r="AW246" s="356">
        <f>IF(OR(AI242="",AJ246=""),"",COUNTIF(ResultsTeams[[Draw1]:[Draw2]],AI242&amp;"-"&amp;AJ246))</f>
        <v>0</v>
      </c>
      <c r="AX246" s="356">
        <f>IF(OR(AI242="",AJ246=""),"",COUNTIF(ResultsTeams[Lose],AI242&amp;"-"&amp;AJ246))</f>
        <v>3</v>
      </c>
      <c r="AY246" s="356">
        <f>IF(OR(AI242="",AJ246=""),"",AV246-AX246)</f>
        <v>-3</v>
      </c>
      <c r="AZ246" s="356">
        <f>IF(OR(AI245="",AJ246=""),"",SUMIFS(ResultsTeams[Match-A],ResultsTeams[Stage],"Groups",ResultsTeams[Team A],AJ246)+SUMIFS(ResultsTeams[Match-B],ResultsTeams[Stage],"Groups",ResultsTeams[Team B],AJ246))</f>
        <v>0</v>
      </c>
      <c r="BA246" s="356">
        <f>IF(OR(AI245="",AJ246=""),"",SUMIFS(ResultsTeams[Match-B],ResultsTeams[Stage],"Groups",ResultsTeams[Team A],AJ246)+SUMIFS(ResultsTeams[Match-A],ResultsTeams[Stage],"Groups",ResultsTeams[Team B],AJ246))</f>
        <v>11</v>
      </c>
      <c r="BB246" s="356">
        <f t="shared" si="208"/>
        <v>-11</v>
      </c>
      <c r="BC246" s="356">
        <f>IF(OR(AI245="",AJ246=""),"",SUMIFS(ResultsTeams[Goal-A],ResultsTeams[Stage],"Groups",ResultsTeams[Team A],AJ246)+SUMIFS(ResultsTeams[Goal-B],ResultsTeams[Stage],"Groups",ResultsTeams[Team B],AJ246))</f>
        <v>7</v>
      </c>
      <c r="BD246" s="356">
        <f>IF(OR(AI245="",AJ246=""),"",SUMIFS(ResultsTeams[Goal-B],ResultsTeams[Stage],"Groups",ResultsTeams[Team A],AJ246)+SUMIFS(ResultsTeams[Goal-A],ResultsTeams[Stage],"Groups",ResultsTeams[Team B],AJ246))</f>
        <v>65</v>
      </c>
      <c r="BE246" s="357">
        <f>IF(OR(AI242="",AJ246=""),"",BC246-BD246)</f>
        <v>-58</v>
      </c>
      <c r="BF246" s="470" t="b">
        <f>IF(AM246="","",OR(VLOOKUP(AM246,AN243:BE249,3,FALSE),VLOOKUP(AM246,AN243:BE249,6,FALSE)))</f>
        <v>0</v>
      </c>
      <c r="BG246" s="298">
        <f t="shared" si="207"/>
        <v>4</v>
      </c>
      <c r="BH246" s="285" t="str">
        <f>IF(AM246="","",INDEX(AJ243:AJ249,MATCH(AM246,AN243:AN249,0)))</f>
        <v>SC Lion's Eugies 4</v>
      </c>
      <c r="BI246" s="286">
        <f>IF(AM246="","",VLOOKUP(AM246,AN243:BE249,COLUMN()-COLUMN(BB242),FALSE))</f>
        <v>0</v>
      </c>
      <c r="BJ246" s="286">
        <f>IF(AM246="","",VLOOKUP(AM246,AN243:BE249,COLUMN()-COLUMN(BB242),FALSE))</f>
        <v>3</v>
      </c>
      <c r="BK246" s="286">
        <f>IF(AM246="","",VLOOKUP(AM246,AN243:BE249,COLUMN()-COLUMN(BB242),FALSE))</f>
        <v>0</v>
      </c>
      <c r="BL246" s="286">
        <f>IF(AM246="","",VLOOKUP(AM246,AN243:BE249,COLUMN()-COLUMN(BB242),FALSE))</f>
        <v>0</v>
      </c>
      <c r="BM246" s="286">
        <f>IF(AM246="","",VLOOKUP(AM246,AN243:BE249,COLUMN()-COLUMN(BB242),FALSE))</f>
        <v>3</v>
      </c>
      <c r="BN246" s="349">
        <f>IF(AM246="","",VLOOKUP(AM246,AN243:BE249,COLUMN()-COLUMN(BB242),FALSE))</f>
        <v>-3</v>
      </c>
      <c r="BO246" s="298">
        <f>IF(AM246="","",VLOOKUP(AM246,AN243:BE249,COLUMN()-COLUMN(BB242),FALSE))</f>
        <v>0</v>
      </c>
      <c r="BP246" s="286">
        <f>IF(AM246="","",VLOOKUP(AM246,AN243:BE249,COLUMN()-COLUMN(BB242),FALSE))</f>
        <v>11</v>
      </c>
      <c r="BQ246" s="301">
        <f>IF(AM246="","",VLOOKUP(AM246,AN243:BE249,COLUMN()-COLUMN(BB242),FALSE))</f>
        <v>-11</v>
      </c>
      <c r="BR246" s="352">
        <f>IF(AM246="","",VLOOKUP(AM246,AN243:BE249,COLUMN()-COLUMN(BB242),FALSE))</f>
        <v>7</v>
      </c>
      <c r="BS246" s="286">
        <f>IF(AM246="","",VLOOKUP(AM246,AN243:BE249,COLUMN()-COLUMN(BB242),FALSE))</f>
        <v>65</v>
      </c>
      <c r="BT246" s="301">
        <f>IF(AM246="","",VLOOKUP(AM246,AN243:BE249,COLUMN()-COLUMN(BB242),FALSE))</f>
        <v>-58</v>
      </c>
    </row>
    <row r="247" spans="1:72" x14ac:dyDescent="0.2">
      <c r="A247" s="62"/>
      <c r="B247" s="280"/>
      <c r="C247" s="62"/>
      <c r="D247" s="62"/>
      <c r="E247" s="241" t="s">
        <v>12240</v>
      </c>
      <c r="F247" s="246" t="s">
        <v>8196</v>
      </c>
      <c r="G247" s="246" t="s">
        <v>8131</v>
      </c>
      <c r="H247" s="254">
        <v>0</v>
      </c>
      <c r="I247" s="254">
        <v>6</v>
      </c>
      <c r="J247" s="254"/>
      <c r="K247" s="363"/>
      <c r="L247" s="363"/>
      <c r="M247" s="63"/>
      <c r="N247" s="265" t="b">
        <f>NOT(ISERROR(ResultsTeams[[#This Row],[Goal-A]]+ResultsTeams[[#This Row],[Goal-B]]))</f>
        <v>1</v>
      </c>
      <c r="O247" s="265">
        <f>IF(ResultsTeams[[#This Row],[Type]]="G",SUM(O248:O251),IF(LEFT(ResultsTeams[[#This Row],[Type]],1)="P",IF(ResultsTeams[[#This Row],[Goal-A]]&gt;ResultsTeams[[#This Row],[Goal-B]],1,0),""))</f>
        <v>0</v>
      </c>
      <c r="P247" s="265">
        <f>IF(ResultsTeams[[#This Row],[Type]]="G",SUM(P248:P251),IF(LEFT(ResultsTeams[[#This Row],[Type]],1)="P",IF(ResultsTeams[[#This Row],[Goal-A]]&lt;ResultsTeams[[#This Row],[Goal-B]],1,0),""))</f>
        <v>1</v>
      </c>
      <c r="Q247" s="265">
        <f>IF(ResultsTeams[[#This Row],[Type]]="G",SUM(Q248:Q251),IF(LEFT(ResultsTeams[[#This Row],[Type]],1)="P",VALUE(ResultsTeams[[#This Row],[Score-A]]),""))</f>
        <v>0</v>
      </c>
      <c r="R247" s="265">
        <f>IF(ResultsTeams[[#This Row],[Type]]="G",SUM(R248:R251),IF(LEFT(ResultsTeams[[#This Row],[Type]],1)="P",VALUE(ResultsTeams[[#This Row],[Score-B]]),""))</f>
        <v>6</v>
      </c>
      <c r="S247" s="265" t="str">
        <f ca="1">IF(AND(ResultsTeams[[#This Row],[Category]]&lt;&gt;"",ResultsTeams[[#This Row],[Team A]]&lt;&gt;""),COUNTIF(INDIRECT("TeamsList[Club Name]"),ResultsTeams[[#This Row],[Team A]]),"")</f>
        <v/>
      </c>
      <c r="T247" s="265" t="str">
        <f ca="1">IF(AND(ResultsTeams[[#This Row],[Category]]&lt;&gt;"",ResultsTeams[[#This Row],[Team B]]&lt;&gt;""),COUNTIF(INDIRECT("TeamsList[Club Name]"),ResultsTeams[[#This Row],[Team B]]),"")</f>
        <v/>
      </c>
      <c r="U2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-Pol Serwy</v>
      </c>
      <c r="V247" s="265" t="str">
        <f>IF(ResultsTeams[[#This Row],[Score_OK]],IF(ResultsTeams[[#This Row],[StageCpy]]="Groups",ResultsTeams[[#This Row],[Category]]&amp;"-"&amp;IF(ResultsTeams[[#This Row],[Team B]]="","",IF(ResultsTeams[[#This Row],[Match-A]]=ResultsTeams[[#This Row],[Match-B]],ResultsTeams[[#This Row],[Team A]],"")),""),"")</f>
        <v>-</v>
      </c>
      <c r="W247" s="265" t="str">
        <f>IF(ResultsTeams[[#This Row],[Score_OK]],IF(ResultsTeams[[#This Row],[StageCpy]]="Groups",ResultsTeams[[#This Row],[Category]]&amp;"-"&amp;IF(ResultsTeams[[#This Row],[Team B]]="","",IF(ResultsTeams[[#This Row],[Match-A]]=ResultsTeams[[#This Row],[Match-B]],ResultsTeams[[#This Row],[Team B]],"")),""),"")</f>
        <v>-</v>
      </c>
      <c r="X2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-Mael Denne</v>
      </c>
      <c r="Y2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7" s="264" t="str">
        <f>IF(ResultsTeams[[#This Row],[Category]]="","",VLOOKUP(ResultsTeams[[#This Row],[Stage]],$R$1:$T$8,MATCH(ResultsTeams[[#This Row],[Category]],$S$1:$T$1,0)+1,FALSE))</f>
        <v/>
      </c>
      <c r="AC2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7" s="264" t="str">
        <f>IF(ResultsTeams[[#This Row],[Type]]="G",ResultsTeams[[#This Row],[Stage]],AD246)</f>
        <v>Groups</v>
      </c>
      <c r="AE247" s="395" t="str">
        <f>IF(ResultsTeams[[#This Row],[Type]]="G",INDEX(TeamsList[Club Name],MATCH(ResultsTeams[[#This Row],[Team A]],TeamsList[Team Name],0)),AE246)</f>
        <v>SC Lion's Eugies</v>
      </c>
      <c r="AF247" s="395" t="str">
        <f>IF(ResultsTeams[[#This Row],[Type]]="G",INDEX(TeamsList[Club Name],MATCH(ResultsTeams[[#This Row],[Team B]],TeamsList[Team Name],0)),AF246)</f>
        <v>US Huy</v>
      </c>
      <c r="AG247" s="265"/>
      <c r="AH247" s="91"/>
      <c r="AI247" s="12" t="str">
        <f t="shared" si="209"/>
        <v>TEAM</v>
      </c>
      <c r="AJ247" s="309"/>
      <c r="AK247" s="310"/>
      <c r="AL247" s="311"/>
      <c r="AM247" s="292" t="str">
        <f>IF(AV247="","",SMALL(AN243:AN249,ROWS(AM243:AM247)))</f>
        <v/>
      </c>
      <c r="AN247" s="293" t="str">
        <f>IF(AV247="","",RANK(AR247,AR243:AR249)*1000+ROWS(AN243:AN247))</f>
        <v/>
      </c>
      <c r="AO247" s="316" t="str">
        <f t="shared" si="202"/>
        <v/>
      </c>
      <c r="AP247" s="415" t="b">
        <f>AND(AU247&lt;&gt;"",AU247&gt;0,COUNTIF(AO243:AO249,AO247)&gt;1)</f>
        <v>0</v>
      </c>
      <c r="AQ247" s="316" t="str">
        <f t="shared" si="203"/>
        <v/>
      </c>
      <c r="AR247" s="317" t="str">
        <f t="shared" si="204"/>
        <v/>
      </c>
      <c r="AS247" s="415" t="b">
        <f>AND(AU247&lt;&gt;"",AU247&gt;0,COUNTIF(AR243:AR249,AR247)&gt;1)</f>
        <v>0</v>
      </c>
      <c r="AT247" s="355" t="str">
        <f t="shared" si="205"/>
        <v/>
      </c>
      <c r="AU247" s="356" t="str">
        <f t="shared" si="206"/>
        <v/>
      </c>
      <c r="AV247" s="356" t="str">
        <f>IF(OR(AI242="",AJ247=""),"",COUNTIF(ResultsTeams[Win],AI242&amp;"-"&amp;AJ247))</f>
        <v/>
      </c>
      <c r="AW247" s="356" t="str">
        <f>IF(OR(AI242="",AJ247=""),"",COUNTIF(ResultsTeams[[Draw1]:[Draw2]],AI242&amp;"-"&amp;AJ247))</f>
        <v/>
      </c>
      <c r="AX247" s="356" t="str">
        <f>IF(OR(AI242="",AJ247=""),"",COUNTIF(ResultsTeams[Lose],AI242&amp;"-"&amp;AJ247))</f>
        <v/>
      </c>
      <c r="AY247" s="356" t="str">
        <f>IF(OR(AI242="",AJ247=""),"",AV247-AX247)</f>
        <v/>
      </c>
      <c r="AZ247" s="356" t="str">
        <f>IF(OR(AI246="",AJ247=""),"",SUMIFS(ResultsTeams[Match-A],ResultsTeams[Stage],"Groups",ResultsTeams[Team A],AJ247)+SUMIFS(ResultsTeams[Match-B],ResultsTeams[Stage],"Groups",ResultsTeams[Team B],AJ247))</f>
        <v/>
      </c>
      <c r="BA247" s="356" t="str">
        <f>IF(OR(AI246="",AJ247=""),"",SUMIFS(ResultsTeams[Match-B],ResultsTeams[Stage],"Groups",ResultsTeams[Team A],AJ247)+SUMIFS(ResultsTeams[Match-A],ResultsTeams[Stage],"Groups",ResultsTeams[Team B],AJ247))</f>
        <v/>
      </c>
      <c r="BB247" s="356" t="str">
        <f t="shared" si="208"/>
        <v/>
      </c>
      <c r="BC247" s="356" t="str">
        <f>IF(OR(AI246="",AJ247=""),"",SUMIFS(ResultsTeams[Goal-A],ResultsTeams[Stage],"Groups",ResultsTeams[Team A],AJ247)+SUMIFS(ResultsTeams[Goal-B],ResultsTeams[Stage],"Groups",ResultsTeams[Team B],AJ247))</f>
        <v/>
      </c>
      <c r="BD247" s="356" t="str">
        <f>IF(OR(AI246="",AJ247=""),"",SUMIFS(ResultsTeams[Goal-B],ResultsTeams[Stage],"Groups",ResultsTeams[Team A],AJ247)+SUMIFS(ResultsTeams[Goal-A],ResultsTeams[Stage],"Groups",ResultsTeams[Team B],AJ247))</f>
        <v/>
      </c>
      <c r="BE247" s="357" t="str">
        <f>IF(OR(AI242="",AJ247=""),"",BC247-BD247)</f>
        <v/>
      </c>
      <c r="BF247" s="470" t="str">
        <f>IF(AM247="","",OR(VLOOKUP(AM247,AN243:BE249,3,FALSE),VLOOKUP(AM247,AN243:BE249,6,FALSE)))</f>
        <v/>
      </c>
      <c r="BG247" s="298" t="str">
        <f t="shared" si="207"/>
        <v/>
      </c>
      <c r="BH247" s="285" t="str">
        <f>IF(AM247="","",INDEX(AJ243:AJ249,MATCH(AM247,AN243:AN249,0)))</f>
        <v/>
      </c>
      <c r="BI247" s="286" t="str">
        <f>IF(AM247="","",VLOOKUP(AM247,AN243:BE249,COLUMN()-COLUMN(BB242),FALSE))</f>
        <v/>
      </c>
      <c r="BJ247" s="286" t="str">
        <f>IF(AM247="","",VLOOKUP(AM247,AN243:BE249,COLUMN()-COLUMN(BB242),FALSE))</f>
        <v/>
      </c>
      <c r="BK247" s="286" t="str">
        <f>IF(AM247="","",VLOOKUP(AM247,AN243:BE249,COLUMN()-COLUMN(BB242),FALSE))</f>
        <v/>
      </c>
      <c r="BL247" s="286" t="str">
        <f>IF(AM247="","",VLOOKUP(AM247,AN243:BE249,COLUMN()-COLUMN(BB242),FALSE))</f>
        <v/>
      </c>
      <c r="BM247" s="286" t="str">
        <f>IF(AM247="","",VLOOKUP(AM247,AN243:BE249,COLUMN()-COLUMN(BB242),FALSE))</f>
        <v/>
      </c>
      <c r="BN247" s="349" t="str">
        <f>IF(AM247="","",VLOOKUP(AM247,AN243:BE249,COLUMN()-COLUMN(BB242),FALSE))</f>
        <v/>
      </c>
      <c r="BO247" s="298" t="str">
        <f>IF(AM247="","",VLOOKUP(AM247,AN243:BE249,COLUMN()-COLUMN(BB242),FALSE))</f>
        <v/>
      </c>
      <c r="BP247" s="286" t="str">
        <f>IF(AM247="","",VLOOKUP(AM247,AN243:BE249,COLUMN()-COLUMN(BB242),FALSE))</f>
        <v/>
      </c>
      <c r="BQ247" s="301" t="str">
        <f>IF(AM247="","",VLOOKUP(AM247,AN243:BE249,COLUMN()-COLUMN(BB242),FALSE))</f>
        <v/>
      </c>
      <c r="BR247" s="352" t="str">
        <f>IF(AM247="","",VLOOKUP(AM247,AN243:BE249,COLUMN()-COLUMN(BB242),FALSE))</f>
        <v/>
      </c>
      <c r="BS247" s="286" t="str">
        <f>IF(AM247="","",VLOOKUP(AM247,AN243:BE249,COLUMN()-COLUMN(BB242),FALSE))</f>
        <v/>
      </c>
      <c r="BT247" s="301" t="str">
        <f>IF(AM247="","",VLOOKUP(AM247,AN243:BE249,COLUMN()-COLUMN(BB242),FALSE))</f>
        <v/>
      </c>
    </row>
    <row r="248" spans="1:72" x14ac:dyDescent="0.2">
      <c r="A248" s="62"/>
      <c r="B248" s="62"/>
      <c r="C248" s="62"/>
      <c r="D248" s="62"/>
      <c r="E248" s="241" t="s">
        <v>12243</v>
      </c>
      <c r="F248" s="247" t="s">
        <v>8103</v>
      </c>
      <c r="G248" s="247" t="s">
        <v>8100</v>
      </c>
      <c r="H248" s="254" t="s">
        <v>12244</v>
      </c>
      <c r="I248" s="254" t="s">
        <v>12244</v>
      </c>
      <c r="J248" s="260"/>
      <c r="K248" s="364"/>
      <c r="L248" s="364"/>
      <c r="M248" s="63"/>
      <c r="N248" s="265" t="b">
        <f>NOT(ISERROR(ResultsTeams[[#This Row],[Goal-A]]+ResultsTeams[[#This Row],[Goal-B]]))</f>
        <v>0</v>
      </c>
      <c r="O248" s="265" t="str">
        <f>IF(ResultsTeams[[#This Row],[Type]]="G",SUM(O249:O252),IF(LEFT(ResultsTeams[[#This Row],[Type]],1)="P",IF(ResultsTeams[[#This Row],[Goal-A]]&gt;ResultsTeams[[#This Row],[Goal-B]],1,0),""))</f>
        <v/>
      </c>
      <c r="P248" s="265" t="str">
        <f>IF(ResultsTeams[[#This Row],[Type]]="G",SUM(P249:P252),IF(LEFT(ResultsTeams[[#This Row],[Type]],1)="P",IF(ResultsTeams[[#This Row],[Goal-A]]&lt;ResultsTeams[[#This Row],[Goal-B]],1,0),""))</f>
        <v/>
      </c>
      <c r="Q248" s="265" t="str">
        <f>IF(ResultsTeams[[#This Row],[Type]]="G",SUM(Q249:Q252),IF(LEFT(ResultsTeams[[#This Row],[Type]],1)="P",VALUE(ResultsTeams[[#This Row],[Score-A]]),""))</f>
        <v/>
      </c>
      <c r="R248" s="265" t="str">
        <f>IF(ResultsTeams[[#This Row],[Type]]="G",SUM(R249:R252),IF(LEFT(ResultsTeams[[#This Row],[Type]],1)="P",VALUE(ResultsTeams[[#This Row],[Score-B]]),""))</f>
        <v/>
      </c>
      <c r="S248" s="265" t="str">
        <f ca="1">IF(AND(ResultsTeams[[#This Row],[Category]]&lt;&gt;"",ResultsTeams[[#This Row],[Team A]]&lt;&gt;""),COUNTIF(INDIRECT("TeamsList[Club Name]"),ResultsTeams[[#This Row],[Team A]]),"")</f>
        <v/>
      </c>
      <c r="T248" s="265" t="str">
        <f ca="1">IF(AND(ResultsTeams[[#This Row],[Category]]&lt;&gt;"",ResultsTeams[[#This Row],[Team B]]&lt;&gt;""),COUNTIF(INDIRECT("TeamsList[Club Name]"),ResultsTeams[[#This Row],[Team B]]),"")</f>
        <v/>
      </c>
      <c r="U2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8" s="265" t="str">
        <f>IF(ResultsTeams[[#This Row],[Score_OK]],IF(ResultsTeams[[#This Row],[StageCpy]]="Groups",ResultsTeams[[#This Row],[Category]]&amp;"-"&amp;IF(ResultsTeams[[#This Row],[Team B]]="","",IF(ResultsTeams[[#This Row],[Match-A]]=ResultsTeams[[#This Row],[Match-B]],ResultsTeams[[#This Row],[Team A]],"")),""),"")</f>
        <v/>
      </c>
      <c r="W248" s="265" t="str">
        <f>IF(ResultsTeams[[#This Row],[Score_OK]],IF(ResultsTeams[[#This Row],[StageCpy]]="Groups",ResultsTeams[[#This Row],[Category]]&amp;"-"&amp;IF(ResultsTeams[[#This Row],[Team B]]="","",IF(ResultsTeams[[#This Row],[Match-A]]=ResultsTeams[[#This Row],[Match-B]],ResultsTeams[[#This Row],[Team B]],"")),""),"")</f>
        <v/>
      </c>
      <c r="X2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8" s="264" t="str">
        <f>IF(ResultsTeams[[#This Row],[Category]]="","",VLOOKUP(ResultsTeams[[#This Row],[Stage]],$R$1:$T$8,MATCH(ResultsTeams[[#This Row],[Category]],$S$1:$T$1,0)+1,FALSE))</f>
        <v/>
      </c>
      <c r="AC2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8" s="264" t="str">
        <f>IF(ResultsTeams[[#This Row],[Type]]="G",ResultsTeams[[#This Row],[Stage]],AD247)</f>
        <v>Groups</v>
      </c>
      <c r="AE248" s="395" t="str">
        <f>IF(ResultsTeams[[#This Row],[Type]]="G",INDEX(TeamsList[Club Name],MATCH(ResultsTeams[[#This Row],[Team A]],TeamsList[Team Name],0)),AE247)</f>
        <v>SC Lion's Eugies</v>
      </c>
      <c r="AF248" s="395" t="str">
        <f>IF(ResultsTeams[[#This Row],[Type]]="G",INDEX(TeamsList[Club Name],MATCH(ResultsTeams[[#This Row],[Team B]],TeamsList[Team Name],0)),AF247)</f>
        <v>US Huy</v>
      </c>
      <c r="AG248" s="265"/>
      <c r="AI248" s="12" t="str">
        <f t="shared" si="209"/>
        <v>TEAM</v>
      </c>
      <c r="AJ248" s="309"/>
      <c r="AK248" s="310"/>
      <c r="AL248" s="311"/>
      <c r="AM248" s="292" t="str">
        <f>IF(AV248="","",SMALL(AN243:AN249,ROWS(AM243:AM248)))</f>
        <v/>
      </c>
      <c r="AN248" s="293" t="str">
        <f>IF(AV248="","",RANK(AR248,AR243:AR249)*1000+ROWS(AN243:AN248))</f>
        <v/>
      </c>
      <c r="AO248" s="316" t="str">
        <f t="shared" si="202"/>
        <v/>
      </c>
      <c r="AP248" s="415" t="b">
        <f>AND(AU248&lt;&gt;"",AU248&gt;0,COUNTIF(AO243:AO249,AO248)&gt;1)</f>
        <v>0</v>
      </c>
      <c r="AQ248" s="316" t="str">
        <f t="shared" si="203"/>
        <v/>
      </c>
      <c r="AR248" s="317" t="str">
        <f t="shared" si="204"/>
        <v/>
      </c>
      <c r="AS248" s="415" t="b">
        <f>AND(AU248&lt;&gt;"",AU248&gt;0,COUNTIF(AR243:AR249,AR248)&gt;1)</f>
        <v>0</v>
      </c>
      <c r="AT248" s="355" t="str">
        <f t="shared" si="205"/>
        <v/>
      </c>
      <c r="AU248" s="356" t="str">
        <f t="shared" si="206"/>
        <v/>
      </c>
      <c r="AV248" s="356" t="str">
        <f>IF(OR(AI242="",AJ248=""),"",COUNTIF(ResultsTeams[Win],AI242&amp;"-"&amp;AJ248))</f>
        <v/>
      </c>
      <c r="AW248" s="356" t="str">
        <f>IF(OR(AI242="",AJ248=""),"",COUNTIF(ResultsTeams[[Draw1]:[Draw2]],AI242&amp;"-"&amp;AJ248))</f>
        <v/>
      </c>
      <c r="AX248" s="356" t="str">
        <f>IF(OR(AI242="",AJ248=""),"",COUNTIF(ResultsTeams[Lose],AI242&amp;"-"&amp;AJ248))</f>
        <v/>
      </c>
      <c r="AY248" s="356" t="str">
        <f>IF(OR(AI242="",AJ248=""),"",AV248-AX248)</f>
        <v/>
      </c>
      <c r="AZ248" s="356" t="str">
        <f>IF(OR(AI247="",AJ248=""),"",SUMIFS(ResultsTeams[Match-A],ResultsTeams[Stage],"Groups",ResultsTeams[Team A],AJ248)+SUMIFS(ResultsTeams[Match-B],ResultsTeams[Stage],"Groups",ResultsTeams[Team B],AJ248))</f>
        <v/>
      </c>
      <c r="BA248" s="356" t="str">
        <f>IF(OR(AI247="",AJ248=""),"",SUMIFS(ResultsTeams[Match-B],ResultsTeams[Stage],"Groups",ResultsTeams[Team A],AJ248)+SUMIFS(ResultsTeams[Match-A],ResultsTeams[Stage],"Groups",ResultsTeams[Team B],AJ248))</f>
        <v/>
      </c>
      <c r="BB248" s="356" t="str">
        <f t="shared" si="208"/>
        <v/>
      </c>
      <c r="BC248" s="356" t="str">
        <f>IF(OR(AI247="",AJ248=""),"",SUMIFS(ResultsTeams[Goal-A],ResultsTeams[Stage],"Groups",ResultsTeams[Team A],AJ248)+SUMIFS(ResultsTeams[Goal-B],ResultsTeams[Stage],"Groups",ResultsTeams[Team B],AJ248))</f>
        <v/>
      </c>
      <c r="BD248" s="356" t="str">
        <f>IF(OR(AI247="",AJ248=""),"",SUMIFS(ResultsTeams[Goal-B],ResultsTeams[Stage],"Groups",ResultsTeams[Team A],AJ248)+SUMIFS(ResultsTeams[Goal-A],ResultsTeams[Stage],"Groups",ResultsTeams[Team B],AJ248))</f>
        <v/>
      </c>
      <c r="BE248" s="357" t="str">
        <f>IF(OR(AI242="",AJ248=""),"",BC248-BD248)</f>
        <v/>
      </c>
      <c r="BF248" s="470" t="str">
        <f>IF(AM248="","",OR(VLOOKUP(AM248,AN243:BE249,3,FALSE),VLOOKUP(AM248,AN243:BE249,6,FALSE)))</f>
        <v/>
      </c>
      <c r="BG248" s="298" t="str">
        <f t="shared" si="207"/>
        <v/>
      </c>
      <c r="BH248" s="285" t="str">
        <f>IF(AM248="","",INDEX(AJ243:AJ249,MATCH(AM248,AN243:AN249,0)))</f>
        <v/>
      </c>
      <c r="BI248" s="286" t="str">
        <f>IF(AM248="","",VLOOKUP(AM248,AN243:BE249,COLUMN()-COLUMN(BB242),FALSE))</f>
        <v/>
      </c>
      <c r="BJ248" s="286" t="str">
        <f>IF(AM248="","",VLOOKUP(AM248,AN243:BE249,COLUMN()-COLUMN(BB242),FALSE))</f>
        <v/>
      </c>
      <c r="BK248" s="286" t="str">
        <f>IF(AM248="","",VLOOKUP(AM248,AN243:BE249,COLUMN()-COLUMN(BB242),FALSE))</f>
        <v/>
      </c>
      <c r="BL248" s="286" t="str">
        <f>IF(AM248="","",VLOOKUP(AM248,AN243:BE249,COLUMN()-COLUMN(BB242),FALSE))</f>
        <v/>
      </c>
      <c r="BM248" s="286" t="str">
        <f>IF(AM248="","",VLOOKUP(AM248,AN243:BE249,COLUMN()-COLUMN(BB242),FALSE))</f>
        <v/>
      </c>
      <c r="BN248" s="349" t="str">
        <f>IF(AM248="","",VLOOKUP(AM248,AN243:BE249,COLUMN()-COLUMN(BB242),FALSE))</f>
        <v/>
      </c>
      <c r="BO248" s="298" t="str">
        <f>IF(AM248="","",VLOOKUP(AM248,AN243:BE249,COLUMN()-COLUMN(BB242),FALSE))</f>
        <v/>
      </c>
      <c r="BP248" s="286" t="str">
        <f>IF(AM248="","",VLOOKUP(AM248,AN243:BE249,COLUMN()-COLUMN(BB242),FALSE))</f>
        <v/>
      </c>
      <c r="BQ248" s="301" t="str">
        <f>IF(AM248="","",VLOOKUP(AM248,AN243:BE249,COLUMN()-COLUMN(BB242),FALSE))</f>
        <v/>
      </c>
      <c r="BR248" s="352" t="str">
        <f>IF(AM248="","",VLOOKUP(AM248,AN243:BE249,COLUMN()-COLUMN(BB242),FALSE))</f>
        <v/>
      </c>
      <c r="BS248" s="286" t="str">
        <f>IF(AM248="","",VLOOKUP(AM248,AN243:BE249,COLUMN()-COLUMN(BB242),FALSE))</f>
        <v/>
      </c>
      <c r="BT248" s="301" t="str">
        <f>IF(AM248="","",VLOOKUP(AM248,AN243:BE249,COLUMN()-COLUMN(BB242),FALSE))</f>
        <v/>
      </c>
    </row>
    <row r="249" spans="1:72" ht="12" thickBot="1" x14ac:dyDescent="0.25">
      <c r="A249" s="83"/>
      <c r="B249" s="83"/>
      <c r="C249" s="83"/>
      <c r="D249" s="83"/>
      <c r="E249" s="268" t="s">
        <v>12244</v>
      </c>
      <c r="F249" s="262"/>
      <c r="G249" s="262"/>
      <c r="H249" s="324"/>
      <c r="I249" s="324"/>
      <c r="J249" s="263"/>
      <c r="K249" s="365"/>
      <c r="L249" s="365"/>
      <c r="M249" s="84"/>
      <c r="N249" s="265" t="b">
        <f>NOT(ISERROR(ResultsTeams[[#This Row],[Goal-A]]+ResultsTeams[[#This Row],[Goal-B]]))</f>
        <v>0</v>
      </c>
      <c r="O249" s="265" t="str">
        <f>IF(ResultsTeams[[#This Row],[Type]]="G",SUM(O250:O253),IF(LEFT(ResultsTeams[[#This Row],[Type]],1)="P",IF(ResultsTeams[[#This Row],[Goal-A]]&gt;ResultsTeams[[#This Row],[Goal-B]],1,0),""))</f>
        <v/>
      </c>
      <c r="P249" s="265" t="str">
        <f>IF(ResultsTeams[[#This Row],[Type]]="G",SUM(P250:P253),IF(LEFT(ResultsTeams[[#This Row],[Type]],1)="P",IF(ResultsTeams[[#This Row],[Goal-A]]&lt;ResultsTeams[[#This Row],[Goal-B]],1,0),""))</f>
        <v/>
      </c>
      <c r="Q249" s="265" t="str">
        <f>IF(ResultsTeams[[#This Row],[Type]]="G",SUM(Q250:Q253),IF(LEFT(ResultsTeams[[#This Row],[Type]],1)="P",VALUE(ResultsTeams[[#This Row],[Score-A]]),""))</f>
        <v/>
      </c>
      <c r="R249" s="265" t="str">
        <f>IF(ResultsTeams[[#This Row],[Type]]="G",SUM(R250:R253),IF(LEFT(ResultsTeams[[#This Row],[Type]],1)="P",VALUE(ResultsTeams[[#This Row],[Score-B]]),""))</f>
        <v/>
      </c>
      <c r="S249" s="265" t="str">
        <f ca="1">IF(AND(ResultsTeams[[#This Row],[Category]]&lt;&gt;"",ResultsTeams[[#This Row],[Team A]]&lt;&gt;""),COUNTIF(INDIRECT("TeamsList[Club Name]"),ResultsTeams[[#This Row],[Team A]]),"")</f>
        <v/>
      </c>
      <c r="T249" s="265" t="str">
        <f ca="1">IF(AND(ResultsTeams[[#This Row],[Category]]&lt;&gt;"",ResultsTeams[[#This Row],[Team B]]&lt;&gt;""),COUNTIF(INDIRECT("TeamsList[Club Name]"),ResultsTeams[[#This Row],[Team B]]),"")</f>
        <v/>
      </c>
      <c r="U2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9" s="265" t="str">
        <f>IF(ResultsTeams[[#This Row],[Score_OK]],IF(ResultsTeams[[#This Row],[StageCpy]]="Groups",ResultsTeams[[#This Row],[Category]]&amp;"-"&amp;IF(ResultsTeams[[#This Row],[Team B]]="","",IF(ResultsTeams[[#This Row],[Match-A]]=ResultsTeams[[#This Row],[Match-B]],ResultsTeams[[#This Row],[Team A]],"")),""),"")</f>
        <v/>
      </c>
      <c r="W249" s="265" t="str">
        <f>IF(ResultsTeams[[#This Row],[Score_OK]],IF(ResultsTeams[[#This Row],[StageCpy]]="Groups",ResultsTeams[[#This Row],[Category]]&amp;"-"&amp;IF(ResultsTeams[[#This Row],[Team B]]="","",IF(ResultsTeams[[#This Row],[Match-A]]=ResultsTeams[[#This Row],[Match-B]],ResultsTeams[[#This Row],[Team B]],"")),""),"")</f>
        <v/>
      </c>
      <c r="X2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9" s="264" t="str">
        <f>IF(ResultsTeams[[#This Row],[Category]]="","",VLOOKUP(ResultsTeams[[#This Row],[Stage]],$R$1:$T$8,MATCH(ResultsTeams[[#This Row],[Category]],$S$1:$T$1,0)+1,FALSE))</f>
        <v/>
      </c>
      <c r="AC2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9" s="264" t="str">
        <f>IF(ResultsTeams[[#This Row],[Type]]="G",ResultsTeams[[#This Row],[Stage]],AD248)</f>
        <v>Groups</v>
      </c>
      <c r="AE249" s="395" t="str">
        <f>IF(ResultsTeams[[#This Row],[Type]]="G",INDEX(TeamsList[Club Name],MATCH(ResultsTeams[[#This Row],[Team A]],TeamsList[Team Name],0)),AE248)</f>
        <v>SC Lion's Eugies</v>
      </c>
      <c r="AF249" s="395" t="str">
        <f>IF(ResultsTeams[[#This Row],[Type]]="G",INDEX(TeamsList[Club Name],MATCH(ResultsTeams[[#This Row],[Team B]],TeamsList[Team Name],0)),AF248)</f>
        <v>US Huy</v>
      </c>
      <c r="AG249" s="265"/>
      <c r="AI249" s="12" t="str">
        <f t="shared" si="209"/>
        <v>TEAM</v>
      </c>
      <c r="AJ249" s="312"/>
      <c r="AK249" s="313"/>
      <c r="AL249" s="314"/>
      <c r="AM249" s="294" t="str">
        <f>IF(AV249="","",SMALL(AN243:AN249,ROWS(AM243:AM249)))</f>
        <v/>
      </c>
      <c r="AN249" s="295" t="str">
        <f>IF(AV249="","",RANK(AR249,AR243:AR249)*1000+ROWS(AN243:AN249))</f>
        <v/>
      </c>
      <c r="AO249" s="318" t="str">
        <f t="shared" si="202"/>
        <v/>
      </c>
      <c r="AP249" s="416" t="b">
        <f>AND(AU249&lt;&gt;"",AU249&gt;0,COUNTIF(AO243:AO249,AO249)&gt;1)</f>
        <v>0</v>
      </c>
      <c r="AQ249" s="318" t="str">
        <f t="shared" si="203"/>
        <v/>
      </c>
      <c r="AR249" s="319" t="str">
        <f t="shared" si="204"/>
        <v/>
      </c>
      <c r="AS249" s="416" t="b">
        <f>AND(AU249&lt;&gt;"",AU249&gt;0,COUNTIF(AR243:AR249,AR249)&gt;1)</f>
        <v>0</v>
      </c>
      <c r="AT249" s="358" t="str">
        <f t="shared" si="205"/>
        <v/>
      </c>
      <c r="AU249" s="359" t="str">
        <f t="shared" si="206"/>
        <v/>
      </c>
      <c r="AV249" s="359" t="str">
        <f>IF(OR(AI242="",AJ249=""),"",COUNTIF(ResultsTeams[Win],AI242&amp;"-"&amp;AJ249))</f>
        <v/>
      </c>
      <c r="AW249" s="359" t="str">
        <f>IF(OR(AI242="",AJ249=""),"",COUNTIF(ResultsTeams[[Draw1]:[Draw2]],AI242&amp;"-"&amp;AJ249))</f>
        <v/>
      </c>
      <c r="AX249" s="359" t="str">
        <f>IF(OR(AI242="",AJ249=""),"",COUNTIF(ResultsTeams[Lose],AI242&amp;"-"&amp;AJ249))</f>
        <v/>
      </c>
      <c r="AY249" s="359" t="str">
        <f>IF(OR(AI242="",AJ249=""),"",AV249-AX249)</f>
        <v/>
      </c>
      <c r="AZ249" s="359" t="str">
        <f>IF(OR(AI248="",AJ249=""),"",SUMIFS(ResultsTeams[Match-A],ResultsTeams[Stage],"Groups",ResultsTeams[Team A],AJ249)+SUMIFS(ResultsTeams[Match-B],ResultsTeams[Stage],"Groups",ResultsTeams[Team B],AJ249))</f>
        <v/>
      </c>
      <c r="BA249" s="359" t="str">
        <f>IF(OR(AI248="",AJ249=""),"",SUMIFS(ResultsTeams[Match-B],ResultsTeams[Stage],"Groups",ResultsTeams[Team A],AJ249)+SUMIFS(ResultsTeams[Match-A],ResultsTeams[Stage],"Groups",ResultsTeams[Team B],AJ249))</f>
        <v/>
      </c>
      <c r="BB249" s="359" t="str">
        <f t="shared" si="208"/>
        <v/>
      </c>
      <c r="BC249" s="359" t="str">
        <f>IF(OR(AI248="",AJ249=""),"",SUMIFS(ResultsTeams[Goal-A],ResultsTeams[Stage],"Groups",ResultsTeams[Team A],AJ249)+SUMIFS(ResultsTeams[Goal-B],ResultsTeams[Stage],"Groups",ResultsTeams[Team B],AJ249))</f>
        <v/>
      </c>
      <c r="BD249" s="359" t="str">
        <f>IF(OR(AI248="",AJ249=""),"",SUMIFS(ResultsTeams[Goal-B],ResultsTeams[Stage],"Groups",ResultsTeams[Team A],AJ249)+SUMIFS(ResultsTeams[Goal-A],ResultsTeams[Stage],"Groups",ResultsTeams[Team B],AJ249))</f>
        <v/>
      </c>
      <c r="BE249" s="360" t="str">
        <f>IF(OR(AI242="",AJ249=""),"",BC249-BD249)</f>
        <v/>
      </c>
      <c r="BF249" s="470" t="str">
        <f>IF(AM249="","",OR(VLOOKUP(AM249,AN243:BE249,3,FALSE),VLOOKUP(AM249,AN243:BE249,6,FALSE)))</f>
        <v/>
      </c>
      <c r="BG249" s="299" t="str">
        <f t="shared" si="207"/>
        <v/>
      </c>
      <c r="BH249" s="287" t="str">
        <f>IF(AM249="","",INDEX(AJ243:AJ249,MATCH(AM249,AN243:AN249,0)))</f>
        <v/>
      </c>
      <c r="BI249" s="288" t="str">
        <f>IF(AM249="","",VLOOKUP(AM249,AN243:BE249,COLUMN()-COLUMN(BB242),FALSE))</f>
        <v/>
      </c>
      <c r="BJ249" s="288" t="str">
        <f>IF(AM249="","",VLOOKUP(AM249,AN243:BE249,COLUMN()-COLUMN(BB242),FALSE))</f>
        <v/>
      </c>
      <c r="BK249" s="288" t="str">
        <f>IF(AM249="","",VLOOKUP(AM249,AN243:BE249,COLUMN()-COLUMN(BB242),FALSE))</f>
        <v/>
      </c>
      <c r="BL249" s="288" t="str">
        <f>IF(AM249="","",VLOOKUP(AM249,AN243:BE249,COLUMN()-COLUMN(BB242),FALSE))</f>
        <v/>
      </c>
      <c r="BM249" s="288" t="str">
        <f>IF(AM249="","",VLOOKUP(AM249,AN243:BE249,COLUMN()-COLUMN(BB242),FALSE))</f>
        <v/>
      </c>
      <c r="BN249" s="350" t="str">
        <f>IF(AM249="","",VLOOKUP(AM249,AN243:BE249,COLUMN()-COLUMN(BB242),FALSE))</f>
        <v/>
      </c>
      <c r="BO249" s="299" t="str">
        <f>IF(AM249="","",VLOOKUP(AM249,AN243:BE249,COLUMN()-COLUMN(BB242),FALSE))</f>
        <v/>
      </c>
      <c r="BP249" s="288" t="str">
        <f>IF(AM249="","",VLOOKUP(AM249,AN243:BE249,COLUMN()-COLUMN(BB242),FALSE))</f>
        <v/>
      </c>
      <c r="BQ249" s="302" t="str">
        <f>IF(AM249="","",VLOOKUP(AM249,AN243:BE249,COLUMN()-COLUMN(BB242),FALSE))</f>
        <v/>
      </c>
      <c r="BR249" s="353" t="str">
        <f>IF(AM249="","",VLOOKUP(AM249,AN243:BE249,COLUMN()-COLUMN(BB242),FALSE))</f>
        <v/>
      </c>
      <c r="BS249" s="288" t="str">
        <f>IF(AM249="","",VLOOKUP(AM249,AN243:BE249,COLUMN()-COLUMN(BB242),FALSE))</f>
        <v/>
      </c>
      <c r="BT249" s="302" t="str">
        <f>IF(AM249="","",VLOOKUP(AM249,AN243:BE249,COLUMN()-COLUMN(BB242),FALSE))</f>
        <v/>
      </c>
    </row>
    <row r="250" spans="1:72" ht="12" thickBot="1" x14ac:dyDescent="0.25">
      <c r="A250" s="261" t="s">
        <v>12693</v>
      </c>
      <c r="B250" s="270" t="s">
        <v>12207</v>
      </c>
      <c r="C250" s="270">
        <v>6</v>
      </c>
      <c r="D250" s="270"/>
      <c r="E250" s="272" t="s">
        <v>12228</v>
      </c>
      <c r="F250" s="273" t="s">
        <v>197</v>
      </c>
      <c r="G250" s="273" t="s">
        <v>14592</v>
      </c>
      <c r="H250" s="275">
        <v>4</v>
      </c>
      <c r="I250" s="275">
        <v>0</v>
      </c>
      <c r="J250" s="275"/>
      <c r="K250" s="366"/>
      <c r="L250" s="366"/>
      <c r="M250" s="274"/>
      <c r="N250" s="265" t="b">
        <f>NOT(ISERROR(ResultsTeams[[#This Row],[Goal-A]]+ResultsTeams[[#This Row],[Goal-B]]))</f>
        <v>1</v>
      </c>
      <c r="O250" s="265">
        <f>IF(ResultsTeams[[#This Row],[Type]]="G",SUM(O251:O254),IF(LEFT(ResultsTeams[[#This Row],[Type]],1)="P",IF(ResultsTeams[[#This Row],[Goal-A]]&gt;ResultsTeams[[#This Row],[Goal-B]],1,0),""))</f>
        <v>4</v>
      </c>
      <c r="P250" s="265">
        <f>IF(ResultsTeams[[#This Row],[Type]]="G",SUM(P251:P254),IF(LEFT(ResultsTeams[[#This Row],[Type]],1)="P",IF(ResultsTeams[[#This Row],[Goal-A]]&lt;ResultsTeams[[#This Row],[Goal-B]],1,0),""))</f>
        <v>0</v>
      </c>
      <c r="Q250" s="265">
        <f>IF(ResultsTeams[[#This Row],[Type]]="G",SUM(Q251:Q254),IF(LEFT(ResultsTeams[[#This Row],[Type]],1)="P",VALUE(ResultsTeams[[#This Row],[Score-A]]),""))</f>
        <v>29</v>
      </c>
      <c r="R250" s="265">
        <f>IF(ResultsTeams[[#This Row],[Type]]="G",SUM(R251:R254),IF(LEFT(ResultsTeams[[#This Row],[Type]],1)="P",VALUE(ResultsTeams[[#This Row],[Score-B]]),""))</f>
        <v>2</v>
      </c>
      <c r="S250" s="265">
        <f ca="1">IF(AND(ResultsTeams[[#This Row],[Category]]&lt;&gt;"",ResultsTeams[[#This Row],[Team A]]&lt;&gt;""),COUNTIF(INDIRECT("TeamsList[Club Name]"),ResultsTeams[[#This Row],[Team A]]),"")</f>
        <v>1</v>
      </c>
      <c r="T250" s="265">
        <f ca="1">IF(AND(ResultsTeams[[#This Row],[Category]]&lt;&gt;"",ResultsTeams[[#This Row],[Team B]]&lt;&gt;""),COUNTIF(INDIRECT("TeamsList[Club Name]"),ResultsTeams[[#This Row],[Team B]]),"")</f>
        <v>0</v>
      </c>
      <c r="U2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TEAM-Bologna Tigers Subbuteo</v>
      </c>
      <c r="V250" s="265" t="str">
        <f>IF(ResultsTeams[[#This Row],[Score_OK]],IF(ResultsTeams[[#This Row],[StageCpy]]="Groups",ResultsTeams[[#This Row],[Category]]&amp;"-"&amp;IF(ResultsTeams[[#This Row],[Team B]]="","",IF(ResultsTeams[[#This Row],[Match-A]]=ResultsTeams[[#This Row],[Match-B]],ResultsTeams[[#This Row],[Team A]],"")),""),"")</f>
        <v>TEAM-</v>
      </c>
      <c r="W250" s="265" t="str">
        <f>IF(ResultsTeams[[#This Row],[Score_OK]],IF(ResultsTeams[[#This Row],[StageCpy]]="Groups",ResultsTeams[[#This Row],[Category]]&amp;"-"&amp;IF(ResultsTeams[[#This Row],[Team B]]="","",IF(ResultsTeams[[#This Row],[Match-A]]=ResultsTeams[[#This Row],[Match-B]],ResultsTeams[[#This Row],[Team B]],"")),""),"")</f>
        <v>TEAM-</v>
      </c>
      <c r="X2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4</v>
      </c>
      <c r="Y2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4</v>
      </c>
      <c r="AA2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4</v>
      </c>
      <c r="AB250" s="264" t="str">
        <f>IF(ResultsTeams[[#This Row],[Category]]="","",VLOOKUP(ResultsTeams[[#This Row],[Stage]],$R$1:$T$8,MATCH(ResultsTeams[[#This Row],[Category]],$S$1:$T$1,0)+1,FALSE))</f>
        <v>PR1</v>
      </c>
      <c r="AC2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0" s="264" t="str">
        <f>IF(ResultsTeams[[#This Row],[Type]]="G",ResultsTeams[[#This Row],[Stage]],AD249)</f>
        <v>Groups</v>
      </c>
      <c r="AE250" s="395" t="str">
        <f>IF(ResultsTeams[[#This Row],[Type]]="G",INDEX(TeamsList[Club Name],MATCH(ResultsTeams[[#This Row],[Team A]],TeamsList[Team Name],0)),AE249)</f>
        <v>Bologna Tigers Subbuteo</v>
      </c>
      <c r="AF250" s="395" t="str">
        <f>IF(ResultsTeams[[#This Row],[Type]]="G",INDEX(TeamsList[Club Name],MATCH(ResultsTeams[[#This Row],[Team B]],TeamsList[Team Name],0)),AF249)</f>
        <v>SC Lion's Eugies</v>
      </c>
      <c r="AG250" s="265"/>
    </row>
    <row r="251" spans="1:72" ht="12" thickBot="1" x14ac:dyDescent="0.25">
      <c r="A251" s="60"/>
      <c r="B251" s="280"/>
      <c r="C251" s="60"/>
      <c r="D251" s="60"/>
      <c r="E251" s="240" t="s">
        <v>12231</v>
      </c>
      <c r="F251" s="244" t="s">
        <v>9744</v>
      </c>
      <c r="G251" s="244" t="s">
        <v>8202</v>
      </c>
      <c r="H251" s="253">
        <v>10</v>
      </c>
      <c r="I251" s="253">
        <v>0</v>
      </c>
      <c r="J251" s="253"/>
      <c r="K251" s="362"/>
      <c r="L251" s="362"/>
      <c r="M251" s="245"/>
      <c r="N251" s="265" t="b">
        <f>NOT(ISERROR(ResultsTeams[[#This Row],[Goal-A]]+ResultsTeams[[#This Row],[Goal-B]]))</f>
        <v>1</v>
      </c>
      <c r="O251" s="265">
        <f>IF(ResultsTeams[[#This Row],[Type]]="G",SUM(O252:O255),IF(LEFT(ResultsTeams[[#This Row],[Type]],1)="P",IF(ResultsTeams[[#This Row],[Goal-A]]&gt;ResultsTeams[[#This Row],[Goal-B]],1,0),""))</f>
        <v>1</v>
      </c>
      <c r="P251" s="265">
        <f>IF(ResultsTeams[[#This Row],[Type]]="G",SUM(P252:P255),IF(LEFT(ResultsTeams[[#This Row],[Type]],1)="P",IF(ResultsTeams[[#This Row],[Goal-A]]&lt;ResultsTeams[[#This Row],[Goal-B]],1,0),""))</f>
        <v>0</v>
      </c>
      <c r="Q251" s="265">
        <f>IF(ResultsTeams[[#This Row],[Type]]="G",SUM(Q252:Q255),IF(LEFT(ResultsTeams[[#This Row],[Type]],1)="P",VALUE(ResultsTeams[[#This Row],[Score-A]]),""))</f>
        <v>10</v>
      </c>
      <c r="R251" s="265">
        <f>IF(ResultsTeams[[#This Row],[Type]]="G",SUM(R252:R255),IF(LEFT(ResultsTeams[[#This Row],[Type]],1)="P",VALUE(ResultsTeams[[#This Row],[Score-B]]),""))</f>
        <v>0</v>
      </c>
      <c r="S251" s="265" t="str">
        <f ca="1">IF(AND(ResultsTeams[[#This Row],[Category]]&lt;&gt;"",ResultsTeams[[#This Row],[Team A]]&lt;&gt;""),COUNTIF(INDIRECT("TeamsList[Club Name]"),ResultsTeams[[#This Row],[Team A]]),"")</f>
        <v/>
      </c>
      <c r="T251" s="265" t="str">
        <f ca="1">IF(AND(ResultsTeams[[#This Row],[Category]]&lt;&gt;"",ResultsTeams[[#This Row],[Team B]]&lt;&gt;""),COUNTIF(INDIRECT("TeamsList[Club Name]"),ResultsTeams[[#This Row],[Team B]]),"")</f>
        <v/>
      </c>
      <c r="U2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-Gerardo Patruno</v>
      </c>
      <c r="V251" s="265" t="str">
        <f>IF(ResultsTeams[[#This Row],[Score_OK]],IF(ResultsTeams[[#This Row],[StageCpy]]="Groups",ResultsTeams[[#This Row],[Category]]&amp;"-"&amp;IF(ResultsTeams[[#This Row],[Team B]]="","",IF(ResultsTeams[[#This Row],[Match-A]]=ResultsTeams[[#This Row],[Match-B]],ResultsTeams[[#This Row],[Team A]],"")),""),"")</f>
        <v>-</v>
      </c>
      <c r="W251" s="265" t="str">
        <f>IF(ResultsTeams[[#This Row],[Score_OK]],IF(ResultsTeams[[#This Row],[StageCpy]]="Groups",ResultsTeams[[#This Row],[Category]]&amp;"-"&amp;IF(ResultsTeams[[#This Row],[Team B]]="","",IF(ResultsTeams[[#This Row],[Match-A]]=ResultsTeams[[#This Row],[Match-B]],ResultsTeams[[#This Row],[Team B]],"")),""),"")</f>
        <v>-</v>
      </c>
      <c r="X2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-Xavier Outers</v>
      </c>
      <c r="Y2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1" s="264" t="str">
        <f>IF(ResultsTeams[[#This Row],[Category]]="","",VLOOKUP(ResultsTeams[[#This Row],[Stage]],$R$1:$T$8,MATCH(ResultsTeams[[#This Row],[Category]],$S$1:$T$1,0)+1,FALSE))</f>
        <v/>
      </c>
      <c r="AC2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1" s="264" t="str">
        <f>IF(ResultsTeams[[#This Row],[Type]]="G",ResultsTeams[[#This Row],[Stage]],AD250)</f>
        <v>Groups</v>
      </c>
      <c r="AE251" s="395" t="str">
        <f>IF(ResultsTeams[[#This Row],[Type]]="G",INDEX(TeamsList[Club Name],MATCH(ResultsTeams[[#This Row],[Team A]],TeamsList[Team Name],0)),AE250)</f>
        <v>Bologna Tigers Subbuteo</v>
      </c>
      <c r="AF251" s="395" t="str">
        <f>IF(ResultsTeams[[#This Row],[Type]]="G",INDEX(TeamsList[Club Name],MATCH(ResultsTeams[[#This Row],[Team B]],TeamsList[Team Name],0)),AF250)</f>
        <v>SC Lion's Eugies</v>
      </c>
      <c r="AG251" s="265"/>
      <c r="AH251" s="281" t="str">
        <f>IF(AI251="","",QUOTIENT(COUNTIF(AI$26:AI251,AI251)-1,8)+1)</f>
        <v/>
      </c>
      <c r="AI251" s="315"/>
      <c r="AJ251" s="289" t="s">
        <v>14438</v>
      </c>
      <c r="AK251" s="290" t="s">
        <v>12279</v>
      </c>
      <c r="AL251" s="300" t="s">
        <v>12275</v>
      </c>
      <c r="AM251" s="296" t="s">
        <v>12276</v>
      </c>
      <c r="AN251" s="291" t="s">
        <v>12271</v>
      </c>
      <c r="AO251" s="291" t="s">
        <v>12272</v>
      </c>
      <c r="AP251" s="414" t="s">
        <v>13154</v>
      </c>
      <c r="AQ251" s="291" t="s">
        <v>12273</v>
      </c>
      <c r="AR251" s="297" t="s">
        <v>12274</v>
      </c>
      <c r="AS251" s="414" t="s">
        <v>13154</v>
      </c>
      <c r="AT251" s="296" t="s">
        <v>12199</v>
      </c>
      <c r="AU251" s="291" t="s">
        <v>12200</v>
      </c>
      <c r="AV251" s="291" t="s">
        <v>12201</v>
      </c>
      <c r="AW251" s="291" t="s">
        <v>12202</v>
      </c>
      <c r="AX251" s="291" t="s">
        <v>12203</v>
      </c>
      <c r="AY251" s="291" t="s">
        <v>12697</v>
      </c>
      <c r="AZ251" s="291" t="s">
        <v>12698</v>
      </c>
      <c r="BA251" s="291" t="s">
        <v>12699</v>
      </c>
      <c r="BB251" s="291" t="s">
        <v>12700</v>
      </c>
      <c r="BC251" s="291" t="s">
        <v>12204</v>
      </c>
      <c r="BD251" s="291" t="s">
        <v>12205</v>
      </c>
      <c r="BE251" s="297" t="s">
        <v>12206</v>
      </c>
      <c r="BF251" s="395"/>
      <c r="BG251" s="282" t="s">
        <v>12276</v>
      </c>
      <c r="BH251" s="282" t="s">
        <v>12133</v>
      </c>
      <c r="BI251" s="283" t="s">
        <v>12199</v>
      </c>
      <c r="BJ251" s="283" t="s">
        <v>12200</v>
      </c>
      <c r="BK251" s="283" t="s">
        <v>12201</v>
      </c>
      <c r="BL251" s="283" t="s">
        <v>12202</v>
      </c>
      <c r="BM251" s="283" t="s">
        <v>12203</v>
      </c>
      <c r="BN251" s="290" t="s">
        <v>12697</v>
      </c>
      <c r="BO251" s="354" t="s">
        <v>12698</v>
      </c>
      <c r="BP251" s="283" t="s">
        <v>12699</v>
      </c>
      <c r="BQ251" s="300" t="s">
        <v>12700</v>
      </c>
      <c r="BR251" s="351" t="s">
        <v>12204</v>
      </c>
      <c r="BS251" s="283" t="s">
        <v>12205</v>
      </c>
      <c r="BT251" s="300" t="s">
        <v>12206</v>
      </c>
    </row>
    <row r="252" spans="1:72" x14ac:dyDescent="0.2">
      <c r="A252" s="62"/>
      <c r="B252" s="280"/>
      <c r="C252" s="62"/>
      <c r="D252" s="62"/>
      <c r="E252" s="241" t="s">
        <v>12234</v>
      </c>
      <c r="F252" s="246" t="s">
        <v>9838</v>
      </c>
      <c r="G252" s="246" t="s">
        <v>11590</v>
      </c>
      <c r="H252" s="254">
        <v>7</v>
      </c>
      <c r="I252" s="254">
        <v>0</v>
      </c>
      <c r="J252" s="254"/>
      <c r="K252" s="363"/>
      <c r="L252" s="363"/>
      <c r="M252" s="247"/>
      <c r="N252" s="265" t="b">
        <f>NOT(ISERROR(ResultsTeams[[#This Row],[Goal-A]]+ResultsTeams[[#This Row],[Goal-B]]))</f>
        <v>1</v>
      </c>
      <c r="O252" s="265">
        <f>IF(ResultsTeams[[#This Row],[Type]]="G",SUM(O253:O256),IF(LEFT(ResultsTeams[[#This Row],[Type]],1)="P",IF(ResultsTeams[[#This Row],[Goal-A]]&gt;ResultsTeams[[#This Row],[Goal-B]],1,0),""))</f>
        <v>1</v>
      </c>
      <c r="P252" s="265">
        <f>IF(ResultsTeams[[#This Row],[Type]]="G",SUM(P253:P256),IF(LEFT(ResultsTeams[[#This Row],[Type]],1)="P",IF(ResultsTeams[[#This Row],[Goal-A]]&lt;ResultsTeams[[#This Row],[Goal-B]],1,0),""))</f>
        <v>0</v>
      </c>
      <c r="Q252" s="265">
        <f>IF(ResultsTeams[[#This Row],[Type]]="G",SUM(Q253:Q256),IF(LEFT(ResultsTeams[[#This Row],[Type]],1)="P",VALUE(ResultsTeams[[#This Row],[Score-A]]),""))</f>
        <v>7</v>
      </c>
      <c r="R252" s="265">
        <f>IF(ResultsTeams[[#This Row],[Type]]="G",SUM(R253:R256),IF(LEFT(ResultsTeams[[#This Row],[Type]],1)="P",VALUE(ResultsTeams[[#This Row],[Score-B]]),""))</f>
        <v>0</v>
      </c>
      <c r="S252" s="265" t="str">
        <f ca="1">IF(AND(ResultsTeams[[#This Row],[Category]]&lt;&gt;"",ResultsTeams[[#This Row],[Team A]]&lt;&gt;""),COUNTIF(INDIRECT("TeamsList[Club Name]"),ResultsTeams[[#This Row],[Team A]]),"")</f>
        <v/>
      </c>
      <c r="T252" s="265" t="str">
        <f ca="1">IF(AND(ResultsTeams[[#This Row],[Category]]&lt;&gt;"",ResultsTeams[[#This Row],[Team B]]&lt;&gt;""),COUNTIF(INDIRECT("TeamsList[Club Name]"),ResultsTeams[[#This Row],[Team B]]),"")</f>
        <v/>
      </c>
      <c r="U2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-Francesco Mattiangeli</v>
      </c>
      <c r="V252" s="265" t="str">
        <f>IF(ResultsTeams[[#This Row],[Score_OK]],IF(ResultsTeams[[#This Row],[StageCpy]]="Groups",ResultsTeams[[#This Row],[Category]]&amp;"-"&amp;IF(ResultsTeams[[#This Row],[Team B]]="","",IF(ResultsTeams[[#This Row],[Match-A]]=ResultsTeams[[#This Row],[Match-B]],ResultsTeams[[#This Row],[Team A]],"")),""),"")</f>
        <v>-</v>
      </c>
      <c r="W252" s="265" t="str">
        <f>IF(ResultsTeams[[#This Row],[Score_OK]],IF(ResultsTeams[[#This Row],[StageCpy]]="Groups",ResultsTeams[[#This Row],[Category]]&amp;"-"&amp;IF(ResultsTeams[[#This Row],[Team B]]="","",IF(ResultsTeams[[#This Row],[Match-A]]=ResultsTeams[[#This Row],[Match-B]],ResultsTeams[[#This Row],[Team B]],"")),""),"")</f>
        <v>-</v>
      </c>
      <c r="X2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-Emeric Delcroix</v>
      </c>
      <c r="Y2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2" s="264" t="str">
        <f>IF(ResultsTeams[[#This Row],[Category]]="","",VLOOKUP(ResultsTeams[[#This Row],[Stage]],$R$1:$T$8,MATCH(ResultsTeams[[#This Row],[Category]],$S$1:$T$1,0)+1,FALSE))</f>
        <v/>
      </c>
      <c r="AC2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2" s="264" t="str">
        <f>IF(ResultsTeams[[#This Row],[Type]]="G",ResultsTeams[[#This Row],[Stage]],AD251)</f>
        <v>Groups</v>
      </c>
      <c r="AE252" s="395" t="str">
        <f>IF(ResultsTeams[[#This Row],[Type]]="G",INDEX(TeamsList[Club Name],MATCH(ResultsTeams[[#This Row],[Team A]],TeamsList[Team Name],0)),AE251)</f>
        <v>Bologna Tigers Subbuteo</v>
      </c>
      <c r="AF252" s="395" t="str">
        <f>IF(ResultsTeams[[#This Row],[Type]]="G",INDEX(TeamsList[Club Name],MATCH(ResultsTeams[[#This Row],[Team B]],TeamsList[Team Name],0)),AF251)</f>
        <v>SC Lion's Eugies</v>
      </c>
      <c r="AG252" s="265"/>
      <c r="AI252" s="12">
        <f>AI251</f>
        <v>0</v>
      </c>
      <c r="AJ252" s="309"/>
      <c r="AK252" s="320"/>
      <c r="AL252" s="311"/>
      <c r="AM252" s="292" t="str">
        <f>IF(AV252="","",SMALL(AN252:AN258,ROWS(AM252:AM252)))</f>
        <v/>
      </c>
      <c r="AN252" s="293" t="str">
        <f>IF(AV252="","",RANK(AR252,AR252:AR258)*1000+ROWS(AN252:AN252))</f>
        <v/>
      </c>
      <c r="AO252" s="316" t="str">
        <f t="shared" ref="AO252:AO258" si="210">IF(AV252="","",AT252*CritClassEq1_Points+AY252*CritClassEq1_DiffRencontres+BB252*CritClassEq1_DiffMatches+BE252*CritClassEq1_DiffButs+AZ252*CritClassEq1_Matches+BC252*CritClassEq1_Attaque)</f>
        <v/>
      </c>
      <c r="AP252" s="415" t="b">
        <f>AND(AU252&lt;&gt;"",AU252&gt;0,COUNTIF(AO252:AO258,AO252)&gt;1)</f>
        <v>0</v>
      </c>
      <c r="AQ252" s="316" t="str">
        <f t="shared" ref="AQ252:AQ258" si="211">IF(AV252="","",CritClassEq_DiffPart*AK252)</f>
        <v/>
      </c>
      <c r="AR252" s="317" t="str">
        <f t="shared" ref="AR252:AR258" si="212">IF(AV252="","",AO252+AQ252+AT252*CritClassEq2_Points+AY252*CritClassEq2_DiffRencontres+BB252*CritClassEq2_DiffMatches+BE252*CritClassEq2_DiffButs+AZ252*CritClassEq2_Matches+BC252*CritClassEq2_Attaque+AL252)</f>
        <v/>
      </c>
      <c r="AS252" s="415" t="b">
        <f>AND(AU252&lt;&gt;"",AU252&gt;0,COUNTIF(AR252:AR258,AR252)&gt;1)</f>
        <v>0</v>
      </c>
      <c r="AT252" s="355" t="str">
        <f t="shared" ref="AT252:AT258" si="213">IF(AV252="","",(AV252*Points_Victoire)+AW252*Points_Null)</f>
        <v/>
      </c>
      <c r="AU252" s="356" t="str">
        <f t="shared" ref="AU252:AU258" si="214">IF(AV252="","",SUM(AV252:AX252))</f>
        <v/>
      </c>
      <c r="AV252" s="356" t="str">
        <f>IF(OR(AI251="",AJ252=""),"",COUNTIF(ResultsTeams[Win],AI251&amp;"-"&amp;AJ252))</f>
        <v/>
      </c>
      <c r="AW252" s="356" t="str">
        <f>IF(OR(AI251="",AJ252=""),"",COUNTIF(ResultsTeams[[Draw1]:[Draw2]],AI251&amp;"-"&amp;AJ252))</f>
        <v/>
      </c>
      <c r="AX252" s="356" t="str">
        <f>IF(OR(AI251="",AJ252=""),"",COUNTIF(ResultsTeams[Lose],AI251&amp;"-"&amp;AJ252))</f>
        <v/>
      </c>
      <c r="AY252" s="356" t="str">
        <f>IF(OR(AI251="",AJ252=""),"",AV252-AX252)</f>
        <v/>
      </c>
      <c r="AZ252" s="356" t="str">
        <f>IF(OR(AI251="",AJ252=""),"",SUMIFS(ResultsTeams[Match-A],ResultsTeams[Stage],"Groups",ResultsTeams[Team A],AJ252)+SUMIFS(ResultsTeams[Match-B],ResultsTeams[Stage],"Groups",ResultsTeams[Team B],AJ252))</f>
        <v/>
      </c>
      <c r="BA252" s="356" t="str">
        <f>IF(OR(AI251="",AJ252=""),"",SUMIFS(ResultsTeams[Match-B],ResultsTeams[Stage],"Groups",ResultsTeams[Team A],AJ252)+SUMIFS(ResultsTeams[Match-A],ResultsTeams[Stage],"Groups",ResultsTeams[Team B],AJ252))</f>
        <v/>
      </c>
      <c r="BB252" s="356" t="str">
        <f>IF(OR(AI251="",AJ252=""),"",AZ252-BA252)</f>
        <v/>
      </c>
      <c r="BC252" s="356" t="str">
        <f>IF(OR(AI251="",AJ252=""),"",SUMIFS(ResultsTeams[Goal-A],ResultsTeams[Stage],"Groups",ResultsTeams[Team A],AJ252)+SUMIFS(ResultsTeams[Goal-B],ResultsTeams[Stage],"Groups",ResultsTeams[Team B],AJ252))</f>
        <v/>
      </c>
      <c r="BD252" s="356" t="str">
        <f>IF(OR(AI251="",AJ252=""),"",SUMIFS(ResultsTeams[Goal-B],ResultsTeams[Stage],"Groups",ResultsTeams[Team A],AJ252)+SUMIFS(ResultsTeams[Goal-A],ResultsTeams[Stage],"Groups",ResultsTeams[Team B],AJ252))</f>
        <v/>
      </c>
      <c r="BE252" s="357" t="str">
        <f>IF(OR(AI251="",AJ252=""),"",BC252-BD252)</f>
        <v/>
      </c>
      <c r="BF252" s="470" t="str">
        <f>IF(AM252="","",OR(VLOOKUP(AM252,AN252:BE258,3,FALSE),VLOOKUP(AM252,AN252:BE258,6,FALSE)))</f>
        <v/>
      </c>
      <c r="BG252" s="298" t="str">
        <f t="shared" ref="BG252:BG258" si="215">IF(AM252="","",INT(AM252/1000))</f>
        <v/>
      </c>
      <c r="BH252" s="285" t="str">
        <f>IF(AM252="","",INDEX(AJ252:AJ258,MATCH(AM252,AN252:AN258,0)))</f>
        <v/>
      </c>
      <c r="BI252" s="286" t="str">
        <f>IF(AM252="","",VLOOKUP(AM252,AN252:BE258,COLUMN()-COLUMN(BB251),FALSE))</f>
        <v/>
      </c>
      <c r="BJ252" s="286" t="str">
        <f>IF(AM252="","",VLOOKUP(AM252,AN252:BE258,COLUMN()-COLUMN(BB251),FALSE))</f>
        <v/>
      </c>
      <c r="BK252" s="286" t="str">
        <f>IF(AM252="","",VLOOKUP(AM252,AN252:BE258,COLUMN()-COLUMN(BB251),FALSE))</f>
        <v/>
      </c>
      <c r="BL252" s="286" t="str">
        <f>IF(AM252="","",VLOOKUP(AM252,AN252:BE258,COLUMN()-COLUMN(BB251),FALSE))</f>
        <v/>
      </c>
      <c r="BM252" s="286" t="str">
        <f>IF(AM252="","",VLOOKUP(AM252,AN252:BE258,COLUMN()-COLUMN(BB251),FALSE))</f>
        <v/>
      </c>
      <c r="BN252" s="349" t="str">
        <f>IF(AM252="","",VLOOKUP(AM252,AN252:BE258,COLUMN()-COLUMN(BB251),FALSE))</f>
        <v/>
      </c>
      <c r="BO252" s="298" t="str">
        <f>IF(AM252="","",VLOOKUP(AM252,AN252:BE258,COLUMN()-COLUMN(BB251),FALSE))</f>
        <v/>
      </c>
      <c r="BP252" s="286" t="str">
        <f>IF(AM252="","",VLOOKUP(AM252,AN252:BE258,COLUMN()-COLUMN(BB251),FALSE))</f>
        <v/>
      </c>
      <c r="BQ252" s="301" t="str">
        <f>IF(AM252="","",VLOOKUP(AM252,AN252:BE258,COLUMN()-COLUMN(BB251),FALSE))</f>
        <v/>
      </c>
      <c r="BR252" s="352" t="str">
        <f>IF(AM252="","",VLOOKUP(AM252,AN252:BE258,COLUMN()-COLUMN(BB251),FALSE))</f>
        <v/>
      </c>
      <c r="BS252" s="286" t="str">
        <f>IF(AM252="","",VLOOKUP(AM252,AN252:BE258,COLUMN()-COLUMN(BB251),FALSE))</f>
        <v/>
      </c>
      <c r="BT252" s="301" t="str">
        <f>IF(AM252="","",VLOOKUP(AM252,AN252:BE258,COLUMN()-COLUMN(BB251),FALSE))</f>
        <v/>
      </c>
    </row>
    <row r="253" spans="1:72" x14ac:dyDescent="0.2">
      <c r="A253" s="62"/>
      <c r="B253" s="280"/>
      <c r="C253" s="62"/>
      <c r="D253" s="62"/>
      <c r="E253" s="241" t="s">
        <v>12237</v>
      </c>
      <c r="F253" s="246" t="s">
        <v>8874</v>
      </c>
      <c r="G253" s="246" t="s">
        <v>8103</v>
      </c>
      <c r="H253" s="254">
        <v>6</v>
      </c>
      <c r="I253" s="254">
        <v>1</v>
      </c>
      <c r="J253" s="254"/>
      <c r="K253" s="363"/>
      <c r="L253" s="363"/>
      <c r="M253" s="247"/>
      <c r="N253" s="265" t="b">
        <f>NOT(ISERROR(ResultsTeams[[#This Row],[Goal-A]]+ResultsTeams[[#This Row],[Goal-B]]))</f>
        <v>1</v>
      </c>
      <c r="O253" s="265">
        <f>IF(ResultsTeams[[#This Row],[Type]]="G",SUM(O254:O257),IF(LEFT(ResultsTeams[[#This Row],[Type]],1)="P",IF(ResultsTeams[[#This Row],[Goal-A]]&gt;ResultsTeams[[#This Row],[Goal-B]],1,0),""))</f>
        <v>1</v>
      </c>
      <c r="P253" s="265">
        <f>IF(ResultsTeams[[#This Row],[Type]]="G",SUM(P254:P257),IF(LEFT(ResultsTeams[[#This Row],[Type]],1)="P",IF(ResultsTeams[[#This Row],[Goal-A]]&lt;ResultsTeams[[#This Row],[Goal-B]],1,0),""))</f>
        <v>0</v>
      </c>
      <c r="Q253" s="265">
        <f>IF(ResultsTeams[[#This Row],[Type]]="G",SUM(Q254:Q257),IF(LEFT(ResultsTeams[[#This Row],[Type]],1)="P",VALUE(ResultsTeams[[#This Row],[Score-A]]),""))</f>
        <v>6</v>
      </c>
      <c r="R253" s="265">
        <f>IF(ResultsTeams[[#This Row],[Type]]="G",SUM(R254:R257),IF(LEFT(ResultsTeams[[#This Row],[Type]],1)="P",VALUE(ResultsTeams[[#This Row],[Score-B]]),""))</f>
        <v>1</v>
      </c>
      <c r="S253" s="265" t="str">
        <f ca="1">IF(AND(ResultsTeams[[#This Row],[Category]]&lt;&gt;"",ResultsTeams[[#This Row],[Team A]]&lt;&gt;""),COUNTIF(INDIRECT("TeamsList[Club Name]"),ResultsTeams[[#This Row],[Team A]]),"")</f>
        <v/>
      </c>
      <c r="T253" s="265" t="str">
        <f ca="1">IF(AND(ResultsTeams[[#This Row],[Category]]&lt;&gt;"",ResultsTeams[[#This Row],[Team B]]&lt;&gt;""),COUNTIF(INDIRECT("TeamsList[Club Name]"),ResultsTeams[[#This Row],[Team B]]),"")</f>
        <v/>
      </c>
      <c r="U2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-Alberto Di Maggio</v>
      </c>
      <c r="V253" s="265" t="str">
        <f>IF(ResultsTeams[[#This Row],[Score_OK]],IF(ResultsTeams[[#This Row],[StageCpy]]="Groups",ResultsTeams[[#This Row],[Category]]&amp;"-"&amp;IF(ResultsTeams[[#This Row],[Team B]]="","",IF(ResultsTeams[[#This Row],[Match-A]]=ResultsTeams[[#This Row],[Match-B]],ResultsTeams[[#This Row],[Team A]],"")),""),"")</f>
        <v>-</v>
      </c>
      <c r="W253" s="265" t="str">
        <f>IF(ResultsTeams[[#This Row],[Score_OK]],IF(ResultsTeams[[#This Row],[StageCpy]]="Groups",ResultsTeams[[#This Row],[Category]]&amp;"-"&amp;IF(ResultsTeams[[#This Row],[Team B]]="","",IF(ResultsTeams[[#This Row],[Match-A]]=ResultsTeams[[#This Row],[Match-B]],ResultsTeams[[#This Row],[Team B]],"")),""),"")</f>
        <v>-</v>
      </c>
      <c r="X2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-Jody Henrioul</v>
      </c>
      <c r="Y2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3" s="264" t="str">
        <f>IF(ResultsTeams[[#This Row],[Category]]="","",VLOOKUP(ResultsTeams[[#This Row],[Stage]],$R$1:$T$8,MATCH(ResultsTeams[[#This Row],[Category]],$S$1:$T$1,0)+1,FALSE))</f>
        <v/>
      </c>
      <c r="AC2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3" s="264" t="str">
        <f>IF(ResultsTeams[[#This Row],[Type]]="G",ResultsTeams[[#This Row],[Stage]],AD252)</f>
        <v>Groups</v>
      </c>
      <c r="AE253" s="395" t="str">
        <f>IF(ResultsTeams[[#This Row],[Type]]="G",INDEX(TeamsList[Club Name],MATCH(ResultsTeams[[#This Row],[Team A]],TeamsList[Team Name],0)),AE252)</f>
        <v>Bologna Tigers Subbuteo</v>
      </c>
      <c r="AF253" s="395" t="str">
        <f>IF(ResultsTeams[[#This Row],[Type]]="G",INDEX(TeamsList[Club Name],MATCH(ResultsTeams[[#This Row],[Team B]],TeamsList[Team Name],0)),AF252)</f>
        <v>SC Lion's Eugies</v>
      </c>
      <c r="AG253" s="265"/>
      <c r="AI253" s="12">
        <f>AI252</f>
        <v>0</v>
      </c>
      <c r="AJ253" s="309"/>
      <c r="AK253" s="320"/>
      <c r="AL253" s="311"/>
      <c r="AM253" s="292" t="str">
        <f>IF(AV253="","",SMALL(AN252:AN258,ROWS(AM252:AM253)))</f>
        <v/>
      </c>
      <c r="AN253" s="293" t="str">
        <f>IF(AV253="","",RANK(AR253,AR252:AR258)*1000+ROWS(AN252:AN253))</f>
        <v/>
      </c>
      <c r="AO253" s="316" t="str">
        <f t="shared" si="210"/>
        <v/>
      </c>
      <c r="AP253" s="415" t="b">
        <f>AND(AU253&lt;&gt;"",AU253&gt;0,COUNTIF(AO252:AO258,AO253)&gt;1)</f>
        <v>0</v>
      </c>
      <c r="AQ253" s="316" t="str">
        <f t="shared" si="211"/>
        <v/>
      </c>
      <c r="AR253" s="317" t="str">
        <f t="shared" si="212"/>
        <v/>
      </c>
      <c r="AS253" s="415" t="b">
        <f>AND(AU253&lt;&gt;"",AU253&gt;0,COUNTIF(AR252:AR258,AR253)&gt;1)</f>
        <v>0</v>
      </c>
      <c r="AT253" s="355" t="str">
        <f t="shared" si="213"/>
        <v/>
      </c>
      <c r="AU253" s="356" t="str">
        <f t="shared" si="214"/>
        <v/>
      </c>
      <c r="AV253" s="356" t="str">
        <f>IF(OR(AI251="",AJ253=""),"",COUNTIF(ResultsTeams[Win],AI251&amp;"-"&amp;AJ253))</f>
        <v/>
      </c>
      <c r="AW253" s="356" t="str">
        <f>IF(OR(AI251="",AJ253=""),"",COUNTIF(ResultsTeams[[Draw1]:[Draw2]],AI251&amp;"-"&amp;AJ253))</f>
        <v/>
      </c>
      <c r="AX253" s="356" t="str">
        <f>IF(OR(AI251="",AJ253=""),"",COUNTIF(ResultsTeams[Lose],AI251&amp;"-"&amp;AJ253))</f>
        <v/>
      </c>
      <c r="AY253" s="356" t="str">
        <f>IF(OR(AI251="",AJ253=""),"",AV253-AX253)</f>
        <v/>
      </c>
      <c r="AZ253" s="356" t="str">
        <f>IF(OR(AI252="",AJ253=""),"",SUMIFS(ResultsTeams[Match-A],ResultsTeams[Stage],"Groups",ResultsTeams[Team A],AJ253)+SUMIFS(ResultsTeams[Match-B],ResultsTeams[Stage],"Groups",ResultsTeams[Team B],AJ253))</f>
        <v/>
      </c>
      <c r="BA253" s="356" t="str">
        <f>IF(OR(AI252="",AJ253=""),"",SUMIFS(ResultsTeams[Match-B],ResultsTeams[Stage],"Groups",ResultsTeams[Team A],AJ253)+SUMIFS(ResultsTeams[Match-A],ResultsTeams[Stage],"Groups",ResultsTeams[Team B],AJ253))</f>
        <v/>
      </c>
      <c r="BB253" s="356" t="str">
        <f t="shared" ref="BB253:BB258" si="216">IF(OR(AI252="",AJ253=""),"",AZ253-BA253)</f>
        <v/>
      </c>
      <c r="BC253" s="356" t="str">
        <f>IF(OR(AI252="",AJ253=""),"",SUMIFS(ResultsTeams[Goal-A],ResultsTeams[Stage],"Groups",ResultsTeams[Team A],AJ253)+SUMIFS(ResultsTeams[Goal-B],ResultsTeams[Stage],"Groups",ResultsTeams[Team B],AJ253))</f>
        <v/>
      </c>
      <c r="BD253" s="356" t="str">
        <f>IF(OR(AI252="",AJ253=""),"",SUMIFS(ResultsTeams[Goal-B],ResultsTeams[Stage],"Groups",ResultsTeams[Team A],AJ253)+SUMIFS(ResultsTeams[Goal-A],ResultsTeams[Stage],"Groups",ResultsTeams[Team B],AJ253))</f>
        <v/>
      </c>
      <c r="BE253" s="357" t="str">
        <f>IF(OR(AI251="",AJ253=""),"",BC253-BD253)</f>
        <v/>
      </c>
      <c r="BF253" s="470" t="str">
        <f>IF(AM253="","",OR(VLOOKUP(AM253,AN252:BE258,3,FALSE),VLOOKUP(AM253,AN252:BE258,6,FALSE)))</f>
        <v/>
      </c>
      <c r="BG253" s="298" t="str">
        <f t="shared" si="215"/>
        <v/>
      </c>
      <c r="BH253" s="285" t="str">
        <f>IF(AM253="","",INDEX(AJ252:AJ258,MATCH(AM253,AN252:AN258,0)))</f>
        <v/>
      </c>
      <c r="BI253" s="286" t="str">
        <f>IF(AM253="","",VLOOKUP(AM253,AN252:BE258,COLUMN()-COLUMN(BB251),FALSE))</f>
        <v/>
      </c>
      <c r="BJ253" s="286" t="str">
        <f>IF(AM253="","",VLOOKUP(AM253,AN252:BE258,COLUMN()-COLUMN(BB251),FALSE))</f>
        <v/>
      </c>
      <c r="BK253" s="286" t="str">
        <f>IF(AM253="","",VLOOKUP(AM253,AN252:BE258,COLUMN()-COLUMN(BB251),FALSE))</f>
        <v/>
      </c>
      <c r="BL253" s="286" t="str">
        <f>IF(AM253="","",VLOOKUP(AM253,AN252:BE258,COLUMN()-COLUMN(BB251),FALSE))</f>
        <v/>
      </c>
      <c r="BM253" s="286" t="str">
        <f>IF(AM253="","",VLOOKUP(AM253,AN252:BE258,COLUMN()-COLUMN(BB251),FALSE))</f>
        <v/>
      </c>
      <c r="BN253" s="349" t="str">
        <f>IF(AM253="","",VLOOKUP(AM253,AN252:BE258,COLUMN()-COLUMN(BB251),FALSE))</f>
        <v/>
      </c>
      <c r="BO253" s="298" t="str">
        <f>IF(AM253="","",VLOOKUP(AM253,AN252:BE258,COLUMN()-COLUMN(BB251),FALSE))</f>
        <v/>
      </c>
      <c r="BP253" s="286" t="str">
        <f>IF(AM253="","",VLOOKUP(AM253,AN252:BE258,COLUMN()-COLUMN(BB251),FALSE))</f>
        <v/>
      </c>
      <c r="BQ253" s="301" t="str">
        <f>IF(AM253="","",VLOOKUP(AM253,AN252:BE258,COLUMN()-COLUMN(BB251),FALSE))</f>
        <v/>
      </c>
      <c r="BR253" s="352" t="str">
        <f>IF(AM253="","",VLOOKUP(AM253,AN252:BE258,COLUMN()-COLUMN(BB251),FALSE))</f>
        <v/>
      </c>
      <c r="BS253" s="286" t="str">
        <f>IF(AM253="","",VLOOKUP(AM253,AN252:BE258,COLUMN()-COLUMN(BB251),FALSE))</f>
        <v/>
      </c>
      <c r="BT253" s="301" t="str">
        <f>IF(AM253="","",VLOOKUP(AM253,AN252:BE258,COLUMN()-COLUMN(BB251),FALSE))</f>
        <v/>
      </c>
    </row>
    <row r="254" spans="1:72" x14ac:dyDescent="0.2">
      <c r="A254" s="62"/>
      <c r="B254" s="280"/>
      <c r="C254" s="62"/>
      <c r="D254" s="62"/>
      <c r="E254" s="241" t="s">
        <v>12240</v>
      </c>
      <c r="F254" s="246" t="s">
        <v>10090</v>
      </c>
      <c r="G254" s="246" t="s">
        <v>8201</v>
      </c>
      <c r="H254" s="254">
        <v>6</v>
      </c>
      <c r="I254" s="254">
        <v>1</v>
      </c>
      <c r="J254" s="254"/>
      <c r="K254" s="363"/>
      <c r="L254" s="363"/>
      <c r="M254" s="247"/>
      <c r="N254" s="265" t="b">
        <f>NOT(ISERROR(ResultsTeams[[#This Row],[Goal-A]]+ResultsTeams[[#This Row],[Goal-B]]))</f>
        <v>1</v>
      </c>
      <c r="O254" s="265">
        <f>IF(ResultsTeams[[#This Row],[Type]]="G",SUM(O255:O258),IF(LEFT(ResultsTeams[[#This Row],[Type]],1)="P",IF(ResultsTeams[[#This Row],[Goal-A]]&gt;ResultsTeams[[#This Row],[Goal-B]],1,0),""))</f>
        <v>1</v>
      </c>
      <c r="P254" s="265">
        <f>IF(ResultsTeams[[#This Row],[Type]]="G",SUM(P255:P258),IF(LEFT(ResultsTeams[[#This Row],[Type]],1)="P",IF(ResultsTeams[[#This Row],[Goal-A]]&lt;ResultsTeams[[#This Row],[Goal-B]],1,0),""))</f>
        <v>0</v>
      </c>
      <c r="Q254" s="265">
        <f>IF(ResultsTeams[[#This Row],[Type]]="G",SUM(Q255:Q258),IF(LEFT(ResultsTeams[[#This Row],[Type]],1)="P",VALUE(ResultsTeams[[#This Row],[Score-A]]),""))</f>
        <v>6</v>
      </c>
      <c r="R254" s="265">
        <f>IF(ResultsTeams[[#This Row],[Type]]="G",SUM(R255:R258),IF(LEFT(ResultsTeams[[#This Row],[Type]],1)="P",VALUE(ResultsTeams[[#This Row],[Score-B]]),""))</f>
        <v>1</v>
      </c>
      <c r="S254" s="265" t="str">
        <f ca="1">IF(AND(ResultsTeams[[#This Row],[Category]]&lt;&gt;"",ResultsTeams[[#This Row],[Team A]]&lt;&gt;""),COUNTIF(INDIRECT("TeamsList[Club Name]"),ResultsTeams[[#This Row],[Team A]]),"")</f>
        <v/>
      </c>
      <c r="T254" s="265" t="str">
        <f ca="1">IF(AND(ResultsTeams[[#This Row],[Category]]&lt;&gt;"",ResultsTeams[[#This Row],[Team B]]&lt;&gt;""),COUNTIF(INDIRECT("TeamsList[Club Name]"),ResultsTeams[[#This Row],[Team B]]),"")</f>
        <v/>
      </c>
      <c r="U2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-Andrea Di Vincenzo</v>
      </c>
      <c r="V254" s="265" t="str">
        <f>IF(ResultsTeams[[#This Row],[Score_OK]],IF(ResultsTeams[[#This Row],[StageCpy]]="Groups",ResultsTeams[[#This Row],[Category]]&amp;"-"&amp;IF(ResultsTeams[[#This Row],[Team B]]="","",IF(ResultsTeams[[#This Row],[Match-A]]=ResultsTeams[[#This Row],[Match-B]],ResultsTeams[[#This Row],[Team A]],"")),""),"")</f>
        <v>-</v>
      </c>
      <c r="W254" s="265" t="str">
        <f>IF(ResultsTeams[[#This Row],[Score_OK]],IF(ResultsTeams[[#This Row],[StageCpy]]="Groups",ResultsTeams[[#This Row],[Category]]&amp;"-"&amp;IF(ResultsTeams[[#This Row],[Team B]]="","",IF(ResultsTeams[[#This Row],[Match-A]]=ResultsTeams[[#This Row],[Match-B]],ResultsTeams[[#This Row],[Team B]],"")),""),"")</f>
        <v>-</v>
      </c>
      <c r="X2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-Kostandinos Tsangouris</v>
      </c>
      <c r="Y2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4" s="264" t="str">
        <f>IF(ResultsTeams[[#This Row],[Category]]="","",VLOOKUP(ResultsTeams[[#This Row],[Stage]],$R$1:$T$8,MATCH(ResultsTeams[[#This Row],[Category]],$S$1:$T$1,0)+1,FALSE))</f>
        <v/>
      </c>
      <c r="AC2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4" s="264" t="str">
        <f>IF(ResultsTeams[[#This Row],[Type]]="G",ResultsTeams[[#This Row],[Stage]],AD253)</f>
        <v>Groups</v>
      </c>
      <c r="AE254" s="395" t="str">
        <f>IF(ResultsTeams[[#This Row],[Type]]="G",INDEX(TeamsList[Club Name],MATCH(ResultsTeams[[#This Row],[Team A]],TeamsList[Team Name],0)),AE253)</f>
        <v>Bologna Tigers Subbuteo</v>
      </c>
      <c r="AF254" s="395" t="str">
        <f>IF(ResultsTeams[[#This Row],[Type]]="G",INDEX(TeamsList[Club Name],MATCH(ResultsTeams[[#This Row],[Team B]],TeamsList[Team Name],0)),AF253)</f>
        <v>SC Lion's Eugies</v>
      </c>
      <c r="AG254" s="265"/>
      <c r="AI254" s="12">
        <f t="shared" ref="AI254:AI258" si="217">AI253</f>
        <v>0</v>
      </c>
      <c r="AJ254" s="309"/>
      <c r="AK254" s="320"/>
      <c r="AL254" s="311"/>
      <c r="AM254" s="292" t="str">
        <f>IF(AV254="","",SMALL(AN252:AN258,ROWS(AM252:AM254)))</f>
        <v/>
      </c>
      <c r="AN254" s="293" t="str">
        <f>IF(AV254="","",RANK(AR254,AR252:AR258)*1000+ROWS(AN252:AN254))</f>
        <v/>
      </c>
      <c r="AO254" s="316" t="str">
        <f t="shared" si="210"/>
        <v/>
      </c>
      <c r="AP254" s="415" t="b">
        <f>AND(AU254&lt;&gt;"",AU254&gt;0,COUNTIF(AO252:AO258,AO254)&gt;1)</f>
        <v>0</v>
      </c>
      <c r="AQ254" s="316" t="str">
        <f t="shared" si="211"/>
        <v/>
      </c>
      <c r="AR254" s="317" t="str">
        <f t="shared" si="212"/>
        <v/>
      </c>
      <c r="AS254" s="415" t="b">
        <f>AND(AU254&lt;&gt;"",AU254&gt;0,COUNTIF(AR252:AR258,AR254)&gt;1)</f>
        <v>0</v>
      </c>
      <c r="AT254" s="355" t="str">
        <f t="shared" si="213"/>
        <v/>
      </c>
      <c r="AU254" s="356" t="str">
        <f t="shared" si="214"/>
        <v/>
      </c>
      <c r="AV254" s="356" t="str">
        <f>IF(OR(AI251="",AJ254=""),"",COUNTIF(ResultsTeams[Win],AI251&amp;"-"&amp;AJ254))</f>
        <v/>
      </c>
      <c r="AW254" s="356" t="str">
        <f>IF(OR(AI251="",AJ254=""),"",COUNTIF(ResultsTeams[[Draw1]:[Draw2]],AI251&amp;"-"&amp;AJ254))</f>
        <v/>
      </c>
      <c r="AX254" s="356" t="str">
        <f>IF(OR(AI251="",AJ254=""),"",COUNTIF(ResultsTeams[Lose],AI251&amp;"-"&amp;AJ254))</f>
        <v/>
      </c>
      <c r="AY254" s="356" t="str">
        <f>IF(OR(AI251="",AJ254=""),"",AV254-AX254)</f>
        <v/>
      </c>
      <c r="AZ254" s="356" t="str">
        <f>IF(OR(AI253="",AJ254=""),"",SUMIFS(ResultsTeams[Match-A],ResultsTeams[Stage],"Groups",ResultsTeams[Team A],AJ254)+SUMIFS(ResultsTeams[Match-B],ResultsTeams[Stage],"Groups",ResultsTeams[Team B],AJ254))</f>
        <v/>
      </c>
      <c r="BA254" s="356" t="str">
        <f>IF(OR(AI253="",AJ254=""),"",SUMIFS(ResultsTeams[Match-B],ResultsTeams[Stage],"Groups",ResultsTeams[Team A],AJ254)+SUMIFS(ResultsTeams[Match-A],ResultsTeams[Stage],"Groups",ResultsTeams[Team B],AJ254))</f>
        <v/>
      </c>
      <c r="BB254" s="356" t="str">
        <f t="shared" si="216"/>
        <v/>
      </c>
      <c r="BC254" s="356" t="str">
        <f>IF(OR(AI253="",AJ254=""),"",SUMIFS(ResultsTeams[Goal-A],ResultsTeams[Stage],"Groups",ResultsTeams[Team A],AJ254)+SUMIFS(ResultsTeams[Goal-B],ResultsTeams[Stage],"Groups",ResultsTeams[Team B],AJ254))</f>
        <v/>
      </c>
      <c r="BD254" s="356" t="str">
        <f>IF(OR(AI253="",AJ254=""),"",SUMIFS(ResultsTeams[Goal-B],ResultsTeams[Stage],"Groups",ResultsTeams[Team A],AJ254)+SUMIFS(ResultsTeams[Goal-A],ResultsTeams[Stage],"Groups",ResultsTeams[Team B],AJ254))</f>
        <v/>
      </c>
      <c r="BE254" s="357" t="str">
        <f>IF(OR(AI251="",AJ254=""),"",BC254-BD254)</f>
        <v/>
      </c>
      <c r="BF254" s="470" t="str">
        <f>IF(AM254="","",OR(VLOOKUP(AM254,AN252:BE258,3,FALSE),VLOOKUP(AM254,AN252:BE258,6,FALSE)))</f>
        <v/>
      </c>
      <c r="BG254" s="298" t="str">
        <f t="shared" si="215"/>
        <v/>
      </c>
      <c r="BH254" s="285" t="str">
        <f>IF(AM254="","",INDEX(AJ252:AJ258,MATCH(AM254,AN252:AN258,0)))</f>
        <v/>
      </c>
      <c r="BI254" s="286" t="str">
        <f>IF(AM254="","",VLOOKUP(AM254,AN252:BE258,COLUMN()-COLUMN(BB251),FALSE))</f>
        <v/>
      </c>
      <c r="BJ254" s="286" t="str">
        <f>IF(AM254="","",VLOOKUP(AM254,AN252:BE258,COLUMN()-COLUMN(BB251),FALSE))</f>
        <v/>
      </c>
      <c r="BK254" s="286" t="str">
        <f>IF(AM254="","",VLOOKUP(AM254,AN252:BE258,COLUMN()-COLUMN(BB251),FALSE))</f>
        <v/>
      </c>
      <c r="BL254" s="286" t="str">
        <f>IF(AM254="","",VLOOKUP(AM254,AN252:BE258,COLUMN()-COLUMN(BB251),FALSE))</f>
        <v/>
      </c>
      <c r="BM254" s="286" t="str">
        <f>IF(AM254="","",VLOOKUP(AM254,AN252:BE258,COLUMN()-COLUMN(BB251),FALSE))</f>
        <v/>
      </c>
      <c r="BN254" s="349" t="str">
        <f>IF(AM254="","",VLOOKUP(AM254,AN252:BE258,COLUMN()-COLUMN(BB251),FALSE))</f>
        <v/>
      </c>
      <c r="BO254" s="298" t="str">
        <f>IF(AM254="","",VLOOKUP(AM254,AN252:BE258,COLUMN()-COLUMN(BB251),FALSE))</f>
        <v/>
      </c>
      <c r="BP254" s="286" t="str">
        <f>IF(AM254="","",VLOOKUP(AM254,AN252:BE258,COLUMN()-COLUMN(BB251),FALSE))</f>
        <v/>
      </c>
      <c r="BQ254" s="301" t="str">
        <f>IF(AM254="","",VLOOKUP(AM254,AN252:BE258,COLUMN()-COLUMN(BB251),FALSE))</f>
        <v/>
      </c>
      <c r="BR254" s="352" t="str">
        <f>IF(AM254="","",VLOOKUP(AM254,AN252:BE258,COLUMN()-COLUMN(BB251),FALSE))</f>
        <v/>
      </c>
      <c r="BS254" s="286" t="str">
        <f>IF(AM254="","",VLOOKUP(AM254,AN252:BE258,COLUMN()-COLUMN(BB251),FALSE))</f>
        <v/>
      </c>
      <c r="BT254" s="301" t="str">
        <f>IF(AM254="","",VLOOKUP(AM254,AN252:BE258,COLUMN()-COLUMN(BB251),FALSE))</f>
        <v/>
      </c>
    </row>
    <row r="255" spans="1:72" x14ac:dyDescent="0.2">
      <c r="A255" s="62"/>
      <c r="B255" s="62"/>
      <c r="C255" s="62"/>
      <c r="D255" s="62"/>
      <c r="E255" s="241" t="s">
        <v>12243</v>
      </c>
      <c r="F255" s="247"/>
      <c r="G255" s="247"/>
      <c r="H255" s="254"/>
      <c r="I255" s="254"/>
      <c r="J255" s="260"/>
      <c r="K255" s="364"/>
      <c r="L255" s="364"/>
      <c r="M255" s="247"/>
      <c r="N255" s="265" t="b">
        <f>NOT(ISERROR(ResultsTeams[[#This Row],[Goal-A]]+ResultsTeams[[#This Row],[Goal-B]]))</f>
        <v>0</v>
      </c>
      <c r="O255" s="265" t="str">
        <f>IF(ResultsTeams[[#This Row],[Type]]="G",SUM(O256:O259),IF(LEFT(ResultsTeams[[#This Row],[Type]],1)="P",IF(ResultsTeams[[#This Row],[Goal-A]]&gt;ResultsTeams[[#This Row],[Goal-B]],1,0),""))</f>
        <v/>
      </c>
      <c r="P255" s="265" t="str">
        <f>IF(ResultsTeams[[#This Row],[Type]]="G",SUM(P256:P259),IF(LEFT(ResultsTeams[[#This Row],[Type]],1)="P",IF(ResultsTeams[[#This Row],[Goal-A]]&lt;ResultsTeams[[#This Row],[Goal-B]],1,0),""))</f>
        <v/>
      </c>
      <c r="Q255" s="265" t="str">
        <f>IF(ResultsTeams[[#This Row],[Type]]="G",SUM(Q256:Q259),IF(LEFT(ResultsTeams[[#This Row],[Type]],1)="P",VALUE(ResultsTeams[[#This Row],[Score-A]]),""))</f>
        <v/>
      </c>
      <c r="R255" s="265" t="str">
        <f>IF(ResultsTeams[[#This Row],[Type]]="G",SUM(R256:R259),IF(LEFT(ResultsTeams[[#This Row],[Type]],1)="P",VALUE(ResultsTeams[[#This Row],[Score-B]]),""))</f>
        <v/>
      </c>
      <c r="S255" s="265" t="str">
        <f ca="1">IF(AND(ResultsTeams[[#This Row],[Category]]&lt;&gt;"",ResultsTeams[[#This Row],[Team A]]&lt;&gt;""),COUNTIF(INDIRECT("TeamsList[Club Name]"),ResultsTeams[[#This Row],[Team A]]),"")</f>
        <v/>
      </c>
      <c r="T255" s="265" t="str">
        <f ca="1">IF(AND(ResultsTeams[[#This Row],[Category]]&lt;&gt;"",ResultsTeams[[#This Row],[Team B]]&lt;&gt;""),COUNTIF(INDIRECT("TeamsList[Club Name]"),ResultsTeams[[#This Row],[Team B]]),"")</f>
        <v/>
      </c>
      <c r="U2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5" s="265" t="str">
        <f>IF(ResultsTeams[[#This Row],[Score_OK]],IF(ResultsTeams[[#This Row],[StageCpy]]="Groups",ResultsTeams[[#This Row],[Category]]&amp;"-"&amp;IF(ResultsTeams[[#This Row],[Team B]]="","",IF(ResultsTeams[[#This Row],[Match-A]]=ResultsTeams[[#This Row],[Match-B]],ResultsTeams[[#This Row],[Team A]],"")),""),"")</f>
        <v/>
      </c>
      <c r="W255" s="265" t="str">
        <f>IF(ResultsTeams[[#This Row],[Score_OK]],IF(ResultsTeams[[#This Row],[StageCpy]]="Groups",ResultsTeams[[#This Row],[Category]]&amp;"-"&amp;IF(ResultsTeams[[#This Row],[Team B]]="","",IF(ResultsTeams[[#This Row],[Match-A]]=ResultsTeams[[#This Row],[Match-B]],ResultsTeams[[#This Row],[Team B]],"")),""),"")</f>
        <v/>
      </c>
      <c r="X2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5" s="264" t="str">
        <f>IF(ResultsTeams[[#This Row],[Category]]="","",VLOOKUP(ResultsTeams[[#This Row],[Stage]],$R$1:$T$8,MATCH(ResultsTeams[[#This Row],[Category]],$S$1:$T$1,0)+1,FALSE))</f>
        <v/>
      </c>
      <c r="AC2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5" s="264" t="str">
        <f>IF(ResultsTeams[[#This Row],[Type]]="G",ResultsTeams[[#This Row],[Stage]],AD254)</f>
        <v>Groups</v>
      </c>
      <c r="AE255" s="395" t="str">
        <f>IF(ResultsTeams[[#This Row],[Type]]="G",INDEX(TeamsList[Club Name],MATCH(ResultsTeams[[#This Row],[Team A]],TeamsList[Team Name],0)),AE254)</f>
        <v>Bologna Tigers Subbuteo</v>
      </c>
      <c r="AF255" s="395" t="str">
        <f>IF(ResultsTeams[[#This Row],[Type]]="G",INDEX(TeamsList[Club Name],MATCH(ResultsTeams[[#This Row],[Team B]],TeamsList[Team Name],0)),AF254)</f>
        <v>SC Lion's Eugies</v>
      </c>
      <c r="AG255" s="265"/>
      <c r="AH255" s="91"/>
      <c r="AI255" s="12">
        <f t="shared" si="217"/>
        <v>0</v>
      </c>
      <c r="AJ255" s="309"/>
      <c r="AK255" s="310"/>
      <c r="AL255" s="311"/>
      <c r="AM255" s="292" t="str">
        <f>IF(AV255="","",SMALL(AN252:AN258,ROWS(AM252:AM255)))</f>
        <v/>
      </c>
      <c r="AN255" s="293" t="str">
        <f>IF(AV255="","",RANK(AR255,AR252:AR258)*1000+ROWS(AN252:AN255))</f>
        <v/>
      </c>
      <c r="AO255" s="316" t="str">
        <f t="shared" si="210"/>
        <v/>
      </c>
      <c r="AP255" s="415" t="b">
        <f>AND(AU255&lt;&gt;"",AU255&gt;0,COUNTIF(AO252:AO258,AO255)&gt;1)</f>
        <v>0</v>
      </c>
      <c r="AQ255" s="316" t="str">
        <f t="shared" si="211"/>
        <v/>
      </c>
      <c r="AR255" s="317" t="str">
        <f t="shared" si="212"/>
        <v/>
      </c>
      <c r="AS255" s="415" t="b">
        <f>AND(AU255&lt;&gt;"",AU255&gt;0,COUNTIF(AR252:AR258,AR255)&gt;1)</f>
        <v>0</v>
      </c>
      <c r="AT255" s="355" t="str">
        <f t="shared" si="213"/>
        <v/>
      </c>
      <c r="AU255" s="356" t="str">
        <f t="shared" si="214"/>
        <v/>
      </c>
      <c r="AV255" s="356" t="str">
        <f>IF(OR(AI251="",AJ255=""),"",COUNTIF(ResultsTeams[Win],AI251&amp;"-"&amp;AJ255))</f>
        <v/>
      </c>
      <c r="AW255" s="356" t="str">
        <f>IF(OR(AI251="",AJ255=""),"",COUNTIF(ResultsTeams[[Draw1]:[Draw2]],AI251&amp;"-"&amp;AJ255))</f>
        <v/>
      </c>
      <c r="AX255" s="356" t="str">
        <f>IF(OR(AI251="",AJ255=""),"",COUNTIF(ResultsTeams[Lose],AI251&amp;"-"&amp;AJ255))</f>
        <v/>
      </c>
      <c r="AY255" s="356" t="str">
        <f>IF(OR(AI251="",AJ255=""),"",AV255-AX255)</f>
        <v/>
      </c>
      <c r="AZ255" s="356" t="str">
        <f>IF(OR(AI254="",AJ255=""),"",SUMIFS(ResultsTeams[Match-A],ResultsTeams[Stage],"Groups",ResultsTeams[Team A],AJ255)+SUMIFS(ResultsTeams[Match-B],ResultsTeams[Stage],"Groups",ResultsTeams[Team B],AJ255))</f>
        <v/>
      </c>
      <c r="BA255" s="356" t="str">
        <f>IF(OR(AI254="",AJ255=""),"",SUMIFS(ResultsTeams[Match-B],ResultsTeams[Stage],"Groups",ResultsTeams[Team A],AJ255)+SUMIFS(ResultsTeams[Match-A],ResultsTeams[Stage],"Groups",ResultsTeams[Team B],AJ255))</f>
        <v/>
      </c>
      <c r="BB255" s="356" t="str">
        <f t="shared" si="216"/>
        <v/>
      </c>
      <c r="BC255" s="356" t="str">
        <f>IF(OR(AI254="",AJ255=""),"",SUMIFS(ResultsTeams[Goal-A],ResultsTeams[Stage],"Groups",ResultsTeams[Team A],AJ255)+SUMIFS(ResultsTeams[Goal-B],ResultsTeams[Stage],"Groups",ResultsTeams[Team B],AJ255))</f>
        <v/>
      </c>
      <c r="BD255" s="356" t="str">
        <f>IF(OR(AI254="",AJ255=""),"",SUMIFS(ResultsTeams[Goal-B],ResultsTeams[Stage],"Groups",ResultsTeams[Team A],AJ255)+SUMIFS(ResultsTeams[Goal-A],ResultsTeams[Stage],"Groups",ResultsTeams[Team B],AJ255))</f>
        <v/>
      </c>
      <c r="BE255" s="357" t="str">
        <f>IF(OR(AI251="",AJ255=""),"",BC255-BD255)</f>
        <v/>
      </c>
      <c r="BF255" s="470" t="str">
        <f>IF(AM255="","",OR(VLOOKUP(AM255,AN252:BE258,3,FALSE),VLOOKUP(AM255,AN252:BE258,6,FALSE)))</f>
        <v/>
      </c>
      <c r="BG255" s="298" t="str">
        <f t="shared" si="215"/>
        <v/>
      </c>
      <c r="BH255" s="285" t="str">
        <f>IF(AM255="","",INDEX(AJ252:AJ258,MATCH(AM255,AN252:AN258,0)))</f>
        <v/>
      </c>
      <c r="BI255" s="286" t="str">
        <f>IF(AM255="","",VLOOKUP(AM255,AN252:BE258,COLUMN()-COLUMN(BB251),FALSE))</f>
        <v/>
      </c>
      <c r="BJ255" s="286" t="str">
        <f>IF(AM255="","",VLOOKUP(AM255,AN252:BE258,COLUMN()-COLUMN(BB251),FALSE))</f>
        <v/>
      </c>
      <c r="BK255" s="286" t="str">
        <f>IF(AM255="","",VLOOKUP(AM255,AN252:BE258,COLUMN()-COLUMN(BB251),FALSE))</f>
        <v/>
      </c>
      <c r="BL255" s="286" t="str">
        <f>IF(AM255="","",VLOOKUP(AM255,AN252:BE258,COLUMN()-COLUMN(BB251),FALSE))</f>
        <v/>
      </c>
      <c r="BM255" s="286" t="str">
        <f>IF(AM255="","",VLOOKUP(AM255,AN252:BE258,COLUMN()-COLUMN(BB251),FALSE))</f>
        <v/>
      </c>
      <c r="BN255" s="349" t="str">
        <f>IF(AM255="","",VLOOKUP(AM255,AN252:BE258,COLUMN()-COLUMN(BB251),FALSE))</f>
        <v/>
      </c>
      <c r="BO255" s="298" t="str">
        <f>IF(AM255="","",VLOOKUP(AM255,AN252:BE258,COLUMN()-COLUMN(BB251),FALSE))</f>
        <v/>
      </c>
      <c r="BP255" s="286" t="str">
        <f>IF(AM255="","",VLOOKUP(AM255,AN252:BE258,COLUMN()-COLUMN(BB251),FALSE))</f>
        <v/>
      </c>
      <c r="BQ255" s="301" t="str">
        <f>IF(AM255="","",VLOOKUP(AM255,AN252:BE258,COLUMN()-COLUMN(BB251),FALSE))</f>
        <v/>
      </c>
      <c r="BR255" s="352" t="str">
        <f>IF(AM255="","",VLOOKUP(AM255,AN252:BE258,COLUMN()-COLUMN(BB251),FALSE))</f>
        <v/>
      </c>
      <c r="BS255" s="286" t="str">
        <f>IF(AM255="","",VLOOKUP(AM255,AN252:BE258,COLUMN()-COLUMN(BB251),FALSE))</f>
        <v/>
      </c>
      <c r="BT255" s="301" t="str">
        <f>IF(AM255="","",VLOOKUP(AM255,AN252:BE258,COLUMN()-COLUMN(BB251),FALSE))</f>
        <v/>
      </c>
    </row>
    <row r="256" spans="1:72" ht="12" thickBot="1" x14ac:dyDescent="0.25">
      <c r="A256" s="83"/>
      <c r="B256" s="83"/>
      <c r="C256" s="83"/>
      <c r="D256" s="83"/>
      <c r="E256" s="268" t="s">
        <v>12244</v>
      </c>
      <c r="F256" s="262"/>
      <c r="G256" s="262"/>
      <c r="H256" s="324"/>
      <c r="I256" s="324"/>
      <c r="J256" s="263"/>
      <c r="K256" s="365"/>
      <c r="L256" s="365"/>
      <c r="M256" s="262"/>
      <c r="N256" s="265" t="b">
        <f>NOT(ISERROR(ResultsTeams[[#This Row],[Goal-A]]+ResultsTeams[[#This Row],[Goal-B]]))</f>
        <v>0</v>
      </c>
      <c r="O256" s="265" t="str">
        <f>IF(ResultsTeams[[#This Row],[Type]]="G",SUM(O257:O260),IF(LEFT(ResultsTeams[[#This Row],[Type]],1)="P",IF(ResultsTeams[[#This Row],[Goal-A]]&gt;ResultsTeams[[#This Row],[Goal-B]],1,0),""))</f>
        <v/>
      </c>
      <c r="P256" s="265" t="str">
        <f>IF(ResultsTeams[[#This Row],[Type]]="G",SUM(P257:P260),IF(LEFT(ResultsTeams[[#This Row],[Type]],1)="P",IF(ResultsTeams[[#This Row],[Goal-A]]&lt;ResultsTeams[[#This Row],[Goal-B]],1,0),""))</f>
        <v/>
      </c>
      <c r="Q256" s="265" t="str">
        <f>IF(ResultsTeams[[#This Row],[Type]]="G",SUM(Q257:Q260),IF(LEFT(ResultsTeams[[#This Row],[Type]],1)="P",VALUE(ResultsTeams[[#This Row],[Score-A]]),""))</f>
        <v/>
      </c>
      <c r="R256" s="265" t="str">
        <f>IF(ResultsTeams[[#This Row],[Type]]="G",SUM(R257:R260),IF(LEFT(ResultsTeams[[#This Row],[Type]],1)="P",VALUE(ResultsTeams[[#This Row],[Score-B]]),""))</f>
        <v/>
      </c>
      <c r="S256" s="265" t="str">
        <f ca="1">IF(AND(ResultsTeams[[#This Row],[Category]]&lt;&gt;"",ResultsTeams[[#This Row],[Team A]]&lt;&gt;""),COUNTIF(INDIRECT("TeamsList[Club Name]"),ResultsTeams[[#This Row],[Team A]]),"")</f>
        <v/>
      </c>
      <c r="T256" s="265" t="str">
        <f ca="1">IF(AND(ResultsTeams[[#This Row],[Category]]&lt;&gt;"",ResultsTeams[[#This Row],[Team B]]&lt;&gt;""),COUNTIF(INDIRECT("TeamsList[Club Name]"),ResultsTeams[[#This Row],[Team B]]),"")</f>
        <v/>
      </c>
      <c r="U2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6" s="265" t="str">
        <f>IF(ResultsTeams[[#This Row],[Score_OK]],IF(ResultsTeams[[#This Row],[StageCpy]]="Groups",ResultsTeams[[#This Row],[Category]]&amp;"-"&amp;IF(ResultsTeams[[#This Row],[Team B]]="","",IF(ResultsTeams[[#This Row],[Match-A]]=ResultsTeams[[#This Row],[Match-B]],ResultsTeams[[#This Row],[Team A]],"")),""),"")</f>
        <v/>
      </c>
      <c r="W256" s="265" t="str">
        <f>IF(ResultsTeams[[#This Row],[Score_OK]],IF(ResultsTeams[[#This Row],[StageCpy]]="Groups",ResultsTeams[[#This Row],[Category]]&amp;"-"&amp;IF(ResultsTeams[[#This Row],[Team B]]="","",IF(ResultsTeams[[#This Row],[Match-A]]=ResultsTeams[[#This Row],[Match-B]],ResultsTeams[[#This Row],[Team B]],"")),""),"")</f>
        <v/>
      </c>
      <c r="X2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6" s="264" t="str">
        <f>IF(ResultsTeams[[#This Row],[Category]]="","",VLOOKUP(ResultsTeams[[#This Row],[Stage]],$R$1:$T$8,MATCH(ResultsTeams[[#This Row],[Category]],$S$1:$T$1,0)+1,FALSE))</f>
        <v/>
      </c>
      <c r="AC2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6" s="264" t="str">
        <f>IF(ResultsTeams[[#This Row],[Type]]="G",ResultsTeams[[#This Row],[Stage]],AD255)</f>
        <v>Groups</v>
      </c>
      <c r="AE256" s="395" t="str">
        <f>IF(ResultsTeams[[#This Row],[Type]]="G",INDEX(TeamsList[Club Name],MATCH(ResultsTeams[[#This Row],[Team A]],TeamsList[Team Name],0)),AE255)</f>
        <v>Bologna Tigers Subbuteo</v>
      </c>
      <c r="AF256" s="395" t="str">
        <f>IF(ResultsTeams[[#This Row],[Type]]="G",INDEX(TeamsList[Club Name],MATCH(ResultsTeams[[#This Row],[Team B]],TeamsList[Team Name],0)),AF255)</f>
        <v>SC Lion's Eugies</v>
      </c>
      <c r="AG256" s="265"/>
      <c r="AH256" s="91"/>
      <c r="AI256" s="12">
        <f t="shared" si="217"/>
        <v>0</v>
      </c>
      <c r="AJ256" s="309"/>
      <c r="AK256" s="310"/>
      <c r="AL256" s="311"/>
      <c r="AM256" s="292" t="str">
        <f>IF(AV256="","",SMALL(AN252:AN258,ROWS(AM252:AM256)))</f>
        <v/>
      </c>
      <c r="AN256" s="293" t="str">
        <f>IF(AV256="","",RANK(AR256,AR252:AR258)*1000+ROWS(AN252:AN256))</f>
        <v/>
      </c>
      <c r="AO256" s="316" t="str">
        <f t="shared" si="210"/>
        <v/>
      </c>
      <c r="AP256" s="415" t="b">
        <f>AND(AU256&lt;&gt;"",AU256&gt;0,COUNTIF(AO252:AO258,AO256)&gt;1)</f>
        <v>0</v>
      </c>
      <c r="AQ256" s="316" t="str">
        <f t="shared" si="211"/>
        <v/>
      </c>
      <c r="AR256" s="317" t="str">
        <f t="shared" si="212"/>
        <v/>
      </c>
      <c r="AS256" s="415" t="b">
        <f>AND(AU256&lt;&gt;"",AU256&gt;0,COUNTIF(AR252:AR258,AR256)&gt;1)</f>
        <v>0</v>
      </c>
      <c r="AT256" s="355" t="str">
        <f t="shared" si="213"/>
        <v/>
      </c>
      <c r="AU256" s="356" t="str">
        <f t="shared" si="214"/>
        <v/>
      </c>
      <c r="AV256" s="356" t="str">
        <f>IF(OR(AI251="",AJ256=""),"",COUNTIF(ResultsTeams[Win],AI251&amp;"-"&amp;AJ256))</f>
        <v/>
      </c>
      <c r="AW256" s="356" t="str">
        <f>IF(OR(AI251="",AJ256=""),"",COUNTIF(ResultsTeams[[Draw1]:[Draw2]],AI251&amp;"-"&amp;AJ256))</f>
        <v/>
      </c>
      <c r="AX256" s="356" t="str">
        <f>IF(OR(AI251="",AJ256=""),"",COUNTIF(ResultsTeams[Lose],AI251&amp;"-"&amp;AJ256))</f>
        <v/>
      </c>
      <c r="AY256" s="356" t="str">
        <f>IF(OR(AI251="",AJ256=""),"",AV256-AX256)</f>
        <v/>
      </c>
      <c r="AZ256" s="356" t="str">
        <f>IF(OR(AI255="",AJ256=""),"",SUMIFS(ResultsTeams[Match-A],ResultsTeams[Stage],"Groups",ResultsTeams[Team A],AJ256)+SUMIFS(ResultsTeams[Match-B],ResultsTeams[Stage],"Groups",ResultsTeams[Team B],AJ256))</f>
        <v/>
      </c>
      <c r="BA256" s="356" t="str">
        <f>IF(OR(AI255="",AJ256=""),"",SUMIFS(ResultsTeams[Match-B],ResultsTeams[Stage],"Groups",ResultsTeams[Team A],AJ256)+SUMIFS(ResultsTeams[Match-A],ResultsTeams[Stage],"Groups",ResultsTeams[Team B],AJ256))</f>
        <v/>
      </c>
      <c r="BB256" s="356" t="str">
        <f t="shared" si="216"/>
        <v/>
      </c>
      <c r="BC256" s="356" t="str">
        <f>IF(OR(AI255="",AJ256=""),"",SUMIFS(ResultsTeams[Goal-A],ResultsTeams[Stage],"Groups",ResultsTeams[Team A],AJ256)+SUMIFS(ResultsTeams[Goal-B],ResultsTeams[Stage],"Groups",ResultsTeams[Team B],AJ256))</f>
        <v/>
      </c>
      <c r="BD256" s="356" t="str">
        <f>IF(OR(AI255="",AJ256=""),"",SUMIFS(ResultsTeams[Goal-B],ResultsTeams[Stage],"Groups",ResultsTeams[Team A],AJ256)+SUMIFS(ResultsTeams[Goal-A],ResultsTeams[Stage],"Groups",ResultsTeams[Team B],AJ256))</f>
        <v/>
      </c>
      <c r="BE256" s="357" t="str">
        <f>IF(OR(AI251="",AJ256=""),"",BC256-BD256)</f>
        <v/>
      </c>
      <c r="BF256" s="470" t="str">
        <f>IF(AM256="","",OR(VLOOKUP(AM256,AN252:BE258,3,FALSE),VLOOKUP(AM256,AN252:BE258,6,FALSE)))</f>
        <v/>
      </c>
      <c r="BG256" s="298" t="str">
        <f t="shared" si="215"/>
        <v/>
      </c>
      <c r="BH256" s="285" t="str">
        <f>IF(AM256="","",INDEX(AJ252:AJ258,MATCH(AM256,AN252:AN258,0)))</f>
        <v/>
      </c>
      <c r="BI256" s="286" t="str">
        <f>IF(AM256="","",VLOOKUP(AM256,AN252:BE258,COLUMN()-COLUMN(BB251),FALSE))</f>
        <v/>
      </c>
      <c r="BJ256" s="286" t="str">
        <f>IF(AM256="","",VLOOKUP(AM256,AN252:BE258,COLUMN()-COLUMN(BB251),FALSE))</f>
        <v/>
      </c>
      <c r="BK256" s="286" t="str">
        <f>IF(AM256="","",VLOOKUP(AM256,AN252:BE258,COLUMN()-COLUMN(BB251),FALSE))</f>
        <v/>
      </c>
      <c r="BL256" s="286" t="str">
        <f>IF(AM256="","",VLOOKUP(AM256,AN252:BE258,COLUMN()-COLUMN(BB251),FALSE))</f>
        <v/>
      </c>
      <c r="BM256" s="286" t="str">
        <f>IF(AM256="","",VLOOKUP(AM256,AN252:BE258,COLUMN()-COLUMN(BB251),FALSE))</f>
        <v/>
      </c>
      <c r="BN256" s="349" t="str">
        <f>IF(AM256="","",VLOOKUP(AM256,AN252:BE258,COLUMN()-COLUMN(BB251),FALSE))</f>
        <v/>
      </c>
      <c r="BO256" s="298" t="str">
        <f>IF(AM256="","",VLOOKUP(AM256,AN252:BE258,COLUMN()-COLUMN(BB251),FALSE))</f>
        <v/>
      </c>
      <c r="BP256" s="286" t="str">
        <f>IF(AM256="","",VLOOKUP(AM256,AN252:BE258,COLUMN()-COLUMN(BB251),FALSE))</f>
        <v/>
      </c>
      <c r="BQ256" s="301" t="str">
        <f>IF(AM256="","",VLOOKUP(AM256,AN252:BE258,COLUMN()-COLUMN(BB251),FALSE))</f>
        <v/>
      </c>
      <c r="BR256" s="352" t="str">
        <f>IF(AM256="","",VLOOKUP(AM256,AN252:BE258,COLUMN()-COLUMN(BB251),FALSE))</f>
        <v/>
      </c>
      <c r="BS256" s="286" t="str">
        <f>IF(AM256="","",VLOOKUP(AM256,AN252:BE258,COLUMN()-COLUMN(BB251),FALSE))</f>
        <v/>
      </c>
      <c r="BT256" s="301" t="str">
        <f>IF(AM256="","",VLOOKUP(AM256,AN252:BE258,COLUMN()-COLUMN(BB251),FALSE))</f>
        <v/>
      </c>
    </row>
    <row r="257" spans="1:72" ht="12" thickBot="1" x14ac:dyDescent="0.25">
      <c r="A257" s="261" t="s">
        <v>12693</v>
      </c>
      <c r="B257" s="270" t="s">
        <v>12207</v>
      </c>
      <c r="C257" s="270">
        <v>6</v>
      </c>
      <c r="D257" s="270"/>
      <c r="E257" s="272" t="s">
        <v>12228</v>
      </c>
      <c r="F257" s="273" t="s">
        <v>547</v>
      </c>
      <c r="G257" s="273" t="s">
        <v>343</v>
      </c>
      <c r="H257" s="275">
        <v>3</v>
      </c>
      <c r="I257" s="275">
        <v>1</v>
      </c>
      <c r="J257" s="275"/>
      <c r="K257" s="366"/>
      <c r="L257" s="366"/>
      <c r="M257" s="274"/>
      <c r="N257" s="265" t="b">
        <f>NOT(ISERROR(ResultsTeams[[#This Row],[Goal-A]]+ResultsTeams[[#This Row],[Goal-B]]))</f>
        <v>1</v>
      </c>
      <c r="O257" s="265">
        <f>IF(ResultsTeams[[#This Row],[Type]]="G",SUM(O258:O261),IF(LEFT(ResultsTeams[[#This Row],[Type]],1)="P",IF(ResultsTeams[[#This Row],[Goal-A]]&gt;ResultsTeams[[#This Row],[Goal-B]],1,0),""))</f>
        <v>3</v>
      </c>
      <c r="P257" s="265">
        <f>IF(ResultsTeams[[#This Row],[Type]]="G",SUM(P258:P261),IF(LEFT(ResultsTeams[[#This Row],[Type]],1)="P",IF(ResultsTeams[[#This Row],[Goal-A]]&lt;ResultsTeams[[#This Row],[Goal-B]],1,0),""))</f>
        <v>1</v>
      </c>
      <c r="Q257" s="265">
        <f>IF(ResultsTeams[[#This Row],[Type]]="G",SUM(Q258:Q261),IF(LEFT(ResultsTeams[[#This Row],[Type]],1)="P",VALUE(ResultsTeams[[#This Row],[Score-A]]),""))</f>
        <v>9</v>
      </c>
      <c r="R257" s="265">
        <f>IF(ResultsTeams[[#This Row],[Type]]="G",SUM(R258:R261),IF(LEFT(ResultsTeams[[#This Row],[Type]],1)="P",VALUE(ResultsTeams[[#This Row],[Score-B]]),""))</f>
        <v>4</v>
      </c>
      <c r="S257" s="265">
        <f ca="1">IF(AND(ResultsTeams[[#This Row],[Category]]&lt;&gt;"",ResultsTeams[[#This Row],[Team A]]&lt;&gt;""),COUNTIF(INDIRECT("TeamsList[Club Name]"),ResultsTeams[[#This Row],[Team A]]),"")</f>
        <v>1</v>
      </c>
      <c r="T257" s="265">
        <f ca="1">IF(AND(ResultsTeams[[#This Row],[Category]]&lt;&gt;"",ResultsTeams[[#This Row],[Team B]]&lt;&gt;""),COUNTIF(INDIRECT("TeamsList[Club Name]"),ResultsTeams[[#This Row],[Team B]]),"")</f>
        <v>1</v>
      </c>
      <c r="U2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TEAM-Atlas FTC</v>
      </c>
      <c r="V257" s="265" t="str">
        <f>IF(ResultsTeams[[#This Row],[Score_OK]],IF(ResultsTeams[[#This Row],[StageCpy]]="Groups",ResultsTeams[[#This Row],[Category]]&amp;"-"&amp;IF(ResultsTeams[[#This Row],[Team B]]="","",IF(ResultsTeams[[#This Row],[Match-A]]=ResultsTeams[[#This Row],[Match-B]],ResultsTeams[[#This Row],[Team A]],"")),""),"")</f>
        <v>TEAM-</v>
      </c>
      <c r="W257" s="265" t="str">
        <f>IF(ResultsTeams[[#This Row],[Score_OK]],IF(ResultsTeams[[#This Row],[StageCpy]]="Groups",ResultsTeams[[#This Row],[Category]]&amp;"-"&amp;IF(ResultsTeams[[#This Row],[Team B]]="","",IF(ResultsTeams[[#This Row],[Match-A]]=ResultsTeams[[#This Row],[Match-B]],ResultsTeams[[#This Row],[Team B]],"")),""),"")</f>
        <v>TEAM-</v>
      </c>
      <c r="X2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TEAM-US Huy</v>
      </c>
      <c r="Y2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A2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B257" s="264" t="str">
        <f>IF(ResultsTeams[[#This Row],[Category]]="","",VLOOKUP(ResultsTeams[[#This Row],[Stage]],$R$1:$T$8,MATCH(ResultsTeams[[#This Row],[Category]],$S$1:$T$1,0)+1,FALSE))</f>
        <v>PR1</v>
      </c>
      <c r="AC2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7" s="264" t="str">
        <f>IF(ResultsTeams[[#This Row],[Type]]="G",ResultsTeams[[#This Row],[Stage]],AD256)</f>
        <v>Groups</v>
      </c>
      <c r="AE257" s="395" t="str">
        <f>IF(ResultsTeams[[#This Row],[Type]]="G",INDEX(TeamsList[Club Name],MATCH(ResultsTeams[[#This Row],[Team A]],TeamsList[Team Name],0)),AE256)</f>
        <v>Atlas FTC</v>
      </c>
      <c r="AF257" s="395" t="str">
        <f>IF(ResultsTeams[[#This Row],[Type]]="G",INDEX(TeamsList[Club Name],MATCH(ResultsTeams[[#This Row],[Team B]],TeamsList[Team Name],0)),AF256)</f>
        <v>US Huy</v>
      </c>
      <c r="AG257" s="265"/>
      <c r="AI257" s="12">
        <f t="shared" si="217"/>
        <v>0</v>
      </c>
      <c r="AJ257" s="309"/>
      <c r="AK257" s="310"/>
      <c r="AL257" s="311"/>
      <c r="AM257" s="292" t="str">
        <f>IF(AV257="","",SMALL(AN252:AN258,ROWS(AM252:AM257)))</f>
        <v/>
      </c>
      <c r="AN257" s="293" t="str">
        <f>IF(AV257="","",RANK(AR257,AR252:AR258)*1000+ROWS(AN252:AN257))</f>
        <v/>
      </c>
      <c r="AO257" s="316" t="str">
        <f t="shared" si="210"/>
        <v/>
      </c>
      <c r="AP257" s="415" t="b">
        <f>AND(AU257&lt;&gt;"",AU257&gt;0,COUNTIF(AO252:AO258,AO257)&gt;1)</f>
        <v>0</v>
      </c>
      <c r="AQ257" s="316" t="str">
        <f t="shared" si="211"/>
        <v/>
      </c>
      <c r="AR257" s="317" t="str">
        <f t="shared" si="212"/>
        <v/>
      </c>
      <c r="AS257" s="415" t="b">
        <f>AND(AU257&lt;&gt;"",AU257&gt;0,COUNTIF(AR252:AR258,AR257)&gt;1)</f>
        <v>0</v>
      </c>
      <c r="AT257" s="355" t="str">
        <f t="shared" si="213"/>
        <v/>
      </c>
      <c r="AU257" s="356" t="str">
        <f t="shared" si="214"/>
        <v/>
      </c>
      <c r="AV257" s="356" t="str">
        <f>IF(OR(AI251="",AJ257=""),"",COUNTIF(ResultsTeams[Win],AI251&amp;"-"&amp;AJ257))</f>
        <v/>
      </c>
      <c r="AW257" s="356" t="str">
        <f>IF(OR(AI251="",AJ257=""),"",COUNTIF(ResultsTeams[[Draw1]:[Draw2]],AI251&amp;"-"&amp;AJ257))</f>
        <v/>
      </c>
      <c r="AX257" s="356" t="str">
        <f>IF(OR(AI251="",AJ257=""),"",COUNTIF(ResultsTeams[Lose],AI251&amp;"-"&amp;AJ257))</f>
        <v/>
      </c>
      <c r="AY257" s="356" t="str">
        <f>IF(OR(AI251="",AJ257=""),"",AV257-AX257)</f>
        <v/>
      </c>
      <c r="AZ257" s="356" t="str">
        <f>IF(OR(AI256="",AJ257=""),"",SUMIFS(ResultsTeams[Match-A],ResultsTeams[Stage],"Groups",ResultsTeams[Team A],AJ257)+SUMIFS(ResultsTeams[Match-B],ResultsTeams[Stage],"Groups",ResultsTeams[Team B],AJ257))</f>
        <v/>
      </c>
      <c r="BA257" s="356" t="str">
        <f>IF(OR(AI256="",AJ257=""),"",SUMIFS(ResultsTeams[Match-B],ResultsTeams[Stage],"Groups",ResultsTeams[Team A],AJ257)+SUMIFS(ResultsTeams[Match-A],ResultsTeams[Stage],"Groups",ResultsTeams[Team B],AJ257))</f>
        <v/>
      </c>
      <c r="BB257" s="356" t="str">
        <f t="shared" si="216"/>
        <v/>
      </c>
      <c r="BC257" s="356" t="str">
        <f>IF(OR(AI256="",AJ257=""),"",SUMIFS(ResultsTeams[Goal-A],ResultsTeams[Stage],"Groups",ResultsTeams[Team A],AJ257)+SUMIFS(ResultsTeams[Goal-B],ResultsTeams[Stage],"Groups",ResultsTeams[Team B],AJ257))</f>
        <v/>
      </c>
      <c r="BD257" s="356" t="str">
        <f>IF(OR(AI256="",AJ257=""),"",SUMIFS(ResultsTeams[Goal-B],ResultsTeams[Stage],"Groups",ResultsTeams[Team A],AJ257)+SUMIFS(ResultsTeams[Goal-A],ResultsTeams[Stage],"Groups",ResultsTeams[Team B],AJ257))</f>
        <v/>
      </c>
      <c r="BE257" s="357" t="str">
        <f>IF(OR(AI251="",AJ257=""),"",BC257-BD257)</f>
        <v/>
      </c>
      <c r="BF257" s="470" t="str">
        <f>IF(AM257="","",OR(VLOOKUP(AM257,AN252:BE258,3,FALSE),VLOOKUP(AM257,AN252:BE258,6,FALSE)))</f>
        <v/>
      </c>
      <c r="BG257" s="298" t="str">
        <f t="shared" si="215"/>
        <v/>
      </c>
      <c r="BH257" s="285" t="str">
        <f>IF(AM257="","",INDEX(AJ252:AJ258,MATCH(AM257,AN252:AN258,0)))</f>
        <v/>
      </c>
      <c r="BI257" s="286" t="str">
        <f>IF(AM257="","",VLOOKUP(AM257,AN252:BE258,COLUMN()-COLUMN(BB251),FALSE))</f>
        <v/>
      </c>
      <c r="BJ257" s="286" t="str">
        <f>IF(AM257="","",VLOOKUP(AM257,AN252:BE258,COLUMN()-COLUMN(BB251),FALSE))</f>
        <v/>
      </c>
      <c r="BK257" s="286" t="str">
        <f>IF(AM257="","",VLOOKUP(AM257,AN252:BE258,COLUMN()-COLUMN(BB251),FALSE))</f>
        <v/>
      </c>
      <c r="BL257" s="286" t="str">
        <f>IF(AM257="","",VLOOKUP(AM257,AN252:BE258,COLUMN()-COLUMN(BB251),FALSE))</f>
        <v/>
      </c>
      <c r="BM257" s="286" t="str">
        <f>IF(AM257="","",VLOOKUP(AM257,AN252:BE258,COLUMN()-COLUMN(BB251),FALSE))</f>
        <v/>
      </c>
      <c r="BN257" s="349" t="str">
        <f>IF(AM257="","",VLOOKUP(AM257,AN252:BE258,COLUMN()-COLUMN(BB251),FALSE))</f>
        <v/>
      </c>
      <c r="BO257" s="298" t="str">
        <f>IF(AM257="","",VLOOKUP(AM257,AN252:BE258,COLUMN()-COLUMN(BB251),FALSE))</f>
        <v/>
      </c>
      <c r="BP257" s="286" t="str">
        <f>IF(AM257="","",VLOOKUP(AM257,AN252:BE258,COLUMN()-COLUMN(BB251),FALSE))</f>
        <v/>
      </c>
      <c r="BQ257" s="301" t="str">
        <f>IF(AM257="","",VLOOKUP(AM257,AN252:BE258,COLUMN()-COLUMN(BB251),FALSE))</f>
        <v/>
      </c>
      <c r="BR257" s="352" t="str">
        <f>IF(AM257="","",VLOOKUP(AM257,AN252:BE258,COLUMN()-COLUMN(BB251),FALSE))</f>
        <v/>
      </c>
      <c r="BS257" s="286" t="str">
        <f>IF(AM257="","",VLOOKUP(AM257,AN252:BE258,COLUMN()-COLUMN(BB251),FALSE))</f>
        <v/>
      </c>
      <c r="BT257" s="301" t="str">
        <f>IF(AM257="","",VLOOKUP(AM257,AN252:BE258,COLUMN()-COLUMN(BB251),FALSE))</f>
        <v/>
      </c>
    </row>
    <row r="258" spans="1:72" ht="12" thickBot="1" x14ac:dyDescent="0.25">
      <c r="A258" s="60"/>
      <c r="B258" s="280"/>
      <c r="C258" s="60"/>
      <c r="D258" s="60"/>
      <c r="E258" s="240" t="s">
        <v>12231</v>
      </c>
      <c r="F258" s="244" t="s">
        <v>11084</v>
      </c>
      <c r="G258" s="244" t="s">
        <v>12756</v>
      </c>
      <c r="H258" s="253">
        <v>5</v>
      </c>
      <c r="I258" s="253">
        <v>0</v>
      </c>
      <c r="J258" s="253"/>
      <c r="K258" s="362"/>
      <c r="L258" s="362"/>
      <c r="M258" s="245"/>
      <c r="N258" s="265" t="b">
        <f>NOT(ISERROR(ResultsTeams[[#This Row],[Goal-A]]+ResultsTeams[[#This Row],[Goal-B]]))</f>
        <v>1</v>
      </c>
      <c r="O258" s="265">
        <f>IF(ResultsTeams[[#This Row],[Type]]="G",SUM(O259:O262),IF(LEFT(ResultsTeams[[#This Row],[Type]],1)="P",IF(ResultsTeams[[#This Row],[Goal-A]]&gt;ResultsTeams[[#This Row],[Goal-B]],1,0),""))</f>
        <v>1</v>
      </c>
      <c r="P258" s="265">
        <f>IF(ResultsTeams[[#This Row],[Type]]="G",SUM(P259:P262),IF(LEFT(ResultsTeams[[#This Row],[Type]],1)="P",IF(ResultsTeams[[#This Row],[Goal-A]]&lt;ResultsTeams[[#This Row],[Goal-B]],1,0),""))</f>
        <v>0</v>
      </c>
      <c r="Q258" s="265">
        <f>IF(ResultsTeams[[#This Row],[Type]]="G",SUM(Q259:Q262),IF(LEFT(ResultsTeams[[#This Row],[Type]],1)="P",VALUE(ResultsTeams[[#This Row],[Score-A]]),""))</f>
        <v>5</v>
      </c>
      <c r="R258" s="265">
        <f>IF(ResultsTeams[[#This Row],[Type]]="G",SUM(R259:R262),IF(LEFT(ResultsTeams[[#This Row],[Type]],1)="P",VALUE(ResultsTeams[[#This Row],[Score-B]]),""))</f>
        <v>0</v>
      </c>
      <c r="S258" s="265" t="str">
        <f ca="1">IF(AND(ResultsTeams[[#This Row],[Category]]&lt;&gt;"",ResultsTeams[[#This Row],[Team A]]&lt;&gt;""),COUNTIF(INDIRECT("TeamsList[Club Name]"),ResultsTeams[[#This Row],[Team A]]),"")</f>
        <v/>
      </c>
      <c r="T258" s="265" t="str">
        <f ca="1">IF(AND(ResultsTeams[[#This Row],[Category]]&lt;&gt;"",ResultsTeams[[#This Row],[Team B]]&lt;&gt;""),COUNTIF(INDIRECT("TeamsList[Club Name]"),ResultsTeams[[#This Row],[Team B]]),"")</f>
        <v/>
      </c>
      <c r="U2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-Rudi Knuf</v>
      </c>
      <c r="V258" s="265" t="str">
        <f>IF(ResultsTeams[[#This Row],[Score_OK]],IF(ResultsTeams[[#This Row],[StageCpy]]="Groups",ResultsTeams[[#This Row],[Category]]&amp;"-"&amp;IF(ResultsTeams[[#This Row],[Team B]]="","",IF(ResultsTeams[[#This Row],[Match-A]]=ResultsTeams[[#This Row],[Match-B]],ResultsTeams[[#This Row],[Team A]],"")),""),"")</f>
        <v>-</v>
      </c>
      <c r="W258" s="265" t="str">
        <f>IF(ResultsTeams[[#This Row],[Score_OK]],IF(ResultsTeams[[#This Row],[StageCpy]]="Groups",ResultsTeams[[#This Row],[Category]]&amp;"-"&amp;IF(ResultsTeams[[#This Row],[Team B]]="","",IF(ResultsTeams[[#This Row],[Match-A]]=ResultsTeams[[#This Row],[Match-B]],ResultsTeams[[#This Row],[Team B]],"")),""),"")</f>
        <v>-</v>
      </c>
      <c r="X2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-Ronald Scheffer</v>
      </c>
      <c r="Y2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8" s="264" t="str">
        <f>IF(ResultsTeams[[#This Row],[Category]]="","",VLOOKUP(ResultsTeams[[#This Row],[Stage]],$R$1:$T$8,MATCH(ResultsTeams[[#This Row],[Category]],$S$1:$T$1,0)+1,FALSE))</f>
        <v/>
      </c>
      <c r="AC2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8" s="264" t="str">
        <f>IF(ResultsTeams[[#This Row],[Type]]="G",ResultsTeams[[#This Row],[Stage]],AD257)</f>
        <v>Groups</v>
      </c>
      <c r="AE258" s="395" t="str">
        <f>IF(ResultsTeams[[#This Row],[Type]]="G",INDEX(TeamsList[Club Name],MATCH(ResultsTeams[[#This Row],[Team A]],TeamsList[Team Name],0)),AE257)</f>
        <v>Atlas FTC</v>
      </c>
      <c r="AF258" s="395" t="str">
        <f>IF(ResultsTeams[[#This Row],[Type]]="G",INDEX(TeamsList[Club Name],MATCH(ResultsTeams[[#This Row],[Team B]],TeamsList[Team Name],0)),AF257)</f>
        <v>US Huy</v>
      </c>
      <c r="AG258" s="265"/>
      <c r="AI258" s="12">
        <f t="shared" si="217"/>
        <v>0</v>
      </c>
      <c r="AJ258" s="312"/>
      <c r="AK258" s="313"/>
      <c r="AL258" s="314"/>
      <c r="AM258" s="294" t="str">
        <f>IF(AV258="","",SMALL(AN252:AN258,ROWS(AM252:AM258)))</f>
        <v/>
      </c>
      <c r="AN258" s="295" t="str">
        <f>IF(AV258="","",RANK(AR258,AR252:AR258)*1000+ROWS(AN252:AN258))</f>
        <v/>
      </c>
      <c r="AO258" s="318" t="str">
        <f t="shared" si="210"/>
        <v/>
      </c>
      <c r="AP258" s="416" t="b">
        <f>AND(AU258&lt;&gt;"",AU258&gt;0,COUNTIF(AO252:AO258,AO258)&gt;1)</f>
        <v>0</v>
      </c>
      <c r="AQ258" s="318" t="str">
        <f t="shared" si="211"/>
        <v/>
      </c>
      <c r="AR258" s="319" t="str">
        <f t="shared" si="212"/>
        <v/>
      </c>
      <c r="AS258" s="416" t="b">
        <f>AND(AU258&lt;&gt;"",AU258&gt;0,COUNTIF(AR252:AR258,AR258)&gt;1)</f>
        <v>0</v>
      </c>
      <c r="AT258" s="358" t="str">
        <f t="shared" si="213"/>
        <v/>
      </c>
      <c r="AU258" s="359" t="str">
        <f t="shared" si="214"/>
        <v/>
      </c>
      <c r="AV258" s="359" t="str">
        <f>IF(OR(AI251="",AJ258=""),"",COUNTIF(ResultsTeams[Win],AI251&amp;"-"&amp;AJ258))</f>
        <v/>
      </c>
      <c r="AW258" s="359" t="str">
        <f>IF(OR(AI251="",AJ258=""),"",COUNTIF(ResultsTeams[[Draw1]:[Draw2]],AI251&amp;"-"&amp;AJ258))</f>
        <v/>
      </c>
      <c r="AX258" s="359" t="str">
        <f>IF(OR(AI251="",AJ258=""),"",COUNTIF(ResultsTeams[Lose],AI251&amp;"-"&amp;AJ258))</f>
        <v/>
      </c>
      <c r="AY258" s="359" t="str">
        <f>IF(OR(AI251="",AJ258=""),"",AV258-AX258)</f>
        <v/>
      </c>
      <c r="AZ258" s="359" t="str">
        <f>IF(OR(AI257="",AJ258=""),"",SUMIFS(ResultsTeams[Match-A],ResultsTeams[Stage],"Groups",ResultsTeams[Team A],AJ258)+SUMIFS(ResultsTeams[Match-B],ResultsTeams[Stage],"Groups",ResultsTeams[Team B],AJ258))</f>
        <v/>
      </c>
      <c r="BA258" s="359" t="str">
        <f>IF(OR(AI257="",AJ258=""),"",SUMIFS(ResultsTeams[Match-B],ResultsTeams[Stage],"Groups",ResultsTeams[Team A],AJ258)+SUMIFS(ResultsTeams[Match-A],ResultsTeams[Stage],"Groups",ResultsTeams[Team B],AJ258))</f>
        <v/>
      </c>
      <c r="BB258" s="359" t="str">
        <f t="shared" si="216"/>
        <v/>
      </c>
      <c r="BC258" s="359" t="str">
        <f>IF(OR(AI257="",AJ258=""),"",SUMIFS(ResultsTeams[Goal-A],ResultsTeams[Stage],"Groups",ResultsTeams[Team A],AJ258)+SUMIFS(ResultsTeams[Goal-B],ResultsTeams[Stage],"Groups",ResultsTeams[Team B],AJ258))</f>
        <v/>
      </c>
      <c r="BD258" s="359" t="str">
        <f>IF(OR(AI257="",AJ258=""),"",SUMIFS(ResultsTeams[Goal-B],ResultsTeams[Stage],"Groups",ResultsTeams[Team A],AJ258)+SUMIFS(ResultsTeams[Goal-A],ResultsTeams[Stage],"Groups",ResultsTeams[Team B],AJ258))</f>
        <v/>
      </c>
      <c r="BE258" s="360" t="str">
        <f>IF(OR(AI251="",AJ258=""),"",BC258-BD258)</f>
        <v/>
      </c>
      <c r="BF258" s="470" t="str">
        <f>IF(AM258="","",OR(VLOOKUP(AM258,AN252:BE258,3,FALSE),VLOOKUP(AM258,AN252:BE258,6,FALSE)))</f>
        <v/>
      </c>
      <c r="BG258" s="299" t="str">
        <f t="shared" si="215"/>
        <v/>
      </c>
      <c r="BH258" s="287" t="str">
        <f>IF(AM258="","",INDEX(AJ252:AJ258,MATCH(AM258,AN252:AN258,0)))</f>
        <v/>
      </c>
      <c r="BI258" s="288" t="str">
        <f>IF(AM258="","",VLOOKUP(AM258,AN252:BE258,COLUMN()-COLUMN(BB251),FALSE))</f>
        <v/>
      </c>
      <c r="BJ258" s="288" t="str">
        <f>IF(AM258="","",VLOOKUP(AM258,AN252:BE258,COLUMN()-COLUMN(BB251),FALSE))</f>
        <v/>
      </c>
      <c r="BK258" s="288" t="str">
        <f>IF(AM258="","",VLOOKUP(AM258,AN252:BE258,COLUMN()-COLUMN(BB251),FALSE))</f>
        <v/>
      </c>
      <c r="BL258" s="288" t="str">
        <f>IF(AM258="","",VLOOKUP(AM258,AN252:BE258,COLUMN()-COLUMN(BB251),FALSE))</f>
        <v/>
      </c>
      <c r="BM258" s="288" t="str">
        <f>IF(AM258="","",VLOOKUP(AM258,AN252:BE258,COLUMN()-COLUMN(BB251),FALSE))</f>
        <v/>
      </c>
      <c r="BN258" s="350" t="str">
        <f>IF(AM258="","",VLOOKUP(AM258,AN252:BE258,COLUMN()-COLUMN(BB251),FALSE))</f>
        <v/>
      </c>
      <c r="BO258" s="299" t="str">
        <f>IF(AM258="","",VLOOKUP(AM258,AN252:BE258,COLUMN()-COLUMN(BB251),FALSE))</f>
        <v/>
      </c>
      <c r="BP258" s="288" t="str">
        <f>IF(AM258="","",VLOOKUP(AM258,AN252:BE258,COLUMN()-COLUMN(BB251),FALSE))</f>
        <v/>
      </c>
      <c r="BQ258" s="302" t="str">
        <f>IF(AM258="","",VLOOKUP(AM258,AN252:BE258,COLUMN()-COLUMN(BB251),FALSE))</f>
        <v/>
      </c>
      <c r="BR258" s="353" t="str">
        <f>IF(AM258="","",VLOOKUP(AM258,AN252:BE258,COLUMN()-COLUMN(BB251),FALSE))</f>
        <v/>
      </c>
      <c r="BS258" s="288" t="str">
        <f>IF(AM258="","",VLOOKUP(AM258,AN252:BE258,COLUMN()-COLUMN(BB251),FALSE))</f>
        <v/>
      </c>
      <c r="BT258" s="302" t="str">
        <f>IF(AM258="","",VLOOKUP(AM258,AN252:BE258,COLUMN()-COLUMN(BB251),FALSE))</f>
        <v/>
      </c>
    </row>
    <row r="259" spans="1:72" ht="12" thickBot="1" x14ac:dyDescent="0.25">
      <c r="A259" s="62"/>
      <c r="B259" s="280"/>
      <c r="C259" s="62"/>
      <c r="D259" s="62"/>
      <c r="E259" s="241" t="s">
        <v>12234</v>
      </c>
      <c r="F259" s="246" t="s">
        <v>9194</v>
      </c>
      <c r="G259" s="246" t="s">
        <v>8131</v>
      </c>
      <c r="H259" s="254">
        <v>2</v>
      </c>
      <c r="I259" s="254">
        <v>1</v>
      </c>
      <c r="J259" s="254"/>
      <c r="K259" s="363"/>
      <c r="L259" s="363"/>
      <c r="M259" s="247"/>
      <c r="N259" s="265" t="b">
        <f>NOT(ISERROR(ResultsTeams[[#This Row],[Goal-A]]+ResultsTeams[[#This Row],[Goal-B]]))</f>
        <v>1</v>
      </c>
      <c r="O259" s="265">
        <f>IF(ResultsTeams[[#This Row],[Type]]="G",SUM(O260:O263),IF(LEFT(ResultsTeams[[#This Row],[Type]],1)="P",IF(ResultsTeams[[#This Row],[Goal-A]]&gt;ResultsTeams[[#This Row],[Goal-B]],1,0),""))</f>
        <v>1</v>
      </c>
      <c r="P259" s="265">
        <f>IF(ResultsTeams[[#This Row],[Type]]="G",SUM(P260:P263),IF(LEFT(ResultsTeams[[#This Row],[Type]],1)="P",IF(ResultsTeams[[#This Row],[Goal-A]]&lt;ResultsTeams[[#This Row],[Goal-B]],1,0),""))</f>
        <v>0</v>
      </c>
      <c r="Q259" s="265">
        <f>IF(ResultsTeams[[#This Row],[Type]]="G",SUM(Q260:Q263),IF(LEFT(ResultsTeams[[#This Row],[Type]],1)="P",VALUE(ResultsTeams[[#This Row],[Score-A]]),""))</f>
        <v>2</v>
      </c>
      <c r="R259" s="265">
        <f>IF(ResultsTeams[[#This Row],[Type]]="G",SUM(R260:R263),IF(LEFT(ResultsTeams[[#This Row],[Type]],1)="P",VALUE(ResultsTeams[[#This Row],[Score-B]]),""))</f>
        <v>1</v>
      </c>
      <c r="S259" s="265" t="str">
        <f ca="1">IF(AND(ResultsTeams[[#This Row],[Category]]&lt;&gt;"",ResultsTeams[[#This Row],[Team A]]&lt;&gt;""),COUNTIF(INDIRECT("TeamsList[Club Name]"),ResultsTeams[[#This Row],[Team A]]),"")</f>
        <v/>
      </c>
      <c r="T259" s="265" t="str">
        <f ca="1">IF(AND(ResultsTeams[[#This Row],[Category]]&lt;&gt;"",ResultsTeams[[#This Row],[Team B]]&lt;&gt;""),COUNTIF(INDIRECT("TeamsList[Club Name]"),ResultsTeams[[#This Row],[Team B]]),"")</f>
        <v/>
      </c>
      <c r="U2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-Giannis Nikolaidis</v>
      </c>
      <c r="V259" s="265" t="str">
        <f>IF(ResultsTeams[[#This Row],[Score_OK]],IF(ResultsTeams[[#This Row],[StageCpy]]="Groups",ResultsTeams[[#This Row],[Category]]&amp;"-"&amp;IF(ResultsTeams[[#This Row],[Team B]]="","",IF(ResultsTeams[[#This Row],[Match-A]]=ResultsTeams[[#This Row],[Match-B]],ResultsTeams[[#This Row],[Team A]],"")),""),"")</f>
        <v>-</v>
      </c>
      <c r="W259" s="265" t="str">
        <f>IF(ResultsTeams[[#This Row],[Score_OK]],IF(ResultsTeams[[#This Row],[StageCpy]]="Groups",ResultsTeams[[#This Row],[Category]]&amp;"-"&amp;IF(ResultsTeams[[#This Row],[Team B]]="","",IF(ResultsTeams[[#This Row],[Match-A]]=ResultsTeams[[#This Row],[Match-B]],ResultsTeams[[#This Row],[Team B]],"")),""),"")</f>
        <v>-</v>
      </c>
      <c r="X2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-Pol Serwy</v>
      </c>
      <c r="Y2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9" s="264" t="str">
        <f>IF(ResultsTeams[[#This Row],[Category]]="","",VLOOKUP(ResultsTeams[[#This Row],[Stage]],$R$1:$T$8,MATCH(ResultsTeams[[#This Row],[Category]],$S$1:$T$1,0)+1,FALSE))</f>
        <v/>
      </c>
      <c r="AC2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9" s="264" t="str">
        <f>IF(ResultsTeams[[#This Row],[Type]]="G",ResultsTeams[[#This Row],[Stage]],AD258)</f>
        <v>Groups</v>
      </c>
      <c r="AE259" s="395" t="str">
        <f>IF(ResultsTeams[[#This Row],[Type]]="G",INDEX(TeamsList[Club Name],MATCH(ResultsTeams[[#This Row],[Team A]],TeamsList[Team Name],0)),AE258)</f>
        <v>Atlas FTC</v>
      </c>
      <c r="AF259" s="395" t="str">
        <f>IF(ResultsTeams[[#This Row],[Type]]="G",INDEX(TeamsList[Club Name],MATCH(ResultsTeams[[#This Row],[Team B]],TeamsList[Team Name],0)),AF258)</f>
        <v>US Huy</v>
      </c>
      <c r="AG259" s="265"/>
    </row>
    <row r="260" spans="1:72" ht="12" thickBot="1" x14ac:dyDescent="0.25">
      <c r="A260" s="62"/>
      <c r="B260" s="280"/>
      <c r="C260" s="62"/>
      <c r="D260" s="62"/>
      <c r="E260" s="241" t="s">
        <v>12237</v>
      </c>
      <c r="F260" s="246" t="s">
        <v>14019</v>
      </c>
      <c r="G260" s="246" t="s">
        <v>8152</v>
      </c>
      <c r="H260" s="254">
        <v>2</v>
      </c>
      <c r="I260" s="254">
        <v>0</v>
      </c>
      <c r="J260" s="254"/>
      <c r="K260" s="363"/>
      <c r="L260" s="363"/>
      <c r="M260" s="247"/>
      <c r="N260" s="265" t="b">
        <f>NOT(ISERROR(ResultsTeams[[#This Row],[Goal-A]]+ResultsTeams[[#This Row],[Goal-B]]))</f>
        <v>1</v>
      </c>
      <c r="O260" s="265">
        <f>IF(ResultsTeams[[#This Row],[Type]]="G",SUM(O261:O264),IF(LEFT(ResultsTeams[[#This Row],[Type]],1)="P",IF(ResultsTeams[[#This Row],[Goal-A]]&gt;ResultsTeams[[#This Row],[Goal-B]],1,0),""))</f>
        <v>1</v>
      </c>
      <c r="P260" s="265">
        <f>IF(ResultsTeams[[#This Row],[Type]]="G",SUM(P261:P264),IF(LEFT(ResultsTeams[[#This Row],[Type]],1)="P",IF(ResultsTeams[[#This Row],[Goal-A]]&lt;ResultsTeams[[#This Row],[Goal-B]],1,0),""))</f>
        <v>0</v>
      </c>
      <c r="Q260" s="265">
        <f>IF(ResultsTeams[[#This Row],[Type]]="G",SUM(Q261:Q264),IF(LEFT(ResultsTeams[[#This Row],[Type]],1)="P",VALUE(ResultsTeams[[#This Row],[Score-A]]),""))</f>
        <v>2</v>
      </c>
      <c r="R260" s="265">
        <f>IF(ResultsTeams[[#This Row],[Type]]="G",SUM(R261:R264),IF(LEFT(ResultsTeams[[#This Row],[Type]],1)="P",VALUE(ResultsTeams[[#This Row],[Score-B]]),""))</f>
        <v>0</v>
      </c>
      <c r="S260" s="265" t="str">
        <f ca="1">IF(AND(ResultsTeams[[#This Row],[Category]]&lt;&gt;"",ResultsTeams[[#This Row],[Team A]]&lt;&gt;""),COUNTIF(INDIRECT("TeamsList[Club Name]"),ResultsTeams[[#This Row],[Team A]]),"")</f>
        <v/>
      </c>
      <c r="T260" s="265" t="str">
        <f ca="1">IF(AND(ResultsTeams[[#This Row],[Category]]&lt;&gt;"",ResultsTeams[[#This Row],[Team B]]&lt;&gt;""),COUNTIF(INDIRECT("TeamsList[Club Name]"),ResultsTeams[[#This Row],[Team B]]),"")</f>
        <v/>
      </c>
      <c r="U2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-Stylianos Tsangouris</v>
      </c>
      <c r="V260" s="265" t="str">
        <f>IF(ResultsTeams[[#This Row],[Score_OK]],IF(ResultsTeams[[#This Row],[StageCpy]]="Groups",ResultsTeams[[#This Row],[Category]]&amp;"-"&amp;IF(ResultsTeams[[#This Row],[Team B]]="","",IF(ResultsTeams[[#This Row],[Match-A]]=ResultsTeams[[#This Row],[Match-B]],ResultsTeams[[#This Row],[Team A]],"")),""),"")</f>
        <v>-</v>
      </c>
      <c r="W260" s="265" t="str">
        <f>IF(ResultsTeams[[#This Row],[Score_OK]],IF(ResultsTeams[[#This Row],[StageCpy]]="Groups",ResultsTeams[[#This Row],[Category]]&amp;"-"&amp;IF(ResultsTeams[[#This Row],[Team B]]="","",IF(ResultsTeams[[#This Row],[Match-A]]=ResultsTeams[[#This Row],[Match-B]],ResultsTeams[[#This Row],[Team B]],"")),""),"")</f>
        <v>-</v>
      </c>
      <c r="X2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-Sébastien Darmont</v>
      </c>
      <c r="Y2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0" s="264" t="str">
        <f>IF(ResultsTeams[[#This Row],[Category]]="","",VLOOKUP(ResultsTeams[[#This Row],[Stage]],$R$1:$T$8,MATCH(ResultsTeams[[#This Row],[Category]],$S$1:$T$1,0)+1,FALSE))</f>
        <v/>
      </c>
      <c r="AC2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0" s="264" t="str">
        <f>IF(ResultsTeams[[#This Row],[Type]]="G",ResultsTeams[[#This Row],[Stage]],AD259)</f>
        <v>Groups</v>
      </c>
      <c r="AE260" s="395" t="str">
        <f>IF(ResultsTeams[[#This Row],[Type]]="G",INDEX(TeamsList[Club Name],MATCH(ResultsTeams[[#This Row],[Team A]],TeamsList[Team Name],0)),AE259)</f>
        <v>Atlas FTC</v>
      </c>
      <c r="AF260" s="395" t="str">
        <f>IF(ResultsTeams[[#This Row],[Type]]="G",INDEX(TeamsList[Club Name],MATCH(ResultsTeams[[#This Row],[Team B]],TeamsList[Team Name],0)),AF259)</f>
        <v>US Huy</v>
      </c>
      <c r="AG260" s="265"/>
      <c r="AH260" s="281" t="str">
        <f>IF(AI260="","",QUOTIENT(COUNTIF(AI$26:AI260,AI260)-1,8)+1)</f>
        <v/>
      </c>
      <c r="AI260" s="315"/>
      <c r="AJ260" s="289" t="s">
        <v>14438</v>
      </c>
      <c r="AK260" s="290" t="s">
        <v>12279</v>
      </c>
      <c r="AL260" s="300" t="s">
        <v>12275</v>
      </c>
      <c r="AM260" s="296" t="s">
        <v>12276</v>
      </c>
      <c r="AN260" s="291" t="s">
        <v>12271</v>
      </c>
      <c r="AO260" s="291" t="s">
        <v>12272</v>
      </c>
      <c r="AP260" s="414" t="s">
        <v>13154</v>
      </c>
      <c r="AQ260" s="291" t="s">
        <v>12273</v>
      </c>
      <c r="AR260" s="297" t="s">
        <v>12274</v>
      </c>
      <c r="AS260" s="414" t="s">
        <v>13154</v>
      </c>
      <c r="AT260" s="296" t="s">
        <v>12199</v>
      </c>
      <c r="AU260" s="291" t="s">
        <v>12200</v>
      </c>
      <c r="AV260" s="291" t="s">
        <v>12201</v>
      </c>
      <c r="AW260" s="291" t="s">
        <v>12202</v>
      </c>
      <c r="AX260" s="291" t="s">
        <v>12203</v>
      </c>
      <c r="AY260" s="291" t="s">
        <v>12697</v>
      </c>
      <c r="AZ260" s="291" t="s">
        <v>12698</v>
      </c>
      <c r="BA260" s="291" t="s">
        <v>12699</v>
      </c>
      <c r="BB260" s="291" t="s">
        <v>12700</v>
      </c>
      <c r="BC260" s="291" t="s">
        <v>12204</v>
      </c>
      <c r="BD260" s="291" t="s">
        <v>12205</v>
      </c>
      <c r="BE260" s="297" t="s">
        <v>12206</v>
      </c>
      <c r="BF260" s="395"/>
      <c r="BG260" s="282" t="s">
        <v>12276</v>
      </c>
      <c r="BH260" s="282" t="s">
        <v>12133</v>
      </c>
      <c r="BI260" s="283" t="s">
        <v>12199</v>
      </c>
      <c r="BJ260" s="283" t="s">
        <v>12200</v>
      </c>
      <c r="BK260" s="283" t="s">
        <v>12201</v>
      </c>
      <c r="BL260" s="283" t="s">
        <v>12202</v>
      </c>
      <c r="BM260" s="283" t="s">
        <v>12203</v>
      </c>
      <c r="BN260" s="290" t="s">
        <v>12697</v>
      </c>
      <c r="BO260" s="354" t="s">
        <v>12698</v>
      </c>
      <c r="BP260" s="283" t="s">
        <v>12699</v>
      </c>
      <c r="BQ260" s="300" t="s">
        <v>12700</v>
      </c>
      <c r="BR260" s="351" t="s">
        <v>12204</v>
      </c>
      <c r="BS260" s="283" t="s">
        <v>12205</v>
      </c>
      <c r="BT260" s="300" t="s">
        <v>12206</v>
      </c>
    </row>
    <row r="261" spans="1:72" x14ac:dyDescent="0.2">
      <c r="A261" s="62"/>
      <c r="B261" s="280"/>
      <c r="C261" s="62"/>
      <c r="D261" s="62"/>
      <c r="E261" s="241" t="s">
        <v>12240</v>
      </c>
      <c r="F261" s="246" t="s">
        <v>9229</v>
      </c>
      <c r="G261" s="246" t="s">
        <v>8100</v>
      </c>
      <c r="H261" s="254">
        <v>0</v>
      </c>
      <c r="I261" s="254">
        <v>3</v>
      </c>
      <c r="J261" s="254"/>
      <c r="K261" s="363"/>
      <c r="L261" s="363"/>
      <c r="M261" s="247"/>
      <c r="N261" s="265" t="b">
        <f>NOT(ISERROR(ResultsTeams[[#This Row],[Goal-A]]+ResultsTeams[[#This Row],[Goal-B]]))</f>
        <v>1</v>
      </c>
      <c r="O261" s="265">
        <f>IF(ResultsTeams[[#This Row],[Type]]="G",SUM(O262:O265),IF(LEFT(ResultsTeams[[#This Row],[Type]],1)="P",IF(ResultsTeams[[#This Row],[Goal-A]]&gt;ResultsTeams[[#This Row],[Goal-B]],1,0),""))</f>
        <v>0</v>
      </c>
      <c r="P261" s="265">
        <f>IF(ResultsTeams[[#This Row],[Type]]="G",SUM(P262:P265),IF(LEFT(ResultsTeams[[#This Row],[Type]],1)="P",IF(ResultsTeams[[#This Row],[Goal-A]]&lt;ResultsTeams[[#This Row],[Goal-B]],1,0),""))</f>
        <v>1</v>
      </c>
      <c r="Q261" s="265">
        <f>IF(ResultsTeams[[#This Row],[Type]]="G",SUM(Q262:Q265),IF(LEFT(ResultsTeams[[#This Row],[Type]],1)="P",VALUE(ResultsTeams[[#This Row],[Score-A]]),""))</f>
        <v>0</v>
      </c>
      <c r="R261" s="265">
        <f>IF(ResultsTeams[[#This Row],[Type]]="G",SUM(R262:R265),IF(LEFT(ResultsTeams[[#This Row],[Type]],1)="P",VALUE(ResultsTeams[[#This Row],[Score-B]]),""))</f>
        <v>3</v>
      </c>
      <c r="S261" s="265" t="str">
        <f ca="1">IF(AND(ResultsTeams[[#This Row],[Category]]&lt;&gt;"",ResultsTeams[[#This Row],[Team A]]&lt;&gt;""),COUNTIF(INDIRECT("TeamsList[Club Name]"),ResultsTeams[[#This Row],[Team A]]),"")</f>
        <v/>
      </c>
      <c r="T261" s="265" t="str">
        <f ca="1">IF(AND(ResultsTeams[[#This Row],[Category]]&lt;&gt;"",ResultsTeams[[#This Row],[Team B]]&lt;&gt;""),COUNTIF(INDIRECT("TeamsList[Club Name]"),ResultsTeams[[#This Row],[Team B]]),"")</f>
        <v/>
      </c>
      <c r="U2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-Ralf Gregoire</v>
      </c>
      <c r="V261" s="265" t="str">
        <f>IF(ResultsTeams[[#This Row],[Score_OK]],IF(ResultsTeams[[#This Row],[StageCpy]]="Groups",ResultsTeams[[#This Row],[Category]]&amp;"-"&amp;IF(ResultsTeams[[#This Row],[Team B]]="","",IF(ResultsTeams[[#This Row],[Match-A]]=ResultsTeams[[#This Row],[Match-B]],ResultsTeams[[#This Row],[Team A]],"")),""),"")</f>
        <v>-</v>
      </c>
      <c r="W261" s="265" t="str">
        <f>IF(ResultsTeams[[#This Row],[Score_OK]],IF(ResultsTeams[[#This Row],[StageCpy]]="Groups",ResultsTeams[[#This Row],[Category]]&amp;"-"&amp;IF(ResultsTeams[[#This Row],[Team B]]="","",IF(ResultsTeams[[#This Row],[Match-A]]=ResultsTeams[[#This Row],[Match-B]],ResultsTeams[[#This Row],[Team B]],"")),""),"")</f>
        <v>-</v>
      </c>
      <c r="X2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-Manolis Papadakis</v>
      </c>
      <c r="Y2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1" s="264" t="str">
        <f>IF(ResultsTeams[[#This Row],[Category]]="","",VLOOKUP(ResultsTeams[[#This Row],[Stage]],$R$1:$T$8,MATCH(ResultsTeams[[#This Row],[Category]],$S$1:$T$1,0)+1,FALSE))</f>
        <v/>
      </c>
      <c r="AC2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1" s="264" t="str">
        <f>IF(ResultsTeams[[#This Row],[Type]]="G",ResultsTeams[[#This Row],[Stage]],AD260)</f>
        <v>Groups</v>
      </c>
      <c r="AE261" s="395" t="str">
        <f>IF(ResultsTeams[[#This Row],[Type]]="G",INDEX(TeamsList[Club Name],MATCH(ResultsTeams[[#This Row],[Team A]],TeamsList[Team Name],0)),AE260)</f>
        <v>Atlas FTC</v>
      </c>
      <c r="AF261" s="395" t="str">
        <f>IF(ResultsTeams[[#This Row],[Type]]="G",INDEX(TeamsList[Club Name],MATCH(ResultsTeams[[#This Row],[Team B]],TeamsList[Team Name],0)),AF260)</f>
        <v>US Huy</v>
      </c>
      <c r="AG261" s="265"/>
      <c r="AI261" s="12">
        <f>AI260</f>
        <v>0</v>
      </c>
      <c r="AJ261" s="309"/>
      <c r="AK261" s="320"/>
      <c r="AL261" s="311"/>
      <c r="AM261" s="292" t="str">
        <f>IF(AV261="","",SMALL(AN261:AN267,ROWS(AM261:AM261)))</f>
        <v/>
      </c>
      <c r="AN261" s="293" t="str">
        <f>IF(AV261="","",RANK(AR261,AR261:AR267)*1000+ROWS(AN261:AN261))</f>
        <v/>
      </c>
      <c r="AO261" s="316" t="str">
        <f t="shared" ref="AO261:AO267" si="218">IF(AV261="","",AT261*CritClassEq1_Points+AY261*CritClassEq1_DiffRencontres+BB261*CritClassEq1_DiffMatches+BE261*CritClassEq1_DiffButs+AZ261*CritClassEq1_Matches+BC261*CritClassEq1_Attaque)</f>
        <v/>
      </c>
      <c r="AP261" s="415" t="b">
        <f>AND(AU261&lt;&gt;"",AU261&gt;0,COUNTIF(AO261:AO267,AO261)&gt;1)</f>
        <v>0</v>
      </c>
      <c r="AQ261" s="316" t="str">
        <f t="shared" ref="AQ261:AQ267" si="219">IF(AV261="","",CritClassEq_DiffPart*AK261)</f>
        <v/>
      </c>
      <c r="AR261" s="317" t="str">
        <f t="shared" ref="AR261:AR267" si="220">IF(AV261="","",AO261+AQ261+AT261*CritClassEq2_Points+AY261*CritClassEq2_DiffRencontres+BB261*CritClassEq2_DiffMatches+BE261*CritClassEq2_DiffButs+AZ261*CritClassEq2_Matches+BC261*CritClassEq2_Attaque+AL261)</f>
        <v/>
      </c>
      <c r="AS261" s="415" t="b">
        <f>AND(AU261&lt;&gt;"",AU261&gt;0,COUNTIF(AR261:AR267,AR261)&gt;1)</f>
        <v>0</v>
      </c>
      <c r="AT261" s="355" t="str">
        <f t="shared" ref="AT261:AT267" si="221">IF(AV261="","",(AV261*Points_Victoire)+AW261*Points_Null)</f>
        <v/>
      </c>
      <c r="AU261" s="356" t="str">
        <f t="shared" ref="AU261:AU267" si="222">IF(AV261="","",SUM(AV261:AX261))</f>
        <v/>
      </c>
      <c r="AV261" s="356" t="str">
        <f>IF(OR(AI260="",AJ261=""),"",COUNTIF(ResultsTeams[Win],AI260&amp;"-"&amp;AJ261))</f>
        <v/>
      </c>
      <c r="AW261" s="356" t="str">
        <f>IF(OR(AI260="",AJ261=""),"",COUNTIF(ResultsTeams[[Draw1]:[Draw2]],AI260&amp;"-"&amp;AJ261))</f>
        <v/>
      </c>
      <c r="AX261" s="356" t="str">
        <f>IF(OR(AI260="",AJ261=""),"",COUNTIF(ResultsTeams[Lose],AI260&amp;"-"&amp;AJ261))</f>
        <v/>
      </c>
      <c r="AY261" s="356" t="str">
        <f>IF(OR(AI260="",AJ261=""),"",AV261-AX261)</f>
        <v/>
      </c>
      <c r="AZ261" s="356" t="str">
        <f>IF(OR(AI260="",AJ261=""),"",SUMIFS(ResultsTeams[Match-A],ResultsTeams[Stage],"Groups",ResultsTeams[Team A],AJ261)+SUMIFS(ResultsTeams[Match-B],ResultsTeams[Stage],"Groups",ResultsTeams[Team B],AJ261))</f>
        <v/>
      </c>
      <c r="BA261" s="356" t="str">
        <f>IF(OR(AI260="",AJ261=""),"",SUMIFS(ResultsTeams[Match-B],ResultsTeams[Stage],"Groups",ResultsTeams[Team A],AJ261)+SUMIFS(ResultsTeams[Match-A],ResultsTeams[Stage],"Groups",ResultsTeams[Team B],AJ261))</f>
        <v/>
      </c>
      <c r="BB261" s="356" t="str">
        <f>IF(OR(AI260="",AJ261=""),"",AZ261-BA261)</f>
        <v/>
      </c>
      <c r="BC261" s="356" t="str">
        <f>IF(OR(AI260="",AJ261=""),"",SUMIFS(ResultsTeams[Goal-A],ResultsTeams[Stage],"Groups",ResultsTeams[Team A],AJ261)+SUMIFS(ResultsTeams[Goal-B],ResultsTeams[Stage],"Groups",ResultsTeams[Team B],AJ261))</f>
        <v/>
      </c>
      <c r="BD261" s="356" t="str">
        <f>IF(OR(AI260="",AJ261=""),"",SUMIFS(ResultsTeams[Goal-B],ResultsTeams[Stage],"Groups",ResultsTeams[Team A],AJ261)+SUMIFS(ResultsTeams[Goal-A],ResultsTeams[Stage],"Groups",ResultsTeams[Team B],AJ261))</f>
        <v/>
      </c>
      <c r="BE261" s="357" t="str">
        <f>IF(OR(AI260="",AJ261=""),"",BC261-BD261)</f>
        <v/>
      </c>
      <c r="BF261" s="470" t="str">
        <f>IF(AM261="","",OR(VLOOKUP(AM261,AN261:BE267,3,FALSE),VLOOKUP(AM261,AN261:BE267,6,FALSE)))</f>
        <v/>
      </c>
      <c r="BG261" s="298" t="str">
        <f t="shared" ref="BG261:BG267" si="223">IF(AM261="","",INT(AM261/1000))</f>
        <v/>
      </c>
      <c r="BH261" s="285" t="str">
        <f>IF(AM261="","",INDEX(AJ261:AJ267,MATCH(AM261,AN261:AN267,0)))</f>
        <v/>
      </c>
      <c r="BI261" s="286" t="str">
        <f>IF(AM261="","",VLOOKUP(AM261,AN261:BE267,COLUMN()-COLUMN(BB260),FALSE))</f>
        <v/>
      </c>
      <c r="BJ261" s="286" t="str">
        <f>IF(AM261="","",VLOOKUP(AM261,AN261:BE267,COLUMN()-COLUMN(BB260),FALSE))</f>
        <v/>
      </c>
      <c r="BK261" s="286" t="str">
        <f>IF(AM261="","",VLOOKUP(AM261,AN261:BE267,COLUMN()-COLUMN(BB260),FALSE))</f>
        <v/>
      </c>
      <c r="BL261" s="286" t="str">
        <f>IF(AM261="","",VLOOKUP(AM261,AN261:BE267,COLUMN()-COLUMN(BB260),FALSE))</f>
        <v/>
      </c>
      <c r="BM261" s="286" t="str">
        <f>IF(AM261="","",VLOOKUP(AM261,AN261:BE267,COLUMN()-COLUMN(BB260),FALSE))</f>
        <v/>
      </c>
      <c r="BN261" s="349" t="str">
        <f>IF(AM261="","",VLOOKUP(AM261,AN261:BE267,COLUMN()-COLUMN(BB260),FALSE))</f>
        <v/>
      </c>
      <c r="BO261" s="298" t="str">
        <f>IF(AM261="","",VLOOKUP(AM261,AN261:BE267,COLUMN()-COLUMN(BB260),FALSE))</f>
        <v/>
      </c>
      <c r="BP261" s="286" t="str">
        <f>IF(AM261="","",VLOOKUP(AM261,AN261:BE267,COLUMN()-COLUMN(BB260),FALSE))</f>
        <v/>
      </c>
      <c r="BQ261" s="301" t="str">
        <f>IF(AM261="","",VLOOKUP(AM261,AN261:BE267,COLUMN()-COLUMN(BB260),FALSE))</f>
        <v/>
      </c>
      <c r="BR261" s="352" t="str">
        <f>IF(AM261="","",VLOOKUP(AM261,AN261:BE267,COLUMN()-COLUMN(BB260),FALSE))</f>
        <v/>
      </c>
      <c r="BS261" s="286" t="str">
        <f>IF(AM261="","",VLOOKUP(AM261,AN261:BE267,COLUMN()-COLUMN(BB260),FALSE))</f>
        <v/>
      </c>
      <c r="BT261" s="301" t="str">
        <f>IF(AM261="","",VLOOKUP(AM261,AN261:BE267,COLUMN()-COLUMN(BB260),FALSE))</f>
        <v/>
      </c>
    </row>
    <row r="262" spans="1:72" x14ac:dyDescent="0.2">
      <c r="A262" s="62"/>
      <c r="B262" s="62"/>
      <c r="C262" s="62"/>
      <c r="D262" s="62"/>
      <c r="E262" s="241" t="s">
        <v>12243</v>
      </c>
      <c r="F262" s="247"/>
      <c r="G262" s="247"/>
      <c r="H262" s="254"/>
      <c r="I262" s="254"/>
      <c r="J262" s="260"/>
      <c r="K262" s="364"/>
      <c r="L262" s="364"/>
      <c r="M262" s="247"/>
      <c r="N262" s="265" t="b">
        <f>NOT(ISERROR(ResultsTeams[[#This Row],[Goal-A]]+ResultsTeams[[#This Row],[Goal-B]]))</f>
        <v>0</v>
      </c>
      <c r="O262" s="265" t="str">
        <f>IF(ResultsTeams[[#This Row],[Type]]="G",SUM(O263:O266),IF(LEFT(ResultsTeams[[#This Row],[Type]],1)="P",IF(ResultsTeams[[#This Row],[Goal-A]]&gt;ResultsTeams[[#This Row],[Goal-B]],1,0),""))</f>
        <v/>
      </c>
      <c r="P262" s="265" t="str">
        <f>IF(ResultsTeams[[#This Row],[Type]]="G",SUM(P263:P266),IF(LEFT(ResultsTeams[[#This Row],[Type]],1)="P",IF(ResultsTeams[[#This Row],[Goal-A]]&lt;ResultsTeams[[#This Row],[Goal-B]],1,0),""))</f>
        <v/>
      </c>
      <c r="Q262" s="265" t="str">
        <f>IF(ResultsTeams[[#This Row],[Type]]="G",SUM(Q263:Q266),IF(LEFT(ResultsTeams[[#This Row],[Type]],1)="P",VALUE(ResultsTeams[[#This Row],[Score-A]]),""))</f>
        <v/>
      </c>
      <c r="R262" s="265" t="str">
        <f>IF(ResultsTeams[[#This Row],[Type]]="G",SUM(R263:R266),IF(LEFT(ResultsTeams[[#This Row],[Type]],1)="P",VALUE(ResultsTeams[[#This Row],[Score-B]]),""))</f>
        <v/>
      </c>
      <c r="S262" s="265" t="str">
        <f ca="1">IF(AND(ResultsTeams[[#This Row],[Category]]&lt;&gt;"",ResultsTeams[[#This Row],[Team A]]&lt;&gt;""),COUNTIF(INDIRECT("TeamsList[Club Name]"),ResultsTeams[[#This Row],[Team A]]),"")</f>
        <v/>
      </c>
      <c r="T262" s="265" t="str">
        <f ca="1">IF(AND(ResultsTeams[[#This Row],[Category]]&lt;&gt;"",ResultsTeams[[#This Row],[Team B]]&lt;&gt;""),COUNTIF(INDIRECT("TeamsList[Club Name]"),ResultsTeams[[#This Row],[Team B]]),"")</f>
        <v/>
      </c>
      <c r="U2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2" s="265" t="str">
        <f>IF(ResultsTeams[[#This Row],[Score_OK]],IF(ResultsTeams[[#This Row],[StageCpy]]="Groups",ResultsTeams[[#This Row],[Category]]&amp;"-"&amp;IF(ResultsTeams[[#This Row],[Team B]]="","",IF(ResultsTeams[[#This Row],[Match-A]]=ResultsTeams[[#This Row],[Match-B]],ResultsTeams[[#This Row],[Team A]],"")),""),"")</f>
        <v/>
      </c>
      <c r="W262" s="265" t="str">
        <f>IF(ResultsTeams[[#This Row],[Score_OK]],IF(ResultsTeams[[#This Row],[StageCpy]]="Groups",ResultsTeams[[#This Row],[Category]]&amp;"-"&amp;IF(ResultsTeams[[#This Row],[Team B]]="","",IF(ResultsTeams[[#This Row],[Match-A]]=ResultsTeams[[#This Row],[Match-B]],ResultsTeams[[#This Row],[Team B]],"")),""),"")</f>
        <v/>
      </c>
      <c r="X2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2" s="264" t="str">
        <f>IF(ResultsTeams[[#This Row],[Category]]="","",VLOOKUP(ResultsTeams[[#This Row],[Stage]],$R$1:$T$8,MATCH(ResultsTeams[[#This Row],[Category]],$S$1:$T$1,0)+1,FALSE))</f>
        <v/>
      </c>
      <c r="AC2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2" s="264" t="str">
        <f>IF(ResultsTeams[[#This Row],[Type]]="G",ResultsTeams[[#This Row],[Stage]],AD261)</f>
        <v>Groups</v>
      </c>
      <c r="AE262" s="395" t="str">
        <f>IF(ResultsTeams[[#This Row],[Type]]="G",INDEX(TeamsList[Club Name],MATCH(ResultsTeams[[#This Row],[Team A]],TeamsList[Team Name],0)),AE261)</f>
        <v>Atlas FTC</v>
      </c>
      <c r="AF262" s="395" t="str">
        <f>IF(ResultsTeams[[#This Row],[Type]]="G",INDEX(TeamsList[Club Name],MATCH(ResultsTeams[[#This Row],[Team B]],TeamsList[Team Name],0)),AF261)</f>
        <v>US Huy</v>
      </c>
      <c r="AG262" s="265"/>
      <c r="AI262" s="12">
        <f>AI261</f>
        <v>0</v>
      </c>
      <c r="AJ262" s="309"/>
      <c r="AK262" s="320"/>
      <c r="AL262" s="311"/>
      <c r="AM262" s="292" t="str">
        <f>IF(AV262="","",SMALL(AN261:AN267,ROWS(AM261:AM262)))</f>
        <v/>
      </c>
      <c r="AN262" s="293" t="str">
        <f>IF(AV262="","",RANK(AR262,AR261:AR267)*1000+ROWS(AN261:AN262))</f>
        <v/>
      </c>
      <c r="AO262" s="316" t="str">
        <f t="shared" si="218"/>
        <v/>
      </c>
      <c r="AP262" s="415" t="b">
        <f>AND(AU262&lt;&gt;"",AU262&gt;0,COUNTIF(AO261:AO267,AO262)&gt;1)</f>
        <v>0</v>
      </c>
      <c r="AQ262" s="316" t="str">
        <f t="shared" si="219"/>
        <v/>
      </c>
      <c r="AR262" s="317" t="str">
        <f t="shared" si="220"/>
        <v/>
      </c>
      <c r="AS262" s="415" t="b">
        <f>AND(AU262&lt;&gt;"",AU262&gt;0,COUNTIF(AR261:AR267,AR262)&gt;1)</f>
        <v>0</v>
      </c>
      <c r="AT262" s="355" t="str">
        <f t="shared" si="221"/>
        <v/>
      </c>
      <c r="AU262" s="356" t="str">
        <f t="shared" si="222"/>
        <v/>
      </c>
      <c r="AV262" s="356" t="str">
        <f>IF(OR(AI260="",AJ262=""),"",COUNTIF(ResultsTeams[Win],AI260&amp;"-"&amp;AJ262))</f>
        <v/>
      </c>
      <c r="AW262" s="356" t="str">
        <f>IF(OR(AI260="",AJ262=""),"",COUNTIF(ResultsTeams[[Draw1]:[Draw2]],AI260&amp;"-"&amp;AJ262))</f>
        <v/>
      </c>
      <c r="AX262" s="356" t="str">
        <f>IF(OR(AI260="",AJ262=""),"",COUNTIF(ResultsTeams[Lose],AI260&amp;"-"&amp;AJ262))</f>
        <v/>
      </c>
      <c r="AY262" s="356" t="str">
        <f>IF(OR(AI260="",AJ262=""),"",AV262-AX262)</f>
        <v/>
      </c>
      <c r="AZ262" s="356" t="str">
        <f>IF(OR(AI261="",AJ262=""),"",SUMIFS(ResultsTeams[Match-A],ResultsTeams[Stage],"Groups",ResultsTeams[Team A],AJ262)+SUMIFS(ResultsTeams[Match-B],ResultsTeams[Stage],"Groups",ResultsTeams[Team B],AJ262))</f>
        <v/>
      </c>
      <c r="BA262" s="356" t="str">
        <f>IF(OR(AI261="",AJ262=""),"",SUMIFS(ResultsTeams[Match-B],ResultsTeams[Stage],"Groups",ResultsTeams[Team A],AJ262)+SUMIFS(ResultsTeams[Match-A],ResultsTeams[Stage],"Groups",ResultsTeams[Team B],AJ262))</f>
        <v/>
      </c>
      <c r="BB262" s="356" t="str">
        <f t="shared" ref="BB262:BB267" si="224">IF(OR(AI261="",AJ262=""),"",AZ262-BA262)</f>
        <v/>
      </c>
      <c r="BC262" s="356" t="str">
        <f>IF(OR(AI261="",AJ262=""),"",SUMIFS(ResultsTeams[Goal-A],ResultsTeams[Stage],"Groups",ResultsTeams[Team A],AJ262)+SUMIFS(ResultsTeams[Goal-B],ResultsTeams[Stage],"Groups",ResultsTeams[Team B],AJ262))</f>
        <v/>
      </c>
      <c r="BD262" s="356" t="str">
        <f>IF(OR(AI261="",AJ262=""),"",SUMIFS(ResultsTeams[Goal-B],ResultsTeams[Stage],"Groups",ResultsTeams[Team A],AJ262)+SUMIFS(ResultsTeams[Goal-A],ResultsTeams[Stage],"Groups",ResultsTeams[Team B],AJ262))</f>
        <v/>
      </c>
      <c r="BE262" s="357" t="str">
        <f>IF(OR(AI260="",AJ262=""),"",BC262-BD262)</f>
        <v/>
      </c>
      <c r="BF262" s="470" t="str">
        <f>IF(AM262="","",OR(VLOOKUP(AM262,AN261:BE267,3,FALSE),VLOOKUP(AM262,AN261:BE267,6,FALSE)))</f>
        <v/>
      </c>
      <c r="BG262" s="298" t="str">
        <f t="shared" si="223"/>
        <v/>
      </c>
      <c r="BH262" s="285" t="str">
        <f>IF(AM262="","",INDEX(AJ261:AJ267,MATCH(AM262,AN261:AN267,0)))</f>
        <v/>
      </c>
      <c r="BI262" s="286" t="str">
        <f>IF(AM262="","",VLOOKUP(AM262,AN261:BE267,COLUMN()-COLUMN(BB260),FALSE))</f>
        <v/>
      </c>
      <c r="BJ262" s="286" t="str">
        <f>IF(AM262="","",VLOOKUP(AM262,AN261:BE267,COLUMN()-COLUMN(BB260),FALSE))</f>
        <v/>
      </c>
      <c r="BK262" s="286" t="str">
        <f>IF(AM262="","",VLOOKUP(AM262,AN261:BE267,COLUMN()-COLUMN(BB260),FALSE))</f>
        <v/>
      </c>
      <c r="BL262" s="286" t="str">
        <f>IF(AM262="","",VLOOKUP(AM262,AN261:BE267,COLUMN()-COLUMN(BB260),FALSE))</f>
        <v/>
      </c>
      <c r="BM262" s="286" t="str">
        <f>IF(AM262="","",VLOOKUP(AM262,AN261:BE267,COLUMN()-COLUMN(BB260),FALSE))</f>
        <v/>
      </c>
      <c r="BN262" s="349" t="str">
        <f>IF(AM262="","",VLOOKUP(AM262,AN261:BE267,COLUMN()-COLUMN(BB260),FALSE))</f>
        <v/>
      </c>
      <c r="BO262" s="298" t="str">
        <f>IF(AM262="","",VLOOKUP(AM262,AN261:BE267,COLUMN()-COLUMN(BB260),FALSE))</f>
        <v/>
      </c>
      <c r="BP262" s="286" t="str">
        <f>IF(AM262="","",VLOOKUP(AM262,AN261:BE267,COLUMN()-COLUMN(BB260),FALSE))</f>
        <v/>
      </c>
      <c r="BQ262" s="301" t="str">
        <f>IF(AM262="","",VLOOKUP(AM262,AN261:BE267,COLUMN()-COLUMN(BB260),FALSE))</f>
        <v/>
      </c>
      <c r="BR262" s="352" t="str">
        <f>IF(AM262="","",VLOOKUP(AM262,AN261:BE267,COLUMN()-COLUMN(BB260),FALSE))</f>
        <v/>
      </c>
      <c r="BS262" s="286" t="str">
        <f>IF(AM262="","",VLOOKUP(AM262,AN261:BE267,COLUMN()-COLUMN(BB260),FALSE))</f>
        <v/>
      </c>
      <c r="BT262" s="301" t="str">
        <f>IF(AM262="","",VLOOKUP(AM262,AN261:BE267,COLUMN()-COLUMN(BB260),FALSE))</f>
        <v/>
      </c>
    </row>
    <row r="263" spans="1:72" ht="12" thickBot="1" x14ac:dyDescent="0.25">
      <c r="A263" s="83"/>
      <c r="B263" s="83"/>
      <c r="C263" s="83"/>
      <c r="D263" s="83"/>
      <c r="E263" s="268" t="s">
        <v>12244</v>
      </c>
      <c r="F263" s="262"/>
      <c r="G263" s="262"/>
      <c r="H263" s="324"/>
      <c r="I263" s="324"/>
      <c r="J263" s="263"/>
      <c r="K263" s="365"/>
      <c r="L263" s="365"/>
      <c r="M263" s="262"/>
      <c r="N263" s="265" t="b">
        <f>NOT(ISERROR(ResultsTeams[[#This Row],[Goal-A]]+ResultsTeams[[#This Row],[Goal-B]]))</f>
        <v>0</v>
      </c>
      <c r="O263" s="265" t="str">
        <f>IF(ResultsTeams[[#This Row],[Type]]="G",SUM(O264:O267),IF(LEFT(ResultsTeams[[#This Row],[Type]],1)="P",IF(ResultsTeams[[#This Row],[Goal-A]]&gt;ResultsTeams[[#This Row],[Goal-B]],1,0),""))</f>
        <v/>
      </c>
      <c r="P263" s="265" t="str">
        <f>IF(ResultsTeams[[#This Row],[Type]]="G",SUM(P264:P267),IF(LEFT(ResultsTeams[[#This Row],[Type]],1)="P",IF(ResultsTeams[[#This Row],[Goal-A]]&lt;ResultsTeams[[#This Row],[Goal-B]],1,0),""))</f>
        <v/>
      </c>
      <c r="Q263" s="265" t="str">
        <f>IF(ResultsTeams[[#This Row],[Type]]="G",SUM(Q264:Q267),IF(LEFT(ResultsTeams[[#This Row],[Type]],1)="P",VALUE(ResultsTeams[[#This Row],[Score-A]]),""))</f>
        <v/>
      </c>
      <c r="R263" s="265" t="str">
        <f>IF(ResultsTeams[[#This Row],[Type]]="G",SUM(R264:R267),IF(LEFT(ResultsTeams[[#This Row],[Type]],1)="P",VALUE(ResultsTeams[[#This Row],[Score-B]]),""))</f>
        <v/>
      </c>
      <c r="S263" s="265" t="str">
        <f ca="1">IF(AND(ResultsTeams[[#This Row],[Category]]&lt;&gt;"",ResultsTeams[[#This Row],[Team A]]&lt;&gt;""),COUNTIF(INDIRECT("TeamsList[Club Name]"),ResultsTeams[[#This Row],[Team A]]),"")</f>
        <v/>
      </c>
      <c r="T263" s="265" t="str">
        <f ca="1">IF(AND(ResultsTeams[[#This Row],[Category]]&lt;&gt;"",ResultsTeams[[#This Row],[Team B]]&lt;&gt;""),COUNTIF(INDIRECT("TeamsList[Club Name]"),ResultsTeams[[#This Row],[Team B]]),"")</f>
        <v/>
      </c>
      <c r="U2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3" s="265" t="str">
        <f>IF(ResultsTeams[[#This Row],[Score_OK]],IF(ResultsTeams[[#This Row],[StageCpy]]="Groups",ResultsTeams[[#This Row],[Category]]&amp;"-"&amp;IF(ResultsTeams[[#This Row],[Team B]]="","",IF(ResultsTeams[[#This Row],[Match-A]]=ResultsTeams[[#This Row],[Match-B]],ResultsTeams[[#This Row],[Team A]],"")),""),"")</f>
        <v/>
      </c>
      <c r="W263" s="265" t="str">
        <f>IF(ResultsTeams[[#This Row],[Score_OK]],IF(ResultsTeams[[#This Row],[StageCpy]]="Groups",ResultsTeams[[#This Row],[Category]]&amp;"-"&amp;IF(ResultsTeams[[#This Row],[Team B]]="","",IF(ResultsTeams[[#This Row],[Match-A]]=ResultsTeams[[#This Row],[Match-B]],ResultsTeams[[#This Row],[Team B]],"")),""),"")</f>
        <v/>
      </c>
      <c r="X2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3" s="264" t="str">
        <f>IF(ResultsTeams[[#This Row],[Category]]="","",VLOOKUP(ResultsTeams[[#This Row],[Stage]],$R$1:$T$8,MATCH(ResultsTeams[[#This Row],[Category]],$S$1:$T$1,0)+1,FALSE))</f>
        <v/>
      </c>
      <c r="AC2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3" s="264" t="str">
        <f>IF(ResultsTeams[[#This Row],[Type]]="G",ResultsTeams[[#This Row],[Stage]],AD262)</f>
        <v>Groups</v>
      </c>
      <c r="AE263" s="395" t="str">
        <f>IF(ResultsTeams[[#This Row],[Type]]="G",INDEX(TeamsList[Club Name],MATCH(ResultsTeams[[#This Row],[Team A]],TeamsList[Team Name],0)),AE262)</f>
        <v>Atlas FTC</v>
      </c>
      <c r="AF263" s="395" t="str">
        <f>IF(ResultsTeams[[#This Row],[Type]]="G",INDEX(TeamsList[Club Name],MATCH(ResultsTeams[[#This Row],[Team B]],TeamsList[Team Name],0)),AF262)</f>
        <v>US Huy</v>
      </c>
      <c r="AG263" s="265"/>
      <c r="AI263" s="12">
        <f t="shared" ref="AI263:AI267" si="225">AI262</f>
        <v>0</v>
      </c>
      <c r="AJ263" s="309"/>
      <c r="AK263" s="320"/>
      <c r="AL263" s="311"/>
      <c r="AM263" s="292" t="str">
        <f>IF(AV263="","",SMALL(AN261:AN267,ROWS(AM261:AM263)))</f>
        <v/>
      </c>
      <c r="AN263" s="293" t="str">
        <f>IF(AV263="","",RANK(AR263,AR261:AR267)*1000+ROWS(AN261:AN263))</f>
        <v/>
      </c>
      <c r="AO263" s="316" t="str">
        <f t="shared" si="218"/>
        <v/>
      </c>
      <c r="AP263" s="415" t="b">
        <f>AND(AU263&lt;&gt;"",AU263&gt;0,COUNTIF(AO261:AO267,AO263)&gt;1)</f>
        <v>0</v>
      </c>
      <c r="AQ263" s="316" t="str">
        <f t="shared" si="219"/>
        <v/>
      </c>
      <c r="AR263" s="317" t="str">
        <f t="shared" si="220"/>
        <v/>
      </c>
      <c r="AS263" s="415" t="b">
        <f>AND(AU263&lt;&gt;"",AU263&gt;0,COUNTIF(AR261:AR267,AR263)&gt;1)</f>
        <v>0</v>
      </c>
      <c r="AT263" s="355" t="str">
        <f t="shared" si="221"/>
        <v/>
      </c>
      <c r="AU263" s="356" t="str">
        <f t="shared" si="222"/>
        <v/>
      </c>
      <c r="AV263" s="356" t="str">
        <f>IF(OR(AI260="",AJ263=""),"",COUNTIF(ResultsTeams[Win],AI260&amp;"-"&amp;AJ263))</f>
        <v/>
      </c>
      <c r="AW263" s="356" t="str">
        <f>IF(OR(AI260="",AJ263=""),"",COUNTIF(ResultsTeams[[Draw1]:[Draw2]],AI260&amp;"-"&amp;AJ263))</f>
        <v/>
      </c>
      <c r="AX263" s="356" t="str">
        <f>IF(OR(AI260="",AJ263=""),"",COUNTIF(ResultsTeams[Lose],AI260&amp;"-"&amp;AJ263))</f>
        <v/>
      </c>
      <c r="AY263" s="356" t="str">
        <f>IF(OR(AI260="",AJ263=""),"",AV263-AX263)</f>
        <v/>
      </c>
      <c r="AZ263" s="356" t="str">
        <f>IF(OR(AI262="",AJ263=""),"",SUMIFS(ResultsTeams[Match-A],ResultsTeams[Stage],"Groups",ResultsTeams[Team A],AJ263)+SUMIFS(ResultsTeams[Match-B],ResultsTeams[Stage],"Groups",ResultsTeams[Team B],AJ263))</f>
        <v/>
      </c>
      <c r="BA263" s="356" t="str">
        <f>IF(OR(AI262="",AJ263=""),"",SUMIFS(ResultsTeams[Match-B],ResultsTeams[Stage],"Groups",ResultsTeams[Team A],AJ263)+SUMIFS(ResultsTeams[Match-A],ResultsTeams[Stage],"Groups",ResultsTeams[Team B],AJ263))</f>
        <v/>
      </c>
      <c r="BB263" s="356" t="str">
        <f t="shared" si="224"/>
        <v/>
      </c>
      <c r="BC263" s="356" t="str">
        <f>IF(OR(AI262="",AJ263=""),"",SUMIFS(ResultsTeams[Goal-A],ResultsTeams[Stage],"Groups",ResultsTeams[Team A],AJ263)+SUMIFS(ResultsTeams[Goal-B],ResultsTeams[Stage],"Groups",ResultsTeams[Team B],AJ263))</f>
        <v/>
      </c>
      <c r="BD263" s="356" t="str">
        <f>IF(OR(AI262="",AJ263=""),"",SUMIFS(ResultsTeams[Goal-B],ResultsTeams[Stage],"Groups",ResultsTeams[Team A],AJ263)+SUMIFS(ResultsTeams[Goal-A],ResultsTeams[Stage],"Groups",ResultsTeams[Team B],AJ263))</f>
        <v/>
      </c>
      <c r="BE263" s="357" t="str">
        <f>IF(OR(AI260="",AJ263=""),"",BC263-BD263)</f>
        <v/>
      </c>
      <c r="BF263" s="470" t="str">
        <f>IF(AM263="","",OR(VLOOKUP(AM263,AN261:BE267,3,FALSE),VLOOKUP(AM263,AN261:BE267,6,FALSE)))</f>
        <v/>
      </c>
      <c r="BG263" s="298" t="str">
        <f t="shared" si="223"/>
        <v/>
      </c>
      <c r="BH263" s="285" t="str">
        <f>IF(AM263="","",INDEX(AJ261:AJ267,MATCH(AM263,AN261:AN267,0)))</f>
        <v/>
      </c>
      <c r="BI263" s="286" t="str">
        <f>IF(AM263="","",VLOOKUP(AM263,AN261:BE267,COLUMN()-COLUMN(BB260),FALSE))</f>
        <v/>
      </c>
      <c r="BJ263" s="286" t="str">
        <f>IF(AM263="","",VLOOKUP(AM263,AN261:BE267,COLUMN()-COLUMN(BB260),FALSE))</f>
        <v/>
      </c>
      <c r="BK263" s="286" t="str">
        <f>IF(AM263="","",VLOOKUP(AM263,AN261:BE267,COLUMN()-COLUMN(BB260),FALSE))</f>
        <v/>
      </c>
      <c r="BL263" s="286" t="str">
        <f>IF(AM263="","",VLOOKUP(AM263,AN261:BE267,COLUMN()-COLUMN(BB260),FALSE))</f>
        <v/>
      </c>
      <c r="BM263" s="286" t="str">
        <f>IF(AM263="","",VLOOKUP(AM263,AN261:BE267,COLUMN()-COLUMN(BB260),FALSE))</f>
        <v/>
      </c>
      <c r="BN263" s="349" t="str">
        <f>IF(AM263="","",VLOOKUP(AM263,AN261:BE267,COLUMN()-COLUMN(BB260),FALSE))</f>
        <v/>
      </c>
      <c r="BO263" s="298" t="str">
        <f>IF(AM263="","",VLOOKUP(AM263,AN261:BE267,COLUMN()-COLUMN(BB260),FALSE))</f>
        <v/>
      </c>
      <c r="BP263" s="286" t="str">
        <f>IF(AM263="","",VLOOKUP(AM263,AN261:BE267,COLUMN()-COLUMN(BB260),FALSE))</f>
        <v/>
      </c>
      <c r="BQ263" s="301" t="str">
        <f>IF(AM263="","",VLOOKUP(AM263,AN261:BE267,COLUMN()-COLUMN(BB260),FALSE))</f>
        <v/>
      </c>
      <c r="BR263" s="352" t="str">
        <f>IF(AM263="","",VLOOKUP(AM263,AN261:BE267,COLUMN()-COLUMN(BB260),FALSE))</f>
        <v/>
      </c>
      <c r="BS263" s="286" t="str">
        <f>IF(AM263="","",VLOOKUP(AM263,AN261:BE267,COLUMN()-COLUMN(BB260),FALSE))</f>
        <v/>
      </c>
      <c r="BT263" s="301" t="str">
        <f>IF(AM263="","",VLOOKUP(AM263,AN261:BE267,COLUMN()-COLUMN(BB260),FALSE))</f>
        <v/>
      </c>
    </row>
    <row r="264" spans="1:72" ht="12" thickBot="1" x14ac:dyDescent="0.25">
      <c r="A264" s="261" t="s">
        <v>12693</v>
      </c>
      <c r="B264" s="270" t="s">
        <v>12207</v>
      </c>
      <c r="C264" s="270">
        <v>6</v>
      </c>
      <c r="D264" s="270"/>
      <c r="E264" s="272" t="s">
        <v>12228</v>
      </c>
      <c r="F264" s="273" t="s">
        <v>343</v>
      </c>
      <c r="G264" s="273" t="s">
        <v>197</v>
      </c>
      <c r="H264" s="275">
        <v>0</v>
      </c>
      <c r="I264" s="275">
        <v>4</v>
      </c>
      <c r="J264" s="275"/>
      <c r="K264" s="366"/>
      <c r="L264" s="366"/>
      <c r="M264" s="274"/>
      <c r="N264" s="265" t="b">
        <f>NOT(ISERROR(ResultsTeams[[#This Row],[Goal-A]]+ResultsTeams[[#This Row],[Goal-B]]))</f>
        <v>1</v>
      </c>
      <c r="O264" s="265">
        <f>IF(ResultsTeams[[#This Row],[Type]]="G",SUM(O265:O268),IF(LEFT(ResultsTeams[[#This Row],[Type]],1)="P",IF(ResultsTeams[[#This Row],[Goal-A]]&gt;ResultsTeams[[#This Row],[Goal-B]],1,0),""))</f>
        <v>0</v>
      </c>
      <c r="P264" s="265">
        <f>IF(ResultsTeams[[#This Row],[Type]]="G",SUM(P265:P268),IF(LEFT(ResultsTeams[[#This Row],[Type]],1)="P",IF(ResultsTeams[[#This Row],[Goal-A]]&lt;ResultsTeams[[#This Row],[Goal-B]],1,0),""))</f>
        <v>4</v>
      </c>
      <c r="Q264" s="265">
        <f>IF(ResultsTeams[[#This Row],[Type]]="G",SUM(Q265:Q268),IF(LEFT(ResultsTeams[[#This Row],[Type]],1)="P",VALUE(ResultsTeams[[#This Row],[Score-A]]),""))</f>
        <v>1</v>
      </c>
      <c r="R264" s="265">
        <f>IF(ResultsTeams[[#This Row],[Type]]="G",SUM(R265:R268),IF(LEFT(ResultsTeams[[#This Row],[Type]],1)="P",VALUE(ResultsTeams[[#This Row],[Score-B]]),""))</f>
        <v>16</v>
      </c>
      <c r="S264" s="265">
        <f ca="1">IF(AND(ResultsTeams[[#This Row],[Category]]&lt;&gt;"",ResultsTeams[[#This Row],[Team A]]&lt;&gt;""),COUNTIF(INDIRECT("TeamsList[Club Name]"),ResultsTeams[[#This Row],[Team A]]),"")</f>
        <v>1</v>
      </c>
      <c r="T264" s="265">
        <f ca="1">IF(AND(ResultsTeams[[#This Row],[Category]]&lt;&gt;"",ResultsTeams[[#This Row],[Team B]]&lt;&gt;""),COUNTIF(INDIRECT("TeamsList[Club Name]"),ResultsTeams[[#This Row],[Team B]]),"")</f>
        <v>1</v>
      </c>
      <c r="U2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TEAM-Bologna Tigers Subbuteo</v>
      </c>
      <c r="V264" s="265" t="str">
        <f>IF(ResultsTeams[[#This Row],[Score_OK]],IF(ResultsTeams[[#This Row],[StageCpy]]="Groups",ResultsTeams[[#This Row],[Category]]&amp;"-"&amp;IF(ResultsTeams[[#This Row],[Team B]]="","",IF(ResultsTeams[[#This Row],[Match-A]]=ResultsTeams[[#This Row],[Match-B]],ResultsTeams[[#This Row],[Team A]],"")),""),"")</f>
        <v>TEAM-</v>
      </c>
      <c r="W264" s="265" t="str">
        <f>IF(ResultsTeams[[#This Row],[Score_OK]],IF(ResultsTeams[[#This Row],[StageCpy]]="Groups",ResultsTeams[[#This Row],[Category]]&amp;"-"&amp;IF(ResultsTeams[[#This Row],[Team B]]="","",IF(ResultsTeams[[#This Row],[Match-A]]=ResultsTeams[[#This Row],[Match-B]],ResultsTeams[[#This Row],[Team B]],"")),""),"")</f>
        <v>TEAM-</v>
      </c>
      <c r="X2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TEAM-US Huy</v>
      </c>
      <c r="Y2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A2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B264" s="264" t="str">
        <f>IF(ResultsTeams[[#This Row],[Category]]="","",VLOOKUP(ResultsTeams[[#This Row],[Stage]],$R$1:$T$8,MATCH(ResultsTeams[[#This Row],[Category]],$S$1:$T$1,0)+1,FALSE))</f>
        <v>PR1</v>
      </c>
      <c r="AC2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4" s="264" t="str">
        <f>IF(ResultsTeams[[#This Row],[Type]]="G",ResultsTeams[[#This Row],[Stage]],AD263)</f>
        <v>Groups</v>
      </c>
      <c r="AE264" s="395" t="str">
        <f>IF(ResultsTeams[[#This Row],[Type]]="G",INDEX(TeamsList[Club Name],MATCH(ResultsTeams[[#This Row],[Team A]],TeamsList[Team Name],0)),AE263)</f>
        <v>US Huy</v>
      </c>
      <c r="AF264" s="395" t="str">
        <f>IF(ResultsTeams[[#This Row],[Type]]="G",INDEX(TeamsList[Club Name],MATCH(ResultsTeams[[#This Row],[Team B]],TeamsList[Team Name],0)),AF263)</f>
        <v>Bologna Tigers Subbuteo</v>
      </c>
      <c r="AG264" s="265"/>
      <c r="AH264" s="91"/>
      <c r="AI264" s="12">
        <f t="shared" si="225"/>
        <v>0</v>
      </c>
      <c r="AJ264" s="309"/>
      <c r="AK264" s="310"/>
      <c r="AL264" s="311"/>
      <c r="AM264" s="292" t="str">
        <f>IF(AV264="","",SMALL(AN261:AN267,ROWS(AM261:AM264)))</f>
        <v/>
      </c>
      <c r="AN264" s="293" t="str">
        <f>IF(AV264="","",RANK(AR264,AR261:AR267)*1000+ROWS(AN261:AN264))</f>
        <v/>
      </c>
      <c r="AO264" s="316" t="str">
        <f t="shared" si="218"/>
        <v/>
      </c>
      <c r="AP264" s="415" t="b">
        <f>AND(AU264&lt;&gt;"",AU264&gt;0,COUNTIF(AO261:AO267,AO264)&gt;1)</f>
        <v>0</v>
      </c>
      <c r="AQ264" s="316" t="str">
        <f t="shared" si="219"/>
        <v/>
      </c>
      <c r="AR264" s="317" t="str">
        <f t="shared" si="220"/>
        <v/>
      </c>
      <c r="AS264" s="415" t="b">
        <f>AND(AU264&lt;&gt;"",AU264&gt;0,COUNTIF(AR261:AR267,AR264)&gt;1)</f>
        <v>0</v>
      </c>
      <c r="AT264" s="355" t="str">
        <f t="shared" si="221"/>
        <v/>
      </c>
      <c r="AU264" s="356" t="str">
        <f t="shared" si="222"/>
        <v/>
      </c>
      <c r="AV264" s="356" t="str">
        <f>IF(OR(AI260="",AJ264=""),"",COUNTIF(ResultsTeams[Win],AI260&amp;"-"&amp;AJ264))</f>
        <v/>
      </c>
      <c r="AW264" s="356" t="str">
        <f>IF(OR(AI260="",AJ264=""),"",COUNTIF(ResultsTeams[[Draw1]:[Draw2]],AI260&amp;"-"&amp;AJ264))</f>
        <v/>
      </c>
      <c r="AX264" s="356" t="str">
        <f>IF(OR(AI260="",AJ264=""),"",COUNTIF(ResultsTeams[Lose],AI260&amp;"-"&amp;AJ264))</f>
        <v/>
      </c>
      <c r="AY264" s="356" t="str">
        <f>IF(OR(AI260="",AJ264=""),"",AV264-AX264)</f>
        <v/>
      </c>
      <c r="AZ264" s="356" t="str">
        <f>IF(OR(AI263="",AJ264=""),"",SUMIFS(ResultsTeams[Match-A],ResultsTeams[Stage],"Groups",ResultsTeams[Team A],AJ264)+SUMIFS(ResultsTeams[Match-B],ResultsTeams[Stage],"Groups",ResultsTeams[Team B],AJ264))</f>
        <v/>
      </c>
      <c r="BA264" s="356" t="str">
        <f>IF(OR(AI263="",AJ264=""),"",SUMIFS(ResultsTeams[Match-B],ResultsTeams[Stage],"Groups",ResultsTeams[Team A],AJ264)+SUMIFS(ResultsTeams[Match-A],ResultsTeams[Stage],"Groups",ResultsTeams[Team B],AJ264))</f>
        <v/>
      </c>
      <c r="BB264" s="356" t="str">
        <f t="shared" si="224"/>
        <v/>
      </c>
      <c r="BC264" s="356" t="str">
        <f>IF(OR(AI263="",AJ264=""),"",SUMIFS(ResultsTeams[Goal-A],ResultsTeams[Stage],"Groups",ResultsTeams[Team A],AJ264)+SUMIFS(ResultsTeams[Goal-B],ResultsTeams[Stage],"Groups",ResultsTeams[Team B],AJ264))</f>
        <v/>
      </c>
      <c r="BD264" s="356" t="str">
        <f>IF(OR(AI263="",AJ264=""),"",SUMIFS(ResultsTeams[Goal-B],ResultsTeams[Stage],"Groups",ResultsTeams[Team A],AJ264)+SUMIFS(ResultsTeams[Goal-A],ResultsTeams[Stage],"Groups",ResultsTeams[Team B],AJ264))</f>
        <v/>
      </c>
      <c r="BE264" s="357" t="str">
        <f>IF(OR(AI260="",AJ264=""),"",BC264-BD264)</f>
        <v/>
      </c>
      <c r="BF264" s="470" t="str">
        <f>IF(AM264="","",OR(VLOOKUP(AM264,AN261:BE267,3,FALSE),VLOOKUP(AM264,AN261:BE267,6,FALSE)))</f>
        <v/>
      </c>
      <c r="BG264" s="298" t="str">
        <f t="shared" si="223"/>
        <v/>
      </c>
      <c r="BH264" s="285" t="str">
        <f>IF(AM264="","",INDEX(AJ261:AJ267,MATCH(AM264,AN261:AN267,0)))</f>
        <v/>
      </c>
      <c r="BI264" s="286" t="str">
        <f>IF(AM264="","",VLOOKUP(AM264,AN261:BE267,COLUMN()-COLUMN(BB260),FALSE))</f>
        <v/>
      </c>
      <c r="BJ264" s="286" t="str">
        <f>IF(AM264="","",VLOOKUP(AM264,AN261:BE267,COLUMN()-COLUMN(BB260),FALSE))</f>
        <v/>
      </c>
      <c r="BK264" s="286" t="str">
        <f>IF(AM264="","",VLOOKUP(AM264,AN261:BE267,COLUMN()-COLUMN(BB260),FALSE))</f>
        <v/>
      </c>
      <c r="BL264" s="286" t="str">
        <f>IF(AM264="","",VLOOKUP(AM264,AN261:BE267,COLUMN()-COLUMN(BB260),FALSE))</f>
        <v/>
      </c>
      <c r="BM264" s="286" t="str">
        <f>IF(AM264="","",VLOOKUP(AM264,AN261:BE267,COLUMN()-COLUMN(BB260),FALSE))</f>
        <v/>
      </c>
      <c r="BN264" s="349" t="str">
        <f>IF(AM264="","",VLOOKUP(AM264,AN261:BE267,COLUMN()-COLUMN(BB260),FALSE))</f>
        <v/>
      </c>
      <c r="BO264" s="298" t="str">
        <f>IF(AM264="","",VLOOKUP(AM264,AN261:BE267,COLUMN()-COLUMN(BB260),FALSE))</f>
        <v/>
      </c>
      <c r="BP264" s="286" t="str">
        <f>IF(AM264="","",VLOOKUP(AM264,AN261:BE267,COLUMN()-COLUMN(BB260),FALSE))</f>
        <v/>
      </c>
      <c r="BQ264" s="301" t="str">
        <f>IF(AM264="","",VLOOKUP(AM264,AN261:BE267,COLUMN()-COLUMN(BB260),FALSE))</f>
        <v/>
      </c>
      <c r="BR264" s="352" t="str">
        <f>IF(AM264="","",VLOOKUP(AM264,AN261:BE267,COLUMN()-COLUMN(BB260),FALSE))</f>
        <v/>
      </c>
      <c r="BS264" s="286" t="str">
        <f>IF(AM264="","",VLOOKUP(AM264,AN261:BE267,COLUMN()-COLUMN(BB260),FALSE))</f>
        <v/>
      </c>
      <c r="BT264" s="301" t="str">
        <f>IF(AM264="","",VLOOKUP(AM264,AN261:BE267,COLUMN()-COLUMN(BB260),FALSE))</f>
        <v/>
      </c>
    </row>
    <row r="265" spans="1:72" x14ac:dyDescent="0.2">
      <c r="A265" s="60"/>
      <c r="B265" s="280"/>
      <c r="C265" s="60"/>
      <c r="D265" s="60"/>
      <c r="E265" s="240" t="s">
        <v>12231</v>
      </c>
      <c r="F265" s="244" t="s">
        <v>8131</v>
      </c>
      <c r="G265" s="244" t="s">
        <v>9744</v>
      </c>
      <c r="H265" s="253">
        <v>1</v>
      </c>
      <c r="I265" s="253">
        <v>3</v>
      </c>
      <c r="J265" s="253"/>
      <c r="K265" s="362"/>
      <c r="L265" s="362"/>
      <c r="M265" s="245"/>
      <c r="N265" s="265" t="b">
        <f>NOT(ISERROR(ResultsTeams[[#This Row],[Goal-A]]+ResultsTeams[[#This Row],[Goal-B]]))</f>
        <v>1</v>
      </c>
      <c r="O265" s="265">
        <f>IF(ResultsTeams[[#This Row],[Type]]="G",SUM(O266:O269),IF(LEFT(ResultsTeams[[#This Row],[Type]],1)="P",IF(ResultsTeams[[#This Row],[Goal-A]]&gt;ResultsTeams[[#This Row],[Goal-B]],1,0),""))</f>
        <v>0</v>
      </c>
      <c r="P265" s="265">
        <f>IF(ResultsTeams[[#This Row],[Type]]="G",SUM(P266:P269),IF(LEFT(ResultsTeams[[#This Row],[Type]],1)="P",IF(ResultsTeams[[#This Row],[Goal-A]]&lt;ResultsTeams[[#This Row],[Goal-B]],1,0),""))</f>
        <v>1</v>
      </c>
      <c r="Q265" s="265">
        <f>IF(ResultsTeams[[#This Row],[Type]]="G",SUM(Q266:Q269),IF(LEFT(ResultsTeams[[#This Row],[Type]],1)="P",VALUE(ResultsTeams[[#This Row],[Score-A]]),""))</f>
        <v>1</v>
      </c>
      <c r="R265" s="265">
        <f>IF(ResultsTeams[[#This Row],[Type]]="G",SUM(R266:R269),IF(LEFT(ResultsTeams[[#This Row],[Type]],1)="P",VALUE(ResultsTeams[[#This Row],[Score-B]]),""))</f>
        <v>3</v>
      </c>
      <c r="S265" s="265" t="str">
        <f ca="1">IF(AND(ResultsTeams[[#This Row],[Category]]&lt;&gt;"",ResultsTeams[[#This Row],[Team A]]&lt;&gt;""),COUNTIF(INDIRECT("TeamsList[Club Name]"),ResultsTeams[[#This Row],[Team A]]),"")</f>
        <v/>
      </c>
      <c r="T265" s="265" t="str">
        <f ca="1">IF(AND(ResultsTeams[[#This Row],[Category]]&lt;&gt;"",ResultsTeams[[#This Row],[Team B]]&lt;&gt;""),COUNTIF(INDIRECT("TeamsList[Club Name]"),ResultsTeams[[#This Row],[Team B]]),"")</f>
        <v/>
      </c>
      <c r="U2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-Gerardo Patruno</v>
      </c>
      <c r="V265" s="265" t="str">
        <f>IF(ResultsTeams[[#This Row],[Score_OK]],IF(ResultsTeams[[#This Row],[StageCpy]]="Groups",ResultsTeams[[#This Row],[Category]]&amp;"-"&amp;IF(ResultsTeams[[#This Row],[Team B]]="","",IF(ResultsTeams[[#This Row],[Match-A]]=ResultsTeams[[#This Row],[Match-B]],ResultsTeams[[#This Row],[Team A]],"")),""),"")</f>
        <v>-</v>
      </c>
      <c r="W265" s="265" t="str">
        <f>IF(ResultsTeams[[#This Row],[Score_OK]],IF(ResultsTeams[[#This Row],[StageCpy]]="Groups",ResultsTeams[[#This Row],[Category]]&amp;"-"&amp;IF(ResultsTeams[[#This Row],[Team B]]="","",IF(ResultsTeams[[#This Row],[Match-A]]=ResultsTeams[[#This Row],[Match-B]],ResultsTeams[[#This Row],[Team B]],"")),""),"")</f>
        <v>-</v>
      </c>
      <c r="X2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-Pol Serwy</v>
      </c>
      <c r="Y2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5" s="264" t="str">
        <f>IF(ResultsTeams[[#This Row],[Category]]="","",VLOOKUP(ResultsTeams[[#This Row],[Stage]],$R$1:$T$8,MATCH(ResultsTeams[[#This Row],[Category]],$S$1:$T$1,0)+1,FALSE))</f>
        <v/>
      </c>
      <c r="AC2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5" s="264" t="str">
        <f>IF(ResultsTeams[[#This Row],[Type]]="G",ResultsTeams[[#This Row],[Stage]],AD264)</f>
        <v>Groups</v>
      </c>
      <c r="AE265" s="395" t="str">
        <f>IF(ResultsTeams[[#This Row],[Type]]="G",INDEX(TeamsList[Club Name],MATCH(ResultsTeams[[#This Row],[Team A]],TeamsList[Team Name],0)),AE264)</f>
        <v>US Huy</v>
      </c>
      <c r="AF265" s="395" t="str">
        <f>IF(ResultsTeams[[#This Row],[Type]]="G",INDEX(TeamsList[Club Name],MATCH(ResultsTeams[[#This Row],[Team B]],TeamsList[Team Name],0)),AF264)</f>
        <v>Bologna Tigers Subbuteo</v>
      </c>
      <c r="AG265" s="265"/>
      <c r="AH265" s="91"/>
      <c r="AI265" s="12">
        <f t="shared" si="225"/>
        <v>0</v>
      </c>
      <c r="AJ265" s="309"/>
      <c r="AK265" s="310"/>
      <c r="AL265" s="311"/>
      <c r="AM265" s="292" t="str">
        <f>IF(AV265="","",SMALL(AN261:AN267,ROWS(AM261:AM265)))</f>
        <v/>
      </c>
      <c r="AN265" s="293" t="str">
        <f>IF(AV265="","",RANK(AR265,AR261:AR267)*1000+ROWS(AN261:AN265))</f>
        <v/>
      </c>
      <c r="AO265" s="316" t="str">
        <f t="shared" si="218"/>
        <v/>
      </c>
      <c r="AP265" s="415" t="b">
        <f>AND(AU265&lt;&gt;"",AU265&gt;0,COUNTIF(AO261:AO267,AO265)&gt;1)</f>
        <v>0</v>
      </c>
      <c r="AQ265" s="316" t="str">
        <f t="shared" si="219"/>
        <v/>
      </c>
      <c r="AR265" s="317" t="str">
        <f t="shared" si="220"/>
        <v/>
      </c>
      <c r="AS265" s="415" t="b">
        <f>AND(AU265&lt;&gt;"",AU265&gt;0,COUNTIF(AR261:AR267,AR265)&gt;1)</f>
        <v>0</v>
      </c>
      <c r="AT265" s="355" t="str">
        <f t="shared" si="221"/>
        <v/>
      </c>
      <c r="AU265" s="356" t="str">
        <f t="shared" si="222"/>
        <v/>
      </c>
      <c r="AV265" s="356" t="str">
        <f>IF(OR(AI260="",AJ265=""),"",COUNTIF(ResultsTeams[Win],AI260&amp;"-"&amp;AJ265))</f>
        <v/>
      </c>
      <c r="AW265" s="356" t="str">
        <f>IF(OR(AI260="",AJ265=""),"",COUNTIF(ResultsTeams[[Draw1]:[Draw2]],AI260&amp;"-"&amp;AJ265))</f>
        <v/>
      </c>
      <c r="AX265" s="356" t="str">
        <f>IF(OR(AI260="",AJ265=""),"",COUNTIF(ResultsTeams[Lose],AI260&amp;"-"&amp;AJ265))</f>
        <v/>
      </c>
      <c r="AY265" s="356" t="str">
        <f>IF(OR(AI260="",AJ265=""),"",AV265-AX265)</f>
        <v/>
      </c>
      <c r="AZ265" s="356" t="str">
        <f>IF(OR(AI264="",AJ265=""),"",SUMIFS(ResultsTeams[Match-A],ResultsTeams[Stage],"Groups",ResultsTeams[Team A],AJ265)+SUMIFS(ResultsTeams[Match-B],ResultsTeams[Stage],"Groups",ResultsTeams[Team B],AJ265))</f>
        <v/>
      </c>
      <c r="BA265" s="356" t="str">
        <f>IF(OR(AI264="",AJ265=""),"",SUMIFS(ResultsTeams[Match-B],ResultsTeams[Stage],"Groups",ResultsTeams[Team A],AJ265)+SUMIFS(ResultsTeams[Match-A],ResultsTeams[Stage],"Groups",ResultsTeams[Team B],AJ265))</f>
        <v/>
      </c>
      <c r="BB265" s="356" t="str">
        <f t="shared" si="224"/>
        <v/>
      </c>
      <c r="BC265" s="356" t="str">
        <f>IF(OR(AI264="",AJ265=""),"",SUMIFS(ResultsTeams[Goal-A],ResultsTeams[Stage],"Groups",ResultsTeams[Team A],AJ265)+SUMIFS(ResultsTeams[Goal-B],ResultsTeams[Stage],"Groups",ResultsTeams[Team B],AJ265))</f>
        <v/>
      </c>
      <c r="BD265" s="356" t="str">
        <f>IF(OR(AI264="",AJ265=""),"",SUMIFS(ResultsTeams[Goal-B],ResultsTeams[Stage],"Groups",ResultsTeams[Team A],AJ265)+SUMIFS(ResultsTeams[Goal-A],ResultsTeams[Stage],"Groups",ResultsTeams[Team B],AJ265))</f>
        <v/>
      </c>
      <c r="BE265" s="357" t="str">
        <f>IF(OR(AI260="",AJ265=""),"",BC265-BD265)</f>
        <v/>
      </c>
      <c r="BF265" s="470" t="str">
        <f>IF(AM265="","",OR(VLOOKUP(AM265,AN261:BE267,3,FALSE),VLOOKUP(AM265,AN261:BE267,6,FALSE)))</f>
        <v/>
      </c>
      <c r="BG265" s="298" t="str">
        <f t="shared" si="223"/>
        <v/>
      </c>
      <c r="BH265" s="285" t="str">
        <f>IF(AM265="","",INDEX(AJ261:AJ267,MATCH(AM265,AN261:AN267,0)))</f>
        <v/>
      </c>
      <c r="BI265" s="286" t="str">
        <f>IF(AM265="","",VLOOKUP(AM265,AN261:BE267,COLUMN()-COLUMN(BB260),FALSE))</f>
        <v/>
      </c>
      <c r="BJ265" s="286" t="str">
        <f>IF(AM265="","",VLOOKUP(AM265,AN261:BE267,COLUMN()-COLUMN(BB260),FALSE))</f>
        <v/>
      </c>
      <c r="BK265" s="286" t="str">
        <f>IF(AM265="","",VLOOKUP(AM265,AN261:BE267,COLUMN()-COLUMN(BB260),FALSE))</f>
        <v/>
      </c>
      <c r="BL265" s="286" t="str">
        <f>IF(AM265="","",VLOOKUP(AM265,AN261:BE267,COLUMN()-COLUMN(BB260),FALSE))</f>
        <v/>
      </c>
      <c r="BM265" s="286" t="str">
        <f>IF(AM265="","",VLOOKUP(AM265,AN261:BE267,COLUMN()-COLUMN(BB260),FALSE))</f>
        <v/>
      </c>
      <c r="BN265" s="349" t="str">
        <f>IF(AM265="","",VLOOKUP(AM265,AN261:BE267,COLUMN()-COLUMN(BB260),FALSE))</f>
        <v/>
      </c>
      <c r="BO265" s="298" t="str">
        <f>IF(AM265="","",VLOOKUP(AM265,AN261:BE267,COLUMN()-COLUMN(BB260),FALSE))</f>
        <v/>
      </c>
      <c r="BP265" s="286" t="str">
        <f>IF(AM265="","",VLOOKUP(AM265,AN261:BE267,COLUMN()-COLUMN(BB260),FALSE))</f>
        <v/>
      </c>
      <c r="BQ265" s="301" t="str">
        <f>IF(AM265="","",VLOOKUP(AM265,AN261:BE267,COLUMN()-COLUMN(BB260),FALSE))</f>
        <v/>
      </c>
      <c r="BR265" s="352" t="str">
        <f>IF(AM265="","",VLOOKUP(AM265,AN261:BE267,COLUMN()-COLUMN(BB260),FALSE))</f>
        <v/>
      </c>
      <c r="BS265" s="286" t="str">
        <f>IF(AM265="","",VLOOKUP(AM265,AN261:BE267,COLUMN()-COLUMN(BB260),FALSE))</f>
        <v/>
      </c>
      <c r="BT265" s="301" t="str">
        <f>IF(AM265="","",VLOOKUP(AM265,AN261:BE267,COLUMN()-COLUMN(BB260),FALSE))</f>
        <v/>
      </c>
    </row>
    <row r="266" spans="1:72" x14ac:dyDescent="0.2">
      <c r="A266" s="62"/>
      <c r="B266" s="280"/>
      <c r="C266" s="62"/>
      <c r="D266" s="62"/>
      <c r="E266" s="241" t="s">
        <v>12234</v>
      </c>
      <c r="F266" s="246" t="s">
        <v>11601</v>
      </c>
      <c r="G266" s="246" t="s">
        <v>9838</v>
      </c>
      <c r="H266" s="254">
        <v>0</v>
      </c>
      <c r="I266" s="254">
        <v>6</v>
      </c>
      <c r="J266" s="254"/>
      <c r="K266" s="363"/>
      <c r="L266" s="363"/>
      <c r="M266" s="247"/>
      <c r="N266" s="265" t="b">
        <f>NOT(ISERROR(ResultsTeams[[#This Row],[Goal-A]]+ResultsTeams[[#This Row],[Goal-B]]))</f>
        <v>1</v>
      </c>
      <c r="O266" s="265">
        <f>IF(ResultsTeams[[#This Row],[Type]]="G",SUM(O267:O270),IF(LEFT(ResultsTeams[[#This Row],[Type]],1)="P",IF(ResultsTeams[[#This Row],[Goal-A]]&gt;ResultsTeams[[#This Row],[Goal-B]],1,0),""))</f>
        <v>0</v>
      </c>
      <c r="P266" s="265">
        <f>IF(ResultsTeams[[#This Row],[Type]]="G",SUM(P267:P270),IF(LEFT(ResultsTeams[[#This Row],[Type]],1)="P",IF(ResultsTeams[[#This Row],[Goal-A]]&lt;ResultsTeams[[#This Row],[Goal-B]],1,0),""))</f>
        <v>1</v>
      </c>
      <c r="Q266" s="265">
        <f>IF(ResultsTeams[[#This Row],[Type]]="G",SUM(Q267:Q270),IF(LEFT(ResultsTeams[[#This Row],[Type]],1)="P",VALUE(ResultsTeams[[#This Row],[Score-A]]),""))</f>
        <v>0</v>
      </c>
      <c r="R266" s="265">
        <f>IF(ResultsTeams[[#This Row],[Type]]="G",SUM(R267:R270),IF(LEFT(ResultsTeams[[#This Row],[Type]],1)="P",VALUE(ResultsTeams[[#This Row],[Score-B]]),""))</f>
        <v>6</v>
      </c>
      <c r="S266" s="265" t="str">
        <f ca="1">IF(AND(ResultsTeams[[#This Row],[Category]]&lt;&gt;"",ResultsTeams[[#This Row],[Team A]]&lt;&gt;""),COUNTIF(INDIRECT("TeamsList[Club Name]"),ResultsTeams[[#This Row],[Team A]]),"")</f>
        <v/>
      </c>
      <c r="T266" s="265" t="str">
        <f ca="1">IF(AND(ResultsTeams[[#This Row],[Category]]&lt;&gt;"",ResultsTeams[[#This Row],[Team B]]&lt;&gt;""),COUNTIF(INDIRECT("TeamsList[Club Name]"),ResultsTeams[[#This Row],[Team B]]),"")</f>
        <v/>
      </c>
      <c r="U2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-Francesco Mattiangeli</v>
      </c>
      <c r="V266" s="265" t="str">
        <f>IF(ResultsTeams[[#This Row],[Score_OK]],IF(ResultsTeams[[#This Row],[StageCpy]]="Groups",ResultsTeams[[#This Row],[Category]]&amp;"-"&amp;IF(ResultsTeams[[#This Row],[Team B]]="","",IF(ResultsTeams[[#This Row],[Match-A]]=ResultsTeams[[#This Row],[Match-B]],ResultsTeams[[#This Row],[Team A]],"")),""),"")</f>
        <v>-</v>
      </c>
      <c r="W266" s="265" t="str">
        <f>IF(ResultsTeams[[#This Row],[Score_OK]],IF(ResultsTeams[[#This Row],[StageCpy]]="Groups",ResultsTeams[[#This Row],[Category]]&amp;"-"&amp;IF(ResultsTeams[[#This Row],[Team B]]="","",IF(ResultsTeams[[#This Row],[Match-A]]=ResultsTeams[[#This Row],[Match-B]],ResultsTeams[[#This Row],[Team B]],"")),""),"")</f>
        <v>-</v>
      </c>
      <c r="X2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-Fabrice Guyaux</v>
      </c>
      <c r="Y2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6" s="264" t="str">
        <f>IF(ResultsTeams[[#This Row],[Category]]="","",VLOOKUP(ResultsTeams[[#This Row],[Stage]],$R$1:$T$8,MATCH(ResultsTeams[[#This Row],[Category]],$S$1:$T$1,0)+1,FALSE))</f>
        <v/>
      </c>
      <c r="AC2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6" s="264" t="str">
        <f>IF(ResultsTeams[[#This Row],[Type]]="G",ResultsTeams[[#This Row],[Stage]],AD265)</f>
        <v>Groups</v>
      </c>
      <c r="AE266" s="395" t="str">
        <f>IF(ResultsTeams[[#This Row],[Type]]="G",INDEX(TeamsList[Club Name],MATCH(ResultsTeams[[#This Row],[Team A]],TeamsList[Team Name],0)),AE265)</f>
        <v>US Huy</v>
      </c>
      <c r="AF266" s="395" t="str">
        <f>IF(ResultsTeams[[#This Row],[Type]]="G",INDEX(TeamsList[Club Name],MATCH(ResultsTeams[[#This Row],[Team B]],TeamsList[Team Name],0)),AF265)</f>
        <v>Bologna Tigers Subbuteo</v>
      </c>
      <c r="AG266" s="265"/>
      <c r="AI266" s="12">
        <f t="shared" si="225"/>
        <v>0</v>
      </c>
      <c r="AJ266" s="309"/>
      <c r="AK266" s="310"/>
      <c r="AL266" s="311"/>
      <c r="AM266" s="292" t="str">
        <f>IF(AV266="","",SMALL(AN261:AN267,ROWS(AM261:AM266)))</f>
        <v/>
      </c>
      <c r="AN266" s="293" t="str">
        <f>IF(AV266="","",RANK(AR266,AR261:AR267)*1000+ROWS(AN261:AN266))</f>
        <v/>
      </c>
      <c r="AO266" s="316" t="str">
        <f t="shared" si="218"/>
        <v/>
      </c>
      <c r="AP266" s="415" t="b">
        <f>AND(AU266&lt;&gt;"",AU266&gt;0,COUNTIF(AO261:AO267,AO266)&gt;1)</f>
        <v>0</v>
      </c>
      <c r="AQ266" s="316" t="str">
        <f t="shared" si="219"/>
        <v/>
      </c>
      <c r="AR266" s="317" t="str">
        <f t="shared" si="220"/>
        <v/>
      </c>
      <c r="AS266" s="415" t="b">
        <f>AND(AU266&lt;&gt;"",AU266&gt;0,COUNTIF(AR261:AR267,AR266)&gt;1)</f>
        <v>0</v>
      </c>
      <c r="AT266" s="355" t="str">
        <f t="shared" si="221"/>
        <v/>
      </c>
      <c r="AU266" s="356" t="str">
        <f t="shared" si="222"/>
        <v/>
      </c>
      <c r="AV266" s="356" t="str">
        <f>IF(OR(AI260="",AJ266=""),"",COUNTIF(ResultsTeams[Win],AI260&amp;"-"&amp;AJ266))</f>
        <v/>
      </c>
      <c r="AW266" s="356" t="str">
        <f>IF(OR(AI260="",AJ266=""),"",COUNTIF(ResultsTeams[[Draw1]:[Draw2]],AI260&amp;"-"&amp;AJ266))</f>
        <v/>
      </c>
      <c r="AX266" s="356" t="str">
        <f>IF(OR(AI260="",AJ266=""),"",COUNTIF(ResultsTeams[Lose],AI260&amp;"-"&amp;AJ266))</f>
        <v/>
      </c>
      <c r="AY266" s="356" t="str">
        <f>IF(OR(AI260="",AJ266=""),"",AV266-AX266)</f>
        <v/>
      </c>
      <c r="AZ266" s="356" t="str">
        <f>IF(OR(AI265="",AJ266=""),"",SUMIFS(ResultsTeams[Match-A],ResultsTeams[Stage],"Groups",ResultsTeams[Team A],AJ266)+SUMIFS(ResultsTeams[Match-B],ResultsTeams[Stage],"Groups",ResultsTeams[Team B],AJ266))</f>
        <v/>
      </c>
      <c r="BA266" s="356" t="str">
        <f>IF(OR(AI265="",AJ266=""),"",SUMIFS(ResultsTeams[Match-B],ResultsTeams[Stage],"Groups",ResultsTeams[Team A],AJ266)+SUMIFS(ResultsTeams[Match-A],ResultsTeams[Stage],"Groups",ResultsTeams[Team B],AJ266))</f>
        <v/>
      </c>
      <c r="BB266" s="356" t="str">
        <f t="shared" si="224"/>
        <v/>
      </c>
      <c r="BC266" s="356" t="str">
        <f>IF(OR(AI265="",AJ266=""),"",SUMIFS(ResultsTeams[Goal-A],ResultsTeams[Stage],"Groups",ResultsTeams[Team A],AJ266)+SUMIFS(ResultsTeams[Goal-B],ResultsTeams[Stage],"Groups",ResultsTeams[Team B],AJ266))</f>
        <v/>
      </c>
      <c r="BD266" s="356" t="str">
        <f>IF(OR(AI265="",AJ266=""),"",SUMIFS(ResultsTeams[Goal-B],ResultsTeams[Stage],"Groups",ResultsTeams[Team A],AJ266)+SUMIFS(ResultsTeams[Goal-A],ResultsTeams[Stage],"Groups",ResultsTeams[Team B],AJ266))</f>
        <v/>
      </c>
      <c r="BE266" s="357" t="str">
        <f>IF(OR(AI260="",AJ266=""),"",BC266-BD266)</f>
        <v/>
      </c>
      <c r="BF266" s="470" t="str">
        <f>IF(AM266="","",OR(VLOOKUP(AM266,AN261:BE267,3,FALSE),VLOOKUP(AM266,AN261:BE267,6,FALSE)))</f>
        <v/>
      </c>
      <c r="BG266" s="298" t="str">
        <f t="shared" si="223"/>
        <v/>
      </c>
      <c r="BH266" s="285" t="str">
        <f>IF(AM266="","",INDEX(AJ261:AJ267,MATCH(AM266,AN261:AN267,0)))</f>
        <v/>
      </c>
      <c r="BI266" s="286" t="str">
        <f>IF(AM266="","",VLOOKUP(AM266,AN261:BE267,COLUMN()-COLUMN(BB260),FALSE))</f>
        <v/>
      </c>
      <c r="BJ266" s="286" t="str">
        <f>IF(AM266="","",VLOOKUP(AM266,AN261:BE267,COLUMN()-COLUMN(BB260),FALSE))</f>
        <v/>
      </c>
      <c r="BK266" s="286" t="str">
        <f>IF(AM266="","",VLOOKUP(AM266,AN261:BE267,COLUMN()-COLUMN(BB260),FALSE))</f>
        <v/>
      </c>
      <c r="BL266" s="286" t="str">
        <f>IF(AM266="","",VLOOKUP(AM266,AN261:BE267,COLUMN()-COLUMN(BB260),FALSE))</f>
        <v/>
      </c>
      <c r="BM266" s="286" t="str">
        <f>IF(AM266="","",VLOOKUP(AM266,AN261:BE267,COLUMN()-COLUMN(BB260),FALSE))</f>
        <v/>
      </c>
      <c r="BN266" s="349" t="str">
        <f>IF(AM266="","",VLOOKUP(AM266,AN261:BE267,COLUMN()-COLUMN(BB260),FALSE))</f>
        <v/>
      </c>
      <c r="BO266" s="298" t="str">
        <f>IF(AM266="","",VLOOKUP(AM266,AN261:BE267,COLUMN()-COLUMN(BB260),FALSE))</f>
        <v/>
      </c>
      <c r="BP266" s="286" t="str">
        <f>IF(AM266="","",VLOOKUP(AM266,AN261:BE267,COLUMN()-COLUMN(BB260),FALSE))</f>
        <v/>
      </c>
      <c r="BQ266" s="301" t="str">
        <f>IF(AM266="","",VLOOKUP(AM266,AN261:BE267,COLUMN()-COLUMN(BB260),FALSE))</f>
        <v/>
      </c>
      <c r="BR266" s="352" t="str">
        <f>IF(AM266="","",VLOOKUP(AM266,AN261:BE267,COLUMN()-COLUMN(BB260),FALSE))</f>
        <v/>
      </c>
      <c r="BS266" s="286" t="str">
        <f>IF(AM266="","",VLOOKUP(AM266,AN261:BE267,COLUMN()-COLUMN(BB260),FALSE))</f>
        <v/>
      </c>
      <c r="BT266" s="301" t="str">
        <f>IF(AM266="","",VLOOKUP(AM266,AN261:BE267,COLUMN()-COLUMN(BB260),FALSE))</f>
        <v/>
      </c>
    </row>
    <row r="267" spans="1:72" ht="12" thickBot="1" x14ac:dyDescent="0.25">
      <c r="A267" s="62"/>
      <c r="B267" s="280"/>
      <c r="C267" s="62"/>
      <c r="D267" s="62"/>
      <c r="E267" s="241" t="s">
        <v>12237</v>
      </c>
      <c r="F267" s="246" t="s">
        <v>8100</v>
      </c>
      <c r="G267" s="246" t="s">
        <v>8874</v>
      </c>
      <c r="H267" s="254">
        <v>0</v>
      </c>
      <c r="I267" s="254">
        <v>1</v>
      </c>
      <c r="J267" s="254"/>
      <c r="K267" s="363"/>
      <c r="L267" s="363"/>
      <c r="M267" s="247"/>
      <c r="N267" s="265" t="b">
        <f>NOT(ISERROR(ResultsTeams[[#This Row],[Goal-A]]+ResultsTeams[[#This Row],[Goal-B]]))</f>
        <v>1</v>
      </c>
      <c r="O267" s="265">
        <f>IF(ResultsTeams[[#This Row],[Type]]="G",SUM(O268:O271),IF(LEFT(ResultsTeams[[#This Row],[Type]],1)="P",IF(ResultsTeams[[#This Row],[Goal-A]]&gt;ResultsTeams[[#This Row],[Goal-B]],1,0),""))</f>
        <v>0</v>
      </c>
      <c r="P267" s="265">
        <f>IF(ResultsTeams[[#This Row],[Type]]="G",SUM(P268:P271),IF(LEFT(ResultsTeams[[#This Row],[Type]],1)="P",IF(ResultsTeams[[#This Row],[Goal-A]]&lt;ResultsTeams[[#This Row],[Goal-B]],1,0),""))</f>
        <v>1</v>
      </c>
      <c r="Q267" s="265">
        <f>IF(ResultsTeams[[#This Row],[Type]]="G",SUM(Q268:Q271),IF(LEFT(ResultsTeams[[#This Row],[Type]],1)="P",VALUE(ResultsTeams[[#This Row],[Score-A]]),""))</f>
        <v>0</v>
      </c>
      <c r="R267" s="265">
        <f>IF(ResultsTeams[[#This Row],[Type]]="G",SUM(R268:R271),IF(LEFT(ResultsTeams[[#This Row],[Type]],1)="P",VALUE(ResultsTeams[[#This Row],[Score-B]]),""))</f>
        <v>1</v>
      </c>
      <c r="S267" s="265" t="str">
        <f ca="1">IF(AND(ResultsTeams[[#This Row],[Category]]&lt;&gt;"",ResultsTeams[[#This Row],[Team A]]&lt;&gt;""),COUNTIF(INDIRECT("TeamsList[Club Name]"),ResultsTeams[[#This Row],[Team A]]),"")</f>
        <v/>
      </c>
      <c r="T267" s="265" t="str">
        <f ca="1">IF(AND(ResultsTeams[[#This Row],[Category]]&lt;&gt;"",ResultsTeams[[#This Row],[Team B]]&lt;&gt;""),COUNTIF(INDIRECT("TeamsList[Club Name]"),ResultsTeams[[#This Row],[Team B]]),"")</f>
        <v/>
      </c>
      <c r="U2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-Alberto Di Maggio</v>
      </c>
      <c r="V267" s="265" t="str">
        <f>IF(ResultsTeams[[#This Row],[Score_OK]],IF(ResultsTeams[[#This Row],[StageCpy]]="Groups",ResultsTeams[[#This Row],[Category]]&amp;"-"&amp;IF(ResultsTeams[[#This Row],[Team B]]="","",IF(ResultsTeams[[#This Row],[Match-A]]=ResultsTeams[[#This Row],[Match-B]],ResultsTeams[[#This Row],[Team A]],"")),""),"")</f>
        <v>-</v>
      </c>
      <c r="W267" s="265" t="str">
        <f>IF(ResultsTeams[[#This Row],[Score_OK]],IF(ResultsTeams[[#This Row],[StageCpy]]="Groups",ResultsTeams[[#This Row],[Category]]&amp;"-"&amp;IF(ResultsTeams[[#This Row],[Team B]]="","",IF(ResultsTeams[[#This Row],[Match-A]]=ResultsTeams[[#This Row],[Match-B]],ResultsTeams[[#This Row],[Team B]],"")),""),"")</f>
        <v>-</v>
      </c>
      <c r="X2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-Ralf Gregoire</v>
      </c>
      <c r="Y2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7" s="264" t="str">
        <f>IF(ResultsTeams[[#This Row],[Category]]="","",VLOOKUP(ResultsTeams[[#This Row],[Stage]],$R$1:$T$8,MATCH(ResultsTeams[[#This Row],[Category]],$S$1:$T$1,0)+1,FALSE))</f>
        <v/>
      </c>
      <c r="AC2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7" s="264" t="str">
        <f>IF(ResultsTeams[[#This Row],[Type]]="G",ResultsTeams[[#This Row],[Stage]],AD266)</f>
        <v>Groups</v>
      </c>
      <c r="AE267" s="395" t="str">
        <f>IF(ResultsTeams[[#This Row],[Type]]="G",INDEX(TeamsList[Club Name],MATCH(ResultsTeams[[#This Row],[Team A]],TeamsList[Team Name],0)),AE266)</f>
        <v>US Huy</v>
      </c>
      <c r="AF267" s="395" t="str">
        <f>IF(ResultsTeams[[#This Row],[Type]]="G",INDEX(TeamsList[Club Name],MATCH(ResultsTeams[[#This Row],[Team B]],TeamsList[Team Name],0)),AF266)</f>
        <v>Bologna Tigers Subbuteo</v>
      </c>
      <c r="AG267" s="265"/>
      <c r="AI267" s="12">
        <f t="shared" si="225"/>
        <v>0</v>
      </c>
      <c r="AJ267" s="312"/>
      <c r="AK267" s="313"/>
      <c r="AL267" s="314"/>
      <c r="AM267" s="294" t="str">
        <f>IF(AV267="","",SMALL(AN261:AN267,ROWS(AM261:AM267)))</f>
        <v/>
      </c>
      <c r="AN267" s="295" t="str">
        <f>IF(AV267="","",RANK(AR267,AR261:AR267)*1000+ROWS(AN261:AN267))</f>
        <v/>
      </c>
      <c r="AO267" s="318" t="str">
        <f t="shared" si="218"/>
        <v/>
      </c>
      <c r="AP267" s="416" t="b">
        <f>AND(AU267&lt;&gt;"",AU267&gt;0,COUNTIF(AO261:AO267,AO267)&gt;1)</f>
        <v>0</v>
      </c>
      <c r="AQ267" s="318" t="str">
        <f t="shared" si="219"/>
        <v/>
      </c>
      <c r="AR267" s="319" t="str">
        <f t="shared" si="220"/>
        <v/>
      </c>
      <c r="AS267" s="416" t="b">
        <f>AND(AU267&lt;&gt;"",AU267&gt;0,COUNTIF(AR261:AR267,AR267)&gt;1)</f>
        <v>0</v>
      </c>
      <c r="AT267" s="358" t="str">
        <f t="shared" si="221"/>
        <v/>
      </c>
      <c r="AU267" s="359" t="str">
        <f t="shared" si="222"/>
        <v/>
      </c>
      <c r="AV267" s="359" t="str">
        <f>IF(OR(AI260="",AJ267=""),"",COUNTIF(ResultsTeams[Win],AI260&amp;"-"&amp;AJ267))</f>
        <v/>
      </c>
      <c r="AW267" s="359" t="str">
        <f>IF(OR(AI260="",AJ267=""),"",COUNTIF(ResultsTeams[[Draw1]:[Draw2]],AI260&amp;"-"&amp;AJ267))</f>
        <v/>
      </c>
      <c r="AX267" s="359" t="str">
        <f>IF(OR(AI260="",AJ267=""),"",COUNTIF(ResultsTeams[Lose],AI260&amp;"-"&amp;AJ267))</f>
        <v/>
      </c>
      <c r="AY267" s="359" t="str">
        <f>IF(OR(AI260="",AJ267=""),"",AV267-AX267)</f>
        <v/>
      </c>
      <c r="AZ267" s="359" t="str">
        <f>IF(OR(AI266="",AJ267=""),"",SUMIFS(ResultsTeams[Match-A],ResultsTeams[Stage],"Groups",ResultsTeams[Team A],AJ267)+SUMIFS(ResultsTeams[Match-B],ResultsTeams[Stage],"Groups",ResultsTeams[Team B],AJ267))</f>
        <v/>
      </c>
      <c r="BA267" s="359" t="str">
        <f>IF(OR(AI266="",AJ267=""),"",SUMIFS(ResultsTeams[Match-B],ResultsTeams[Stage],"Groups",ResultsTeams[Team A],AJ267)+SUMIFS(ResultsTeams[Match-A],ResultsTeams[Stage],"Groups",ResultsTeams[Team B],AJ267))</f>
        <v/>
      </c>
      <c r="BB267" s="359" t="str">
        <f t="shared" si="224"/>
        <v/>
      </c>
      <c r="BC267" s="359" t="str">
        <f>IF(OR(AI266="",AJ267=""),"",SUMIFS(ResultsTeams[Goal-A],ResultsTeams[Stage],"Groups",ResultsTeams[Team A],AJ267)+SUMIFS(ResultsTeams[Goal-B],ResultsTeams[Stage],"Groups",ResultsTeams[Team B],AJ267))</f>
        <v/>
      </c>
      <c r="BD267" s="359" t="str">
        <f>IF(OR(AI266="",AJ267=""),"",SUMIFS(ResultsTeams[Goal-B],ResultsTeams[Stage],"Groups",ResultsTeams[Team A],AJ267)+SUMIFS(ResultsTeams[Goal-A],ResultsTeams[Stage],"Groups",ResultsTeams[Team B],AJ267))</f>
        <v/>
      </c>
      <c r="BE267" s="360" t="str">
        <f>IF(OR(AI260="",AJ267=""),"",BC267-BD267)</f>
        <v/>
      </c>
      <c r="BF267" s="470" t="str">
        <f>IF(AM267="","",OR(VLOOKUP(AM267,AN261:BE267,3,FALSE),VLOOKUP(AM267,AN261:BE267,6,FALSE)))</f>
        <v/>
      </c>
      <c r="BG267" s="299" t="str">
        <f t="shared" si="223"/>
        <v/>
      </c>
      <c r="BH267" s="287" t="str">
        <f>IF(AM267="","",INDEX(AJ261:AJ267,MATCH(AM267,AN261:AN267,0)))</f>
        <v/>
      </c>
      <c r="BI267" s="288" t="str">
        <f>IF(AM267="","",VLOOKUP(AM267,AN261:BE267,COLUMN()-COLUMN(BB260),FALSE))</f>
        <v/>
      </c>
      <c r="BJ267" s="288" t="str">
        <f>IF(AM267="","",VLOOKUP(AM267,AN261:BE267,COLUMN()-COLUMN(BB260),FALSE))</f>
        <v/>
      </c>
      <c r="BK267" s="288" t="str">
        <f>IF(AM267="","",VLOOKUP(AM267,AN261:BE267,COLUMN()-COLUMN(BB260),FALSE))</f>
        <v/>
      </c>
      <c r="BL267" s="288" t="str">
        <f>IF(AM267="","",VLOOKUP(AM267,AN261:BE267,COLUMN()-COLUMN(BB260),FALSE))</f>
        <v/>
      </c>
      <c r="BM267" s="288" t="str">
        <f>IF(AM267="","",VLOOKUP(AM267,AN261:BE267,COLUMN()-COLUMN(BB260),FALSE))</f>
        <v/>
      </c>
      <c r="BN267" s="350" t="str">
        <f>IF(AM267="","",VLOOKUP(AM267,AN261:BE267,COLUMN()-COLUMN(BB260),FALSE))</f>
        <v/>
      </c>
      <c r="BO267" s="299" t="str">
        <f>IF(AM267="","",VLOOKUP(AM267,AN261:BE267,COLUMN()-COLUMN(BB260),FALSE))</f>
        <v/>
      </c>
      <c r="BP267" s="288" t="str">
        <f>IF(AM267="","",VLOOKUP(AM267,AN261:BE267,COLUMN()-COLUMN(BB260),FALSE))</f>
        <v/>
      </c>
      <c r="BQ267" s="302" t="str">
        <f>IF(AM267="","",VLOOKUP(AM267,AN261:BE267,COLUMN()-COLUMN(BB260),FALSE))</f>
        <v/>
      </c>
      <c r="BR267" s="353" t="str">
        <f>IF(AM267="","",VLOOKUP(AM267,AN261:BE267,COLUMN()-COLUMN(BB260),FALSE))</f>
        <v/>
      </c>
      <c r="BS267" s="288" t="str">
        <f>IF(AM267="","",VLOOKUP(AM267,AN261:BE267,COLUMN()-COLUMN(BB260),FALSE))</f>
        <v/>
      </c>
      <c r="BT267" s="302" t="str">
        <f>IF(AM267="","",VLOOKUP(AM267,AN261:BE267,COLUMN()-COLUMN(BB260),FALSE))</f>
        <v/>
      </c>
    </row>
    <row r="268" spans="1:72" ht="12" thickBot="1" x14ac:dyDescent="0.25">
      <c r="A268" s="62"/>
      <c r="B268" s="280"/>
      <c r="C268" s="62"/>
      <c r="D268" s="62"/>
      <c r="E268" s="241" t="s">
        <v>12240</v>
      </c>
      <c r="F268" s="246" t="s">
        <v>8152</v>
      </c>
      <c r="G268" s="246" t="s">
        <v>10090</v>
      </c>
      <c r="H268" s="254">
        <v>0</v>
      </c>
      <c r="I268" s="254">
        <v>6</v>
      </c>
      <c r="J268" s="254"/>
      <c r="K268" s="363"/>
      <c r="L268" s="363"/>
      <c r="M268" s="247"/>
      <c r="N268" s="265" t="b">
        <f>NOT(ISERROR(ResultsTeams[[#This Row],[Goal-A]]+ResultsTeams[[#This Row],[Goal-B]]))</f>
        <v>1</v>
      </c>
      <c r="O268" s="265">
        <f>IF(ResultsTeams[[#This Row],[Type]]="G",SUM(O269:O272),IF(LEFT(ResultsTeams[[#This Row],[Type]],1)="P",IF(ResultsTeams[[#This Row],[Goal-A]]&gt;ResultsTeams[[#This Row],[Goal-B]],1,0),""))</f>
        <v>0</v>
      </c>
      <c r="P268" s="265">
        <f>IF(ResultsTeams[[#This Row],[Type]]="G",SUM(P269:P272),IF(LEFT(ResultsTeams[[#This Row],[Type]],1)="P",IF(ResultsTeams[[#This Row],[Goal-A]]&lt;ResultsTeams[[#This Row],[Goal-B]],1,0),""))</f>
        <v>1</v>
      </c>
      <c r="Q268" s="265">
        <f>IF(ResultsTeams[[#This Row],[Type]]="G",SUM(Q269:Q272),IF(LEFT(ResultsTeams[[#This Row],[Type]],1)="P",VALUE(ResultsTeams[[#This Row],[Score-A]]),""))</f>
        <v>0</v>
      </c>
      <c r="R268" s="265">
        <f>IF(ResultsTeams[[#This Row],[Type]]="G",SUM(R269:R272),IF(LEFT(ResultsTeams[[#This Row],[Type]],1)="P",VALUE(ResultsTeams[[#This Row],[Score-B]]),""))</f>
        <v>6</v>
      </c>
      <c r="S268" s="265" t="str">
        <f ca="1">IF(AND(ResultsTeams[[#This Row],[Category]]&lt;&gt;"",ResultsTeams[[#This Row],[Team A]]&lt;&gt;""),COUNTIF(INDIRECT("TeamsList[Club Name]"),ResultsTeams[[#This Row],[Team A]]),"")</f>
        <v/>
      </c>
      <c r="T268" s="265" t="str">
        <f ca="1">IF(AND(ResultsTeams[[#This Row],[Category]]&lt;&gt;"",ResultsTeams[[#This Row],[Team B]]&lt;&gt;""),COUNTIF(INDIRECT("TeamsList[Club Name]"),ResultsTeams[[#This Row],[Team B]]),"")</f>
        <v/>
      </c>
      <c r="U2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-Andrea Di Vincenzo</v>
      </c>
      <c r="V268" s="265" t="str">
        <f>IF(ResultsTeams[[#This Row],[Score_OK]],IF(ResultsTeams[[#This Row],[StageCpy]]="Groups",ResultsTeams[[#This Row],[Category]]&amp;"-"&amp;IF(ResultsTeams[[#This Row],[Team B]]="","",IF(ResultsTeams[[#This Row],[Match-A]]=ResultsTeams[[#This Row],[Match-B]],ResultsTeams[[#This Row],[Team A]],"")),""),"")</f>
        <v>-</v>
      </c>
      <c r="W268" s="265" t="str">
        <f>IF(ResultsTeams[[#This Row],[Score_OK]],IF(ResultsTeams[[#This Row],[StageCpy]]="Groups",ResultsTeams[[#This Row],[Category]]&amp;"-"&amp;IF(ResultsTeams[[#This Row],[Team B]]="","",IF(ResultsTeams[[#This Row],[Match-A]]=ResultsTeams[[#This Row],[Match-B]],ResultsTeams[[#This Row],[Team B]],"")),""),"")</f>
        <v>-</v>
      </c>
      <c r="X2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-Sébastien Darmont</v>
      </c>
      <c r="Y2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8" s="264" t="str">
        <f>IF(ResultsTeams[[#This Row],[Category]]="","",VLOOKUP(ResultsTeams[[#This Row],[Stage]],$R$1:$T$8,MATCH(ResultsTeams[[#This Row],[Category]],$S$1:$T$1,0)+1,FALSE))</f>
        <v/>
      </c>
      <c r="AC2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8" s="264" t="str">
        <f>IF(ResultsTeams[[#This Row],[Type]]="G",ResultsTeams[[#This Row],[Stage]],AD267)</f>
        <v>Groups</v>
      </c>
      <c r="AE268" s="395" t="str">
        <f>IF(ResultsTeams[[#This Row],[Type]]="G",INDEX(TeamsList[Club Name],MATCH(ResultsTeams[[#This Row],[Team A]],TeamsList[Team Name],0)),AE267)</f>
        <v>US Huy</v>
      </c>
      <c r="AF268" s="395" t="str">
        <f>IF(ResultsTeams[[#This Row],[Type]]="G",INDEX(TeamsList[Club Name],MATCH(ResultsTeams[[#This Row],[Team B]],TeamsList[Team Name],0)),AF267)</f>
        <v>Bologna Tigers Subbuteo</v>
      </c>
      <c r="AG268" s="265"/>
    </row>
    <row r="269" spans="1:72" ht="12" thickBot="1" x14ac:dyDescent="0.25">
      <c r="A269" s="62"/>
      <c r="B269" s="62"/>
      <c r="C269" s="62"/>
      <c r="D269" s="62"/>
      <c r="E269" s="241" t="s">
        <v>12243</v>
      </c>
      <c r="F269" s="247"/>
      <c r="G269" s="247"/>
      <c r="H269" s="254"/>
      <c r="I269" s="254"/>
      <c r="J269" s="260"/>
      <c r="K269" s="364"/>
      <c r="L269" s="364"/>
      <c r="M269" s="63"/>
      <c r="N269" s="265" t="b">
        <f>NOT(ISERROR(ResultsTeams[[#This Row],[Goal-A]]+ResultsTeams[[#This Row],[Goal-B]]))</f>
        <v>0</v>
      </c>
      <c r="O269" s="265" t="str">
        <f>IF(ResultsTeams[[#This Row],[Type]]="G",SUM(O270:O273),IF(LEFT(ResultsTeams[[#This Row],[Type]],1)="P",IF(ResultsTeams[[#This Row],[Goal-A]]&gt;ResultsTeams[[#This Row],[Goal-B]],1,0),""))</f>
        <v/>
      </c>
      <c r="P269" s="265" t="str">
        <f>IF(ResultsTeams[[#This Row],[Type]]="G",SUM(P270:P273),IF(LEFT(ResultsTeams[[#This Row],[Type]],1)="P",IF(ResultsTeams[[#This Row],[Goal-A]]&lt;ResultsTeams[[#This Row],[Goal-B]],1,0),""))</f>
        <v/>
      </c>
      <c r="Q269" s="265" t="str">
        <f>IF(ResultsTeams[[#This Row],[Type]]="G",SUM(Q270:Q273),IF(LEFT(ResultsTeams[[#This Row],[Type]],1)="P",VALUE(ResultsTeams[[#This Row],[Score-A]]),""))</f>
        <v/>
      </c>
      <c r="R269" s="265" t="str">
        <f>IF(ResultsTeams[[#This Row],[Type]]="G",SUM(R270:R273),IF(LEFT(ResultsTeams[[#This Row],[Type]],1)="P",VALUE(ResultsTeams[[#This Row],[Score-B]]),""))</f>
        <v/>
      </c>
      <c r="S269" s="265" t="str">
        <f ca="1">IF(AND(ResultsTeams[[#This Row],[Category]]&lt;&gt;"",ResultsTeams[[#This Row],[Team A]]&lt;&gt;""),COUNTIF(INDIRECT("TeamsList[Club Name]"),ResultsTeams[[#This Row],[Team A]]),"")</f>
        <v/>
      </c>
      <c r="T269" s="265" t="str">
        <f ca="1">IF(AND(ResultsTeams[[#This Row],[Category]]&lt;&gt;"",ResultsTeams[[#This Row],[Team B]]&lt;&gt;""),COUNTIF(INDIRECT("TeamsList[Club Name]"),ResultsTeams[[#This Row],[Team B]]),"")</f>
        <v/>
      </c>
      <c r="U2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9" s="265" t="str">
        <f>IF(ResultsTeams[[#This Row],[Score_OK]],IF(ResultsTeams[[#This Row],[StageCpy]]="Groups",ResultsTeams[[#This Row],[Category]]&amp;"-"&amp;IF(ResultsTeams[[#This Row],[Team B]]="","",IF(ResultsTeams[[#This Row],[Match-A]]=ResultsTeams[[#This Row],[Match-B]],ResultsTeams[[#This Row],[Team A]],"")),""),"")</f>
        <v/>
      </c>
      <c r="W269" s="265" t="str">
        <f>IF(ResultsTeams[[#This Row],[Score_OK]],IF(ResultsTeams[[#This Row],[StageCpy]]="Groups",ResultsTeams[[#This Row],[Category]]&amp;"-"&amp;IF(ResultsTeams[[#This Row],[Team B]]="","",IF(ResultsTeams[[#This Row],[Match-A]]=ResultsTeams[[#This Row],[Match-B]],ResultsTeams[[#This Row],[Team B]],"")),""),"")</f>
        <v/>
      </c>
      <c r="X2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9" s="264" t="str">
        <f>IF(ResultsTeams[[#This Row],[Category]]="","",VLOOKUP(ResultsTeams[[#This Row],[Stage]],$R$1:$T$8,MATCH(ResultsTeams[[#This Row],[Category]],$S$1:$T$1,0)+1,FALSE))</f>
        <v/>
      </c>
      <c r="AC2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9" s="264" t="str">
        <f>IF(ResultsTeams[[#This Row],[Type]]="G",ResultsTeams[[#This Row],[Stage]],AD268)</f>
        <v>Groups</v>
      </c>
      <c r="AE269" s="395" t="str">
        <f>IF(ResultsTeams[[#This Row],[Type]]="G",INDEX(TeamsList[Club Name],MATCH(ResultsTeams[[#This Row],[Team A]],TeamsList[Team Name],0)),AE268)</f>
        <v>US Huy</v>
      </c>
      <c r="AF269" s="395" t="str">
        <f>IF(ResultsTeams[[#This Row],[Type]]="G",INDEX(TeamsList[Club Name],MATCH(ResultsTeams[[#This Row],[Team B]],TeamsList[Team Name],0)),AF268)</f>
        <v>Bologna Tigers Subbuteo</v>
      </c>
      <c r="AG269" s="265"/>
      <c r="AH269" s="281" t="str">
        <f>IF(AI269="","",QUOTIENT(COUNTIF(AI$26:AI269,AI269)-1,8)+1)</f>
        <v/>
      </c>
      <c r="AI269" s="315"/>
      <c r="AJ269" s="289" t="s">
        <v>14438</v>
      </c>
      <c r="AK269" s="290" t="s">
        <v>12279</v>
      </c>
      <c r="AL269" s="300" t="s">
        <v>12275</v>
      </c>
      <c r="AM269" s="296" t="s">
        <v>12276</v>
      </c>
      <c r="AN269" s="291" t="s">
        <v>12271</v>
      </c>
      <c r="AO269" s="291" t="s">
        <v>12272</v>
      </c>
      <c r="AP269" s="414" t="s">
        <v>13154</v>
      </c>
      <c r="AQ269" s="291" t="s">
        <v>12273</v>
      </c>
      <c r="AR269" s="297" t="s">
        <v>12274</v>
      </c>
      <c r="AS269" s="414" t="s">
        <v>13154</v>
      </c>
      <c r="AT269" s="296" t="s">
        <v>12199</v>
      </c>
      <c r="AU269" s="291" t="s">
        <v>12200</v>
      </c>
      <c r="AV269" s="291" t="s">
        <v>12201</v>
      </c>
      <c r="AW269" s="291" t="s">
        <v>12202</v>
      </c>
      <c r="AX269" s="291" t="s">
        <v>12203</v>
      </c>
      <c r="AY269" s="291" t="s">
        <v>12697</v>
      </c>
      <c r="AZ269" s="291" t="s">
        <v>12698</v>
      </c>
      <c r="BA269" s="291" t="s">
        <v>12699</v>
      </c>
      <c r="BB269" s="291" t="s">
        <v>12700</v>
      </c>
      <c r="BC269" s="291" t="s">
        <v>12204</v>
      </c>
      <c r="BD269" s="291" t="s">
        <v>12205</v>
      </c>
      <c r="BE269" s="297" t="s">
        <v>12206</v>
      </c>
      <c r="BF269" s="395"/>
      <c r="BG269" s="282" t="s">
        <v>12276</v>
      </c>
      <c r="BH269" s="282" t="s">
        <v>12133</v>
      </c>
      <c r="BI269" s="283" t="s">
        <v>12199</v>
      </c>
      <c r="BJ269" s="283" t="s">
        <v>12200</v>
      </c>
      <c r="BK269" s="283" t="s">
        <v>12201</v>
      </c>
      <c r="BL269" s="283" t="s">
        <v>12202</v>
      </c>
      <c r="BM269" s="283" t="s">
        <v>12203</v>
      </c>
      <c r="BN269" s="290" t="s">
        <v>12697</v>
      </c>
      <c r="BO269" s="354" t="s">
        <v>12698</v>
      </c>
      <c r="BP269" s="283" t="s">
        <v>12699</v>
      </c>
      <c r="BQ269" s="300" t="s">
        <v>12700</v>
      </c>
      <c r="BR269" s="351" t="s">
        <v>12204</v>
      </c>
      <c r="BS269" s="283" t="s">
        <v>12205</v>
      </c>
      <c r="BT269" s="300" t="s">
        <v>12206</v>
      </c>
    </row>
    <row r="270" spans="1:72" ht="12" thickBot="1" x14ac:dyDescent="0.25">
      <c r="A270" s="83"/>
      <c r="B270" s="83"/>
      <c r="C270" s="83"/>
      <c r="D270" s="83"/>
      <c r="E270" s="268" t="s">
        <v>12244</v>
      </c>
      <c r="F270" s="262"/>
      <c r="G270" s="262"/>
      <c r="H270" s="324"/>
      <c r="I270" s="324"/>
      <c r="J270" s="263"/>
      <c r="K270" s="365"/>
      <c r="L270" s="365"/>
      <c r="M270" s="84"/>
      <c r="N270" s="265" t="b">
        <f>NOT(ISERROR(ResultsTeams[[#This Row],[Goal-A]]+ResultsTeams[[#This Row],[Goal-B]]))</f>
        <v>0</v>
      </c>
      <c r="O270" s="265" t="str">
        <f>IF(ResultsTeams[[#This Row],[Type]]="G",SUM(O271:O274),IF(LEFT(ResultsTeams[[#This Row],[Type]],1)="P",IF(ResultsTeams[[#This Row],[Goal-A]]&gt;ResultsTeams[[#This Row],[Goal-B]],1,0),""))</f>
        <v/>
      </c>
      <c r="P270" s="265" t="str">
        <f>IF(ResultsTeams[[#This Row],[Type]]="G",SUM(P271:P274),IF(LEFT(ResultsTeams[[#This Row],[Type]],1)="P",IF(ResultsTeams[[#This Row],[Goal-A]]&lt;ResultsTeams[[#This Row],[Goal-B]],1,0),""))</f>
        <v/>
      </c>
      <c r="Q270" s="265" t="str">
        <f>IF(ResultsTeams[[#This Row],[Type]]="G",SUM(Q271:Q274),IF(LEFT(ResultsTeams[[#This Row],[Type]],1)="P",VALUE(ResultsTeams[[#This Row],[Score-A]]),""))</f>
        <v/>
      </c>
      <c r="R270" s="265" t="str">
        <f>IF(ResultsTeams[[#This Row],[Type]]="G",SUM(R271:R274),IF(LEFT(ResultsTeams[[#This Row],[Type]],1)="P",VALUE(ResultsTeams[[#This Row],[Score-B]]),""))</f>
        <v/>
      </c>
      <c r="S270" s="265" t="str">
        <f ca="1">IF(AND(ResultsTeams[[#This Row],[Category]]&lt;&gt;"",ResultsTeams[[#This Row],[Team A]]&lt;&gt;""),COUNTIF(INDIRECT("TeamsList[Club Name]"),ResultsTeams[[#This Row],[Team A]]),"")</f>
        <v/>
      </c>
      <c r="T270" s="265" t="str">
        <f ca="1">IF(AND(ResultsTeams[[#This Row],[Category]]&lt;&gt;"",ResultsTeams[[#This Row],[Team B]]&lt;&gt;""),COUNTIF(INDIRECT("TeamsList[Club Name]"),ResultsTeams[[#This Row],[Team B]]),"")</f>
        <v/>
      </c>
      <c r="U2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0" s="265" t="str">
        <f>IF(ResultsTeams[[#This Row],[Score_OK]],IF(ResultsTeams[[#This Row],[StageCpy]]="Groups",ResultsTeams[[#This Row],[Category]]&amp;"-"&amp;IF(ResultsTeams[[#This Row],[Team B]]="","",IF(ResultsTeams[[#This Row],[Match-A]]=ResultsTeams[[#This Row],[Match-B]],ResultsTeams[[#This Row],[Team A]],"")),""),"")</f>
        <v/>
      </c>
      <c r="W270" s="265" t="str">
        <f>IF(ResultsTeams[[#This Row],[Score_OK]],IF(ResultsTeams[[#This Row],[StageCpy]]="Groups",ResultsTeams[[#This Row],[Category]]&amp;"-"&amp;IF(ResultsTeams[[#This Row],[Team B]]="","",IF(ResultsTeams[[#This Row],[Match-A]]=ResultsTeams[[#This Row],[Match-B]],ResultsTeams[[#This Row],[Team B]],"")),""),"")</f>
        <v/>
      </c>
      <c r="X2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0" s="264" t="str">
        <f>IF(ResultsTeams[[#This Row],[Category]]="","",VLOOKUP(ResultsTeams[[#This Row],[Stage]],$R$1:$T$8,MATCH(ResultsTeams[[#This Row],[Category]],$S$1:$T$1,0)+1,FALSE))</f>
        <v/>
      </c>
      <c r="AC2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0" s="264" t="str">
        <f>IF(ResultsTeams[[#This Row],[Type]]="G",ResultsTeams[[#This Row],[Stage]],AD269)</f>
        <v>Groups</v>
      </c>
      <c r="AE270" s="395" t="str">
        <f>IF(ResultsTeams[[#This Row],[Type]]="G",INDEX(TeamsList[Club Name],MATCH(ResultsTeams[[#This Row],[Team A]],TeamsList[Team Name],0)),AE269)</f>
        <v>US Huy</v>
      </c>
      <c r="AF270" s="395" t="str">
        <f>IF(ResultsTeams[[#This Row],[Type]]="G",INDEX(TeamsList[Club Name],MATCH(ResultsTeams[[#This Row],[Team B]],TeamsList[Team Name],0)),AF269)</f>
        <v>Bologna Tigers Subbuteo</v>
      </c>
      <c r="AG270" s="265"/>
      <c r="AI270" s="12">
        <f>AI269</f>
        <v>0</v>
      </c>
      <c r="AJ270" s="309"/>
      <c r="AK270" s="320"/>
      <c r="AL270" s="311"/>
      <c r="AM270" s="292" t="str">
        <f>IF(AV270="","",SMALL(AN270:AN276,ROWS(AM270:AM270)))</f>
        <v/>
      </c>
      <c r="AN270" s="293" t="str">
        <f>IF(AV270="","",RANK(AR270,AR270:AR276)*1000+ROWS(AN270:AN270))</f>
        <v/>
      </c>
      <c r="AO270" s="316" t="str">
        <f t="shared" ref="AO270:AO276" si="226">IF(AV270="","",AT270*CritClassEq1_Points+AY270*CritClassEq1_DiffRencontres+BB270*CritClassEq1_DiffMatches+BE270*CritClassEq1_DiffButs+AZ270*CritClassEq1_Matches+BC270*CritClassEq1_Attaque)</f>
        <v/>
      </c>
      <c r="AP270" s="415" t="b">
        <f>AND(AU270&lt;&gt;"",AU270&gt;0,COUNTIF(AO270:AO276,AO270)&gt;1)</f>
        <v>0</v>
      </c>
      <c r="AQ270" s="316" t="str">
        <f t="shared" ref="AQ270:AQ276" si="227">IF(AV270="","",CritClassEq_DiffPart*AK270)</f>
        <v/>
      </c>
      <c r="AR270" s="317" t="str">
        <f t="shared" ref="AR270:AR276" si="228">IF(AV270="","",AO270+AQ270+AT270*CritClassEq2_Points+AY270*CritClassEq2_DiffRencontres+BB270*CritClassEq2_DiffMatches+BE270*CritClassEq2_DiffButs+AZ270*CritClassEq2_Matches+BC270*CritClassEq2_Attaque+AL270)</f>
        <v/>
      </c>
      <c r="AS270" s="415" t="b">
        <f>AND(AU270&lt;&gt;"",AU270&gt;0,COUNTIF(AR270:AR276,AR270)&gt;1)</f>
        <v>0</v>
      </c>
      <c r="AT270" s="355" t="str">
        <f t="shared" ref="AT270:AT276" si="229">IF(AV270="","",(AV270*Points_Victoire)+AW270*Points_Null)</f>
        <v/>
      </c>
      <c r="AU270" s="356" t="str">
        <f t="shared" ref="AU270:AU276" si="230">IF(AV270="","",SUM(AV270:AX270))</f>
        <v/>
      </c>
      <c r="AV270" s="356" t="str">
        <f>IF(OR(AI269="",AJ270=""),"",COUNTIF(ResultsTeams[Win],AI269&amp;"-"&amp;AJ270))</f>
        <v/>
      </c>
      <c r="AW270" s="356" t="str">
        <f>IF(OR(AI269="",AJ270=""),"",COUNTIF(ResultsTeams[[Draw1]:[Draw2]],AI269&amp;"-"&amp;AJ270))</f>
        <v/>
      </c>
      <c r="AX270" s="356" t="str">
        <f>IF(OR(AI269="",AJ270=""),"",COUNTIF(ResultsTeams[Lose],AI269&amp;"-"&amp;AJ270))</f>
        <v/>
      </c>
      <c r="AY270" s="356" t="str">
        <f>IF(OR(AI269="",AJ270=""),"",AV270-AX270)</f>
        <v/>
      </c>
      <c r="AZ270" s="356" t="str">
        <f>IF(OR(AI269="",AJ270=""),"",SUMIFS(ResultsTeams[Match-A],ResultsTeams[Stage],"Groups",ResultsTeams[Team A],AJ270)+SUMIFS(ResultsTeams[Match-B],ResultsTeams[Stage],"Groups",ResultsTeams[Team B],AJ270))</f>
        <v/>
      </c>
      <c r="BA270" s="356" t="str">
        <f>IF(OR(AI269="",AJ270=""),"",SUMIFS(ResultsTeams[Match-B],ResultsTeams[Stage],"Groups",ResultsTeams[Team A],AJ270)+SUMIFS(ResultsTeams[Match-A],ResultsTeams[Stage],"Groups",ResultsTeams[Team B],AJ270))</f>
        <v/>
      </c>
      <c r="BB270" s="356" t="str">
        <f>IF(OR(AI269="",AJ270=""),"",AZ270-BA270)</f>
        <v/>
      </c>
      <c r="BC270" s="356" t="str">
        <f>IF(OR(AI269="",AJ270=""),"",SUMIFS(ResultsTeams[Goal-A],ResultsTeams[Stage],"Groups",ResultsTeams[Team A],AJ270)+SUMIFS(ResultsTeams[Goal-B],ResultsTeams[Stage],"Groups",ResultsTeams[Team B],AJ270))</f>
        <v/>
      </c>
      <c r="BD270" s="356" t="str">
        <f>IF(OR(AI269="",AJ270=""),"",SUMIFS(ResultsTeams[Goal-B],ResultsTeams[Stage],"Groups",ResultsTeams[Team A],AJ270)+SUMIFS(ResultsTeams[Goal-A],ResultsTeams[Stage],"Groups",ResultsTeams[Team B],AJ270))</f>
        <v/>
      </c>
      <c r="BE270" s="357" t="str">
        <f>IF(OR(AI269="",AJ270=""),"",BC270-BD270)</f>
        <v/>
      </c>
      <c r="BF270" s="470" t="str">
        <f>IF(AM270="","",OR(VLOOKUP(AM270,AN270:BE276,3,FALSE),VLOOKUP(AM270,AN270:BE276,6,FALSE)))</f>
        <v/>
      </c>
      <c r="BG270" s="298" t="str">
        <f t="shared" ref="BG270:BG276" si="231">IF(AM270="","",INT(AM270/1000))</f>
        <v/>
      </c>
      <c r="BH270" s="285" t="str">
        <f>IF(AM270="","",INDEX(AJ270:AJ276,MATCH(AM270,AN270:AN276,0)))</f>
        <v/>
      </c>
      <c r="BI270" s="286" t="str">
        <f>IF(AM270="","",VLOOKUP(AM270,AN270:BE276,COLUMN()-COLUMN(BB269),FALSE))</f>
        <v/>
      </c>
      <c r="BJ270" s="286" t="str">
        <f>IF(AM270="","",VLOOKUP(AM270,AN270:BE276,COLUMN()-COLUMN(BB269),FALSE))</f>
        <v/>
      </c>
      <c r="BK270" s="286" t="str">
        <f>IF(AM270="","",VLOOKUP(AM270,AN270:BE276,COLUMN()-COLUMN(BB269),FALSE))</f>
        <v/>
      </c>
      <c r="BL270" s="286" t="str">
        <f>IF(AM270="","",VLOOKUP(AM270,AN270:BE276,COLUMN()-COLUMN(BB269),FALSE))</f>
        <v/>
      </c>
      <c r="BM270" s="286" t="str">
        <f>IF(AM270="","",VLOOKUP(AM270,AN270:BE276,COLUMN()-COLUMN(BB269),FALSE))</f>
        <v/>
      </c>
      <c r="BN270" s="349" t="str">
        <f>IF(AM270="","",VLOOKUP(AM270,AN270:BE276,COLUMN()-COLUMN(BB269),FALSE))</f>
        <v/>
      </c>
      <c r="BO270" s="298" t="str">
        <f>IF(AM270="","",VLOOKUP(AM270,AN270:BE276,COLUMN()-COLUMN(BB269),FALSE))</f>
        <v/>
      </c>
      <c r="BP270" s="286" t="str">
        <f>IF(AM270="","",VLOOKUP(AM270,AN270:BE276,COLUMN()-COLUMN(BB269),FALSE))</f>
        <v/>
      </c>
      <c r="BQ270" s="301" t="str">
        <f>IF(AM270="","",VLOOKUP(AM270,AN270:BE276,COLUMN()-COLUMN(BB269),FALSE))</f>
        <v/>
      </c>
      <c r="BR270" s="352" t="str">
        <f>IF(AM270="","",VLOOKUP(AM270,AN270:BE276,COLUMN()-COLUMN(BB269),FALSE))</f>
        <v/>
      </c>
      <c r="BS270" s="286" t="str">
        <f>IF(AM270="","",VLOOKUP(AM270,AN270:BE276,COLUMN()-COLUMN(BB269),FALSE))</f>
        <v/>
      </c>
      <c r="BT270" s="301" t="str">
        <f>IF(AM270="","",VLOOKUP(AM270,AN270:BE276,COLUMN()-COLUMN(BB269),FALSE))</f>
        <v/>
      </c>
    </row>
    <row r="271" spans="1:72" ht="12" thickBot="1" x14ac:dyDescent="0.25">
      <c r="A271" s="261" t="s">
        <v>12693</v>
      </c>
      <c r="B271" s="270" t="s">
        <v>12207</v>
      </c>
      <c r="C271" s="270">
        <v>6</v>
      </c>
      <c r="D271" s="270"/>
      <c r="E271" s="272" t="s">
        <v>12228</v>
      </c>
      <c r="F271" s="273" t="s">
        <v>547</v>
      </c>
      <c r="G271" s="273" t="s">
        <v>14592</v>
      </c>
      <c r="H271" s="275">
        <v>4</v>
      </c>
      <c r="I271" s="275">
        <v>0</v>
      </c>
      <c r="J271" s="275"/>
      <c r="K271" s="366"/>
      <c r="L271" s="366"/>
      <c r="M271" s="271"/>
      <c r="N271" s="265" t="b">
        <f>NOT(ISERROR(ResultsTeams[[#This Row],[Goal-A]]+ResultsTeams[[#This Row],[Goal-B]]))</f>
        <v>1</v>
      </c>
      <c r="O271" s="265">
        <f>IF(ResultsTeams[[#This Row],[Type]]="G",SUM(O272:O275),IF(LEFT(ResultsTeams[[#This Row],[Type]],1)="P",IF(ResultsTeams[[#This Row],[Goal-A]]&gt;ResultsTeams[[#This Row],[Goal-B]],1,0),""))</f>
        <v>4</v>
      </c>
      <c r="P271" s="265">
        <f>IF(ResultsTeams[[#This Row],[Type]]="G",SUM(P272:P275),IF(LEFT(ResultsTeams[[#This Row],[Type]],1)="P",IF(ResultsTeams[[#This Row],[Goal-A]]&lt;ResultsTeams[[#This Row],[Goal-B]],1,0),""))</f>
        <v>0</v>
      </c>
      <c r="Q271" s="265">
        <f>IF(ResultsTeams[[#This Row],[Type]]="G",SUM(Q272:Q275),IF(LEFT(ResultsTeams[[#This Row],[Type]],1)="P",VALUE(ResultsTeams[[#This Row],[Score-A]]),""))</f>
        <v>23</v>
      </c>
      <c r="R271" s="265">
        <f>IF(ResultsTeams[[#This Row],[Type]]="G",SUM(R272:R275),IF(LEFT(ResultsTeams[[#This Row],[Type]],1)="P",VALUE(ResultsTeams[[#This Row],[Score-B]]),""))</f>
        <v>2</v>
      </c>
      <c r="S271" s="265">
        <f ca="1">IF(AND(ResultsTeams[[#This Row],[Category]]&lt;&gt;"",ResultsTeams[[#This Row],[Team A]]&lt;&gt;""),COUNTIF(INDIRECT("TeamsList[Club Name]"),ResultsTeams[[#This Row],[Team A]]),"")</f>
        <v>1</v>
      </c>
      <c r="T271" s="265">
        <f ca="1">IF(AND(ResultsTeams[[#This Row],[Category]]&lt;&gt;"",ResultsTeams[[#This Row],[Team B]]&lt;&gt;""),COUNTIF(INDIRECT("TeamsList[Club Name]"),ResultsTeams[[#This Row],[Team B]]),"")</f>
        <v>0</v>
      </c>
      <c r="U2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TEAM-Atlas FTC</v>
      </c>
      <c r="V271" s="265" t="str">
        <f>IF(ResultsTeams[[#This Row],[Score_OK]],IF(ResultsTeams[[#This Row],[StageCpy]]="Groups",ResultsTeams[[#This Row],[Category]]&amp;"-"&amp;IF(ResultsTeams[[#This Row],[Team B]]="","",IF(ResultsTeams[[#This Row],[Match-A]]=ResultsTeams[[#This Row],[Match-B]],ResultsTeams[[#This Row],[Team A]],"")),""),"")</f>
        <v>TEAM-</v>
      </c>
      <c r="W271" s="265" t="str">
        <f>IF(ResultsTeams[[#This Row],[Score_OK]],IF(ResultsTeams[[#This Row],[StageCpy]]="Groups",ResultsTeams[[#This Row],[Category]]&amp;"-"&amp;IF(ResultsTeams[[#This Row],[Team B]]="","",IF(ResultsTeams[[#This Row],[Match-A]]=ResultsTeams[[#This Row],[Match-B]],ResultsTeams[[#This Row],[Team B]],"")),""),"")</f>
        <v>TEAM-</v>
      </c>
      <c r="X2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4</v>
      </c>
      <c r="Y2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4</v>
      </c>
      <c r="AA2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4</v>
      </c>
      <c r="AB271" s="264" t="str">
        <f>IF(ResultsTeams[[#This Row],[Category]]="","",VLOOKUP(ResultsTeams[[#This Row],[Stage]],$R$1:$T$8,MATCH(ResultsTeams[[#This Row],[Category]],$S$1:$T$1,0)+1,FALSE))</f>
        <v>PR1</v>
      </c>
      <c r="AC2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1" s="264" t="str">
        <f>IF(ResultsTeams[[#This Row],[Type]]="G",ResultsTeams[[#This Row],[Stage]],AD270)</f>
        <v>Groups</v>
      </c>
      <c r="AE271" s="395" t="str">
        <f>IF(ResultsTeams[[#This Row],[Type]]="G",INDEX(TeamsList[Club Name],MATCH(ResultsTeams[[#This Row],[Team A]],TeamsList[Team Name],0)),AE270)</f>
        <v>Atlas FTC</v>
      </c>
      <c r="AF271" s="395" t="str">
        <f>IF(ResultsTeams[[#This Row],[Type]]="G",INDEX(TeamsList[Club Name],MATCH(ResultsTeams[[#This Row],[Team B]],TeamsList[Team Name],0)),AF270)</f>
        <v>SC Lion's Eugies</v>
      </c>
      <c r="AG271" s="265"/>
      <c r="AI271" s="12">
        <f>AI270</f>
        <v>0</v>
      </c>
      <c r="AJ271" s="309"/>
      <c r="AK271" s="320"/>
      <c r="AL271" s="311"/>
      <c r="AM271" s="292" t="str">
        <f>IF(AV271="","",SMALL(AN270:AN276,ROWS(AM270:AM271)))</f>
        <v/>
      </c>
      <c r="AN271" s="293" t="str">
        <f>IF(AV271="","",RANK(AR271,AR270:AR276)*1000+ROWS(AN270:AN271))</f>
        <v/>
      </c>
      <c r="AO271" s="316" t="str">
        <f t="shared" si="226"/>
        <v/>
      </c>
      <c r="AP271" s="415" t="b">
        <f>AND(AU271&lt;&gt;"",AU271&gt;0,COUNTIF(AO270:AO276,AO271)&gt;1)</f>
        <v>0</v>
      </c>
      <c r="AQ271" s="316" t="str">
        <f t="shared" si="227"/>
        <v/>
      </c>
      <c r="AR271" s="317" t="str">
        <f t="shared" si="228"/>
        <v/>
      </c>
      <c r="AS271" s="415" t="b">
        <f>AND(AU271&lt;&gt;"",AU271&gt;0,COUNTIF(AR270:AR276,AR271)&gt;1)</f>
        <v>0</v>
      </c>
      <c r="AT271" s="355" t="str">
        <f t="shared" si="229"/>
        <v/>
      </c>
      <c r="AU271" s="356" t="str">
        <f t="shared" si="230"/>
        <v/>
      </c>
      <c r="AV271" s="356" t="str">
        <f>IF(OR(AI269="",AJ271=""),"",COUNTIF(ResultsTeams[Win],AI269&amp;"-"&amp;AJ271))</f>
        <v/>
      </c>
      <c r="AW271" s="356" t="str">
        <f>IF(OR(AI269="",AJ271=""),"",COUNTIF(ResultsTeams[[Draw1]:[Draw2]],AI269&amp;"-"&amp;AJ271))</f>
        <v/>
      </c>
      <c r="AX271" s="356" t="str">
        <f>IF(OR(AI269="",AJ271=""),"",COUNTIF(ResultsTeams[Lose],AI269&amp;"-"&amp;AJ271))</f>
        <v/>
      </c>
      <c r="AY271" s="356" t="str">
        <f>IF(OR(AI269="",AJ271=""),"",AV271-AX271)</f>
        <v/>
      </c>
      <c r="AZ271" s="356" t="str">
        <f>IF(OR(AI270="",AJ271=""),"",SUMIFS(ResultsTeams[Match-A],ResultsTeams[Stage],"Groups",ResultsTeams[Team A],AJ271)+SUMIFS(ResultsTeams[Match-B],ResultsTeams[Stage],"Groups",ResultsTeams[Team B],AJ271))</f>
        <v/>
      </c>
      <c r="BA271" s="356" t="str">
        <f>IF(OR(AI270="",AJ271=""),"",SUMIFS(ResultsTeams[Match-B],ResultsTeams[Stage],"Groups",ResultsTeams[Team A],AJ271)+SUMIFS(ResultsTeams[Match-A],ResultsTeams[Stage],"Groups",ResultsTeams[Team B],AJ271))</f>
        <v/>
      </c>
      <c r="BB271" s="356" t="str">
        <f t="shared" ref="BB271:BB276" si="232">IF(OR(AI270="",AJ271=""),"",AZ271-BA271)</f>
        <v/>
      </c>
      <c r="BC271" s="356" t="str">
        <f>IF(OR(AI270="",AJ271=""),"",SUMIFS(ResultsTeams[Goal-A],ResultsTeams[Stage],"Groups",ResultsTeams[Team A],AJ271)+SUMIFS(ResultsTeams[Goal-B],ResultsTeams[Stage],"Groups",ResultsTeams[Team B],AJ271))</f>
        <v/>
      </c>
      <c r="BD271" s="356" t="str">
        <f>IF(OR(AI270="",AJ271=""),"",SUMIFS(ResultsTeams[Goal-B],ResultsTeams[Stage],"Groups",ResultsTeams[Team A],AJ271)+SUMIFS(ResultsTeams[Goal-A],ResultsTeams[Stage],"Groups",ResultsTeams[Team B],AJ271))</f>
        <v/>
      </c>
      <c r="BE271" s="357" t="str">
        <f>IF(OR(AI269="",AJ271=""),"",BC271-BD271)</f>
        <v/>
      </c>
      <c r="BF271" s="470" t="str">
        <f>IF(AM271="","",OR(VLOOKUP(AM271,AN270:BE276,3,FALSE),VLOOKUP(AM271,AN270:BE276,6,FALSE)))</f>
        <v/>
      </c>
      <c r="BG271" s="298" t="str">
        <f t="shared" si="231"/>
        <v/>
      </c>
      <c r="BH271" s="285" t="str">
        <f>IF(AM271="","",INDEX(AJ270:AJ276,MATCH(AM271,AN270:AN276,0)))</f>
        <v/>
      </c>
      <c r="BI271" s="286" t="str">
        <f>IF(AM271="","",VLOOKUP(AM271,AN270:BE276,COLUMN()-COLUMN(BB269),FALSE))</f>
        <v/>
      </c>
      <c r="BJ271" s="286" t="str">
        <f>IF(AM271="","",VLOOKUP(AM271,AN270:BE276,COLUMN()-COLUMN(BB269),FALSE))</f>
        <v/>
      </c>
      <c r="BK271" s="286" t="str">
        <f>IF(AM271="","",VLOOKUP(AM271,AN270:BE276,COLUMN()-COLUMN(BB269),FALSE))</f>
        <v/>
      </c>
      <c r="BL271" s="286" t="str">
        <f>IF(AM271="","",VLOOKUP(AM271,AN270:BE276,COLUMN()-COLUMN(BB269),FALSE))</f>
        <v/>
      </c>
      <c r="BM271" s="286" t="str">
        <f>IF(AM271="","",VLOOKUP(AM271,AN270:BE276,COLUMN()-COLUMN(BB269),FALSE))</f>
        <v/>
      </c>
      <c r="BN271" s="349" t="str">
        <f>IF(AM271="","",VLOOKUP(AM271,AN270:BE276,COLUMN()-COLUMN(BB269),FALSE))</f>
        <v/>
      </c>
      <c r="BO271" s="298" t="str">
        <f>IF(AM271="","",VLOOKUP(AM271,AN270:BE276,COLUMN()-COLUMN(BB269),FALSE))</f>
        <v/>
      </c>
      <c r="BP271" s="286" t="str">
        <f>IF(AM271="","",VLOOKUP(AM271,AN270:BE276,COLUMN()-COLUMN(BB269),FALSE))</f>
        <v/>
      </c>
      <c r="BQ271" s="301" t="str">
        <f>IF(AM271="","",VLOOKUP(AM271,AN270:BE276,COLUMN()-COLUMN(BB269),FALSE))</f>
        <v/>
      </c>
      <c r="BR271" s="352" t="str">
        <f>IF(AM271="","",VLOOKUP(AM271,AN270:BE276,COLUMN()-COLUMN(BB269),FALSE))</f>
        <v/>
      </c>
      <c r="BS271" s="286" t="str">
        <f>IF(AM271="","",VLOOKUP(AM271,AN270:BE276,COLUMN()-COLUMN(BB269),FALSE))</f>
        <v/>
      </c>
      <c r="BT271" s="301" t="str">
        <f>IF(AM271="","",VLOOKUP(AM271,AN270:BE276,COLUMN()-COLUMN(BB269),FALSE))</f>
        <v/>
      </c>
    </row>
    <row r="272" spans="1:72" x14ac:dyDescent="0.2">
      <c r="A272" s="60"/>
      <c r="B272" s="280"/>
      <c r="C272" s="60"/>
      <c r="D272" s="60"/>
      <c r="E272" s="240" t="s">
        <v>12231</v>
      </c>
      <c r="F272" s="244" t="s">
        <v>9229</v>
      </c>
      <c r="G272" s="244" t="s">
        <v>8103</v>
      </c>
      <c r="H272" s="253">
        <v>6</v>
      </c>
      <c r="I272" s="253">
        <v>1</v>
      </c>
      <c r="J272" s="253"/>
      <c r="K272" s="362"/>
      <c r="L272" s="362"/>
      <c r="M272" s="61"/>
      <c r="N272" s="265" t="b">
        <f>NOT(ISERROR(ResultsTeams[[#This Row],[Goal-A]]+ResultsTeams[[#This Row],[Goal-B]]))</f>
        <v>1</v>
      </c>
      <c r="O272" s="265">
        <f>IF(ResultsTeams[[#This Row],[Type]]="G",SUM(O273:O276),IF(LEFT(ResultsTeams[[#This Row],[Type]],1)="P",IF(ResultsTeams[[#This Row],[Goal-A]]&gt;ResultsTeams[[#This Row],[Goal-B]],1,0),""))</f>
        <v>1</v>
      </c>
      <c r="P272" s="265">
        <f>IF(ResultsTeams[[#This Row],[Type]]="G",SUM(P273:P276),IF(LEFT(ResultsTeams[[#This Row],[Type]],1)="P",IF(ResultsTeams[[#This Row],[Goal-A]]&lt;ResultsTeams[[#This Row],[Goal-B]],1,0),""))</f>
        <v>0</v>
      </c>
      <c r="Q272" s="265">
        <f>IF(ResultsTeams[[#This Row],[Type]]="G",SUM(Q273:Q276),IF(LEFT(ResultsTeams[[#This Row],[Type]],1)="P",VALUE(ResultsTeams[[#This Row],[Score-A]]),""))</f>
        <v>6</v>
      </c>
      <c r="R272" s="265">
        <f>IF(ResultsTeams[[#This Row],[Type]]="G",SUM(R273:R276),IF(LEFT(ResultsTeams[[#This Row],[Type]],1)="P",VALUE(ResultsTeams[[#This Row],[Score-B]]),""))</f>
        <v>1</v>
      </c>
      <c r="S272" s="265" t="str">
        <f ca="1">IF(AND(ResultsTeams[[#This Row],[Category]]&lt;&gt;"",ResultsTeams[[#This Row],[Team A]]&lt;&gt;""),COUNTIF(INDIRECT("TeamsList[Club Name]"),ResultsTeams[[#This Row],[Team A]]),"")</f>
        <v/>
      </c>
      <c r="T272" s="265" t="str">
        <f ca="1">IF(AND(ResultsTeams[[#This Row],[Category]]&lt;&gt;"",ResultsTeams[[#This Row],[Team B]]&lt;&gt;""),COUNTIF(INDIRECT("TeamsList[Club Name]"),ResultsTeams[[#This Row],[Team B]]),"")</f>
        <v/>
      </c>
      <c r="U2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-Manolis Papadakis</v>
      </c>
      <c r="V272" s="265" t="str">
        <f>IF(ResultsTeams[[#This Row],[Score_OK]],IF(ResultsTeams[[#This Row],[StageCpy]]="Groups",ResultsTeams[[#This Row],[Category]]&amp;"-"&amp;IF(ResultsTeams[[#This Row],[Team B]]="","",IF(ResultsTeams[[#This Row],[Match-A]]=ResultsTeams[[#This Row],[Match-B]],ResultsTeams[[#This Row],[Team A]],"")),""),"")</f>
        <v>-</v>
      </c>
      <c r="W272" s="265" t="str">
        <f>IF(ResultsTeams[[#This Row],[Score_OK]],IF(ResultsTeams[[#This Row],[StageCpy]]="Groups",ResultsTeams[[#This Row],[Category]]&amp;"-"&amp;IF(ResultsTeams[[#This Row],[Team B]]="","",IF(ResultsTeams[[#This Row],[Match-A]]=ResultsTeams[[#This Row],[Match-B]],ResultsTeams[[#This Row],[Team B]],"")),""),"")</f>
        <v>-</v>
      </c>
      <c r="X2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-Jody Henrioul</v>
      </c>
      <c r="Y2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2" s="264" t="str">
        <f>IF(ResultsTeams[[#This Row],[Category]]="","",VLOOKUP(ResultsTeams[[#This Row],[Stage]],$R$1:$T$8,MATCH(ResultsTeams[[#This Row],[Category]],$S$1:$T$1,0)+1,FALSE))</f>
        <v/>
      </c>
      <c r="AC2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2" s="264" t="str">
        <f>IF(ResultsTeams[[#This Row],[Type]]="G",ResultsTeams[[#This Row],[Stage]],AD271)</f>
        <v>Groups</v>
      </c>
      <c r="AE272" s="395" t="str">
        <f>IF(ResultsTeams[[#This Row],[Type]]="G",INDEX(TeamsList[Club Name],MATCH(ResultsTeams[[#This Row],[Team A]],TeamsList[Team Name],0)),AE271)</f>
        <v>Atlas FTC</v>
      </c>
      <c r="AF272" s="395" t="str">
        <f>IF(ResultsTeams[[#This Row],[Type]]="G",INDEX(TeamsList[Club Name],MATCH(ResultsTeams[[#This Row],[Team B]],TeamsList[Team Name],0)),AF271)</f>
        <v>SC Lion's Eugies</v>
      </c>
      <c r="AG272" s="265"/>
      <c r="AI272" s="12">
        <f t="shared" ref="AI272:AI276" si="233">AI271</f>
        <v>0</v>
      </c>
      <c r="AJ272" s="309"/>
      <c r="AK272" s="320"/>
      <c r="AL272" s="311"/>
      <c r="AM272" s="292" t="str">
        <f>IF(AV272="","",SMALL(AN270:AN276,ROWS(AM270:AM272)))</f>
        <v/>
      </c>
      <c r="AN272" s="293" t="str">
        <f>IF(AV272="","",RANK(AR272,AR270:AR276)*1000+ROWS(AN270:AN272))</f>
        <v/>
      </c>
      <c r="AO272" s="316" t="str">
        <f t="shared" si="226"/>
        <v/>
      </c>
      <c r="AP272" s="415" t="b">
        <f>AND(AU272&lt;&gt;"",AU272&gt;0,COUNTIF(AO270:AO276,AO272)&gt;1)</f>
        <v>0</v>
      </c>
      <c r="AQ272" s="316" t="str">
        <f t="shared" si="227"/>
        <v/>
      </c>
      <c r="AR272" s="317" t="str">
        <f t="shared" si="228"/>
        <v/>
      </c>
      <c r="AS272" s="415" t="b">
        <f>AND(AU272&lt;&gt;"",AU272&gt;0,COUNTIF(AR270:AR276,AR272)&gt;1)</f>
        <v>0</v>
      </c>
      <c r="AT272" s="355" t="str">
        <f t="shared" si="229"/>
        <v/>
      </c>
      <c r="AU272" s="356" t="str">
        <f t="shared" si="230"/>
        <v/>
      </c>
      <c r="AV272" s="356" t="str">
        <f>IF(OR(AI269="",AJ272=""),"",COUNTIF(ResultsTeams[Win],AI269&amp;"-"&amp;AJ272))</f>
        <v/>
      </c>
      <c r="AW272" s="356" t="str">
        <f>IF(OR(AI269="",AJ272=""),"",COUNTIF(ResultsTeams[[Draw1]:[Draw2]],AI269&amp;"-"&amp;AJ272))</f>
        <v/>
      </c>
      <c r="AX272" s="356" t="str">
        <f>IF(OR(AI269="",AJ272=""),"",COUNTIF(ResultsTeams[Lose],AI269&amp;"-"&amp;AJ272))</f>
        <v/>
      </c>
      <c r="AY272" s="356" t="str">
        <f>IF(OR(AI269="",AJ272=""),"",AV272-AX272)</f>
        <v/>
      </c>
      <c r="AZ272" s="356" t="str">
        <f>IF(OR(AI271="",AJ272=""),"",SUMIFS(ResultsTeams[Match-A],ResultsTeams[Stage],"Groups",ResultsTeams[Team A],AJ272)+SUMIFS(ResultsTeams[Match-B],ResultsTeams[Stage],"Groups",ResultsTeams[Team B],AJ272))</f>
        <v/>
      </c>
      <c r="BA272" s="356" t="str">
        <f>IF(OR(AI271="",AJ272=""),"",SUMIFS(ResultsTeams[Match-B],ResultsTeams[Stage],"Groups",ResultsTeams[Team A],AJ272)+SUMIFS(ResultsTeams[Match-A],ResultsTeams[Stage],"Groups",ResultsTeams[Team B],AJ272))</f>
        <v/>
      </c>
      <c r="BB272" s="356" t="str">
        <f t="shared" si="232"/>
        <v/>
      </c>
      <c r="BC272" s="356" t="str">
        <f>IF(OR(AI271="",AJ272=""),"",SUMIFS(ResultsTeams[Goal-A],ResultsTeams[Stage],"Groups",ResultsTeams[Team A],AJ272)+SUMIFS(ResultsTeams[Goal-B],ResultsTeams[Stage],"Groups",ResultsTeams[Team B],AJ272))</f>
        <v/>
      </c>
      <c r="BD272" s="356" t="str">
        <f>IF(OR(AI271="",AJ272=""),"",SUMIFS(ResultsTeams[Goal-B],ResultsTeams[Stage],"Groups",ResultsTeams[Team A],AJ272)+SUMIFS(ResultsTeams[Goal-A],ResultsTeams[Stage],"Groups",ResultsTeams[Team B],AJ272))</f>
        <v/>
      </c>
      <c r="BE272" s="357" t="str">
        <f>IF(OR(AI269="",AJ272=""),"",BC272-BD272)</f>
        <v/>
      </c>
      <c r="BF272" s="470" t="str">
        <f>IF(AM272="","",OR(VLOOKUP(AM272,AN270:BE276,3,FALSE),VLOOKUP(AM272,AN270:BE276,6,FALSE)))</f>
        <v/>
      </c>
      <c r="BG272" s="298" t="str">
        <f t="shared" si="231"/>
        <v/>
      </c>
      <c r="BH272" s="285" t="str">
        <f>IF(AM272="","",INDEX(AJ270:AJ276,MATCH(AM272,AN270:AN276,0)))</f>
        <v/>
      </c>
      <c r="BI272" s="286" t="str">
        <f>IF(AM272="","",VLOOKUP(AM272,AN270:BE276,COLUMN()-COLUMN(BB269),FALSE))</f>
        <v/>
      </c>
      <c r="BJ272" s="286" t="str">
        <f>IF(AM272="","",VLOOKUP(AM272,AN270:BE276,COLUMN()-COLUMN(BB269),FALSE))</f>
        <v/>
      </c>
      <c r="BK272" s="286" t="str">
        <f>IF(AM272="","",VLOOKUP(AM272,AN270:BE276,COLUMN()-COLUMN(BB269),FALSE))</f>
        <v/>
      </c>
      <c r="BL272" s="286" t="str">
        <f>IF(AM272="","",VLOOKUP(AM272,AN270:BE276,COLUMN()-COLUMN(BB269),FALSE))</f>
        <v/>
      </c>
      <c r="BM272" s="286" t="str">
        <f>IF(AM272="","",VLOOKUP(AM272,AN270:BE276,COLUMN()-COLUMN(BB269),FALSE))</f>
        <v/>
      </c>
      <c r="BN272" s="349" t="str">
        <f>IF(AM272="","",VLOOKUP(AM272,AN270:BE276,COLUMN()-COLUMN(BB269),FALSE))</f>
        <v/>
      </c>
      <c r="BO272" s="298" t="str">
        <f>IF(AM272="","",VLOOKUP(AM272,AN270:BE276,COLUMN()-COLUMN(BB269),FALSE))</f>
        <v/>
      </c>
      <c r="BP272" s="286" t="str">
        <f>IF(AM272="","",VLOOKUP(AM272,AN270:BE276,COLUMN()-COLUMN(BB269),FALSE))</f>
        <v/>
      </c>
      <c r="BQ272" s="301" t="str">
        <f>IF(AM272="","",VLOOKUP(AM272,AN270:BE276,COLUMN()-COLUMN(BB269),FALSE))</f>
        <v/>
      </c>
      <c r="BR272" s="352" t="str">
        <f>IF(AM272="","",VLOOKUP(AM272,AN270:BE276,COLUMN()-COLUMN(BB269),FALSE))</f>
        <v/>
      </c>
      <c r="BS272" s="286" t="str">
        <f>IF(AM272="","",VLOOKUP(AM272,AN270:BE276,COLUMN()-COLUMN(BB269),FALSE))</f>
        <v/>
      </c>
      <c r="BT272" s="301" t="str">
        <f>IF(AM272="","",VLOOKUP(AM272,AN270:BE276,COLUMN()-COLUMN(BB269),FALSE))</f>
        <v/>
      </c>
    </row>
    <row r="273" spans="1:72" x14ac:dyDescent="0.2">
      <c r="A273" s="62"/>
      <c r="B273" s="280"/>
      <c r="C273" s="62"/>
      <c r="D273" s="62"/>
      <c r="E273" s="241" t="s">
        <v>12234</v>
      </c>
      <c r="F273" s="246" t="s">
        <v>9194</v>
      </c>
      <c r="G273" s="246" t="s">
        <v>8202</v>
      </c>
      <c r="H273" s="254">
        <v>6</v>
      </c>
      <c r="I273" s="254">
        <v>0</v>
      </c>
      <c r="J273" s="254"/>
      <c r="K273" s="363"/>
      <c r="L273" s="363"/>
      <c r="M273" s="63"/>
      <c r="N273" s="265" t="b">
        <f>NOT(ISERROR(ResultsTeams[[#This Row],[Goal-A]]+ResultsTeams[[#This Row],[Goal-B]]))</f>
        <v>1</v>
      </c>
      <c r="O273" s="265">
        <f>IF(ResultsTeams[[#This Row],[Type]]="G",SUM(O274:O277),IF(LEFT(ResultsTeams[[#This Row],[Type]],1)="P",IF(ResultsTeams[[#This Row],[Goal-A]]&gt;ResultsTeams[[#This Row],[Goal-B]],1,0),""))</f>
        <v>1</v>
      </c>
      <c r="P273" s="265">
        <f>IF(ResultsTeams[[#This Row],[Type]]="G",SUM(P274:P277),IF(LEFT(ResultsTeams[[#This Row],[Type]],1)="P",IF(ResultsTeams[[#This Row],[Goal-A]]&lt;ResultsTeams[[#This Row],[Goal-B]],1,0),""))</f>
        <v>0</v>
      </c>
      <c r="Q273" s="265">
        <f>IF(ResultsTeams[[#This Row],[Type]]="G",SUM(Q274:Q277),IF(LEFT(ResultsTeams[[#This Row],[Type]],1)="P",VALUE(ResultsTeams[[#This Row],[Score-A]]),""))</f>
        <v>6</v>
      </c>
      <c r="R273" s="265">
        <f>IF(ResultsTeams[[#This Row],[Type]]="G",SUM(R274:R277),IF(LEFT(ResultsTeams[[#This Row],[Type]],1)="P",VALUE(ResultsTeams[[#This Row],[Score-B]]),""))</f>
        <v>0</v>
      </c>
      <c r="S273" s="265" t="str">
        <f ca="1">IF(AND(ResultsTeams[[#This Row],[Category]]&lt;&gt;"",ResultsTeams[[#This Row],[Team A]]&lt;&gt;""),COUNTIF(INDIRECT("TeamsList[Club Name]"),ResultsTeams[[#This Row],[Team A]]),"")</f>
        <v/>
      </c>
      <c r="T273" s="265" t="str">
        <f ca="1">IF(AND(ResultsTeams[[#This Row],[Category]]&lt;&gt;"",ResultsTeams[[#This Row],[Team B]]&lt;&gt;""),COUNTIF(INDIRECT("TeamsList[Club Name]"),ResultsTeams[[#This Row],[Team B]]),"")</f>
        <v/>
      </c>
      <c r="U2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-Giannis Nikolaidis</v>
      </c>
      <c r="V273" s="265" t="str">
        <f>IF(ResultsTeams[[#This Row],[Score_OK]],IF(ResultsTeams[[#This Row],[StageCpy]]="Groups",ResultsTeams[[#This Row],[Category]]&amp;"-"&amp;IF(ResultsTeams[[#This Row],[Team B]]="","",IF(ResultsTeams[[#This Row],[Match-A]]=ResultsTeams[[#This Row],[Match-B]],ResultsTeams[[#This Row],[Team A]],"")),""),"")</f>
        <v>-</v>
      </c>
      <c r="W273" s="265" t="str">
        <f>IF(ResultsTeams[[#This Row],[Score_OK]],IF(ResultsTeams[[#This Row],[StageCpy]]="Groups",ResultsTeams[[#This Row],[Category]]&amp;"-"&amp;IF(ResultsTeams[[#This Row],[Team B]]="","",IF(ResultsTeams[[#This Row],[Match-A]]=ResultsTeams[[#This Row],[Match-B]],ResultsTeams[[#This Row],[Team B]],"")),""),"")</f>
        <v>-</v>
      </c>
      <c r="X2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-Xavier Outers</v>
      </c>
      <c r="Y2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3" s="264" t="str">
        <f>IF(ResultsTeams[[#This Row],[Category]]="","",VLOOKUP(ResultsTeams[[#This Row],[Stage]],$R$1:$T$8,MATCH(ResultsTeams[[#This Row],[Category]],$S$1:$T$1,0)+1,FALSE))</f>
        <v/>
      </c>
      <c r="AC2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3" s="264" t="str">
        <f>IF(ResultsTeams[[#This Row],[Type]]="G",ResultsTeams[[#This Row],[Stage]],AD272)</f>
        <v>Groups</v>
      </c>
      <c r="AE273" s="395" t="str">
        <f>IF(ResultsTeams[[#This Row],[Type]]="G",INDEX(TeamsList[Club Name],MATCH(ResultsTeams[[#This Row],[Team A]],TeamsList[Team Name],0)),AE272)</f>
        <v>Atlas FTC</v>
      </c>
      <c r="AF273" s="395" t="str">
        <f>IF(ResultsTeams[[#This Row],[Type]]="G",INDEX(TeamsList[Club Name],MATCH(ResultsTeams[[#This Row],[Team B]],TeamsList[Team Name],0)),AF272)</f>
        <v>SC Lion's Eugies</v>
      </c>
      <c r="AG273" s="265"/>
      <c r="AH273" s="91"/>
      <c r="AI273" s="12">
        <f t="shared" si="233"/>
        <v>0</v>
      </c>
      <c r="AJ273" s="309"/>
      <c r="AK273" s="310"/>
      <c r="AL273" s="311"/>
      <c r="AM273" s="292" t="str">
        <f>IF(AV273="","",SMALL(AN270:AN276,ROWS(AM270:AM273)))</f>
        <v/>
      </c>
      <c r="AN273" s="293" t="str">
        <f>IF(AV273="","",RANK(AR273,AR270:AR276)*1000+ROWS(AN270:AN273))</f>
        <v/>
      </c>
      <c r="AO273" s="316" t="str">
        <f t="shared" si="226"/>
        <v/>
      </c>
      <c r="AP273" s="415" t="b">
        <f>AND(AU273&lt;&gt;"",AU273&gt;0,COUNTIF(AO270:AO276,AO273)&gt;1)</f>
        <v>0</v>
      </c>
      <c r="AQ273" s="316" t="str">
        <f t="shared" si="227"/>
        <v/>
      </c>
      <c r="AR273" s="317" t="str">
        <f t="shared" si="228"/>
        <v/>
      </c>
      <c r="AS273" s="415" t="b">
        <f>AND(AU273&lt;&gt;"",AU273&gt;0,COUNTIF(AR270:AR276,AR273)&gt;1)</f>
        <v>0</v>
      </c>
      <c r="AT273" s="355" t="str">
        <f t="shared" si="229"/>
        <v/>
      </c>
      <c r="AU273" s="356" t="str">
        <f t="shared" si="230"/>
        <v/>
      </c>
      <c r="AV273" s="356" t="str">
        <f>IF(OR(AI269="",AJ273=""),"",COUNTIF(ResultsTeams[Win],AI269&amp;"-"&amp;AJ273))</f>
        <v/>
      </c>
      <c r="AW273" s="356" t="str">
        <f>IF(OR(AI269="",AJ273=""),"",COUNTIF(ResultsTeams[[Draw1]:[Draw2]],AI269&amp;"-"&amp;AJ273))</f>
        <v/>
      </c>
      <c r="AX273" s="356" t="str">
        <f>IF(OR(AI269="",AJ273=""),"",COUNTIF(ResultsTeams[Lose],AI269&amp;"-"&amp;AJ273))</f>
        <v/>
      </c>
      <c r="AY273" s="356" t="str">
        <f>IF(OR(AI269="",AJ273=""),"",AV273-AX273)</f>
        <v/>
      </c>
      <c r="AZ273" s="356" t="str">
        <f>IF(OR(AI272="",AJ273=""),"",SUMIFS(ResultsTeams[Match-A],ResultsTeams[Stage],"Groups",ResultsTeams[Team A],AJ273)+SUMIFS(ResultsTeams[Match-B],ResultsTeams[Stage],"Groups",ResultsTeams[Team B],AJ273))</f>
        <v/>
      </c>
      <c r="BA273" s="356" t="str">
        <f>IF(OR(AI272="",AJ273=""),"",SUMIFS(ResultsTeams[Match-B],ResultsTeams[Stage],"Groups",ResultsTeams[Team A],AJ273)+SUMIFS(ResultsTeams[Match-A],ResultsTeams[Stage],"Groups",ResultsTeams[Team B],AJ273))</f>
        <v/>
      </c>
      <c r="BB273" s="356" t="str">
        <f t="shared" si="232"/>
        <v/>
      </c>
      <c r="BC273" s="356" t="str">
        <f>IF(OR(AI272="",AJ273=""),"",SUMIFS(ResultsTeams[Goal-A],ResultsTeams[Stage],"Groups",ResultsTeams[Team A],AJ273)+SUMIFS(ResultsTeams[Goal-B],ResultsTeams[Stage],"Groups",ResultsTeams[Team B],AJ273))</f>
        <v/>
      </c>
      <c r="BD273" s="356" t="str">
        <f>IF(OR(AI272="",AJ273=""),"",SUMIFS(ResultsTeams[Goal-B],ResultsTeams[Stage],"Groups",ResultsTeams[Team A],AJ273)+SUMIFS(ResultsTeams[Goal-A],ResultsTeams[Stage],"Groups",ResultsTeams[Team B],AJ273))</f>
        <v/>
      </c>
      <c r="BE273" s="357" t="str">
        <f>IF(OR(AI269="",AJ273=""),"",BC273-BD273)</f>
        <v/>
      </c>
      <c r="BF273" s="470" t="str">
        <f>IF(AM273="","",OR(VLOOKUP(AM273,AN270:BE276,3,FALSE),VLOOKUP(AM273,AN270:BE276,6,FALSE)))</f>
        <v/>
      </c>
      <c r="BG273" s="298" t="str">
        <f t="shared" si="231"/>
        <v/>
      </c>
      <c r="BH273" s="285" t="str">
        <f>IF(AM273="","",INDEX(AJ270:AJ276,MATCH(AM273,AN270:AN276,0)))</f>
        <v/>
      </c>
      <c r="BI273" s="286" t="str">
        <f>IF(AM273="","",VLOOKUP(AM273,AN270:BE276,COLUMN()-COLUMN(BB269),FALSE))</f>
        <v/>
      </c>
      <c r="BJ273" s="286" t="str">
        <f>IF(AM273="","",VLOOKUP(AM273,AN270:BE276,COLUMN()-COLUMN(BB269),FALSE))</f>
        <v/>
      </c>
      <c r="BK273" s="286" t="str">
        <f>IF(AM273="","",VLOOKUP(AM273,AN270:BE276,COLUMN()-COLUMN(BB269),FALSE))</f>
        <v/>
      </c>
      <c r="BL273" s="286" t="str">
        <f>IF(AM273="","",VLOOKUP(AM273,AN270:BE276,COLUMN()-COLUMN(BB269),FALSE))</f>
        <v/>
      </c>
      <c r="BM273" s="286" t="str">
        <f>IF(AM273="","",VLOOKUP(AM273,AN270:BE276,COLUMN()-COLUMN(BB269),FALSE))</f>
        <v/>
      </c>
      <c r="BN273" s="349" t="str">
        <f>IF(AM273="","",VLOOKUP(AM273,AN270:BE276,COLUMN()-COLUMN(BB269),FALSE))</f>
        <v/>
      </c>
      <c r="BO273" s="298" t="str">
        <f>IF(AM273="","",VLOOKUP(AM273,AN270:BE276,COLUMN()-COLUMN(BB269),FALSE))</f>
        <v/>
      </c>
      <c r="BP273" s="286" t="str">
        <f>IF(AM273="","",VLOOKUP(AM273,AN270:BE276,COLUMN()-COLUMN(BB269),FALSE))</f>
        <v/>
      </c>
      <c r="BQ273" s="301" t="str">
        <f>IF(AM273="","",VLOOKUP(AM273,AN270:BE276,COLUMN()-COLUMN(BB269),FALSE))</f>
        <v/>
      </c>
      <c r="BR273" s="352" t="str">
        <f>IF(AM273="","",VLOOKUP(AM273,AN270:BE276,COLUMN()-COLUMN(BB269),FALSE))</f>
        <v/>
      </c>
      <c r="BS273" s="286" t="str">
        <f>IF(AM273="","",VLOOKUP(AM273,AN270:BE276,COLUMN()-COLUMN(BB269),FALSE))</f>
        <v/>
      </c>
      <c r="BT273" s="301" t="str">
        <f>IF(AM273="","",VLOOKUP(AM273,AN270:BE276,COLUMN()-COLUMN(BB269),FALSE))</f>
        <v/>
      </c>
    </row>
    <row r="274" spans="1:72" x14ac:dyDescent="0.2">
      <c r="A274" s="62"/>
      <c r="B274" s="280"/>
      <c r="C274" s="62"/>
      <c r="D274" s="62"/>
      <c r="E274" s="241" t="s">
        <v>12237</v>
      </c>
      <c r="F274" s="246" t="s">
        <v>11084</v>
      </c>
      <c r="G274" s="246" t="s">
        <v>8196</v>
      </c>
      <c r="H274" s="254">
        <v>7</v>
      </c>
      <c r="I274" s="254">
        <v>0</v>
      </c>
      <c r="J274" s="254"/>
      <c r="K274" s="363"/>
      <c r="L274" s="363"/>
      <c r="M274" s="63"/>
      <c r="N274" s="265" t="b">
        <f>NOT(ISERROR(ResultsTeams[[#This Row],[Goal-A]]+ResultsTeams[[#This Row],[Goal-B]]))</f>
        <v>1</v>
      </c>
      <c r="O274" s="265">
        <f>IF(ResultsTeams[[#This Row],[Type]]="G",SUM(O275:O278),IF(LEFT(ResultsTeams[[#This Row],[Type]],1)="P",IF(ResultsTeams[[#This Row],[Goal-A]]&gt;ResultsTeams[[#This Row],[Goal-B]],1,0),""))</f>
        <v>1</v>
      </c>
      <c r="P274" s="265">
        <f>IF(ResultsTeams[[#This Row],[Type]]="G",SUM(P275:P278),IF(LEFT(ResultsTeams[[#This Row],[Type]],1)="P",IF(ResultsTeams[[#This Row],[Goal-A]]&lt;ResultsTeams[[#This Row],[Goal-B]],1,0),""))</f>
        <v>0</v>
      </c>
      <c r="Q274" s="265">
        <f>IF(ResultsTeams[[#This Row],[Type]]="G",SUM(Q275:Q278),IF(LEFT(ResultsTeams[[#This Row],[Type]],1)="P",VALUE(ResultsTeams[[#This Row],[Score-A]]),""))</f>
        <v>7</v>
      </c>
      <c r="R274" s="265">
        <f>IF(ResultsTeams[[#This Row],[Type]]="G",SUM(R275:R278),IF(LEFT(ResultsTeams[[#This Row],[Type]],1)="P",VALUE(ResultsTeams[[#This Row],[Score-B]]),""))</f>
        <v>0</v>
      </c>
      <c r="S274" s="265" t="str">
        <f ca="1">IF(AND(ResultsTeams[[#This Row],[Category]]&lt;&gt;"",ResultsTeams[[#This Row],[Team A]]&lt;&gt;""),COUNTIF(INDIRECT("TeamsList[Club Name]"),ResultsTeams[[#This Row],[Team A]]),"")</f>
        <v/>
      </c>
      <c r="T274" s="265" t="str">
        <f ca="1">IF(AND(ResultsTeams[[#This Row],[Category]]&lt;&gt;"",ResultsTeams[[#This Row],[Team B]]&lt;&gt;""),COUNTIF(INDIRECT("TeamsList[Club Name]"),ResultsTeams[[#This Row],[Team B]]),"")</f>
        <v/>
      </c>
      <c r="U2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-Rudi Knuf</v>
      </c>
      <c r="V274" s="265" t="str">
        <f>IF(ResultsTeams[[#This Row],[Score_OK]],IF(ResultsTeams[[#This Row],[StageCpy]]="Groups",ResultsTeams[[#This Row],[Category]]&amp;"-"&amp;IF(ResultsTeams[[#This Row],[Team B]]="","",IF(ResultsTeams[[#This Row],[Match-A]]=ResultsTeams[[#This Row],[Match-B]],ResultsTeams[[#This Row],[Team A]],"")),""),"")</f>
        <v>-</v>
      </c>
      <c r="W274" s="265" t="str">
        <f>IF(ResultsTeams[[#This Row],[Score_OK]],IF(ResultsTeams[[#This Row],[StageCpy]]="Groups",ResultsTeams[[#This Row],[Category]]&amp;"-"&amp;IF(ResultsTeams[[#This Row],[Team B]]="","",IF(ResultsTeams[[#This Row],[Match-A]]=ResultsTeams[[#This Row],[Match-B]],ResultsTeams[[#This Row],[Team B]],"")),""),"")</f>
        <v>-</v>
      </c>
      <c r="X2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-Mael Denne</v>
      </c>
      <c r="Y2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4" s="264" t="str">
        <f>IF(ResultsTeams[[#This Row],[Category]]="","",VLOOKUP(ResultsTeams[[#This Row],[Stage]],$R$1:$T$8,MATCH(ResultsTeams[[#This Row],[Category]],$S$1:$T$1,0)+1,FALSE))</f>
        <v/>
      </c>
      <c r="AC2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4" s="264" t="str">
        <f>IF(ResultsTeams[[#This Row],[Type]]="G",ResultsTeams[[#This Row],[Stage]],AD273)</f>
        <v>Groups</v>
      </c>
      <c r="AE274" s="395" t="str">
        <f>IF(ResultsTeams[[#This Row],[Type]]="G",INDEX(TeamsList[Club Name],MATCH(ResultsTeams[[#This Row],[Team A]],TeamsList[Team Name],0)),AE273)</f>
        <v>Atlas FTC</v>
      </c>
      <c r="AF274" s="395" t="str">
        <f>IF(ResultsTeams[[#This Row],[Type]]="G",INDEX(TeamsList[Club Name],MATCH(ResultsTeams[[#This Row],[Team B]],TeamsList[Team Name],0)),AF273)</f>
        <v>SC Lion's Eugies</v>
      </c>
      <c r="AG274" s="265"/>
      <c r="AH274" s="91"/>
      <c r="AI274" s="12">
        <f t="shared" si="233"/>
        <v>0</v>
      </c>
      <c r="AJ274" s="309"/>
      <c r="AK274" s="310"/>
      <c r="AL274" s="311"/>
      <c r="AM274" s="292" t="str">
        <f>IF(AV274="","",SMALL(AN270:AN276,ROWS(AM270:AM274)))</f>
        <v/>
      </c>
      <c r="AN274" s="293" t="str">
        <f>IF(AV274="","",RANK(AR274,AR270:AR276)*1000+ROWS(AN270:AN274))</f>
        <v/>
      </c>
      <c r="AO274" s="316" t="str">
        <f t="shared" si="226"/>
        <v/>
      </c>
      <c r="AP274" s="415" t="b">
        <f>AND(AU274&lt;&gt;"",AU274&gt;0,COUNTIF(AO270:AO276,AO274)&gt;1)</f>
        <v>0</v>
      </c>
      <c r="AQ274" s="316" t="str">
        <f t="shared" si="227"/>
        <v/>
      </c>
      <c r="AR274" s="317" t="str">
        <f t="shared" si="228"/>
        <v/>
      </c>
      <c r="AS274" s="415" t="b">
        <f>AND(AU274&lt;&gt;"",AU274&gt;0,COUNTIF(AR270:AR276,AR274)&gt;1)</f>
        <v>0</v>
      </c>
      <c r="AT274" s="355" t="str">
        <f t="shared" si="229"/>
        <v/>
      </c>
      <c r="AU274" s="356" t="str">
        <f t="shared" si="230"/>
        <v/>
      </c>
      <c r="AV274" s="356" t="str">
        <f>IF(OR(AI269="",AJ274=""),"",COUNTIF(ResultsTeams[Win],AI269&amp;"-"&amp;AJ274))</f>
        <v/>
      </c>
      <c r="AW274" s="356" t="str">
        <f>IF(OR(AI269="",AJ274=""),"",COUNTIF(ResultsTeams[[Draw1]:[Draw2]],AI269&amp;"-"&amp;AJ274))</f>
        <v/>
      </c>
      <c r="AX274" s="356" t="str">
        <f>IF(OR(AI269="",AJ274=""),"",COUNTIF(ResultsTeams[Lose],AI269&amp;"-"&amp;AJ274))</f>
        <v/>
      </c>
      <c r="AY274" s="356" t="str">
        <f>IF(OR(AI269="",AJ274=""),"",AV274-AX274)</f>
        <v/>
      </c>
      <c r="AZ274" s="356" t="str">
        <f>IF(OR(AI273="",AJ274=""),"",SUMIFS(ResultsTeams[Match-A],ResultsTeams[Stage],"Groups",ResultsTeams[Team A],AJ274)+SUMIFS(ResultsTeams[Match-B],ResultsTeams[Stage],"Groups",ResultsTeams[Team B],AJ274))</f>
        <v/>
      </c>
      <c r="BA274" s="356" t="str">
        <f>IF(OR(AI273="",AJ274=""),"",SUMIFS(ResultsTeams[Match-B],ResultsTeams[Stage],"Groups",ResultsTeams[Team A],AJ274)+SUMIFS(ResultsTeams[Match-A],ResultsTeams[Stage],"Groups",ResultsTeams[Team B],AJ274))</f>
        <v/>
      </c>
      <c r="BB274" s="356" t="str">
        <f t="shared" si="232"/>
        <v/>
      </c>
      <c r="BC274" s="356" t="str">
        <f>IF(OR(AI273="",AJ274=""),"",SUMIFS(ResultsTeams[Goal-A],ResultsTeams[Stage],"Groups",ResultsTeams[Team A],AJ274)+SUMIFS(ResultsTeams[Goal-B],ResultsTeams[Stage],"Groups",ResultsTeams[Team B],AJ274))</f>
        <v/>
      </c>
      <c r="BD274" s="356" t="str">
        <f>IF(OR(AI273="",AJ274=""),"",SUMIFS(ResultsTeams[Goal-B],ResultsTeams[Stage],"Groups",ResultsTeams[Team A],AJ274)+SUMIFS(ResultsTeams[Goal-A],ResultsTeams[Stage],"Groups",ResultsTeams[Team B],AJ274))</f>
        <v/>
      </c>
      <c r="BE274" s="357" t="str">
        <f>IF(OR(AI269="",AJ274=""),"",BC274-BD274)</f>
        <v/>
      </c>
      <c r="BF274" s="470" t="str">
        <f>IF(AM274="","",OR(VLOOKUP(AM274,AN270:BE276,3,FALSE),VLOOKUP(AM274,AN270:BE276,6,FALSE)))</f>
        <v/>
      </c>
      <c r="BG274" s="298" t="str">
        <f t="shared" si="231"/>
        <v/>
      </c>
      <c r="BH274" s="285" t="str">
        <f>IF(AM274="","",INDEX(AJ270:AJ276,MATCH(AM274,AN270:AN276,0)))</f>
        <v/>
      </c>
      <c r="BI274" s="286" t="str">
        <f>IF(AM274="","",VLOOKUP(AM274,AN270:BE276,COLUMN()-COLUMN(BB269),FALSE))</f>
        <v/>
      </c>
      <c r="BJ274" s="286" t="str">
        <f>IF(AM274="","",VLOOKUP(AM274,AN270:BE276,COLUMN()-COLUMN(BB269),FALSE))</f>
        <v/>
      </c>
      <c r="BK274" s="286" t="str">
        <f>IF(AM274="","",VLOOKUP(AM274,AN270:BE276,COLUMN()-COLUMN(BB269),FALSE))</f>
        <v/>
      </c>
      <c r="BL274" s="286" t="str">
        <f>IF(AM274="","",VLOOKUP(AM274,AN270:BE276,COLUMN()-COLUMN(BB269),FALSE))</f>
        <v/>
      </c>
      <c r="BM274" s="286" t="str">
        <f>IF(AM274="","",VLOOKUP(AM274,AN270:BE276,COLUMN()-COLUMN(BB269),FALSE))</f>
        <v/>
      </c>
      <c r="BN274" s="349" t="str">
        <f>IF(AM274="","",VLOOKUP(AM274,AN270:BE276,COLUMN()-COLUMN(BB269),FALSE))</f>
        <v/>
      </c>
      <c r="BO274" s="298" t="str">
        <f>IF(AM274="","",VLOOKUP(AM274,AN270:BE276,COLUMN()-COLUMN(BB269),FALSE))</f>
        <v/>
      </c>
      <c r="BP274" s="286" t="str">
        <f>IF(AM274="","",VLOOKUP(AM274,AN270:BE276,COLUMN()-COLUMN(BB269),FALSE))</f>
        <v/>
      </c>
      <c r="BQ274" s="301" t="str">
        <f>IF(AM274="","",VLOOKUP(AM274,AN270:BE276,COLUMN()-COLUMN(BB269),FALSE))</f>
        <v/>
      </c>
      <c r="BR274" s="352" t="str">
        <f>IF(AM274="","",VLOOKUP(AM274,AN270:BE276,COLUMN()-COLUMN(BB269),FALSE))</f>
        <v/>
      </c>
      <c r="BS274" s="286" t="str">
        <f>IF(AM274="","",VLOOKUP(AM274,AN270:BE276,COLUMN()-COLUMN(BB269),FALSE))</f>
        <v/>
      </c>
      <c r="BT274" s="301" t="str">
        <f>IF(AM274="","",VLOOKUP(AM274,AN270:BE276,COLUMN()-COLUMN(BB269),FALSE))</f>
        <v/>
      </c>
    </row>
    <row r="275" spans="1:72" x14ac:dyDescent="0.2">
      <c r="A275" s="62"/>
      <c r="B275" s="280"/>
      <c r="C275" s="62"/>
      <c r="D275" s="62"/>
      <c r="E275" s="241" t="s">
        <v>12240</v>
      </c>
      <c r="F275" s="246" t="s">
        <v>14019</v>
      </c>
      <c r="G275" s="246" t="s">
        <v>8201</v>
      </c>
      <c r="H275" s="254">
        <v>4</v>
      </c>
      <c r="I275" s="254">
        <v>1</v>
      </c>
      <c r="J275" s="254"/>
      <c r="K275" s="363"/>
      <c r="L275" s="363"/>
      <c r="M275" s="63"/>
      <c r="N275" s="265" t="b">
        <f>NOT(ISERROR(ResultsTeams[[#This Row],[Goal-A]]+ResultsTeams[[#This Row],[Goal-B]]))</f>
        <v>1</v>
      </c>
      <c r="O275" s="265">
        <f>IF(ResultsTeams[[#This Row],[Type]]="G",SUM(O276:O279),IF(LEFT(ResultsTeams[[#This Row],[Type]],1)="P",IF(ResultsTeams[[#This Row],[Goal-A]]&gt;ResultsTeams[[#This Row],[Goal-B]],1,0),""))</f>
        <v>1</v>
      </c>
      <c r="P275" s="265">
        <f>IF(ResultsTeams[[#This Row],[Type]]="G",SUM(P276:P279),IF(LEFT(ResultsTeams[[#This Row],[Type]],1)="P",IF(ResultsTeams[[#This Row],[Goal-A]]&lt;ResultsTeams[[#This Row],[Goal-B]],1,0),""))</f>
        <v>0</v>
      </c>
      <c r="Q275" s="265">
        <f>IF(ResultsTeams[[#This Row],[Type]]="G",SUM(Q276:Q279),IF(LEFT(ResultsTeams[[#This Row],[Type]],1)="P",VALUE(ResultsTeams[[#This Row],[Score-A]]),""))</f>
        <v>4</v>
      </c>
      <c r="R275" s="265">
        <f>IF(ResultsTeams[[#This Row],[Type]]="G",SUM(R276:R279),IF(LEFT(ResultsTeams[[#This Row],[Type]],1)="P",VALUE(ResultsTeams[[#This Row],[Score-B]]),""))</f>
        <v>1</v>
      </c>
      <c r="S275" s="265" t="str">
        <f ca="1">IF(AND(ResultsTeams[[#This Row],[Category]]&lt;&gt;"",ResultsTeams[[#This Row],[Team A]]&lt;&gt;""),COUNTIF(INDIRECT("TeamsList[Club Name]"),ResultsTeams[[#This Row],[Team A]]),"")</f>
        <v/>
      </c>
      <c r="T275" s="265" t="str">
        <f ca="1">IF(AND(ResultsTeams[[#This Row],[Category]]&lt;&gt;"",ResultsTeams[[#This Row],[Team B]]&lt;&gt;""),COUNTIF(INDIRECT("TeamsList[Club Name]"),ResultsTeams[[#This Row],[Team B]]),"")</f>
        <v/>
      </c>
      <c r="U2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-Stylianos Tsangouris</v>
      </c>
      <c r="V275" s="265" t="str">
        <f>IF(ResultsTeams[[#This Row],[Score_OK]],IF(ResultsTeams[[#This Row],[StageCpy]]="Groups",ResultsTeams[[#This Row],[Category]]&amp;"-"&amp;IF(ResultsTeams[[#This Row],[Team B]]="","",IF(ResultsTeams[[#This Row],[Match-A]]=ResultsTeams[[#This Row],[Match-B]],ResultsTeams[[#This Row],[Team A]],"")),""),"")</f>
        <v>-</v>
      </c>
      <c r="W275" s="265" t="str">
        <f>IF(ResultsTeams[[#This Row],[Score_OK]],IF(ResultsTeams[[#This Row],[StageCpy]]="Groups",ResultsTeams[[#This Row],[Category]]&amp;"-"&amp;IF(ResultsTeams[[#This Row],[Team B]]="","",IF(ResultsTeams[[#This Row],[Match-A]]=ResultsTeams[[#This Row],[Match-B]],ResultsTeams[[#This Row],[Team B]],"")),""),"")</f>
        <v>-</v>
      </c>
      <c r="X2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-Kostandinos Tsangouris</v>
      </c>
      <c r="Y2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5" s="264" t="str">
        <f>IF(ResultsTeams[[#This Row],[Category]]="","",VLOOKUP(ResultsTeams[[#This Row],[Stage]],$R$1:$T$8,MATCH(ResultsTeams[[#This Row],[Category]],$S$1:$T$1,0)+1,FALSE))</f>
        <v/>
      </c>
      <c r="AC2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5" s="264" t="str">
        <f>IF(ResultsTeams[[#This Row],[Type]]="G",ResultsTeams[[#This Row],[Stage]],AD274)</f>
        <v>Groups</v>
      </c>
      <c r="AE275" s="395" t="str">
        <f>IF(ResultsTeams[[#This Row],[Type]]="G",INDEX(TeamsList[Club Name],MATCH(ResultsTeams[[#This Row],[Team A]],TeamsList[Team Name],0)),AE274)</f>
        <v>Atlas FTC</v>
      </c>
      <c r="AF275" s="395" t="str">
        <f>IF(ResultsTeams[[#This Row],[Type]]="G",INDEX(TeamsList[Club Name],MATCH(ResultsTeams[[#This Row],[Team B]],TeamsList[Team Name],0)),AF274)</f>
        <v>SC Lion's Eugies</v>
      </c>
      <c r="AG275" s="265"/>
      <c r="AI275" s="12">
        <f t="shared" si="233"/>
        <v>0</v>
      </c>
      <c r="AJ275" s="309"/>
      <c r="AK275" s="310"/>
      <c r="AL275" s="311"/>
      <c r="AM275" s="292" t="str">
        <f>IF(AV275="","",SMALL(AN270:AN276,ROWS(AM270:AM275)))</f>
        <v/>
      </c>
      <c r="AN275" s="293" t="str">
        <f>IF(AV275="","",RANK(AR275,AR270:AR276)*1000+ROWS(AN270:AN275))</f>
        <v/>
      </c>
      <c r="AO275" s="316" t="str">
        <f t="shared" si="226"/>
        <v/>
      </c>
      <c r="AP275" s="415" t="b">
        <f>AND(AU275&lt;&gt;"",AU275&gt;0,COUNTIF(AO270:AO276,AO275)&gt;1)</f>
        <v>0</v>
      </c>
      <c r="AQ275" s="316" t="str">
        <f t="shared" si="227"/>
        <v/>
      </c>
      <c r="AR275" s="317" t="str">
        <f t="shared" si="228"/>
        <v/>
      </c>
      <c r="AS275" s="415" t="b">
        <f>AND(AU275&lt;&gt;"",AU275&gt;0,COUNTIF(AR270:AR276,AR275)&gt;1)</f>
        <v>0</v>
      </c>
      <c r="AT275" s="355" t="str">
        <f t="shared" si="229"/>
        <v/>
      </c>
      <c r="AU275" s="356" t="str">
        <f t="shared" si="230"/>
        <v/>
      </c>
      <c r="AV275" s="356" t="str">
        <f>IF(OR(AI269="",AJ275=""),"",COUNTIF(ResultsTeams[Win],AI269&amp;"-"&amp;AJ275))</f>
        <v/>
      </c>
      <c r="AW275" s="356" t="str">
        <f>IF(OR(AI269="",AJ275=""),"",COUNTIF(ResultsTeams[[Draw1]:[Draw2]],AI269&amp;"-"&amp;AJ275))</f>
        <v/>
      </c>
      <c r="AX275" s="356" t="str">
        <f>IF(OR(AI269="",AJ275=""),"",COUNTIF(ResultsTeams[Lose],AI269&amp;"-"&amp;AJ275))</f>
        <v/>
      </c>
      <c r="AY275" s="356" t="str">
        <f>IF(OR(AI269="",AJ275=""),"",AV275-AX275)</f>
        <v/>
      </c>
      <c r="AZ275" s="356" t="str">
        <f>IF(OR(AI274="",AJ275=""),"",SUMIFS(ResultsTeams[Match-A],ResultsTeams[Stage],"Groups",ResultsTeams[Team A],AJ275)+SUMIFS(ResultsTeams[Match-B],ResultsTeams[Stage],"Groups",ResultsTeams[Team B],AJ275))</f>
        <v/>
      </c>
      <c r="BA275" s="356" t="str">
        <f>IF(OR(AI274="",AJ275=""),"",SUMIFS(ResultsTeams[Match-B],ResultsTeams[Stage],"Groups",ResultsTeams[Team A],AJ275)+SUMIFS(ResultsTeams[Match-A],ResultsTeams[Stage],"Groups",ResultsTeams[Team B],AJ275))</f>
        <v/>
      </c>
      <c r="BB275" s="356" t="str">
        <f t="shared" si="232"/>
        <v/>
      </c>
      <c r="BC275" s="356" t="str">
        <f>IF(OR(AI274="",AJ275=""),"",SUMIFS(ResultsTeams[Goal-A],ResultsTeams[Stage],"Groups",ResultsTeams[Team A],AJ275)+SUMIFS(ResultsTeams[Goal-B],ResultsTeams[Stage],"Groups",ResultsTeams[Team B],AJ275))</f>
        <v/>
      </c>
      <c r="BD275" s="356" t="str">
        <f>IF(OR(AI274="",AJ275=""),"",SUMIFS(ResultsTeams[Goal-B],ResultsTeams[Stage],"Groups",ResultsTeams[Team A],AJ275)+SUMIFS(ResultsTeams[Goal-A],ResultsTeams[Stage],"Groups",ResultsTeams[Team B],AJ275))</f>
        <v/>
      </c>
      <c r="BE275" s="357" t="str">
        <f>IF(OR(AI269="",AJ275=""),"",BC275-BD275)</f>
        <v/>
      </c>
      <c r="BF275" s="470" t="str">
        <f>IF(AM275="","",OR(VLOOKUP(AM275,AN270:BE276,3,FALSE),VLOOKUP(AM275,AN270:BE276,6,FALSE)))</f>
        <v/>
      </c>
      <c r="BG275" s="298" t="str">
        <f t="shared" si="231"/>
        <v/>
      </c>
      <c r="BH275" s="285" t="str">
        <f>IF(AM275="","",INDEX(AJ270:AJ276,MATCH(AM275,AN270:AN276,0)))</f>
        <v/>
      </c>
      <c r="BI275" s="286" t="str">
        <f>IF(AM275="","",VLOOKUP(AM275,AN270:BE276,COLUMN()-COLUMN(BB269),FALSE))</f>
        <v/>
      </c>
      <c r="BJ275" s="286" t="str">
        <f>IF(AM275="","",VLOOKUP(AM275,AN270:BE276,COLUMN()-COLUMN(BB269),FALSE))</f>
        <v/>
      </c>
      <c r="BK275" s="286" t="str">
        <f>IF(AM275="","",VLOOKUP(AM275,AN270:BE276,COLUMN()-COLUMN(BB269),FALSE))</f>
        <v/>
      </c>
      <c r="BL275" s="286" t="str">
        <f>IF(AM275="","",VLOOKUP(AM275,AN270:BE276,COLUMN()-COLUMN(BB269),FALSE))</f>
        <v/>
      </c>
      <c r="BM275" s="286" t="str">
        <f>IF(AM275="","",VLOOKUP(AM275,AN270:BE276,COLUMN()-COLUMN(BB269),FALSE))</f>
        <v/>
      </c>
      <c r="BN275" s="349" t="str">
        <f>IF(AM275="","",VLOOKUP(AM275,AN270:BE276,COLUMN()-COLUMN(BB269),FALSE))</f>
        <v/>
      </c>
      <c r="BO275" s="298" t="str">
        <f>IF(AM275="","",VLOOKUP(AM275,AN270:BE276,COLUMN()-COLUMN(BB269),FALSE))</f>
        <v/>
      </c>
      <c r="BP275" s="286" t="str">
        <f>IF(AM275="","",VLOOKUP(AM275,AN270:BE276,COLUMN()-COLUMN(BB269),FALSE))</f>
        <v/>
      </c>
      <c r="BQ275" s="301" t="str">
        <f>IF(AM275="","",VLOOKUP(AM275,AN270:BE276,COLUMN()-COLUMN(BB269),FALSE))</f>
        <v/>
      </c>
      <c r="BR275" s="352" t="str">
        <f>IF(AM275="","",VLOOKUP(AM275,AN270:BE276,COLUMN()-COLUMN(BB269),FALSE))</f>
        <v/>
      </c>
      <c r="BS275" s="286" t="str">
        <f>IF(AM275="","",VLOOKUP(AM275,AN270:BE276,COLUMN()-COLUMN(BB269),FALSE))</f>
        <v/>
      </c>
      <c r="BT275" s="301" t="str">
        <f>IF(AM275="","",VLOOKUP(AM275,AN270:BE276,COLUMN()-COLUMN(BB269),FALSE))</f>
        <v/>
      </c>
    </row>
    <row r="276" spans="1:72" ht="12" thickBot="1" x14ac:dyDescent="0.25">
      <c r="A276" s="62"/>
      <c r="B276" s="62"/>
      <c r="C276" s="62"/>
      <c r="D276" s="62"/>
      <c r="E276" s="241" t="s">
        <v>12243</v>
      </c>
      <c r="F276" s="247"/>
      <c r="G276" s="247"/>
      <c r="H276" s="254"/>
      <c r="I276" s="254"/>
      <c r="J276" s="260"/>
      <c r="K276" s="364"/>
      <c r="L276" s="364"/>
      <c r="M276" s="63"/>
      <c r="N276" s="265" t="b">
        <f>NOT(ISERROR(ResultsTeams[[#This Row],[Goal-A]]+ResultsTeams[[#This Row],[Goal-B]]))</f>
        <v>0</v>
      </c>
      <c r="O276" s="265" t="str">
        <f>IF(ResultsTeams[[#This Row],[Type]]="G",SUM(O277:O280),IF(LEFT(ResultsTeams[[#This Row],[Type]],1)="P",IF(ResultsTeams[[#This Row],[Goal-A]]&gt;ResultsTeams[[#This Row],[Goal-B]],1,0),""))</f>
        <v/>
      </c>
      <c r="P276" s="265" t="str">
        <f>IF(ResultsTeams[[#This Row],[Type]]="G",SUM(P277:P280),IF(LEFT(ResultsTeams[[#This Row],[Type]],1)="P",IF(ResultsTeams[[#This Row],[Goal-A]]&lt;ResultsTeams[[#This Row],[Goal-B]],1,0),""))</f>
        <v/>
      </c>
      <c r="Q276" s="265" t="str">
        <f>IF(ResultsTeams[[#This Row],[Type]]="G",SUM(Q277:Q280),IF(LEFT(ResultsTeams[[#This Row],[Type]],1)="P",VALUE(ResultsTeams[[#This Row],[Score-A]]),""))</f>
        <v/>
      </c>
      <c r="R276" s="265" t="str">
        <f>IF(ResultsTeams[[#This Row],[Type]]="G",SUM(R277:R280),IF(LEFT(ResultsTeams[[#This Row],[Type]],1)="P",VALUE(ResultsTeams[[#This Row],[Score-B]]),""))</f>
        <v/>
      </c>
      <c r="S276" s="265" t="str">
        <f ca="1">IF(AND(ResultsTeams[[#This Row],[Category]]&lt;&gt;"",ResultsTeams[[#This Row],[Team A]]&lt;&gt;""),COUNTIF(INDIRECT("TeamsList[Club Name]"),ResultsTeams[[#This Row],[Team A]]),"")</f>
        <v/>
      </c>
      <c r="T276" s="265" t="str">
        <f ca="1">IF(AND(ResultsTeams[[#This Row],[Category]]&lt;&gt;"",ResultsTeams[[#This Row],[Team B]]&lt;&gt;""),COUNTIF(INDIRECT("TeamsList[Club Name]"),ResultsTeams[[#This Row],[Team B]]),"")</f>
        <v/>
      </c>
      <c r="U2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6" s="265" t="str">
        <f>IF(ResultsTeams[[#This Row],[Score_OK]],IF(ResultsTeams[[#This Row],[StageCpy]]="Groups",ResultsTeams[[#This Row],[Category]]&amp;"-"&amp;IF(ResultsTeams[[#This Row],[Team B]]="","",IF(ResultsTeams[[#This Row],[Match-A]]=ResultsTeams[[#This Row],[Match-B]],ResultsTeams[[#This Row],[Team A]],"")),""),"")</f>
        <v/>
      </c>
      <c r="W276" s="265" t="str">
        <f>IF(ResultsTeams[[#This Row],[Score_OK]],IF(ResultsTeams[[#This Row],[StageCpy]]="Groups",ResultsTeams[[#This Row],[Category]]&amp;"-"&amp;IF(ResultsTeams[[#This Row],[Team B]]="","",IF(ResultsTeams[[#This Row],[Match-A]]=ResultsTeams[[#This Row],[Match-B]],ResultsTeams[[#This Row],[Team B]],"")),""),"")</f>
        <v/>
      </c>
      <c r="X2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6" s="264" t="str">
        <f>IF(ResultsTeams[[#This Row],[Category]]="","",VLOOKUP(ResultsTeams[[#This Row],[Stage]],$R$1:$T$8,MATCH(ResultsTeams[[#This Row],[Category]],$S$1:$T$1,0)+1,FALSE))</f>
        <v/>
      </c>
      <c r="AC2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6" s="264" t="str">
        <f>IF(ResultsTeams[[#This Row],[Type]]="G",ResultsTeams[[#This Row],[Stage]],AD275)</f>
        <v>Groups</v>
      </c>
      <c r="AE276" s="395" t="str">
        <f>IF(ResultsTeams[[#This Row],[Type]]="G",INDEX(TeamsList[Club Name],MATCH(ResultsTeams[[#This Row],[Team A]],TeamsList[Team Name],0)),AE275)</f>
        <v>Atlas FTC</v>
      </c>
      <c r="AF276" s="395" t="str">
        <f>IF(ResultsTeams[[#This Row],[Type]]="G",INDEX(TeamsList[Club Name],MATCH(ResultsTeams[[#This Row],[Team B]],TeamsList[Team Name],0)),AF275)</f>
        <v>SC Lion's Eugies</v>
      </c>
      <c r="AG276" s="265"/>
      <c r="AI276" s="12">
        <f t="shared" si="233"/>
        <v>0</v>
      </c>
      <c r="AJ276" s="312"/>
      <c r="AK276" s="313"/>
      <c r="AL276" s="314"/>
      <c r="AM276" s="294" t="str">
        <f>IF(AV276="","",SMALL(AN270:AN276,ROWS(AM270:AM276)))</f>
        <v/>
      </c>
      <c r="AN276" s="295" t="str">
        <f>IF(AV276="","",RANK(AR276,AR270:AR276)*1000+ROWS(AN270:AN276))</f>
        <v/>
      </c>
      <c r="AO276" s="318" t="str">
        <f t="shared" si="226"/>
        <v/>
      </c>
      <c r="AP276" s="416" t="b">
        <f>AND(AU276&lt;&gt;"",AU276&gt;0,COUNTIF(AO270:AO276,AO276)&gt;1)</f>
        <v>0</v>
      </c>
      <c r="AQ276" s="318" t="str">
        <f t="shared" si="227"/>
        <v/>
      </c>
      <c r="AR276" s="319" t="str">
        <f t="shared" si="228"/>
        <v/>
      </c>
      <c r="AS276" s="416" t="b">
        <f>AND(AU276&lt;&gt;"",AU276&gt;0,COUNTIF(AR270:AR276,AR276)&gt;1)</f>
        <v>0</v>
      </c>
      <c r="AT276" s="358" t="str">
        <f t="shared" si="229"/>
        <v/>
      </c>
      <c r="AU276" s="359" t="str">
        <f t="shared" si="230"/>
        <v/>
      </c>
      <c r="AV276" s="359" t="str">
        <f>IF(OR(AI269="",AJ276=""),"",COUNTIF(ResultsTeams[Win],AI269&amp;"-"&amp;AJ276))</f>
        <v/>
      </c>
      <c r="AW276" s="359" t="str">
        <f>IF(OR(AI269="",AJ276=""),"",COUNTIF(ResultsTeams[[Draw1]:[Draw2]],AI269&amp;"-"&amp;AJ276))</f>
        <v/>
      </c>
      <c r="AX276" s="359" t="str">
        <f>IF(OR(AI269="",AJ276=""),"",COUNTIF(ResultsTeams[Lose],AI269&amp;"-"&amp;AJ276))</f>
        <v/>
      </c>
      <c r="AY276" s="359" t="str">
        <f>IF(OR(AI269="",AJ276=""),"",AV276-AX276)</f>
        <v/>
      </c>
      <c r="AZ276" s="359" t="str">
        <f>IF(OR(AI275="",AJ276=""),"",SUMIFS(ResultsTeams[Match-A],ResultsTeams[Stage],"Groups",ResultsTeams[Team A],AJ276)+SUMIFS(ResultsTeams[Match-B],ResultsTeams[Stage],"Groups",ResultsTeams[Team B],AJ276))</f>
        <v/>
      </c>
      <c r="BA276" s="359" t="str">
        <f>IF(OR(AI275="",AJ276=""),"",SUMIFS(ResultsTeams[Match-B],ResultsTeams[Stage],"Groups",ResultsTeams[Team A],AJ276)+SUMIFS(ResultsTeams[Match-A],ResultsTeams[Stage],"Groups",ResultsTeams[Team B],AJ276))</f>
        <v/>
      </c>
      <c r="BB276" s="359" t="str">
        <f t="shared" si="232"/>
        <v/>
      </c>
      <c r="BC276" s="359" t="str">
        <f>IF(OR(AI275="",AJ276=""),"",SUMIFS(ResultsTeams[Goal-A],ResultsTeams[Stage],"Groups",ResultsTeams[Team A],AJ276)+SUMIFS(ResultsTeams[Goal-B],ResultsTeams[Stage],"Groups",ResultsTeams[Team B],AJ276))</f>
        <v/>
      </c>
      <c r="BD276" s="359" t="str">
        <f>IF(OR(AI275="",AJ276=""),"",SUMIFS(ResultsTeams[Goal-B],ResultsTeams[Stage],"Groups",ResultsTeams[Team A],AJ276)+SUMIFS(ResultsTeams[Goal-A],ResultsTeams[Stage],"Groups",ResultsTeams[Team B],AJ276))</f>
        <v/>
      </c>
      <c r="BE276" s="360" t="str">
        <f>IF(OR(AI269="",AJ276=""),"",BC276-BD276)</f>
        <v/>
      </c>
      <c r="BF276" s="470" t="str">
        <f>IF(AM276="","",OR(VLOOKUP(AM276,AN270:BE276,3,FALSE),VLOOKUP(AM276,AN270:BE276,6,FALSE)))</f>
        <v/>
      </c>
      <c r="BG276" s="299" t="str">
        <f t="shared" si="231"/>
        <v/>
      </c>
      <c r="BH276" s="287" t="str">
        <f>IF(AM276="","",INDEX(AJ270:AJ276,MATCH(AM276,AN270:AN276,0)))</f>
        <v/>
      </c>
      <c r="BI276" s="288" t="str">
        <f>IF(AM276="","",VLOOKUP(AM276,AN270:BE276,COLUMN()-COLUMN(BB269),FALSE))</f>
        <v/>
      </c>
      <c r="BJ276" s="288" t="str">
        <f>IF(AM276="","",VLOOKUP(AM276,AN270:BE276,COLUMN()-COLUMN(BB269),FALSE))</f>
        <v/>
      </c>
      <c r="BK276" s="288" t="str">
        <f>IF(AM276="","",VLOOKUP(AM276,AN270:BE276,COLUMN()-COLUMN(BB269),FALSE))</f>
        <v/>
      </c>
      <c r="BL276" s="288" t="str">
        <f>IF(AM276="","",VLOOKUP(AM276,AN270:BE276,COLUMN()-COLUMN(BB269),FALSE))</f>
        <v/>
      </c>
      <c r="BM276" s="288" t="str">
        <f>IF(AM276="","",VLOOKUP(AM276,AN270:BE276,COLUMN()-COLUMN(BB269),FALSE))</f>
        <v/>
      </c>
      <c r="BN276" s="350" t="str">
        <f>IF(AM276="","",VLOOKUP(AM276,AN270:BE276,COLUMN()-COLUMN(BB269),FALSE))</f>
        <v/>
      </c>
      <c r="BO276" s="299" t="str">
        <f>IF(AM276="","",VLOOKUP(AM276,AN270:BE276,COLUMN()-COLUMN(BB269),FALSE))</f>
        <v/>
      </c>
      <c r="BP276" s="288" t="str">
        <f>IF(AM276="","",VLOOKUP(AM276,AN270:BE276,COLUMN()-COLUMN(BB269),FALSE))</f>
        <v/>
      </c>
      <c r="BQ276" s="302" t="str">
        <f>IF(AM276="","",VLOOKUP(AM276,AN270:BE276,COLUMN()-COLUMN(BB269),FALSE))</f>
        <v/>
      </c>
      <c r="BR276" s="353" t="str">
        <f>IF(AM276="","",VLOOKUP(AM276,AN270:BE276,COLUMN()-COLUMN(BB269),FALSE))</f>
        <v/>
      </c>
      <c r="BS276" s="288" t="str">
        <f>IF(AM276="","",VLOOKUP(AM276,AN270:BE276,COLUMN()-COLUMN(BB269),FALSE))</f>
        <v/>
      </c>
      <c r="BT276" s="302" t="str">
        <f>IF(AM276="","",VLOOKUP(AM276,AN270:BE276,COLUMN()-COLUMN(BB269),FALSE))</f>
        <v/>
      </c>
    </row>
    <row r="277" spans="1:72" ht="12" thickBot="1" x14ac:dyDescent="0.25">
      <c r="A277" s="83"/>
      <c r="B277" s="83"/>
      <c r="C277" s="83"/>
      <c r="D277" s="83"/>
      <c r="E277" s="268" t="s">
        <v>12244</v>
      </c>
      <c r="F277" s="262"/>
      <c r="G277" s="262"/>
      <c r="H277" s="324"/>
      <c r="I277" s="324"/>
      <c r="J277" s="263"/>
      <c r="K277" s="365"/>
      <c r="L277" s="365"/>
      <c r="M277" s="84"/>
      <c r="N277" s="265" t="b">
        <f>NOT(ISERROR(ResultsTeams[[#This Row],[Goal-A]]+ResultsTeams[[#This Row],[Goal-B]]))</f>
        <v>0</v>
      </c>
      <c r="O277" s="265" t="str">
        <f>IF(ResultsTeams[[#This Row],[Type]]="G",SUM(O278:O281),IF(LEFT(ResultsTeams[[#This Row],[Type]],1)="P",IF(ResultsTeams[[#This Row],[Goal-A]]&gt;ResultsTeams[[#This Row],[Goal-B]],1,0),""))</f>
        <v/>
      </c>
      <c r="P277" s="265" t="str">
        <f>IF(ResultsTeams[[#This Row],[Type]]="G",SUM(P278:P281),IF(LEFT(ResultsTeams[[#This Row],[Type]],1)="P",IF(ResultsTeams[[#This Row],[Goal-A]]&lt;ResultsTeams[[#This Row],[Goal-B]],1,0),""))</f>
        <v/>
      </c>
      <c r="Q277" s="265" t="str">
        <f>IF(ResultsTeams[[#This Row],[Type]]="G",SUM(Q278:Q281),IF(LEFT(ResultsTeams[[#This Row],[Type]],1)="P",VALUE(ResultsTeams[[#This Row],[Score-A]]),""))</f>
        <v/>
      </c>
      <c r="R277" s="265" t="str">
        <f>IF(ResultsTeams[[#This Row],[Type]]="G",SUM(R278:R281),IF(LEFT(ResultsTeams[[#This Row],[Type]],1)="P",VALUE(ResultsTeams[[#This Row],[Score-B]]),""))</f>
        <v/>
      </c>
      <c r="S277" s="265" t="str">
        <f ca="1">IF(AND(ResultsTeams[[#This Row],[Category]]&lt;&gt;"",ResultsTeams[[#This Row],[Team A]]&lt;&gt;""),COUNTIF(INDIRECT("TeamsList[Club Name]"),ResultsTeams[[#This Row],[Team A]]),"")</f>
        <v/>
      </c>
      <c r="T277" s="265" t="str">
        <f ca="1">IF(AND(ResultsTeams[[#This Row],[Category]]&lt;&gt;"",ResultsTeams[[#This Row],[Team B]]&lt;&gt;""),COUNTIF(INDIRECT("TeamsList[Club Name]"),ResultsTeams[[#This Row],[Team B]]),"")</f>
        <v/>
      </c>
      <c r="U2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7" s="265" t="str">
        <f>IF(ResultsTeams[[#This Row],[Score_OK]],IF(ResultsTeams[[#This Row],[StageCpy]]="Groups",ResultsTeams[[#This Row],[Category]]&amp;"-"&amp;IF(ResultsTeams[[#This Row],[Team B]]="","",IF(ResultsTeams[[#This Row],[Match-A]]=ResultsTeams[[#This Row],[Match-B]],ResultsTeams[[#This Row],[Team A]],"")),""),"")</f>
        <v/>
      </c>
      <c r="W277" s="265" t="str">
        <f>IF(ResultsTeams[[#This Row],[Score_OK]],IF(ResultsTeams[[#This Row],[StageCpy]]="Groups",ResultsTeams[[#This Row],[Category]]&amp;"-"&amp;IF(ResultsTeams[[#This Row],[Team B]]="","",IF(ResultsTeams[[#This Row],[Match-A]]=ResultsTeams[[#This Row],[Match-B]],ResultsTeams[[#This Row],[Team B]],"")),""),"")</f>
        <v/>
      </c>
      <c r="X2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7" s="264" t="str">
        <f>IF(ResultsTeams[[#This Row],[Category]]="","",VLOOKUP(ResultsTeams[[#This Row],[Stage]],$R$1:$T$8,MATCH(ResultsTeams[[#This Row],[Category]],$S$1:$T$1,0)+1,FALSE))</f>
        <v/>
      </c>
      <c r="AC2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7" s="264" t="str">
        <f>IF(ResultsTeams[[#This Row],[Type]]="G",ResultsTeams[[#This Row],[Stage]],AD276)</f>
        <v>Groups</v>
      </c>
      <c r="AE277" s="395" t="str">
        <f>IF(ResultsTeams[[#This Row],[Type]]="G",INDEX(TeamsList[Club Name],MATCH(ResultsTeams[[#This Row],[Team A]],TeamsList[Team Name],0)),AE276)</f>
        <v>Atlas FTC</v>
      </c>
      <c r="AF277" s="395" t="str">
        <f>IF(ResultsTeams[[#This Row],[Type]]="G",INDEX(TeamsList[Club Name],MATCH(ResultsTeams[[#This Row],[Team B]],TeamsList[Team Name],0)),AF276)</f>
        <v>SC Lion's Eugies</v>
      </c>
      <c r="AG277" s="265"/>
    </row>
    <row r="278" spans="1:72" ht="12" thickBot="1" x14ac:dyDescent="0.25">
      <c r="A278" s="261" t="s">
        <v>12693</v>
      </c>
      <c r="B278" s="270" t="s">
        <v>12207</v>
      </c>
      <c r="C278" s="270">
        <v>7</v>
      </c>
      <c r="D278" s="270"/>
      <c r="E278" s="272" t="s">
        <v>12228</v>
      </c>
      <c r="F278" s="273" t="s">
        <v>39</v>
      </c>
      <c r="G278" s="273" t="s">
        <v>644</v>
      </c>
      <c r="H278" s="275">
        <v>3</v>
      </c>
      <c r="I278" s="275">
        <v>0</v>
      </c>
      <c r="J278" s="275"/>
      <c r="K278" s="366"/>
      <c r="L278" s="366"/>
      <c r="M278" s="274"/>
      <c r="N278" s="265" t="b">
        <f>NOT(ISERROR(ResultsTeams[[#This Row],[Goal-A]]+ResultsTeams[[#This Row],[Goal-B]]))</f>
        <v>1</v>
      </c>
      <c r="O278" s="265">
        <f>IF(ResultsTeams[[#This Row],[Type]]="G",SUM(O279:O282),IF(LEFT(ResultsTeams[[#This Row],[Type]],1)="P",IF(ResultsTeams[[#This Row],[Goal-A]]&gt;ResultsTeams[[#This Row],[Goal-B]],1,0),""))</f>
        <v>3</v>
      </c>
      <c r="P278" s="265">
        <f>IF(ResultsTeams[[#This Row],[Type]]="G",SUM(P279:P282),IF(LEFT(ResultsTeams[[#This Row],[Type]],1)="P",IF(ResultsTeams[[#This Row],[Goal-A]]&lt;ResultsTeams[[#This Row],[Goal-B]],1,0),""))</f>
        <v>0</v>
      </c>
      <c r="Q278" s="265">
        <f>IF(ResultsTeams[[#This Row],[Type]]="G",SUM(Q279:Q282),IF(LEFT(ResultsTeams[[#This Row],[Type]],1)="P",VALUE(ResultsTeams[[#This Row],[Score-A]]),""))</f>
        <v>12</v>
      </c>
      <c r="R278" s="265">
        <f>IF(ResultsTeams[[#This Row],[Type]]="G",SUM(R279:R282),IF(LEFT(ResultsTeams[[#This Row],[Type]],1)="P",VALUE(ResultsTeams[[#This Row],[Score-B]]),""))</f>
        <v>5</v>
      </c>
      <c r="S278" s="265">
        <f ca="1">IF(AND(ResultsTeams[[#This Row],[Category]]&lt;&gt;"",ResultsTeams[[#This Row],[Team A]]&lt;&gt;""),COUNTIF(INDIRECT("TeamsList[Club Name]"),ResultsTeams[[#This Row],[Team A]]),"")</f>
        <v>1</v>
      </c>
      <c r="T278" s="265">
        <f ca="1">IF(AND(ResultsTeams[[#This Row],[Category]]&lt;&gt;"",ResultsTeams[[#This Row],[Team B]]&lt;&gt;""),COUNTIF(INDIRECT("TeamsList[Club Name]"),ResultsTeams[[#This Row],[Team B]]),"")</f>
        <v>2</v>
      </c>
      <c r="U2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TEAM-TSC Royal 78 Kaisermühlen</v>
      </c>
      <c r="V278" s="265" t="str">
        <f>IF(ResultsTeams[[#This Row],[Score_OK]],IF(ResultsTeams[[#This Row],[StageCpy]]="Groups",ResultsTeams[[#This Row],[Category]]&amp;"-"&amp;IF(ResultsTeams[[#This Row],[Team B]]="","",IF(ResultsTeams[[#This Row],[Match-A]]=ResultsTeams[[#This Row],[Match-B]],ResultsTeams[[#This Row],[Team A]],"")),""),"")</f>
        <v>TEAM-</v>
      </c>
      <c r="W278" s="265" t="str">
        <f>IF(ResultsTeams[[#This Row],[Score_OK]],IF(ResultsTeams[[#This Row],[StageCpy]]="Groups",ResultsTeams[[#This Row],[Category]]&amp;"-"&amp;IF(ResultsTeams[[#This Row],[Team B]]="","",IF(ResultsTeams[[#This Row],[Match-A]]=ResultsTeams[[#This Row],[Match-B]],ResultsTeams[[#This Row],[Team B]],"")),""),"")</f>
        <v>TEAM-</v>
      </c>
      <c r="X2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TEAM-Master Sanremo</v>
      </c>
      <c r="Y2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TEAM-Master Sanremo</v>
      </c>
      <c r="AA2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TEAM-Master Sanremo</v>
      </c>
      <c r="AB278" s="264" t="str">
        <f>IF(ResultsTeams[[#This Row],[Category]]="","",VLOOKUP(ResultsTeams[[#This Row],[Stage]],$R$1:$T$8,MATCH(ResultsTeams[[#This Row],[Category]],$S$1:$T$1,0)+1,FALSE))</f>
        <v>PR1</v>
      </c>
      <c r="AC2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8" s="264" t="str">
        <f>IF(ResultsTeams[[#This Row],[Type]]="G",ResultsTeams[[#This Row],[Stage]],AD277)</f>
        <v>Groups</v>
      </c>
      <c r="AE278" s="395" t="str">
        <f>IF(ResultsTeams[[#This Row],[Type]]="G",INDEX(TeamsList[Club Name],MATCH(ResultsTeams[[#This Row],[Team A]],TeamsList[Team Name],0)),AE277)</f>
        <v>TSC Royal 78 Kaisermühlen</v>
      </c>
      <c r="AF278" s="395" t="str">
        <f>IF(ResultsTeams[[#This Row],[Type]]="G",INDEX(TeamsList[Club Name],MATCH(ResultsTeams[[#This Row],[Team B]],TeamsList[Team Name],0)),AF277)</f>
        <v>Master Sanremo</v>
      </c>
      <c r="AG278" s="265"/>
      <c r="AH278" s="281">
        <v>7</v>
      </c>
      <c r="AI278" s="315" t="s">
        <v>12693</v>
      </c>
      <c r="AJ278" s="289" t="s">
        <v>14438</v>
      </c>
      <c r="AK278" s="290" t="s">
        <v>12279</v>
      </c>
      <c r="AL278" s="300" t="s">
        <v>12275</v>
      </c>
      <c r="AM278" s="296" t="s">
        <v>12276</v>
      </c>
      <c r="AN278" s="291" t="s">
        <v>12271</v>
      </c>
      <c r="AO278" s="291" t="s">
        <v>12272</v>
      </c>
      <c r="AP278" s="414" t="s">
        <v>13154</v>
      </c>
      <c r="AQ278" s="291" t="s">
        <v>12273</v>
      </c>
      <c r="AR278" s="297" t="s">
        <v>12274</v>
      </c>
      <c r="AS278" s="414" t="s">
        <v>13154</v>
      </c>
      <c r="AT278" s="296" t="s">
        <v>12199</v>
      </c>
      <c r="AU278" s="291" t="s">
        <v>12200</v>
      </c>
      <c r="AV278" s="291" t="s">
        <v>12201</v>
      </c>
      <c r="AW278" s="291" t="s">
        <v>12202</v>
      </c>
      <c r="AX278" s="291" t="s">
        <v>12203</v>
      </c>
      <c r="AY278" s="291" t="s">
        <v>12697</v>
      </c>
      <c r="AZ278" s="291" t="s">
        <v>12698</v>
      </c>
      <c r="BA278" s="291" t="s">
        <v>12699</v>
      </c>
      <c r="BB278" s="291" t="s">
        <v>12700</v>
      </c>
      <c r="BC278" s="291" t="s">
        <v>12204</v>
      </c>
      <c r="BD278" s="291" t="s">
        <v>12205</v>
      </c>
      <c r="BE278" s="297" t="s">
        <v>12206</v>
      </c>
      <c r="BF278" s="395"/>
      <c r="BG278" s="282" t="s">
        <v>12276</v>
      </c>
      <c r="BH278" s="282" t="s">
        <v>12133</v>
      </c>
      <c r="BI278" s="283" t="s">
        <v>12199</v>
      </c>
      <c r="BJ278" s="283" t="s">
        <v>12200</v>
      </c>
      <c r="BK278" s="283" t="s">
        <v>12201</v>
      </c>
      <c r="BL278" s="283" t="s">
        <v>12202</v>
      </c>
      <c r="BM278" s="283" t="s">
        <v>12203</v>
      </c>
      <c r="BN278" s="290" t="s">
        <v>12697</v>
      </c>
      <c r="BO278" s="354" t="s">
        <v>12698</v>
      </c>
      <c r="BP278" s="283" t="s">
        <v>12699</v>
      </c>
      <c r="BQ278" s="300" t="s">
        <v>12700</v>
      </c>
      <c r="BR278" s="351" t="s">
        <v>12204</v>
      </c>
      <c r="BS278" s="283" t="s">
        <v>12205</v>
      </c>
      <c r="BT278" s="300" t="s">
        <v>12206</v>
      </c>
    </row>
    <row r="279" spans="1:72" x14ac:dyDescent="0.2">
      <c r="A279" s="60"/>
      <c r="B279" s="280"/>
      <c r="C279" s="60"/>
      <c r="D279" s="60"/>
      <c r="E279" s="240" t="s">
        <v>12231</v>
      </c>
      <c r="F279" s="244" t="s">
        <v>8043</v>
      </c>
      <c r="G279" s="244" t="s">
        <v>10149</v>
      </c>
      <c r="H279" s="253">
        <v>3</v>
      </c>
      <c r="I279" s="253">
        <v>1</v>
      </c>
      <c r="J279" s="253"/>
      <c r="K279" s="362"/>
      <c r="L279" s="362"/>
      <c r="M279" s="245"/>
      <c r="N279" s="265" t="b">
        <f>NOT(ISERROR(ResultsTeams[[#This Row],[Goal-A]]+ResultsTeams[[#This Row],[Goal-B]]))</f>
        <v>1</v>
      </c>
      <c r="O279" s="265">
        <f>IF(ResultsTeams[[#This Row],[Type]]="G",SUM(O280:O283),IF(LEFT(ResultsTeams[[#This Row],[Type]],1)="P",IF(ResultsTeams[[#This Row],[Goal-A]]&gt;ResultsTeams[[#This Row],[Goal-B]],1,0),""))</f>
        <v>1</v>
      </c>
      <c r="P279" s="265">
        <f>IF(ResultsTeams[[#This Row],[Type]]="G",SUM(P280:P283),IF(LEFT(ResultsTeams[[#This Row],[Type]],1)="P",IF(ResultsTeams[[#This Row],[Goal-A]]&lt;ResultsTeams[[#This Row],[Goal-B]],1,0),""))</f>
        <v>0</v>
      </c>
      <c r="Q279" s="265">
        <f>IF(ResultsTeams[[#This Row],[Type]]="G",SUM(Q280:Q283),IF(LEFT(ResultsTeams[[#This Row],[Type]],1)="P",VALUE(ResultsTeams[[#This Row],[Score-A]]),""))</f>
        <v>3</v>
      </c>
      <c r="R279" s="265">
        <f>IF(ResultsTeams[[#This Row],[Type]]="G",SUM(R280:R283),IF(LEFT(ResultsTeams[[#This Row],[Type]],1)="P",VALUE(ResultsTeams[[#This Row],[Score-B]]),""))</f>
        <v>1</v>
      </c>
      <c r="S279" s="265" t="str">
        <f ca="1">IF(AND(ResultsTeams[[#This Row],[Category]]&lt;&gt;"",ResultsTeams[[#This Row],[Team A]]&lt;&gt;""),COUNTIF(INDIRECT("TeamsList[Club Name]"),ResultsTeams[[#This Row],[Team A]]),"")</f>
        <v/>
      </c>
      <c r="T279" s="265" t="str">
        <f ca="1">IF(AND(ResultsTeams[[#This Row],[Category]]&lt;&gt;"",ResultsTeams[[#This Row],[Team B]]&lt;&gt;""),COUNTIF(INDIRECT("TeamsList[Club Name]"),ResultsTeams[[#This Row],[Team B]]),"")</f>
        <v/>
      </c>
      <c r="U2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-Alexander Haas</v>
      </c>
      <c r="V279" s="265" t="str">
        <f>IF(ResultsTeams[[#This Row],[Score_OK]],IF(ResultsTeams[[#This Row],[StageCpy]]="Groups",ResultsTeams[[#This Row],[Category]]&amp;"-"&amp;IF(ResultsTeams[[#This Row],[Team B]]="","",IF(ResultsTeams[[#This Row],[Match-A]]=ResultsTeams[[#This Row],[Match-B]],ResultsTeams[[#This Row],[Team A]],"")),""),"")</f>
        <v>-</v>
      </c>
      <c r="W279" s="265" t="str">
        <f>IF(ResultsTeams[[#This Row],[Score_OK]],IF(ResultsTeams[[#This Row],[StageCpy]]="Groups",ResultsTeams[[#This Row],[Category]]&amp;"-"&amp;IF(ResultsTeams[[#This Row],[Team B]]="","",IF(ResultsTeams[[#This Row],[Match-A]]=ResultsTeams[[#This Row],[Match-B]],ResultsTeams[[#This Row],[Team B]],"")),""),"")</f>
        <v>-</v>
      </c>
      <c r="X2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-Massimiliano Croatti</v>
      </c>
      <c r="Y2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9" s="264" t="str">
        <f>IF(ResultsTeams[[#This Row],[Category]]="","",VLOOKUP(ResultsTeams[[#This Row],[Stage]],$R$1:$T$8,MATCH(ResultsTeams[[#This Row],[Category]],$S$1:$T$1,0)+1,FALSE))</f>
        <v/>
      </c>
      <c r="AC2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9" s="264" t="str">
        <f>IF(ResultsTeams[[#This Row],[Type]]="G",ResultsTeams[[#This Row],[Stage]],AD278)</f>
        <v>Groups</v>
      </c>
      <c r="AE279" s="395" t="str">
        <f>IF(ResultsTeams[[#This Row],[Type]]="G",INDEX(TeamsList[Club Name],MATCH(ResultsTeams[[#This Row],[Team A]],TeamsList[Team Name],0)),AE278)</f>
        <v>TSC Royal 78 Kaisermühlen</v>
      </c>
      <c r="AF279" s="395" t="str">
        <f>IF(ResultsTeams[[#This Row],[Type]]="G",INDEX(TeamsList[Club Name],MATCH(ResultsTeams[[#This Row],[Team B]],TeamsList[Team Name],0)),AF278)</f>
        <v>Master Sanremo</v>
      </c>
      <c r="AG279" s="265"/>
      <c r="AI279" s="12" t="str">
        <f>AI278</f>
        <v>TEAM</v>
      </c>
      <c r="AJ279" s="309" t="s">
        <v>39</v>
      </c>
      <c r="AK279" s="320"/>
      <c r="AL279" s="311"/>
      <c r="AM279" s="292">
        <f>IF(AV279="","",SMALL(AN279:AN285,ROWS(AM279:AM279)))</f>
        <v>1001</v>
      </c>
      <c r="AN279" s="293">
        <f>IF(AV279="","",RANK(AR279,AR279:AR285)*1000+ROWS(AN279:AN279))</f>
        <v>1001</v>
      </c>
      <c r="AO279" s="316">
        <f t="shared" ref="AO279:AO285" si="234">IF(AV279="","",AT279*CritClassEq1_Points+AY279*CritClassEq1_DiffRencontres+BB279*CritClassEq1_DiffMatches+BE279*CritClassEq1_DiffButs+AZ279*CritClassEq1_Matches+BC279*CritClassEq1_Attaque)</f>
        <v>177147000000000</v>
      </c>
      <c r="AP279" s="415" t="b">
        <f>AND(AU279&lt;&gt;"",AU279&gt;0,COUNTIF(AO279:AO285,AO279)&gt;1)</f>
        <v>0</v>
      </c>
      <c r="AQ279" s="316">
        <f t="shared" ref="AQ279:AQ285" si="235">IF(AV279="","",CritClassEq_DiffPart*AK279)</f>
        <v>0</v>
      </c>
      <c r="AR279" s="317">
        <f t="shared" ref="AR279:AR285" si="236">IF(AV279="","",AO279+AQ279+AT279*CritClassEq2_Points+AY279*CritClassEq2_DiffRencontres+BB279*CritClassEq2_DiffMatches+BE279*CritClassEq2_DiffButs+AZ279*CritClassEq2_Matches+BC279*CritClassEq2_Attaque+AL279)</f>
        <v>177147151470600</v>
      </c>
      <c r="AS279" s="415" t="b">
        <f>AND(AU279&lt;&gt;"",AU279&gt;0,COUNTIF(AR279:AR285,AR279)&gt;1)</f>
        <v>0</v>
      </c>
      <c r="AT279" s="355">
        <f t="shared" ref="AT279:AT285" si="237">IF(AV279="","",(AV279*Points_Victoire)+AW279*Points_Null)</f>
        <v>9</v>
      </c>
      <c r="AU279" s="356">
        <f t="shared" ref="AU279:AU285" si="238">IF(AV279="","",SUM(AV279:AX279))</f>
        <v>3</v>
      </c>
      <c r="AV279" s="356">
        <f>IF(OR(AI278="",AJ279=""),"",COUNTIF(ResultsTeams[Win],AI278&amp;"-"&amp;AJ279))</f>
        <v>3</v>
      </c>
      <c r="AW279" s="356">
        <f>IF(OR(AI278="",AJ279=""),"",COUNTIF(ResultsTeams[[Draw1]:[Draw2]],AI278&amp;"-"&amp;AJ279))</f>
        <v>0</v>
      </c>
      <c r="AX279" s="356">
        <f>IF(OR(AI278="",AJ279=""),"",COUNTIF(ResultsTeams[Lose],AI278&amp;"-"&amp;AJ279))</f>
        <v>0</v>
      </c>
      <c r="AY279" s="356">
        <f>IF(OR(AI278="",AJ279=""),"",AV279-AX279)</f>
        <v>3</v>
      </c>
      <c r="AZ279" s="356">
        <f>IF(OR(AI278="",AJ279=""),"",SUMIFS(ResultsTeams[Match-A],ResultsTeams[Stage],"Groups",ResultsTeams[Team A],AJ279)+SUMIFS(ResultsTeams[Match-B],ResultsTeams[Stage],"Groups",ResultsTeams[Team B],AJ279))</f>
        <v>7</v>
      </c>
      <c r="BA279" s="356">
        <f>IF(OR(AI278="",AJ279=""),"",SUMIFS(ResultsTeams[Match-B],ResultsTeams[Stage],"Groups",ResultsTeams[Team A],AJ279)+SUMIFS(ResultsTeams[Match-A],ResultsTeams[Stage],"Groups",ResultsTeams[Team B],AJ279))</f>
        <v>1</v>
      </c>
      <c r="BB279" s="356">
        <f>IF(OR(AI278="",AJ279=""),"",AZ279-BA279)</f>
        <v>6</v>
      </c>
      <c r="BC279" s="356">
        <f>IF(OR(AI278="",AJ279=""),"",SUMIFS(ResultsTeams[Goal-A],ResultsTeams[Stage],"Groups",ResultsTeams[Team A],AJ279)+SUMIFS(ResultsTeams[Goal-B],ResultsTeams[Stage],"Groups",ResultsTeams[Team B],AJ279))</f>
        <v>30</v>
      </c>
      <c r="BD279" s="356">
        <f>IF(OR(AI278="",AJ279=""),"",SUMIFS(ResultsTeams[Goal-B],ResultsTeams[Stage],"Groups",ResultsTeams[Team A],AJ279)+SUMIFS(ResultsTeams[Goal-A],ResultsTeams[Stage],"Groups",ResultsTeams[Team B],AJ279))</f>
        <v>11</v>
      </c>
      <c r="BE279" s="357">
        <f>IF(OR(AI278="",AJ279=""),"",BC279-BD279)</f>
        <v>19</v>
      </c>
      <c r="BF279" s="470" t="b">
        <f>IF(AM279="","",OR(VLOOKUP(AM279,AN279:BE285,3,FALSE),VLOOKUP(AM279,AN279:BE285,6,FALSE)))</f>
        <v>0</v>
      </c>
      <c r="BG279" s="298">
        <f t="shared" ref="BG279:BG285" si="239">IF(AM279="","",INT(AM279/1000))</f>
        <v>1</v>
      </c>
      <c r="BH279" s="285" t="str">
        <f>IF(AM279="","",INDEX(AJ279:AJ285,MATCH(AM279,AN279:AN285,0)))</f>
        <v>TSC Royal 78 Kaisermühlen</v>
      </c>
      <c r="BI279" s="286">
        <f>IF(AM279="","",VLOOKUP(AM279,AN279:BE285,COLUMN()-COLUMN(BB278),FALSE))</f>
        <v>9</v>
      </c>
      <c r="BJ279" s="286">
        <f>IF(AM279="","",VLOOKUP(AM279,AN279:BE285,COLUMN()-COLUMN(BB278),FALSE))</f>
        <v>3</v>
      </c>
      <c r="BK279" s="286">
        <f>IF(AM279="","",VLOOKUP(AM279,AN279:BE285,COLUMN()-COLUMN(BB278),FALSE))</f>
        <v>3</v>
      </c>
      <c r="BL279" s="286">
        <f>IF(AM279="","",VLOOKUP(AM279,AN279:BE285,COLUMN()-COLUMN(BB278),FALSE))</f>
        <v>0</v>
      </c>
      <c r="BM279" s="286">
        <f>IF(AM279="","",VLOOKUP(AM279,AN279:BE285,COLUMN()-COLUMN(BB278),FALSE))</f>
        <v>0</v>
      </c>
      <c r="BN279" s="349">
        <f>IF(AM279="","",VLOOKUP(AM279,AN279:BE285,COLUMN()-COLUMN(BB278),FALSE))</f>
        <v>3</v>
      </c>
      <c r="BO279" s="298">
        <f>IF(AM279="","",VLOOKUP(AM279,AN279:BE285,COLUMN()-COLUMN(BB278),FALSE))</f>
        <v>7</v>
      </c>
      <c r="BP279" s="286">
        <f>IF(AM279="","",VLOOKUP(AM279,AN279:BE285,COLUMN()-COLUMN(BB278),FALSE))</f>
        <v>1</v>
      </c>
      <c r="BQ279" s="301">
        <f>IF(AM279="","",VLOOKUP(AM279,AN279:BE285,COLUMN()-COLUMN(BB278),FALSE))</f>
        <v>6</v>
      </c>
      <c r="BR279" s="352">
        <f>IF(AM279="","",VLOOKUP(AM279,AN279:BE285,COLUMN()-COLUMN(BB278),FALSE))</f>
        <v>30</v>
      </c>
      <c r="BS279" s="286">
        <f>IF(AM279="","",VLOOKUP(AM279,AN279:BE285,COLUMN()-COLUMN(BB278),FALSE))</f>
        <v>11</v>
      </c>
      <c r="BT279" s="301">
        <f>IF(AM279="","",VLOOKUP(AM279,AN279:BE285,COLUMN()-COLUMN(BB278),FALSE))</f>
        <v>19</v>
      </c>
    </row>
    <row r="280" spans="1:72" x14ac:dyDescent="0.2">
      <c r="A280" s="62"/>
      <c r="B280" s="280"/>
      <c r="C280" s="62"/>
      <c r="D280" s="62"/>
      <c r="E280" s="241" t="s">
        <v>12234</v>
      </c>
      <c r="F280" s="246" t="s">
        <v>8050</v>
      </c>
      <c r="G280" s="246" t="s">
        <v>8104</v>
      </c>
      <c r="H280" s="254">
        <v>2</v>
      </c>
      <c r="I280" s="254">
        <v>2</v>
      </c>
      <c r="J280" s="254"/>
      <c r="K280" s="363"/>
      <c r="L280" s="363"/>
      <c r="M280" s="247"/>
      <c r="N280" s="265" t="b">
        <f>NOT(ISERROR(ResultsTeams[[#This Row],[Goal-A]]+ResultsTeams[[#This Row],[Goal-B]]))</f>
        <v>1</v>
      </c>
      <c r="O280" s="265">
        <f>IF(ResultsTeams[[#This Row],[Type]]="G",SUM(O281:O284),IF(LEFT(ResultsTeams[[#This Row],[Type]],1)="P",IF(ResultsTeams[[#This Row],[Goal-A]]&gt;ResultsTeams[[#This Row],[Goal-B]],1,0),""))</f>
        <v>0</v>
      </c>
      <c r="P280" s="265">
        <f>IF(ResultsTeams[[#This Row],[Type]]="G",SUM(P281:P284),IF(LEFT(ResultsTeams[[#This Row],[Type]],1)="P",IF(ResultsTeams[[#This Row],[Goal-A]]&lt;ResultsTeams[[#This Row],[Goal-B]],1,0),""))</f>
        <v>0</v>
      </c>
      <c r="Q280" s="265">
        <f>IF(ResultsTeams[[#This Row],[Type]]="G",SUM(Q281:Q284),IF(LEFT(ResultsTeams[[#This Row],[Type]],1)="P",VALUE(ResultsTeams[[#This Row],[Score-A]]),""))</f>
        <v>2</v>
      </c>
      <c r="R280" s="265">
        <f>IF(ResultsTeams[[#This Row],[Type]]="G",SUM(R281:R284),IF(LEFT(ResultsTeams[[#This Row],[Type]],1)="P",VALUE(ResultsTeams[[#This Row],[Score-B]]),""))</f>
        <v>2</v>
      </c>
      <c r="S280" s="265" t="str">
        <f ca="1">IF(AND(ResultsTeams[[#This Row],[Category]]&lt;&gt;"",ResultsTeams[[#This Row],[Team A]]&lt;&gt;""),COUNTIF(INDIRECT("TeamsList[Club Name]"),ResultsTeams[[#This Row],[Team A]]),"")</f>
        <v/>
      </c>
      <c r="T280" s="265" t="str">
        <f ca="1">IF(AND(ResultsTeams[[#This Row],[Category]]&lt;&gt;"",ResultsTeams[[#This Row],[Team B]]&lt;&gt;""),COUNTIF(INDIRECT("TeamsList[Club Name]"),ResultsTeams[[#This Row],[Team B]]),"")</f>
        <v/>
      </c>
      <c r="U2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80" s="265" t="str">
        <f>IF(ResultsTeams[[#This Row],[Score_OK]],IF(ResultsTeams[[#This Row],[StageCpy]]="Groups",ResultsTeams[[#This Row],[Category]]&amp;"-"&amp;IF(ResultsTeams[[#This Row],[Team B]]="","",IF(ResultsTeams[[#This Row],[Match-A]]=ResultsTeams[[#This Row],[Match-B]],ResultsTeams[[#This Row],[Team A]],"")),""),"")</f>
        <v>-Thomas Wittmann</v>
      </c>
      <c r="W280" s="265" t="str">
        <f>IF(ResultsTeams[[#This Row],[Score_OK]],IF(ResultsTeams[[#This Row],[StageCpy]]="Groups",ResultsTeams[[#This Row],[Category]]&amp;"-"&amp;IF(ResultsTeams[[#This Row],[Team B]]="","",IF(ResultsTeams[[#This Row],[Match-A]]=ResultsTeams[[#This Row],[Match-B]],ResultsTeams[[#This Row],[Team B]],"")),""),"")</f>
        <v>-Jérôme Heyvaert</v>
      </c>
      <c r="X2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0" s="264" t="str">
        <f>IF(ResultsTeams[[#This Row],[Category]]="","",VLOOKUP(ResultsTeams[[#This Row],[Stage]],$R$1:$T$8,MATCH(ResultsTeams[[#This Row],[Category]],$S$1:$T$1,0)+1,FALSE))</f>
        <v/>
      </c>
      <c r="AC2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0" s="264" t="str">
        <f>IF(ResultsTeams[[#This Row],[Type]]="G",ResultsTeams[[#This Row],[Stage]],AD279)</f>
        <v>Groups</v>
      </c>
      <c r="AE280" s="395" t="str">
        <f>IF(ResultsTeams[[#This Row],[Type]]="G",INDEX(TeamsList[Club Name],MATCH(ResultsTeams[[#This Row],[Team A]],TeamsList[Team Name],0)),AE279)</f>
        <v>TSC Royal 78 Kaisermühlen</v>
      </c>
      <c r="AF280" s="395" t="str">
        <f>IF(ResultsTeams[[#This Row],[Type]]="G",INDEX(TeamsList[Club Name],MATCH(ResultsTeams[[#This Row],[Team B]],TeamsList[Team Name],0)),AF279)</f>
        <v>Master Sanremo</v>
      </c>
      <c r="AG280" s="265"/>
      <c r="AI280" s="12" t="str">
        <f>AI279</f>
        <v>TEAM</v>
      </c>
      <c r="AJ280" s="309" t="s">
        <v>644</v>
      </c>
      <c r="AK280" s="320"/>
      <c r="AL280" s="311"/>
      <c r="AM280" s="292">
        <f>IF(AV280="","",SMALL(AN279:AN285,ROWS(AM279:AM280)))</f>
        <v>2002</v>
      </c>
      <c r="AN280" s="293">
        <f>IF(AV280="","",RANK(AR280,AR279:AR285)*1000+ROWS(AN279:AN280))</f>
        <v>2002</v>
      </c>
      <c r="AO280" s="316">
        <f t="shared" si="234"/>
        <v>118098000000000</v>
      </c>
      <c r="AP280" s="415" t="b">
        <f>AND(AU280&lt;&gt;"",AU280&gt;0,COUNTIF(AO279:AO285,AO280)&gt;1)</f>
        <v>0</v>
      </c>
      <c r="AQ280" s="316">
        <f t="shared" si="235"/>
        <v>0</v>
      </c>
      <c r="AR280" s="317">
        <f t="shared" si="236"/>
        <v>118098078570576</v>
      </c>
      <c r="AS280" s="415" t="b">
        <f>AND(AU280&lt;&gt;"",AU280&gt;0,COUNTIF(AR279:AR285,AR280)&gt;1)</f>
        <v>0</v>
      </c>
      <c r="AT280" s="355">
        <f t="shared" si="237"/>
        <v>6</v>
      </c>
      <c r="AU280" s="356">
        <f t="shared" si="238"/>
        <v>3</v>
      </c>
      <c r="AV280" s="356">
        <f>IF(OR(AI278="",AJ280=""),"",COUNTIF(ResultsTeams[Win],AI278&amp;"-"&amp;AJ280))</f>
        <v>2</v>
      </c>
      <c r="AW280" s="356">
        <f>IF(OR(AI278="",AJ280=""),"",COUNTIF(ResultsTeams[[Draw1]:[Draw2]],AI278&amp;"-"&amp;AJ280))</f>
        <v>0</v>
      </c>
      <c r="AX280" s="356">
        <f>IF(OR(AI278="",AJ280=""),"",COUNTIF(ResultsTeams[Lose],AI278&amp;"-"&amp;AJ280))</f>
        <v>1</v>
      </c>
      <c r="AY280" s="356">
        <f>IF(OR(AI278="",AJ280=""),"",AV280-AX280)</f>
        <v>1</v>
      </c>
      <c r="AZ280" s="356">
        <f>IF(OR(AI279="",AJ280=""),"",SUMIFS(ResultsTeams[Match-A],ResultsTeams[Stage],"Groups",ResultsTeams[Team A],AJ280)+SUMIFS(ResultsTeams[Match-B],ResultsTeams[Stage],"Groups",ResultsTeams[Team B],AJ280))</f>
        <v>7</v>
      </c>
      <c r="BA280" s="356">
        <f>IF(OR(AI279="",AJ280=""),"",SUMIFS(ResultsTeams[Match-B],ResultsTeams[Stage],"Groups",ResultsTeams[Team A],AJ280)+SUMIFS(ResultsTeams[Match-A],ResultsTeams[Stage],"Groups",ResultsTeams[Team B],AJ280))</f>
        <v>4</v>
      </c>
      <c r="BB280" s="356">
        <f t="shared" ref="BB280:BB285" si="240">IF(OR(AI279="",AJ280=""),"",AZ280-BA280)</f>
        <v>3</v>
      </c>
      <c r="BC280" s="356">
        <f>IF(OR(AI279="",AJ280=""),"",SUMIFS(ResultsTeams[Goal-A],ResultsTeams[Stage],"Groups",ResultsTeams[Team A],AJ280)+SUMIFS(ResultsTeams[Goal-B],ResultsTeams[Stage],"Groups",ResultsTeams[Team B],AJ280))</f>
        <v>36</v>
      </c>
      <c r="BD280" s="356">
        <f>IF(OR(AI279="",AJ280=""),"",SUMIFS(ResultsTeams[Goal-B],ResultsTeams[Stage],"Groups",ResultsTeams[Team A],AJ280)+SUMIFS(ResultsTeams[Goal-A],ResultsTeams[Stage],"Groups",ResultsTeams[Team B],AJ280))</f>
        <v>18</v>
      </c>
      <c r="BE280" s="357">
        <f>IF(OR(AI278="",AJ280=""),"",BC280-BD280)</f>
        <v>18</v>
      </c>
      <c r="BF280" s="470" t="b">
        <f>IF(AM280="","",OR(VLOOKUP(AM280,AN279:BE285,3,FALSE),VLOOKUP(AM280,AN279:BE285,6,FALSE)))</f>
        <v>0</v>
      </c>
      <c r="BG280" s="298">
        <f t="shared" si="239"/>
        <v>2</v>
      </c>
      <c r="BH280" s="285" t="str">
        <f>IF(AM280="","",INDEX(AJ279:AJ285,MATCH(AM280,AN279:AN285,0)))</f>
        <v>Master Sanremo</v>
      </c>
      <c r="BI280" s="286">
        <f>IF(AM280="","",VLOOKUP(AM280,AN279:BE285,COLUMN()-COLUMN(BB278),FALSE))</f>
        <v>6</v>
      </c>
      <c r="BJ280" s="286">
        <f>IF(AM280="","",VLOOKUP(AM280,AN279:BE285,COLUMN()-COLUMN(BB278),FALSE))</f>
        <v>3</v>
      </c>
      <c r="BK280" s="286">
        <f>IF(AM280="","",VLOOKUP(AM280,AN279:BE285,COLUMN()-COLUMN(BB278),FALSE))</f>
        <v>2</v>
      </c>
      <c r="BL280" s="286">
        <f>IF(AM280="","",VLOOKUP(AM280,AN279:BE285,COLUMN()-COLUMN(BB278),FALSE))</f>
        <v>0</v>
      </c>
      <c r="BM280" s="286">
        <f>IF(AM280="","",VLOOKUP(AM280,AN279:BE285,COLUMN()-COLUMN(BB278),FALSE))</f>
        <v>1</v>
      </c>
      <c r="BN280" s="349">
        <f>IF(AM280="","",VLOOKUP(AM280,AN279:BE285,COLUMN()-COLUMN(BB278),FALSE))</f>
        <v>1</v>
      </c>
      <c r="BO280" s="298">
        <f>IF(AM280="","",VLOOKUP(AM280,AN279:BE285,COLUMN()-COLUMN(BB278),FALSE))</f>
        <v>7</v>
      </c>
      <c r="BP280" s="286">
        <f>IF(AM280="","",VLOOKUP(AM280,AN279:BE285,COLUMN()-COLUMN(BB278),FALSE))</f>
        <v>4</v>
      </c>
      <c r="BQ280" s="301">
        <f>IF(AM280="","",VLOOKUP(AM280,AN279:BE285,COLUMN()-COLUMN(BB278),FALSE))</f>
        <v>3</v>
      </c>
      <c r="BR280" s="352">
        <f>IF(AM280="","",VLOOKUP(AM280,AN279:BE285,COLUMN()-COLUMN(BB278),FALSE))</f>
        <v>36</v>
      </c>
      <c r="BS280" s="286">
        <f>IF(AM280="","",VLOOKUP(AM280,AN279:BE285,COLUMN()-COLUMN(BB278),FALSE))</f>
        <v>18</v>
      </c>
      <c r="BT280" s="301">
        <f>IF(AM280="","",VLOOKUP(AM280,AN279:BE285,COLUMN()-COLUMN(BB278),FALSE))</f>
        <v>18</v>
      </c>
    </row>
    <row r="281" spans="1:72" x14ac:dyDescent="0.2">
      <c r="A281" s="62"/>
      <c r="B281" s="280"/>
      <c r="C281" s="62"/>
      <c r="D281" s="62"/>
      <c r="E281" s="241" t="s">
        <v>12237</v>
      </c>
      <c r="F281" s="246" t="s">
        <v>8037</v>
      </c>
      <c r="G281" s="246" t="s">
        <v>8122</v>
      </c>
      <c r="H281" s="254">
        <v>3</v>
      </c>
      <c r="I281" s="254">
        <v>1</v>
      </c>
      <c r="J281" s="254"/>
      <c r="K281" s="363"/>
      <c r="L281" s="363"/>
      <c r="M281" s="247"/>
      <c r="N281" s="265" t="b">
        <f>NOT(ISERROR(ResultsTeams[[#This Row],[Goal-A]]+ResultsTeams[[#This Row],[Goal-B]]))</f>
        <v>1</v>
      </c>
      <c r="O281" s="265">
        <f>IF(ResultsTeams[[#This Row],[Type]]="G",SUM(O282:O285),IF(LEFT(ResultsTeams[[#This Row],[Type]],1)="P",IF(ResultsTeams[[#This Row],[Goal-A]]&gt;ResultsTeams[[#This Row],[Goal-B]],1,0),""))</f>
        <v>1</v>
      </c>
      <c r="P281" s="265">
        <f>IF(ResultsTeams[[#This Row],[Type]]="G",SUM(P282:P285),IF(LEFT(ResultsTeams[[#This Row],[Type]],1)="P",IF(ResultsTeams[[#This Row],[Goal-A]]&lt;ResultsTeams[[#This Row],[Goal-B]],1,0),""))</f>
        <v>0</v>
      </c>
      <c r="Q281" s="265">
        <f>IF(ResultsTeams[[#This Row],[Type]]="G",SUM(Q282:Q285),IF(LEFT(ResultsTeams[[#This Row],[Type]],1)="P",VALUE(ResultsTeams[[#This Row],[Score-A]]),""))</f>
        <v>3</v>
      </c>
      <c r="R281" s="265">
        <f>IF(ResultsTeams[[#This Row],[Type]]="G",SUM(R282:R285),IF(LEFT(ResultsTeams[[#This Row],[Type]],1)="P",VALUE(ResultsTeams[[#This Row],[Score-B]]),""))</f>
        <v>1</v>
      </c>
      <c r="S281" s="265" t="str">
        <f ca="1">IF(AND(ResultsTeams[[#This Row],[Category]]&lt;&gt;"",ResultsTeams[[#This Row],[Team A]]&lt;&gt;""),COUNTIF(INDIRECT("TeamsList[Club Name]"),ResultsTeams[[#This Row],[Team A]]),"")</f>
        <v/>
      </c>
      <c r="T281" s="265" t="str">
        <f ca="1">IF(AND(ResultsTeams[[#This Row],[Category]]&lt;&gt;"",ResultsTeams[[#This Row],[Team B]]&lt;&gt;""),COUNTIF(INDIRECT("TeamsList[Club Name]"),ResultsTeams[[#This Row],[Team B]]),"")</f>
        <v/>
      </c>
      <c r="U2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-Robert Lenz</v>
      </c>
      <c r="V281" s="265" t="str">
        <f>IF(ResultsTeams[[#This Row],[Score_OK]],IF(ResultsTeams[[#This Row],[StageCpy]]="Groups",ResultsTeams[[#This Row],[Category]]&amp;"-"&amp;IF(ResultsTeams[[#This Row],[Team B]]="","",IF(ResultsTeams[[#This Row],[Match-A]]=ResultsTeams[[#This Row],[Match-B]],ResultsTeams[[#This Row],[Team A]],"")),""),"")</f>
        <v>-</v>
      </c>
      <c r="W281" s="265" t="str">
        <f>IF(ResultsTeams[[#This Row],[Score_OK]],IF(ResultsTeams[[#This Row],[StageCpy]]="Groups",ResultsTeams[[#This Row],[Category]]&amp;"-"&amp;IF(ResultsTeams[[#This Row],[Team B]]="","",IF(ResultsTeams[[#This Row],[Match-A]]=ResultsTeams[[#This Row],[Match-B]],ResultsTeams[[#This Row],[Team B]],"")),""),"")</f>
        <v>-</v>
      </c>
      <c r="X2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-Ludovic Ponthieux</v>
      </c>
      <c r="Y2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1" s="264" t="str">
        <f>IF(ResultsTeams[[#This Row],[Category]]="","",VLOOKUP(ResultsTeams[[#This Row],[Stage]],$R$1:$T$8,MATCH(ResultsTeams[[#This Row],[Category]],$S$1:$T$1,0)+1,FALSE))</f>
        <v/>
      </c>
      <c r="AC2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1" s="264" t="str">
        <f>IF(ResultsTeams[[#This Row],[Type]]="G",ResultsTeams[[#This Row],[Stage]],AD280)</f>
        <v>Groups</v>
      </c>
      <c r="AE281" s="395" t="str">
        <f>IF(ResultsTeams[[#This Row],[Type]]="G",INDEX(TeamsList[Club Name],MATCH(ResultsTeams[[#This Row],[Team A]],TeamsList[Team Name],0)),AE280)</f>
        <v>TSC Royal 78 Kaisermühlen</v>
      </c>
      <c r="AF281" s="395" t="str">
        <f>IF(ResultsTeams[[#This Row],[Type]]="G",INDEX(TeamsList[Club Name],MATCH(ResultsTeams[[#This Row],[Team B]],TeamsList[Team Name],0)),AF280)</f>
        <v>Master Sanremo</v>
      </c>
      <c r="AG281" s="265"/>
      <c r="AI281" s="12" t="str">
        <f t="shared" ref="AI281:AI285" si="241">AI280</f>
        <v>TEAM</v>
      </c>
      <c r="AJ281" s="309" t="s">
        <v>14587</v>
      </c>
      <c r="AK281" s="320"/>
      <c r="AL281" s="311"/>
      <c r="AM281" s="292">
        <f>IF(AV281="","",SMALL(AN279:AN285,ROWS(AM279:AM281)))</f>
        <v>3004</v>
      </c>
      <c r="AN281" s="293">
        <f>IF(AV281="","",RANK(AR281,AR279:AR285)*1000+ROWS(AN279:AN281))</f>
        <v>4003</v>
      </c>
      <c r="AO281" s="316">
        <f t="shared" si="234"/>
        <v>0</v>
      </c>
      <c r="AP281" s="415" t="b">
        <f>AND(AU281&lt;&gt;"",AU281&gt;0,COUNTIF(AO279:AO285,AO281)&gt;1)</f>
        <v>0</v>
      </c>
      <c r="AQ281" s="316">
        <f t="shared" si="235"/>
        <v>0</v>
      </c>
      <c r="AR281" s="317">
        <f t="shared" si="236"/>
        <v>-217891129</v>
      </c>
      <c r="AS281" s="415" t="b">
        <f>AND(AU281&lt;&gt;"",AU281&gt;0,COUNTIF(AR279:AR285,AR281)&gt;1)</f>
        <v>0</v>
      </c>
      <c r="AT281" s="355">
        <f t="shared" si="237"/>
        <v>0</v>
      </c>
      <c r="AU281" s="356">
        <f t="shared" si="238"/>
        <v>3</v>
      </c>
      <c r="AV281" s="356">
        <f>IF(OR(AI278="",AJ281=""),"",COUNTIF(ResultsTeams[Win],AI278&amp;"-"&amp;AJ281))</f>
        <v>0</v>
      </c>
      <c r="AW281" s="356">
        <f>IF(OR(AI278="",AJ281=""),"",COUNTIF(ResultsTeams[[Draw1]:[Draw2]],AI278&amp;"-"&amp;AJ281))</f>
        <v>0</v>
      </c>
      <c r="AX281" s="356">
        <f>IF(OR(AI278="",AJ281=""),"",COUNTIF(ResultsTeams[Lose],AI278&amp;"-"&amp;AJ281))</f>
        <v>3</v>
      </c>
      <c r="AY281" s="356">
        <f>IF(OR(AI278="",AJ281=""),"",AV281-AX281)</f>
        <v>-3</v>
      </c>
      <c r="AZ281" s="356">
        <f>IF(OR(AI280="",AJ281=""),"",SUMIFS(ResultsTeams[Match-A],ResultsTeams[Stage],"Groups",ResultsTeams[Team A],AJ281)+SUMIFS(ResultsTeams[Match-B],ResultsTeams[Stage],"Groups",ResultsTeams[Team B],AJ281))</f>
        <v>1</v>
      </c>
      <c r="BA281" s="356">
        <f>IF(OR(AI280="",AJ281=""),"",SUMIFS(ResultsTeams[Match-B],ResultsTeams[Stage],"Groups",ResultsTeams[Team A],AJ281)+SUMIFS(ResultsTeams[Match-A],ResultsTeams[Stage],"Groups",ResultsTeams[Team B],AJ281))</f>
        <v>10</v>
      </c>
      <c r="BB281" s="356">
        <f t="shared" si="240"/>
        <v>-9</v>
      </c>
      <c r="BC281" s="356">
        <f>IF(OR(AI280="",AJ281=""),"",SUMIFS(ResultsTeams[Goal-A],ResultsTeams[Stage],"Groups",ResultsTeams[Team A],AJ281)+SUMIFS(ResultsTeams[Goal-B],ResultsTeams[Stage],"Groups",ResultsTeams[Team B],AJ281))</f>
        <v>11</v>
      </c>
      <c r="BD281" s="356">
        <f>IF(OR(AI280="",AJ281=""),"",SUMIFS(ResultsTeams[Goal-B],ResultsTeams[Stage],"Groups",ResultsTeams[Team A],AJ281)+SUMIFS(ResultsTeams[Goal-A],ResultsTeams[Stage],"Groups",ResultsTeams[Team B],AJ281))</f>
        <v>49</v>
      </c>
      <c r="BE281" s="357">
        <f>IF(OR(AI278="",AJ281=""),"",BC281-BD281)</f>
        <v>-38</v>
      </c>
      <c r="BF281" s="470" t="b">
        <f>IF(AM281="","",OR(VLOOKUP(AM281,AN279:BE285,3,FALSE),VLOOKUP(AM281,AN279:BE285,6,FALSE)))</f>
        <v>0</v>
      </c>
      <c r="BG281" s="298">
        <f t="shared" si="239"/>
        <v>3</v>
      </c>
      <c r="BH281" s="285" t="str">
        <f>IF(AM281="","",INDEX(AJ279:AJ285,MATCH(AM281,AN279:AN285,0)))</f>
        <v>SC Lion's Eugies 2</v>
      </c>
      <c r="BI281" s="286">
        <f>IF(AM281="","",VLOOKUP(AM281,AN279:BE285,COLUMN()-COLUMN(BB278),FALSE))</f>
        <v>3</v>
      </c>
      <c r="BJ281" s="286">
        <f>IF(AM281="","",VLOOKUP(AM281,AN279:BE285,COLUMN()-COLUMN(BB278),FALSE))</f>
        <v>3</v>
      </c>
      <c r="BK281" s="286">
        <f>IF(AM281="","",VLOOKUP(AM281,AN279:BE285,COLUMN()-COLUMN(BB278),FALSE))</f>
        <v>1</v>
      </c>
      <c r="BL281" s="286">
        <f>IF(AM281="","",VLOOKUP(AM281,AN279:BE285,COLUMN()-COLUMN(BB278),FALSE))</f>
        <v>0</v>
      </c>
      <c r="BM281" s="286">
        <f>IF(AM281="","",VLOOKUP(AM281,AN279:BE285,COLUMN()-COLUMN(BB278),FALSE))</f>
        <v>2</v>
      </c>
      <c r="BN281" s="349">
        <f>IF(AM281="","",VLOOKUP(AM281,AN279:BE285,COLUMN()-COLUMN(BB278),FALSE))</f>
        <v>-1</v>
      </c>
      <c r="BO281" s="298">
        <f>IF(AM281="","",VLOOKUP(AM281,AN279:BE285,COLUMN()-COLUMN(BB278),FALSE))</f>
        <v>5</v>
      </c>
      <c r="BP281" s="286">
        <f>IF(AM281="","",VLOOKUP(AM281,AN279:BE285,COLUMN()-COLUMN(BB278),FALSE))</f>
        <v>4</v>
      </c>
      <c r="BQ281" s="301">
        <f>IF(AM281="","",VLOOKUP(AM281,AN279:BE285,COLUMN()-COLUMN(BB278),FALSE))</f>
        <v>1</v>
      </c>
      <c r="BR281" s="352">
        <f>IF(AM281="","",VLOOKUP(AM281,AN279:BE285,COLUMN()-COLUMN(BB278),FALSE))</f>
        <v>20</v>
      </c>
      <c r="BS281" s="286">
        <f>IF(AM281="","",VLOOKUP(AM281,AN279:BE285,COLUMN()-COLUMN(BB278),FALSE))</f>
        <v>20</v>
      </c>
      <c r="BT281" s="301">
        <f>IF(AM281="","",VLOOKUP(AM281,AN279:BE285,COLUMN()-COLUMN(BB278),FALSE))</f>
        <v>0</v>
      </c>
    </row>
    <row r="282" spans="1:72" x14ac:dyDescent="0.2">
      <c r="A282" s="62"/>
      <c r="B282" s="280"/>
      <c r="C282" s="62"/>
      <c r="D282" s="62"/>
      <c r="E282" s="241" t="s">
        <v>12240</v>
      </c>
      <c r="F282" s="246" t="s">
        <v>8036</v>
      </c>
      <c r="G282" s="246" t="s">
        <v>10085</v>
      </c>
      <c r="H282" s="254">
        <v>4</v>
      </c>
      <c r="I282" s="254">
        <v>1</v>
      </c>
      <c r="J282" s="254"/>
      <c r="K282" s="363"/>
      <c r="L282" s="363"/>
      <c r="M282" s="247"/>
      <c r="N282" s="265" t="b">
        <f>NOT(ISERROR(ResultsTeams[[#This Row],[Goal-A]]+ResultsTeams[[#This Row],[Goal-B]]))</f>
        <v>1</v>
      </c>
      <c r="O282" s="265">
        <f>IF(ResultsTeams[[#This Row],[Type]]="G",SUM(O283:O286),IF(LEFT(ResultsTeams[[#This Row],[Type]],1)="P",IF(ResultsTeams[[#This Row],[Goal-A]]&gt;ResultsTeams[[#This Row],[Goal-B]],1,0),""))</f>
        <v>1</v>
      </c>
      <c r="P282" s="265">
        <f>IF(ResultsTeams[[#This Row],[Type]]="G",SUM(P283:P286),IF(LEFT(ResultsTeams[[#This Row],[Type]],1)="P",IF(ResultsTeams[[#This Row],[Goal-A]]&lt;ResultsTeams[[#This Row],[Goal-B]],1,0),""))</f>
        <v>0</v>
      </c>
      <c r="Q282" s="265">
        <f>IF(ResultsTeams[[#This Row],[Type]]="G",SUM(Q283:Q286),IF(LEFT(ResultsTeams[[#This Row],[Type]],1)="P",VALUE(ResultsTeams[[#This Row],[Score-A]]),""))</f>
        <v>4</v>
      </c>
      <c r="R282" s="265">
        <f>IF(ResultsTeams[[#This Row],[Type]]="G",SUM(R283:R286),IF(LEFT(ResultsTeams[[#This Row],[Type]],1)="P",VALUE(ResultsTeams[[#This Row],[Score-B]]),""))</f>
        <v>1</v>
      </c>
      <c r="S282" s="265" t="str">
        <f ca="1">IF(AND(ResultsTeams[[#This Row],[Category]]&lt;&gt;"",ResultsTeams[[#This Row],[Team A]]&lt;&gt;""),COUNTIF(INDIRECT("TeamsList[Club Name]"),ResultsTeams[[#This Row],[Team A]]),"")</f>
        <v/>
      </c>
      <c r="T282" s="265" t="str">
        <f ca="1">IF(AND(ResultsTeams[[#This Row],[Category]]&lt;&gt;"",ResultsTeams[[#This Row],[Team B]]&lt;&gt;""),COUNTIF(INDIRECT("TeamsList[Club Name]"),ResultsTeams[[#This Row],[Team B]]),"")</f>
        <v/>
      </c>
      <c r="U2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-Wolfgang Leitner</v>
      </c>
      <c r="V282" s="265" t="str">
        <f>IF(ResultsTeams[[#This Row],[Score_OK]],IF(ResultsTeams[[#This Row],[StageCpy]]="Groups",ResultsTeams[[#This Row],[Category]]&amp;"-"&amp;IF(ResultsTeams[[#This Row],[Team B]]="","",IF(ResultsTeams[[#This Row],[Match-A]]=ResultsTeams[[#This Row],[Match-B]],ResultsTeams[[#This Row],[Team A]],"")),""),"")</f>
        <v>-</v>
      </c>
      <c r="W282" s="265" t="str">
        <f>IF(ResultsTeams[[#This Row],[Score_OK]],IF(ResultsTeams[[#This Row],[StageCpy]]="Groups",ResultsTeams[[#This Row],[Category]]&amp;"-"&amp;IF(ResultsTeams[[#This Row],[Team B]]="","",IF(ResultsTeams[[#This Row],[Match-A]]=ResultsTeams[[#This Row],[Match-B]],ResultsTeams[[#This Row],[Team B]],"")),""),"")</f>
        <v>-</v>
      </c>
      <c r="X2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-Claudio Dogali</v>
      </c>
      <c r="Y2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2" s="264" t="str">
        <f>IF(ResultsTeams[[#This Row],[Category]]="","",VLOOKUP(ResultsTeams[[#This Row],[Stage]],$R$1:$T$8,MATCH(ResultsTeams[[#This Row],[Category]],$S$1:$T$1,0)+1,FALSE))</f>
        <v/>
      </c>
      <c r="AC2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2" s="264" t="str">
        <f>IF(ResultsTeams[[#This Row],[Type]]="G",ResultsTeams[[#This Row],[Stage]],AD281)</f>
        <v>Groups</v>
      </c>
      <c r="AE282" s="395" t="str">
        <f>IF(ResultsTeams[[#This Row],[Type]]="G",INDEX(TeamsList[Club Name],MATCH(ResultsTeams[[#This Row],[Team A]],TeamsList[Team Name],0)),AE281)</f>
        <v>TSC Royal 78 Kaisermühlen</v>
      </c>
      <c r="AF282" s="395" t="str">
        <f>IF(ResultsTeams[[#This Row],[Type]]="G",INDEX(TeamsList[Club Name],MATCH(ResultsTeams[[#This Row],[Team B]],TeamsList[Team Name],0)),AF281)</f>
        <v>Master Sanremo</v>
      </c>
      <c r="AG282" s="265"/>
      <c r="AH282" s="91"/>
      <c r="AI282" s="12" t="str">
        <f t="shared" si="241"/>
        <v>TEAM</v>
      </c>
      <c r="AJ282" s="309" t="s">
        <v>14594</v>
      </c>
      <c r="AK282" s="310"/>
      <c r="AL282" s="311"/>
      <c r="AM282" s="292">
        <f>IF(AV282="","",SMALL(AN279:AN285,ROWS(AM279:AM282)))</f>
        <v>4003</v>
      </c>
      <c r="AN282" s="293">
        <f>IF(AV282="","",RANK(AR282,AR279:AR285)*1000+ROWS(AN279:AN282))</f>
        <v>3004</v>
      </c>
      <c r="AO282" s="316">
        <f t="shared" si="234"/>
        <v>59049000000000</v>
      </c>
      <c r="AP282" s="415" t="b">
        <f>AND(AU282&lt;&gt;"",AU282&gt;0,COUNTIF(AO279:AO285,AO282)&gt;1)</f>
        <v>0</v>
      </c>
      <c r="AQ282" s="316">
        <f t="shared" si="235"/>
        <v>0</v>
      </c>
      <c r="AR282" s="317">
        <f t="shared" si="236"/>
        <v>59049028350020</v>
      </c>
      <c r="AS282" s="415" t="b">
        <f>AND(AU282&lt;&gt;"",AU282&gt;0,COUNTIF(AR279:AR285,AR282)&gt;1)</f>
        <v>0</v>
      </c>
      <c r="AT282" s="355">
        <f t="shared" si="237"/>
        <v>3</v>
      </c>
      <c r="AU282" s="356">
        <f t="shared" si="238"/>
        <v>3</v>
      </c>
      <c r="AV282" s="356">
        <f>IF(OR(AI278="",AJ282=""),"",COUNTIF(ResultsTeams[Win],AI278&amp;"-"&amp;AJ282))</f>
        <v>1</v>
      </c>
      <c r="AW282" s="356">
        <f>IF(OR(AI278="",AJ282=""),"",COUNTIF(ResultsTeams[[Draw1]:[Draw2]],AI278&amp;"-"&amp;AJ282))</f>
        <v>0</v>
      </c>
      <c r="AX282" s="356">
        <f>IF(OR(AI278="",AJ282=""),"",COUNTIF(ResultsTeams[Lose],AI278&amp;"-"&amp;AJ282))</f>
        <v>2</v>
      </c>
      <c r="AY282" s="356">
        <f>IF(OR(AI278="",AJ282=""),"",AV282-AX282)</f>
        <v>-1</v>
      </c>
      <c r="AZ282" s="356">
        <f>IF(OR(AI281="",AJ282=""),"",SUMIFS(ResultsTeams[Match-A],ResultsTeams[Stage],"Groups",ResultsTeams[Team A],AJ282)+SUMIFS(ResultsTeams[Match-B],ResultsTeams[Stage],"Groups",ResultsTeams[Team B],AJ282))</f>
        <v>5</v>
      </c>
      <c r="BA282" s="356">
        <f>IF(OR(AI281="",AJ282=""),"",SUMIFS(ResultsTeams[Match-B],ResultsTeams[Stage],"Groups",ResultsTeams[Team A],AJ282)+SUMIFS(ResultsTeams[Match-A],ResultsTeams[Stage],"Groups",ResultsTeams[Team B],AJ282))</f>
        <v>4</v>
      </c>
      <c r="BB282" s="356">
        <f t="shared" si="240"/>
        <v>1</v>
      </c>
      <c r="BC282" s="356">
        <f>IF(OR(AI281="",AJ282=""),"",SUMIFS(ResultsTeams[Goal-A],ResultsTeams[Stage],"Groups",ResultsTeams[Team A],AJ282)+SUMIFS(ResultsTeams[Goal-B],ResultsTeams[Stage],"Groups",ResultsTeams[Team B],AJ282))</f>
        <v>20</v>
      </c>
      <c r="BD282" s="356">
        <f>IF(OR(AI281="",AJ282=""),"",SUMIFS(ResultsTeams[Goal-B],ResultsTeams[Stage],"Groups",ResultsTeams[Team A],AJ282)+SUMIFS(ResultsTeams[Goal-A],ResultsTeams[Stage],"Groups",ResultsTeams[Team B],AJ282))</f>
        <v>20</v>
      </c>
      <c r="BE282" s="357">
        <f>IF(OR(AI278="",AJ282=""),"",BC282-BD282)</f>
        <v>0</v>
      </c>
      <c r="BF282" s="470" t="b">
        <f>IF(AM282="","",OR(VLOOKUP(AM282,AN279:BE285,3,FALSE),VLOOKUP(AM282,AN279:BE285,6,FALSE)))</f>
        <v>0</v>
      </c>
      <c r="BG282" s="298">
        <f t="shared" si="239"/>
        <v>4</v>
      </c>
      <c r="BH282" s="285" t="str">
        <f>IF(AM282="","",INDEX(AJ279:AJ285,MATCH(AM282,AN279:AN285,0)))</f>
        <v>Avenir Subbuteo Hennuyer 3</v>
      </c>
      <c r="BI282" s="286">
        <f>IF(AM282="","",VLOOKUP(AM282,AN279:BE285,COLUMN()-COLUMN(BB278),FALSE))</f>
        <v>0</v>
      </c>
      <c r="BJ282" s="286">
        <f>IF(AM282="","",VLOOKUP(AM282,AN279:BE285,COLUMN()-COLUMN(BB278),FALSE))</f>
        <v>3</v>
      </c>
      <c r="BK282" s="286">
        <f>IF(AM282="","",VLOOKUP(AM282,AN279:BE285,COLUMN()-COLUMN(BB278),FALSE))</f>
        <v>0</v>
      </c>
      <c r="BL282" s="286">
        <f>IF(AM282="","",VLOOKUP(AM282,AN279:BE285,COLUMN()-COLUMN(BB278),FALSE))</f>
        <v>0</v>
      </c>
      <c r="BM282" s="286">
        <f>IF(AM282="","",VLOOKUP(AM282,AN279:BE285,COLUMN()-COLUMN(BB278),FALSE))</f>
        <v>3</v>
      </c>
      <c r="BN282" s="349">
        <f>IF(AM282="","",VLOOKUP(AM282,AN279:BE285,COLUMN()-COLUMN(BB278),FALSE))</f>
        <v>-3</v>
      </c>
      <c r="BO282" s="298">
        <f>IF(AM282="","",VLOOKUP(AM282,AN279:BE285,COLUMN()-COLUMN(BB278),FALSE))</f>
        <v>1</v>
      </c>
      <c r="BP282" s="286">
        <f>IF(AM282="","",VLOOKUP(AM282,AN279:BE285,COLUMN()-COLUMN(BB278),FALSE))</f>
        <v>10</v>
      </c>
      <c r="BQ282" s="301">
        <f>IF(AM282="","",VLOOKUP(AM282,AN279:BE285,COLUMN()-COLUMN(BB278),FALSE))</f>
        <v>-9</v>
      </c>
      <c r="BR282" s="352">
        <f>IF(AM282="","",VLOOKUP(AM282,AN279:BE285,COLUMN()-COLUMN(BB278),FALSE))</f>
        <v>11</v>
      </c>
      <c r="BS282" s="286">
        <f>IF(AM282="","",VLOOKUP(AM282,AN279:BE285,COLUMN()-COLUMN(BB278),FALSE))</f>
        <v>49</v>
      </c>
      <c r="BT282" s="301">
        <f>IF(AM282="","",VLOOKUP(AM282,AN279:BE285,COLUMN()-COLUMN(BB278),FALSE))</f>
        <v>-38</v>
      </c>
    </row>
    <row r="283" spans="1:72" x14ac:dyDescent="0.2">
      <c r="A283" s="62"/>
      <c r="B283" s="62"/>
      <c r="C283" s="62"/>
      <c r="D283" s="62"/>
      <c r="E283" s="241" t="s">
        <v>12243</v>
      </c>
      <c r="F283" s="247"/>
      <c r="G283" s="247" t="s">
        <v>10253</v>
      </c>
      <c r="H283" s="254"/>
      <c r="I283" s="254" t="s">
        <v>12684</v>
      </c>
      <c r="J283" s="260"/>
      <c r="K283" s="364"/>
      <c r="L283" s="364"/>
      <c r="M283" s="247"/>
      <c r="N283" s="265" t="b">
        <f>NOT(ISERROR(ResultsTeams[[#This Row],[Goal-A]]+ResultsTeams[[#This Row],[Goal-B]]))</f>
        <v>0</v>
      </c>
      <c r="O283" s="265" t="str">
        <f>IF(ResultsTeams[[#This Row],[Type]]="G",SUM(O284:O287),IF(LEFT(ResultsTeams[[#This Row],[Type]],1)="P",IF(ResultsTeams[[#This Row],[Goal-A]]&gt;ResultsTeams[[#This Row],[Goal-B]],1,0),""))</f>
        <v/>
      </c>
      <c r="P283" s="265" t="str">
        <f>IF(ResultsTeams[[#This Row],[Type]]="G",SUM(P284:P287),IF(LEFT(ResultsTeams[[#This Row],[Type]],1)="P",IF(ResultsTeams[[#This Row],[Goal-A]]&lt;ResultsTeams[[#This Row],[Goal-B]],1,0),""))</f>
        <v/>
      </c>
      <c r="Q283" s="265" t="str">
        <f>IF(ResultsTeams[[#This Row],[Type]]="G",SUM(Q284:Q287),IF(LEFT(ResultsTeams[[#This Row],[Type]],1)="P",VALUE(ResultsTeams[[#This Row],[Score-A]]),""))</f>
        <v/>
      </c>
      <c r="R283" s="265" t="str">
        <f>IF(ResultsTeams[[#This Row],[Type]]="G",SUM(R284:R287),IF(LEFT(ResultsTeams[[#This Row],[Type]],1)="P",VALUE(ResultsTeams[[#This Row],[Score-B]]),""))</f>
        <v/>
      </c>
      <c r="S283" s="265" t="str">
        <f ca="1">IF(AND(ResultsTeams[[#This Row],[Category]]&lt;&gt;"",ResultsTeams[[#This Row],[Team A]]&lt;&gt;""),COUNTIF(INDIRECT("TeamsList[Club Name]"),ResultsTeams[[#This Row],[Team A]]),"")</f>
        <v/>
      </c>
      <c r="T283" s="265" t="str">
        <f ca="1">IF(AND(ResultsTeams[[#This Row],[Category]]&lt;&gt;"",ResultsTeams[[#This Row],[Team B]]&lt;&gt;""),COUNTIF(INDIRECT("TeamsList[Club Name]"),ResultsTeams[[#This Row],[Team B]]),"")</f>
        <v/>
      </c>
      <c r="U2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3" s="265" t="str">
        <f>IF(ResultsTeams[[#This Row],[Score_OK]],IF(ResultsTeams[[#This Row],[StageCpy]]="Groups",ResultsTeams[[#This Row],[Category]]&amp;"-"&amp;IF(ResultsTeams[[#This Row],[Team B]]="","",IF(ResultsTeams[[#This Row],[Match-A]]=ResultsTeams[[#This Row],[Match-B]],ResultsTeams[[#This Row],[Team A]],"")),""),"")</f>
        <v/>
      </c>
      <c r="W283" s="265" t="str">
        <f>IF(ResultsTeams[[#This Row],[Score_OK]],IF(ResultsTeams[[#This Row],[StageCpy]]="Groups",ResultsTeams[[#This Row],[Category]]&amp;"-"&amp;IF(ResultsTeams[[#This Row],[Team B]]="","",IF(ResultsTeams[[#This Row],[Match-A]]=ResultsTeams[[#This Row],[Match-B]],ResultsTeams[[#This Row],[Team B]],"")),""),"")</f>
        <v/>
      </c>
      <c r="X2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3" s="264" t="str">
        <f>IF(ResultsTeams[[#This Row],[Category]]="","",VLOOKUP(ResultsTeams[[#This Row],[Stage]],$R$1:$T$8,MATCH(ResultsTeams[[#This Row],[Category]],$S$1:$T$1,0)+1,FALSE))</f>
        <v/>
      </c>
      <c r="AC2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3" s="264" t="str">
        <f>IF(ResultsTeams[[#This Row],[Type]]="G",ResultsTeams[[#This Row],[Stage]],AD282)</f>
        <v>Groups</v>
      </c>
      <c r="AE283" s="395" t="str">
        <f>IF(ResultsTeams[[#This Row],[Type]]="G",INDEX(TeamsList[Club Name],MATCH(ResultsTeams[[#This Row],[Team A]],TeamsList[Team Name],0)),AE282)</f>
        <v>TSC Royal 78 Kaisermühlen</v>
      </c>
      <c r="AF283" s="395" t="str">
        <f>IF(ResultsTeams[[#This Row],[Type]]="G",INDEX(TeamsList[Club Name],MATCH(ResultsTeams[[#This Row],[Team B]],TeamsList[Team Name],0)),AF282)</f>
        <v>Master Sanremo</v>
      </c>
      <c r="AG283" s="265"/>
      <c r="AH283" s="91"/>
      <c r="AI283" s="12" t="str">
        <f t="shared" si="241"/>
        <v>TEAM</v>
      </c>
      <c r="AJ283" s="309"/>
      <c r="AK283" s="310"/>
      <c r="AL283" s="311"/>
      <c r="AM283" s="292" t="str">
        <f>IF(AV283="","",SMALL(AN279:AN285,ROWS(AM279:AM283)))</f>
        <v/>
      </c>
      <c r="AN283" s="293" t="str">
        <f>IF(AV283="","",RANK(AR283,AR279:AR285)*1000+ROWS(AN279:AN283))</f>
        <v/>
      </c>
      <c r="AO283" s="316" t="str">
        <f t="shared" si="234"/>
        <v/>
      </c>
      <c r="AP283" s="415" t="b">
        <f>AND(AU283&lt;&gt;"",AU283&gt;0,COUNTIF(AO279:AO285,AO283)&gt;1)</f>
        <v>0</v>
      </c>
      <c r="AQ283" s="316" t="str">
        <f t="shared" si="235"/>
        <v/>
      </c>
      <c r="AR283" s="317" t="str">
        <f t="shared" si="236"/>
        <v/>
      </c>
      <c r="AS283" s="415" t="b">
        <f>AND(AU283&lt;&gt;"",AU283&gt;0,COUNTIF(AR279:AR285,AR283)&gt;1)</f>
        <v>0</v>
      </c>
      <c r="AT283" s="355" t="str">
        <f t="shared" si="237"/>
        <v/>
      </c>
      <c r="AU283" s="356" t="str">
        <f t="shared" si="238"/>
        <v/>
      </c>
      <c r="AV283" s="356" t="str">
        <f>IF(OR(AI278="",AJ283=""),"",COUNTIF(ResultsTeams[Win],AI278&amp;"-"&amp;AJ283))</f>
        <v/>
      </c>
      <c r="AW283" s="356" t="str">
        <f>IF(OR(AI278="",AJ283=""),"",COUNTIF(ResultsTeams[[Draw1]:[Draw2]],AI278&amp;"-"&amp;AJ283))</f>
        <v/>
      </c>
      <c r="AX283" s="356" t="str">
        <f>IF(OR(AI278="",AJ283=""),"",COUNTIF(ResultsTeams[Lose],AI278&amp;"-"&amp;AJ283))</f>
        <v/>
      </c>
      <c r="AY283" s="356" t="str">
        <f>IF(OR(AI278="",AJ283=""),"",AV283-AX283)</f>
        <v/>
      </c>
      <c r="AZ283" s="356" t="str">
        <f>IF(OR(AI282="",AJ283=""),"",SUMIFS(ResultsTeams[Match-A],ResultsTeams[Stage],"Groups",ResultsTeams[Team A],AJ283)+SUMIFS(ResultsTeams[Match-B],ResultsTeams[Stage],"Groups",ResultsTeams[Team B],AJ283))</f>
        <v/>
      </c>
      <c r="BA283" s="356" t="str">
        <f>IF(OR(AI282="",AJ283=""),"",SUMIFS(ResultsTeams[Match-B],ResultsTeams[Stage],"Groups",ResultsTeams[Team A],AJ283)+SUMIFS(ResultsTeams[Match-A],ResultsTeams[Stage],"Groups",ResultsTeams[Team B],AJ283))</f>
        <v/>
      </c>
      <c r="BB283" s="356" t="str">
        <f t="shared" si="240"/>
        <v/>
      </c>
      <c r="BC283" s="356" t="str">
        <f>IF(OR(AI282="",AJ283=""),"",SUMIFS(ResultsTeams[Goal-A],ResultsTeams[Stage],"Groups",ResultsTeams[Team A],AJ283)+SUMIFS(ResultsTeams[Goal-B],ResultsTeams[Stage],"Groups",ResultsTeams[Team B],AJ283))</f>
        <v/>
      </c>
      <c r="BD283" s="356" t="str">
        <f>IF(OR(AI282="",AJ283=""),"",SUMIFS(ResultsTeams[Goal-B],ResultsTeams[Stage],"Groups",ResultsTeams[Team A],AJ283)+SUMIFS(ResultsTeams[Goal-A],ResultsTeams[Stage],"Groups",ResultsTeams[Team B],AJ283))</f>
        <v/>
      </c>
      <c r="BE283" s="357" t="str">
        <f>IF(OR(AI278="",AJ283=""),"",BC283-BD283)</f>
        <v/>
      </c>
      <c r="BF283" s="470" t="str">
        <f>IF(AM283="","",OR(VLOOKUP(AM283,AN279:BE285,3,FALSE),VLOOKUP(AM283,AN279:BE285,6,FALSE)))</f>
        <v/>
      </c>
      <c r="BG283" s="298" t="str">
        <f t="shared" si="239"/>
        <v/>
      </c>
      <c r="BH283" s="285" t="str">
        <f>IF(AM283="","",INDEX(AJ279:AJ285,MATCH(AM283,AN279:AN285,0)))</f>
        <v/>
      </c>
      <c r="BI283" s="286" t="str">
        <f>IF(AM283="","",VLOOKUP(AM283,AN279:BE285,COLUMN()-COLUMN(BB278),FALSE))</f>
        <v/>
      </c>
      <c r="BJ283" s="286" t="str">
        <f>IF(AM283="","",VLOOKUP(AM283,AN279:BE285,COLUMN()-COLUMN(BB278),FALSE))</f>
        <v/>
      </c>
      <c r="BK283" s="286" t="str">
        <f>IF(AM283="","",VLOOKUP(AM283,AN279:BE285,COLUMN()-COLUMN(BB278),FALSE))</f>
        <v/>
      </c>
      <c r="BL283" s="286" t="str">
        <f>IF(AM283="","",VLOOKUP(AM283,AN279:BE285,COLUMN()-COLUMN(BB278),FALSE))</f>
        <v/>
      </c>
      <c r="BM283" s="286" t="str">
        <f>IF(AM283="","",VLOOKUP(AM283,AN279:BE285,COLUMN()-COLUMN(BB278),FALSE))</f>
        <v/>
      </c>
      <c r="BN283" s="349" t="str">
        <f>IF(AM283="","",VLOOKUP(AM283,AN279:BE285,COLUMN()-COLUMN(BB278),FALSE))</f>
        <v/>
      </c>
      <c r="BO283" s="298" t="str">
        <f>IF(AM283="","",VLOOKUP(AM283,AN279:BE285,COLUMN()-COLUMN(BB278),FALSE))</f>
        <v/>
      </c>
      <c r="BP283" s="286" t="str">
        <f>IF(AM283="","",VLOOKUP(AM283,AN279:BE285,COLUMN()-COLUMN(BB278),FALSE))</f>
        <v/>
      </c>
      <c r="BQ283" s="301" t="str">
        <f>IF(AM283="","",VLOOKUP(AM283,AN279:BE285,COLUMN()-COLUMN(BB278),FALSE))</f>
        <v/>
      </c>
      <c r="BR283" s="352" t="str">
        <f>IF(AM283="","",VLOOKUP(AM283,AN279:BE285,COLUMN()-COLUMN(BB278),FALSE))</f>
        <v/>
      </c>
      <c r="BS283" s="286" t="str">
        <f>IF(AM283="","",VLOOKUP(AM283,AN279:BE285,COLUMN()-COLUMN(BB278),FALSE))</f>
        <v/>
      </c>
      <c r="BT283" s="301" t="str">
        <f>IF(AM283="","",VLOOKUP(AM283,AN279:BE285,COLUMN()-COLUMN(BB278),FALSE))</f>
        <v/>
      </c>
    </row>
    <row r="284" spans="1:72" ht="12" thickBot="1" x14ac:dyDescent="0.25">
      <c r="A284" s="83"/>
      <c r="B284" s="83"/>
      <c r="C284" s="83"/>
      <c r="D284" s="83"/>
      <c r="E284" s="268" t="s">
        <v>12244</v>
      </c>
      <c r="F284" s="262"/>
      <c r="G284" s="262"/>
      <c r="H284" s="324"/>
      <c r="I284" s="324"/>
      <c r="J284" s="263"/>
      <c r="K284" s="365"/>
      <c r="L284" s="365"/>
      <c r="M284" s="262"/>
      <c r="N284" s="265" t="b">
        <f>NOT(ISERROR(ResultsTeams[[#This Row],[Goal-A]]+ResultsTeams[[#This Row],[Goal-B]]))</f>
        <v>0</v>
      </c>
      <c r="O284" s="265" t="str">
        <f>IF(ResultsTeams[[#This Row],[Type]]="G",SUM(O285:O288),IF(LEFT(ResultsTeams[[#This Row],[Type]],1)="P",IF(ResultsTeams[[#This Row],[Goal-A]]&gt;ResultsTeams[[#This Row],[Goal-B]],1,0),""))</f>
        <v/>
      </c>
      <c r="P284" s="265" t="str">
        <f>IF(ResultsTeams[[#This Row],[Type]]="G",SUM(P285:P288),IF(LEFT(ResultsTeams[[#This Row],[Type]],1)="P",IF(ResultsTeams[[#This Row],[Goal-A]]&lt;ResultsTeams[[#This Row],[Goal-B]],1,0),""))</f>
        <v/>
      </c>
      <c r="Q284" s="265" t="str">
        <f>IF(ResultsTeams[[#This Row],[Type]]="G",SUM(Q285:Q288),IF(LEFT(ResultsTeams[[#This Row],[Type]],1)="P",VALUE(ResultsTeams[[#This Row],[Score-A]]),""))</f>
        <v/>
      </c>
      <c r="R284" s="265" t="str">
        <f>IF(ResultsTeams[[#This Row],[Type]]="G",SUM(R285:R288),IF(LEFT(ResultsTeams[[#This Row],[Type]],1)="P",VALUE(ResultsTeams[[#This Row],[Score-B]]),""))</f>
        <v/>
      </c>
      <c r="S284" s="265" t="str">
        <f ca="1">IF(AND(ResultsTeams[[#This Row],[Category]]&lt;&gt;"",ResultsTeams[[#This Row],[Team A]]&lt;&gt;""),COUNTIF(INDIRECT("TeamsList[Club Name]"),ResultsTeams[[#This Row],[Team A]]),"")</f>
        <v/>
      </c>
      <c r="T284" s="265" t="str">
        <f ca="1">IF(AND(ResultsTeams[[#This Row],[Category]]&lt;&gt;"",ResultsTeams[[#This Row],[Team B]]&lt;&gt;""),COUNTIF(INDIRECT("TeamsList[Club Name]"),ResultsTeams[[#This Row],[Team B]]),"")</f>
        <v/>
      </c>
      <c r="U2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4" s="265" t="str">
        <f>IF(ResultsTeams[[#This Row],[Score_OK]],IF(ResultsTeams[[#This Row],[StageCpy]]="Groups",ResultsTeams[[#This Row],[Category]]&amp;"-"&amp;IF(ResultsTeams[[#This Row],[Team B]]="","",IF(ResultsTeams[[#This Row],[Match-A]]=ResultsTeams[[#This Row],[Match-B]],ResultsTeams[[#This Row],[Team A]],"")),""),"")</f>
        <v/>
      </c>
      <c r="W284" s="265" t="str">
        <f>IF(ResultsTeams[[#This Row],[Score_OK]],IF(ResultsTeams[[#This Row],[StageCpy]]="Groups",ResultsTeams[[#This Row],[Category]]&amp;"-"&amp;IF(ResultsTeams[[#This Row],[Team B]]="","",IF(ResultsTeams[[#This Row],[Match-A]]=ResultsTeams[[#This Row],[Match-B]],ResultsTeams[[#This Row],[Team B]],"")),""),"")</f>
        <v/>
      </c>
      <c r="X2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4" s="264" t="str">
        <f>IF(ResultsTeams[[#This Row],[Category]]="","",VLOOKUP(ResultsTeams[[#This Row],[Stage]],$R$1:$T$8,MATCH(ResultsTeams[[#This Row],[Category]],$S$1:$T$1,0)+1,FALSE))</f>
        <v/>
      </c>
      <c r="AC2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4" s="264" t="str">
        <f>IF(ResultsTeams[[#This Row],[Type]]="G",ResultsTeams[[#This Row],[Stage]],AD283)</f>
        <v>Groups</v>
      </c>
      <c r="AE284" s="395" t="str">
        <f>IF(ResultsTeams[[#This Row],[Type]]="G",INDEX(TeamsList[Club Name],MATCH(ResultsTeams[[#This Row],[Team A]],TeamsList[Team Name],0)),AE283)</f>
        <v>TSC Royal 78 Kaisermühlen</v>
      </c>
      <c r="AF284" s="395" t="str">
        <f>IF(ResultsTeams[[#This Row],[Type]]="G",INDEX(TeamsList[Club Name],MATCH(ResultsTeams[[#This Row],[Team B]],TeamsList[Team Name],0)),AF283)</f>
        <v>Master Sanremo</v>
      </c>
      <c r="AG284" s="265"/>
      <c r="AI284" s="12" t="str">
        <f t="shared" si="241"/>
        <v>TEAM</v>
      </c>
      <c r="AJ284" s="309"/>
      <c r="AK284" s="310"/>
      <c r="AL284" s="311"/>
      <c r="AM284" s="292" t="str">
        <f>IF(AV284="","",SMALL(AN279:AN285,ROWS(AM279:AM284)))</f>
        <v/>
      </c>
      <c r="AN284" s="293" t="str">
        <f>IF(AV284="","",RANK(AR284,AR279:AR285)*1000+ROWS(AN279:AN284))</f>
        <v/>
      </c>
      <c r="AO284" s="316" t="str">
        <f t="shared" si="234"/>
        <v/>
      </c>
      <c r="AP284" s="415" t="b">
        <f>AND(AU284&lt;&gt;"",AU284&gt;0,COUNTIF(AO279:AO285,AO284)&gt;1)</f>
        <v>0</v>
      </c>
      <c r="AQ284" s="316" t="str">
        <f t="shared" si="235"/>
        <v/>
      </c>
      <c r="AR284" s="317" t="str">
        <f t="shared" si="236"/>
        <v/>
      </c>
      <c r="AS284" s="415" t="b">
        <f>AND(AU284&lt;&gt;"",AU284&gt;0,COUNTIF(AR279:AR285,AR284)&gt;1)</f>
        <v>0</v>
      </c>
      <c r="AT284" s="355" t="str">
        <f t="shared" si="237"/>
        <v/>
      </c>
      <c r="AU284" s="356" t="str">
        <f t="shared" si="238"/>
        <v/>
      </c>
      <c r="AV284" s="356" t="str">
        <f>IF(OR(AI278="",AJ284=""),"",COUNTIF(ResultsTeams[Win],AI278&amp;"-"&amp;AJ284))</f>
        <v/>
      </c>
      <c r="AW284" s="356" t="str">
        <f>IF(OR(AI278="",AJ284=""),"",COUNTIF(ResultsTeams[[Draw1]:[Draw2]],AI278&amp;"-"&amp;AJ284))</f>
        <v/>
      </c>
      <c r="AX284" s="356" t="str">
        <f>IF(OR(AI278="",AJ284=""),"",COUNTIF(ResultsTeams[Lose],AI278&amp;"-"&amp;AJ284))</f>
        <v/>
      </c>
      <c r="AY284" s="356" t="str">
        <f>IF(OR(AI278="",AJ284=""),"",AV284-AX284)</f>
        <v/>
      </c>
      <c r="AZ284" s="356" t="str">
        <f>IF(OR(AI283="",AJ284=""),"",SUMIFS(ResultsTeams[Match-A],ResultsTeams[Stage],"Groups",ResultsTeams[Team A],AJ284)+SUMIFS(ResultsTeams[Match-B],ResultsTeams[Stage],"Groups",ResultsTeams[Team B],AJ284))</f>
        <v/>
      </c>
      <c r="BA284" s="356" t="str">
        <f>IF(OR(AI283="",AJ284=""),"",SUMIFS(ResultsTeams[Match-B],ResultsTeams[Stage],"Groups",ResultsTeams[Team A],AJ284)+SUMIFS(ResultsTeams[Match-A],ResultsTeams[Stage],"Groups",ResultsTeams[Team B],AJ284))</f>
        <v/>
      </c>
      <c r="BB284" s="356" t="str">
        <f t="shared" si="240"/>
        <v/>
      </c>
      <c r="BC284" s="356" t="str">
        <f>IF(OR(AI283="",AJ284=""),"",SUMIFS(ResultsTeams[Goal-A],ResultsTeams[Stage],"Groups",ResultsTeams[Team A],AJ284)+SUMIFS(ResultsTeams[Goal-B],ResultsTeams[Stage],"Groups",ResultsTeams[Team B],AJ284))</f>
        <v/>
      </c>
      <c r="BD284" s="356" t="str">
        <f>IF(OR(AI283="",AJ284=""),"",SUMIFS(ResultsTeams[Goal-B],ResultsTeams[Stage],"Groups",ResultsTeams[Team A],AJ284)+SUMIFS(ResultsTeams[Goal-A],ResultsTeams[Stage],"Groups",ResultsTeams[Team B],AJ284))</f>
        <v/>
      </c>
      <c r="BE284" s="357" t="str">
        <f>IF(OR(AI278="",AJ284=""),"",BC284-BD284)</f>
        <v/>
      </c>
      <c r="BF284" s="470" t="str">
        <f>IF(AM284="","",OR(VLOOKUP(AM284,AN279:BE285,3,FALSE),VLOOKUP(AM284,AN279:BE285,6,FALSE)))</f>
        <v/>
      </c>
      <c r="BG284" s="298" t="str">
        <f t="shared" si="239"/>
        <v/>
      </c>
      <c r="BH284" s="285" t="str">
        <f>IF(AM284="","",INDEX(AJ279:AJ285,MATCH(AM284,AN279:AN285,0)))</f>
        <v/>
      </c>
      <c r="BI284" s="286" t="str">
        <f>IF(AM284="","",VLOOKUP(AM284,AN279:BE285,COLUMN()-COLUMN(BB278),FALSE))</f>
        <v/>
      </c>
      <c r="BJ284" s="286" t="str">
        <f>IF(AM284="","",VLOOKUP(AM284,AN279:BE285,COLUMN()-COLUMN(BB278),FALSE))</f>
        <v/>
      </c>
      <c r="BK284" s="286" t="str">
        <f>IF(AM284="","",VLOOKUP(AM284,AN279:BE285,COLUMN()-COLUMN(BB278),FALSE))</f>
        <v/>
      </c>
      <c r="BL284" s="286" t="str">
        <f>IF(AM284="","",VLOOKUP(AM284,AN279:BE285,COLUMN()-COLUMN(BB278),FALSE))</f>
        <v/>
      </c>
      <c r="BM284" s="286" t="str">
        <f>IF(AM284="","",VLOOKUP(AM284,AN279:BE285,COLUMN()-COLUMN(BB278),FALSE))</f>
        <v/>
      </c>
      <c r="BN284" s="349" t="str">
        <f>IF(AM284="","",VLOOKUP(AM284,AN279:BE285,COLUMN()-COLUMN(BB278),FALSE))</f>
        <v/>
      </c>
      <c r="BO284" s="298" t="str">
        <f>IF(AM284="","",VLOOKUP(AM284,AN279:BE285,COLUMN()-COLUMN(BB278),FALSE))</f>
        <v/>
      </c>
      <c r="BP284" s="286" t="str">
        <f>IF(AM284="","",VLOOKUP(AM284,AN279:BE285,COLUMN()-COLUMN(BB278),FALSE))</f>
        <v/>
      </c>
      <c r="BQ284" s="301" t="str">
        <f>IF(AM284="","",VLOOKUP(AM284,AN279:BE285,COLUMN()-COLUMN(BB278),FALSE))</f>
        <v/>
      </c>
      <c r="BR284" s="352" t="str">
        <f>IF(AM284="","",VLOOKUP(AM284,AN279:BE285,COLUMN()-COLUMN(BB278),FALSE))</f>
        <v/>
      </c>
      <c r="BS284" s="286" t="str">
        <f>IF(AM284="","",VLOOKUP(AM284,AN279:BE285,COLUMN()-COLUMN(BB278),FALSE))</f>
        <v/>
      </c>
      <c r="BT284" s="301" t="str">
        <f>IF(AM284="","",VLOOKUP(AM284,AN279:BE285,COLUMN()-COLUMN(BB278),FALSE))</f>
        <v/>
      </c>
    </row>
    <row r="285" spans="1:72" ht="12" thickBot="1" x14ac:dyDescent="0.25">
      <c r="A285" s="261" t="s">
        <v>12693</v>
      </c>
      <c r="B285" s="270" t="s">
        <v>12207</v>
      </c>
      <c r="C285" s="270">
        <v>7</v>
      </c>
      <c r="D285" s="270"/>
      <c r="E285" s="272" t="s">
        <v>12228</v>
      </c>
      <c r="F285" s="273" t="s">
        <v>14593</v>
      </c>
      <c r="G285" s="273" t="s">
        <v>14594</v>
      </c>
      <c r="H285" s="275">
        <v>0</v>
      </c>
      <c r="I285" s="275">
        <v>4</v>
      </c>
      <c r="J285" s="275"/>
      <c r="K285" s="366"/>
      <c r="L285" s="366"/>
      <c r="M285" s="274"/>
      <c r="N285" s="265" t="b">
        <f>NOT(ISERROR(ResultsTeams[[#This Row],[Goal-A]]+ResultsTeams[[#This Row],[Goal-B]]))</f>
        <v>1</v>
      </c>
      <c r="O285" s="265">
        <f>IF(ResultsTeams[[#This Row],[Type]]="G",SUM(O286:O289),IF(LEFT(ResultsTeams[[#This Row],[Type]],1)="P",IF(ResultsTeams[[#This Row],[Goal-A]]&gt;ResultsTeams[[#This Row],[Goal-B]],1,0),""))</f>
        <v>0</v>
      </c>
      <c r="P285" s="265">
        <f>IF(ResultsTeams[[#This Row],[Type]]="G",SUM(P286:P289),IF(LEFT(ResultsTeams[[#This Row],[Type]],1)="P",IF(ResultsTeams[[#This Row],[Goal-A]]&lt;ResultsTeams[[#This Row],[Goal-B]],1,0),""))</f>
        <v>4</v>
      </c>
      <c r="Q285" s="265">
        <f>IF(ResultsTeams[[#This Row],[Type]]="G",SUM(Q286:Q289),IF(LEFT(ResultsTeams[[#This Row],[Type]],1)="P",VALUE(ResultsTeams[[#This Row],[Score-A]]),""))</f>
        <v>1</v>
      </c>
      <c r="R285" s="265">
        <f>IF(ResultsTeams[[#This Row],[Type]]="G",SUM(R286:R289),IF(LEFT(ResultsTeams[[#This Row],[Type]],1)="P",VALUE(ResultsTeams[[#This Row],[Score-B]]),""))</f>
        <v>11</v>
      </c>
      <c r="S285" s="265">
        <f ca="1">IF(AND(ResultsTeams[[#This Row],[Category]]&lt;&gt;"",ResultsTeams[[#This Row],[Team A]]&lt;&gt;""),COUNTIF(INDIRECT("TeamsList[Club Name]"),ResultsTeams[[#This Row],[Team A]]),"")</f>
        <v>0</v>
      </c>
      <c r="T285" s="265">
        <f ca="1">IF(AND(ResultsTeams[[#This Row],[Category]]&lt;&gt;"",ResultsTeams[[#This Row],[Team B]]&lt;&gt;""),COUNTIF(INDIRECT("TeamsList[Club Name]"),ResultsTeams[[#This Row],[Team B]]),"")</f>
        <v>0</v>
      </c>
      <c r="U2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Lion's Eugies 2</v>
      </c>
      <c r="V285" s="265" t="str">
        <f>IF(ResultsTeams[[#This Row],[Score_OK]],IF(ResultsTeams[[#This Row],[StageCpy]]="Groups",ResultsTeams[[#This Row],[Category]]&amp;"-"&amp;IF(ResultsTeams[[#This Row],[Team B]]="","",IF(ResultsTeams[[#This Row],[Match-A]]=ResultsTeams[[#This Row],[Match-B]],ResultsTeams[[#This Row],[Team A]],"")),""),"")</f>
        <v>TEAM-</v>
      </c>
      <c r="W285" s="265" t="str">
        <f>IF(ResultsTeams[[#This Row],[Score_OK]],IF(ResultsTeams[[#This Row],[StageCpy]]="Groups",ResultsTeams[[#This Row],[Category]]&amp;"-"&amp;IF(ResultsTeams[[#This Row],[Team B]]="","",IF(ResultsTeams[[#This Row],[Match-A]]=ResultsTeams[[#This Row],[Match-B]],ResultsTeams[[#This Row],[Team B]],"")),""),"")</f>
        <v>TEAM-</v>
      </c>
      <c r="X2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4</v>
      </c>
      <c r="Y2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4</v>
      </c>
      <c r="AA2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4</v>
      </c>
      <c r="AB285" s="264" t="str">
        <f>IF(ResultsTeams[[#This Row],[Category]]="","",VLOOKUP(ResultsTeams[[#This Row],[Stage]],$R$1:$T$8,MATCH(ResultsTeams[[#This Row],[Category]],$S$1:$T$1,0)+1,FALSE))</f>
        <v>PR1</v>
      </c>
      <c r="AC2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5" s="264" t="str">
        <f>IF(ResultsTeams[[#This Row],[Type]]="G",ResultsTeams[[#This Row],[Stage]],AD284)</f>
        <v>Groups</v>
      </c>
      <c r="AE285" s="395" t="str">
        <f>IF(ResultsTeams[[#This Row],[Type]]="G",INDEX(TeamsList[Club Name],MATCH(ResultsTeams[[#This Row],[Team A]],TeamsList[Team Name],0)),AE284)</f>
        <v>Avenir Subbuteo Hennuyer</v>
      </c>
      <c r="AF285" s="395" t="str">
        <f>IF(ResultsTeams[[#This Row],[Type]]="G",INDEX(TeamsList[Club Name],MATCH(ResultsTeams[[#This Row],[Team B]],TeamsList[Team Name],0)),AF284)</f>
        <v>SC Lion's Eugies</v>
      </c>
      <c r="AG285" s="265"/>
      <c r="AI285" s="12" t="str">
        <f t="shared" si="241"/>
        <v>TEAM</v>
      </c>
      <c r="AJ285" s="312"/>
      <c r="AK285" s="313"/>
      <c r="AL285" s="314"/>
      <c r="AM285" s="294" t="str">
        <f>IF(AV285="","",SMALL(AN279:AN285,ROWS(AM279:AM285)))</f>
        <v/>
      </c>
      <c r="AN285" s="295" t="str">
        <f>IF(AV285="","",RANK(AR285,AR279:AR285)*1000+ROWS(AN279:AN285))</f>
        <v/>
      </c>
      <c r="AO285" s="318" t="str">
        <f t="shared" si="234"/>
        <v/>
      </c>
      <c r="AP285" s="416" t="b">
        <f>AND(AU285&lt;&gt;"",AU285&gt;0,COUNTIF(AO279:AO285,AO285)&gt;1)</f>
        <v>0</v>
      </c>
      <c r="AQ285" s="318" t="str">
        <f t="shared" si="235"/>
        <v/>
      </c>
      <c r="AR285" s="319" t="str">
        <f t="shared" si="236"/>
        <v/>
      </c>
      <c r="AS285" s="416" t="b">
        <f>AND(AU285&lt;&gt;"",AU285&gt;0,COUNTIF(AR279:AR285,AR285)&gt;1)</f>
        <v>0</v>
      </c>
      <c r="AT285" s="358" t="str">
        <f t="shared" si="237"/>
        <v/>
      </c>
      <c r="AU285" s="359" t="str">
        <f t="shared" si="238"/>
        <v/>
      </c>
      <c r="AV285" s="359" t="str">
        <f>IF(OR(AI278="",AJ285=""),"",COUNTIF(ResultsTeams[Win],AI278&amp;"-"&amp;AJ285))</f>
        <v/>
      </c>
      <c r="AW285" s="359" t="str">
        <f>IF(OR(AI278="",AJ285=""),"",COUNTIF(ResultsTeams[[Draw1]:[Draw2]],AI278&amp;"-"&amp;AJ285))</f>
        <v/>
      </c>
      <c r="AX285" s="359" t="str">
        <f>IF(OR(AI278="",AJ285=""),"",COUNTIF(ResultsTeams[Lose],AI278&amp;"-"&amp;AJ285))</f>
        <v/>
      </c>
      <c r="AY285" s="359" t="str">
        <f>IF(OR(AI278="",AJ285=""),"",AV285-AX285)</f>
        <v/>
      </c>
      <c r="AZ285" s="359" t="str">
        <f>IF(OR(AI284="",AJ285=""),"",SUMIFS(ResultsTeams[Match-A],ResultsTeams[Stage],"Groups",ResultsTeams[Team A],AJ285)+SUMIFS(ResultsTeams[Match-B],ResultsTeams[Stage],"Groups",ResultsTeams[Team B],AJ285))</f>
        <v/>
      </c>
      <c r="BA285" s="359" t="str">
        <f>IF(OR(AI284="",AJ285=""),"",SUMIFS(ResultsTeams[Match-B],ResultsTeams[Stage],"Groups",ResultsTeams[Team A],AJ285)+SUMIFS(ResultsTeams[Match-A],ResultsTeams[Stage],"Groups",ResultsTeams[Team B],AJ285))</f>
        <v/>
      </c>
      <c r="BB285" s="359" t="str">
        <f t="shared" si="240"/>
        <v/>
      </c>
      <c r="BC285" s="359" t="str">
        <f>IF(OR(AI284="",AJ285=""),"",SUMIFS(ResultsTeams[Goal-A],ResultsTeams[Stage],"Groups",ResultsTeams[Team A],AJ285)+SUMIFS(ResultsTeams[Goal-B],ResultsTeams[Stage],"Groups",ResultsTeams[Team B],AJ285))</f>
        <v/>
      </c>
      <c r="BD285" s="359" t="str">
        <f>IF(OR(AI284="",AJ285=""),"",SUMIFS(ResultsTeams[Goal-B],ResultsTeams[Stage],"Groups",ResultsTeams[Team A],AJ285)+SUMIFS(ResultsTeams[Goal-A],ResultsTeams[Stage],"Groups",ResultsTeams[Team B],AJ285))</f>
        <v/>
      </c>
      <c r="BE285" s="360" t="str">
        <f>IF(OR(AI278="",AJ285=""),"",BC285-BD285)</f>
        <v/>
      </c>
      <c r="BF285" s="470" t="str">
        <f>IF(AM285="","",OR(VLOOKUP(AM285,AN279:BE285,3,FALSE),VLOOKUP(AM285,AN279:BE285,6,FALSE)))</f>
        <v/>
      </c>
      <c r="BG285" s="299" t="str">
        <f t="shared" si="239"/>
        <v/>
      </c>
      <c r="BH285" s="287" t="str">
        <f>IF(AM285="","",INDEX(AJ279:AJ285,MATCH(AM285,AN279:AN285,0)))</f>
        <v/>
      </c>
      <c r="BI285" s="288" t="str">
        <f>IF(AM285="","",VLOOKUP(AM285,AN279:BE285,COLUMN()-COLUMN(BB278),FALSE))</f>
        <v/>
      </c>
      <c r="BJ285" s="288" t="str">
        <f>IF(AM285="","",VLOOKUP(AM285,AN279:BE285,COLUMN()-COLUMN(BB278),FALSE))</f>
        <v/>
      </c>
      <c r="BK285" s="288" t="str">
        <f>IF(AM285="","",VLOOKUP(AM285,AN279:BE285,COLUMN()-COLUMN(BB278),FALSE))</f>
        <v/>
      </c>
      <c r="BL285" s="288" t="str">
        <f>IF(AM285="","",VLOOKUP(AM285,AN279:BE285,COLUMN()-COLUMN(BB278),FALSE))</f>
        <v/>
      </c>
      <c r="BM285" s="288" t="str">
        <f>IF(AM285="","",VLOOKUP(AM285,AN279:BE285,COLUMN()-COLUMN(BB278),FALSE))</f>
        <v/>
      </c>
      <c r="BN285" s="350" t="str">
        <f>IF(AM285="","",VLOOKUP(AM285,AN279:BE285,COLUMN()-COLUMN(BB278),FALSE))</f>
        <v/>
      </c>
      <c r="BO285" s="299" t="str">
        <f>IF(AM285="","",VLOOKUP(AM285,AN279:BE285,COLUMN()-COLUMN(BB278),FALSE))</f>
        <v/>
      </c>
      <c r="BP285" s="288" t="str">
        <f>IF(AM285="","",VLOOKUP(AM285,AN279:BE285,COLUMN()-COLUMN(BB278),FALSE))</f>
        <v/>
      </c>
      <c r="BQ285" s="302" t="str">
        <f>IF(AM285="","",VLOOKUP(AM285,AN279:BE285,COLUMN()-COLUMN(BB278),FALSE))</f>
        <v/>
      </c>
      <c r="BR285" s="353" t="str">
        <f>IF(AM285="","",VLOOKUP(AM285,AN279:BE285,COLUMN()-COLUMN(BB278),FALSE))</f>
        <v/>
      </c>
      <c r="BS285" s="288" t="str">
        <f>IF(AM285="","",VLOOKUP(AM285,AN279:BE285,COLUMN()-COLUMN(BB278),FALSE))</f>
        <v/>
      </c>
      <c r="BT285" s="302" t="str">
        <f>IF(AM285="","",VLOOKUP(AM285,AN279:BE285,COLUMN()-COLUMN(BB278),FALSE))</f>
        <v/>
      </c>
    </row>
    <row r="286" spans="1:72" ht="12" thickBot="1" x14ac:dyDescent="0.25">
      <c r="A286" s="60"/>
      <c r="B286" s="280"/>
      <c r="C286" s="60"/>
      <c r="D286" s="60"/>
      <c r="E286" s="240" t="s">
        <v>12231</v>
      </c>
      <c r="F286" s="244" t="s">
        <v>8162</v>
      </c>
      <c r="G286" s="244" t="s">
        <v>8140</v>
      </c>
      <c r="H286" s="253">
        <v>1</v>
      </c>
      <c r="I286" s="253">
        <v>3</v>
      </c>
      <c r="J286" s="253"/>
      <c r="K286" s="362"/>
      <c r="L286" s="362"/>
      <c r="M286" s="245"/>
      <c r="N286" s="265" t="b">
        <f>NOT(ISERROR(ResultsTeams[[#This Row],[Goal-A]]+ResultsTeams[[#This Row],[Goal-B]]))</f>
        <v>1</v>
      </c>
      <c r="O286" s="265">
        <f>IF(ResultsTeams[[#This Row],[Type]]="G",SUM(O287:O290),IF(LEFT(ResultsTeams[[#This Row],[Type]],1)="P",IF(ResultsTeams[[#This Row],[Goal-A]]&gt;ResultsTeams[[#This Row],[Goal-B]],1,0),""))</f>
        <v>0</v>
      </c>
      <c r="P286" s="265">
        <f>IF(ResultsTeams[[#This Row],[Type]]="G",SUM(P287:P290),IF(LEFT(ResultsTeams[[#This Row],[Type]],1)="P",IF(ResultsTeams[[#This Row],[Goal-A]]&lt;ResultsTeams[[#This Row],[Goal-B]],1,0),""))</f>
        <v>1</v>
      </c>
      <c r="Q286" s="265">
        <f>IF(ResultsTeams[[#This Row],[Type]]="G",SUM(Q287:Q290),IF(LEFT(ResultsTeams[[#This Row],[Type]],1)="P",VALUE(ResultsTeams[[#This Row],[Score-A]]),""))</f>
        <v>1</v>
      </c>
      <c r="R286" s="265">
        <f>IF(ResultsTeams[[#This Row],[Type]]="G",SUM(R287:R290),IF(LEFT(ResultsTeams[[#This Row],[Type]],1)="P",VALUE(ResultsTeams[[#This Row],[Score-B]]),""))</f>
        <v>3</v>
      </c>
      <c r="S286" s="265" t="str">
        <f ca="1">IF(AND(ResultsTeams[[#This Row],[Category]]&lt;&gt;"",ResultsTeams[[#This Row],[Team A]]&lt;&gt;""),COUNTIF(INDIRECT("TeamsList[Club Name]"),ResultsTeams[[#This Row],[Team A]]),"")</f>
        <v/>
      </c>
      <c r="T286" s="265" t="str">
        <f ca="1">IF(AND(ResultsTeams[[#This Row],[Category]]&lt;&gt;"",ResultsTeams[[#This Row],[Team B]]&lt;&gt;""),COUNTIF(INDIRECT("TeamsList[Club Name]"),ResultsTeams[[#This Row],[Team B]]),"")</f>
        <v/>
      </c>
      <c r="U2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-Quentin Van Glabeke</v>
      </c>
      <c r="V286" s="265" t="str">
        <f>IF(ResultsTeams[[#This Row],[Score_OK]],IF(ResultsTeams[[#This Row],[StageCpy]]="Groups",ResultsTeams[[#This Row],[Category]]&amp;"-"&amp;IF(ResultsTeams[[#This Row],[Team B]]="","",IF(ResultsTeams[[#This Row],[Match-A]]=ResultsTeams[[#This Row],[Match-B]],ResultsTeams[[#This Row],[Team A]],"")),""),"")</f>
        <v>-</v>
      </c>
      <c r="W286" s="265" t="str">
        <f>IF(ResultsTeams[[#This Row],[Score_OK]],IF(ResultsTeams[[#This Row],[StageCpy]]="Groups",ResultsTeams[[#This Row],[Category]]&amp;"-"&amp;IF(ResultsTeams[[#This Row],[Team B]]="","",IF(ResultsTeams[[#This Row],[Match-A]]=ResultsTeams[[#This Row],[Match-B]],ResultsTeams[[#This Row],[Team B]],"")),""),"")</f>
        <v>-</v>
      </c>
      <c r="X2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-Jérôme Cyganek</v>
      </c>
      <c r="Y2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6" s="264" t="str">
        <f>IF(ResultsTeams[[#This Row],[Category]]="","",VLOOKUP(ResultsTeams[[#This Row],[Stage]],$R$1:$T$8,MATCH(ResultsTeams[[#This Row],[Category]],$S$1:$T$1,0)+1,FALSE))</f>
        <v/>
      </c>
      <c r="AC2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6" s="264" t="str">
        <f>IF(ResultsTeams[[#This Row],[Type]]="G",ResultsTeams[[#This Row],[Stage]],AD285)</f>
        <v>Groups</v>
      </c>
      <c r="AE286" s="395" t="str">
        <f>IF(ResultsTeams[[#This Row],[Type]]="G",INDEX(TeamsList[Club Name],MATCH(ResultsTeams[[#This Row],[Team A]],TeamsList[Team Name],0)),AE285)</f>
        <v>Avenir Subbuteo Hennuyer</v>
      </c>
      <c r="AF286" s="395" t="str">
        <f>IF(ResultsTeams[[#This Row],[Type]]="G",INDEX(TeamsList[Club Name],MATCH(ResultsTeams[[#This Row],[Team B]],TeamsList[Team Name],0)),AF285)</f>
        <v>SC Lion's Eugies</v>
      </c>
      <c r="AG286" s="265"/>
    </row>
    <row r="287" spans="1:72" ht="12" thickBot="1" x14ac:dyDescent="0.25">
      <c r="A287" s="62"/>
      <c r="B287" s="280"/>
      <c r="C287" s="62"/>
      <c r="D287" s="62"/>
      <c r="E287" s="241" t="s">
        <v>12234</v>
      </c>
      <c r="F287" s="246" t="s">
        <v>8721</v>
      </c>
      <c r="G287" s="246" t="s">
        <v>8167</v>
      </c>
      <c r="H287" s="254">
        <v>0</v>
      </c>
      <c r="I287" s="254">
        <v>2</v>
      </c>
      <c r="J287" s="254"/>
      <c r="K287" s="363"/>
      <c r="L287" s="363"/>
      <c r="M287" s="247"/>
      <c r="N287" s="265" t="b">
        <f>NOT(ISERROR(ResultsTeams[[#This Row],[Goal-A]]+ResultsTeams[[#This Row],[Goal-B]]))</f>
        <v>1</v>
      </c>
      <c r="O287" s="265">
        <f>IF(ResultsTeams[[#This Row],[Type]]="G",SUM(O288:O291),IF(LEFT(ResultsTeams[[#This Row],[Type]],1)="P",IF(ResultsTeams[[#This Row],[Goal-A]]&gt;ResultsTeams[[#This Row],[Goal-B]],1,0),""))</f>
        <v>0</v>
      </c>
      <c r="P287" s="265">
        <f>IF(ResultsTeams[[#This Row],[Type]]="G",SUM(P288:P291),IF(LEFT(ResultsTeams[[#This Row],[Type]],1)="P",IF(ResultsTeams[[#This Row],[Goal-A]]&lt;ResultsTeams[[#This Row],[Goal-B]],1,0),""))</f>
        <v>1</v>
      </c>
      <c r="Q287" s="265">
        <f>IF(ResultsTeams[[#This Row],[Type]]="G",SUM(Q288:Q291),IF(LEFT(ResultsTeams[[#This Row],[Type]],1)="P",VALUE(ResultsTeams[[#This Row],[Score-A]]),""))</f>
        <v>0</v>
      </c>
      <c r="R287" s="265">
        <f>IF(ResultsTeams[[#This Row],[Type]]="G",SUM(R288:R291),IF(LEFT(ResultsTeams[[#This Row],[Type]],1)="P",VALUE(ResultsTeams[[#This Row],[Score-B]]),""))</f>
        <v>2</v>
      </c>
      <c r="S287" s="265" t="str">
        <f ca="1">IF(AND(ResultsTeams[[#This Row],[Category]]&lt;&gt;"",ResultsTeams[[#This Row],[Team A]]&lt;&gt;""),COUNTIF(INDIRECT("TeamsList[Club Name]"),ResultsTeams[[#This Row],[Team A]]),"")</f>
        <v/>
      </c>
      <c r="T287" s="265" t="str">
        <f ca="1">IF(AND(ResultsTeams[[#This Row],[Category]]&lt;&gt;"",ResultsTeams[[#This Row],[Team B]]&lt;&gt;""),COUNTIF(INDIRECT("TeamsList[Club Name]"),ResultsTeams[[#This Row],[Team B]]),"")</f>
        <v/>
      </c>
      <c r="U2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Denne</v>
      </c>
      <c r="V287" s="265" t="str">
        <f>IF(ResultsTeams[[#This Row],[Score_OK]],IF(ResultsTeams[[#This Row],[StageCpy]]="Groups",ResultsTeams[[#This Row],[Category]]&amp;"-"&amp;IF(ResultsTeams[[#This Row],[Team B]]="","",IF(ResultsTeams[[#This Row],[Match-A]]=ResultsTeams[[#This Row],[Match-B]],ResultsTeams[[#This Row],[Team A]],"")),""),"")</f>
        <v>-</v>
      </c>
      <c r="W287" s="265" t="str">
        <f>IF(ResultsTeams[[#This Row],[Score_OK]],IF(ResultsTeams[[#This Row],[StageCpy]]="Groups",ResultsTeams[[#This Row],[Category]]&amp;"-"&amp;IF(ResultsTeams[[#This Row],[Team B]]="","",IF(ResultsTeams[[#This Row],[Match-A]]=ResultsTeams[[#This Row],[Match-B]],ResultsTeams[[#This Row],[Team B]],"")),""),"")</f>
        <v>-</v>
      </c>
      <c r="X2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-Rafaël Midoux</v>
      </c>
      <c r="Y2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7" s="264" t="str">
        <f>IF(ResultsTeams[[#This Row],[Category]]="","",VLOOKUP(ResultsTeams[[#This Row],[Stage]],$R$1:$T$8,MATCH(ResultsTeams[[#This Row],[Category]],$S$1:$T$1,0)+1,FALSE))</f>
        <v/>
      </c>
      <c r="AC2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7" s="264" t="str">
        <f>IF(ResultsTeams[[#This Row],[Type]]="G",ResultsTeams[[#This Row],[Stage]],AD286)</f>
        <v>Groups</v>
      </c>
      <c r="AE287" s="395" t="str">
        <f>IF(ResultsTeams[[#This Row],[Type]]="G",INDEX(TeamsList[Club Name],MATCH(ResultsTeams[[#This Row],[Team A]],TeamsList[Team Name],0)),AE286)</f>
        <v>Avenir Subbuteo Hennuyer</v>
      </c>
      <c r="AF287" s="395" t="str">
        <f>IF(ResultsTeams[[#This Row],[Type]]="G",INDEX(TeamsList[Club Name],MATCH(ResultsTeams[[#This Row],[Team B]],TeamsList[Team Name],0)),AF286)</f>
        <v>SC Lion's Eugies</v>
      </c>
      <c r="AG287" s="265"/>
      <c r="AH287" s="281">
        <v>8</v>
      </c>
      <c r="AI287" s="315" t="s">
        <v>12693</v>
      </c>
      <c r="AJ287" s="289" t="s">
        <v>14438</v>
      </c>
      <c r="AK287" s="290" t="s">
        <v>12279</v>
      </c>
      <c r="AL287" s="300" t="s">
        <v>12275</v>
      </c>
      <c r="AM287" s="296" t="s">
        <v>12276</v>
      </c>
      <c r="AN287" s="291" t="s">
        <v>12271</v>
      </c>
      <c r="AO287" s="291" t="s">
        <v>12272</v>
      </c>
      <c r="AP287" s="414" t="s">
        <v>13154</v>
      </c>
      <c r="AQ287" s="291" t="s">
        <v>12273</v>
      </c>
      <c r="AR287" s="297" t="s">
        <v>12274</v>
      </c>
      <c r="AS287" s="414" t="s">
        <v>13154</v>
      </c>
      <c r="AT287" s="296" t="s">
        <v>12199</v>
      </c>
      <c r="AU287" s="291" t="s">
        <v>12200</v>
      </c>
      <c r="AV287" s="291" t="s">
        <v>12201</v>
      </c>
      <c r="AW287" s="291" t="s">
        <v>12202</v>
      </c>
      <c r="AX287" s="291" t="s">
        <v>12203</v>
      </c>
      <c r="AY287" s="291" t="s">
        <v>12697</v>
      </c>
      <c r="AZ287" s="291" t="s">
        <v>12698</v>
      </c>
      <c r="BA287" s="291" t="s">
        <v>12699</v>
      </c>
      <c r="BB287" s="291" t="s">
        <v>12700</v>
      </c>
      <c r="BC287" s="291" t="s">
        <v>12204</v>
      </c>
      <c r="BD287" s="291" t="s">
        <v>12205</v>
      </c>
      <c r="BE287" s="297" t="s">
        <v>12206</v>
      </c>
      <c r="BF287" s="395"/>
      <c r="BG287" s="282" t="s">
        <v>12276</v>
      </c>
      <c r="BH287" s="282" t="s">
        <v>12133</v>
      </c>
      <c r="BI287" s="283" t="s">
        <v>12199</v>
      </c>
      <c r="BJ287" s="283" t="s">
        <v>12200</v>
      </c>
      <c r="BK287" s="283" t="s">
        <v>12201</v>
      </c>
      <c r="BL287" s="283" t="s">
        <v>12202</v>
      </c>
      <c r="BM287" s="283" t="s">
        <v>12203</v>
      </c>
      <c r="BN287" s="290" t="s">
        <v>12697</v>
      </c>
      <c r="BO287" s="354" t="s">
        <v>12698</v>
      </c>
      <c r="BP287" s="283" t="s">
        <v>12699</v>
      </c>
      <c r="BQ287" s="300" t="s">
        <v>12700</v>
      </c>
      <c r="BR287" s="351" t="s">
        <v>12204</v>
      </c>
      <c r="BS287" s="283" t="s">
        <v>12205</v>
      </c>
      <c r="BT287" s="300" t="s">
        <v>12206</v>
      </c>
    </row>
    <row r="288" spans="1:72" x14ac:dyDescent="0.2">
      <c r="A288" s="62"/>
      <c r="B288" s="280"/>
      <c r="C288" s="62"/>
      <c r="D288" s="62"/>
      <c r="E288" s="241" t="s">
        <v>12237</v>
      </c>
      <c r="F288" s="246" t="s">
        <v>8722</v>
      </c>
      <c r="G288" s="246" t="s">
        <v>8076</v>
      </c>
      <c r="H288" s="254">
        <v>0</v>
      </c>
      <c r="I288" s="254">
        <v>2</v>
      </c>
      <c r="J288" s="254"/>
      <c r="K288" s="363"/>
      <c r="L288" s="363"/>
      <c r="M288" s="247"/>
      <c r="N288" s="265" t="b">
        <f>NOT(ISERROR(ResultsTeams[[#This Row],[Goal-A]]+ResultsTeams[[#This Row],[Goal-B]]))</f>
        <v>1</v>
      </c>
      <c r="O288" s="265">
        <f>IF(ResultsTeams[[#This Row],[Type]]="G",SUM(O289:O292),IF(LEFT(ResultsTeams[[#This Row],[Type]],1)="P",IF(ResultsTeams[[#This Row],[Goal-A]]&gt;ResultsTeams[[#This Row],[Goal-B]],1,0),""))</f>
        <v>0</v>
      </c>
      <c r="P288" s="265">
        <f>IF(ResultsTeams[[#This Row],[Type]]="G",SUM(P289:P292),IF(LEFT(ResultsTeams[[#This Row],[Type]],1)="P",IF(ResultsTeams[[#This Row],[Goal-A]]&lt;ResultsTeams[[#This Row],[Goal-B]],1,0),""))</f>
        <v>1</v>
      </c>
      <c r="Q288" s="265">
        <f>IF(ResultsTeams[[#This Row],[Type]]="G",SUM(Q289:Q292),IF(LEFT(ResultsTeams[[#This Row],[Type]],1)="P",VALUE(ResultsTeams[[#This Row],[Score-A]]),""))</f>
        <v>0</v>
      </c>
      <c r="R288" s="265">
        <f>IF(ResultsTeams[[#This Row],[Type]]="G",SUM(R289:R292),IF(LEFT(ResultsTeams[[#This Row],[Type]],1)="P",VALUE(ResultsTeams[[#This Row],[Score-B]]),""))</f>
        <v>2</v>
      </c>
      <c r="S288" s="265" t="str">
        <f ca="1">IF(AND(ResultsTeams[[#This Row],[Category]]&lt;&gt;"",ResultsTeams[[#This Row],[Team A]]&lt;&gt;""),COUNTIF(INDIRECT("TeamsList[Club Name]"),ResultsTeams[[#This Row],[Team A]]),"")</f>
        <v/>
      </c>
      <c r="T288" s="265" t="str">
        <f ca="1">IF(AND(ResultsTeams[[#This Row],[Category]]&lt;&gt;"",ResultsTeams[[#This Row],[Team B]]&lt;&gt;""),COUNTIF(INDIRECT("TeamsList[Club Name]"),ResultsTeams[[#This Row],[Team B]]),"")</f>
        <v/>
      </c>
      <c r="U2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-Denis Bouchez</v>
      </c>
      <c r="V288" s="265" t="str">
        <f>IF(ResultsTeams[[#This Row],[Score_OK]],IF(ResultsTeams[[#This Row],[StageCpy]]="Groups",ResultsTeams[[#This Row],[Category]]&amp;"-"&amp;IF(ResultsTeams[[#This Row],[Team B]]="","",IF(ResultsTeams[[#This Row],[Match-A]]=ResultsTeams[[#This Row],[Match-B]],ResultsTeams[[#This Row],[Team A]],"")),""),"")</f>
        <v>-</v>
      </c>
      <c r="W288" s="265" t="str">
        <f>IF(ResultsTeams[[#This Row],[Score_OK]],IF(ResultsTeams[[#This Row],[StageCpy]]="Groups",ResultsTeams[[#This Row],[Category]]&amp;"-"&amp;IF(ResultsTeams[[#This Row],[Team B]]="","",IF(ResultsTeams[[#This Row],[Match-A]]=ResultsTeams[[#This Row],[Match-B]],ResultsTeams[[#This Row],[Team B]],"")),""),"")</f>
        <v>-</v>
      </c>
      <c r="X2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-Louis Soret</v>
      </c>
      <c r="Y2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8" s="264" t="str">
        <f>IF(ResultsTeams[[#This Row],[Category]]="","",VLOOKUP(ResultsTeams[[#This Row],[Stage]],$R$1:$T$8,MATCH(ResultsTeams[[#This Row],[Category]],$S$1:$T$1,0)+1,FALSE))</f>
        <v/>
      </c>
      <c r="AC2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8" s="264" t="str">
        <f>IF(ResultsTeams[[#This Row],[Type]]="G",ResultsTeams[[#This Row],[Stage]],AD287)</f>
        <v>Groups</v>
      </c>
      <c r="AE288" s="395" t="str">
        <f>IF(ResultsTeams[[#This Row],[Type]]="G",INDEX(TeamsList[Club Name],MATCH(ResultsTeams[[#This Row],[Team A]],TeamsList[Team Name],0)),AE287)</f>
        <v>Avenir Subbuteo Hennuyer</v>
      </c>
      <c r="AF288" s="395" t="str">
        <f>IF(ResultsTeams[[#This Row],[Type]]="G",INDEX(TeamsList[Club Name],MATCH(ResultsTeams[[#This Row],[Team B]],TeamsList[Team Name],0)),AF287)</f>
        <v>SC Lion's Eugies</v>
      </c>
      <c r="AG288" s="265"/>
      <c r="AI288" s="12" t="str">
        <f>AI287</f>
        <v>TEAM</v>
      </c>
      <c r="AJ288" s="309" t="s">
        <v>535</v>
      </c>
      <c r="AK288" s="320"/>
      <c r="AL288" s="311"/>
      <c r="AM288" s="292">
        <f>IF(AV288="","",SMALL(AN288:AN294,ROWS(AM288:AM288)))</f>
        <v>1001</v>
      </c>
      <c r="AN288" s="293">
        <f>IF(AV288="","",RANK(AR288,AR288:AR294)*1000+ROWS(AN288:AN288))</f>
        <v>1001</v>
      </c>
      <c r="AO288" s="316">
        <f t="shared" ref="AO288:AO294" si="242">IF(AV288="","",AT288*CritClassEq1_Points+AY288*CritClassEq1_DiffRencontres+BB288*CritClassEq1_DiffMatches+BE288*CritClassEq1_DiffButs+AZ288*CritClassEq1_Matches+BC288*CritClassEq1_Attaque)</f>
        <v>177147000000000</v>
      </c>
      <c r="AP288" s="415" t="b">
        <f>AND(AU288&lt;&gt;"",AU288&gt;0,COUNTIF(AO288:AO294,AO288)&gt;1)</f>
        <v>0</v>
      </c>
      <c r="AQ288" s="316">
        <f t="shared" ref="AQ288:AQ294" si="243">IF(AV288="","",CritClassEq_DiffPart*AK288)</f>
        <v>0</v>
      </c>
      <c r="AR288" s="317">
        <f t="shared" ref="AR288:AR294" si="244">IF(AV288="","",AO288+AQ288+AT288*CritClassEq2_Points+AY288*CritClassEq2_DiffRencontres+BB288*CritClassEq2_DiffMatches+BE288*CritClassEq2_DiffButs+AZ288*CritClassEq2_Matches+BC288*CritClassEq2_Attaque+AL288)</f>
        <v>177147226800948</v>
      </c>
      <c r="AS288" s="415" t="b">
        <f>AND(AU288&lt;&gt;"",AU288&gt;0,COUNTIF(AR288:AR294,AR288)&gt;1)</f>
        <v>0</v>
      </c>
      <c r="AT288" s="355">
        <f t="shared" ref="AT288:AT294" si="245">IF(AV288="","",(AV288*Points_Victoire)+AW288*Points_Null)</f>
        <v>9</v>
      </c>
      <c r="AU288" s="356">
        <f t="shared" ref="AU288:AU294" si="246">IF(AV288="","",SUM(AV288:AX288))</f>
        <v>3</v>
      </c>
      <c r="AV288" s="356">
        <f>IF(OR(AI287="",AJ288=""),"",COUNTIF(ResultsTeams[Win],AI287&amp;"-"&amp;AJ288))</f>
        <v>3</v>
      </c>
      <c r="AW288" s="356">
        <f>IF(OR(AI287="",AJ288=""),"",COUNTIF(ResultsTeams[[Draw1]:[Draw2]],AI287&amp;"-"&amp;AJ288))</f>
        <v>0</v>
      </c>
      <c r="AX288" s="356">
        <f>IF(OR(AI287="",AJ288=""),"",COUNTIF(ResultsTeams[Lose],AI287&amp;"-"&amp;AJ288))</f>
        <v>0</v>
      </c>
      <c r="AY288" s="356">
        <f>IF(OR(AI287="",AJ288=""),"",AV288-AX288)</f>
        <v>3</v>
      </c>
      <c r="AZ288" s="356">
        <f>IF(OR(AI287="",AJ288=""),"",SUMIFS(ResultsTeams[Match-A],ResultsTeams[Stage],"Groups",ResultsTeams[Team A],AJ288)+SUMIFS(ResultsTeams[Match-B],ResultsTeams[Stage],"Groups",ResultsTeams[Team B],AJ288))</f>
        <v>10</v>
      </c>
      <c r="BA288" s="356">
        <f>IF(OR(AI287="",AJ288=""),"",SUMIFS(ResultsTeams[Match-B],ResultsTeams[Stage],"Groups",ResultsTeams[Team A],AJ288)+SUMIFS(ResultsTeams[Match-A],ResultsTeams[Stage],"Groups",ResultsTeams[Team B],AJ288))</f>
        <v>1</v>
      </c>
      <c r="BB288" s="356">
        <f>IF(OR(AI287="",AJ288=""),"",AZ288-BA288)</f>
        <v>9</v>
      </c>
      <c r="BC288" s="356">
        <f>IF(OR(AI287="",AJ288=""),"",SUMIFS(ResultsTeams[Goal-A],ResultsTeams[Stage],"Groups",ResultsTeams[Team A],AJ288)+SUMIFS(ResultsTeams[Goal-B],ResultsTeams[Stage],"Groups",ResultsTeams[Team B],AJ288))</f>
        <v>48</v>
      </c>
      <c r="BD288" s="356">
        <f>IF(OR(AI287="",AJ288=""),"",SUMIFS(ResultsTeams[Goal-B],ResultsTeams[Stage],"Groups",ResultsTeams[Team A],AJ288)+SUMIFS(ResultsTeams[Goal-A],ResultsTeams[Stage],"Groups",ResultsTeams[Team B],AJ288))</f>
        <v>18</v>
      </c>
      <c r="BE288" s="357">
        <f>IF(OR(AI287="",AJ288=""),"",BC288-BD288)</f>
        <v>30</v>
      </c>
      <c r="BF288" s="470" t="b">
        <f>IF(AM288="","",OR(VLOOKUP(AM288,AN288:BE294,3,FALSE),VLOOKUP(AM288,AN288:BE294,6,FALSE)))</f>
        <v>0</v>
      </c>
      <c r="BG288" s="298">
        <f t="shared" ref="BG288:BG294" si="247">IF(AM288="","",INT(AM288/1000))</f>
        <v>1</v>
      </c>
      <c r="BH288" s="285" t="str">
        <f>IF(AM288="","",INDEX(AJ288:AJ294,MATCH(AM288,AN288:AN294,0)))</f>
        <v>FTC Caen</v>
      </c>
      <c r="BI288" s="286">
        <f>IF(AM288="","",VLOOKUP(AM288,AN288:BE294,COLUMN()-COLUMN(BB287),FALSE))</f>
        <v>9</v>
      </c>
      <c r="BJ288" s="286">
        <f>IF(AM288="","",VLOOKUP(AM288,AN288:BE294,COLUMN()-COLUMN(BB287),FALSE))</f>
        <v>3</v>
      </c>
      <c r="BK288" s="286">
        <f>IF(AM288="","",VLOOKUP(AM288,AN288:BE294,COLUMN()-COLUMN(BB287),FALSE))</f>
        <v>3</v>
      </c>
      <c r="BL288" s="286">
        <f>IF(AM288="","",VLOOKUP(AM288,AN288:BE294,COLUMN()-COLUMN(BB287),FALSE))</f>
        <v>0</v>
      </c>
      <c r="BM288" s="286">
        <f>IF(AM288="","",VLOOKUP(AM288,AN288:BE294,COLUMN()-COLUMN(BB287),FALSE))</f>
        <v>0</v>
      </c>
      <c r="BN288" s="349">
        <f>IF(AM288="","",VLOOKUP(AM288,AN288:BE294,COLUMN()-COLUMN(BB287),FALSE))</f>
        <v>3</v>
      </c>
      <c r="BO288" s="298">
        <f>IF(AM288="","",VLOOKUP(AM288,AN288:BE294,COLUMN()-COLUMN(BB287),FALSE))</f>
        <v>10</v>
      </c>
      <c r="BP288" s="286">
        <f>IF(AM288="","",VLOOKUP(AM288,AN288:BE294,COLUMN()-COLUMN(BB287),FALSE))</f>
        <v>1</v>
      </c>
      <c r="BQ288" s="301">
        <f>IF(AM288="","",VLOOKUP(AM288,AN288:BE294,COLUMN()-COLUMN(BB287),FALSE))</f>
        <v>9</v>
      </c>
      <c r="BR288" s="352">
        <f>IF(AM288="","",VLOOKUP(AM288,AN288:BE294,COLUMN()-COLUMN(BB287),FALSE))</f>
        <v>48</v>
      </c>
      <c r="BS288" s="286">
        <f>IF(AM288="","",VLOOKUP(AM288,AN288:BE294,COLUMN()-COLUMN(BB287),FALSE))</f>
        <v>18</v>
      </c>
      <c r="BT288" s="301">
        <f>IF(AM288="","",VLOOKUP(AM288,AN288:BE294,COLUMN()-COLUMN(BB287),FALSE))</f>
        <v>30</v>
      </c>
    </row>
    <row r="289" spans="1:72" x14ac:dyDescent="0.2">
      <c r="A289" s="62"/>
      <c r="B289" s="280"/>
      <c r="C289" s="62"/>
      <c r="D289" s="62"/>
      <c r="E289" s="241" t="s">
        <v>12240</v>
      </c>
      <c r="F289" s="246" t="s">
        <v>14445</v>
      </c>
      <c r="G289" s="246" t="s">
        <v>8171</v>
      </c>
      <c r="H289" s="254">
        <v>0</v>
      </c>
      <c r="I289" s="254">
        <v>4</v>
      </c>
      <c r="J289" s="254"/>
      <c r="K289" s="363"/>
      <c r="L289" s="363"/>
      <c r="M289" s="247"/>
      <c r="N289" s="265" t="b">
        <f>NOT(ISERROR(ResultsTeams[[#This Row],[Goal-A]]+ResultsTeams[[#This Row],[Goal-B]]))</f>
        <v>1</v>
      </c>
      <c r="O289" s="265">
        <f>IF(ResultsTeams[[#This Row],[Type]]="G",SUM(O290:O293),IF(LEFT(ResultsTeams[[#This Row],[Type]],1)="P",IF(ResultsTeams[[#This Row],[Goal-A]]&gt;ResultsTeams[[#This Row],[Goal-B]],1,0),""))</f>
        <v>0</v>
      </c>
      <c r="P289" s="265">
        <f>IF(ResultsTeams[[#This Row],[Type]]="G",SUM(P290:P293),IF(LEFT(ResultsTeams[[#This Row],[Type]],1)="P",IF(ResultsTeams[[#This Row],[Goal-A]]&lt;ResultsTeams[[#This Row],[Goal-B]],1,0),""))</f>
        <v>1</v>
      </c>
      <c r="Q289" s="265">
        <f>IF(ResultsTeams[[#This Row],[Type]]="G",SUM(Q290:Q293),IF(LEFT(ResultsTeams[[#This Row],[Type]],1)="P",VALUE(ResultsTeams[[#This Row],[Score-A]]),""))</f>
        <v>0</v>
      </c>
      <c r="R289" s="265">
        <f>IF(ResultsTeams[[#This Row],[Type]]="G",SUM(R290:R293),IF(LEFT(ResultsTeams[[#This Row],[Type]],1)="P",VALUE(ResultsTeams[[#This Row],[Score-B]]),""))</f>
        <v>4</v>
      </c>
      <c r="S289" s="265" t="str">
        <f ca="1">IF(AND(ResultsTeams[[#This Row],[Category]]&lt;&gt;"",ResultsTeams[[#This Row],[Team A]]&lt;&gt;""),COUNTIF(INDIRECT("TeamsList[Club Name]"),ResultsTeams[[#This Row],[Team A]]),"")</f>
        <v/>
      </c>
      <c r="T289" s="265" t="str">
        <f ca="1">IF(AND(ResultsTeams[[#This Row],[Category]]&lt;&gt;"",ResultsTeams[[#This Row],[Team B]]&lt;&gt;""),COUNTIF(INDIRECT("TeamsList[Club Name]"),ResultsTeams[[#This Row],[Team B]]),"")</f>
        <v/>
      </c>
      <c r="U2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-Frédéric Thiel</v>
      </c>
      <c r="V289" s="265" t="str">
        <f>IF(ResultsTeams[[#This Row],[Score_OK]],IF(ResultsTeams[[#This Row],[StageCpy]]="Groups",ResultsTeams[[#This Row],[Category]]&amp;"-"&amp;IF(ResultsTeams[[#This Row],[Team B]]="","",IF(ResultsTeams[[#This Row],[Match-A]]=ResultsTeams[[#This Row],[Match-B]],ResultsTeams[[#This Row],[Team A]],"")),""),"")</f>
        <v>-</v>
      </c>
      <c r="W289" s="265" t="str">
        <f>IF(ResultsTeams[[#This Row],[Score_OK]],IF(ResultsTeams[[#This Row],[StageCpy]]="Groups",ResultsTeams[[#This Row],[Category]]&amp;"-"&amp;IF(ResultsTeams[[#This Row],[Team B]]="","",IF(ResultsTeams[[#This Row],[Match-A]]=ResultsTeams[[#This Row],[Match-B]],ResultsTeams[[#This Row],[Team B]],"")),""),"")</f>
        <v>-</v>
      </c>
      <c r="X2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-Jordan Bonte</v>
      </c>
      <c r="Y2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9" s="264" t="str">
        <f>IF(ResultsTeams[[#This Row],[Category]]="","",VLOOKUP(ResultsTeams[[#This Row],[Stage]],$R$1:$T$8,MATCH(ResultsTeams[[#This Row],[Category]],$S$1:$T$1,0)+1,FALSE))</f>
        <v/>
      </c>
      <c r="AC2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9" s="264" t="str">
        <f>IF(ResultsTeams[[#This Row],[Type]]="G",ResultsTeams[[#This Row],[Stage]],AD288)</f>
        <v>Groups</v>
      </c>
      <c r="AE289" s="395" t="str">
        <f>IF(ResultsTeams[[#This Row],[Type]]="G",INDEX(TeamsList[Club Name],MATCH(ResultsTeams[[#This Row],[Team A]],TeamsList[Team Name],0)),AE288)</f>
        <v>Avenir Subbuteo Hennuyer</v>
      </c>
      <c r="AF289" s="395" t="str">
        <f>IF(ResultsTeams[[#This Row],[Type]]="G",INDEX(TeamsList[Club Name],MATCH(ResultsTeams[[#This Row],[Team B]],TeamsList[Team Name],0)),AF288)</f>
        <v>SC Lion's Eugies</v>
      </c>
      <c r="AG289" s="265"/>
      <c r="AI289" s="12" t="str">
        <f>AI288</f>
        <v>TEAM</v>
      </c>
      <c r="AJ289" s="309" t="s">
        <v>326</v>
      </c>
      <c r="AK289" s="320"/>
      <c r="AL289" s="311"/>
      <c r="AM289" s="292">
        <f>IF(AV289="","",SMALL(AN288:AN294,ROWS(AM288:AM289)))</f>
        <v>2003</v>
      </c>
      <c r="AN289" s="293">
        <f>IF(AV289="","",RANK(AR289,AR288:AR294)*1000+ROWS(AN288:AN289))</f>
        <v>3002</v>
      </c>
      <c r="AO289" s="316">
        <f t="shared" si="242"/>
        <v>59049000000000</v>
      </c>
      <c r="AP289" s="415" t="b">
        <f>AND(AU289&lt;&gt;"",AU289&gt;0,COUNTIF(AO288:AO294,AO289)&gt;1)</f>
        <v>0</v>
      </c>
      <c r="AQ289" s="316">
        <f t="shared" si="243"/>
        <v>0</v>
      </c>
      <c r="AR289" s="317">
        <f t="shared" si="244"/>
        <v>59048930340190</v>
      </c>
      <c r="AS289" s="415" t="b">
        <f>AND(AU289&lt;&gt;"",AU289&gt;0,COUNTIF(AR288:AR294,AR289)&gt;1)</f>
        <v>0</v>
      </c>
      <c r="AT289" s="355">
        <f t="shared" si="245"/>
        <v>3</v>
      </c>
      <c r="AU289" s="356">
        <f t="shared" si="246"/>
        <v>3</v>
      </c>
      <c r="AV289" s="356">
        <f>IF(OR(AI287="",AJ289=""),"",COUNTIF(ResultsTeams[Win],AI287&amp;"-"&amp;AJ289))</f>
        <v>1</v>
      </c>
      <c r="AW289" s="356">
        <f>IF(OR(AI287="",AJ289=""),"",COUNTIF(ResultsTeams[[Draw1]:[Draw2]],AI287&amp;"-"&amp;AJ289))</f>
        <v>0</v>
      </c>
      <c r="AX289" s="356">
        <f>IF(OR(AI287="",AJ289=""),"",COUNTIF(ResultsTeams[Lose],AI287&amp;"-"&amp;AJ289))</f>
        <v>2</v>
      </c>
      <c r="AY289" s="356">
        <f>IF(OR(AI287="",AJ289=""),"",AV289-AX289)</f>
        <v>-1</v>
      </c>
      <c r="AZ289" s="356">
        <f>IF(OR(AI288="",AJ289=""),"",SUMIFS(ResultsTeams[Match-A],ResultsTeams[Stage],"Groups",ResultsTeams[Team A],AJ289)+SUMIFS(ResultsTeams[Match-B],ResultsTeams[Stage],"Groups",ResultsTeams[Team B],AJ289))</f>
        <v>4</v>
      </c>
      <c r="BA289" s="356">
        <f>IF(OR(AI288="",AJ289=""),"",SUMIFS(ResultsTeams[Match-B],ResultsTeams[Stage],"Groups",ResultsTeams[Team A],AJ289)+SUMIFS(ResultsTeams[Match-A],ResultsTeams[Stage],"Groups",ResultsTeams[Team B],AJ289))</f>
        <v>7</v>
      </c>
      <c r="BB289" s="356">
        <f t="shared" ref="BB289:BB294" si="248">IF(OR(AI288="",AJ289=""),"",AZ289-BA289)</f>
        <v>-3</v>
      </c>
      <c r="BC289" s="356">
        <f>IF(OR(AI288="",AJ289=""),"",SUMIFS(ResultsTeams[Goal-A],ResultsTeams[Stage],"Groups",ResultsTeams[Team A],AJ289)+SUMIFS(ResultsTeams[Goal-B],ResultsTeams[Stage],"Groups",ResultsTeams[Team B],AJ289))</f>
        <v>40</v>
      </c>
      <c r="BD289" s="356">
        <f>IF(OR(AI288="",AJ289=""),"",SUMIFS(ResultsTeams[Goal-B],ResultsTeams[Stage],"Groups",ResultsTeams[Team A],AJ289)+SUMIFS(ResultsTeams[Goal-A],ResultsTeams[Stage],"Groups",ResultsTeams[Team B],AJ289))</f>
        <v>35</v>
      </c>
      <c r="BE289" s="357">
        <f>IF(OR(AI287="",AJ289=""),"",BC289-BD289)</f>
        <v>5</v>
      </c>
      <c r="BF289" s="470" t="b">
        <f>IF(AM289="","",OR(VLOOKUP(AM289,AN288:BE294,3,FALSE),VLOOKUP(AM289,AN288:BE294,6,FALSE)))</f>
        <v>0</v>
      </c>
      <c r="BG289" s="298">
        <f t="shared" si="247"/>
        <v>2</v>
      </c>
      <c r="BH289" s="285" t="str">
        <f>IF(AM289="","",INDEX(AJ288:AJ294,MATCH(AM289,AN288:AN294,0)))</f>
        <v>Subbuteo Casale</v>
      </c>
      <c r="BI289" s="286">
        <f>IF(AM289="","",VLOOKUP(AM289,AN288:BE294,COLUMN()-COLUMN(BB287),FALSE))</f>
        <v>6</v>
      </c>
      <c r="BJ289" s="286">
        <f>IF(AM289="","",VLOOKUP(AM289,AN288:BE294,COLUMN()-COLUMN(BB287),FALSE))</f>
        <v>3</v>
      </c>
      <c r="BK289" s="286">
        <f>IF(AM289="","",VLOOKUP(AM289,AN288:BE294,COLUMN()-COLUMN(BB287),FALSE))</f>
        <v>2</v>
      </c>
      <c r="BL289" s="286">
        <f>IF(AM289="","",VLOOKUP(AM289,AN288:BE294,COLUMN()-COLUMN(BB287),FALSE))</f>
        <v>0</v>
      </c>
      <c r="BM289" s="286">
        <f>IF(AM289="","",VLOOKUP(AM289,AN288:BE294,COLUMN()-COLUMN(BB287),FALSE))</f>
        <v>1</v>
      </c>
      <c r="BN289" s="349">
        <f>IF(AM289="","",VLOOKUP(AM289,AN288:BE294,COLUMN()-COLUMN(BB287),FALSE))</f>
        <v>1</v>
      </c>
      <c r="BO289" s="298">
        <f>IF(AM289="","",VLOOKUP(AM289,AN288:BE294,COLUMN()-COLUMN(BB287),FALSE))</f>
        <v>8</v>
      </c>
      <c r="BP289" s="286">
        <f>IF(AM289="","",VLOOKUP(AM289,AN288:BE294,COLUMN()-COLUMN(BB287),FALSE))</f>
        <v>2</v>
      </c>
      <c r="BQ289" s="301">
        <f>IF(AM289="","",VLOOKUP(AM289,AN288:BE294,COLUMN()-COLUMN(BB287),FALSE))</f>
        <v>6</v>
      </c>
      <c r="BR289" s="352">
        <f>IF(AM289="","",VLOOKUP(AM289,AN288:BE294,COLUMN()-COLUMN(BB287),FALSE))</f>
        <v>56</v>
      </c>
      <c r="BS289" s="286">
        <f>IF(AM289="","",VLOOKUP(AM289,AN288:BE294,COLUMN()-COLUMN(BB287),FALSE))</f>
        <v>24</v>
      </c>
      <c r="BT289" s="301">
        <f>IF(AM289="","",VLOOKUP(AM289,AN288:BE294,COLUMN()-COLUMN(BB287),FALSE))</f>
        <v>32</v>
      </c>
    </row>
    <row r="290" spans="1:72" x14ac:dyDescent="0.2">
      <c r="A290" s="62"/>
      <c r="B290" s="62"/>
      <c r="C290" s="62"/>
      <c r="D290" s="62"/>
      <c r="E290" s="241" t="s">
        <v>12243</v>
      </c>
      <c r="F290" s="247" t="s">
        <v>8161</v>
      </c>
      <c r="G290" s="247" t="s">
        <v>10783</v>
      </c>
      <c r="H290" s="254" t="s">
        <v>12681</v>
      </c>
      <c r="I290" s="254"/>
      <c r="J290" s="260"/>
      <c r="K290" s="364"/>
      <c r="L290" s="364"/>
      <c r="M290" s="247"/>
      <c r="N290" s="265" t="b">
        <f>NOT(ISERROR(ResultsTeams[[#This Row],[Goal-A]]+ResultsTeams[[#This Row],[Goal-B]]))</f>
        <v>0</v>
      </c>
      <c r="O290" s="265" t="str">
        <f>IF(ResultsTeams[[#This Row],[Type]]="G",SUM(O291:O294),IF(LEFT(ResultsTeams[[#This Row],[Type]],1)="P",IF(ResultsTeams[[#This Row],[Goal-A]]&gt;ResultsTeams[[#This Row],[Goal-B]],1,0),""))</f>
        <v/>
      </c>
      <c r="P290" s="265" t="str">
        <f>IF(ResultsTeams[[#This Row],[Type]]="G",SUM(P291:P294),IF(LEFT(ResultsTeams[[#This Row],[Type]],1)="P",IF(ResultsTeams[[#This Row],[Goal-A]]&lt;ResultsTeams[[#This Row],[Goal-B]],1,0),""))</f>
        <v/>
      </c>
      <c r="Q290" s="265" t="str">
        <f>IF(ResultsTeams[[#This Row],[Type]]="G",SUM(Q291:Q294),IF(LEFT(ResultsTeams[[#This Row],[Type]],1)="P",VALUE(ResultsTeams[[#This Row],[Score-A]]),""))</f>
        <v/>
      </c>
      <c r="R290" s="265" t="str">
        <f>IF(ResultsTeams[[#This Row],[Type]]="G",SUM(R291:R294),IF(LEFT(ResultsTeams[[#This Row],[Type]],1)="P",VALUE(ResultsTeams[[#This Row],[Score-B]]),""))</f>
        <v/>
      </c>
      <c r="S290" s="265" t="str">
        <f ca="1">IF(AND(ResultsTeams[[#This Row],[Category]]&lt;&gt;"",ResultsTeams[[#This Row],[Team A]]&lt;&gt;""),COUNTIF(INDIRECT("TeamsList[Club Name]"),ResultsTeams[[#This Row],[Team A]]),"")</f>
        <v/>
      </c>
      <c r="T290" s="265" t="str">
        <f ca="1">IF(AND(ResultsTeams[[#This Row],[Category]]&lt;&gt;"",ResultsTeams[[#This Row],[Team B]]&lt;&gt;""),COUNTIF(INDIRECT("TeamsList[Club Name]"),ResultsTeams[[#This Row],[Team B]]),"")</f>
        <v/>
      </c>
      <c r="U2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0" s="265" t="str">
        <f>IF(ResultsTeams[[#This Row],[Score_OK]],IF(ResultsTeams[[#This Row],[StageCpy]]="Groups",ResultsTeams[[#This Row],[Category]]&amp;"-"&amp;IF(ResultsTeams[[#This Row],[Team B]]="","",IF(ResultsTeams[[#This Row],[Match-A]]=ResultsTeams[[#This Row],[Match-B]],ResultsTeams[[#This Row],[Team A]],"")),""),"")</f>
        <v/>
      </c>
      <c r="W290" s="265" t="str">
        <f>IF(ResultsTeams[[#This Row],[Score_OK]],IF(ResultsTeams[[#This Row],[StageCpy]]="Groups",ResultsTeams[[#This Row],[Category]]&amp;"-"&amp;IF(ResultsTeams[[#This Row],[Team B]]="","",IF(ResultsTeams[[#This Row],[Match-A]]=ResultsTeams[[#This Row],[Match-B]],ResultsTeams[[#This Row],[Team B]],"")),""),"")</f>
        <v/>
      </c>
      <c r="X2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0" s="264" t="str">
        <f>IF(ResultsTeams[[#This Row],[Category]]="","",VLOOKUP(ResultsTeams[[#This Row],[Stage]],$R$1:$T$8,MATCH(ResultsTeams[[#This Row],[Category]],$S$1:$T$1,0)+1,FALSE))</f>
        <v/>
      </c>
      <c r="AC2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0" s="264" t="str">
        <f>IF(ResultsTeams[[#This Row],[Type]]="G",ResultsTeams[[#This Row],[Stage]],AD289)</f>
        <v>Groups</v>
      </c>
      <c r="AE290" s="395" t="str">
        <f>IF(ResultsTeams[[#This Row],[Type]]="G",INDEX(TeamsList[Club Name],MATCH(ResultsTeams[[#This Row],[Team A]],TeamsList[Team Name],0)),AE289)</f>
        <v>Avenir Subbuteo Hennuyer</v>
      </c>
      <c r="AF290" s="395" t="str">
        <f>IF(ResultsTeams[[#This Row],[Type]]="G",INDEX(TeamsList[Club Name],MATCH(ResultsTeams[[#This Row],[Team B]],TeamsList[Team Name],0)),AF289)</f>
        <v>SC Lion's Eugies</v>
      </c>
      <c r="AG290" s="265"/>
      <c r="AI290" s="12" t="str">
        <f t="shared" ref="AI290:AI294" si="249">AI289</f>
        <v>TEAM</v>
      </c>
      <c r="AJ290" s="309" t="s">
        <v>620</v>
      </c>
      <c r="AK290" s="320"/>
      <c r="AL290" s="311"/>
      <c r="AM290" s="292">
        <f>IF(AV290="","",SMALL(AN288:AN294,ROWS(AM288:AM290)))</f>
        <v>3002</v>
      </c>
      <c r="AN290" s="293">
        <f>IF(AV290="","",RANK(AR290,AR288:AR294)*1000+ROWS(AN288:AN290))</f>
        <v>2003</v>
      </c>
      <c r="AO290" s="316">
        <f t="shared" si="242"/>
        <v>118098000000000</v>
      </c>
      <c r="AP290" s="415" t="b">
        <f>AND(AU290&lt;&gt;"",AU290&gt;0,COUNTIF(AO288:AO294,AO290)&gt;1)</f>
        <v>0</v>
      </c>
      <c r="AQ290" s="316">
        <f t="shared" si="243"/>
        <v>0</v>
      </c>
      <c r="AR290" s="317">
        <f t="shared" si="244"/>
        <v>118098152281016</v>
      </c>
      <c r="AS290" s="415" t="b">
        <f>AND(AU290&lt;&gt;"",AU290&gt;0,COUNTIF(AR288:AR294,AR290)&gt;1)</f>
        <v>0</v>
      </c>
      <c r="AT290" s="355">
        <f t="shared" si="245"/>
        <v>6</v>
      </c>
      <c r="AU290" s="356">
        <f t="shared" si="246"/>
        <v>3</v>
      </c>
      <c r="AV290" s="356">
        <f>IF(OR(AI287="",AJ290=""),"",COUNTIF(ResultsTeams[Win],AI287&amp;"-"&amp;AJ290))</f>
        <v>2</v>
      </c>
      <c r="AW290" s="356">
        <f>IF(OR(AI287="",AJ290=""),"",COUNTIF(ResultsTeams[[Draw1]:[Draw2]],AI287&amp;"-"&amp;AJ290))</f>
        <v>0</v>
      </c>
      <c r="AX290" s="356">
        <f>IF(OR(AI287="",AJ290=""),"",COUNTIF(ResultsTeams[Lose],AI287&amp;"-"&amp;AJ290))</f>
        <v>1</v>
      </c>
      <c r="AY290" s="356">
        <f>IF(OR(AI287="",AJ290=""),"",AV290-AX290)</f>
        <v>1</v>
      </c>
      <c r="AZ290" s="356">
        <f>IF(OR(AI289="",AJ290=""),"",SUMIFS(ResultsTeams[Match-A],ResultsTeams[Stage],"Groups",ResultsTeams[Team A],AJ290)+SUMIFS(ResultsTeams[Match-B],ResultsTeams[Stage],"Groups",ResultsTeams[Team B],AJ290))</f>
        <v>8</v>
      </c>
      <c r="BA290" s="356">
        <f>IF(OR(AI289="",AJ290=""),"",SUMIFS(ResultsTeams[Match-B],ResultsTeams[Stage],"Groups",ResultsTeams[Team A],AJ290)+SUMIFS(ResultsTeams[Match-A],ResultsTeams[Stage],"Groups",ResultsTeams[Team B],AJ290))</f>
        <v>2</v>
      </c>
      <c r="BB290" s="356">
        <f t="shared" si="248"/>
        <v>6</v>
      </c>
      <c r="BC290" s="356">
        <f>IF(OR(AI289="",AJ290=""),"",SUMIFS(ResultsTeams[Goal-A],ResultsTeams[Stage],"Groups",ResultsTeams[Team A],AJ290)+SUMIFS(ResultsTeams[Goal-B],ResultsTeams[Stage],"Groups",ResultsTeams[Team B],AJ290))</f>
        <v>56</v>
      </c>
      <c r="BD290" s="356">
        <f>IF(OR(AI289="",AJ290=""),"",SUMIFS(ResultsTeams[Goal-B],ResultsTeams[Stage],"Groups",ResultsTeams[Team A],AJ290)+SUMIFS(ResultsTeams[Goal-A],ResultsTeams[Stage],"Groups",ResultsTeams[Team B],AJ290))</f>
        <v>24</v>
      </c>
      <c r="BE290" s="357">
        <f>IF(OR(AI287="",AJ290=""),"",BC290-BD290)</f>
        <v>32</v>
      </c>
      <c r="BF290" s="470" t="b">
        <f>IF(AM290="","",OR(VLOOKUP(AM290,AN288:BE294,3,FALSE),VLOOKUP(AM290,AN288:BE294,6,FALSE)))</f>
        <v>0</v>
      </c>
      <c r="BG290" s="298">
        <f t="shared" si="247"/>
        <v>3</v>
      </c>
      <c r="BH290" s="285" t="str">
        <f>IF(AM290="","",INDEX(AJ288:AJ294,MATCH(AM290,AN288:AN294,0)))</f>
        <v>SC Flanders</v>
      </c>
      <c r="BI290" s="286">
        <f>IF(AM290="","",VLOOKUP(AM290,AN288:BE294,COLUMN()-COLUMN(BB287),FALSE))</f>
        <v>3</v>
      </c>
      <c r="BJ290" s="286">
        <f>IF(AM290="","",VLOOKUP(AM290,AN288:BE294,COLUMN()-COLUMN(BB287),FALSE))</f>
        <v>3</v>
      </c>
      <c r="BK290" s="286">
        <f>IF(AM290="","",VLOOKUP(AM290,AN288:BE294,COLUMN()-COLUMN(BB287),FALSE))</f>
        <v>1</v>
      </c>
      <c r="BL290" s="286">
        <f>IF(AM290="","",VLOOKUP(AM290,AN288:BE294,COLUMN()-COLUMN(BB287),FALSE))</f>
        <v>0</v>
      </c>
      <c r="BM290" s="286">
        <f>IF(AM290="","",VLOOKUP(AM290,AN288:BE294,COLUMN()-COLUMN(BB287),FALSE))</f>
        <v>2</v>
      </c>
      <c r="BN290" s="349">
        <f>IF(AM290="","",VLOOKUP(AM290,AN288:BE294,COLUMN()-COLUMN(BB287),FALSE))</f>
        <v>-1</v>
      </c>
      <c r="BO290" s="298">
        <f>IF(AM290="","",VLOOKUP(AM290,AN288:BE294,COLUMN()-COLUMN(BB287),FALSE))</f>
        <v>4</v>
      </c>
      <c r="BP290" s="286">
        <f>IF(AM290="","",VLOOKUP(AM290,AN288:BE294,COLUMN()-COLUMN(BB287),FALSE))</f>
        <v>7</v>
      </c>
      <c r="BQ290" s="301">
        <f>IF(AM290="","",VLOOKUP(AM290,AN288:BE294,COLUMN()-COLUMN(BB287),FALSE))</f>
        <v>-3</v>
      </c>
      <c r="BR290" s="352">
        <f>IF(AM290="","",VLOOKUP(AM290,AN288:BE294,COLUMN()-COLUMN(BB287),FALSE))</f>
        <v>40</v>
      </c>
      <c r="BS290" s="286">
        <f>IF(AM290="","",VLOOKUP(AM290,AN288:BE294,COLUMN()-COLUMN(BB287),FALSE))</f>
        <v>35</v>
      </c>
      <c r="BT290" s="301">
        <f>IF(AM290="","",VLOOKUP(AM290,AN288:BE294,COLUMN()-COLUMN(BB287),FALSE))</f>
        <v>5</v>
      </c>
    </row>
    <row r="291" spans="1:72" ht="12" thickBot="1" x14ac:dyDescent="0.25">
      <c r="A291" s="83"/>
      <c r="B291" s="83"/>
      <c r="C291" s="83"/>
      <c r="D291" s="83"/>
      <c r="E291" s="268" t="s">
        <v>12244</v>
      </c>
      <c r="F291" s="262"/>
      <c r="G291" s="262"/>
      <c r="H291" s="324"/>
      <c r="I291" s="324"/>
      <c r="J291" s="263"/>
      <c r="K291" s="365"/>
      <c r="L291" s="365"/>
      <c r="M291" s="262"/>
      <c r="N291" s="265" t="b">
        <f>NOT(ISERROR(ResultsTeams[[#This Row],[Goal-A]]+ResultsTeams[[#This Row],[Goal-B]]))</f>
        <v>0</v>
      </c>
      <c r="O291" s="265" t="str">
        <f>IF(ResultsTeams[[#This Row],[Type]]="G",SUM(O292:O295),IF(LEFT(ResultsTeams[[#This Row],[Type]],1)="P",IF(ResultsTeams[[#This Row],[Goal-A]]&gt;ResultsTeams[[#This Row],[Goal-B]],1,0),""))</f>
        <v/>
      </c>
      <c r="P291" s="265" t="str">
        <f>IF(ResultsTeams[[#This Row],[Type]]="G",SUM(P292:P295),IF(LEFT(ResultsTeams[[#This Row],[Type]],1)="P",IF(ResultsTeams[[#This Row],[Goal-A]]&lt;ResultsTeams[[#This Row],[Goal-B]],1,0),""))</f>
        <v/>
      </c>
      <c r="Q291" s="265" t="str">
        <f>IF(ResultsTeams[[#This Row],[Type]]="G",SUM(Q292:Q295),IF(LEFT(ResultsTeams[[#This Row],[Type]],1)="P",VALUE(ResultsTeams[[#This Row],[Score-A]]),""))</f>
        <v/>
      </c>
      <c r="R291" s="265" t="str">
        <f>IF(ResultsTeams[[#This Row],[Type]]="G",SUM(R292:R295),IF(LEFT(ResultsTeams[[#This Row],[Type]],1)="P",VALUE(ResultsTeams[[#This Row],[Score-B]]),""))</f>
        <v/>
      </c>
      <c r="S291" s="265" t="str">
        <f ca="1">IF(AND(ResultsTeams[[#This Row],[Category]]&lt;&gt;"",ResultsTeams[[#This Row],[Team A]]&lt;&gt;""),COUNTIF(INDIRECT("TeamsList[Club Name]"),ResultsTeams[[#This Row],[Team A]]),"")</f>
        <v/>
      </c>
      <c r="T291" s="265" t="str">
        <f ca="1">IF(AND(ResultsTeams[[#This Row],[Category]]&lt;&gt;"",ResultsTeams[[#This Row],[Team B]]&lt;&gt;""),COUNTIF(INDIRECT("TeamsList[Club Name]"),ResultsTeams[[#This Row],[Team B]]),"")</f>
        <v/>
      </c>
      <c r="U2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1" s="265" t="str">
        <f>IF(ResultsTeams[[#This Row],[Score_OK]],IF(ResultsTeams[[#This Row],[StageCpy]]="Groups",ResultsTeams[[#This Row],[Category]]&amp;"-"&amp;IF(ResultsTeams[[#This Row],[Team B]]="","",IF(ResultsTeams[[#This Row],[Match-A]]=ResultsTeams[[#This Row],[Match-B]],ResultsTeams[[#This Row],[Team A]],"")),""),"")</f>
        <v/>
      </c>
      <c r="W291" s="265" t="str">
        <f>IF(ResultsTeams[[#This Row],[Score_OK]],IF(ResultsTeams[[#This Row],[StageCpy]]="Groups",ResultsTeams[[#This Row],[Category]]&amp;"-"&amp;IF(ResultsTeams[[#This Row],[Team B]]="","",IF(ResultsTeams[[#This Row],[Match-A]]=ResultsTeams[[#This Row],[Match-B]],ResultsTeams[[#This Row],[Team B]],"")),""),"")</f>
        <v/>
      </c>
      <c r="X2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1" s="264" t="str">
        <f>IF(ResultsTeams[[#This Row],[Category]]="","",VLOOKUP(ResultsTeams[[#This Row],[Stage]],$R$1:$T$8,MATCH(ResultsTeams[[#This Row],[Category]],$S$1:$T$1,0)+1,FALSE))</f>
        <v/>
      </c>
      <c r="AC2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1" s="264" t="str">
        <f>IF(ResultsTeams[[#This Row],[Type]]="G",ResultsTeams[[#This Row],[Stage]],AD290)</f>
        <v>Groups</v>
      </c>
      <c r="AE291" s="395" t="str">
        <f>IF(ResultsTeams[[#This Row],[Type]]="G",INDEX(TeamsList[Club Name],MATCH(ResultsTeams[[#This Row],[Team A]],TeamsList[Team Name],0)),AE290)</f>
        <v>Avenir Subbuteo Hennuyer</v>
      </c>
      <c r="AF291" s="395" t="str">
        <f>IF(ResultsTeams[[#This Row],[Type]]="G",INDEX(TeamsList[Club Name],MATCH(ResultsTeams[[#This Row],[Team B]],TeamsList[Team Name],0)),AF290)</f>
        <v>SC Lion's Eugies</v>
      </c>
      <c r="AG291" s="265"/>
      <c r="AH291" s="91"/>
      <c r="AI291" s="12" t="str">
        <f t="shared" si="249"/>
        <v>TEAM</v>
      </c>
      <c r="AJ291" s="309" t="s">
        <v>14595</v>
      </c>
      <c r="AK291" s="310"/>
      <c r="AL291" s="311"/>
      <c r="AM291" s="292">
        <f>IF(AV291="","",SMALL(AN288:AN294,ROWS(AM288:AM291)))</f>
        <v>4004</v>
      </c>
      <c r="AN291" s="293">
        <f>IF(AV291="","",RANK(AR291,AR288:AR294)*1000+ROWS(AN288:AN291))</f>
        <v>4004</v>
      </c>
      <c r="AO291" s="316">
        <f t="shared" si="242"/>
        <v>0</v>
      </c>
      <c r="AP291" s="415" t="b">
        <f>AND(AU291&lt;&gt;"",AU291&gt;0,COUNTIF(AO288:AO294,AO291)&gt;1)</f>
        <v>0</v>
      </c>
      <c r="AQ291" s="316">
        <f t="shared" si="243"/>
        <v>0</v>
      </c>
      <c r="AR291" s="317">
        <f t="shared" si="244"/>
        <v>-291602000</v>
      </c>
      <c r="AS291" s="415" t="b">
        <f>AND(AU291&lt;&gt;"",AU291&gt;0,COUNTIF(AR288:AR294,AR291)&gt;1)</f>
        <v>0</v>
      </c>
      <c r="AT291" s="355">
        <f t="shared" si="245"/>
        <v>0</v>
      </c>
      <c r="AU291" s="356">
        <f t="shared" si="246"/>
        <v>3</v>
      </c>
      <c r="AV291" s="356">
        <f>IF(OR(AI287="",AJ291=""),"",COUNTIF(ResultsTeams[Win],AI287&amp;"-"&amp;AJ291))</f>
        <v>0</v>
      </c>
      <c r="AW291" s="356">
        <f>IF(OR(AI287="",AJ291=""),"",COUNTIF(ResultsTeams[[Draw1]:[Draw2]],AI287&amp;"-"&amp;AJ291))</f>
        <v>0</v>
      </c>
      <c r="AX291" s="356">
        <f>IF(OR(AI287="",AJ291=""),"",COUNTIF(ResultsTeams[Lose],AI287&amp;"-"&amp;AJ291))</f>
        <v>3</v>
      </c>
      <c r="AY291" s="356">
        <f>IF(OR(AI287="",AJ291=""),"",AV291-AX291)</f>
        <v>-3</v>
      </c>
      <c r="AZ291" s="356">
        <f>IF(OR(AI290="",AJ291=""),"",SUMIFS(ResultsTeams[Match-A],ResultsTeams[Stage],"Groups",ResultsTeams[Team A],AJ291)+SUMIFS(ResultsTeams[Match-B],ResultsTeams[Stage],"Groups",ResultsTeams[Team B],AJ291))</f>
        <v>0</v>
      </c>
      <c r="BA291" s="356">
        <f>IF(OR(AI290="",AJ291=""),"",SUMIFS(ResultsTeams[Match-B],ResultsTeams[Stage],"Groups",ResultsTeams[Team A],AJ291)+SUMIFS(ResultsTeams[Match-A],ResultsTeams[Stage],"Groups",ResultsTeams[Team B],AJ291))</f>
        <v>12</v>
      </c>
      <c r="BB291" s="356">
        <f t="shared" si="248"/>
        <v>-12</v>
      </c>
      <c r="BC291" s="356">
        <f>IF(OR(AI290="",AJ291=""),"",SUMIFS(ResultsTeams[Goal-A],ResultsTeams[Stage],"Groups",ResultsTeams[Team A],AJ291)+SUMIFS(ResultsTeams[Goal-B],ResultsTeams[Stage],"Groups",ResultsTeams[Team B],AJ291))</f>
        <v>10</v>
      </c>
      <c r="BD291" s="356">
        <f>IF(OR(AI290="",AJ291=""),"",SUMIFS(ResultsTeams[Goal-B],ResultsTeams[Stage],"Groups",ResultsTeams[Team A],AJ291)+SUMIFS(ResultsTeams[Goal-A],ResultsTeams[Stage],"Groups",ResultsTeams[Team B],AJ291))</f>
        <v>77</v>
      </c>
      <c r="BE291" s="357">
        <f>IF(OR(AI287="",AJ291=""),"",BC291-BD291)</f>
        <v>-67</v>
      </c>
      <c r="BF291" s="470" t="b">
        <f>IF(AM291="","",OR(VLOOKUP(AM291,AN288:BE294,3,FALSE),VLOOKUP(AM291,AN288:BE294,6,FALSE)))</f>
        <v>0</v>
      </c>
      <c r="BG291" s="298">
        <f t="shared" si="247"/>
        <v>4</v>
      </c>
      <c r="BH291" s="285" t="str">
        <f>IF(AM291="","",INDEX(AJ288:AJ294,MATCH(AM291,AN288:AN294,0)))</f>
        <v>Kent Invicta TFC 2</v>
      </c>
      <c r="BI291" s="286">
        <f>IF(AM291="","",VLOOKUP(AM291,AN288:BE294,COLUMN()-COLUMN(BB287),FALSE))</f>
        <v>0</v>
      </c>
      <c r="BJ291" s="286">
        <f>IF(AM291="","",VLOOKUP(AM291,AN288:BE294,COLUMN()-COLUMN(BB287),FALSE))</f>
        <v>3</v>
      </c>
      <c r="BK291" s="286">
        <f>IF(AM291="","",VLOOKUP(AM291,AN288:BE294,COLUMN()-COLUMN(BB287),FALSE))</f>
        <v>0</v>
      </c>
      <c r="BL291" s="286">
        <f>IF(AM291="","",VLOOKUP(AM291,AN288:BE294,COLUMN()-COLUMN(BB287),FALSE))</f>
        <v>0</v>
      </c>
      <c r="BM291" s="286">
        <f>IF(AM291="","",VLOOKUP(AM291,AN288:BE294,COLUMN()-COLUMN(BB287),FALSE))</f>
        <v>3</v>
      </c>
      <c r="BN291" s="349">
        <f>IF(AM291="","",VLOOKUP(AM291,AN288:BE294,COLUMN()-COLUMN(BB287),FALSE))</f>
        <v>-3</v>
      </c>
      <c r="BO291" s="298">
        <f>IF(AM291="","",VLOOKUP(AM291,AN288:BE294,COLUMN()-COLUMN(BB287),FALSE))</f>
        <v>0</v>
      </c>
      <c r="BP291" s="286">
        <f>IF(AM291="","",VLOOKUP(AM291,AN288:BE294,COLUMN()-COLUMN(BB287),FALSE))</f>
        <v>12</v>
      </c>
      <c r="BQ291" s="301">
        <f>IF(AM291="","",VLOOKUP(AM291,AN288:BE294,COLUMN()-COLUMN(BB287),FALSE))</f>
        <v>-12</v>
      </c>
      <c r="BR291" s="352">
        <f>IF(AM291="","",VLOOKUP(AM291,AN288:BE294,COLUMN()-COLUMN(BB287),FALSE))</f>
        <v>10</v>
      </c>
      <c r="BS291" s="286">
        <f>IF(AM291="","",VLOOKUP(AM291,AN288:BE294,COLUMN()-COLUMN(BB287),FALSE))</f>
        <v>77</v>
      </c>
      <c r="BT291" s="301">
        <f>IF(AM291="","",VLOOKUP(AM291,AN288:BE294,COLUMN()-COLUMN(BB287),FALSE))</f>
        <v>-67</v>
      </c>
    </row>
    <row r="292" spans="1:72" ht="12" thickBot="1" x14ac:dyDescent="0.25">
      <c r="A292" s="261" t="s">
        <v>12693</v>
      </c>
      <c r="B292" s="270" t="s">
        <v>12207</v>
      </c>
      <c r="C292" s="270">
        <v>7</v>
      </c>
      <c r="D292" s="270"/>
      <c r="E292" s="272" t="s">
        <v>12228</v>
      </c>
      <c r="F292" s="273" t="s">
        <v>39</v>
      </c>
      <c r="G292" s="273" t="s">
        <v>14593</v>
      </c>
      <c r="H292" s="275">
        <v>3</v>
      </c>
      <c r="I292" s="275">
        <v>1</v>
      </c>
      <c r="J292" s="275"/>
      <c r="K292" s="366"/>
      <c r="L292" s="366"/>
      <c r="M292" s="274"/>
      <c r="N292" s="265" t="b">
        <f>NOT(ISERROR(ResultsTeams[[#This Row],[Goal-A]]+ResultsTeams[[#This Row],[Goal-B]]))</f>
        <v>1</v>
      </c>
      <c r="O292" s="265">
        <f>IF(ResultsTeams[[#This Row],[Type]]="G",SUM(O293:O296),IF(LEFT(ResultsTeams[[#This Row],[Type]],1)="P",IF(ResultsTeams[[#This Row],[Goal-A]]&gt;ResultsTeams[[#This Row],[Goal-B]],1,0),""))</f>
        <v>3</v>
      </c>
      <c r="P292" s="265">
        <f>IF(ResultsTeams[[#This Row],[Type]]="G",SUM(P293:P296),IF(LEFT(ResultsTeams[[#This Row],[Type]],1)="P",IF(ResultsTeams[[#This Row],[Goal-A]]&lt;ResultsTeams[[#This Row],[Goal-B]],1,0),""))</f>
        <v>1</v>
      </c>
      <c r="Q292" s="265">
        <f>IF(ResultsTeams[[#This Row],[Type]]="G",SUM(Q293:Q296),IF(LEFT(ResultsTeams[[#This Row],[Type]],1)="P",VALUE(ResultsTeams[[#This Row],[Score-A]]),""))</f>
        <v>13</v>
      </c>
      <c r="R292" s="265">
        <f>IF(ResultsTeams[[#This Row],[Type]]="G",SUM(R293:R296),IF(LEFT(ResultsTeams[[#This Row],[Type]],1)="P",VALUE(ResultsTeams[[#This Row],[Score-B]]),""))</f>
        <v>3</v>
      </c>
      <c r="S292" s="265">
        <f ca="1">IF(AND(ResultsTeams[[#This Row],[Category]]&lt;&gt;"",ResultsTeams[[#This Row],[Team A]]&lt;&gt;""),COUNTIF(INDIRECT("TeamsList[Club Name]"),ResultsTeams[[#This Row],[Team A]]),"")</f>
        <v>1</v>
      </c>
      <c r="T292" s="265">
        <f ca="1">IF(AND(ResultsTeams[[#This Row],[Category]]&lt;&gt;"",ResultsTeams[[#This Row],[Team B]]&lt;&gt;""),COUNTIF(INDIRECT("TeamsList[Club Name]"),ResultsTeams[[#This Row],[Team B]]),"")</f>
        <v>0</v>
      </c>
      <c r="U2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TEAM-TSC Royal 78 Kaisermühlen</v>
      </c>
      <c r="V292" s="265" t="str">
        <f>IF(ResultsTeams[[#This Row],[Score_OK]],IF(ResultsTeams[[#This Row],[StageCpy]]="Groups",ResultsTeams[[#This Row],[Category]]&amp;"-"&amp;IF(ResultsTeams[[#This Row],[Team B]]="","",IF(ResultsTeams[[#This Row],[Match-A]]=ResultsTeams[[#This Row],[Match-B]],ResultsTeams[[#This Row],[Team A]],"")),""),"")</f>
        <v>TEAM-</v>
      </c>
      <c r="W292" s="265" t="str">
        <f>IF(ResultsTeams[[#This Row],[Score_OK]],IF(ResultsTeams[[#This Row],[StageCpy]]="Groups",ResultsTeams[[#This Row],[Category]]&amp;"-"&amp;IF(ResultsTeams[[#This Row],[Team B]]="","",IF(ResultsTeams[[#This Row],[Match-A]]=ResultsTeams[[#This Row],[Match-B]],ResultsTeams[[#This Row],[Team B]],"")),""),"")</f>
        <v>TEAM-</v>
      </c>
      <c r="X2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4</v>
      </c>
      <c r="Y2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4</v>
      </c>
      <c r="AA2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4</v>
      </c>
      <c r="AB292" s="264" t="str">
        <f>IF(ResultsTeams[[#This Row],[Category]]="","",VLOOKUP(ResultsTeams[[#This Row],[Stage]],$R$1:$T$8,MATCH(ResultsTeams[[#This Row],[Category]],$S$1:$T$1,0)+1,FALSE))</f>
        <v>PR1</v>
      </c>
      <c r="AC2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2" s="264" t="str">
        <f>IF(ResultsTeams[[#This Row],[Type]]="G",ResultsTeams[[#This Row],[Stage]],AD291)</f>
        <v>Groups</v>
      </c>
      <c r="AE292" s="395" t="str">
        <f>IF(ResultsTeams[[#This Row],[Type]]="G",INDEX(TeamsList[Club Name],MATCH(ResultsTeams[[#This Row],[Team A]],TeamsList[Team Name],0)),AE291)</f>
        <v>TSC Royal 78 Kaisermühlen</v>
      </c>
      <c r="AF292" s="395" t="str">
        <f>IF(ResultsTeams[[#This Row],[Type]]="G",INDEX(TeamsList[Club Name],MATCH(ResultsTeams[[#This Row],[Team B]],TeamsList[Team Name],0)),AF291)</f>
        <v>Avenir Subbuteo Hennuyer</v>
      </c>
      <c r="AG292" s="265"/>
      <c r="AH292" s="91"/>
      <c r="AI292" s="12" t="str">
        <f t="shared" si="249"/>
        <v>TEAM</v>
      </c>
      <c r="AJ292" s="309"/>
      <c r="AK292" s="310"/>
      <c r="AL292" s="311"/>
      <c r="AM292" s="292" t="str">
        <f>IF(AV292="","",SMALL(AN288:AN294,ROWS(AM288:AM292)))</f>
        <v/>
      </c>
      <c r="AN292" s="293" t="str">
        <f>IF(AV292="","",RANK(AR292,AR288:AR294)*1000+ROWS(AN288:AN292))</f>
        <v/>
      </c>
      <c r="AO292" s="316" t="str">
        <f t="shared" si="242"/>
        <v/>
      </c>
      <c r="AP292" s="415" t="b">
        <f>AND(AU292&lt;&gt;"",AU292&gt;0,COUNTIF(AO288:AO294,AO292)&gt;1)</f>
        <v>0</v>
      </c>
      <c r="AQ292" s="316" t="str">
        <f t="shared" si="243"/>
        <v/>
      </c>
      <c r="AR292" s="317" t="str">
        <f t="shared" si="244"/>
        <v/>
      </c>
      <c r="AS292" s="415" t="b">
        <f>AND(AU292&lt;&gt;"",AU292&gt;0,COUNTIF(AR288:AR294,AR292)&gt;1)</f>
        <v>0</v>
      </c>
      <c r="AT292" s="355" t="str">
        <f t="shared" si="245"/>
        <v/>
      </c>
      <c r="AU292" s="356" t="str">
        <f t="shared" si="246"/>
        <v/>
      </c>
      <c r="AV292" s="356" t="str">
        <f>IF(OR(AI287="",AJ292=""),"",COUNTIF(ResultsTeams[Win],AI287&amp;"-"&amp;AJ292))</f>
        <v/>
      </c>
      <c r="AW292" s="356" t="str">
        <f>IF(OR(AI287="",AJ292=""),"",COUNTIF(ResultsTeams[[Draw1]:[Draw2]],AI287&amp;"-"&amp;AJ292))</f>
        <v/>
      </c>
      <c r="AX292" s="356" t="str">
        <f>IF(OR(AI287="",AJ292=""),"",COUNTIF(ResultsTeams[Lose],AI287&amp;"-"&amp;AJ292))</f>
        <v/>
      </c>
      <c r="AY292" s="356" t="str">
        <f>IF(OR(AI287="",AJ292=""),"",AV292-AX292)</f>
        <v/>
      </c>
      <c r="AZ292" s="356" t="str">
        <f>IF(OR(AI291="",AJ292=""),"",SUMIFS(ResultsTeams[Match-A],ResultsTeams[Stage],"Groups",ResultsTeams[Team A],AJ292)+SUMIFS(ResultsTeams[Match-B],ResultsTeams[Stage],"Groups",ResultsTeams[Team B],AJ292))</f>
        <v/>
      </c>
      <c r="BA292" s="356" t="str">
        <f>IF(OR(AI291="",AJ292=""),"",SUMIFS(ResultsTeams[Match-B],ResultsTeams[Stage],"Groups",ResultsTeams[Team A],AJ292)+SUMIFS(ResultsTeams[Match-A],ResultsTeams[Stage],"Groups",ResultsTeams[Team B],AJ292))</f>
        <v/>
      </c>
      <c r="BB292" s="356" t="str">
        <f t="shared" si="248"/>
        <v/>
      </c>
      <c r="BC292" s="356" t="str">
        <f>IF(OR(AI291="",AJ292=""),"",SUMIFS(ResultsTeams[Goal-A],ResultsTeams[Stage],"Groups",ResultsTeams[Team A],AJ292)+SUMIFS(ResultsTeams[Goal-B],ResultsTeams[Stage],"Groups",ResultsTeams[Team B],AJ292))</f>
        <v/>
      </c>
      <c r="BD292" s="356" t="str">
        <f>IF(OR(AI291="",AJ292=""),"",SUMIFS(ResultsTeams[Goal-B],ResultsTeams[Stage],"Groups",ResultsTeams[Team A],AJ292)+SUMIFS(ResultsTeams[Goal-A],ResultsTeams[Stage],"Groups",ResultsTeams[Team B],AJ292))</f>
        <v/>
      </c>
      <c r="BE292" s="357" t="str">
        <f>IF(OR(AI287="",AJ292=""),"",BC292-BD292)</f>
        <v/>
      </c>
      <c r="BF292" s="470" t="str">
        <f>IF(AM292="","",OR(VLOOKUP(AM292,AN288:BE294,3,FALSE),VLOOKUP(AM292,AN288:BE294,6,FALSE)))</f>
        <v/>
      </c>
      <c r="BG292" s="298" t="str">
        <f t="shared" si="247"/>
        <v/>
      </c>
      <c r="BH292" s="285" t="str">
        <f>IF(AM292="","",INDEX(AJ288:AJ294,MATCH(AM292,AN288:AN294,0)))</f>
        <v/>
      </c>
      <c r="BI292" s="286" t="str">
        <f>IF(AM292="","",VLOOKUP(AM292,AN288:BE294,COLUMN()-COLUMN(BB287),FALSE))</f>
        <v/>
      </c>
      <c r="BJ292" s="286" t="str">
        <f>IF(AM292="","",VLOOKUP(AM292,AN288:BE294,COLUMN()-COLUMN(BB287),FALSE))</f>
        <v/>
      </c>
      <c r="BK292" s="286" t="str">
        <f>IF(AM292="","",VLOOKUP(AM292,AN288:BE294,COLUMN()-COLUMN(BB287),FALSE))</f>
        <v/>
      </c>
      <c r="BL292" s="286" t="str">
        <f>IF(AM292="","",VLOOKUP(AM292,AN288:BE294,COLUMN()-COLUMN(BB287),FALSE))</f>
        <v/>
      </c>
      <c r="BM292" s="286" t="str">
        <f>IF(AM292="","",VLOOKUP(AM292,AN288:BE294,COLUMN()-COLUMN(BB287),FALSE))</f>
        <v/>
      </c>
      <c r="BN292" s="349" t="str">
        <f>IF(AM292="","",VLOOKUP(AM292,AN288:BE294,COLUMN()-COLUMN(BB287),FALSE))</f>
        <v/>
      </c>
      <c r="BO292" s="298" t="str">
        <f>IF(AM292="","",VLOOKUP(AM292,AN288:BE294,COLUMN()-COLUMN(BB287),FALSE))</f>
        <v/>
      </c>
      <c r="BP292" s="286" t="str">
        <f>IF(AM292="","",VLOOKUP(AM292,AN288:BE294,COLUMN()-COLUMN(BB287),FALSE))</f>
        <v/>
      </c>
      <c r="BQ292" s="301" t="str">
        <f>IF(AM292="","",VLOOKUP(AM292,AN288:BE294,COLUMN()-COLUMN(BB287),FALSE))</f>
        <v/>
      </c>
      <c r="BR292" s="352" t="str">
        <f>IF(AM292="","",VLOOKUP(AM292,AN288:BE294,COLUMN()-COLUMN(BB287),FALSE))</f>
        <v/>
      </c>
      <c r="BS292" s="286" t="str">
        <f>IF(AM292="","",VLOOKUP(AM292,AN288:BE294,COLUMN()-COLUMN(BB287),FALSE))</f>
        <v/>
      </c>
      <c r="BT292" s="301" t="str">
        <f>IF(AM292="","",VLOOKUP(AM292,AN288:BE294,COLUMN()-COLUMN(BB287),FALSE))</f>
        <v/>
      </c>
    </row>
    <row r="293" spans="1:72" x14ac:dyDescent="0.2">
      <c r="A293" s="60"/>
      <c r="B293" s="280"/>
      <c r="C293" s="60"/>
      <c r="D293" s="60"/>
      <c r="E293" s="240" t="s">
        <v>12231</v>
      </c>
      <c r="F293" s="244" t="s">
        <v>8037</v>
      </c>
      <c r="G293" s="244" t="s">
        <v>14445</v>
      </c>
      <c r="H293" s="253">
        <v>4</v>
      </c>
      <c r="I293" s="253">
        <v>1</v>
      </c>
      <c r="J293" s="253"/>
      <c r="K293" s="362"/>
      <c r="L293" s="362"/>
      <c r="M293" s="245"/>
      <c r="N293" s="265" t="b">
        <f>NOT(ISERROR(ResultsTeams[[#This Row],[Goal-A]]+ResultsTeams[[#This Row],[Goal-B]]))</f>
        <v>1</v>
      </c>
      <c r="O293" s="265">
        <f>IF(ResultsTeams[[#This Row],[Type]]="G",SUM(O294:O297),IF(LEFT(ResultsTeams[[#This Row],[Type]],1)="P",IF(ResultsTeams[[#This Row],[Goal-A]]&gt;ResultsTeams[[#This Row],[Goal-B]],1,0),""))</f>
        <v>1</v>
      </c>
      <c r="P293" s="265">
        <f>IF(ResultsTeams[[#This Row],[Type]]="G",SUM(P294:P297),IF(LEFT(ResultsTeams[[#This Row],[Type]],1)="P",IF(ResultsTeams[[#This Row],[Goal-A]]&lt;ResultsTeams[[#This Row],[Goal-B]],1,0),""))</f>
        <v>0</v>
      </c>
      <c r="Q293" s="265">
        <f>IF(ResultsTeams[[#This Row],[Type]]="G",SUM(Q294:Q297),IF(LEFT(ResultsTeams[[#This Row],[Type]],1)="P",VALUE(ResultsTeams[[#This Row],[Score-A]]),""))</f>
        <v>4</v>
      </c>
      <c r="R293" s="265">
        <f>IF(ResultsTeams[[#This Row],[Type]]="G",SUM(R294:R297),IF(LEFT(ResultsTeams[[#This Row],[Type]],1)="P",VALUE(ResultsTeams[[#This Row],[Score-B]]),""))</f>
        <v>1</v>
      </c>
      <c r="S293" s="265" t="str">
        <f ca="1">IF(AND(ResultsTeams[[#This Row],[Category]]&lt;&gt;"",ResultsTeams[[#This Row],[Team A]]&lt;&gt;""),COUNTIF(INDIRECT("TeamsList[Club Name]"),ResultsTeams[[#This Row],[Team A]]),"")</f>
        <v/>
      </c>
      <c r="T293" s="265" t="str">
        <f ca="1">IF(AND(ResultsTeams[[#This Row],[Category]]&lt;&gt;"",ResultsTeams[[#This Row],[Team B]]&lt;&gt;""),COUNTIF(INDIRECT("TeamsList[Club Name]"),ResultsTeams[[#This Row],[Team B]]),"")</f>
        <v/>
      </c>
      <c r="U2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-Robert Lenz</v>
      </c>
      <c r="V293" s="265" t="str">
        <f>IF(ResultsTeams[[#This Row],[Score_OK]],IF(ResultsTeams[[#This Row],[StageCpy]]="Groups",ResultsTeams[[#This Row],[Category]]&amp;"-"&amp;IF(ResultsTeams[[#This Row],[Team B]]="","",IF(ResultsTeams[[#This Row],[Match-A]]=ResultsTeams[[#This Row],[Match-B]],ResultsTeams[[#This Row],[Team A]],"")),""),"")</f>
        <v>-</v>
      </c>
      <c r="W293" s="265" t="str">
        <f>IF(ResultsTeams[[#This Row],[Score_OK]],IF(ResultsTeams[[#This Row],[StageCpy]]="Groups",ResultsTeams[[#This Row],[Category]]&amp;"-"&amp;IF(ResultsTeams[[#This Row],[Team B]]="","",IF(ResultsTeams[[#This Row],[Match-A]]=ResultsTeams[[#This Row],[Match-B]],ResultsTeams[[#This Row],[Team B]],"")),""),"")</f>
        <v>-</v>
      </c>
      <c r="X2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-Jordan Bonte</v>
      </c>
      <c r="Y2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3" s="264" t="str">
        <f>IF(ResultsTeams[[#This Row],[Category]]="","",VLOOKUP(ResultsTeams[[#This Row],[Stage]],$R$1:$T$8,MATCH(ResultsTeams[[#This Row],[Category]],$S$1:$T$1,0)+1,FALSE))</f>
        <v/>
      </c>
      <c r="AC2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3" s="264" t="str">
        <f>IF(ResultsTeams[[#This Row],[Type]]="G",ResultsTeams[[#This Row],[Stage]],AD292)</f>
        <v>Groups</v>
      </c>
      <c r="AE293" s="395" t="str">
        <f>IF(ResultsTeams[[#This Row],[Type]]="G",INDEX(TeamsList[Club Name],MATCH(ResultsTeams[[#This Row],[Team A]],TeamsList[Team Name],0)),AE292)</f>
        <v>TSC Royal 78 Kaisermühlen</v>
      </c>
      <c r="AF293" s="395" t="str">
        <f>IF(ResultsTeams[[#This Row],[Type]]="G",INDEX(TeamsList[Club Name],MATCH(ResultsTeams[[#This Row],[Team B]],TeamsList[Team Name],0)),AF292)</f>
        <v>Avenir Subbuteo Hennuyer</v>
      </c>
      <c r="AG293" s="265"/>
      <c r="AI293" s="12" t="str">
        <f t="shared" si="249"/>
        <v>TEAM</v>
      </c>
      <c r="AJ293" s="309"/>
      <c r="AK293" s="310"/>
      <c r="AL293" s="311"/>
      <c r="AM293" s="292" t="str">
        <f>IF(AV293="","",SMALL(AN288:AN294,ROWS(AM288:AM293)))</f>
        <v/>
      </c>
      <c r="AN293" s="293" t="str">
        <f>IF(AV293="","",RANK(AR293,AR288:AR294)*1000+ROWS(AN288:AN293))</f>
        <v/>
      </c>
      <c r="AO293" s="316" t="str">
        <f t="shared" si="242"/>
        <v/>
      </c>
      <c r="AP293" s="415" t="b">
        <f>AND(AU293&lt;&gt;"",AU293&gt;0,COUNTIF(AO288:AO294,AO293)&gt;1)</f>
        <v>0</v>
      </c>
      <c r="AQ293" s="316" t="str">
        <f t="shared" si="243"/>
        <v/>
      </c>
      <c r="AR293" s="317" t="str">
        <f t="shared" si="244"/>
        <v/>
      </c>
      <c r="AS293" s="415" t="b">
        <f>AND(AU293&lt;&gt;"",AU293&gt;0,COUNTIF(AR288:AR294,AR293)&gt;1)</f>
        <v>0</v>
      </c>
      <c r="AT293" s="355" t="str">
        <f t="shared" si="245"/>
        <v/>
      </c>
      <c r="AU293" s="356" t="str">
        <f t="shared" si="246"/>
        <v/>
      </c>
      <c r="AV293" s="356" t="str">
        <f>IF(OR(AI287="",AJ293=""),"",COUNTIF(ResultsTeams[Win],AI287&amp;"-"&amp;AJ293))</f>
        <v/>
      </c>
      <c r="AW293" s="356" t="str">
        <f>IF(OR(AI287="",AJ293=""),"",COUNTIF(ResultsTeams[[Draw1]:[Draw2]],AI287&amp;"-"&amp;AJ293))</f>
        <v/>
      </c>
      <c r="AX293" s="356" t="str">
        <f>IF(OR(AI287="",AJ293=""),"",COUNTIF(ResultsTeams[Lose],AI287&amp;"-"&amp;AJ293))</f>
        <v/>
      </c>
      <c r="AY293" s="356" t="str">
        <f>IF(OR(AI287="",AJ293=""),"",AV293-AX293)</f>
        <v/>
      </c>
      <c r="AZ293" s="356" t="str">
        <f>IF(OR(AI292="",AJ293=""),"",SUMIFS(ResultsTeams[Match-A],ResultsTeams[Stage],"Groups",ResultsTeams[Team A],AJ293)+SUMIFS(ResultsTeams[Match-B],ResultsTeams[Stage],"Groups",ResultsTeams[Team B],AJ293))</f>
        <v/>
      </c>
      <c r="BA293" s="356" t="str">
        <f>IF(OR(AI292="",AJ293=""),"",SUMIFS(ResultsTeams[Match-B],ResultsTeams[Stage],"Groups",ResultsTeams[Team A],AJ293)+SUMIFS(ResultsTeams[Match-A],ResultsTeams[Stage],"Groups",ResultsTeams[Team B],AJ293))</f>
        <v/>
      </c>
      <c r="BB293" s="356" t="str">
        <f t="shared" si="248"/>
        <v/>
      </c>
      <c r="BC293" s="356" t="str">
        <f>IF(OR(AI292="",AJ293=""),"",SUMIFS(ResultsTeams[Goal-A],ResultsTeams[Stage],"Groups",ResultsTeams[Team A],AJ293)+SUMIFS(ResultsTeams[Goal-B],ResultsTeams[Stage],"Groups",ResultsTeams[Team B],AJ293))</f>
        <v/>
      </c>
      <c r="BD293" s="356" t="str">
        <f>IF(OR(AI292="",AJ293=""),"",SUMIFS(ResultsTeams[Goal-B],ResultsTeams[Stage],"Groups",ResultsTeams[Team A],AJ293)+SUMIFS(ResultsTeams[Goal-A],ResultsTeams[Stage],"Groups",ResultsTeams[Team B],AJ293))</f>
        <v/>
      </c>
      <c r="BE293" s="357" t="str">
        <f>IF(OR(AI287="",AJ293=""),"",BC293-BD293)</f>
        <v/>
      </c>
      <c r="BF293" s="470" t="str">
        <f>IF(AM293="","",OR(VLOOKUP(AM293,AN288:BE294,3,FALSE),VLOOKUP(AM293,AN288:BE294,6,FALSE)))</f>
        <v/>
      </c>
      <c r="BG293" s="298" t="str">
        <f t="shared" si="247"/>
        <v/>
      </c>
      <c r="BH293" s="285" t="str">
        <f>IF(AM293="","",INDEX(AJ288:AJ294,MATCH(AM293,AN288:AN294,0)))</f>
        <v/>
      </c>
      <c r="BI293" s="286" t="str">
        <f>IF(AM293="","",VLOOKUP(AM293,AN288:BE294,COLUMN()-COLUMN(BB287),FALSE))</f>
        <v/>
      </c>
      <c r="BJ293" s="286" t="str">
        <f>IF(AM293="","",VLOOKUP(AM293,AN288:BE294,COLUMN()-COLUMN(BB287),FALSE))</f>
        <v/>
      </c>
      <c r="BK293" s="286" t="str">
        <f>IF(AM293="","",VLOOKUP(AM293,AN288:BE294,COLUMN()-COLUMN(BB287),FALSE))</f>
        <v/>
      </c>
      <c r="BL293" s="286" t="str">
        <f>IF(AM293="","",VLOOKUP(AM293,AN288:BE294,COLUMN()-COLUMN(BB287),FALSE))</f>
        <v/>
      </c>
      <c r="BM293" s="286" t="str">
        <f>IF(AM293="","",VLOOKUP(AM293,AN288:BE294,COLUMN()-COLUMN(BB287),FALSE))</f>
        <v/>
      </c>
      <c r="BN293" s="349" t="str">
        <f>IF(AM293="","",VLOOKUP(AM293,AN288:BE294,COLUMN()-COLUMN(BB287),FALSE))</f>
        <v/>
      </c>
      <c r="BO293" s="298" t="str">
        <f>IF(AM293="","",VLOOKUP(AM293,AN288:BE294,COLUMN()-COLUMN(BB287),FALSE))</f>
        <v/>
      </c>
      <c r="BP293" s="286" t="str">
        <f>IF(AM293="","",VLOOKUP(AM293,AN288:BE294,COLUMN()-COLUMN(BB287),FALSE))</f>
        <v/>
      </c>
      <c r="BQ293" s="301" t="str">
        <f>IF(AM293="","",VLOOKUP(AM293,AN288:BE294,COLUMN()-COLUMN(BB287),FALSE))</f>
        <v/>
      </c>
      <c r="BR293" s="352" t="str">
        <f>IF(AM293="","",VLOOKUP(AM293,AN288:BE294,COLUMN()-COLUMN(BB287),FALSE))</f>
        <v/>
      </c>
      <c r="BS293" s="286" t="str">
        <f>IF(AM293="","",VLOOKUP(AM293,AN288:BE294,COLUMN()-COLUMN(BB287),FALSE))</f>
        <v/>
      </c>
      <c r="BT293" s="301" t="str">
        <f>IF(AM293="","",VLOOKUP(AM293,AN288:BE294,COLUMN()-COLUMN(BB287),FALSE))</f>
        <v/>
      </c>
    </row>
    <row r="294" spans="1:72" ht="12" thickBot="1" x14ac:dyDescent="0.25">
      <c r="A294" s="62"/>
      <c r="B294" s="280"/>
      <c r="C294" s="62"/>
      <c r="D294" s="62"/>
      <c r="E294" s="241" t="s">
        <v>12234</v>
      </c>
      <c r="F294" s="246" t="s">
        <v>8050</v>
      </c>
      <c r="G294" s="246" t="s">
        <v>8162</v>
      </c>
      <c r="H294" s="254">
        <v>7</v>
      </c>
      <c r="I294" s="254">
        <v>1</v>
      </c>
      <c r="J294" s="254"/>
      <c r="K294" s="363"/>
      <c r="L294" s="363"/>
      <c r="M294" s="247"/>
      <c r="N294" s="265" t="b">
        <f>NOT(ISERROR(ResultsTeams[[#This Row],[Goal-A]]+ResultsTeams[[#This Row],[Goal-B]]))</f>
        <v>1</v>
      </c>
      <c r="O294" s="265">
        <f>IF(ResultsTeams[[#This Row],[Type]]="G",SUM(O295:O298),IF(LEFT(ResultsTeams[[#This Row],[Type]],1)="P",IF(ResultsTeams[[#This Row],[Goal-A]]&gt;ResultsTeams[[#This Row],[Goal-B]],1,0),""))</f>
        <v>1</v>
      </c>
      <c r="P294" s="265">
        <f>IF(ResultsTeams[[#This Row],[Type]]="G",SUM(P295:P298),IF(LEFT(ResultsTeams[[#This Row],[Type]],1)="P",IF(ResultsTeams[[#This Row],[Goal-A]]&lt;ResultsTeams[[#This Row],[Goal-B]],1,0),""))</f>
        <v>0</v>
      </c>
      <c r="Q294" s="265">
        <f>IF(ResultsTeams[[#This Row],[Type]]="G",SUM(Q295:Q298),IF(LEFT(ResultsTeams[[#This Row],[Type]],1)="P",VALUE(ResultsTeams[[#This Row],[Score-A]]),""))</f>
        <v>7</v>
      </c>
      <c r="R294" s="265">
        <f>IF(ResultsTeams[[#This Row],[Type]]="G",SUM(R295:R298),IF(LEFT(ResultsTeams[[#This Row],[Type]],1)="P",VALUE(ResultsTeams[[#This Row],[Score-B]]),""))</f>
        <v>1</v>
      </c>
      <c r="S294" s="265" t="str">
        <f ca="1">IF(AND(ResultsTeams[[#This Row],[Category]]&lt;&gt;"",ResultsTeams[[#This Row],[Team A]]&lt;&gt;""),COUNTIF(INDIRECT("TeamsList[Club Name]"),ResultsTeams[[#This Row],[Team A]]),"")</f>
        <v/>
      </c>
      <c r="T294" s="265" t="str">
        <f ca="1">IF(AND(ResultsTeams[[#This Row],[Category]]&lt;&gt;"",ResultsTeams[[#This Row],[Team B]]&lt;&gt;""),COUNTIF(INDIRECT("TeamsList[Club Name]"),ResultsTeams[[#This Row],[Team B]]),"")</f>
        <v/>
      </c>
      <c r="U2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-Thomas Wittmann</v>
      </c>
      <c r="V294" s="265" t="str">
        <f>IF(ResultsTeams[[#This Row],[Score_OK]],IF(ResultsTeams[[#This Row],[StageCpy]]="Groups",ResultsTeams[[#This Row],[Category]]&amp;"-"&amp;IF(ResultsTeams[[#This Row],[Team B]]="","",IF(ResultsTeams[[#This Row],[Match-A]]=ResultsTeams[[#This Row],[Match-B]],ResultsTeams[[#This Row],[Team A]],"")),""),"")</f>
        <v>-</v>
      </c>
      <c r="W294" s="265" t="str">
        <f>IF(ResultsTeams[[#This Row],[Score_OK]],IF(ResultsTeams[[#This Row],[StageCpy]]="Groups",ResultsTeams[[#This Row],[Category]]&amp;"-"&amp;IF(ResultsTeams[[#This Row],[Team B]]="","",IF(ResultsTeams[[#This Row],[Match-A]]=ResultsTeams[[#This Row],[Match-B]],ResultsTeams[[#This Row],[Team B]],"")),""),"")</f>
        <v>-</v>
      </c>
      <c r="X2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-Jérôme Cyganek</v>
      </c>
      <c r="Y2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4" s="264" t="str">
        <f>IF(ResultsTeams[[#This Row],[Category]]="","",VLOOKUP(ResultsTeams[[#This Row],[Stage]],$R$1:$T$8,MATCH(ResultsTeams[[#This Row],[Category]],$S$1:$T$1,0)+1,FALSE))</f>
        <v/>
      </c>
      <c r="AC2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4" s="264" t="str">
        <f>IF(ResultsTeams[[#This Row],[Type]]="G",ResultsTeams[[#This Row],[Stage]],AD293)</f>
        <v>Groups</v>
      </c>
      <c r="AE294" s="395" t="str">
        <f>IF(ResultsTeams[[#This Row],[Type]]="G",INDEX(TeamsList[Club Name],MATCH(ResultsTeams[[#This Row],[Team A]],TeamsList[Team Name],0)),AE293)</f>
        <v>TSC Royal 78 Kaisermühlen</v>
      </c>
      <c r="AF294" s="395" t="str">
        <f>IF(ResultsTeams[[#This Row],[Type]]="G",INDEX(TeamsList[Club Name],MATCH(ResultsTeams[[#This Row],[Team B]],TeamsList[Team Name],0)),AF293)</f>
        <v>Avenir Subbuteo Hennuyer</v>
      </c>
      <c r="AG294" s="265"/>
      <c r="AI294" s="12" t="str">
        <f t="shared" si="249"/>
        <v>TEAM</v>
      </c>
      <c r="AJ294" s="312"/>
      <c r="AK294" s="313"/>
      <c r="AL294" s="314"/>
      <c r="AM294" s="294" t="str">
        <f>IF(AV294="","",SMALL(AN288:AN294,ROWS(AM288:AM294)))</f>
        <v/>
      </c>
      <c r="AN294" s="295" t="str">
        <f>IF(AV294="","",RANK(AR294,AR288:AR294)*1000+ROWS(AN288:AN294))</f>
        <v/>
      </c>
      <c r="AO294" s="318" t="str">
        <f t="shared" si="242"/>
        <v/>
      </c>
      <c r="AP294" s="416" t="b">
        <f>AND(AU294&lt;&gt;"",AU294&gt;0,COUNTIF(AO288:AO294,AO294)&gt;1)</f>
        <v>0</v>
      </c>
      <c r="AQ294" s="318" t="str">
        <f t="shared" si="243"/>
        <v/>
      </c>
      <c r="AR294" s="319" t="str">
        <f t="shared" si="244"/>
        <v/>
      </c>
      <c r="AS294" s="416" t="b">
        <f>AND(AU294&lt;&gt;"",AU294&gt;0,COUNTIF(AR288:AR294,AR294)&gt;1)</f>
        <v>0</v>
      </c>
      <c r="AT294" s="358" t="str">
        <f t="shared" si="245"/>
        <v/>
      </c>
      <c r="AU294" s="359" t="str">
        <f t="shared" si="246"/>
        <v/>
      </c>
      <c r="AV294" s="359" t="str">
        <f>IF(OR(AI287="",AJ294=""),"",COUNTIF(ResultsTeams[Win],AI287&amp;"-"&amp;AJ294))</f>
        <v/>
      </c>
      <c r="AW294" s="359" t="str">
        <f>IF(OR(AI287="",AJ294=""),"",COUNTIF(ResultsTeams[[Draw1]:[Draw2]],AI287&amp;"-"&amp;AJ294))</f>
        <v/>
      </c>
      <c r="AX294" s="359" t="str">
        <f>IF(OR(AI287="",AJ294=""),"",COUNTIF(ResultsTeams[Lose],AI287&amp;"-"&amp;AJ294))</f>
        <v/>
      </c>
      <c r="AY294" s="359" t="str">
        <f>IF(OR(AI287="",AJ294=""),"",AV294-AX294)</f>
        <v/>
      </c>
      <c r="AZ294" s="359" t="str">
        <f>IF(OR(AI293="",AJ294=""),"",SUMIFS(ResultsTeams[Match-A],ResultsTeams[Stage],"Groups",ResultsTeams[Team A],AJ294)+SUMIFS(ResultsTeams[Match-B],ResultsTeams[Stage],"Groups",ResultsTeams[Team B],AJ294))</f>
        <v/>
      </c>
      <c r="BA294" s="359" t="str">
        <f>IF(OR(AI293="",AJ294=""),"",SUMIFS(ResultsTeams[Match-B],ResultsTeams[Stage],"Groups",ResultsTeams[Team A],AJ294)+SUMIFS(ResultsTeams[Match-A],ResultsTeams[Stage],"Groups",ResultsTeams[Team B],AJ294))</f>
        <v/>
      </c>
      <c r="BB294" s="359" t="str">
        <f t="shared" si="248"/>
        <v/>
      </c>
      <c r="BC294" s="359" t="str">
        <f>IF(OR(AI293="",AJ294=""),"",SUMIFS(ResultsTeams[Goal-A],ResultsTeams[Stage],"Groups",ResultsTeams[Team A],AJ294)+SUMIFS(ResultsTeams[Goal-B],ResultsTeams[Stage],"Groups",ResultsTeams[Team B],AJ294))</f>
        <v/>
      </c>
      <c r="BD294" s="359" t="str">
        <f>IF(OR(AI293="",AJ294=""),"",SUMIFS(ResultsTeams[Goal-B],ResultsTeams[Stage],"Groups",ResultsTeams[Team A],AJ294)+SUMIFS(ResultsTeams[Goal-A],ResultsTeams[Stage],"Groups",ResultsTeams[Team B],AJ294))</f>
        <v/>
      </c>
      <c r="BE294" s="360" t="str">
        <f>IF(OR(AI287="",AJ294=""),"",BC294-BD294)</f>
        <v/>
      </c>
      <c r="BF294" s="470" t="str">
        <f>IF(AM294="","",OR(VLOOKUP(AM294,AN288:BE294,3,FALSE),VLOOKUP(AM294,AN288:BE294,6,FALSE)))</f>
        <v/>
      </c>
      <c r="BG294" s="299" t="str">
        <f t="shared" si="247"/>
        <v/>
      </c>
      <c r="BH294" s="287" t="str">
        <f>IF(AM294="","",INDEX(AJ288:AJ294,MATCH(AM294,AN288:AN294,0)))</f>
        <v/>
      </c>
      <c r="BI294" s="288" t="str">
        <f>IF(AM294="","",VLOOKUP(AM294,AN288:BE294,COLUMN()-COLUMN(BB287),FALSE))</f>
        <v/>
      </c>
      <c r="BJ294" s="288" t="str">
        <f>IF(AM294="","",VLOOKUP(AM294,AN288:BE294,COLUMN()-COLUMN(BB287),FALSE))</f>
        <v/>
      </c>
      <c r="BK294" s="288" t="str">
        <f>IF(AM294="","",VLOOKUP(AM294,AN288:BE294,COLUMN()-COLUMN(BB287),FALSE))</f>
        <v/>
      </c>
      <c r="BL294" s="288" t="str">
        <f>IF(AM294="","",VLOOKUP(AM294,AN288:BE294,COLUMN()-COLUMN(BB287),FALSE))</f>
        <v/>
      </c>
      <c r="BM294" s="288" t="str">
        <f>IF(AM294="","",VLOOKUP(AM294,AN288:BE294,COLUMN()-COLUMN(BB287),FALSE))</f>
        <v/>
      </c>
      <c r="BN294" s="350" t="str">
        <f>IF(AM294="","",VLOOKUP(AM294,AN288:BE294,COLUMN()-COLUMN(BB287),FALSE))</f>
        <v/>
      </c>
      <c r="BO294" s="299" t="str">
        <f>IF(AM294="","",VLOOKUP(AM294,AN288:BE294,COLUMN()-COLUMN(BB287),FALSE))</f>
        <v/>
      </c>
      <c r="BP294" s="288" t="str">
        <f>IF(AM294="","",VLOOKUP(AM294,AN288:BE294,COLUMN()-COLUMN(BB287),FALSE))</f>
        <v/>
      </c>
      <c r="BQ294" s="302" t="str">
        <f>IF(AM294="","",VLOOKUP(AM294,AN288:BE294,COLUMN()-COLUMN(BB287),FALSE))</f>
        <v/>
      </c>
      <c r="BR294" s="353" t="str">
        <f>IF(AM294="","",VLOOKUP(AM294,AN288:BE294,COLUMN()-COLUMN(BB287),FALSE))</f>
        <v/>
      </c>
      <c r="BS294" s="288" t="str">
        <f>IF(AM294="","",VLOOKUP(AM294,AN288:BE294,COLUMN()-COLUMN(BB287),FALSE))</f>
        <v/>
      </c>
      <c r="BT294" s="302" t="str">
        <f>IF(AM294="","",VLOOKUP(AM294,AN288:BE294,COLUMN()-COLUMN(BB287),FALSE))</f>
        <v/>
      </c>
    </row>
    <row r="295" spans="1:72" ht="12" thickBot="1" x14ac:dyDescent="0.25">
      <c r="A295" s="62"/>
      <c r="B295" s="280"/>
      <c r="C295" s="62"/>
      <c r="D295" s="62"/>
      <c r="E295" s="241" t="s">
        <v>12237</v>
      </c>
      <c r="F295" s="246" t="s">
        <v>8065</v>
      </c>
      <c r="G295" s="246" t="s">
        <v>8722</v>
      </c>
      <c r="H295" s="254">
        <v>0</v>
      </c>
      <c r="I295" s="254">
        <v>1</v>
      </c>
      <c r="J295" s="254"/>
      <c r="K295" s="363"/>
      <c r="L295" s="363"/>
      <c r="M295" s="247"/>
      <c r="N295" s="265" t="b">
        <f>NOT(ISERROR(ResultsTeams[[#This Row],[Goal-A]]+ResultsTeams[[#This Row],[Goal-B]]))</f>
        <v>1</v>
      </c>
      <c r="O295" s="265">
        <f>IF(ResultsTeams[[#This Row],[Type]]="G",SUM(O296:O299),IF(LEFT(ResultsTeams[[#This Row],[Type]],1)="P",IF(ResultsTeams[[#This Row],[Goal-A]]&gt;ResultsTeams[[#This Row],[Goal-B]],1,0),""))</f>
        <v>0</v>
      </c>
      <c r="P295" s="265">
        <f>IF(ResultsTeams[[#This Row],[Type]]="G",SUM(P296:P299),IF(LEFT(ResultsTeams[[#This Row],[Type]],1)="P",IF(ResultsTeams[[#This Row],[Goal-A]]&lt;ResultsTeams[[#This Row],[Goal-B]],1,0),""))</f>
        <v>1</v>
      </c>
      <c r="Q295" s="265">
        <f>IF(ResultsTeams[[#This Row],[Type]]="G",SUM(Q296:Q299),IF(LEFT(ResultsTeams[[#This Row],[Type]],1)="P",VALUE(ResultsTeams[[#This Row],[Score-A]]),""))</f>
        <v>0</v>
      </c>
      <c r="R295" s="265">
        <f>IF(ResultsTeams[[#This Row],[Type]]="G",SUM(R296:R299),IF(LEFT(ResultsTeams[[#This Row],[Type]],1)="P",VALUE(ResultsTeams[[#This Row],[Score-B]]),""))</f>
        <v>1</v>
      </c>
      <c r="S295" s="265" t="str">
        <f ca="1">IF(AND(ResultsTeams[[#This Row],[Category]]&lt;&gt;"",ResultsTeams[[#This Row],[Team A]]&lt;&gt;""),COUNTIF(INDIRECT("TeamsList[Club Name]"),ResultsTeams[[#This Row],[Team A]]),"")</f>
        <v/>
      </c>
      <c r="T295" s="265" t="str">
        <f ca="1">IF(AND(ResultsTeams[[#This Row],[Category]]&lt;&gt;"",ResultsTeams[[#This Row],[Team B]]&lt;&gt;""),COUNTIF(INDIRECT("TeamsList[Club Name]"),ResultsTeams[[#This Row],[Team B]]),"")</f>
        <v/>
      </c>
      <c r="U2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-Louis Soret</v>
      </c>
      <c r="V295" s="265" t="str">
        <f>IF(ResultsTeams[[#This Row],[Score_OK]],IF(ResultsTeams[[#This Row],[StageCpy]]="Groups",ResultsTeams[[#This Row],[Category]]&amp;"-"&amp;IF(ResultsTeams[[#This Row],[Team B]]="","",IF(ResultsTeams[[#This Row],[Match-A]]=ResultsTeams[[#This Row],[Match-B]],ResultsTeams[[#This Row],[Team A]],"")),""),"")</f>
        <v>-</v>
      </c>
      <c r="W295" s="265" t="str">
        <f>IF(ResultsTeams[[#This Row],[Score_OK]],IF(ResultsTeams[[#This Row],[StageCpy]]="Groups",ResultsTeams[[#This Row],[Category]]&amp;"-"&amp;IF(ResultsTeams[[#This Row],[Team B]]="","",IF(ResultsTeams[[#This Row],[Match-A]]=ResultsTeams[[#This Row],[Match-B]],ResultsTeams[[#This Row],[Team B]],"")),""),"")</f>
        <v>-</v>
      </c>
      <c r="X2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Vranovitz</v>
      </c>
      <c r="Y2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5" s="264" t="str">
        <f>IF(ResultsTeams[[#This Row],[Category]]="","",VLOOKUP(ResultsTeams[[#This Row],[Stage]],$R$1:$T$8,MATCH(ResultsTeams[[#This Row],[Category]],$S$1:$T$1,0)+1,FALSE))</f>
        <v/>
      </c>
      <c r="AC2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5" s="264" t="str">
        <f>IF(ResultsTeams[[#This Row],[Type]]="G",ResultsTeams[[#This Row],[Stage]],AD294)</f>
        <v>Groups</v>
      </c>
      <c r="AE295" s="395" t="str">
        <f>IF(ResultsTeams[[#This Row],[Type]]="G",INDEX(TeamsList[Club Name],MATCH(ResultsTeams[[#This Row],[Team A]],TeamsList[Team Name],0)),AE294)</f>
        <v>TSC Royal 78 Kaisermühlen</v>
      </c>
      <c r="AF295" s="395" t="str">
        <f>IF(ResultsTeams[[#This Row],[Type]]="G",INDEX(TeamsList[Club Name],MATCH(ResultsTeams[[#This Row],[Team B]],TeamsList[Team Name],0)),AF294)</f>
        <v>Avenir Subbuteo Hennuyer</v>
      </c>
      <c r="AG295" s="265"/>
    </row>
    <row r="296" spans="1:72" ht="12" thickBot="1" x14ac:dyDescent="0.25">
      <c r="A296" s="62"/>
      <c r="B296" s="280"/>
      <c r="C296" s="62"/>
      <c r="D296" s="62"/>
      <c r="E296" s="241" t="s">
        <v>12240</v>
      </c>
      <c r="F296" s="246" t="s">
        <v>8043</v>
      </c>
      <c r="G296" s="246" t="s">
        <v>8721</v>
      </c>
      <c r="H296" s="254">
        <v>2</v>
      </c>
      <c r="I296" s="254">
        <v>0</v>
      </c>
      <c r="J296" s="254"/>
      <c r="K296" s="363"/>
      <c r="L296" s="363"/>
      <c r="M296" s="247"/>
      <c r="N296" s="265" t="b">
        <f>NOT(ISERROR(ResultsTeams[[#This Row],[Goal-A]]+ResultsTeams[[#This Row],[Goal-B]]))</f>
        <v>1</v>
      </c>
      <c r="O296" s="265">
        <f>IF(ResultsTeams[[#This Row],[Type]]="G",SUM(O297:O300),IF(LEFT(ResultsTeams[[#This Row],[Type]],1)="P",IF(ResultsTeams[[#This Row],[Goal-A]]&gt;ResultsTeams[[#This Row],[Goal-B]],1,0),""))</f>
        <v>1</v>
      </c>
      <c r="P296" s="265">
        <f>IF(ResultsTeams[[#This Row],[Type]]="G",SUM(P297:P300),IF(LEFT(ResultsTeams[[#This Row],[Type]],1)="P",IF(ResultsTeams[[#This Row],[Goal-A]]&lt;ResultsTeams[[#This Row],[Goal-B]],1,0),""))</f>
        <v>0</v>
      </c>
      <c r="Q296" s="265">
        <f>IF(ResultsTeams[[#This Row],[Type]]="G",SUM(Q297:Q300),IF(LEFT(ResultsTeams[[#This Row],[Type]],1)="P",VALUE(ResultsTeams[[#This Row],[Score-A]]),""))</f>
        <v>2</v>
      </c>
      <c r="R296" s="265">
        <f>IF(ResultsTeams[[#This Row],[Type]]="G",SUM(R297:R300),IF(LEFT(ResultsTeams[[#This Row],[Type]],1)="P",VALUE(ResultsTeams[[#This Row],[Score-B]]),""))</f>
        <v>0</v>
      </c>
      <c r="S296" s="265" t="str">
        <f ca="1">IF(AND(ResultsTeams[[#This Row],[Category]]&lt;&gt;"",ResultsTeams[[#This Row],[Team A]]&lt;&gt;""),COUNTIF(INDIRECT("TeamsList[Club Name]"),ResultsTeams[[#This Row],[Team A]]),"")</f>
        <v/>
      </c>
      <c r="T296" s="265" t="str">
        <f ca="1">IF(AND(ResultsTeams[[#This Row],[Category]]&lt;&gt;"",ResultsTeams[[#This Row],[Team B]]&lt;&gt;""),COUNTIF(INDIRECT("TeamsList[Club Name]"),ResultsTeams[[#This Row],[Team B]]),"")</f>
        <v/>
      </c>
      <c r="U2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-Alexander Haas</v>
      </c>
      <c r="V296" s="265" t="str">
        <f>IF(ResultsTeams[[#This Row],[Score_OK]],IF(ResultsTeams[[#This Row],[StageCpy]]="Groups",ResultsTeams[[#This Row],[Category]]&amp;"-"&amp;IF(ResultsTeams[[#This Row],[Team B]]="","",IF(ResultsTeams[[#This Row],[Match-A]]=ResultsTeams[[#This Row],[Match-B]],ResultsTeams[[#This Row],[Team A]],"")),""),"")</f>
        <v>-</v>
      </c>
      <c r="W296" s="265" t="str">
        <f>IF(ResultsTeams[[#This Row],[Score_OK]],IF(ResultsTeams[[#This Row],[StageCpy]]="Groups",ResultsTeams[[#This Row],[Category]]&amp;"-"&amp;IF(ResultsTeams[[#This Row],[Team B]]="","",IF(ResultsTeams[[#This Row],[Match-A]]=ResultsTeams[[#This Row],[Match-B]],ResultsTeams[[#This Row],[Team B]],"")),""),"")</f>
        <v>-</v>
      </c>
      <c r="X2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-Rafaël Midoux</v>
      </c>
      <c r="Y2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6" s="264" t="str">
        <f>IF(ResultsTeams[[#This Row],[Category]]="","",VLOOKUP(ResultsTeams[[#This Row],[Stage]],$R$1:$T$8,MATCH(ResultsTeams[[#This Row],[Category]],$S$1:$T$1,0)+1,FALSE))</f>
        <v/>
      </c>
      <c r="AC2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6" s="264" t="str">
        <f>IF(ResultsTeams[[#This Row],[Type]]="G",ResultsTeams[[#This Row],[Stage]],AD295)</f>
        <v>Groups</v>
      </c>
      <c r="AE296" s="395" t="str">
        <f>IF(ResultsTeams[[#This Row],[Type]]="G",INDEX(TeamsList[Club Name],MATCH(ResultsTeams[[#This Row],[Team A]],TeamsList[Team Name],0)),AE295)</f>
        <v>TSC Royal 78 Kaisermühlen</v>
      </c>
      <c r="AF296" s="395" t="str">
        <f>IF(ResultsTeams[[#This Row],[Type]]="G",INDEX(TeamsList[Club Name],MATCH(ResultsTeams[[#This Row],[Team B]],TeamsList[Team Name],0)),AF295)</f>
        <v>Avenir Subbuteo Hennuyer</v>
      </c>
      <c r="AG296" s="265"/>
      <c r="AH296" s="281">
        <v>9</v>
      </c>
      <c r="AI296" s="315" t="s">
        <v>12693</v>
      </c>
      <c r="AJ296" s="289" t="s">
        <v>14438</v>
      </c>
      <c r="AK296" s="290" t="s">
        <v>12279</v>
      </c>
      <c r="AL296" s="300" t="s">
        <v>12275</v>
      </c>
      <c r="AM296" s="296" t="s">
        <v>12276</v>
      </c>
      <c r="AN296" s="291" t="s">
        <v>12271</v>
      </c>
      <c r="AO296" s="291" t="s">
        <v>12272</v>
      </c>
      <c r="AP296" s="414" t="s">
        <v>13154</v>
      </c>
      <c r="AQ296" s="291" t="s">
        <v>12273</v>
      </c>
      <c r="AR296" s="297" t="s">
        <v>12274</v>
      </c>
      <c r="AS296" s="414" t="s">
        <v>13154</v>
      </c>
      <c r="AT296" s="296" t="s">
        <v>12199</v>
      </c>
      <c r="AU296" s="291" t="s">
        <v>12200</v>
      </c>
      <c r="AV296" s="291" t="s">
        <v>12201</v>
      </c>
      <c r="AW296" s="291" t="s">
        <v>12202</v>
      </c>
      <c r="AX296" s="291" t="s">
        <v>12203</v>
      </c>
      <c r="AY296" s="291" t="s">
        <v>12697</v>
      </c>
      <c r="AZ296" s="291" t="s">
        <v>12698</v>
      </c>
      <c r="BA296" s="291" t="s">
        <v>12699</v>
      </c>
      <c r="BB296" s="291" t="s">
        <v>12700</v>
      </c>
      <c r="BC296" s="291" t="s">
        <v>12204</v>
      </c>
      <c r="BD296" s="291" t="s">
        <v>12205</v>
      </c>
      <c r="BE296" s="297" t="s">
        <v>12206</v>
      </c>
      <c r="BF296" s="395"/>
      <c r="BG296" s="282" t="s">
        <v>12276</v>
      </c>
      <c r="BH296" s="282" t="s">
        <v>12133</v>
      </c>
      <c r="BI296" s="283" t="s">
        <v>12199</v>
      </c>
      <c r="BJ296" s="283" t="s">
        <v>12200</v>
      </c>
      <c r="BK296" s="283" t="s">
        <v>12201</v>
      </c>
      <c r="BL296" s="283" t="s">
        <v>12202</v>
      </c>
      <c r="BM296" s="283" t="s">
        <v>12203</v>
      </c>
      <c r="BN296" s="290" t="s">
        <v>12697</v>
      </c>
      <c r="BO296" s="354" t="s">
        <v>12698</v>
      </c>
      <c r="BP296" s="283" t="s">
        <v>12699</v>
      </c>
      <c r="BQ296" s="300" t="s">
        <v>12700</v>
      </c>
      <c r="BR296" s="351" t="s">
        <v>12204</v>
      </c>
      <c r="BS296" s="283" t="s">
        <v>12205</v>
      </c>
      <c r="BT296" s="300" t="s">
        <v>12206</v>
      </c>
    </row>
    <row r="297" spans="1:72" x14ac:dyDescent="0.2">
      <c r="A297" s="62"/>
      <c r="B297" s="62"/>
      <c r="C297" s="62"/>
      <c r="D297" s="62"/>
      <c r="E297" s="241" t="s">
        <v>12243</v>
      </c>
      <c r="F297" s="247" t="s">
        <v>8036</v>
      </c>
      <c r="G297" s="247" t="s">
        <v>8161</v>
      </c>
      <c r="H297" s="254" t="s">
        <v>12244</v>
      </c>
      <c r="I297" s="254"/>
      <c r="J297" s="260"/>
      <c r="K297" s="364"/>
      <c r="L297" s="364"/>
      <c r="M297" s="63"/>
      <c r="N297" s="265" t="b">
        <f>NOT(ISERROR(ResultsTeams[[#This Row],[Goal-A]]+ResultsTeams[[#This Row],[Goal-B]]))</f>
        <v>0</v>
      </c>
      <c r="O297" s="265" t="str">
        <f>IF(ResultsTeams[[#This Row],[Type]]="G",SUM(O298:O301),IF(LEFT(ResultsTeams[[#This Row],[Type]],1)="P",IF(ResultsTeams[[#This Row],[Goal-A]]&gt;ResultsTeams[[#This Row],[Goal-B]],1,0),""))</f>
        <v/>
      </c>
      <c r="P297" s="265" t="str">
        <f>IF(ResultsTeams[[#This Row],[Type]]="G",SUM(P298:P301),IF(LEFT(ResultsTeams[[#This Row],[Type]],1)="P",IF(ResultsTeams[[#This Row],[Goal-A]]&lt;ResultsTeams[[#This Row],[Goal-B]],1,0),""))</f>
        <v/>
      </c>
      <c r="Q297" s="265" t="str">
        <f>IF(ResultsTeams[[#This Row],[Type]]="G",SUM(Q298:Q301),IF(LEFT(ResultsTeams[[#This Row],[Type]],1)="P",VALUE(ResultsTeams[[#This Row],[Score-A]]),""))</f>
        <v/>
      </c>
      <c r="R297" s="265" t="str">
        <f>IF(ResultsTeams[[#This Row],[Type]]="G",SUM(R298:R301),IF(LEFT(ResultsTeams[[#This Row],[Type]],1)="P",VALUE(ResultsTeams[[#This Row],[Score-B]]),""))</f>
        <v/>
      </c>
      <c r="S297" s="265" t="str">
        <f ca="1">IF(AND(ResultsTeams[[#This Row],[Category]]&lt;&gt;"",ResultsTeams[[#This Row],[Team A]]&lt;&gt;""),COUNTIF(INDIRECT("TeamsList[Club Name]"),ResultsTeams[[#This Row],[Team A]]),"")</f>
        <v/>
      </c>
      <c r="T297" s="265" t="str">
        <f ca="1">IF(AND(ResultsTeams[[#This Row],[Category]]&lt;&gt;"",ResultsTeams[[#This Row],[Team B]]&lt;&gt;""),COUNTIF(INDIRECT("TeamsList[Club Name]"),ResultsTeams[[#This Row],[Team B]]),"")</f>
        <v/>
      </c>
      <c r="U2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7" s="265" t="str">
        <f>IF(ResultsTeams[[#This Row],[Score_OK]],IF(ResultsTeams[[#This Row],[StageCpy]]="Groups",ResultsTeams[[#This Row],[Category]]&amp;"-"&amp;IF(ResultsTeams[[#This Row],[Team B]]="","",IF(ResultsTeams[[#This Row],[Match-A]]=ResultsTeams[[#This Row],[Match-B]],ResultsTeams[[#This Row],[Team A]],"")),""),"")</f>
        <v/>
      </c>
      <c r="W297" s="265" t="str">
        <f>IF(ResultsTeams[[#This Row],[Score_OK]],IF(ResultsTeams[[#This Row],[StageCpy]]="Groups",ResultsTeams[[#This Row],[Category]]&amp;"-"&amp;IF(ResultsTeams[[#This Row],[Team B]]="","",IF(ResultsTeams[[#This Row],[Match-A]]=ResultsTeams[[#This Row],[Match-B]],ResultsTeams[[#This Row],[Team B]],"")),""),"")</f>
        <v/>
      </c>
      <c r="X2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7" s="264" t="str">
        <f>IF(ResultsTeams[[#This Row],[Category]]="","",VLOOKUP(ResultsTeams[[#This Row],[Stage]],$R$1:$T$8,MATCH(ResultsTeams[[#This Row],[Category]],$S$1:$T$1,0)+1,FALSE))</f>
        <v/>
      </c>
      <c r="AC2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7" s="264" t="str">
        <f>IF(ResultsTeams[[#This Row],[Type]]="G",ResultsTeams[[#This Row],[Stage]],AD296)</f>
        <v>Groups</v>
      </c>
      <c r="AE297" s="395" t="str">
        <f>IF(ResultsTeams[[#This Row],[Type]]="G",INDEX(TeamsList[Club Name],MATCH(ResultsTeams[[#This Row],[Team A]],TeamsList[Team Name],0)),AE296)</f>
        <v>TSC Royal 78 Kaisermühlen</v>
      </c>
      <c r="AF297" s="395" t="str">
        <f>IF(ResultsTeams[[#This Row],[Type]]="G",INDEX(TeamsList[Club Name],MATCH(ResultsTeams[[#This Row],[Team B]],TeamsList[Team Name],0)),AF296)</f>
        <v>Avenir Subbuteo Hennuyer</v>
      </c>
      <c r="AG297" s="265"/>
      <c r="AI297" s="12" t="str">
        <f>AI296</f>
        <v>TEAM</v>
      </c>
      <c r="AJ297" s="309" t="s">
        <v>328</v>
      </c>
      <c r="AK297" s="320"/>
      <c r="AL297" s="311"/>
      <c r="AM297" s="292">
        <f>IF(AV297="","",SMALL(AN297:AN303,ROWS(AM297:AM297)))</f>
        <v>1001</v>
      </c>
      <c r="AN297" s="293">
        <f>IF(AV297="","",RANK(AR297,AR297:AR303)*1000+ROWS(AN297:AN297))</f>
        <v>1001</v>
      </c>
      <c r="AO297" s="316">
        <f t="shared" ref="AO297:AO303" si="250">IF(AV297="","",AT297*CritClassEq1_Points+AY297*CritClassEq1_DiffRencontres+BB297*CritClassEq1_DiffMatches+BE297*CritClassEq1_DiffButs+AZ297*CritClassEq1_Matches+BC297*CritClassEq1_Attaque)</f>
        <v>236196000000000</v>
      </c>
      <c r="AP297" s="415" t="b">
        <f>AND(AU297&lt;&gt;"",AU297&gt;0,COUNTIF(AO297:AO303,AO297)&gt;1)</f>
        <v>0</v>
      </c>
      <c r="AQ297" s="316">
        <f t="shared" ref="AQ297:AQ303" si="251">IF(AV297="","",CritClassEq_DiffPart*AK297)</f>
        <v>0</v>
      </c>
      <c r="AR297" s="317">
        <f t="shared" ref="AR297:AR303" si="252">IF(AV297="","",AO297+AQ297+AT297*CritClassEq2_Points+AY297*CritClassEq2_DiffRencontres+BB297*CritClassEq2_DiffMatches+BE297*CritClassEq2_DiffButs+AZ297*CritClassEq2_Matches+BC297*CritClassEq2_Attaque+AL297)</f>
        <v>236196326431228</v>
      </c>
      <c r="AS297" s="415" t="b">
        <f>AND(AU297&lt;&gt;"",AU297&gt;0,COUNTIF(AR297:AR303,AR297)&gt;1)</f>
        <v>0</v>
      </c>
      <c r="AT297" s="355">
        <f t="shared" ref="AT297:AT303" si="253">IF(AV297="","",(AV297*Points_Victoire)+AW297*Points_Null)</f>
        <v>12</v>
      </c>
      <c r="AU297" s="356">
        <f t="shared" ref="AU297:AU303" si="254">IF(AV297="","",SUM(AV297:AX297))</f>
        <v>4</v>
      </c>
      <c r="AV297" s="356">
        <f>IF(OR(AI296="",AJ297=""),"",COUNTIF(ResultsTeams[Win],AI296&amp;"-"&amp;AJ297))</f>
        <v>4</v>
      </c>
      <c r="AW297" s="356">
        <f>IF(OR(AI296="",AJ297=""),"",COUNTIF(ResultsTeams[[Draw1]:[Draw2]],AI296&amp;"-"&amp;AJ297))</f>
        <v>0</v>
      </c>
      <c r="AX297" s="356">
        <f>IF(OR(AI296="",AJ297=""),"",COUNTIF(ResultsTeams[Lose],AI296&amp;"-"&amp;AJ297))</f>
        <v>0</v>
      </c>
      <c r="AY297" s="356">
        <f>IF(OR(AI296="",AJ297=""),"",AV297-AX297)</f>
        <v>4</v>
      </c>
      <c r="AZ297" s="356">
        <f>IF(OR(AI296="",AJ297=""),"",SUMIFS(ResultsTeams[Match-A],ResultsTeams[Stage],"Groups",ResultsTeams[Team A],AJ297)+SUMIFS(ResultsTeams[Match-B],ResultsTeams[Stage],"Groups",ResultsTeams[Team B],AJ297))</f>
        <v>13</v>
      </c>
      <c r="BA297" s="356">
        <f>IF(OR(AI296="",AJ297=""),"",SUMIFS(ResultsTeams[Match-B],ResultsTeams[Stage],"Groups",ResultsTeams[Team A],AJ297)+SUMIFS(ResultsTeams[Match-A],ResultsTeams[Stage],"Groups",ResultsTeams[Team B],AJ297))</f>
        <v>0</v>
      </c>
      <c r="BB297" s="356">
        <f>IF(OR(AI296="",AJ297=""),"",AZ297-BA297)</f>
        <v>13</v>
      </c>
      <c r="BC297" s="356">
        <f>IF(OR(AI296="",AJ297=""),"",SUMIFS(ResultsTeams[Goal-A],ResultsTeams[Stage],"Groups",ResultsTeams[Team A],AJ297)+SUMIFS(ResultsTeams[Goal-B],ResultsTeams[Stage],"Groups",ResultsTeams[Team B],AJ297))</f>
        <v>58</v>
      </c>
      <c r="BD297" s="356">
        <f>IF(OR(AI296="",AJ297=""),"",SUMIFS(ResultsTeams[Goal-B],ResultsTeams[Stage],"Groups",ResultsTeams[Team A],AJ297)+SUMIFS(ResultsTeams[Goal-A],ResultsTeams[Stage],"Groups",ResultsTeams[Team B],AJ297))</f>
        <v>19</v>
      </c>
      <c r="BE297" s="357">
        <f>IF(OR(AI296="",AJ297=""),"",BC297-BD297)</f>
        <v>39</v>
      </c>
      <c r="BF297" s="470" t="b">
        <f>IF(AM297="","",OR(VLOOKUP(AM297,AN297:BE303,3,FALSE),VLOOKUP(AM297,AN297:BE303,6,FALSE)))</f>
        <v>0</v>
      </c>
      <c r="BG297" s="298">
        <f t="shared" ref="BG297:BG303" si="255">IF(AM297="","",INT(AM297/1000))</f>
        <v>1</v>
      </c>
      <c r="BH297" s="285" t="str">
        <f>IF(AM297="","",INDEX(AJ297:AJ303,MATCH(AM297,AN297:AN303,0)))</f>
        <v>Avenir Subbuteo Hennuyer</v>
      </c>
      <c r="BI297" s="286">
        <f>IF(AM297="","",VLOOKUP(AM297,AN297:BE303,COLUMN()-COLUMN(BB296),FALSE))</f>
        <v>12</v>
      </c>
      <c r="BJ297" s="286">
        <f>IF(AM297="","",VLOOKUP(AM297,AN297:BE303,COLUMN()-COLUMN(BB296),FALSE))</f>
        <v>4</v>
      </c>
      <c r="BK297" s="286">
        <f>IF(AM297="","",VLOOKUP(AM297,AN297:BE303,COLUMN()-COLUMN(BB296),FALSE))</f>
        <v>4</v>
      </c>
      <c r="BL297" s="286">
        <f>IF(AM297="","",VLOOKUP(AM297,AN297:BE303,COLUMN()-COLUMN(BB296),FALSE))</f>
        <v>0</v>
      </c>
      <c r="BM297" s="286">
        <f>IF(AM297="","",VLOOKUP(AM297,AN297:BE303,COLUMN()-COLUMN(BB296),FALSE))</f>
        <v>0</v>
      </c>
      <c r="BN297" s="349">
        <f>IF(AM297="","",VLOOKUP(AM297,AN297:BE303,COLUMN()-COLUMN(BB296),FALSE))</f>
        <v>4</v>
      </c>
      <c r="BO297" s="298">
        <f>IF(AM297="","",VLOOKUP(AM297,AN297:BE303,COLUMN()-COLUMN(BB296),FALSE))</f>
        <v>13</v>
      </c>
      <c r="BP297" s="286">
        <f>IF(AM297="","",VLOOKUP(AM297,AN297:BE303,COLUMN()-COLUMN(BB296),FALSE))</f>
        <v>0</v>
      </c>
      <c r="BQ297" s="301">
        <f>IF(AM297="","",VLOOKUP(AM297,AN297:BE303,COLUMN()-COLUMN(BB296),FALSE))</f>
        <v>13</v>
      </c>
      <c r="BR297" s="352">
        <f>IF(AM297="","",VLOOKUP(AM297,AN297:BE303,COLUMN()-COLUMN(BB296),FALSE))</f>
        <v>58</v>
      </c>
      <c r="BS297" s="286">
        <f>IF(AM297="","",VLOOKUP(AM297,AN297:BE303,COLUMN()-COLUMN(BB296),FALSE))</f>
        <v>19</v>
      </c>
      <c r="BT297" s="301">
        <f>IF(AM297="","",VLOOKUP(AM297,AN297:BE303,COLUMN()-COLUMN(BB296),FALSE))</f>
        <v>39</v>
      </c>
    </row>
    <row r="298" spans="1:72" ht="12" thickBot="1" x14ac:dyDescent="0.25">
      <c r="A298" s="83"/>
      <c r="B298" s="83"/>
      <c r="C298" s="83"/>
      <c r="D298" s="83"/>
      <c r="E298" s="268" t="s">
        <v>12244</v>
      </c>
      <c r="F298" s="262"/>
      <c r="G298" s="262"/>
      <c r="H298" s="324"/>
      <c r="I298" s="324"/>
      <c r="J298" s="263"/>
      <c r="K298" s="365"/>
      <c r="L298" s="365"/>
      <c r="M298" s="84"/>
      <c r="N298" s="265" t="b">
        <f>NOT(ISERROR(ResultsTeams[[#This Row],[Goal-A]]+ResultsTeams[[#This Row],[Goal-B]]))</f>
        <v>0</v>
      </c>
      <c r="O298" s="265" t="str">
        <f>IF(ResultsTeams[[#This Row],[Type]]="G",SUM(O299:O302),IF(LEFT(ResultsTeams[[#This Row],[Type]],1)="P",IF(ResultsTeams[[#This Row],[Goal-A]]&gt;ResultsTeams[[#This Row],[Goal-B]],1,0),""))</f>
        <v/>
      </c>
      <c r="P298" s="265" t="str">
        <f>IF(ResultsTeams[[#This Row],[Type]]="G",SUM(P299:P302),IF(LEFT(ResultsTeams[[#This Row],[Type]],1)="P",IF(ResultsTeams[[#This Row],[Goal-A]]&lt;ResultsTeams[[#This Row],[Goal-B]],1,0),""))</f>
        <v/>
      </c>
      <c r="Q298" s="265" t="str">
        <f>IF(ResultsTeams[[#This Row],[Type]]="G",SUM(Q299:Q302),IF(LEFT(ResultsTeams[[#This Row],[Type]],1)="P",VALUE(ResultsTeams[[#This Row],[Score-A]]),""))</f>
        <v/>
      </c>
      <c r="R298" s="265" t="str">
        <f>IF(ResultsTeams[[#This Row],[Type]]="G",SUM(R299:R302),IF(LEFT(ResultsTeams[[#This Row],[Type]],1)="P",VALUE(ResultsTeams[[#This Row],[Score-B]]),""))</f>
        <v/>
      </c>
      <c r="S298" s="265" t="str">
        <f ca="1">IF(AND(ResultsTeams[[#This Row],[Category]]&lt;&gt;"",ResultsTeams[[#This Row],[Team A]]&lt;&gt;""),COUNTIF(INDIRECT("TeamsList[Club Name]"),ResultsTeams[[#This Row],[Team A]]),"")</f>
        <v/>
      </c>
      <c r="T298" s="265" t="str">
        <f ca="1">IF(AND(ResultsTeams[[#This Row],[Category]]&lt;&gt;"",ResultsTeams[[#This Row],[Team B]]&lt;&gt;""),COUNTIF(INDIRECT("TeamsList[Club Name]"),ResultsTeams[[#This Row],[Team B]]),"")</f>
        <v/>
      </c>
      <c r="U2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8" s="265" t="str">
        <f>IF(ResultsTeams[[#This Row],[Score_OK]],IF(ResultsTeams[[#This Row],[StageCpy]]="Groups",ResultsTeams[[#This Row],[Category]]&amp;"-"&amp;IF(ResultsTeams[[#This Row],[Team B]]="","",IF(ResultsTeams[[#This Row],[Match-A]]=ResultsTeams[[#This Row],[Match-B]],ResultsTeams[[#This Row],[Team A]],"")),""),"")</f>
        <v/>
      </c>
      <c r="W298" s="265" t="str">
        <f>IF(ResultsTeams[[#This Row],[Score_OK]],IF(ResultsTeams[[#This Row],[StageCpy]]="Groups",ResultsTeams[[#This Row],[Category]]&amp;"-"&amp;IF(ResultsTeams[[#This Row],[Team B]]="","",IF(ResultsTeams[[#This Row],[Match-A]]=ResultsTeams[[#This Row],[Match-B]],ResultsTeams[[#This Row],[Team B]],"")),""),"")</f>
        <v/>
      </c>
      <c r="X2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8" s="264" t="str">
        <f>IF(ResultsTeams[[#This Row],[Category]]="","",VLOOKUP(ResultsTeams[[#This Row],[Stage]],$R$1:$T$8,MATCH(ResultsTeams[[#This Row],[Category]],$S$1:$T$1,0)+1,FALSE))</f>
        <v/>
      </c>
      <c r="AC2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8" s="264" t="str">
        <f>IF(ResultsTeams[[#This Row],[Type]]="G",ResultsTeams[[#This Row],[Stage]],AD297)</f>
        <v>Groups</v>
      </c>
      <c r="AE298" s="395" t="str">
        <f>IF(ResultsTeams[[#This Row],[Type]]="G",INDEX(TeamsList[Club Name],MATCH(ResultsTeams[[#This Row],[Team A]],TeamsList[Team Name],0)),AE297)</f>
        <v>TSC Royal 78 Kaisermühlen</v>
      </c>
      <c r="AF298" s="395" t="str">
        <f>IF(ResultsTeams[[#This Row],[Type]]="G",INDEX(TeamsList[Club Name],MATCH(ResultsTeams[[#This Row],[Team B]],TeamsList[Team Name],0)),AF297)</f>
        <v>Avenir Subbuteo Hennuyer</v>
      </c>
      <c r="AG298" s="265"/>
      <c r="AI298" s="12" t="str">
        <f>AI297</f>
        <v>TEAM</v>
      </c>
      <c r="AJ298" s="309" t="s">
        <v>14596</v>
      </c>
      <c r="AK298" s="320"/>
      <c r="AL298" s="311"/>
      <c r="AM298" s="292">
        <f>IF(AV298="","",SMALL(AN297:AN303,ROWS(AM297:AM298)))</f>
        <v>2004</v>
      </c>
      <c r="AN298" s="293">
        <f>IF(AV298="","",RANK(AR298,AR297:AR303)*1000+ROWS(AN297:AN298))</f>
        <v>5002</v>
      </c>
      <c r="AO298" s="316">
        <f t="shared" si="250"/>
        <v>0</v>
      </c>
      <c r="AP298" s="415" t="b">
        <f>AND(AU298&lt;&gt;"",AU298&gt;0,COUNTIF(AO297:AO303,AO298)&gt;1)</f>
        <v>0</v>
      </c>
      <c r="AQ298" s="316">
        <f t="shared" si="251"/>
        <v>0</v>
      </c>
      <c r="AR298" s="317">
        <f t="shared" si="252"/>
        <v>-315091878</v>
      </c>
      <c r="AS298" s="415" t="b">
        <f>AND(AU298&lt;&gt;"",AU298&gt;0,COUNTIF(AR297:AR303,AR298)&gt;1)</f>
        <v>0</v>
      </c>
      <c r="AT298" s="355">
        <f t="shared" si="253"/>
        <v>0</v>
      </c>
      <c r="AU298" s="356">
        <f t="shared" si="254"/>
        <v>4</v>
      </c>
      <c r="AV298" s="356">
        <f>IF(OR(AI296="",AJ298=""),"",COUNTIF(ResultsTeams[Win],AI296&amp;"-"&amp;AJ298))</f>
        <v>0</v>
      </c>
      <c r="AW298" s="356">
        <f>IF(OR(AI296="",AJ298=""),"",COUNTIF(ResultsTeams[[Draw1]:[Draw2]],AI296&amp;"-"&amp;AJ298))</f>
        <v>0</v>
      </c>
      <c r="AX298" s="356">
        <f>IF(OR(AI296="",AJ298=""),"",COUNTIF(ResultsTeams[Lose],AI296&amp;"-"&amp;AJ298))</f>
        <v>4</v>
      </c>
      <c r="AY298" s="356">
        <f>IF(OR(AI296="",AJ298=""),"",AV298-AX298)</f>
        <v>-4</v>
      </c>
      <c r="AZ298" s="356">
        <f>IF(OR(AI297="",AJ298=""),"",SUMIFS(ResultsTeams[Match-A],ResultsTeams[Stage],"Groups",ResultsTeams[Team A],AJ298)+SUMIFS(ResultsTeams[Match-B],ResultsTeams[Stage],"Groups",ResultsTeams[Team B],AJ298))</f>
        <v>1</v>
      </c>
      <c r="BA298" s="356">
        <f>IF(OR(AI297="",AJ298=""),"",SUMIFS(ResultsTeams[Match-B],ResultsTeams[Stage],"Groups",ResultsTeams[Team A],AJ298)+SUMIFS(ResultsTeams[Match-A],ResultsTeams[Stage],"Groups",ResultsTeams[Team B],AJ298))</f>
        <v>14</v>
      </c>
      <c r="BB298" s="356">
        <f t="shared" ref="BB298:BB303" si="256">IF(OR(AI297="",AJ298=""),"",AZ298-BA298)</f>
        <v>-13</v>
      </c>
      <c r="BC298" s="356">
        <f>IF(OR(AI297="",AJ298=""),"",SUMIFS(ResultsTeams[Goal-A],ResultsTeams[Stage],"Groups",ResultsTeams[Team A],AJ298)+SUMIFS(ResultsTeams[Goal-B],ResultsTeams[Stage],"Groups",ResultsTeams[Team B],AJ298))</f>
        <v>12</v>
      </c>
      <c r="BD298" s="356">
        <f>IF(OR(AI297="",AJ298=""),"",SUMIFS(ResultsTeams[Goal-B],ResultsTeams[Stage],"Groups",ResultsTeams[Team A],AJ298)+SUMIFS(ResultsTeams[Goal-A],ResultsTeams[Stage],"Groups",ResultsTeams[Team B],AJ298))</f>
        <v>75</v>
      </c>
      <c r="BE298" s="357">
        <f>IF(OR(AI296="",AJ298=""),"",BC298-BD298)</f>
        <v>-63</v>
      </c>
      <c r="BF298" s="470" t="b">
        <f>IF(AM298="","",OR(VLOOKUP(AM298,AN297:BE303,3,FALSE),VLOOKUP(AM298,AN297:BE303,6,FALSE)))</f>
        <v>0</v>
      </c>
      <c r="BG298" s="298">
        <f t="shared" si="255"/>
        <v>2</v>
      </c>
      <c r="BH298" s="285" t="str">
        <f>IF(AM298="","",INDEX(AJ297:AJ303,MATCH(AM298,AN297:AN303,0)))</f>
        <v>Master Sanremo 2</v>
      </c>
      <c r="BI298" s="286">
        <f>IF(AM298="","",VLOOKUP(AM298,AN297:BE303,COLUMN()-COLUMN(BB296),FALSE))</f>
        <v>9</v>
      </c>
      <c r="BJ298" s="286">
        <f>IF(AM298="","",VLOOKUP(AM298,AN297:BE303,COLUMN()-COLUMN(BB296),FALSE))</f>
        <v>4</v>
      </c>
      <c r="BK298" s="286">
        <f>IF(AM298="","",VLOOKUP(AM298,AN297:BE303,COLUMN()-COLUMN(BB296),FALSE))</f>
        <v>3</v>
      </c>
      <c r="BL298" s="286">
        <f>IF(AM298="","",VLOOKUP(AM298,AN297:BE303,COLUMN()-COLUMN(BB296),FALSE))</f>
        <v>0</v>
      </c>
      <c r="BM298" s="286">
        <f>IF(AM298="","",VLOOKUP(AM298,AN297:BE303,COLUMN()-COLUMN(BB296),FALSE))</f>
        <v>1</v>
      </c>
      <c r="BN298" s="349">
        <f>IF(AM298="","",VLOOKUP(AM298,AN297:BE303,COLUMN()-COLUMN(BB296),FALSE))</f>
        <v>2</v>
      </c>
      <c r="BO298" s="298">
        <f>IF(AM298="","",VLOOKUP(AM298,AN297:BE303,COLUMN()-COLUMN(BB296),FALSE))</f>
        <v>9</v>
      </c>
      <c r="BP298" s="286">
        <f>IF(AM298="","",VLOOKUP(AM298,AN297:BE303,COLUMN()-COLUMN(BB296),FALSE))</f>
        <v>2</v>
      </c>
      <c r="BQ298" s="301">
        <f>IF(AM298="","",VLOOKUP(AM298,AN297:BE303,COLUMN()-COLUMN(BB296),FALSE))</f>
        <v>7</v>
      </c>
      <c r="BR298" s="352">
        <f>IF(AM298="","",VLOOKUP(AM298,AN297:BE303,COLUMN()-COLUMN(BB296),FALSE))</f>
        <v>54</v>
      </c>
      <c r="BS298" s="286">
        <f>IF(AM298="","",VLOOKUP(AM298,AN297:BE303,COLUMN()-COLUMN(BB296),FALSE))</f>
        <v>11</v>
      </c>
      <c r="BT298" s="301">
        <f>IF(AM298="","",VLOOKUP(AM298,AN297:BE303,COLUMN()-COLUMN(BB296),FALSE))</f>
        <v>43</v>
      </c>
    </row>
    <row r="299" spans="1:72" ht="12" thickBot="1" x14ac:dyDescent="0.25">
      <c r="A299" s="261" t="s">
        <v>12693</v>
      </c>
      <c r="B299" s="270" t="s">
        <v>12207</v>
      </c>
      <c r="C299" s="270">
        <v>7</v>
      </c>
      <c r="D299" s="270"/>
      <c r="E299" s="272" t="s">
        <v>12228</v>
      </c>
      <c r="F299" s="273" t="s">
        <v>644</v>
      </c>
      <c r="G299" s="273" t="s">
        <v>14594</v>
      </c>
      <c r="H299" s="275">
        <v>3</v>
      </c>
      <c r="I299" s="275">
        <v>1</v>
      </c>
      <c r="J299" s="275"/>
      <c r="K299" s="366"/>
      <c r="L299" s="366"/>
      <c r="M299" s="271"/>
      <c r="N299" s="265" t="b">
        <f>NOT(ISERROR(ResultsTeams[[#This Row],[Goal-A]]+ResultsTeams[[#This Row],[Goal-B]]))</f>
        <v>1</v>
      </c>
      <c r="O299" s="265">
        <f>IF(ResultsTeams[[#This Row],[Type]]="G",SUM(O300:O303),IF(LEFT(ResultsTeams[[#This Row],[Type]],1)="P",IF(ResultsTeams[[#This Row],[Goal-A]]&gt;ResultsTeams[[#This Row],[Goal-B]],1,0),""))</f>
        <v>3</v>
      </c>
      <c r="P299" s="265">
        <f>IF(ResultsTeams[[#This Row],[Type]]="G",SUM(P300:P303),IF(LEFT(ResultsTeams[[#This Row],[Type]],1)="P",IF(ResultsTeams[[#This Row],[Goal-A]]&lt;ResultsTeams[[#This Row],[Goal-B]],1,0),""))</f>
        <v>1</v>
      </c>
      <c r="Q299" s="265">
        <f>IF(ResultsTeams[[#This Row],[Type]]="G",SUM(Q300:Q303),IF(LEFT(ResultsTeams[[#This Row],[Type]],1)="P",VALUE(ResultsTeams[[#This Row],[Score-A]]),""))</f>
        <v>14</v>
      </c>
      <c r="R299" s="265">
        <f>IF(ResultsTeams[[#This Row],[Type]]="G",SUM(R300:R303),IF(LEFT(ResultsTeams[[#This Row],[Type]],1)="P",VALUE(ResultsTeams[[#This Row],[Score-B]]),""))</f>
        <v>6</v>
      </c>
      <c r="S299" s="265">
        <f ca="1">IF(AND(ResultsTeams[[#This Row],[Category]]&lt;&gt;"",ResultsTeams[[#This Row],[Team A]]&lt;&gt;""),COUNTIF(INDIRECT("TeamsList[Club Name]"),ResultsTeams[[#This Row],[Team A]]),"")</f>
        <v>2</v>
      </c>
      <c r="T299" s="265">
        <f ca="1">IF(AND(ResultsTeams[[#This Row],[Category]]&lt;&gt;"",ResultsTeams[[#This Row],[Team B]]&lt;&gt;""),COUNTIF(INDIRECT("TeamsList[Club Name]"),ResultsTeams[[#This Row],[Team B]]),"")</f>
        <v>0</v>
      </c>
      <c r="U2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TEAM-Master Sanremo</v>
      </c>
      <c r="V299" s="265" t="str">
        <f>IF(ResultsTeams[[#This Row],[Score_OK]],IF(ResultsTeams[[#This Row],[StageCpy]]="Groups",ResultsTeams[[#This Row],[Category]]&amp;"-"&amp;IF(ResultsTeams[[#This Row],[Team B]]="","",IF(ResultsTeams[[#This Row],[Match-A]]=ResultsTeams[[#This Row],[Match-B]],ResultsTeams[[#This Row],[Team A]],"")),""),"")</f>
        <v>TEAM-</v>
      </c>
      <c r="W299" s="265" t="str">
        <f>IF(ResultsTeams[[#This Row],[Score_OK]],IF(ResultsTeams[[#This Row],[StageCpy]]="Groups",ResultsTeams[[#This Row],[Category]]&amp;"-"&amp;IF(ResultsTeams[[#This Row],[Team B]]="","",IF(ResultsTeams[[#This Row],[Match-A]]=ResultsTeams[[#This Row],[Match-B]],ResultsTeams[[#This Row],[Team B]],"")),""),"")</f>
        <v>TEAM-</v>
      </c>
      <c r="X2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2</v>
      </c>
      <c r="Y2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A2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B299" s="264" t="str">
        <f>IF(ResultsTeams[[#This Row],[Category]]="","",VLOOKUP(ResultsTeams[[#This Row],[Stage]],$R$1:$T$8,MATCH(ResultsTeams[[#This Row],[Category]],$S$1:$T$1,0)+1,FALSE))</f>
        <v>PR1</v>
      </c>
      <c r="AC2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9" s="264" t="str">
        <f>IF(ResultsTeams[[#This Row],[Type]]="G",ResultsTeams[[#This Row],[Stage]],AD298)</f>
        <v>Groups</v>
      </c>
      <c r="AE299" s="395" t="str">
        <f>IF(ResultsTeams[[#This Row],[Type]]="G",INDEX(TeamsList[Club Name],MATCH(ResultsTeams[[#This Row],[Team A]],TeamsList[Team Name],0)),AE298)</f>
        <v>Master Sanremo</v>
      </c>
      <c r="AF299" s="395" t="str">
        <f>IF(ResultsTeams[[#This Row],[Type]]="G",INDEX(TeamsList[Club Name],MATCH(ResultsTeams[[#This Row],[Team B]],TeamsList[Team Name],0)),AF298)</f>
        <v>SC Lion's Eugies</v>
      </c>
      <c r="AG299" s="265"/>
      <c r="AI299" s="12" t="str">
        <f t="shared" ref="AI299:AI303" si="257">AI298</f>
        <v>TEAM</v>
      </c>
      <c r="AJ299" s="309" t="s">
        <v>796</v>
      </c>
      <c r="AK299" s="320"/>
      <c r="AL299" s="311"/>
      <c r="AM299" s="292">
        <f>IF(AV299="","",SMALL(AN297:AN303,ROWS(AM297:AM299)))</f>
        <v>3003</v>
      </c>
      <c r="AN299" s="293">
        <f>IF(AV299="","",RANK(AR299,AR297:AR303)*1000+ROWS(AN297:AN299))</f>
        <v>3003</v>
      </c>
      <c r="AO299" s="316">
        <f t="shared" si="250"/>
        <v>118098000000000</v>
      </c>
      <c r="AP299" s="415" t="b">
        <f>AND(AU299&lt;&gt;"",AU299&gt;0,COUNTIF(AO297:AO303,AO299)&gt;1)</f>
        <v>0</v>
      </c>
      <c r="AQ299" s="316">
        <f t="shared" si="251"/>
        <v>0</v>
      </c>
      <c r="AR299" s="317">
        <f t="shared" si="252"/>
        <v>118098079380892</v>
      </c>
      <c r="AS299" s="415" t="b">
        <f>AND(AU299&lt;&gt;"",AU299&gt;0,COUNTIF(AR297:AR303,AR299)&gt;1)</f>
        <v>0</v>
      </c>
      <c r="AT299" s="355">
        <f t="shared" si="253"/>
        <v>6</v>
      </c>
      <c r="AU299" s="356">
        <f t="shared" si="254"/>
        <v>4</v>
      </c>
      <c r="AV299" s="356">
        <f>IF(OR(AI296="",AJ299=""),"",COUNTIF(ResultsTeams[Win],AI296&amp;"-"&amp;AJ299))</f>
        <v>2</v>
      </c>
      <c r="AW299" s="356">
        <f>IF(OR(AI296="",AJ299=""),"",COUNTIF(ResultsTeams[[Draw1]:[Draw2]],AI296&amp;"-"&amp;AJ299))</f>
        <v>0</v>
      </c>
      <c r="AX299" s="356">
        <f>IF(OR(AI296="",AJ299=""),"",COUNTIF(ResultsTeams[Lose],AI296&amp;"-"&amp;AJ299))</f>
        <v>2</v>
      </c>
      <c r="AY299" s="356">
        <f>IF(OR(AI296="",AJ299=""),"",AV299-AX299)</f>
        <v>0</v>
      </c>
      <c r="AZ299" s="356">
        <f>IF(OR(AI298="",AJ299=""),"",SUMIFS(ResultsTeams[Match-A],ResultsTeams[Stage],"Groups",ResultsTeams[Team A],AJ299)+SUMIFS(ResultsTeams[Match-B],ResultsTeams[Stage],"Groups",ResultsTeams[Team B],AJ299))</f>
        <v>8</v>
      </c>
      <c r="BA299" s="356">
        <f>IF(OR(AI298="",AJ299=""),"",SUMIFS(ResultsTeams[Match-B],ResultsTeams[Stage],"Groups",ResultsTeams[Team A],AJ299)+SUMIFS(ResultsTeams[Match-A],ResultsTeams[Stage],"Groups",ResultsTeams[Team B],AJ299))</f>
        <v>5</v>
      </c>
      <c r="BB299" s="356">
        <f t="shared" si="256"/>
        <v>3</v>
      </c>
      <c r="BC299" s="356">
        <f>IF(OR(AI298="",AJ299=""),"",SUMIFS(ResultsTeams[Goal-A],ResultsTeams[Stage],"Groups",ResultsTeams[Team A],AJ299)+SUMIFS(ResultsTeams[Goal-B],ResultsTeams[Stage],"Groups",ResultsTeams[Team B],AJ299))</f>
        <v>52</v>
      </c>
      <c r="BD299" s="356">
        <f>IF(OR(AI298="",AJ299=""),"",SUMIFS(ResultsTeams[Goal-B],ResultsTeams[Stage],"Groups",ResultsTeams[Team A],AJ299)+SUMIFS(ResultsTeams[Goal-A],ResultsTeams[Stage],"Groups",ResultsTeams[Team B],AJ299))</f>
        <v>24</v>
      </c>
      <c r="BE299" s="357">
        <f>IF(OR(AI296="",AJ299=""),"",BC299-BD299)</f>
        <v>28</v>
      </c>
      <c r="BF299" s="470" t="b">
        <f>IF(AM299="","",OR(VLOOKUP(AM299,AN297:BE303,3,FALSE),VLOOKUP(AM299,AN297:BE303,6,FALSE)))</f>
        <v>0</v>
      </c>
      <c r="BG299" s="298">
        <f t="shared" si="255"/>
        <v>3</v>
      </c>
      <c r="BH299" s="285" t="str">
        <f>IF(AM299="","",INDEX(AJ297:AJ303,MATCH(AM299,AN297:AN303,0)))</f>
        <v>Valletta Lions TFC</v>
      </c>
      <c r="BI299" s="286">
        <f>IF(AM299="","",VLOOKUP(AM299,AN297:BE303,COLUMN()-COLUMN(BB296),FALSE))</f>
        <v>6</v>
      </c>
      <c r="BJ299" s="286">
        <f>IF(AM299="","",VLOOKUP(AM299,AN297:BE303,COLUMN()-COLUMN(BB296),FALSE))</f>
        <v>4</v>
      </c>
      <c r="BK299" s="286">
        <f>IF(AM299="","",VLOOKUP(AM299,AN297:BE303,COLUMN()-COLUMN(BB296),FALSE))</f>
        <v>2</v>
      </c>
      <c r="BL299" s="286">
        <f>IF(AM299="","",VLOOKUP(AM299,AN297:BE303,COLUMN()-COLUMN(BB296),FALSE))</f>
        <v>0</v>
      </c>
      <c r="BM299" s="286">
        <f>IF(AM299="","",VLOOKUP(AM299,AN297:BE303,COLUMN()-COLUMN(BB296),FALSE))</f>
        <v>2</v>
      </c>
      <c r="BN299" s="349">
        <f>IF(AM299="","",VLOOKUP(AM299,AN297:BE303,COLUMN()-COLUMN(BB296),FALSE))</f>
        <v>0</v>
      </c>
      <c r="BO299" s="298">
        <f>IF(AM299="","",VLOOKUP(AM299,AN297:BE303,COLUMN()-COLUMN(BB296),FALSE))</f>
        <v>8</v>
      </c>
      <c r="BP299" s="286">
        <f>IF(AM299="","",VLOOKUP(AM299,AN297:BE303,COLUMN()-COLUMN(BB296),FALSE))</f>
        <v>5</v>
      </c>
      <c r="BQ299" s="301">
        <f>IF(AM299="","",VLOOKUP(AM299,AN297:BE303,COLUMN()-COLUMN(BB296),FALSE))</f>
        <v>3</v>
      </c>
      <c r="BR299" s="352">
        <f>IF(AM299="","",VLOOKUP(AM299,AN297:BE303,COLUMN()-COLUMN(BB296),FALSE))</f>
        <v>52</v>
      </c>
      <c r="BS299" s="286">
        <f>IF(AM299="","",VLOOKUP(AM299,AN297:BE303,COLUMN()-COLUMN(BB296),FALSE))</f>
        <v>24</v>
      </c>
      <c r="BT299" s="301">
        <f>IF(AM299="","",VLOOKUP(AM299,AN297:BE303,COLUMN()-COLUMN(BB296),FALSE))</f>
        <v>28</v>
      </c>
    </row>
    <row r="300" spans="1:72" x14ac:dyDescent="0.2">
      <c r="A300" s="60"/>
      <c r="B300" s="280"/>
      <c r="C300" s="60"/>
      <c r="D300" s="60"/>
      <c r="E300" s="240" t="s">
        <v>12231</v>
      </c>
      <c r="F300" s="244" t="s">
        <v>10149</v>
      </c>
      <c r="G300" s="244" t="s">
        <v>10783</v>
      </c>
      <c r="H300" s="253">
        <v>0</v>
      </c>
      <c r="I300" s="253">
        <v>1</v>
      </c>
      <c r="J300" s="253"/>
      <c r="K300" s="362"/>
      <c r="L300" s="362"/>
      <c r="M300" s="61"/>
      <c r="N300" s="265" t="b">
        <f>NOT(ISERROR(ResultsTeams[[#This Row],[Goal-A]]+ResultsTeams[[#This Row],[Goal-B]]))</f>
        <v>1</v>
      </c>
      <c r="O300" s="265">
        <f>IF(ResultsTeams[[#This Row],[Type]]="G",SUM(O301:O304),IF(LEFT(ResultsTeams[[#This Row],[Type]],1)="P",IF(ResultsTeams[[#This Row],[Goal-A]]&gt;ResultsTeams[[#This Row],[Goal-B]],1,0),""))</f>
        <v>0</v>
      </c>
      <c r="P300" s="265">
        <f>IF(ResultsTeams[[#This Row],[Type]]="G",SUM(P301:P304),IF(LEFT(ResultsTeams[[#This Row],[Type]],1)="P",IF(ResultsTeams[[#This Row],[Goal-A]]&lt;ResultsTeams[[#This Row],[Goal-B]],1,0),""))</f>
        <v>1</v>
      </c>
      <c r="Q300" s="265">
        <f>IF(ResultsTeams[[#This Row],[Type]]="G",SUM(Q301:Q304),IF(LEFT(ResultsTeams[[#This Row],[Type]],1)="P",VALUE(ResultsTeams[[#This Row],[Score-A]]),""))</f>
        <v>0</v>
      </c>
      <c r="R300" s="265">
        <f>IF(ResultsTeams[[#This Row],[Type]]="G",SUM(R301:R304),IF(LEFT(ResultsTeams[[#This Row],[Type]],1)="P",VALUE(ResultsTeams[[#This Row],[Score-B]]),""))</f>
        <v>1</v>
      </c>
      <c r="S300" s="265" t="str">
        <f ca="1">IF(AND(ResultsTeams[[#This Row],[Category]]&lt;&gt;"",ResultsTeams[[#This Row],[Team A]]&lt;&gt;""),COUNTIF(INDIRECT("TeamsList[Club Name]"),ResultsTeams[[#This Row],[Team A]]),"")</f>
        <v/>
      </c>
      <c r="T300" s="265" t="str">
        <f ca="1">IF(AND(ResultsTeams[[#This Row],[Category]]&lt;&gt;"",ResultsTeams[[#This Row],[Team B]]&lt;&gt;""),COUNTIF(INDIRECT("TeamsList[Club Name]"),ResultsTeams[[#This Row],[Team B]]),"")</f>
        <v/>
      </c>
      <c r="U3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-Mongi Rouis</v>
      </c>
      <c r="V300" s="265" t="str">
        <f>IF(ResultsTeams[[#This Row],[Score_OK]],IF(ResultsTeams[[#This Row],[StageCpy]]="Groups",ResultsTeams[[#This Row],[Category]]&amp;"-"&amp;IF(ResultsTeams[[#This Row],[Team B]]="","",IF(ResultsTeams[[#This Row],[Match-A]]=ResultsTeams[[#This Row],[Match-B]],ResultsTeams[[#This Row],[Team A]],"")),""),"")</f>
        <v>-</v>
      </c>
      <c r="W300" s="265" t="str">
        <f>IF(ResultsTeams[[#This Row],[Score_OK]],IF(ResultsTeams[[#This Row],[StageCpy]]="Groups",ResultsTeams[[#This Row],[Category]]&amp;"-"&amp;IF(ResultsTeams[[#This Row],[Team B]]="","",IF(ResultsTeams[[#This Row],[Match-A]]=ResultsTeams[[#This Row],[Match-B]],ResultsTeams[[#This Row],[Team B]],"")),""),"")</f>
        <v>-</v>
      </c>
      <c r="X3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-Massimiliano Croatti</v>
      </c>
      <c r="Y3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0" s="264" t="str">
        <f>IF(ResultsTeams[[#This Row],[Category]]="","",VLOOKUP(ResultsTeams[[#This Row],[Stage]],$R$1:$T$8,MATCH(ResultsTeams[[#This Row],[Category]],$S$1:$T$1,0)+1,FALSE))</f>
        <v/>
      </c>
      <c r="AC3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0" s="264" t="str">
        <f>IF(ResultsTeams[[#This Row],[Type]]="G",ResultsTeams[[#This Row],[Stage]],AD299)</f>
        <v>Groups</v>
      </c>
      <c r="AE300" s="395" t="str">
        <f>IF(ResultsTeams[[#This Row],[Type]]="G",INDEX(TeamsList[Club Name],MATCH(ResultsTeams[[#This Row],[Team A]],TeamsList[Team Name],0)),AE299)</f>
        <v>Master Sanremo</v>
      </c>
      <c r="AF300" s="395" t="str">
        <f>IF(ResultsTeams[[#This Row],[Type]]="G",INDEX(TeamsList[Club Name],MATCH(ResultsTeams[[#This Row],[Team B]],TeamsList[Team Name],0)),AF299)</f>
        <v>SC Lion's Eugies</v>
      </c>
      <c r="AG300" s="265"/>
      <c r="AH300" s="91"/>
      <c r="AI300" s="12" t="str">
        <f t="shared" si="257"/>
        <v>TEAM</v>
      </c>
      <c r="AJ300" s="309" t="s">
        <v>14597</v>
      </c>
      <c r="AK300" s="310"/>
      <c r="AL300" s="311"/>
      <c r="AM300" s="292">
        <f>IF(AV300="","",SMALL(AN297:AN303,ROWS(AM297:AM300)))</f>
        <v>4005</v>
      </c>
      <c r="AN300" s="293">
        <f>IF(AV300="","",RANK(AR300,AR297:AR303)*1000+ROWS(AN297:AN300))</f>
        <v>2004</v>
      </c>
      <c r="AO300" s="316">
        <f t="shared" si="250"/>
        <v>177147000000000</v>
      </c>
      <c r="AP300" s="415" t="b">
        <f>AND(AU300&lt;&gt;"",AU300&gt;0,COUNTIF(AO297:AO303,AO300)&gt;1)</f>
        <v>0</v>
      </c>
      <c r="AQ300" s="316">
        <f t="shared" si="251"/>
        <v>0</v>
      </c>
      <c r="AR300" s="317">
        <f t="shared" si="252"/>
        <v>177147177391344</v>
      </c>
      <c r="AS300" s="415" t="b">
        <f>AND(AU300&lt;&gt;"",AU300&gt;0,COUNTIF(AR297:AR303,AR300)&gt;1)</f>
        <v>0</v>
      </c>
      <c r="AT300" s="355">
        <f t="shared" si="253"/>
        <v>9</v>
      </c>
      <c r="AU300" s="356">
        <f t="shared" si="254"/>
        <v>4</v>
      </c>
      <c r="AV300" s="356">
        <f>IF(OR(AI296="",AJ300=""),"",COUNTIF(ResultsTeams[Win],AI296&amp;"-"&amp;AJ300))</f>
        <v>3</v>
      </c>
      <c r="AW300" s="356">
        <f>IF(OR(AI296="",AJ300=""),"",COUNTIF(ResultsTeams[[Draw1]:[Draw2]],AI296&amp;"-"&amp;AJ300))</f>
        <v>0</v>
      </c>
      <c r="AX300" s="356">
        <f>IF(OR(AI296="",AJ300=""),"",COUNTIF(ResultsTeams[Lose],AI296&amp;"-"&amp;AJ300))</f>
        <v>1</v>
      </c>
      <c r="AY300" s="356">
        <f>IF(OR(AI296="",AJ300=""),"",AV300-AX300)</f>
        <v>2</v>
      </c>
      <c r="AZ300" s="356">
        <f>IF(OR(AI299="",AJ300=""),"",SUMIFS(ResultsTeams[Match-A],ResultsTeams[Stage],"Groups",ResultsTeams[Team A],AJ300)+SUMIFS(ResultsTeams[Match-B],ResultsTeams[Stage],"Groups",ResultsTeams[Team B],AJ300))</f>
        <v>9</v>
      </c>
      <c r="BA300" s="356">
        <f>IF(OR(AI299="",AJ300=""),"",SUMIFS(ResultsTeams[Match-B],ResultsTeams[Stage],"Groups",ResultsTeams[Team A],AJ300)+SUMIFS(ResultsTeams[Match-A],ResultsTeams[Stage],"Groups",ResultsTeams[Team B],AJ300))</f>
        <v>2</v>
      </c>
      <c r="BB300" s="356">
        <f t="shared" si="256"/>
        <v>7</v>
      </c>
      <c r="BC300" s="356">
        <f>IF(OR(AI299="",AJ300=""),"",SUMIFS(ResultsTeams[Goal-A],ResultsTeams[Stage],"Groups",ResultsTeams[Team A],AJ300)+SUMIFS(ResultsTeams[Goal-B],ResultsTeams[Stage],"Groups",ResultsTeams[Team B],AJ300))</f>
        <v>54</v>
      </c>
      <c r="BD300" s="356">
        <f>IF(OR(AI299="",AJ300=""),"",SUMIFS(ResultsTeams[Goal-B],ResultsTeams[Stage],"Groups",ResultsTeams[Team A],AJ300)+SUMIFS(ResultsTeams[Goal-A],ResultsTeams[Stage],"Groups",ResultsTeams[Team B],AJ300))</f>
        <v>11</v>
      </c>
      <c r="BE300" s="357">
        <f>IF(OR(AI296="",AJ300=""),"",BC300-BD300)</f>
        <v>43</v>
      </c>
      <c r="BF300" s="470" t="b">
        <f>IF(AM300="","",OR(VLOOKUP(AM300,AN297:BE303,3,FALSE),VLOOKUP(AM300,AN297:BE303,6,FALSE)))</f>
        <v>0</v>
      </c>
      <c r="BG300" s="298">
        <f t="shared" si="255"/>
        <v>4</v>
      </c>
      <c r="BH300" s="285" t="str">
        <f>IF(AM300="","",INDEX(AJ297:AJ303,MATCH(AM300,AN297:AN303,0)))</f>
        <v>Irish Premier League</v>
      </c>
      <c r="BI300" s="286">
        <f>IF(AM300="","",VLOOKUP(AM300,AN297:BE303,COLUMN()-COLUMN(BB296),FALSE))</f>
        <v>3</v>
      </c>
      <c r="BJ300" s="286">
        <f>IF(AM300="","",VLOOKUP(AM300,AN297:BE303,COLUMN()-COLUMN(BB296),FALSE))</f>
        <v>4</v>
      </c>
      <c r="BK300" s="286">
        <f>IF(AM300="","",VLOOKUP(AM300,AN297:BE303,COLUMN()-COLUMN(BB296),FALSE))</f>
        <v>1</v>
      </c>
      <c r="BL300" s="286">
        <f>IF(AM300="","",VLOOKUP(AM300,AN297:BE303,COLUMN()-COLUMN(BB296),FALSE))</f>
        <v>0</v>
      </c>
      <c r="BM300" s="286">
        <f>IF(AM300="","",VLOOKUP(AM300,AN297:BE303,COLUMN()-COLUMN(BB296),FALSE))</f>
        <v>3</v>
      </c>
      <c r="BN300" s="349">
        <f>IF(AM300="","",VLOOKUP(AM300,AN297:BE303,COLUMN()-COLUMN(BB296),FALSE))</f>
        <v>-2</v>
      </c>
      <c r="BO300" s="298">
        <f>IF(AM300="","",VLOOKUP(AM300,AN297:BE303,COLUMN()-COLUMN(BB296),FALSE))</f>
        <v>3</v>
      </c>
      <c r="BP300" s="286">
        <f>IF(AM300="","",VLOOKUP(AM300,AN297:BE303,COLUMN()-COLUMN(BB296),FALSE))</f>
        <v>13</v>
      </c>
      <c r="BQ300" s="301">
        <f>IF(AM300="","",VLOOKUP(AM300,AN297:BE303,COLUMN()-COLUMN(BB296),FALSE))</f>
        <v>-10</v>
      </c>
      <c r="BR300" s="352">
        <f>IF(AM300="","",VLOOKUP(AM300,AN297:BE303,COLUMN()-COLUMN(BB296),FALSE))</f>
        <v>20</v>
      </c>
      <c r="BS300" s="286">
        <f>IF(AM300="","",VLOOKUP(AM300,AN297:BE303,COLUMN()-COLUMN(BB296),FALSE))</f>
        <v>67</v>
      </c>
      <c r="BT300" s="301">
        <f>IF(AM300="","",VLOOKUP(AM300,AN297:BE303,COLUMN()-COLUMN(BB296),FALSE))</f>
        <v>-47</v>
      </c>
    </row>
    <row r="301" spans="1:72" x14ac:dyDescent="0.2">
      <c r="A301" s="62"/>
      <c r="B301" s="280"/>
      <c r="C301" s="62"/>
      <c r="D301" s="62"/>
      <c r="E301" s="241" t="s">
        <v>12234</v>
      </c>
      <c r="F301" s="246" t="s">
        <v>10085</v>
      </c>
      <c r="G301" s="246" t="s">
        <v>8140</v>
      </c>
      <c r="H301" s="254">
        <v>4</v>
      </c>
      <c r="I301" s="254">
        <v>2</v>
      </c>
      <c r="J301" s="254"/>
      <c r="K301" s="363"/>
      <c r="L301" s="363"/>
      <c r="M301" s="63"/>
      <c r="N301" s="265" t="b">
        <f>NOT(ISERROR(ResultsTeams[[#This Row],[Goal-A]]+ResultsTeams[[#This Row],[Goal-B]]))</f>
        <v>1</v>
      </c>
      <c r="O301" s="265">
        <f>IF(ResultsTeams[[#This Row],[Type]]="G",SUM(O302:O305),IF(LEFT(ResultsTeams[[#This Row],[Type]],1)="P",IF(ResultsTeams[[#This Row],[Goal-A]]&gt;ResultsTeams[[#This Row],[Goal-B]],1,0),""))</f>
        <v>1</v>
      </c>
      <c r="P301" s="265">
        <f>IF(ResultsTeams[[#This Row],[Type]]="G",SUM(P302:P305),IF(LEFT(ResultsTeams[[#This Row],[Type]],1)="P",IF(ResultsTeams[[#This Row],[Goal-A]]&lt;ResultsTeams[[#This Row],[Goal-B]],1,0),""))</f>
        <v>0</v>
      </c>
      <c r="Q301" s="265">
        <f>IF(ResultsTeams[[#This Row],[Type]]="G",SUM(Q302:Q305),IF(LEFT(ResultsTeams[[#This Row],[Type]],1)="P",VALUE(ResultsTeams[[#This Row],[Score-A]]),""))</f>
        <v>4</v>
      </c>
      <c r="R301" s="265">
        <f>IF(ResultsTeams[[#This Row],[Type]]="G",SUM(R302:R305),IF(LEFT(ResultsTeams[[#This Row],[Type]],1)="P",VALUE(ResultsTeams[[#This Row],[Score-B]]),""))</f>
        <v>2</v>
      </c>
      <c r="S301" s="265" t="str">
        <f ca="1">IF(AND(ResultsTeams[[#This Row],[Category]]&lt;&gt;"",ResultsTeams[[#This Row],[Team A]]&lt;&gt;""),COUNTIF(INDIRECT("TeamsList[Club Name]"),ResultsTeams[[#This Row],[Team A]]),"")</f>
        <v/>
      </c>
      <c r="T301" s="265" t="str">
        <f ca="1">IF(AND(ResultsTeams[[#This Row],[Category]]&lt;&gt;"",ResultsTeams[[#This Row],[Team B]]&lt;&gt;""),COUNTIF(INDIRECT("TeamsList[Club Name]"),ResultsTeams[[#This Row],[Team B]]),"")</f>
        <v/>
      </c>
      <c r="U3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-Claudio Dogali</v>
      </c>
      <c r="V301" s="265" t="str">
        <f>IF(ResultsTeams[[#This Row],[Score_OK]],IF(ResultsTeams[[#This Row],[StageCpy]]="Groups",ResultsTeams[[#This Row],[Category]]&amp;"-"&amp;IF(ResultsTeams[[#This Row],[Team B]]="","",IF(ResultsTeams[[#This Row],[Match-A]]=ResultsTeams[[#This Row],[Match-B]],ResultsTeams[[#This Row],[Team A]],"")),""),"")</f>
        <v>-</v>
      </c>
      <c r="W301" s="265" t="str">
        <f>IF(ResultsTeams[[#This Row],[Score_OK]],IF(ResultsTeams[[#This Row],[StageCpy]]="Groups",ResultsTeams[[#This Row],[Category]]&amp;"-"&amp;IF(ResultsTeams[[#This Row],[Team B]]="","",IF(ResultsTeams[[#This Row],[Match-A]]=ResultsTeams[[#This Row],[Match-B]],ResultsTeams[[#This Row],[Team B]],"")),""),"")</f>
        <v>-</v>
      </c>
      <c r="X3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-Quentin Van Glabeke</v>
      </c>
      <c r="Y3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1" s="264" t="str">
        <f>IF(ResultsTeams[[#This Row],[Category]]="","",VLOOKUP(ResultsTeams[[#This Row],[Stage]],$R$1:$T$8,MATCH(ResultsTeams[[#This Row],[Category]],$S$1:$T$1,0)+1,FALSE))</f>
        <v/>
      </c>
      <c r="AC3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1" s="264" t="str">
        <f>IF(ResultsTeams[[#This Row],[Type]]="G",ResultsTeams[[#This Row],[Stage]],AD300)</f>
        <v>Groups</v>
      </c>
      <c r="AE301" s="395" t="str">
        <f>IF(ResultsTeams[[#This Row],[Type]]="G",INDEX(TeamsList[Club Name],MATCH(ResultsTeams[[#This Row],[Team A]],TeamsList[Team Name],0)),AE300)</f>
        <v>Master Sanremo</v>
      </c>
      <c r="AF301" s="395" t="str">
        <f>IF(ResultsTeams[[#This Row],[Type]]="G",INDEX(TeamsList[Club Name],MATCH(ResultsTeams[[#This Row],[Team B]],TeamsList[Team Name],0)),AF300)</f>
        <v>SC Lion's Eugies</v>
      </c>
      <c r="AG301" s="265"/>
      <c r="AH301" s="91"/>
      <c r="AI301" s="12" t="str">
        <f t="shared" si="257"/>
        <v>TEAM</v>
      </c>
      <c r="AJ301" s="309" t="s">
        <v>819</v>
      </c>
      <c r="AK301" s="310"/>
      <c r="AL301" s="311"/>
      <c r="AM301" s="292">
        <f>IF(AV301="","",SMALL(AN297:AN303,ROWS(AM297:AM301)))</f>
        <v>5002</v>
      </c>
      <c r="AN301" s="293">
        <f>IF(AV301="","",RANK(AR301,AR297:AR303)*1000+ROWS(AN297:AN301))</f>
        <v>4005</v>
      </c>
      <c r="AO301" s="316">
        <f t="shared" si="250"/>
        <v>59049000000000</v>
      </c>
      <c r="AP301" s="415" t="b">
        <f>AND(AU301&lt;&gt;"",AU301&gt;0,COUNTIF(AO297:AO303,AO301)&gt;1)</f>
        <v>0</v>
      </c>
      <c r="AQ301" s="316">
        <f t="shared" si="251"/>
        <v>0</v>
      </c>
      <c r="AR301" s="317">
        <f t="shared" si="252"/>
        <v>59048759428610</v>
      </c>
      <c r="AS301" s="415" t="b">
        <f>AND(AU301&lt;&gt;"",AU301&gt;0,COUNTIF(AR297:AR303,AR301)&gt;1)</f>
        <v>0</v>
      </c>
      <c r="AT301" s="355">
        <f t="shared" si="253"/>
        <v>3</v>
      </c>
      <c r="AU301" s="356">
        <f t="shared" si="254"/>
        <v>4</v>
      </c>
      <c r="AV301" s="356">
        <f>IF(OR(AI296="",AJ301=""),"",COUNTIF(ResultsTeams[Win],AI296&amp;"-"&amp;AJ301))</f>
        <v>1</v>
      </c>
      <c r="AW301" s="356">
        <f>IF(OR(AI296="",AJ301=""),"",COUNTIF(ResultsTeams[[Draw1]:[Draw2]],AI296&amp;"-"&amp;AJ301))</f>
        <v>0</v>
      </c>
      <c r="AX301" s="356">
        <f>IF(OR(AI296="",AJ301=""),"",COUNTIF(ResultsTeams[Lose],AI296&amp;"-"&amp;AJ301))</f>
        <v>3</v>
      </c>
      <c r="AY301" s="356">
        <f>IF(OR(AI296="",AJ301=""),"",AV301-AX301)</f>
        <v>-2</v>
      </c>
      <c r="AZ301" s="356">
        <f>IF(OR(AI300="",AJ301=""),"",SUMIFS(ResultsTeams[Match-A],ResultsTeams[Stage],"Groups",ResultsTeams[Team A],AJ301)+SUMIFS(ResultsTeams[Match-B],ResultsTeams[Stage],"Groups",ResultsTeams[Team B],AJ301))</f>
        <v>3</v>
      </c>
      <c r="BA301" s="356">
        <f>IF(OR(AI300="",AJ301=""),"",SUMIFS(ResultsTeams[Match-B],ResultsTeams[Stage],"Groups",ResultsTeams[Team A],AJ301)+SUMIFS(ResultsTeams[Match-A],ResultsTeams[Stage],"Groups",ResultsTeams[Team B],AJ301))</f>
        <v>13</v>
      </c>
      <c r="BB301" s="356">
        <f t="shared" si="256"/>
        <v>-10</v>
      </c>
      <c r="BC301" s="356">
        <f>IF(OR(AI300="",AJ301=""),"",SUMIFS(ResultsTeams[Goal-A],ResultsTeams[Stage],"Groups",ResultsTeams[Team A],AJ301)+SUMIFS(ResultsTeams[Goal-B],ResultsTeams[Stage],"Groups",ResultsTeams[Team B],AJ301))</f>
        <v>20</v>
      </c>
      <c r="BD301" s="356">
        <f>IF(OR(AI300="",AJ301=""),"",SUMIFS(ResultsTeams[Goal-B],ResultsTeams[Stage],"Groups",ResultsTeams[Team A],AJ301)+SUMIFS(ResultsTeams[Goal-A],ResultsTeams[Stage],"Groups",ResultsTeams[Team B],AJ301))</f>
        <v>67</v>
      </c>
      <c r="BE301" s="357">
        <f>IF(OR(AI296="",AJ301=""),"",BC301-BD301)</f>
        <v>-47</v>
      </c>
      <c r="BF301" s="470" t="b">
        <f>IF(AM301="","",OR(VLOOKUP(AM301,AN297:BE303,3,FALSE),VLOOKUP(AM301,AN297:BE303,6,FALSE)))</f>
        <v>0</v>
      </c>
      <c r="BG301" s="298">
        <f t="shared" si="255"/>
        <v>5</v>
      </c>
      <c r="BH301" s="285" t="str">
        <f>IF(AM301="","",INDEX(AJ297:AJ303,MATCH(AM301,AN297:AN303,0)))</f>
        <v>Wamme SC 2</v>
      </c>
      <c r="BI301" s="286">
        <f>IF(AM301="","",VLOOKUP(AM301,AN297:BE303,COLUMN()-COLUMN(BB296),FALSE))</f>
        <v>0</v>
      </c>
      <c r="BJ301" s="286">
        <f>IF(AM301="","",VLOOKUP(AM301,AN297:BE303,COLUMN()-COLUMN(BB296),FALSE))</f>
        <v>4</v>
      </c>
      <c r="BK301" s="286">
        <f>IF(AM301="","",VLOOKUP(AM301,AN297:BE303,COLUMN()-COLUMN(BB296),FALSE))</f>
        <v>0</v>
      </c>
      <c r="BL301" s="286">
        <f>IF(AM301="","",VLOOKUP(AM301,AN297:BE303,COLUMN()-COLUMN(BB296),FALSE))</f>
        <v>0</v>
      </c>
      <c r="BM301" s="286">
        <f>IF(AM301="","",VLOOKUP(AM301,AN297:BE303,COLUMN()-COLUMN(BB296),FALSE))</f>
        <v>4</v>
      </c>
      <c r="BN301" s="349">
        <f>IF(AM301="","",VLOOKUP(AM301,AN297:BE303,COLUMN()-COLUMN(BB296),FALSE))</f>
        <v>-4</v>
      </c>
      <c r="BO301" s="298">
        <f>IF(AM301="","",VLOOKUP(AM301,AN297:BE303,COLUMN()-COLUMN(BB296),FALSE))</f>
        <v>1</v>
      </c>
      <c r="BP301" s="286">
        <f>IF(AM301="","",VLOOKUP(AM301,AN297:BE303,COLUMN()-COLUMN(BB296),FALSE))</f>
        <v>14</v>
      </c>
      <c r="BQ301" s="301">
        <f>IF(AM301="","",VLOOKUP(AM301,AN297:BE303,COLUMN()-COLUMN(BB296),FALSE))</f>
        <v>-13</v>
      </c>
      <c r="BR301" s="352">
        <f>IF(AM301="","",VLOOKUP(AM301,AN297:BE303,COLUMN()-COLUMN(BB296),FALSE))</f>
        <v>12</v>
      </c>
      <c r="BS301" s="286">
        <f>IF(AM301="","",VLOOKUP(AM301,AN297:BE303,COLUMN()-COLUMN(BB296),FALSE))</f>
        <v>75</v>
      </c>
      <c r="BT301" s="301">
        <f>IF(AM301="","",VLOOKUP(AM301,AN297:BE303,COLUMN()-COLUMN(BB296),FALSE))</f>
        <v>-63</v>
      </c>
    </row>
    <row r="302" spans="1:72" x14ac:dyDescent="0.2">
      <c r="A302" s="62"/>
      <c r="B302" s="280"/>
      <c r="C302" s="62"/>
      <c r="D302" s="62"/>
      <c r="E302" s="241" t="s">
        <v>12237</v>
      </c>
      <c r="F302" s="246" t="s">
        <v>8122</v>
      </c>
      <c r="G302" s="246" t="s">
        <v>8076</v>
      </c>
      <c r="H302" s="254">
        <v>5</v>
      </c>
      <c r="I302" s="254">
        <v>2</v>
      </c>
      <c r="J302" s="254"/>
      <c r="K302" s="363"/>
      <c r="L302" s="363"/>
      <c r="M302" s="63"/>
      <c r="N302" s="265" t="b">
        <f>NOT(ISERROR(ResultsTeams[[#This Row],[Goal-A]]+ResultsTeams[[#This Row],[Goal-B]]))</f>
        <v>1</v>
      </c>
      <c r="O302" s="265">
        <f>IF(ResultsTeams[[#This Row],[Type]]="G",SUM(O303:O306),IF(LEFT(ResultsTeams[[#This Row],[Type]],1)="P",IF(ResultsTeams[[#This Row],[Goal-A]]&gt;ResultsTeams[[#This Row],[Goal-B]],1,0),""))</f>
        <v>1</v>
      </c>
      <c r="P302" s="265">
        <f>IF(ResultsTeams[[#This Row],[Type]]="G",SUM(P303:P306),IF(LEFT(ResultsTeams[[#This Row],[Type]],1)="P",IF(ResultsTeams[[#This Row],[Goal-A]]&lt;ResultsTeams[[#This Row],[Goal-B]],1,0),""))</f>
        <v>0</v>
      </c>
      <c r="Q302" s="265">
        <f>IF(ResultsTeams[[#This Row],[Type]]="G",SUM(Q303:Q306),IF(LEFT(ResultsTeams[[#This Row],[Type]],1)="P",VALUE(ResultsTeams[[#This Row],[Score-A]]),""))</f>
        <v>5</v>
      </c>
      <c r="R302" s="265">
        <f>IF(ResultsTeams[[#This Row],[Type]]="G",SUM(R303:R306),IF(LEFT(ResultsTeams[[#This Row],[Type]],1)="P",VALUE(ResultsTeams[[#This Row],[Score-B]]),""))</f>
        <v>2</v>
      </c>
      <c r="S302" s="265" t="str">
        <f ca="1">IF(AND(ResultsTeams[[#This Row],[Category]]&lt;&gt;"",ResultsTeams[[#This Row],[Team A]]&lt;&gt;""),COUNTIF(INDIRECT("TeamsList[Club Name]"),ResultsTeams[[#This Row],[Team A]]),"")</f>
        <v/>
      </c>
      <c r="T302" s="265" t="str">
        <f ca="1">IF(AND(ResultsTeams[[#This Row],[Category]]&lt;&gt;"",ResultsTeams[[#This Row],[Team B]]&lt;&gt;""),COUNTIF(INDIRECT("TeamsList[Club Name]"),ResultsTeams[[#This Row],[Team B]]),"")</f>
        <v/>
      </c>
      <c r="U3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-Ludovic Ponthieux</v>
      </c>
      <c r="V302" s="265" t="str">
        <f>IF(ResultsTeams[[#This Row],[Score_OK]],IF(ResultsTeams[[#This Row],[StageCpy]]="Groups",ResultsTeams[[#This Row],[Category]]&amp;"-"&amp;IF(ResultsTeams[[#This Row],[Team B]]="","",IF(ResultsTeams[[#This Row],[Match-A]]=ResultsTeams[[#This Row],[Match-B]],ResultsTeams[[#This Row],[Team A]],"")),""),"")</f>
        <v>-</v>
      </c>
      <c r="W302" s="265" t="str">
        <f>IF(ResultsTeams[[#This Row],[Score_OK]],IF(ResultsTeams[[#This Row],[StageCpy]]="Groups",ResultsTeams[[#This Row],[Category]]&amp;"-"&amp;IF(ResultsTeams[[#This Row],[Team B]]="","",IF(ResultsTeams[[#This Row],[Match-A]]=ResultsTeams[[#This Row],[Match-B]],ResultsTeams[[#This Row],[Team B]],"")),""),"")</f>
        <v>-</v>
      </c>
      <c r="X3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-Denis Bouchez</v>
      </c>
      <c r="Y3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2" s="264" t="str">
        <f>IF(ResultsTeams[[#This Row],[Category]]="","",VLOOKUP(ResultsTeams[[#This Row],[Stage]],$R$1:$T$8,MATCH(ResultsTeams[[#This Row],[Category]],$S$1:$T$1,0)+1,FALSE))</f>
        <v/>
      </c>
      <c r="AC3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2" s="264" t="str">
        <f>IF(ResultsTeams[[#This Row],[Type]]="G",ResultsTeams[[#This Row],[Stage]],AD301)</f>
        <v>Groups</v>
      </c>
      <c r="AE302" s="395" t="str">
        <f>IF(ResultsTeams[[#This Row],[Type]]="G",INDEX(TeamsList[Club Name],MATCH(ResultsTeams[[#This Row],[Team A]],TeamsList[Team Name],0)),AE301)</f>
        <v>Master Sanremo</v>
      </c>
      <c r="AF302" s="395" t="str">
        <f>IF(ResultsTeams[[#This Row],[Type]]="G",INDEX(TeamsList[Club Name],MATCH(ResultsTeams[[#This Row],[Team B]],TeamsList[Team Name],0)),AF301)</f>
        <v>SC Lion's Eugies</v>
      </c>
      <c r="AG302" s="265"/>
      <c r="AI302" s="12" t="str">
        <f t="shared" si="257"/>
        <v>TEAM</v>
      </c>
      <c r="AJ302" s="309"/>
      <c r="AK302" s="310"/>
      <c r="AL302" s="311"/>
      <c r="AM302" s="292" t="str">
        <f>IF(AV302="","",SMALL(AN297:AN303,ROWS(AM297:AM302)))</f>
        <v/>
      </c>
      <c r="AN302" s="293" t="str">
        <f>IF(AV302="","",RANK(AR302,AR297:AR303)*1000+ROWS(AN297:AN302))</f>
        <v/>
      </c>
      <c r="AO302" s="316" t="str">
        <f t="shared" si="250"/>
        <v/>
      </c>
      <c r="AP302" s="415" t="b">
        <f>AND(AU302&lt;&gt;"",AU302&gt;0,COUNTIF(AO297:AO303,AO302)&gt;1)</f>
        <v>0</v>
      </c>
      <c r="AQ302" s="316" t="str">
        <f t="shared" si="251"/>
        <v/>
      </c>
      <c r="AR302" s="317" t="str">
        <f t="shared" si="252"/>
        <v/>
      </c>
      <c r="AS302" s="415" t="b">
        <f>AND(AU302&lt;&gt;"",AU302&gt;0,COUNTIF(AR297:AR303,AR302)&gt;1)</f>
        <v>0</v>
      </c>
      <c r="AT302" s="355" t="str">
        <f t="shared" si="253"/>
        <v/>
      </c>
      <c r="AU302" s="356" t="str">
        <f t="shared" si="254"/>
        <v/>
      </c>
      <c r="AV302" s="356" t="str">
        <f>IF(OR(AI296="",AJ302=""),"",COUNTIF(ResultsTeams[Win],AI296&amp;"-"&amp;AJ302))</f>
        <v/>
      </c>
      <c r="AW302" s="356" t="str">
        <f>IF(OR(AI296="",AJ302=""),"",COUNTIF(ResultsTeams[[Draw1]:[Draw2]],AI296&amp;"-"&amp;AJ302))</f>
        <v/>
      </c>
      <c r="AX302" s="356" t="str">
        <f>IF(OR(AI296="",AJ302=""),"",COUNTIF(ResultsTeams[Lose],AI296&amp;"-"&amp;AJ302))</f>
        <v/>
      </c>
      <c r="AY302" s="356" t="str">
        <f>IF(OR(AI296="",AJ302=""),"",AV302-AX302)</f>
        <v/>
      </c>
      <c r="AZ302" s="356" t="str">
        <f>IF(OR(AI301="",AJ302=""),"",SUMIFS(ResultsTeams[Match-A],ResultsTeams[Stage],"Groups",ResultsTeams[Team A],AJ302)+SUMIFS(ResultsTeams[Match-B],ResultsTeams[Stage],"Groups",ResultsTeams[Team B],AJ302))</f>
        <v/>
      </c>
      <c r="BA302" s="356" t="str">
        <f>IF(OR(AI301="",AJ302=""),"",SUMIFS(ResultsTeams[Match-B],ResultsTeams[Stage],"Groups",ResultsTeams[Team A],AJ302)+SUMIFS(ResultsTeams[Match-A],ResultsTeams[Stage],"Groups",ResultsTeams[Team B],AJ302))</f>
        <v/>
      </c>
      <c r="BB302" s="356" t="str">
        <f t="shared" si="256"/>
        <v/>
      </c>
      <c r="BC302" s="356" t="str">
        <f>IF(OR(AI301="",AJ302=""),"",SUMIFS(ResultsTeams[Goal-A],ResultsTeams[Stage],"Groups",ResultsTeams[Team A],AJ302)+SUMIFS(ResultsTeams[Goal-B],ResultsTeams[Stage],"Groups",ResultsTeams[Team B],AJ302))</f>
        <v/>
      </c>
      <c r="BD302" s="356" t="str">
        <f>IF(OR(AI301="",AJ302=""),"",SUMIFS(ResultsTeams[Goal-B],ResultsTeams[Stage],"Groups",ResultsTeams[Team A],AJ302)+SUMIFS(ResultsTeams[Goal-A],ResultsTeams[Stage],"Groups",ResultsTeams[Team B],AJ302))</f>
        <v/>
      </c>
      <c r="BE302" s="357" t="str">
        <f>IF(OR(AI296="",AJ302=""),"",BC302-BD302)</f>
        <v/>
      </c>
      <c r="BF302" s="470" t="str">
        <f>IF(AM302="","",OR(VLOOKUP(AM302,AN297:BE303,3,FALSE),VLOOKUP(AM302,AN297:BE303,6,FALSE)))</f>
        <v/>
      </c>
      <c r="BG302" s="298" t="str">
        <f t="shared" si="255"/>
        <v/>
      </c>
      <c r="BH302" s="285" t="str">
        <f>IF(AM302="","",INDEX(AJ297:AJ303,MATCH(AM302,AN297:AN303,0)))</f>
        <v/>
      </c>
      <c r="BI302" s="286" t="str">
        <f>IF(AM302="","",VLOOKUP(AM302,AN297:BE303,COLUMN()-COLUMN(BB296),FALSE))</f>
        <v/>
      </c>
      <c r="BJ302" s="286" t="str">
        <f>IF(AM302="","",VLOOKUP(AM302,AN297:BE303,COLUMN()-COLUMN(BB296),FALSE))</f>
        <v/>
      </c>
      <c r="BK302" s="286" t="str">
        <f>IF(AM302="","",VLOOKUP(AM302,AN297:BE303,COLUMN()-COLUMN(BB296),FALSE))</f>
        <v/>
      </c>
      <c r="BL302" s="286" t="str">
        <f>IF(AM302="","",VLOOKUP(AM302,AN297:BE303,COLUMN()-COLUMN(BB296),FALSE))</f>
        <v/>
      </c>
      <c r="BM302" s="286" t="str">
        <f>IF(AM302="","",VLOOKUP(AM302,AN297:BE303,COLUMN()-COLUMN(BB296),FALSE))</f>
        <v/>
      </c>
      <c r="BN302" s="349" t="str">
        <f>IF(AM302="","",VLOOKUP(AM302,AN297:BE303,COLUMN()-COLUMN(BB296),FALSE))</f>
        <v/>
      </c>
      <c r="BO302" s="298" t="str">
        <f>IF(AM302="","",VLOOKUP(AM302,AN297:BE303,COLUMN()-COLUMN(BB296),FALSE))</f>
        <v/>
      </c>
      <c r="BP302" s="286" t="str">
        <f>IF(AM302="","",VLOOKUP(AM302,AN297:BE303,COLUMN()-COLUMN(BB296),FALSE))</f>
        <v/>
      </c>
      <c r="BQ302" s="301" t="str">
        <f>IF(AM302="","",VLOOKUP(AM302,AN297:BE303,COLUMN()-COLUMN(BB296),FALSE))</f>
        <v/>
      </c>
      <c r="BR302" s="352" t="str">
        <f>IF(AM302="","",VLOOKUP(AM302,AN297:BE303,COLUMN()-COLUMN(BB296),FALSE))</f>
        <v/>
      </c>
      <c r="BS302" s="286" t="str">
        <f>IF(AM302="","",VLOOKUP(AM302,AN297:BE303,COLUMN()-COLUMN(BB296),FALSE))</f>
        <v/>
      </c>
      <c r="BT302" s="301" t="str">
        <f>IF(AM302="","",VLOOKUP(AM302,AN297:BE303,COLUMN()-COLUMN(BB296),FALSE))</f>
        <v/>
      </c>
    </row>
    <row r="303" spans="1:72" ht="12" thickBot="1" x14ac:dyDescent="0.25">
      <c r="A303" s="62"/>
      <c r="B303" s="280"/>
      <c r="C303" s="62"/>
      <c r="D303" s="62"/>
      <c r="E303" s="241" t="s">
        <v>12240</v>
      </c>
      <c r="F303" s="246" t="s">
        <v>8104</v>
      </c>
      <c r="G303" s="246" t="s">
        <v>8167</v>
      </c>
      <c r="H303" s="254">
        <v>5</v>
      </c>
      <c r="I303" s="254">
        <v>1</v>
      </c>
      <c r="J303" s="254"/>
      <c r="K303" s="363"/>
      <c r="L303" s="363"/>
      <c r="M303" s="63"/>
      <c r="N303" s="265" t="b">
        <f>NOT(ISERROR(ResultsTeams[[#This Row],[Goal-A]]+ResultsTeams[[#This Row],[Goal-B]]))</f>
        <v>1</v>
      </c>
      <c r="O303" s="265">
        <f>IF(ResultsTeams[[#This Row],[Type]]="G",SUM(O304:O307),IF(LEFT(ResultsTeams[[#This Row],[Type]],1)="P",IF(ResultsTeams[[#This Row],[Goal-A]]&gt;ResultsTeams[[#This Row],[Goal-B]],1,0),""))</f>
        <v>1</v>
      </c>
      <c r="P303" s="265">
        <f>IF(ResultsTeams[[#This Row],[Type]]="G",SUM(P304:P307),IF(LEFT(ResultsTeams[[#This Row],[Type]],1)="P",IF(ResultsTeams[[#This Row],[Goal-A]]&lt;ResultsTeams[[#This Row],[Goal-B]],1,0),""))</f>
        <v>0</v>
      </c>
      <c r="Q303" s="265">
        <f>IF(ResultsTeams[[#This Row],[Type]]="G",SUM(Q304:Q307),IF(LEFT(ResultsTeams[[#This Row],[Type]],1)="P",VALUE(ResultsTeams[[#This Row],[Score-A]]),""))</f>
        <v>5</v>
      </c>
      <c r="R303" s="265">
        <f>IF(ResultsTeams[[#This Row],[Type]]="G",SUM(R304:R307),IF(LEFT(ResultsTeams[[#This Row],[Type]],1)="P",VALUE(ResultsTeams[[#This Row],[Score-B]]),""))</f>
        <v>1</v>
      </c>
      <c r="S303" s="265" t="str">
        <f ca="1">IF(AND(ResultsTeams[[#This Row],[Category]]&lt;&gt;"",ResultsTeams[[#This Row],[Team A]]&lt;&gt;""),COUNTIF(INDIRECT("TeamsList[Club Name]"),ResultsTeams[[#This Row],[Team A]]),"")</f>
        <v/>
      </c>
      <c r="T303" s="265" t="str">
        <f ca="1">IF(AND(ResultsTeams[[#This Row],[Category]]&lt;&gt;"",ResultsTeams[[#This Row],[Team B]]&lt;&gt;""),COUNTIF(INDIRECT("TeamsList[Club Name]"),ResultsTeams[[#This Row],[Team B]]),"")</f>
        <v/>
      </c>
      <c r="U3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-Jérôme Heyvaert</v>
      </c>
      <c r="V303" s="265" t="str">
        <f>IF(ResultsTeams[[#This Row],[Score_OK]],IF(ResultsTeams[[#This Row],[StageCpy]]="Groups",ResultsTeams[[#This Row],[Category]]&amp;"-"&amp;IF(ResultsTeams[[#This Row],[Team B]]="","",IF(ResultsTeams[[#This Row],[Match-A]]=ResultsTeams[[#This Row],[Match-B]],ResultsTeams[[#This Row],[Team A]],"")),""),"")</f>
        <v>-</v>
      </c>
      <c r="W303" s="265" t="str">
        <f>IF(ResultsTeams[[#This Row],[Score_OK]],IF(ResultsTeams[[#This Row],[StageCpy]]="Groups",ResultsTeams[[#This Row],[Category]]&amp;"-"&amp;IF(ResultsTeams[[#This Row],[Team B]]="","",IF(ResultsTeams[[#This Row],[Match-A]]=ResultsTeams[[#This Row],[Match-B]],ResultsTeams[[#This Row],[Team B]],"")),""),"")</f>
        <v>-</v>
      </c>
      <c r="X3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Denne</v>
      </c>
      <c r="Y3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3" s="264" t="str">
        <f>IF(ResultsTeams[[#This Row],[Category]]="","",VLOOKUP(ResultsTeams[[#This Row],[Stage]],$R$1:$T$8,MATCH(ResultsTeams[[#This Row],[Category]],$S$1:$T$1,0)+1,FALSE))</f>
        <v/>
      </c>
      <c r="AC3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3" s="264" t="str">
        <f>IF(ResultsTeams[[#This Row],[Type]]="G",ResultsTeams[[#This Row],[Stage]],AD302)</f>
        <v>Groups</v>
      </c>
      <c r="AE303" s="395" t="str">
        <f>IF(ResultsTeams[[#This Row],[Type]]="G",INDEX(TeamsList[Club Name],MATCH(ResultsTeams[[#This Row],[Team A]],TeamsList[Team Name],0)),AE302)</f>
        <v>Master Sanremo</v>
      </c>
      <c r="AF303" s="395" t="str">
        <f>IF(ResultsTeams[[#This Row],[Type]]="G",INDEX(TeamsList[Club Name],MATCH(ResultsTeams[[#This Row],[Team B]],TeamsList[Team Name],0)),AF302)</f>
        <v>SC Lion's Eugies</v>
      </c>
      <c r="AG303" s="265"/>
      <c r="AI303" s="12" t="str">
        <f t="shared" si="257"/>
        <v>TEAM</v>
      </c>
      <c r="AJ303" s="312"/>
      <c r="AK303" s="313"/>
      <c r="AL303" s="314"/>
      <c r="AM303" s="294" t="str">
        <f>IF(AV303="","",SMALL(AN297:AN303,ROWS(AM297:AM303)))</f>
        <v/>
      </c>
      <c r="AN303" s="295" t="str">
        <f>IF(AV303="","",RANK(AR303,AR297:AR303)*1000+ROWS(AN297:AN303))</f>
        <v/>
      </c>
      <c r="AO303" s="318" t="str">
        <f t="shared" si="250"/>
        <v/>
      </c>
      <c r="AP303" s="416" t="b">
        <f>AND(AU303&lt;&gt;"",AU303&gt;0,COUNTIF(AO297:AO303,AO303)&gt;1)</f>
        <v>0</v>
      </c>
      <c r="AQ303" s="318" t="str">
        <f t="shared" si="251"/>
        <v/>
      </c>
      <c r="AR303" s="319" t="str">
        <f t="shared" si="252"/>
        <v/>
      </c>
      <c r="AS303" s="416" t="b">
        <f>AND(AU303&lt;&gt;"",AU303&gt;0,COUNTIF(AR297:AR303,AR303)&gt;1)</f>
        <v>0</v>
      </c>
      <c r="AT303" s="358" t="str">
        <f t="shared" si="253"/>
        <v/>
      </c>
      <c r="AU303" s="359" t="str">
        <f t="shared" si="254"/>
        <v/>
      </c>
      <c r="AV303" s="359" t="str">
        <f>IF(OR(AI296="",AJ303=""),"",COUNTIF(ResultsTeams[Win],AI296&amp;"-"&amp;AJ303))</f>
        <v/>
      </c>
      <c r="AW303" s="359" t="str">
        <f>IF(OR(AI296="",AJ303=""),"",COUNTIF(ResultsTeams[[Draw1]:[Draw2]],AI296&amp;"-"&amp;AJ303))</f>
        <v/>
      </c>
      <c r="AX303" s="359" t="str">
        <f>IF(OR(AI296="",AJ303=""),"",COUNTIF(ResultsTeams[Lose],AI296&amp;"-"&amp;AJ303))</f>
        <v/>
      </c>
      <c r="AY303" s="359" t="str">
        <f>IF(OR(AI296="",AJ303=""),"",AV303-AX303)</f>
        <v/>
      </c>
      <c r="AZ303" s="359" t="str">
        <f>IF(OR(AI302="",AJ303=""),"",SUMIFS(ResultsTeams[Match-A],ResultsTeams[Stage],"Groups",ResultsTeams[Team A],AJ303)+SUMIFS(ResultsTeams[Match-B],ResultsTeams[Stage],"Groups",ResultsTeams[Team B],AJ303))</f>
        <v/>
      </c>
      <c r="BA303" s="359" t="str">
        <f>IF(OR(AI302="",AJ303=""),"",SUMIFS(ResultsTeams[Match-B],ResultsTeams[Stage],"Groups",ResultsTeams[Team A],AJ303)+SUMIFS(ResultsTeams[Match-A],ResultsTeams[Stage],"Groups",ResultsTeams[Team B],AJ303))</f>
        <v/>
      </c>
      <c r="BB303" s="359" t="str">
        <f t="shared" si="256"/>
        <v/>
      </c>
      <c r="BC303" s="359" t="str">
        <f>IF(OR(AI302="",AJ303=""),"",SUMIFS(ResultsTeams[Goal-A],ResultsTeams[Stage],"Groups",ResultsTeams[Team A],AJ303)+SUMIFS(ResultsTeams[Goal-B],ResultsTeams[Stage],"Groups",ResultsTeams[Team B],AJ303))</f>
        <v/>
      </c>
      <c r="BD303" s="359" t="str">
        <f>IF(OR(AI302="",AJ303=""),"",SUMIFS(ResultsTeams[Goal-B],ResultsTeams[Stage],"Groups",ResultsTeams[Team A],AJ303)+SUMIFS(ResultsTeams[Goal-A],ResultsTeams[Stage],"Groups",ResultsTeams[Team B],AJ303))</f>
        <v/>
      </c>
      <c r="BE303" s="360" t="str">
        <f>IF(OR(AI296="",AJ303=""),"",BC303-BD303)</f>
        <v/>
      </c>
      <c r="BF303" s="470" t="str">
        <f>IF(AM303="","",OR(VLOOKUP(AM303,AN297:BE303,3,FALSE),VLOOKUP(AM303,AN297:BE303,6,FALSE)))</f>
        <v/>
      </c>
      <c r="BG303" s="299" t="str">
        <f t="shared" si="255"/>
        <v/>
      </c>
      <c r="BH303" s="287" t="str">
        <f>IF(AM303="","",INDEX(AJ297:AJ303,MATCH(AM303,AN297:AN303,0)))</f>
        <v/>
      </c>
      <c r="BI303" s="288" t="str">
        <f>IF(AM303="","",VLOOKUP(AM303,AN297:BE303,COLUMN()-COLUMN(BB296),FALSE))</f>
        <v/>
      </c>
      <c r="BJ303" s="288" t="str">
        <f>IF(AM303="","",VLOOKUP(AM303,AN297:BE303,COLUMN()-COLUMN(BB296),FALSE))</f>
        <v/>
      </c>
      <c r="BK303" s="288" t="str">
        <f>IF(AM303="","",VLOOKUP(AM303,AN297:BE303,COLUMN()-COLUMN(BB296),FALSE))</f>
        <v/>
      </c>
      <c r="BL303" s="288" t="str">
        <f>IF(AM303="","",VLOOKUP(AM303,AN297:BE303,COLUMN()-COLUMN(BB296),FALSE))</f>
        <v/>
      </c>
      <c r="BM303" s="288" t="str">
        <f>IF(AM303="","",VLOOKUP(AM303,AN297:BE303,COLUMN()-COLUMN(BB296),FALSE))</f>
        <v/>
      </c>
      <c r="BN303" s="350" t="str">
        <f>IF(AM303="","",VLOOKUP(AM303,AN297:BE303,COLUMN()-COLUMN(BB296),FALSE))</f>
        <v/>
      </c>
      <c r="BO303" s="299" t="str">
        <f>IF(AM303="","",VLOOKUP(AM303,AN297:BE303,COLUMN()-COLUMN(BB296),FALSE))</f>
        <v/>
      </c>
      <c r="BP303" s="288" t="str">
        <f>IF(AM303="","",VLOOKUP(AM303,AN297:BE303,COLUMN()-COLUMN(BB296),FALSE))</f>
        <v/>
      </c>
      <c r="BQ303" s="302" t="str">
        <f>IF(AM303="","",VLOOKUP(AM303,AN297:BE303,COLUMN()-COLUMN(BB296),FALSE))</f>
        <v/>
      </c>
      <c r="BR303" s="353" t="str">
        <f>IF(AM303="","",VLOOKUP(AM303,AN297:BE303,COLUMN()-COLUMN(BB296),FALSE))</f>
        <v/>
      </c>
      <c r="BS303" s="288" t="str">
        <f>IF(AM303="","",VLOOKUP(AM303,AN297:BE303,COLUMN()-COLUMN(BB296),FALSE))</f>
        <v/>
      </c>
      <c r="BT303" s="302" t="str">
        <f>IF(AM303="","",VLOOKUP(AM303,AN297:BE303,COLUMN()-COLUMN(BB296),FALSE))</f>
        <v/>
      </c>
    </row>
    <row r="304" spans="1:72" ht="12" thickBot="1" x14ac:dyDescent="0.25">
      <c r="A304" s="62"/>
      <c r="B304" s="62"/>
      <c r="C304" s="62"/>
      <c r="D304" s="62"/>
      <c r="E304" s="241" t="s">
        <v>12243</v>
      </c>
      <c r="F304" s="247"/>
      <c r="G304" s="247"/>
      <c r="H304" s="254"/>
      <c r="I304" s="254"/>
      <c r="J304" s="260"/>
      <c r="K304" s="364"/>
      <c r="L304" s="364"/>
      <c r="M304" s="63"/>
      <c r="N304" s="265" t="b">
        <f>NOT(ISERROR(ResultsTeams[[#This Row],[Goal-A]]+ResultsTeams[[#This Row],[Goal-B]]))</f>
        <v>0</v>
      </c>
      <c r="O304" s="265" t="str">
        <f>IF(ResultsTeams[[#This Row],[Type]]="G",SUM(O305:O308),IF(LEFT(ResultsTeams[[#This Row],[Type]],1)="P",IF(ResultsTeams[[#This Row],[Goal-A]]&gt;ResultsTeams[[#This Row],[Goal-B]],1,0),""))</f>
        <v/>
      </c>
      <c r="P304" s="265" t="str">
        <f>IF(ResultsTeams[[#This Row],[Type]]="G",SUM(P305:P308),IF(LEFT(ResultsTeams[[#This Row],[Type]],1)="P",IF(ResultsTeams[[#This Row],[Goal-A]]&lt;ResultsTeams[[#This Row],[Goal-B]],1,0),""))</f>
        <v/>
      </c>
      <c r="Q304" s="265" t="str">
        <f>IF(ResultsTeams[[#This Row],[Type]]="G",SUM(Q305:Q308),IF(LEFT(ResultsTeams[[#This Row],[Type]],1)="P",VALUE(ResultsTeams[[#This Row],[Score-A]]),""))</f>
        <v/>
      </c>
      <c r="R304" s="265" t="str">
        <f>IF(ResultsTeams[[#This Row],[Type]]="G",SUM(R305:R308),IF(LEFT(ResultsTeams[[#This Row],[Type]],1)="P",VALUE(ResultsTeams[[#This Row],[Score-B]]),""))</f>
        <v/>
      </c>
      <c r="S304" s="265" t="str">
        <f ca="1">IF(AND(ResultsTeams[[#This Row],[Category]]&lt;&gt;"",ResultsTeams[[#This Row],[Team A]]&lt;&gt;""),COUNTIF(INDIRECT("TeamsList[Club Name]"),ResultsTeams[[#This Row],[Team A]]),"")</f>
        <v/>
      </c>
      <c r="T304" s="265" t="str">
        <f ca="1">IF(AND(ResultsTeams[[#This Row],[Category]]&lt;&gt;"",ResultsTeams[[#This Row],[Team B]]&lt;&gt;""),COUNTIF(INDIRECT("TeamsList[Club Name]"),ResultsTeams[[#This Row],[Team B]]),"")</f>
        <v/>
      </c>
      <c r="U3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4" s="265" t="str">
        <f>IF(ResultsTeams[[#This Row],[Score_OK]],IF(ResultsTeams[[#This Row],[StageCpy]]="Groups",ResultsTeams[[#This Row],[Category]]&amp;"-"&amp;IF(ResultsTeams[[#This Row],[Team B]]="","",IF(ResultsTeams[[#This Row],[Match-A]]=ResultsTeams[[#This Row],[Match-B]],ResultsTeams[[#This Row],[Team A]],"")),""),"")</f>
        <v/>
      </c>
      <c r="W304" s="265" t="str">
        <f>IF(ResultsTeams[[#This Row],[Score_OK]],IF(ResultsTeams[[#This Row],[StageCpy]]="Groups",ResultsTeams[[#This Row],[Category]]&amp;"-"&amp;IF(ResultsTeams[[#This Row],[Team B]]="","",IF(ResultsTeams[[#This Row],[Match-A]]=ResultsTeams[[#This Row],[Match-B]],ResultsTeams[[#This Row],[Team B]],"")),""),"")</f>
        <v/>
      </c>
      <c r="X3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4" s="264" t="str">
        <f>IF(ResultsTeams[[#This Row],[Category]]="","",VLOOKUP(ResultsTeams[[#This Row],[Stage]],$R$1:$T$8,MATCH(ResultsTeams[[#This Row],[Category]],$S$1:$T$1,0)+1,FALSE))</f>
        <v/>
      </c>
      <c r="AC3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4" s="264" t="str">
        <f>IF(ResultsTeams[[#This Row],[Type]]="G",ResultsTeams[[#This Row],[Stage]],AD303)</f>
        <v>Groups</v>
      </c>
      <c r="AE304" s="395" t="str">
        <f>IF(ResultsTeams[[#This Row],[Type]]="G",INDEX(TeamsList[Club Name],MATCH(ResultsTeams[[#This Row],[Team A]],TeamsList[Team Name],0)),AE303)</f>
        <v>Master Sanremo</v>
      </c>
      <c r="AF304" s="395" t="str">
        <f>IF(ResultsTeams[[#This Row],[Type]]="G",INDEX(TeamsList[Club Name],MATCH(ResultsTeams[[#This Row],[Team B]],TeamsList[Team Name],0)),AF303)</f>
        <v>SC Lion's Eugies</v>
      </c>
      <c r="AG304" s="265"/>
    </row>
    <row r="305" spans="1:72" ht="12" thickBot="1" x14ac:dyDescent="0.25">
      <c r="A305" s="83"/>
      <c r="B305" s="83"/>
      <c r="C305" s="83"/>
      <c r="D305" s="83"/>
      <c r="E305" s="268" t="s">
        <v>12244</v>
      </c>
      <c r="F305" s="262"/>
      <c r="G305" s="262"/>
      <c r="H305" s="324"/>
      <c r="I305" s="324"/>
      <c r="J305" s="263"/>
      <c r="K305" s="365"/>
      <c r="L305" s="365"/>
      <c r="M305" s="84"/>
      <c r="N305" s="265" t="b">
        <f>NOT(ISERROR(ResultsTeams[[#This Row],[Goal-A]]+ResultsTeams[[#This Row],[Goal-B]]))</f>
        <v>0</v>
      </c>
      <c r="O305" s="265" t="str">
        <f>IF(ResultsTeams[[#This Row],[Type]]="G",SUM(O306:O309),IF(LEFT(ResultsTeams[[#This Row],[Type]],1)="P",IF(ResultsTeams[[#This Row],[Goal-A]]&gt;ResultsTeams[[#This Row],[Goal-B]],1,0),""))</f>
        <v/>
      </c>
      <c r="P305" s="265" t="str">
        <f>IF(ResultsTeams[[#This Row],[Type]]="G",SUM(P306:P309),IF(LEFT(ResultsTeams[[#This Row],[Type]],1)="P",IF(ResultsTeams[[#This Row],[Goal-A]]&lt;ResultsTeams[[#This Row],[Goal-B]],1,0),""))</f>
        <v/>
      </c>
      <c r="Q305" s="265" t="str">
        <f>IF(ResultsTeams[[#This Row],[Type]]="G",SUM(Q306:Q309),IF(LEFT(ResultsTeams[[#This Row],[Type]],1)="P",VALUE(ResultsTeams[[#This Row],[Score-A]]),""))</f>
        <v/>
      </c>
      <c r="R305" s="265" t="str">
        <f>IF(ResultsTeams[[#This Row],[Type]]="G",SUM(R306:R309),IF(LEFT(ResultsTeams[[#This Row],[Type]],1)="P",VALUE(ResultsTeams[[#This Row],[Score-B]]),""))</f>
        <v/>
      </c>
      <c r="S305" s="265" t="str">
        <f ca="1">IF(AND(ResultsTeams[[#This Row],[Category]]&lt;&gt;"",ResultsTeams[[#This Row],[Team A]]&lt;&gt;""),COUNTIF(INDIRECT("TeamsList[Club Name]"),ResultsTeams[[#This Row],[Team A]]),"")</f>
        <v/>
      </c>
      <c r="T305" s="265" t="str">
        <f ca="1">IF(AND(ResultsTeams[[#This Row],[Category]]&lt;&gt;"",ResultsTeams[[#This Row],[Team B]]&lt;&gt;""),COUNTIF(INDIRECT("TeamsList[Club Name]"),ResultsTeams[[#This Row],[Team B]]),"")</f>
        <v/>
      </c>
      <c r="U3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5" s="265" t="str">
        <f>IF(ResultsTeams[[#This Row],[Score_OK]],IF(ResultsTeams[[#This Row],[StageCpy]]="Groups",ResultsTeams[[#This Row],[Category]]&amp;"-"&amp;IF(ResultsTeams[[#This Row],[Team B]]="","",IF(ResultsTeams[[#This Row],[Match-A]]=ResultsTeams[[#This Row],[Match-B]],ResultsTeams[[#This Row],[Team A]],"")),""),"")</f>
        <v/>
      </c>
      <c r="W305" s="265" t="str">
        <f>IF(ResultsTeams[[#This Row],[Score_OK]],IF(ResultsTeams[[#This Row],[StageCpy]]="Groups",ResultsTeams[[#This Row],[Category]]&amp;"-"&amp;IF(ResultsTeams[[#This Row],[Team B]]="","",IF(ResultsTeams[[#This Row],[Match-A]]=ResultsTeams[[#This Row],[Match-B]],ResultsTeams[[#This Row],[Team B]],"")),""),"")</f>
        <v/>
      </c>
      <c r="X3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5" s="264" t="str">
        <f>IF(ResultsTeams[[#This Row],[Category]]="","",VLOOKUP(ResultsTeams[[#This Row],[Stage]],$R$1:$T$8,MATCH(ResultsTeams[[#This Row],[Category]],$S$1:$T$1,0)+1,FALSE))</f>
        <v/>
      </c>
      <c r="AC3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5" s="264" t="str">
        <f>IF(ResultsTeams[[#This Row],[Type]]="G",ResultsTeams[[#This Row],[Stage]],AD304)</f>
        <v>Groups</v>
      </c>
      <c r="AE305" s="395" t="str">
        <f>IF(ResultsTeams[[#This Row],[Type]]="G",INDEX(TeamsList[Club Name],MATCH(ResultsTeams[[#This Row],[Team A]],TeamsList[Team Name],0)),AE304)</f>
        <v>Master Sanremo</v>
      </c>
      <c r="AF305" s="395" t="str">
        <f>IF(ResultsTeams[[#This Row],[Type]]="G",INDEX(TeamsList[Club Name],MATCH(ResultsTeams[[#This Row],[Team B]],TeamsList[Team Name],0)),AF304)</f>
        <v>SC Lion's Eugies</v>
      </c>
      <c r="AG305" s="265"/>
      <c r="AH305" s="281">
        <v>10</v>
      </c>
      <c r="AI305" s="315" t="s">
        <v>12693</v>
      </c>
      <c r="AJ305" s="289" t="s">
        <v>14438</v>
      </c>
      <c r="AK305" s="290" t="s">
        <v>12279</v>
      </c>
      <c r="AL305" s="300" t="s">
        <v>12275</v>
      </c>
      <c r="AM305" s="296" t="s">
        <v>12276</v>
      </c>
      <c r="AN305" s="291" t="s">
        <v>12271</v>
      </c>
      <c r="AO305" s="291" t="s">
        <v>12272</v>
      </c>
      <c r="AP305" s="414" t="s">
        <v>13154</v>
      </c>
      <c r="AQ305" s="291" t="s">
        <v>12273</v>
      </c>
      <c r="AR305" s="297" t="s">
        <v>12274</v>
      </c>
      <c r="AS305" s="414" t="s">
        <v>13154</v>
      </c>
      <c r="AT305" s="296" t="s">
        <v>12199</v>
      </c>
      <c r="AU305" s="291" t="s">
        <v>12200</v>
      </c>
      <c r="AV305" s="291" t="s">
        <v>12201</v>
      </c>
      <c r="AW305" s="291" t="s">
        <v>12202</v>
      </c>
      <c r="AX305" s="291" t="s">
        <v>12203</v>
      </c>
      <c r="AY305" s="291" t="s">
        <v>12697</v>
      </c>
      <c r="AZ305" s="291" t="s">
        <v>12698</v>
      </c>
      <c r="BA305" s="291" t="s">
        <v>12699</v>
      </c>
      <c r="BB305" s="291" t="s">
        <v>12700</v>
      </c>
      <c r="BC305" s="291" t="s">
        <v>12204</v>
      </c>
      <c r="BD305" s="291" t="s">
        <v>12205</v>
      </c>
      <c r="BE305" s="297" t="s">
        <v>12206</v>
      </c>
      <c r="BF305" s="395"/>
      <c r="BG305" s="282" t="s">
        <v>12276</v>
      </c>
      <c r="BH305" s="282" t="s">
        <v>12133</v>
      </c>
      <c r="BI305" s="283" t="s">
        <v>12199</v>
      </c>
      <c r="BJ305" s="283" t="s">
        <v>12200</v>
      </c>
      <c r="BK305" s="283" t="s">
        <v>12201</v>
      </c>
      <c r="BL305" s="283" t="s">
        <v>12202</v>
      </c>
      <c r="BM305" s="283" t="s">
        <v>12203</v>
      </c>
      <c r="BN305" s="290" t="s">
        <v>12697</v>
      </c>
      <c r="BO305" s="354" t="s">
        <v>12698</v>
      </c>
      <c r="BP305" s="283" t="s">
        <v>12699</v>
      </c>
      <c r="BQ305" s="300" t="s">
        <v>12700</v>
      </c>
      <c r="BR305" s="351" t="s">
        <v>12204</v>
      </c>
      <c r="BS305" s="283" t="s">
        <v>12205</v>
      </c>
      <c r="BT305" s="300" t="s">
        <v>12206</v>
      </c>
    </row>
    <row r="306" spans="1:72" ht="12" thickBot="1" x14ac:dyDescent="0.25">
      <c r="A306" s="261" t="s">
        <v>12693</v>
      </c>
      <c r="B306" s="270" t="s">
        <v>12207</v>
      </c>
      <c r="C306" s="270">
        <v>7</v>
      </c>
      <c r="D306" s="270"/>
      <c r="E306" s="272" t="s">
        <v>12228</v>
      </c>
      <c r="F306" s="273" t="s">
        <v>14594</v>
      </c>
      <c r="G306" s="273" t="s">
        <v>39</v>
      </c>
      <c r="H306" s="275">
        <v>0</v>
      </c>
      <c r="I306" s="275">
        <v>1</v>
      </c>
      <c r="J306" s="275"/>
      <c r="K306" s="366"/>
      <c r="L306" s="366"/>
      <c r="M306" s="274"/>
      <c r="N306" s="265" t="b">
        <f>NOT(ISERROR(ResultsTeams[[#This Row],[Goal-A]]+ResultsTeams[[#This Row],[Goal-B]]))</f>
        <v>1</v>
      </c>
      <c r="O306" s="265">
        <f>IF(ResultsTeams[[#This Row],[Type]]="G",SUM(O307:O310),IF(LEFT(ResultsTeams[[#This Row],[Type]],1)="P",IF(ResultsTeams[[#This Row],[Goal-A]]&gt;ResultsTeams[[#This Row],[Goal-B]],1,0),""))</f>
        <v>0</v>
      </c>
      <c r="P306" s="265">
        <f>IF(ResultsTeams[[#This Row],[Type]]="G",SUM(P307:P310),IF(LEFT(ResultsTeams[[#This Row],[Type]],1)="P",IF(ResultsTeams[[#This Row],[Goal-A]]&lt;ResultsTeams[[#This Row],[Goal-B]],1,0),""))</f>
        <v>1</v>
      </c>
      <c r="Q306" s="265">
        <f>IF(ResultsTeams[[#This Row],[Type]]="G",SUM(Q307:Q310),IF(LEFT(ResultsTeams[[#This Row],[Type]],1)="P",VALUE(ResultsTeams[[#This Row],[Score-A]]),""))</f>
        <v>3</v>
      </c>
      <c r="R306" s="265">
        <f>IF(ResultsTeams[[#This Row],[Type]]="G",SUM(R307:R310),IF(LEFT(ResultsTeams[[#This Row],[Type]],1)="P",VALUE(ResultsTeams[[#This Row],[Score-B]]),""))</f>
        <v>5</v>
      </c>
      <c r="S306" s="265">
        <f ca="1">IF(AND(ResultsTeams[[#This Row],[Category]]&lt;&gt;"",ResultsTeams[[#This Row],[Team A]]&lt;&gt;""),COUNTIF(INDIRECT("TeamsList[Club Name]"),ResultsTeams[[#This Row],[Team A]]),"")</f>
        <v>0</v>
      </c>
      <c r="T306" s="265">
        <f ca="1">IF(AND(ResultsTeams[[#This Row],[Category]]&lt;&gt;"",ResultsTeams[[#This Row],[Team B]]&lt;&gt;""),COUNTIF(INDIRECT("TeamsList[Club Name]"),ResultsTeams[[#This Row],[Team B]]),"")</f>
        <v>1</v>
      </c>
      <c r="U3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TEAM-TSC Royal 78 Kaisermühlen</v>
      </c>
      <c r="V306" s="265" t="str">
        <f>IF(ResultsTeams[[#This Row],[Score_OK]],IF(ResultsTeams[[#This Row],[StageCpy]]="Groups",ResultsTeams[[#This Row],[Category]]&amp;"-"&amp;IF(ResultsTeams[[#This Row],[Team B]]="","",IF(ResultsTeams[[#This Row],[Match-A]]=ResultsTeams[[#This Row],[Match-B]],ResultsTeams[[#This Row],[Team A]],"")),""),"")</f>
        <v>TEAM-</v>
      </c>
      <c r="W306" s="265" t="str">
        <f>IF(ResultsTeams[[#This Row],[Score_OK]],IF(ResultsTeams[[#This Row],[StageCpy]]="Groups",ResultsTeams[[#This Row],[Category]]&amp;"-"&amp;IF(ResultsTeams[[#This Row],[Team B]]="","",IF(ResultsTeams[[#This Row],[Match-A]]=ResultsTeams[[#This Row],[Match-B]],ResultsTeams[[#This Row],[Team B]],"")),""),"")</f>
        <v>TEAM-</v>
      </c>
      <c r="X3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2</v>
      </c>
      <c r="Y3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A3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B306" s="264" t="str">
        <f>IF(ResultsTeams[[#This Row],[Category]]="","",VLOOKUP(ResultsTeams[[#This Row],[Stage]],$R$1:$T$8,MATCH(ResultsTeams[[#This Row],[Category]],$S$1:$T$1,0)+1,FALSE))</f>
        <v>PR1</v>
      </c>
      <c r="AC3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6" s="264" t="str">
        <f>IF(ResultsTeams[[#This Row],[Type]]="G",ResultsTeams[[#This Row],[Stage]],AD305)</f>
        <v>Groups</v>
      </c>
      <c r="AE306" s="395" t="str">
        <f>IF(ResultsTeams[[#This Row],[Type]]="G",INDEX(TeamsList[Club Name],MATCH(ResultsTeams[[#This Row],[Team A]],TeamsList[Team Name],0)),AE305)</f>
        <v>SC Lion's Eugies</v>
      </c>
      <c r="AF306" s="395" t="str">
        <f>IF(ResultsTeams[[#This Row],[Type]]="G",INDEX(TeamsList[Club Name],MATCH(ResultsTeams[[#This Row],[Team B]],TeamsList[Team Name],0)),AF305)</f>
        <v>TSC Royal 78 Kaisermühlen</v>
      </c>
      <c r="AG306" s="265"/>
      <c r="AI306" s="12" t="str">
        <f>AI305</f>
        <v>TEAM</v>
      </c>
      <c r="AJ306" s="309" t="s">
        <v>170</v>
      </c>
      <c r="AK306" s="320"/>
      <c r="AL306" s="311"/>
      <c r="AM306" s="292">
        <f>IF(AV306="","",SMALL(AN306:AN312,ROWS(AM306:AM306)))</f>
        <v>1001</v>
      </c>
      <c r="AN306" s="293">
        <f>IF(AV306="","",RANK(AR306,AR306:AR312)*1000+ROWS(AN306:AN306))</f>
        <v>1001</v>
      </c>
      <c r="AO306" s="316">
        <f t="shared" ref="AO306:AO312" si="258">IF(AV306="","",AT306*CritClassEq1_Points+AY306*CritClassEq1_DiffRencontres+BB306*CritClassEq1_DiffMatches+BE306*CritClassEq1_DiffButs+AZ306*CritClassEq1_Matches+BC306*CritClassEq1_Attaque)</f>
        <v>236196000000000</v>
      </c>
      <c r="AP306" s="415" t="b">
        <f>AND(AU306&lt;&gt;"",AU306&gt;0,COUNTIF(AO306:AO312,AO306)&gt;1)</f>
        <v>0</v>
      </c>
      <c r="AQ306" s="316">
        <f t="shared" ref="AQ306:AQ312" si="259">IF(AV306="","",CritClassEq_DiffPart*AK306)</f>
        <v>0</v>
      </c>
      <c r="AR306" s="317">
        <f t="shared" ref="AR306:AR312" si="260">IF(AV306="","",AO306+AQ306+AT306*CritClassEq2_Points+AY306*CritClassEq2_DiffRencontres+BB306*CritClassEq2_DiffMatches+BE306*CritClassEq2_DiffButs+AZ306*CritClassEq2_Matches+BC306*CritClassEq2_Attaque+AL306)</f>
        <v>236196302131967</v>
      </c>
      <c r="AS306" s="415" t="b">
        <f>AND(AU306&lt;&gt;"",AU306&gt;0,COUNTIF(AR306:AR312,AR306)&gt;1)</f>
        <v>0</v>
      </c>
      <c r="AT306" s="355">
        <f t="shared" ref="AT306:AT312" si="261">IF(AV306="","",(AV306*Points_Victoire)+AW306*Points_Null)</f>
        <v>12</v>
      </c>
      <c r="AU306" s="356">
        <f t="shared" ref="AU306:AU312" si="262">IF(AV306="","",SUM(AV306:AX306))</f>
        <v>4</v>
      </c>
      <c r="AV306" s="356">
        <f>IF(OR(AI305="",AJ306=""),"",COUNTIF(ResultsTeams[Win],AI305&amp;"-"&amp;AJ306))</f>
        <v>4</v>
      </c>
      <c r="AW306" s="356">
        <f>IF(OR(AI305="",AJ306=""),"",COUNTIF(ResultsTeams[[Draw1]:[Draw2]],AI305&amp;"-"&amp;AJ306))</f>
        <v>0</v>
      </c>
      <c r="AX306" s="356">
        <f>IF(OR(AI305="",AJ306=""),"",COUNTIF(ResultsTeams[Lose],AI305&amp;"-"&amp;AJ306))</f>
        <v>0</v>
      </c>
      <c r="AY306" s="356">
        <f>IF(OR(AI305="",AJ306=""),"",AV306-AX306)</f>
        <v>4</v>
      </c>
      <c r="AZ306" s="356">
        <f>IF(OR(AI305="",AJ306=""),"",SUMIFS(ResultsTeams[Match-A],ResultsTeams[Stage],"Groups",ResultsTeams[Team A],AJ306)+SUMIFS(ResultsTeams[Match-B],ResultsTeams[Stage],"Groups",ResultsTeams[Team B],AJ306))</f>
        <v>13</v>
      </c>
      <c r="BA306" s="356">
        <f>IF(OR(AI305="",AJ306=""),"",SUMIFS(ResultsTeams[Match-B],ResultsTeams[Stage],"Groups",ResultsTeams[Team A],AJ306)+SUMIFS(ResultsTeams[Match-A],ResultsTeams[Stage],"Groups",ResultsTeams[Team B],AJ306))</f>
        <v>1</v>
      </c>
      <c r="BB306" s="356">
        <f>IF(OR(AI305="",AJ306=""),"",AZ306-BA306)</f>
        <v>12</v>
      </c>
      <c r="BC306" s="356">
        <f>IF(OR(AI305="",AJ306=""),"",SUMIFS(ResultsTeams[Goal-A],ResultsTeams[Stage],"Groups",ResultsTeams[Team A],AJ306)+SUMIFS(ResultsTeams[Goal-B],ResultsTeams[Stage],"Groups",ResultsTeams[Team B],AJ306))</f>
        <v>77</v>
      </c>
      <c r="BD306" s="356">
        <f>IF(OR(AI305="",AJ306=""),"",SUMIFS(ResultsTeams[Goal-B],ResultsTeams[Stage],"Groups",ResultsTeams[Team A],AJ306)+SUMIFS(ResultsTeams[Goal-A],ResultsTeams[Stage],"Groups",ResultsTeams[Team B],AJ306))</f>
        <v>14</v>
      </c>
      <c r="BE306" s="357">
        <f>IF(OR(AI305="",AJ306=""),"",BC306-BD306)</f>
        <v>63</v>
      </c>
      <c r="BF306" s="470" t="b">
        <f>IF(AM306="","",OR(VLOOKUP(AM306,AN306:BE312,3,FALSE),VLOOKUP(AM306,AN306:BE312,6,FALSE)))</f>
        <v>0</v>
      </c>
      <c r="BG306" s="298">
        <f t="shared" ref="BG306:BG312" si="263">IF(AM306="","",INT(AM306/1000))</f>
        <v>1</v>
      </c>
      <c r="BH306" s="285" t="str">
        <f>IF(AM306="","",INDEX(AJ306:AJ312,MATCH(AM306,AN306:AN312,0)))</f>
        <v>Tiburones FM</v>
      </c>
      <c r="BI306" s="286">
        <f>IF(AM306="","",VLOOKUP(AM306,AN306:BE312,COLUMN()-COLUMN(BB305),FALSE))</f>
        <v>12</v>
      </c>
      <c r="BJ306" s="286">
        <f>IF(AM306="","",VLOOKUP(AM306,AN306:BE312,COLUMN()-COLUMN(BB305),FALSE))</f>
        <v>4</v>
      </c>
      <c r="BK306" s="286">
        <f>IF(AM306="","",VLOOKUP(AM306,AN306:BE312,COLUMN()-COLUMN(BB305),FALSE))</f>
        <v>4</v>
      </c>
      <c r="BL306" s="286">
        <f>IF(AM306="","",VLOOKUP(AM306,AN306:BE312,COLUMN()-COLUMN(BB305),FALSE))</f>
        <v>0</v>
      </c>
      <c r="BM306" s="286">
        <f>IF(AM306="","",VLOOKUP(AM306,AN306:BE312,COLUMN()-COLUMN(BB305),FALSE))</f>
        <v>0</v>
      </c>
      <c r="BN306" s="349">
        <f>IF(AM306="","",VLOOKUP(AM306,AN306:BE312,COLUMN()-COLUMN(BB305),FALSE))</f>
        <v>4</v>
      </c>
      <c r="BO306" s="298">
        <f>IF(AM306="","",VLOOKUP(AM306,AN306:BE312,COLUMN()-COLUMN(BB305),FALSE))</f>
        <v>13</v>
      </c>
      <c r="BP306" s="286">
        <f>IF(AM306="","",VLOOKUP(AM306,AN306:BE312,COLUMN()-COLUMN(BB305),FALSE))</f>
        <v>1</v>
      </c>
      <c r="BQ306" s="301">
        <f>IF(AM306="","",VLOOKUP(AM306,AN306:BE312,COLUMN()-COLUMN(BB305),FALSE))</f>
        <v>12</v>
      </c>
      <c r="BR306" s="352">
        <f>IF(AM306="","",VLOOKUP(AM306,AN306:BE312,COLUMN()-COLUMN(BB305),FALSE))</f>
        <v>77</v>
      </c>
      <c r="BS306" s="286">
        <f>IF(AM306="","",VLOOKUP(AM306,AN306:BE312,COLUMN()-COLUMN(BB305),FALSE))</f>
        <v>14</v>
      </c>
      <c r="BT306" s="301">
        <f>IF(AM306="","",VLOOKUP(AM306,AN306:BE312,COLUMN()-COLUMN(BB305),FALSE))</f>
        <v>63</v>
      </c>
    </row>
    <row r="307" spans="1:72" x14ac:dyDescent="0.2">
      <c r="A307" s="60"/>
      <c r="B307" s="280"/>
      <c r="C307" s="60"/>
      <c r="D307" s="60"/>
      <c r="E307" s="240" t="s">
        <v>12231</v>
      </c>
      <c r="F307" s="244" t="s">
        <v>8076</v>
      </c>
      <c r="G307" s="244" t="s">
        <v>8037</v>
      </c>
      <c r="H307" s="253">
        <v>0</v>
      </c>
      <c r="I307" s="253">
        <v>0</v>
      </c>
      <c r="J307" s="253"/>
      <c r="K307" s="362"/>
      <c r="L307" s="362"/>
      <c r="M307" s="245"/>
      <c r="N307" s="265" t="b">
        <f>NOT(ISERROR(ResultsTeams[[#This Row],[Goal-A]]+ResultsTeams[[#This Row],[Goal-B]]))</f>
        <v>1</v>
      </c>
      <c r="O307" s="265">
        <f>IF(ResultsTeams[[#This Row],[Type]]="G",SUM(O308:O311),IF(LEFT(ResultsTeams[[#This Row],[Type]],1)="P",IF(ResultsTeams[[#This Row],[Goal-A]]&gt;ResultsTeams[[#This Row],[Goal-B]],1,0),""))</f>
        <v>0</v>
      </c>
      <c r="P307" s="265">
        <f>IF(ResultsTeams[[#This Row],[Type]]="G",SUM(P308:P311),IF(LEFT(ResultsTeams[[#This Row],[Type]],1)="P",IF(ResultsTeams[[#This Row],[Goal-A]]&lt;ResultsTeams[[#This Row],[Goal-B]],1,0),""))</f>
        <v>0</v>
      </c>
      <c r="Q307" s="265">
        <f>IF(ResultsTeams[[#This Row],[Type]]="G",SUM(Q308:Q311),IF(LEFT(ResultsTeams[[#This Row],[Type]],1)="P",VALUE(ResultsTeams[[#This Row],[Score-A]]),""))</f>
        <v>0</v>
      </c>
      <c r="R307" s="265">
        <f>IF(ResultsTeams[[#This Row],[Type]]="G",SUM(R308:R311),IF(LEFT(ResultsTeams[[#This Row],[Type]],1)="P",VALUE(ResultsTeams[[#This Row],[Score-B]]),""))</f>
        <v>0</v>
      </c>
      <c r="S307" s="265" t="str">
        <f ca="1">IF(AND(ResultsTeams[[#This Row],[Category]]&lt;&gt;"",ResultsTeams[[#This Row],[Team A]]&lt;&gt;""),COUNTIF(INDIRECT("TeamsList[Club Name]"),ResultsTeams[[#This Row],[Team A]]),"")</f>
        <v/>
      </c>
      <c r="T307" s="265" t="str">
        <f ca="1">IF(AND(ResultsTeams[[#This Row],[Category]]&lt;&gt;"",ResultsTeams[[#This Row],[Team B]]&lt;&gt;""),COUNTIF(INDIRECT("TeamsList[Club Name]"),ResultsTeams[[#This Row],[Team B]]),"")</f>
        <v/>
      </c>
      <c r="U3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07" s="265" t="str">
        <f>IF(ResultsTeams[[#This Row],[Score_OK]],IF(ResultsTeams[[#This Row],[StageCpy]]="Groups",ResultsTeams[[#This Row],[Category]]&amp;"-"&amp;IF(ResultsTeams[[#This Row],[Team B]]="","",IF(ResultsTeams[[#This Row],[Match-A]]=ResultsTeams[[#This Row],[Match-B]],ResultsTeams[[#This Row],[Team A]],"")),""),"")</f>
        <v>-Denis Bouchez</v>
      </c>
      <c r="W307" s="265" t="str">
        <f>IF(ResultsTeams[[#This Row],[Score_OK]],IF(ResultsTeams[[#This Row],[StageCpy]]="Groups",ResultsTeams[[#This Row],[Category]]&amp;"-"&amp;IF(ResultsTeams[[#This Row],[Team B]]="","",IF(ResultsTeams[[#This Row],[Match-A]]=ResultsTeams[[#This Row],[Match-B]],ResultsTeams[[#This Row],[Team B]],"")),""),"")</f>
        <v>-Robert Lenz</v>
      </c>
      <c r="X3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7" s="264" t="str">
        <f>IF(ResultsTeams[[#This Row],[Category]]="","",VLOOKUP(ResultsTeams[[#This Row],[Stage]],$R$1:$T$8,MATCH(ResultsTeams[[#This Row],[Category]],$S$1:$T$1,0)+1,FALSE))</f>
        <v/>
      </c>
      <c r="AC3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7" s="264" t="str">
        <f>IF(ResultsTeams[[#This Row],[Type]]="G",ResultsTeams[[#This Row],[Stage]],AD306)</f>
        <v>Groups</v>
      </c>
      <c r="AE307" s="395" t="str">
        <f>IF(ResultsTeams[[#This Row],[Type]]="G",INDEX(TeamsList[Club Name],MATCH(ResultsTeams[[#This Row],[Team A]],TeamsList[Team Name],0)),AE306)</f>
        <v>SC Lion's Eugies</v>
      </c>
      <c r="AF307" s="395" t="str">
        <f>IF(ResultsTeams[[#This Row],[Type]]="G",INDEX(TeamsList[Club Name],MATCH(ResultsTeams[[#This Row],[Team B]],TeamsList[Team Name],0)),AF306)</f>
        <v>TSC Royal 78 Kaisermühlen</v>
      </c>
      <c r="AG307" s="265"/>
      <c r="AI307" s="12" t="str">
        <f>AI306</f>
        <v>TEAM</v>
      </c>
      <c r="AJ307" s="309" t="s">
        <v>792</v>
      </c>
      <c r="AK307" s="320"/>
      <c r="AL307" s="311"/>
      <c r="AM307" s="292">
        <f>IF(AV307="","",SMALL(AN306:AN312,ROWS(AM306:AM307)))</f>
        <v>2003</v>
      </c>
      <c r="AN307" s="293">
        <f>IF(AV307="","",RANK(AR307,AR306:AR312)*1000+ROWS(AN306:AN307))</f>
        <v>4002</v>
      </c>
      <c r="AO307" s="316">
        <f t="shared" si="258"/>
        <v>59049000000000</v>
      </c>
      <c r="AP307" s="415" t="b">
        <f>AND(AU307&lt;&gt;"",AU307&gt;0,COUNTIF(AO306:AO312,AO307)&gt;1)</f>
        <v>0</v>
      </c>
      <c r="AQ307" s="316">
        <f t="shared" si="259"/>
        <v>0</v>
      </c>
      <c r="AR307" s="317">
        <f t="shared" si="260"/>
        <v>59048734318458</v>
      </c>
      <c r="AS307" s="415" t="b">
        <f>AND(AU307&lt;&gt;"",AU307&gt;0,COUNTIF(AR306:AR312,AR307)&gt;1)</f>
        <v>0</v>
      </c>
      <c r="AT307" s="355">
        <f t="shared" si="261"/>
        <v>3</v>
      </c>
      <c r="AU307" s="356">
        <f t="shared" si="262"/>
        <v>4</v>
      </c>
      <c r="AV307" s="356">
        <f>IF(OR(AI305="",AJ307=""),"",COUNTIF(ResultsTeams[Win],AI305&amp;"-"&amp;AJ307))</f>
        <v>1</v>
      </c>
      <c r="AW307" s="356">
        <f>IF(OR(AI305="",AJ307=""),"",COUNTIF(ResultsTeams[[Draw1]:[Draw2]],AI305&amp;"-"&amp;AJ307))</f>
        <v>0</v>
      </c>
      <c r="AX307" s="356">
        <f>IF(OR(AI305="",AJ307=""),"",COUNTIF(ResultsTeams[Lose],AI305&amp;"-"&amp;AJ307))</f>
        <v>3</v>
      </c>
      <c r="AY307" s="356">
        <f>IF(OR(AI305="",AJ307=""),"",AV307-AX307)</f>
        <v>-2</v>
      </c>
      <c r="AZ307" s="356">
        <f>IF(OR(AI306="",AJ307=""),"",SUMIFS(ResultsTeams[Match-A],ResultsTeams[Stage],"Groups",ResultsTeams[Team A],AJ307)+SUMIFS(ResultsTeams[Match-B],ResultsTeams[Stage],"Groups",ResultsTeams[Team B],AJ307))</f>
        <v>2</v>
      </c>
      <c r="BA307" s="356">
        <f>IF(OR(AI306="",AJ307=""),"",SUMIFS(ResultsTeams[Match-B],ResultsTeams[Stage],"Groups",ResultsTeams[Team A],AJ307)+SUMIFS(ResultsTeams[Match-A],ResultsTeams[Stage],"Groups",ResultsTeams[Team B],AJ307))</f>
        <v>13</v>
      </c>
      <c r="BB307" s="356">
        <f t="shared" ref="BB307:BB312" si="264">IF(OR(AI306="",AJ307=""),"",AZ307-BA307)</f>
        <v>-11</v>
      </c>
      <c r="BC307" s="356">
        <f>IF(OR(AI306="",AJ307=""),"",SUMIFS(ResultsTeams[Goal-A],ResultsTeams[Stage],"Groups",ResultsTeams[Team A],AJ307)+SUMIFS(ResultsTeams[Goal-B],ResultsTeams[Stage],"Groups",ResultsTeams[Team B],AJ307))</f>
        <v>18</v>
      </c>
      <c r="BD307" s="356">
        <f>IF(OR(AI306="",AJ307=""),"",SUMIFS(ResultsTeams[Goal-B],ResultsTeams[Stage],"Groups",ResultsTeams[Team A],AJ307)+SUMIFS(ResultsTeams[Goal-A],ResultsTeams[Stage],"Groups",ResultsTeams[Team B],AJ307))</f>
        <v>70</v>
      </c>
      <c r="BE307" s="357">
        <f>IF(OR(AI305="",AJ307=""),"",BC307-BD307)</f>
        <v>-52</v>
      </c>
      <c r="BF307" s="470" t="b">
        <f>IF(AM307="","",OR(VLOOKUP(AM307,AN306:BE312,3,FALSE),VLOOKUP(AM307,AN306:BE312,6,FALSE)))</f>
        <v>0</v>
      </c>
      <c r="BG307" s="298">
        <f t="shared" si="263"/>
        <v>2</v>
      </c>
      <c r="BH307" s="285" t="str">
        <f>IF(AM307="","",INDEX(AJ306:AJ312,MATCH(AM307,AN306:AN312,0)))</f>
        <v>SC Lion's Eugies</v>
      </c>
      <c r="BI307" s="286">
        <f>IF(AM307="","",VLOOKUP(AM307,AN306:BE312,COLUMN()-COLUMN(BB305),FALSE))</f>
        <v>9</v>
      </c>
      <c r="BJ307" s="286">
        <f>IF(AM307="","",VLOOKUP(AM307,AN306:BE312,COLUMN()-COLUMN(BB305),FALSE))</f>
        <v>4</v>
      </c>
      <c r="BK307" s="286">
        <f>IF(AM307="","",VLOOKUP(AM307,AN306:BE312,COLUMN()-COLUMN(BB305),FALSE))</f>
        <v>3</v>
      </c>
      <c r="BL307" s="286">
        <f>IF(AM307="","",VLOOKUP(AM307,AN306:BE312,COLUMN()-COLUMN(BB305),FALSE))</f>
        <v>0</v>
      </c>
      <c r="BM307" s="286">
        <f>IF(AM307="","",VLOOKUP(AM307,AN306:BE312,COLUMN()-COLUMN(BB305),FALSE))</f>
        <v>1</v>
      </c>
      <c r="BN307" s="349">
        <f>IF(AM307="","",VLOOKUP(AM307,AN306:BE312,COLUMN()-COLUMN(BB305),FALSE))</f>
        <v>2</v>
      </c>
      <c r="BO307" s="298">
        <f>IF(AM307="","",VLOOKUP(AM307,AN306:BE312,COLUMN()-COLUMN(BB305),FALSE))</f>
        <v>10</v>
      </c>
      <c r="BP307" s="286">
        <f>IF(AM307="","",VLOOKUP(AM307,AN306:BE312,COLUMN()-COLUMN(BB305),FALSE))</f>
        <v>3</v>
      </c>
      <c r="BQ307" s="301">
        <f>IF(AM307="","",VLOOKUP(AM307,AN306:BE312,COLUMN()-COLUMN(BB305),FALSE))</f>
        <v>7</v>
      </c>
      <c r="BR307" s="352">
        <f>IF(AM307="","",VLOOKUP(AM307,AN306:BE312,COLUMN()-COLUMN(BB305),FALSE))</f>
        <v>51</v>
      </c>
      <c r="BS307" s="286">
        <f>IF(AM307="","",VLOOKUP(AM307,AN306:BE312,COLUMN()-COLUMN(BB305),FALSE))</f>
        <v>23</v>
      </c>
      <c r="BT307" s="301">
        <f>IF(AM307="","",VLOOKUP(AM307,AN306:BE312,COLUMN()-COLUMN(BB305),FALSE))</f>
        <v>28</v>
      </c>
    </row>
    <row r="308" spans="1:72" x14ac:dyDescent="0.2">
      <c r="A308" s="62"/>
      <c r="B308" s="280"/>
      <c r="C308" s="62"/>
      <c r="D308" s="62"/>
      <c r="E308" s="241" t="s">
        <v>12234</v>
      </c>
      <c r="F308" s="246" t="s">
        <v>8140</v>
      </c>
      <c r="G308" s="246" t="s">
        <v>8050</v>
      </c>
      <c r="H308" s="254">
        <v>2</v>
      </c>
      <c r="I308" s="254">
        <v>2</v>
      </c>
      <c r="J308" s="254"/>
      <c r="K308" s="363"/>
      <c r="L308" s="363"/>
      <c r="M308" s="247"/>
      <c r="N308" s="265" t="b">
        <f>NOT(ISERROR(ResultsTeams[[#This Row],[Goal-A]]+ResultsTeams[[#This Row],[Goal-B]]))</f>
        <v>1</v>
      </c>
      <c r="O308" s="265">
        <f>IF(ResultsTeams[[#This Row],[Type]]="G",SUM(O309:O312),IF(LEFT(ResultsTeams[[#This Row],[Type]],1)="P",IF(ResultsTeams[[#This Row],[Goal-A]]&gt;ResultsTeams[[#This Row],[Goal-B]],1,0),""))</f>
        <v>0</v>
      </c>
      <c r="P308" s="265">
        <f>IF(ResultsTeams[[#This Row],[Type]]="G",SUM(P309:P312),IF(LEFT(ResultsTeams[[#This Row],[Type]],1)="P",IF(ResultsTeams[[#This Row],[Goal-A]]&lt;ResultsTeams[[#This Row],[Goal-B]],1,0),""))</f>
        <v>0</v>
      </c>
      <c r="Q308" s="265">
        <f>IF(ResultsTeams[[#This Row],[Type]]="G",SUM(Q309:Q312),IF(LEFT(ResultsTeams[[#This Row],[Type]],1)="P",VALUE(ResultsTeams[[#This Row],[Score-A]]),""))</f>
        <v>2</v>
      </c>
      <c r="R308" s="265">
        <f>IF(ResultsTeams[[#This Row],[Type]]="G",SUM(R309:R312),IF(LEFT(ResultsTeams[[#This Row],[Type]],1)="P",VALUE(ResultsTeams[[#This Row],[Score-B]]),""))</f>
        <v>2</v>
      </c>
      <c r="S308" s="265" t="str">
        <f ca="1">IF(AND(ResultsTeams[[#This Row],[Category]]&lt;&gt;"",ResultsTeams[[#This Row],[Team A]]&lt;&gt;""),COUNTIF(INDIRECT("TeamsList[Club Name]"),ResultsTeams[[#This Row],[Team A]]),"")</f>
        <v/>
      </c>
      <c r="T308" s="265" t="str">
        <f ca="1">IF(AND(ResultsTeams[[#This Row],[Category]]&lt;&gt;"",ResultsTeams[[#This Row],[Team B]]&lt;&gt;""),COUNTIF(INDIRECT("TeamsList[Club Name]"),ResultsTeams[[#This Row],[Team B]]),"")</f>
        <v/>
      </c>
      <c r="U3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08" s="265" t="str">
        <f>IF(ResultsTeams[[#This Row],[Score_OK]],IF(ResultsTeams[[#This Row],[StageCpy]]="Groups",ResultsTeams[[#This Row],[Category]]&amp;"-"&amp;IF(ResultsTeams[[#This Row],[Team B]]="","",IF(ResultsTeams[[#This Row],[Match-A]]=ResultsTeams[[#This Row],[Match-B]],ResultsTeams[[#This Row],[Team A]],"")),""),"")</f>
        <v>-Quentin Van Glabeke</v>
      </c>
      <c r="W308" s="265" t="str">
        <f>IF(ResultsTeams[[#This Row],[Score_OK]],IF(ResultsTeams[[#This Row],[StageCpy]]="Groups",ResultsTeams[[#This Row],[Category]]&amp;"-"&amp;IF(ResultsTeams[[#This Row],[Team B]]="","",IF(ResultsTeams[[#This Row],[Match-A]]=ResultsTeams[[#This Row],[Match-B]],ResultsTeams[[#This Row],[Team B]],"")),""),"")</f>
        <v>-Thomas Wittmann</v>
      </c>
      <c r="X3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8" s="264" t="str">
        <f>IF(ResultsTeams[[#This Row],[Category]]="","",VLOOKUP(ResultsTeams[[#This Row],[Stage]],$R$1:$T$8,MATCH(ResultsTeams[[#This Row],[Category]],$S$1:$T$1,0)+1,FALSE))</f>
        <v/>
      </c>
      <c r="AC3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8" s="264" t="str">
        <f>IF(ResultsTeams[[#This Row],[Type]]="G",ResultsTeams[[#This Row],[Stage]],AD307)</f>
        <v>Groups</v>
      </c>
      <c r="AE308" s="395" t="str">
        <f>IF(ResultsTeams[[#This Row],[Type]]="G",INDEX(TeamsList[Club Name],MATCH(ResultsTeams[[#This Row],[Team A]],TeamsList[Team Name],0)),AE307)</f>
        <v>SC Lion's Eugies</v>
      </c>
      <c r="AF308" s="395" t="str">
        <f>IF(ResultsTeams[[#This Row],[Type]]="G",INDEX(TeamsList[Club Name],MATCH(ResultsTeams[[#This Row],[Team B]],TeamsList[Team Name],0)),AF307)</f>
        <v>TSC Royal 78 Kaisermühlen</v>
      </c>
      <c r="AG308" s="265"/>
      <c r="AI308" s="12" t="str">
        <f t="shared" ref="AI308:AI312" si="265">AI307</f>
        <v>TEAM</v>
      </c>
      <c r="AJ308" s="309" t="s">
        <v>324</v>
      </c>
      <c r="AK308" s="320"/>
      <c r="AL308" s="311"/>
      <c r="AM308" s="292">
        <f>IF(AV308="","",SMALL(AN306:AN312,ROWS(AM306:AM308)))</f>
        <v>3004</v>
      </c>
      <c r="AN308" s="293">
        <f>IF(AV308="","",RANK(AR308,AR306:AR312)*1000+ROWS(AN306:AN308))</f>
        <v>2003</v>
      </c>
      <c r="AO308" s="316">
        <f t="shared" si="258"/>
        <v>177147000000000</v>
      </c>
      <c r="AP308" s="415" t="b">
        <f>AND(AU308&lt;&gt;"",AU308&gt;0,COUNTIF(AO306:AO312,AO308)&gt;1)</f>
        <v>0</v>
      </c>
      <c r="AQ308" s="316">
        <f t="shared" si="259"/>
        <v>0</v>
      </c>
      <c r="AR308" s="317">
        <f t="shared" si="260"/>
        <v>177147178200891</v>
      </c>
      <c r="AS308" s="415" t="b">
        <f>AND(AU308&lt;&gt;"",AU308&gt;0,COUNTIF(AR306:AR312,AR308)&gt;1)</f>
        <v>0</v>
      </c>
      <c r="AT308" s="355">
        <f t="shared" si="261"/>
        <v>9</v>
      </c>
      <c r="AU308" s="356">
        <f t="shared" si="262"/>
        <v>4</v>
      </c>
      <c r="AV308" s="356">
        <f>IF(OR(AI305="",AJ308=""),"",COUNTIF(ResultsTeams[Win],AI305&amp;"-"&amp;AJ308))</f>
        <v>3</v>
      </c>
      <c r="AW308" s="356">
        <f>IF(OR(AI305="",AJ308=""),"",COUNTIF(ResultsTeams[[Draw1]:[Draw2]],AI305&amp;"-"&amp;AJ308))</f>
        <v>0</v>
      </c>
      <c r="AX308" s="356">
        <f>IF(OR(AI305="",AJ308=""),"",COUNTIF(ResultsTeams[Lose],AI305&amp;"-"&amp;AJ308))</f>
        <v>1</v>
      </c>
      <c r="AY308" s="356">
        <f>IF(OR(AI305="",AJ308=""),"",AV308-AX308)</f>
        <v>2</v>
      </c>
      <c r="AZ308" s="356">
        <f>IF(OR(AI307="",AJ308=""),"",SUMIFS(ResultsTeams[Match-A],ResultsTeams[Stage],"Groups",ResultsTeams[Team A],AJ308)+SUMIFS(ResultsTeams[Match-B],ResultsTeams[Stage],"Groups",ResultsTeams[Team B],AJ308))</f>
        <v>10</v>
      </c>
      <c r="BA308" s="356">
        <f>IF(OR(AI307="",AJ308=""),"",SUMIFS(ResultsTeams[Match-B],ResultsTeams[Stage],"Groups",ResultsTeams[Team A],AJ308)+SUMIFS(ResultsTeams[Match-A],ResultsTeams[Stage],"Groups",ResultsTeams[Team B],AJ308))</f>
        <v>3</v>
      </c>
      <c r="BB308" s="356">
        <f t="shared" si="264"/>
        <v>7</v>
      </c>
      <c r="BC308" s="356">
        <f>IF(OR(AI307="",AJ308=""),"",SUMIFS(ResultsTeams[Goal-A],ResultsTeams[Stage],"Groups",ResultsTeams[Team A],AJ308)+SUMIFS(ResultsTeams[Goal-B],ResultsTeams[Stage],"Groups",ResultsTeams[Team B],AJ308))</f>
        <v>51</v>
      </c>
      <c r="BD308" s="356">
        <f>IF(OR(AI307="",AJ308=""),"",SUMIFS(ResultsTeams[Goal-B],ResultsTeams[Stage],"Groups",ResultsTeams[Team A],AJ308)+SUMIFS(ResultsTeams[Goal-A],ResultsTeams[Stage],"Groups",ResultsTeams[Team B],AJ308))</f>
        <v>23</v>
      </c>
      <c r="BE308" s="357">
        <f>IF(OR(AI305="",AJ308=""),"",BC308-BD308)</f>
        <v>28</v>
      </c>
      <c r="BF308" s="470" t="b">
        <f>IF(AM308="","",OR(VLOOKUP(AM308,AN306:BE312,3,FALSE),VLOOKUP(AM308,AN306:BE312,6,FALSE)))</f>
        <v>0</v>
      </c>
      <c r="BG308" s="298">
        <f t="shared" si="263"/>
        <v>3</v>
      </c>
      <c r="BH308" s="285" t="str">
        <f>IF(AM308="","",INDEX(AJ306:AJ312,MATCH(AM308,AN306:AN312,0)))</f>
        <v>Wamme SC</v>
      </c>
      <c r="BI308" s="286">
        <f>IF(AM308="","",VLOOKUP(AM308,AN306:BE312,COLUMN()-COLUMN(BB305),FALSE))</f>
        <v>6</v>
      </c>
      <c r="BJ308" s="286">
        <f>IF(AM308="","",VLOOKUP(AM308,AN306:BE312,COLUMN()-COLUMN(BB305),FALSE))</f>
        <v>4</v>
      </c>
      <c r="BK308" s="286">
        <f>IF(AM308="","",VLOOKUP(AM308,AN306:BE312,COLUMN()-COLUMN(BB305),FALSE))</f>
        <v>2</v>
      </c>
      <c r="BL308" s="286">
        <f>IF(AM308="","",VLOOKUP(AM308,AN306:BE312,COLUMN()-COLUMN(BB305),FALSE))</f>
        <v>0</v>
      </c>
      <c r="BM308" s="286">
        <f>IF(AM308="","",VLOOKUP(AM308,AN306:BE312,COLUMN()-COLUMN(BB305),FALSE))</f>
        <v>2</v>
      </c>
      <c r="BN308" s="349">
        <f>IF(AM308="","",VLOOKUP(AM308,AN306:BE312,COLUMN()-COLUMN(BB305),FALSE))</f>
        <v>0</v>
      </c>
      <c r="BO308" s="298">
        <f>IF(AM308="","",VLOOKUP(AM308,AN306:BE312,COLUMN()-COLUMN(BB305),FALSE))</f>
        <v>8</v>
      </c>
      <c r="BP308" s="286">
        <f>IF(AM308="","",VLOOKUP(AM308,AN306:BE312,COLUMN()-COLUMN(BB305),FALSE))</f>
        <v>5</v>
      </c>
      <c r="BQ308" s="301">
        <f>IF(AM308="","",VLOOKUP(AM308,AN306:BE312,COLUMN()-COLUMN(BB305),FALSE))</f>
        <v>3</v>
      </c>
      <c r="BR308" s="352">
        <f>IF(AM308="","",VLOOKUP(AM308,AN306:BE312,COLUMN()-COLUMN(BB305),FALSE))</f>
        <v>35</v>
      </c>
      <c r="BS308" s="286">
        <f>IF(AM308="","",VLOOKUP(AM308,AN306:BE312,COLUMN()-COLUMN(BB305),FALSE))</f>
        <v>31</v>
      </c>
      <c r="BT308" s="301">
        <f>IF(AM308="","",VLOOKUP(AM308,AN306:BE312,COLUMN()-COLUMN(BB305),FALSE))</f>
        <v>4</v>
      </c>
    </row>
    <row r="309" spans="1:72" x14ac:dyDescent="0.2">
      <c r="A309" s="62"/>
      <c r="B309" s="280"/>
      <c r="C309" s="62"/>
      <c r="D309" s="62"/>
      <c r="E309" s="241" t="s">
        <v>12237</v>
      </c>
      <c r="F309" s="246" t="s">
        <v>10783</v>
      </c>
      <c r="G309" s="246" t="s">
        <v>8036</v>
      </c>
      <c r="H309" s="254">
        <v>0</v>
      </c>
      <c r="I309" s="254">
        <v>0</v>
      </c>
      <c r="J309" s="254"/>
      <c r="K309" s="363"/>
      <c r="L309" s="363"/>
      <c r="M309" s="247"/>
      <c r="N309" s="265" t="b">
        <f>NOT(ISERROR(ResultsTeams[[#This Row],[Goal-A]]+ResultsTeams[[#This Row],[Goal-B]]))</f>
        <v>1</v>
      </c>
      <c r="O309" s="265">
        <f>IF(ResultsTeams[[#This Row],[Type]]="G",SUM(O310:O313),IF(LEFT(ResultsTeams[[#This Row],[Type]],1)="P",IF(ResultsTeams[[#This Row],[Goal-A]]&gt;ResultsTeams[[#This Row],[Goal-B]],1,0),""))</f>
        <v>0</v>
      </c>
      <c r="P309" s="265">
        <f>IF(ResultsTeams[[#This Row],[Type]]="G",SUM(P310:P313),IF(LEFT(ResultsTeams[[#This Row],[Type]],1)="P",IF(ResultsTeams[[#This Row],[Goal-A]]&lt;ResultsTeams[[#This Row],[Goal-B]],1,0),""))</f>
        <v>0</v>
      </c>
      <c r="Q309" s="265">
        <f>IF(ResultsTeams[[#This Row],[Type]]="G",SUM(Q310:Q313),IF(LEFT(ResultsTeams[[#This Row],[Type]],1)="P",VALUE(ResultsTeams[[#This Row],[Score-A]]),""))</f>
        <v>0</v>
      </c>
      <c r="R309" s="265">
        <f>IF(ResultsTeams[[#This Row],[Type]]="G",SUM(R310:R313),IF(LEFT(ResultsTeams[[#This Row],[Type]],1)="P",VALUE(ResultsTeams[[#This Row],[Score-B]]),""))</f>
        <v>0</v>
      </c>
      <c r="S309" s="265" t="str">
        <f ca="1">IF(AND(ResultsTeams[[#This Row],[Category]]&lt;&gt;"",ResultsTeams[[#This Row],[Team A]]&lt;&gt;""),COUNTIF(INDIRECT("TeamsList[Club Name]"),ResultsTeams[[#This Row],[Team A]]),"")</f>
        <v/>
      </c>
      <c r="T309" s="265" t="str">
        <f ca="1">IF(AND(ResultsTeams[[#This Row],[Category]]&lt;&gt;"",ResultsTeams[[#This Row],[Team B]]&lt;&gt;""),COUNTIF(INDIRECT("TeamsList[Club Name]"),ResultsTeams[[#This Row],[Team B]]),"")</f>
        <v/>
      </c>
      <c r="U3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09" s="265" t="str">
        <f>IF(ResultsTeams[[#This Row],[Score_OK]],IF(ResultsTeams[[#This Row],[StageCpy]]="Groups",ResultsTeams[[#This Row],[Category]]&amp;"-"&amp;IF(ResultsTeams[[#This Row],[Team B]]="","",IF(ResultsTeams[[#This Row],[Match-A]]=ResultsTeams[[#This Row],[Match-B]],ResultsTeams[[#This Row],[Team A]],"")),""),"")</f>
        <v>-Mongi Rouis</v>
      </c>
      <c r="W309" s="265" t="str">
        <f>IF(ResultsTeams[[#This Row],[Score_OK]],IF(ResultsTeams[[#This Row],[StageCpy]]="Groups",ResultsTeams[[#This Row],[Category]]&amp;"-"&amp;IF(ResultsTeams[[#This Row],[Team B]]="","",IF(ResultsTeams[[#This Row],[Match-A]]=ResultsTeams[[#This Row],[Match-B]],ResultsTeams[[#This Row],[Team B]],"")),""),"")</f>
        <v>-Wolfgang Leitner</v>
      </c>
      <c r="X3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9" s="264" t="str">
        <f>IF(ResultsTeams[[#This Row],[Category]]="","",VLOOKUP(ResultsTeams[[#This Row],[Stage]],$R$1:$T$8,MATCH(ResultsTeams[[#This Row],[Category]],$S$1:$T$1,0)+1,FALSE))</f>
        <v/>
      </c>
      <c r="AC3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9" s="264" t="str">
        <f>IF(ResultsTeams[[#This Row],[Type]]="G",ResultsTeams[[#This Row],[Stage]],AD308)</f>
        <v>Groups</v>
      </c>
      <c r="AE309" s="395" t="str">
        <f>IF(ResultsTeams[[#This Row],[Type]]="G",INDEX(TeamsList[Club Name],MATCH(ResultsTeams[[#This Row],[Team A]],TeamsList[Team Name],0)),AE308)</f>
        <v>SC Lion's Eugies</v>
      </c>
      <c r="AF309" s="395" t="str">
        <f>IF(ResultsTeams[[#This Row],[Type]]="G",INDEX(TeamsList[Club Name],MATCH(ResultsTeams[[#This Row],[Team B]],TeamsList[Team Name],0)),AF308)</f>
        <v>TSC Royal 78 Kaisermühlen</v>
      </c>
      <c r="AG309" s="265"/>
      <c r="AH309" s="91"/>
      <c r="AI309" s="12" t="str">
        <f t="shared" si="265"/>
        <v>TEAM</v>
      </c>
      <c r="AJ309" s="309" t="s">
        <v>340</v>
      </c>
      <c r="AK309" s="310"/>
      <c r="AL309" s="311"/>
      <c r="AM309" s="292">
        <f>IF(AV309="","",SMALL(AN306:AN312,ROWS(AM306:AM309)))</f>
        <v>4002</v>
      </c>
      <c r="AN309" s="293">
        <f>IF(AV309="","",RANK(AR309,AR306:AR312)*1000+ROWS(AN306:AN309))</f>
        <v>3004</v>
      </c>
      <c r="AO309" s="316">
        <f t="shared" si="258"/>
        <v>118098000000000</v>
      </c>
      <c r="AP309" s="415" t="b">
        <f>AND(AU309&lt;&gt;"",AU309&gt;0,COUNTIF(AO306:AO312,AO309)&gt;1)</f>
        <v>0</v>
      </c>
      <c r="AQ309" s="316">
        <f t="shared" si="259"/>
        <v>0</v>
      </c>
      <c r="AR309" s="317">
        <f t="shared" si="260"/>
        <v>118098079380155</v>
      </c>
      <c r="AS309" s="415" t="b">
        <f>AND(AU309&lt;&gt;"",AU309&gt;0,COUNTIF(AR306:AR312,AR309)&gt;1)</f>
        <v>0</v>
      </c>
      <c r="AT309" s="355">
        <f t="shared" si="261"/>
        <v>6</v>
      </c>
      <c r="AU309" s="356">
        <f t="shared" si="262"/>
        <v>4</v>
      </c>
      <c r="AV309" s="356">
        <f>IF(OR(AI305="",AJ309=""),"",COUNTIF(ResultsTeams[Win],AI305&amp;"-"&amp;AJ309))</f>
        <v>2</v>
      </c>
      <c r="AW309" s="356">
        <f>IF(OR(AI305="",AJ309=""),"",COUNTIF(ResultsTeams[[Draw1]:[Draw2]],AI305&amp;"-"&amp;AJ309))</f>
        <v>0</v>
      </c>
      <c r="AX309" s="356">
        <f>IF(OR(AI305="",AJ309=""),"",COUNTIF(ResultsTeams[Lose],AI305&amp;"-"&amp;AJ309))</f>
        <v>2</v>
      </c>
      <c r="AY309" s="356">
        <f>IF(OR(AI305="",AJ309=""),"",AV309-AX309)</f>
        <v>0</v>
      </c>
      <c r="AZ309" s="356">
        <f>IF(OR(AI308="",AJ309=""),"",SUMIFS(ResultsTeams[Match-A],ResultsTeams[Stage],"Groups",ResultsTeams[Team A],AJ309)+SUMIFS(ResultsTeams[Match-B],ResultsTeams[Stage],"Groups",ResultsTeams[Team B],AJ309))</f>
        <v>8</v>
      </c>
      <c r="BA309" s="356">
        <f>IF(OR(AI308="",AJ309=""),"",SUMIFS(ResultsTeams[Match-B],ResultsTeams[Stage],"Groups",ResultsTeams[Team A],AJ309)+SUMIFS(ResultsTeams[Match-A],ResultsTeams[Stage],"Groups",ResultsTeams[Team B],AJ309))</f>
        <v>5</v>
      </c>
      <c r="BB309" s="356">
        <f t="shared" si="264"/>
        <v>3</v>
      </c>
      <c r="BC309" s="356">
        <f>IF(OR(AI308="",AJ309=""),"",SUMIFS(ResultsTeams[Goal-A],ResultsTeams[Stage],"Groups",ResultsTeams[Team A],AJ309)+SUMIFS(ResultsTeams[Goal-B],ResultsTeams[Stage],"Groups",ResultsTeams[Team B],AJ309))</f>
        <v>35</v>
      </c>
      <c r="BD309" s="356">
        <f>IF(OR(AI308="",AJ309=""),"",SUMIFS(ResultsTeams[Goal-B],ResultsTeams[Stage],"Groups",ResultsTeams[Team A],AJ309)+SUMIFS(ResultsTeams[Goal-A],ResultsTeams[Stage],"Groups",ResultsTeams[Team B],AJ309))</f>
        <v>31</v>
      </c>
      <c r="BE309" s="357">
        <f>IF(OR(AI305="",AJ309=""),"",BC309-BD309)</f>
        <v>4</v>
      </c>
      <c r="BF309" s="470" t="b">
        <f>IF(AM309="","",OR(VLOOKUP(AM309,AN306:BE312,3,FALSE),VLOOKUP(AM309,AN306:BE312,6,FALSE)))</f>
        <v>0</v>
      </c>
      <c r="BG309" s="298">
        <f t="shared" si="263"/>
        <v>4</v>
      </c>
      <c r="BH309" s="285" t="str">
        <f>IF(AM309="","",INDEX(AJ306:AJ312,MATCH(AM309,AN306:AN312,0)))</f>
        <v>H'Attard SC</v>
      </c>
      <c r="BI309" s="286">
        <f>IF(AM309="","",VLOOKUP(AM309,AN306:BE312,COLUMN()-COLUMN(BB305),FALSE))</f>
        <v>3</v>
      </c>
      <c r="BJ309" s="286">
        <f>IF(AM309="","",VLOOKUP(AM309,AN306:BE312,COLUMN()-COLUMN(BB305),FALSE))</f>
        <v>4</v>
      </c>
      <c r="BK309" s="286">
        <f>IF(AM309="","",VLOOKUP(AM309,AN306:BE312,COLUMN()-COLUMN(BB305),FALSE))</f>
        <v>1</v>
      </c>
      <c r="BL309" s="286">
        <f>IF(AM309="","",VLOOKUP(AM309,AN306:BE312,COLUMN()-COLUMN(BB305),FALSE))</f>
        <v>0</v>
      </c>
      <c r="BM309" s="286">
        <f>IF(AM309="","",VLOOKUP(AM309,AN306:BE312,COLUMN()-COLUMN(BB305),FALSE))</f>
        <v>3</v>
      </c>
      <c r="BN309" s="349">
        <f>IF(AM309="","",VLOOKUP(AM309,AN306:BE312,COLUMN()-COLUMN(BB305),FALSE))</f>
        <v>-2</v>
      </c>
      <c r="BO309" s="298">
        <f>IF(AM309="","",VLOOKUP(AM309,AN306:BE312,COLUMN()-COLUMN(BB305),FALSE))</f>
        <v>2</v>
      </c>
      <c r="BP309" s="286">
        <f>IF(AM309="","",VLOOKUP(AM309,AN306:BE312,COLUMN()-COLUMN(BB305),FALSE))</f>
        <v>13</v>
      </c>
      <c r="BQ309" s="301">
        <f>IF(AM309="","",VLOOKUP(AM309,AN306:BE312,COLUMN()-COLUMN(BB305),FALSE))</f>
        <v>-11</v>
      </c>
      <c r="BR309" s="352">
        <f>IF(AM309="","",VLOOKUP(AM309,AN306:BE312,COLUMN()-COLUMN(BB305),FALSE))</f>
        <v>18</v>
      </c>
      <c r="BS309" s="286">
        <f>IF(AM309="","",VLOOKUP(AM309,AN306:BE312,COLUMN()-COLUMN(BB305),FALSE))</f>
        <v>70</v>
      </c>
      <c r="BT309" s="301">
        <f>IF(AM309="","",VLOOKUP(AM309,AN306:BE312,COLUMN()-COLUMN(BB305),FALSE))</f>
        <v>-52</v>
      </c>
    </row>
    <row r="310" spans="1:72" x14ac:dyDescent="0.2">
      <c r="A310" s="62"/>
      <c r="B310" s="280"/>
      <c r="C310" s="62"/>
      <c r="D310" s="62"/>
      <c r="E310" s="241" t="s">
        <v>12240</v>
      </c>
      <c r="F310" s="246" t="s">
        <v>8167</v>
      </c>
      <c r="G310" s="246" t="s">
        <v>8065</v>
      </c>
      <c r="H310" s="254">
        <v>1</v>
      </c>
      <c r="I310" s="254">
        <v>3</v>
      </c>
      <c r="J310" s="254"/>
      <c r="K310" s="363"/>
      <c r="L310" s="363"/>
      <c r="M310" s="247"/>
      <c r="N310" s="265" t="b">
        <f>NOT(ISERROR(ResultsTeams[[#This Row],[Goal-A]]+ResultsTeams[[#This Row],[Goal-B]]))</f>
        <v>1</v>
      </c>
      <c r="O310" s="265">
        <f>IF(ResultsTeams[[#This Row],[Type]]="G",SUM(O311:O314),IF(LEFT(ResultsTeams[[#This Row],[Type]],1)="P",IF(ResultsTeams[[#This Row],[Goal-A]]&gt;ResultsTeams[[#This Row],[Goal-B]],1,0),""))</f>
        <v>0</v>
      </c>
      <c r="P310" s="265">
        <f>IF(ResultsTeams[[#This Row],[Type]]="G",SUM(P311:P314),IF(LEFT(ResultsTeams[[#This Row],[Type]],1)="P",IF(ResultsTeams[[#This Row],[Goal-A]]&lt;ResultsTeams[[#This Row],[Goal-B]],1,0),""))</f>
        <v>1</v>
      </c>
      <c r="Q310" s="265">
        <f>IF(ResultsTeams[[#This Row],[Type]]="G",SUM(Q311:Q314),IF(LEFT(ResultsTeams[[#This Row],[Type]],1)="P",VALUE(ResultsTeams[[#This Row],[Score-A]]),""))</f>
        <v>1</v>
      </c>
      <c r="R310" s="265">
        <f>IF(ResultsTeams[[#This Row],[Type]]="G",SUM(R311:R314),IF(LEFT(ResultsTeams[[#This Row],[Type]],1)="P",VALUE(ResultsTeams[[#This Row],[Score-B]]),""))</f>
        <v>3</v>
      </c>
      <c r="S310" s="265" t="str">
        <f ca="1">IF(AND(ResultsTeams[[#This Row],[Category]]&lt;&gt;"",ResultsTeams[[#This Row],[Team A]]&lt;&gt;""),COUNTIF(INDIRECT("TeamsList[Club Name]"),ResultsTeams[[#This Row],[Team A]]),"")</f>
        <v/>
      </c>
      <c r="T310" s="265" t="str">
        <f ca="1">IF(AND(ResultsTeams[[#This Row],[Category]]&lt;&gt;"",ResultsTeams[[#This Row],[Team B]]&lt;&gt;""),COUNTIF(INDIRECT("TeamsList[Club Name]"),ResultsTeams[[#This Row],[Team B]]),"")</f>
        <v/>
      </c>
      <c r="U3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Vranovitz</v>
      </c>
      <c r="V310" s="265" t="str">
        <f>IF(ResultsTeams[[#This Row],[Score_OK]],IF(ResultsTeams[[#This Row],[StageCpy]]="Groups",ResultsTeams[[#This Row],[Category]]&amp;"-"&amp;IF(ResultsTeams[[#This Row],[Team B]]="","",IF(ResultsTeams[[#This Row],[Match-A]]=ResultsTeams[[#This Row],[Match-B]],ResultsTeams[[#This Row],[Team A]],"")),""),"")</f>
        <v>-</v>
      </c>
      <c r="W310" s="265" t="str">
        <f>IF(ResultsTeams[[#This Row],[Score_OK]],IF(ResultsTeams[[#This Row],[StageCpy]]="Groups",ResultsTeams[[#This Row],[Category]]&amp;"-"&amp;IF(ResultsTeams[[#This Row],[Team B]]="","",IF(ResultsTeams[[#This Row],[Match-A]]=ResultsTeams[[#This Row],[Match-B]],ResultsTeams[[#This Row],[Team B]],"")),""),"")</f>
        <v>-</v>
      </c>
      <c r="X3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Denne</v>
      </c>
      <c r="Y3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0" s="264" t="str">
        <f>IF(ResultsTeams[[#This Row],[Category]]="","",VLOOKUP(ResultsTeams[[#This Row],[Stage]],$R$1:$T$8,MATCH(ResultsTeams[[#This Row],[Category]],$S$1:$T$1,0)+1,FALSE))</f>
        <v/>
      </c>
      <c r="AC3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0" s="264" t="str">
        <f>IF(ResultsTeams[[#This Row],[Type]]="G",ResultsTeams[[#This Row],[Stage]],AD309)</f>
        <v>Groups</v>
      </c>
      <c r="AE310" s="395" t="str">
        <f>IF(ResultsTeams[[#This Row],[Type]]="G",INDEX(TeamsList[Club Name],MATCH(ResultsTeams[[#This Row],[Team A]],TeamsList[Team Name],0)),AE309)</f>
        <v>SC Lion's Eugies</v>
      </c>
      <c r="AF310" s="395" t="str">
        <f>IF(ResultsTeams[[#This Row],[Type]]="G",INDEX(TeamsList[Club Name],MATCH(ResultsTeams[[#This Row],[Team B]],TeamsList[Team Name],0)),AF309)</f>
        <v>TSC Royal 78 Kaisermühlen</v>
      </c>
      <c r="AG310" s="265"/>
      <c r="AH310" s="91"/>
      <c r="AI310" s="12" t="str">
        <f t="shared" si="265"/>
        <v>TEAM</v>
      </c>
      <c r="AJ310" s="309" t="s">
        <v>7516</v>
      </c>
      <c r="AK310" s="310"/>
      <c r="AL310" s="311"/>
      <c r="AM310" s="292">
        <f>IF(AV310="","",SMALL(AN306:AN312,ROWS(AM306:AM310)))</f>
        <v>5005</v>
      </c>
      <c r="AN310" s="293">
        <f>IF(AV310="","",RANK(AR310,AR306:AR312)*1000+ROWS(AN306:AN310))</f>
        <v>5005</v>
      </c>
      <c r="AO310" s="316">
        <f t="shared" si="258"/>
        <v>0</v>
      </c>
      <c r="AP310" s="415" t="b">
        <f>AND(AU310&lt;&gt;"",AU310&gt;0,COUNTIF(AO306:AO312,AO310)&gt;1)</f>
        <v>0</v>
      </c>
      <c r="AQ310" s="316">
        <f t="shared" si="259"/>
        <v>0</v>
      </c>
      <c r="AR310" s="317">
        <f t="shared" si="260"/>
        <v>-266491276</v>
      </c>
      <c r="AS310" s="415" t="b">
        <f>AND(AU310&lt;&gt;"",AU310&gt;0,COUNTIF(AR306:AR312,AR310)&gt;1)</f>
        <v>0</v>
      </c>
      <c r="AT310" s="355">
        <f t="shared" si="261"/>
        <v>0</v>
      </c>
      <c r="AU310" s="356">
        <f t="shared" si="262"/>
        <v>4</v>
      </c>
      <c r="AV310" s="356">
        <f>IF(OR(AI305="",AJ310=""),"",COUNTIF(ResultsTeams[Win],AI305&amp;"-"&amp;AJ310))</f>
        <v>0</v>
      </c>
      <c r="AW310" s="356">
        <f>IF(OR(AI305="",AJ310=""),"",COUNTIF(ResultsTeams[[Draw1]:[Draw2]],AI305&amp;"-"&amp;AJ310))</f>
        <v>0</v>
      </c>
      <c r="AX310" s="356">
        <f>IF(OR(AI305="",AJ310=""),"",COUNTIF(ResultsTeams[Lose],AI305&amp;"-"&amp;AJ310))</f>
        <v>4</v>
      </c>
      <c r="AY310" s="356">
        <f>IF(OR(AI305="",AJ310=""),"",AV310-AX310)</f>
        <v>-4</v>
      </c>
      <c r="AZ310" s="356">
        <f>IF(OR(AI309="",AJ310=""),"",SUMIFS(ResultsTeams[Match-A],ResultsTeams[Stage],"Groups",ResultsTeams[Team A],AJ310)+SUMIFS(ResultsTeams[Match-B],ResultsTeams[Stage],"Groups",ResultsTeams[Team B],AJ310))</f>
        <v>1</v>
      </c>
      <c r="BA310" s="356">
        <f>IF(OR(AI309="",AJ310=""),"",SUMIFS(ResultsTeams[Match-B],ResultsTeams[Stage],"Groups",ResultsTeams[Team A],AJ310)+SUMIFS(ResultsTeams[Match-A],ResultsTeams[Stage],"Groups",ResultsTeams[Team B],AJ310))</f>
        <v>12</v>
      </c>
      <c r="BB310" s="356">
        <f t="shared" si="264"/>
        <v>-11</v>
      </c>
      <c r="BC310" s="356">
        <f>IF(OR(AI309="",AJ310=""),"",SUMIFS(ResultsTeams[Goal-A],ResultsTeams[Stage],"Groups",ResultsTeams[Team A],AJ310)+SUMIFS(ResultsTeams[Goal-B],ResultsTeams[Stage],"Groups",ResultsTeams[Team B],AJ310))</f>
        <v>14</v>
      </c>
      <c r="BD310" s="356">
        <f>IF(OR(AI309="",AJ310=""),"",SUMIFS(ResultsTeams[Goal-B],ResultsTeams[Stage],"Groups",ResultsTeams[Team A],AJ310)+SUMIFS(ResultsTeams[Goal-A],ResultsTeams[Stage],"Groups",ResultsTeams[Team B],AJ310))</f>
        <v>57</v>
      </c>
      <c r="BE310" s="357">
        <f>IF(OR(AI305="",AJ310=""),"",BC310-BD310)</f>
        <v>-43</v>
      </c>
      <c r="BF310" s="470" t="b">
        <f>IF(AM310="","",OR(VLOOKUP(AM310,AN306:BE312,3,FALSE),VLOOKUP(AM310,AN306:BE312,6,FALSE)))</f>
        <v>0</v>
      </c>
      <c r="BG310" s="298">
        <f t="shared" si="263"/>
        <v>5</v>
      </c>
      <c r="BH310" s="285" t="str">
        <f>IF(AM310="","",INDEX(AJ306:AJ312,MATCH(AM310,AN306:AN312,0)))</f>
        <v>Cardiff Bluebirds TFC</v>
      </c>
      <c r="BI310" s="286">
        <f>IF(AM310="","",VLOOKUP(AM310,AN306:BE312,COLUMN()-COLUMN(BB305),FALSE))</f>
        <v>0</v>
      </c>
      <c r="BJ310" s="286">
        <f>IF(AM310="","",VLOOKUP(AM310,AN306:BE312,COLUMN()-COLUMN(BB305),FALSE))</f>
        <v>4</v>
      </c>
      <c r="BK310" s="286">
        <f>IF(AM310="","",VLOOKUP(AM310,AN306:BE312,COLUMN()-COLUMN(BB305),FALSE))</f>
        <v>0</v>
      </c>
      <c r="BL310" s="286">
        <f>IF(AM310="","",VLOOKUP(AM310,AN306:BE312,COLUMN()-COLUMN(BB305),FALSE))</f>
        <v>0</v>
      </c>
      <c r="BM310" s="286">
        <f>IF(AM310="","",VLOOKUP(AM310,AN306:BE312,COLUMN()-COLUMN(BB305),FALSE))</f>
        <v>4</v>
      </c>
      <c r="BN310" s="349">
        <f>IF(AM310="","",VLOOKUP(AM310,AN306:BE312,COLUMN()-COLUMN(BB305),FALSE))</f>
        <v>-4</v>
      </c>
      <c r="BO310" s="298">
        <f>IF(AM310="","",VLOOKUP(AM310,AN306:BE312,COLUMN()-COLUMN(BB305),FALSE))</f>
        <v>1</v>
      </c>
      <c r="BP310" s="286">
        <f>IF(AM310="","",VLOOKUP(AM310,AN306:BE312,COLUMN()-COLUMN(BB305),FALSE))</f>
        <v>12</v>
      </c>
      <c r="BQ310" s="301">
        <f>IF(AM310="","",VLOOKUP(AM310,AN306:BE312,COLUMN()-COLUMN(BB305),FALSE))</f>
        <v>-11</v>
      </c>
      <c r="BR310" s="352">
        <f>IF(AM310="","",VLOOKUP(AM310,AN306:BE312,COLUMN()-COLUMN(BB305),FALSE))</f>
        <v>14</v>
      </c>
      <c r="BS310" s="286">
        <f>IF(AM310="","",VLOOKUP(AM310,AN306:BE312,COLUMN()-COLUMN(BB305),FALSE))</f>
        <v>57</v>
      </c>
      <c r="BT310" s="301">
        <f>IF(AM310="","",VLOOKUP(AM310,AN306:BE312,COLUMN()-COLUMN(BB305),FALSE))</f>
        <v>-43</v>
      </c>
    </row>
    <row r="311" spans="1:72" x14ac:dyDescent="0.2">
      <c r="A311" s="62"/>
      <c r="B311" s="62"/>
      <c r="C311" s="62"/>
      <c r="D311" s="62"/>
      <c r="E311" s="241" t="s">
        <v>12243</v>
      </c>
      <c r="F311" s="247"/>
      <c r="G311" s="247"/>
      <c r="H311" s="254"/>
      <c r="I311" s="254"/>
      <c r="J311" s="260"/>
      <c r="K311" s="364"/>
      <c r="L311" s="364"/>
      <c r="M311" s="247"/>
      <c r="N311" s="265" t="b">
        <f>NOT(ISERROR(ResultsTeams[[#This Row],[Goal-A]]+ResultsTeams[[#This Row],[Goal-B]]))</f>
        <v>0</v>
      </c>
      <c r="O311" s="265" t="str">
        <f>IF(ResultsTeams[[#This Row],[Type]]="G",SUM(O312:O315),IF(LEFT(ResultsTeams[[#This Row],[Type]],1)="P",IF(ResultsTeams[[#This Row],[Goal-A]]&gt;ResultsTeams[[#This Row],[Goal-B]],1,0),""))</f>
        <v/>
      </c>
      <c r="P311" s="265" t="str">
        <f>IF(ResultsTeams[[#This Row],[Type]]="G",SUM(P312:P315),IF(LEFT(ResultsTeams[[#This Row],[Type]],1)="P",IF(ResultsTeams[[#This Row],[Goal-A]]&lt;ResultsTeams[[#This Row],[Goal-B]],1,0),""))</f>
        <v/>
      </c>
      <c r="Q311" s="265" t="str">
        <f>IF(ResultsTeams[[#This Row],[Type]]="G",SUM(Q312:Q315),IF(LEFT(ResultsTeams[[#This Row],[Type]],1)="P",VALUE(ResultsTeams[[#This Row],[Score-A]]),""))</f>
        <v/>
      </c>
      <c r="R311" s="265" t="str">
        <f>IF(ResultsTeams[[#This Row],[Type]]="G",SUM(R312:R315),IF(LEFT(ResultsTeams[[#This Row],[Type]],1)="P",VALUE(ResultsTeams[[#This Row],[Score-B]]),""))</f>
        <v/>
      </c>
      <c r="S311" s="265" t="str">
        <f ca="1">IF(AND(ResultsTeams[[#This Row],[Category]]&lt;&gt;"",ResultsTeams[[#This Row],[Team A]]&lt;&gt;""),COUNTIF(INDIRECT("TeamsList[Club Name]"),ResultsTeams[[#This Row],[Team A]]),"")</f>
        <v/>
      </c>
      <c r="T311" s="265" t="str">
        <f ca="1">IF(AND(ResultsTeams[[#This Row],[Category]]&lt;&gt;"",ResultsTeams[[#This Row],[Team B]]&lt;&gt;""),COUNTIF(INDIRECT("TeamsList[Club Name]"),ResultsTeams[[#This Row],[Team B]]),"")</f>
        <v/>
      </c>
      <c r="U3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1" s="265" t="str">
        <f>IF(ResultsTeams[[#This Row],[Score_OK]],IF(ResultsTeams[[#This Row],[StageCpy]]="Groups",ResultsTeams[[#This Row],[Category]]&amp;"-"&amp;IF(ResultsTeams[[#This Row],[Team B]]="","",IF(ResultsTeams[[#This Row],[Match-A]]=ResultsTeams[[#This Row],[Match-B]],ResultsTeams[[#This Row],[Team A]],"")),""),"")</f>
        <v/>
      </c>
      <c r="W311" s="265" t="str">
        <f>IF(ResultsTeams[[#This Row],[Score_OK]],IF(ResultsTeams[[#This Row],[StageCpy]]="Groups",ResultsTeams[[#This Row],[Category]]&amp;"-"&amp;IF(ResultsTeams[[#This Row],[Team B]]="","",IF(ResultsTeams[[#This Row],[Match-A]]=ResultsTeams[[#This Row],[Match-B]],ResultsTeams[[#This Row],[Team B]],"")),""),"")</f>
        <v/>
      </c>
      <c r="X3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1" s="264" t="str">
        <f>IF(ResultsTeams[[#This Row],[Category]]="","",VLOOKUP(ResultsTeams[[#This Row],[Stage]],$R$1:$T$8,MATCH(ResultsTeams[[#This Row],[Category]],$S$1:$T$1,0)+1,FALSE))</f>
        <v/>
      </c>
      <c r="AC3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1" s="264" t="str">
        <f>IF(ResultsTeams[[#This Row],[Type]]="G",ResultsTeams[[#This Row],[Stage]],AD310)</f>
        <v>Groups</v>
      </c>
      <c r="AE311" s="395" t="str">
        <f>IF(ResultsTeams[[#This Row],[Type]]="G",INDEX(TeamsList[Club Name],MATCH(ResultsTeams[[#This Row],[Team A]],TeamsList[Team Name],0)),AE310)</f>
        <v>SC Lion's Eugies</v>
      </c>
      <c r="AF311" s="395" t="str">
        <f>IF(ResultsTeams[[#This Row],[Type]]="G",INDEX(TeamsList[Club Name],MATCH(ResultsTeams[[#This Row],[Team B]],TeamsList[Team Name],0)),AF310)</f>
        <v>TSC Royal 78 Kaisermühlen</v>
      </c>
      <c r="AG311" s="265"/>
      <c r="AI311" s="12" t="str">
        <f t="shared" si="265"/>
        <v>TEAM</v>
      </c>
      <c r="AJ311" s="309"/>
      <c r="AK311" s="310"/>
      <c r="AL311" s="311"/>
      <c r="AM311" s="292" t="str">
        <f>IF(AV311="","",SMALL(AN306:AN312,ROWS(AM306:AM311)))</f>
        <v/>
      </c>
      <c r="AN311" s="293" t="str">
        <f>IF(AV311="","",RANK(AR311,AR306:AR312)*1000+ROWS(AN306:AN311))</f>
        <v/>
      </c>
      <c r="AO311" s="316" t="str">
        <f t="shared" si="258"/>
        <v/>
      </c>
      <c r="AP311" s="415" t="b">
        <f>AND(AU311&lt;&gt;"",AU311&gt;0,COUNTIF(AO306:AO312,AO311)&gt;1)</f>
        <v>0</v>
      </c>
      <c r="AQ311" s="316" t="str">
        <f t="shared" si="259"/>
        <v/>
      </c>
      <c r="AR311" s="317" t="str">
        <f t="shared" si="260"/>
        <v/>
      </c>
      <c r="AS311" s="415" t="b">
        <f>AND(AU311&lt;&gt;"",AU311&gt;0,COUNTIF(AR306:AR312,AR311)&gt;1)</f>
        <v>0</v>
      </c>
      <c r="AT311" s="355" t="str">
        <f t="shared" si="261"/>
        <v/>
      </c>
      <c r="AU311" s="356" t="str">
        <f t="shared" si="262"/>
        <v/>
      </c>
      <c r="AV311" s="356" t="str">
        <f>IF(OR(AI305="",AJ311=""),"",COUNTIF(ResultsTeams[Win],AI305&amp;"-"&amp;AJ311))</f>
        <v/>
      </c>
      <c r="AW311" s="356" t="str">
        <f>IF(OR(AI305="",AJ311=""),"",COUNTIF(ResultsTeams[[Draw1]:[Draw2]],AI305&amp;"-"&amp;AJ311))</f>
        <v/>
      </c>
      <c r="AX311" s="356" t="str">
        <f>IF(OR(AI305="",AJ311=""),"",COUNTIF(ResultsTeams[Lose],AI305&amp;"-"&amp;AJ311))</f>
        <v/>
      </c>
      <c r="AY311" s="356" t="str">
        <f>IF(OR(AI305="",AJ311=""),"",AV311-AX311)</f>
        <v/>
      </c>
      <c r="AZ311" s="356" t="str">
        <f>IF(OR(AI310="",AJ311=""),"",SUMIFS(ResultsTeams[Match-A],ResultsTeams[Stage],"Groups",ResultsTeams[Team A],AJ311)+SUMIFS(ResultsTeams[Match-B],ResultsTeams[Stage],"Groups",ResultsTeams[Team B],AJ311))</f>
        <v/>
      </c>
      <c r="BA311" s="356" t="str">
        <f>IF(OR(AI310="",AJ311=""),"",SUMIFS(ResultsTeams[Match-B],ResultsTeams[Stage],"Groups",ResultsTeams[Team A],AJ311)+SUMIFS(ResultsTeams[Match-A],ResultsTeams[Stage],"Groups",ResultsTeams[Team B],AJ311))</f>
        <v/>
      </c>
      <c r="BB311" s="356" t="str">
        <f t="shared" si="264"/>
        <v/>
      </c>
      <c r="BC311" s="356" t="str">
        <f>IF(OR(AI310="",AJ311=""),"",SUMIFS(ResultsTeams[Goal-A],ResultsTeams[Stage],"Groups",ResultsTeams[Team A],AJ311)+SUMIFS(ResultsTeams[Goal-B],ResultsTeams[Stage],"Groups",ResultsTeams[Team B],AJ311))</f>
        <v/>
      </c>
      <c r="BD311" s="356" t="str">
        <f>IF(OR(AI310="",AJ311=""),"",SUMIFS(ResultsTeams[Goal-B],ResultsTeams[Stage],"Groups",ResultsTeams[Team A],AJ311)+SUMIFS(ResultsTeams[Goal-A],ResultsTeams[Stage],"Groups",ResultsTeams[Team B],AJ311))</f>
        <v/>
      </c>
      <c r="BE311" s="357" t="str">
        <f>IF(OR(AI305="",AJ311=""),"",BC311-BD311)</f>
        <v/>
      </c>
      <c r="BF311" s="470" t="str">
        <f>IF(AM311="","",OR(VLOOKUP(AM311,AN306:BE312,3,FALSE),VLOOKUP(AM311,AN306:BE312,6,FALSE)))</f>
        <v/>
      </c>
      <c r="BG311" s="298" t="str">
        <f t="shared" si="263"/>
        <v/>
      </c>
      <c r="BH311" s="285" t="str">
        <f>IF(AM311="","",INDEX(AJ306:AJ312,MATCH(AM311,AN306:AN312,0)))</f>
        <v/>
      </c>
      <c r="BI311" s="286" t="str">
        <f>IF(AM311="","",VLOOKUP(AM311,AN306:BE312,COLUMN()-COLUMN(BB305),FALSE))</f>
        <v/>
      </c>
      <c r="BJ311" s="286" t="str">
        <f>IF(AM311="","",VLOOKUP(AM311,AN306:BE312,COLUMN()-COLUMN(BB305),FALSE))</f>
        <v/>
      </c>
      <c r="BK311" s="286" t="str">
        <f>IF(AM311="","",VLOOKUP(AM311,AN306:BE312,COLUMN()-COLUMN(BB305),FALSE))</f>
        <v/>
      </c>
      <c r="BL311" s="286" t="str">
        <f>IF(AM311="","",VLOOKUP(AM311,AN306:BE312,COLUMN()-COLUMN(BB305),FALSE))</f>
        <v/>
      </c>
      <c r="BM311" s="286" t="str">
        <f>IF(AM311="","",VLOOKUP(AM311,AN306:BE312,COLUMN()-COLUMN(BB305),FALSE))</f>
        <v/>
      </c>
      <c r="BN311" s="349" t="str">
        <f>IF(AM311="","",VLOOKUP(AM311,AN306:BE312,COLUMN()-COLUMN(BB305),FALSE))</f>
        <v/>
      </c>
      <c r="BO311" s="298" t="str">
        <f>IF(AM311="","",VLOOKUP(AM311,AN306:BE312,COLUMN()-COLUMN(BB305),FALSE))</f>
        <v/>
      </c>
      <c r="BP311" s="286" t="str">
        <f>IF(AM311="","",VLOOKUP(AM311,AN306:BE312,COLUMN()-COLUMN(BB305),FALSE))</f>
        <v/>
      </c>
      <c r="BQ311" s="301" t="str">
        <f>IF(AM311="","",VLOOKUP(AM311,AN306:BE312,COLUMN()-COLUMN(BB305),FALSE))</f>
        <v/>
      </c>
      <c r="BR311" s="352" t="str">
        <f>IF(AM311="","",VLOOKUP(AM311,AN306:BE312,COLUMN()-COLUMN(BB305),FALSE))</f>
        <v/>
      </c>
      <c r="BS311" s="286" t="str">
        <f>IF(AM311="","",VLOOKUP(AM311,AN306:BE312,COLUMN()-COLUMN(BB305),FALSE))</f>
        <v/>
      </c>
      <c r="BT311" s="301" t="str">
        <f>IF(AM311="","",VLOOKUP(AM311,AN306:BE312,COLUMN()-COLUMN(BB305),FALSE))</f>
        <v/>
      </c>
    </row>
    <row r="312" spans="1:72" ht="12" thickBot="1" x14ac:dyDescent="0.25">
      <c r="A312" s="83"/>
      <c r="B312" s="83"/>
      <c r="C312" s="83"/>
      <c r="D312" s="83"/>
      <c r="E312" s="268" t="s">
        <v>12244</v>
      </c>
      <c r="F312" s="262"/>
      <c r="G312" s="262"/>
      <c r="H312" s="324"/>
      <c r="I312" s="324"/>
      <c r="J312" s="263"/>
      <c r="K312" s="365"/>
      <c r="L312" s="365"/>
      <c r="M312" s="262"/>
      <c r="N312" s="265" t="b">
        <f>NOT(ISERROR(ResultsTeams[[#This Row],[Goal-A]]+ResultsTeams[[#This Row],[Goal-B]]))</f>
        <v>0</v>
      </c>
      <c r="O312" s="265" t="str">
        <f>IF(ResultsTeams[[#This Row],[Type]]="G",SUM(O313:O316),IF(LEFT(ResultsTeams[[#This Row],[Type]],1)="P",IF(ResultsTeams[[#This Row],[Goal-A]]&gt;ResultsTeams[[#This Row],[Goal-B]],1,0),""))</f>
        <v/>
      </c>
      <c r="P312" s="265" t="str">
        <f>IF(ResultsTeams[[#This Row],[Type]]="G",SUM(P313:P316),IF(LEFT(ResultsTeams[[#This Row],[Type]],1)="P",IF(ResultsTeams[[#This Row],[Goal-A]]&lt;ResultsTeams[[#This Row],[Goal-B]],1,0),""))</f>
        <v/>
      </c>
      <c r="Q312" s="265" t="str">
        <f>IF(ResultsTeams[[#This Row],[Type]]="G",SUM(Q313:Q316),IF(LEFT(ResultsTeams[[#This Row],[Type]],1)="P",VALUE(ResultsTeams[[#This Row],[Score-A]]),""))</f>
        <v/>
      </c>
      <c r="R312" s="265" t="str">
        <f>IF(ResultsTeams[[#This Row],[Type]]="G",SUM(R313:R316),IF(LEFT(ResultsTeams[[#This Row],[Type]],1)="P",VALUE(ResultsTeams[[#This Row],[Score-B]]),""))</f>
        <v/>
      </c>
      <c r="S312" s="265" t="str">
        <f ca="1">IF(AND(ResultsTeams[[#This Row],[Category]]&lt;&gt;"",ResultsTeams[[#This Row],[Team A]]&lt;&gt;""),COUNTIF(INDIRECT("TeamsList[Club Name]"),ResultsTeams[[#This Row],[Team A]]),"")</f>
        <v/>
      </c>
      <c r="T312" s="265" t="str">
        <f ca="1">IF(AND(ResultsTeams[[#This Row],[Category]]&lt;&gt;"",ResultsTeams[[#This Row],[Team B]]&lt;&gt;""),COUNTIF(INDIRECT("TeamsList[Club Name]"),ResultsTeams[[#This Row],[Team B]]),"")</f>
        <v/>
      </c>
      <c r="U3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2" s="265" t="str">
        <f>IF(ResultsTeams[[#This Row],[Score_OK]],IF(ResultsTeams[[#This Row],[StageCpy]]="Groups",ResultsTeams[[#This Row],[Category]]&amp;"-"&amp;IF(ResultsTeams[[#This Row],[Team B]]="","",IF(ResultsTeams[[#This Row],[Match-A]]=ResultsTeams[[#This Row],[Match-B]],ResultsTeams[[#This Row],[Team A]],"")),""),"")</f>
        <v/>
      </c>
      <c r="W312" s="265" t="str">
        <f>IF(ResultsTeams[[#This Row],[Score_OK]],IF(ResultsTeams[[#This Row],[StageCpy]]="Groups",ResultsTeams[[#This Row],[Category]]&amp;"-"&amp;IF(ResultsTeams[[#This Row],[Team B]]="","",IF(ResultsTeams[[#This Row],[Match-A]]=ResultsTeams[[#This Row],[Match-B]],ResultsTeams[[#This Row],[Team B]],"")),""),"")</f>
        <v/>
      </c>
      <c r="X3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2" s="264" t="str">
        <f>IF(ResultsTeams[[#This Row],[Category]]="","",VLOOKUP(ResultsTeams[[#This Row],[Stage]],$R$1:$T$8,MATCH(ResultsTeams[[#This Row],[Category]],$S$1:$T$1,0)+1,FALSE))</f>
        <v/>
      </c>
      <c r="AC3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2" s="264" t="str">
        <f>IF(ResultsTeams[[#This Row],[Type]]="G",ResultsTeams[[#This Row],[Stage]],AD311)</f>
        <v>Groups</v>
      </c>
      <c r="AE312" s="395" t="str">
        <f>IF(ResultsTeams[[#This Row],[Type]]="G",INDEX(TeamsList[Club Name],MATCH(ResultsTeams[[#This Row],[Team A]],TeamsList[Team Name],0)),AE311)</f>
        <v>SC Lion's Eugies</v>
      </c>
      <c r="AF312" s="395" t="str">
        <f>IF(ResultsTeams[[#This Row],[Type]]="G",INDEX(TeamsList[Club Name],MATCH(ResultsTeams[[#This Row],[Team B]],TeamsList[Team Name],0)),AF311)</f>
        <v>TSC Royal 78 Kaisermühlen</v>
      </c>
      <c r="AG312" s="265"/>
      <c r="AI312" s="12" t="str">
        <f t="shared" si="265"/>
        <v>TEAM</v>
      </c>
      <c r="AJ312" s="312"/>
      <c r="AK312" s="313"/>
      <c r="AL312" s="314"/>
      <c r="AM312" s="294" t="str">
        <f>IF(AV312="","",SMALL(AN306:AN312,ROWS(AM306:AM312)))</f>
        <v/>
      </c>
      <c r="AN312" s="295" t="str">
        <f>IF(AV312="","",RANK(AR312,AR306:AR312)*1000+ROWS(AN306:AN312))</f>
        <v/>
      </c>
      <c r="AO312" s="318" t="str">
        <f t="shared" si="258"/>
        <v/>
      </c>
      <c r="AP312" s="416" t="b">
        <f>AND(AU312&lt;&gt;"",AU312&gt;0,COUNTIF(AO306:AO312,AO312)&gt;1)</f>
        <v>0</v>
      </c>
      <c r="AQ312" s="318" t="str">
        <f t="shared" si="259"/>
        <v/>
      </c>
      <c r="AR312" s="319" t="str">
        <f t="shared" si="260"/>
        <v/>
      </c>
      <c r="AS312" s="416" t="b">
        <f>AND(AU312&lt;&gt;"",AU312&gt;0,COUNTIF(AR306:AR312,AR312)&gt;1)</f>
        <v>0</v>
      </c>
      <c r="AT312" s="358" t="str">
        <f t="shared" si="261"/>
        <v/>
      </c>
      <c r="AU312" s="359" t="str">
        <f t="shared" si="262"/>
        <v/>
      </c>
      <c r="AV312" s="359" t="str">
        <f>IF(OR(AI305="",AJ312=""),"",COUNTIF(ResultsTeams[Win],AI305&amp;"-"&amp;AJ312))</f>
        <v/>
      </c>
      <c r="AW312" s="359" t="str">
        <f>IF(OR(AI305="",AJ312=""),"",COUNTIF(ResultsTeams[[Draw1]:[Draw2]],AI305&amp;"-"&amp;AJ312))</f>
        <v/>
      </c>
      <c r="AX312" s="359" t="str">
        <f>IF(OR(AI305="",AJ312=""),"",COUNTIF(ResultsTeams[Lose],AI305&amp;"-"&amp;AJ312))</f>
        <v/>
      </c>
      <c r="AY312" s="359" t="str">
        <f>IF(OR(AI305="",AJ312=""),"",AV312-AX312)</f>
        <v/>
      </c>
      <c r="AZ312" s="359" t="str">
        <f>IF(OR(AI311="",AJ312=""),"",SUMIFS(ResultsTeams[Match-A],ResultsTeams[Stage],"Groups",ResultsTeams[Team A],AJ312)+SUMIFS(ResultsTeams[Match-B],ResultsTeams[Stage],"Groups",ResultsTeams[Team B],AJ312))</f>
        <v/>
      </c>
      <c r="BA312" s="359" t="str">
        <f>IF(OR(AI311="",AJ312=""),"",SUMIFS(ResultsTeams[Match-B],ResultsTeams[Stage],"Groups",ResultsTeams[Team A],AJ312)+SUMIFS(ResultsTeams[Match-A],ResultsTeams[Stage],"Groups",ResultsTeams[Team B],AJ312))</f>
        <v/>
      </c>
      <c r="BB312" s="359" t="str">
        <f t="shared" si="264"/>
        <v/>
      </c>
      <c r="BC312" s="359" t="str">
        <f>IF(OR(AI311="",AJ312=""),"",SUMIFS(ResultsTeams[Goal-A],ResultsTeams[Stage],"Groups",ResultsTeams[Team A],AJ312)+SUMIFS(ResultsTeams[Goal-B],ResultsTeams[Stage],"Groups",ResultsTeams[Team B],AJ312))</f>
        <v/>
      </c>
      <c r="BD312" s="359" t="str">
        <f>IF(OR(AI311="",AJ312=""),"",SUMIFS(ResultsTeams[Goal-B],ResultsTeams[Stage],"Groups",ResultsTeams[Team A],AJ312)+SUMIFS(ResultsTeams[Goal-A],ResultsTeams[Stage],"Groups",ResultsTeams[Team B],AJ312))</f>
        <v/>
      </c>
      <c r="BE312" s="360" t="str">
        <f>IF(OR(AI305="",AJ312=""),"",BC312-BD312)</f>
        <v/>
      </c>
      <c r="BF312" s="470" t="str">
        <f>IF(AM312="","",OR(VLOOKUP(AM312,AN306:BE312,3,FALSE),VLOOKUP(AM312,AN306:BE312,6,FALSE)))</f>
        <v/>
      </c>
      <c r="BG312" s="299" t="str">
        <f t="shared" si="263"/>
        <v/>
      </c>
      <c r="BH312" s="287" t="str">
        <f>IF(AM312="","",INDEX(AJ306:AJ312,MATCH(AM312,AN306:AN312,0)))</f>
        <v/>
      </c>
      <c r="BI312" s="288" t="str">
        <f>IF(AM312="","",VLOOKUP(AM312,AN306:BE312,COLUMN()-COLUMN(BB305),FALSE))</f>
        <v/>
      </c>
      <c r="BJ312" s="288" t="str">
        <f>IF(AM312="","",VLOOKUP(AM312,AN306:BE312,COLUMN()-COLUMN(BB305),FALSE))</f>
        <v/>
      </c>
      <c r="BK312" s="288" t="str">
        <f>IF(AM312="","",VLOOKUP(AM312,AN306:BE312,COLUMN()-COLUMN(BB305),FALSE))</f>
        <v/>
      </c>
      <c r="BL312" s="288" t="str">
        <f>IF(AM312="","",VLOOKUP(AM312,AN306:BE312,COLUMN()-COLUMN(BB305),FALSE))</f>
        <v/>
      </c>
      <c r="BM312" s="288" t="str">
        <f>IF(AM312="","",VLOOKUP(AM312,AN306:BE312,COLUMN()-COLUMN(BB305),FALSE))</f>
        <v/>
      </c>
      <c r="BN312" s="350" t="str">
        <f>IF(AM312="","",VLOOKUP(AM312,AN306:BE312,COLUMN()-COLUMN(BB305),FALSE))</f>
        <v/>
      </c>
      <c r="BO312" s="299" t="str">
        <f>IF(AM312="","",VLOOKUP(AM312,AN306:BE312,COLUMN()-COLUMN(BB305),FALSE))</f>
        <v/>
      </c>
      <c r="BP312" s="288" t="str">
        <f>IF(AM312="","",VLOOKUP(AM312,AN306:BE312,COLUMN()-COLUMN(BB305),FALSE))</f>
        <v/>
      </c>
      <c r="BQ312" s="302" t="str">
        <f>IF(AM312="","",VLOOKUP(AM312,AN306:BE312,COLUMN()-COLUMN(BB305),FALSE))</f>
        <v/>
      </c>
      <c r="BR312" s="353" t="str">
        <f>IF(AM312="","",VLOOKUP(AM312,AN306:BE312,COLUMN()-COLUMN(BB305),FALSE))</f>
        <v/>
      </c>
      <c r="BS312" s="288" t="str">
        <f>IF(AM312="","",VLOOKUP(AM312,AN306:BE312,COLUMN()-COLUMN(BB305),FALSE))</f>
        <v/>
      </c>
      <c r="BT312" s="302" t="str">
        <f>IF(AM312="","",VLOOKUP(AM312,AN306:BE312,COLUMN()-COLUMN(BB305),FALSE))</f>
        <v/>
      </c>
    </row>
    <row r="313" spans="1:72" ht="12" thickBot="1" x14ac:dyDescent="0.25">
      <c r="A313" s="261" t="s">
        <v>12693</v>
      </c>
      <c r="B313" s="270" t="s">
        <v>12207</v>
      </c>
      <c r="C313" s="270">
        <v>7</v>
      </c>
      <c r="D313" s="270"/>
      <c r="E313" s="272" t="s">
        <v>12228</v>
      </c>
      <c r="F313" s="273" t="s">
        <v>644</v>
      </c>
      <c r="G313" s="273" t="s">
        <v>14593</v>
      </c>
      <c r="H313" s="275">
        <v>4</v>
      </c>
      <c r="I313" s="275">
        <v>0</v>
      </c>
      <c r="J313" s="275"/>
      <c r="K313" s="366"/>
      <c r="L313" s="366"/>
      <c r="M313" s="274"/>
      <c r="N313" s="265" t="b">
        <f>NOT(ISERROR(ResultsTeams[[#This Row],[Goal-A]]+ResultsTeams[[#This Row],[Goal-B]]))</f>
        <v>1</v>
      </c>
      <c r="O313" s="265">
        <f>IF(ResultsTeams[[#This Row],[Type]]="G",SUM(O314:O317),IF(LEFT(ResultsTeams[[#This Row],[Type]],1)="P",IF(ResultsTeams[[#This Row],[Goal-A]]&gt;ResultsTeams[[#This Row],[Goal-B]],1,0),""))</f>
        <v>4</v>
      </c>
      <c r="P313" s="265">
        <f>IF(ResultsTeams[[#This Row],[Type]]="G",SUM(P314:P317),IF(LEFT(ResultsTeams[[#This Row],[Type]],1)="P",IF(ResultsTeams[[#This Row],[Goal-A]]&lt;ResultsTeams[[#This Row],[Goal-B]],1,0),""))</f>
        <v>0</v>
      </c>
      <c r="Q313" s="265">
        <f>IF(ResultsTeams[[#This Row],[Type]]="G",SUM(Q314:Q317),IF(LEFT(ResultsTeams[[#This Row],[Type]],1)="P",VALUE(ResultsTeams[[#This Row],[Score-A]]),""))</f>
        <v>17</v>
      </c>
      <c r="R313" s="265">
        <f>IF(ResultsTeams[[#This Row],[Type]]="G",SUM(R314:R317),IF(LEFT(ResultsTeams[[#This Row],[Type]],1)="P",VALUE(ResultsTeams[[#This Row],[Score-B]]),""))</f>
        <v>0</v>
      </c>
      <c r="S313" s="265">
        <f ca="1">IF(AND(ResultsTeams[[#This Row],[Category]]&lt;&gt;"",ResultsTeams[[#This Row],[Team A]]&lt;&gt;""),COUNTIF(INDIRECT("TeamsList[Club Name]"),ResultsTeams[[#This Row],[Team A]]),"")</f>
        <v>2</v>
      </c>
      <c r="T313" s="265">
        <f ca="1">IF(AND(ResultsTeams[[#This Row],[Category]]&lt;&gt;"",ResultsTeams[[#This Row],[Team B]]&lt;&gt;""),COUNTIF(INDIRECT("TeamsList[Club Name]"),ResultsTeams[[#This Row],[Team B]]),"")</f>
        <v>0</v>
      </c>
      <c r="U3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TEAM-Master Sanremo</v>
      </c>
      <c r="V313" s="265" t="str">
        <f>IF(ResultsTeams[[#This Row],[Score_OK]],IF(ResultsTeams[[#This Row],[StageCpy]]="Groups",ResultsTeams[[#This Row],[Category]]&amp;"-"&amp;IF(ResultsTeams[[#This Row],[Team B]]="","",IF(ResultsTeams[[#This Row],[Match-A]]=ResultsTeams[[#This Row],[Match-B]],ResultsTeams[[#This Row],[Team A]],"")),""),"")</f>
        <v>TEAM-</v>
      </c>
      <c r="W313" s="265" t="str">
        <f>IF(ResultsTeams[[#This Row],[Score_OK]],IF(ResultsTeams[[#This Row],[StageCpy]]="Groups",ResultsTeams[[#This Row],[Category]]&amp;"-"&amp;IF(ResultsTeams[[#This Row],[Team B]]="","",IF(ResultsTeams[[#This Row],[Match-A]]=ResultsTeams[[#This Row],[Match-B]],ResultsTeams[[#This Row],[Team B]],"")),""),"")</f>
        <v>TEAM-</v>
      </c>
      <c r="X3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4</v>
      </c>
      <c r="Y3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4</v>
      </c>
      <c r="AA3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4</v>
      </c>
      <c r="AB313" s="264" t="str">
        <f>IF(ResultsTeams[[#This Row],[Category]]="","",VLOOKUP(ResultsTeams[[#This Row],[Stage]],$R$1:$T$8,MATCH(ResultsTeams[[#This Row],[Category]],$S$1:$T$1,0)+1,FALSE))</f>
        <v>PR1</v>
      </c>
      <c r="AC3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3" s="264" t="str">
        <f>IF(ResultsTeams[[#This Row],[Type]]="G",ResultsTeams[[#This Row],[Stage]],AD312)</f>
        <v>Groups</v>
      </c>
      <c r="AE313" s="395" t="str">
        <f>IF(ResultsTeams[[#This Row],[Type]]="G",INDEX(TeamsList[Club Name],MATCH(ResultsTeams[[#This Row],[Team A]],TeamsList[Team Name],0)),AE312)</f>
        <v>Master Sanremo</v>
      </c>
      <c r="AF313" s="395" t="str">
        <f>IF(ResultsTeams[[#This Row],[Type]]="G",INDEX(TeamsList[Club Name],MATCH(ResultsTeams[[#This Row],[Team B]],TeamsList[Team Name],0)),AF312)</f>
        <v>Avenir Subbuteo Hennuyer</v>
      </c>
      <c r="AG313" s="265"/>
    </row>
    <row r="314" spans="1:72" ht="12" thickBot="1" x14ac:dyDescent="0.25">
      <c r="A314" s="60"/>
      <c r="B314" s="280"/>
      <c r="C314" s="60"/>
      <c r="D314" s="60"/>
      <c r="E314" s="240" t="s">
        <v>12231</v>
      </c>
      <c r="F314" s="244" t="s">
        <v>8122</v>
      </c>
      <c r="G314" s="244" t="s">
        <v>8713</v>
      </c>
      <c r="H314" s="253">
        <v>2</v>
      </c>
      <c r="I314" s="253">
        <v>0</v>
      </c>
      <c r="J314" s="253"/>
      <c r="K314" s="362"/>
      <c r="L314" s="362"/>
      <c r="M314" s="245"/>
      <c r="N314" s="265" t="b">
        <f>NOT(ISERROR(ResultsTeams[[#This Row],[Goal-A]]+ResultsTeams[[#This Row],[Goal-B]]))</f>
        <v>1</v>
      </c>
      <c r="O314" s="265">
        <f>IF(ResultsTeams[[#This Row],[Type]]="G",SUM(O315:O318),IF(LEFT(ResultsTeams[[#This Row],[Type]],1)="P",IF(ResultsTeams[[#This Row],[Goal-A]]&gt;ResultsTeams[[#This Row],[Goal-B]],1,0),""))</f>
        <v>1</v>
      </c>
      <c r="P314" s="265">
        <f>IF(ResultsTeams[[#This Row],[Type]]="G",SUM(P315:P318),IF(LEFT(ResultsTeams[[#This Row],[Type]],1)="P",IF(ResultsTeams[[#This Row],[Goal-A]]&lt;ResultsTeams[[#This Row],[Goal-B]],1,0),""))</f>
        <v>0</v>
      </c>
      <c r="Q314" s="265">
        <f>IF(ResultsTeams[[#This Row],[Type]]="G",SUM(Q315:Q318),IF(LEFT(ResultsTeams[[#This Row],[Type]],1)="P",VALUE(ResultsTeams[[#This Row],[Score-A]]),""))</f>
        <v>2</v>
      </c>
      <c r="R314" s="265">
        <f>IF(ResultsTeams[[#This Row],[Type]]="G",SUM(R315:R318),IF(LEFT(ResultsTeams[[#This Row],[Type]],1)="P",VALUE(ResultsTeams[[#This Row],[Score-B]]),""))</f>
        <v>0</v>
      </c>
      <c r="S314" s="265" t="str">
        <f ca="1">IF(AND(ResultsTeams[[#This Row],[Category]]&lt;&gt;"",ResultsTeams[[#This Row],[Team A]]&lt;&gt;""),COUNTIF(INDIRECT("TeamsList[Club Name]"),ResultsTeams[[#This Row],[Team A]]),"")</f>
        <v/>
      </c>
      <c r="T314" s="265" t="str">
        <f ca="1">IF(AND(ResultsTeams[[#This Row],[Category]]&lt;&gt;"",ResultsTeams[[#This Row],[Team B]]&lt;&gt;""),COUNTIF(INDIRECT("TeamsList[Club Name]"),ResultsTeams[[#This Row],[Team B]]),"")</f>
        <v/>
      </c>
      <c r="U3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-Ludovic Ponthieux</v>
      </c>
      <c r="V314" s="265" t="str">
        <f>IF(ResultsTeams[[#This Row],[Score_OK]],IF(ResultsTeams[[#This Row],[StageCpy]]="Groups",ResultsTeams[[#This Row],[Category]]&amp;"-"&amp;IF(ResultsTeams[[#This Row],[Team B]]="","",IF(ResultsTeams[[#This Row],[Match-A]]=ResultsTeams[[#This Row],[Match-B]],ResultsTeams[[#This Row],[Team A]],"")),""),"")</f>
        <v>-</v>
      </c>
      <c r="W314" s="265" t="str">
        <f>IF(ResultsTeams[[#This Row],[Score_OK]],IF(ResultsTeams[[#This Row],[StageCpy]]="Groups",ResultsTeams[[#This Row],[Category]]&amp;"-"&amp;IF(ResultsTeams[[#This Row],[Team B]]="","",IF(ResultsTeams[[#This Row],[Match-A]]=ResultsTeams[[#This Row],[Match-B]],ResultsTeams[[#This Row],[Team B]],"")),""),"")</f>
        <v>-</v>
      </c>
      <c r="X3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-Ludovic Midoux</v>
      </c>
      <c r="Y3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4" s="264" t="str">
        <f>IF(ResultsTeams[[#This Row],[Category]]="","",VLOOKUP(ResultsTeams[[#This Row],[Stage]],$R$1:$T$8,MATCH(ResultsTeams[[#This Row],[Category]],$S$1:$T$1,0)+1,FALSE))</f>
        <v/>
      </c>
      <c r="AC3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4" s="264" t="str">
        <f>IF(ResultsTeams[[#This Row],[Type]]="G",ResultsTeams[[#This Row],[Stage]],AD313)</f>
        <v>Groups</v>
      </c>
      <c r="AE314" s="395" t="str">
        <f>IF(ResultsTeams[[#This Row],[Type]]="G",INDEX(TeamsList[Club Name],MATCH(ResultsTeams[[#This Row],[Team A]],TeamsList[Team Name],0)),AE313)</f>
        <v>Master Sanremo</v>
      </c>
      <c r="AF314" s="395" t="str">
        <f>IF(ResultsTeams[[#This Row],[Type]]="G",INDEX(TeamsList[Club Name],MATCH(ResultsTeams[[#This Row],[Team B]],TeamsList[Team Name],0)),AF313)</f>
        <v>Avenir Subbuteo Hennuyer</v>
      </c>
      <c r="AG314" s="265"/>
      <c r="AH314" s="281" t="str">
        <f>IF(AI314="","",QUOTIENT(COUNTIF(AI$26:AI314,AI314)-1,8)+1)</f>
        <v/>
      </c>
      <c r="AI314" s="315"/>
      <c r="AJ314" s="289" t="s">
        <v>14438</v>
      </c>
      <c r="AK314" s="290" t="s">
        <v>12279</v>
      </c>
      <c r="AL314" s="300" t="s">
        <v>12275</v>
      </c>
      <c r="AM314" s="296" t="s">
        <v>12276</v>
      </c>
      <c r="AN314" s="291" t="s">
        <v>12271</v>
      </c>
      <c r="AO314" s="291" t="s">
        <v>12272</v>
      </c>
      <c r="AP314" s="414" t="s">
        <v>13154</v>
      </c>
      <c r="AQ314" s="291" t="s">
        <v>12273</v>
      </c>
      <c r="AR314" s="297" t="s">
        <v>12274</v>
      </c>
      <c r="AS314" s="414" t="s">
        <v>13154</v>
      </c>
      <c r="AT314" s="296" t="s">
        <v>12199</v>
      </c>
      <c r="AU314" s="291" t="s">
        <v>12200</v>
      </c>
      <c r="AV314" s="291" t="s">
        <v>12201</v>
      </c>
      <c r="AW314" s="291" t="s">
        <v>12202</v>
      </c>
      <c r="AX314" s="291" t="s">
        <v>12203</v>
      </c>
      <c r="AY314" s="291" t="s">
        <v>12697</v>
      </c>
      <c r="AZ314" s="291" t="s">
        <v>12698</v>
      </c>
      <c r="BA314" s="291" t="s">
        <v>12699</v>
      </c>
      <c r="BB314" s="291" t="s">
        <v>12700</v>
      </c>
      <c r="BC314" s="291" t="s">
        <v>12204</v>
      </c>
      <c r="BD314" s="291" t="s">
        <v>12205</v>
      </c>
      <c r="BE314" s="297" t="s">
        <v>12206</v>
      </c>
      <c r="BF314" s="395"/>
      <c r="BG314" s="282" t="s">
        <v>12276</v>
      </c>
      <c r="BH314" s="282" t="s">
        <v>12133</v>
      </c>
      <c r="BI314" s="283" t="s">
        <v>12199</v>
      </c>
      <c r="BJ314" s="283" t="s">
        <v>12200</v>
      </c>
      <c r="BK314" s="283" t="s">
        <v>12201</v>
      </c>
      <c r="BL314" s="283" t="s">
        <v>12202</v>
      </c>
      <c r="BM314" s="283" t="s">
        <v>12203</v>
      </c>
      <c r="BN314" s="290" t="s">
        <v>12697</v>
      </c>
      <c r="BO314" s="354" t="s">
        <v>12698</v>
      </c>
      <c r="BP314" s="283" t="s">
        <v>12699</v>
      </c>
      <c r="BQ314" s="300" t="s">
        <v>12700</v>
      </c>
      <c r="BR314" s="351" t="s">
        <v>12204</v>
      </c>
      <c r="BS314" s="283" t="s">
        <v>12205</v>
      </c>
      <c r="BT314" s="300" t="s">
        <v>12206</v>
      </c>
    </row>
    <row r="315" spans="1:72" x14ac:dyDescent="0.2">
      <c r="A315" s="62"/>
      <c r="B315" s="280"/>
      <c r="C315" s="62"/>
      <c r="D315" s="62"/>
      <c r="E315" s="241" t="s">
        <v>12234</v>
      </c>
      <c r="F315" s="246" t="s">
        <v>8104</v>
      </c>
      <c r="G315" s="246" t="s">
        <v>14445</v>
      </c>
      <c r="H315" s="254">
        <v>6</v>
      </c>
      <c r="I315" s="254">
        <v>0</v>
      </c>
      <c r="J315" s="254"/>
      <c r="K315" s="363"/>
      <c r="L315" s="363"/>
      <c r="M315" s="247"/>
      <c r="N315" s="265" t="b">
        <f>NOT(ISERROR(ResultsTeams[[#This Row],[Goal-A]]+ResultsTeams[[#This Row],[Goal-B]]))</f>
        <v>1</v>
      </c>
      <c r="O315" s="265">
        <f>IF(ResultsTeams[[#This Row],[Type]]="G",SUM(O316:O319),IF(LEFT(ResultsTeams[[#This Row],[Type]],1)="P",IF(ResultsTeams[[#This Row],[Goal-A]]&gt;ResultsTeams[[#This Row],[Goal-B]],1,0),""))</f>
        <v>1</v>
      </c>
      <c r="P315" s="265">
        <f>IF(ResultsTeams[[#This Row],[Type]]="G",SUM(P316:P319),IF(LEFT(ResultsTeams[[#This Row],[Type]],1)="P",IF(ResultsTeams[[#This Row],[Goal-A]]&lt;ResultsTeams[[#This Row],[Goal-B]],1,0),""))</f>
        <v>0</v>
      </c>
      <c r="Q315" s="265">
        <f>IF(ResultsTeams[[#This Row],[Type]]="G",SUM(Q316:Q319),IF(LEFT(ResultsTeams[[#This Row],[Type]],1)="P",VALUE(ResultsTeams[[#This Row],[Score-A]]),""))</f>
        <v>6</v>
      </c>
      <c r="R315" s="265">
        <f>IF(ResultsTeams[[#This Row],[Type]]="G",SUM(R316:R319),IF(LEFT(ResultsTeams[[#This Row],[Type]],1)="P",VALUE(ResultsTeams[[#This Row],[Score-B]]),""))</f>
        <v>0</v>
      </c>
      <c r="S315" s="265" t="str">
        <f ca="1">IF(AND(ResultsTeams[[#This Row],[Category]]&lt;&gt;"",ResultsTeams[[#This Row],[Team A]]&lt;&gt;""),COUNTIF(INDIRECT("TeamsList[Club Name]"),ResultsTeams[[#This Row],[Team A]]),"")</f>
        <v/>
      </c>
      <c r="T315" s="265" t="str">
        <f ca="1">IF(AND(ResultsTeams[[#This Row],[Category]]&lt;&gt;"",ResultsTeams[[#This Row],[Team B]]&lt;&gt;""),COUNTIF(INDIRECT("TeamsList[Club Name]"),ResultsTeams[[#This Row],[Team B]]),"")</f>
        <v/>
      </c>
      <c r="U3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-Jérôme Heyvaert</v>
      </c>
      <c r="V315" s="265" t="str">
        <f>IF(ResultsTeams[[#This Row],[Score_OK]],IF(ResultsTeams[[#This Row],[StageCpy]]="Groups",ResultsTeams[[#This Row],[Category]]&amp;"-"&amp;IF(ResultsTeams[[#This Row],[Team B]]="","",IF(ResultsTeams[[#This Row],[Match-A]]=ResultsTeams[[#This Row],[Match-B]],ResultsTeams[[#This Row],[Team A]],"")),""),"")</f>
        <v>-</v>
      </c>
      <c r="W315" s="265" t="str">
        <f>IF(ResultsTeams[[#This Row],[Score_OK]],IF(ResultsTeams[[#This Row],[StageCpy]]="Groups",ResultsTeams[[#This Row],[Category]]&amp;"-"&amp;IF(ResultsTeams[[#This Row],[Team B]]="","",IF(ResultsTeams[[#This Row],[Match-A]]=ResultsTeams[[#This Row],[Match-B]],ResultsTeams[[#This Row],[Team B]],"")),""),"")</f>
        <v>-</v>
      </c>
      <c r="X3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-Jordan Bonte</v>
      </c>
      <c r="Y3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5" s="264" t="str">
        <f>IF(ResultsTeams[[#This Row],[Category]]="","",VLOOKUP(ResultsTeams[[#This Row],[Stage]],$R$1:$T$8,MATCH(ResultsTeams[[#This Row],[Category]],$S$1:$T$1,0)+1,FALSE))</f>
        <v/>
      </c>
      <c r="AC3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5" s="264" t="str">
        <f>IF(ResultsTeams[[#This Row],[Type]]="G",ResultsTeams[[#This Row],[Stage]],AD314)</f>
        <v>Groups</v>
      </c>
      <c r="AE315" s="395" t="str">
        <f>IF(ResultsTeams[[#This Row],[Type]]="G",INDEX(TeamsList[Club Name],MATCH(ResultsTeams[[#This Row],[Team A]],TeamsList[Team Name],0)),AE314)</f>
        <v>Master Sanremo</v>
      </c>
      <c r="AF315" s="395" t="str">
        <f>IF(ResultsTeams[[#This Row],[Type]]="G",INDEX(TeamsList[Club Name],MATCH(ResultsTeams[[#This Row],[Team B]],TeamsList[Team Name],0)),AF314)</f>
        <v>Avenir Subbuteo Hennuyer</v>
      </c>
      <c r="AG315" s="265"/>
      <c r="AI315" s="12">
        <f>AI314</f>
        <v>0</v>
      </c>
      <c r="AJ315" s="309"/>
      <c r="AK315" s="320"/>
      <c r="AL315" s="311"/>
      <c r="AM315" s="292" t="str">
        <f>IF(AV315="","",SMALL(AN315:AN321,ROWS(AM315:AM315)))</f>
        <v/>
      </c>
      <c r="AN315" s="293" t="str">
        <f>IF(AV315="","",RANK(AR315,AR315:AR321)*1000+ROWS(AN315:AN315))</f>
        <v/>
      </c>
      <c r="AO315" s="316" t="str">
        <f t="shared" ref="AO315:AO321" si="266">IF(AV315="","",AT315*CritClassEq1_Points+AY315*CritClassEq1_DiffRencontres+BB315*CritClassEq1_DiffMatches+BE315*CritClassEq1_DiffButs+AZ315*CritClassEq1_Matches+BC315*CritClassEq1_Attaque)</f>
        <v/>
      </c>
      <c r="AP315" s="415" t="b">
        <f>AND(AU315&lt;&gt;"",AU315&gt;0,COUNTIF(AO315:AO321,AO315)&gt;1)</f>
        <v>0</v>
      </c>
      <c r="AQ315" s="316" t="str">
        <f t="shared" ref="AQ315:AQ321" si="267">IF(AV315="","",CritClassEq_DiffPart*AK315)</f>
        <v/>
      </c>
      <c r="AR315" s="317" t="str">
        <f t="shared" ref="AR315:AR321" si="268">IF(AV315="","",AO315+AQ315+AT315*CritClassEq2_Points+AY315*CritClassEq2_DiffRencontres+BB315*CritClassEq2_DiffMatches+BE315*CritClassEq2_DiffButs+AZ315*CritClassEq2_Matches+BC315*CritClassEq2_Attaque+AL315)</f>
        <v/>
      </c>
      <c r="AS315" s="415" t="b">
        <f>AND(AU315&lt;&gt;"",AU315&gt;0,COUNTIF(AR315:AR321,AR315)&gt;1)</f>
        <v>0</v>
      </c>
      <c r="AT315" s="355" t="str">
        <f t="shared" ref="AT315:AT321" si="269">IF(AV315="","",(AV315*Points_Victoire)+AW315*Points_Null)</f>
        <v/>
      </c>
      <c r="AU315" s="356" t="str">
        <f t="shared" ref="AU315:AU321" si="270">IF(AV315="","",SUM(AV315:AX315))</f>
        <v/>
      </c>
      <c r="AV315" s="356" t="str">
        <f>IF(OR(AI314="",AJ315=""),"",COUNTIF(ResultsTeams[Win],AI314&amp;"-"&amp;AJ315))</f>
        <v/>
      </c>
      <c r="AW315" s="356" t="str">
        <f>IF(OR(AI314="",AJ315=""),"",COUNTIF(ResultsTeams[[Draw1]:[Draw2]],AI314&amp;"-"&amp;AJ315))</f>
        <v/>
      </c>
      <c r="AX315" s="356" t="str">
        <f>IF(OR(AI314="",AJ315=""),"",COUNTIF(ResultsTeams[Lose],AI314&amp;"-"&amp;AJ315))</f>
        <v/>
      </c>
      <c r="AY315" s="356" t="str">
        <f>IF(OR(AI314="",AJ315=""),"",AV315-AX315)</f>
        <v/>
      </c>
      <c r="AZ315" s="356" t="str">
        <f>IF(OR(AI314="",AJ315=""),"",SUMIFS(ResultsTeams[Match-A],ResultsTeams[Stage],"Groups",ResultsTeams[Team A],AJ315)+SUMIFS(ResultsTeams[Match-B],ResultsTeams[Stage],"Groups",ResultsTeams[Team B],AJ315))</f>
        <v/>
      </c>
      <c r="BA315" s="356" t="str">
        <f>IF(OR(AI314="",AJ315=""),"",SUMIFS(ResultsTeams[Match-B],ResultsTeams[Stage],"Groups",ResultsTeams[Team A],AJ315)+SUMIFS(ResultsTeams[Match-A],ResultsTeams[Stage],"Groups",ResultsTeams[Team B],AJ315))</f>
        <v/>
      </c>
      <c r="BB315" s="356" t="str">
        <f>IF(OR(AI314="",AJ315=""),"",AZ315-BA315)</f>
        <v/>
      </c>
      <c r="BC315" s="356" t="str">
        <f>IF(OR(AI314="",AJ315=""),"",SUMIFS(ResultsTeams[Goal-A],ResultsTeams[Stage],"Groups",ResultsTeams[Team A],AJ315)+SUMIFS(ResultsTeams[Goal-B],ResultsTeams[Stage],"Groups",ResultsTeams[Team B],AJ315))</f>
        <v/>
      </c>
      <c r="BD315" s="356" t="str">
        <f>IF(OR(AI314="",AJ315=""),"",SUMIFS(ResultsTeams[Goal-B],ResultsTeams[Stage],"Groups",ResultsTeams[Team A],AJ315)+SUMIFS(ResultsTeams[Goal-A],ResultsTeams[Stage],"Groups",ResultsTeams[Team B],AJ315))</f>
        <v/>
      </c>
      <c r="BE315" s="357" t="str">
        <f>IF(OR(AI314="",AJ315=""),"",BC315-BD315)</f>
        <v/>
      </c>
      <c r="BF315" s="470" t="str">
        <f>IF(AM315="","",OR(VLOOKUP(AM315,AN315:BE321,3,FALSE),VLOOKUP(AM315,AN315:BE321,6,FALSE)))</f>
        <v/>
      </c>
      <c r="BG315" s="298" t="str">
        <f t="shared" ref="BG315:BG321" si="271">IF(AM315="","",INT(AM315/1000))</f>
        <v/>
      </c>
      <c r="BH315" s="285" t="str">
        <f>IF(AM315="","",INDEX(AJ315:AJ321,MATCH(AM315,AN315:AN321,0)))</f>
        <v/>
      </c>
      <c r="BI315" s="286" t="str">
        <f>IF(AM315="","",VLOOKUP(AM315,AN315:BE321,COLUMN()-COLUMN(BB314),FALSE))</f>
        <v/>
      </c>
      <c r="BJ315" s="286" t="str">
        <f>IF(AM315="","",VLOOKUP(AM315,AN315:BE321,COLUMN()-COLUMN(BB314),FALSE))</f>
        <v/>
      </c>
      <c r="BK315" s="286" t="str">
        <f>IF(AM315="","",VLOOKUP(AM315,AN315:BE321,COLUMN()-COLUMN(BB314),FALSE))</f>
        <v/>
      </c>
      <c r="BL315" s="286" t="str">
        <f>IF(AM315="","",VLOOKUP(AM315,AN315:BE321,COLUMN()-COLUMN(BB314),FALSE))</f>
        <v/>
      </c>
      <c r="BM315" s="286" t="str">
        <f>IF(AM315="","",VLOOKUP(AM315,AN315:BE321,COLUMN()-COLUMN(BB314),FALSE))</f>
        <v/>
      </c>
      <c r="BN315" s="349" t="str">
        <f>IF(AM315="","",VLOOKUP(AM315,AN315:BE321,COLUMN()-COLUMN(BB314),FALSE))</f>
        <v/>
      </c>
      <c r="BO315" s="298" t="str">
        <f>IF(AM315="","",VLOOKUP(AM315,AN315:BE321,COLUMN()-COLUMN(BB314),FALSE))</f>
        <v/>
      </c>
      <c r="BP315" s="286" t="str">
        <f>IF(AM315="","",VLOOKUP(AM315,AN315:BE321,COLUMN()-COLUMN(BB314),FALSE))</f>
        <v/>
      </c>
      <c r="BQ315" s="301" t="str">
        <f>IF(AM315="","",VLOOKUP(AM315,AN315:BE321,COLUMN()-COLUMN(BB314),FALSE))</f>
        <v/>
      </c>
      <c r="BR315" s="352" t="str">
        <f>IF(AM315="","",VLOOKUP(AM315,AN315:BE321,COLUMN()-COLUMN(BB314),FALSE))</f>
        <v/>
      </c>
      <c r="BS315" s="286" t="str">
        <f>IF(AM315="","",VLOOKUP(AM315,AN315:BE321,COLUMN()-COLUMN(BB314),FALSE))</f>
        <v/>
      </c>
      <c r="BT315" s="301" t="str">
        <f>IF(AM315="","",VLOOKUP(AM315,AN315:BE321,COLUMN()-COLUMN(BB314),FALSE))</f>
        <v/>
      </c>
    </row>
    <row r="316" spans="1:72" x14ac:dyDescent="0.2">
      <c r="A316" s="62"/>
      <c r="B316" s="280"/>
      <c r="C316" s="62"/>
      <c r="D316" s="62"/>
      <c r="E316" s="241" t="s">
        <v>12237</v>
      </c>
      <c r="F316" s="246" t="s">
        <v>10149</v>
      </c>
      <c r="G316" s="246" t="s">
        <v>8161</v>
      </c>
      <c r="H316" s="254">
        <v>5</v>
      </c>
      <c r="I316" s="254">
        <v>0</v>
      </c>
      <c r="J316" s="254"/>
      <c r="K316" s="363"/>
      <c r="L316" s="363"/>
      <c r="M316" s="247"/>
      <c r="N316" s="265" t="b">
        <f>NOT(ISERROR(ResultsTeams[[#This Row],[Goal-A]]+ResultsTeams[[#This Row],[Goal-B]]))</f>
        <v>1</v>
      </c>
      <c r="O316" s="265">
        <f>IF(ResultsTeams[[#This Row],[Type]]="G",SUM(O317:O320),IF(LEFT(ResultsTeams[[#This Row],[Type]],1)="P",IF(ResultsTeams[[#This Row],[Goal-A]]&gt;ResultsTeams[[#This Row],[Goal-B]],1,0),""))</f>
        <v>1</v>
      </c>
      <c r="P316" s="265">
        <f>IF(ResultsTeams[[#This Row],[Type]]="G",SUM(P317:P320),IF(LEFT(ResultsTeams[[#This Row],[Type]],1)="P",IF(ResultsTeams[[#This Row],[Goal-A]]&lt;ResultsTeams[[#This Row],[Goal-B]],1,0),""))</f>
        <v>0</v>
      </c>
      <c r="Q316" s="265">
        <f>IF(ResultsTeams[[#This Row],[Type]]="G",SUM(Q317:Q320),IF(LEFT(ResultsTeams[[#This Row],[Type]],1)="P",VALUE(ResultsTeams[[#This Row],[Score-A]]),""))</f>
        <v>5</v>
      </c>
      <c r="R316" s="265">
        <f>IF(ResultsTeams[[#This Row],[Type]]="G",SUM(R317:R320),IF(LEFT(ResultsTeams[[#This Row],[Type]],1)="P",VALUE(ResultsTeams[[#This Row],[Score-B]]),""))</f>
        <v>0</v>
      </c>
      <c r="S316" s="265" t="str">
        <f ca="1">IF(AND(ResultsTeams[[#This Row],[Category]]&lt;&gt;"",ResultsTeams[[#This Row],[Team A]]&lt;&gt;""),COUNTIF(INDIRECT("TeamsList[Club Name]"),ResultsTeams[[#This Row],[Team A]]),"")</f>
        <v/>
      </c>
      <c r="T316" s="265" t="str">
        <f ca="1">IF(AND(ResultsTeams[[#This Row],[Category]]&lt;&gt;"",ResultsTeams[[#This Row],[Team B]]&lt;&gt;""),COUNTIF(INDIRECT("TeamsList[Club Name]"),ResultsTeams[[#This Row],[Team B]]),"")</f>
        <v/>
      </c>
      <c r="U3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-Massimiliano Croatti</v>
      </c>
      <c r="V316" s="265" t="str">
        <f>IF(ResultsTeams[[#This Row],[Score_OK]],IF(ResultsTeams[[#This Row],[StageCpy]]="Groups",ResultsTeams[[#This Row],[Category]]&amp;"-"&amp;IF(ResultsTeams[[#This Row],[Team B]]="","",IF(ResultsTeams[[#This Row],[Match-A]]=ResultsTeams[[#This Row],[Match-B]],ResultsTeams[[#This Row],[Team A]],"")),""),"")</f>
        <v>-</v>
      </c>
      <c r="W316" s="265" t="str">
        <f>IF(ResultsTeams[[#This Row],[Score_OK]],IF(ResultsTeams[[#This Row],[StageCpy]]="Groups",ResultsTeams[[#This Row],[Category]]&amp;"-"&amp;IF(ResultsTeams[[#This Row],[Team B]]="","",IF(ResultsTeams[[#This Row],[Match-A]]=ResultsTeams[[#This Row],[Match-B]],ResultsTeams[[#This Row],[Team B]],"")),""),"")</f>
        <v>-</v>
      </c>
      <c r="X3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-Benjamin Marain</v>
      </c>
      <c r="Y3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6" s="264" t="str">
        <f>IF(ResultsTeams[[#This Row],[Category]]="","",VLOOKUP(ResultsTeams[[#This Row],[Stage]],$R$1:$T$8,MATCH(ResultsTeams[[#This Row],[Category]],$S$1:$T$1,0)+1,FALSE))</f>
        <v/>
      </c>
      <c r="AC3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6" s="264" t="str">
        <f>IF(ResultsTeams[[#This Row],[Type]]="G",ResultsTeams[[#This Row],[Stage]],AD315)</f>
        <v>Groups</v>
      </c>
      <c r="AE316" s="395" t="str">
        <f>IF(ResultsTeams[[#This Row],[Type]]="G",INDEX(TeamsList[Club Name],MATCH(ResultsTeams[[#This Row],[Team A]],TeamsList[Team Name],0)),AE315)</f>
        <v>Master Sanremo</v>
      </c>
      <c r="AF316" s="395" t="str">
        <f>IF(ResultsTeams[[#This Row],[Type]]="G",INDEX(TeamsList[Club Name],MATCH(ResultsTeams[[#This Row],[Team B]],TeamsList[Team Name],0)),AF315)</f>
        <v>Avenir Subbuteo Hennuyer</v>
      </c>
      <c r="AG316" s="265"/>
      <c r="AI316" s="12">
        <f>AI315</f>
        <v>0</v>
      </c>
      <c r="AJ316" s="309"/>
      <c r="AK316" s="320"/>
      <c r="AL316" s="311"/>
      <c r="AM316" s="292" t="str">
        <f>IF(AV316="","",SMALL(AN315:AN321,ROWS(AM315:AM316)))</f>
        <v/>
      </c>
      <c r="AN316" s="293" t="str">
        <f>IF(AV316="","",RANK(AR316,AR315:AR321)*1000+ROWS(AN315:AN316))</f>
        <v/>
      </c>
      <c r="AO316" s="316" t="str">
        <f t="shared" si="266"/>
        <v/>
      </c>
      <c r="AP316" s="415" t="b">
        <f>AND(AU316&lt;&gt;"",AU316&gt;0,COUNTIF(AO315:AO321,AO316)&gt;1)</f>
        <v>0</v>
      </c>
      <c r="AQ316" s="316" t="str">
        <f t="shared" si="267"/>
        <v/>
      </c>
      <c r="AR316" s="317" t="str">
        <f t="shared" si="268"/>
        <v/>
      </c>
      <c r="AS316" s="415" t="b">
        <f>AND(AU316&lt;&gt;"",AU316&gt;0,COUNTIF(AR315:AR321,AR316)&gt;1)</f>
        <v>0</v>
      </c>
      <c r="AT316" s="355" t="str">
        <f t="shared" si="269"/>
        <v/>
      </c>
      <c r="AU316" s="356" t="str">
        <f t="shared" si="270"/>
        <v/>
      </c>
      <c r="AV316" s="356" t="str">
        <f>IF(OR(AI314="",AJ316=""),"",COUNTIF(ResultsTeams[Win],AI314&amp;"-"&amp;AJ316))</f>
        <v/>
      </c>
      <c r="AW316" s="356" t="str">
        <f>IF(OR(AI314="",AJ316=""),"",COUNTIF(ResultsTeams[[Draw1]:[Draw2]],AI314&amp;"-"&amp;AJ316))</f>
        <v/>
      </c>
      <c r="AX316" s="356" t="str">
        <f>IF(OR(AI314="",AJ316=""),"",COUNTIF(ResultsTeams[Lose],AI314&amp;"-"&amp;AJ316))</f>
        <v/>
      </c>
      <c r="AY316" s="356" t="str">
        <f>IF(OR(AI314="",AJ316=""),"",AV316-AX316)</f>
        <v/>
      </c>
      <c r="AZ316" s="356" t="str">
        <f>IF(OR(AI315="",AJ316=""),"",SUMIFS(ResultsTeams[Match-A],ResultsTeams[Stage],"Groups",ResultsTeams[Team A],AJ316)+SUMIFS(ResultsTeams[Match-B],ResultsTeams[Stage],"Groups",ResultsTeams[Team B],AJ316))</f>
        <v/>
      </c>
      <c r="BA316" s="356" t="str">
        <f>IF(OR(AI315="",AJ316=""),"",SUMIFS(ResultsTeams[Match-B],ResultsTeams[Stage],"Groups",ResultsTeams[Team A],AJ316)+SUMIFS(ResultsTeams[Match-A],ResultsTeams[Stage],"Groups",ResultsTeams[Team B],AJ316))</f>
        <v/>
      </c>
      <c r="BB316" s="356" t="str">
        <f t="shared" ref="BB316:BB321" si="272">IF(OR(AI315="",AJ316=""),"",AZ316-BA316)</f>
        <v/>
      </c>
      <c r="BC316" s="356" t="str">
        <f>IF(OR(AI315="",AJ316=""),"",SUMIFS(ResultsTeams[Goal-A],ResultsTeams[Stage],"Groups",ResultsTeams[Team A],AJ316)+SUMIFS(ResultsTeams[Goal-B],ResultsTeams[Stage],"Groups",ResultsTeams[Team B],AJ316))</f>
        <v/>
      </c>
      <c r="BD316" s="356" t="str">
        <f>IF(OR(AI315="",AJ316=""),"",SUMIFS(ResultsTeams[Goal-B],ResultsTeams[Stage],"Groups",ResultsTeams[Team A],AJ316)+SUMIFS(ResultsTeams[Goal-A],ResultsTeams[Stage],"Groups",ResultsTeams[Team B],AJ316))</f>
        <v/>
      </c>
      <c r="BE316" s="357" t="str">
        <f>IF(OR(AI314="",AJ316=""),"",BC316-BD316)</f>
        <v/>
      </c>
      <c r="BF316" s="470" t="str">
        <f>IF(AM316="","",OR(VLOOKUP(AM316,AN315:BE321,3,FALSE),VLOOKUP(AM316,AN315:BE321,6,FALSE)))</f>
        <v/>
      </c>
      <c r="BG316" s="298" t="str">
        <f t="shared" si="271"/>
        <v/>
      </c>
      <c r="BH316" s="285" t="str">
        <f>IF(AM316="","",INDEX(AJ315:AJ321,MATCH(AM316,AN315:AN321,0)))</f>
        <v/>
      </c>
      <c r="BI316" s="286" t="str">
        <f>IF(AM316="","",VLOOKUP(AM316,AN315:BE321,COLUMN()-COLUMN(BB314),FALSE))</f>
        <v/>
      </c>
      <c r="BJ316" s="286" t="str">
        <f>IF(AM316="","",VLOOKUP(AM316,AN315:BE321,COLUMN()-COLUMN(BB314),FALSE))</f>
        <v/>
      </c>
      <c r="BK316" s="286" t="str">
        <f>IF(AM316="","",VLOOKUP(AM316,AN315:BE321,COLUMN()-COLUMN(BB314),FALSE))</f>
        <v/>
      </c>
      <c r="BL316" s="286" t="str">
        <f>IF(AM316="","",VLOOKUP(AM316,AN315:BE321,COLUMN()-COLUMN(BB314),FALSE))</f>
        <v/>
      </c>
      <c r="BM316" s="286" t="str">
        <f>IF(AM316="","",VLOOKUP(AM316,AN315:BE321,COLUMN()-COLUMN(BB314),FALSE))</f>
        <v/>
      </c>
      <c r="BN316" s="349" t="str">
        <f>IF(AM316="","",VLOOKUP(AM316,AN315:BE321,COLUMN()-COLUMN(BB314),FALSE))</f>
        <v/>
      </c>
      <c r="BO316" s="298" t="str">
        <f>IF(AM316="","",VLOOKUP(AM316,AN315:BE321,COLUMN()-COLUMN(BB314),FALSE))</f>
        <v/>
      </c>
      <c r="BP316" s="286" t="str">
        <f>IF(AM316="","",VLOOKUP(AM316,AN315:BE321,COLUMN()-COLUMN(BB314),FALSE))</f>
        <v/>
      </c>
      <c r="BQ316" s="301" t="str">
        <f>IF(AM316="","",VLOOKUP(AM316,AN315:BE321,COLUMN()-COLUMN(BB314),FALSE))</f>
        <v/>
      </c>
      <c r="BR316" s="352" t="str">
        <f>IF(AM316="","",VLOOKUP(AM316,AN315:BE321,COLUMN()-COLUMN(BB314),FALSE))</f>
        <v/>
      </c>
      <c r="BS316" s="286" t="str">
        <f>IF(AM316="","",VLOOKUP(AM316,AN315:BE321,COLUMN()-COLUMN(BB314),FALSE))</f>
        <v/>
      </c>
      <c r="BT316" s="301" t="str">
        <f>IF(AM316="","",VLOOKUP(AM316,AN315:BE321,COLUMN()-COLUMN(BB314),FALSE))</f>
        <v/>
      </c>
    </row>
    <row r="317" spans="1:72" x14ac:dyDescent="0.2">
      <c r="A317" s="62"/>
      <c r="B317" s="280"/>
      <c r="C317" s="62"/>
      <c r="D317" s="62"/>
      <c r="E317" s="241" t="s">
        <v>12240</v>
      </c>
      <c r="F317" s="246" t="s">
        <v>10085</v>
      </c>
      <c r="G317" s="246" t="s">
        <v>8722</v>
      </c>
      <c r="H317" s="254">
        <v>4</v>
      </c>
      <c r="I317" s="254">
        <v>0</v>
      </c>
      <c r="J317" s="254"/>
      <c r="K317" s="363"/>
      <c r="L317" s="363"/>
      <c r="M317" s="247"/>
      <c r="N317" s="265" t="b">
        <f>NOT(ISERROR(ResultsTeams[[#This Row],[Goal-A]]+ResultsTeams[[#This Row],[Goal-B]]))</f>
        <v>1</v>
      </c>
      <c r="O317" s="265">
        <f>IF(ResultsTeams[[#This Row],[Type]]="G",SUM(O318:O321),IF(LEFT(ResultsTeams[[#This Row],[Type]],1)="P",IF(ResultsTeams[[#This Row],[Goal-A]]&gt;ResultsTeams[[#This Row],[Goal-B]],1,0),""))</f>
        <v>1</v>
      </c>
      <c r="P317" s="265">
        <f>IF(ResultsTeams[[#This Row],[Type]]="G",SUM(P318:P321),IF(LEFT(ResultsTeams[[#This Row],[Type]],1)="P",IF(ResultsTeams[[#This Row],[Goal-A]]&lt;ResultsTeams[[#This Row],[Goal-B]],1,0),""))</f>
        <v>0</v>
      </c>
      <c r="Q317" s="265">
        <f>IF(ResultsTeams[[#This Row],[Type]]="G",SUM(Q318:Q321),IF(LEFT(ResultsTeams[[#This Row],[Type]],1)="P",VALUE(ResultsTeams[[#This Row],[Score-A]]),""))</f>
        <v>4</v>
      </c>
      <c r="R317" s="265">
        <f>IF(ResultsTeams[[#This Row],[Type]]="G",SUM(R318:R321),IF(LEFT(ResultsTeams[[#This Row],[Type]],1)="P",VALUE(ResultsTeams[[#This Row],[Score-B]]),""))</f>
        <v>0</v>
      </c>
      <c r="S317" s="265" t="str">
        <f ca="1">IF(AND(ResultsTeams[[#This Row],[Category]]&lt;&gt;"",ResultsTeams[[#This Row],[Team A]]&lt;&gt;""),COUNTIF(INDIRECT("TeamsList[Club Name]"),ResultsTeams[[#This Row],[Team A]]),"")</f>
        <v/>
      </c>
      <c r="T317" s="265" t="str">
        <f ca="1">IF(AND(ResultsTeams[[#This Row],[Category]]&lt;&gt;"",ResultsTeams[[#This Row],[Team B]]&lt;&gt;""),COUNTIF(INDIRECT("TeamsList[Club Name]"),ResultsTeams[[#This Row],[Team B]]),"")</f>
        <v/>
      </c>
      <c r="U3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-Claudio Dogali</v>
      </c>
      <c r="V317" s="265" t="str">
        <f>IF(ResultsTeams[[#This Row],[Score_OK]],IF(ResultsTeams[[#This Row],[StageCpy]]="Groups",ResultsTeams[[#This Row],[Category]]&amp;"-"&amp;IF(ResultsTeams[[#This Row],[Team B]]="","",IF(ResultsTeams[[#This Row],[Match-A]]=ResultsTeams[[#This Row],[Match-B]],ResultsTeams[[#This Row],[Team A]],"")),""),"")</f>
        <v>-</v>
      </c>
      <c r="W317" s="265" t="str">
        <f>IF(ResultsTeams[[#This Row],[Score_OK]],IF(ResultsTeams[[#This Row],[StageCpy]]="Groups",ResultsTeams[[#This Row],[Category]]&amp;"-"&amp;IF(ResultsTeams[[#This Row],[Team B]]="","",IF(ResultsTeams[[#This Row],[Match-A]]=ResultsTeams[[#This Row],[Match-B]],ResultsTeams[[#This Row],[Team B]],"")),""),"")</f>
        <v>-</v>
      </c>
      <c r="X3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-Louis Soret</v>
      </c>
      <c r="Y3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7" s="264" t="str">
        <f>IF(ResultsTeams[[#This Row],[Category]]="","",VLOOKUP(ResultsTeams[[#This Row],[Stage]],$R$1:$T$8,MATCH(ResultsTeams[[#This Row],[Category]],$S$1:$T$1,0)+1,FALSE))</f>
        <v/>
      </c>
      <c r="AC3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7" s="264" t="str">
        <f>IF(ResultsTeams[[#This Row],[Type]]="G",ResultsTeams[[#This Row],[Stage]],AD316)</f>
        <v>Groups</v>
      </c>
      <c r="AE317" s="395" t="str">
        <f>IF(ResultsTeams[[#This Row],[Type]]="G",INDEX(TeamsList[Club Name],MATCH(ResultsTeams[[#This Row],[Team A]],TeamsList[Team Name],0)),AE316)</f>
        <v>Master Sanremo</v>
      </c>
      <c r="AF317" s="395" t="str">
        <f>IF(ResultsTeams[[#This Row],[Type]]="G",INDEX(TeamsList[Club Name],MATCH(ResultsTeams[[#This Row],[Team B]],TeamsList[Team Name],0)),AF316)</f>
        <v>Avenir Subbuteo Hennuyer</v>
      </c>
      <c r="AG317" s="265"/>
      <c r="AI317" s="12">
        <f t="shared" ref="AI317:AI321" si="273">AI316</f>
        <v>0</v>
      </c>
      <c r="AJ317" s="309"/>
      <c r="AK317" s="320"/>
      <c r="AL317" s="311"/>
      <c r="AM317" s="292" t="str">
        <f>IF(AV317="","",SMALL(AN315:AN321,ROWS(AM315:AM317)))</f>
        <v/>
      </c>
      <c r="AN317" s="293" t="str">
        <f>IF(AV317="","",RANK(AR317,AR315:AR321)*1000+ROWS(AN315:AN317))</f>
        <v/>
      </c>
      <c r="AO317" s="316" t="str">
        <f t="shared" si="266"/>
        <v/>
      </c>
      <c r="AP317" s="415" t="b">
        <f>AND(AU317&lt;&gt;"",AU317&gt;0,COUNTIF(AO315:AO321,AO317)&gt;1)</f>
        <v>0</v>
      </c>
      <c r="AQ317" s="316" t="str">
        <f t="shared" si="267"/>
        <v/>
      </c>
      <c r="AR317" s="317" t="str">
        <f t="shared" si="268"/>
        <v/>
      </c>
      <c r="AS317" s="415" t="b">
        <f>AND(AU317&lt;&gt;"",AU317&gt;0,COUNTIF(AR315:AR321,AR317)&gt;1)</f>
        <v>0</v>
      </c>
      <c r="AT317" s="355" t="str">
        <f t="shared" si="269"/>
        <v/>
      </c>
      <c r="AU317" s="356" t="str">
        <f t="shared" si="270"/>
        <v/>
      </c>
      <c r="AV317" s="356" t="str">
        <f>IF(OR(AI314="",AJ317=""),"",COUNTIF(ResultsTeams[Win],AI314&amp;"-"&amp;AJ317))</f>
        <v/>
      </c>
      <c r="AW317" s="356" t="str">
        <f>IF(OR(AI314="",AJ317=""),"",COUNTIF(ResultsTeams[[Draw1]:[Draw2]],AI314&amp;"-"&amp;AJ317))</f>
        <v/>
      </c>
      <c r="AX317" s="356" t="str">
        <f>IF(OR(AI314="",AJ317=""),"",COUNTIF(ResultsTeams[Lose],AI314&amp;"-"&amp;AJ317))</f>
        <v/>
      </c>
      <c r="AY317" s="356" t="str">
        <f>IF(OR(AI314="",AJ317=""),"",AV317-AX317)</f>
        <v/>
      </c>
      <c r="AZ317" s="356" t="str">
        <f>IF(OR(AI316="",AJ317=""),"",SUMIFS(ResultsTeams[Match-A],ResultsTeams[Stage],"Groups",ResultsTeams[Team A],AJ317)+SUMIFS(ResultsTeams[Match-B],ResultsTeams[Stage],"Groups",ResultsTeams[Team B],AJ317))</f>
        <v/>
      </c>
      <c r="BA317" s="356" t="str">
        <f>IF(OR(AI316="",AJ317=""),"",SUMIFS(ResultsTeams[Match-B],ResultsTeams[Stage],"Groups",ResultsTeams[Team A],AJ317)+SUMIFS(ResultsTeams[Match-A],ResultsTeams[Stage],"Groups",ResultsTeams[Team B],AJ317))</f>
        <v/>
      </c>
      <c r="BB317" s="356" t="str">
        <f t="shared" si="272"/>
        <v/>
      </c>
      <c r="BC317" s="356" t="str">
        <f>IF(OR(AI316="",AJ317=""),"",SUMIFS(ResultsTeams[Goal-A],ResultsTeams[Stage],"Groups",ResultsTeams[Team A],AJ317)+SUMIFS(ResultsTeams[Goal-B],ResultsTeams[Stage],"Groups",ResultsTeams[Team B],AJ317))</f>
        <v/>
      </c>
      <c r="BD317" s="356" t="str">
        <f>IF(OR(AI316="",AJ317=""),"",SUMIFS(ResultsTeams[Goal-B],ResultsTeams[Stage],"Groups",ResultsTeams[Team A],AJ317)+SUMIFS(ResultsTeams[Goal-A],ResultsTeams[Stage],"Groups",ResultsTeams[Team B],AJ317))</f>
        <v/>
      </c>
      <c r="BE317" s="357" t="str">
        <f>IF(OR(AI314="",AJ317=""),"",BC317-BD317)</f>
        <v/>
      </c>
      <c r="BF317" s="470" t="str">
        <f>IF(AM317="","",OR(VLOOKUP(AM317,AN315:BE321,3,FALSE),VLOOKUP(AM317,AN315:BE321,6,FALSE)))</f>
        <v/>
      </c>
      <c r="BG317" s="298" t="str">
        <f t="shared" si="271"/>
        <v/>
      </c>
      <c r="BH317" s="285" t="str">
        <f>IF(AM317="","",INDEX(AJ315:AJ321,MATCH(AM317,AN315:AN321,0)))</f>
        <v/>
      </c>
      <c r="BI317" s="286" t="str">
        <f>IF(AM317="","",VLOOKUP(AM317,AN315:BE321,COLUMN()-COLUMN(BB314),FALSE))</f>
        <v/>
      </c>
      <c r="BJ317" s="286" t="str">
        <f>IF(AM317="","",VLOOKUP(AM317,AN315:BE321,COLUMN()-COLUMN(BB314),FALSE))</f>
        <v/>
      </c>
      <c r="BK317" s="286" t="str">
        <f>IF(AM317="","",VLOOKUP(AM317,AN315:BE321,COLUMN()-COLUMN(BB314),FALSE))</f>
        <v/>
      </c>
      <c r="BL317" s="286" t="str">
        <f>IF(AM317="","",VLOOKUP(AM317,AN315:BE321,COLUMN()-COLUMN(BB314),FALSE))</f>
        <v/>
      </c>
      <c r="BM317" s="286" t="str">
        <f>IF(AM317="","",VLOOKUP(AM317,AN315:BE321,COLUMN()-COLUMN(BB314),FALSE))</f>
        <v/>
      </c>
      <c r="BN317" s="349" t="str">
        <f>IF(AM317="","",VLOOKUP(AM317,AN315:BE321,COLUMN()-COLUMN(BB314),FALSE))</f>
        <v/>
      </c>
      <c r="BO317" s="298" t="str">
        <f>IF(AM317="","",VLOOKUP(AM317,AN315:BE321,COLUMN()-COLUMN(BB314),FALSE))</f>
        <v/>
      </c>
      <c r="BP317" s="286" t="str">
        <f>IF(AM317="","",VLOOKUP(AM317,AN315:BE321,COLUMN()-COLUMN(BB314),FALSE))</f>
        <v/>
      </c>
      <c r="BQ317" s="301" t="str">
        <f>IF(AM317="","",VLOOKUP(AM317,AN315:BE321,COLUMN()-COLUMN(BB314),FALSE))</f>
        <v/>
      </c>
      <c r="BR317" s="352" t="str">
        <f>IF(AM317="","",VLOOKUP(AM317,AN315:BE321,COLUMN()-COLUMN(BB314),FALSE))</f>
        <v/>
      </c>
      <c r="BS317" s="286" t="str">
        <f>IF(AM317="","",VLOOKUP(AM317,AN315:BE321,COLUMN()-COLUMN(BB314),FALSE))</f>
        <v/>
      </c>
      <c r="BT317" s="301" t="str">
        <f>IF(AM317="","",VLOOKUP(AM317,AN315:BE321,COLUMN()-COLUMN(BB314),FALSE))</f>
        <v/>
      </c>
    </row>
    <row r="318" spans="1:72" x14ac:dyDescent="0.2">
      <c r="A318" s="62"/>
      <c r="B318" s="62"/>
      <c r="C318" s="62"/>
      <c r="D318" s="62"/>
      <c r="E318" s="241" t="s">
        <v>12243</v>
      </c>
      <c r="F318" s="247" t="s">
        <v>10253</v>
      </c>
      <c r="G318" s="247"/>
      <c r="H318" s="254"/>
      <c r="I318" s="254"/>
      <c r="J318" s="260"/>
      <c r="K318" s="364"/>
      <c r="L318" s="364"/>
      <c r="M318" s="247"/>
      <c r="N318" s="265" t="b">
        <f>NOT(ISERROR(ResultsTeams[[#This Row],[Goal-A]]+ResultsTeams[[#This Row],[Goal-B]]))</f>
        <v>0</v>
      </c>
      <c r="O318" s="265" t="str">
        <f>IF(ResultsTeams[[#This Row],[Type]]="G",SUM(O319:O322),IF(LEFT(ResultsTeams[[#This Row],[Type]],1)="P",IF(ResultsTeams[[#This Row],[Goal-A]]&gt;ResultsTeams[[#This Row],[Goal-B]],1,0),""))</f>
        <v/>
      </c>
      <c r="P318" s="265" t="str">
        <f>IF(ResultsTeams[[#This Row],[Type]]="G",SUM(P319:P322),IF(LEFT(ResultsTeams[[#This Row],[Type]],1)="P",IF(ResultsTeams[[#This Row],[Goal-A]]&lt;ResultsTeams[[#This Row],[Goal-B]],1,0),""))</f>
        <v/>
      </c>
      <c r="Q318" s="265" t="str">
        <f>IF(ResultsTeams[[#This Row],[Type]]="G",SUM(Q319:Q322),IF(LEFT(ResultsTeams[[#This Row],[Type]],1)="P",VALUE(ResultsTeams[[#This Row],[Score-A]]),""))</f>
        <v/>
      </c>
      <c r="R318" s="265" t="str">
        <f>IF(ResultsTeams[[#This Row],[Type]]="G",SUM(R319:R322),IF(LEFT(ResultsTeams[[#This Row],[Type]],1)="P",VALUE(ResultsTeams[[#This Row],[Score-B]]),""))</f>
        <v/>
      </c>
      <c r="S318" s="265" t="str">
        <f ca="1">IF(AND(ResultsTeams[[#This Row],[Category]]&lt;&gt;"",ResultsTeams[[#This Row],[Team A]]&lt;&gt;""),COUNTIF(INDIRECT("TeamsList[Club Name]"),ResultsTeams[[#This Row],[Team A]]),"")</f>
        <v/>
      </c>
      <c r="T318" s="265" t="str">
        <f ca="1">IF(AND(ResultsTeams[[#This Row],[Category]]&lt;&gt;"",ResultsTeams[[#This Row],[Team B]]&lt;&gt;""),COUNTIF(INDIRECT("TeamsList[Club Name]"),ResultsTeams[[#This Row],[Team B]]),"")</f>
        <v/>
      </c>
      <c r="U3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8" s="265" t="str">
        <f>IF(ResultsTeams[[#This Row],[Score_OK]],IF(ResultsTeams[[#This Row],[StageCpy]]="Groups",ResultsTeams[[#This Row],[Category]]&amp;"-"&amp;IF(ResultsTeams[[#This Row],[Team B]]="","",IF(ResultsTeams[[#This Row],[Match-A]]=ResultsTeams[[#This Row],[Match-B]],ResultsTeams[[#This Row],[Team A]],"")),""),"")</f>
        <v/>
      </c>
      <c r="W318" s="265" t="str">
        <f>IF(ResultsTeams[[#This Row],[Score_OK]],IF(ResultsTeams[[#This Row],[StageCpy]]="Groups",ResultsTeams[[#This Row],[Category]]&amp;"-"&amp;IF(ResultsTeams[[#This Row],[Team B]]="","",IF(ResultsTeams[[#This Row],[Match-A]]=ResultsTeams[[#This Row],[Match-B]],ResultsTeams[[#This Row],[Team B]],"")),""),"")</f>
        <v/>
      </c>
      <c r="X3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8" s="264" t="str">
        <f>IF(ResultsTeams[[#This Row],[Category]]="","",VLOOKUP(ResultsTeams[[#This Row],[Stage]],$R$1:$T$8,MATCH(ResultsTeams[[#This Row],[Category]],$S$1:$T$1,0)+1,FALSE))</f>
        <v/>
      </c>
      <c r="AC3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8" s="264" t="str">
        <f>IF(ResultsTeams[[#This Row],[Type]]="G",ResultsTeams[[#This Row],[Stage]],AD317)</f>
        <v>Groups</v>
      </c>
      <c r="AE318" s="395" t="str">
        <f>IF(ResultsTeams[[#This Row],[Type]]="G",INDEX(TeamsList[Club Name],MATCH(ResultsTeams[[#This Row],[Team A]],TeamsList[Team Name],0)),AE317)</f>
        <v>Master Sanremo</v>
      </c>
      <c r="AF318" s="395" t="str">
        <f>IF(ResultsTeams[[#This Row],[Type]]="G",INDEX(TeamsList[Club Name],MATCH(ResultsTeams[[#This Row],[Team B]],TeamsList[Team Name],0)),AF317)</f>
        <v>Avenir Subbuteo Hennuyer</v>
      </c>
      <c r="AG318" s="265"/>
      <c r="AH318" s="91"/>
      <c r="AI318" s="12">
        <f t="shared" si="273"/>
        <v>0</v>
      </c>
      <c r="AJ318" s="309"/>
      <c r="AK318" s="310"/>
      <c r="AL318" s="311"/>
      <c r="AM318" s="292" t="str">
        <f>IF(AV318="","",SMALL(AN315:AN321,ROWS(AM315:AM318)))</f>
        <v/>
      </c>
      <c r="AN318" s="293" t="str">
        <f>IF(AV318="","",RANK(AR318,AR315:AR321)*1000+ROWS(AN315:AN318))</f>
        <v/>
      </c>
      <c r="AO318" s="316" t="str">
        <f t="shared" si="266"/>
        <v/>
      </c>
      <c r="AP318" s="415" t="b">
        <f>AND(AU318&lt;&gt;"",AU318&gt;0,COUNTIF(AO315:AO321,AO318)&gt;1)</f>
        <v>0</v>
      </c>
      <c r="AQ318" s="316" t="str">
        <f t="shared" si="267"/>
        <v/>
      </c>
      <c r="AR318" s="317" t="str">
        <f t="shared" si="268"/>
        <v/>
      </c>
      <c r="AS318" s="415" t="b">
        <f>AND(AU318&lt;&gt;"",AU318&gt;0,COUNTIF(AR315:AR321,AR318)&gt;1)</f>
        <v>0</v>
      </c>
      <c r="AT318" s="355" t="str">
        <f t="shared" si="269"/>
        <v/>
      </c>
      <c r="AU318" s="356" t="str">
        <f t="shared" si="270"/>
        <v/>
      </c>
      <c r="AV318" s="356" t="str">
        <f>IF(OR(AI314="",AJ318=""),"",COUNTIF(ResultsTeams[Win],AI314&amp;"-"&amp;AJ318))</f>
        <v/>
      </c>
      <c r="AW318" s="356" t="str">
        <f>IF(OR(AI314="",AJ318=""),"",COUNTIF(ResultsTeams[[Draw1]:[Draw2]],AI314&amp;"-"&amp;AJ318))</f>
        <v/>
      </c>
      <c r="AX318" s="356" t="str">
        <f>IF(OR(AI314="",AJ318=""),"",COUNTIF(ResultsTeams[Lose],AI314&amp;"-"&amp;AJ318))</f>
        <v/>
      </c>
      <c r="AY318" s="356" t="str">
        <f>IF(OR(AI314="",AJ318=""),"",AV318-AX318)</f>
        <v/>
      </c>
      <c r="AZ318" s="356" t="str">
        <f>IF(OR(AI317="",AJ318=""),"",SUMIFS(ResultsTeams[Match-A],ResultsTeams[Stage],"Groups",ResultsTeams[Team A],AJ318)+SUMIFS(ResultsTeams[Match-B],ResultsTeams[Stage],"Groups",ResultsTeams[Team B],AJ318))</f>
        <v/>
      </c>
      <c r="BA318" s="356" t="str">
        <f>IF(OR(AI317="",AJ318=""),"",SUMIFS(ResultsTeams[Match-B],ResultsTeams[Stage],"Groups",ResultsTeams[Team A],AJ318)+SUMIFS(ResultsTeams[Match-A],ResultsTeams[Stage],"Groups",ResultsTeams[Team B],AJ318))</f>
        <v/>
      </c>
      <c r="BB318" s="356" t="str">
        <f t="shared" si="272"/>
        <v/>
      </c>
      <c r="BC318" s="356" t="str">
        <f>IF(OR(AI317="",AJ318=""),"",SUMIFS(ResultsTeams[Goal-A],ResultsTeams[Stage],"Groups",ResultsTeams[Team A],AJ318)+SUMIFS(ResultsTeams[Goal-B],ResultsTeams[Stage],"Groups",ResultsTeams[Team B],AJ318))</f>
        <v/>
      </c>
      <c r="BD318" s="356" t="str">
        <f>IF(OR(AI317="",AJ318=""),"",SUMIFS(ResultsTeams[Goal-B],ResultsTeams[Stage],"Groups",ResultsTeams[Team A],AJ318)+SUMIFS(ResultsTeams[Goal-A],ResultsTeams[Stage],"Groups",ResultsTeams[Team B],AJ318))</f>
        <v/>
      </c>
      <c r="BE318" s="357" t="str">
        <f>IF(OR(AI314="",AJ318=""),"",BC318-BD318)</f>
        <v/>
      </c>
      <c r="BF318" s="470" t="str">
        <f>IF(AM318="","",OR(VLOOKUP(AM318,AN315:BE321,3,FALSE),VLOOKUP(AM318,AN315:BE321,6,FALSE)))</f>
        <v/>
      </c>
      <c r="BG318" s="298" t="str">
        <f t="shared" si="271"/>
        <v/>
      </c>
      <c r="BH318" s="285" t="str">
        <f>IF(AM318="","",INDEX(AJ315:AJ321,MATCH(AM318,AN315:AN321,0)))</f>
        <v/>
      </c>
      <c r="BI318" s="286" t="str">
        <f>IF(AM318="","",VLOOKUP(AM318,AN315:BE321,COLUMN()-COLUMN(BB314),FALSE))</f>
        <v/>
      </c>
      <c r="BJ318" s="286" t="str">
        <f>IF(AM318="","",VLOOKUP(AM318,AN315:BE321,COLUMN()-COLUMN(BB314),FALSE))</f>
        <v/>
      </c>
      <c r="BK318" s="286" t="str">
        <f>IF(AM318="","",VLOOKUP(AM318,AN315:BE321,COLUMN()-COLUMN(BB314),FALSE))</f>
        <v/>
      </c>
      <c r="BL318" s="286" t="str">
        <f>IF(AM318="","",VLOOKUP(AM318,AN315:BE321,COLUMN()-COLUMN(BB314),FALSE))</f>
        <v/>
      </c>
      <c r="BM318" s="286" t="str">
        <f>IF(AM318="","",VLOOKUP(AM318,AN315:BE321,COLUMN()-COLUMN(BB314),FALSE))</f>
        <v/>
      </c>
      <c r="BN318" s="349" t="str">
        <f>IF(AM318="","",VLOOKUP(AM318,AN315:BE321,COLUMN()-COLUMN(BB314),FALSE))</f>
        <v/>
      </c>
      <c r="BO318" s="298" t="str">
        <f>IF(AM318="","",VLOOKUP(AM318,AN315:BE321,COLUMN()-COLUMN(BB314),FALSE))</f>
        <v/>
      </c>
      <c r="BP318" s="286" t="str">
        <f>IF(AM318="","",VLOOKUP(AM318,AN315:BE321,COLUMN()-COLUMN(BB314),FALSE))</f>
        <v/>
      </c>
      <c r="BQ318" s="301" t="str">
        <f>IF(AM318="","",VLOOKUP(AM318,AN315:BE321,COLUMN()-COLUMN(BB314),FALSE))</f>
        <v/>
      </c>
      <c r="BR318" s="352" t="str">
        <f>IF(AM318="","",VLOOKUP(AM318,AN315:BE321,COLUMN()-COLUMN(BB314),FALSE))</f>
        <v/>
      </c>
      <c r="BS318" s="286" t="str">
        <f>IF(AM318="","",VLOOKUP(AM318,AN315:BE321,COLUMN()-COLUMN(BB314),FALSE))</f>
        <v/>
      </c>
      <c r="BT318" s="301" t="str">
        <f>IF(AM318="","",VLOOKUP(AM318,AN315:BE321,COLUMN()-COLUMN(BB314),FALSE))</f>
        <v/>
      </c>
    </row>
    <row r="319" spans="1:72" ht="12" thickBot="1" x14ac:dyDescent="0.25">
      <c r="A319" s="83"/>
      <c r="B319" s="83"/>
      <c r="C319" s="83"/>
      <c r="D319" s="83"/>
      <c r="E319" s="268" t="s">
        <v>12244</v>
      </c>
      <c r="F319" s="262"/>
      <c r="G319" s="262"/>
      <c r="H319" s="324"/>
      <c r="I319" s="324"/>
      <c r="J319" s="263"/>
      <c r="K319" s="365"/>
      <c r="L319" s="365"/>
      <c r="M319" s="262"/>
      <c r="N319" s="265" t="b">
        <f>NOT(ISERROR(ResultsTeams[[#This Row],[Goal-A]]+ResultsTeams[[#This Row],[Goal-B]]))</f>
        <v>0</v>
      </c>
      <c r="O319" s="265" t="str">
        <f>IF(ResultsTeams[[#This Row],[Type]]="G",SUM(O320:O323),IF(LEFT(ResultsTeams[[#This Row],[Type]],1)="P",IF(ResultsTeams[[#This Row],[Goal-A]]&gt;ResultsTeams[[#This Row],[Goal-B]],1,0),""))</f>
        <v/>
      </c>
      <c r="P319" s="265" t="str">
        <f>IF(ResultsTeams[[#This Row],[Type]]="G",SUM(P320:P323),IF(LEFT(ResultsTeams[[#This Row],[Type]],1)="P",IF(ResultsTeams[[#This Row],[Goal-A]]&lt;ResultsTeams[[#This Row],[Goal-B]],1,0),""))</f>
        <v/>
      </c>
      <c r="Q319" s="265" t="str">
        <f>IF(ResultsTeams[[#This Row],[Type]]="G",SUM(Q320:Q323),IF(LEFT(ResultsTeams[[#This Row],[Type]],1)="P",VALUE(ResultsTeams[[#This Row],[Score-A]]),""))</f>
        <v/>
      </c>
      <c r="R319" s="265" t="str">
        <f>IF(ResultsTeams[[#This Row],[Type]]="G",SUM(R320:R323),IF(LEFT(ResultsTeams[[#This Row],[Type]],1)="P",VALUE(ResultsTeams[[#This Row],[Score-B]]),""))</f>
        <v/>
      </c>
      <c r="S319" s="265" t="str">
        <f ca="1">IF(AND(ResultsTeams[[#This Row],[Category]]&lt;&gt;"",ResultsTeams[[#This Row],[Team A]]&lt;&gt;""),COUNTIF(INDIRECT("TeamsList[Club Name]"),ResultsTeams[[#This Row],[Team A]]),"")</f>
        <v/>
      </c>
      <c r="T319" s="265" t="str">
        <f ca="1">IF(AND(ResultsTeams[[#This Row],[Category]]&lt;&gt;"",ResultsTeams[[#This Row],[Team B]]&lt;&gt;""),COUNTIF(INDIRECT("TeamsList[Club Name]"),ResultsTeams[[#This Row],[Team B]]),"")</f>
        <v/>
      </c>
      <c r="U3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9" s="265" t="str">
        <f>IF(ResultsTeams[[#This Row],[Score_OK]],IF(ResultsTeams[[#This Row],[StageCpy]]="Groups",ResultsTeams[[#This Row],[Category]]&amp;"-"&amp;IF(ResultsTeams[[#This Row],[Team B]]="","",IF(ResultsTeams[[#This Row],[Match-A]]=ResultsTeams[[#This Row],[Match-B]],ResultsTeams[[#This Row],[Team A]],"")),""),"")</f>
        <v/>
      </c>
      <c r="W319" s="265" t="str">
        <f>IF(ResultsTeams[[#This Row],[Score_OK]],IF(ResultsTeams[[#This Row],[StageCpy]]="Groups",ResultsTeams[[#This Row],[Category]]&amp;"-"&amp;IF(ResultsTeams[[#This Row],[Team B]]="","",IF(ResultsTeams[[#This Row],[Match-A]]=ResultsTeams[[#This Row],[Match-B]],ResultsTeams[[#This Row],[Team B]],"")),""),"")</f>
        <v/>
      </c>
      <c r="X3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9" s="264" t="str">
        <f>IF(ResultsTeams[[#This Row],[Category]]="","",VLOOKUP(ResultsTeams[[#This Row],[Stage]],$R$1:$T$8,MATCH(ResultsTeams[[#This Row],[Category]],$S$1:$T$1,0)+1,FALSE))</f>
        <v/>
      </c>
      <c r="AC3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9" s="264" t="str">
        <f>IF(ResultsTeams[[#This Row],[Type]]="G",ResultsTeams[[#This Row],[Stage]],AD318)</f>
        <v>Groups</v>
      </c>
      <c r="AE319" s="395" t="str">
        <f>IF(ResultsTeams[[#This Row],[Type]]="G",INDEX(TeamsList[Club Name],MATCH(ResultsTeams[[#This Row],[Team A]],TeamsList[Team Name],0)),AE318)</f>
        <v>Master Sanremo</v>
      </c>
      <c r="AF319" s="395" t="str">
        <f>IF(ResultsTeams[[#This Row],[Type]]="G",INDEX(TeamsList[Club Name],MATCH(ResultsTeams[[#This Row],[Team B]],TeamsList[Team Name],0)),AF318)</f>
        <v>Avenir Subbuteo Hennuyer</v>
      </c>
      <c r="AG319" s="265"/>
      <c r="AH319" s="91"/>
      <c r="AI319" s="12">
        <f t="shared" si="273"/>
        <v>0</v>
      </c>
      <c r="AJ319" s="309"/>
      <c r="AK319" s="310"/>
      <c r="AL319" s="311"/>
      <c r="AM319" s="292" t="str">
        <f>IF(AV319="","",SMALL(AN315:AN321,ROWS(AM315:AM319)))</f>
        <v/>
      </c>
      <c r="AN319" s="293" t="str">
        <f>IF(AV319="","",RANK(AR319,AR315:AR321)*1000+ROWS(AN315:AN319))</f>
        <v/>
      </c>
      <c r="AO319" s="316" t="str">
        <f t="shared" si="266"/>
        <v/>
      </c>
      <c r="AP319" s="415" t="b">
        <f>AND(AU319&lt;&gt;"",AU319&gt;0,COUNTIF(AO315:AO321,AO319)&gt;1)</f>
        <v>0</v>
      </c>
      <c r="AQ319" s="316" t="str">
        <f t="shared" si="267"/>
        <v/>
      </c>
      <c r="AR319" s="317" t="str">
        <f t="shared" si="268"/>
        <v/>
      </c>
      <c r="AS319" s="415" t="b">
        <f>AND(AU319&lt;&gt;"",AU319&gt;0,COUNTIF(AR315:AR321,AR319)&gt;1)</f>
        <v>0</v>
      </c>
      <c r="AT319" s="355" t="str">
        <f t="shared" si="269"/>
        <v/>
      </c>
      <c r="AU319" s="356" t="str">
        <f t="shared" si="270"/>
        <v/>
      </c>
      <c r="AV319" s="356" t="str">
        <f>IF(OR(AI314="",AJ319=""),"",COUNTIF(ResultsTeams[Win],AI314&amp;"-"&amp;AJ319))</f>
        <v/>
      </c>
      <c r="AW319" s="356" t="str">
        <f>IF(OR(AI314="",AJ319=""),"",COUNTIF(ResultsTeams[[Draw1]:[Draw2]],AI314&amp;"-"&amp;AJ319))</f>
        <v/>
      </c>
      <c r="AX319" s="356" t="str">
        <f>IF(OR(AI314="",AJ319=""),"",COUNTIF(ResultsTeams[Lose],AI314&amp;"-"&amp;AJ319))</f>
        <v/>
      </c>
      <c r="AY319" s="356" t="str">
        <f>IF(OR(AI314="",AJ319=""),"",AV319-AX319)</f>
        <v/>
      </c>
      <c r="AZ319" s="356" t="str">
        <f>IF(OR(AI318="",AJ319=""),"",SUMIFS(ResultsTeams[Match-A],ResultsTeams[Stage],"Groups",ResultsTeams[Team A],AJ319)+SUMIFS(ResultsTeams[Match-B],ResultsTeams[Stage],"Groups",ResultsTeams[Team B],AJ319))</f>
        <v/>
      </c>
      <c r="BA319" s="356" t="str">
        <f>IF(OR(AI318="",AJ319=""),"",SUMIFS(ResultsTeams[Match-B],ResultsTeams[Stage],"Groups",ResultsTeams[Team A],AJ319)+SUMIFS(ResultsTeams[Match-A],ResultsTeams[Stage],"Groups",ResultsTeams[Team B],AJ319))</f>
        <v/>
      </c>
      <c r="BB319" s="356" t="str">
        <f t="shared" si="272"/>
        <v/>
      </c>
      <c r="BC319" s="356" t="str">
        <f>IF(OR(AI318="",AJ319=""),"",SUMIFS(ResultsTeams[Goal-A],ResultsTeams[Stage],"Groups",ResultsTeams[Team A],AJ319)+SUMIFS(ResultsTeams[Goal-B],ResultsTeams[Stage],"Groups",ResultsTeams[Team B],AJ319))</f>
        <v/>
      </c>
      <c r="BD319" s="356" t="str">
        <f>IF(OR(AI318="",AJ319=""),"",SUMIFS(ResultsTeams[Goal-B],ResultsTeams[Stage],"Groups",ResultsTeams[Team A],AJ319)+SUMIFS(ResultsTeams[Goal-A],ResultsTeams[Stage],"Groups",ResultsTeams[Team B],AJ319))</f>
        <v/>
      </c>
      <c r="BE319" s="357" t="str">
        <f>IF(OR(AI314="",AJ319=""),"",BC319-BD319)</f>
        <v/>
      </c>
      <c r="BF319" s="470" t="str">
        <f>IF(AM319="","",OR(VLOOKUP(AM319,AN315:BE321,3,FALSE),VLOOKUP(AM319,AN315:BE321,6,FALSE)))</f>
        <v/>
      </c>
      <c r="BG319" s="298" t="str">
        <f t="shared" si="271"/>
        <v/>
      </c>
      <c r="BH319" s="285" t="str">
        <f>IF(AM319="","",INDEX(AJ315:AJ321,MATCH(AM319,AN315:AN321,0)))</f>
        <v/>
      </c>
      <c r="BI319" s="286" t="str">
        <f>IF(AM319="","",VLOOKUP(AM319,AN315:BE321,COLUMN()-COLUMN(BB314),FALSE))</f>
        <v/>
      </c>
      <c r="BJ319" s="286" t="str">
        <f>IF(AM319="","",VLOOKUP(AM319,AN315:BE321,COLUMN()-COLUMN(BB314),FALSE))</f>
        <v/>
      </c>
      <c r="BK319" s="286" t="str">
        <f>IF(AM319="","",VLOOKUP(AM319,AN315:BE321,COLUMN()-COLUMN(BB314),FALSE))</f>
        <v/>
      </c>
      <c r="BL319" s="286" t="str">
        <f>IF(AM319="","",VLOOKUP(AM319,AN315:BE321,COLUMN()-COLUMN(BB314),FALSE))</f>
        <v/>
      </c>
      <c r="BM319" s="286" t="str">
        <f>IF(AM319="","",VLOOKUP(AM319,AN315:BE321,COLUMN()-COLUMN(BB314),FALSE))</f>
        <v/>
      </c>
      <c r="BN319" s="349" t="str">
        <f>IF(AM319="","",VLOOKUP(AM319,AN315:BE321,COLUMN()-COLUMN(BB314),FALSE))</f>
        <v/>
      </c>
      <c r="BO319" s="298" t="str">
        <f>IF(AM319="","",VLOOKUP(AM319,AN315:BE321,COLUMN()-COLUMN(BB314),FALSE))</f>
        <v/>
      </c>
      <c r="BP319" s="286" t="str">
        <f>IF(AM319="","",VLOOKUP(AM319,AN315:BE321,COLUMN()-COLUMN(BB314),FALSE))</f>
        <v/>
      </c>
      <c r="BQ319" s="301" t="str">
        <f>IF(AM319="","",VLOOKUP(AM319,AN315:BE321,COLUMN()-COLUMN(BB314),FALSE))</f>
        <v/>
      </c>
      <c r="BR319" s="352" t="str">
        <f>IF(AM319="","",VLOOKUP(AM319,AN315:BE321,COLUMN()-COLUMN(BB314),FALSE))</f>
        <v/>
      </c>
      <c r="BS319" s="286" t="str">
        <f>IF(AM319="","",VLOOKUP(AM319,AN315:BE321,COLUMN()-COLUMN(BB314),FALSE))</f>
        <v/>
      </c>
      <c r="BT319" s="301" t="str">
        <f>IF(AM319="","",VLOOKUP(AM319,AN315:BE321,COLUMN()-COLUMN(BB314),FALSE))</f>
        <v/>
      </c>
    </row>
    <row r="320" spans="1:72" ht="12" thickBot="1" x14ac:dyDescent="0.25">
      <c r="A320" s="261" t="s">
        <v>12693</v>
      </c>
      <c r="B320" s="270" t="s">
        <v>12207</v>
      </c>
      <c r="C320" s="270">
        <v>8</v>
      </c>
      <c r="D320" s="270"/>
      <c r="E320" s="272" t="s">
        <v>12228</v>
      </c>
      <c r="F320" s="273" t="s">
        <v>535</v>
      </c>
      <c r="G320" s="273" t="s">
        <v>326</v>
      </c>
      <c r="H320" s="275">
        <v>4</v>
      </c>
      <c r="I320" s="275">
        <v>0</v>
      </c>
      <c r="J320" s="275"/>
      <c r="K320" s="366"/>
      <c r="L320" s="366"/>
      <c r="M320" s="274"/>
      <c r="N320" s="265" t="b">
        <f>NOT(ISERROR(ResultsTeams[[#This Row],[Goal-A]]+ResultsTeams[[#This Row],[Goal-B]]))</f>
        <v>1</v>
      </c>
      <c r="O320" s="265">
        <f>IF(ResultsTeams[[#This Row],[Type]]="G",SUM(O321:O324),IF(LEFT(ResultsTeams[[#This Row],[Type]],1)="P",IF(ResultsTeams[[#This Row],[Goal-A]]&gt;ResultsTeams[[#This Row],[Goal-B]],1,0),""))</f>
        <v>4</v>
      </c>
      <c r="P320" s="265">
        <f>IF(ResultsTeams[[#This Row],[Type]]="G",SUM(P321:P324),IF(LEFT(ResultsTeams[[#This Row],[Type]],1)="P",IF(ResultsTeams[[#This Row],[Goal-A]]&lt;ResultsTeams[[#This Row],[Goal-B]],1,0),""))</f>
        <v>0</v>
      </c>
      <c r="Q320" s="265">
        <f>IF(ResultsTeams[[#This Row],[Type]]="G",SUM(Q321:Q324),IF(LEFT(ResultsTeams[[#This Row],[Type]],1)="P",VALUE(ResultsTeams[[#This Row],[Score-A]]),""))</f>
        <v>12</v>
      </c>
      <c r="R320" s="265">
        <f>IF(ResultsTeams[[#This Row],[Type]]="G",SUM(R321:R324),IF(LEFT(ResultsTeams[[#This Row],[Type]],1)="P",VALUE(ResultsTeams[[#This Row],[Score-B]]),""))</f>
        <v>5</v>
      </c>
      <c r="S320" s="265">
        <f ca="1">IF(AND(ResultsTeams[[#This Row],[Category]]&lt;&gt;"",ResultsTeams[[#This Row],[Team A]]&lt;&gt;""),COUNTIF(INDIRECT("TeamsList[Club Name]"),ResultsTeams[[#This Row],[Team A]]),"")</f>
        <v>2</v>
      </c>
      <c r="T320" s="265">
        <f ca="1">IF(AND(ResultsTeams[[#This Row],[Category]]&lt;&gt;"",ResultsTeams[[#This Row],[Team B]]&lt;&gt;""),COUNTIF(INDIRECT("TeamsList[Club Name]"),ResultsTeams[[#This Row],[Team B]]),"")</f>
        <v>1</v>
      </c>
      <c r="U3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Caen</v>
      </c>
      <c r="V320" s="265" t="str">
        <f>IF(ResultsTeams[[#This Row],[Score_OK]],IF(ResultsTeams[[#This Row],[StageCpy]]="Groups",ResultsTeams[[#This Row],[Category]]&amp;"-"&amp;IF(ResultsTeams[[#This Row],[Team B]]="","",IF(ResultsTeams[[#This Row],[Match-A]]=ResultsTeams[[#This Row],[Match-B]],ResultsTeams[[#This Row],[Team A]],"")),""),"")</f>
        <v>TEAM-</v>
      </c>
      <c r="W320" s="265" t="str">
        <f>IF(ResultsTeams[[#This Row],[Score_OK]],IF(ResultsTeams[[#This Row],[StageCpy]]="Groups",ResultsTeams[[#This Row],[Category]]&amp;"-"&amp;IF(ResultsTeams[[#This Row],[Team B]]="","",IF(ResultsTeams[[#This Row],[Match-A]]=ResultsTeams[[#This Row],[Match-B]],ResultsTeams[[#This Row],[Team B]],"")),""),"")</f>
        <v>TEAM-</v>
      </c>
      <c r="X3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Flanders</v>
      </c>
      <c r="Y3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Flanders</v>
      </c>
      <c r="AA3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Flanders</v>
      </c>
      <c r="AB320" s="264" t="str">
        <f>IF(ResultsTeams[[#This Row],[Category]]="","",VLOOKUP(ResultsTeams[[#This Row],[Stage]],$R$1:$T$8,MATCH(ResultsTeams[[#This Row],[Category]],$S$1:$T$1,0)+1,FALSE))</f>
        <v>PR1</v>
      </c>
      <c r="AC3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0" s="264" t="str">
        <f>IF(ResultsTeams[[#This Row],[Type]]="G",ResultsTeams[[#This Row],[Stage]],AD319)</f>
        <v>Groups</v>
      </c>
      <c r="AE320" s="395" t="str">
        <f>IF(ResultsTeams[[#This Row],[Type]]="G",INDEX(TeamsList[Club Name],MATCH(ResultsTeams[[#This Row],[Team A]],TeamsList[Team Name],0)),AE319)</f>
        <v>FTC Caen</v>
      </c>
      <c r="AF320" s="395" t="str">
        <f>IF(ResultsTeams[[#This Row],[Type]]="G",INDEX(TeamsList[Club Name],MATCH(ResultsTeams[[#This Row],[Team B]],TeamsList[Team Name],0)),AF319)</f>
        <v>SC Flanders</v>
      </c>
      <c r="AG320" s="265"/>
      <c r="AI320" s="12">
        <f t="shared" si="273"/>
        <v>0</v>
      </c>
      <c r="AJ320" s="309"/>
      <c r="AK320" s="310"/>
      <c r="AL320" s="311"/>
      <c r="AM320" s="292" t="str">
        <f>IF(AV320="","",SMALL(AN315:AN321,ROWS(AM315:AM320)))</f>
        <v/>
      </c>
      <c r="AN320" s="293" t="str">
        <f>IF(AV320="","",RANK(AR320,AR315:AR321)*1000+ROWS(AN315:AN320))</f>
        <v/>
      </c>
      <c r="AO320" s="316" t="str">
        <f t="shared" si="266"/>
        <v/>
      </c>
      <c r="AP320" s="415" t="b">
        <f>AND(AU320&lt;&gt;"",AU320&gt;0,COUNTIF(AO315:AO321,AO320)&gt;1)</f>
        <v>0</v>
      </c>
      <c r="AQ320" s="316" t="str">
        <f t="shared" si="267"/>
        <v/>
      </c>
      <c r="AR320" s="317" t="str">
        <f t="shared" si="268"/>
        <v/>
      </c>
      <c r="AS320" s="415" t="b">
        <f>AND(AU320&lt;&gt;"",AU320&gt;0,COUNTIF(AR315:AR321,AR320)&gt;1)</f>
        <v>0</v>
      </c>
      <c r="AT320" s="355" t="str">
        <f t="shared" si="269"/>
        <v/>
      </c>
      <c r="AU320" s="356" t="str">
        <f t="shared" si="270"/>
        <v/>
      </c>
      <c r="AV320" s="356" t="str">
        <f>IF(OR(AI314="",AJ320=""),"",COUNTIF(ResultsTeams[Win],AI314&amp;"-"&amp;AJ320))</f>
        <v/>
      </c>
      <c r="AW320" s="356" t="str">
        <f>IF(OR(AI314="",AJ320=""),"",COUNTIF(ResultsTeams[[Draw1]:[Draw2]],AI314&amp;"-"&amp;AJ320))</f>
        <v/>
      </c>
      <c r="AX320" s="356" t="str">
        <f>IF(OR(AI314="",AJ320=""),"",COUNTIF(ResultsTeams[Lose],AI314&amp;"-"&amp;AJ320))</f>
        <v/>
      </c>
      <c r="AY320" s="356" t="str">
        <f>IF(OR(AI314="",AJ320=""),"",AV320-AX320)</f>
        <v/>
      </c>
      <c r="AZ320" s="356" t="str">
        <f>IF(OR(AI319="",AJ320=""),"",SUMIFS(ResultsTeams[Match-A],ResultsTeams[Stage],"Groups",ResultsTeams[Team A],AJ320)+SUMIFS(ResultsTeams[Match-B],ResultsTeams[Stage],"Groups",ResultsTeams[Team B],AJ320))</f>
        <v/>
      </c>
      <c r="BA320" s="356" t="str">
        <f>IF(OR(AI319="",AJ320=""),"",SUMIFS(ResultsTeams[Match-B],ResultsTeams[Stage],"Groups",ResultsTeams[Team A],AJ320)+SUMIFS(ResultsTeams[Match-A],ResultsTeams[Stage],"Groups",ResultsTeams[Team B],AJ320))</f>
        <v/>
      </c>
      <c r="BB320" s="356" t="str">
        <f t="shared" si="272"/>
        <v/>
      </c>
      <c r="BC320" s="356" t="str">
        <f>IF(OR(AI319="",AJ320=""),"",SUMIFS(ResultsTeams[Goal-A],ResultsTeams[Stage],"Groups",ResultsTeams[Team A],AJ320)+SUMIFS(ResultsTeams[Goal-B],ResultsTeams[Stage],"Groups",ResultsTeams[Team B],AJ320))</f>
        <v/>
      </c>
      <c r="BD320" s="356" t="str">
        <f>IF(OR(AI319="",AJ320=""),"",SUMIFS(ResultsTeams[Goal-B],ResultsTeams[Stage],"Groups",ResultsTeams[Team A],AJ320)+SUMIFS(ResultsTeams[Goal-A],ResultsTeams[Stage],"Groups",ResultsTeams[Team B],AJ320))</f>
        <v/>
      </c>
      <c r="BE320" s="357" t="str">
        <f>IF(OR(AI314="",AJ320=""),"",BC320-BD320)</f>
        <v/>
      </c>
      <c r="BF320" s="470" t="str">
        <f>IF(AM320="","",OR(VLOOKUP(AM320,AN315:BE321,3,FALSE),VLOOKUP(AM320,AN315:BE321,6,FALSE)))</f>
        <v/>
      </c>
      <c r="BG320" s="298" t="str">
        <f t="shared" si="271"/>
        <v/>
      </c>
      <c r="BH320" s="285" t="str">
        <f>IF(AM320="","",INDEX(AJ315:AJ321,MATCH(AM320,AN315:AN321,0)))</f>
        <v/>
      </c>
      <c r="BI320" s="286" t="str">
        <f>IF(AM320="","",VLOOKUP(AM320,AN315:BE321,COLUMN()-COLUMN(BB314),FALSE))</f>
        <v/>
      </c>
      <c r="BJ320" s="286" t="str">
        <f>IF(AM320="","",VLOOKUP(AM320,AN315:BE321,COLUMN()-COLUMN(BB314),FALSE))</f>
        <v/>
      </c>
      <c r="BK320" s="286" t="str">
        <f>IF(AM320="","",VLOOKUP(AM320,AN315:BE321,COLUMN()-COLUMN(BB314),FALSE))</f>
        <v/>
      </c>
      <c r="BL320" s="286" t="str">
        <f>IF(AM320="","",VLOOKUP(AM320,AN315:BE321,COLUMN()-COLUMN(BB314),FALSE))</f>
        <v/>
      </c>
      <c r="BM320" s="286" t="str">
        <f>IF(AM320="","",VLOOKUP(AM320,AN315:BE321,COLUMN()-COLUMN(BB314),FALSE))</f>
        <v/>
      </c>
      <c r="BN320" s="349" t="str">
        <f>IF(AM320="","",VLOOKUP(AM320,AN315:BE321,COLUMN()-COLUMN(BB314),FALSE))</f>
        <v/>
      </c>
      <c r="BO320" s="298" t="str">
        <f>IF(AM320="","",VLOOKUP(AM320,AN315:BE321,COLUMN()-COLUMN(BB314),FALSE))</f>
        <v/>
      </c>
      <c r="BP320" s="286" t="str">
        <f>IF(AM320="","",VLOOKUP(AM320,AN315:BE321,COLUMN()-COLUMN(BB314),FALSE))</f>
        <v/>
      </c>
      <c r="BQ320" s="301" t="str">
        <f>IF(AM320="","",VLOOKUP(AM320,AN315:BE321,COLUMN()-COLUMN(BB314),FALSE))</f>
        <v/>
      </c>
      <c r="BR320" s="352" t="str">
        <f>IF(AM320="","",VLOOKUP(AM320,AN315:BE321,COLUMN()-COLUMN(BB314),FALSE))</f>
        <v/>
      </c>
      <c r="BS320" s="286" t="str">
        <f>IF(AM320="","",VLOOKUP(AM320,AN315:BE321,COLUMN()-COLUMN(BB314),FALSE))</f>
        <v/>
      </c>
      <c r="BT320" s="301" t="str">
        <f>IF(AM320="","",VLOOKUP(AM320,AN315:BE321,COLUMN()-COLUMN(BB314),FALSE))</f>
        <v/>
      </c>
    </row>
    <row r="321" spans="1:72" ht="12" thickBot="1" x14ac:dyDescent="0.25">
      <c r="A321" s="60"/>
      <c r="B321" s="280"/>
      <c r="C321" s="60"/>
      <c r="D321" s="60"/>
      <c r="E321" s="240" t="s">
        <v>12231</v>
      </c>
      <c r="F321" s="244" t="s">
        <v>14607</v>
      </c>
      <c r="G321" s="244" t="s">
        <v>8538</v>
      </c>
      <c r="H321" s="253">
        <v>3</v>
      </c>
      <c r="I321" s="253">
        <v>2</v>
      </c>
      <c r="J321" s="253"/>
      <c r="K321" s="362"/>
      <c r="L321" s="362"/>
      <c r="M321" s="245"/>
      <c r="N321" s="265" t="b">
        <f>NOT(ISERROR(ResultsTeams[[#This Row],[Goal-A]]+ResultsTeams[[#This Row],[Goal-B]]))</f>
        <v>1</v>
      </c>
      <c r="O321" s="265">
        <f>IF(ResultsTeams[[#This Row],[Type]]="G",SUM(O322:O325),IF(LEFT(ResultsTeams[[#This Row],[Type]],1)="P",IF(ResultsTeams[[#This Row],[Goal-A]]&gt;ResultsTeams[[#This Row],[Goal-B]],1,0),""))</f>
        <v>1</v>
      </c>
      <c r="P321" s="265">
        <f>IF(ResultsTeams[[#This Row],[Type]]="G",SUM(P322:P325),IF(LEFT(ResultsTeams[[#This Row],[Type]],1)="P",IF(ResultsTeams[[#This Row],[Goal-A]]&lt;ResultsTeams[[#This Row],[Goal-B]],1,0),""))</f>
        <v>0</v>
      </c>
      <c r="Q321" s="265">
        <f>IF(ResultsTeams[[#This Row],[Type]]="G",SUM(Q322:Q325),IF(LEFT(ResultsTeams[[#This Row],[Type]],1)="P",VALUE(ResultsTeams[[#This Row],[Score-A]]),""))</f>
        <v>3</v>
      </c>
      <c r="R321" s="265">
        <f>IF(ResultsTeams[[#This Row],[Type]]="G",SUM(R322:R325),IF(LEFT(ResultsTeams[[#This Row],[Type]],1)="P",VALUE(ResultsTeams[[#This Row],[Score-B]]),""))</f>
        <v>2</v>
      </c>
      <c r="S321" s="265" t="str">
        <f ca="1">IF(AND(ResultsTeams[[#This Row],[Category]]&lt;&gt;"",ResultsTeams[[#This Row],[Team A]]&lt;&gt;""),COUNTIF(INDIRECT("TeamsList[Club Name]"),ResultsTeams[[#This Row],[Team A]]),"")</f>
        <v/>
      </c>
      <c r="T321" s="265" t="str">
        <f ca="1">IF(AND(ResultsTeams[[#This Row],[Category]]&lt;&gt;"",ResultsTeams[[#This Row],[Team B]]&lt;&gt;""),COUNTIF(INDIRECT("TeamsList[Club Name]"),ResultsTeams[[#This Row],[Team B]]),"")</f>
        <v/>
      </c>
      <c r="U3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-Martin Antoine</v>
      </c>
      <c r="V321" s="265" t="str">
        <f>IF(ResultsTeams[[#This Row],[Score_OK]],IF(ResultsTeams[[#This Row],[StageCpy]]="Groups",ResultsTeams[[#This Row],[Category]]&amp;"-"&amp;IF(ResultsTeams[[#This Row],[Team B]]="","",IF(ResultsTeams[[#This Row],[Match-A]]=ResultsTeams[[#This Row],[Match-B]],ResultsTeams[[#This Row],[Team A]],"")),""),"")</f>
        <v>-</v>
      </c>
      <c r="W321" s="265" t="str">
        <f>IF(ResultsTeams[[#This Row],[Score_OK]],IF(ResultsTeams[[#This Row],[StageCpy]]="Groups",ResultsTeams[[#This Row],[Category]]&amp;"-"&amp;IF(ResultsTeams[[#This Row],[Team B]]="","",IF(ResultsTeams[[#This Row],[Match-A]]=ResultsTeams[[#This Row],[Match-B]],ResultsTeams[[#This Row],[Team B]],"")),""),"")</f>
        <v>-</v>
      </c>
      <c r="X3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-Brandon Lavender</v>
      </c>
      <c r="Y3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1" s="264" t="str">
        <f>IF(ResultsTeams[[#This Row],[Category]]="","",VLOOKUP(ResultsTeams[[#This Row],[Stage]],$R$1:$T$8,MATCH(ResultsTeams[[#This Row],[Category]],$S$1:$T$1,0)+1,FALSE))</f>
        <v/>
      </c>
      <c r="AC3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1" s="264" t="str">
        <f>IF(ResultsTeams[[#This Row],[Type]]="G",ResultsTeams[[#This Row],[Stage]],AD320)</f>
        <v>Groups</v>
      </c>
      <c r="AE321" s="395" t="str">
        <f>IF(ResultsTeams[[#This Row],[Type]]="G",INDEX(TeamsList[Club Name],MATCH(ResultsTeams[[#This Row],[Team A]],TeamsList[Team Name],0)),AE320)</f>
        <v>FTC Caen</v>
      </c>
      <c r="AF321" s="395" t="str">
        <f>IF(ResultsTeams[[#This Row],[Type]]="G",INDEX(TeamsList[Club Name],MATCH(ResultsTeams[[#This Row],[Team B]],TeamsList[Team Name],0)),AF320)</f>
        <v>SC Flanders</v>
      </c>
      <c r="AG321" s="265"/>
      <c r="AI321" s="12">
        <f t="shared" si="273"/>
        <v>0</v>
      </c>
      <c r="AJ321" s="312"/>
      <c r="AK321" s="313"/>
      <c r="AL321" s="314"/>
      <c r="AM321" s="294" t="str">
        <f>IF(AV321="","",SMALL(AN315:AN321,ROWS(AM315:AM321)))</f>
        <v/>
      </c>
      <c r="AN321" s="295" t="str">
        <f>IF(AV321="","",RANK(AR321,AR315:AR321)*1000+ROWS(AN315:AN321))</f>
        <v/>
      </c>
      <c r="AO321" s="318" t="str">
        <f t="shared" si="266"/>
        <v/>
      </c>
      <c r="AP321" s="416" t="b">
        <f>AND(AU321&lt;&gt;"",AU321&gt;0,COUNTIF(AO315:AO321,AO321)&gt;1)</f>
        <v>0</v>
      </c>
      <c r="AQ321" s="318" t="str">
        <f t="shared" si="267"/>
        <v/>
      </c>
      <c r="AR321" s="319" t="str">
        <f t="shared" si="268"/>
        <v/>
      </c>
      <c r="AS321" s="416" t="b">
        <f>AND(AU321&lt;&gt;"",AU321&gt;0,COUNTIF(AR315:AR321,AR321)&gt;1)</f>
        <v>0</v>
      </c>
      <c r="AT321" s="358" t="str">
        <f t="shared" si="269"/>
        <v/>
      </c>
      <c r="AU321" s="359" t="str">
        <f t="shared" si="270"/>
        <v/>
      </c>
      <c r="AV321" s="359" t="str">
        <f>IF(OR(AI314="",AJ321=""),"",COUNTIF(ResultsTeams[Win],AI314&amp;"-"&amp;AJ321))</f>
        <v/>
      </c>
      <c r="AW321" s="359" t="str">
        <f>IF(OR(AI314="",AJ321=""),"",COUNTIF(ResultsTeams[[Draw1]:[Draw2]],AI314&amp;"-"&amp;AJ321))</f>
        <v/>
      </c>
      <c r="AX321" s="359" t="str">
        <f>IF(OR(AI314="",AJ321=""),"",COUNTIF(ResultsTeams[Lose],AI314&amp;"-"&amp;AJ321))</f>
        <v/>
      </c>
      <c r="AY321" s="359" t="str">
        <f>IF(OR(AI314="",AJ321=""),"",AV321-AX321)</f>
        <v/>
      </c>
      <c r="AZ321" s="359" t="str">
        <f>IF(OR(AI320="",AJ321=""),"",SUMIFS(ResultsTeams[Match-A],ResultsTeams[Stage],"Groups",ResultsTeams[Team A],AJ321)+SUMIFS(ResultsTeams[Match-B],ResultsTeams[Stage],"Groups",ResultsTeams[Team B],AJ321))</f>
        <v/>
      </c>
      <c r="BA321" s="359" t="str">
        <f>IF(OR(AI320="",AJ321=""),"",SUMIFS(ResultsTeams[Match-B],ResultsTeams[Stage],"Groups",ResultsTeams[Team A],AJ321)+SUMIFS(ResultsTeams[Match-A],ResultsTeams[Stage],"Groups",ResultsTeams[Team B],AJ321))</f>
        <v/>
      </c>
      <c r="BB321" s="359" t="str">
        <f t="shared" si="272"/>
        <v/>
      </c>
      <c r="BC321" s="359" t="str">
        <f>IF(OR(AI320="",AJ321=""),"",SUMIFS(ResultsTeams[Goal-A],ResultsTeams[Stage],"Groups",ResultsTeams[Team A],AJ321)+SUMIFS(ResultsTeams[Goal-B],ResultsTeams[Stage],"Groups",ResultsTeams[Team B],AJ321))</f>
        <v/>
      </c>
      <c r="BD321" s="359" t="str">
        <f>IF(OR(AI320="",AJ321=""),"",SUMIFS(ResultsTeams[Goal-B],ResultsTeams[Stage],"Groups",ResultsTeams[Team A],AJ321)+SUMIFS(ResultsTeams[Goal-A],ResultsTeams[Stage],"Groups",ResultsTeams[Team B],AJ321))</f>
        <v/>
      </c>
      <c r="BE321" s="360" t="str">
        <f>IF(OR(AI314="",AJ321=""),"",BC321-BD321)</f>
        <v/>
      </c>
      <c r="BF321" s="470" t="str">
        <f>IF(AM321="","",OR(VLOOKUP(AM321,AN315:BE321,3,FALSE),VLOOKUP(AM321,AN315:BE321,6,FALSE)))</f>
        <v/>
      </c>
      <c r="BG321" s="299" t="str">
        <f t="shared" si="271"/>
        <v/>
      </c>
      <c r="BH321" s="287" t="str">
        <f>IF(AM321="","",INDEX(AJ315:AJ321,MATCH(AM321,AN315:AN321,0)))</f>
        <v/>
      </c>
      <c r="BI321" s="288" t="str">
        <f>IF(AM321="","",VLOOKUP(AM321,AN315:BE321,COLUMN()-COLUMN(BB314),FALSE))</f>
        <v/>
      </c>
      <c r="BJ321" s="288" t="str">
        <f>IF(AM321="","",VLOOKUP(AM321,AN315:BE321,COLUMN()-COLUMN(BB314),FALSE))</f>
        <v/>
      </c>
      <c r="BK321" s="288" t="str">
        <f>IF(AM321="","",VLOOKUP(AM321,AN315:BE321,COLUMN()-COLUMN(BB314),FALSE))</f>
        <v/>
      </c>
      <c r="BL321" s="288" t="str">
        <f>IF(AM321="","",VLOOKUP(AM321,AN315:BE321,COLUMN()-COLUMN(BB314),FALSE))</f>
        <v/>
      </c>
      <c r="BM321" s="288" t="str">
        <f>IF(AM321="","",VLOOKUP(AM321,AN315:BE321,COLUMN()-COLUMN(BB314),FALSE))</f>
        <v/>
      </c>
      <c r="BN321" s="350" t="str">
        <f>IF(AM321="","",VLOOKUP(AM321,AN315:BE321,COLUMN()-COLUMN(BB314),FALSE))</f>
        <v/>
      </c>
      <c r="BO321" s="299" t="str">
        <f>IF(AM321="","",VLOOKUP(AM321,AN315:BE321,COLUMN()-COLUMN(BB314),FALSE))</f>
        <v/>
      </c>
      <c r="BP321" s="288" t="str">
        <f>IF(AM321="","",VLOOKUP(AM321,AN315:BE321,COLUMN()-COLUMN(BB314),FALSE))</f>
        <v/>
      </c>
      <c r="BQ321" s="302" t="str">
        <f>IF(AM321="","",VLOOKUP(AM321,AN315:BE321,COLUMN()-COLUMN(BB314),FALSE))</f>
        <v/>
      </c>
      <c r="BR321" s="353" t="str">
        <f>IF(AM321="","",VLOOKUP(AM321,AN315:BE321,COLUMN()-COLUMN(BB314),FALSE))</f>
        <v/>
      </c>
      <c r="BS321" s="288" t="str">
        <f>IF(AM321="","",VLOOKUP(AM321,AN315:BE321,COLUMN()-COLUMN(BB314),FALSE))</f>
        <v/>
      </c>
      <c r="BT321" s="302" t="str">
        <f>IF(AM321="","",VLOOKUP(AM321,AN315:BE321,COLUMN()-COLUMN(BB314),FALSE))</f>
        <v/>
      </c>
    </row>
    <row r="322" spans="1:72" ht="12" thickBot="1" x14ac:dyDescent="0.25">
      <c r="A322" s="62"/>
      <c r="B322" s="280"/>
      <c r="C322" s="62"/>
      <c r="D322" s="62"/>
      <c r="E322" s="241" t="s">
        <v>12234</v>
      </c>
      <c r="F322" s="246" t="s">
        <v>8711</v>
      </c>
      <c r="G322" s="246" t="s">
        <v>8113</v>
      </c>
      <c r="H322" s="254">
        <v>4</v>
      </c>
      <c r="I322" s="254">
        <v>1</v>
      </c>
      <c r="J322" s="254"/>
      <c r="K322" s="363"/>
      <c r="L322" s="363"/>
      <c r="M322" s="247"/>
      <c r="N322" s="265" t="b">
        <f>NOT(ISERROR(ResultsTeams[[#This Row],[Goal-A]]+ResultsTeams[[#This Row],[Goal-B]]))</f>
        <v>1</v>
      </c>
      <c r="O322" s="265">
        <f>IF(ResultsTeams[[#This Row],[Type]]="G",SUM(O323:O326),IF(LEFT(ResultsTeams[[#This Row],[Type]],1)="P",IF(ResultsTeams[[#This Row],[Goal-A]]&gt;ResultsTeams[[#This Row],[Goal-B]],1,0),""))</f>
        <v>1</v>
      </c>
      <c r="P322" s="265">
        <f>IF(ResultsTeams[[#This Row],[Type]]="G",SUM(P323:P326),IF(LEFT(ResultsTeams[[#This Row],[Type]],1)="P",IF(ResultsTeams[[#This Row],[Goal-A]]&lt;ResultsTeams[[#This Row],[Goal-B]],1,0),""))</f>
        <v>0</v>
      </c>
      <c r="Q322" s="265">
        <f>IF(ResultsTeams[[#This Row],[Type]]="G",SUM(Q323:Q326),IF(LEFT(ResultsTeams[[#This Row],[Type]],1)="P",VALUE(ResultsTeams[[#This Row],[Score-A]]),""))</f>
        <v>4</v>
      </c>
      <c r="R322" s="265">
        <f>IF(ResultsTeams[[#This Row],[Type]]="G",SUM(R323:R326),IF(LEFT(ResultsTeams[[#This Row],[Type]],1)="P",VALUE(ResultsTeams[[#This Row],[Score-B]]),""))</f>
        <v>1</v>
      </c>
      <c r="S322" s="265" t="str">
        <f ca="1">IF(AND(ResultsTeams[[#This Row],[Category]]&lt;&gt;"",ResultsTeams[[#This Row],[Team A]]&lt;&gt;""),COUNTIF(INDIRECT("TeamsList[Club Name]"),ResultsTeams[[#This Row],[Team A]]),"")</f>
        <v/>
      </c>
      <c r="T322" s="265" t="str">
        <f ca="1">IF(AND(ResultsTeams[[#This Row],[Category]]&lt;&gt;"",ResultsTeams[[#This Row],[Team B]]&lt;&gt;""),COUNTIF(INDIRECT("TeamsList[Club Name]"),ResultsTeams[[#This Row],[Team B]]),"")</f>
        <v/>
      </c>
      <c r="U3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-Raphaël Pommier</v>
      </c>
      <c r="V322" s="265" t="str">
        <f>IF(ResultsTeams[[#This Row],[Score_OK]],IF(ResultsTeams[[#This Row],[StageCpy]]="Groups",ResultsTeams[[#This Row],[Category]]&amp;"-"&amp;IF(ResultsTeams[[#This Row],[Team B]]="","",IF(ResultsTeams[[#This Row],[Match-A]]=ResultsTeams[[#This Row],[Match-B]],ResultsTeams[[#This Row],[Team A]],"")),""),"")</f>
        <v>-</v>
      </c>
      <c r="W322" s="265" t="str">
        <f>IF(ResultsTeams[[#This Row],[Score_OK]],IF(ResultsTeams[[#This Row],[StageCpy]]="Groups",ResultsTeams[[#This Row],[Category]]&amp;"-"&amp;IF(ResultsTeams[[#This Row],[Team B]]="","",IF(ResultsTeams[[#This Row],[Match-A]]=ResultsTeams[[#This Row],[Match-B]],ResultsTeams[[#This Row],[Team B]],"")),""),"")</f>
        <v>-</v>
      </c>
      <c r="X3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-Geert Leys</v>
      </c>
      <c r="Y3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2" s="264" t="str">
        <f>IF(ResultsTeams[[#This Row],[Category]]="","",VLOOKUP(ResultsTeams[[#This Row],[Stage]],$R$1:$T$8,MATCH(ResultsTeams[[#This Row],[Category]],$S$1:$T$1,0)+1,FALSE))</f>
        <v/>
      </c>
      <c r="AC3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2" s="264" t="str">
        <f>IF(ResultsTeams[[#This Row],[Type]]="G",ResultsTeams[[#This Row],[Stage]],AD321)</f>
        <v>Groups</v>
      </c>
      <c r="AE322" s="395" t="str">
        <f>IF(ResultsTeams[[#This Row],[Type]]="G",INDEX(TeamsList[Club Name],MATCH(ResultsTeams[[#This Row],[Team A]],TeamsList[Team Name],0)),AE321)</f>
        <v>FTC Caen</v>
      </c>
      <c r="AF322" s="395" t="str">
        <f>IF(ResultsTeams[[#This Row],[Type]]="G",INDEX(TeamsList[Club Name],MATCH(ResultsTeams[[#This Row],[Team B]],TeamsList[Team Name],0)),AF321)</f>
        <v>SC Flanders</v>
      </c>
      <c r="AG322" s="265"/>
    </row>
    <row r="323" spans="1:72" ht="12" thickBot="1" x14ac:dyDescent="0.25">
      <c r="A323" s="62"/>
      <c r="B323" s="280"/>
      <c r="C323" s="62"/>
      <c r="D323" s="62"/>
      <c r="E323" s="241" t="s">
        <v>12237</v>
      </c>
      <c r="F323" s="246" t="s">
        <v>8095</v>
      </c>
      <c r="G323" s="246" t="s">
        <v>8163</v>
      </c>
      <c r="H323" s="254">
        <v>3</v>
      </c>
      <c r="I323" s="254">
        <v>2</v>
      </c>
      <c r="J323" s="254"/>
      <c r="K323" s="363"/>
      <c r="L323" s="363"/>
      <c r="M323" s="247"/>
      <c r="N323" s="265" t="b">
        <f>NOT(ISERROR(ResultsTeams[[#This Row],[Goal-A]]+ResultsTeams[[#This Row],[Goal-B]]))</f>
        <v>1</v>
      </c>
      <c r="O323" s="265">
        <f>IF(ResultsTeams[[#This Row],[Type]]="G",SUM(O324:O327),IF(LEFT(ResultsTeams[[#This Row],[Type]],1)="P",IF(ResultsTeams[[#This Row],[Goal-A]]&gt;ResultsTeams[[#This Row],[Goal-B]],1,0),""))</f>
        <v>1</v>
      </c>
      <c r="P323" s="265">
        <f>IF(ResultsTeams[[#This Row],[Type]]="G",SUM(P324:P327),IF(LEFT(ResultsTeams[[#This Row],[Type]],1)="P",IF(ResultsTeams[[#This Row],[Goal-A]]&lt;ResultsTeams[[#This Row],[Goal-B]],1,0),""))</f>
        <v>0</v>
      </c>
      <c r="Q323" s="265">
        <f>IF(ResultsTeams[[#This Row],[Type]]="G",SUM(Q324:Q327),IF(LEFT(ResultsTeams[[#This Row],[Type]],1)="P",VALUE(ResultsTeams[[#This Row],[Score-A]]),""))</f>
        <v>3</v>
      </c>
      <c r="R323" s="265">
        <f>IF(ResultsTeams[[#This Row],[Type]]="G",SUM(R324:R327),IF(LEFT(ResultsTeams[[#This Row],[Type]],1)="P",VALUE(ResultsTeams[[#This Row],[Score-B]]),""))</f>
        <v>2</v>
      </c>
      <c r="S323" s="265" t="str">
        <f ca="1">IF(AND(ResultsTeams[[#This Row],[Category]]&lt;&gt;"",ResultsTeams[[#This Row],[Team A]]&lt;&gt;""),COUNTIF(INDIRECT("TeamsList[Club Name]"),ResultsTeams[[#This Row],[Team A]]),"")</f>
        <v/>
      </c>
      <c r="T323" s="265" t="str">
        <f ca="1">IF(AND(ResultsTeams[[#This Row],[Category]]&lt;&gt;"",ResultsTeams[[#This Row],[Team B]]&lt;&gt;""),COUNTIF(INDIRECT("TeamsList[Club Name]"),ResultsTeams[[#This Row],[Team B]]),"")</f>
        <v/>
      </c>
      <c r="U3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-Florian Giaux</v>
      </c>
      <c r="V323" s="265" t="str">
        <f>IF(ResultsTeams[[#This Row],[Score_OK]],IF(ResultsTeams[[#This Row],[StageCpy]]="Groups",ResultsTeams[[#This Row],[Category]]&amp;"-"&amp;IF(ResultsTeams[[#This Row],[Team B]]="","",IF(ResultsTeams[[#This Row],[Match-A]]=ResultsTeams[[#This Row],[Match-B]],ResultsTeams[[#This Row],[Team A]],"")),""),"")</f>
        <v>-</v>
      </c>
      <c r="W323" s="265" t="str">
        <f>IF(ResultsTeams[[#This Row],[Score_OK]],IF(ResultsTeams[[#This Row],[StageCpy]]="Groups",ResultsTeams[[#This Row],[Category]]&amp;"-"&amp;IF(ResultsTeams[[#This Row],[Team B]]="","",IF(ResultsTeams[[#This Row],[Match-A]]=ResultsTeams[[#This Row],[Match-B]],ResultsTeams[[#This Row],[Team B]],"")),""),"")</f>
        <v>-</v>
      </c>
      <c r="X3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-Yves Peremans</v>
      </c>
      <c r="Y3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3" s="264" t="str">
        <f>IF(ResultsTeams[[#This Row],[Category]]="","",VLOOKUP(ResultsTeams[[#This Row],[Stage]],$R$1:$T$8,MATCH(ResultsTeams[[#This Row],[Category]],$S$1:$T$1,0)+1,FALSE))</f>
        <v/>
      </c>
      <c r="AC3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3" s="264" t="str">
        <f>IF(ResultsTeams[[#This Row],[Type]]="G",ResultsTeams[[#This Row],[Stage]],AD322)</f>
        <v>Groups</v>
      </c>
      <c r="AE323" s="395" t="str">
        <f>IF(ResultsTeams[[#This Row],[Type]]="G",INDEX(TeamsList[Club Name],MATCH(ResultsTeams[[#This Row],[Team A]],TeamsList[Team Name],0)),AE322)</f>
        <v>FTC Caen</v>
      </c>
      <c r="AF323" s="395" t="str">
        <f>IF(ResultsTeams[[#This Row],[Type]]="G",INDEX(TeamsList[Club Name],MATCH(ResultsTeams[[#This Row],[Team B]],TeamsList[Team Name],0)),AF322)</f>
        <v>SC Flanders</v>
      </c>
      <c r="AG323" s="265"/>
      <c r="AH323" s="281" t="str">
        <f>IF(AI323="","",QUOTIENT(COUNTIF(AI$26:AI323,AI323)-1,8)+1)</f>
        <v/>
      </c>
      <c r="AI323" s="315"/>
      <c r="AJ323" s="289" t="s">
        <v>14438</v>
      </c>
      <c r="AK323" s="290" t="s">
        <v>12279</v>
      </c>
      <c r="AL323" s="300" t="s">
        <v>12275</v>
      </c>
      <c r="AM323" s="296" t="s">
        <v>12276</v>
      </c>
      <c r="AN323" s="291" t="s">
        <v>12271</v>
      </c>
      <c r="AO323" s="291" t="s">
        <v>12272</v>
      </c>
      <c r="AP323" s="414" t="s">
        <v>13154</v>
      </c>
      <c r="AQ323" s="291" t="s">
        <v>12273</v>
      </c>
      <c r="AR323" s="297" t="s">
        <v>12274</v>
      </c>
      <c r="AS323" s="414" t="s">
        <v>13154</v>
      </c>
      <c r="AT323" s="296" t="s">
        <v>12199</v>
      </c>
      <c r="AU323" s="291" t="s">
        <v>12200</v>
      </c>
      <c r="AV323" s="291" t="s">
        <v>12201</v>
      </c>
      <c r="AW323" s="291" t="s">
        <v>12202</v>
      </c>
      <c r="AX323" s="291" t="s">
        <v>12203</v>
      </c>
      <c r="AY323" s="291" t="s">
        <v>12697</v>
      </c>
      <c r="AZ323" s="291" t="s">
        <v>12698</v>
      </c>
      <c r="BA323" s="291" t="s">
        <v>12699</v>
      </c>
      <c r="BB323" s="291" t="s">
        <v>12700</v>
      </c>
      <c r="BC323" s="291" t="s">
        <v>12204</v>
      </c>
      <c r="BD323" s="291" t="s">
        <v>12205</v>
      </c>
      <c r="BE323" s="297" t="s">
        <v>12206</v>
      </c>
      <c r="BF323" s="395"/>
      <c r="BG323" s="282" t="s">
        <v>12276</v>
      </c>
      <c r="BH323" s="282" t="s">
        <v>12133</v>
      </c>
      <c r="BI323" s="283" t="s">
        <v>12199</v>
      </c>
      <c r="BJ323" s="283" t="s">
        <v>12200</v>
      </c>
      <c r="BK323" s="283" t="s">
        <v>12201</v>
      </c>
      <c r="BL323" s="283" t="s">
        <v>12202</v>
      </c>
      <c r="BM323" s="283" t="s">
        <v>12203</v>
      </c>
      <c r="BN323" s="290" t="s">
        <v>12697</v>
      </c>
      <c r="BO323" s="354" t="s">
        <v>12698</v>
      </c>
      <c r="BP323" s="283" t="s">
        <v>12699</v>
      </c>
      <c r="BQ323" s="300" t="s">
        <v>12700</v>
      </c>
      <c r="BR323" s="351" t="s">
        <v>12204</v>
      </c>
      <c r="BS323" s="283" t="s">
        <v>12205</v>
      </c>
      <c r="BT323" s="300" t="s">
        <v>12206</v>
      </c>
    </row>
    <row r="324" spans="1:72" x14ac:dyDescent="0.2">
      <c r="A324" s="62"/>
      <c r="B324" s="280"/>
      <c r="C324" s="62"/>
      <c r="D324" s="62"/>
      <c r="E324" s="241" t="s">
        <v>12240</v>
      </c>
      <c r="F324" s="246" t="s">
        <v>14390</v>
      </c>
      <c r="G324" s="246" t="s">
        <v>8174</v>
      </c>
      <c r="H324" s="254">
        <v>2</v>
      </c>
      <c r="I324" s="254">
        <v>0</v>
      </c>
      <c r="J324" s="254"/>
      <c r="K324" s="363"/>
      <c r="L324" s="363"/>
      <c r="M324" s="247"/>
      <c r="N324" s="265" t="b">
        <f>NOT(ISERROR(ResultsTeams[[#This Row],[Goal-A]]+ResultsTeams[[#This Row],[Goal-B]]))</f>
        <v>1</v>
      </c>
      <c r="O324" s="265">
        <f>IF(ResultsTeams[[#This Row],[Type]]="G",SUM(O325:O328),IF(LEFT(ResultsTeams[[#This Row],[Type]],1)="P",IF(ResultsTeams[[#This Row],[Goal-A]]&gt;ResultsTeams[[#This Row],[Goal-B]],1,0),""))</f>
        <v>1</v>
      </c>
      <c r="P324" s="265">
        <f>IF(ResultsTeams[[#This Row],[Type]]="G",SUM(P325:P328),IF(LEFT(ResultsTeams[[#This Row],[Type]],1)="P",IF(ResultsTeams[[#This Row],[Goal-A]]&lt;ResultsTeams[[#This Row],[Goal-B]],1,0),""))</f>
        <v>0</v>
      </c>
      <c r="Q324" s="265">
        <f>IF(ResultsTeams[[#This Row],[Type]]="G",SUM(Q325:Q328),IF(LEFT(ResultsTeams[[#This Row],[Type]],1)="P",VALUE(ResultsTeams[[#This Row],[Score-A]]),""))</f>
        <v>2</v>
      </c>
      <c r="R324" s="265">
        <f>IF(ResultsTeams[[#This Row],[Type]]="G",SUM(R325:R328),IF(LEFT(ResultsTeams[[#This Row],[Type]],1)="P",VALUE(ResultsTeams[[#This Row],[Score-B]]),""))</f>
        <v>0</v>
      </c>
      <c r="S324" s="265" t="str">
        <f ca="1">IF(AND(ResultsTeams[[#This Row],[Category]]&lt;&gt;"",ResultsTeams[[#This Row],[Team A]]&lt;&gt;""),COUNTIF(INDIRECT("TeamsList[Club Name]"),ResultsTeams[[#This Row],[Team A]]),"")</f>
        <v/>
      </c>
      <c r="T324" s="265" t="str">
        <f ca="1">IF(AND(ResultsTeams[[#This Row],[Category]]&lt;&gt;"",ResultsTeams[[#This Row],[Team B]]&lt;&gt;""),COUNTIF(INDIRECT("TeamsList[Club Name]"),ResultsTeams[[#This Row],[Team B]]),"")</f>
        <v/>
      </c>
      <c r="U3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-Fayçal Rouis</v>
      </c>
      <c r="V324" s="265" t="str">
        <f>IF(ResultsTeams[[#This Row],[Score_OK]],IF(ResultsTeams[[#This Row],[StageCpy]]="Groups",ResultsTeams[[#This Row],[Category]]&amp;"-"&amp;IF(ResultsTeams[[#This Row],[Team B]]="","",IF(ResultsTeams[[#This Row],[Match-A]]=ResultsTeams[[#This Row],[Match-B]],ResultsTeams[[#This Row],[Team A]],"")),""),"")</f>
        <v>-</v>
      </c>
      <c r="W324" s="265" t="str">
        <f>IF(ResultsTeams[[#This Row],[Score_OK]],IF(ResultsTeams[[#This Row],[StageCpy]]="Groups",ResultsTeams[[#This Row],[Category]]&amp;"-"&amp;IF(ResultsTeams[[#This Row],[Team B]]="","",IF(ResultsTeams[[#This Row],[Match-A]]=ResultsTeams[[#This Row],[Match-B]],ResultsTeams[[#This Row],[Team B]],"")),""),"")</f>
        <v>-</v>
      </c>
      <c r="X3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Wouters</v>
      </c>
      <c r="Y3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4" s="264" t="str">
        <f>IF(ResultsTeams[[#This Row],[Category]]="","",VLOOKUP(ResultsTeams[[#This Row],[Stage]],$R$1:$T$8,MATCH(ResultsTeams[[#This Row],[Category]],$S$1:$T$1,0)+1,FALSE))</f>
        <v/>
      </c>
      <c r="AC3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4" s="264" t="str">
        <f>IF(ResultsTeams[[#This Row],[Type]]="G",ResultsTeams[[#This Row],[Stage]],AD323)</f>
        <v>Groups</v>
      </c>
      <c r="AE324" s="395" t="str">
        <f>IF(ResultsTeams[[#This Row],[Type]]="G",INDEX(TeamsList[Club Name],MATCH(ResultsTeams[[#This Row],[Team A]],TeamsList[Team Name],0)),AE323)</f>
        <v>FTC Caen</v>
      </c>
      <c r="AF324" s="395" t="str">
        <f>IF(ResultsTeams[[#This Row],[Type]]="G",INDEX(TeamsList[Club Name],MATCH(ResultsTeams[[#This Row],[Team B]],TeamsList[Team Name],0)),AF323)</f>
        <v>SC Flanders</v>
      </c>
      <c r="AG324" s="265"/>
      <c r="AI324" s="12">
        <f>AI323</f>
        <v>0</v>
      </c>
      <c r="AJ324" s="309"/>
      <c r="AK324" s="320"/>
      <c r="AL324" s="311"/>
      <c r="AM324" s="292" t="str">
        <f>IF(AV324="","",SMALL(AN324:AN330,ROWS(AM324:AM324)))</f>
        <v/>
      </c>
      <c r="AN324" s="293" t="str">
        <f>IF(AV324="","",RANK(AR324,AR324:AR330)*1000+ROWS(AN324:AN324))</f>
        <v/>
      </c>
      <c r="AO324" s="316" t="str">
        <f t="shared" ref="AO324:AO330" si="274">IF(AV324="","",AT324*CritClassEq1_Points+AY324*CritClassEq1_DiffRencontres+BB324*CritClassEq1_DiffMatches+BE324*CritClassEq1_DiffButs+AZ324*CritClassEq1_Matches+BC324*CritClassEq1_Attaque)</f>
        <v/>
      </c>
      <c r="AP324" s="415" t="b">
        <f>AND(AU324&lt;&gt;"",AU324&gt;0,COUNTIF(AO324:AO330,AO324)&gt;1)</f>
        <v>0</v>
      </c>
      <c r="AQ324" s="316" t="str">
        <f t="shared" ref="AQ324:AQ330" si="275">IF(AV324="","",CritClassEq_DiffPart*AK324)</f>
        <v/>
      </c>
      <c r="AR324" s="317" t="str">
        <f t="shared" ref="AR324:AR330" si="276">IF(AV324="","",AO324+AQ324+AT324*CritClassEq2_Points+AY324*CritClassEq2_DiffRencontres+BB324*CritClassEq2_DiffMatches+BE324*CritClassEq2_DiffButs+AZ324*CritClassEq2_Matches+BC324*CritClassEq2_Attaque+AL324)</f>
        <v/>
      </c>
      <c r="AS324" s="415" t="b">
        <f>AND(AU324&lt;&gt;"",AU324&gt;0,COUNTIF(AR324:AR330,AR324)&gt;1)</f>
        <v>0</v>
      </c>
      <c r="AT324" s="355" t="str">
        <f t="shared" ref="AT324:AT330" si="277">IF(AV324="","",(AV324*Points_Victoire)+AW324*Points_Null)</f>
        <v/>
      </c>
      <c r="AU324" s="356" t="str">
        <f t="shared" ref="AU324:AU330" si="278">IF(AV324="","",SUM(AV324:AX324))</f>
        <v/>
      </c>
      <c r="AV324" s="356" t="str">
        <f>IF(OR(AI323="",AJ324=""),"",COUNTIF(ResultsTeams[Win],AI323&amp;"-"&amp;AJ324))</f>
        <v/>
      </c>
      <c r="AW324" s="356" t="str">
        <f>IF(OR(AI323="",AJ324=""),"",COUNTIF(ResultsTeams[[Draw1]:[Draw2]],AI323&amp;"-"&amp;AJ324))</f>
        <v/>
      </c>
      <c r="AX324" s="356" t="str">
        <f>IF(OR(AI323="",AJ324=""),"",COUNTIF(ResultsTeams[Lose],AI323&amp;"-"&amp;AJ324))</f>
        <v/>
      </c>
      <c r="AY324" s="356" t="str">
        <f>IF(OR(AI323="",AJ324=""),"",AV324-AX324)</f>
        <v/>
      </c>
      <c r="AZ324" s="356" t="str">
        <f>IF(OR(AI323="",AJ324=""),"",SUMIFS(ResultsTeams[Match-A],ResultsTeams[Stage],"Groups",ResultsTeams[Team A],AJ324)+SUMIFS(ResultsTeams[Match-B],ResultsTeams[Stage],"Groups",ResultsTeams[Team B],AJ324))</f>
        <v/>
      </c>
      <c r="BA324" s="356" t="str">
        <f>IF(OR(AI323="",AJ324=""),"",SUMIFS(ResultsTeams[Match-B],ResultsTeams[Stage],"Groups",ResultsTeams[Team A],AJ324)+SUMIFS(ResultsTeams[Match-A],ResultsTeams[Stage],"Groups",ResultsTeams[Team B],AJ324))</f>
        <v/>
      </c>
      <c r="BB324" s="356" t="str">
        <f>IF(OR(AI323="",AJ324=""),"",AZ324-BA324)</f>
        <v/>
      </c>
      <c r="BC324" s="356" t="str">
        <f>IF(OR(AI323="",AJ324=""),"",SUMIFS(ResultsTeams[Goal-A],ResultsTeams[Stage],"Groups",ResultsTeams[Team A],AJ324)+SUMIFS(ResultsTeams[Goal-B],ResultsTeams[Stage],"Groups",ResultsTeams[Team B],AJ324))</f>
        <v/>
      </c>
      <c r="BD324" s="356" t="str">
        <f>IF(OR(AI323="",AJ324=""),"",SUMIFS(ResultsTeams[Goal-B],ResultsTeams[Stage],"Groups",ResultsTeams[Team A],AJ324)+SUMIFS(ResultsTeams[Goal-A],ResultsTeams[Stage],"Groups",ResultsTeams[Team B],AJ324))</f>
        <v/>
      </c>
      <c r="BE324" s="357" t="str">
        <f>IF(OR(AI323="",AJ324=""),"",BC324-BD324)</f>
        <v/>
      </c>
      <c r="BF324" s="470" t="str">
        <f>IF(AM324="","",OR(VLOOKUP(AM324,AN324:BE330,3,FALSE),VLOOKUP(AM324,AN324:BE330,6,FALSE)))</f>
        <v/>
      </c>
      <c r="BG324" s="298" t="str">
        <f t="shared" ref="BG324:BG330" si="279">IF(AM324="","",INT(AM324/1000))</f>
        <v/>
      </c>
      <c r="BH324" s="285" t="str">
        <f>IF(AM324="","",INDEX(AJ324:AJ330,MATCH(AM324,AN324:AN330,0)))</f>
        <v/>
      </c>
      <c r="BI324" s="286" t="str">
        <f>IF(AM324="","",VLOOKUP(AM324,AN324:BE330,COLUMN()-COLUMN(BB323),FALSE))</f>
        <v/>
      </c>
      <c r="BJ324" s="286" t="str">
        <f>IF(AM324="","",VLOOKUP(AM324,AN324:BE330,COLUMN()-COLUMN(BB323),FALSE))</f>
        <v/>
      </c>
      <c r="BK324" s="286" t="str">
        <f>IF(AM324="","",VLOOKUP(AM324,AN324:BE330,COLUMN()-COLUMN(BB323),FALSE))</f>
        <v/>
      </c>
      <c r="BL324" s="286" t="str">
        <f>IF(AM324="","",VLOOKUP(AM324,AN324:BE330,COLUMN()-COLUMN(BB323),FALSE))</f>
        <v/>
      </c>
      <c r="BM324" s="286" t="str">
        <f>IF(AM324="","",VLOOKUP(AM324,AN324:BE330,COLUMN()-COLUMN(BB323),FALSE))</f>
        <v/>
      </c>
      <c r="BN324" s="349" t="str">
        <f>IF(AM324="","",VLOOKUP(AM324,AN324:BE330,COLUMN()-COLUMN(BB323),FALSE))</f>
        <v/>
      </c>
      <c r="BO324" s="298" t="str">
        <f>IF(AM324="","",VLOOKUP(AM324,AN324:BE330,COLUMN()-COLUMN(BB323),FALSE))</f>
        <v/>
      </c>
      <c r="BP324" s="286" t="str">
        <f>IF(AM324="","",VLOOKUP(AM324,AN324:BE330,COLUMN()-COLUMN(BB323),FALSE))</f>
        <v/>
      </c>
      <c r="BQ324" s="301" t="str">
        <f>IF(AM324="","",VLOOKUP(AM324,AN324:BE330,COLUMN()-COLUMN(BB323),FALSE))</f>
        <v/>
      </c>
      <c r="BR324" s="352" t="str">
        <f>IF(AM324="","",VLOOKUP(AM324,AN324:BE330,COLUMN()-COLUMN(BB323),FALSE))</f>
        <v/>
      </c>
      <c r="BS324" s="286" t="str">
        <f>IF(AM324="","",VLOOKUP(AM324,AN324:BE330,COLUMN()-COLUMN(BB323),FALSE))</f>
        <v/>
      </c>
      <c r="BT324" s="301" t="str">
        <f>IF(AM324="","",VLOOKUP(AM324,AN324:BE330,COLUMN()-COLUMN(BB323),FALSE))</f>
        <v/>
      </c>
    </row>
    <row r="325" spans="1:72" x14ac:dyDescent="0.2">
      <c r="A325" s="62"/>
      <c r="B325" s="62"/>
      <c r="C325" s="62"/>
      <c r="D325" s="62"/>
      <c r="E325" s="241" t="s">
        <v>12243</v>
      </c>
      <c r="F325" s="247"/>
      <c r="G325" s="247" t="s">
        <v>10452</v>
      </c>
      <c r="H325" s="254"/>
      <c r="I325" s="254" t="s">
        <v>12681</v>
      </c>
      <c r="J325" s="260"/>
      <c r="K325" s="364"/>
      <c r="L325" s="364"/>
      <c r="M325" s="63"/>
      <c r="N325" s="265" t="b">
        <f>NOT(ISERROR(ResultsTeams[[#This Row],[Goal-A]]+ResultsTeams[[#This Row],[Goal-B]]))</f>
        <v>0</v>
      </c>
      <c r="O325" s="265" t="str">
        <f>IF(ResultsTeams[[#This Row],[Type]]="G",SUM(O326:O329),IF(LEFT(ResultsTeams[[#This Row],[Type]],1)="P",IF(ResultsTeams[[#This Row],[Goal-A]]&gt;ResultsTeams[[#This Row],[Goal-B]],1,0),""))</f>
        <v/>
      </c>
      <c r="P325" s="265" t="str">
        <f>IF(ResultsTeams[[#This Row],[Type]]="G",SUM(P326:P329),IF(LEFT(ResultsTeams[[#This Row],[Type]],1)="P",IF(ResultsTeams[[#This Row],[Goal-A]]&lt;ResultsTeams[[#This Row],[Goal-B]],1,0),""))</f>
        <v/>
      </c>
      <c r="Q325" s="265" t="str">
        <f>IF(ResultsTeams[[#This Row],[Type]]="G",SUM(Q326:Q329),IF(LEFT(ResultsTeams[[#This Row],[Type]],1)="P",VALUE(ResultsTeams[[#This Row],[Score-A]]),""))</f>
        <v/>
      </c>
      <c r="R325" s="265" t="str">
        <f>IF(ResultsTeams[[#This Row],[Type]]="G",SUM(R326:R329),IF(LEFT(ResultsTeams[[#This Row],[Type]],1)="P",VALUE(ResultsTeams[[#This Row],[Score-B]]),""))</f>
        <v/>
      </c>
      <c r="S325" s="265" t="str">
        <f ca="1">IF(AND(ResultsTeams[[#This Row],[Category]]&lt;&gt;"",ResultsTeams[[#This Row],[Team A]]&lt;&gt;""),COUNTIF(INDIRECT("TeamsList[Club Name]"),ResultsTeams[[#This Row],[Team A]]),"")</f>
        <v/>
      </c>
      <c r="T325" s="265" t="str">
        <f ca="1">IF(AND(ResultsTeams[[#This Row],[Category]]&lt;&gt;"",ResultsTeams[[#This Row],[Team B]]&lt;&gt;""),COUNTIF(INDIRECT("TeamsList[Club Name]"),ResultsTeams[[#This Row],[Team B]]),"")</f>
        <v/>
      </c>
      <c r="U3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5" s="265" t="str">
        <f>IF(ResultsTeams[[#This Row],[Score_OK]],IF(ResultsTeams[[#This Row],[StageCpy]]="Groups",ResultsTeams[[#This Row],[Category]]&amp;"-"&amp;IF(ResultsTeams[[#This Row],[Team B]]="","",IF(ResultsTeams[[#This Row],[Match-A]]=ResultsTeams[[#This Row],[Match-B]],ResultsTeams[[#This Row],[Team A]],"")),""),"")</f>
        <v/>
      </c>
      <c r="W325" s="265" t="str">
        <f>IF(ResultsTeams[[#This Row],[Score_OK]],IF(ResultsTeams[[#This Row],[StageCpy]]="Groups",ResultsTeams[[#This Row],[Category]]&amp;"-"&amp;IF(ResultsTeams[[#This Row],[Team B]]="","",IF(ResultsTeams[[#This Row],[Match-A]]=ResultsTeams[[#This Row],[Match-B]],ResultsTeams[[#This Row],[Team B]],"")),""),"")</f>
        <v/>
      </c>
      <c r="X3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5" s="264" t="str">
        <f>IF(ResultsTeams[[#This Row],[Category]]="","",VLOOKUP(ResultsTeams[[#This Row],[Stage]],$R$1:$T$8,MATCH(ResultsTeams[[#This Row],[Category]],$S$1:$T$1,0)+1,FALSE))</f>
        <v/>
      </c>
      <c r="AC3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5" s="264" t="str">
        <f>IF(ResultsTeams[[#This Row],[Type]]="G",ResultsTeams[[#This Row],[Stage]],AD324)</f>
        <v>Groups</v>
      </c>
      <c r="AE325" s="395" t="str">
        <f>IF(ResultsTeams[[#This Row],[Type]]="G",INDEX(TeamsList[Club Name],MATCH(ResultsTeams[[#This Row],[Team A]],TeamsList[Team Name],0)),AE324)</f>
        <v>FTC Caen</v>
      </c>
      <c r="AF325" s="395" t="str">
        <f>IF(ResultsTeams[[#This Row],[Type]]="G",INDEX(TeamsList[Club Name],MATCH(ResultsTeams[[#This Row],[Team B]],TeamsList[Team Name],0)),AF324)</f>
        <v>SC Flanders</v>
      </c>
      <c r="AG325" s="265"/>
      <c r="AI325" s="12">
        <f>AI324</f>
        <v>0</v>
      </c>
      <c r="AJ325" s="309"/>
      <c r="AK325" s="320"/>
      <c r="AL325" s="311"/>
      <c r="AM325" s="292" t="str">
        <f>IF(AV325="","",SMALL(AN324:AN330,ROWS(AM324:AM325)))</f>
        <v/>
      </c>
      <c r="AN325" s="293" t="str">
        <f>IF(AV325="","",RANK(AR325,AR324:AR330)*1000+ROWS(AN324:AN325))</f>
        <v/>
      </c>
      <c r="AO325" s="316" t="str">
        <f t="shared" si="274"/>
        <v/>
      </c>
      <c r="AP325" s="415" t="b">
        <f>AND(AU325&lt;&gt;"",AU325&gt;0,COUNTIF(AO324:AO330,AO325)&gt;1)</f>
        <v>0</v>
      </c>
      <c r="AQ325" s="316" t="str">
        <f t="shared" si="275"/>
        <v/>
      </c>
      <c r="AR325" s="317" t="str">
        <f t="shared" si="276"/>
        <v/>
      </c>
      <c r="AS325" s="415" t="b">
        <f>AND(AU325&lt;&gt;"",AU325&gt;0,COUNTIF(AR324:AR330,AR325)&gt;1)</f>
        <v>0</v>
      </c>
      <c r="AT325" s="355" t="str">
        <f t="shared" si="277"/>
        <v/>
      </c>
      <c r="AU325" s="356" t="str">
        <f t="shared" si="278"/>
        <v/>
      </c>
      <c r="AV325" s="356" t="str">
        <f>IF(OR(AI323="",AJ325=""),"",COUNTIF(ResultsTeams[Win],AI323&amp;"-"&amp;AJ325))</f>
        <v/>
      </c>
      <c r="AW325" s="356" t="str">
        <f>IF(OR(AI323="",AJ325=""),"",COUNTIF(ResultsTeams[[Draw1]:[Draw2]],AI323&amp;"-"&amp;AJ325))</f>
        <v/>
      </c>
      <c r="AX325" s="356" t="str">
        <f>IF(OR(AI323="",AJ325=""),"",COUNTIF(ResultsTeams[Lose],AI323&amp;"-"&amp;AJ325))</f>
        <v/>
      </c>
      <c r="AY325" s="356" t="str">
        <f>IF(OR(AI323="",AJ325=""),"",AV325-AX325)</f>
        <v/>
      </c>
      <c r="AZ325" s="356" t="str">
        <f>IF(OR(AI324="",AJ325=""),"",SUMIFS(ResultsTeams[Match-A],ResultsTeams[Stage],"Groups",ResultsTeams[Team A],AJ325)+SUMIFS(ResultsTeams[Match-B],ResultsTeams[Stage],"Groups",ResultsTeams[Team B],AJ325))</f>
        <v/>
      </c>
      <c r="BA325" s="356" t="str">
        <f>IF(OR(AI324="",AJ325=""),"",SUMIFS(ResultsTeams[Match-B],ResultsTeams[Stage],"Groups",ResultsTeams[Team A],AJ325)+SUMIFS(ResultsTeams[Match-A],ResultsTeams[Stage],"Groups",ResultsTeams[Team B],AJ325))</f>
        <v/>
      </c>
      <c r="BB325" s="356" t="str">
        <f t="shared" ref="BB325:BB330" si="280">IF(OR(AI324="",AJ325=""),"",AZ325-BA325)</f>
        <v/>
      </c>
      <c r="BC325" s="356" t="str">
        <f>IF(OR(AI324="",AJ325=""),"",SUMIFS(ResultsTeams[Goal-A],ResultsTeams[Stage],"Groups",ResultsTeams[Team A],AJ325)+SUMIFS(ResultsTeams[Goal-B],ResultsTeams[Stage],"Groups",ResultsTeams[Team B],AJ325))</f>
        <v/>
      </c>
      <c r="BD325" s="356" t="str">
        <f>IF(OR(AI324="",AJ325=""),"",SUMIFS(ResultsTeams[Goal-B],ResultsTeams[Stage],"Groups",ResultsTeams[Team A],AJ325)+SUMIFS(ResultsTeams[Goal-A],ResultsTeams[Stage],"Groups",ResultsTeams[Team B],AJ325))</f>
        <v/>
      </c>
      <c r="BE325" s="357" t="str">
        <f>IF(OR(AI323="",AJ325=""),"",BC325-BD325)</f>
        <v/>
      </c>
      <c r="BF325" s="470" t="str">
        <f>IF(AM325="","",OR(VLOOKUP(AM325,AN324:BE330,3,FALSE),VLOOKUP(AM325,AN324:BE330,6,FALSE)))</f>
        <v/>
      </c>
      <c r="BG325" s="298" t="str">
        <f t="shared" si="279"/>
        <v/>
      </c>
      <c r="BH325" s="285" t="str">
        <f>IF(AM325="","",INDEX(AJ324:AJ330,MATCH(AM325,AN324:AN330,0)))</f>
        <v/>
      </c>
      <c r="BI325" s="286" t="str">
        <f>IF(AM325="","",VLOOKUP(AM325,AN324:BE330,COLUMN()-COLUMN(BB323),FALSE))</f>
        <v/>
      </c>
      <c r="BJ325" s="286" t="str">
        <f>IF(AM325="","",VLOOKUP(AM325,AN324:BE330,COLUMN()-COLUMN(BB323),FALSE))</f>
        <v/>
      </c>
      <c r="BK325" s="286" t="str">
        <f>IF(AM325="","",VLOOKUP(AM325,AN324:BE330,COLUMN()-COLUMN(BB323),FALSE))</f>
        <v/>
      </c>
      <c r="BL325" s="286" t="str">
        <f>IF(AM325="","",VLOOKUP(AM325,AN324:BE330,COLUMN()-COLUMN(BB323),FALSE))</f>
        <v/>
      </c>
      <c r="BM325" s="286" t="str">
        <f>IF(AM325="","",VLOOKUP(AM325,AN324:BE330,COLUMN()-COLUMN(BB323),FALSE))</f>
        <v/>
      </c>
      <c r="BN325" s="349" t="str">
        <f>IF(AM325="","",VLOOKUP(AM325,AN324:BE330,COLUMN()-COLUMN(BB323),FALSE))</f>
        <v/>
      </c>
      <c r="BO325" s="298" t="str">
        <f>IF(AM325="","",VLOOKUP(AM325,AN324:BE330,COLUMN()-COLUMN(BB323),FALSE))</f>
        <v/>
      </c>
      <c r="BP325" s="286" t="str">
        <f>IF(AM325="","",VLOOKUP(AM325,AN324:BE330,COLUMN()-COLUMN(BB323),FALSE))</f>
        <v/>
      </c>
      <c r="BQ325" s="301" t="str">
        <f>IF(AM325="","",VLOOKUP(AM325,AN324:BE330,COLUMN()-COLUMN(BB323),FALSE))</f>
        <v/>
      </c>
      <c r="BR325" s="352" t="str">
        <f>IF(AM325="","",VLOOKUP(AM325,AN324:BE330,COLUMN()-COLUMN(BB323),FALSE))</f>
        <v/>
      </c>
      <c r="BS325" s="286" t="str">
        <f>IF(AM325="","",VLOOKUP(AM325,AN324:BE330,COLUMN()-COLUMN(BB323),FALSE))</f>
        <v/>
      </c>
      <c r="BT325" s="301" t="str">
        <f>IF(AM325="","",VLOOKUP(AM325,AN324:BE330,COLUMN()-COLUMN(BB323),FALSE))</f>
        <v/>
      </c>
    </row>
    <row r="326" spans="1:72" ht="12" thickBot="1" x14ac:dyDescent="0.25">
      <c r="A326" s="83"/>
      <c r="B326" s="83"/>
      <c r="C326" s="83"/>
      <c r="D326" s="83"/>
      <c r="E326" s="268" t="s">
        <v>12244</v>
      </c>
      <c r="F326" s="262"/>
      <c r="G326" s="262"/>
      <c r="H326" s="324"/>
      <c r="I326" s="324"/>
      <c r="J326" s="263"/>
      <c r="K326" s="365"/>
      <c r="L326" s="365"/>
      <c r="M326" s="84"/>
      <c r="N326" s="265" t="b">
        <f>NOT(ISERROR(ResultsTeams[[#This Row],[Goal-A]]+ResultsTeams[[#This Row],[Goal-B]]))</f>
        <v>0</v>
      </c>
      <c r="O326" s="265" t="str">
        <f>IF(ResultsTeams[[#This Row],[Type]]="G",SUM(O327:O330),IF(LEFT(ResultsTeams[[#This Row],[Type]],1)="P",IF(ResultsTeams[[#This Row],[Goal-A]]&gt;ResultsTeams[[#This Row],[Goal-B]],1,0),""))</f>
        <v/>
      </c>
      <c r="P326" s="265" t="str">
        <f>IF(ResultsTeams[[#This Row],[Type]]="G",SUM(P327:P330),IF(LEFT(ResultsTeams[[#This Row],[Type]],1)="P",IF(ResultsTeams[[#This Row],[Goal-A]]&lt;ResultsTeams[[#This Row],[Goal-B]],1,0),""))</f>
        <v/>
      </c>
      <c r="Q326" s="265" t="str">
        <f>IF(ResultsTeams[[#This Row],[Type]]="G",SUM(Q327:Q330),IF(LEFT(ResultsTeams[[#This Row],[Type]],1)="P",VALUE(ResultsTeams[[#This Row],[Score-A]]),""))</f>
        <v/>
      </c>
      <c r="R326" s="265" t="str">
        <f>IF(ResultsTeams[[#This Row],[Type]]="G",SUM(R327:R330),IF(LEFT(ResultsTeams[[#This Row],[Type]],1)="P",VALUE(ResultsTeams[[#This Row],[Score-B]]),""))</f>
        <v/>
      </c>
      <c r="S326" s="265" t="str">
        <f ca="1">IF(AND(ResultsTeams[[#This Row],[Category]]&lt;&gt;"",ResultsTeams[[#This Row],[Team A]]&lt;&gt;""),COUNTIF(INDIRECT("TeamsList[Club Name]"),ResultsTeams[[#This Row],[Team A]]),"")</f>
        <v/>
      </c>
      <c r="T326" s="265" t="str">
        <f ca="1">IF(AND(ResultsTeams[[#This Row],[Category]]&lt;&gt;"",ResultsTeams[[#This Row],[Team B]]&lt;&gt;""),COUNTIF(INDIRECT("TeamsList[Club Name]"),ResultsTeams[[#This Row],[Team B]]),"")</f>
        <v/>
      </c>
      <c r="U3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6" s="265" t="str">
        <f>IF(ResultsTeams[[#This Row],[Score_OK]],IF(ResultsTeams[[#This Row],[StageCpy]]="Groups",ResultsTeams[[#This Row],[Category]]&amp;"-"&amp;IF(ResultsTeams[[#This Row],[Team B]]="","",IF(ResultsTeams[[#This Row],[Match-A]]=ResultsTeams[[#This Row],[Match-B]],ResultsTeams[[#This Row],[Team A]],"")),""),"")</f>
        <v/>
      </c>
      <c r="W326" s="265" t="str">
        <f>IF(ResultsTeams[[#This Row],[Score_OK]],IF(ResultsTeams[[#This Row],[StageCpy]]="Groups",ResultsTeams[[#This Row],[Category]]&amp;"-"&amp;IF(ResultsTeams[[#This Row],[Team B]]="","",IF(ResultsTeams[[#This Row],[Match-A]]=ResultsTeams[[#This Row],[Match-B]],ResultsTeams[[#This Row],[Team B]],"")),""),"")</f>
        <v/>
      </c>
      <c r="X3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6" s="264" t="str">
        <f>IF(ResultsTeams[[#This Row],[Category]]="","",VLOOKUP(ResultsTeams[[#This Row],[Stage]],$R$1:$T$8,MATCH(ResultsTeams[[#This Row],[Category]],$S$1:$T$1,0)+1,FALSE))</f>
        <v/>
      </c>
      <c r="AC3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6" s="264" t="str">
        <f>IF(ResultsTeams[[#This Row],[Type]]="G",ResultsTeams[[#This Row],[Stage]],AD325)</f>
        <v>Groups</v>
      </c>
      <c r="AE326" s="395" t="str">
        <f>IF(ResultsTeams[[#This Row],[Type]]="G",INDEX(TeamsList[Club Name],MATCH(ResultsTeams[[#This Row],[Team A]],TeamsList[Team Name],0)),AE325)</f>
        <v>FTC Caen</v>
      </c>
      <c r="AF326" s="395" t="str">
        <f>IF(ResultsTeams[[#This Row],[Type]]="G",INDEX(TeamsList[Club Name],MATCH(ResultsTeams[[#This Row],[Team B]],TeamsList[Team Name],0)),AF325)</f>
        <v>SC Flanders</v>
      </c>
      <c r="AG326" s="265"/>
      <c r="AI326" s="12">
        <f t="shared" ref="AI326:AI330" si="281">AI325</f>
        <v>0</v>
      </c>
      <c r="AJ326" s="309"/>
      <c r="AK326" s="320"/>
      <c r="AL326" s="311"/>
      <c r="AM326" s="292" t="str">
        <f>IF(AV326="","",SMALL(AN324:AN330,ROWS(AM324:AM326)))</f>
        <v/>
      </c>
      <c r="AN326" s="293" t="str">
        <f>IF(AV326="","",RANK(AR326,AR324:AR330)*1000+ROWS(AN324:AN326))</f>
        <v/>
      </c>
      <c r="AO326" s="316" t="str">
        <f t="shared" si="274"/>
        <v/>
      </c>
      <c r="AP326" s="415" t="b">
        <f>AND(AU326&lt;&gt;"",AU326&gt;0,COUNTIF(AO324:AO330,AO326)&gt;1)</f>
        <v>0</v>
      </c>
      <c r="AQ326" s="316" t="str">
        <f t="shared" si="275"/>
        <v/>
      </c>
      <c r="AR326" s="317" t="str">
        <f t="shared" si="276"/>
        <v/>
      </c>
      <c r="AS326" s="415" t="b">
        <f>AND(AU326&lt;&gt;"",AU326&gt;0,COUNTIF(AR324:AR330,AR326)&gt;1)</f>
        <v>0</v>
      </c>
      <c r="AT326" s="355" t="str">
        <f t="shared" si="277"/>
        <v/>
      </c>
      <c r="AU326" s="356" t="str">
        <f t="shared" si="278"/>
        <v/>
      </c>
      <c r="AV326" s="356" t="str">
        <f>IF(OR(AI323="",AJ326=""),"",COUNTIF(ResultsTeams[Win],AI323&amp;"-"&amp;AJ326))</f>
        <v/>
      </c>
      <c r="AW326" s="356" t="str">
        <f>IF(OR(AI323="",AJ326=""),"",COUNTIF(ResultsTeams[[Draw1]:[Draw2]],AI323&amp;"-"&amp;AJ326))</f>
        <v/>
      </c>
      <c r="AX326" s="356" t="str">
        <f>IF(OR(AI323="",AJ326=""),"",COUNTIF(ResultsTeams[Lose],AI323&amp;"-"&amp;AJ326))</f>
        <v/>
      </c>
      <c r="AY326" s="356" t="str">
        <f>IF(OR(AI323="",AJ326=""),"",AV326-AX326)</f>
        <v/>
      </c>
      <c r="AZ326" s="356" t="str">
        <f>IF(OR(AI325="",AJ326=""),"",SUMIFS(ResultsTeams[Match-A],ResultsTeams[Stage],"Groups",ResultsTeams[Team A],AJ326)+SUMIFS(ResultsTeams[Match-B],ResultsTeams[Stage],"Groups",ResultsTeams[Team B],AJ326))</f>
        <v/>
      </c>
      <c r="BA326" s="356" t="str">
        <f>IF(OR(AI325="",AJ326=""),"",SUMIFS(ResultsTeams[Match-B],ResultsTeams[Stage],"Groups",ResultsTeams[Team A],AJ326)+SUMIFS(ResultsTeams[Match-A],ResultsTeams[Stage],"Groups",ResultsTeams[Team B],AJ326))</f>
        <v/>
      </c>
      <c r="BB326" s="356" t="str">
        <f t="shared" si="280"/>
        <v/>
      </c>
      <c r="BC326" s="356" t="str">
        <f>IF(OR(AI325="",AJ326=""),"",SUMIFS(ResultsTeams[Goal-A],ResultsTeams[Stage],"Groups",ResultsTeams[Team A],AJ326)+SUMIFS(ResultsTeams[Goal-B],ResultsTeams[Stage],"Groups",ResultsTeams[Team B],AJ326))</f>
        <v/>
      </c>
      <c r="BD326" s="356" t="str">
        <f>IF(OR(AI325="",AJ326=""),"",SUMIFS(ResultsTeams[Goal-B],ResultsTeams[Stage],"Groups",ResultsTeams[Team A],AJ326)+SUMIFS(ResultsTeams[Goal-A],ResultsTeams[Stage],"Groups",ResultsTeams[Team B],AJ326))</f>
        <v/>
      </c>
      <c r="BE326" s="357" t="str">
        <f>IF(OR(AI323="",AJ326=""),"",BC326-BD326)</f>
        <v/>
      </c>
      <c r="BF326" s="470" t="str">
        <f>IF(AM326="","",OR(VLOOKUP(AM326,AN324:BE330,3,FALSE),VLOOKUP(AM326,AN324:BE330,6,FALSE)))</f>
        <v/>
      </c>
      <c r="BG326" s="298" t="str">
        <f t="shared" si="279"/>
        <v/>
      </c>
      <c r="BH326" s="285" t="str">
        <f>IF(AM326="","",INDEX(AJ324:AJ330,MATCH(AM326,AN324:AN330,0)))</f>
        <v/>
      </c>
      <c r="BI326" s="286" t="str">
        <f>IF(AM326="","",VLOOKUP(AM326,AN324:BE330,COLUMN()-COLUMN(BB323),FALSE))</f>
        <v/>
      </c>
      <c r="BJ326" s="286" t="str">
        <f>IF(AM326="","",VLOOKUP(AM326,AN324:BE330,COLUMN()-COLUMN(BB323),FALSE))</f>
        <v/>
      </c>
      <c r="BK326" s="286" t="str">
        <f>IF(AM326="","",VLOOKUP(AM326,AN324:BE330,COLUMN()-COLUMN(BB323),FALSE))</f>
        <v/>
      </c>
      <c r="BL326" s="286" t="str">
        <f>IF(AM326="","",VLOOKUP(AM326,AN324:BE330,COLUMN()-COLUMN(BB323),FALSE))</f>
        <v/>
      </c>
      <c r="BM326" s="286" t="str">
        <f>IF(AM326="","",VLOOKUP(AM326,AN324:BE330,COLUMN()-COLUMN(BB323),FALSE))</f>
        <v/>
      </c>
      <c r="BN326" s="349" t="str">
        <f>IF(AM326="","",VLOOKUP(AM326,AN324:BE330,COLUMN()-COLUMN(BB323),FALSE))</f>
        <v/>
      </c>
      <c r="BO326" s="298" t="str">
        <f>IF(AM326="","",VLOOKUP(AM326,AN324:BE330,COLUMN()-COLUMN(BB323),FALSE))</f>
        <v/>
      </c>
      <c r="BP326" s="286" t="str">
        <f>IF(AM326="","",VLOOKUP(AM326,AN324:BE330,COLUMN()-COLUMN(BB323),FALSE))</f>
        <v/>
      </c>
      <c r="BQ326" s="301" t="str">
        <f>IF(AM326="","",VLOOKUP(AM326,AN324:BE330,COLUMN()-COLUMN(BB323),FALSE))</f>
        <v/>
      </c>
      <c r="BR326" s="352" t="str">
        <f>IF(AM326="","",VLOOKUP(AM326,AN324:BE330,COLUMN()-COLUMN(BB323),FALSE))</f>
        <v/>
      </c>
      <c r="BS326" s="286" t="str">
        <f>IF(AM326="","",VLOOKUP(AM326,AN324:BE330,COLUMN()-COLUMN(BB323),FALSE))</f>
        <v/>
      </c>
      <c r="BT326" s="301" t="str">
        <f>IF(AM326="","",VLOOKUP(AM326,AN324:BE330,COLUMN()-COLUMN(BB323),FALSE))</f>
        <v/>
      </c>
    </row>
    <row r="327" spans="1:72" ht="12" thickBot="1" x14ac:dyDescent="0.25">
      <c r="A327" s="261" t="s">
        <v>12693</v>
      </c>
      <c r="B327" s="270" t="s">
        <v>12207</v>
      </c>
      <c r="C327" s="270">
        <v>8</v>
      </c>
      <c r="D327" s="270"/>
      <c r="E327" s="272" t="s">
        <v>12228</v>
      </c>
      <c r="F327" s="273" t="s">
        <v>620</v>
      </c>
      <c r="G327" s="273" t="s">
        <v>14595</v>
      </c>
      <c r="H327" s="275">
        <v>4</v>
      </c>
      <c r="I327" s="275">
        <v>0</v>
      </c>
      <c r="J327" s="275"/>
      <c r="K327" s="366"/>
      <c r="L327" s="366"/>
      <c r="M327" s="271"/>
      <c r="N327" s="265" t="b">
        <f>NOT(ISERROR(ResultsTeams[[#This Row],[Goal-A]]+ResultsTeams[[#This Row],[Goal-B]]))</f>
        <v>1</v>
      </c>
      <c r="O327" s="265">
        <f>IF(ResultsTeams[[#This Row],[Type]]="G",SUM(O328:O331),IF(LEFT(ResultsTeams[[#This Row],[Type]],1)="P",IF(ResultsTeams[[#This Row],[Goal-A]]&gt;ResultsTeams[[#This Row],[Goal-B]],1,0),""))</f>
        <v>4</v>
      </c>
      <c r="P327" s="265">
        <f>IF(ResultsTeams[[#This Row],[Type]]="G",SUM(P328:P331),IF(LEFT(ResultsTeams[[#This Row],[Type]],1)="P",IF(ResultsTeams[[#This Row],[Goal-A]]&lt;ResultsTeams[[#This Row],[Goal-B]],1,0),""))</f>
        <v>0</v>
      </c>
      <c r="Q327" s="265">
        <f>IF(ResultsTeams[[#This Row],[Type]]="G",SUM(Q328:Q331),IF(LEFT(ResultsTeams[[#This Row],[Type]],1)="P",VALUE(ResultsTeams[[#This Row],[Score-A]]),""))</f>
        <v>27</v>
      </c>
      <c r="R327" s="265">
        <f>IF(ResultsTeams[[#This Row],[Type]]="G",SUM(R328:R331),IF(LEFT(ResultsTeams[[#This Row],[Type]],1)="P",VALUE(ResultsTeams[[#This Row],[Score-B]]),""))</f>
        <v>3</v>
      </c>
      <c r="S327" s="265">
        <f ca="1">IF(AND(ResultsTeams[[#This Row],[Category]]&lt;&gt;"",ResultsTeams[[#This Row],[Team A]]&lt;&gt;""),COUNTIF(INDIRECT("TeamsList[Club Name]"),ResultsTeams[[#This Row],[Team A]]),"")</f>
        <v>1</v>
      </c>
      <c r="T327" s="265">
        <f ca="1">IF(AND(ResultsTeams[[#This Row],[Category]]&lt;&gt;"",ResultsTeams[[#This Row],[Team B]]&lt;&gt;""),COUNTIF(INDIRECT("TeamsList[Club Name]"),ResultsTeams[[#This Row],[Team B]]),"")</f>
        <v>0</v>
      </c>
      <c r="U3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TEAM-Subbuteo Casale</v>
      </c>
      <c r="V327" s="265" t="str">
        <f>IF(ResultsTeams[[#This Row],[Score_OK]],IF(ResultsTeams[[#This Row],[StageCpy]]="Groups",ResultsTeams[[#This Row],[Category]]&amp;"-"&amp;IF(ResultsTeams[[#This Row],[Team B]]="","",IF(ResultsTeams[[#This Row],[Match-A]]=ResultsTeams[[#This Row],[Match-B]],ResultsTeams[[#This Row],[Team A]],"")),""),"")</f>
        <v>TEAM-</v>
      </c>
      <c r="W327" s="265" t="str">
        <f>IF(ResultsTeams[[#This Row],[Score_OK]],IF(ResultsTeams[[#This Row],[StageCpy]]="Groups",ResultsTeams[[#This Row],[Category]]&amp;"-"&amp;IF(ResultsTeams[[#This Row],[Team B]]="","",IF(ResultsTeams[[#This Row],[Match-A]]=ResultsTeams[[#This Row],[Match-B]],ResultsTeams[[#This Row],[Team B]],"")),""),"")</f>
        <v>TEAM-</v>
      </c>
      <c r="X3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 2</v>
      </c>
      <c r="Y3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 2</v>
      </c>
      <c r="AA3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 2</v>
      </c>
      <c r="AB327" s="264" t="str">
        <f>IF(ResultsTeams[[#This Row],[Category]]="","",VLOOKUP(ResultsTeams[[#This Row],[Stage]],$R$1:$T$8,MATCH(ResultsTeams[[#This Row],[Category]],$S$1:$T$1,0)+1,FALSE))</f>
        <v>PR1</v>
      </c>
      <c r="AC3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7" s="264" t="str">
        <f>IF(ResultsTeams[[#This Row],[Type]]="G",ResultsTeams[[#This Row],[Stage]],AD326)</f>
        <v>Groups</v>
      </c>
      <c r="AE327" s="395" t="str">
        <f>IF(ResultsTeams[[#This Row],[Type]]="G",INDEX(TeamsList[Club Name],MATCH(ResultsTeams[[#This Row],[Team A]],TeamsList[Team Name],0)),AE326)</f>
        <v>Subbuteo Casale</v>
      </c>
      <c r="AF327" s="395" t="str">
        <f>IF(ResultsTeams[[#This Row],[Type]]="G",INDEX(TeamsList[Club Name],MATCH(ResultsTeams[[#This Row],[Team B]],TeamsList[Team Name],0)),AF326)</f>
        <v>Kent Invicta TFC</v>
      </c>
      <c r="AG327" s="265"/>
      <c r="AH327" s="91"/>
      <c r="AI327" s="12">
        <f t="shared" si="281"/>
        <v>0</v>
      </c>
      <c r="AJ327" s="309"/>
      <c r="AK327" s="310"/>
      <c r="AL327" s="311"/>
      <c r="AM327" s="292" t="str">
        <f>IF(AV327="","",SMALL(AN324:AN330,ROWS(AM324:AM327)))</f>
        <v/>
      </c>
      <c r="AN327" s="293" t="str">
        <f>IF(AV327="","",RANK(AR327,AR324:AR330)*1000+ROWS(AN324:AN327))</f>
        <v/>
      </c>
      <c r="AO327" s="316" t="str">
        <f t="shared" si="274"/>
        <v/>
      </c>
      <c r="AP327" s="415" t="b">
        <f>AND(AU327&lt;&gt;"",AU327&gt;0,COUNTIF(AO324:AO330,AO327)&gt;1)</f>
        <v>0</v>
      </c>
      <c r="AQ327" s="316" t="str">
        <f t="shared" si="275"/>
        <v/>
      </c>
      <c r="AR327" s="317" t="str">
        <f t="shared" si="276"/>
        <v/>
      </c>
      <c r="AS327" s="415" t="b">
        <f>AND(AU327&lt;&gt;"",AU327&gt;0,COUNTIF(AR324:AR330,AR327)&gt;1)</f>
        <v>0</v>
      </c>
      <c r="AT327" s="355" t="str">
        <f t="shared" si="277"/>
        <v/>
      </c>
      <c r="AU327" s="356" t="str">
        <f t="shared" si="278"/>
        <v/>
      </c>
      <c r="AV327" s="356" t="str">
        <f>IF(OR(AI323="",AJ327=""),"",COUNTIF(ResultsTeams[Win],AI323&amp;"-"&amp;AJ327))</f>
        <v/>
      </c>
      <c r="AW327" s="356" t="str">
        <f>IF(OR(AI323="",AJ327=""),"",COUNTIF(ResultsTeams[[Draw1]:[Draw2]],AI323&amp;"-"&amp;AJ327))</f>
        <v/>
      </c>
      <c r="AX327" s="356" t="str">
        <f>IF(OR(AI323="",AJ327=""),"",COUNTIF(ResultsTeams[Lose],AI323&amp;"-"&amp;AJ327))</f>
        <v/>
      </c>
      <c r="AY327" s="356" t="str">
        <f>IF(OR(AI323="",AJ327=""),"",AV327-AX327)</f>
        <v/>
      </c>
      <c r="AZ327" s="356" t="str">
        <f>IF(OR(AI326="",AJ327=""),"",SUMIFS(ResultsTeams[Match-A],ResultsTeams[Stage],"Groups",ResultsTeams[Team A],AJ327)+SUMIFS(ResultsTeams[Match-B],ResultsTeams[Stage],"Groups",ResultsTeams[Team B],AJ327))</f>
        <v/>
      </c>
      <c r="BA327" s="356" t="str">
        <f>IF(OR(AI326="",AJ327=""),"",SUMIFS(ResultsTeams[Match-B],ResultsTeams[Stage],"Groups",ResultsTeams[Team A],AJ327)+SUMIFS(ResultsTeams[Match-A],ResultsTeams[Stage],"Groups",ResultsTeams[Team B],AJ327))</f>
        <v/>
      </c>
      <c r="BB327" s="356" t="str">
        <f t="shared" si="280"/>
        <v/>
      </c>
      <c r="BC327" s="356" t="str">
        <f>IF(OR(AI326="",AJ327=""),"",SUMIFS(ResultsTeams[Goal-A],ResultsTeams[Stage],"Groups",ResultsTeams[Team A],AJ327)+SUMIFS(ResultsTeams[Goal-B],ResultsTeams[Stage],"Groups",ResultsTeams[Team B],AJ327))</f>
        <v/>
      </c>
      <c r="BD327" s="356" t="str">
        <f>IF(OR(AI326="",AJ327=""),"",SUMIFS(ResultsTeams[Goal-B],ResultsTeams[Stage],"Groups",ResultsTeams[Team A],AJ327)+SUMIFS(ResultsTeams[Goal-A],ResultsTeams[Stage],"Groups",ResultsTeams[Team B],AJ327))</f>
        <v/>
      </c>
      <c r="BE327" s="357" t="str">
        <f>IF(OR(AI323="",AJ327=""),"",BC327-BD327)</f>
        <v/>
      </c>
      <c r="BF327" s="470" t="str">
        <f>IF(AM327="","",OR(VLOOKUP(AM327,AN324:BE330,3,FALSE),VLOOKUP(AM327,AN324:BE330,6,FALSE)))</f>
        <v/>
      </c>
      <c r="BG327" s="298" t="str">
        <f t="shared" si="279"/>
        <v/>
      </c>
      <c r="BH327" s="285" t="str">
        <f>IF(AM327="","",INDEX(AJ324:AJ330,MATCH(AM327,AN324:AN330,0)))</f>
        <v/>
      </c>
      <c r="BI327" s="286" t="str">
        <f>IF(AM327="","",VLOOKUP(AM327,AN324:BE330,COLUMN()-COLUMN(BB323),FALSE))</f>
        <v/>
      </c>
      <c r="BJ327" s="286" t="str">
        <f>IF(AM327="","",VLOOKUP(AM327,AN324:BE330,COLUMN()-COLUMN(BB323),FALSE))</f>
        <v/>
      </c>
      <c r="BK327" s="286" t="str">
        <f>IF(AM327="","",VLOOKUP(AM327,AN324:BE330,COLUMN()-COLUMN(BB323),FALSE))</f>
        <v/>
      </c>
      <c r="BL327" s="286" t="str">
        <f>IF(AM327="","",VLOOKUP(AM327,AN324:BE330,COLUMN()-COLUMN(BB323),FALSE))</f>
        <v/>
      </c>
      <c r="BM327" s="286" t="str">
        <f>IF(AM327="","",VLOOKUP(AM327,AN324:BE330,COLUMN()-COLUMN(BB323),FALSE))</f>
        <v/>
      </c>
      <c r="BN327" s="349" t="str">
        <f>IF(AM327="","",VLOOKUP(AM327,AN324:BE330,COLUMN()-COLUMN(BB323),FALSE))</f>
        <v/>
      </c>
      <c r="BO327" s="298" t="str">
        <f>IF(AM327="","",VLOOKUP(AM327,AN324:BE330,COLUMN()-COLUMN(BB323),FALSE))</f>
        <v/>
      </c>
      <c r="BP327" s="286" t="str">
        <f>IF(AM327="","",VLOOKUP(AM327,AN324:BE330,COLUMN()-COLUMN(BB323),FALSE))</f>
        <v/>
      </c>
      <c r="BQ327" s="301" t="str">
        <f>IF(AM327="","",VLOOKUP(AM327,AN324:BE330,COLUMN()-COLUMN(BB323),FALSE))</f>
        <v/>
      </c>
      <c r="BR327" s="352" t="str">
        <f>IF(AM327="","",VLOOKUP(AM327,AN324:BE330,COLUMN()-COLUMN(BB323),FALSE))</f>
        <v/>
      </c>
      <c r="BS327" s="286" t="str">
        <f>IF(AM327="","",VLOOKUP(AM327,AN324:BE330,COLUMN()-COLUMN(BB323),FALSE))</f>
        <v/>
      </c>
      <c r="BT327" s="301" t="str">
        <f>IF(AM327="","",VLOOKUP(AM327,AN324:BE330,COLUMN()-COLUMN(BB323),FALSE))</f>
        <v/>
      </c>
    </row>
    <row r="328" spans="1:72" x14ac:dyDescent="0.2">
      <c r="A328" s="60"/>
      <c r="B328" s="280"/>
      <c r="C328" s="60"/>
      <c r="D328" s="60"/>
      <c r="E328" s="240" t="s">
        <v>12231</v>
      </c>
      <c r="F328" s="244" t="s">
        <v>10272</v>
      </c>
      <c r="G328" s="244" t="s">
        <v>13246</v>
      </c>
      <c r="H328" s="253">
        <v>8</v>
      </c>
      <c r="I328" s="253">
        <v>2</v>
      </c>
      <c r="J328" s="253"/>
      <c r="K328" s="362"/>
      <c r="L328" s="362"/>
      <c r="M328" s="61"/>
      <c r="N328" s="265" t="b">
        <f>NOT(ISERROR(ResultsTeams[[#This Row],[Goal-A]]+ResultsTeams[[#This Row],[Goal-B]]))</f>
        <v>1</v>
      </c>
      <c r="O328" s="265">
        <f>IF(ResultsTeams[[#This Row],[Type]]="G",SUM(O329:O332),IF(LEFT(ResultsTeams[[#This Row],[Type]],1)="P",IF(ResultsTeams[[#This Row],[Goal-A]]&gt;ResultsTeams[[#This Row],[Goal-B]],1,0),""))</f>
        <v>1</v>
      </c>
      <c r="P328" s="265">
        <f>IF(ResultsTeams[[#This Row],[Type]]="G",SUM(P329:P332),IF(LEFT(ResultsTeams[[#This Row],[Type]],1)="P",IF(ResultsTeams[[#This Row],[Goal-A]]&lt;ResultsTeams[[#This Row],[Goal-B]],1,0),""))</f>
        <v>0</v>
      </c>
      <c r="Q328" s="265">
        <f>IF(ResultsTeams[[#This Row],[Type]]="G",SUM(Q329:Q332),IF(LEFT(ResultsTeams[[#This Row],[Type]],1)="P",VALUE(ResultsTeams[[#This Row],[Score-A]]),""))</f>
        <v>8</v>
      </c>
      <c r="R328" s="265">
        <f>IF(ResultsTeams[[#This Row],[Type]]="G",SUM(R329:R332),IF(LEFT(ResultsTeams[[#This Row],[Type]],1)="P",VALUE(ResultsTeams[[#This Row],[Score-B]]),""))</f>
        <v>2</v>
      </c>
      <c r="S328" s="265" t="str">
        <f ca="1">IF(AND(ResultsTeams[[#This Row],[Category]]&lt;&gt;"",ResultsTeams[[#This Row],[Team A]]&lt;&gt;""),COUNTIF(INDIRECT("TeamsList[Club Name]"),ResultsTeams[[#This Row],[Team A]]),"")</f>
        <v/>
      </c>
      <c r="T328" s="265" t="str">
        <f ca="1">IF(AND(ResultsTeams[[#This Row],[Category]]&lt;&gt;"",ResultsTeams[[#This Row],[Team B]]&lt;&gt;""),COUNTIF(INDIRECT("TeamsList[Club Name]"),ResultsTeams[[#This Row],[Team B]]),"")</f>
        <v/>
      </c>
      <c r="U3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-Francesco Borgo</v>
      </c>
      <c r="V328" s="265" t="str">
        <f>IF(ResultsTeams[[#This Row],[Score_OK]],IF(ResultsTeams[[#This Row],[StageCpy]]="Groups",ResultsTeams[[#This Row],[Category]]&amp;"-"&amp;IF(ResultsTeams[[#This Row],[Team B]]="","",IF(ResultsTeams[[#This Row],[Match-A]]=ResultsTeams[[#This Row],[Match-B]],ResultsTeams[[#This Row],[Team A]],"")),""),"")</f>
        <v>-</v>
      </c>
      <c r="W328" s="265" t="str">
        <f>IF(ResultsTeams[[#This Row],[Score_OK]],IF(ResultsTeams[[#This Row],[StageCpy]]="Groups",ResultsTeams[[#This Row],[Category]]&amp;"-"&amp;IF(ResultsTeams[[#This Row],[Team B]]="","",IF(ResultsTeams[[#This Row],[Match-A]]=ResultsTeams[[#This Row],[Match-B]],ResultsTeams[[#This Row],[Team B]],"")),""),"")</f>
        <v>-</v>
      </c>
      <c r="X3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-Kyle Jamieson</v>
      </c>
      <c r="Y3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8" s="264" t="str">
        <f>IF(ResultsTeams[[#This Row],[Category]]="","",VLOOKUP(ResultsTeams[[#This Row],[Stage]],$R$1:$T$8,MATCH(ResultsTeams[[#This Row],[Category]],$S$1:$T$1,0)+1,FALSE))</f>
        <v/>
      </c>
      <c r="AC3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8" s="264" t="str">
        <f>IF(ResultsTeams[[#This Row],[Type]]="G",ResultsTeams[[#This Row],[Stage]],AD327)</f>
        <v>Groups</v>
      </c>
      <c r="AE328" s="395" t="str">
        <f>IF(ResultsTeams[[#This Row],[Type]]="G",INDEX(TeamsList[Club Name],MATCH(ResultsTeams[[#This Row],[Team A]],TeamsList[Team Name],0)),AE327)</f>
        <v>Subbuteo Casale</v>
      </c>
      <c r="AF328" s="395" t="str">
        <f>IF(ResultsTeams[[#This Row],[Type]]="G",INDEX(TeamsList[Club Name],MATCH(ResultsTeams[[#This Row],[Team B]],TeamsList[Team Name],0)),AF327)</f>
        <v>Kent Invicta TFC</v>
      </c>
      <c r="AG328" s="265"/>
      <c r="AH328" s="91"/>
      <c r="AI328" s="12">
        <f t="shared" si="281"/>
        <v>0</v>
      </c>
      <c r="AJ328" s="309"/>
      <c r="AK328" s="310"/>
      <c r="AL328" s="311"/>
      <c r="AM328" s="292" t="str">
        <f>IF(AV328="","",SMALL(AN324:AN330,ROWS(AM324:AM328)))</f>
        <v/>
      </c>
      <c r="AN328" s="293" t="str">
        <f>IF(AV328="","",RANK(AR328,AR324:AR330)*1000+ROWS(AN324:AN328))</f>
        <v/>
      </c>
      <c r="AO328" s="316" t="str">
        <f t="shared" si="274"/>
        <v/>
      </c>
      <c r="AP328" s="415" t="b">
        <f>AND(AU328&lt;&gt;"",AU328&gt;0,COUNTIF(AO324:AO330,AO328)&gt;1)</f>
        <v>0</v>
      </c>
      <c r="AQ328" s="316" t="str">
        <f t="shared" si="275"/>
        <v/>
      </c>
      <c r="AR328" s="317" t="str">
        <f t="shared" si="276"/>
        <v/>
      </c>
      <c r="AS328" s="415" t="b">
        <f>AND(AU328&lt;&gt;"",AU328&gt;0,COUNTIF(AR324:AR330,AR328)&gt;1)</f>
        <v>0</v>
      </c>
      <c r="AT328" s="355" t="str">
        <f t="shared" si="277"/>
        <v/>
      </c>
      <c r="AU328" s="356" t="str">
        <f t="shared" si="278"/>
        <v/>
      </c>
      <c r="AV328" s="356" t="str">
        <f>IF(OR(AI323="",AJ328=""),"",COUNTIF(ResultsTeams[Win],AI323&amp;"-"&amp;AJ328))</f>
        <v/>
      </c>
      <c r="AW328" s="356" t="str">
        <f>IF(OR(AI323="",AJ328=""),"",COUNTIF(ResultsTeams[[Draw1]:[Draw2]],AI323&amp;"-"&amp;AJ328))</f>
        <v/>
      </c>
      <c r="AX328" s="356" t="str">
        <f>IF(OR(AI323="",AJ328=""),"",COUNTIF(ResultsTeams[Lose],AI323&amp;"-"&amp;AJ328))</f>
        <v/>
      </c>
      <c r="AY328" s="356" t="str">
        <f>IF(OR(AI323="",AJ328=""),"",AV328-AX328)</f>
        <v/>
      </c>
      <c r="AZ328" s="356" t="str">
        <f>IF(OR(AI327="",AJ328=""),"",SUMIFS(ResultsTeams[Match-A],ResultsTeams[Stage],"Groups",ResultsTeams[Team A],AJ328)+SUMIFS(ResultsTeams[Match-B],ResultsTeams[Stage],"Groups",ResultsTeams[Team B],AJ328))</f>
        <v/>
      </c>
      <c r="BA328" s="356" t="str">
        <f>IF(OR(AI327="",AJ328=""),"",SUMIFS(ResultsTeams[Match-B],ResultsTeams[Stage],"Groups",ResultsTeams[Team A],AJ328)+SUMIFS(ResultsTeams[Match-A],ResultsTeams[Stage],"Groups",ResultsTeams[Team B],AJ328))</f>
        <v/>
      </c>
      <c r="BB328" s="356" t="str">
        <f t="shared" si="280"/>
        <v/>
      </c>
      <c r="BC328" s="356" t="str">
        <f>IF(OR(AI327="",AJ328=""),"",SUMIFS(ResultsTeams[Goal-A],ResultsTeams[Stage],"Groups",ResultsTeams[Team A],AJ328)+SUMIFS(ResultsTeams[Goal-B],ResultsTeams[Stage],"Groups",ResultsTeams[Team B],AJ328))</f>
        <v/>
      </c>
      <c r="BD328" s="356" t="str">
        <f>IF(OR(AI327="",AJ328=""),"",SUMIFS(ResultsTeams[Goal-B],ResultsTeams[Stage],"Groups",ResultsTeams[Team A],AJ328)+SUMIFS(ResultsTeams[Goal-A],ResultsTeams[Stage],"Groups",ResultsTeams[Team B],AJ328))</f>
        <v/>
      </c>
      <c r="BE328" s="357" t="str">
        <f>IF(OR(AI323="",AJ328=""),"",BC328-BD328)</f>
        <v/>
      </c>
      <c r="BF328" s="470" t="str">
        <f>IF(AM328="","",OR(VLOOKUP(AM328,AN324:BE330,3,FALSE),VLOOKUP(AM328,AN324:BE330,6,FALSE)))</f>
        <v/>
      </c>
      <c r="BG328" s="298" t="str">
        <f t="shared" si="279"/>
        <v/>
      </c>
      <c r="BH328" s="285" t="str">
        <f>IF(AM328="","",INDEX(AJ324:AJ330,MATCH(AM328,AN324:AN330,0)))</f>
        <v/>
      </c>
      <c r="BI328" s="286" t="str">
        <f>IF(AM328="","",VLOOKUP(AM328,AN324:BE330,COLUMN()-COLUMN(BB323),FALSE))</f>
        <v/>
      </c>
      <c r="BJ328" s="286" t="str">
        <f>IF(AM328="","",VLOOKUP(AM328,AN324:BE330,COLUMN()-COLUMN(BB323),FALSE))</f>
        <v/>
      </c>
      <c r="BK328" s="286" t="str">
        <f>IF(AM328="","",VLOOKUP(AM328,AN324:BE330,COLUMN()-COLUMN(BB323),FALSE))</f>
        <v/>
      </c>
      <c r="BL328" s="286" t="str">
        <f>IF(AM328="","",VLOOKUP(AM328,AN324:BE330,COLUMN()-COLUMN(BB323),FALSE))</f>
        <v/>
      </c>
      <c r="BM328" s="286" t="str">
        <f>IF(AM328="","",VLOOKUP(AM328,AN324:BE330,COLUMN()-COLUMN(BB323),FALSE))</f>
        <v/>
      </c>
      <c r="BN328" s="349" t="str">
        <f>IF(AM328="","",VLOOKUP(AM328,AN324:BE330,COLUMN()-COLUMN(BB323),FALSE))</f>
        <v/>
      </c>
      <c r="BO328" s="298" t="str">
        <f>IF(AM328="","",VLOOKUP(AM328,AN324:BE330,COLUMN()-COLUMN(BB323),FALSE))</f>
        <v/>
      </c>
      <c r="BP328" s="286" t="str">
        <f>IF(AM328="","",VLOOKUP(AM328,AN324:BE330,COLUMN()-COLUMN(BB323),FALSE))</f>
        <v/>
      </c>
      <c r="BQ328" s="301" t="str">
        <f>IF(AM328="","",VLOOKUP(AM328,AN324:BE330,COLUMN()-COLUMN(BB323),FALSE))</f>
        <v/>
      </c>
      <c r="BR328" s="352" t="str">
        <f>IF(AM328="","",VLOOKUP(AM328,AN324:BE330,COLUMN()-COLUMN(BB323),FALSE))</f>
        <v/>
      </c>
      <c r="BS328" s="286" t="str">
        <f>IF(AM328="","",VLOOKUP(AM328,AN324:BE330,COLUMN()-COLUMN(BB323),FALSE))</f>
        <v/>
      </c>
      <c r="BT328" s="301" t="str">
        <f>IF(AM328="","",VLOOKUP(AM328,AN324:BE330,COLUMN()-COLUMN(BB323),FALSE))</f>
        <v/>
      </c>
    </row>
    <row r="329" spans="1:72" x14ac:dyDescent="0.2">
      <c r="A329" s="62"/>
      <c r="B329" s="280"/>
      <c r="C329" s="62"/>
      <c r="D329" s="62"/>
      <c r="E329" s="241" t="s">
        <v>12234</v>
      </c>
      <c r="F329" s="246" t="s">
        <v>10283</v>
      </c>
      <c r="G329" s="246" t="s">
        <v>8514</v>
      </c>
      <c r="H329" s="254">
        <v>2</v>
      </c>
      <c r="I329" s="254">
        <v>0</v>
      </c>
      <c r="J329" s="254"/>
      <c r="K329" s="363"/>
      <c r="L329" s="363"/>
      <c r="M329" s="63"/>
      <c r="N329" s="265" t="b">
        <f>NOT(ISERROR(ResultsTeams[[#This Row],[Goal-A]]+ResultsTeams[[#This Row],[Goal-B]]))</f>
        <v>1</v>
      </c>
      <c r="O329" s="265">
        <f>IF(ResultsTeams[[#This Row],[Type]]="G",SUM(O330:O333),IF(LEFT(ResultsTeams[[#This Row],[Type]],1)="P",IF(ResultsTeams[[#This Row],[Goal-A]]&gt;ResultsTeams[[#This Row],[Goal-B]],1,0),""))</f>
        <v>1</v>
      </c>
      <c r="P329" s="265">
        <f>IF(ResultsTeams[[#This Row],[Type]]="G",SUM(P330:P333),IF(LEFT(ResultsTeams[[#This Row],[Type]],1)="P",IF(ResultsTeams[[#This Row],[Goal-A]]&lt;ResultsTeams[[#This Row],[Goal-B]],1,0),""))</f>
        <v>0</v>
      </c>
      <c r="Q329" s="265">
        <f>IF(ResultsTeams[[#This Row],[Type]]="G",SUM(Q330:Q333),IF(LEFT(ResultsTeams[[#This Row],[Type]],1)="P",VALUE(ResultsTeams[[#This Row],[Score-A]]),""))</f>
        <v>2</v>
      </c>
      <c r="R329" s="265">
        <f>IF(ResultsTeams[[#This Row],[Type]]="G",SUM(R330:R333),IF(LEFT(ResultsTeams[[#This Row],[Type]],1)="P",VALUE(ResultsTeams[[#This Row],[Score-B]]),""))</f>
        <v>0</v>
      </c>
      <c r="S329" s="265" t="str">
        <f ca="1">IF(AND(ResultsTeams[[#This Row],[Category]]&lt;&gt;"",ResultsTeams[[#This Row],[Team A]]&lt;&gt;""),COUNTIF(INDIRECT("TeamsList[Club Name]"),ResultsTeams[[#This Row],[Team A]]),"")</f>
        <v/>
      </c>
      <c r="T329" s="265" t="str">
        <f ca="1">IF(AND(ResultsTeams[[#This Row],[Category]]&lt;&gt;"",ResultsTeams[[#This Row],[Team B]]&lt;&gt;""),COUNTIF(INDIRECT("TeamsList[Club Name]"),ResultsTeams[[#This Row],[Team B]]),"")</f>
        <v/>
      </c>
      <c r="U3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-Marcello Bodin De Chatelard</v>
      </c>
      <c r="V329" s="265" t="str">
        <f>IF(ResultsTeams[[#This Row],[Score_OK]],IF(ResultsTeams[[#This Row],[StageCpy]]="Groups",ResultsTeams[[#This Row],[Category]]&amp;"-"&amp;IF(ResultsTeams[[#This Row],[Team B]]="","",IF(ResultsTeams[[#This Row],[Match-A]]=ResultsTeams[[#This Row],[Match-B]],ResultsTeams[[#This Row],[Team A]],"")),""),"")</f>
        <v>-</v>
      </c>
      <c r="W329" s="265" t="str">
        <f>IF(ResultsTeams[[#This Row],[Score_OK]],IF(ResultsTeams[[#This Row],[StageCpy]]="Groups",ResultsTeams[[#This Row],[Category]]&amp;"-"&amp;IF(ResultsTeams[[#This Row],[Team B]]="","",IF(ResultsTeams[[#This Row],[Match-A]]=ResultsTeams[[#This Row],[Match-B]],ResultsTeams[[#This Row],[Team B]],"")),""),"")</f>
        <v>-</v>
      </c>
      <c r="X3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-Terry Arnold</v>
      </c>
      <c r="Y3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9" s="264" t="str">
        <f>IF(ResultsTeams[[#This Row],[Category]]="","",VLOOKUP(ResultsTeams[[#This Row],[Stage]],$R$1:$T$8,MATCH(ResultsTeams[[#This Row],[Category]],$S$1:$T$1,0)+1,FALSE))</f>
        <v/>
      </c>
      <c r="AC3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9" s="264" t="str">
        <f>IF(ResultsTeams[[#This Row],[Type]]="G",ResultsTeams[[#This Row],[Stage]],AD328)</f>
        <v>Groups</v>
      </c>
      <c r="AE329" s="395" t="str">
        <f>IF(ResultsTeams[[#This Row],[Type]]="G",INDEX(TeamsList[Club Name],MATCH(ResultsTeams[[#This Row],[Team A]],TeamsList[Team Name],0)),AE328)</f>
        <v>Subbuteo Casale</v>
      </c>
      <c r="AF329" s="395" t="str">
        <f>IF(ResultsTeams[[#This Row],[Type]]="G",INDEX(TeamsList[Club Name],MATCH(ResultsTeams[[#This Row],[Team B]],TeamsList[Team Name],0)),AF328)</f>
        <v>Kent Invicta TFC</v>
      </c>
      <c r="AG329" s="265"/>
      <c r="AI329" s="12">
        <f t="shared" si="281"/>
        <v>0</v>
      </c>
      <c r="AJ329" s="309"/>
      <c r="AK329" s="310"/>
      <c r="AL329" s="311"/>
      <c r="AM329" s="292" t="str">
        <f>IF(AV329="","",SMALL(AN324:AN330,ROWS(AM324:AM329)))</f>
        <v/>
      </c>
      <c r="AN329" s="293" t="str">
        <f>IF(AV329="","",RANK(AR329,AR324:AR330)*1000+ROWS(AN324:AN329))</f>
        <v/>
      </c>
      <c r="AO329" s="316" t="str">
        <f t="shared" si="274"/>
        <v/>
      </c>
      <c r="AP329" s="415" t="b">
        <f>AND(AU329&lt;&gt;"",AU329&gt;0,COUNTIF(AO324:AO330,AO329)&gt;1)</f>
        <v>0</v>
      </c>
      <c r="AQ329" s="316" t="str">
        <f t="shared" si="275"/>
        <v/>
      </c>
      <c r="AR329" s="317" t="str">
        <f t="shared" si="276"/>
        <v/>
      </c>
      <c r="AS329" s="415" t="b">
        <f>AND(AU329&lt;&gt;"",AU329&gt;0,COUNTIF(AR324:AR330,AR329)&gt;1)</f>
        <v>0</v>
      </c>
      <c r="AT329" s="355" t="str">
        <f t="shared" si="277"/>
        <v/>
      </c>
      <c r="AU329" s="356" t="str">
        <f t="shared" si="278"/>
        <v/>
      </c>
      <c r="AV329" s="356" t="str">
        <f>IF(OR(AI323="",AJ329=""),"",COUNTIF(ResultsTeams[Win],AI323&amp;"-"&amp;AJ329))</f>
        <v/>
      </c>
      <c r="AW329" s="356" t="str">
        <f>IF(OR(AI323="",AJ329=""),"",COUNTIF(ResultsTeams[[Draw1]:[Draw2]],AI323&amp;"-"&amp;AJ329))</f>
        <v/>
      </c>
      <c r="AX329" s="356" t="str">
        <f>IF(OR(AI323="",AJ329=""),"",COUNTIF(ResultsTeams[Lose],AI323&amp;"-"&amp;AJ329))</f>
        <v/>
      </c>
      <c r="AY329" s="356" t="str">
        <f>IF(OR(AI323="",AJ329=""),"",AV329-AX329)</f>
        <v/>
      </c>
      <c r="AZ329" s="356" t="str">
        <f>IF(OR(AI328="",AJ329=""),"",SUMIFS(ResultsTeams[Match-A],ResultsTeams[Stage],"Groups",ResultsTeams[Team A],AJ329)+SUMIFS(ResultsTeams[Match-B],ResultsTeams[Stage],"Groups",ResultsTeams[Team B],AJ329))</f>
        <v/>
      </c>
      <c r="BA329" s="356" t="str">
        <f>IF(OR(AI328="",AJ329=""),"",SUMIFS(ResultsTeams[Match-B],ResultsTeams[Stage],"Groups",ResultsTeams[Team A],AJ329)+SUMIFS(ResultsTeams[Match-A],ResultsTeams[Stage],"Groups",ResultsTeams[Team B],AJ329))</f>
        <v/>
      </c>
      <c r="BB329" s="356" t="str">
        <f t="shared" si="280"/>
        <v/>
      </c>
      <c r="BC329" s="356" t="str">
        <f>IF(OR(AI328="",AJ329=""),"",SUMIFS(ResultsTeams[Goal-A],ResultsTeams[Stage],"Groups",ResultsTeams[Team A],AJ329)+SUMIFS(ResultsTeams[Goal-B],ResultsTeams[Stage],"Groups",ResultsTeams[Team B],AJ329))</f>
        <v/>
      </c>
      <c r="BD329" s="356" t="str">
        <f>IF(OR(AI328="",AJ329=""),"",SUMIFS(ResultsTeams[Goal-B],ResultsTeams[Stage],"Groups",ResultsTeams[Team A],AJ329)+SUMIFS(ResultsTeams[Goal-A],ResultsTeams[Stage],"Groups",ResultsTeams[Team B],AJ329))</f>
        <v/>
      </c>
      <c r="BE329" s="357" t="str">
        <f>IF(OR(AI323="",AJ329=""),"",BC329-BD329)</f>
        <v/>
      </c>
      <c r="BF329" s="470" t="str">
        <f>IF(AM329="","",OR(VLOOKUP(AM329,AN324:BE330,3,FALSE),VLOOKUP(AM329,AN324:BE330,6,FALSE)))</f>
        <v/>
      </c>
      <c r="BG329" s="298" t="str">
        <f t="shared" si="279"/>
        <v/>
      </c>
      <c r="BH329" s="285" t="str">
        <f>IF(AM329="","",INDEX(AJ324:AJ330,MATCH(AM329,AN324:AN330,0)))</f>
        <v/>
      </c>
      <c r="BI329" s="286" t="str">
        <f>IF(AM329="","",VLOOKUP(AM329,AN324:BE330,COLUMN()-COLUMN(BB323),FALSE))</f>
        <v/>
      </c>
      <c r="BJ329" s="286" t="str">
        <f>IF(AM329="","",VLOOKUP(AM329,AN324:BE330,COLUMN()-COLUMN(BB323),FALSE))</f>
        <v/>
      </c>
      <c r="BK329" s="286" t="str">
        <f>IF(AM329="","",VLOOKUP(AM329,AN324:BE330,COLUMN()-COLUMN(BB323),FALSE))</f>
        <v/>
      </c>
      <c r="BL329" s="286" t="str">
        <f>IF(AM329="","",VLOOKUP(AM329,AN324:BE330,COLUMN()-COLUMN(BB323),FALSE))</f>
        <v/>
      </c>
      <c r="BM329" s="286" t="str">
        <f>IF(AM329="","",VLOOKUP(AM329,AN324:BE330,COLUMN()-COLUMN(BB323),FALSE))</f>
        <v/>
      </c>
      <c r="BN329" s="349" t="str">
        <f>IF(AM329="","",VLOOKUP(AM329,AN324:BE330,COLUMN()-COLUMN(BB323),FALSE))</f>
        <v/>
      </c>
      <c r="BO329" s="298" t="str">
        <f>IF(AM329="","",VLOOKUP(AM329,AN324:BE330,COLUMN()-COLUMN(BB323),FALSE))</f>
        <v/>
      </c>
      <c r="BP329" s="286" t="str">
        <f>IF(AM329="","",VLOOKUP(AM329,AN324:BE330,COLUMN()-COLUMN(BB323),FALSE))</f>
        <v/>
      </c>
      <c r="BQ329" s="301" t="str">
        <f>IF(AM329="","",VLOOKUP(AM329,AN324:BE330,COLUMN()-COLUMN(BB323),FALSE))</f>
        <v/>
      </c>
      <c r="BR329" s="352" t="str">
        <f>IF(AM329="","",VLOOKUP(AM329,AN324:BE330,COLUMN()-COLUMN(BB323),FALSE))</f>
        <v/>
      </c>
      <c r="BS329" s="286" t="str">
        <f>IF(AM329="","",VLOOKUP(AM329,AN324:BE330,COLUMN()-COLUMN(BB323),FALSE))</f>
        <v/>
      </c>
      <c r="BT329" s="301" t="str">
        <f>IF(AM329="","",VLOOKUP(AM329,AN324:BE330,COLUMN()-COLUMN(BB323),FALSE))</f>
        <v/>
      </c>
    </row>
    <row r="330" spans="1:72" ht="12" thickBot="1" x14ac:dyDescent="0.25">
      <c r="A330" s="62"/>
      <c r="B330" s="280"/>
      <c r="C330" s="62"/>
      <c r="D330" s="62"/>
      <c r="E330" s="241" t="s">
        <v>12237</v>
      </c>
      <c r="F330" s="246" t="s">
        <v>10364</v>
      </c>
      <c r="G330" s="246" t="s">
        <v>13262</v>
      </c>
      <c r="H330" s="254">
        <v>8</v>
      </c>
      <c r="I330" s="254">
        <v>1</v>
      </c>
      <c r="J330" s="254"/>
      <c r="K330" s="363"/>
      <c r="L330" s="363"/>
      <c r="M330" s="63"/>
      <c r="N330" s="265" t="b">
        <f>NOT(ISERROR(ResultsTeams[[#This Row],[Goal-A]]+ResultsTeams[[#This Row],[Goal-B]]))</f>
        <v>1</v>
      </c>
      <c r="O330" s="265">
        <f>IF(ResultsTeams[[#This Row],[Type]]="G",SUM(O331:O334),IF(LEFT(ResultsTeams[[#This Row],[Type]],1)="P",IF(ResultsTeams[[#This Row],[Goal-A]]&gt;ResultsTeams[[#This Row],[Goal-B]],1,0),""))</f>
        <v>1</v>
      </c>
      <c r="P330" s="265">
        <f>IF(ResultsTeams[[#This Row],[Type]]="G",SUM(P331:P334),IF(LEFT(ResultsTeams[[#This Row],[Type]],1)="P",IF(ResultsTeams[[#This Row],[Goal-A]]&lt;ResultsTeams[[#This Row],[Goal-B]],1,0),""))</f>
        <v>0</v>
      </c>
      <c r="Q330" s="265">
        <f>IF(ResultsTeams[[#This Row],[Type]]="G",SUM(Q331:Q334),IF(LEFT(ResultsTeams[[#This Row],[Type]],1)="P",VALUE(ResultsTeams[[#This Row],[Score-A]]),""))</f>
        <v>8</v>
      </c>
      <c r="R330" s="265">
        <f>IF(ResultsTeams[[#This Row],[Type]]="G",SUM(R331:R334),IF(LEFT(ResultsTeams[[#This Row],[Type]],1)="P",VALUE(ResultsTeams[[#This Row],[Score-B]]),""))</f>
        <v>1</v>
      </c>
      <c r="S330" s="265" t="str">
        <f ca="1">IF(AND(ResultsTeams[[#This Row],[Category]]&lt;&gt;"",ResultsTeams[[#This Row],[Team A]]&lt;&gt;""),COUNTIF(INDIRECT("TeamsList[Club Name]"),ResultsTeams[[#This Row],[Team A]]),"")</f>
        <v/>
      </c>
      <c r="T330" s="265" t="str">
        <f ca="1">IF(AND(ResultsTeams[[#This Row],[Category]]&lt;&gt;"",ResultsTeams[[#This Row],[Team B]]&lt;&gt;""),COUNTIF(INDIRECT("TeamsList[Club Name]"),ResultsTeams[[#This Row],[Team B]]),"")</f>
        <v/>
      </c>
      <c r="U3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-Alessandro Amatelli</v>
      </c>
      <c r="V330" s="265" t="str">
        <f>IF(ResultsTeams[[#This Row],[Score_OK]],IF(ResultsTeams[[#This Row],[StageCpy]]="Groups",ResultsTeams[[#This Row],[Category]]&amp;"-"&amp;IF(ResultsTeams[[#This Row],[Team B]]="","",IF(ResultsTeams[[#This Row],[Match-A]]=ResultsTeams[[#This Row],[Match-B]],ResultsTeams[[#This Row],[Team A]],"")),""),"")</f>
        <v>-</v>
      </c>
      <c r="W330" s="265" t="str">
        <f>IF(ResultsTeams[[#This Row],[Score_OK]],IF(ResultsTeams[[#This Row],[StageCpy]]="Groups",ResultsTeams[[#This Row],[Category]]&amp;"-"&amp;IF(ResultsTeams[[#This Row],[Team B]]="","",IF(ResultsTeams[[#This Row],[Match-A]]=ResultsTeams[[#This Row],[Match-B]],ResultsTeams[[#This Row],[Team B]],"")),""),"")</f>
        <v>-</v>
      </c>
      <c r="X3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-Martin Colwell</v>
      </c>
      <c r="Y3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0" s="264" t="str">
        <f>IF(ResultsTeams[[#This Row],[Category]]="","",VLOOKUP(ResultsTeams[[#This Row],[Stage]],$R$1:$T$8,MATCH(ResultsTeams[[#This Row],[Category]],$S$1:$T$1,0)+1,FALSE))</f>
        <v/>
      </c>
      <c r="AC3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0" s="264" t="str">
        <f>IF(ResultsTeams[[#This Row],[Type]]="G",ResultsTeams[[#This Row],[Stage]],AD329)</f>
        <v>Groups</v>
      </c>
      <c r="AE330" s="395" t="str">
        <f>IF(ResultsTeams[[#This Row],[Type]]="G",INDEX(TeamsList[Club Name],MATCH(ResultsTeams[[#This Row],[Team A]],TeamsList[Team Name],0)),AE329)</f>
        <v>Subbuteo Casale</v>
      </c>
      <c r="AF330" s="395" t="str">
        <f>IF(ResultsTeams[[#This Row],[Type]]="G",INDEX(TeamsList[Club Name],MATCH(ResultsTeams[[#This Row],[Team B]],TeamsList[Team Name],0)),AF329)</f>
        <v>Kent Invicta TFC</v>
      </c>
      <c r="AG330" s="265"/>
      <c r="AI330" s="12">
        <f t="shared" si="281"/>
        <v>0</v>
      </c>
      <c r="AJ330" s="312"/>
      <c r="AK330" s="313"/>
      <c r="AL330" s="314"/>
      <c r="AM330" s="294" t="str">
        <f>IF(AV330="","",SMALL(AN324:AN330,ROWS(AM324:AM330)))</f>
        <v/>
      </c>
      <c r="AN330" s="295" t="str">
        <f>IF(AV330="","",RANK(AR330,AR324:AR330)*1000+ROWS(AN324:AN330))</f>
        <v/>
      </c>
      <c r="AO330" s="318" t="str">
        <f t="shared" si="274"/>
        <v/>
      </c>
      <c r="AP330" s="416" t="b">
        <f>AND(AU330&lt;&gt;"",AU330&gt;0,COUNTIF(AO324:AO330,AO330)&gt;1)</f>
        <v>0</v>
      </c>
      <c r="AQ330" s="318" t="str">
        <f t="shared" si="275"/>
        <v/>
      </c>
      <c r="AR330" s="319" t="str">
        <f t="shared" si="276"/>
        <v/>
      </c>
      <c r="AS330" s="416" t="b">
        <f>AND(AU330&lt;&gt;"",AU330&gt;0,COUNTIF(AR324:AR330,AR330)&gt;1)</f>
        <v>0</v>
      </c>
      <c r="AT330" s="358" t="str">
        <f t="shared" si="277"/>
        <v/>
      </c>
      <c r="AU330" s="359" t="str">
        <f t="shared" si="278"/>
        <v/>
      </c>
      <c r="AV330" s="359" t="str">
        <f>IF(OR(AI323="",AJ330=""),"",COUNTIF(ResultsTeams[Win],AI323&amp;"-"&amp;AJ330))</f>
        <v/>
      </c>
      <c r="AW330" s="359" t="str">
        <f>IF(OR(AI323="",AJ330=""),"",COUNTIF(ResultsTeams[[Draw1]:[Draw2]],AI323&amp;"-"&amp;AJ330))</f>
        <v/>
      </c>
      <c r="AX330" s="359" t="str">
        <f>IF(OR(AI323="",AJ330=""),"",COUNTIF(ResultsTeams[Lose],AI323&amp;"-"&amp;AJ330))</f>
        <v/>
      </c>
      <c r="AY330" s="359" t="str">
        <f>IF(OR(AI323="",AJ330=""),"",AV330-AX330)</f>
        <v/>
      </c>
      <c r="AZ330" s="359" t="str">
        <f>IF(OR(AI329="",AJ330=""),"",SUMIFS(ResultsTeams[Match-A],ResultsTeams[Stage],"Groups",ResultsTeams[Team A],AJ330)+SUMIFS(ResultsTeams[Match-B],ResultsTeams[Stage],"Groups",ResultsTeams[Team B],AJ330))</f>
        <v/>
      </c>
      <c r="BA330" s="359" t="str">
        <f>IF(OR(AI329="",AJ330=""),"",SUMIFS(ResultsTeams[Match-B],ResultsTeams[Stage],"Groups",ResultsTeams[Team A],AJ330)+SUMIFS(ResultsTeams[Match-A],ResultsTeams[Stage],"Groups",ResultsTeams[Team B],AJ330))</f>
        <v/>
      </c>
      <c r="BB330" s="359" t="str">
        <f t="shared" si="280"/>
        <v/>
      </c>
      <c r="BC330" s="359" t="str">
        <f>IF(OR(AI329="",AJ330=""),"",SUMIFS(ResultsTeams[Goal-A],ResultsTeams[Stage],"Groups",ResultsTeams[Team A],AJ330)+SUMIFS(ResultsTeams[Goal-B],ResultsTeams[Stage],"Groups",ResultsTeams[Team B],AJ330))</f>
        <v/>
      </c>
      <c r="BD330" s="359" t="str">
        <f>IF(OR(AI329="",AJ330=""),"",SUMIFS(ResultsTeams[Goal-B],ResultsTeams[Stage],"Groups",ResultsTeams[Team A],AJ330)+SUMIFS(ResultsTeams[Goal-A],ResultsTeams[Stage],"Groups",ResultsTeams[Team B],AJ330))</f>
        <v/>
      </c>
      <c r="BE330" s="360" t="str">
        <f>IF(OR(AI323="",AJ330=""),"",BC330-BD330)</f>
        <v/>
      </c>
      <c r="BF330" s="470" t="str">
        <f>IF(AM330="","",OR(VLOOKUP(AM330,AN324:BE330,3,FALSE),VLOOKUP(AM330,AN324:BE330,6,FALSE)))</f>
        <v/>
      </c>
      <c r="BG330" s="299" t="str">
        <f t="shared" si="279"/>
        <v/>
      </c>
      <c r="BH330" s="287" t="str">
        <f>IF(AM330="","",INDEX(AJ324:AJ330,MATCH(AM330,AN324:AN330,0)))</f>
        <v/>
      </c>
      <c r="BI330" s="288" t="str">
        <f>IF(AM330="","",VLOOKUP(AM330,AN324:BE330,COLUMN()-COLUMN(BB323),FALSE))</f>
        <v/>
      </c>
      <c r="BJ330" s="288" t="str">
        <f>IF(AM330="","",VLOOKUP(AM330,AN324:BE330,COLUMN()-COLUMN(BB323),FALSE))</f>
        <v/>
      </c>
      <c r="BK330" s="288" t="str">
        <f>IF(AM330="","",VLOOKUP(AM330,AN324:BE330,COLUMN()-COLUMN(BB323),FALSE))</f>
        <v/>
      </c>
      <c r="BL330" s="288" t="str">
        <f>IF(AM330="","",VLOOKUP(AM330,AN324:BE330,COLUMN()-COLUMN(BB323),FALSE))</f>
        <v/>
      </c>
      <c r="BM330" s="288" t="str">
        <f>IF(AM330="","",VLOOKUP(AM330,AN324:BE330,COLUMN()-COLUMN(BB323),FALSE))</f>
        <v/>
      </c>
      <c r="BN330" s="350" t="str">
        <f>IF(AM330="","",VLOOKUP(AM330,AN324:BE330,COLUMN()-COLUMN(BB323),FALSE))</f>
        <v/>
      </c>
      <c r="BO330" s="299" t="str">
        <f>IF(AM330="","",VLOOKUP(AM330,AN324:BE330,COLUMN()-COLUMN(BB323),FALSE))</f>
        <v/>
      </c>
      <c r="BP330" s="288" t="str">
        <f>IF(AM330="","",VLOOKUP(AM330,AN324:BE330,COLUMN()-COLUMN(BB323),FALSE))</f>
        <v/>
      </c>
      <c r="BQ330" s="302" t="str">
        <f>IF(AM330="","",VLOOKUP(AM330,AN324:BE330,COLUMN()-COLUMN(BB323),FALSE))</f>
        <v/>
      </c>
      <c r="BR330" s="353" t="str">
        <f>IF(AM330="","",VLOOKUP(AM330,AN324:BE330,COLUMN()-COLUMN(BB323),FALSE))</f>
        <v/>
      </c>
      <c r="BS330" s="288" t="str">
        <f>IF(AM330="","",VLOOKUP(AM330,AN324:BE330,COLUMN()-COLUMN(BB323),FALSE))</f>
        <v/>
      </c>
      <c r="BT330" s="302" t="str">
        <f>IF(AM330="","",VLOOKUP(AM330,AN324:BE330,COLUMN()-COLUMN(BB323),FALSE))</f>
        <v/>
      </c>
    </row>
    <row r="331" spans="1:72" ht="12" thickBot="1" x14ac:dyDescent="0.25">
      <c r="A331" s="62"/>
      <c r="B331" s="280"/>
      <c r="C331" s="62"/>
      <c r="D331" s="62"/>
      <c r="E331" s="241" t="s">
        <v>12240</v>
      </c>
      <c r="F331" s="246" t="s">
        <v>10024</v>
      </c>
      <c r="G331" s="246" t="s">
        <v>13243</v>
      </c>
      <c r="H331" s="254">
        <v>9</v>
      </c>
      <c r="I331" s="254">
        <v>0</v>
      </c>
      <c r="J331" s="254"/>
      <c r="K331" s="363"/>
      <c r="L331" s="363"/>
      <c r="M331" s="63"/>
      <c r="N331" s="265" t="b">
        <f>NOT(ISERROR(ResultsTeams[[#This Row],[Goal-A]]+ResultsTeams[[#This Row],[Goal-B]]))</f>
        <v>1</v>
      </c>
      <c r="O331" s="265">
        <f>IF(ResultsTeams[[#This Row],[Type]]="G",SUM(O332:O335),IF(LEFT(ResultsTeams[[#This Row],[Type]],1)="P",IF(ResultsTeams[[#This Row],[Goal-A]]&gt;ResultsTeams[[#This Row],[Goal-B]],1,0),""))</f>
        <v>1</v>
      </c>
      <c r="P331" s="265">
        <f>IF(ResultsTeams[[#This Row],[Type]]="G",SUM(P332:P335),IF(LEFT(ResultsTeams[[#This Row],[Type]],1)="P",IF(ResultsTeams[[#This Row],[Goal-A]]&lt;ResultsTeams[[#This Row],[Goal-B]],1,0),""))</f>
        <v>0</v>
      </c>
      <c r="Q331" s="265">
        <f>IF(ResultsTeams[[#This Row],[Type]]="G",SUM(Q332:Q335),IF(LEFT(ResultsTeams[[#This Row],[Type]],1)="P",VALUE(ResultsTeams[[#This Row],[Score-A]]),""))</f>
        <v>9</v>
      </c>
      <c r="R331" s="265">
        <f>IF(ResultsTeams[[#This Row],[Type]]="G",SUM(R332:R335),IF(LEFT(ResultsTeams[[#This Row],[Type]],1)="P",VALUE(ResultsTeams[[#This Row],[Score-B]]),""))</f>
        <v>0</v>
      </c>
      <c r="S331" s="265" t="str">
        <f ca="1">IF(AND(ResultsTeams[[#This Row],[Category]]&lt;&gt;"",ResultsTeams[[#This Row],[Team A]]&lt;&gt;""),COUNTIF(INDIRECT("TeamsList[Club Name]"),ResultsTeams[[#This Row],[Team A]]),"")</f>
        <v/>
      </c>
      <c r="T331" s="265" t="str">
        <f ca="1">IF(AND(ResultsTeams[[#This Row],[Category]]&lt;&gt;"",ResultsTeams[[#This Row],[Team B]]&lt;&gt;""),COUNTIF(INDIRECT("TeamsList[Club Name]"),ResultsTeams[[#This Row],[Team B]]),"")</f>
        <v/>
      </c>
      <c r="U3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-Christian Fricano</v>
      </c>
      <c r="V331" s="265" t="str">
        <f>IF(ResultsTeams[[#This Row],[Score_OK]],IF(ResultsTeams[[#This Row],[StageCpy]]="Groups",ResultsTeams[[#This Row],[Category]]&amp;"-"&amp;IF(ResultsTeams[[#This Row],[Team B]]="","",IF(ResultsTeams[[#This Row],[Match-A]]=ResultsTeams[[#This Row],[Match-B]],ResultsTeams[[#This Row],[Team A]],"")),""),"")</f>
        <v>-</v>
      </c>
      <c r="W331" s="265" t="str">
        <f>IF(ResultsTeams[[#This Row],[Score_OK]],IF(ResultsTeams[[#This Row],[StageCpy]]="Groups",ResultsTeams[[#This Row],[Category]]&amp;"-"&amp;IF(ResultsTeams[[#This Row],[Team B]]="","",IF(ResultsTeams[[#This Row],[Match-A]]=ResultsTeams[[#This Row],[Match-B]],ResultsTeams[[#This Row],[Team B]],"")),""),"")</f>
        <v>-</v>
      </c>
      <c r="X3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-Thomas Lacey</v>
      </c>
      <c r="Y3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1" s="264" t="str">
        <f>IF(ResultsTeams[[#This Row],[Category]]="","",VLOOKUP(ResultsTeams[[#This Row],[Stage]],$R$1:$T$8,MATCH(ResultsTeams[[#This Row],[Category]],$S$1:$T$1,0)+1,FALSE))</f>
        <v/>
      </c>
      <c r="AC3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1" s="264" t="str">
        <f>IF(ResultsTeams[[#This Row],[Type]]="G",ResultsTeams[[#This Row],[Stage]],AD330)</f>
        <v>Groups</v>
      </c>
      <c r="AE331" s="395" t="str">
        <f>IF(ResultsTeams[[#This Row],[Type]]="G",INDEX(TeamsList[Club Name],MATCH(ResultsTeams[[#This Row],[Team A]],TeamsList[Team Name],0)),AE330)</f>
        <v>Subbuteo Casale</v>
      </c>
      <c r="AF331" s="395" t="str">
        <f>IF(ResultsTeams[[#This Row],[Type]]="G",INDEX(TeamsList[Club Name],MATCH(ResultsTeams[[#This Row],[Team B]],TeamsList[Team Name],0)),AF330)</f>
        <v>Kent Invicta TFC</v>
      </c>
      <c r="AG331" s="265"/>
    </row>
    <row r="332" spans="1:72" ht="12" thickBot="1" x14ac:dyDescent="0.25">
      <c r="A332" s="62"/>
      <c r="B332" s="62"/>
      <c r="C332" s="62"/>
      <c r="D332" s="62"/>
      <c r="E332" s="241" t="s">
        <v>12243</v>
      </c>
      <c r="F332" s="247"/>
      <c r="G332" s="247" t="s">
        <v>13642</v>
      </c>
      <c r="H332" s="254"/>
      <c r="I332" s="254" t="s">
        <v>12684</v>
      </c>
      <c r="J332" s="260"/>
      <c r="K332" s="364"/>
      <c r="L332" s="364"/>
      <c r="M332" s="63"/>
      <c r="N332" s="265" t="b">
        <f>NOT(ISERROR(ResultsTeams[[#This Row],[Goal-A]]+ResultsTeams[[#This Row],[Goal-B]]))</f>
        <v>0</v>
      </c>
      <c r="O332" s="265" t="str">
        <f>IF(ResultsTeams[[#This Row],[Type]]="G",SUM(O333:O336),IF(LEFT(ResultsTeams[[#This Row],[Type]],1)="P",IF(ResultsTeams[[#This Row],[Goal-A]]&gt;ResultsTeams[[#This Row],[Goal-B]],1,0),""))</f>
        <v/>
      </c>
      <c r="P332" s="265" t="str">
        <f>IF(ResultsTeams[[#This Row],[Type]]="G",SUM(P333:P336),IF(LEFT(ResultsTeams[[#This Row],[Type]],1)="P",IF(ResultsTeams[[#This Row],[Goal-A]]&lt;ResultsTeams[[#This Row],[Goal-B]],1,0),""))</f>
        <v/>
      </c>
      <c r="Q332" s="265" t="str">
        <f>IF(ResultsTeams[[#This Row],[Type]]="G",SUM(Q333:Q336),IF(LEFT(ResultsTeams[[#This Row],[Type]],1)="P",VALUE(ResultsTeams[[#This Row],[Score-A]]),""))</f>
        <v/>
      </c>
      <c r="R332" s="265" t="str">
        <f>IF(ResultsTeams[[#This Row],[Type]]="G",SUM(R333:R336),IF(LEFT(ResultsTeams[[#This Row],[Type]],1)="P",VALUE(ResultsTeams[[#This Row],[Score-B]]),""))</f>
        <v/>
      </c>
      <c r="S332" s="265" t="str">
        <f ca="1">IF(AND(ResultsTeams[[#This Row],[Category]]&lt;&gt;"",ResultsTeams[[#This Row],[Team A]]&lt;&gt;""),COUNTIF(INDIRECT("TeamsList[Club Name]"),ResultsTeams[[#This Row],[Team A]]),"")</f>
        <v/>
      </c>
      <c r="T332" s="265" t="str">
        <f ca="1">IF(AND(ResultsTeams[[#This Row],[Category]]&lt;&gt;"",ResultsTeams[[#This Row],[Team B]]&lt;&gt;""),COUNTIF(INDIRECT("TeamsList[Club Name]"),ResultsTeams[[#This Row],[Team B]]),"")</f>
        <v/>
      </c>
      <c r="U3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2" s="265" t="str">
        <f>IF(ResultsTeams[[#This Row],[Score_OK]],IF(ResultsTeams[[#This Row],[StageCpy]]="Groups",ResultsTeams[[#This Row],[Category]]&amp;"-"&amp;IF(ResultsTeams[[#This Row],[Team B]]="","",IF(ResultsTeams[[#This Row],[Match-A]]=ResultsTeams[[#This Row],[Match-B]],ResultsTeams[[#This Row],[Team A]],"")),""),"")</f>
        <v/>
      </c>
      <c r="W332" s="265" t="str">
        <f>IF(ResultsTeams[[#This Row],[Score_OK]],IF(ResultsTeams[[#This Row],[StageCpy]]="Groups",ResultsTeams[[#This Row],[Category]]&amp;"-"&amp;IF(ResultsTeams[[#This Row],[Team B]]="","",IF(ResultsTeams[[#This Row],[Match-A]]=ResultsTeams[[#This Row],[Match-B]],ResultsTeams[[#This Row],[Team B]],"")),""),"")</f>
        <v/>
      </c>
      <c r="X3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2" s="264" t="str">
        <f>IF(ResultsTeams[[#This Row],[Category]]="","",VLOOKUP(ResultsTeams[[#This Row],[Stage]],$R$1:$T$8,MATCH(ResultsTeams[[#This Row],[Category]],$S$1:$T$1,0)+1,FALSE))</f>
        <v/>
      </c>
      <c r="AC3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2" s="264" t="str">
        <f>IF(ResultsTeams[[#This Row],[Type]]="G",ResultsTeams[[#This Row],[Stage]],AD331)</f>
        <v>Groups</v>
      </c>
      <c r="AE332" s="395" t="str">
        <f>IF(ResultsTeams[[#This Row],[Type]]="G",INDEX(TeamsList[Club Name],MATCH(ResultsTeams[[#This Row],[Team A]],TeamsList[Team Name],0)),AE331)</f>
        <v>Subbuteo Casale</v>
      </c>
      <c r="AF332" s="395" t="str">
        <f>IF(ResultsTeams[[#This Row],[Type]]="G",INDEX(TeamsList[Club Name],MATCH(ResultsTeams[[#This Row],[Team B]],TeamsList[Team Name],0)),AF331)</f>
        <v>Kent Invicta TFC</v>
      </c>
      <c r="AG332" s="265"/>
      <c r="AH332" s="281" t="str">
        <f>IF(AI332="","",QUOTIENT(COUNTIF(AI$26:AI332,AI332)-1,8)+1)</f>
        <v/>
      </c>
      <c r="AI332" s="315"/>
      <c r="AJ332" s="289" t="s">
        <v>14438</v>
      </c>
      <c r="AK332" s="290" t="s">
        <v>12279</v>
      </c>
      <c r="AL332" s="300" t="s">
        <v>12275</v>
      </c>
      <c r="AM332" s="296" t="s">
        <v>12276</v>
      </c>
      <c r="AN332" s="291" t="s">
        <v>12271</v>
      </c>
      <c r="AO332" s="291" t="s">
        <v>12272</v>
      </c>
      <c r="AP332" s="414" t="s">
        <v>13154</v>
      </c>
      <c r="AQ332" s="291" t="s">
        <v>12273</v>
      </c>
      <c r="AR332" s="297" t="s">
        <v>12274</v>
      </c>
      <c r="AS332" s="414" t="s">
        <v>13154</v>
      </c>
      <c r="AT332" s="296" t="s">
        <v>12199</v>
      </c>
      <c r="AU332" s="291" t="s">
        <v>12200</v>
      </c>
      <c r="AV332" s="291" t="s">
        <v>12201</v>
      </c>
      <c r="AW332" s="291" t="s">
        <v>12202</v>
      </c>
      <c r="AX332" s="291" t="s">
        <v>12203</v>
      </c>
      <c r="AY332" s="291" t="s">
        <v>12697</v>
      </c>
      <c r="AZ332" s="291" t="s">
        <v>12698</v>
      </c>
      <c r="BA332" s="291" t="s">
        <v>12699</v>
      </c>
      <c r="BB332" s="291" t="s">
        <v>12700</v>
      </c>
      <c r="BC332" s="291" t="s">
        <v>12204</v>
      </c>
      <c r="BD332" s="291" t="s">
        <v>12205</v>
      </c>
      <c r="BE332" s="297" t="s">
        <v>12206</v>
      </c>
      <c r="BF332" s="395"/>
      <c r="BG332" s="282" t="s">
        <v>12276</v>
      </c>
      <c r="BH332" s="282" t="s">
        <v>12133</v>
      </c>
      <c r="BI332" s="283" t="s">
        <v>12199</v>
      </c>
      <c r="BJ332" s="283" t="s">
        <v>12200</v>
      </c>
      <c r="BK332" s="283" t="s">
        <v>12201</v>
      </c>
      <c r="BL332" s="283" t="s">
        <v>12202</v>
      </c>
      <c r="BM332" s="283" t="s">
        <v>12203</v>
      </c>
      <c r="BN332" s="290" t="s">
        <v>12697</v>
      </c>
      <c r="BO332" s="354" t="s">
        <v>12698</v>
      </c>
      <c r="BP332" s="283" t="s">
        <v>12699</v>
      </c>
      <c r="BQ332" s="300" t="s">
        <v>12700</v>
      </c>
      <c r="BR332" s="351" t="s">
        <v>12204</v>
      </c>
      <c r="BS332" s="283" t="s">
        <v>12205</v>
      </c>
      <c r="BT332" s="300" t="s">
        <v>12206</v>
      </c>
    </row>
    <row r="333" spans="1:72" ht="12" thickBot="1" x14ac:dyDescent="0.25">
      <c r="A333" s="83"/>
      <c r="B333" s="83"/>
      <c r="C333" s="83"/>
      <c r="D333" s="83"/>
      <c r="E333" s="268" t="s">
        <v>12244</v>
      </c>
      <c r="F333" s="262"/>
      <c r="G333" s="262"/>
      <c r="H333" s="324"/>
      <c r="I333" s="324"/>
      <c r="J333" s="263"/>
      <c r="K333" s="365"/>
      <c r="L333" s="365"/>
      <c r="M333" s="84"/>
      <c r="N333" s="265" t="b">
        <f>NOT(ISERROR(ResultsTeams[[#This Row],[Goal-A]]+ResultsTeams[[#This Row],[Goal-B]]))</f>
        <v>0</v>
      </c>
      <c r="O333" s="265" t="str">
        <f>IF(ResultsTeams[[#This Row],[Type]]="G",SUM(O334:O337),IF(LEFT(ResultsTeams[[#This Row],[Type]],1)="P",IF(ResultsTeams[[#This Row],[Goal-A]]&gt;ResultsTeams[[#This Row],[Goal-B]],1,0),""))</f>
        <v/>
      </c>
      <c r="P333" s="265" t="str">
        <f>IF(ResultsTeams[[#This Row],[Type]]="G",SUM(P334:P337),IF(LEFT(ResultsTeams[[#This Row],[Type]],1)="P",IF(ResultsTeams[[#This Row],[Goal-A]]&lt;ResultsTeams[[#This Row],[Goal-B]],1,0),""))</f>
        <v/>
      </c>
      <c r="Q333" s="265" t="str">
        <f>IF(ResultsTeams[[#This Row],[Type]]="G",SUM(Q334:Q337),IF(LEFT(ResultsTeams[[#This Row],[Type]],1)="P",VALUE(ResultsTeams[[#This Row],[Score-A]]),""))</f>
        <v/>
      </c>
      <c r="R333" s="265" t="str">
        <f>IF(ResultsTeams[[#This Row],[Type]]="G",SUM(R334:R337),IF(LEFT(ResultsTeams[[#This Row],[Type]],1)="P",VALUE(ResultsTeams[[#This Row],[Score-B]]),""))</f>
        <v/>
      </c>
      <c r="S333" s="265" t="str">
        <f ca="1">IF(AND(ResultsTeams[[#This Row],[Category]]&lt;&gt;"",ResultsTeams[[#This Row],[Team A]]&lt;&gt;""),COUNTIF(INDIRECT("TeamsList[Club Name]"),ResultsTeams[[#This Row],[Team A]]),"")</f>
        <v/>
      </c>
      <c r="T333" s="265" t="str">
        <f ca="1">IF(AND(ResultsTeams[[#This Row],[Category]]&lt;&gt;"",ResultsTeams[[#This Row],[Team B]]&lt;&gt;""),COUNTIF(INDIRECT("TeamsList[Club Name]"),ResultsTeams[[#This Row],[Team B]]),"")</f>
        <v/>
      </c>
      <c r="U3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3" s="265" t="str">
        <f>IF(ResultsTeams[[#This Row],[Score_OK]],IF(ResultsTeams[[#This Row],[StageCpy]]="Groups",ResultsTeams[[#This Row],[Category]]&amp;"-"&amp;IF(ResultsTeams[[#This Row],[Team B]]="","",IF(ResultsTeams[[#This Row],[Match-A]]=ResultsTeams[[#This Row],[Match-B]],ResultsTeams[[#This Row],[Team A]],"")),""),"")</f>
        <v/>
      </c>
      <c r="W333" s="265" t="str">
        <f>IF(ResultsTeams[[#This Row],[Score_OK]],IF(ResultsTeams[[#This Row],[StageCpy]]="Groups",ResultsTeams[[#This Row],[Category]]&amp;"-"&amp;IF(ResultsTeams[[#This Row],[Team B]]="","",IF(ResultsTeams[[#This Row],[Match-A]]=ResultsTeams[[#This Row],[Match-B]],ResultsTeams[[#This Row],[Team B]],"")),""),"")</f>
        <v/>
      </c>
      <c r="X3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3" s="264" t="str">
        <f>IF(ResultsTeams[[#This Row],[Category]]="","",VLOOKUP(ResultsTeams[[#This Row],[Stage]],$R$1:$T$8,MATCH(ResultsTeams[[#This Row],[Category]],$S$1:$T$1,0)+1,FALSE))</f>
        <v/>
      </c>
      <c r="AC3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3" s="264" t="str">
        <f>IF(ResultsTeams[[#This Row],[Type]]="G",ResultsTeams[[#This Row],[Stage]],AD332)</f>
        <v>Groups</v>
      </c>
      <c r="AE333" s="395" t="str">
        <f>IF(ResultsTeams[[#This Row],[Type]]="G",INDEX(TeamsList[Club Name],MATCH(ResultsTeams[[#This Row],[Team A]],TeamsList[Team Name],0)),AE332)</f>
        <v>Subbuteo Casale</v>
      </c>
      <c r="AF333" s="395" t="str">
        <f>IF(ResultsTeams[[#This Row],[Type]]="G",INDEX(TeamsList[Club Name],MATCH(ResultsTeams[[#This Row],[Team B]],TeamsList[Team Name],0)),AF332)</f>
        <v>Kent Invicta TFC</v>
      </c>
      <c r="AG333" s="265"/>
      <c r="AI333" s="12">
        <f>AI332</f>
        <v>0</v>
      </c>
      <c r="AJ333" s="309"/>
      <c r="AK333" s="320"/>
      <c r="AL333" s="311"/>
      <c r="AM333" s="292" t="str">
        <f>IF(AV333="","",SMALL(AN333:AN339,ROWS(AM333:AM333)))</f>
        <v/>
      </c>
      <c r="AN333" s="293" t="str">
        <f>IF(AV333="","",RANK(AR333,AR333:AR339)*1000+ROWS(AN333:AN333))</f>
        <v/>
      </c>
      <c r="AO333" s="316" t="str">
        <f t="shared" ref="AO333:AO339" si="282">IF(AV333="","",AT333*CritClassEq1_Points+AY333*CritClassEq1_DiffRencontres+BB333*CritClassEq1_DiffMatches+BE333*CritClassEq1_DiffButs+AZ333*CritClassEq1_Matches+BC333*CritClassEq1_Attaque)</f>
        <v/>
      </c>
      <c r="AP333" s="415" t="b">
        <f>AND(AU333&lt;&gt;"",AU333&gt;0,COUNTIF(AO333:AO339,AO333)&gt;1)</f>
        <v>0</v>
      </c>
      <c r="AQ333" s="316" t="str">
        <f t="shared" ref="AQ333:AQ339" si="283">IF(AV333="","",CritClassEq_DiffPart*AK333)</f>
        <v/>
      </c>
      <c r="AR333" s="317" t="str">
        <f t="shared" ref="AR333:AR339" si="284">IF(AV333="","",AO333+AQ333+AT333*CritClassEq2_Points+AY333*CritClassEq2_DiffRencontres+BB333*CritClassEq2_DiffMatches+BE333*CritClassEq2_DiffButs+AZ333*CritClassEq2_Matches+BC333*CritClassEq2_Attaque+AL333)</f>
        <v/>
      </c>
      <c r="AS333" s="415" t="b">
        <f>AND(AU333&lt;&gt;"",AU333&gt;0,COUNTIF(AR333:AR339,AR333)&gt;1)</f>
        <v>0</v>
      </c>
      <c r="AT333" s="355" t="str">
        <f t="shared" ref="AT333:AT339" si="285">IF(AV333="","",(AV333*Points_Victoire)+AW333*Points_Null)</f>
        <v/>
      </c>
      <c r="AU333" s="356" t="str">
        <f t="shared" ref="AU333:AU339" si="286">IF(AV333="","",SUM(AV333:AX333))</f>
        <v/>
      </c>
      <c r="AV333" s="356" t="str">
        <f>IF(OR(AI332="",AJ333=""),"",COUNTIF(ResultsTeams[Win],AI332&amp;"-"&amp;AJ333))</f>
        <v/>
      </c>
      <c r="AW333" s="356" t="str">
        <f>IF(OR(AI332="",AJ333=""),"",COUNTIF(ResultsTeams[[Draw1]:[Draw2]],AI332&amp;"-"&amp;AJ333))</f>
        <v/>
      </c>
      <c r="AX333" s="356" t="str">
        <f>IF(OR(AI332="",AJ333=""),"",COUNTIF(ResultsTeams[Lose],AI332&amp;"-"&amp;AJ333))</f>
        <v/>
      </c>
      <c r="AY333" s="356" t="str">
        <f>IF(OR(AI332="",AJ333=""),"",AV333-AX333)</f>
        <v/>
      </c>
      <c r="AZ333" s="356" t="str">
        <f>IF(OR(AI332="",AJ333=""),"",SUMIFS(ResultsTeams[Match-A],ResultsTeams[Stage],"Groups",ResultsTeams[Team A],AJ333)+SUMIFS(ResultsTeams[Match-B],ResultsTeams[Stage],"Groups",ResultsTeams[Team B],AJ333))</f>
        <v/>
      </c>
      <c r="BA333" s="356" t="str">
        <f>IF(OR(AI332="",AJ333=""),"",SUMIFS(ResultsTeams[Match-B],ResultsTeams[Stage],"Groups",ResultsTeams[Team A],AJ333)+SUMIFS(ResultsTeams[Match-A],ResultsTeams[Stage],"Groups",ResultsTeams[Team B],AJ333))</f>
        <v/>
      </c>
      <c r="BB333" s="356" t="str">
        <f>IF(OR(AI332="",AJ333=""),"",AZ333-BA333)</f>
        <v/>
      </c>
      <c r="BC333" s="356" t="str">
        <f>IF(OR(AI332="",AJ333=""),"",SUMIFS(ResultsTeams[Goal-A],ResultsTeams[Stage],"Groups",ResultsTeams[Team A],AJ333)+SUMIFS(ResultsTeams[Goal-B],ResultsTeams[Stage],"Groups",ResultsTeams[Team B],AJ333))</f>
        <v/>
      </c>
      <c r="BD333" s="356" t="str">
        <f>IF(OR(AI332="",AJ333=""),"",SUMIFS(ResultsTeams[Goal-B],ResultsTeams[Stage],"Groups",ResultsTeams[Team A],AJ333)+SUMIFS(ResultsTeams[Goal-A],ResultsTeams[Stage],"Groups",ResultsTeams[Team B],AJ333))</f>
        <v/>
      </c>
      <c r="BE333" s="357" t="str">
        <f>IF(OR(AI332="",AJ333=""),"",BC333-BD333)</f>
        <v/>
      </c>
      <c r="BF333" s="470" t="str">
        <f>IF(AM333="","",OR(VLOOKUP(AM333,AN333:BE339,3,FALSE),VLOOKUP(AM333,AN333:BE339,6,FALSE)))</f>
        <v/>
      </c>
      <c r="BG333" s="298" t="str">
        <f t="shared" ref="BG333:BG339" si="287">IF(AM333="","",INT(AM333/1000))</f>
        <v/>
      </c>
      <c r="BH333" s="285" t="str">
        <f>IF(AM333="","",INDEX(AJ333:AJ339,MATCH(AM333,AN333:AN339,0)))</f>
        <v/>
      </c>
      <c r="BI333" s="286" t="str">
        <f>IF(AM333="","",VLOOKUP(AM333,AN333:BE339,COLUMN()-COLUMN(BB332),FALSE))</f>
        <v/>
      </c>
      <c r="BJ333" s="286" t="str">
        <f>IF(AM333="","",VLOOKUP(AM333,AN333:BE339,COLUMN()-COLUMN(BB332),FALSE))</f>
        <v/>
      </c>
      <c r="BK333" s="286" t="str">
        <f>IF(AM333="","",VLOOKUP(AM333,AN333:BE339,COLUMN()-COLUMN(BB332),FALSE))</f>
        <v/>
      </c>
      <c r="BL333" s="286" t="str">
        <f>IF(AM333="","",VLOOKUP(AM333,AN333:BE339,COLUMN()-COLUMN(BB332),FALSE))</f>
        <v/>
      </c>
      <c r="BM333" s="286" t="str">
        <f>IF(AM333="","",VLOOKUP(AM333,AN333:BE339,COLUMN()-COLUMN(BB332),FALSE))</f>
        <v/>
      </c>
      <c r="BN333" s="349" t="str">
        <f>IF(AM333="","",VLOOKUP(AM333,AN333:BE339,COLUMN()-COLUMN(BB332),FALSE))</f>
        <v/>
      </c>
      <c r="BO333" s="298" t="str">
        <f>IF(AM333="","",VLOOKUP(AM333,AN333:BE339,COLUMN()-COLUMN(BB332),FALSE))</f>
        <v/>
      </c>
      <c r="BP333" s="286" t="str">
        <f>IF(AM333="","",VLOOKUP(AM333,AN333:BE339,COLUMN()-COLUMN(BB332),FALSE))</f>
        <v/>
      </c>
      <c r="BQ333" s="301" t="str">
        <f>IF(AM333="","",VLOOKUP(AM333,AN333:BE339,COLUMN()-COLUMN(BB332),FALSE))</f>
        <v/>
      </c>
      <c r="BR333" s="352" t="str">
        <f>IF(AM333="","",VLOOKUP(AM333,AN333:BE339,COLUMN()-COLUMN(BB332),FALSE))</f>
        <v/>
      </c>
      <c r="BS333" s="286" t="str">
        <f>IF(AM333="","",VLOOKUP(AM333,AN333:BE339,COLUMN()-COLUMN(BB332),FALSE))</f>
        <v/>
      </c>
      <c r="BT333" s="301" t="str">
        <f>IF(AM333="","",VLOOKUP(AM333,AN333:BE339,COLUMN()-COLUMN(BB332),FALSE))</f>
        <v/>
      </c>
    </row>
    <row r="334" spans="1:72" ht="12" thickBot="1" x14ac:dyDescent="0.25">
      <c r="A334" s="261" t="s">
        <v>12693</v>
      </c>
      <c r="B334" s="270" t="s">
        <v>12207</v>
      </c>
      <c r="C334" s="270">
        <v>8</v>
      </c>
      <c r="D334" s="270"/>
      <c r="E334" s="272" t="s">
        <v>12228</v>
      </c>
      <c r="F334" s="273" t="s">
        <v>535</v>
      </c>
      <c r="G334" s="273" t="s">
        <v>620</v>
      </c>
      <c r="H334" s="275">
        <v>2</v>
      </c>
      <c r="I334" s="275">
        <v>1</v>
      </c>
      <c r="J334" s="275"/>
      <c r="K334" s="366"/>
      <c r="L334" s="366"/>
      <c r="M334" s="274"/>
      <c r="N334" s="265" t="b">
        <f>NOT(ISERROR(ResultsTeams[[#This Row],[Goal-A]]+ResultsTeams[[#This Row],[Goal-B]]))</f>
        <v>1</v>
      </c>
      <c r="O334" s="265">
        <f>IF(ResultsTeams[[#This Row],[Type]]="G",SUM(O335:O338),IF(LEFT(ResultsTeams[[#This Row],[Type]],1)="P",IF(ResultsTeams[[#This Row],[Goal-A]]&gt;ResultsTeams[[#This Row],[Goal-B]],1,0),""))</f>
        <v>2</v>
      </c>
      <c r="P334" s="265">
        <f>IF(ResultsTeams[[#This Row],[Type]]="G",SUM(P335:P338),IF(LEFT(ResultsTeams[[#This Row],[Type]],1)="P",IF(ResultsTeams[[#This Row],[Goal-A]]&lt;ResultsTeams[[#This Row],[Goal-B]],1,0),""))</f>
        <v>1</v>
      </c>
      <c r="Q334" s="265">
        <f>IF(ResultsTeams[[#This Row],[Type]]="G",SUM(Q335:Q338),IF(LEFT(ResultsTeams[[#This Row],[Type]],1)="P",VALUE(ResultsTeams[[#This Row],[Score-A]]),""))</f>
        <v>13</v>
      </c>
      <c r="R334" s="265">
        <f>IF(ResultsTeams[[#This Row],[Type]]="G",SUM(R335:R338),IF(LEFT(ResultsTeams[[#This Row],[Type]],1)="P",VALUE(ResultsTeams[[#This Row],[Score-B]]),""))</f>
        <v>9</v>
      </c>
      <c r="S334" s="265">
        <f ca="1">IF(AND(ResultsTeams[[#This Row],[Category]]&lt;&gt;"",ResultsTeams[[#This Row],[Team A]]&lt;&gt;""),COUNTIF(INDIRECT("TeamsList[Club Name]"),ResultsTeams[[#This Row],[Team A]]),"")</f>
        <v>2</v>
      </c>
      <c r="T334" s="265">
        <f ca="1">IF(AND(ResultsTeams[[#This Row],[Category]]&lt;&gt;"",ResultsTeams[[#This Row],[Team B]]&lt;&gt;""),COUNTIF(INDIRECT("TeamsList[Club Name]"),ResultsTeams[[#This Row],[Team B]]),"")</f>
        <v>1</v>
      </c>
      <c r="U3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Caen</v>
      </c>
      <c r="V334" s="265" t="str">
        <f>IF(ResultsTeams[[#This Row],[Score_OK]],IF(ResultsTeams[[#This Row],[StageCpy]]="Groups",ResultsTeams[[#This Row],[Category]]&amp;"-"&amp;IF(ResultsTeams[[#This Row],[Team B]]="","",IF(ResultsTeams[[#This Row],[Match-A]]=ResultsTeams[[#This Row],[Match-B]],ResultsTeams[[#This Row],[Team A]],"")),""),"")</f>
        <v>TEAM-</v>
      </c>
      <c r="W334" s="265" t="str">
        <f>IF(ResultsTeams[[#This Row],[Score_OK]],IF(ResultsTeams[[#This Row],[StageCpy]]="Groups",ResultsTeams[[#This Row],[Category]]&amp;"-"&amp;IF(ResultsTeams[[#This Row],[Team B]]="","",IF(ResultsTeams[[#This Row],[Match-A]]=ResultsTeams[[#This Row],[Match-B]],ResultsTeams[[#This Row],[Team B]],"")),""),"")</f>
        <v>TEAM-</v>
      </c>
      <c r="X3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TEAM-Subbuteo Casale</v>
      </c>
      <c r="Y3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TEAM-Subbuteo Casale</v>
      </c>
      <c r="AA3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TEAM-Subbuteo Casale</v>
      </c>
      <c r="AB334" s="264" t="str">
        <f>IF(ResultsTeams[[#This Row],[Category]]="","",VLOOKUP(ResultsTeams[[#This Row],[Stage]],$R$1:$T$8,MATCH(ResultsTeams[[#This Row],[Category]],$S$1:$T$1,0)+1,FALSE))</f>
        <v>PR1</v>
      </c>
      <c r="AC3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4" s="264" t="str">
        <f>IF(ResultsTeams[[#This Row],[Type]]="G",ResultsTeams[[#This Row],[Stage]],AD333)</f>
        <v>Groups</v>
      </c>
      <c r="AE334" s="395" t="str">
        <f>IF(ResultsTeams[[#This Row],[Type]]="G",INDEX(TeamsList[Club Name],MATCH(ResultsTeams[[#This Row],[Team A]],TeamsList[Team Name],0)),AE333)</f>
        <v>FTC Caen</v>
      </c>
      <c r="AF334" s="395" t="str">
        <f>IF(ResultsTeams[[#This Row],[Type]]="G",INDEX(TeamsList[Club Name],MATCH(ResultsTeams[[#This Row],[Team B]],TeamsList[Team Name],0)),AF333)</f>
        <v>Subbuteo Casale</v>
      </c>
      <c r="AG334" s="265"/>
      <c r="AI334" s="12">
        <f>AI333</f>
        <v>0</v>
      </c>
      <c r="AJ334" s="309"/>
      <c r="AK334" s="320"/>
      <c r="AL334" s="311"/>
      <c r="AM334" s="292" t="str">
        <f>IF(AV334="","",SMALL(AN333:AN339,ROWS(AM333:AM334)))</f>
        <v/>
      </c>
      <c r="AN334" s="293" t="str">
        <f>IF(AV334="","",RANK(AR334,AR333:AR339)*1000+ROWS(AN333:AN334))</f>
        <v/>
      </c>
      <c r="AO334" s="316" t="str">
        <f t="shared" si="282"/>
        <v/>
      </c>
      <c r="AP334" s="415" t="b">
        <f>AND(AU334&lt;&gt;"",AU334&gt;0,COUNTIF(AO333:AO339,AO334)&gt;1)</f>
        <v>0</v>
      </c>
      <c r="AQ334" s="316" t="str">
        <f t="shared" si="283"/>
        <v/>
      </c>
      <c r="AR334" s="317" t="str">
        <f t="shared" si="284"/>
        <v/>
      </c>
      <c r="AS334" s="415" t="b">
        <f>AND(AU334&lt;&gt;"",AU334&gt;0,COUNTIF(AR333:AR339,AR334)&gt;1)</f>
        <v>0</v>
      </c>
      <c r="AT334" s="355" t="str">
        <f t="shared" si="285"/>
        <v/>
      </c>
      <c r="AU334" s="356" t="str">
        <f t="shared" si="286"/>
        <v/>
      </c>
      <c r="AV334" s="356" t="str">
        <f>IF(OR(AI332="",AJ334=""),"",COUNTIF(ResultsTeams[Win],AI332&amp;"-"&amp;AJ334))</f>
        <v/>
      </c>
      <c r="AW334" s="356" t="str">
        <f>IF(OR(AI332="",AJ334=""),"",COUNTIF(ResultsTeams[[Draw1]:[Draw2]],AI332&amp;"-"&amp;AJ334))</f>
        <v/>
      </c>
      <c r="AX334" s="356" t="str">
        <f>IF(OR(AI332="",AJ334=""),"",COUNTIF(ResultsTeams[Lose],AI332&amp;"-"&amp;AJ334))</f>
        <v/>
      </c>
      <c r="AY334" s="356" t="str">
        <f>IF(OR(AI332="",AJ334=""),"",AV334-AX334)</f>
        <v/>
      </c>
      <c r="AZ334" s="356" t="str">
        <f>IF(OR(AI333="",AJ334=""),"",SUMIFS(ResultsTeams[Match-A],ResultsTeams[Stage],"Groups",ResultsTeams[Team A],AJ334)+SUMIFS(ResultsTeams[Match-B],ResultsTeams[Stage],"Groups",ResultsTeams[Team B],AJ334))</f>
        <v/>
      </c>
      <c r="BA334" s="356" t="str">
        <f>IF(OR(AI333="",AJ334=""),"",SUMIFS(ResultsTeams[Match-B],ResultsTeams[Stage],"Groups",ResultsTeams[Team A],AJ334)+SUMIFS(ResultsTeams[Match-A],ResultsTeams[Stage],"Groups",ResultsTeams[Team B],AJ334))</f>
        <v/>
      </c>
      <c r="BB334" s="356" t="str">
        <f t="shared" ref="BB334:BB339" si="288">IF(OR(AI333="",AJ334=""),"",AZ334-BA334)</f>
        <v/>
      </c>
      <c r="BC334" s="356" t="str">
        <f>IF(OR(AI333="",AJ334=""),"",SUMIFS(ResultsTeams[Goal-A],ResultsTeams[Stage],"Groups",ResultsTeams[Team A],AJ334)+SUMIFS(ResultsTeams[Goal-B],ResultsTeams[Stage],"Groups",ResultsTeams[Team B],AJ334))</f>
        <v/>
      </c>
      <c r="BD334" s="356" t="str">
        <f>IF(OR(AI333="",AJ334=""),"",SUMIFS(ResultsTeams[Goal-B],ResultsTeams[Stage],"Groups",ResultsTeams[Team A],AJ334)+SUMIFS(ResultsTeams[Goal-A],ResultsTeams[Stage],"Groups",ResultsTeams[Team B],AJ334))</f>
        <v/>
      </c>
      <c r="BE334" s="357" t="str">
        <f>IF(OR(AI332="",AJ334=""),"",BC334-BD334)</f>
        <v/>
      </c>
      <c r="BF334" s="470" t="str">
        <f>IF(AM334="","",OR(VLOOKUP(AM334,AN333:BE339,3,FALSE),VLOOKUP(AM334,AN333:BE339,6,FALSE)))</f>
        <v/>
      </c>
      <c r="BG334" s="298" t="str">
        <f t="shared" si="287"/>
        <v/>
      </c>
      <c r="BH334" s="285" t="str">
        <f>IF(AM334="","",INDEX(AJ333:AJ339,MATCH(AM334,AN333:AN339,0)))</f>
        <v/>
      </c>
      <c r="BI334" s="286" t="str">
        <f>IF(AM334="","",VLOOKUP(AM334,AN333:BE339,COLUMN()-COLUMN(BB332),FALSE))</f>
        <v/>
      </c>
      <c r="BJ334" s="286" t="str">
        <f>IF(AM334="","",VLOOKUP(AM334,AN333:BE339,COLUMN()-COLUMN(BB332),FALSE))</f>
        <v/>
      </c>
      <c r="BK334" s="286" t="str">
        <f>IF(AM334="","",VLOOKUP(AM334,AN333:BE339,COLUMN()-COLUMN(BB332),FALSE))</f>
        <v/>
      </c>
      <c r="BL334" s="286" t="str">
        <f>IF(AM334="","",VLOOKUP(AM334,AN333:BE339,COLUMN()-COLUMN(BB332),FALSE))</f>
        <v/>
      </c>
      <c r="BM334" s="286" t="str">
        <f>IF(AM334="","",VLOOKUP(AM334,AN333:BE339,COLUMN()-COLUMN(BB332),FALSE))</f>
        <v/>
      </c>
      <c r="BN334" s="349" t="str">
        <f>IF(AM334="","",VLOOKUP(AM334,AN333:BE339,COLUMN()-COLUMN(BB332),FALSE))</f>
        <v/>
      </c>
      <c r="BO334" s="298" t="str">
        <f>IF(AM334="","",VLOOKUP(AM334,AN333:BE339,COLUMN()-COLUMN(BB332),FALSE))</f>
        <v/>
      </c>
      <c r="BP334" s="286" t="str">
        <f>IF(AM334="","",VLOOKUP(AM334,AN333:BE339,COLUMN()-COLUMN(BB332),FALSE))</f>
        <v/>
      </c>
      <c r="BQ334" s="301" t="str">
        <f>IF(AM334="","",VLOOKUP(AM334,AN333:BE339,COLUMN()-COLUMN(BB332),FALSE))</f>
        <v/>
      </c>
      <c r="BR334" s="352" t="str">
        <f>IF(AM334="","",VLOOKUP(AM334,AN333:BE339,COLUMN()-COLUMN(BB332),FALSE))</f>
        <v/>
      </c>
      <c r="BS334" s="286" t="str">
        <f>IF(AM334="","",VLOOKUP(AM334,AN333:BE339,COLUMN()-COLUMN(BB332),FALSE))</f>
        <v/>
      </c>
      <c r="BT334" s="301" t="str">
        <f>IF(AM334="","",VLOOKUP(AM334,AN333:BE339,COLUMN()-COLUMN(BB332),FALSE))</f>
        <v/>
      </c>
    </row>
    <row r="335" spans="1:72" x14ac:dyDescent="0.2">
      <c r="A335" s="60"/>
      <c r="B335" s="280"/>
      <c r="C335" s="60"/>
      <c r="D335" s="60"/>
      <c r="E335" s="240" t="s">
        <v>12231</v>
      </c>
      <c r="F335" s="244" t="s">
        <v>8711</v>
      </c>
      <c r="G335" s="244" t="s">
        <v>10024</v>
      </c>
      <c r="H335" s="253">
        <v>3</v>
      </c>
      <c r="I335" s="253">
        <v>3</v>
      </c>
      <c r="J335" s="253"/>
      <c r="K335" s="362"/>
      <c r="L335" s="362"/>
      <c r="M335" s="245"/>
      <c r="N335" s="265" t="b">
        <f>NOT(ISERROR(ResultsTeams[[#This Row],[Goal-A]]+ResultsTeams[[#This Row],[Goal-B]]))</f>
        <v>1</v>
      </c>
      <c r="O335" s="265">
        <f>IF(ResultsTeams[[#This Row],[Type]]="G",SUM(O336:O339),IF(LEFT(ResultsTeams[[#This Row],[Type]],1)="P",IF(ResultsTeams[[#This Row],[Goal-A]]&gt;ResultsTeams[[#This Row],[Goal-B]],1,0),""))</f>
        <v>0</v>
      </c>
      <c r="P335" s="265">
        <f>IF(ResultsTeams[[#This Row],[Type]]="G",SUM(P336:P339),IF(LEFT(ResultsTeams[[#This Row],[Type]],1)="P",IF(ResultsTeams[[#This Row],[Goal-A]]&lt;ResultsTeams[[#This Row],[Goal-B]],1,0),""))</f>
        <v>0</v>
      </c>
      <c r="Q335" s="265">
        <f>IF(ResultsTeams[[#This Row],[Type]]="G",SUM(Q336:Q339),IF(LEFT(ResultsTeams[[#This Row],[Type]],1)="P",VALUE(ResultsTeams[[#This Row],[Score-A]]),""))</f>
        <v>3</v>
      </c>
      <c r="R335" s="265">
        <f>IF(ResultsTeams[[#This Row],[Type]]="G",SUM(R336:R339),IF(LEFT(ResultsTeams[[#This Row],[Type]],1)="P",VALUE(ResultsTeams[[#This Row],[Score-B]]),""))</f>
        <v>3</v>
      </c>
      <c r="S335" s="265" t="str">
        <f ca="1">IF(AND(ResultsTeams[[#This Row],[Category]]&lt;&gt;"",ResultsTeams[[#This Row],[Team A]]&lt;&gt;""),COUNTIF(INDIRECT("TeamsList[Club Name]"),ResultsTeams[[#This Row],[Team A]]),"")</f>
        <v/>
      </c>
      <c r="T335" s="265" t="str">
        <f ca="1">IF(AND(ResultsTeams[[#This Row],[Category]]&lt;&gt;"",ResultsTeams[[#This Row],[Team B]]&lt;&gt;""),COUNTIF(INDIRECT("TeamsList[Club Name]"),ResultsTeams[[#This Row],[Team B]]),"")</f>
        <v/>
      </c>
      <c r="U3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35" s="265" t="str">
        <f>IF(ResultsTeams[[#This Row],[Score_OK]],IF(ResultsTeams[[#This Row],[StageCpy]]="Groups",ResultsTeams[[#This Row],[Category]]&amp;"-"&amp;IF(ResultsTeams[[#This Row],[Team B]]="","",IF(ResultsTeams[[#This Row],[Match-A]]=ResultsTeams[[#This Row],[Match-B]],ResultsTeams[[#This Row],[Team A]],"")),""),"")</f>
        <v>-Raphaël Pommier</v>
      </c>
      <c r="W335" s="265" t="str">
        <f>IF(ResultsTeams[[#This Row],[Score_OK]],IF(ResultsTeams[[#This Row],[StageCpy]]="Groups",ResultsTeams[[#This Row],[Category]]&amp;"-"&amp;IF(ResultsTeams[[#This Row],[Team B]]="","",IF(ResultsTeams[[#This Row],[Match-A]]=ResultsTeams[[#This Row],[Match-B]],ResultsTeams[[#This Row],[Team B]],"")),""),"")</f>
        <v>-Christian Fricano</v>
      </c>
      <c r="X3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5" s="264" t="str">
        <f>IF(ResultsTeams[[#This Row],[Category]]="","",VLOOKUP(ResultsTeams[[#This Row],[Stage]],$R$1:$T$8,MATCH(ResultsTeams[[#This Row],[Category]],$S$1:$T$1,0)+1,FALSE))</f>
        <v/>
      </c>
      <c r="AC3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5" s="264" t="str">
        <f>IF(ResultsTeams[[#This Row],[Type]]="G",ResultsTeams[[#This Row],[Stage]],AD334)</f>
        <v>Groups</v>
      </c>
      <c r="AE335" s="395" t="str">
        <f>IF(ResultsTeams[[#This Row],[Type]]="G",INDEX(TeamsList[Club Name],MATCH(ResultsTeams[[#This Row],[Team A]],TeamsList[Team Name],0)),AE334)</f>
        <v>FTC Caen</v>
      </c>
      <c r="AF335" s="395" t="str">
        <f>IF(ResultsTeams[[#This Row],[Type]]="G",INDEX(TeamsList[Club Name],MATCH(ResultsTeams[[#This Row],[Team B]],TeamsList[Team Name],0)),AF334)</f>
        <v>Subbuteo Casale</v>
      </c>
      <c r="AG335" s="265"/>
      <c r="AI335" s="12">
        <f t="shared" ref="AI335:AI339" si="289">AI334</f>
        <v>0</v>
      </c>
      <c r="AJ335" s="309"/>
      <c r="AK335" s="320"/>
      <c r="AL335" s="311"/>
      <c r="AM335" s="292" t="str">
        <f>IF(AV335="","",SMALL(AN333:AN339,ROWS(AM333:AM335)))</f>
        <v/>
      </c>
      <c r="AN335" s="293" t="str">
        <f>IF(AV335="","",RANK(AR335,AR333:AR339)*1000+ROWS(AN333:AN335))</f>
        <v/>
      </c>
      <c r="AO335" s="316" t="str">
        <f t="shared" si="282"/>
        <v/>
      </c>
      <c r="AP335" s="415" t="b">
        <f>AND(AU335&lt;&gt;"",AU335&gt;0,COUNTIF(AO333:AO339,AO335)&gt;1)</f>
        <v>0</v>
      </c>
      <c r="AQ335" s="316" t="str">
        <f t="shared" si="283"/>
        <v/>
      </c>
      <c r="AR335" s="317" t="str">
        <f t="shared" si="284"/>
        <v/>
      </c>
      <c r="AS335" s="415" t="b">
        <f>AND(AU335&lt;&gt;"",AU335&gt;0,COUNTIF(AR333:AR339,AR335)&gt;1)</f>
        <v>0</v>
      </c>
      <c r="AT335" s="355" t="str">
        <f t="shared" si="285"/>
        <v/>
      </c>
      <c r="AU335" s="356" t="str">
        <f t="shared" si="286"/>
        <v/>
      </c>
      <c r="AV335" s="356" t="str">
        <f>IF(OR(AI332="",AJ335=""),"",COUNTIF(ResultsTeams[Win],AI332&amp;"-"&amp;AJ335))</f>
        <v/>
      </c>
      <c r="AW335" s="356" t="str">
        <f>IF(OR(AI332="",AJ335=""),"",COUNTIF(ResultsTeams[[Draw1]:[Draw2]],AI332&amp;"-"&amp;AJ335))</f>
        <v/>
      </c>
      <c r="AX335" s="356" t="str">
        <f>IF(OR(AI332="",AJ335=""),"",COUNTIF(ResultsTeams[Lose],AI332&amp;"-"&amp;AJ335))</f>
        <v/>
      </c>
      <c r="AY335" s="356" t="str">
        <f>IF(OR(AI332="",AJ335=""),"",AV335-AX335)</f>
        <v/>
      </c>
      <c r="AZ335" s="356" t="str">
        <f>IF(OR(AI334="",AJ335=""),"",SUMIFS(ResultsTeams[Match-A],ResultsTeams[Stage],"Groups",ResultsTeams[Team A],AJ335)+SUMIFS(ResultsTeams[Match-B],ResultsTeams[Stage],"Groups",ResultsTeams[Team B],AJ335))</f>
        <v/>
      </c>
      <c r="BA335" s="356" t="str">
        <f>IF(OR(AI334="",AJ335=""),"",SUMIFS(ResultsTeams[Match-B],ResultsTeams[Stage],"Groups",ResultsTeams[Team A],AJ335)+SUMIFS(ResultsTeams[Match-A],ResultsTeams[Stage],"Groups",ResultsTeams[Team B],AJ335))</f>
        <v/>
      </c>
      <c r="BB335" s="356" t="str">
        <f t="shared" si="288"/>
        <v/>
      </c>
      <c r="BC335" s="356" t="str">
        <f>IF(OR(AI334="",AJ335=""),"",SUMIFS(ResultsTeams[Goal-A],ResultsTeams[Stage],"Groups",ResultsTeams[Team A],AJ335)+SUMIFS(ResultsTeams[Goal-B],ResultsTeams[Stage],"Groups",ResultsTeams[Team B],AJ335))</f>
        <v/>
      </c>
      <c r="BD335" s="356" t="str">
        <f>IF(OR(AI334="",AJ335=""),"",SUMIFS(ResultsTeams[Goal-B],ResultsTeams[Stage],"Groups",ResultsTeams[Team A],AJ335)+SUMIFS(ResultsTeams[Goal-A],ResultsTeams[Stage],"Groups",ResultsTeams[Team B],AJ335))</f>
        <v/>
      </c>
      <c r="BE335" s="357" t="str">
        <f>IF(OR(AI332="",AJ335=""),"",BC335-BD335)</f>
        <v/>
      </c>
      <c r="BF335" s="470" t="str">
        <f>IF(AM335="","",OR(VLOOKUP(AM335,AN333:BE339,3,FALSE),VLOOKUP(AM335,AN333:BE339,6,FALSE)))</f>
        <v/>
      </c>
      <c r="BG335" s="298" t="str">
        <f t="shared" si="287"/>
        <v/>
      </c>
      <c r="BH335" s="285" t="str">
        <f>IF(AM335="","",INDEX(AJ333:AJ339,MATCH(AM335,AN333:AN339,0)))</f>
        <v/>
      </c>
      <c r="BI335" s="286" t="str">
        <f>IF(AM335="","",VLOOKUP(AM335,AN333:BE339,COLUMN()-COLUMN(BB332),FALSE))</f>
        <v/>
      </c>
      <c r="BJ335" s="286" t="str">
        <f>IF(AM335="","",VLOOKUP(AM335,AN333:BE339,COLUMN()-COLUMN(BB332),FALSE))</f>
        <v/>
      </c>
      <c r="BK335" s="286" t="str">
        <f>IF(AM335="","",VLOOKUP(AM335,AN333:BE339,COLUMN()-COLUMN(BB332),FALSE))</f>
        <v/>
      </c>
      <c r="BL335" s="286" t="str">
        <f>IF(AM335="","",VLOOKUP(AM335,AN333:BE339,COLUMN()-COLUMN(BB332),FALSE))</f>
        <v/>
      </c>
      <c r="BM335" s="286" t="str">
        <f>IF(AM335="","",VLOOKUP(AM335,AN333:BE339,COLUMN()-COLUMN(BB332),FALSE))</f>
        <v/>
      </c>
      <c r="BN335" s="349" t="str">
        <f>IF(AM335="","",VLOOKUP(AM335,AN333:BE339,COLUMN()-COLUMN(BB332),FALSE))</f>
        <v/>
      </c>
      <c r="BO335" s="298" t="str">
        <f>IF(AM335="","",VLOOKUP(AM335,AN333:BE339,COLUMN()-COLUMN(BB332),FALSE))</f>
        <v/>
      </c>
      <c r="BP335" s="286" t="str">
        <f>IF(AM335="","",VLOOKUP(AM335,AN333:BE339,COLUMN()-COLUMN(BB332),FALSE))</f>
        <v/>
      </c>
      <c r="BQ335" s="301" t="str">
        <f>IF(AM335="","",VLOOKUP(AM335,AN333:BE339,COLUMN()-COLUMN(BB332),FALSE))</f>
        <v/>
      </c>
      <c r="BR335" s="352" t="str">
        <f>IF(AM335="","",VLOOKUP(AM335,AN333:BE339,COLUMN()-COLUMN(BB332),FALSE))</f>
        <v/>
      </c>
      <c r="BS335" s="286" t="str">
        <f>IF(AM335="","",VLOOKUP(AM335,AN333:BE339,COLUMN()-COLUMN(BB332),FALSE))</f>
        <v/>
      </c>
      <c r="BT335" s="301" t="str">
        <f>IF(AM335="","",VLOOKUP(AM335,AN333:BE339,COLUMN()-COLUMN(BB332),FALSE))</f>
        <v/>
      </c>
    </row>
    <row r="336" spans="1:72" x14ac:dyDescent="0.2">
      <c r="A336" s="62"/>
      <c r="B336" s="280"/>
      <c r="C336" s="62"/>
      <c r="D336" s="62"/>
      <c r="E336" s="241" t="s">
        <v>12234</v>
      </c>
      <c r="F336" s="244" t="s">
        <v>14607</v>
      </c>
      <c r="G336" s="246" t="s">
        <v>9527</v>
      </c>
      <c r="H336" s="254">
        <v>1</v>
      </c>
      <c r="I336" s="254">
        <v>3</v>
      </c>
      <c r="J336" s="254"/>
      <c r="K336" s="363"/>
      <c r="L336" s="363"/>
      <c r="M336" s="247"/>
      <c r="N336" s="265" t="b">
        <f>NOT(ISERROR(ResultsTeams[[#This Row],[Goal-A]]+ResultsTeams[[#This Row],[Goal-B]]))</f>
        <v>1</v>
      </c>
      <c r="O336" s="265">
        <f>IF(ResultsTeams[[#This Row],[Type]]="G",SUM(O337:O340),IF(LEFT(ResultsTeams[[#This Row],[Type]],1)="P",IF(ResultsTeams[[#This Row],[Goal-A]]&gt;ResultsTeams[[#This Row],[Goal-B]],1,0),""))</f>
        <v>0</v>
      </c>
      <c r="P336" s="265">
        <f>IF(ResultsTeams[[#This Row],[Type]]="G",SUM(P337:P340),IF(LEFT(ResultsTeams[[#This Row],[Type]],1)="P",IF(ResultsTeams[[#This Row],[Goal-A]]&lt;ResultsTeams[[#This Row],[Goal-B]],1,0),""))</f>
        <v>1</v>
      </c>
      <c r="Q336" s="265">
        <f>IF(ResultsTeams[[#This Row],[Type]]="G",SUM(Q337:Q340),IF(LEFT(ResultsTeams[[#This Row],[Type]],1)="P",VALUE(ResultsTeams[[#This Row],[Score-A]]),""))</f>
        <v>1</v>
      </c>
      <c r="R336" s="265">
        <f>IF(ResultsTeams[[#This Row],[Type]]="G",SUM(R337:R340),IF(LEFT(ResultsTeams[[#This Row],[Type]],1)="P",VALUE(ResultsTeams[[#This Row],[Score-B]]),""))</f>
        <v>3</v>
      </c>
      <c r="S336" s="265" t="str">
        <f ca="1">IF(AND(ResultsTeams[[#This Row],[Category]]&lt;&gt;"",ResultsTeams[[#This Row],[Team A]]&lt;&gt;""),COUNTIF(INDIRECT("TeamsList[Club Name]"),ResultsTeams[[#This Row],[Team A]]),"")</f>
        <v/>
      </c>
      <c r="T336" s="265" t="str">
        <f ca="1">IF(AND(ResultsTeams[[#This Row],[Category]]&lt;&gt;"",ResultsTeams[[#This Row],[Team B]]&lt;&gt;""),COUNTIF(INDIRECT("TeamsList[Club Name]"),ResultsTeams[[#This Row],[Team B]]),"")</f>
        <v/>
      </c>
      <c r="U3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-Paolo Zambello</v>
      </c>
      <c r="V336" s="265" t="str">
        <f>IF(ResultsTeams[[#This Row],[Score_OK]],IF(ResultsTeams[[#This Row],[StageCpy]]="Groups",ResultsTeams[[#This Row],[Category]]&amp;"-"&amp;IF(ResultsTeams[[#This Row],[Team B]]="","",IF(ResultsTeams[[#This Row],[Match-A]]=ResultsTeams[[#This Row],[Match-B]],ResultsTeams[[#This Row],[Team A]],"")),""),"")</f>
        <v>-</v>
      </c>
      <c r="W336" s="265" t="str">
        <f>IF(ResultsTeams[[#This Row],[Score_OK]],IF(ResultsTeams[[#This Row],[StageCpy]]="Groups",ResultsTeams[[#This Row],[Category]]&amp;"-"&amp;IF(ResultsTeams[[#This Row],[Team B]]="","",IF(ResultsTeams[[#This Row],[Match-A]]=ResultsTeams[[#This Row],[Match-B]],ResultsTeams[[#This Row],[Team B]],"")),""),"")</f>
        <v>-</v>
      </c>
      <c r="X3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-Martin Antoine</v>
      </c>
      <c r="Y3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6" s="264" t="str">
        <f>IF(ResultsTeams[[#This Row],[Category]]="","",VLOOKUP(ResultsTeams[[#This Row],[Stage]],$R$1:$T$8,MATCH(ResultsTeams[[#This Row],[Category]],$S$1:$T$1,0)+1,FALSE))</f>
        <v/>
      </c>
      <c r="AC3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6" s="264" t="str">
        <f>IF(ResultsTeams[[#This Row],[Type]]="G",ResultsTeams[[#This Row],[Stage]],AD335)</f>
        <v>Groups</v>
      </c>
      <c r="AE336" s="395" t="str">
        <f>IF(ResultsTeams[[#This Row],[Type]]="G",INDEX(TeamsList[Club Name],MATCH(ResultsTeams[[#This Row],[Team A]],TeamsList[Team Name],0)),AE335)</f>
        <v>FTC Caen</v>
      </c>
      <c r="AF336" s="395" t="str">
        <f>IF(ResultsTeams[[#This Row],[Type]]="G",INDEX(TeamsList[Club Name],MATCH(ResultsTeams[[#This Row],[Team B]],TeamsList[Team Name],0)),AF335)</f>
        <v>Subbuteo Casale</v>
      </c>
      <c r="AG336" s="265"/>
      <c r="AH336" s="91"/>
      <c r="AI336" s="12">
        <f t="shared" si="289"/>
        <v>0</v>
      </c>
      <c r="AJ336" s="309"/>
      <c r="AK336" s="310"/>
      <c r="AL336" s="311"/>
      <c r="AM336" s="292" t="str">
        <f>IF(AV336="","",SMALL(AN333:AN339,ROWS(AM333:AM336)))</f>
        <v/>
      </c>
      <c r="AN336" s="293" t="str">
        <f>IF(AV336="","",RANK(AR336,AR333:AR339)*1000+ROWS(AN333:AN336))</f>
        <v/>
      </c>
      <c r="AO336" s="316" t="str">
        <f t="shared" si="282"/>
        <v/>
      </c>
      <c r="AP336" s="415" t="b">
        <f>AND(AU336&lt;&gt;"",AU336&gt;0,COUNTIF(AO333:AO339,AO336)&gt;1)</f>
        <v>0</v>
      </c>
      <c r="AQ336" s="316" t="str">
        <f t="shared" si="283"/>
        <v/>
      </c>
      <c r="AR336" s="317" t="str">
        <f t="shared" si="284"/>
        <v/>
      </c>
      <c r="AS336" s="415" t="b">
        <f>AND(AU336&lt;&gt;"",AU336&gt;0,COUNTIF(AR333:AR339,AR336)&gt;1)</f>
        <v>0</v>
      </c>
      <c r="AT336" s="355" t="str">
        <f t="shared" si="285"/>
        <v/>
      </c>
      <c r="AU336" s="356" t="str">
        <f t="shared" si="286"/>
        <v/>
      </c>
      <c r="AV336" s="356" t="str">
        <f>IF(OR(AI332="",AJ336=""),"",COUNTIF(ResultsTeams[Win],AI332&amp;"-"&amp;AJ336))</f>
        <v/>
      </c>
      <c r="AW336" s="356" t="str">
        <f>IF(OR(AI332="",AJ336=""),"",COUNTIF(ResultsTeams[[Draw1]:[Draw2]],AI332&amp;"-"&amp;AJ336))</f>
        <v/>
      </c>
      <c r="AX336" s="356" t="str">
        <f>IF(OR(AI332="",AJ336=""),"",COUNTIF(ResultsTeams[Lose],AI332&amp;"-"&amp;AJ336))</f>
        <v/>
      </c>
      <c r="AY336" s="356" t="str">
        <f>IF(OR(AI332="",AJ336=""),"",AV336-AX336)</f>
        <v/>
      </c>
      <c r="AZ336" s="356" t="str">
        <f>IF(OR(AI335="",AJ336=""),"",SUMIFS(ResultsTeams[Match-A],ResultsTeams[Stage],"Groups",ResultsTeams[Team A],AJ336)+SUMIFS(ResultsTeams[Match-B],ResultsTeams[Stage],"Groups",ResultsTeams[Team B],AJ336))</f>
        <v/>
      </c>
      <c r="BA336" s="356" t="str">
        <f>IF(OR(AI335="",AJ336=""),"",SUMIFS(ResultsTeams[Match-B],ResultsTeams[Stage],"Groups",ResultsTeams[Team A],AJ336)+SUMIFS(ResultsTeams[Match-A],ResultsTeams[Stage],"Groups",ResultsTeams[Team B],AJ336))</f>
        <v/>
      </c>
      <c r="BB336" s="356" t="str">
        <f t="shared" si="288"/>
        <v/>
      </c>
      <c r="BC336" s="356" t="str">
        <f>IF(OR(AI335="",AJ336=""),"",SUMIFS(ResultsTeams[Goal-A],ResultsTeams[Stage],"Groups",ResultsTeams[Team A],AJ336)+SUMIFS(ResultsTeams[Goal-B],ResultsTeams[Stage],"Groups",ResultsTeams[Team B],AJ336))</f>
        <v/>
      </c>
      <c r="BD336" s="356" t="str">
        <f>IF(OR(AI335="",AJ336=""),"",SUMIFS(ResultsTeams[Goal-B],ResultsTeams[Stage],"Groups",ResultsTeams[Team A],AJ336)+SUMIFS(ResultsTeams[Goal-A],ResultsTeams[Stage],"Groups",ResultsTeams[Team B],AJ336))</f>
        <v/>
      </c>
      <c r="BE336" s="357" t="str">
        <f>IF(OR(AI332="",AJ336=""),"",BC336-BD336)</f>
        <v/>
      </c>
      <c r="BF336" s="470" t="str">
        <f>IF(AM336="","",OR(VLOOKUP(AM336,AN333:BE339,3,FALSE),VLOOKUP(AM336,AN333:BE339,6,FALSE)))</f>
        <v/>
      </c>
      <c r="BG336" s="298" t="str">
        <f t="shared" si="287"/>
        <v/>
      </c>
      <c r="BH336" s="285" t="str">
        <f>IF(AM336="","",INDEX(AJ333:AJ339,MATCH(AM336,AN333:AN339,0)))</f>
        <v/>
      </c>
      <c r="BI336" s="286" t="str">
        <f>IF(AM336="","",VLOOKUP(AM336,AN333:BE339,COLUMN()-COLUMN(BB332),FALSE))</f>
        <v/>
      </c>
      <c r="BJ336" s="286" t="str">
        <f>IF(AM336="","",VLOOKUP(AM336,AN333:BE339,COLUMN()-COLUMN(BB332),FALSE))</f>
        <v/>
      </c>
      <c r="BK336" s="286" t="str">
        <f>IF(AM336="","",VLOOKUP(AM336,AN333:BE339,COLUMN()-COLUMN(BB332),FALSE))</f>
        <v/>
      </c>
      <c r="BL336" s="286" t="str">
        <f>IF(AM336="","",VLOOKUP(AM336,AN333:BE339,COLUMN()-COLUMN(BB332),FALSE))</f>
        <v/>
      </c>
      <c r="BM336" s="286" t="str">
        <f>IF(AM336="","",VLOOKUP(AM336,AN333:BE339,COLUMN()-COLUMN(BB332),FALSE))</f>
        <v/>
      </c>
      <c r="BN336" s="349" t="str">
        <f>IF(AM336="","",VLOOKUP(AM336,AN333:BE339,COLUMN()-COLUMN(BB332),FALSE))</f>
        <v/>
      </c>
      <c r="BO336" s="298" t="str">
        <f>IF(AM336="","",VLOOKUP(AM336,AN333:BE339,COLUMN()-COLUMN(BB332),FALSE))</f>
        <v/>
      </c>
      <c r="BP336" s="286" t="str">
        <f>IF(AM336="","",VLOOKUP(AM336,AN333:BE339,COLUMN()-COLUMN(BB332),FALSE))</f>
        <v/>
      </c>
      <c r="BQ336" s="301" t="str">
        <f>IF(AM336="","",VLOOKUP(AM336,AN333:BE339,COLUMN()-COLUMN(BB332),FALSE))</f>
        <v/>
      </c>
      <c r="BR336" s="352" t="str">
        <f>IF(AM336="","",VLOOKUP(AM336,AN333:BE339,COLUMN()-COLUMN(BB332),FALSE))</f>
        <v/>
      </c>
      <c r="BS336" s="286" t="str">
        <f>IF(AM336="","",VLOOKUP(AM336,AN333:BE339,COLUMN()-COLUMN(BB332),FALSE))</f>
        <v/>
      </c>
      <c r="BT336" s="301" t="str">
        <f>IF(AM336="","",VLOOKUP(AM336,AN333:BE339,COLUMN()-COLUMN(BB332),FALSE))</f>
        <v/>
      </c>
    </row>
    <row r="337" spans="1:72" x14ac:dyDescent="0.2">
      <c r="A337" s="62"/>
      <c r="B337" s="280"/>
      <c r="C337" s="62"/>
      <c r="D337" s="62"/>
      <c r="E337" s="241" t="s">
        <v>12237</v>
      </c>
      <c r="F337" s="246" t="s">
        <v>8095</v>
      </c>
      <c r="G337" s="246" t="s">
        <v>10272</v>
      </c>
      <c r="H337" s="254">
        <v>6</v>
      </c>
      <c r="I337" s="254">
        <v>3</v>
      </c>
      <c r="J337" s="254"/>
      <c r="K337" s="363"/>
      <c r="L337" s="363"/>
      <c r="M337" s="247"/>
      <c r="N337" s="265" t="b">
        <f>NOT(ISERROR(ResultsTeams[[#This Row],[Goal-A]]+ResultsTeams[[#This Row],[Goal-B]]))</f>
        <v>1</v>
      </c>
      <c r="O337" s="265">
        <f>IF(ResultsTeams[[#This Row],[Type]]="G",SUM(O338:O341),IF(LEFT(ResultsTeams[[#This Row],[Type]],1)="P",IF(ResultsTeams[[#This Row],[Goal-A]]&gt;ResultsTeams[[#This Row],[Goal-B]],1,0),""))</f>
        <v>1</v>
      </c>
      <c r="P337" s="265">
        <f>IF(ResultsTeams[[#This Row],[Type]]="G",SUM(P338:P341),IF(LEFT(ResultsTeams[[#This Row],[Type]],1)="P",IF(ResultsTeams[[#This Row],[Goal-A]]&lt;ResultsTeams[[#This Row],[Goal-B]],1,0),""))</f>
        <v>0</v>
      </c>
      <c r="Q337" s="265">
        <f>IF(ResultsTeams[[#This Row],[Type]]="G",SUM(Q338:Q341),IF(LEFT(ResultsTeams[[#This Row],[Type]],1)="P",VALUE(ResultsTeams[[#This Row],[Score-A]]),""))</f>
        <v>6</v>
      </c>
      <c r="R337" s="265">
        <f>IF(ResultsTeams[[#This Row],[Type]]="G",SUM(R338:R341),IF(LEFT(ResultsTeams[[#This Row],[Type]],1)="P",VALUE(ResultsTeams[[#This Row],[Score-B]]),""))</f>
        <v>3</v>
      </c>
      <c r="S337" s="265" t="str">
        <f ca="1">IF(AND(ResultsTeams[[#This Row],[Category]]&lt;&gt;"",ResultsTeams[[#This Row],[Team A]]&lt;&gt;""),COUNTIF(INDIRECT("TeamsList[Club Name]"),ResultsTeams[[#This Row],[Team A]]),"")</f>
        <v/>
      </c>
      <c r="T337" s="265" t="str">
        <f ca="1">IF(AND(ResultsTeams[[#This Row],[Category]]&lt;&gt;"",ResultsTeams[[#This Row],[Team B]]&lt;&gt;""),COUNTIF(INDIRECT("TeamsList[Club Name]"),ResultsTeams[[#This Row],[Team B]]),"")</f>
        <v/>
      </c>
      <c r="U3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-Florian Giaux</v>
      </c>
      <c r="V337" s="265" t="str">
        <f>IF(ResultsTeams[[#This Row],[Score_OK]],IF(ResultsTeams[[#This Row],[StageCpy]]="Groups",ResultsTeams[[#This Row],[Category]]&amp;"-"&amp;IF(ResultsTeams[[#This Row],[Team B]]="","",IF(ResultsTeams[[#This Row],[Match-A]]=ResultsTeams[[#This Row],[Match-B]],ResultsTeams[[#This Row],[Team A]],"")),""),"")</f>
        <v>-</v>
      </c>
      <c r="W337" s="265" t="str">
        <f>IF(ResultsTeams[[#This Row],[Score_OK]],IF(ResultsTeams[[#This Row],[StageCpy]]="Groups",ResultsTeams[[#This Row],[Category]]&amp;"-"&amp;IF(ResultsTeams[[#This Row],[Team B]]="","",IF(ResultsTeams[[#This Row],[Match-A]]=ResultsTeams[[#This Row],[Match-B]],ResultsTeams[[#This Row],[Team B]],"")),""),"")</f>
        <v>-</v>
      </c>
      <c r="X3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-Francesco Borgo</v>
      </c>
      <c r="Y3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7" s="264" t="str">
        <f>IF(ResultsTeams[[#This Row],[Category]]="","",VLOOKUP(ResultsTeams[[#This Row],[Stage]],$R$1:$T$8,MATCH(ResultsTeams[[#This Row],[Category]],$S$1:$T$1,0)+1,FALSE))</f>
        <v/>
      </c>
      <c r="AC3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7" s="264" t="str">
        <f>IF(ResultsTeams[[#This Row],[Type]]="G",ResultsTeams[[#This Row],[Stage]],AD336)</f>
        <v>Groups</v>
      </c>
      <c r="AE337" s="395" t="str">
        <f>IF(ResultsTeams[[#This Row],[Type]]="G",INDEX(TeamsList[Club Name],MATCH(ResultsTeams[[#This Row],[Team A]],TeamsList[Team Name],0)),AE336)</f>
        <v>FTC Caen</v>
      </c>
      <c r="AF337" s="395" t="str">
        <f>IF(ResultsTeams[[#This Row],[Type]]="G",INDEX(TeamsList[Club Name],MATCH(ResultsTeams[[#This Row],[Team B]],TeamsList[Team Name],0)),AF336)</f>
        <v>Subbuteo Casale</v>
      </c>
      <c r="AG337" s="265"/>
      <c r="AH337" s="91"/>
      <c r="AI337" s="12">
        <f t="shared" si="289"/>
        <v>0</v>
      </c>
      <c r="AJ337" s="309"/>
      <c r="AK337" s="310"/>
      <c r="AL337" s="311"/>
      <c r="AM337" s="292" t="str">
        <f>IF(AV337="","",SMALL(AN333:AN339,ROWS(AM333:AM337)))</f>
        <v/>
      </c>
      <c r="AN337" s="293" t="str">
        <f>IF(AV337="","",RANK(AR337,AR333:AR339)*1000+ROWS(AN333:AN337))</f>
        <v/>
      </c>
      <c r="AO337" s="316" t="str">
        <f t="shared" si="282"/>
        <v/>
      </c>
      <c r="AP337" s="415" t="b">
        <f>AND(AU337&lt;&gt;"",AU337&gt;0,COUNTIF(AO333:AO339,AO337)&gt;1)</f>
        <v>0</v>
      </c>
      <c r="AQ337" s="316" t="str">
        <f t="shared" si="283"/>
        <v/>
      </c>
      <c r="AR337" s="317" t="str">
        <f t="shared" si="284"/>
        <v/>
      </c>
      <c r="AS337" s="415" t="b">
        <f>AND(AU337&lt;&gt;"",AU337&gt;0,COUNTIF(AR333:AR339,AR337)&gt;1)</f>
        <v>0</v>
      </c>
      <c r="AT337" s="355" t="str">
        <f t="shared" si="285"/>
        <v/>
      </c>
      <c r="AU337" s="356" t="str">
        <f t="shared" si="286"/>
        <v/>
      </c>
      <c r="AV337" s="356" t="str">
        <f>IF(OR(AI332="",AJ337=""),"",COUNTIF(ResultsTeams[Win],AI332&amp;"-"&amp;AJ337))</f>
        <v/>
      </c>
      <c r="AW337" s="356" t="str">
        <f>IF(OR(AI332="",AJ337=""),"",COUNTIF(ResultsTeams[[Draw1]:[Draw2]],AI332&amp;"-"&amp;AJ337))</f>
        <v/>
      </c>
      <c r="AX337" s="356" t="str">
        <f>IF(OR(AI332="",AJ337=""),"",COUNTIF(ResultsTeams[Lose],AI332&amp;"-"&amp;AJ337))</f>
        <v/>
      </c>
      <c r="AY337" s="356" t="str">
        <f>IF(OR(AI332="",AJ337=""),"",AV337-AX337)</f>
        <v/>
      </c>
      <c r="AZ337" s="356" t="str">
        <f>IF(OR(AI336="",AJ337=""),"",SUMIFS(ResultsTeams[Match-A],ResultsTeams[Stage],"Groups",ResultsTeams[Team A],AJ337)+SUMIFS(ResultsTeams[Match-B],ResultsTeams[Stage],"Groups",ResultsTeams[Team B],AJ337))</f>
        <v/>
      </c>
      <c r="BA337" s="356" t="str">
        <f>IF(OR(AI336="",AJ337=""),"",SUMIFS(ResultsTeams[Match-B],ResultsTeams[Stage],"Groups",ResultsTeams[Team A],AJ337)+SUMIFS(ResultsTeams[Match-A],ResultsTeams[Stage],"Groups",ResultsTeams[Team B],AJ337))</f>
        <v/>
      </c>
      <c r="BB337" s="356" t="str">
        <f t="shared" si="288"/>
        <v/>
      </c>
      <c r="BC337" s="356" t="str">
        <f>IF(OR(AI336="",AJ337=""),"",SUMIFS(ResultsTeams[Goal-A],ResultsTeams[Stage],"Groups",ResultsTeams[Team A],AJ337)+SUMIFS(ResultsTeams[Goal-B],ResultsTeams[Stage],"Groups",ResultsTeams[Team B],AJ337))</f>
        <v/>
      </c>
      <c r="BD337" s="356" t="str">
        <f>IF(OR(AI336="",AJ337=""),"",SUMIFS(ResultsTeams[Goal-B],ResultsTeams[Stage],"Groups",ResultsTeams[Team A],AJ337)+SUMIFS(ResultsTeams[Goal-A],ResultsTeams[Stage],"Groups",ResultsTeams[Team B],AJ337))</f>
        <v/>
      </c>
      <c r="BE337" s="357" t="str">
        <f>IF(OR(AI332="",AJ337=""),"",BC337-BD337)</f>
        <v/>
      </c>
      <c r="BF337" s="470" t="str">
        <f>IF(AM337="","",OR(VLOOKUP(AM337,AN333:BE339,3,FALSE),VLOOKUP(AM337,AN333:BE339,6,FALSE)))</f>
        <v/>
      </c>
      <c r="BG337" s="298" t="str">
        <f t="shared" si="287"/>
        <v/>
      </c>
      <c r="BH337" s="285" t="str">
        <f>IF(AM337="","",INDEX(AJ333:AJ339,MATCH(AM337,AN333:AN339,0)))</f>
        <v/>
      </c>
      <c r="BI337" s="286" t="str">
        <f>IF(AM337="","",VLOOKUP(AM337,AN333:BE339,COLUMN()-COLUMN(BB332),FALSE))</f>
        <v/>
      </c>
      <c r="BJ337" s="286" t="str">
        <f>IF(AM337="","",VLOOKUP(AM337,AN333:BE339,COLUMN()-COLUMN(BB332),FALSE))</f>
        <v/>
      </c>
      <c r="BK337" s="286" t="str">
        <f>IF(AM337="","",VLOOKUP(AM337,AN333:BE339,COLUMN()-COLUMN(BB332),FALSE))</f>
        <v/>
      </c>
      <c r="BL337" s="286" t="str">
        <f>IF(AM337="","",VLOOKUP(AM337,AN333:BE339,COLUMN()-COLUMN(BB332),FALSE))</f>
        <v/>
      </c>
      <c r="BM337" s="286" t="str">
        <f>IF(AM337="","",VLOOKUP(AM337,AN333:BE339,COLUMN()-COLUMN(BB332),FALSE))</f>
        <v/>
      </c>
      <c r="BN337" s="349" t="str">
        <f>IF(AM337="","",VLOOKUP(AM337,AN333:BE339,COLUMN()-COLUMN(BB332),FALSE))</f>
        <v/>
      </c>
      <c r="BO337" s="298" t="str">
        <f>IF(AM337="","",VLOOKUP(AM337,AN333:BE339,COLUMN()-COLUMN(BB332),FALSE))</f>
        <v/>
      </c>
      <c r="BP337" s="286" t="str">
        <f>IF(AM337="","",VLOOKUP(AM337,AN333:BE339,COLUMN()-COLUMN(BB332),FALSE))</f>
        <v/>
      </c>
      <c r="BQ337" s="301" t="str">
        <f>IF(AM337="","",VLOOKUP(AM337,AN333:BE339,COLUMN()-COLUMN(BB332),FALSE))</f>
        <v/>
      </c>
      <c r="BR337" s="352" t="str">
        <f>IF(AM337="","",VLOOKUP(AM337,AN333:BE339,COLUMN()-COLUMN(BB332),FALSE))</f>
        <v/>
      </c>
      <c r="BS337" s="286" t="str">
        <f>IF(AM337="","",VLOOKUP(AM337,AN333:BE339,COLUMN()-COLUMN(BB332),FALSE))</f>
        <v/>
      </c>
      <c r="BT337" s="301" t="str">
        <f>IF(AM337="","",VLOOKUP(AM337,AN333:BE339,COLUMN()-COLUMN(BB332),FALSE))</f>
        <v/>
      </c>
    </row>
    <row r="338" spans="1:72" x14ac:dyDescent="0.2">
      <c r="A338" s="62"/>
      <c r="B338" s="280"/>
      <c r="C338" s="62"/>
      <c r="D338" s="62"/>
      <c r="E338" s="241" t="s">
        <v>12240</v>
      </c>
      <c r="F338" s="246" t="s">
        <v>14390</v>
      </c>
      <c r="G338" s="246" t="s">
        <v>10364</v>
      </c>
      <c r="H338" s="254">
        <v>3</v>
      </c>
      <c r="I338" s="254">
        <v>0</v>
      </c>
      <c r="J338" s="254"/>
      <c r="K338" s="363"/>
      <c r="L338" s="363"/>
      <c r="M338" s="247"/>
      <c r="N338" s="265" t="b">
        <f>NOT(ISERROR(ResultsTeams[[#This Row],[Goal-A]]+ResultsTeams[[#This Row],[Goal-B]]))</f>
        <v>1</v>
      </c>
      <c r="O338" s="265">
        <f>IF(ResultsTeams[[#This Row],[Type]]="G",SUM(O339:O342),IF(LEFT(ResultsTeams[[#This Row],[Type]],1)="P",IF(ResultsTeams[[#This Row],[Goal-A]]&gt;ResultsTeams[[#This Row],[Goal-B]],1,0),""))</f>
        <v>1</v>
      </c>
      <c r="P338" s="265">
        <f>IF(ResultsTeams[[#This Row],[Type]]="G",SUM(P339:P342),IF(LEFT(ResultsTeams[[#This Row],[Type]],1)="P",IF(ResultsTeams[[#This Row],[Goal-A]]&lt;ResultsTeams[[#This Row],[Goal-B]],1,0),""))</f>
        <v>0</v>
      </c>
      <c r="Q338" s="265">
        <f>IF(ResultsTeams[[#This Row],[Type]]="G",SUM(Q339:Q342),IF(LEFT(ResultsTeams[[#This Row],[Type]],1)="P",VALUE(ResultsTeams[[#This Row],[Score-A]]),""))</f>
        <v>3</v>
      </c>
      <c r="R338" s="265">
        <f>IF(ResultsTeams[[#This Row],[Type]]="G",SUM(R339:R342),IF(LEFT(ResultsTeams[[#This Row],[Type]],1)="P",VALUE(ResultsTeams[[#This Row],[Score-B]]),""))</f>
        <v>0</v>
      </c>
      <c r="S338" s="265" t="str">
        <f ca="1">IF(AND(ResultsTeams[[#This Row],[Category]]&lt;&gt;"",ResultsTeams[[#This Row],[Team A]]&lt;&gt;""),COUNTIF(INDIRECT("TeamsList[Club Name]"),ResultsTeams[[#This Row],[Team A]]),"")</f>
        <v/>
      </c>
      <c r="T338" s="265" t="str">
        <f ca="1">IF(AND(ResultsTeams[[#This Row],[Category]]&lt;&gt;"",ResultsTeams[[#This Row],[Team B]]&lt;&gt;""),COUNTIF(INDIRECT("TeamsList[Club Name]"),ResultsTeams[[#This Row],[Team B]]),"")</f>
        <v/>
      </c>
      <c r="U3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-Fayçal Rouis</v>
      </c>
      <c r="V338" s="265" t="str">
        <f>IF(ResultsTeams[[#This Row],[Score_OK]],IF(ResultsTeams[[#This Row],[StageCpy]]="Groups",ResultsTeams[[#This Row],[Category]]&amp;"-"&amp;IF(ResultsTeams[[#This Row],[Team B]]="","",IF(ResultsTeams[[#This Row],[Match-A]]=ResultsTeams[[#This Row],[Match-B]],ResultsTeams[[#This Row],[Team A]],"")),""),"")</f>
        <v>-</v>
      </c>
      <c r="W338" s="265" t="str">
        <f>IF(ResultsTeams[[#This Row],[Score_OK]],IF(ResultsTeams[[#This Row],[StageCpy]]="Groups",ResultsTeams[[#This Row],[Category]]&amp;"-"&amp;IF(ResultsTeams[[#This Row],[Team B]]="","",IF(ResultsTeams[[#This Row],[Match-A]]=ResultsTeams[[#This Row],[Match-B]],ResultsTeams[[#This Row],[Team B]],"")),""),"")</f>
        <v>-</v>
      </c>
      <c r="X3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-Alessandro Amatelli</v>
      </c>
      <c r="Y3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8" s="264" t="str">
        <f>IF(ResultsTeams[[#This Row],[Category]]="","",VLOOKUP(ResultsTeams[[#This Row],[Stage]],$R$1:$T$8,MATCH(ResultsTeams[[#This Row],[Category]],$S$1:$T$1,0)+1,FALSE))</f>
        <v/>
      </c>
      <c r="AC3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8" s="264" t="str">
        <f>IF(ResultsTeams[[#This Row],[Type]]="G",ResultsTeams[[#This Row],[Stage]],AD337)</f>
        <v>Groups</v>
      </c>
      <c r="AE338" s="395" t="str">
        <f>IF(ResultsTeams[[#This Row],[Type]]="G",INDEX(TeamsList[Club Name],MATCH(ResultsTeams[[#This Row],[Team A]],TeamsList[Team Name],0)),AE337)</f>
        <v>FTC Caen</v>
      </c>
      <c r="AF338" s="395" t="str">
        <f>IF(ResultsTeams[[#This Row],[Type]]="G",INDEX(TeamsList[Club Name],MATCH(ResultsTeams[[#This Row],[Team B]],TeamsList[Team Name],0)),AF337)</f>
        <v>Subbuteo Casale</v>
      </c>
      <c r="AG338" s="265"/>
      <c r="AI338" s="12">
        <f t="shared" si="289"/>
        <v>0</v>
      </c>
      <c r="AJ338" s="309"/>
      <c r="AK338" s="310"/>
      <c r="AL338" s="311"/>
      <c r="AM338" s="292" t="str">
        <f>IF(AV338="","",SMALL(AN333:AN339,ROWS(AM333:AM338)))</f>
        <v/>
      </c>
      <c r="AN338" s="293" t="str">
        <f>IF(AV338="","",RANK(AR338,AR333:AR339)*1000+ROWS(AN333:AN338))</f>
        <v/>
      </c>
      <c r="AO338" s="316" t="str">
        <f t="shared" si="282"/>
        <v/>
      </c>
      <c r="AP338" s="415" t="b">
        <f>AND(AU338&lt;&gt;"",AU338&gt;0,COUNTIF(AO333:AO339,AO338)&gt;1)</f>
        <v>0</v>
      </c>
      <c r="AQ338" s="316" t="str">
        <f t="shared" si="283"/>
        <v/>
      </c>
      <c r="AR338" s="317" t="str">
        <f t="shared" si="284"/>
        <v/>
      </c>
      <c r="AS338" s="415" t="b">
        <f>AND(AU338&lt;&gt;"",AU338&gt;0,COUNTIF(AR333:AR339,AR338)&gt;1)</f>
        <v>0</v>
      </c>
      <c r="AT338" s="355" t="str">
        <f t="shared" si="285"/>
        <v/>
      </c>
      <c r="AU338" s="356" t="str">
        <f t="shared" si="286"/>
        <v/>
      </c>
      <c r="AV338" s="356" t="str">
        <f>IF(OR(AI332="",AJ338=""),"",COUNTIF(ResultsTeams[Win],AI332&amp;"-"&amp;AJ338))</f>
        <v/>
      </c>
      <c r="AW338" s="356" t="str">
        <f>IF(OR(AI332="",AJ338=""),"",COUNTIF(ResultsTeams[[Draw1]:[Draw2]],AI332&amp;"-"&amp;AJ338))</f>
        <v/>
      </c>
      <c r="AX338" s="356" t="str">
        <f>IF(OR(AI332="",AJ338=""),"",COUNTIF(ResultsTeams[Lose],AI332&amp;"-"&amp;AJ338))</f>
        <v/>
      </c>
      <c r="AY338" s="356" t="str">
        <f>IF(OR(AI332="",AJ338=""),"",AV338-AX338)</f>
        <v/>
      </c>
      <c r="AZ338" s="356" t="str">
        <f>IF(OR(AI337="",AJ338=""),"",SUMIFS(ResultsTeams[Match-A],ResultsTeams[Stage],"Groups",ResultsTeams[Team A],AJ338)+SUMIFS(ResultsTeams[Match-B],ResultsTeams[Stage],"Groups",ResultsTeams[Team B],AJ338))</f>
        <v/>
      </c>
      <c r="BA338" s="356" t="str">
        <f>IF(OR(AI337="",AJ338=""),"",SUMIFS(ResultsTeams[Match-B],ResultsTeams[Stage],"Groups",ResultsTeams[Team A],AJ338)+SUMIFS(ResultsTeams[Match-A],ResultsTeams[Stage],"Groups",ResultsTeams[Team B],AJ338))</f>
        <v/>
      </c>
      <c r="BB338" s="356" t="str">
        <f t="shared" si="288"/>
        <v/>
      </c>
      <c r="BC338" s="356" t="str">
        <f>IF(OR(AI337="",AJ338=""),"",SUMIFS(ResultsTeams[Goal-A],ResultsTeams[Stage],"Groups",ResultsTeams[Team A],AJ338)+SUMIFS(ResultsTeams[Goal-B],ResultsTeams[Stage],"Groups",ResultsTeams[Team B],AJ338))</f>
        <v/>
      </c>
      <c r="BD338" s="356" t="str">
        <f>IF(OR(AI337="",AJ338=""),"",SUMIFS(ResultsTeams[Goal-B],ResultsTeams[Stage],"Groups",ResultsTeams[Team A],AJ338)+SUMIFS(ResultsTeams[Goal-A],ResultsTeams[Stage],"Groups",ResultsTeams[Team B],AJ338))</f>
        <v/>
      </c>
      <c r="BE338" s="357" t="str">
        <f>IF(OR(AI332="",AJ338=""),"",BC338-BD338)</f>
        <v/>
      </c>
      <c r="BF338" s="470" t="str">
        <f>IF(AM338="","",OR(VLOOKUP(AM338,AN333:BE339,3,FALSE),VLOOKUP(AM338,AN333:BE339,6,FALSE)))</f>
        <v/>
      </c>
      <c r="BG338" s="298" t="str">
        <f t="shared" si="287"/>
        <v/>
      </c>
      <c r="BH338" s="285" t="str">
        <f>IF(AM338="","",INDEX(AJ333:AJ339,MATCH(AM338,AN333:AN339,0)))</f>
        <v/>
      </c>
      <c r="BI338" s="286" t="str">
        <f>IF(AM338="","",VLOOKUP(AM338,AN333:BE339,COLUMN()-COLUMN(BB332),FALSE))</f>
        <v/>
      </c>
      <c r="BJ338" s="286" t="str">
        <f>IF(AM338="","",VLOOKUP(AM338,AN333:BE339,COLUMN()-COLUMN(BB332),FALSE))</f>
        <v/>
      </c>
      <c r="BK338" s="286" t="str">
        <f>IF(AM338="","",VLOOKUP(AM338,AN333:BE339,COLUMN()-COLUMN(BB332),FALSE))</f>
        <v/>
      </c>
      <c r="BL338" s="286" t="str">
        <f>IF(AM338="","",VLOOKUP(AM338,AN333:BE339,COLUMN()-COLUMN(BB332),FALSE))</f>
        <v/>
      </c>
      <c r="BM338" s="286" t="str">
        <f>IF(AM338="","",VLOOKUP(AM338,AN333:BE339,COLUMN()-COLUMN(BB332),FALSE))</f>
        <v/>
      </c>
      <c r="BN338" s="349" t="str">
        <f>IF(AM338="","",VLOOKUP(AM338,AN333:BE339,COLUMN()-COLUMN(BB332),FALSE))</f>
        <v/>
      </c>
      <c r="BO338" s="298" t="str">
        <f>IF(AM338="","",VLOOKUP(AM338,AN333:BE339,COLUMN()-COLUMN(BB332),FALSE))</f>
        <v/>
      </c>
      <c r="BP338" s="286" t="str">
        <f>IF(AM338="","",VLOOKUP(AM338,AN333:BE339,COLUMN()-COLUMN(BB332),FALSE))</f>
        <v/>
      </c>
      <c r="BQ338" s="301" t="str">
        <f>IF(AM338="","",VLOOKUP(AM338,AN333:BE339,COLUMN()-COLUMN(BB332),FALSE))</f>
        <v/>
      </c>
      <c r="BR338" s="352" t="str">
        <f>IF(AM338="","",VLOOKUP(AM338,AN333:BE339,COLUMN()-COLUMN(BB332),FALSE))</f>
        <v/>
      </c>
      <c r="BS338" s="286" t="str">
        <f>IF(AM338="","",VLOOKUP(AM338,AN333:BE339,COLUMN()-COLUMN(BB332),FALSE))</f>
        <v/>
      </c>
      <c r="BT338" s="301" t="str">
        <f>IF(AM338="","",VLOOKUP(AM338,AN333:BE339,COLUMN()-COLUMN(BB332),FALSE))</f>
        <v/>
      </c>
    </row>
    <row r="339" spans="1:72" ht="12" thickBot="1" x14ac:dyDescent="0.25">
      <c r="A339" s="62"/>
      <c r="B339" s="62"/>
      <c r="C339" s="62"/>
      <c r="D339" s="62"/>
      <c r="E339" s="241" t="s">
        <v>12243</v>
      </c>
      <c r="F339" s="247"/>
      <c r="G339" s="247"/>
      <c r="H339" s="254"/>
      <c r="I339" s="254"/>
      <c r="J339" s="260"/>
      <c r="K339" s="364"/>
      <c r="L339" s="364"/>
      <c r="M339" s="247"/>
      <c r="N339" s="265" t="b">
        <f>NOT(ISERROR(ResultsTeams[[#This Row],[Goal-A]]+ResultsTeams[[#This Row],[Goal-B]]))</f>
        <v>0</v>
      </c>
      <c r="O339" s="265" t="str">
        <f>IF(ResultsTeams[[#This Row],[Type]]="G",SUM(O340:O343),IF(LEFT(ResultsTeams[[#This Row],[Type]],1)="P",IF(ResultsTeams[[#This Row],[Goal-A]]&gt;ResultsTeams[[#This Row],[Goal-B]],1,0),""))</f>
        <v/>
      </c>
      <c r="P339" s="265" t="str">
        <f>IF(ResultsTeams[[#This Row],[Type]]="G",SUM(P340:P343),IF(LEFT(ResultsTeams[[#This Row],[Type]],1)="P",IF(ResultsTeams[[#This Row],[Goal-A]]&lt;ResultsTeams[[#This Row],[Goal-B]],1,0),""))</f>
        <v/>
      </c>
      <c r="Q339" s="265" t="str">
        <f>IF(ResultsTeams[[#This Row],[Type]]="G",SUM(Q340:Q343),IF(LEFT(ResultsTeams[[#This Row],[Type]],1)="P",VALUE(ResultsTeams[[#This Row],[Score-A]]),""))</f>
        <v/>
      </c>
      <c r="R339" s="265" t="str">
        <f>IF(ResultsTeams[[#This Row],[Type]]="G",SUM(R340:R343),IF(LEFT(ResultsTeams[[#This Row],[Type]],1)="P",VALUE(ResultsTeams[[#This Row],[Score-B]]),""))</f>
        <v/>
      </c>
      <c r="S339" s="265" t="str">
        <f ca="1">IF(AND(ResultsTeams[[#This Row],[Category]]&lt;&gt;"",ResultsTeams[[#This Row],[Team A]]&lt;&gt;""),COUNTIF(INDIRECT("TeamsList[Club Name]"),ResultsTeams[[#This Row],[Team A]]),"")</f>
        <v/>
      </c>
      <c r="T339" s="265" t="str">
        <f ca="1">IF(AND(ResultsTeams[[#This Row],[Category]]&lt;&gt;"",ResultsTeams[[#This Row],[Team B]]&lt;&gt;""),COUNTIF(INDIRECT("TeamsList[Club Name]"),ResultsTeams[[#This Row],[Team B]]),"")</f>
        <v/>
      </c>
      <c r="U3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9" s="265" t="str">
        <f>IF(ResultsTeams[[#This Row],[Score_OK]],IF(ResultsTeams[[#This Row],[StageCpy]]="Groups",ResultsTeams[[#This Row],[Category]]&amp;"-"&amp;IF(ResultsTeams[[#This Row],[Team B]]="","",IF(ResultsTeams[[#This Row],[Match-A]]=ResultsTeams[[#This Row],[Match-B]],ResultsTeams[[#This Row],[Team A]],"")),""),"")</f>
        <v/>
      </c>
      <c r="W339" s="265" t="str">
        <f>IF(ResultsTeams[[#This Row],[Score_OK]],IF(ResultsTeams[[#This Row],[StageCpy]]="Groups",ResultsTeams[[#This Row],[Category]]&amp;"-"&amp;IF(ResultsTeams[[#This Row],[Team B]]="","",IF(ResultsTeams[[#This Row],[Match-A]]=ResultsTeams[[#This Row],[Match-B]],ResultsTeams[[#This Row],[Team B]],"")),""),"")</f>
        <v/>
      </c>
      <c r="X3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9" s="264" t="str">
        <f>IF(ResultsTeams[[#This Row],[Category]]="","",VLOOKUP(ResultsTeams[[#This Row],[Stage]],$R$1:$T$8,MATCH(ResultsTeams[[#This Row],[Category]],$S$1:$T$1,0)+1,FALSE))</f>
        <v/>
      </c>
      <c r="AC3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9" s="264" t="str">
        <f>IF(ResultsTeams[[#This Row],[Type]]="G",ResultsTeams[[#This Row],[Stage]],AD338)</f>
        <v>Groups</v>
      </c>
      <c r="AE339" s="395" t="str">
        <f>IF(ResultsTeams[[#This Row],[Type]]="G",INDEX(TeamsList[Club Name],MATCH(ResultsTeams[[#This Row],[Team A]],TeamsList[Team Name],0)),AE338)</f>
        <v>FTC Caen</v>
      </c>
      <c r="AF339" s="395" t="str">
        <f>IF(ResultsTeams[[#This Row],[Type]]="G",INDEX(TeamsList[Club Name],MATCH(ResultsTeams[[#This Row],[Team B]],TeamsList[Team Name],0)),AF338)</f>
        <v>Subbuteo Casale</v>
      </c>
      <c r="AG339" s="265"/>
      <c r="AI339" s="12">
        <f t="shared" si="289"/>
        <v>0</v>
      </c>
      <c r="AJ339" s="312"/>
      <c r="AK339" s="313"/>
      <c r="AL339" s="314"/>
      <c r="AM339" s="294" t="str">
        <f>IF(AV339="","",SMALL(AN333:AN339,ROWS(AM333:AM339)))</f>
        <v/>
      </c>
      <c r="AN339" s="295" t="str">
        <f>IF(AV339="","",RANK(AR339,AR333:AR339)*1000+ROWS(AN333:AN339))</f>
        <v/>
      </c>
      <c r="AO339" s="318" t="str">
        <f t="shared" si="282"/>
        <v/>
      </c>
      <c r="AP339" s="416" t="b">
        <f>AND(AU339&lt;&gt;"",AU339&gt;0,COUNTIF(AO333:AO339,AO339)&gt;1)</f>
        <v>0</v>
      </c>
      <c r="AQ339" s="318" t="str">
        <f t="shared" si="283"/>
        <v/>
      </c>
      <c r="AR339" s="319" t="str">
        <f t="shared" si="284"/>
        <v/>
      </c>
      <c r="AS339" s="416" t="b">
        <f>AND(AU339&lt;&gt;"",AU339&gt;0,COUNTIF(AR333:AR339,AR339)&gt;1)</f>
        <v>0</v>
      </c>
      <c r="AT339" s="358" t="str">
        <f t="shared" si="285"/>
        <v/>
      </c>
      <c r="AU339" s="359" t="str">
        <f t="shared" si="286"/>
        <v/>
      </c>
      <c r="AV339" s="359" t="str">
        <f>IF(OR(AI332="",AJ339=""),"",COUNTIF(ResultsTeams[Win],AI332&amp;"-"&amp;AJ339))</f>
        <v/>
      </c>
      <c r="AW339" s="359" t="str">
        <f>IF(OR(AI332="",AJ339=""),"",COUNTIF(ResultsTeams[[Draw1]:[Draw2]],AI332&amp;"-"&amp;AJ339))</f>
        <v/>
      </c>
      <c r="AX339" s="359" t="str">
        <f>IF(OR(AI332="",AJ339=""),"",COUNTIF(ResultsTeams[Lose],AI332&amp;"-"&amp;AJ339))</f>
        <v/>
      </c>
      <c r="AY339" s="359" t="str">
        <f>IF(OR(AI332="",AJ339=""),"",AV339-AX339)</f>
        <v/>
      </c>
      <c r="AZ339" s="359" t="str">
        <f>IF(OR(AI338="",AJ339=""),"",SUMIFS(ResultsTeams[Match-A],ResultsTeams[Stage],"Groups",ResultsTeams[Team A],AJ339)+SUMIFS(ResultsTeams[Match-B],ResultsTeams[Stage],"Groups",ResultsTeams[Team B],AJ339))</f>
        <v/>
      </c>
      <c r="BA339" s="359" t="str">
        <f>IF(OR(AI338="",AJ339=""),"",SUMIFS(ResultsTeams[Match-B],ResultsTeams[Stage],"Groups",ResultsTeams[Team A],AJ339)+SUMIFS(ResultsTeams[Match-A],ResultsTeams[Stage],"Groups",ResultsTeams[Team B],AJ339))</f>
        <v/>
      </c>
      <c r="BB339" s="359" t="str">
        <f t="shared" si="288"/>
        <v/>
      </c>
      <c r="BC339" s="359" t="str">
        <f>IF(OR(AI338="",AJ339=""),"",SUMIFS(ResultsTeams[Goal-A],ResultsTeams[Stage],"Groups",ResultsTeams[Team A],AJ339)+SUMIFS(ResultsTeams[Goal-B],ResultsTeams[Stage],"Groups",ResultsTeams[Team B],AJ339))</f>
        <v/>
      </c>
      <c r="BD339" s="359" t="str">
        <f>IF(OR(AI338="",AJ339=""),"",SUMIFS(ResultsTeams[Goal-B],ResultsTeams[Stage],"Groups",ResultsTeams[Team A],AJ339)+SUMIFS(ResultsTeams[Goal-A],ResultsTeams[Stage],"Groups",ResultsTeams[Team B],AJ339))</f>
        <v/>
      </c>
      <c r="BE339" s="360" t="str">
        <f>IF(OR(AI332="",AJ339=""),"",BC339-BD339)</f>
        <v/>
      </c>
      <c r="BF339" s="470" t="str">
        <f>IF(AM339="","",OR(VLOOKUP(AM339,AN333:BE339,3,FALSE),VLOOKUP(AM339,AN333:BE339,6,FALSE)))</f>
        <v/>
      </c>
      <c r="BG339" s="299" t="str">
        <f t="shared" si="287"/>
        <v/>
      </c>
      <c r="BH339" s="287" t="str">
        <f>IF(AM339="","",INDEX(AJ333:AJ339,MATCH(AM339,AN333:AN339,0)))</f>
        <v/>
      </c>
      <c r="BI339" s="288" t="str">
        <f>IF(AM339="","",VLOOKUP(AM339,AN333:BE339,COLUMN()-COLUMN(BB332),FALSE))</f>
        <v/>
      </c>
      <c r="BJ339" s="288" t="str">
        <f>IF(AM339="","",VLOOKUP(AM339,AN333:BE339,COLUMN()-COLUMN(BB332),FALSE))</f>
        <v/>
      </c>
      <c r="BK339" s="288" t="str">
        <f>IF(AM339="","",VLOOKUP(AM339,AN333:BE339,COLUMN()-COLUMN(BB332),FALSE))</f>
        <v/>
      </c>
      <c r="BL339" s="288" t="str">
        <f>IF(AM339="","",VLOOKUP(AM339,AN333:BE339,COLUMN()-COLUMN(BB332),FALSE))</f>
        <v/>
      </c>
      <c r="BM339" s="288" t="str">
        <f>IF(AM339="","",VLOOKUP(AM339,AN333:BE339,COLUMN()-COLUMN(BB332),FALSE))</f>
        <v/>
      </c>
      <c r="BN339" s="350" t="str">
        <f>IF(AM339="","",VLOOKUP(AM339,AN333:BE339,COLUMN()-COLUMN(BB332),FALSE))</f>
        <v/>
      </c>
      <c r="BO339" s="299" t="str">
        <f>IF(AM339="","",VLOOKUP(AM339,AN333:BE339,COLUMN()-COLUMN(BB332),FALSE))</f>
        <v/>
      </c>
      <c r="BP339" s="288" t="str">
        <f>IF(AM339="","",VLOOKUP(AM339,AN333:BE339,COLUMN()-COLUMN(BB332),FALSE))</f>
        <v/>
      </c>
      <c r="BQ339" s="302" t="str">
        <f>IF(AM339="","",VLOOKUP(AM339,AN333:BE339,COLUMN()-COLUMN(BB332),FALSE))</f>
        <v/>
      </c>
      <c r="BR339" s="353" t="str">
        <f>IF(AM339="","",VLOOKUP(AM339,AN333:BE339,COLUMN()-COLUMN(BB332),FALSE))</f>
        <v/>
      </c>
      <c r="BS339" s="288" t="str">
        <f>IF(AM339="","",VLOOKUP(AM339,AN333:BE339,COLUMN()-COLUMN(BB332),FALSE))</f>
        <v/>
      </c>
      <c r="BT339" s="302" t="str">
        <f>IF(AM339="","",VLOOKUP(AM339,AN333:BE339,COLUMN()-COLUMN(BB332),FALSE))</f>
        <v/>
      </c>
    </row>
    <row r="340" spans="1:72" ht="12" thickBot="1" x14ac:dyDescent="0.25">
      <c r="A340" s="83"/>
      <c r="B340" s="83"/>
      <c r="C340" s="83"/>
      <c r="D340" s="83"/>
      <c r="E340" s="268" t="s">
        <v>12244</v>
      </c>
      <c r="F340" s="262"/>
      <c r="G340" s="262"/>
      <c r="H340" s="324"/>
      <c r="I340" s="324"/>
      <c r="J340" s="263"/>
      <c r="K340" s="365"/>
      <c r="L340" s="365"/>
      <c r="M340" s="262"/>
      <c r="N340" s="265" t="b">
        <f>NOT(ISERROR(ResultsTeams[[#This Row],[Goal-A]]+ResultsTeams[[#This Row],[Goal-B]]))</f>
        <v>0</v>
      </c>
      <c r="O340" s="265" t="str">
        <f>IF(ResultsTeams[[#This Row],[Type]]="G",SUM(O341:O344),IF(LEFT(ResultsTeams[[#This Row],[Type]],1)="P",IF(ResultsTeams[[#This Row],[Goal-A]]&gt;ResultsTeams[[#This Row],[Goal-B]],1,0),""))</f>
        <v/>
      </c>
      <c r="P340" s="265" t="str">
        <f>IF(ResultsTeams[[#This Row],[Type]]="G",SUM(P341:P344),IF(LEFT(ResultsTeams[[#This Row],[Type]],1)="P",IF(ResultsTeams[[#This Row],[Goal-A]]&lt;ResultsTeams[[#This Row],[Goal-B]],1,0),""))</f>
        <v/>
      </c>
      <c r="Q340" s="265" t="str">
        <f>IF(ResultsTeams[[#This Row],[Type]]="G",SUM(Q341:Q344),IF(LEFT(ResultsTeams[[#This Row],[Type]],1)="P",VALUE(ResultsTeams[[#This Row],[Score-A]]),""))</f>
        <v/>
      </c>
      <c r="R340" s="265" t="str">
        <f>IF(ResultsTeams[[#This Row],[Type]]="G",SUM(R341:R344),IF(LEFT(ResultsTeams[[#This Row],[Type]],1)="P",VALUE(ResultsTeams[[#This Row],[Score-B]]),""))</f>
        <v/>
      </c>
      <c r="S340" s="265" t="str">
        <f ca="1">IF(AND(ResultsTeams[[#This Row],[Category]]&lt;&gt;"",ResultsTeams[[#This Row],[Team A]]&lt;&gt;""),COUNTIF(INDIRECT("TeamsList[Club Name]"),ResultsTeams[[#This Row],[Team A]]),"")</f>
        <v/>
      </c>
      <c r="T340" s="265" t="str">
        <f ca="1">IF(AND(ResultsTeams[[#This Row],[Category]]&lt;&gt;"",ResultsTeams[[#This Row],[Team B]]&lt;&gt;""),COUNTIF(INDIRECT("TeamsList[Club Name]"),ResultsTeams[[#This Row],[Team B]]),"")</f>
        <v/>
      </c>
      <c r="U3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0" s="265" t="str">
        <f>IF(ResultsTeams[[#This Row],[Score_OK]],IF(ResultsTeams[[#This Row],[StageCpy]]="Groups",ResultsTeams[[#This Row],[Category]]&amp;"-"&amp;IF(ResultsTeams[[#This Row],[Team B]]="","",IF(ResultsTeams[[#This Row],[Match-A]]=ResultsTeams[[#This Row],[Match-B]],ResultsTeams[[#This Row],[Team A]],"")),""),"")</f>
        <v/>
      </c>
      <c r="W340" s="265" t="str">
        <f>IF(ResultsTeams[[#This Row],[Score_OK]],IF(ResultsTeams[[#This Row],[StageCpy]]="Groups",ResultsTeams[[#This Row],[Category]]&amp;"-"&amp;IF(ResultsTeams[[#This Row],[Team B]]="","",IF(ResultsTeams[[#This Row],[Match-A]]=ResultsTeams[[#This Row],[Match-B]],ResultsTeams[[#This Row],[Team B]],"")),""),"")</f>
        <v/>
      </c>
      <c r="X3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0" s="264" t="str">
        <f>IF(ResultsTeams[[#This Row],[Category]]="","",VLOOKUP(ResultsTeams[[#This Row],[Stage]],$R$1:$T$8,MATCH(ResultsTeams[[#This Row],[Category]],$S$1:$T$1,0)+1,FALSE))</f>
        <v/>
      </c>
      <c r="AC3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0" s="264" t="str">
        <f>IF(ResultsTeams[[#This Row],[Type]]="G",ResultsTeams[[#This Row],[Stage]],AD339)</f>
        <v>Groups</v>
      </c>
      <c r="AE340" s="395" t="str">
        <f>IF(ResultsTeams[[#This Row],[Type]]="G",INDEX(TeamsList[Club Name],MATCH(ResultsTeams[[#This Row],[Team A]],TeamsList[Team Name],0)),AE339)</f>
        <v>FTC Caen</v>
      </c>
      <c r="AF340" s="395" t="str">
        <f>IF(ResultsTeams[[#This Row],[Type]]="G",INDEX(TeamsList[Club Name],MATCH(ResultsTeams[[#This Row],[Team B]],TeamsList[Team Name],0)),AF339)</f>
        <v>Subbuteo Casale</v>
      </c>
      <c r="AG340" s="265"/>
    </row>
    <row r="341" spans="1:72" ht="12" thickBot="1" x14ac:dyDescent="0.25">
      <c r="A341" s="261" t="s">
        <v>12693</v>
      </c>
      <c r="B341" s="270" t="s">
        <v>12207</v>
      </c>
      <c r="C341" s="270">
        <v>8</v>
      </c>
      <c r="D341" s="270"/>
      <c r="E341" s="272" t="s">
        <v>12228</v>
      </c>
      <c r="F341" s="273" t="s">
        <v>326</v>
      </c>
      <c r="G341" s="273" t="s">
        <v>14595</v>
      </c>
      <c r="H341" s="275">
        <v>4</v>
      </c>
      <c r="I341" s="275">
        <v>0</v>
      </c>
      <c r="J341" s="275"/>
      <c r="K341" s="366"/>
      <c r="L341" s="366"/>
      <c r="M341" s="274"/>
      <c r="N341" s="265" t="b">
        <f>NOT(ISERROR(ResultsTeams[[#This Row],[Goal-A]]+ResultsTeams[[#This Row],[Goal-B]]))</f>
        <v>1</v>
      </c>
      <c r="O341" s="265">
        <f>IF(ResultsTeams[[#This Row],[Type]]="G",SUM(O342:O345),IF(LEFT(ResultsTeams[[#This Row],[Type]],1)="P",IF(ResultsTeams[[#This Row],[Goal-A]]&gt;ResultsTeams[[#This Row],[Goal-B]],1,0),""))</f>
        <v>4</v>
      </c>
      <c r="P341" s="265">
        <f>IF(ResultsTeams[[#This Row],[Type]]="G",SUM(P342:P345),IF(LEFT(ResultsTeams[[#This Row],[Type]],1)="P",IF(ResultsTeams[[#This Row],[Goal-A]]&lt;ResultsTeams[[#This Row],[Goal-B]],1,0),""))</f>
        <v>0</v>
      </c>
      <c r="Q341" s="265">
        <f>IF(ResultsTeams[[#This Row],[Type]]="G",SUM(Q342:Q345),IF(LEFT(ResultsTeams[[#This Row],[Type]],1)="P",VALUE(ResultsTeams[[#This Row],[Score-A]]),""))</f>
        <v>27</v>
      </c>
      <c r="R341" s="265">
        <f>IF(ResultsTeams[[#This Row],[Type]]="G",SUM(R342:R345),IF(LEFT(ResultsTeams[[#This Row],[Type]],1)="P",VALUE(ResultsTeams[[#This Row],[Score-B]]),""))</f>
        <v>3</v>
      </c>
      <c r="S341" s="265">
        <f ca="1">IF(AND(ResultsTeams[[#This Row],[Category]]&lt;&gt;"",ResultsTeams[[#This Row],[Team A]]&lt;&gt;""),COUNTIF(INDIRECT("TeamsList[Club Name]"),ResultsTeams[[#This Row],[Team A]]),"")</f>
        <v>1</v>
      </c>
      <c r="T341" s="265">
        <f ca="1">IF(AND(ResultsTeams[[#This Row],[Category]]&lt;&gt;"",ResultsTeams[[#This Row],[Team B]]&lt;&gt;""),COUNTIF(INDIRECT("TeamsList[Club Name]"),ResultsTeams[[#This Row],[Team B]]),"")</f>
        <v>0</v>
      </c>
      <c r="U3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Flanders</v>
      </c>
      <c r="V341" s="265" t="str">
        <f>IF(ResultsTeams[[#This Row],[Score_OK]],IF(ResultsTeams[[#This Row],[StageCpy]]="Groups",ResultsTeams[[#This Row],[Category]]&amp;"-"&amp;IF(ResultsTeams[[#This Row],[Team B]]="","",IF(ResultsTeams[[#This Row],[Match-A]]=ResultsTeams[[#This Row],[Match-B]],ResultsTeams[[#This Row],[Team A]],"")),""),"")</f>
        <v>TEAM-</v>
      </c>
      <c r="W341" s="265" t="str">
        <f>IF(ResultsTeams[[#This Row],[Score_OK]],IF(ResultsTeams[[#This Row],[StageCpy]]="Groups",ResultsTeams[[#This Row],[Category]]&amp;"-"&amp;IF(ResultsTeams[[#This Row],[Team B]]="","",IF(ResultsTeams[[#This Row],[Match-A]]=ResultsTeams[[#This Row],[Match-B]],ResultsTeams[[#This Row],[Team B]],"")),""),"")</f>
        <v>TEAM-</v>
      </c>
      <c r="X3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 2</v>
      </c>
      <c r="Y3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 2</v>
      </c>
      <c r="AA3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 2</v>
      </c>
      <c r="AB341" s="264" t="str">
        <f>IF(ResultsTeams[[#This Row],[Category]]="","",VLOOKUP(ResultsTeams[[#This Row],[Stage]],$R$1:$T$8,MATCH(ResultsTeams[[#This Row],[Category]],$S$1:$T$1,0)+1,FALSE))</f>
        <v>PR1</v>
      </c>
      <c r="AC3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1" s="264" t="str">
        <f>IF(ResultsTeams[[#This Row],[Type]]="G",ResultsTeams[[#This Row],[Stage]],AD340)</f>
        <v>Groups</v>
      </c>
      <c r="AE341" s="395" t="str">
        <f>IF(ResultsTeams[[#This Row],[Type]]="G",INDEX(TeamsList[Club Name],MATCH(ResultsTeams[[#This Row],[Team A]],TeamsList[Team Name],0)),AE340)</f>
        <v>SC Flanders</v>
      </c>
      <c r="AF341" s="395" t="str">
        <f>IF(ResultsTeams[[#This Row],[Type]]="G",INDEX(TeamsList[Club Name],MATCH(ResultsTeams[[#This Row],[Team B]],TeamsList[Team Name],0)),AF340)</f>
        <v>Kent Invicta TFC</v>
      </c>
      <c r="AG341" s="265"/>
      <c r="AH341" s="281" t="str">
        <f>IF(AI341="","",QUOTIENT(COUNTIF(AI$26:AI341,AI341)-1,8)+1)</f>
        <v/>
      </c>
      <c r="AI341" s="315"/>
      <c r="AJ341" s="289" t="s">
        <v>14438</v>
      </c>
      <c r="AK341" s="290" t="s">
        <v>12279</v>
      </c>
      <c r="AL341" s="300" t="s">
        <v>12275</v>
      </c>
      <c r="AM341" s="296" t="s">
        <v>12276</v>
      </c>
      <c r="AN341" s="291" t="s">
        <v>12271</v>
      </c>
      <c r="AO341" s="291" t="s">
        <v>12272</v>
      </c>
      <c r="AP341" s="414" t="s">
        <v>13154</v>
      </c>
      <c r="AQ341" s="291" t="s">
        <v>12273</v>
      </c>
      <c r="AR341" s="297" t="s">
        <v>12274</v>
      </c>
      <c r="AS341" s="414" t="s">
        <v>13154</v>
      </c>
      <c r="AT341" s="296" t="s">
        <v>12199</v>
      </c>
      <c r="AU341" s="291" t="s">
        <v>12200</v>
      </c>
      <c r="AV341" s="291" t="s">
        <v>12201</v>
      </c>
      <c r="AW341" s="291" t="s">
        <v>12202</v>
      </c>
      <c r="AX341" s="291" t="s">
        <v>12203</v>
      </c>
      <c r="AY341" s="291" t="s">
        <v>12697</v>
      </c>
      <c r="AZ341" s="291" t="s">
        <v>12698</v>
      </c>
      <c r="BA341" s="291" t="s">
        <v>12699</v>
      </c>
      <c r="BB341" s="291" t="s">
        <v>12700</v>
      </c>
      <c r="BC341" s="291" t="s">
        <v>12204</v>
      </c>
      <c r="BD341" s="291" t="s">
        <v>12205</v>
      </c>
      <c r="BE341" s="297" t="s">
        <v>12206</v>
      </c>
      <c r="BF341" s="395"/>
      <c r="BG341" s="282" t="s">
        <v>12276</v>
      </c>
      <c r="BH341" s="282" t="s">
        <v>12133</v>
      </c>
      <c r="BI341" s="283" t="s">
        <v>12199</v>
      </c>
      <c r="BJ341" s="283" t="s">
        <v>12200</v>
      </c>
      <c r="BK341" s="283" t="s">
        <v>12201</v>
      </c>
      <c r="BL341" s="283" t="s">
        <v>12202</v>
      </c>
      <c r="BM341" s="283" t="s">
        <v>12203</v>
      </c>
      <c r="BN341" s="290" t="s">
        <v>12697</v>
      </c>
      <c r="BO341" s="354" t="s">
        <v>12698</v>
      </c>
      <c r="BP341" s="283" t="s">
        <v>12699</v>
      </c>
      <c r="BQ341" s="300" t="s">
        <v>12700</v>
      </c>
      <c r="BR341" s="351" t="s">
        <v>12204</v>
      </c>
      <c r="BS341" s="283" t="s">
        <v>12205</v>
      </c>
      <c r="BT341" s="300" t="s">
        <v>12206</v>
      </c>
    </row>
    <row r="342" spans="1:72" x14ac:dyDescent="0.2">
      <c r="A342" s="60"/>
      <c r="B342" s="280"/>
      <c r="C342" s="60"/>
      <c r="D342" s="60"/>
      <c r="E342" s="240" t="s">
        <v>12231</v>
      </c>
      <c r="F342" s="244" t="s">
        <v>8538</v>
      </c>
      <c r="G342" s="244" t="s">
        <v>13243</v>
      </c>
      <c r="H342" s="253">
        <v>12</v>
      </c>
      <c r="I342" s="253">
        <v>0</v>
      </c>
      <c r="J342" s="253"/>
      <c r="K342" s="362"/>
      <c r="L342" s="362"/>
      <c r="M342" s="245"/>
      <c r="N342" s="265" t="b">
        <f>NOT(ISERROR(ResultsTeams[[#This Row],[Goal-A]]+ResultsTeams[[#This Row],[Goal-B]]))</f>
        <v>1</v>
      </c>
      <c r="O342" s="265">
        <f>IF(ResultsTeams[[#This Row],[Type]]="G",SUM(O343:O346),IF(LEFT(ResultsTeams[[#This Row],[Type]],1)="P",IF(ResultsTeams[[#This Row],[Goal-A]]&gt;ResultsTeams[[#This Row],[Goal-B]],1,0),""))</f>
        <v>1</v>
      </c>
      <c r="P342" s="265">
        <f>IF(ResultsTeams[[#This Row],[Type]]="G",SUM(P343:P346),IF(LEFT(ResultsTeams[[#This Row],[Type]],1)="P",IF(ResultsTeams[[#This Row],[Goal-A]]&lt;ResultsTeams[[#This Row],[Goal-B]],1,0),""))</f>
        <v>0</v>
      </c>
      <c r="Q342" s="265">
        <f>IF(ResultsTeams[[#This Row],[Type]]="G",SUM(Q343:Q346),IF(LEFT(ResultsTeams[[#This Row],[Type]],1)="P",VALUE(ResultsTeams[[#This Row],[Score-A]]),""))</f>
        <v>12</v>
      </c>
      <c r="R342" s="265">
        <f>IF(ResultsTeams[[#This Row],[Type]]="G",SUM(R343:R346),IF(LEFT(ResultsTeams[[#This Row],[Type]],1)="P",VALUE(ResultsTeams[[#This Row],[Score-B]]),""))</f>
        <v>0</v>
      </c>
      <c r="S342" s="265" t="str">
        <f ca="1">IF(AND(ResultsTeams[[#This Row],[Category]]&lt;&gt;"",ResultsTeams[[#This Row],[Team A]]&lt;&gt;""),COUNTIF(INDIRECT("TeamsList[Club Name]"),ResultsTeams[[#This Row],[Team A]]),"")</f>
        <v/>
      </c>
      <c r="T342" s="265" t="str">
        <f ca="1">IF(AND(ResultsTeams[[#This Row],[Category]]&lt;&gt;"",ResultsTeams[[#This Row],[Team B]]&lt;&gt;""),COUNTIF(INDIRECT("TeamsList[Club Name]"),ResultsTeams[[#This Row],[Team B]]),"")</f>
        <v/>
      </c>
      <c r="U3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-Brandon Lavender</v>
      </c>
      <c r="V342" s="265" t="str">
        <f>IF(ResultsTeams[[#This Row],[Score_OK]],IF(ResultsTeams[[#This Row],[StageCpy]]="Groups",ResultsTeams[[#This Row],[Category]]&amp;"-"&amp;IF(ResultsTeams[[#This Row],[Team B]]="","",IF(ResultsTeams[[#This Row],[Match-A]]=ResultsTeams[[#This Row],[Match-B]],ResultsTeams[[#This Row],[Team A]],"")),""),"")</f>
        <v>-</v>
      </c>
      <c r="W342" s="265" t="str">
        <f>IF(ResultsTeams[[#This Row],[Score_OK]],IF(ResultsTeams[[#This Row],[StageCpy]]="Groups",ResultsTeams[[#This Row],[Category]]&amp;"-"&amp;IF(ResultsTeams[[#This Row],[Team B]]="","",IF(ResultsTeams[[#This Row],[Match-A]]=ResultsTeams[[#This Row],[Match-B]],ResultsTeams[[#This Row],[Team B]],"")),""),"")</f>
        <v>-</v>
      </c>
      <c r="X3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-Thomas Lacey</v>
      </c>
      <c r="Y3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2" s="264" t="str">
        <f>IF(ResultsTeams[[#This Row],[Category]]="","",VLOOKUP(ResultsTeams[[#This Row],[Stage]],$R$1:$T$8,MATCH(ResultsTeams[[#This Row],[Category]],$S$1:$T$1,0)+1,FALSE))</f>
        <v/>
      </c>
      <c r="AC3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2" s="264" t="str">
        <f>IF(ResultsTeams[[#This Row],[Type]]="G",ResultsTeams[[#This Row],[Stage]],AD341)</f>
        <v>Groups</v>
      </c>
      <c r="AE342" s="395" t="str">
        <f>IF(ResultsTeams[[#This Row],[Type]]="G",INDEX(TeamsList[Club Name],MATCH(ResultsTeams[[#This Row],[Team A]],TeamsList[Team Name],0)),AE341)</f>
        <v>SC Flanders</v>
      </c>
      <c r="AF342" s="395" t="str">
        <f>IF(ResultsTeams[[#This Row],[Type]]="G",INDEX(TeamsList[Club Name],MATCH(ResultsTeams[[#This Row],[Team B]],TeamsList[Team Name],0)),AF341)</f>
        <v>Kent Invicta TFC</v>
      </c>
      <c r="AG342" s="265"/>
      <c r="AI342" s="12">
        <f>AI341</f>
        <v>0</v>
      </c>
      <c r="AJ342" s="309"/>
      <c r="AK342" s="320"/>
      <c r="AL342" s="311"/>
      <c r="AM342" s="292" t="str">
        <f>IF(AV342="","",SMALL(AN342:AN348,ROWS(AM342:AM342)))</f>
        <v/>
      </c>
      <c r="AN342" s="293" t="str">
        <f>IF(AV342="","",RANK(AR342,AR342:AR348)*1000+ROWS(AN342:AN342))</f>
        <v/>
      </c>
      <c r="AO342" s="316" t="str">
        <f t="shared" ref="AO342:AO348" si="290">IF(AV342="","",AT342*CritClassEq1_Points+AY342*CritClassEq1_DiffRencontres+BB342*CritClassEq1_DiffMatches+BE342*CritClassEq1_DiffButs+AZ342*CritClassEq1_Matches+BC342*CritClassEq1_Attaque)</f>
        <v/>
      </c>
      <c r="AP342" s="415" t="b">
        <f>AND(AU342&lt;&gt;"",AU342&gt;0,COUNTIF(AO342:AO348,AO342)&gt;1)</f>
        <v>0</v>
      </c>
      <c r="AQ342" s="316" t="str">
        <f t="shared" ref="AQ342:AQ348" si="291">IF(AV342="","",CritClassEq_DiffPart*AK342)</f>
        <v/>
      </c>
      <c r="AR342" s="317" t="str">
        <f t="shared" ref="AR342:AR348" si="292">IF(AV342="","",AO342+AQ342+AT342*CritClassEq2_Points+AY342*CritClassEq2_DiffRencontres+BB342*CritClassEq2_DiffMatches+BE342*CritClassEq2_DiffButs+AZ342*CritClassEq2_Matches+BC342*CritClassEq2_Attaque+AL342)</f>
        <v/>
      </c>
      <c r="AS342" s="415" t="b">
        <f>AND(AU342&lt;&gt;"",AU342&gt;0,COUNTIF(AR342:AR348,AR342)&gt;1)</f>
        <v>0</v>
      </c>
      <c r="AT342" s="355" t="str">
        <f t="shared" ref="AT342:AT348" si="293">IF(AV342="","",(AV342*Points_Victoire)+AW342*Points_Null)</f>
        <v/>
      </c>
      <c r="AU342" s="356" t="str">
        <f t="shared" ref="AU342:AU348" si="294">IF(AV342="","",SUM(AV342:AX342))</f>
        <v/>
      </c>
      <c r="AV342" s="356" t="str">
        <f>IF(OR(AI341="",AJ342=""),"",COUNTIF(ResultsTeams[Win],AI341&amp;"-"&amp;AJ342))</f>
        <v/>
      </c>
      <c r="AW342" s="356" t="str">
        <f>IF(OR(AI341="",AJ342=""),"",COUNTIF(ResultsTeams[[Draw1]:[Draw2]],AI341&amp;"-"&amp;AJ342))</f>
        <v/>
      </c>
      <c r="AX342" s="356" t="str">
        <f>IF(OR(AI341="",AJ342=""),"",COUNTIF(ResultsTeams[Lose],AI341&amp;"-"&amp;AJ342))</f>
        <v/>
      </c>
      <c r="AY342" s="356" t="str">
        <f>IF(OR(AI341="",AJ342=""),"",AV342-AX342)</f>
        <v/>
      </c>
      <c r="AZ342" s="356" t="str">
        <f>IF(OR(AI341="",AJ342=""),"",SUMIFS(ResultsTeams[Match-A],ResultsTeams[Stage],"Groups",ResultsTeams[Team A],AJ342)+SUMIFS(ResultsTeams[Match-B],ResultsTeams[Stage],"Groups",ResultsTeams[Team B],AJ342))</f>
        <v/>
      </c>
      <c r="BA342" s="356" t="str">
        <f>IF(OR(AI341="",AJ342=""),"",SUMIFS(ResultsTeams[Match-B],ResultsTeams[Stage],"Groups",ResultsTeams[Team A],AJ342)+SUMIFS(ResultsTeams[Match-A],ResultsTeams[Stage],"Groups",ResultsTeams[Team B],AJ342))</f>
        <v/>
      </c>
      <c r="BB342" s="356" t="str">
        <f>IF(OR(AI341="",AJ342=""),"",AZ342-BA342)</f>
        <v/>
      </c>
      <c r="BC342" s="356" t="str">
        <f>IF(OR(AI341="",AJ342=""),"",SUMIFS(ResultsTeams[Goal-A],ResultsTeams[Stage],"Groups",ResultsTeams[Team A],AJ342)+SUMIFS(ResultsTeams[Goal-B],ResultsTeams[Stage],"Groups",ResultsTeams[Team B],AJ342))</f>
        <v/>
      </c>
      <c r="BD342" s="356" t="str">
        <f>IF(OR(AI341="",AJ342=""),"",SUMIFS(ResultsTeams[Goal-B],ResultsTeams[Stage],"Groups",ResultsTeams[Team A],AJ342)+SUMIFS(ResultsTeams[Goal-A],ResultsTeams[Stage],"Groups",ResultsTeams[Team B],AJ342))</f>
        <v/>
      </c>
      <c r="BE342" s="357" t="str">
        <f>IF(OR(AI341="",AJ342=""),"",BC342-BD342)</f>
        <v/>
      </c>
      <c r="BF342" s="470" t="str">
        <f>IF(AM342="","",OR(VLOOKUP(AM342,AN342:BE348,3,FALSE),VLOOKUP(AM342,AN342:BE348,6,FALSE)))</f>
        <v/>
      </c>
      <c r="BG342" s="298" t="str">
        <f t="shared" ref="BG342:BG348" si="295">IF(AM342="","",INT(AM342/1000))</f>
        <v/>
      </c>
      <c r="BH342" s="285" t="str">
        <f>IF(AM342="","",INDEX(AJ342:AJ348,MATCH(AM342,AN342:AN348,0)))</f>
        <v/>
      </c>
      <c r="BI342" s="286" t="str">
        <f>IF(AM342="","",VLOOKUP(AM342,AN342:BE348,COLUMN()-COLUMN(BB341),FALSE))</f>
        <v/>
      </c>
      <c r="BJ342" s="286" t="str">
        <f>IF(AM342="","",VLOOKUP(AM342,AN342:BE348,COLUMN()-COLUMN(BB341),FALSE))</f>
        <v/>
      </c>
      <c r="BK342" s="286" t="str">
        <f>IF(AM342="","",VLOOKUP(AM342,AN342:BE348,COLUMN()-COLUMN(BB341),FALSE))</f>
        <v/>
      </c>
      <c r="BL342" s="286" t="str">
        <f>IF(AM342="","",VLOOKUP(AM342,AN342:BE348,COLUMN()-COLUMN(BB341),FALSE))</f>
        <v/>
      </c>
      <c r="BM342" s="286" t="str">
        <f>IF(AM342="","",VLOOKUP(AM342,AN342:BE348,COLUMN()-COLUMN(BB341),FALSE))</f>
        <v/>
      </c>
      <c r="BN342" s="349" t="str">
        <f>IF(AM342="","",VLOOKUP(AM342,AN342:BE348,COLUMN()-COLUMN(BB341),FALSE))</f>
        <v/>
      </c>
      <c r="BO342" s="298" t="str">
        <f>IF(AM342="","",VLOOKUP(AM342,AN342:BE348,COLUMN()-COLUMN(BB341),FALSE))</f>
        <v/>
      </c>
      <c r="BP342" s="286" t="str">
        <f>IF(AM342="","",VLOOKUP(AM342,AN342:BE348,COLUMN()-COLUMN(BB341),FALSE))</f>
        <v/>
      </c>
      <c r="BQ342" s="301" t="str">
        <f>IF(AM342="","",VLOOKUP(AM342,AN342:BE348,COLUMN()-COLUMN(BB341),FALSE))</f>
        <v/>
      </c>
      <c r="BR342" s="352" t="str">
        <f>IF(AM342="","",VLOOKUP(AM342,AN342:BE348,COLUMN()-COLUMN(BB341),FALSE))</f>
        <v/>
      </c>
      <c r="BS342" s="286" t="str">
        <f>IF(AM342="","",VLOOKUP(AM342,AN342:BE348,COLUMN()-COLUMN(BB341),FALSE))</f>
        <v/>
      </c>
      <c r="BT342" s="301" t="str">
        <f>IF(AM342="","",VLOOKUP(AM342,AN342:BE348,COLUMN()-COLUMN(BB341),FALSE))</f>
        <v/>
      </c>
    </row>
    <row r="343" spans="1:72" x14ac:dyDescent="0.2">
      <c r="A343" s="62"/>
      <c r="B343" s="280"/>
      <c r="C343" s="62"/>
      <c r="D343" s="62"/>
      <c r="E343" s="241" t="s">
        <v>12234</v>
      </c>
      <c r="F343" s="247" t="s">
        <v>10452</v>
      </c>
      <c r="G343" s="246" t="s">
        <v>8514</v>
      </c>
      <c r="H343" s="254">
        <v>3</v>
      </c>
      <c r="I343" s="254">
        <v>2</v>
      </c>
      <c r="J343" s="254"/>
      <c r="K343" s="363"/>
      <c r="L343" s="363"/>
      <c r="M343" s="247"/>
      <c r="N343" s="265" t="b">
        <f>NOT(ISERROR(ResultsTeams[[#This Row],[Goal-A]]+ResultsTeams[[#This Row],[Goal-B]]))</f>
        <v>1</v>
      </c>
      <c r="O343" s="265">
        <f>IF(ResultsTeams[[#This Row],[Type]]="G",SUM(O344:O347),IF(LEFT(ResultsTeams[[#This Row],[Type]],1)="P",IF(ResultsTeams[[#This Row],[Goal-A]]&gt;ResultsTeams[[#This Row],[Goal-B]],1,0),""))</f>
        <v>1</v>
      </c>
      <c r="P343" s="265">
        <f>IF(ResultsTeams[[#This Row],[Type]]="G",SUM(P344:P347),IF(LEFT(ResultsTeams[[#This Row],[Type]],1)="P",IF(ResultsTeams[[#This Row],[Goal-A]]&lt;ResultsTeams[[#This Row],[Goal-B]],1,0),""))</f>
        <v>0</v>
      </c>
      <c r="Q343" s="265">
        <f>IF(ResultsTeams[[#This Row],[Type]]="G",SUM(Q344:Q347),IF(LEFT(ResultsTeams[[#This Row],[Type]],1)="P",VALUE(ResultsTeams[[#This Row],[Score-A]]),""))</f>
        <v>3</v>
      </c>
      <c r="R343" s="265">
        <f>IF(ResultsTeams[[#This Row],[Type]]="G",SUM(R344:R347),IF(LEFT(ResultsTeams[[#This Row],[Type]],1)="P",VALUE(ResultsTeams[[#This Row],[Score-B]]),""))</f>
        <v>2</v>
      </c>
      <c r="S343" s="265" t="str">
        <f ca="1">IF(AND(ResultsTeams[[#This Row],[Category]]&lt;&gt;"",ResultsTeams[[#This Row],[Team A]]&lt;&gt;""),COUNTIF(INDIRECT("TeamsList[Club Name]"),ResultsTeams[[#This Row],[Team A]]),"")</f>
        <v/>
      </c>
      <c r="T343" s="265" t="str">
        <f ca="1">IF(AND(ResultsTeams[[#This Row],[Category]]&lt;&gt;"",ResultsTeams[[#This Row],[Team B]]&lt;&gt;""),COUNTIF(INDIRECT("TeamsList[Club Name]"),ResultsTeams[[#This Row],[Team B]]),"")</f>
        <v/>
      </c>
      <c r="U3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De Bruin</v>
      </c>
      <c r="V343" s="265" t="str">
        <f>IF(ResultsTeams[[#This Row],[Score_OK]],IF(ResultsTeams[[#This Row],[StageCpy]]="Groups",ResultsTeams[[#This Row],[Category]]&amp;"-"&amp;IF(ResultsTeams[[#This Row],[Team B]]="","",IF(ResultsTeams[[#This Row],[Match-A]]=ResultsTeams[[#This Row],[Match-B]],ResultsTeams[[#This Row],[Team A]],"")),""),"")</f>
        <v>-</v>
      </c>
      <c r="W343" s="265" t="str">
        <f>IF(ResultsTeams[[#This Row],[Score_OK]],IF(ResultsTeams[[#This Row],[StageCpy]]="Groups",ResultsTeams[[#This Row],[Category]]&amp;"-"&amp;IF(ResultsTeams[[#This Row],[Team B]]="","",IF(ResultsTeams[[#This Row],[Match-A]]=ResultsTeams[[#This Row],[Match-B]],ResultsTeams[[#This Row],[Team B]],"")),""),"")</f>
        <v>-</v>
      </c>
      <c r="X3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-Terry Arnold</v>
      </c>
      <c r="Y3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3" s="264" t="str">
        <f>IF(ResultsTeams[[#This Row],[Category]]="","",VLOOKUP(ResultsTeams[[#This Row],[Stage]],$R$1:$T$8,MATCH(ResultsTeams[[#This Row],[Category]],$S$1:$T$1,0)+1,FALSE))</f>
        <v/>
      </c>
      <c r="AC3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3" s="264" t="str">
        <f>IF(ResultsTeams[[#This Row],[Type]]="G",ResultsTeams[[#This Row],[Stage]],AD342)</f>
        <v>Groups</v>
      </c>
      <c r="AE343" s="395" t="str">
        <f>IF(ResultsTeams[[#This Row],[Type]]="G",INDEX(TeamsList[Club Name],MATCH(ResultsTeams[[#This Row],[Team A]],TeamsList[Team Name],0)),AE342)</f>
        <v>SC Flanders</v>
      </c>
      <c r="AF343" s="395" t="str">
        <f>IF(ResultsTeams[[#This Row],[Type]]="G",INDEX(TeamsList[Club Name],MATCH(ResultsTeams[[#This Row],[Team B]],TeamsList[Team Name],0)),AF342)</f>
        <v>Kent Invicta TFC</v>
      </c>
      <c r="AG343" s="265"/>
      <c r="AI343" s="12">
        <f>AI342</f>
        <v>0</v>
      </c>
      <c r="AJ343" s="309"/>
      <c r="AK343" s="320"/>
      <c r="AL343" s="311"/>
      <c r="AM343" s="292" t="str">
        <f>IF(AV343="","",SMALL(AN342:AN348,ROWS(AM342:AM343)))</f>
        <v/>
      </c>
      <c r="AN343" s="293" t="str">
        <f>IF(AV343="","",RANK(AR343,AR342:AR348)*1000+ROWS(AN342:AN343))</f>
        <v/>
      </c>
      <c r="AO343" s="316" t="str">
        <f t="shared" si="290"/>
        <v/>
      </c>
      <c r="AP343" s="415" t="b">
        <f>AND(AU343&lt;&gt;"",AU343&gt;0,COUNTIF(AO342:AO348,AO343)&gt;1)</f>
        <v>0</v>
      </c>
      <c r="AQ343" s="316" t="str">
        <f t="shared" si="291"/>
        <v/>
      </c>
      <c r="AR343" s="317" t="str">
        <f t="shared" si="292"/>
        <v/>
      </c>
      <c r="AS343" s="415" t="b">
        <f>AND(AU343&lt;&gt;"",AU343&gt;0,COUNTIF(AR342:AR348,AR343)&gt;1)</f>
        <v>0</v>
      </c>
      <c r="AT343" s="355" t="str">
        <f t="shared" si="293"/>
        <v/>
      </c>
      <c r="AU343" s="356" t="str">
        <f t="shared" si="294"/>
        <v/>
      </c>
      <c r="AV343" s="356" t="str">
        <f>IF(OR(AI341="",AJ343=""),"",COUNTIF(ResultsTeams[Win],AI341&amp;"-"&amp;AJ343))</f>
        <v/>
      </c>
      <c r="AW343" s="356" t="str">
        <f>IF(OR(AI341="",AJ343=""),"",COUNTIF(ResultsTeams[[Draw1]:[Draw2]],AI341&amp;"-"&amp;AJ343))</f>
        <v/>
      </c>
      <c r="AX343" s="356" t="str">
        <f>IF(OR(AI341="",AJ343=""),"",COUNTIF(ResultsTeams[Lose],AI341&amp;"-"&amp;AJ343))</f>
        <v/>
      </c>
      <c r="AY343" s="356" t="str">
        <f>IF(OR(AI341="",AJ343=""),"",AV343-AX343)</f>
        <v/>
      </c>
      <c r="AZ343" s="356" t="str">
        <f>IF(OR(AI342="",AJ343=""),"",SUMIFS(ResultsTeams[Match-A],ResultsTeams[Stage],"Groups",ResultsTeams[Team A],AJ343)+SUMIFS(ResultsTeams[Match-B],ResultsTeams[Stage],"Groups",ResultsTeams[Team B],AJ343))</f>
        <v/>
      </c>
      <c r="BA343" s="356" t="str">
        <f>IF(OR(AI342="",AJ343=""),"",SUMIFS(ResultsTeams[Match-B],ResultsTeams[Stage],"Groups",ResultsTeams[Team A],AJ343)+SUMIFS(ResultsTeams[Match-A],ResultsTeams[Stage],"Groups",ResultsTeams[Team B],AJ343))</f>
        <v/>
      </c>
      <c r="BB343" s="356" t="str">
        <f t="shared" ref="BB343:BB348" si="296">IF(OR(AI342="",AJ343=""),"",AZ343-BA343)</f>
        <v/>
      </c>
      <c r="BC343" s="356" t="str">
        <f>IF(OR(AI342="",AJ343=""),"",SUMIFS(ResultsTeams[Goal-A],ResultsTeams[Stage],"Groups",ResultsTeams[Team A],AJ343)+SUMIFS(ResultsTeams[Goal-B],ResultsTeams[Stage],"Groups",ResultsTeams[Team B],AJ343))</f>
        <v/>
      </c>
      <c r="BD343" s="356" t="str">
        <f>IF(OR(AI342="",AJ343=""),"",SUMIFS(ResultsTeams[Goal-B],ResultsTeams[Stage],"Groups",ResultsTeams[Team A],AJ343)+SUMIFS(ResultsTeams[Goal-A],ResultsTeams[Stage],"Groups",ResultsTeams[Team B],AJ343))</f>
        <v/>
      </c>
      <c r="BE343" s="357" t="str">
        <f>IF(OR(AI341="",AJ343=""),"",BC343-BD343)</f>
        <v/>
      </c>
      <c r="BF343" s="470" t="str">
        <f>IF(AM343="","",OR(VLOOKUP(AM343,AN342:BE348,3,FALSE),VLOOKUP(AM343,AN342:BE348,6,FALSE)))</f>
        <v/>
      </c>
      <c r="BG343" s="298" t="str">
        <f t="shared" si="295"/>
        <v/>
      </c>
      <c r="BH343" s="285" t="str">
        <f>IF(AM343="","",INDEX(AJ342:AJ348,MATCH(AM343,AN342:AN348,0)))</f>
        <v/>
      </c>
      <c r="BI343" s="286" t="str">
        <f>IF(AM343="","",VLOOKUP(AM343,AN342:BE348,COLUMN()-COLUMN(BB341),FALSE))</f>
        <v/>
      </c>
      <c r="BJ343" s="286" t="str">
        <f>IF(AM343="","",VLOOKUP(AM343,AN342:BE348,COLUMN()-COLUMN(BB341),FALSE))</f>
        <v/>
      </c>
      <c r="BK343" s="286" t="str">
        <f>IF(AM343="","",VLOOKUP(AM343,AN342:BE348,COLUMN()-COLUMN(BB341),FALSE))</f>
        <v/>
      </c>
      <c r="BL343" s="286" t="str">
        <f>IF(AM343="","",VLOOKUP(AM343,AN342:BE348,COLUMN()-COLUMN(BB341),FALSE))</f>
        <v/>
      </c>
      <c r="BM343" s="286" t="str">
        <f>IF(AM343="","",VLOOKUP(AM343,AN342:BE348,COLUMN()-COLUMN(BB341),FALSE))</f>
        <v/>
      </c>
      <c r="BN343" s="349" t="str">
        <f>IF(AM343="","",VLOOKUP(AM343,AN342:BE348,COLUMN()-COLUMN(BB341),FALSE))</f>
        <v/>
      </c>
      <c r="BO343" s="298" t="str">
        <f>IF(AM343="","",VLOOKUP(AM343,AN342:BE348,COLUMN()-COLUMN(BB341),FALSE))</f>
        <v/>
      </c>
      <c r="BP343" s="286" t="str">
        <f>IF(AM343="","",VLOOKUP(AM343,AN342:BE348,COLUMN()-COLUMN(BB341),FALSE))</f>
        <v/>
      </c>
      <c r="BQ343" s="301" t="str">
        <f>IF(AM343="","",VLOOKUP(AM343,AN342:BE348,COLUMN()-COLUMN(BB341),FALSE))</f>
        <v/>
      </c>
      <c r="BR343" s="352" t="str">
        <f>IF(AM343="","",VLOOKUP(AM343,AN342:BE348,COLUMN()-COLUMN(BB341),FALSE))</f>
        <v/>
      </c>
      <c r="BS343" s="286" t="str">
        <f>IF(AM343="","",VLOOKUP(AM343,AN342:BE348,COLUMN()-COLUMN(BB341),FALSE))</f>
        <v/>
      </c>
      <c r="BT343" s="301" t="str">
        <f>IF(AM343="","",VLOOKUP(AM343,AN342:BE348,COLUMN()-COLUMN(BB341),FALSE))</f>
        <v/>
      </c>
    </row>
    <row r="344" spans="1:72" x14ac:dyDescent="0.2">
      <c r="A344" s="62"/>
      <c r="B344" s="280"/>
      <c r="C344" s="62"/>
      <c r="D344" s="62"/>
      <c r="E344" s="241" t="s">
        <v>12237</v>
      </c>
      <c r="F344" s="246" t="s">
        <v>8113</v>
      </c>
      <c r="G344" s="246" t="s">
        <v>13262</v>
      </c>
      <c r="H344" s="254">
        <v>6</v>
      </c>
      <c r="I344" s="254">
        <v>0</v>
      </c>
      <c r="J344" s="254"/>
      <c r="K344" s="363"/>
      <c r="L344" s="363"/>
      <c r="M344" s="247"/>
      <c r="N344" s="265" t="b">
        <f>NOT(ISERROR(ResultsTeams[[#This Row],[Goal-A]]+ResultsTeams[[#This Row],[Goal-B]]))</f>
        <v>1</v>
      </c>
      <c r="O344" s="265">
        <f>IF(ResultsTeams[[#This Row],[Type]]="G",SUM(O345:O348),IF(LEFT(ResultsTeams[[#This Row],[Type]],1)="P",IF(ResultsTeams[[#This Row],[Goal-A]]&gt;ResultsTeams[[#This Row],[Goal-B]],1,0),""))</f>
        <v>1</v>
      </c>
      <c r="P344" s="265">
        <f>IF(ResultsTeams[[#This Row],[Type]]="G",SUM(P345:P348),IF(LEFT(ResultsTeams[[#This Row],[Type]],1)="P",IF(ResultsTeams[[#This Row],[Goal-A]]&lt;ResultsTeams[[#This Row],[Goal-B]],1,0),""))</f>
        <v>0</v>
      </c>
      <c r="Q344" s="265">
        <f>IF(ResultsTeams[[#This Row],[Type]]="G",SUM(Q345:Q348),IF(LEFT(ResultsTeams[[#This Row],[Type]],1)="P",VALUE(ResultsTeams[[#This Row],[Score-A]]),""))</f>
        <v>6</v>
      </c>
      <c r="R344" s="265">
        <f>IF(ResultsTeams[[#This Row],[Type]]="G",SUM(R345:R348),IF(LEFT(ResultsTeams[[#This Row],[Type]],1)="P",VALUE(ResultsTeams[[#This Row],[Score-B]]),""))</f>
        <v>0</v>
      </c>
      <c r="S344" s="265" t="str">
        <f ca="1">IF(AND(ResultsTeams[[#This Row],[Category]]&lt;&gt;"",ResultsTeams[[#This Row],[Team A]]&lt;&gt;""),COUNTIF(INDIRECT("TeamsList[Club Name]"),ResultsTeams[[#This Row],[Team A]]),"")</f>
        <v/>
      </c>
      <c r="T344" s="265" t="str">
        <f ca="1">IF(AND(ResultsTeams[[#This Row],[Category]]&lt;&gt;"",ResultsTeams[[#This Row],[Team B]]&lt;&gt;""),COUNTIF(INDIRECT("TeamsList[Club Name]"),ResultsTeams[[#This Row],[Team B]]),"")</f>
        <v/>
      </c>
      <c r="U3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-Geert Leys</v>
      </c>
      <c r="V344" s="265" t="str">
        <f>IF(ResultsTeams[[#This Row],[Score_OK]],IF(ResultsTeams[[#This Row],[StageCpy]]="Groups",ResultsTeams[[#This Row],[Category]]&amp;"-"&amp;IF(ResultsTeams[[#This Row],[Team B]]="","",IF(ResultsTeams[[#This Row],[Match-A]]=ResultsTeams[[#This Row],[Match-B]],ResultsTeams[[#This Row],[Team A]],"")),""),"")</f>
        <v>-</v>
      </c>
      <c r="W344" s="265" t="str">
        <f>IF(ResultsTeams[[#This Row],[Score_OK]],IF(ResultsTeams[[#This Row],[StageCpy]]="Groups",ResultsTeams[[#This Row],[Category]]&amp;"-"&amp;IF(ResultsTeams[[#This Row],[Team B]]="","",IF(ResultsTeams[[#This Row],[Match-A]]=ResultsTeams[[#This Row],[Match-B]],ResultsTeams[[#This Row],[Team B]],"")),""),"")</f>
        <v>-</v>
      </c>
      <c r="X3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-Martin Colwell</v>
      </c>
      <c r="Y3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4" s="264" t="str">
        <f>IF(ResultsTeams[[#This Row],[Category]]="","",VLOOKUP(ResultsTeams[[#This Row],[Stage]],$R$1:$T$8,MATCH(ResultsTeams[[#This Row],[Category]],$S$1:$T$1,0)+1,FALSE))</f>
        <v/>
      </c>
      <c r="AC3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4" s="264" t="str">
        <f>IF(ResultsTeams[[#This Row],[Type]]="G",ResultsTeams[[#This Row],[Stage]],AD343)</f>
        <v>Groups</v>
      </c>
      <c r="AE344" s="395" t="str">
        <f>IF(ResultsTeams[[#This Row],[Type]]="G",INDEX(TeamsList[Club Name],MATCH(ResultsTeams[[#This Row],[Team A]],TeamsList[Team Name],0)),AE343)</f>
        <v>SC Flanders</v>
      </c>
      <c r="AF344" s="395" t="str">
        <f>IF(ResultsTeams[[#This Row],[Type]]="G",INDEX(TeamsList[Club Name],MATCH(ResultsTeams[[#This Row],[Team B]],TeamsList[Team Name],0)),AF343)</f>
        <v>Kent Invicta TFC</v>
      </c>
      <c r="AG344" s="265"/>
      <c r="AI344" s="12">
        <f t="shared" ref="AI344:AI348" si="297">AI343</f>
        <v>0</v>
      </c>
      <c r="AJ344" s="309"/>
      <c r="AK344" s="320"/>
      <c r="AL344" s="311"/>
      <c r="AM344" s="292" t="str">
        <f>IF(AV344="","",SMALL(AN342:AN348,ROWS(AM342:AM344)))</f>
        <v/>
      </c>
      <c r="AN344" s="293" t="str">
        <f>IF(AV344="","",RANK(AR344,AR342:AR348)*1000+ROWS(AN342:AN344))</f>
        <v/>
      </c>
      <c r="AO344" s="316" t="str">
        <f t="shared" si="290"/>
        <v/>
      </c>
      <c r="AP344" s="415" t="b">
        <f>AND(AU344&lt;&gt;"",AU344&gt;0,COUNTIF(AO342:AO348,AO344)&gt;1)</f>
        <v>0</v>
      </c>
      <c r="AQ344" s="316" t="str">
        <f t="shared" si="291"/>
        <v/>
      </c>
      <c r="AR344" s="317" t="str">
        <f t="shared" si="292"/>
        <v/>
      </c>
      <c r="AS344" s="415" t="b">
        <f>AND(AU344&lt;&gt;"",AU344&gt;0,COUNTIF(AR342:AR348,AR344)&gt;1)</f>
        <v>0</v>
      </c>
      <c r="AT344" s="355" t="str">
        <f t="shared" si="293"/>
        <v/>
      </c>
      <c r="AU344" s="356" t="str">
        <f t="shared" si="294"/>
        <v/>
      </c>
      <c r="AV344" s="356" t="str">
        <f>IF(OR(AI341="",AJ344=""),"",COUNTIF(ResultsTeams[Win],AI341&amp;"-"&amp;AJ344))</f>
        <v/>
      </c>
      <c r="AW344" s="356" t="str">
        <f>IF(OR(AI341="",AJ344=""),"",COUNTIF(ResultsTeams[[Draw1]:[Draw2]],AI341&amp;"-"&amp;AJ344))</f>
        <v/>
      </c>
      <c r="AX344" s="356" t="str">
        <f>IF(OR(AI341="",AJ344=""),"",COUNTIF(ResultsTeams[Lose],AI341&amp;"-"&amp;AJ344))</f>
        <v/>
      </c>
      <c r="AY344" s="356" t="str">
        <f>IF(OR(AI341="",AJ344=""),"",AV344-AX344)</f>
        <v/>
      </c>
      <c r="AZ344" s="356" t="str">
        <f>IF(OR(AI343="",AJ344=""),"",SUMIFS(ResultsTeams[Match-A],ResultsTeams[Stage],"Groups",ResultsTeams[Team A],AJ344)+SUMIFS(ResultsTeams[Match-B],ResultsTeams[Stage],"Groups",ResultsTeams[Team B],AJ344))</f>
        <v/>
      </c>
      <c r="BA344" s="356" t="str">
        <f>IF(OR(AI343="",AJ344=""),"",SUMIFS(ResultsTeams[Match-B],ResultsTeams[Stage],"Groups",ResultsTeams[Team A],AJ344)+SUMIFS(ResultsTeams[Match-A],ResultsTeams[Stage],"Groups",ResultsTeams[Team B],AJ344))</f>
        <v/>
      </c>
      <c r="BB344" s="356" t="str">
        <f t="shared" si="296"/>
        <v/>
      </c>
      <c r="BC344" s="356" t="str">
        <f>IF(OR(AI343="",AJ344=""),"",SUMIFS(ResultsTeams[Goal-A],ResultsTeams[Stage],"Groups",ResultsTeams[Team A],AJ344)+SUMIFS(ResultsTeams[Goal-B],ResultsTeams[Stage],"Groups",ResultsTeams[Team B],AJ344))</f>
        <v/>
      </c>
      <c r="BD344" s="356" t="str">
        <f>IF(OR(AI343="",AJ344=""),"",SUMIFS(ResultsTeams[Goal-B],ResultsTeams[Stage],"Groups",ResultsTeams[Team A],AJ344)+SUMIFS(ResultsTeams[Goal-A],ResultsTeams[Stage],"Groups",ResultsTeams[Team B],AJ344))</f>
        <v/>
      </c>
      <c r="BE344" s="357" t="str">
        <f>IF(OR(AI341="",AJ344=""),"",BC344-BD344)</f>
        <v/>
      </c>
      <c r="BF344" s="470" t="str">
        <f>IF(AM344="","",OR(VLOOKUP(AM344,AN342:BE348,3,FALSE),VLOOKUP(AM344,AN342:BE348,6,FALSE)))</f>
        <v/>
      </c>
      <c r="BG344" s="298" t="str">
        <f t="shared" si="295"/>
        <v/>
      </c>
      <c r="BH344" s="285" t="str">
        <f>IF(AM344="","",INDEX(AJ342:AJ348,MATCH(AM344,AN342:AN348,0)))</f>
        <v/>
      </c>
      <c r="BI344" s="286" t="str">
        <f>IF(AM344="","",VLOOKUP(AM344,AN342:BE348,COLUMN()-COLUMN(BB341),FALSE))</f>
        <v/>
      </c>
      <c r="BJ344" s="286" t="str">
        <f>IF(AM344="","",VLOOKUP(AM344,AN342:BE348,COLUMN()-COLUMN(BB341),FALSE))</f>
        <v/>
      </c>
      <c r="BK344" s="286" t="str">
        <f>IF(AM344="","",VLOOKUP(AM344,AN342:BE348,COLUMN()-COLUMN(BB341),FALSE))</f>
        <v/>
      </c>
      <c r="BL344" s="286" t="str">
        <f>IF(AM344="","",VLOOKUP(AM344,AN342:BE348,COLUMN()-COLUMN(BB341),FALSE))</f>
        <v/>
      </c>
      <c r="BM344" s="286" t="str">
        <f>IF(AM344="","",VLOOKUP(AM344,AN342:BE348,COLUMN()-COLUMN(BB341),FALSE))</f>
        <v/>
      </c>
      <c r="BN344" s="349" t="str">
        <f>IF(AM344="","",VLOOKUP(AM344,AN342:BE348,COLUMN()-COLUMN(BB341),FALSE))</f>
        <v/>
      </c>
      <c r="BO344" s="298" t="str">
        <f>IF(AM344="","",VLOOKUP(AM344,AN342:BE348,COLUMN()-COLUMN(BB341),FALSE))</f>
        <v/>
      </c>
      <c r="BP344" s="286" t="str">
        <f>IF(AM344="","",VLOOKUP(AM344,AN342:BE348,COLUMN()-COLUMN(BB341),FALSE))</f>
        <v/>
      </c>
      <c r="BQ344" s="301" t="str">
        <f>IF(AM344="","",VLOOKUP(AM344,AN342:BE348,COLUMN()-COLUMN(BB341),FALSE))</f>
        <v/>
      </c>
      <c r="BR344" s="352" t="str">
        <f>IF(AM344="","",VLOOKUP(AM344,AN342:BE348,COLUMN()-COLUMN(BB341),FALSE))</f>
        <v/>
      </c>
      <c r="BS344" s="286" t="str">
        <f>IF(AM344="","",VLOOKUP(AM344,AN342:BE348,COLUMN()-COLUMN(BB341),FALSE))</f>
        <v/>
      </c>
      <c r="BT344" s="301" t="str">
        <f>IF(AM344="","",VLOOKUP(AM344,AN342:BE348,COLUMN()-COLUMN(BB341),FALSE))</f>
        <v/>
      </c>
    </row>
    <row r="345" spans="1:72" x14ac:dyDescent="0.2">
      <c r="A345" s="62"/>
      <c r="B345" s="280"/>
      <c r="C345" s="62"/>
      <c r="D345" s="62"/>
      <c r="E345" s="241" t="s">
        <v>12240</v>
      </c>
      <c r="F345" s="246" t="s">
        <v>8174</v>
      </c>
      <c r="G345" s="246" t="s">
        <v>13246</v>
      </c>
      <c r="H345" s="254">
        <v>6</v>
      </c>
      <c r="I345" s="254">
        <v>1</v>
      </c>
      <c r="J345" s="254"/>
      <c r="K345" s="363"/>
      <c r="L345" s="363"/>
      <c r="M345" s="247"/>
      <c r="N345" s="265" t="b">
        <f>NOT(ISERROR(ResultsTeams[[#This Row],[Goal-A]]+ResultsTeams[[#This Row],[Goal-B]]))</f>
        <v>1</v>
      </c>
      <c r="O345" s="265">
        <f>IF(ResultsTeams[[#This Row],[Type]]="G",SUM(O346:O349),IF(LEFT(ResultsTeams[[#This Row],[Type]],1)="P",IF(ResultsTeams[[#This Row],[Goal-A]]&gt;ResultsTeams[[#This Row],[Goal-B]],1,0),""))</f>
        <v>1</v>
      </c>
      <c r="P345" s="265">
        <f>IF(ResultsTeams[[#This Row],[Type]]="G",SUM(P346:P349),IF(LEFT(ResultsTeams[[#This Row],[Type]],1)="P",IF(ResultsTeams[[#This Row],[Goal-A]]&lt;ResultsTeams[[#This Row],[Goal-B]],1,0),""))</f>
        <v>0</v>
      </c>
      <c r="Q345" s="265">
        <f>IF(ResultsTeams[[#This Row],[Type]]="G",SUM(Q346:Q349),IF(LEFT(ResultsTeams[[#This Row],[Type]],1)="P",VALUE(ResultsTeams[[#This Row],[Score-A]]),""))</f>
        <v>6</v>
      </c>
      <c r="R345" s="265">
        <f>IF(ResultsTeams[[#This Row],[Type]]="G",SUM(R346:R349),IF(LEFT(ResultsTeams[[#This Row],[Type]],1)="P",VALUE(ResultsTeams[[#This Row],[Score-B]]),""))</f>
        <v>1</v>
      </c>
      <c r="S345" s="265" t="str">
        <f ca="1">IF(AND(ResultsTeams[[#This Row],[Category]]&lt;&gt;"",ResultsTeams[[#This Row],[Team A]]&lt;&gt;""),COUNTIF(INDIRECT("TeamsList[Club Name]"),ResultsTeams[[#This Row],[Team A]]),"")</f>
        <v/>
      </c>
      <c r="T345" s="265" t="str">
        <f ca="1">IF(AND(ResultsTeams[[#This Row],[Category]]&lt;&gt;"",ResultsTeams[[#This Row],[Team B]]&lt;&gt;""),COUNTIF(INDIRECT("TeamsList[Club Name]"),ResultsTeams[[#This Row],[Team B]]),"")</f>
        <v/>
      </c>
      <c r="U3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Wouters</v>
      </c>
      <c r="V345" s="265" t="str">
        <f>IF(ResultsTeams[[#This Row],[Score_OK]],IF(ResultsTeams[[#This Row],[StageCpy]]="Groups",ResultsTeams[[#This Row],[Category]]&amp;"-"&amp;IF(ResultsTeams[[#This Row],[Team B]]="","",IF(ResultsTeams[[#This Row],[Match-A]]=ResultsTeams[[#This Row],[Match-B]],ResultsTeams[[#This Row],[Team A]],"")),""),"")</f>
        <v>-</v>
      </c>
      <c r="W345" s="265" t="str">
        <f>IF(ResultsTeams[[#This Row],[Score_OK]],IF(ResultsTeams[[#This Row],[StageCpy]]="Groups",ResultsTeams[[#This Row],[Category]]&amp;"-"&amp;IF(ResultsTeams[[#This Row],[Team B]]="","",IF(ResultsTeams[[#This Row],[Match-A]]=ResultsTeams[[#This Row],[Match-B]],ResultsTeams[[#This Row],[Team B]],"")),""),"")</f>
        <v>-</v>
      </c>
      <c r="X3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-Kyle Jamieson</v>
      </c>
      <c r="Y3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5" s="264" t="str">
        <f>IF(ResultsTeams[[#This Row],[Category]]="","",VLOOKUP(ResultsTeams[[#This Row],[Stage]],$R$1:$T$8,MATCH(ResultsTeams[[#This Row],[Category]],$S$1:$T$1,0)+1,FALSE))</f>
        <v/>
      </c>
      <c r="AC3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5" s="264" t="str">
        <f>IF(ResultsTeams[[#This Row],[Type]]="G",ResultsTeams[[#This Row],[Stage]],AD344)</f>
        <v>Groups</v>
      </c>
      <c r="AE345" s="395" t="str">
        <f>IF(ResultsTeams[[#This Row],[Type]]="G",INDEX(TeamsList[Club Name],MATCH(ResultsTeams[[#This Row],[Team A]],TeamsList[Team Name],0)),AE344)</f>
        <v>SC Flanders</v>
      </c>
      <c r="AF345" s="395" t="str">
        <f>IF(ResultsTeams[[#This Row],[Type]]="G",INDEX(TeamsList[Club Name],MATCH(ResultsTeams[[#This Row],[Team B]],TeamsList[Team Name],0)),AF344)</f>
        <v>Kent Invicta TFC</v>
      </c>
      <c r="AG345" s="265"/>
      <c r="AH345" s="91"/>
      <c r="AI345" s="12">
        <f t="shared" si="297"/>
        <v>0</v>
      </c>
      <c r="AJ345" s="309"/>
      <c r="AK345" s="310"/>
      <c r="AL345" s="311"/>
      <c r="AM345" s="292" t="str">
        <f>IF(AV345="","",SMALL(AN342:AN348,ROWS(AM342:AM345)))</f>
        <v/>
      </c>
      <c r="AN345" s="293" t="str">
        <f>IF(AV345="","",RANK(AR345,AR342:AR348)*1000+ROWS(AN342:AN345))</f>
        <v/>
      </c>
      <c r="AO345" s="316" t="str">
        <f t="shared" si="290"/>
        <v/>
      </c>
      <c r="AP345" s="415" t="b">
        <f>AND(AU345&lt;&gt;"",AU345&gt;0,COUNTIF(AO342:AO348,AO345)&gt;1)</f>
        <v>0</v>
      </c>
      <c r="AQ345" s="316" t="str">
        <f t="shared" si="291"/>
        <v/>
      </c>
      <c r="AR345" s="317" t="str">
        <f t="shared" si="292"/>
        <v/>
      </c>
      <c r="AS345" s="415" t="b">
        <f>AND(AU345&lt;&gt;"",AU345&gt;0,COUNTIF(AR342:AR348,AR345)&gt;1)</f>
        <v>0</v>
      </c>
      <c r="AT345" s="355" t="str">
        <f t="shared" si="293"/>
        <v/>
      </c>
      <c r="AU345" s="356" t="str">
        <f t="shared" si="294"/>
        <v/>
      </c>
      <c r="AV345" s="356" t="str">
        <f>IF(OR(AI341="",AJ345=""),"",COUNTIF(ResultsTeams[Win],AI341&amp;"-"&amp;AJ345))</f>
        <v/>
      </c>
      <c r="AW345" s="356" t="str">
        <f>IF(OR(AI341="",AJ345=""),"",COUNTIF(ResultsTeams[[Draw1]:[Draw2]],AI341&amp;"-"&amp;AJ345))</f>
        <v/>
      </c>
      <c r="AX345" s="356" t="str">
        <f>IF(OR(AI341="",AJ345=""),"",COUNTIF(ResultsTeams[Lose],AI341&amp;"-"&amp;AJ345))</f>
        <v/>
      </c>
      <c r="AY345" s="356" t="str">
        <f>IF(OR(AI341="",AJ345=""),"",AV345-AX345)</f>
        <v/>
      </c>
      <c r="AZ345" s="356" t="str">
        <f>IF(OR(AI344="",AJ345=""),"",SUMIFS(ResultsTeams[Match-A],ResultsTeams[Stage],"Groups",ResultsTeams[Team A],AJ345)+SUMIFS(ResultsTeams[Match-B],ResultsTeams[Stage],"Groups",ResultsTeams[Team B],AJ345))</f>
        <v/>
      </c>
      <c r="BA345" s="356" t="str">
        <f>IF(OR(AI344="",AJ345=""),"",SUMIFS(ResultsTeams[Match-B],ResultsTeams[Stage],"Groups",ResultsTeams[Team A],AJ345)+SUMIFS(ResultsTeams[Match-A],ResultsTeams[Stage],"Groups",ResultsTeams[Team B],AJ345))</f>
        <v/>
      </c>
      <c r="BB345" s="356" t="str">
        <f t="shared" si="296"/>
        <v/>
      </c>
      <c r="BC345" s="356" t="str">
        <f>IF(OR(AI344="",AJ345=""),"",SUMIFS(ResultsTeams[Goal-A],ResultsTeams[Stage],"Groups",ResultsTeams[Team A],AJ345)+SUMIFS(ResultsTeams[Goal-B],ResultsTeams[Stage],"Groups",ResultsTeams[Team B],AJ345))</f>
        <v/>
      </c>
      <c r="BD345" s="356" t="str">
        <f>IF(OR(AI344="",AJ345=""),"",SUMIFS(ResultsTeams[Goal-B],ResultsTeams[Stage],"Groups",ResultsTeams[Team A],AJ345)+SUMIFS(ResultsTeams[Goal-A],ResultsTeams[Stage],"Groups",ResultsTeams[Team B],AJ345))</f>
        <v/>
      </c>
      <c r="BE345" s="357" t="str">
        <f>IF(OR(AI341="",AJ345=""),"",BC345-BD345)</f>
        <v/>
      </c>
      <c r="BF345" s="470" t="str">
        <f>IF(AM345="","",OR(VLOOKUP(AM345,AN342:BE348,3,FALSE),VLOOKUP(AM345,AN342:BE348,6,FALSE)))</f>
        <v/>
      </c>
      <c r="BG345" s="298" t="str">
        <f t="shared" si="295"/>
        <v/>
      </c>
      <c r="BH345" s="285" t="str">
        <f>IF(AM345="","",INDEX(AJ342:AJ348,MATCH(AM345,AN342:AN348,0)))</f>
        <v/>
      </c>
      <c r="BI345" s="286" t="str">
        <f>IF(AM345="","",VLOOKUP(AM345,AN342:BE348,COLUMN()-COLUMN(BB341),FALSE))</f>
        <v/>
      </c>
      <c r="BJ345" s="286" t="str">
        <f>IF(AM345="","",VLOOKUP(AM345,AN342:BE348,COLUMN()-COLUMN(BB341),FALSE))</f>
        <v/>
      </c>
      <c r="BK345" s="286" t="str">
        <f>IF(AM345="","",VLOOKUP(AM345,AN342:BE348,COLUMN()-COLUMN(BB341),FALSE))</f>
        <v/>
      </c>
      <c r="BL345" s="286" t="str">
        <f>IF(AM345="","",VLOOKUP(AM345,AN342:BE348,COLUMN()-COLUMN(BB341),FALSE))</f>
        <v/>
      </c>
      <c r="BM345" s="286" t="str">
        <f>IF(AM345="","",VLOOKUP(AM345,AN342:BE348,COLUMN()-COLUMN(BB341),FALSE))</f>
        <v/>
      </c>
      <c r="BN345" s="349" t="str">
        <f>IF(AM345="","",VLOOKUP(AM345,AN342:BE348,COLUMN()-COLUMN(BB341),FALSE))</f>
        <v/>
      </c>
      <c r="BO345" s="298" t="str">
        <f>IF(AM345="","",VLOOKUP(AM345,AN342:BE348,COLUMN()-COLUMN(BB341),FALSE))</f>
        <v/>
      </c>
      <c r="BP345" s="286" t="str">
        <f>IF(AM345="","",VLOOKUP(AM345,AN342:BE348,COLUMN()-COLUMN(BB341),FALSE))</f>
        <v/>
      </c>
      <c r="BQ345" s="301" t="str">
        <f>IF(AM345="","",VLOOKUP(AM345,AN342:BE348,COLUMN()-COLUMN(BB341),FALSE))</f>
        <v/>
      </c>
      <c r="BR345" s="352" t="str">
        <f>IF(AM345="","",VLOOKUP(AM345,AN342:BE348,COLUMN()-COLUMN(BB341),FALSE))</f>
        <v/>
      </c>
      <c r="BS345" s="286" t="str">
        <f>IF(AM345="","",VLOOKUP(AM345,AN342:BE348,COLUMN()-COLUMN(BB341),FALSE))</f>
        <v/>
      </c>
      <c r="BT345" s="301" t="str">
        <f>IF(AM345="","",VLOOKUP(AM345,AN342:BE348,COLUMN()-COLUMN(BB341),FALSE))</f>
        <v/>
      </c>
    </row>
    <row r="346" spans="1:72" x14ac:dyDescent="0.2">
      <c r="A346" s="62"/>
      <c r="B346" s="62"/>
      <c r="C346" s="62"/>
      <c r="D346" s="62"/>
      <c r="E346" s="241" t="s">
        <v>12243</v>
      </c>
      <c r="F346" s="247"/>
      <c r="G346" s="247"/>
      <c r="H346" s="254"/>
      <c r="I346" s="254"/>
      <c r="J346" s="260"/>
      <c r="K346" s="364"/>
      <c r="L346" s="364"/>
      <c r="M346" s="247"/>
      <c r="N346" s="265" t="b">
        <f>NOT(ISERROR(ResultsTeams[[#This Row],[Goal-A]]+ResultsTeams[[#This Row],[Goal-B]]))</f>
        <v>0</v>
      </c>
      <c r="O346" s="265" t="str">
        <f>IF(ResultsTeams[[#This Row],[Type]]="G",SUM(O347:O350),IF(LEFT(ResultsTeams[[#This Row],[Type]],1)="P",IF(ResultsTeams[[#This Row],[Goal-A]]&gt;ResultsTeams[[#This Row],[Goal-B]],1,0),""))</f>
        <v/>
      </c>
      <c r="P346" s="265" t="str">
        <f>IF(ResultsTeams[[#This Row],[Type]]="G",SUM(P347:P350),IF(LEFT(ResultsTeams[[#This Row],[Type]],1)="P",IF(ResultsTeams[[#This Row],[Goal-A]]&lt;ResultsTeams[[#This Row],[Goal-B]],1,0),""))</f>
        <v/>
      </c>
      <c r="Q346" s="265" t="str">
        <f>IF(ResultsTeams[[#This Row],[Type]]="G",SUM(Q347:Q350),IF(LEFT(ResultsTeams[[#This Row],[Type]],1)="P",VALUE(ResultsTeams[[#This Row],[Score-A]]),""))</f>
        <v/>
      </c>
      <c r="R346" s="265" t="str">
        <f>IF(ResultsTeams[[#This Row],[Type]]="G",SUM(R347:R350),IF(LEFT(ResultsTeams[[#This Row],[Type]],1)="P",VALUE(ResultsTeams[[#This Row],[Score-B]]),""))</f>
        <v/>
      </c>
      <c r="S346" s="265" t="str">
        <f ca="1">IF(AND(ResultsTeams[[#This Row],[Category]]&lt;&gt;"",ResultsTeams[[#This Row],[Team A]]&lt;&gt;""),COUNTIF(INDIRECT("TeamsList[Club Name]"),ResultsTeams[[#This Row],[Team A]]),"")</f>
        <v/>
      </c>
      <c r="T346" s="265" t="str">
        <f ca="1">IF(AND(ResultsTeams[[#This Row],[Category]]&lt;&gt;"",ResultsTeams[[#This Row],[Team B]]&lt;&gt;""),COUNTIF(INDIRECT("TeamsList[Club Name]"),ResultsTeams[[#This Row],[Team B]]),"")</f>
        <v/>
      </c>
      <c r="U3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6" s="265" t="str">
        <f>IF(ResultsTeams[[#This Row],[Score_OK]],IF(ResultsTeams[[#This Row],[StageCpy]]="Groups",ResultsTeams[[#This Row],[Category]]&amp;"-"&amp;IF(ResultsTeams[[#This Row],[Team B]]="","",IF(ResultsTeams[[#This Row],[Match-A]]=ResultsTeams[[#This Row],[Match-B]],ResultsTeams[[#This Row],[Team A]],"")),""),"")</f>
        <v/>
      </c>
      <c r="W346" s="265" t="str">
        <f>IF(ResultsTeams[[#This Row],[Score_OK]],IF(ResultsTeams[[#This Row],[StageCpy]]="Groups",ResultsTeams[[#This Row],[Category]]&amp;"-"&amp;IF(ResultsTeams[[#This Row],[Team B]]="","",IF(ResultsTeams[[#This Row],[Match-A]]=ResultsTeams[[#This Row],[Match-B]],ResultsTeams[[#This Row],[Team B]],"")),""),"")</f>
        <v/>
      </c>
      <c r="X3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6" s="264" t="str">
        <f>IF(ResultsTeams[[#This Row],[Category]]="","",VLOOKUP(ResultsTeams[[#This Row],[Stage]],$R$1:$T$8,MATCH(ResultsTeams[[#This Row],[Category]],$S$1:$T$1,0)+1,FALSE))</f>
        <v/>
      </c>
      <c r="AC3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6" s="264" t="str">
        <f>IF(ResultsTeams[[#This Row],[Type]]="G",ResultsTeams[[#This Row],[Stage]],AD345)</f>
        <v>Groups</v>
      </c>
      <c r="AE346" s="395" t="str">
        <f>IF(ResultsTeams[[#This Row],[Type]]="G",INDEX(TeamsList[Club Name],MATCH(ResultsTeams[[#This Row],[Team A]],TeamsList[Team Name],0)),AE345)</f>
        <v>SC Flanders</v>
      </c>
      <c r="AF346" s="395" t="str">
        <f>IF(ResultsTeams[[#This Row],[Type]]="G",INDEX(TeamsList[Club Name],MATCH(ResultsTeams[[#This Row],[Team B]],TeamsList[Team Name],0)),AF345)</f>
        <v>Kent Invicta TFC</v>
      </c>
      <c r="AG346" s="265"/>
      <c r="AH346" s="91"/>
      <c r="AI346" s="12">
        <f t="shared" si="297"/>
        <v>0</v>
      </c>
      <c r="AJ346" s="309"/>
      <c r="AK346" s="310"/>
      <c r="AL346" s="311"/>
      <c r="AM346" s="292" t="str">
        <f>IF(AV346="","",SMALL(AN342:AN348,ROWS(AM342:AM346)))</f>
        <v/>
      </c>
      <c r="AN346" s="293" t="str">
        <f>IF(AV346="","",RANK(AR346,AR342:AR348)*1000+ROWS(AN342:AN346))</f>
        <v/>
      </c>
      <c r="AO346" s="316" t="str">
        <f t="shared" si="290"/>
        <v/>
      </c>
      <c r="AP346" s="415" t="b">
        <f>AND(AU346&lt;&gt;"",AU346&gt;0,COUNTIF(AO342:AO348,AO346)&gt;1)</f>
        <v>0</v>
      </c>
      <c r="AQ346" s="316" t="str">
        <f t="shared" si="291"/>
        <v/>
      </c>
      <c r="AR346" s="317" t="str">
        <f t="shared" si="292"/>
        <v/>
      </c>
      <c r="AS346" s="415" t="b">
        <f>AND(AU346&lt;&gt;"",AU346&gt;0,COUNTIF(AR342:AR348,AR346)&gt;1)</f>
        <v>0</v>
      </c>
      <c r="AT346" s="355" t="str">
        <f t="shared" si="293"/>
        <v/>
      </c>
      <c r="AU346" s="356" t="str">
        <f t="shared" si="294"/>
        <v/>
      </c>
      <c r="AV346" s="356" t="str">
        <f>IF(OR(AI341="",AJ346=""),"",COUNTIF(ResultsTeams[Win],AI341&amp;"-"&amp;AJ346))</f>
        <v/>
      </c>
      <c r="AW346" s="356" t="str">
        <f>IF(OR(AI341="",AJ346=""),"",COUNTIF(ResultsTeams[[Draw1]:[Draw2]],AI341&amp;"-"&amp;AJ346))</f>
        <v/>
      </c>
      <c r="AX346" s="356" t="str">
        <f>IF(OR(AI341="",AJ346=""),"",COUNTIF(ResultsTeams[Lose],AI341&amp;"-"&amp;AJ346))</f>
        <v/>
      </c>
      <c r="AY346" s="356" t="str">
        <f>IF(OR(AI341="",AJ346=""),"",AV346-AX346)</f>
        <v/>
      </c>
      <c r="AZ346" s="356" t="str">
        <f>IF(OR(AI345="",AJ346=""),"",SUMIFS(ResultsTeams[Match-A],ResultsTeams[Stage],"Groups",ResultsTeams[Team A],AJ346)+SUMIFS(ResultsTeams[Match-B],ResultsTeams[Stage],"Groups",ResultsTeams[Team B],AJ346))</f>
        <v/>
      </c>
      <c r="BA346" s="356" t="str">
        <f>IF(OR(AI345="",AJ346=""),"",SUMIFS(ResultsTeams[Match-B],ResultsTeams[Stage],"Groups",ResultsTeams[Team A],AJ346)+SUMIFS(ResultsTeams[Match-A],ResultsTeams[Stage],"Groups",ResultsTeams[Team B],AJ346))</f>
        <v/>
      </c>
      <c r="BB346" s="356" t="str">
        <f t="shared" si="296"/>
        <v/>
      </c>
      <c r="BC346" s="356" t="str">
        <f>IF(OR(AI345="",AJ346=""),"",SUMIFS(ResultsTeams[Goal-A],ResultsTeams[Stage],"Groups",ResultsTeams[Team A],AJ346)+SUMIFS(ResultsTeams[Goal-B],ResultsTeams[Stage],"Groups",ResultsTeams[Team B],AJ346))</f>
        <v/>
      </c>
      <c r="BD346" s="356" t="str">
        <f>IF(OR(AI345="",AJ346=""),"",SUMIFS(ResultsTeams[Goal-B],ResultsTeams[Stage],"Groups",ResultsTeams[Team A],AJ346)+SUMIFS(ResultsTeams[Goal-A],ResultsTeams[Stage],"Groups",ResultsTeams[Team B],AJ346))</f>
        <v/>
      </c>
      <c r="BE346" s="357" t="str">
        <f>IF(OR(AI341="",AJ346=""),"",BC346-BD346)</f>
        <v/>
      </c>
      <c r="BF346" s="470" t="str">
        <f>IF(AM346="","",OR(VLOOKUP(AM346,AN342:BE348,3,FALSE),VLOOKUP(AM346,AN342:BE348,6,FALSE)))</f>
        <v/>
      </c>
      <c r="BG346" s="298" t="str">
        <f t="shared" si="295"/>
        <v/>
      </c>
      <c r="BH346" s="285" t="str">
        <f>IF(AM346="","",INDEX(AJ342:AJ348,MATCH(AM346,AN342:AN348,0)))</f>
        <v/>
      </c>
      <c r="BI346" s="286" t="str">
        <f>IF(AM346="","",VLOOKUP(AM346,AN342:BE348,COLUMN()-COLUMN(BB341),FALSE))</f>
        <v/>
      </c>
      <c r="BJ346" s="286" t="str">
        <f>IF(AM346="","",VLOOKUP(AM346,AN342:BE348,COLUMN()-COLUMN(BB341),FALSE))</f>
        <v/>
      </c>
      <c r="BK346" s="286" t="str">
        <f>IF(AM346="","",VLOOKUP(AM346,AN342:BE348,COLUMN()-COLUMN(BB341),FALSE))</f>
        <v/>
      </c>
      <c r="BL346" s="286" t="str">
        <f>IF(AM346="","",VLOOKUP(AM346,AN342:BE348,COLUMN()-COLUMN(BB341),FALSE))</f>
        <v/>
      </c>
      <c r="BM346" s="286" t="str">
        <f>IF(AM346="","",VLOOKUP(AM346,AN342:BE348,COLUMN()-COLUMN(BB341),FALSE))</f>
        <v/>
      </c>
      <c r="BN346" s="349" t="str">
        <f>IF(AM346="","",VLOOKUP(AM346,AN342:BE348,COLUMN()-COLUMN(BB341),FALSE))</f>
        <v/>
      </c>
      <c r="BO346" s="298" t="str">
        <f>IF(AM346="","",VLOOKUP(AM346,AN342:BE348,COLUMN()-COLUMN(BB341),FALSE))</f>
        <v/>
      </c>
      <c r="BP346" s="286" t="str">
        <f>IF(AM346="","",VLOOKUP(AM346,AN342:BE348,COLUMN()-COLUMN(BB341),FALSE))</f>
        <v/>
      </c>
      <c r="BQ346" s="301" t="str">
        <f>IF(AM346="","",VLOOKUP(AM346,AN342:BE348,COLUMN()-COLUMN(BB341),FALSE))</f>
        <v/>
      </c>
      <c r="BR346" s="352" t="str">
        <f>IF(AM346="","",VLOOKUP(AM346,AN342:BE348,COLUMN()-COLUMN(BB341),FALSE))</f>
        <v/>
      </c>
      <c r="BS346" s="286" t="str">
        <f>IF(AM346="","",VLOOKUP(AM346,AN342:BE348,COLUMN()-COLUMN(BB341),FALSE))</f>
        <v/>
      </c>
      <c r="BT346" s="301" t="str">
        <f>IF(AM346="","",VLOOKUP(AM346,AN342:BE348,COLUMN()-COLUMN(BB341),FALSE))</f>
        <v/>
      </c>
    </row>
    <row r="347" spans="1:72" ht="12" thickBot="1" x14ac:dyDescent="0.25">
      <c r="A347" s="83"/>
      <c r="B347" s="83"/>
      <c r="C347" s="83"/>
      <c r="D347" s="83"/>
      <c r="E347" s="268" t="s">
        <v>12244</v>
      </c>
      <c r="F347" s="262"/>
      <c r="G347" s="262"/>
      <c r="H347" s="324"/>
      <c r="I347" s="324"/>
      <c r="J347" s="263"/>
      <c r="K347" s="365"/>
      <c r="L347" s="365"/>
      <c r="M347" s="262"/>
      <c r="N347" s="265" t="b">
        <f>NOT(ISERROR(ResultsTeams[[#This Row],[Goal-A]]+ResultsTeams[[#This Row],[Goal-B]]))</f>
        <v>0</v>
      </c>
      <c r="O347" s="265" t="str">
        <f>IF(ResultsTeams[[#This Row],[Type]]="G",SUM(O348:O351),IF(LEFT(ResultsTeams[[#This Row],[Type]],1)="P",IF(ResultsTeams[[#This Row],[Goal-A]]&gt;ResultsTeams[[#This Row],[Goal-B]],1,0),""))</f>
        <v/>
      </c>
      <c r="P347" s="265" t="str">
        <f>IF(ResultsTeams[[#This Row],[Type]]="G",SUM(P348:P351),IF(LEFT(ResultsTeams[[#This Row],[Type]],1)="P",IF(ResultsTeams[[#This Row],[Goal-A]]&lt;ResultsTeams[[#This Row],[Goal-B]],1,0),""))</f>
        <v/>
      </c>
      <c r="Q347" s="265" t="str">
        <f>IF(ResultsTeams[[#This Row],[Type]]="G",SUM(Q348:Q351),IF(LEFT(ResultsTeams[[#This Row],[Type]],1)="P",VALUE(ResultsTeams[[#This Row],[Score-A]]),""))</f>
        <v/>
      </c>
      <c r="R347" s="265" t="str">
        <f>IF(ResultsTeams[[#This Row],[Type]]="G",SUM(R348:R351),IF(LEFT(ResultsTeams[[#This Row],[Type]],1)="P",VALUE(ResultsTeams[[#This Row],[Score-B]]),""))</f>
        <v/>
      </c>
      <c r="S347" s="265" t="str">
        <f ca="1">IF(AND(ResultsTeams[[#This Row],[Category]]&lt;&gt;"",ResultsTeams[[#This Row],[Team A]]&lt;&gt;""),COUNTIF(INDIRECT("TeamsList[Club Name]"),ResultsTeams[[#This Row],[Team A]]),"")</f>
        <v/>
      </c>
      <c r="T347" s="265" t="str">
        <f ca="1">IF(AND(ResultsTeams[[#This Row],[Category]]&lt;&gt;"",ResultsTeams[[#This Row],[Team B]]&lt;&gt;""),COUNTIF(INDIRECT("TeamsList[Club Name]"),ResultsTeams[[#This Row],[Team B]]),"")</f>
        <v/>
      </c>
      <c r="U3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7" s="265" t="str">
        <f>IF(ResultsTeams[[#This Row],[Score_OK]],IF(ResultsTeams[[#This Row],[StageCpy]]="Groups",ResultsTeams[[#This Row],[Category]]&amp;"-"&amp;IF(ResultsTeams[[#This Row],[Team B]]="","",IF(ResultsTeams[[#This Row],[Match-A]]=ResultsTeams[[#This Row],[Match-B]],ResultsTeams[[#This Row],[Team A]],"")),""),"")</f>
        <v/>
      </c>
      <c r="W347" s="265" t="str">
        <f>IF(ResultsTeams[[#This Row],[Score_OK]],IF(ResultsTeams[[#This Row],[StageCpy]]="Groups",ResultsTeams[[#This Row],[Category]]&amp;"-"&amp;IF(ResultsTeams[[#This Row],[Team B]]="","",IF(ResultsTeams[[#This Row],[Match-A]]=ResultsTeams[[#This Row],[Match-B]],ResultsTeams[[#This Row],[Team B]],"")),""),"")</f>
        <v/>
      </c>
      <c r="X3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7" s="264" t="str">
        <f>IF(ResultsTeams[[#This Row],[Category]]="","",VLOOKUP(ResultsTeams[[#This Row],[Stage]],$R$1:$T$8,MATCH(ResultsTeams[[#This Row],[Category]],$S$1:$T$1,0)+1,FALSE))</f>
        <v/>
      </c>
      <c r="AC3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7" s="264" t="str">
        <f>IF(ResultsTeams[[#This Row],[Type]]="G",ResultsTeams[[#This Row],[Stage]],AD346)</f>
        <v>Groups</v>
      </c>
      <c r="AE347" s="395" t="str">
        <f>IF(ResultsTeams[[#This Row],[Type]]="G",INDEX(TeamsList[Club Name],MATCH(ResultsTeams[[#This Row],[Team A]],TeamsList[Team Name],0)),AE346)</f>
        <v>SC Flanders</v>
      </c>
      <c r="AF347" s="395" t="str">
        <f>IF(ResultsTeams[[#This Row],[Type]]="G",INDEX(TeamsList[Club Name],MATCH(ResultsTeams[[#This Row],[Team B]],TeamsList[Team Name],0)),AF346)</f>
        <v>Kent Invicta TFC</v>
      </c>
      <c r="AG347" s="265"/>
      <c r="AI347" s="12">
        <f t="shared" si="297"/>
        <v>0</v>
      </c>
      <c r="AJ347" s="309"/>
      <c r="AK347" s="310"/>
      <c r="AL347" s="311"/>
      <c r="AM347" s="292" t="str">
        <f>IF(AV347="","",SMALL(AN342:AN348,ROWS(AM342:AM347)))</f>
        <v/>
      </c>
      <c r="AN347" s="293" t="str">
        <f>IF(AV347="","",RANK(AR347,AR342:AR348)*1000+ROWS(AN342:AN347))</f>
        <v/>
      </c>
      <c r="AO347" s="316" t="str">
        <f t="shared" si="290"/>
        <v/>
      </c>
      <c r="AP347" s="415" t="b">
        <f>AND(AU347&lt;&gt;"",AU347&gt;0,COUNTIF(AO342:AO348,AO347)&gt;1)</f>
        <v>0</v>
      </c>
      <c r="AQ347" s="316" t="str">
        <f t="shared" si="291"/>
        <v/>
      </c>
      <c r="AR347" s="317" t="str">
        <f t="shared" si="292"/>
        <v/>
      </c>
      <c r="AS347" s="415" t="b">
        <f>AND(AU347&lt;&gt;"",AU347&gt;0,COUNTIF(AR342:AR348,AR347)&gt;1)</f>
        <v>0</v>
      </c>
      <c r="AT347" s="355" t="str">
        <f t="shared" si="293"/>
        <v/>
      </c>
      <c r="AU347" s="356" t="str">
        <f t="shared" si="294"/>
        <v/>
      </c>
      <c r="AV347" s="356" t="str">
        <f>IF(OR(AI341="",AJ347=""),"",COUNTIF(ResultsTeams[Win],AI341&amp;"-"&amp;AJ347))</f>
        <v/>
      </c>
      <c r="AW347" s="356" t="str">
        <f>IF(OR(AI341="",AJ347=""),"",COUNTIF(ResultsTeams[[Draw1]:[Draw2]],AI341&amp;"-"&amp;AJ347))</f>
        <v/>
      </c>
      <c r="AX347" s="356" t="str">
        <f>IF(OR(AI341="",AJ347=""),"",COUNTIF(ResultsTeams[Lose],AI341&amp;"-"&amp;AJ347))</f>
        <v/>
      </c>
      <c r="AY347" s="356" t="str">
        <f>IF(OR(AI341="",AJ347=""),"",AV347-AX347)</f>
        <v/>
      </c>
      <c r="AZ347" s="356" t="str">
        <f>IF(OR(AI346="",AJ347=""),"",SUMIFS(ResultsTeams[Match-A],ResultsTeams[Stage],"Groups",ResultsTeams[Team A],AJ347)+SUMIFS(ResultsTeams[Match-B],ResultsTeams[Stage],"Groups",ResultsTeams[Team B],AJ347))</f>
        <v/>
      </c>
      <c r="BA347" s="356" t="str">
        <f>IF(OR(AI346="",AJ347=""),"",SUMIFS(ResultsTeams[Match-B],ResultsTeams[Stage],"Groups",ResultsTeams[Team A],AJ347)+SUMIFS(ResultsTeams[Match-A],ResultsTeams[Stage],"Groups",ResultsTeams[Team B],AJ347))</f>
        <v/>
      </c>
      <c r="BB347" s="356" t="str">
        <f t="shared" si="296"/>
        <v/>
      </c>
      <c r="BC347" s="356" t="str">
        <f>IF(OR(AI346="",AJ347=""),"",SUMIFS(ResultsTeams[Goal-A],ResultsTeams[Stage],"Groups",ResultsTeams[Team A],AJ347)+SUMIFS(ResultsTeams[Goal-B],ResultsTeams[Stage],"Groups",ResultsTeams[Team B],AJ347))</f>
        <v/>
      </c>
      <c r="BD347" s="356" t="str">
        <f>IF(OR(AI346="",AJ347=""),"",SUMIFS(ResultsTeams[Goal-B],ResultsTeams[Stage],"Groups",ResultsTeams[Team A],AJ347)+SUMIFS(ResultsTeams[Goal-A],ResultsTeams[Stage],"Groups",ResultsTeams[Team B],AJ347))</f>
        <v/>
      </c>
      <c r="BE347" s="357" t="str">
        <f>IF(OR(AI341="",AJ347=""),"",BC347-BD347)</f>
        <v/>
      </c>
      <c r="BF347" s="470" t="str">
        <f>IF(AM347="","",OR(VLOOKUP(AM347,AN342:BE348,3,FALSE),VLOOKUP(AM347,AN342:BE348,6,FALSE)))</f>
        <v/>
      </c>
      <c r="BG347" s="298" t="str">
        <f t="shared" si="295"/>
        <v/>
      </c>
      <c r="BH347" s="285" t="str">
        <f>IF(AM347="","",INDEX(AJ342:AJ348,MATCH(AM347,AN342:AN348,0)))</f>
        <v/>
      </c>
      <c r="BI347" s="286" t="str">
        <f>IF(AM347="","",VLOOKUP(AM347,AN342:BE348,COLUMN()-COLUMN(BB341),FALSE))</f>
        <v/>
      </c>
      <c r="BJ347" s="286" t="str">
        <f>IF(AM347="","",VLOOKUP(AM347,AN342:BE348,COLUMN()-COLUMN(BB341),FALSE))</f>
        <v/>
      </c>
      <c r="BK347" s="286" t="str">
        <f>IF(AM347="","",VLOOKUP(AM347,AN342:BE348,COLUMN()-COLUMN(BB341),FALSE))</f>
        <v/>
      </c>
      <c r="BL347" s="286" t="str">
        <f>IF(AM347="","",VLOOKUP(AM347,AN342:BE348,COLUMN()-COLUMN(BB341),FALSE))</f>
        <v/>
      </c>
      <c r="BM347" s="286" t="str">
        <f>IF(AM347="","",VLOOKUP(AM347,AN342:BE348,COLUMN()-COLUMN(BB341),FALSE))</f>
        <v/>
      </c>
      <c r="BN347" s="349" t="str">
        <f>IF(AM347="","",VLOOKUP(AM347,AN342:BE348,COLUMN()-COLUMN(BB341),FALSE))</f>
        <v/>
      </c>
      <c r="BO347" s="298" t="str">
        <f>IF(AM347="","",VLOOKUP(AM347,AN342:BE348,COLUMN()-COLUMN(BB341),FALSE))</f>
        <v/>
      </c>
      <c r="BP347" s="286" t="str">
        <f>IF(AM347="","",VLOOKUP(AM347,AN342:BE348,COLUMN()-COLUMN(BB341),FALSE))</f>
        <v/>
      </c>
      <c r="BQ347" s="301" t="str">
        <f>IF(AM347="","",VLOOKUP(AM347,AN342:BE348,COLUMN()-COLUMN(BB341),FALSE))</f>
        <v/>
      </c>
      <c r="BR347" s="352" t="str">
        <f>IF(AM347="","",VLOOKUP(AM347,AN342:BE348,COLUMN()-COLUMN(BB341),FALSE))</f>
        <v/>
      </c>
      <c r="BS347" s="286" t="str">
        <f>IF(AM347="","",VLOOKUP(AM347,AN342:BE348,COLUMN()-COLUMN(BB341),FALSE))</f>
        <v/>
      </c>
      <c r="BT347" s="301" t="str">
        <f>IF(AM347="","",VLOOKUP(AM347,AN342:BE348,COLUMN()-COLUMN(BB341),FALSE))</f>
        <v/>
      </c>
    </row>
    <row r="348" spans="1:72" ht="12" thickBot="1" x14ac:dyDescent="0.25">
      <c r="A348" s="261" t="s">
        <v>12693</v>
      </c>
      <c r="B348" s="270" t="s">
        <v>12207</v>
      </c>
      <c r="C348" s="270">
        <v>8</v>
      </c>
      <c r="D348" s="270"/>
      <c r="E348" s="272" t="s">
        <v>12228</v>
      </c>
      <c r="F348" s="273" t="s">
        <v>14595</v>
      </c>
      <c r="G348" s="273" t="s">
        <v>535</v>
      </c>
      <c r="H348" s="275">
        <v>0</v>
      </c>
      <c r="I348" s="275">
        <v>4</v>
      </c>
      <c r="J348" s="275"/>
      <c r="K348" s="366"/>
      <c r="L348" s="366"/>
      <c r="M348" s="274"/>
      <c r="N348" s="265" t="b">
        <f>NOT(ISERROR(ResultsTeams[[#This Row],[Goal-A]]+ResultsTeams[[#This Row],[Goal-B]]))</f>
        <v>1</v>
      </c>
      <c r="O348" s="265">
        <f>IF(ResultsTeams[[#This Row],[Type]]="G",SUM(O349:O352),IF(LEFT(ResultsTeams[[#This Row],[Type]],1)="P",IF(ResultsTeams[[#This Row],[Goal-A]]&gt;ResultsTeams[[#This Row],[Goal-B]],1,0),""))</f>
        <v>0</v>
      </c>
      <c r="P348" s="265">
        <f>IF(ResultsTeams[[#This Row],[Type]]="G",SUM(P349:P352),IF(LEFT(ResultsTeams[[#This Row],[Type]],1)="P",IF(ResultsTeams[[#This Row],[Goal-A]]&lt;ResultsTeams[[#This Row],[Goal-B]],1,0),""))</f>
        <v>4</v>
      </c>
      <c r="Q348" s="265">
        <f>IF(ResultsTeams[[#This Row],[Type]]="G",SUM(Q349:Q352),IF(LEFT(ResultsTeams[[#This Row],[Type]],1)="P",VALUE(ResultsTeams[[#This Row],[Score-A]]),""))</f>
        <v>4</v>
      </c>
      <c r="R348" s="265">
        <f>IF(ResultsTeams[[#This Row],[Type]]="G",SUM(R349:R352),IF(LEFT(ResultsTeams[[#This Row],[Type]],1)="P",VALUE(ResultsTeams[[#This Row],[Score-B]]),""))</f>
        <v>23</v>
      </c>
      <c r="S348" s="265">
        <f ca="1">IF(AND(ResultsTeams[[#This Row],[Category]]&lt;&gt;"",ResultsTeams[[#This Row],[Team A]]&lt;&gt;""),COUNTIF(INDIRECT("TeamsList[Club Name]"),ResultsTeams[[#This Row],[Team A]]),"")</f>
        <v>0</v>
      </c>
      <c r="T348" s="265">
        <f ca="1">IF(AND(ResultsTeams[[#This Row],[Category]]&lt;&gt;"",ResultsTeams[[#This Row],[Team B]]&lt;&gt;""),COUNTIF(INDIRECT("TeamsList[Club Name]"),ResultsTeams[[#This Row],[Team B]]),"")</f>
        <v>2</v>
      </c>
      <c r="U3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Caen</v>
      </c>
      <c r="V348" s="265" t="str">
        <f>IF(ResultsTeams[[#This Row],[Score_OK]],IF(ResultsTeams[[#This Row],[StageCpy]]="Groups",ResultsTeams[[#This Row],[Category]]&amp;"-"&amp;IF(ResultsTeams[[#This Row],[Team B]]="","",IF(ResultsTeams[[#This Row],[Match-A]]=ResultsTeams[[#This Row],[Match-B]],ResultsTeams[[#This Row],[Team A]],"")),""),"")</f>
        <v>TEAM-</v>
      </c>
      <c r="W348" s="265" t="str">
        <f>IF(ResultsTeams[[#This Row],[Score_OK]],IF(ResultsTeams[[#This Row],[StageCpy]]="Groups",ResultsTeams[[#This Row],[Category]]&amp;"-"&amp;IF(ResultsTeams[[#This Row],[Team B]]="","",IF(ResultsTeams[[#This Row],[Match-A]]=ResultsTeams[[#This Row],[Match-B]],ResultsTeams[[#This Row],[Team B]],"")),""),"")</f>
        <v>TEAM-</v>
      </c>
      <c r="X3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TEAM-Kent Invicta TFC 2</v>
      </c>
      <c r="Y3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 2</v>
      </c>
      <c r="AA3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TEAM-Kent Invicta TFC 2</v>
      </c>
      <c r="AB348" s="264" t="str">
        <f>IF(ResultsTeams[[#This Row],[Category]]="","",VLOOKUP(ResultsTeams[[#This Row],[Stage]],$R$1:$T$8,MATCH(ResultsTeams[[#This Row],[Category]],$S$1:$T$1,0)+1,FALSE))</f>
        <v>PR1</v>
      </c>
      <c r="AC3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8" s="264" t="str">
        <f>IF(ResultsTeams[[#This Row],[Type]]="G",ResultsTeams[[#This Row],[Stage]],AD347)</f>
        <v>Groups</v>
      </c>
      <c r="AE348" s="395" t="str">
        <f>IF(ResultsTeams[[#This Row],[Type]]="G",INDEX(TeamsList[Club Name],MATCH(ResultsTeams[[#This Row],[Team A]],TeamsList[Team Name],0)),AE347)</f>
        <v>Kent Invicta TFC</v>
      </c>
      <c r="AF348" s="395" t="str">
        <f>IF(ResultsTeams[[#This Row],[Type]]="G",INDEX(TeamsList[Club Name],MATCH(ResultsTeams[[#This Row],[Team B]],TeamsList[Team Name],0)),AF347)</f>
        <v>FTC Caen</v>
      </c>
      <c r="AG348" s="265"/>
      <c r="AI348" s="12">
        <f t="shared" si="297"/>
        <v>0</v>
      </c>
      <c r="AJ348" s="312"/>
      <c r="AK348" s="313"/>
      <c r="AL348" s="314"/>
      <c r="AM348" s="294" t="str">
        <f>IF(AV348="","",SMALL(AN342:AN348,ROWS(AM342:AM348)))</f>
        <v/>
      </c>
      <c r="AN348" s="295" t="str">
        <f>IF(AV348="","",RANK(AR348,AR342:AR348)*1000+ROWS(AN342:AN348))</f>
        <v/>
      </c>
      <c r="AO348" s="318" t="str">
        <f t="shared" si="290"/>
        <v/>
      </c>
      <c r="AP348" s="416" t="b">
        <f>AND(AU348&lt;&gt;"",AU348&gt;0,COUNTIF(AO342:AO348,AO348)&gt;1)</f>
        <v>0</v>
      </c>
      <c r="AQ348" s="318" t="str">
        <f t="shared" si="291"/>
        <v/>
      </c>
      <c r="AR348" s="319" t="str">
        <f t="shared" si="292"/>
        <v/>
      </c>
      <c r="AS348" s="416" t="b">
        <f>AND(AU348&lt;&gt;"",AU348&gt;0,COUNTIF(AR342:AR348,AR348)&gt;1)</f>
        <v>0</v>
      </c>
      <c r="AT348" s="358" t="str">
        <f t="shared" si="293"/>
        <v/>
      </c>
      <c r="AU348" s="359" t="str">
        <f t="shared" si="294"/>
        <v/>
      </c>
      <c r="AV348" s="359" t="str">
        <f>IF(OR(AI341="",AJ348=""),"",COUNTIF(ResultsTeams[Win],AI341&amp;"-"&amp;AJ348))</f>
        <v/>
      </c>
      <c r="AW348" s="359" t="str">
        <f>IF(OR(AI341="",AJ348=""),"",COUNTIF(ResultsTeams[[Draw1]:[Draw2]],AI341&amp;"-"&amp;AJ348))</f>
        <v/>
      </c>
      <c r="AX348" s="359" t="str">
        <f>IF(OR(AI341="",AJ348=""),"",COUNTIF(ResultsTeams[Lose],AI341&amp;"-"&amp;AJ348))</f>
        <v/>
      </c>
      <c r="AY348" s="359" t="str">
        <f>IF(OR(AI341="",AJ348=""),"",AV348-AX348)</f>
        <v/>
      </c>
      <c r="AZ348" s="359" t="str">
        <f>IF(OR(AI347="",AJ348=""),"",SUMIFS(ResultsTeams[Match-A],ResultsTeams[Stage],"Groups",ResultsTeams[Team A],AJ348)+SUMIFS(ResultsTeams[Match-B],ResultsTeams[Stage],"Groups",ResultsTeams[Team B],AJ348))</f>
        <v/>
      </c>
      <c r="BA348" s="359" t="str">
        <f>IF(OR(AI347="",AJ348=""),"",SUMIFS(ResultsTeams[Match-B],ResultsTeams[Stage],"Groups",ResultsTeams[Team A],AJ348)+SUMIFS(ResultsTeams[Match-A],ResultsTeams[Stage],"Groups",ResultsTeams[Team B],AJ348))</f>
        <v/>
      </c>
      <c r="BB348" s="359" t="str">
        <f t="shared" si="296"/>
        <v/>
      </c>
      <c r="BC348" s="359" t="str">
        <f>IF(OR(AI347="",AJ348=""),"",SUMIFS(ResultsTeams[Goal-A],ResultsTeams[Stage],"Groups",ResultsTeams[Team A],AJ348)+SUMIFS(ResultsTeams[Goal-B],ResultsTeams[Stage],"Groups",ResultsTeams[Team B],AJ348))</f>
        <v/>
      </c>
      <c r="BD348" s="359" t="str">
        <f>IF(OR(AI347="",AJ348=""),"",SUMIFS(ResultsTeams[Goal-B],ResultsTeams[Stage],"Groups",ResultsTeams[Team A],AJ348)+SUMIFS(ResultsTeams[Goal-A],ResultsTeams[Stage],"Groups",ResultsTeams[Team B],AJ348))</f>
        <v/>
      </c>
      <c r="BE348" s="360" t="str">
        <f>IF(OR(AI341="",AJ348=""),"",BC348-BD348)</f>
        <v/>
      </c>
      <c r="BF348" s="470" t="str">
        <f>IF(AM348="","",OR(VLOOKUP(AM348,AN342:BE348,3,FALSE),VLOOKUP(AM348,AN342:BE348,6,FALSE)))</f>
        <v/>
      </c>
      <c r="BG348" s="299" t="str">
        <f t="shared" si="295"/>
        <v/>
      </c>
      <c r="BH348" s="287" t="str">
        <f>IF(AM348="","",INDEX(AJ342:AJ348,MATCH(AM348,AN342:AN348,0)))</f>
        <v/>
      </c>
      <c r="BI348" s="288" t="str">
        <f>IF(AM348="","",VLOOKUP(AM348,AN342:BE348,COLUMN()-COLUMN(BB341),FALSE))</f>
        <v/>
      </c>
      <c r="BJ348" s="288" t="str">
        <f>IF(AM348="","",VLOOKUP(AM348,AN342:BE348,COLUMN()-COLUMN(BB341),FALSE))</f>
        <v/>
      </c>
      <c r="BK348" s="288" t="str">
        <f>IF(AM348="","",VLOOKUP(AM348,AN342:BE348,COLUMN()-COLUMN(BB341),FALSE))</f>
        <v/>
      </c>
      <c r="BL348" s="288" t="str">
        <f>IF(AM348="","",VLOOKUP(AM348,AN342:BE348,COLUMN()-COLUMN(BB341),FALSE))</f>
        <v/>
      </c>
      <c r="BM348" s="288" t="str">
        <f>IF(AM348="","",VLOOKUP(AM348,AN342:BE348,COLUMN()-COLUMN(BB341),FALSE))</f>
        <v/>
      </c>
      <c r="BN348" s="350" t="str">
        <f>IF(AM348="","",VLOOKUP(AM348,AN342:BE348,COLUMN()-COLUMN(BB341),FALSE))</f>
        <v/>
      </c>
      <c r="BO348" s="299" t="str">
        <f>IF(AM348="","",VLOOKUP(AM348,AN342:BE348,COLUMN()-COLUMN(BB341),FALSE))</f>
        <v/>
      </c>
      <c r="BP348" s="288" t="str">
        <f>IF(AM348="","",VLOOKUP(AM348,AN342:BE348,COLUMN()-COLUMN(BB341),FALSE))</f>
        <v/>
      </c>
      <c r="BQ348" s="302" t="str">
        <f>IF(AM348="","",VLOOKUP(AM348,AN342:BE348,COLUMN()-COLUMN(BB341),FALSE))</f>
        <v/>
      </c>
      <c r="BR348" s="353" t="str">
        <f>IF(AM348="","",VLOOKUP(AM348,AN342:BE348,COLUMN()-COLUMN(BB341),FALSE))</f>
        <v/>
      </c>
      <c r="BS348" s="288" t="str">
        <f>IF(AM348="","",VLOOKUP(AM348,AN342:BE348,COLUMN()-COLUMN(BB341),FALSE))</f>
        <v/>
      </c>
      <c r="BT348" s="302" t="str">
        <f>IF(AM348="","",VLOOKUP(AM348,AN342:BE348,COLUMN()-COLUMN(BB341),FALSE))</f>
        <v/>
      </c>
    </row>
    <row r="349" spans="1:72" x14ac:dyDescent="0.2">
      <c r="A349" s="60"/>
      <c r="B349" s="280"/>
      <c r="C349" s="60"/>
      <c r="D349" s="60"/>
      <c r="E349" s="240" t="s">
        <v>12231</v>
      </c>
      <c r="F349" s="244" t="s">
        <v>13262</v>
      </c>
      <c r="G349" s="244" t="s">
        <v>14390</v>
      </c>
      <c r="H349" s="253">
        <v>0</v>
      </c>
      <c r="I349" s="253">
        <v>4</v>
      </c>
      <c r="J349" s="253"/>
      <c r="K349" s="362"/>
      <c r="L349" s="362"/>
      <c r="M349" s="245"/>
      <c r="N349" s="265" t="b">
        <f>NOT(ISERROR(ResultsTeams[[#This Row],[Goal-A]]+ResultsTeams[[#This Row],[Goal-B]]))</f>
        <v>1</v>
      </c>
      <c r="O349" s="265">
        <f>IF(ResultsTeams[[#This Row],[Type]]="G",SUM(O350:O353),IF(LEFT(ResultsTeams[[#This Row],[Type]],1)="P",IF(ResultsTeams[[#This Row],[Goal-A]]&gt;ResultsTeams[[#This Row],[Goal-B]],1,0),""))</f>
        <v>0</v>
      </c>
      <c r="P349" s="265">
        <f>IF(ResultsTeams[[#This Row],[Type]]="G",SUM(P350:P353),IF(LEFT(ResultsTeams[[#This Row],[Type]],1)="P",IF(ResultsTeams[[#This Row],[Goal-A]]&lt;ResultsTeams[[#This Row],[Goal-B]],1,0),""))</f>
        <v>1</v>
      </c>
      <c r="Q349" s="265">
        <f>IF(ResultsTeams[[#This Row],[Type]]="G",SUM(Q350:Q353),IF(LEFT(ResultsTeams[[#This Row],[Type]],1)="P",VALUE(ResultsTeams[[#This Row],[Score-A]]),""))</f>
        <v>0</v>
      </c>
      <c r="R349" s="265">
        <f>IF(ResultsTeams[[#This Row],[Type]]="G",SUM(R350:R353),IF(LEFT(ResultsTeams[[#This Row],[Type]],1)="P",VALUE(ResultsTeams[[#This Row],[Score-B]]),""))</f>
        <v>4</v>
      </c>
      <c r="S349" s="265" t="str">
        <f ca="1">IF(AND(ResultsTeams[[#This Row],[Category]]&lt;&gt;"",ResultsTeams[[#This Row],[Team A]]&lt;&gt;""),COUNTIF(INDIRECT("TeamsList[Club Name]"),ResultsTeams[[#This Row],[Team A]]),"")</f>
        <v/>
      </c>
      <c r="T349" s="265" t="str">
        <f ca="1">IF(AND(ResultsTeams[[#This Row],[Category]]&lt;&gt;"",ResultsTeams[[#This Row],[Team B]]&lt;&gt;""),COUNTIF(INDIRECT("TeamsList[Club Name]"),ResultsTeams[[#This Row],[Team B]]),"")</f>
        <v/>
      </c>
      <c r="U3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-Fayçal Rouis</v>
      </c>
      <c r="V349" s="265" t="str">
        <f>IF(ResultsTeams[[#This Row],[Score_OK]],IF(ResultsTeams[[#This Row],[StageCpy]]="Groups",ResultsTeams[[#This Row],[Category]]&amp;"-"&amp;IF(ResultsTeams[[#This Row],[Team B]]="","",IF(ResultsTeams[[#This Row],[Match-A]]=ResultsTeams[[#This Row],[Match-B]],ResultsTeams[[#This Row],[Team A]],"")),""),"")</f>
        <v>-</v>
      </c>
      <c r="W349" s="265" t="str">
        <f>IF(ResultsTeams[[#This Row],[Score_OK]],IF(ResultsTeams[[#This Row],[StageCpy]]="Groups",ResultsTeams[[#This Row],[Category]]&amp;"-"&amp;IF(ResultsTeams[[#This Row],[Team B]]="","",IF(ResultsTeams[[#This Row],[Match-A]]=ResultsTeams[[#This Row],[Match-B]],ResultsTeams[[#This Row],[Team B]],"")),""),"")</f>
        <v>-</v>
      </c>
      <c r="X3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-Martin Colwell</v>
      </c>
      <c r="Y3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9" s="264" t="str">
        <f>IF(ResultsTeams[[#This Row],[Category]]="","",VLOOKUP(ResultsTeams[[#This Row],[Stage]],$R$1:$T$8,MATCH(ResultsTeams[[#This Row],[Category]],$S$1:$T$1,0)+1,FALSE))</f>
        <v/>
      </c>
      <c r="AC3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9" s="264" t="str">
        <f>IF(ResultsTeams[[#This Row],[Type]]="G",ResultsTeams[[#This Row],[Stage]],AD348)</f>
        <v>Groups</v>
      </c>
      <c r="AE349" s="395" t="str">
        <f>IF(ResultsTeams[[#This Row],[Type]]="G",INDEX(TeamsList[Club Name],MATCH(ResultsTeams[[#This Row],[Team A]],TeamsList[Team Name],0)),AE348)</f>
        <v>Kent Invicta TFC</v>
      </c>
      <c r="AF349" s="395" t="str">
        <f>IF(ResultsTeams[[#This Row],[Type]]="G",INDEX(TeamsList[Club Name],MATCH(ResultsTeams[[#This Row],[Team B]],TeamsList[Team Name],0)),AF348)</f>
        <v>FTC Caen</v>
      </c>
      <c r="AG349" s="265"/>
    </row>
    <row r="350" spans="1:72" x14ac:dyDescent="0.2">
      <c r="A350" s="62"/>
      <c r="B350" s="280"/>
      <c r="C350" s="62"/>
      <c r="D350" s="62"/>
      <c r="E350" s="241" t="s">
        <v>12234</v>
      </c>
      <c r="F350" s="246" t="s">
        <v>13246</v>
      </c>
      <c r="G350" s="246" t="s">
        <v>8711</v>
      </c>
      <c r="H350" s="254">
        <v>2</v>
      </c>
      <c r="I350" s="254">
        <v>8</v>
      </c>
      <c r="J350" s="254"/>
      <c r="K350" s="363"/>
      <c r="L350" s="363"/>
      <c r="M350" s="247"/>
      <c r="N350" s="265" t="b">
        <f>NOT(ISERROR(ResultsTeams[[#This Row],[Goal-A]]+ResultsTeams[[#This Row],[Goal-B]]))</f>
        <v>1</v>
      </c>
      <c r="O350" s="265">
        <f>IF(ResultsTeams[[#This Row],[Type]]="G",SUM(O351:O354),IF(LEFT(ResultsTeams[[#This Row],[Type]],1)="P",IF(ResultsTeams[[#This Row],[Goal-A]]&gt;ResultsTeams[[#This Row],[Goal-B]],1,0),""))</f>
        <v>0</v>
      </c>
      <c r="P350" s="265">
        <f>IF(ResultsTeams[[#This Row],[Type]]="G",SUM(P351:P354),IF(LEFT(ResultsTeams[[#This Row],[Type]],1)="P",IF(ResultsTeams[[#This Row],[Goal-A]]&lt;ResultsTeams[[#This Row],[Goal-B]],1,0),""))</f>
        <v>1</v>
      </c>
      <c r="Q350" s="265">
        <f>IF(ResultsTeams[[#This Row],[Type]]="G",SUM(Q351:Q354),IF(LEFT(ResultsTeams[[#This Row],[Type]],1)="P",VALUE(ResultsTeams[[#This Row],[Score-A]]),""))</f>
        <v>2</v>
      </c>
      <c r="R350" s="265">
        <f>IF(ResultsTeams[[#This Row],[Type]]="G",SUM(R351:R354),IF(LEFT(ResultsTeams[[#This Row],[Type]],1)="P",VALUE(ResultsTeams[[#This Row],[Score-B]]),""))</f>
        <v>8</v>
      </c>
      <c r="S350" s="265" t="str">
        <f ca="1">IF(AND(ResultsTeams[[#This Row],[Category]]&lt;&gt;"",ResultsTeams[[#This Row],[Team A]]&lt;&gt;""),COUNTIF(INDIRECT("TeamsList[Club Name]"),ResultsTeams[[#This Row],[Team A]]),"")</f>
        <v/>
      </c>
      <c r="T350" s="265" t="str">
        <f ca="1">IF(AND(ResultsTeams[[#This Row],[Category]]&lt;&gt;"",ResultsTeams[[#This Row],[Team B]]&lt;&gt;""),COUNTIF(INDIRECT("TeamsList[Club Name]"),ResultsTeams[[#This Row],[Team B]]),"")</f>
        <v/>
      </c>
      <c r="U3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-Raphaël Pommier</v>
      </c>
      <c r="V350" s="265" t="str">
        <f>IF(ResultsTeams[[#This Row],[Score_OK]],IF(ResultsTeams[[#This Row],[StageCpy]]="Groups",ResultsTeams[[#This Row],[Category]]&amp;"-"&amp;IF(ResultsTeams[[#This Row],[Team B]]="","",IF(ResultsTeams[[#This Row],[Match-A]]=ResultsTeams[[#This Row],[Match-B]],ResultsTeams[[#This Row],[Team A]],"")),""),"")</f>
        <v>-</v>
      </c>
      <c r="W350" s="265" t="str">
        <f>IF(ResultsTeams[[#This Row],[Score_OK]],IF(ResultsTeams[[#This Row],[StageCpy]]="Groups",ResultsTeams[[#This Row],[Category]]&amp;"-"&amp;IF(ResultsTeams[[#This Row],[Team B]]="","",IF(ResultsTeams[[#This Row],[Match-A]]=ResultsTeams[[#This Row],[Match-B]],ResultsTeams[[#This Row],[Team B]],"")),""),"")</f>
        <v>-</v>
      </c>
      <c r="X3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-Kyle Jamieson</v>
      </c>
      <c r="Y3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0" s="264" t="str">
        <f>IF(ResultsTeams[[#This Row],[Category]]="","",VLOOKUP(ResultsTeams[[#This Row],[Stage]],$R$1:$T$8,MATCH(ResultsTeams[[#This Row],[Category]],$S$1:$T$1,0)+1,FALSE))</f>
        <v/>
      </c>
      <c r="AC3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0" s="264" t="str">
        <f>IF(ResultsTeams[[#This Row],[Type]]="G",ResultsTeams[[#This Row],[Stage]],AD349)</f>
        <v>Groups</v>
      </c>
      <c r="AE350" s="395" t="str">
        <f>IF(ResultsTeams[[#This Row],[Type]]="G",INDEX(TeamsList[Club Name],MATCH(ResultsTeams[[#This Row],[Team A]],TeamsList[Team Name],0)),AE349)</f>
        <v>Kent Invicta TFC</v>
      </c>
      <c r="AF350" s="395" t="str">
        <f>IF(ResultsTeams[[#This Row],[Type]]="G",INDEX(TeamsList[Club Name],MATCH(ResultsTeams[[#This Row],[Team B]],TeamsList[Team Name],0)),AF349)</f>
        <v>FTC Caen</v>
      </c>
      <c r="AG350" s="265"/>
    </row>
    <row r="351" spans="1:72" x14ac:dyDescent="0.2">
      <c r="A351" s="62"/>
      <c r="B351" s="280"/>
      <c r="C351" s="62"/>
      <c r="D351" s="62"/>
      <c r="E351" s="241" t="s">
        <v>12237</v>
      </c>
      <c r="F351" s="246" t="s">
        <v>13642</v>
      </c>
      <c r="G351" s="246" t="s">
        <v>8095</v>
      </c>
      <c r="H351" s="254">
        <v>1</v>
      </c>
      <c r="I351" s="254">
        <v>6</v>
      </c>
      <c r="J351" s="254"/>
      <c r="K351" s="363"/>
      <c r="L351" s="363"/>
      <c r="M351" s="247"/>
      <c r="N351" s="265" t="b">
        <f>NOT(ISERROR(ResultsTeams[[#This Row],[Goal-A]]+ResultsTeams[[#This Row],[Goal-B]]))</f>
        <v>1</v>
      </c>
      <c r="O351" s="265">
        <f>IF(ResultsTeams[[#This Row],[Type]]="G",SUM(O352:O355),IF(LEFT(ResultsTeams[[#This Row],[Type]],1)="P",IF(ResultsTeams[[#This Row],[Goal-A]]&gt;ResultsTeams[[#This Row],[Goal-B]],1,0),""))</f>
        <v>0</v>
      </c>
      <c r="P351" s="265">
        <f>IF(ResultsTeams[[#This Row],[Type]]="G",SUM(P352:P355),IF(LEFT(ResultsTeams[[#This Row],[Type]],1)="P",IF(ResultsTeams[[#This Row],[Goal-A]]&lt;ResultsTeams[[#This Row],[Goal-B]],1,0),""))</f>
        <v>1</v>
      </c>
      <c r="Q351" s="265">
        <f>IF(ResultsTeams[[#This Row],[Type]]="G",SUM(Q352:Q355),IF(LEFT(ResultsTeams[[#This Row],[Type]],1)="P",VALUE(ResultsTeams[[#This Row],[Score-A]]),""))</f>
        <v>1</v>
      </c>
      <c r="R351" s="265">
        <f>IF(ResultsTeams[[#This Row],[Type]]="G",SUM(R352:R355),IF(LEFT(ResultsTeams[[#This Row],[Type]],1)="P",VALUE(ResultsTeams[[#This Row],[Score-B]]),""))</f>
        <v>6</v>
      </c>
      <c r="S351" s="265" t="str">
        <f ca="1">IF(AND(ResultsTeams[[#This Row],[Category]]&lt;&gt;"",ResultsTeams[[#This Row],[Team A]]&lt;&gt;""),COUNTIF(INDIRECT("TeamsList[Club Name]"),ResultsTeams[[#This Row],[Team A]]),"")</f>
        <v/>
      </c>
      <c r="T351" s="265" t="str">
        <f ca="1">IF(AND(ResultsTeams[[#This Row],[Category]]&lt;&gt;"",ResultsTeams[[#This Row],[Team B]]&lt;&gt;""),COUNTIF(INDIRECT("TeamsList[Club Name]"),ResultsTeams[[#This Row],[Team B]]),"")</f>
        <v/>
      </c>
      <c r="U3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-Florian Giaux</v>
      </c>
      <c r="V351" s="265" t="str">
        <f>IF(ResultsTeams[[#This Row],[Score_OK]],IF(ResultsTeams[[#This Row],[StageCpy]]="Groups",ResultsTeams[[#This Row],[Category]]&amp;"-"&amp;IF(ResultsTeams[[#This Row],[Team B]]="","",IF(ResultsTeams[[#This Row],[Match-A]]=ResultsTeams[[#This Row],[Match-B]],ResultsTeams[[#This Row],[Team A]],"")),""),"")</f>
        <v>-</v>
      </c>
      <c r="W351" s="265" t="str">
        <f>IF(ResultsTeams[[#This Row],[Score_OK]],IF(ResultsTeams[[#This Row],[StageCpy]]="Groups",ResultsTeams[[#This Row],[Category]]&amp;"-"&amp;IF(ResultsTeams[[#This Row],[Team B]]="","",IF(ResultsTeams[[#This Row],[Match-A]]=ResultsTeams[[#This Row],[Match-B]],ResultsTeams[[#This Row],[Team B]],"")),""),"")</f>
        <v>-</v>
      </c>
      <c r="X3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-Maria Joao Carmo</v>
      </c>
      <c r="Y3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1" s="264" t="str">
        <f>IF(ResultsTeams[[#This Row],[Category]]="","",VLOOKUP(ResultsTeams[[#This Row],[Stage]],$R$1:$T$8,MATCH(ResultsTeams[[#This Row],[Category]],$S$1:$T$1,0)+1,FALSE))</f>
        <v/>
      </c>
      <c r="AC3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1" s="264" t="str">
        <f>IF(ResultsTeams[[#This Row],[Type]]="G",ResultsTeams[[#This Row],[Stage]],AD350)</f>
        <v>Groups</v>
      </c>
      <c r="AE351" s="395" t="str">
        <f>IF(ResultsTeams[[#This Row],[Type]]="G",INDEX(TeamsList[Club Name],MATCH(ResultsTeams[[#This Row],[Team A]],TeamsList[Team Name],0)),AE350)</f>
        <v>Kent Invicta TFC</v>
      </c>
      <c r="AF351" s="395" t="str">
        <f>IF(ResultsTeams[[#This Row],[Type]]="G",INDEX(TeamsList[Club Name],MATCH(ResultsTeams[[#This Row],[Team B]],TeamsList[Team Name],0)),AF350)</f>
        <v>FTC Caen</v>
      </c>
      <c r="AG351" s="265"/>
    </row>
    <row r="352" spans="1:72" x14ac:dyDescent="0.2">
      <c r="A352" s="62"/>
      <c r="B352" s="280"/>
      <c r="C352" s="62"/>
      <c r="D352" s="62"/>
      <c r="E352" s="241" t="s">
        <v>12240</v>
      </c>
      <c r="F352" s="246" t="s">
        <v>13243</v>
      </c>
      <c r="G352" s="244" t="s">
        <v>14607</v>
      </c>
      <c r="H352" s="254">
        <v>1</v>
      </c>
      <c r="I352" s="254">
        <v>5</v>
      </c>
      <c r="J352" s="254"/>
      <c r="K352" s="363"/>
      <c r="L352" s="363"/>
      <c r="M352" s="247"/>
      <c r="N352" s="265" t="b">
        <f>NOT(ISERROR(ResultsTeams[[#This Row],[Goal-A]]+ResultsTeams[[#This Row],[Goal-B]]))</f>
        <v>1</v>
      </c>
      <c r="O352" s="265">
        <f>IF(ResultsTeams[[#This Row],[Type]]="G",SUM(O353:O356),IF(LEFT(ResultsTeams[[#This Row],[Type]],1)="P",IF(ResultsTeams[[#This Row],[Goal-A]]&gt;ResultsTeams[[#This Row],[Goal-B]],1,0),""))</f>
        <v>0</v>
      </c>
      <c r="P352" s="265">
        <f>IF(ResultsTeams[[#This Row],[Type]]="G",SUM(P353:P356),IF(LEFT(ResultsTeams[[#This Row],[Type]],1)="P",IF(ResultsTeams[[#This Row],[Goal-A]]&lt;ResultsTeams[[#This Row],[Goal-B]],1,0),""))</f>
        <v>1</v>
      </c>
      <c r="Q352" s="265">
        <f>IF(ResultsTeams[[#This Row],[Type]]="G",SUM(Q353:Q356),IF(LEFT(ResultsTeams[[#This Row],[Type]],1)="P",VALUE(ResultsTeams[[#This Row],[Score-A]]),""))</f>
        <v>1</v>
      </c>
      <c r="R352" s="265">
        <f>IF(ResultsTeams[[#This Row],[Type]]="G",SUM(R353:R356),IF(LEFT(ResultsTeams[[#This Row],[Type]],1)="P",VALUE(ResultsTeams[[#This Row],[Score-B]]),""))</f>
        <v>5</v>
      </c>
      <c r="S352" s="265" t="str">
        <f ca="1">IF(AND(ResultsTeams[[#This Row],[Category]]&lt;&gt;"",ResultsTeams[[#This Row],[Team A]]&lt;&gt;""),COUNTIF(INDIRECT("TeamsList[Club Name]"),ResultsTeams[[#This Row],[Team A]]),"")</f>
        <v/>
      </c>
      <c r="T352" s="265" t="str">
        <f ca="1">IF(AND(ResultsTeams[[#This Row],[Category]]&lt;&gt;"",ResultsTeams[[#This Row],[Team B]]&lt;&gt;""),COUNTIF(INDIRECT("TeamsList[Club Name]"),ResultsTeams[[#This Row],[Team B]]),"")</f>
        <v/>
      </c>
      <c r="U3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-Martin Antoine</v>
      </c>
      <c r="V352" s="265" t="str">
        <f>IF(ResultsTeams[[#This Row],[Score_OK]],IF(ResultsTeams[[#This Row],[StageCpy]]="Groups",ResultsTeams[[#This Row],[Category]]&amp;"-"&amp;IF(ResultsTeams[[#This Row],[Team B]]="","",IF(ResultsTeams[[#This Row],[Match-A]]=ResultsTeams[[#This Row],[Match-B]],ResultsTeams[[#This Row],[Team A]],"")),""),"")</f>
        <v>-</v>
      </c>
      <c r="W352" s="265" t="str">
        <f>IF(ResultsTeams[[#This Row],[Score_OK]],IF(ResultsTeams[[#This Row],[StageCpy]]="Groups",ResultsTeams[[#This Row],[Category]]&amp;"-"&amp;IF(ResultsTeams[[#This Row],[Team B]]="","",IF(ResultsTeams[[#This Row],[Match-A]]=ResultsTeams[[#This Row],[Match-B]],ResultsTeams[[#This Row],[Team B]],"")),""),"")</f>
        <v>-</v>
      </c>
      <c r="X3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-Thomas Lacey</v>
      </c>
      <c r="Y3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2" s="264" t="str">
        <f>IF(ResultsTeams[[#This Row],[Category]]="","",VLOOKUP(ResultsTeams[[#This Row],[Stage]],$R$1:$T$8,MATCH(ResultsTeams[[#This Row],[Category]],$S$1:$T$1,0)+1,FALSE))</f>
        <v/>
      </c>
      <c r="AC3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2" s="264" t="str">
        <f>IF(ResultsTeams[[#This Row],[Type]]="G",ResultsTeams[[#This Row],[Stage]],AD351)</f>
        <v>Groups</v>
      </c>
      <c r="AE352" s="395" t="str">
        <f>IF(ResultsTeams[[#This Row],[Type]]="G",INDEX(TeamsList[Club Name],MATCH(ResultsTeams[[#This Row],[Team A]],TeamsList[Team Name],0)),AE351)</f>
        <v>Kent Invicta TFC</v>
      </c>
      <c r="AF352" s="395" t="str">
        <f>IF(ResultsTeams[[#This Row],[Type]]="G",INDEX(TeamsList[Club Name],MATCH(ResultsTeams[[#This Row],[Team B]],TeamsList[Team Name],0)),AF351)</f>
        <v>FTC Caen</v>
      </c>
      <c r="AG352" s="265"/>
    </row>
    <row r="353" spans="1:33" x14ac:dyDescent="0.2">
      <c r="A353" s="62"/>
      <c r="B353" s="62"/>
      <c r="C353" s="62"/>
      <c r="D353" s="62"/>
      <c r="E353" s="241" t="s">
        <v>12243</v>
      </c>
      <c r="F353" s="247"/>
      <c r="G353" s="247"/>
      <c r="H353" s="254"/>
      <c r="I353" s="254"/>
      <c r="J353" s="260"/>
      <c r="K353" s="364"/>
      <c r="L353" s="364"/>
      <c r="M353" s="63"/>
      <c r="N353" s="265" t="b">
        <f>NOT(ISERROR(ResultsTeams[[#This Row],[Goal-A]]+ResultsTeams[[#This Row],[Goal-B]]))</f>
        <v>0</v>
      </c>
      <c r="O353" s="265" t="str">
        <f>IF(ResultsTeams[[#This Row],[Type]]="G",SUM(O354:O357),IF(LEFT(ResultsTeams[[#This Row],[Type]],1)="P",IF(ResultsTeams[[#This Row],[Goal-A]]&gt;ResultsTeams[[#This Row],[Goal-B]],1,0),""))</f>
        <v/>
      </c>
      <c r="P353" s="265" t="str">
        <f>IF(ResultsTeams[[#This Row],[Type]]="G",SUM(P354:P357),IF(LEFT(ResultsTeams[[#This Row],[Type]],1)="P",IF(ResultsTeams[[#This Row],[Goal-A]]&lt;ResultsTeams[[#This Row],[Goal-B]],1,0),""))</f>
        <v/>
      </c>
      <c r="Q353" s="265" t="str">
        <f>IF(ResultsTeams[[#This Row],[Type]]="G",SUM(Q354:Q357),IF(LEFT(ResultsTeams[[#This Row],[Type]],1)="P",VALUE(ResultsTeams[[#This Row],[Score-A]]),""))</f>
        <v/>
      </c>
      <c r="R353" s="265" t="str">
        <f>IF(ResultsTeams[[#This Row],[Type]]="G",SUM(R354:R357),IF(LEFT(ResultsTeams[[#This Row],[Type]],1)="P",VALUE(ResultsTeams[[#This Row],[Score-B]]),""))</f>
        <v/>
      </c>
      <c r="S353" s="265" t="str">
        <f ca="1">IF(AND(ResultsTeams[[#This Row],[Category]]&lt;&gt;"",ResultsTeams[[#This Row],[Team A]]&lt;&gt;""),COUNTIF(INDIRECT("TeamsList[Club Name]"),ResultsTeams[[#This Row],[Team A]]),"")</f>
        <v/>
      </c>
      <c r="T353" s="265" t="str">
        <f ca="1">IF(AND(ResultsTeams[[#This Row],[Category]]&lt;&gt;"",ResultsTeams[[#This Row],[Team B]]&lt;&gt;""),COUNTIF(INDIRECT("TeamsList[Club Name]"),ResultsTeams[[#This Row],[Team B]]),"")</f>
        <v/>
      </c>
      <c r="U3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3" s="265" t="str">
        <f>IF(ResultsTeams[[#This Row],[Score_OK]],IF(ResultsTeams[[#This Row],[StageCpy]]="Groups",ResultsTeams[[#This Row],[Category]]&amp;"-"&amp;IF(ResultsTeams[[#This Row],[Team B]]="","",IF(ResultsTeams[[#This Row],[Match-A]]=ResultsTeams[[#This Row],[Match-B]],ResultsTeams[[#This Row],[Team A]],"")),""),"")</f>
        <v/>
      </c>
      <c r="W353" s="265" t="str">
        <f>IF(ResultsTeams[[#This Row],[Score_OK]],IF(ResultsTeams[[#This Row],[StageCpy]]="Groups",ResultsTeams[[#This Row],[Category]]&amp;"-"&amp;IF(ResultsTeams[[#This Row],[Team B]]="","",IF(ResultsTeams[[#This Row],[Match-A]]=ResultsTeams[[#This Row],[Match-B]],ResultsTeams[[#This Row],[Team B]],"")),""),"")</f>
        <v/>
      </c>
      <c r="X3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3" s="264" t="str">
        <f>IF(ResultsTeams[[#This Row],[Category]]="","",VLOOKUP(ResultsTeams[[#This Row],[Stage]],$R$1:$T$8,MATCH(ResultsTeams[[#This Row],[Category]],$S$1:$T$1,0)+1,FALSE))</f>
        <v/>
      </c>
      <c r="AC3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3" s="264" t="str">
        <f>IF(ResultsTeams[[#This Row],[Type]]="G",ResultsTeams[[#This Row],[Stage]],AD352)</f>
        <v>Groups</v>
      </c>
      <c r="AE353" s="395" t="str">
        <f>IF(ResultsTeams[[#This Row],[Type]]="G",INDEX(TeamsList[Club Name],MATCH(ResultsTeams[[#This Row],[Team A]],TeamsList[Team Name],0)),AE352)</f>
        <v>Kent Invicta TFC</v>
      </c>
      <c r="AF353" s="395" t="str">
        <f>IF(ResultsTeams[[#This Row],[Type]]="G",INDEX(TeamsList[Club Name],MATCH(ResultsTeams[[#This Row],[Team B]],TeamsList[Team Name],0)),AF352)</f>
        <v>FTC Caen</v>
      </c>
      <c r="AG353" s="265"/>
    </row>
    <row r="354" spans="1:33" ht="12" thickBot="1" x14ac:dyDescent="0.25">
      <c r="A354" s="83"/>
      <c r="B354" s="83"/>
      <c r="C354" s="83"/>
      <c r="D354" s="83"/>
      <c r="E354" s="268" t="s">
        <v>12244</v>
      </c>
      <c r="F354" s="262"/>
      <c r="G354" s="262"/>
      <c r="H354" s="324"/>
      <c r="I354" s="324"/>
      <c r="J354" s="263"/>
      <c r="K354" s="365"/>
      <c r="L354" s="365"/>
      <c r="M354" s="84"/>
      <c r="N354" s="265" t="b">
        <f>NOT(ISERROR(ResultsTeams[[#This Row],[Goal-A]]+ResultsTeams[[#This Row],[Goal-B]]))</f>
        <v>0</v>
      </c>
      <c r="O354" s="265" t="str">
        <f>IF(ResultsTeams[[#This Row],[Type]]="G",SUM(O355:O358),IF(LEFT(ResultsTeams[[#This Row],[Type]],1)="P",IF(ResultsTeams[[#This Row],[Goal-A]]&gt;ResultsTeams[[#This Row],[Goal-B]],1,0),""))</f>
        <v/>
      </c>
      <c r="P354" s="265" t="str">
        <f>IF(ResultsTeams[[#This Row],[Type]]="G",SUM(P355:P358),IF(LEFT(ResultsTeams[[#This Row],[Type]],1)="P",IF(ResultsTeams[[#This Row],[Goal-A]]&lt;ResultsTeams[[#This Row],[Goal-B]],1,0),""))</f>
        <v/>
      </c>
      <c r="Q354" s="265" t="str">
        <f>IF(ResultsTeams[[#This Row],[Type]]="G",SUM(Q355:Q358),IF(LEFT(ResultsTeams[[#This Row],[Type]],1)="P",VALUE(ResultsTeams[[#This Row],[Score-A]]),""))</f>
        <v/>
      </c>
      <c r="R354" s="265" t="str">
        <f>IF(ResultsTeams[[#This Row],[Type]]="G",SUM(R355:R358),IF(LEFT(ResultsTeams[[#This Row],[Type]],1)="P",VALUE(ResultsTeams[[#This Row],[Score-B]]),""))</f>
        <v/>
      </c>
      <c r="S354" s="265" t="str">
        <f ca="1">IF(AND(ResultsTeams[[#This Row],[Category]]&lt;&gt;"",ResultsTeams[[#This Row],[Team A]]&lt;&gt;""),COUNTIF(INDIRECT("TeamsList[Club Name]"),ResultsTeams[[#This Row],[Team A]]),"")</f>
        <v/>
      </c>
      <c r="T354" s="265" t="str">
        <f ca="1">IF(AND(ResultsTeams[[#This Row],[Category]]&lt;&gt;"",ResultsTeams[[#This Row],[Team B]]&lt;&gt;""),COUNTIF(INDIRECT("TeamsList[Club Name]"),ResultsTeams[[#This Row],[Team B]]),"")</f>
        <v/>
      </c>
      <c r="U3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4" s="265" t="str">
        <f>IF(ResultsTeams[[#This Row],[Score_OK]],IF(ResultsTeams[[#This Row],[StageCpy]]="Groups",ResultsTeams[[#This Row],[Category]]&amp;"-"&amp;IF(ResultsTeams[[#This Row],[Team B]]="","",IF(ResultsTeams[[#This Row],[Match-A]]=ResultsTeams[[#This Row],[Match-B]],ResultsTeams[[#This Row],[Team A]],"")),""),"")</f>
        <v/>
      </c>
      <c r="W354" s="265" t="str">
        <f>IF(ResultsTeams[[#This Row],[Score_OK]],IF(ResultsTeams[[#This Row],[StageCpy]]="Groups",ResultsTeams[[#This Row],[Category]]&amp;"-"&amp;IF(ResultsTeams[[#This Row],[Team B]]="","",IF(ResultsTeams[[#This Row],[Match-A]]=ResultsTeams[[#This Row],[Match-B]],ResultsTeams[[#This Row],[Team B]],"")),""),"")</f>
        <v/>
      </c>
      <c r="X3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4" s="264" t="str">
        <f>IF(ResultsTeams[[#This Row],[Category]]="","",VLOOKUP(ResultsTeams[[#This Row],[Stage]],$R$1:$T$8,MATCH(ResultsTeams[[#This Row],[Category]],$S$1:$T$1,0)+1,FALSE))</f>
        <v/>
      </c>
      <c r="AC3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4" s="264" t="str">
        <f>IF(ResultsTeams[[#This Row],[Type]]="G",ResultsTeams[[#This Row],[Stage]],AD353)</f>
        <v>Groups</v>
      </c>
      <c r="AE354" s="395" t="str">
        <f>IF(ResultsTeams[[#This Row],[Type]]="G",INDEX(TeamsList[Club Name],MATCH(ResultsTeams[[#This Row],[Team A]],TeamsList[Team Name],0)),AE353)</f>
        <v>Kent Invicta TFC</v>
      </c>
      <c r="AF354" s="395" t="str">
        <f>IF(ResultsTeams[[#This Row],[Type]]="G",INDEX(TeamsList[Club Name],MATCH(ResultsTeams[[#This Row],[Team B]],TeamsList[Team Name],0)),AF353)</f>
        <v>FTC Caen</v>
      </c>
      <c r="AG354" s="265"/>
    </row>
    <row r="355" spans="1:33" ht="12" thickBot="1" x14ac:dyDescent="0.25">
      <c r="A355" s="261" t="s">
        <v>12693</v>
      </c>
      <c r="B355" s="270" t="s">
        <v>12207</v>
      </c>
      <c r="C355" s="270">
        <v>8</v>
      </c>
      <c r="D355" s="270"/>
      <c r="E355" s="272" t="s">
        <v>12228</v>
      </c>
      <c r="F355" s="273" t="s">
        <v>326</v>
      </c>
      <c r="G355" s="273" t="s">
        <v>620</v>
      </c>
      <c r="H355" s="275">
        <v>0</v>
      </c>
      <c r="I355" s="275">
        <v>3</v>
      </c>
      <c r="J355" s="275"/>
      <c r="K355" s="366"/>
      <c r="L355" s="366"/>
      <c r="M355" s="271"/>
      <c r="N355" s="265" t="b">
        <f>NOT(ISERROR(ResultsTeams[[#This Row],[Goal-A]]+ResultsTeams[[#This Row],[Goal-B]]))</f>
        <v>1</v>
      </c>
      <c r="O355" s="265">
        <f>IF(ResultsTeams[[#This Row],[Type]]="G",SUM(O356:O359),IF(LEFT(ResultsTeams[[#This Row],[Type]],1)="P",IF(ResultsTeams[[#This Row],[Goal-A]]&gt;ResultsTeams[[#This Row],[Goal-B]],1,0),""))</f>
        <v>0</v>
      </c>
      <c r="P355" s="265">
        <f>IF(ResultsTeams[[#This Row],[Type]]="G",SUM(P356:P359),IF(LEFT(ResultsTeams[[#This Row],[Type]],1)="P",IF(ResultsTeams[[#This Row],[Goal-A]]&lt;ResultsTeams[[#This Row],[Goal-B]],1,0),""))</f>
        <v>3</v>
      </c>
      <c r="Q355" s="265">
        <f>IF(ResultsTeams[[#This Row],[Type]]="G",SUM(Q356:Q359),IF(LEFT(ResultsTeams[[#This Row],[Type]],1)="P",VALUE(ResultsTeams[[#This Row],[Score-A]]),""))</f>
        <v>8</v>
      </c>
      <c r="R355" s="265">
        <f>IF(ResultsTeams[[#This Row],[Type]]="G",SUM(R356:R359),IF(LEFT(ResultsTeams[[#This Row],[Type]],1)="P",VALUE(ResultsTeams[[#This Row],[Score-B]]),""))</f>
        <v>20</v>
      </c>
      <c r="S355" s="265">
        <f ca="1">IF(AND(ResultsTeams[[#This Row],[Category]]&lt;&gt;"",ResultsTeams[[#This Row],[Team A]]&lt;&gt;""),COUNTIF(INDIRECT("TeamsList[Club Name]"),ResultsTeams[[#This Row],[Team A]]),"")</f>
        <v>1</v>
      </c>
      <c r="T355" s="265">
        <f ca="1">IF(AND(ResultsTeams[[#This Row],[Category]]&lt;&gt;"",ResultsTeams[[#This Row],[Team B]]&lt;&gt;""),COUNTIF(INDIRECT("TeamsList[Club Name]"),ResultsTeams[[#This Row],[Team B]]),"")</f>
        <v>1</v>
      </c>
      <c r="U3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TEAM-Subbuteo Casale</v>
      </c>
      <c r="V355" s="265" t="str">
        <f>IF(ResultsTeams[[#This Row],[Score_OK]],IF(ResultsTeams[[#This Row],[StageCpy]]="Groups",ResultsTeams[[#This Row],[Category]]&amp;"-"&amp;IF(ResultsTeams[[#This Row],[Team B]]="","",IF(ResultsTeams[[#This Row],[Match-A]]=ResultsTeams[[#This Row],[Match-B]],ResultsTeams[[#This Row],[Team A]],"")),""),"")</f>
        <v>TEAM-</v>
      </c>
      <c r="W355" s="265" t="str">
        <f>IF(ResultsTeams[[#This Row],[Score_OK]],IF(ResultsTeams[[#This Row],[StageCpy]]="Groups",ResultsTeams[[#This Row],[Category]]&amp;"-"&amp;IF(ResultsTeams[[#This Row],[Team B]]="","",IF(ResultsTeams[[#This Row],[Match-A]]=ResultsTeams[[#This Row],[Match-B]],ResultsTeams[[#This Row],[Team B]],"")),""),"")</f>
        <v>TEAM-</v>
      </c>
      <c r="X3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Flanders</v>
      </c>
      <c r="Y3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Flanders</v>
      </c>
      <c r="AA3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Flanders</v>
      </c>
      <c r="AB355" s="264" t="str">
        <f>IF(ResultsTeams[[#This Row],[Category]]="","",VLOOKUP(ResultsTeams[[#This Row],[Stage]],$R$1:$T$8,MATCH(ResultsTeams[[#This Row],[Category]],$S$1:$T$1,0)+1,FALSE))</f>
        <v>PR1</v>
      </c>
      <c r="AC3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5" s="264" t="str">
        <f>IF(ResultsTeams[[#This Row],[Type]]="G",ResultsTeams[[#This Row],[Stage]],AD354)</f>
        <v>Groups</v>
      </c>
      <c r="AE355" s="395" t="str">
        <f>IF(ResultsTeams[[#This Row],[Type]]="G",INDEX(TeamsList[Club Name],MATCH(ResultsTeams[[#This Row],[Team A]],TeamsList[Team Name],0)),AE354)</f>
        <v>SC Flanders</v>
      </c>
      <c r="AF355" s="395" t="str">
        <f>IF(ResultsTeams[[#This Row],[Type]]="G",INDEX(TeamsList[Club Name],MATCH(ResultsTeams[[#This Row],[Team B]],TeamsList[Team Name],0)),AF354)</f>
        <v>Subbuteo Casale</v>
      </c>
      <c r="AG355" s="265"/>
    </row>
    <row r="356" spans="1:33" x14ac:dyDescent="0.2">
      <c r="A356" s="60"/>
      <c r="B356" s="280"/>
      <c r="C356" s="60"/>
      <c r="D356" s="60"/>
      <c r="E356" s="240" t="s">
        <v>12231</v>
      </c>
      <c r="F356" s="244" t="s">
        <v>8174</v>
      </c>
      <c r="G356" s="244" t="s">
        <v>10272</v>
      </c>
      <c r="H356" s="253">
        <v>2</v>
      </c>
      <c r="I356" s="253">
        <v>7</v>
      </c>
      <c r="J356" s="253"/>
      <c r="K356" s="362"/>
      <c r="L356" s="362"/>
      <c r="M356" s="61"/>
      <c r="N356" s="265" t="b">
        <f>NOT(ISERROR(ResultsTeams[[#This Row],[Goal-A]]+ResultsTeams[[#This Row],[Goal-B]]))</f>
        <v>1</v>
      </c>
      <c r="O356" s="265">
        <f>IF(ResultsTeams[[#This Row],[Type]]="G",SUM(O357:O360),IF(LEFT(ResultsTeams[[#This Row],[Type]],1)="P",IF(ResultsTeams[[#This Row],[Goal-A]]&gt;ResultsTeams[[#This Row],[Goal-B]],1,0),""))</f>
        <v>0</v>
      </c>
      <c r="P356" s="265">
        <f>IF(ResultsTeams[[#This Row],[Type]]="G",SUM(P357:P360),IF(LEFT(ResultsTeams[[#This Row],[Type]],1)="P",IF(ResultsTeams[[#This Row],[Goal-A]]&lt;ResultsTeams[[#This Row],[Goal-B]],1,0),""))</f>
        <v>1</v>
      </c>
      <c r="Q356" s="265">
        <f>IF(ResultsTeams[[#This Row],[Type]]="G",SUM(Q357:Q360),IF(LEFT(ResultsTeams[[#This Row],[Type]],1)="P",VALUE(ResultsTeams[[#This Row],[Score-A]]),""))</f>
        <v>2</v>
      </c>
      <c r="R356" s="265">
        <f>IF(ResultsTeams[[#This Row],[Type]]="G",SUM(R357:R360),IF(LEFT(ResultsTeams[[#This Row],[Type]],1)="P",VALUE(ResultsTeams[[#This Row],[Score-B]]),""))</f>
        <v>7</v>
      </c>
      <c r="S356" s="265" t="str">
        <f ca="1">IF(AND(ResultsTeams[[#This Row],[Category]]&lt;&gt;"",ResultsTeams[[#This Row],[Team A]]&lt;&gt;""),COUNTIF(INDIRECT("TeamsList[Club Name]"),ResultsTeams[[#This Row],[Team A]]),"")</f>
        <v/>
      </c>
      <c r="T356" s="265" t="str">
        <f ca="1">IF(AND(ResultsTeams[[#This Row],[Category]]&lt;&gt;"",ResultsTeams[[#This Row],[Team B]]&lt;&gt;""),COUNTIF(INDIRECT("TeamsList[Club Name]"),ResultsTeams[[#This Row],[Team B]]),"")</f>
        <v/>
      </c>
      <c r="U3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-Francesco Borgo</v>
      </c>
      <c r="V356" s="265" t="str">
        <f>IF(ResultsTeams[[#This Row],[Score_OK]],IF(ResultsTeams[[#This Row],[StageCpy]]="Groups",ResultsTeams[[#This Row],[Category]]&amp;"-"&amp;IF(ResultsTeams[[#This Row],[Team B]]="","",IF(ResultsTeams[[#This Row],[Match-A]]=ResultsTeams[[#This Row],[Match-B]],ResultsTeams[[#This Row],[Team A]],"")),""),"")</f>
        <v>-</v>
      </c>
      <c r="W356" s="265" t="str">
        <f>IF(ResultsTeams[[#This Row],[Score_OK]],IF(ResultsTeams[[#This Row],[StageCpy]]="Groups",ResultsTeams[[#This Row],[Category]]&amp;"-"&amp;IF(ResultsTeams[[#This Row],[Team B]]="","",IF(ResultsTeams[[#This Row],[Match-A]]=ResultsTeams[[#This Row],[Match-B]],ResultsTeams[[#This Row],[Team B]],"")),""),"")</f>
        <v>-</v>
      </c>
      <c r="X3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Wouters</v>
      </c>
      <c r="Y3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6" s="264" t="str">
        <f>IF(ResultsTeams[[#This Row],[Category]]="","",VLOOKUP(ResultsTeams[[#This Row],[Stage]],$R$1:$T$8,MATCH(ResultsTeams[[#This Row],[Category]],$S$1:$T$1,0)+1,FALSE))</f>
        <v/>
      </c>
      <c r="AC3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6" s="264" t="str">
        <f>IF(ResultsTeams[[#This Row],[Type]]="G",ResultsTeams[[#This Row],[Stage]],AD355)</f>
        <v>Groups</v>
      </c>
      <c r="AE356" s="395" t="str">
        <f>IF(ResultsTeams[[#This Row],[Type]]="G",INDEX(TeamsList[Club Name],MATCH(ResultsTeams[[#This Row],[Team A]],TeamsList[Team Name],0)),AE355)</f>
        <v>SC Flanders</v>
      </c>
      <c r="AF356" s="395" t="str">
        <f>IF(ResultsTeams[[#This Row],[Type]]="G",INDEX(TeamsList[Club Name],MATCH(ResultsTeams[[#This Row],[Team B]],TeamsList[Team Name],0)),AF355)</f>
        <v>Subbuteo Casale</v>
      </c>
      <c r="AG356" s="265"/>
    </row>
    <row r="357" spans="1:33" x14ac:dyDescent="0.2">
      <c r="A357" s="62"/>
      <c r="B357" s="280"/>
      <c r="C357" s="62"/>
      <c r="D357" s="62"/>
      <c r="E357" s="241" t="s">
        <v>12234</v>
      </c>
      <c r="F357" s="244" t="s">
        <v>8538</v>
      </c>
      <c r="G357" s="246" t="s">
        <v>10024</v>
      </c>
      <c r="H357" s="254">
        <v>4</v>
      </c>
      <c r="I357" s="254">
        <v>4</v>
      </c>
      <c r="J357" s="254"/>
      <c r="K357" s="363"/>
      <c r="L357" s="363"/>
      <c r="M357" s="63"/>
      <c r="N357" s="265" t="b">
        <f>NOT(ISERROR(ResultsTeams[[#This Row],[Goal-A]]+ResultsTeams[[#This Row],[Goal-B]]))</f>
        <v>1</v>
      </c>
      <c r="O357" s="265">
        <f>IF(ResultsTeams[[#This Row],[Type]]="G",SUM(O358:O361),IF(LEFT(ResultsTeams[[#This Row],[Type]],1)="P",IF(ResultsTeams[[#This Row],[Goal-A]]&gt;ResultsTeams[[#This Row],[Goal-B]],1,0),""))</f>
        <v>0</v>
      </c>
      <c r="P357" s="265">
        <f>IF(ResultsTeams[[#This Row],[Type]]="G",SUM(P358:P361),IF(LEFT(ResultsTeams[[#This Row],[Type]],1)="P",IF(ResultsTeams[[#This Row],[Goal-A]]&lt;ResultsTeams[[#This Row],[Goal-B]],1,0),""))</f>
        <v>0</v>
      </c>
      <c r="Q357" s="265">
        <f>IF(ResultsTeams[[#This Row],[Type]]="G",SUM(Q358:Q361),IF(LEFT(ResultsTeams[[#This Row],[Type]],1)="P",VALUE(ResultsTeams[[#This Row],[Score-A]]),""))</f>
        <v>4</v>
      </c>
      <c r="R357" s="265">
        <f>IF(ResultsTeams[[#This Row],[Type]]="G",SUM(R358:R361),IF(LEFT(ResultsTeams[[#This Row],[Type]],1)="P",VALUE(ResultsTeams[[#This Row],[Score-B]]),""))</f>
        <v>4</v>
      </c>
      <c r="S357" s="265" t="str">
        <f ca="1">IF(AND(ResultsTeams[[#This Row],[Category]]&lt;&gt;"",ResultsTeams[[#This Row],[Team A]]&lt;&gt;""),COUNTIF(INDIRECT("TeamsList[Club Name]"),ResultsTeams[[#This Row],[Team A]]),"")</f>
        <v/>
      </c>
      <c r="T357" s="265" t="str">
        <f ca="1">IF(AND(ResultsTeams[[#This Row],[Category]]&lt;&gt;"",ResultsTeams[[#This Row],[Team B]]&lt;&gt;""),COUNTIF(INDIRECT("TeamsList[Club Name]"),ResultsTeams[[#This Row],[Team B]]),"")</f>
        <v/>
      </c>
      <c r="U3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57" s="265" t="str">
        <f>IF(ResultsTeams[[#This Row],[Score_OK]],IF(ResultsTeams[[#This Row],[StageCpy]]="Groups",ResultsTeams[[#This Row],[Category]]&amp;"-"&amp;IF(ResultsTeams[[#This Row],[Team B]]="","",IF(ResultsTeams[[#This Row],[Match-A]]=ResultsTeams[[#This Row],[Match-B]],ResultsTeams[[#This Row],[Team A]],"")),""),"")</f>
        <v>-Brandon Lavender</v>
      </c>
      <c r="W357" s="265" t="str">
        <f>IF(ResultsTeams[[#This Row],[Score_OK]],IF(ResultsTeams[[#This Row],[StageCpy]]="Groups",ResultsTeams[[#This Row],[Category]]&amp;"-"&amp;IF(ResultsTeams[[#This Row],[Team B]]="","",IF(ResultsTeams[[#This Row],[Match-A]]=ResultsTeams[[#This Row],[Match-B]],ResultsTeams[[#This Row],[Team B]],"")),""),"")</f>
        <v>-Christian Fricano</v>
      </c>
      <c r="X3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7" s="264" t="str">
        <f>IF(ResultsTeams[[#This Row],[Category]]="","",VLOOKUP(ResultsTeams[[#This Row],[Stage]],$R$1:$T$8,MATCH(ResultsTeams[[#This Row],[Category]],$S$1:$T$1,0)+1,FALSE))</f>
        <v/>
      </c>
      <c r="AC3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7" s="264" t="str">
        <f>IF(ResultsTeams[[#This Row],[Type]]="G",ResultsTeams[[#This Row],[Stage]],AD356)</f>
        <v>Groups</v>
      </c>
      <c r="AE357" s="395" t="str">
        <f>IF(ResultsTeams[[#This Row],[Type]]="G",INDEX(TeamsList[Club Name],MATCH(ResultsTeams[[#This Row],[Team A]],TeamsList[Team Name],0)),AE356)</f>
        <v>SC Flanders</v>
      </c>
      <c r="AF357" s="395" t="str">
        <f>IF(ResultsTeams[[#This Row],[Type]]="G",INDEX(TeamsList[Club Name],MATCH(ResultsTeams[[#This Row],[Team B]],TeamsList[Team Name],0)),AF356)</f>
        <v>Subbuteo Casale</v>
      </c>
      <c r="AG357" s="265"/>
    </row>
    <row r="358" spans="1:33" x14ac:dyDescent="0.2">
      <c r="A358" s="62"/>
      <c r="B358" s="280"/>
      <c r="C358" s="62"/>
      <c r="D358" s="62"/>
      <c r="E358" s="241" t="s">
        <v>12237</v>
      </c>
      <c r="F358" s="246" t="s">
        <v>8113</v>
      </c>
      <c r="G358" s="246" t="s">
        <v>9527</v>
      </c>
      <c r="H358" s="254">
        <v>0</v>
      </c>
      <c r="I358" s="254">
        <v>5</v>
      </c>
      <c r="J358" s="254"/>
      <c r="K358" s="363"/>
      <c r="L358" s="363"/>
      <c r="M358" s="63"/>
      <c r="N358" s="265" t="b">
        <f>NOT(ISERROR(ResultsTeams[[#This Row],[Goal-A]]+ResultsTeams[[#This Row],[Goal-B]]))</f>
        <v>1</v>
      </c>
      <c r="O358" s="265">
        <f>IF(ResultsTeams[[#This Row],[Type]]="G",SUM(O359:O362),IF(LEFT(ResultsTeams[[#This Row],[Type]],1)="P",IF(ResultsTeams[[#This Row],[Goal-A]]&gt;ResultsTeams[[#This Row],[Goal-B]],1,0),""))</f>
        <v>0</v>
      </c>
      <c r="P358" s="265">
        <f>IF(ResultsTeams[[#This Row],[Type]]="G",SUM(P359:P362),IF(LEFT(ResultsTeams[[#This Row],[Type]],1)="P",IF(ResultsTeams[[#This Row],[Goal-A]]&lt;ResultsTeams[[#This Row],[Goal-B]],1,0),""))</f>
        <v>1</v>
      </c>
      <c r="Q358" s="265">
        <f>IF(ResultsTeams[[#This Row],[Type]]="G",SUM(Q359:Q362),IF(LEFT(ResultsTeams[[#This Row],[Type]],1)="P",VALUE(ResultsTeams[[#This Row],[Score-A]]),""))</f>
        <v>0</v>
      </c>
      <c r="R358" s="265">
        <f>IF(ResultsTeams[[#This Row],[Type]]="G",SUM(R359:R362),IF(LEFT(ResultsTeams[[#This Row],[Type]],1)="P",VALUE(ResultsTeams[[#This Row],[Score-B]]),""))</f>
        <v>5</v>
      </c>
      <c r="S358" s="265" t="str">
        <f ca="1">IF(AND(ResultsTeams[[#This Row],[Category]]&lt;&gt;"",ResultsTeams[[#This Row],[Team A]]&lt;&gt;""),COUNTIF(INDIRECT("TeamsList[Club Name]"),ResultsTeams[[#This Row],[Team A]]),"")</f>
        <v/>
      </c>
      <c r="T358" s="265" t="str">
        <f ca="1">IF(AND(ResultsTeams[[#This Row],[Category]]&lt;&gt;"",ResultsTeams[[#This Row],[Team B]]&lt;&gt;""),COUNTIF(INDIRECT("TeamsList[Club Name]"),ResultsTeams[[#This Row],[Team B]]),"")</f>
        <v/>
      </c>
      <c r="U3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-Paolo Zambello</v>
      </c>
      <c r="V358" s="265" t="str">
        <f>IF(ResultsTeams[[#This Row],[Score_OK]],IF(ResultsTeams[[#This Row],[StageCpy]]="Groups",ResultsTeams[[#This Row],[Category]]&amp;"-"&amp;IF(ResultsTeams[[#This Row],[Team B]]="","",IF(ResultsTeams[[#This Row],[Match-A]]=ResultsTeams[[#This Row],[Match-B]],ResultsTeams[[#This Row],[Team A]],"")),""),"")</f>
        <v>-</v>
      </c>
      <c r="W358" s="265" t="str">
        <f>IF(ResultsTeams[[#This Row],[Score_OK]],IF(ResultsTeams[[#This Row],[StageCpy]]="Groups",ResultsTeams[[#This Row],[Category]]&amp;"-"&amp;IF(ResultsTeams[[#This Row],[Team B]]="","",IF(ResultsTeams[[#This Row],[Match-A]]=ResultsTeams[[#This Row],[Match-B]],ResultsTeams[[#This Row],[Team B]],"")),""),"")</f>
        <v>-</v>
      </c>
      <c r="X3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-Geert Leys</v>
      </c>
      <c r="Y3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8" s="264" t="str">
        <f>IF(ResultsTeams[[#This Row],[Category]]="","",VLOOKUP(ResultsTeams[[#This Row],[Stage]],$R$1:$T$8,MATCH(ResultsTeams[[#This Row],[Category]],$S$1:$T$1,0)+1,FALSE))</f>
        <v/>
      </c>
      <c r="AC3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8" s="264" t="str">
        <f>IF(ResultsTeams[[#This Row],[Type]]="G",ResultsTeams[[#This Row],[Stage]],AD357)</f>
        <v>Groups</v>
      </c>
      <c r="AE358" s="395" t="str">
        <f>IF(ResultsTeams[[#This Row],[Type]]="G",INDEX(TeamsList[Club Name],MATCH(ResultsTeams[[#This Row],[Team A]],TeamsList[Team Name],0)),AE357)</f>
        <v>SC Flanders</v>
      </c>
      <c r="AF358" s="395" t="str">
        <f>IF(ResultsTeams[[#This Row],[Type]]="G",INDEX(TeamsList[Club Name],MATCH(ResultsTeams[[#This Row],[Team B]],TeamsList[Team Name],0)),AF357)</f>
        <v>Subbuteo Casale</v>
      </c>
      <c r="AG358" s="265"/>
    </row>
    <row r="359" spans="1:33" x14ac:dyDescent="0.2">
      <c r="A359" s="62"/>
      <c r="B359" s="280"/>
      <c r="C359" s="62"/>
      <c r="D359" s="62"/>
      <c r="E359" s="241" t="s">
        <v>12240</v>
      </c>
      <c r="F359" s="246" t="s">
        <v>8163</v>
      </c>
      <c r="G359" s="246" t="s">
        <v>10364</v>
      </c>
      <c r="H359" s="254">
        <v>2</v>
      </c>
      <c r="I359" s="254">
        <v>4</v>
      </c>
      <c r="J359" s="254"/>
      <c r="K359" s="363"/>
      <c r="L359" s="363"/>
      <c r="M359" s="63"/>
      <c r="N359" s="265" t="b">
        <f>NOT(ISERROR(ResultsTeams[[#This Row],[Goal-A]]+ResultsTeams[[#This Row],[Goal-B]]))</f>
        <v>1</v>
      </c>
      <c r="O359" s="265">
        <f>IF(ResultsTeams[[#This Row],[Type]]="G",SUM(O360:O363),IF(LEFT(ResultsTeams[[#This Row],[Type]],1)="P",IF(ResultsTeams[[#This Row],[Goal-A]]&gt;ResultsTeams[[#This Row],[Goal-B]],1,0),""))</f>
        <v>0</v>
      </c>
      <c r="P359" s="265">
        <f>IF(ResultsTeams[[#This Row],[Type]]="G",SUM(P360:P363),IF(LEFT(ResultsTeams[[#This Row],[Type]],1)="P",IF(ResultsTeams[[#This Row],[Goal-A]]&lt;ResultsTeams[[#This Row],[Goal-B]],1,0),""))</f>
        <v>1</v>
      </c>
      <c r="Q359" s="265">
        <f>IF(ResultsTeams[[#This Row],[Type]]="G",SUM(Q360:Q363),IF(LEFT(ResultsTeams[[#This Row],[Type]],1)="P",VALUE(ResultsTeams[[#This Row],[Score-A]]),""))</f>
        <v>2</v>
      </c>
      <c r="R359" s="265">
        <f>IF(ResultsTeams[[#This Row],[Type]]="G",SUM(R360:R363),IF(LEFT(ResultsTeams[[#This Row],[Type]],1)="P",VALUE(ResultsTeams[[#This Row],[Score-B]]),""))</f>
        <v>4</v>
      </c>
      <c r="S359" s="265" t="str">
        <f ca="1">IF(AND(ResultsTeams[[#This Row],[Category]]&lt;&gt;"",ResultsTeams[[#This Row],[Team A]]&lt;&gt;""),COUNTIF(INDIRECT("TeamsList[Club Name]"),ResultsTeams[[#This Row],[Team A]]),"")</f>
        <v/>
      </c>
      <c r="T359" s="265" t="str">
        <f ca="1">IF(AND(ResultsTeams[[#This Row],[Category]]&lt;&gt;"",ResultsTeams[[#This Row],[Team B]]&lt;&gt;""),COUNTIF(INDIRECT("TeamsList[Club Name]"),ResultsTeams[[#This Row],[Team B]]),"")</f>
        <v/>
      </c>
      <c r="U3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-Alessandro Amatelli</v>
      </c>
      <c r="V359" s="265" t="str">
        <f>IF(ResultsTeams[[#This Row],[Score_OK]],IF(ResultsTeams[[#This Row],[StageCpy]]="Groups",ResultsTeams[[#This Row],[Category]]&amp;"-"&amp;IF(ResultsTeams[[#This Row],[Team B]]="","",IF(ResultsTeams[[#This Row],[Match-A]]=ResultsTeams[[#This Row],[Match-B]],ResultsTeams[[#This Row],[Team A]],"")),""),"")</f>
        <v>-</v>
      </c>
      <c r="W359" s="265" t="str">
        <f>IF(ResultsTeams[[#This Row],[Score_OK]],IF(ResultsTeams[[#This Row],[StageCpy]]="Groups",ResultsTeams[[#This Row],[Category]]&amp;"-"&amp;IF(ResultsTeams[[#This Row],[Team B]]="","",IF(ResultsTeams[[#This Row],[Match-A]]=ResultsTeams[[#This Row],[Match-B]],ResultsTeams[[#This Row],[Team B]],"")),""),"")</f>
        <v>-</v>
      </c>
      <c r="X3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-Yves Peremans</v>
      </c>
      <c r="Y3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9" s="264" t="str">
        <f>IF(ResultsTeams[[#This Row],[Category]]="","",VLOOKUP(ResultsTeams[[#This Row],[Stage]],$R$1:$T$8,MATCH(ResultsTeams[[#This Row],[Category]],$S$1:$T$1,0)+1,FALSE))</f>
        <v/>
      </c>
      <c r="AC3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9" s="264" t="str">
        <f>IF(ResultsTeams[[#This Row],[Type]]="G",ResultsTeams[[#This Row],[Stage]],AD358)</f>
        <v>Groups</v>
      </c>
      <c r="AE359" s="395" t="str">
        <f>IF(ResultsTeams[[#This Row],[Type]]="G",INDEX(TeamsList[Club Name],MATCH(ResultsTeams[[#This Row],[Team A]],TeamsList[Team Name],0)),AE358)</f>
        <v>SC Flanders</v>
      </c>
      <c r="AF359" s="395" t="str">
        <f>IF(ResultsTeams[[#This Row],[Type]]="G",INDEX(TeamsList[Club Name],MATCH(ResultsTeams[[#This Row],[Team B]],TeamsList[Team Name],0)),AF358)</f>
        <v>Subbuteo Casale</v>
      </c>
      <c r="AG359" s="265"/>
    </row>
    <row r="360" spans="1:33" x14ac:dyDescent="0.2">
      <c r="A360" s="62"/>
      <c r="B360" s="62"/>
      <c r="C360" s="62"/>
      <c r="D360" s="62"/>
      <c r="E360" s="241" t="s">
        <v>12243</v>
      </c>
      <c r="F360" s="247"/>
      <c r="G360" s="247"/>
      <c r="H360" s="254"/>
      <c r="I360" s="254"/>
      <c r="J360" s="260"/>
      <c r="K360" s="364"/>
      <c r="L360" s="364"/>
      <c r="M360" s="63"/>
      <c r="N360" s="265" t="b">
        <f>NOT(ISERROR(ResultsTeams[[#This Row],[Goal-A]]+ResultsTeams[[#This Row],[Goal-B]]))</f>
        <v>0</v>
      </c>
      <c r="O360" s="265" t="str">
        <f>IF(ResultsTeams[[#This Row],[Type]]="G",SUM(O361:O364),IF(LEFT(ResultsTeams[[#This Row],[Type]],1)="P",IF(ResultsTeams[[#This Row],[Goal-A]]&gt;ResultsTeams[[#This Row],[Goal-B]],1,0),""))</f>
        <v/>
      </c>
      <c r="P360" s="265" t="str">
        <f>IF(ResultsTeams[[#This Row],[Type]]="G",SUM(P361:P364),IF(LEFT(ResultsTeams[[#This Row],[Type]],1)="P",IF(ResultsTeams[[#This Row],[Goal-A]]&lt;ResultsTeams[[#This Row],[Goal-B]],1,0),""))</f>
        <v/>
      </c>
      <c r="Q360" s="265" t="str">
        <f>IF(ResultsTeams[[#This Row],[Type]]="G",SUM(Q361:Q364),IF(LEFT(ResultsTeams[[#This Row],[Type]],1)="P",VALUE(ResultsTeams[[#This Row],[Score-A]]),""))</f>
        <v/>
      </c>
      <c r="R360" s="265" t="str">
        <f>IF(ResultsTeams[[#This Row],[Type]]="G",SUM(R361:R364),IF(LEFT(ResultsTeams[[#This Row],[Type]],1)="P",VALUE(ResultsTeams[[#This Row],[Score-B]]),""))</f>
        <v/>
      </c>
      <c r="S360" s="265" t="str">
        <f ca="1">IF(AND(ResultsTeams[[#This Row],[Category]]&lt;&gt;"",ResultsTeams[[#This Row],[Team A]]&lt;&gt;""),COUNTIF(INDIRECT("TeamsList[Club Name]"),ResultsTeams[[#This Row],[Team A]]),"")</f>
        <v/>
      </c>
      <c r="T360" s="265" t="str">
        <f ca="1">IF(AND(ResultsTeams[[#This Row],[Category]]&lt;&gt;"",ResultsTeams[[#This Row],[Team B]]&lt;&gt;""),COUNTIF(INDIRECT("TeamsList[Club Name]"),ResultsTeams[[#This Row],[Team B]]),"")</f>
        <v/>
      </c>
      <c r="U3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0" s="265" t="str">
        <f>IF(ResultsTeams[[#This Row],[Score_OK]],IF(ResultsTeams[[#This Row],[StageCpy]]="Groups",ResultsTeams[[#This Row],[Category]]&amp;"-"&amp;IF(ResultsTeams[[#This Row],[Team B]]="","",IF(ResultsTeams[[#This Row],[Match-A]]=ResultsTeams[[#This Row],[Match-B]],ResultsTeams[[#This Row],[Team A]],"")),""),"")</f>
        <v/>
      </c>
      <c r="W360" s="265" t="str">
        <f>IF(ResultsTeams[[#This Row],[Score_OK]],IF(ResultsTeams[[#This Row],[StageCpy]]="Groups",ResultsTeams[[#This Row],[Category]]&amp;"-"&amp;IF(ResultsTeams[[#This Row],[Team B]]="","",IF(ResultsTeams[[#This Row],[Match-A]]=ResultsTeams[[#This Row],[Match-B]],ResultsTeams[[#This Row],[Team B]],"")),""),"")</f>
        <v/>
      </c>
      <c r="X3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0" s="264" t="str">
        <f>IF(ResultsTeams[[#This Row],[Category]]="","",VLOOKUP(ResultsTeams[[#This Row],[Stage]],$R$1:$T$8,MATCH(ResultsTeams[[#This Row],[Category]],$S$1:$T$1,0)+1,FALSE))</f>
        <v/>
      </c>
      <c r="AC3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0" s="264" t="str">
        <f>IF(ResultsTeams[[#This Row],[Type]]="G",ResultsTeams[[#This Row],[Stage]],AD359)</f>
        <v>Groups</v>
      </c>
      <c r="AE360" s="395" t="str">
        <f>IF(ResultsTeams[[#This Row],[Type]]="G",INDEX(TeamsList[Club Name],MATCH(ResultsTeams[[#This Row],[Team A]],TeamsList[Team Name],0)),AE359)</f>
        <v>SC Flanders</v>
      </c>
      <c r="AF360" s="395" t="str">
        <f>IF(ResultsTeams[[#This Row],[Type]]="G",INDEX(TeamsList[Club Name],MATCH(ResultsTeams[[#This Row],[Team B]],TeamsList[Team Name],0)),AF359)</f>
        <v>Subbuteo Casale</v>
      </c>
      <c r="AG360" s="265"/>
    </row>
    <row r="361" spans="1:33" ht="12" thickBot="1" x14ac:dyDescent="0.25">
      <c r="A361" s="83"/>
      <c r="B361" s="83"/>
      <c r="C361" s="83"/>
      <c r="D361" s="83"/>
      <c r="E361" s="268" t="s">
        <v>12244</v>
      </c>
      <c r="F361" s="262"/>
      <c r="G361" s="262"/>
      <c r="H361" s="324"/>
      <c r="I361" s="324"/>
      <c r="J361" s="263"/>
      <c r="K361" s="365"/>
      <c r="L361" s="365"/>
      <c r="M361" s="84"/>
      <c r="N361" s="265" t="b">
        <f>NOT(ISERROR(ResultsTeams[[#This Row],[Goal-A]]+ResultsTeams[[#This Row],[Goal-B]]))</f>
        <v>0</v>
      </c>
      <c r="O361" s="265" t="str">
        <f>IF(ResultsTeams[[#This Row],[Type]]="G",SUM(O362:O365),IF(LEFT(ResultsTeams[[#This Row],[Type]],1)="P",IF(ResultsTeams[[#This Row],[Goal-A]]&gt;ResultsTeams[[#This Row],[Goal-B]],1,0),""))</f>
        <v/>
      </c>
      <c r="P361" s="265" t="str">
        <f>IF(ResultsTeams[[#This Row],[Type]]="G",SUM(P362:P365),IF(LEFT(ResultsTeams[[#This Row],[Type]],1)="P",IF(ResultsTeams[[#This Row],[Goal-A]]&lt;ResultsTeams[[#This Row],[Goal-B]],1,0),""))</f>
        <v/>
      </c>
      <c r="Q361" s="265" t="str">
        <f>IF(ResultsTeams[[#This Row],[Type]]="G",SUM(Q362:Q365),IF(LEFT(ResultsTeams[[#This Row],[Type]],1)="P",VALUE(ResultsTeams[[#This Row],[Score-A]]),""))</f>
        <v/>
      </c>
      <c r="R361" s="265" t="str">
        <f>IF(ResultsTeams[[#This Row],[Type]]="G",SUM(R362:R365),IF(LEFT(ResultsTeams[[#This Row],[Type]],1)="P",VALUE(ResultsTeams[[#This Row],[Score-B]]),""))</f>
        <v/>
      </c>
      <c r="S361" s="265" t="str">
        <f ca="1">IF(AND(ResultsTeams[[#This Row],[Category]]&lt;&gt;"",ResultsTeams[[#This Row],[Team A]]&lt;&gt;""),COUNTIF(INDIRECT("TeamsList[Club Name]"),ResultsTeams[[#This Row],[Team A]]),"")</f>
        <v/>
      </c>
      <c r="T361" s="265" t="str">
        <f ca="1">IF(AND(ResultsTeams[[#This Row],[Category]]&lt;&gt;"",ResultsTeams[[#This Row],[Team B]]&lt;&gt;""),COUNTIF(INDIRECT("TeamsList[Club Name]"),ResultsTeams[[#This Row],[Team B]]),"")</f>
        <v/>
      </c>
      <c r="U3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1" s="265" t="str">
        <f>IF(ResultsTeams[[#This Row],[Score_OK]],IF(ResultsTeams[[#This Row],[StageCpy]]="Groups",ResultsTeams[[#This Row],[Category]]&amp;"-"&amp;IF(ResultsTeams[[#This Row],[Team B]]="","",IF(ResultsTeams[[#This Row],[Match-A]]=ResultsTeams[[#This Row],[Match-B]],ResultsTeams[[#This Row],[Team A]],"")),""),"")</f>
        <v/>
      </c>
      <c r="W361" s="265" t="str">
        <f>IF(ResultsTeams[[#This Row],[Score_OK]],IF(ResultsTeams[[#This Row],[StageCpy]]="Groups",ResultsTeams[[#This Row],[Category]]&amp;"-"&amp;IF(ResultsTeams[[#This Row],[Team B]]="","",IF(ResultsTeams[[#This Row],[Match-A]]=ResultsTeams[[#This Row],[Match-B]],ResultsTeams[[#This Row],[Team B]],"")),""),"")</f>
        <v/>
      </c>
      <c r="X3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1" s="264" t="str">
        <f>IF(ResultsTeams[[#This Row],[Category]]="","",VLOOKUP(ResultsTeams[[#This Row],[Stage]],$R$1:$T$8,MATCH(ResultsTeams[[#This Row],[Category]],$S$1:$T$1,0)+1,FALSE))</f>
        <v/>
      </c>
      <c r="AC3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1" s="264" t="str">
        <f>IF(ResultsTeams[[#This Row],[Type]]="G",ResultsTeams[[#This Row],[Stage]],AD360)</f>
        <v>Groups</v>
      </c>
      <c r="AE361" s="395" t="str">
        <f>IF(ResultsTeams[[#This Row],[Type]]="G",INDEX(TeamsList[Club Name],MATCH(ResultsTeams[[#This Row],[Team A]],TeamsList[Team Name],0)),AE360)</f>
        <v>SC Flanders</v>
      </c>
      <c r="AF361" s="395" t="str">
        <f>IF(ResultsTeams[[#This Row],[Type]]="G",INDEX(TeamsList[Club Name],MATCH(ResultsTeams[[#This Row],[Team B]],TeamsList[Team Name],0)),AF360)</f>
        <v>Subbuteo Casale</v>
      </c>
      <c r="AG361" s="265"/>
    </row>
    <row r="362" spans="1:33" ht="12" thickBot="1" x14ac:dyDescent="0.25">
      <c r="A362" s="261" t="s">
        <v>12693</v>
      </c>
      <c r="B362" s="270" t="s">
        <v>12207</v>
      </c>
      <c r="C362" s="270">
        <v>9</v>
      </c>
      <c r="D362" s="270"/>
      <c r="E362" s="272" t="s">
        <v>12228</v>
      </c>
      <c r="F362" s="273" t="s">
        <v>328</v>
      </c>
      <c r="G362" s="273" t="s">
        <v>14596</v>
      </c>
      <c r="H362" s="275">
        <v>4</v>
      </c>
      <c r="I362" s="275">
        <v>0</v>
      </c>
      <c r="J362" s="275"/>
      <c r="K362" s="366"/>
      <c r="L362" s="366"/>
      <c r="M362" s="274"/>
      <c r="N362" s="265" t="b">
        <f>NOT(ISERROR(ResultsTeams[[#This Row],[Goal-A]]+ResultsTeams[[#This Row],[Goal-B]]))</f>
        <v>1</v>
      </c>
      <c r="O362" s="265">
        <f>IF(ResultsTeams[[#This Row],[Type]]="G",SUM(O363:O366),IF(LEFT(ResultsTeams[[#This Row],[Type]],1)="P",IF(ResultsTeams[[#This Row],[Goal-A]]&gt;ResultsTeams[[#This Row],[Goal-B]],1,0),""))</f>
        <v>4</v>
      </c>
      <c r="P362" s="265">
        <f>IF(ResultsTeams[[#This Row],[Type]]="G",SUM(P363:P366),IF(LEFT(ResultsTeams[[#This Row],[Type]],1)="P",IF(ResultsTeams[[#This Row],[Goal-A]]&lt;ResultsTeams[[#This Row],[Goal-B]],1,0),""))</f>
        <v>0</v>
      </c>
      <c r="Q362" s="265">
        <f>IF(ResultsTeams[[#This Row],[Type]]="G",SUM(Q363:Q366),IF(LEFT(ResultsTeams[[#This Row],[Type]],1)="P",VALUE(ResultsTeams[[#This Row],[Score-A]]),""))</f>
        <v>20</v>
      </c>
      <c r="R362" s="265">
        <f>IF(ResultsTeams[[#This Row],[Type]]="G",SUM(R363:R366),IF(LEFT(ResultsTeams[[#This Row],[Type]],1)="P",VALUE(ResultsTeams[[#This Row],[Score-B]]),""))</f>
        <v>5</v>
      </c>
      <c r="S362" s="265">
        <f ca="1">IF(AND(ResultsTeams[[#This Row],[Category]]&lt;&gt;"",ResultsTeams[[#This Row],[Team A]]&lt;&gt;""),COUNTIF(INDIRECT("TeamsList[Club Name]"),ResultsTeams[[#This Row],[Team A]]),"")</f>
        <v>4</v>
      </c>
      <c r="T362" s="265">
        <f ca="1">IF(AND(ResultsTeams[[#This Row],[Category]]&lt;&gt;"",ResultsTeams[[#This Row],[Team B]]&lt;&gt;""),COUNTIF(INDIRECT("TeamsList[Club Name]"),ResultsTeams[[#This Row],[Team B]]),"")</f>
        <v>0</v>
      </c>
      <c r="U3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362" s="265" t="str">
        <f>IF(ResultsTeams[[#This Row],[Score_OK]],IF(ResultsTeams[[#This Row],[StageCpy]]="Groups",ResultsTeams[[#This Row],[Category]]&amp;"-"&amp;IF(ResultsTeams[[#This Row],[Team B]]="","",IF(ResultsTeams[[#This Row],[Match-A]]=ResultsTeams[[#This Row],[Match-B]],ResultsTeams[[#This Row],[Team A]],"")),""),"")</f>
        <v>TEAM-</v>
      </c>
      <c r="W362" s="265" t="str">
        <f>IF(ResultsTeams[[#This Row],[Score_OK]],IF(ResultsTeams[[#This Row],[StageCpy]]="Groups",ResultsTeams[[#This Row],[Category]]&amp;"-"&amp;IF(ResultsTeams[[#This Row],[Team B]]="","",IF(ResultsTeams[[#This Row],[Match-A]]=ResultsTeams[[#This Row],[Match-B]],ResultsTeams[[#This Row],[Team B]],"")),""),"")</f>
        <v>TEAM-</v>
      </c>
      <c r="X3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 2</v>
      </c>
      <c r="Y3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A3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B362" s="264" t="str">
        <f>IF(ResultsTeams[[#This Row],[Category]]="","",VLOOKUP(ResultsTeams[[#This Row],[Stage]],$R$1:$T$8,MATCH(ResultsTeams[[#This Row],[Category]],$S$1:$T$1,0)+1,FALSE))</f>
        <v>PR1</v>
      </c>
      <c r="AC3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2" s="264" t="str">
        <f>IF(ResultsTeams[[#This Row],[Type]]="G",ResultsTeams[[#This Row],[Stage]],AD361)</f>
        <v>Groups</v>
      </c>
      <c r="AE362" s="395" t="str">
        <f>IF(ResultsTeams[[#This Row],[Type]]="G",INDEX(TeamsList[Club Name],MATCH(ResultsTeams[[#This Row],[Team A]],TeamsList[Team Name],0)),AE361)</f>
        <v>Avenir Subbuteo Hennuyer</v>
      </c>
      <c r="AF362" s="395" t="str">
        <f>IF(ResultsTeams[[#This Row],[Type]]="G",INDEX(TeamsList[Club Name],MATCH(ResultsTeams[[#This Row],[Team B]],TeamsList[Team Name],0)),AF361)</f>
        <v>Wamme SC</v>
      </c>
      <c r="AG362" s="265"/>
    </row>
    <row r="363" spans="1:33" x14ac:dyDescent="0.2">
      <c r="A363" s="60"/>
      <c r="B363" s="280"/>
      <c r="C363" s="60"/>
      <c r="D363" s="60"/>
      <c r="E363" s="240" t="s">
        <v>12231</v>
      </c>
      <c r="F363" s="244" t="s">
        <v>8088</v>
      </c>
      <c r="G363" s="244" t="s">
        <v>8191</v>
      </c>
      <c r="H363" s="253">
        <v>3</v>
      </c>
      <c r="I363" s="253">
        <v>1</v>
      </c>
      <c r="J363" s="253"/>
      <c r="K363" s="362"/>
      <c r="L363" s="362"/>
      <c r="M363" s="245"/>
      <c r="N363" s="265" t="b">
        <f>NOT(ISERROR(ResultsTeams[[#This Row],[Goal-A]]+ResultsTeams[[#This Row],[Goal-B]]))</f>
        <v>1</v>
      </c>
      <c r="O363" s="265">
        <f>IF(ResultsTeams[[#This Row],[Type]]="G",SUM(O364:O367),IF(LEFT(ResultsTeams[[#This Row],[Type]],1)="P",IF(ResultsTeams[[#This Row],[Goal-A]]&gt;ResultsTeams[[#This Row],[Goal-B]],1,0),""))</f>
        <v>1</v>
      </c>
      <c r="P363" s="265">
        <f>IF(ResultsTeams[[#This Row],[Type]]="G",SUM(P364:P367),IF(LEFT(ResultsTeams[[#This Row],[Type]],1)="P",IF(ResultsTeams[[#This Row],[Goal-A]]&lt;ResultsTeams[[#This Row],[Goal-B]],1,0),""))</f>
        <v>0</v>
      </c>
      <c r="Q363" s="265">
        <f>IF(ResultsTeams[[#This Row],[Type]]="G",SUM(Q364:Q367),IF(LEFT(ResultsTeams[[#This Row],[Type]],1)="P",VALUE(ResultsTeams[[#This Row],[Score-A]]),""))</f>
        <v>3</v>
      </c>
      <c r="R363" s="265">
        <f>IF(ResultsTeams[[#This Row],[Type]]="G",SUM(R364:R367),IF(LEFT(ResultsTeams[[#This Row],[Type]],1)="P",VALUE(ResultsTeams[[#This Row],[Score-B]]),""))</f>
        <v>1</v>
      </c>
      <c r="S363" s="265" t="str">
        <f ca="1">IF(AND(ResultsTeams[[#This Row],[Category]]&lt;&gt;"",ResultsTeams[[#This Row],[Team A]]&lt;&gt;""),COUNTIF(INDIRECT("TeamsList[Club Name]"),ResultsTeams[[#This Row],[Team A]]),"")</f>
        <v/>
      </c>
      <c r="T363" s="265" t="str">
        <f ca="1">IF(AND(ResultsTeams[[#This Row],[Category]]&lt;&gt;"",ResultsTeams[[#This Row],[Team B]]&lt;&gt;""),COUNTIF(INDIRECT("TeamsList[Club Name]"),ResultsTeams[[#This Row],[Team B]]),"")</f>
        <v/>
      </c>
      <c r="U3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-Steffen Despretz</v>
      </c>
      <c r="V363" s="265" t="str">
        <f>IF(ResultsTeams[[#This Row],[Score_OK]],IF(ResultsTeams[[#This Row],[StageCpy]]="Groups",ResultsTeams[[#This Row],[Category]]&amp;"-"&amp;IF(ResultsTeams[[#This Row],[Team B]]="","",IF(ResultsTeams[[#This Row],[Match-A]]=ResultsTeams[[#This Row],[Match-B]],ResultsTeams[[#This Row],[Team A]],"")),""),"")</f>
        <v>-</v>
      </c>
      <c r="W363" s="265" t="str">
        <f>IF(ResultsTeams[[#This Row],[Score_OK]],IF(ResultsTeams[[#This Row],[StageCpy]]="Groups",ResultsTeams[[#This Row],[Category]]&amp;"-"&amp;IF(ResultsTeams[[#This Row],[Team B]]="","",IF(ResultsTeams[[#This Row],[Match-A]]=ResultsTeams[[#This Row],[Match-B]],ResultsTeams[[#This Row],[Team B]],"")),""),"")</f>
        <v>-</v>
      </c>
      <c r="X3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3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3" s="264" t="str">
        <f>IF(ResultsTeams[[#This Row],[Category]]="","",VLOOKUP(ResultsTeams[[#This Row],[Stage]],$R$1:$T$8,MATCH(ResultsTeams[[#This Row],[Category]],$S$1:$T$1,0)+1,FALSE))</f>
        <v/>
      </c>
      <c r="AC3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3" s="264" t="str">
        <f>IF(ResultsTeams[[#This Row],[Type]]="G",ResultsTeams[[#This Row],[Stage]],AD362)</f>
        <v>Groups</v>
      </c>
      <c r="AE363" s="395" t="str">
        <f>IF(ResultsTeams[[#This Row],[Type]]="G",INDEX(TeamsList[Club Name],MATCH(ResultsTeams[[#This Row],[Team A]],TeamsList[Team Name],0)),AE362)</f>
        <v>Avenir Subbuteo Hennuyer</v>
      </c>
      <c r="AF363" s="395" t="str">
        <f>IF(ResultsTeams[[#This Row],[Type]]="G",INDEX(TeamsList[Club Name],MATCH(ResultsTeams[[#This Row],[Team B]],TeamsList[Team Name],0)),AF362)</f>
        <v>Wamme SC</v>
      </c>
      <c r="AG363" s="265"/>
    </row>
    <row r="364" spans="1:33" x14ac:dyDescent="0.2">
      <c r="A364" s="62"/>
      <c r="B364" s="280"/>
      <c r="C364" s="62"/>
      <c r="D364" s="62"/>
      <c r="E364" s="241" t="s">
        <v>12234</v>
      </c>
      <c r="F364" s="246" t="s">
        <v>8777</v>
      </c>
      <c r="G364" s="246" t="s">
        <v>14481</v>
      </c>
      <c r="H364" s="254">
        <v>5</v>
      </c>
      <c r="I364" s="254">
        <v>1</v>
      </c>
      <c r="J364" s="254"/>
      <c r="K364" s="363"/>
      <c r="L364" s="363"/>
      <c r="M364" s="247"/>
      <c r="N364" s="265" t="b">
        <f>NOT(ISERROR(ResultsTeams[[#This Row],[Goal-A]]+ResultsTeams[[#This Row],[Goal-B]]))</f>
        <v>1</v>
      </c>
      <c r="O364" s="265">
        <f>IF(ResultsTeams[[#This Row],[Type]]="G",SUM(O365:O368),IF(LEFT(ResultsTeams[[#This Row],[Type]],1)="P",IF(ResultsTeams[[#This Row],[Goal-A]]&gt;ResultsTeams[[#This Row],[Goal-B]],1,0),""))</f>
        <v>1</v>
      </c>
      <c r="P364" s="265">
        <f>IF(ResultsTeams[[#This Row],[Type]]="G",SUM(P365:P368),IF(LEFT(ResultsTeams[[#This Row],[Type]],1)="P",IF(ResultsTeams[[#This Row],[Goal-A]]&lt;ResultsTeams[[#This Row],[Goal-B]],1,0),""))</f>
        <v>0</v>
      </c>
      <c r="Q364" s="265">
        <f>IF(ResultsTeams[[#This Row],[Type]]="G",SUM(Q365:Q368),IF(LEFT(ResultsTeams[[#This Row],[Type]],1)="P",VALUE(ResultsTeams[[#This Row],[Score-A]]),""))</f>
        <v>5</v>
      </c>
      <c r="R364" s="265">
        <f>IF(ResultsTeams[[#This Row],[Type]]="G",SUM(R365:R368),IF(LEFT(ResultsTeams[[#This Row],[Type]],1)="P",VALUE(ResultsTeams[[#This Row],[Score-B]]),""))</f>
        <v>1</v>
      </c>
      <c r="S364" s="265" t="str">
        <f ca="1">IF(AND(ResultsTeams[[#This Row],[Category]]&lt;&gt;"",ResultsTeams[[#This Row],[Team A]]&lt;&gt;""),COUNTIF(INDIRECT("TeamsList[Club Name]"),ResultsTeams[[#This Row],[Team A]]),"")</f>
        <v/>
      </c>
      <c r="T364" s="265" t="str">
        <f ca="1">IF(AND(ResultsTeams[[#This Row],[Category]]&lt;&gt;"",ResultsTeams[[#This Row],[Team B]]&lt;&gt;""),COUNTIF(INDIRECT("TeamsList[Club Name]"),ResultsTeams[[#This Row],[Team B]]),"")</f>
        <v/>
      </c>
      <c r="U3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-Christos Angelinas</v>
      </c>
      <c r="V364" s="265" t="str">
        <f>IF(ResultsTeams[[#This Row],[Score_OK]],IF(ResultsTeams[[#This Row],[StageCpy]]="Groups",ResultsTeams[[#This Row],[Category]]&amp;"-"&amp;IF(ResultsTeams[[#This Row],[Team B]]="","",IF(ResultsTeams[[#This Row],[Match-A]]=ResultsTeams[[#This Row],[Match-B]],ResultsTeams[[#This Row],[Team A]],"")),""),"")</f>
        <v>-</v>
      </c>
      <c r="W364" s="265" t="str">
        <f>IF(ResultsTeams[[#This Row],[Score_OK]],IF(ResultsTeams[[#This Row],[StageCpy]]="Groups",ResultsTeams[[#This Row],[Category]]&amp;"-"&amp;IF(ResultsTeams[[#This Row],[Team B]]="","",IF(ResultsTeams[[#This Row],[Match-A]]=ResultsTeams[[#This Row],[Match-B]],ResultsTeams[[#This Row],[Team B]],"")),""),"")</f>
        <v>-</v>
      </c>
      <c r="X3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-Vincent Dirick</v>
      </c>
      <c r="Y3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4" s="264" t="str">
        <f>IF(ResultsTeams[[#This Row],[Category]]="","",VLOOKUP(ResultsTeams[[#This Row],[Stage]],$R$1:$T$8,MATCH(ResultsTeams[[#This Row],[Category]],$S$1:$T$1,0)+1,FALSE))</f>
        <v/>
      </c>
      <c r="AC3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4" s="264" t="str">
        <f>IF(ResultsTeams[[#This Row],[Type]]="G",ResultsTeams[[#This Row],[Stage]],AD363)</f>
        <v>Groups</v>
      </c>
      <c r="AE364" s="395" t="str">
        <f>IF(ResultsTeams[[#This Row],[Type]]="G",INDEX(TeamsList[Club Name],MATCH(ResultsTeams[[#This Row],[Team A]],TeamsList[Team Name],0)),AE363)</f>
        <v>Avenir Subbuteo Hennuyer</v>
      </c>
      <c r="AF364" s="395" t="str">
        <f>IF(ResultsTeams[[#This Row],[Type]]="G",INDEX(TeamsList[Club Name],MATCH(ResultsTeams[[#This Row],[Team B]],TeamsList[Team Name],0)),AF363)</f>
        <v>Wamme SC</v>
      </c>
      <c r="AG364" s="265"/>
    </row>
    <row r="365" spans="1:33" x14ac:dyDescent="0.2">
      <c r="A365" s="62"/>
      <c r="B365" s="280"/>
      <c r="C365" s="62"/>
      <c r="D365" s="62"/>
      <c r="E365" s="241" t="s">
        <v>12237</v>
      </c>
      <c r="F365" s="246" t="s">
        <v>8115</v>
      </c>
      <c r="G365" s="246" t="s">
        <v>8179</v>
      </c>
      <c r="H365" s="254">
        <v>5</v>
      </c>
      <c r="I365" s="254">
        <v>3</v>
      </c>
      <c r="J365" s="254"/>
      <c r="K365" s="363"/>
      <c r="L365" s="363"/>
      <c r="M365" s="247"/>
      <c r="N365" s="265" t="b">
        <f>NOT(ISERROR(ResultsTeams[[#This Row],[Goal-A]]+ResultsTeams[[#This Row],[Goal-B]]))</f>
        <v>1</v>
      </c>
      <c r="O365" s="265">
        <f>IF(ResultsTeams[[#This Row],[Type]]="G",SUM(O366:O369),IF(LEFT(ResultsTeams[[#This Row],[Type]],1)="P",IF(ResultsTeams[[#This Row],[Goal-A]]&gt;ResultsTeams[[#This Row],[Goal-B]],1,0),""))</f>
        <v>1</v>
      </c>
      <c r="P365" s="265">
        <f>IF(ResultsTeams[[#This Row],[Type]]="G",SUM(P366:P369),IF(LEFT(ResultsTeams[[#This Row],[Type]],1)="P",IF(ResultsTeams[[#This Row],[Goal-A]]&lt;ResultsTeams[[#This Row],[Goal-B]],1,0),""))</f>
        <v>0</v>
      </c>
      <c r="Q365" s="265">
        <f>IF(ResultsTeams[[#This Row],[Type]]="G",SUM(Q366:Q369),IF(LEFT(ResultsTeams[[#This Row],[Type]],1)="P",VALUE(ResultsTeams[[#This Row],[Score-A]]),""))</f>
        <v>5</v>
      </c>
      <c r="R365" s="265">
        <f>IF(ResultsTeams[[#This Row],[Type]]="G",SUM(R366:R369),IF(LEFT(ResultsTeams[[#This Row],[Type]],1)="P",VALUE(ResultsTeams[[#This Row],[Score-B]]),""))</f>
        <v>3</v>
      </c>
      <c r="S365" s="265" t="str">
        <f ca="1">IF(AND(ResultsTeams[[#This Row],[Category]]&lt;&gt;"",ResultsTeams[[#This Row],[Team A]]&lt;&gt;""),COUNTIF(INDIRECT("TeamsList[Club Name]"),ResultsTeams[[#This Row],[Team A]]),"")</f>
        <v/>
      </c>
      <c r="T365" s="265" t="str">
        <f ca="1">IF(AND(ResultsTeams[[#This Row],[Category]]&lt;&gt;"",ResultsTeams[[#This Row],[Team B]]&lt;&gt;""),COUNTIF(INDIRECT("TeamsList[Club Name]"),ResultsTeams[[#This Row],[Team B]]),"")</f>
        <v/>
      </c>
      <c r="U3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-Geoffrey Marain</v>
      </c>
      <c r="V365" s="265" t="str">
        <f>IF(ResultsTeams[[#This Row],[Score_OK]],IF(ResultsTeams[[#This Row],[StageCpy]]="Groups",ResultsTeams[[#This Row],[Category]]&amp;"-"&amp;IF(ResultsTeams[[#This Row],[Team B]]="","",IF(ResultsTeams[[#This Row],[Match-A]]=ResultsTeams[[#This Row],[Match-B]],ResultsTeams[[#This Row],[Team A]],"")),""),"")</f>
        <v>-</v>
      </c>
      <c r="W365" s="265" t="str">
        <f>IF(ResultsTeams[[#This Row],[Score_OK]],IF(ResultsTeams[[#This Row],[StageCpy]]="Groups",ResultsTeams[[#This Row],[Category]]&amp;"-"&amp;IF(ResultsTeams[[#This Row],[Team B]]="","",IF(ResultsTeams[[#This Row],[Match-A]]=ResultsTeams[[#This Row],[Match-B]],ResultsTeams[[#This Row],[Team B]],"")),""),"")</f>
        <v>-</v>
      </c>
      <c r="X3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-Maxim Grosdent</v>
      </c>
      <c r="Y3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5" s="264" t="str">
        <f>IF(ResultsTeams[[#This Row],[Category]]="","",VLOOKUP(ResultsTeams[[#This Row],[Stage]],$R$1:$T$8,MATCH(ResultsTeams[[#This Row],[Category]],$S$1:$T$1,0)+1,FALSE))</f>
        <v/>
      </c>
      <c r="AC3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5" s="264" t="str">
        <f>IF(ResultsTeams[[#This Row],[Type]]="G",ResultsTeams[[#This Row],[Stage]],AD364)</f>
        <v>Groups</v>
      </c>
      <c r="AE365" s="395" t="str">
        <f>IF(ResultsTeams[[#This Row],[Type]]="G",INDEX(TeamsList[Club Name],MATCH(ResultsTeams[[#This Row],[Team A]],TeamsList[Team Name],0)),AE364)</f>
        <v>Avenir Subbuteo Hennuyer</v>
      </c>
      <c r="AF365" s="395" t="str">
        <f>IF(ResultsTeams[[#This Row],[Type]]="G",INDEX(TeamsList[Club Name],MATCH(ResultsTeams[[#This Row],[Team B]],TeamsList[Team Name],0)),AF364)</f>
        <v>Wamme SC</v>
      </c>
      <c r="AG365" s="265"/>
    </row>
    <row r="366" spans="1:33" x14ac:dyDescent="0.2">
      <c r="A366" s="62"/>
      <c r="B366" s="280"/>
      <c r="C366" s="62"/>
      <c r="D366" s="62"/>
      <c r="E366" s="241" t="s">
        <v>12240</v>
      </c>
      <c r="F366" s="246" t="s">
        <v>8120</v>
      </c>
      <c r="G366" s="246" t="s">
        <v>8195</v>
      </c>
      <c r="H366" s="254">
        <v>7</v>
      </c>
      <c r="I366" s="254">
        <v>0</v>
      </c>
      <c r="J366" s="254"/>
      <c r="K366" s="363"/>
      <c r="L366" s="363"/>
      <c r="M366" s="247"/>
      <c r="N366" s="265" t="b">
        <f>NOT(ISERROR(ResultsTeams[[#This Row],[Goal-A]]+ResultsTeams[[#This Row],[Goal-B]]))</f>
        <v>1</v>
      </c>
      <c r="O366" s="265">
        <f>IF(ResultsTeams[[#This Row],[Type]]="G",SUM(O367:O370),IF(LEFT(ResultsTeams[[#This Row],[Type]],1)="P",IF(ResultsTeams[[#This Row],[Goal-A]]&gt;ResultsTeams[[#This Row],[Goal-B]],1,0),""))</f>
        <v>1</v>
      </c>
      <c r="P366" s="265">
        <f>IF(ResultsTeams[[#This Row],[Type]]="G",SUM(P367:P370),IF(LEFT(ResultsTeams[[#This Row],[Type]],1)="P",IF(ResultsTeams[[#This Row],[Goal-A]]&lt;ResultsTeams[[#This Row],[Goal-B]],1,0),""))</f>
        <v>0</v>
      </c>
      <c r="Q366" s="265">
        <f>IF(ResultsTeams[[#This Row],[Type]]="G",SUM(Q367:Q370),IF(LEFT(ResultsTeams[[#This Row],[Type]],1)="P",VALUE(ResultsTeams[[#This Row],[Score-A]]),""))</f>
        <v>7</v>
      </c>
      <c r="R366" s="265">
        <f>IF(ResultsTeams[[#This Row],[Type]]="G",SUM(R367:R370),IF(LEFT(ResultsTeams[[#This Row],[Type]],1)="P",VALUE(ResultsTeams[[#This Row],[Score-B]]),""))</f>
        <v>0</v>
      </c>
      <c r="S366" s="265" t="str">
        <f ca="1">IF(AND(ResultsTeams[[#This Row],[Category]]&lt;&gt;"",ResultsTeams[[#This Row],[Team A]]&lt;&gt;""),COUNTIF(INDIRECT("TeamsList[Club Name]"),ResultsTeams[[#This Row],[Team A]]),"")</f>
        <v/>
      </c>
      <c r="T366" s="265" t="str">
        <f ca="1">IF(AND(ResultsTeams[[#This Row],[Category]]&lt;&gt;"",ResultsTeams[[#This Row],[Team B]]&lt;&gt;""),COUNTIF(INDIRECT("TeamsList[Club Name]"),ResultsTeams[[#This Row],[Team B]]),"")</f>
        <v/>
      </c>
      <c r="U3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-Lucas Pere</v>
      </c>
      <c r="V366" s="265" t="str">
        <f>IF(ResultsTeams[[#This Row],[Score_OK]],IF(ResultsTeams[[#This Row],[StageCpy]]="Groups",ResultsTeams[[#This Row],[Category]]&amp;"-"&amp;IF(ResultsTeams[[#This Row],[Team B]]="","",IF(ResultsTeams[[#This Row],[Match-A]]=ResultsTeams[[#This Row],[Match-B]],ResultsTeams[[#This Row],[Team A]],"")),""),"")</f>
        <v>-</v>
      </c>
      <c r="W366" s="265" t="str">
        <f>IF(ResultsTeams[[#This Row],[Score_OK]],IF(ResultsTeams[[#This Row],[StageCpy]]="Groups",ResultsTeams[[#This Row],[Category]]&amp;"-"&amp;IF(ResultsTeams[[#This Row],[Team B]]="","",IF(ResultsTeams[[#This Row],[Match-A]]=ResultsTeams[[#This Row],[Match-B]],ResultsTeams[[#This Row],[Team B]],"")),""),"")</f>
        <v>-</v>
      </c>
      <c r="X3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Boulanger</v>
      </c>
      <c r="Y3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6" s="264" t="str">
        <f>IF(ResultsTeams[[#This Row],[Category]]="","",VLOOKUP(ResultsTeams[[#This Row],[Stage]],$R$1:$T$8,MATCH(ResultsTeams[[#This Row],[Category]],$S$1:$T$1,0)+1,FALSE))</f>
        <v/>
      </c>
      <c r="AC3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6" s="264" t="str">
        <f>IF(ResultsTeams[[#This Row],[Type]]="G",ResultsTeams[[#This Row],[Stage]],AD365)</f>
        <v>Groups</v>
      </c>
      <c r="AE366" s="395" t="str">
        <f>IF(ResultsTeams[[#This Row],[Type]]="G",INDEX(TeamsList[Club Name],MATCH(ResultsTeams[[#This Row],[Team A]],TeamsList[Team Name],0)),AE365)</f>
        <v>Avenir Subbuteo Hennuyer</v>
      </c>
      <c r="AF366" s="395" t="str">
        <f>IF(ResultsTeams[[#This Row],[Type]]="G",INDEX(TeamsList[Club Name],MATCH(ResultsTeams[[#This Row],[Team B]],TeamsList[Team Name],0)),AF365)</f>
        <v>Wamme SC</v>
      </c>
      <c r="AG366" s="265"/>
    </row>
    <row r="367" spans="1:33" x14ac:dyDescent="0.2">
      <c r="A367" s="62"/>
      <c r="B367" s="62"/>
      <c r="C367" s="62"/>
      <c r="D367" s="62"/>
      <c r="E367" s="241" t="s">
        <v>12243</v>
      </c>
      <c r="F367" s="247"/>
      <c r="G367" s="247"/>
      <c r="H367" s="254"/>
      <c r="I367" s="254"/>
      <c r="J367" s="260"/>
      <c r="K367" s="364"/>
      <c r="L367" s="364"/>
      <c r="M367" s="247"/>
      <c r="N367" s="265" t="b">
        <f>NOT(ISERROR(ResultsTeams[[#This Row],[Goal-A]]+ResultsTeams[[#This Row],[Goal-B]]))</f>
        <v>0</v>
      </c>
      <c r="O367" s="265" t="str">
        <f>IF(ResultsTeams[[#This Row],[Type]]="G",SUM(O368:O371),IF(LEFT(ResultsTeams[[#This Row],[Type]],1)="P",IF(ResultsTeams[[#This Row],[Goal-A]]&gt;ResultsTeams[[#This Row],[Goal-B]],1,0),""))</f>
        <v/>
      </c>
      <c r="P367" s="265" t="str">
        <f>IF(ResultsTeams[[#This Row],[Type]]="G",SUM(P368:P371),IF(LEFT(ResultsTeams[[#This Row],[Type]],1)="P",IF(ResultsTeams[[#This Row],[Goal-A]]&lt;ResultsTeams[[#This Row],[Goal-B]],1,0),""))</f>
        <v/>
      </c>
      <c r="Q367" s="265" t="str">
        <f>IF(ResultsTeams[[#This Row],[Type]]="G",SUM(Q368:Q371),IF(LEFT(ResultsTeams[[#This Row],[Type]],1)="P",VALUE(ResultsTeams[[#This Row],[Score-A]]),""))</f>
        <v/>
      </c>
      <c r="R367" s="265" t="str">
        <f>IF(ResultsTeams[[#This Row],[Type]]="G",SUM(R368:R371),IF(LEFT(ResultsTeams[[#This Row],[Type]],1)="P",VALUE(ResultsTeams[[#This Row],[Score-B]]),""))</f>
        <v/>
      </c>
      <c r="S367" s="265" t="str">
        <f ca="1">IF(AND(ResultsTeams[[#This Row],[Category]]&lt;&gt;"",ResultsTeams[[#This Row],[Team A]]&lt;&gt;""),COUNTIF(INDIRECT("TeamsList[Club Name]"),ResultsTeams[[#This Row],[Team A]]),"")</f>
        <v/>
      </c>
      <c r="T367" s="265" t="str">
        <f ca="1">IF(AND(ResultsTeams[[#This Row],[Category]]&lt;&gt;"",ResultsTeams[[#This Row],[Team B]]&lt;&gt;""),COUNTIF(INDIRECT("TeamsList[Club Name]"),ResultsTeams[[#This Row],[Team B]]),"")</f>
        <v/>
      </c>
      <c r="U3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7" s="265" t="str">
        <f>IF(ResultsTeams[[#This Row],[Score_OK]],IF(ResultsTeams[[#This Row],[StageCpy]]="Groups",ResultsTeams[[#This Row],[Category]]&amp;"-"&amp;IF(ResultsTeams[[#This Row],[Team B]]="","",IF(ResultsTeams[[#This Row],[Match-A]]=ResultsTeams[[#This Row],[Match-B]],ResultsTeams[[#This Row],[Team A]],"")),""),"")</f>
        <v/>
      </c>
      <c r="W367" s="265" t="str">
        <f>IF(ResultsTeams[[#This Row],[Score_OK]],IF(ResultsTeams[[#This Row],[StageCpy]]="Groups",ResultsTeams[[#This Row],[Category]]&amp;"-"&amp;IF(ResultsTeams[[#This Row],[Team B]]="","",IF(ResultsTeams[[#This Row],[Match-A]]=ResultsTeams[[#This Row],[Match-B]],ResultsTeams[[#This Row],[Team B]],"")),""),"")</f>
        <v/>
      </c>
      <c r="X3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7" s="264" t="str">
        <f>IF(ResultsTeams[[#This Row],[Category]]="","",VLOOKUP(ResultsTeams[[#This Row],[Stage]],$R$1:$T$8,MATCH(ResultsTeams[[#This Row],[Category]],$S$1:$T$1,0)+1,FALSE))</f>
        <v/>
      </c>
      <c r="AC3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7" s="264" t="str">
        <f>IF(ResultsTeams[[#This Row],[Type]]="G",ResultsTeams[[#This Row],[Stage]],AD366)</f>
        <v>Groups</v>
      </c>
      <c r="AE367" s="395" t="str">
        <f>IF(ResultsTeams[[#This Row],[Type]]="G",INDEX(TeamsList[Club Name],MATCH(ResultsTeams[[#This Row],[Team A]],TeamsList[Team Name],0)),AE366)</f>
        <v>Avenir Subbuteo Hennuyer</v>
      </c>
      <c r="AF367" s="395" t="str">
        <f>IF(ResultsTeams[[#This Row],[Type]]="G",INDEX(TeamsList[Club Name],MATCH(ResultsTeams[[#This Row],[Team B]],TeamsList[Team Name],0)),AF366)</f>
        <v>Wamme SC</v>
      </c>
      <c r="AG367" s="265"/>
    </row>
    <row r="368" spans="1:33" ht="12" thickBot="1" x14ac:dyDescent="0.25">
      <c r="A368" s="83"/>
      <c r="B368" s="83"/>
      <c r="C368" s="83"/>
      <c r="D368" s="83"/>
      <c r="E368" s="268" t="s">
        <v>12244</v>
      </c>
      <c r="F368" s="262"/>
      <c r="G368" s="262"/>
      <c r="H368" s="324"/>
      <c r="I368" s="324"/>
      <c r="J368" s="263"/>
      <c r="K368" s="365"/>
      <c r="L368" s="365"/>
      <c r="M368" s="262"/>
      <c r="N368" s="265" t="b">
        <f>NOT(ISERROR(ResultsTeams[[#This Row],[Goal-A]]+ResultsTeams[[#This Row],[Goal-B]]))</f>
        <v>0</v>
      </c>
      <c r="O368" s="265" t="str">
        <f>IF(ResultsTeams[[#This Row],[Type]]="G",SUM(O369:O372),IF(LEFT(ResultsTeams[[#This Row],[Type]],1)="P",IF(ResultsTeams[[#This Row],[Goal-A]]&gt;ResultsTeams[[#This Row],[Goal-B]],1,0),""))</f>
        <v/>
      </c>
      <c r="P368" s="265" t="str">
        <f>IF(ResultsTeams[[#This Row],[Type]]="G",SUM(P369:P372),IF(LEFT(ResultsTeams[[#This Row],[Type]],1)="P",IF(ResultsTeams[[#This Row],[Goal-A]]&lt;ResultsTeams[[#This Row],[Goal-B]],1,0),""))</f>
        <v/>
      </c>
      <c r="Q368" s="265" t="str">
        <f>IF(ResultsTeams[[#This Row],[Type]]="G",SUM(Q369:Q372),IF(LEFT(ResultsTeams[[#This Row],[Type]],1)="P",VALUE(ResultsTeams[[#This Row],[Score-A]]),""))</f>
        <v/>
      </c>
      <c r="R368" s="265" t="str">
        <f>IF(ResultsTeams[[#This Row],[Type]]="G",SUM(R369:R372),IF(LEFT(ResultsTeams[[#This Row],[Type]],1)="P",VALUE(ResultsTeams[[#This Row],[Score-B]]),""))</f>
        <v/>
      </c>
      <c r="S368" s="265" t="str">
        <f ca="1">IF(AND(ResultsTeams[[#This Row],[Category]]&lt;&gt;"",ResultsTeams[[#This Row],[Team A]]&lt;&gt;""),COUNTIF(INDIRECT("TeamsList[Club Name]"),ResultsTeams[[#This Row],[Team A]]),"")</f>
        <v/>
      </c>
      <c r="T368" s="265" t="str">
        <f ca="1">IF(AND(ResultsTeams[[#This Row],[Category]]&lt;&gt;"",ResultsTeams[[#This Row],[Team B]]&lt;&gt;""),COUNTIF(INDIRECT("TeamsList[Club Name]"),ResultsTeams[[#This Row],[Team B]]),"")</f>
        <v/>
      </c>
      <c r="U3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8" s="265" t="str">
        <f>IF(ResultsTeams[[#This Row],[Score_OK]],IF(ResultsTeams[[#This Row],[StageCpy]]="Groups",ResultsTeams[[#This Row],[Category]]&amp;"-"&amp;IF(ResultsTeams[[#This Row],[Team B]]="","",IF(ResultsTeams[[#This Row],[Match-A]]=ResultsTeams[[#This Row],[Match-B]],ResultsTeams[[#This Row],[Team A]],"")),""),"")</f>
        <v/>
      </c>
      <c r="W368" s="265" t="str">
        <f>IF(ResultsTeams[[#This Row],[Score_OK]],IF(ResultsTeams[[#This Row],[StageCpy]]="Groups",ResultsTeams[[#This Row],[Category]]&amp;"-"&amp;IF(ResultsTeams[[#This Row],[Team B]]="","",IF(ResultsTeams[[#This Row],[Match-A]]=ResultsTeams[[#This Row],[Match-B]],ResultsTeams[[#This Row],[Team B]],"")),""),"")</f>
        <v/>
      </c>
      <c r="X3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8" s="264" t="str">
        <f>IF(ResultsTeams[[#This Row],[Category]]="","",VLOOKUP(ResultsTeams[[#This Row],[Stage]],$R$1:$T$8,MATCH(ResultsTeams[[#This Row],[Category]],$S$1:$T$1,0)+1,FALSE))</f>
        <v/>
      </c>
      <c r="AC3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8" s="264" t="str">
        <f>IF(ResultsTeams[[#This Row],[Type]]="G",ResultsTeams[[#This Row],[Stage]],AD367)</f>
        <v>Groups</v>
      </c>
      <c r="AE368" s="395" t="str">
        <f>IF(ResultsTeams[[#This Row],[Type]]="G",INDEX(TeamsList[Club Name],MATCH(ResultsTeams[[#This Row],[Team A]],TeamsList[Team Name],0)),AE367)</f>
        <v>Avenir Subbuteo Hennuyer</v>
      </c>
      <c r="AF368" s="395" t="str">
        <f>IF(ResultsTeams[[#This Row],[Type]]="G",INDEX(TeamsList[Club Name],MATCH(ResultsTeams[[#This Row],[Team B]],TeamsList[Team Name],0)),AF367)</f>
        <v>Wamme SC</v>
      </c>
      <c r="AG368" s="265"/>
    </row>
    <row r="369" spans="1:33" ht="12" thickBot="1" x14ac:dyDescent="0.25">
      <c r="A369" s="261" t="s">
        <v>12693</v>
      </c>
      <c r="B369" s="270" t="s">
        <v>12207</v>
      </c>
      <c r="C369" s="270">
        <v>9</v>
      </c>
      <c r="D369" s="270"/>
      <c r="E369" s="272" t="s">
        <v>12228</v>
      </c>
      <c r="F369" s="273" t="s">
        <v>796</v>
      </c>
      <c r="G369" s="273" t="s">
        <v>14597</v>
      </c>
      <c r="H369" s="275">
        <v>0</v>
      </c>
      <c r="I369" s="275">
        <v>2</v>
      </c>
      <c r="J369" s="275"/>
      <c r="K369" s="366"/>
      <c r="L369" s="366"/>
      <c r="M369" s="274"/>
      <c r="N369" s="265" t="b">
        <f>NOT(ISERROR(ResultsTeams[[#This Row],[Goal-A]]+ResultsTeams[[#This Row],[Goal-B]]))</f>
        <v>1</v>
      </c>
      <c r="O369" s="265">
        <f>IF(ResultsTeams[[#This Row],[Type]]="G",SUM(O370:O373),IF(LEFT(ResultsTeams[[#This Row],[Type]],1)="P",IF(ResultsTeams[[#This Row],[Goal-A]]&gt;ResultsTeams[[#This Row],[Goal-B]],1,0),""))</f>
        <v>0</v>
      </c>
      <c r="P369" s="265">
        <f>IF(ResultsTeams[[#This Row],[Type]]="G",SUM(P370:P373),IF(LEFT(ResultsTeams[[#This Row],[Type]],1)="P",IF(ResultsTeams[[#This Row],[Goal-A]]&lt;ResultsTeams[[#This Row],[Goal-B]],1,0),""))</f>
        <v>2</v>
      </c>
      <c r="Q369" s="265">
        <f>IF(ResultsTeams[[#This Row],[Type]]="G",SUM(Q370:Q373),IF(LEFT(ResultsTeams[[#This Row],[Type]],1)="P",VALUE(ResultsTeams[[#This Row],[Score-A]]),""))</f>
        <v>2</v>
      </c>
      <c r="R369" s="265">
        <f>IF(ResultsTeams[[#This Row],[Type]]="G",SUM(R370:R373),IF(LEFT(ResultsTeams[[#This Row],[Type]],1)="P",VALUE(ResultsTeams[[#This Row],[Score-B]]),""))</f>
        <v>8</v>
      </c>
      <c r="S369" s="265">
        <f ca="1">IF(AND(ResultsTeams[[#This Row],[Category]]&lt;&gt;"",ResultsTeams[[#This Row],[Team A]]&lt;&gt;""),COUNTIF(INDIRECT("TeamsList[Club Name]"),ResultsTeams[[#This Row],[Team A]]),"")</f>
        <v>1</v>
      </c>
      <c r="T369" s="265">
        <f ca="1">IF(AND(ResultsTeams[[#This Row],[Category]]&lt;&gt;"",ResultsTeams[[#This Row],[Team B]]&lt;&gt;""),COUNTIF(INDIRECT("TeamsList[Club Name]"),ResultsTeams[[#This Row],[Team B]]),"")</f>
        <v>0</v>
      </c>
      <c r="U3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TEAM-Master Sanremo 2</v>
      </c>
      <c r="V369" s="265" t="str">
        <f>IF(ResultsTeams[[#This Row],[Score_OK]],IF(ResultsTeams[[#This Row],[StageCpy]]="Groups",ResultsTeams[[#This Row],[Category]]&amp;"-"&amp;IF(ResultsTeams[[#This Row],[Team B]]="","",IF(ResultsTeams[[#This Row],[Match-A]]=ResultsTeams[[#This Row],[Match-B]],ResultsTeams[[#This Row],[Team A]],"")),""),"")</f>
        <v>TEAM-</v>
      </c>
      <c r="W369" s="265" t="str">
        <f>IF(ResultsTeams[[#This Row],[Score_OK]],IF(ResultsTeams[[#This Row],[StageCpy]]="Groups",ResultsTeams[[#This Row],[Category]]&amp;"-"&amp;IF(ResultsTeams[[#This Row],[Team B]]="","",IF(ResultsTeams[[#This Row],[Match-A]]=ResultsTeams[[#This Row],[Match-B]],ResultsTeams[[#This Row],[Team B]],"")),""),"")</f>
        <v>TEAM-</v>
      </c>
      <c r="X3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TEAM-Valletta Lions TFC</v>
      </c>
      <c r="Y3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TEAM-Valletta Lions TFC</v>
      </c>
      <c r="AA3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TEAM-Valletta Lions TFC</v>
      </c>
      <c r="AB369" s="264" t="str">
        <f>IF(ResultsTeams[[#This Row],[Category]]="","",VLOOKUP(ResultsTeams[[#This Row],[Stage]],$R$1:$T$8,MATCH(ResultsTeams[[#This Row],[Category]],$S$1:$T$1,0)+1,FALSE))</f>
        <v>PR1</v>
      </c>
      <c r="AC3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9" s="264" t="str">
        <f>IF(ResultsTeams[[#This Row],[Type]]="G",ResultsTeams[[#This Row],[Stage]],AD368)</f>
        <v>Groups</v>
      </c>
      <c r="AE369" s="395" t="str">
        <f>IF(ResultsTeams[[#This Row],[Type]]="G",INDEX(TeamsList[Club Name],MATCH(ResultsTeams[[#This Row],[Team A]],TeamsList[Team Name],0)),AE368)</f>
        <v>Valletta Lions TFC</v>
      </c>
      <c r="AF369" s="395" t="str">
        <f>IF(ResultsTeams[[#This Row],[Type]]="G",INDEX(TeamsList[Club Name],MATCH(ResultsTeams[[#This Row],[Team B]],TeamsList[Team Name],0)),AF368)</f>
        <v>Master Sanremo</v>
      </c>
      <c r="AG369" s="265"/>
    </row>
    <row r="370" spans="1:33" x14ac:dyDescent="0.2">
      <c r="A370" s="60"/>
      <c r="B370" s="280"/>
      <c r="C370" s="60"/>
      <c r="D370" s="60"/>
      <c r="E370" s="240" t="s">
        <v>12231</v>
      </c>
      <c r="F370" s="244" t="s">
        <v>10441</v>
      </c>
      <c r="G370" s="244" t="s">
        <v>8200</v>
      </c>
      <c r="H370" s="253">
        <v>1</v>
      </c>
      <c r="I370" s="253">
        <v>1</v>
      </c>
      <c r="J370" s="253"/>
      <c r="K370" s="362"/>
      <c r="L370" s="362"/>
      <c r="M370" s="245"/>
      <c r="N370" s="265" t="b">
        <f>NOT(ISERROR(ResultsTeams[[#This Row],[Goal-A]]+ResultsTeams[[#This Row],[Goal-B]]))</f>
        <v>1</v>
      </c>
      <c r="O370" s="265">
        <f>IF(ResultsTeams[[#This Row],[Type]]="G",SUM(O371:O374),IF(LEFT(ResultsTeams[[#This Row],[Type]],1)="P",IF(ResultsTeams[[#This Row],[Goal-A]]&gt;ResultsTeams[[#This Row],[Goal-B]],1,0),""))</f>
        <v>0</v>
      </c>
      <c r="P370" s="265">
        <f>IF(ResultsTeams[[#This Row],[Type]]="G",SUM(P371:P374),IF(LEFT(ResultsTeams[[#This Row],[Type]],1)="P",IF(ResultsTeams[[#This Row],[Goal-A]]&lt;ResultsTeams[[#This Row],[Goal-B]],1,0),""))</f>
        <v>0</v>
      </c>
      <c r="Q370" s="265">
        <f>IF(ResultsTeams[[#This Row],[Type]]="G",SUM(Q371:Q374),IF(LEFT(ResultsTeams[[#This Row],[Type]],1)="P",VALUE(ResultsTeams[[#This Row],[Score-A]]),""))</f>
        <v>1</v>
      </c>
      <c r="R370" s="265">
        <f>IF(ResultsTeams[[#This Row],[Type]]="G",SUM(R371:R374),IF(LEFT(ResultsTeams[[#This Row],[Type]],1)="P",VALUE(ResultsTeams[[#This Row],[Score-B]]),""))</f>
        <v>1</v>
      </c>
      <c r="S370" s="265" t="str">
        <f ca="1">IF(AND(ResultsTeams[[#This Row],[Category]]&lt;&gt;"",ResultsTeams[[#This Row],[Team A]]&lt;&gt;""),COUNTIF(INDIRECT("TeamsList[Club Name]"),ResultsTeams[[#This Row],[Team A]]),"")</f>
        <v/>
      </c>
      <c r="T370" s="265" t="str">
        <f ca="1">IF(AND(ResultsTeams[[#This Row],[Category]]&lt;&gt;"",ResultsTeams[[#This Row],[Team B]]&lt;&gt;""),COUNTIF(INDIRECT("TeamsList[Club Name]"),ResultsTeams[[#This Row],[Team B]]),"")</f>
        <v/>
      </c>
      <c r="U3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70" s="265" t="str">
        <f>IF(ResultsTeams[[#This Row],[Score_OK]],IF(ResultsTeams[[#This Row],[StageCpy]]="Groups",ResultsTeams[[#This Row],[Category]]&amp;"-"&amp;IF(ResultsTeams[[#This Row],[Team B]]="","",IF(ResultsTeams[[#This Row],[Match-A]]=ResultsTeams[[#This Row],[Match-B]],ResultsTeams[[#This Row],[Team A]],"")),""),"")</f>
        <v>-Frank Chetcuti Dimech</v>
      </c>
      <c r="W370" s="265" t="str">
        <f>IF(ResultsTeams[[#This Row],[Score_OK]],IF(ResultsTeams[[#This Row],[StageCpy]]="Groups",ResultsTeams[[#This Row],[Category]]&amp;"-"&amp;IF(ResultsTeams[[#This Row],[Team B]]="","",IF(ResultsTeams[[#This Row],[Match-A]]=ResultsTeams[[#This Row],[Match-B]],ResultsTeams[[#This Row],[Team B]],"")),""),"")</f>
        <v>-Mathieu Crasset</v>
      </c>
      <c r="X3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0" s="264" t="str">
        <f>IF(ResultsTeams[[#This Row],[Category]]="","",VLOOKUP(ResultsTeams[[#This Row],[Stage]],$R$1:$T$8,MATCH(ResultsTeams[[#This Row],[Category]],$S$1:$T$1,0)+1,FALSE))</f>
        <v/>
      </c>
      <c r="AC3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0" s="264" t="str">
        <f>IF(ResultsTeams[[#This Row],[Type]]="G",ResultsTeams[[#This Row],[Stage]],AD369)</f>
        <v>Groups</v>
      </c>
      <c r="AE370" s="395" t="str">
        <f>IF(ResultsTeams[[#This Row],[Type]]="G",INDEX(TeamsList[Club Name],MATCH(ResultsTeams[[#This Row],[Team A]],TeamsList[Team Name],0)),AE369)</f>
        <v>Valletta Lions TFC</v>
      </c>
      <c r="AF370" s="395" t="str">
        <f>IF(ResultsTeams[[#This Row],[Type]]="G",INDEX(TeamsList[Club Name],MATCH(ResultsTeams[[#This Row],[Team B]],TeamsList[Team Name],0)),AF369)</f>
        <v>Master Sanremo</v>
      </c>
      <c r="AG370" s="265"/>
    </row>
    <row r="371" spans="1:33" x14ac:dyDescent="0.2">
      <c r="A371" s="62"/>
      <c r="B371" s="280"/>
      <c r="C371" s="62"/>
      <c r="D371" s="62"/>
      <c r="E371" s="241" t="s">
        <v>12234</v>
      </c>
      <c r="F371" s="246" t="s">
        <v>11908</v>
      </c>
      <c r="G371" s="246" t="s">
        <v>10359</v>
      </c>
      <c r="H371" s="254">
        <v>0</v>
      </c>
      <c r="I371" s="254">
        <v>0</v>
      </c>
      <c r="J371" s="254"/>
      <c r="K371" s="363"/>
      <c r="L371" s="363"/>
      <c r="M371" s="247"/>
      <c r="N371" s="265" t="b">
        <f>NOT(ISERROR(ResultsTeams[[#This Row],[Goal-A]]+ResultsTeams[[#This Row],[Goal-B]]))</f>
        <v>1</v>
      </c>
      <c r="O371" s="265">
        <f>IF(ResultsTeams[[#This Row],[Type]]="G",SUM(O372:O375),IF(LEFT(ResultsTeams[[#This Row],[Type]],1)="P",IF(ResultsTeams[[#This Row],[Goal-A]]&gt;ResultsTeams[[#This Row],[Goal-B]],1,0),""))</f>
        <v>0</v>
      </c>
      <c r="P371" s="265">
        <f>IF(ResultsTeams[[#This Row],[Type]]="G",SUM(P372:P375),IF(LEFT(ResultsTeams[[#This Row],[Type]],1)="P",IF(ResultsTeams[[#This Row],[Goal-A]]&lt;ResultsTeams[[#This Row],[Goal-B]],1,0),""))</f>
        <v>0</v>
      </c>
      <c r="Q371" s="265">
        <f>IF(ResultsTeams[[#This Row],[Type]]="G",SUM(Q372:Q375),IF(LEFT(ResultsTeams[[#This Row],[Type]],1)="P",VALUE(ResultsTeams[[#This Row],[Score-A]]),""))</f>
        <v>0</v>
      </c>
      <c r="R371" s="265">
        <f>IF(ResultsTeams[[#This Row],[Type]]="G",SUM(R372:R375),IF(LEFT(ResultsTeams[[#This Row],[Type]],1)="P",VALUE(ResultsTeams[[#This Row],[Score-B]]),""))</f>
        <v>0</v>
      </c>
      <c r="S371" s="265" t="str">
        <f ca="1">IF(AND(ResultsTeams[[#This Row],[Category]]&lt;&gt;"",ResultsTeams[[#This Row],[Team A]]&lt;&gt;""),COUNTIF(INDIRECT("TeamsList[Club Name]"),ResultsTeams[[#This Row],[Team A]]),"")</f>
        <v/>
      </c>
      <c r="T371" s="265" t="str">
        <f ca="1">IF(AND(ResultsTeams[[#This Row],[Category]]&lt;&gt;"",ResultsTeams[[#This Row],[Team B]]&lt;&gt;""),COUNTIF(INDIRECT("TeamsList[Club Name]"),ResultsTeams[[#This Row],[Team B]]),"")</f>
        <v/>
      </c>
      <c r="U3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71" s="265" t="str">
        <f>IF(ResultsTeams[[#This Row],[Score_OK]],IF(ResultsTeams[[#This Row],[StageCpy]]="Groups",ResultsTeams[[#This Row],[Category]]&amp;"-"&amp;IF(ResultsTeams[[#This Row],[Team B]]="","",IF(ResultsTeams[[#This Row],[Match-A]]=ResultsTeams[[#This Row],[Match-B]],ResultsTeams[[#This Row],[Team A]],"")),""),"")</f>
        <v>-Steve Austin</v>
      </c>
      <c r="W371" s="265" t="str">
        <f>IF(ResultsTeams[[#This Row],[Score_OK]],IF(ResultsTeams[[#This Row],[StageCpy]]="Groups",ResultsTeams[[#This Row],[Category]]&amp;"-"&amp;IF(ResultsTeams[[#This Row],[Team B]]="","",IF(ResultsTeams[[#This Row],[Match-A]]=ResultsTeams[[#This Row],[Match-B]],ResultsTeams[[#This Row],[Team B]],"")),""),"")</f>
        <v>-Alessandro Arca</v>
      </c>
      <c r="X3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1" s="264" t="str">
        <f>IF(ResultsTeams[[#This Row],[Category]]="","",VLOOKUP(ResultsTeams[[#This Row],[Stage]],$R$1:$T$8,MATCH(ResultsTeams[[#This Row],[Category]],$S$1:$T$1,0)+1,FALSE))</f>
        <v/>
      </c>
      <c r="AC3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1" s="264" t="str">
        <f>IF(ResultsTeams[[#This Row],[Type]]="G",ResultsTeams[[#This Row],[Stage]],AD370)</f>
        <v>Groups</v>
      </c>
      <c r="AE371" s="395" t="str">
        <f>IF(ResultsTeams[[#This Row],[Type]]="G",INDEX(TeamsList[Club Name],MATCH(ResultsTeams[[#This Row],[Team A]],TeamsList[Team Name],0)),AE370)</f>
        <v>Valletta Lions TFC</v>
      </c>
      <c r="AF371" s="395" t="str">
        <f>IF(ResultsTeams[[#This Row],[Type]]="G",INDEX(TeamsList[Club Name],MATCH(ResultsTeams[[#This Row],[Team B]],TeamsList[Team Name],0)),AF370)</f>
        <v>Master Sanremo</v>
      </c>
      <c r="AG371" s="265"/>
    </row>
    <row r="372" spans="1:33" x14ac:dyDescent="0.2">
      <c r="A372" s="62"/>
      <c r="B372" s="280"/>
      <c r="C372" s="62"/>
      <c r="D372" s="62"/>
      <c r="E372" s="241" t="s">
        <v>12237</v>
      </c>
      <c r="F372" s="246" t="s">
        <v>10448</v>
      </c>
      <c r="G372" s="246" t="s">
        <v>10369</v>
      </c>
      <c r="H372" s="254">
        <v>0</v>
      </c>
      <c r="I372" s="254">
        <v>3</v>
      </c>
      <c r="J372" s="254"/>
      <c r="K372" s="363"/>
      <c r="L372" s="363"/>
      <c r="M372" s="247"/>
      <c r="N372" s="265" t="b">
        <f>NOT(ISERROR(ResultsTeams[[#This Row],[Goal-A]]+ResultsTeams[[#This Row],[Goal-B]]))</f>
        <v>1</v>
      </c>
      <c r="O372" s="265">
        <f>IF(ResultsTeams[[#This Row],[Type]]="G",SUM(O373:O376),IF(LEFT(ResultsTeams[[#This Row],[Type]],1)="P",IF(ResultsTeams[[#This Row],[Goal-A]]&gt;ResultsTeams[[#This Row],[Goal-B]],1,0),""))</f>
        <v>0</v>
      </c>
      <c r="P372" s="265">
        <f>IF(ResultsTeams[[#This Row],[Type]]="G",SUM(P373:P376),IF(LEFT(ResultsTeams[[#This Row],[Type]],1)="P",IF(ResultsTeams[[#This Row],[Goal-A]]&lt;ResultsTeams[[#This Row],[Goal-B]],1,0),""))</f>
        <v>1</v>
      </c>
      <c r="Q372" s="265">
        <f>IF(ResultsTeams[[#This Row],[Type]]="G",SUM(Q373:Q376),IF(LEFT(ResultsTeams[[#This Row],[Type]],1)="P",VALUE(ResultsTeams[[#This Row],[Score-A]]),""))</f>
        <v>0</v>
      </c>
      <c r="R372" s="265">
        <f>IF(ResultsTeams[[#This Row],[Type]]="G",SUM(R373:R376),IF(LEFT(ResultsTeams[[#This Row],[Type]],1)="P",VALUE(ResultsTeams[[#This Row],[Score-B]]),""))</f>
        <v>3</v>
      </c>
      <c r="S372" s="265" t="str">
        <f ca="1">IF(AND(ResultsTeams[[#This Row],[Category]]&lt;&gt;"",ResultsTeams[[#This Row],[Team A]]&lt;&gt;""),COUNTIF(INDIRECT("TeamsList[Club Name]"),ResultsTeams[[#This Row],[Team A]]),"")</f>
        <v/>
      </c>
      <c r="T372" s="265" t="str">
        <f ca="1">IF(AND(ResultsTeams[[#This Row],[Category]]&lt;&gt;"",ResultsTeams[[#This Row],[Team B]]&lt;&gt;""),COUNTIF(INDIRECT("TeamsList[Club Name]"),ResultsTeams[[#This Row],[Team B]]),"")</f>
        <v/>
      </c>
      <c r="U3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-Carlo Alessi</v>
      </c>
      <c r="V372" s="265" t="str">
        <f>IF(ResultsTeams[[#This Row],[Score_OK]],IF(ResultsTeams[[#This Row],[StageCpy]]="Groups",ResultsTeams[[#This Row],[Category]]&amp;"-"&amp;IF(ResultsTeams[[#This Row],[Team B]]="","",IF(ResultsTeams[[#This Row],[Match-A]]=ResultsTeams[[#This Row],[Match-B]],ResultsTeams[[#This Row],[Team A]],"")),""),"")</f>
        <v>-</v>
      </c>
      <c r="W372" s="265" t="str">
        <f>IF(ResultsTeams[[#This Row],[Score_OK]],IF(ResultsTeams[[#This Row],[StageCpy]]="Groups",ResultsTeams[[#This Row],[Category]]&amp;"-"&amp;IF(ResultsTeams[[#This Row],[Team B]]="","",IF(ResultsTeams[[#This Row],[Match-A]]=ResultsTeams[[#This Row],[Match-B]],ResultsTeams[[#This Row],[Team B]],"")),""),"")</f>
        <v>-</v>
      </c>
      <c r="X3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-Spencer Conti</v>
      </c>
      <c r="Y3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2" s="264" t="str">
        <f>IF(ResultsTeams[[#This Row],[Category]]="","",VLOOKUP(ResultsTeams[[#This Row],[Stage]],$R$1:$T$8,MATCH(ResultsTeams[[#This Row],[Category]],$S$1:$T$1,0)+1,FALSE))</f>
        <v/>
      </c>
      <c r="AC3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2" s="264" t="str">
        <f>IF(ResultsTeams[[#This Row],[Type]]="G",ResultsTeams[[#This Row],[Stage]],AD371)</f>
        <v>Groups</v>
      </c>
      <c r="AE372" s="395" t="str">
        <f>IF(ResultsTeams[[#This Row],[Type]]="G",INDEX(TeamsList[Club Name],MATCH(ResultsTeams[[#This Row],[Team A]],TeamsList[Team Name],0)),AE371)</f>
        <v>Valletta Lions TFC</v>
      </c>
      <c r="AF372" s="395" t="str">
        <f>IF(ResultsTeams[[#This Row],[Type]]="G",INDEX(TeamsList[Club Name],MATCH(ResultsTeams[[#This Row],[Team B]],TeamsList[Team Name],0)),AF371)</f>
        <v>Master Sanremo</v>
      </c>
      <c r="AG372" s="265"/>
    </row>
    <row r="373" spans="1:33" x14ac:dyDescent="0.2">
      <c r="A373" s="62"/>
      <c r="B373" s="280"/>
      <c r="C373" s="62"/>
      <c r="D373" s="62"/>
      <c r="E373" s="241" t="s">
        <v>12240</v>
      </c>
      <c r="F373" s="246" t="s">
        <v>11444</v>
      </c>
      <c r="G373" s="246" t="s">
        <v>11270</v>
      </c>
      <c r="H373" s="254">
        <v>1</v>
      </c>
      <c r="I373" s="254">
        <v>4</v>
      </c>
      <c r="J373" s="254"/>
      <c r="K373" s="363"/>
      <c r="L373" s="363"/>
      <c r="M373" s="247"/>
      <c r="N373" s="265" t="b">
        <f>NOT(ISERROR(ResultsTeams[[#This Row],[Goal-A]]+ResultsTeams[[#This Row],[Goal-B]]))</f>
        <v>1</v>
      </c>
      <c r="O373" s="265">
        <f>IF(ResultsTeams[[#This Row],[Type]]="G",SUM(O374:O377),IF(LEFT(ResultsTeams[[#This Row],[Type]],1)="P",IF(ResultsTeams[[#This Row],[Goal-A]]&gt;ResultsTeams[[#This Row],[Goal-B]],1,0),""))</f>
        <v>0</v>
      </c>
      <c r="P373" s="265">
        <f>IF(ResultsTeams[[#This Row],[Type]]="G",SUM(P374:P377),IF(LEFT(ResultsTeams[[#This Row],[Type]],1)="P",IF(ResultsTeams[[#This Row],[Goal-A]]&lt;ResultsTeams[[#This Row],[Goal-B]],1,0),""))</f>
        <v>1</v>
      </c>
      <c r="Q373" s="265">
        <f>IF(ResultsTeams[[#This Row],[Type]]="G",SUM(Q374:Q377),IF(LEFT(ResultsTeams[[#This Row],[Type]],1)="P",VALUE(ResultsTeams[[#This Row],[Score-A]]),""))</f>
        <v>1</v>
      </c>
      <c r="R373" s="265">
        <f>IF(ResultsTeams[[#This Row],[Type]]="G",SUM(R374:R377),IF(LEFT(ResultsTeams[[#This Row],[Type]],1)="P",VALUE(ResultsTeams[[#This Row],[Score-B]]),""))</f>
        <v>4</v>
      </c>
      <c r="S373" s="265" t="str">
        <f ca="1">IF(AND(ResultsTeams[[#This Row],[Category]]&lt;&gt;"",ResultsTeams[[#This Row],[Team A]]&lt;&gt;""),COUNTIF(INDIRECT("TeamsList[Club Name]"),ResultsTeams[[#This Row],[Team A]]),"")</f>
        <v/>
      </c>
      <c r="T373" s="265" t="str">
        <f ca="1">IF(AND(ResultsTeams[[#This Row],[Category]]&lt;&gt;"",ResultsTeams[[#This Row],[Team B]]&lt;&gt;""),COUNTIF(INDIRECT("TeamsList[Club Name]"),ResultsTeams[[#This Row],[Team B]]),"")</f>
        <v/>
      </c>
      <c r="U3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-Frank Stiller</v>
      </c>
      <c r="V373" s="265" t="str">
        <f>IF(ResultsTeams[[#This Row],[Score_OK]],IF(ResultsTeams[[#This Row],[StageCpy]]="Groups",ResultsTeams[[#This Row],[Category]]&amp;"-"&amp;IF(ResultsTeams[[#This Row],[Team B]]="","",IF(ResultsTeams[[#This Row],[Match-A]]=ResultsTeams[[#This Row],[Match-B]],ResultsTeams[[#This Row],[Team A]],"")),""),"")</f>
        <v>-</v>
      </c>
      <c r="W373" s="265" t="str">
        <f>IF(ResultsTeams[[#This Row],[Score_OK]],IF(ResultsTeams[[#This Row],[StageCpy]]="Groups",ResultsTeams[[#This Row],[Category]]&amp;"-"&amp;IF(ResultsTeams[[#This Row],[Team B]]="","",IF(ResultsTeams[[#This Row],[Match-A]]=ResultsTeams[[#This Row],[Match-B]],ResultsTeams[[#This Row],[Team B]],"")),""),"")</f>
        <v>-</v>
      </c>
      <c r="X3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-Henk Landzaat</v>
      </c>
      <c r="Y3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3" s="264" t="str">
        <f>IF(ResultsTeams[[#This Row],[Category]]="","",VLOOKUP(ResultsTeams[[#This Row],[Stage]],$R$1:$T$8,MATCH(ResultsTeams[[#This Row],[Category]],$S$1:$T$1,0)+1,FALSE))</f>
        <v/>
      </c>
      <c r="AC3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3" s="264" t="str">
        <f>IF(ResultsTeams[[#This Row],[Type]]="G",ResultsTeams[[#This Row],[Stage]],AD372)</f>
        <v>Groups</v>
      </c>
      <c r="AE373" s="395" t="str">
        <f>IF(ResultsTeams[[#This Row],[Type]]="G",INDEX(TeamsList[Club Name],MATCH(ResultsTeams[[#This Row],[Team A]],TeamsList[Team Name],0)),AE372)</f>
        <v>Valletta Lions TFC</v>
      </c>
      <c r="AF373" s="395" t="str">
        <f>IF(ResultsTeams[[#This Row],[Type]]="G",INDEX(TeamsList[Club Name],MATCH(ResultsTeams[[#This Row],[Team B]],TeamsList[Team Name],0)),AF372)</f>
        <v>Master Sanremo</v>
      </c>
      <c r="AG373" s="265"/>
    </row>
    <row r="374" spans="1:33" x14ac:dyDescent="0.2">
      <c r="A374" s="62"/>
      <c r="B374" s="62"/>
      <c r="C374" s="62"/>
      <c r="D374" s="62"/>
      <c r="E374" s="241" t="s">
        <v>12243</v>
      </c>
      <c r="F374" s="247"/>
      <c r="G374" s="247"/>
      <c r="H374" s="254"/>
      <c r="I374" s="254"/>
      <c r="J374" s="260"/>
      <c r="K374" s="364"/>
      <c r="L374" s="364"/>
      <c r="M374" s="247"/>
      <c r="N374" s="265" t="b">
        <f>NOT(ISERROR(ResultsTeams[[#This Row],[Goal-A]]+ResultsTeams[[#This Row],[Goal-B]]))</f>
        <v>0</v>
      </c>
      <c r="O374" s="265" t="str">
        <f>IF(ResultsTeams[[#This Row],[Type]]="G",SUM(O375:O378),IF(LEFT(ResultsTeams[[#This Row],[Type]],1)="P",IF(ResultsTeams[[#This Row],[Goal-A]]&gt;ResultsTeams[[#This Row],[Goal-B]],1,0),""))</f>
        <v/>
      </c>
      <c r="P374" s="265" t="str">
        <f>IF(ResultsTeams[[#This Row],[Type]]="G",SUM(P375:P378),IF(LEFT(ResultsTeams[[#This Row],[Type]],1)="P",IF(ResultsTeams[[#This Row],[Goal-A]]&lt;ResultsTeams[[#This Row],[Goal-B]],1,0),""))</f>
        <v/>
      </c>
      <c r="Q374" s="265" t="str">
        <f>IF(ResultsTeams[[#This Row],[Type]]="G",SUM(Q375:Q378),IF(LEFT(ResultsTeams[[#This Row],[Type]],1)="P",VALUE(ResultsTeams[[#This Row],[Score-A]]),""))</f>
        <v/>
      </c>
      <c r="R374" s="265" t="str">
        <f>IF(ResultsTeams[[#This Row],[Type]]="G",SUM(R375:R378),IF(LEFT(ResultsTeams[[#This Row],[Type]],1)="P",VALUE(ResultsTeams[[#This Row],[Score-B]]),""))</f>
        <v/>
      </c>
      <c r="S374" s="265" t="str">
        <f ca="1">IF(AND(ResultsTeams[[#This Row],[Category]]&lt;&gt;"",ResultsTeams[[#This Row],[Team A]]&lt;&gt;""),COUNTIF(INDIRECT("TeamsList[Club Name]"),ResultsTeams[[#This Row],[Team A]]),"")</f>
        <v/>
      </c>
      <c r="T374" s="265" t="str">
        <f ca="1">IF(AND(ResultsTeams[[#This Row],[Category]]&lt;&gt;"",ResultsTeams[[#This Row],[Team B]]&lt;&gt;""),COUNTIF(INDIRECT("TeamsList[Club Name]"),ResultsTeams[[#This Row],[Team B]]),"")</f>
        <v/>
      </c>
      <c r="U3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4" s="265" t="str">
        <f>IF(ResultsTeams[[#This Row],[Score_OK]],IF(ResultsTeams[[#This Row],[StageCpy]]="Groups",ResultsTeams[[#This Row],[Category]]&amp;"-"&amp;IF(ResultsTeams[[#This Row],[Team B]]="","",IF(ResultsTeams[[#This Row],[Match-A]]=ResultsTeams[[#This Row],[Match-B]],ResultsTeams[[#This Row],[Team A]],"")),""),"")</f>
        <v/>
      </c>
      <c r="W374" s="265" t="str">
        <f>IF(ResultsTeams[[#This Row],[Score_OK]],IF(ResultsTeams[[#This Row],[StageCpy]]="Groups",ResultsTeams[[#This Row],[Category]]&amp;"-"&amp;IF(ResultsTeams[[#This Row],[Team B]]="","",IF(ResultsTeams[[#This Row],[Match-A]]=ResultsTeams[[#This Row],[Match-B]],ResultsTeams[[#This Row],[Team B]],"")),""),"")</f>
        <v/>
      </c>
      <c r="X3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4" s="264" t="str">
        <f>IF(ResultsTeams[[#This Row],[Category]]="","",VLOOKUP(ResultsTeams[[#This Row],[Stage]],$R$1:$T$8,MATCH(ResultsTeams[[#This Row],[Category]],$S$1:$T$1,0)+1,FALSE))</f>
        <v/>
      </c>
      <c r="AC3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4" s="264" t="str">
        <f>IF(ResultsTeams[[#This Row],[Type]]="G",ResultsTeams[[#This Row],[Stage]],AD373)</f>
        <v>Groups</v>
      </c>
      <c r="AE374" s="395" t="str">
        <f>IF(ResultsTeams[[#This Row],[Type]]="G",INDEX(TeamsList[Club Name],MATCH(ResultsTeams[[#This Row],[Team A]],TeamsList[Team Name],0)),AE373)</f>
        <v>Valletta Lions TFC</v>
      </c>
      <c r="AF374" s="395" t="str">
        <f>IF(ResultsTeams[[#This Row],[Type]]="G",INDEX(TeamsList[Club Name],MATCH(ResultsTeams[[#This Row],[Team B]],TeamsList[Team Name],0)),AF373)</f>
        <v>Master Sanremo</v>
      </c>
      <c r="AG374" s="265"/>
    </row>
    <row r="375" spans="1:33" ht="12" thickBot="1" x14ac:dyDescent="0.25">
      <c r="A375" s="83"/>
      <c r="B375" s="83"/>
      <c r="C375" s="83"/>
      <c r="D375" s="83"/>
      <c r="E375" s="268" t="s">
        <v>12244</v>
      </c>
      <c r="F375" s="262"/>
      <c r="G375" s="262"/>
      <c r="H375" s="324"/>
      <c r="I375" s="324"/>
      <c r="J375" s="263"/>
      <c r="K375" s="365"/>
      <c r="L375" s="365"/>
      <c r="M375" s="262"/>
      <c r="N375" s="265" t="b">
        <f>NOT(ISERROR(ResultsTeams[[#This Row],[Goal-A]]+ResultsTeams[[#This Row],[Goal-B]]))</f>
        <v>0</v>
      </c>
      <c r="O375" s="265" t="str">
        <f>IF(ResultsTeams[[#This Row],[Type]]="G",SUM(O376:O379),IF(LEFT(ResultsTeams[[#This Row],[Type]],1)="P",IF(ResultsTeams[[#This Row],[Goal-A]]&gt;ResultsTeams[[#This Row],[Goal-B]],1,0),""))</f>
        <v/>
      </c>
      <c r="P375" s="265" t="str">
        <f>IF(ResultsTeams[[#This Row],[Type]]="G",SUM(P376:P379),IF(LEFT(ResultsTeams[[#This Row],[Type]],1)="P",IF(ResultsTeams[[#This Row],[Goal-A]]&lt;ResultsTeams[[#This Row],[Goal-B]],1,0),""))</f>
        <v/>
      </c>
      <c r="Q375" s="265" t="str">
        <f>IF(ResultsTeams[[#This Row],[Type]]="G",SUM(Q376:Q379),IF(LEFT(ResultsTeams[[#This Row],[Type]],1)="P",VALUE(ResultsTeams[[#This Row],[Score-A]]),""))</f>
        <v/>
      </c>
      <c r="R375" s="265" t="str">
        <f>IF(ResultsTeams[[#This Row],[Type]]="G",SUM(R376:R379),IF(LEFT(ResultsTeams[[#This Row],[Type]],1)="P",VALUE(ResultsTeams[[#This Row],[Score-B]]),""))</f>
        <v/>
      </c>
      <c r="S375" s="265" t="str">
        <f ca="1">IF(AND(ResultsTeams[[#This Row],[Category]]&lt;&gt;"",ResultsTeams[[#This Row],[Team A]]&lt;&gt;""),COUNTIF(INDIRECT("TeamsList[Club Name]"),ResultsTeams[[#This Row],[Team A]]),"")</f>
        <v/>
      </c>
      <c r="T375" s="265" t="str">
        <f ca="1">IF(AND(ResultsTeams[[#This Row],[Category]]&lt;&gt;"",ResultsTeams[[#This Row],[Team B]]&lt;&gt;""),COUNTIF(INDIRECT("TeamsList[Club Name]"),ResultsTeams[[#This Row],[Team B]]),"")</f>
        <v/>
      </c>
      <c r="U3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5" s="265" t="str">
        <f>IF(ResultsTeams[[#This Row],[Score_OK]],IF(ResultsTeams[[#This Row],[StageCpy]]="Groups",ResultsTeams[[#This Row],[Category]]&amp;"-"&amp;IF(ResultsTeams[[#This Row],[Team B]]="","",IF(ResultsTeams[[#This Row],[Match-A]]=ResultsTeams[[#This Row],[Match-B]],ResultsTeams[[#This Row],[Team A]],"")),""),"")</f>
        <v/>
      </c>
      <c r="W375" s="265" t="str">
        <f>IF(ResultsTeams[[#This Row],[Score_OK]],IF(ResultsTeams[[#This Row],[StageCpy]]="Groups",ResultsTeams[[#This Row],[Category]]&amp;"-"&amp;IF(ResultsTeams[[#This Row],[Team B]]="","",IF(ResultsTeams[[#This Row],[Match-A]]=ResultsTeams[[#This Row],[Match-B]],ResultsTeams[[#This Row],[Team B]],"")),""),"")</f>
        <v/>
      </c>
      <c r="X3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5" s="264" t="str">
        <f>IF(ResultsTeams[[#This Row],[Category]]="","",VLOOKUP(ResultsTeams[[#This Row],[Stage]],$R$1:$T$8,MATCH(ResultsTeams[[#This Row],[Category]],$S$1:$T$1,0)+1,FALSE))</f>
        <v/>
      </c>
      <c r="AC3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5" s="264" t="str">
        <f>IF(ResultsTeams[[#This Row],[Type]]="G",ResultsTeams[[#This Row],[Stage]],AD374)</f>
        <v>Groups</v>
      </c>
      <c r="AE375" s="395" t="str">
        <f>IF(ResultsTeams[[#This Row],[Type]]="G",INDEX(TeamsList[Club Name],MATCH(ResultsTeams[[#This Row],[Team A]],TeamsList[Team Name],0)),AE374)</f>
        <v>Valletta Lions TFC</v>
      </c>
      <c r="AF375" s="395" t="str">
        <f>IF(ResultsTeams[[#This Row],[Type]]="G",INDEX(TeamsList[Club Name],MATCH(ResultsTeams[[#This Row],[Team B]],TeamsList[Team Name],0)),AF374)</f>
        <v>Master Sanremo</v>
      </c>
      <c r="AG375" s="265"/>
    </row>
    <row r="376" spans="1:33" ht="12" thickBot="1" x14ac:dyDescent="0.25">
      <c r="A376" s="261" t="s">
        <v>12693</v>
      </c>
      <c r="B376" s="270" t="s">
        <v>12207</v>
      </c>
      <c r="C376" s="270">
        <v>9</v>
      </c>
      <c r="D376" s="270"/>
      <c r="E376" s="272" t="s">
        <v>12228</v>
      </c>
      <c r="F376" s="273" t="s">
        <v>14597</v>
      </c>
      <c r="G376" s="273" t="s">
        <v>328</v>
      </c>
      <c r="H376" s="275">
        <v>0</v>
      </c>
      <c r="I376" s="275">
        <v>2</v>
      </c>
      <c r="J376" s="275"/>
      <c r="K376" s="366"/>
      <c r="L376" s="366"/>
      <c r="M376" s="274"/>
      <c r="N376" s="265" t="b">
        <f>NOT(ISERROR(ResultsTeams[[#This Row],[Goal-A]]+ResultsTeams[[#This Row],[Goal-B]]))</f>
        <v>1</v>
      </c>
      <c r="O376" s="265">
        <f>IF(ResultsTeams[[#This Row],[Type]]="G",SUM(O377:O380),IF(LEFT(ResultsTeams[[#This Row],[Type]],1)="P",IF(ResultsTeams[[#This Row],[Goal-A]]&gt;ResultsTeams[[#This Row],[Goal-B]],1,0),""))</f>
        <v>0</v>
      </c>
      <c r="P376" s="265">
        <f>IF(ResultsTeams[[#This Row],[Type]]="G",SUM(P377:P380),IF(LEFT(ResultsTeams[[#This Row],[Type]],1)="P",IF(ResultsTeams[[#This Row],[Goal-A]]&lt;ResultsTeams[[#This Row],[Goal-B]],1,0),""))</f>
        <v>2</v>
      </c>
      <c r="Q376" s="265">
        <f>IF(ResultsTeams[[#This Row],[Type]]="G",SUM(Q377:Q380),IF(LEFT(ResultsTeams[[#This Row],[Type]],1)="P",VALUE(ResultsTeams[[#This Row],[Score-A]]),""))</f>
        <v>2</v>
      </c>
      <c r="R376" s="265">
        <f>IF(ResultsTeams[[#This Row],[Type]]="G",SUM(R377:R380),IF(LEFT(ResultsTeams[[#This Row],[Type]],1)="P",VALUE(ResultsTeams[[#This Row],[Score-B]]),""))</f>
        <v>4</v>
      </c>
      <c r="S376" s="265">
        <f ca="1">IF(AND(ResultsTeams[[#This Row],[Category]]&lt;&gt;"",ResultsTeams[[#This Row],[Team A]]&lt;&gt;""),COUNTIF(INDIRECT("TeamsList[Club Name]"),ResultsTeams[[#This Row],[Team A]]),"")</f>
        <v>0</v>
      </c>
      <c r="T376" s="265">
        <f ca="1">IF(AND(ResultsTeams[[#This Row],[Category]]&lt;&gt;"",ResultsTeams[[#This Row],[Team B]]&lt;&gt;""),COUNTIF(INDIRECT("TeamsList[Club Name]"),ResultsTeams[[#This Row],[Team B]]),"")</f>
        <v>4</v>
      </c>
      <c r="U3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376" s="265" t="str">
        <f>IF(ResultsTeams[[#This Row],[Score_OK]],IF(ResultsTeams[[#This Row],[StageCpy]]="Groups",ResultsTeams[[#This Row],[Category]]&amp;"-"&amp;IF(ResultsTeams[[#This Row],[Team B]]="","",IF(ResultsTeams[[#This Row],[Match-A]]=ResultsTeams[[#This Row],[Match-B]],ResultsTeams[[#This Row],[Team A]],"")),""),"")</f>
        <v>TEAM-</v>
      </c>
      <c r="W376" s="265" t="str">
        <f>IF(ResultsTeams[[#This Row],[Score_OK]],IF(ResultsTeams[[#This Row],[StageCpy]]="Groups",ResultsTeams[[#This Row],[Category]]&amp;"-"&amp;IF(ResultsTeams[[#This Row],[Team B]]="","",IF(ResultsTeams[[#This Row],[Match-A]]=ResultsTeams[[#This Row],[Match-B]],ResultsTeams[[#This Row],[Team B]],"")),""),"")</f>
        <v>TEAM-</v>
      </c>
      <c r="X3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TEAM-Master Sanremo 2</v>
      </c>
      <c r="Y3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TEAM-Master Sanremo 2</v>
      </c>
      <c r="AA3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TEAM-Master Sanremo 2</v>
      </c>
      <c r="AB376" s="264" t="str">
        <f>IF(ResultsTeams[[#This Row],[Category]]="","",VLOOKUP(ResultsTeams[[#This Row],[Stage]],$R$1:$T$8,MATCH(ResultsTeams[[#This Row],[Category]],$S$1:$T$1,0)+1,FALSE))</f>
        <v>PR1</v>
      </c>
      <c r="AC3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6" s="264" t="str">
        <f>IF(ResultsTeams[[#This Row],[Type]]="G",ResultsTeams[[#This Row],[Stage]],AD375)</f>
        <v>Groups</v>
      </c>
      <c r="AE376" s="395" t="str">
        <f>IF(ResultsTeams[[#This Row],[Type]]="G",INDEX(TeamsList[Club Name],MATCH(ResultsTeams[[#This Row],[Team A]],TeamsList[Team Name],0)),AE375)</f>
        <v>Master Sanremo</v>
      </c>
      <c r="AF376" s="395" t="str">
        <f>IF(ResultsTeams[[#This Row],[Type]]="G",INDEX(TeamsList[Club Name],MATCH(ResultsTeams[[#This Row],[Team B]],TeamsList[Team Name],0)),AF375)</f>
        <v>Avenir Subbuteo Hennuyer</v>
      </c>
      <c r="AG376" s="265"/>
    </row>
    <row r="377" spans="1:33" x14ac:dyDescent="0.2">
      <c r="A377" s="60"/>
      <c r="B377" s="280"/>
      <c r="C377" s="60"/>
      <c r="D377" s="60"/>
      <c r="E377" s="240" t="s">
        <v>12231</v>
      </c>
      <c r="F377" s="244" t="s">
        <v>8200</v>
      </c>
      <c r="G377" s="244" t="s">
        <v>8115</v>
      </c>
      <c r="H377" s="253">
        <v>0</v>
      </c>
      <c r="I377" s="253">
        <v>1</v>
      </c>
      <c r="J377" s="253"/>
      <c r="K377" s="362"/>
      <c r="L377" s="362"/>
      <c r="M377" s="245"/>
      <c r="N377" s="265" t="b">
        <f>NOT(ISERROR(ResultsTeams[[#This Row],[Goal-A]]+ResultsTeams[[#This Row],[Goal-B]]))</f>
        <v>1</v>
      </c>
      <c r="O377" s="265">
        <f>IF(ResultsTeams[[#This Row],[Type]]="G",SUM(O378:O381),IF(LEFT(ResultsTeams[[#This Row],[Type]],1)="P",IF(ResultsTeams[[#This Row],[Goal-A]]&gt;ResultsTeams[[#This Row],[Goal-B]],1,0),""))</f>
        <v>0</v>
      </c>
      <c r="P377" s="265">
        <f>IF(ResultsTeams[[#This Row],[Type]]="G",SUM(P378:P381),IF(LEFT(ResultsTeams[[#This Row],[Type]],1)="P",IF(ResultsTeams[[#This Row],[Goal-A]]&lt;ResultsTeams[[#This Row],[Goal-B]],1,0),""))</f>
        <v>1</v>
      </c>
      <c r="Q377" s="265">
        <f>IF(ResultsTeams[[#This Row],[Type]]="G",SUM(Q378:Q381),IF(LEFT(ResultsTeams[[#This Row],[Type]],1)="P",VALUE(ResultsTeams[[#This Row],[Score-A]]),""))</f>
        <v>0</v>
      </c>
      <c r="R377" s="265">
        <f>IF(ResultsTeams[[#This Row],[Type]]="G",SUM(R378:R381),IF(LEFT(ResultsTeams[[#This Row],[Type]],1)="P",VALUE(ResultsTeams[[#This Row],[Score-B]]),""))</f>
        <v>1</v>
      </c>
      <c r="S377" s="265" t="str">
        <f ca="1">IF(AND(ResultsTeams[[#This Row],[Category]]&lt;&gt;"",ResultsTeams[[#This Row],[Team A]]&lt;&gt;""),COUNTIF(INDIRECT("TeamsList[Club Name]"),ResultsTeams[[#This Row],[Team A]]),"")</f>
        <v/>
      </c>
      <c r="T377" s="265" t="str">
        <f ca="1">IF(AND(ResultsTeams[[#This Row],[Category]]&lt;&gt;"",ResultsTeams[[#This Row],[Team B]]&lt;&gt;""),COUNTIF(INDIRECT("TeamsList[Club Name]"),ResultsTeams[[#This Row],[Team B]]),"")</f>
        <v/>
      </c>
      <c r="U3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-Geoffrey Marain</v>
      </c>
      <c r="V377" s="265" t="str">
        <f>IF(ResultsTeams[[#This Row],[Score_OK]],IF(ResultsTeams[[#This Row],[StageCpy]]="Groups",ResultsTeams[[#This Row],[Category]]&amp;"-"&amp;IF(ResultsTeams[[#This Row],[Team B]]="","",IF(ResultsTeams[[#This Row],[Match-A]]=ResultsTeams[[#This Row],[Match-B]],ResultsTeams[[#This Row],[Team A]],"")),""),"")</f>
        <v>-</v>
      </c>
      <c r="W377" s="265" t="str">
        <f>IF(ResultsTeams[[#This Row],[Score_OK]],IF(ResultsTeams[[#This Row],[StageCpy]]="Groups",ResultsTeams[[#This Row],[Category]]&amp;"-"&amp;IF(ResultsTeams[[#This Row],[Team B]]="","",IF(ResultsTeams[[#This Row],[Match-A]]=ResultsTeams[[#This Row],[Match-B]],ResultsTeams[[#This Row],[Team B]],"")),""),"")</f>
        <v>-</v>
      </c>
      <c r="X3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-Mathieu Crasset</v>
      </c>
      <c r="Y3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7" s="264" t="str">
        <f>IF(ResultsTeams[[#This Row],[Category]]="","",VLOOKUP(ResultsTeams[[#This Row],[Stage]],$R$1:$T$8,MATCH(ResultsTeams[[#This Row],[Category]],$S$1:$T$1,0)+1,FALSE))</f>
        <v/>
      </c>
      <c r="AC3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7" s="264" t="str">
        <f>IF(ResultsTeams[[#This Row],[Type]]="G",ResultsTeams[[#This Row],[Stage]],AD376)</f>
        <v>Groups</v>
      </c>
      <c r="AE377" s="395" t="str">
        <f>IF(ResultsTeams[[#This Row],[Type]]="G",INDEX(TeamsList[Club Name],MATCH(ResultsTeams[[#This Row],[Team A]],TeamsList[Team Name],0)),AE376)</f>
        <v>Master Sanremo</v>
      </c>
      <c r="AF377" s="395" t="str">
        <f>IF(ResultsTeams[[#This Row],[Type]]="G",INDEX(TeamsList[Club Name],MATCH(ResultsTeams[[#This Row],[Team B]],TeamsList[Team Name],0)),AF376)</f>
        <v>Avenir Subbuteo Hennuyer</v>
      </c>
      <c r="AG377" s="265"/>
    </row>
    <row r="378" spans="1:33" x14ac:dyDescent="0.2">
      <c r="A378" s="62"/>
      <c r="B378" s="280"/>
      <c r="C378" s="62"/>
      <c r="D378" s="62"/>
      <c r="E378" s="241" t="s">
        <v>12234</v>
      </c>
      <c r="F378" s="246" t="s">
        <v>10359</v>
      </c>
      <c r="G378" s="246" t="s">
        <v>8120</v>
      </c>
      <c r="H378" s="254">
        <v>0</v>
      </c>
      <c r="I378" s="254">
        <v>1</v>
      </c>
      <c r="J378" s="254"/>
      <c r="K378" s="363"/>
      <c r="L378" s="363"/>
      <c r="M378" s="247"/>
      <c r="N378" s="265" t="b">
        <f>NOT(ISERROR(ResultsTeams[[#This Row],[Goal-A]]+ResultsTeams[[#This Row],[Goal-B]]))</f>
        <v>1</v>
      </c>
      <c r="O378" s="265">
        <f>IF(ResultsTeams[[#This Row],[Type]]="G",SUM(O379:O382),IF(LEFT(ResultsTeams[[#This Row],[Type]],1)="P",IF(ResultsTeams[[#This Row],[Goal-A]]&gt;ResultsTeams[[#This Row],[Goal-B]],1,0),""))</f>
        <v>0</v>
      </c>
      <c r="P378" s="265">
        <f>IF(ResultsTeams[[#This Row],[Type]]="G",SUM(P379:P382),IF(LEFT(ResultsTeams[[#This Row],[Type]],1)="P",IF(ResultsTeams[[#This Row],[Goal-A]]&lt;ResultsTeams[[#This Row],[Goal-B]],1,0),""))</f>
        <v>1</v>
      </c>
      <c r="Q378" s="265">
        <f>IF(ResultsTeams[[#This Row],[Type]]="G",SUM(Q379:Q382),IF(LEFT(ResultsTeams[[#This Row],[Type]],1)="P",VALUE(ResultsTeams[[#This Row],[Score-A]]),""))</f>
        <v>0</v>
      </c>
      <c r="R378" s="265">
        <f>IF(ResultsTeams[[#This Row],[Type]]="G",SUM(R379:R382),IF(LEFT(ResultsTeams[[#This Row],[Type]],1)="P",VALUE(ResultsTeams[[#This Row],[Score-B]]),""))</f>
        <v>1</v>
      </c>
      <c r="S378" s="265" t="str">
        <f ca="1">IF(AND(ResultsTeams[[#This Row],[Category]]&lt;&gt;"",ResultsTeams[[#This Row],[Team A]]&lt;&gt;""),COUNTIF(INDIRECT("TeamsList[Club Name]"),ResultsTeams[[#This Row],[Team A]]),"")</f>
        <v/>
      </c>
      <c r="T378" s="265" t="str">
        <f ca="1">IF(AND(ResultsTeams[[#This Row],[Category]]&lt;&gt;"",ResultsTeams[[#This Row],[Team B]]&lt;&gt;""),COUNTIF(INDIRECT("TeamsList[Club Name]"),ResultsTeams[[#This Row],[Team B]]),"")</f>
        <v/>
      </c>
      <c r="U3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-Lucas Pere</v>
      </c>
      <c r="V378" s="265" t="str">
        <f>IF(ResultsTeams[[#This Row],[Score_OK]],IF(ResultsTeams[[#This Row],[StageCpy]]="Groups",ResultsTeams[[#This Row],[Category]]&amp;"-"&amp;IF(ResultsTeams[[#This Row],[Team B]]="","",IF(ResultsTeams[[#This Row],[Match-A]]=ResultsTeams[[#This Row],[Match-B]],ResultsTeams[[#This Row],[Team A]],"")),""),"")</f>
        <v>-</v>
      </c>
      <c r="W378" s="265" t="str">
        <f>IF(ResultsTeams[[#This Row],[Score_OK]],IF(ResultsTeams[[#This Row],[StageCpy]]="Groups",ResultsTeams[[#This Row],[Category]]&amp;"-"&amp;IF(ResultsTeams[[#This Row],[Team B]]="","",IF(ResultsTeams[[#This Row],[Match-A]]=ResultsTeams[[#This Row],[Match-B]],ResultsTeams[[#This Row],[Team B]],"")),""),"")</f>
        <v>-</v>
      </c>
      <c r="X3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-Alessandro Arca</v>
      </c>
      <c r="Y3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8" s="264" t="str">
        <f>IF(ResultsTeams[[#This Row],[Category]]="","",VLOOKUP(ResultsTeams[[#This Row],[Stage]],$R$1:$T$8,MATCH(ResultsTeams[[#This Row],[Category]],$S$1:$T$1,0)+1,FALSE))</f>
        <v/>
      </c>
      <c r="AC3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8" s="264" t="str">
        <f>IF(ResultsTeams[[#This Row],[Type]]="G",ResultsTeams[[#This Row],[Stage]],AD377)</f>
        <v>Groups</v>
      </c>
      <c r="AE378" s="395" t="str">
        <f>IF(ResultsTeams[[#This Row],[Type]]="G",INDEX(TeamsList[Club Name],MATCH(ResultsTeams[[#This Row],[Team A]],TeamsList[Team Name],0)),AE377)</f>
        <v>Master Sanremo</v>
      </c>
      <c r="AF378" s="395" t="str">
        <f>IF(ResultsTeams[[#This Row],[Type]]="G",INDEX(TeamsList[Club Name],MATCH(ResultsTeams[[#This Row],[Team B]],TeamsList[Team Name],0)),AF377)</f>
        <v>Avenir Subbuteo Hennuyer</v>
      </c>
      <c r="AG378" s="265"/>
    </row>
    <row r="379" spans="1:33" x14ac:dyDescent="0.2">
      <c r="A379" s="62"/>
      <c r="B379" s="280"/>
      <c r="C379" s="62"/>
      <c r="D379" s="62"/>
      <c r="E379" s="241" t="s">
        <v>12237</v>
      </c>
      <c r="F379" s="246" t="s">
        <v>11270</v>
      </c>
      <c r="G379" s="246" t="s">
        <v>8088</v>
      </c>
      <c r="H379" s="254">
        <v>1</v>
      </c>
      <c r="I379" s="254">
        <v>1</v>
      </c>
      <c r="J379" s="254"/>
      <c r="K379" s="363"/>
      <c r="L379" s="363"/>
      <c r="M379" s="247"/>
      <c r="N379" s="265" t="b">
        <f>NOT(ISERROR(ResultsTeams[[#This Row],[Goal-A]]+ResultsTeams[[#This Row],[Goal-B]]))</f>
        <v>1</v>
      </c>
      <c r="O379" s="265">
        <f>IF(ResultsTeams[[#This Row],[Type]]="G",SUM(O380:O383),IF(LEFT(ResultsTeams[[#This Row],[Type]],1)="P",IF(ResultsTeams[[#This Row],[Goal-A]]&gt;ResultsTeams[[#This Row],[Goal-B]],1,0),""))</f>
        <v>0</v>
      </c>
      <c r="P379" s="265">
        <f>IF(ResultsTeams[[#This Row],[Type]]="G",SUM(P380:P383),IF(LEFT(ResultsTeams[[#This Row],[Type]],1)="P",IF(ResultsTeams[[#This Row],[Goal-A]]&lt;ResultsTeams[[#This Row],[Goal-B]],1,0),""))</f>
        <v>0</v>
      </c>
      <c r="Q379" s="265">
        <f>IF(ResultsTeams[[#This Row],[Type]]="G",SUM(Q380:Q383),IF(LEFT(ResultsTeams[[#This Row],[Type]],1)="P",VALUE(ResultsTeams[[#This Row],[Score-A]]),""))</f>
        <v>1</v>
      </c>
      <c r="R379" s="265">
        <f>IF(ResultsTeams[[#This Row],[Type]]="G",SUM(R380:R383),IF(LEFT(ResultsTeams[[#This Row],[Type]],1)="P",VALUE(ResultsTeams[[#This Row],[Score-B]]),""))</f>
        <v>1</v>
      </c>
      <c r="S379" s="265" t="str">
        <f ca="1">IF(AND(ResultsTeams[[#This Row],[Category]]&lt;&gt;"",ResultsTeams[[#This Row],[Team A]]&lt;&gt;""),COUNTIF(INDIRECT("TeamsList[Club Name]"),ResultsTeams[[#This Row],[Team A]]),"")</f>
        <v/>
      </c>
      <c r="T379" s="265" t="str">
        <f ca="1">IF(AND(ResultsTeams[[#This Row],[Category]]&lt;&gt;"",ResultsTeams[[#This Row],[Team B]]&lt;&gt;""),COUNTIF(INDIRECT("TeamsList[Club Name]"),ResultsTeams[[#This Row],[Team B]]),"")</f>
        <v/>
      </c>
      <c r="U3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79" s="265" t="str">
        <f>IF(ResultsTeams[[#This Row],[Score_OK]],IF(ResultsTeams[[#This Row],[StageCpy]]="Groups",ResultsTeams[[#This Row],[Category]]&amp;"-"&amp;IF(ResultsTeams[[#This Row],[Team B]]="","",IF(ResultsTeams[[#This Row],[Match-A]]=ResultsTeams[[#This Row],[Match-B]],ResultsTeams[[#This Row],[Team A]],"")),""),"")</f>
        <v>-Frank Stiller</v>
      </c>
      <c r="W379" s="265" t="str">
        <f>IF(ResultsTeams[[#This Row],[Score_OK]],IF(ResultsTeams[[#This Row],[StageCpy]]="Groups",ResultsTeams[[#This Row],[Category]]&amp;"-"&amp;IF(ResultsTeams[[#This Row],[Team B]]="","",IF(ResultsTeams[[#This Row],[Match-A]]=ResultsTeams[[#This Row],[Match-B]],ResultsTeams[[#This Row],[Team B]],"")),""),"")</f>
        <v>-Steffen Despretz</v>
      </c>
      <c r="X3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9" s="264" t="str">
        <f>IF(ResultsTeams[[#This Row],[Category]]="","",VLOOKUP(ResultsTeams[[#This Row],[Stage]],$R$1:$T$8,MATCH(ResultsTeams[[#This Row],[Category]],$S$1:$T$1,0)+1,FALSE))</f>
        <v/>
      </c>
      <c r="AC3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9" s="264" t="str">
        <f>IF(ResultsTeams[[#This Row],[Type]]="G",ResultsTeams[[#This Row],[Stage]],AD378)</f>
        <v>Groups</v>
      </c>
      <c r="AE379" s="395" t="str">
        <f>IF(ResultsTeams[[#This Row],[Type]]="G",INDEX(TeamsList[Club Name],MATCH(ResultsTeams[[#This Row],[Team A]],TeamsList[Team Name],0)),AE378)</f>
        <v>Master Sanremo</v>
      </c>
      <c r="AF379" s="395" t="str">
        <f>IF(ResultsTeams[[#This Row],[Type]]="G",INDEX(TeamsList[Club Name],MATCH(ResultsTeams[[#This Row],[Team B]],TeamsList[Team Name],0)),AF378)</f>
        <v>Avenir Subbuteo Hennuyer</v>
      </c>
      <c r="AG379" s="265"/>
    </row>
    <row r="380" spans="1:33" x14ac:dyDescent="0.2">
      <c r="A380" s="62"/>
      <c r="B380" s="280"/>
      <c r="C380" s="62"/>
      <c r="D380" s="62"/>
      <c r="E380" s="241" t="s">
        <v>12240</v>
      </c>
      <c r="F380" s="246" t="s">
        <v>10369</v>
      </c>
      <c r="G380" s="246" t="s">
        <v>8777</v>
      </c>
      <c r="H380" s="254">
        <v>1</v>
      </c>
      <c r="I380" s="254">
        <v>1</v>
      </c>
      <c r="J380" s="254"/>
      <c r="K380" s="363"/>
      <c r="L380" s="363"/>
      <c r="M380" s="247"/>
      <c r="N380" s="265" t="b">
        <f>NOT(ISERROR(ResultsTeams[[#This Row],[Goal-A]]+ResultsTeams[[#This Row],[Goal-B]]))</f>
        <v>1</v>
      </c>
      <c r="O380" s="265">
        <f>IF(ResultsTeams[[#This Row],[Type]]="G",SUM(O381:O384),IF(LEFT(ResultsTeams[[#This Row],[Type]],1)="P",IF(ResultsTeams[[#This Row],[Goal-A]]&gt;ResultsTeams[[#This Row],[Goal-B]],1,0),""))</f>
        <v>0</v>
      </c>
      <c r="P380" s="265">
        <f>IF(ResultsTeams[[#This Row],[Type]]="G",SUM(P381:P384),IF(LEFT(ResultsTeams[[#This Row],[Type]],1)="P",IF(ResultsTeams[[#This Row],[Goal-A]]&lt;ResultsTeams[[#This Row],[Goal-B]],1,0),""))</f>
        <v>0</v>
      </c>
      <c r="Q380" s="265">
        <f>IF(ResultsTeams[[#This Row],[Type]]="G",SUM(Q381:Q384),IF(LEFT(ResultsTeams[[#This Row],[Type]],1)="P",VALUE(ResultsTeams[[#This Row],[Score-A]]),""))</f>
        <v>1</v>
      </c>
      <c r="R380" s="265">
        <f>IF(ResultsTeams[[#This Row],[Type]]="G",SUM(R381:R384),IF(LEFT(ResultsTeams[[#This Row],[Type]],1)="P",VALUE(ResultsTeams[[#This Row],[Score-B]]),""))</f>
        <v>1</v>
      </c>
      <c r="S380" s="265" t="str">
        <f ca="1">IF(AND(ResultsTeams[[#This Row],[Category]]&lt;&gt;"",ResultsTeams[[#This Row],[Team A]]&lt;&gt;""),COUNTIF(INDIRECT("TeamsList[Club Name]"),ResultsTeams[[#This Row],[Team A]]),"")</f>
        <v/>
      </c>
      <c r="T380" s="265" t="str">
        <f ca="1">IF(AND(ResultsTeams[[#This Row],[Category]]&lt;&gt;"",ResultsTeams[[#This Row],[Team B]]&lt;&gt;""),COUNTIF(INDIRECT("TeamsList[Club Name]"),ResultsTeams[[#This Row],[Team B]]),"")</f>
        <v/>
      </c>
      <c r="U3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80" s="265" t="str">
        <f>IF(ResultsTeams[[#This Row],[Score_OK]],IF(ResultsTeams[[#This Row],[StageCpy]]="Groups",ResultsTeams[[#This Row],[Category]]&amp;"-"&amp;IF(ResultsTeams[[#This Row],[Team B]]="","",IF(ResultsTeams[[#This Row],[Match-A]]=ResultsTeams[[#This Row],[Match-B]],ResultsTeams[[#This Row],[Team A]],"")),""),"")</f>
        <v>-Carlo Alessi</v>
      </c>
      <c r="W380" s="265" t="str">
        <f>IF(ResultsTeams[[#This Row],[Score_OK]],IF(ResultsTeams[[#This Row],[StageCpy]]="Groups",ResultsTeams[[#This Row],[Category]]&amp;"-"&amp;IF(ResultsTeams[[#This Row],[Team B]]="","",IF(ResultsTeams[[#This Row],[Match-A]]=ResultsTeams[[#This Row],[Match-B]],ResultsTeams[[#This Row],[Team B]],"")),""),"")</f>
        <v>-Christos Angelinas</v>
      </c>
      <c r="X3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0" s="264" t="str">
        <f>IF(ResultsTeams[[#This Row],[Category]]="","",VLOOKUP(ResultsTeams[[#This Row],[Stage]],$R$1:$T$8,MATCH(ResultsTeams[[#This Row],[Category]],$S$1:$T$1,0)+1,FALSE))</f>
        <v/>
      </c>
      <c r="AC3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0" s="264" t="str">
        <f>IF(ResultsTeams[[#This Row],[Type]]="G",ResultsTeams[[#This Row],[Stage]],AD379)</f>
        <v>Groups</v>
      </c>
      <c r="AE380" s="395" t="str">
        <f>IF(ResultsTeams[[#This Row],[Type]]="G",INDEX(TeamsList[Club Name],MATCH(ResultsTeams[[#This Row],[Team A]],TeamsList[Team Name],0)),AE379)</f>
        <v>Master Sanremo</v>
      </c>
      <c r="AF380" s="395" t="str">
        <f>IF(ResultsTeams[[#This Row],[Type]]="G",INDEX(TeamsList[Club Name],MATCH(ResultsTeams[[#This Row],[Team B]],TeamsList[Team Name],0)),AF379)</f>
        <v>Avenir Subbuteo Hennuyer</v>
      </c>
      <c r="AG380" s="265"/>
    </row>
    <row r="381" spans="1:33" x14ac:dyDescent="0.2">
      <c r="A381" s="62"/>
      <c r="B381" s="62"/>
      <c r="C381" s="62"/>
      <c r="D381" s="62"/>
      <c r="E381" s="241" t="s">
        <v>12243</v>
      </c>
      <c r="F381" s="247"/>
      <c r="G381" s="247" t="s">
        <v>8141</v>
      </c>
      <c r="H381" s="254"/>
      <c r="I381" s="254" t="s">
        <v>12684</v>
      </c>
      <c r="J381" s="260"/>
      <c r="K381" s="364"/>
      <c r="L381" s="364"/>
      <c r="M381" s="63"/>
      <c r="N381" s="265" t="b">
        <f>NOT(ISERROR(ResultsTeams[[#This Row],[Goal-A]]+ResultsTeams[[#This Row],[Goal-B]]))</f>
        <v>0</v>
      </c>
      <c r="O381" s="265" t="str">
        <f>IF(ResultsTeams[[#This Row],[Type]]="G",SUM(O382:O385),IF(LEFT(ResultsTeams[[#This Row],[Type]],1)="P",IF(ResultsTeams[[#This Row],[Goal-A]]&gt;ResultsTeams[[#This Row],[Goal-B]],1,0),""))</f>
        <v/>
      </c>
      <c r="P381" s="265" t="str">
        <f>IF(ResultsTeams[[#This Row],[Type]]="G",SUM(P382:P385),IF(LEFT(ResultsTeams[[#This Row],[Type]],1)="P",IF(ResultsTeams[[#This Row],[Goal-A]]&lt;ResultsTeams[[#This Row],[Goal-B]],1,0),""))</f>
        <v/>
      </c>
      <c r="Q381" s="265" t="str">
        <f>IF(ResultsTeams[[#This Row],[Type]]="G",SUM(Q382:Q385),IF(LEFT(ResultsTeams[[#This Row],[Type]],1)="P",VALUE(ResultsTeams[[#This Row],[Score-A]]),""))</f>
        <v/>
      </c>
      <c r="R381" s="265" t="str">
        <f>IF(ResultsTeams[[#This Row],[Type]]="G",SUM(R382:R385),IF(LEFT(ResultsTeams[[#This Row],[Type]],1)="P",VALUE(ResultsTeams[[#This Row],[Score-B]]),""))</f>
        <v/>
      </c>
      <c r="S381" s="265" t="str">
        <f ca="1">IF(AND(ResultsTeams[[#This Row],[Category]]&lt;&gt;"",ResultsTeams[[#This Row],[Team A]]&lt;&gt;""),COUNTIF(INDIRECT("TeamsList[Club Name]"),ResultsTeams[[#This Row],[Team A]]),"")</f>
        <v/>
      </c>
      <c r="T381" s="265" t="str">
        <f ca="1">IF(AND(ResultsTeams[[#This Row],[Category]]&lt;&gt;"",ResultsTeams[[#This Row],[Team B]]&lt;&gt;""),COUNTIF(INDIRECT("TeamsList[Club Name]"),ResultsTeams[[#This Row],[Team B]]),"")</f>
        <v/>
      </c>
      <c r="U3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1" s="265" t="str">
        <f>IF(ResultsTeams[[#This Row],[Score_OK]],IF(ResultsTeams[[#This Row],[StageCpy]]="Groups",ResultsTeams[[#This Row],[Category]]&amp;"-"&amp;IF(ResultsTeams[[#This Row],[Team B]]="","",IF(ResultsTeams[[#This Row],[Match-A]]=ResultsTeams[[#This Row],[Match-B]],ResultsTeams[[#This Row],[Team A]],"")),""),"")</f>
        <v/>
      </c>
      <c r="W381" s="265" t="str">
        <f>IF(ResultsTeams[[#This Row],[Score_OK]],IF(ResultsTeams[[#This Row],[StageCpy]]="Groups",ResultsTeams[[#This Row],[Category]]&amp;"-"&amp;IF(ResultsTeams[[#This Row],[Team B]]="","",IF(ResultsTeams[[#This Row],[Match-A]]=ResultsTeams[[#This Row],[Match-B]],ResultsTeams[[#This Row],[Team B]],"")),""),"")</f>
        <v/>
      </c>
      <c r="X3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1" s="264" t="str">
        <f>IF(ResultsTeams[[#This Row],[Category]]="","",VLOOKUP(ResultsTeams[[#This Row],[Stage]],$R$1:$T$8,MATCH(ResultsTeams[[#This Row],[Category]],$S$1:$T$1,0)+1,FALSE))</f>
        <v/>
      </c>
      <c r="AC3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1" s="264" t="str">
        <f>IF(ResultsTeams[[#This Row],[Type]]="G",ResultsTeams[[#This Row],[Stage]],AD380)</f>
        <v>Groups</v>
      </c>
      <c r="AE381" s="395" t="str">
        <f>IF(ResultsTeams[[#This Row],[Type]]="G",INDEX(TeamsList[Club Name],MATCH(ResultsTeams[[#This Row],[Team A]],TeamsList[Team Name],0)),AE380)</f>
        <v>Master Sanremo</v>
      </c>
      <c r="AF381" s="395" t="str">
        <f>IF(ResultsTeams[[#This Row],[Type]]="G",INDEX(TeamsList[Club Name],MATCH(ResultsTeams[[#This Row],[Team B]],TeamsList[Team Name],0)),AF380)</f>
        <v>Avenir Subbuteo Hennuyer</v>
      </c>
      <c r="AG381" s="265"/>
    </row>
    <row r="382" spans="1:33" ht="12" thickBot="1" x14ac:dyDescent="0.25">
      <c r="A382" s="83"/>
      <c r="B382" s="83"/>
      <c r="C382" s="83"/>
      <c r="D382" s="83"/>
      <c r="E382" s="268" t="s">
        <v>12244</v>
      </c>
      <c r="F382" s="262"/>
      <c r="G382" s="262"/>
      <c r="H382" s="324"/>
      <c r="I382" s="324"/>
      <c r="J382" s="263"/>
      <c r="K382" s="365"/>
      <c r="L382" s="365"/>
      <c r="M382" s="84"/>
      <c r="N382" s="265" t="b">
        <f>NOT(ISERROR(ResultsTeams[[#This Row],[Goal-A]]+ResultsTeams[[#This Row],[Goal-B]]))</f>
        <v>0</v>
      </c>
      <c r="O382" s="265" t="str">
        <f>IF(ResultsTeams[[#This Row],[Type]]="G",SUM(O383:O386),IF(LEFT(ResultsTeams[[#This Row],[Type]],1)="P",IF(ResultsTeams[[#This Row],[Goal-A]]&gt;ResultsTeams[[#This Row],[Goal-B]],1,0),""))</f>
        <v/>
      </c>
      <c r="P382" s="265" t="str">
        <f>IF(ResultsTeams[[#This Row],[Type]]="G",SUM(P383:P386),IF(LEFT(ResultsTeams[[#This Row],[Type]],1)="P",IF(ResultsTeams[[#This Row],[Goal-A]]&lt;ResultsTeams[[#This Row],[Goal-B]],1,0),""))</f>
        <v/>
      </c>
      <c r="Q382" s="265" t="str">
        <f>IF(ResultsTeams[[#This Row],[Type]]="G",SUM(Q383:Q386),IF(LEFT(ResultsTeams[[#This Row],[Type]],1)="P",VALUE(ResultsTeams[[#This Row],[Score-A]]),""))</f>
        <v/>
      </c>
      <c r="R382" s="265" t="str">
        <f>IF(ResultsTeams[[#This Row],[Type]]="G",SUM(R383:R386),IF(LEFT(ResultsTeams[[#This Row],[Type]],1)="P",VALUE(ResultsTeams[[#This Row],[Score-B]]),""))</f>
        <v/>
      </c>
      <c r="S382" s="265" t="str">
        <f ca="1">IF(AND(ResultsTeams[[#This Row],[Category]]&lt;&gt;"",ResultsTeams[[#This Row],[Team A]]&lt;&gt;""),COUNTIF(INDIRECT("TeamsList[Club Name]"),ResultsTeams[[#This Row],[Team A]]),"")</f>
        <v/>
      </c>
      <c r="T382" s="265" t="str">
        <f ca="1">IF(AND(ResultsTeams[[#This Row],[Category]]&lt;&gt;"",ResultsTeams[[#This Row],[Team B]]&lt;&gt;""),COUNTIF(INDIRECT("TeamsList[Club Name]"),ResultsTeams[[#This Row],[Team B]]),"")</f>
        <v/>
      </c>
      <c r="U3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2" s="265" t="str">
        <f>IF(ResultsTeams[[#This Row],[Score_OK]],IF(ResultsTeams[[#This Row],[StageCpy]]="Groups",ResultsTeams[[#This Row],[Category]]&amp;"-"&amp;IF(ResultsTeams[[#This Row],[Team B]]="","",IF(ResultsTeams[[#This Row],[Match-A]]=ResultsTeams[[#This Row],[Match-B]],ResultsTeams[[#This Row],[Team A]],"")),""),"")</f>
        <v/>
      </c>
      <c r="W382" s="265" t="str">
        <f>IF(ResultsTeams[[#This Row],[Score_OK]],IF(ResultsTeams[[#This Row],[StageCpy]]="Groups",ResultsTeams[[#This Row],[Category]]&amp;"-"&amp;IF(ResultsTeams[[#This Row],[Team B]]="","",IF(ResultsTeams[[#This Row],[Match-A]]=ResultsTeams[[#This Row],[Match-B]],ResultsTeams[[#This Row],[Team B]],"")),""),"")</f>
        <v/>
      </c>
      <c r="X3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2" s="264" t="str">
        <f>IF(ResultsTeams[[#This Row],[Category]]="","",VLOOKUP(ResultsTeams[[#This Row],[Stage]],$R$1:$T$8,MATCH(ResultsTeams[[#This Row],[Category]],$S$1:$T$1,0)+1,FALSE))</f>
        <v/>
      </c>
      <c r="AC3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2" s="264" t="str">
        <f>IF(ResultsTeams[[#This Row],[Type]]="G",ResultsTeams[[#This Row],[Stage]],AD381)</f>
        <v>Groups</v>
      </c>
      <c r="AE382" s="395" t="str">
        <f>IF(ResultsTeams[[#This Row],[Type]]="G",INDEX(TeamsList[Club Name],MATCH(ResultsTeams[[#This Row],[Team A]],TeamsList[Team Name],0)),AE381)</f>
        <v>Master Sanremo</v>
      </c>
      <c r="AF382" s="395" t="str">
        <f>IF(ResultsTeams[[#This Row],[Type]]="G",INDEX(TeamsList[Club Name],MATCH(ResultsTeams[[#This Row],[Team B]],TeamsList[Team Name],0)),AF381)</f>
        <v>Avenir Subbuteo Hennuyer</v>
      </c>
      <c r="AG382" s="265"/>
    </row>
    <row r="383" spans="1:33" ht="12" thickBot="1" x14ac:dyDescent="0.25">
      <c r="A383" s="261" t="s">
        <v>12693</v>
      </c>
      <c r="B383" s="270" t="s">
        <v>12207</v>
      </c>
      <c r="C383" s="270">
        <v>9</v>
      </c>
      <c r="D383" s="270"/>
      <c r="E383" s="272" t="s">
        <v>12228</v>
      </c>
      <c r="F383" s="273" t="s">
        <v>819</v>
      </c>
      <c r="G383" s="273" t="s">
        <v>14596</v>
      </c>
      <c r="H383" s="275">
        <v>3</v>
      </c>
      <c r="I383" s="275">
        <v>1</v>
      </c>
      <c r="J383" s="275"/>
      <c r="K383" s="366"/>
      <c r="L383" s="366"/>
      <c r="M383" s="271"/>
      <c r="N383" s="265" t="b">
        <f>NOT(ISERROR(ResultsTeams[[#This Row],[Goal-A]]+ResultsTeams[[#This Row],[Goal-B]]))</f>
        <v>1</v>
      </c>
      <c r="O383" s="265">
        <f>IF(ResultsTeams[[#This Row],[Type]]="G",SUM(O384:O387),IF(LEFT(ResultsTeams[[#This Row],[Type]],1)="P",IF(ResultsTeams[[#This Row],[Goal-A]]&gt;ResultsTeams[[#This Row],[Goal-B]],1,0),""))</f>
        <v>3</v>
      </c>
      <c r="P383" s="265">
        <f>IF(ResultsTeams[[#This Row],[Type]]="G",SUM(P384:P387),IF(LEFT(ResultsTeams[[#This Row],[Type]],1)="P",IF(ResultsTeams[[#This Row],[Goal-A]]&lt;ResultsTeams[[#This Row],[Goal-B]],1,0),""))</f>
        <v>1</v>
      </c>
      <c r="Q383" s="265">
        <f>IF(ResultsTeams[[#This Row],[Type]]="G",SUM(Q384:Q387),IF(LEFT(ResultsTeams[[#This Row],[Type]],1)="P",VALUE(ResultsTeams[[#This Row],[Score-A]]),""))</f>
        <v>7</v>
      </c>
      <c r="R383" s="265">
        <f>IF(ResultsTeams[[#This Row],[Type]]="G",SUM(R384:R387),IF(LEFT(ResultsTeams[[#This Row],[Type]],1)="P",VALUE(ResultsTeams[[#This Row],[Score-B]]),""))</f>
        <v>2</v>
      </c>
      <c r="S383" s="265">
        <f ca="1">IF(AND(ResultsTeams[[#This Row],[Category]]&lt;&gt;"",ResultsTeams[[#This Row],[Team A]]&lt;&gt;""),COUNTIF(INDIRECT("TeamsList[Club Name]"),ResultsTeams[[#This Row],[Team A]]),"")</f>
        <v>1</v>
      </c>
      <c r="T383" s="265">
        <f ca="1">IF(AND(ResultsTeams[[#This Row],[Category]]&lt;&gt;"",ResultsTeams[[#This Row],[Team B]]&lt;&gt;""),COUNTIF(INDIRECT("TeamsList[Club Name]"),ResultsTeams[[#This Row],[Team B]]),"")</f>
        <v>0</v>
      </c>
      <c r="U3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TEAM-Irish Premier League</v>
      </c>
      <c r="V383" s="265" t="str">
        <f>IF(ResultsTeams[[#This Row],[Score_OK]],IF(ResultsTeams[[#This Row],[StageCpy]]="Groups",ResultsTeams[[#This Row],[Category]]&amp;"-"&amp;IF(ResultsTeams[[#This Row],[Team B]]="","",IF(ResultsTeams[[#This Row],[Match-A]]=ResultsTeams[[#This Row],[Match-B]],ResultsTeams[[#This Row],[Team A]],"")),""),"")</f>
        <v>TEAM-</v>
      </c>
      <c r="W383" s="265" t="str">
        <f>IF(ResultsTeams[[#This Row],[Score_OK]],IF(ResultsTeams[[#This Row],[StageCpy]]="Groups",ResultsTeams[[#This Row],[Category]]&amp;"-"&amp;IF(ResultsTeams[[#This Row],[Team B]]="","",IF(ResultsTeams[[#This Row],[Match-A]]=ResultsTeams[[#This Row],[Match-B]],ResultsTeams[[#This Row],[Team B]],"")),""),"")</f>
        <v>TEAM-</v>
      </c>
      <c r="X3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 2</v>
      </c>
      <c r="Y3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A3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B383" s="264" t="str">
        <f>IF(ResultsTeams[[#This Row],[Category]]="","",VLOOKUP(ResultsTeams[[#This Row],[Stage]],$R$1:$T$8,MATCH(ResultsTeams[[#This Row],[Category]],$S$1:$T$1,0)+1,FALSE))</f>
        <v>PR1</v>
      </c>
      <c r="AC3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3" s="264" t="str">
        <f>IF(ResultsTeams[[#This Row],[Type]]="G",ResultsTeams[[#This Row],[Stage]],AD382)</f>
        <v>Groups</v>
      </c>
      <c r="AE383" s="395" t="str">
        <f>IF(ResultsTeams[[#This Row],[Type]]="G",INDEX(TeamsList[Club Name],MATCH(ResultsTeams[[#This Row],[Team A]],TeamsList[Team Name],0)),AE382)</f>
        <v>Irish Premier League</v>
      </c>
      <c r="AF383" s="395" t="str">
        <f>IF(ResultsTeams[[#This Row],[Type]]="G",INDEX(TeamsList[Club Name],MATCH(ResultsTeams[[#This Row],[Team B]],TeamsList[Team Name],0)),AF382)</f>
        <v>Wamme SC</v>
      </c>
      <c r="AG383" s="265"/>
    </row>
    <row r="384" spans="1:33" x14ac:dyDescent="0.2">
      <c r="A384" s="60"/>
      <c r="B384" s="280"/>
      <c r="C384" s="60"/>
      <c r="D384" s="60"/>
      <c r="E384" s="240" t="s">
        <v>12231</v>
      </c>
      <c r="F384" s="244" t="s">
        <v>10590</v>
      </c>
      <c r="G384" s="244" t="s">
        <v>8195</v>
      </c>
      <c r="H384" s="253">
        <v>4</v>
      </c>
      <c r="I384" s="253">
        <v>0</v>
      </c>
      <c r="J384" s="253"/>
      <c r="K384" s="362"/>
      <c r="L384" s="362"/>
      <c r="M384" s="61"/>
      <c r="N384" s="265" t="b">
        <f>NOT(ISERROR(ResultsTeams[[#This Row],[Goal-A]]+ResultsTeams[[#This Row],[Goal-B]]))</f>
        <v>1</v>
      </c>
      <c r="O384" s="265">
        <f>IF(ResultsTeams[[#This Row],[Type]]="G",SUM(O385:O388),IF(LEFT(ResultsTeams[[#This Row],[Type]],1)="P",IF(ResultsTeams[[#This Row],[Goal-A]]&gt;ResultsTeams[[#This Row],[Goal-B]],1,0),""))</f>
        <v>1</v>
      </c>
      <c r="P384" s="265">
        <f>IF(ResultsTeams[[#This Row],[Type]]="G",SUM(P385:P388),IF(LEFT(ResultsTeams[[#This Row],[Type]],1)="P",IF(ResultsTeams[[#This Row],[Goal-A]]&lt;ResultsTeams[[#This Row],[Goal-B]],1,0),""))</f>
        <v>0</v>
      </c>
      <c r="Q384" s="265">
        <f>IF(ResultsTeams[[#This Row],[Type]]="G",SUM(Q385:Q388),IF(LEFT(ResultsTeams[[#This Row],[Type]],1)="P",VALUE(ResultsTeams[[#This Row],[Score-A]]),""))</f>
        <v>4</v>
      </c>
      <c r="R384" s="265">
        <f>IF(ResultsTeams[[#This Row],[Type]]="G",SUM(R385:R388),IF(LEFT(ResultsTeams[[#This Row],[Type]],1)="P",VALUE(ResultsTeams[[#This Row],[Score-B]]),""))</f>
        <v>0</v>
      </c>
      <c r="S384" s="265" t="str">
        <f ca="1">IF(AND(ResultsTeams[[#This Row],[Category]]&lt;&gt;"",ResultsTeams[[#This Row],[Team A]]&lt;&gt;""),COUNTIF(INDIRECT("TeamsList[Club Name]"),ResultsTeams[[#This Row],[Team A]]),"")</f>
        <v/>
      </c>
      <c r="T384" s="265" t="str">
        <f ca="1">IF(AND(ResultsTeams[[#This Row],[Category]]&lt;&gt;"",ResultsTeams[[#This Row],[Team B]]&lt;&gt;""),COUNTIF(INDIRECT("TeamsList[Club Name]"),ResultsTeams[[#This Row],[Team B]]),"")</f>
        <v/>
      </c>
      <c r="U3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-Andy Fitzpatrick</v>
      </c>
      <c r="V384" s="265" t="str">
        <f>IF(ResultsTeams[[#This Row],[Score_OK]],IF(ResultsTeams[[#This Row],[StageCpy]]="Groups",ResultsTeams[[#This Row],[Category]]&amp;"-"&amp;IF(ResultsTeams[[#This Row],[Team B]]="","",IF(ResultsTeams[[#This Row],[Match-A]]=ResultsTeams[[#This Row],[Match-B]],ResultsTeams[[#This Row],[Team A]],"")),""),"")</f>
        <v>-</v>
      </c>
      <c r="W384" s="265" t="str">
        <f>IF(ResultsTeams[[#This Row],[Score_OK]],IF(ResultsTeams[[#This Row],[StageCpy]]="Groups",ResultsTeams[[#This Row],[Category]]&amp;"-"&amp;IF(ResultsTeams[[#This Row],[Team B]]="","",IF(ResultsTeams[[#This Row],[Match-A]]=ResultsTeams[[#This Row],[Match-B]],ResultsTeams[[#This Row],[Team B]],"")),""),"")</f>
        <v>-</v>
      </c>
      <c r="X3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Boulanger</v>
      </c>
      <c r="Y3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4" s="264" t="str">
        <f>IF(ResultsTeams[[#This Row],[Category]]="","",VLOOKUP(ResultsTeams[[#This Row],[Stage]],$R$1:$T$8,MATCH(ResultsTeams[[#This Row],[Category]],$S$1:$T$1,0)+1,FALSE))</f>
        <v/>
      </c>
      <c r="AC3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4" s="264" t="str">
        <f>IF(ResultsTeams[[#This Row],[Type]]="G",ResultsTeams[[#This Row],[Stage]],AD383)</f>
        <v>Groups</v>
      </c>
      <c r="AE384" s="395" t="str">
        <f>IF(ResultsTeams[[#This Row],[Type]]="G",INDEX(TeamsList[Club Name],MATCH(ResultsTeams[[#This Row],[Team A]],TeamsList[Team Name],0)),AE383)</f>
        <v>Irish Premier League</v>
      </c>
      <c r="AF384" s="395" t="str">
        <f>IF(ResultsTeams[[#This Row],[Type]]="G",INDEX(TeamsList[Club Name],MATCH(ResultsTeams[[#This Row],[Team B]],TeamsList[Team Name],0)),AF383)</f>
        <v>Wamme SC</v>
      </c>
      <c r="AG384" s="265"/>
    </row>
    <row r="385" spans="1:33" x14ac:dyDescent="0.2">
      <c r="A385" s="62"/>
      <c r="B385" s="280"/>
      <c r="C385" s="62"/>
      <c r="D385" s="62"/>
      <c r="E385" s="241" t="s">
        <v>12234</v>
      </c>
      <c r="F385" s="246" t="s">
        <v>10591</v>
      </c>
      <c r="G385" s="246" t="s">
        <v>8191</v>
      </c>
      <c r="H385" s="254">
        <v>2</v>
      </c>
      <c r="I385" s="254">
        <v>1</v>
      </c>
      <c r="J385" s="254"/>
      <c r="K385" s="363"/>
      <c r="L385" s="363"/>
      <c r="M385" s="63"/>
      <c r="N385" s="265" t="b">
        <f>NOT(ISERROR(ResultsTeams[[#This Row],[Goal-A]]+ResultsTeams[[#This Row],[Goal-B]]))</f>
        <v>1</v>
      </c>
      <c r="O385" s="265">
        <f>IF(ResultsTeams[[#This Row],[Type]]="G",SUM(O386:O389),IF(LEFT(ResultsTeams[[#This Row],[Type]],1)="P",IF(ResultsTeams[[#This Row],[Goal-A]]&gt;ResultsTeams[[#This Row],[Goal-B]],1,0),""))</f>
        <v>1</v>
      </c>
      <c r="P385" s="265">
        <f>IF(ResultsTeams[[#This Row],[Type]]="G",SUM(P386:P389),IF(LEFT(ResultsTeams[[#This Row],[Type]],1)="P",IF(ResultsTeams[[#This Row],[Goal-A]]&lt;ResultsTeams[[#This Row],[Goal-B]],1,0),""))</f>
        <v>0</v>
      </c>
      <c r="Q385" s="265">
        <f>IF(ResultsTeams[[#This Row],[Type]]="G",SUM(Q386:Q389),IF(LEFT(ResultsTeams[[#This Row],[Type]],1)="P",VALUE(ResultsTeams[[#This Row],[Score-A]]),""))</f>
        <v>2</v>
      </c>
      <c r="R385" s="265">
        <f>IF(ResultsTeams[[#This Row],[Type]]="G",SUM(R386:R389),IF(LEFT(ResultsTeams[[#This Row],[Type]],1)="P",VALUE(ResultsTeams[[#This Row],[Score-B]]),""))</f>
        <v>1</v>
      </c>
      <c r="S385" s="265" t="str">
        <f ca="1">IF(AND(ResultsTeams[[#This Row],[Category]]&lt;&gt;"",ResultsTeams[[#This Row],[Team A]]&lt;&gt;""),COUNTIF(INDIRECT("TeamsList[Club Name]"),ResultsTeams[[#This Row],[Team A]]),"")</f>
        <v/>
      </c>
      <c r="T385" s="265" t="str">
        <f ca="1">IF(AND(ResultsTeams[[#This Row],[Category]]&lt;&gt;"",ResultsTeams[[#This Row],[Team B]]&lt;&gt;""),COUNTIF(INDIRECT("TeamsList[Club Name]"),ResultsTeams[[#This Row],[Team B]]),"")</f>
        <v/>
      </c>
      <c r="U3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Kaliszewski</v>
      </c>
      <c r="V385" s="265" t="str">
        <f>IF(ResultsTeams[[#This Row],[Score_OK]],IF(ResultsTeams[[#This Row],[StageCpy]]="Groups",ResultsTeams[[#This Row],[Category]]&amp;"-"&amp;IF(ResultsTeams[[#This Row],[Team B]]="","",IF(ResultsTeams[[#This Row],[Match-A]]=ResultsTeams[[#This Row],[Match-B]],ResultsTeams[[#This Row],[Team A]],"")),""),"")</f>
        <v>-</v>
      </c>
      <c r="W385" s="265" t="str">
        <f>IF(ResultsTeams[[#This Row],[Score_OK]],IF(ResultsTeams[[#This Row],[StageCpy]]="Groups",ResultsTeams[[#This Row],[Category]]&amp;"-"&amp;IF(ResultsTeams[[#This Row],[Team B]]="","",IF(ResultsTeams[[#This Row],[Match-A]]=ResultsTeams[[#This Row],[Match-B]],ResultsTeams[[#This Row],[Team B]],"")),""),"")</f>
        <v>-</v>
      </c>
      <c r="X3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3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5" s="264" t="str">
        <f>IF(ResultsTeams[[#This Row],[Category]]="","",VLOOKUP(ResultsTeams[[#This Row],[Stage]],$R$1:$T$8,MATCH(ResultsTeams[[#This Row],[Category]],$S$1:$T$1,0)+1,FALSE))</f>
        <v/>
      </c>
      <c r="AC3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5" s="264" t="str">
        <f>IF(ResultsTeams[[#This Row],[Type]]="G",ResultsTeams[[#This Row],[Stage]],AD384)</f>
        <v>Groups</v>
      </c>
      <c r="AE385" s="395" t="str">
        <f>IF(ResultsTeams[[#This Row],[Type]]="G",INDEX(TeamsList[Club Name],MATCH(ResultsTeams[[#This Row],[Team A]],TeamsList[Team Name],0)),AE384)</f>
        <v>Irish Premier League</v>
      </c>
      <c r="AF385" s="395" t="str">
        <f>IF(ResultsTeams[[#This Row],[Type]]="G",INDEX(TeamsList[Club Name],MATCH(ResultsTeams[[#This Row],[Team B]],TeamsList[Team Name],0)),AF384)</f>
        <v>Wamme SC</v>
      </c>
      <c r="AG385" s="265"/>
    </row>
    <row r="386" spans="1:33" x14ac:dyDescent="0.2">
      <c r="A386" s="62"/>
      <c r="B386" s="280"/>
      <c r="C386" s="62"/>
      <c r="D386" s="62"/>
      <c r="E386" s="241" t="s">
        <v>12237</v>
      </c>
      <c r="F386" s="246" t="s">
        <v>10584</v>
      </c>
      <c r="G386" s="246" t="s">
        <v>8179</v>
      </c>
      <c r="H386" s="254">
        <v>1</v>
      </c>
      <c r="I386" s="254">
        <v>0</v>
      </c>
      <c r="J386" s="254"/>
      <c r="K386" s="363"/>
      <c r="L386" s="363"/>
      <c r="M386" s="63"/>
      <c r="N386" s="265" t="b">
        <f>NOT(ISERROR(ResultsTeams[[#This Row],[Goal-A]]+ResultsTeams[[#This Row],[Goal-B]]))</f>
        <v>1</v>
      </c>
      <c r="O386" s="265">
        <f>IF(ResultsTeams[[#This Row],[Type]]="G",SUM(O387:O390),IF(LEFT(ResultsTeams[[#This Row],[Type]],1)="P",IF(ResultsTeams[[#This Row],[Goal-A]]&gt;ResultsTeams[[#This Row],[Goal-B]],1,0),""))</f>
        <v>1</v>
      </c>
      <c r="P386" s="265">
        <f>IF(ResultsTeams[[#This Row],[Type]]="G",SUM(P387:P390),IF(LEFT(ResultsTeams[[#This Row],[Type]],1)="P",IF(ResultsTeams[[#This Row],[Goal-A]]&lt;ResultsTeams[[#This Row],[Goal-B]],1,0),""))</f>
        <v>0</v>
      </c>
      <c r="Q386" s="265">
        <f>IF(ResultsTeams[[#This Row],[Type]]="G",SUM(Q387:Q390),IF(LEFT(ResultsTeams[[#This Row],[Type]],1)="P",VALUE(ResultsTeams[[#This Row],[Score-A]]),""))</f>
        <v>1</v>
      </c>
      <c r="R386" s="265">
        <f>IF(ResultsTeams[[#This Row],[Type]]="G",SUM(R387:R390),IF(LEFT(ResultsTeams[[#This Row],[Type]],1)="P",VALUE(ResultsTeams[[#This Row],[Score-B]]),""))</f>
        <v>0</v>
      </c>
      <c r="S386" s="265" t="str">
        <f ca="1">IF(AND(ResultsTeams[[#This Row],[Category]]&lt;&gt;"",ResultsTeams[[#This Row],[Team A]]&lt;&gt;""),COUNTIF(INDIRECT("TeamsList[Club Name]"),ResultsTeams[[#This Row],[Team A]]),"")</f>
        <v/>
      </c>
      <c r="T386" s="265" t="str">
        <f ca="1">IF(AND(ResultsTeams[[#This Row],[Category]]&lt;&gt;"",ResultsTeams[[#This Row],[Team B]]&lt;&gt;""),COUNTIF(INDIRECT("TeamsList[Club Name]"),ResultsTeams[[#This Row],[Team B]]),"")</f>
        <v/>
      </c>
      <c r="U3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Moore</v>
      </c>
      <c r="V386" s="265" t="str">
        <f>IF(ResultsTeams[[#This Row],[Score_OK]],IF(ResultsTeams[[#This Row],[StageCpy]]="Groups",ResultsTeams[[#This Row],[Category]]&amp;"-"&amp;IF(ResultsTeams[[#This Row],[Team B]]="","",IF(ResultsTeams[[#This Row],[Match-A]]=ResultsTeams[[#This Row],[Match-B]],ResultsTeams[[#This Row],[Team A]],"")),""),"")</f>
        <v>-</v>
      </c>
      <c r="W386" s="265" t="str">
        <f>IF(ResultsTeams[[#This Row],[Score_OK]],IF(ResultsTeams[[#This Row],[StageCpy]]="Groups",ResultsTeams[[#This Row],[Category]]&amp;"-"&amp;IF(ResultsTeams[[#This Row],[Team B]]="","",IF(ResultsTeams[[#This Row],[Match-A]]=ResultsTeams[[#This Row],[Match-B]],ResultsTeams[[#This Row],[Team B]],"")),""),"")</f>
        <v>-</v>
      </c>
      <c r="X3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-Maxim Grosdent</v>
      </c>
      <c r="Y3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6" s="264" t="str">
        <f>IF(ResultsTeams[[#This Row],[Category]]="","",VLOOKUP(ResultsTeams[[#This Row],[Stage]],$R$1:$T$8,MATCH(ResultsTeams[[#This Row],[Category]],$S$1:$T$1,0)+1,FALSE))</f>
        <v/>
      </c>
      <c r="AC3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6" s="264" t="str">
        <f>IF(ResultsTeams[[#This Row],[Type]]="G",ResultsTeams[[#This Row],[Stage]],AD385)</f>
        <v>Groups</v>
      </c>
      <c r="AE386" s="395" t="str">
        <f>IF(ResultsTeams[[#This Row],[Type]]="G",INDEX(TeamsList[Club Name],MATCH(ResultsTeams[[#This Row],[Team A]],TeamsList[Team Name],0)),AE385)</f>
        <v>Irish Premier League</v>
      </c>
      <c r="AF386" s="395" t="str">
        <f>IF(ResultsTeams[[#This Row],[Type]]="G",INDEX(TeamsList[Club Name],MATCH(ResultsTeams[[#This Row],[Team B]],TeamsList[Team Name],0)),AF385)</f>
        <v>Wamme SC</v>
      </c>
      <c r="AG386" s="265"/>
    </row>
    <row r="387" spans="1:33" x14ac:dyDescent="0.2">
      <c r="A387" s="62"/>
      <c r="B387" s="280"/>
      <c r="C387" s="62"/>
      <c r="D387" s="62"/>
      <c r="E387" s="241" t="s">
        <v>12240</v>
      </c>
      <c r="F387" s="246" t="s">
        <v>13920</v>
      </c>
      <c r="G387" s="246" t="s">
        <v>14481</v>
      </c>
      <c r="H387" s="254">
        <v>0</v>
      </c>
      <c r="I387" s="254">
        <v>1</v>
      </c>
      <c r="J387" s="254"/>
      <c r="K387" s="363"/>
      <c r="L387" s="363"/>
      <c r="M387" s="63"/>
      <c r="N387" s="265" t="b">
        <f>NOT(ISERROR(ResultsTeams[[#This Row],[Goal-A]]+ResultsTeams[[#This Row],[Goal-B]]))</f>
        <v>1</v>
      </c>
      <c r="O387" s="265">
        <f>IF(ResultsTeams[[#This Row],[Type]]="G",SUM(O388:O391),IF(LEFT(ResultsTeams[[#This Row],[Type]],1)="P",IF(ResultsTeams[[#This Row],[Goal-A]]&gt;ResultsTeams[[#This Row],[Goal-B]],1,0),""))</f>
        <v>0</v>
      </c>
      <c r="P387" s="265">
        <f>IF(ResultsTeams[[#This Row],[Type]]="G",SUM(P388:P391),IF(LEFT(ResultsTeams[[#This Row],[Type]],1)="P",IF(ResultsTeams[[#This Row],[Goal-A]]&lt;ResultsTeams[[#This Row],[Goal-B]],1,0),""))</f>
        <v>1</v>
      </c>
      <c r="Q387" s="265">
        <f>IF(ResultsTeams[[#This Row],[Type]]="G",SUM(Q388:Q391),IF(LEFT(ResultsTeams[[#This Row],[Type]],1)="P",VALUE(ResultsTeams[[#This Row],[Score-A]]),""))</f>
        <v>0</v>
      </c>
      <c r="R387" s="265">
        <f>IF(ResultsTeams[[#This Row],[Type]]="G",SUM(R388:R391),IF(LEFT(ResultsTeams[[#This Row],[Type]],1)="P",VALUE(ResultsTeams[[#This Row],[Score-B]]),""))</f>
        <v>1</v>
      </c>
      <c r="S387" s="265" t="str">
        <f ca="1">IF(AND(ResultsTeams[[#This Row],[Category]]&lt;&gt;"",ResultsTeams[[#This Row],[Team A]]&lt;&gt;""),COUNTIF(INDIRECT("TeamsList[Club Name]"),ResultsTeams[[#This Row],[Team A]]),"")</f>
        <v/>
      </c>
      <c r="T387" s="265" t="str">
        <f ca="1">IF(AND(ResultsTeams[[#This Row],[Category]]&lt;&gt;"",ResultsTeams[[#This Row],[Team B]]&lt;&gt;""),COUNTIF(INDIRECT("TeamsList[Club Name]"),ResultsTeams[[#This Row],[Team B]]),"")</f>
        <v/>
      </c>
      <c r="U3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-Vincent Dirick</v>
      </c>
      <c r="V387" s="265" t="str">
        <f>IF(ResultsTeams[[#This Row],[Score_OK]],IF(ResultsTeams[[#This Row],[StageCpy]]="Groups",ResultsTeams[[#This Row],[Category]]&amp;"-"&amp;IF(ResultsTeams[[#This Row],[Team B]]="","",IF(ResultsTeams[[#This Row],[Match-A]]=ResultsTeams[[#This Row],[Match-B]],ResultsTeams[[#This Row],[Team A]],"")),""),"")</f>
        <v>-</v>
      </c>
      <c r="W387" s="265" t="str">
        <f>IF(ResultsTeams[[#This Row],[Score_OK]],IF(ResultsTeams[[#This Row],[StageCpy]]="Groups",ResultsTeams[[#This Row],[Category]]&amp;"-"&amp;IF(ResultsTeams[[#This Row],[Team B]]="","",IF(ResultsTeams[[#This Row],[Match-A]]=ResultsTeams[[#This Row],[Match-B]],ResultsTeams[[#This Row],[Team B]],"")),""),"")</f>
        <v>-</v>
      </c>
      <c r="X3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-Adrian Pigott</v>
      </c>
      <c r="Y3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7" s="264" t="str">
        <f>IF(ResultsTeams[[#This Row],[Category]]="","",VLOOKUP(ResultsTeams[[#This Row],[Stage]],$R$1:$T$8,MATCH(ResultsTeams[[#This Row],[Category]],$S$1:$T$1,0)+1,FALSE))</f>
        <v/>
      </c>
      <c r="AC3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7" s="264" t="str">
        <f>IF(ResultsTeams[[#This Row],[Type]]="G",ResultsTeams[[#This Row],[Stage]],AD386)</f>
        <v>Groups</v>
      </c>
      <c r="AE387" s="395" t="str">
        <f>IF(ResultsTeams[[#This Row],[Type]]="G",INDEX(TeamsList[Club Name],MATCH(ResultsTeams[[#This Row],[Team A]],TeamsList[Team Name],0)),AE386)</f>
        <v>Irish Premier League</v>
      </c>
      <c r="AF387" s="395" t="str">
        <f>IF(ResultsTeams[[#This Row],[Type]]="G",INDEX(TeamsList[Club Name],MATCH(ResultsTeams[[#This Row],[Team B]],TeamsList[Team Name],0)),AF386)</f>
        <v>Wamme SC</v>
      </c>
      <c r="AG387" s="265"/>
    </row>
    <row r="388" spans="1:33" x14ac:dyDescent="0.2">
      <c r="A388" s="62"/>
      <c r="B388" s="62"/>
      <c r="C388" s="62"/>
      <c r="D388" s="62"/>
      <c r="E388" s="241" t="s">
        <v>12243</v>
      </c>
      <c r="F388" s="247"/>
      <c r="G388" s="247"/>
      <c r="H388" s="254"/>
      <c r="I388" s="254"/>
      <c r="J388" s="260"/>
      <c r="K388" s="364"/>
      <c r="L388" s="364"/>
      <c r="M388" s="63"/>
      <c r="N388" s="265" t="b">
        <f>NOT(ISERROR(ResultsTeams[[#This Row],[Goal-A]]+ResultsTeams[[#This Row],[Goal-B]]))</f>
        <v>0</v>
      </c>
      <c r="O388" s="265" t="str">
        <f>IF(ResultsTeams[[#This Row],[Type]]="G",SUM(O389:O392),IF(LEFT(ResultsTeams[[#This Row],[Type]],1)="P",IF(ResultsTeams[[#This Row],[Goal-A]]&gt;ResultsTeams[[#This Row],[Goal-B]],1,0),""))</f>
        <v/>
      </c>
      <c r="P388" s="265" t="str">
        <f>IF(ResultsTeams[[#This Row],[Type]]="G",SUM(P389:P392),IF(LEFT(ResultsTeams[[#This Row],[Type]],1)="P",IF(ResultsTeams[[#This Row],[Goal-A]]&lt;ResultsTeams[[#This Row],[Goal-B]],1,0),""))</f>
        <v/>
      </c>
      <c r="Q388" s="265" t="str">
        <f>IF(ResultsTeams[[#This Row],[Type]]="G",SUM(Q389:Q392),IF(LEFT(ResultsTeams[[#This Row],[Type]],1)="P",VALUE(ResultsTeams[[#This Row],[Score-A]]),""))</f>
        <v/>
      </c>
      <c r="R388" s="265" t="str">
        <f>IF(ResultsTeams[[#This Row],[Type]]="G",SUM(R389:R392),IF(LEFT(ResultsTeams[[#This Row],[Type]],1)="P",VALUE(ResultsTeams[[#This Row],[Score-B]]),""))</f>
        <v/>
      </c>
      <c r="S388" s="265" t="str">
        <f ca="1">IF(AND(ResultsTeams[[#This Row],[Category]]&lt;&gt;"",ResultsTeams[[#This Row],[Team A]]&lt;&gt;""),COUNTIF(INDIRECT("TeamsList[Club Name]"),ResultsTeams[[#This Row],[Team A]]),"")</f>
        <v/>
      </c>
      <c r="T388" s="265" t="str">
        <f ca="1">IF(AND(ResultsTeams[[#This Row],[Category]]&lt;&gt;"",ResultsTeams[[#This Row],[Team B]]&lt;&gt;""),COUNTIF(INDIRECT("TeamsList[Club Name]"),ResultsTeams[[#This Row],[Team B]]),"")</f>
        <v/>
      </c>
      <c r="U3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8" s="265" t="str">
        <f>IF(ResultsTeams[[#This Row],[Score_OK]],IF(ResultsTeams[[#This Row],[StageCpy]]="Groups",ResultsTeams[[#This Row],[Category]]&amp;"-"&amp;IF(ResultsTeams[[#This Row],[Team B]]="","",IF(ResultsTeams[[#This Row],[Match-A]]=ResultsTeams[[#This Row],[Match-B]],ResultsTeams[[#This Row],[Team A]],"")),""),"")</f>
        <v/>
      </c>
      <c r="W388" s="265" t="str">
        <f>IF(ResultsTeams[[#This Row],[Score_OK]],IF(ResultsTeams[[#This Row],[StageCpy]]="Groups",ResultsTeams[[#This Row],[Category]]&amp;"-"&amp;IF(ResultsTeams[[#This Row],[Team B]]="","",IF(ResultsTeams[[#This Row],[Match-A]]=ResultsTeams[[#This Row],[Match-B]],ResultsTeams[[#This Row],[Team B]],"")),""),"")</f>
        <v/>
      </c>
      <c r="X3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8" s="264" t="str">
        <f>IF(ResultsTeams[[#This Row],[Category]]="","",VLOOKUP(ResultsTeams[[#This Row],[Stage]],$R$1:$T$8,MATCH(ResultsTeams[[#This Row],[Category]],$S$1:$T$1,0)+1,FALSE))</f>
        <v/>
      </c>
      <c r="AC3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8" s="264" t="str">
        <f>IF(ResultsTeams[[#This Row],[Type]]="G",ResultsTeams[[#This Row],[Stage]],AD387)</f>
        <v>Groups</v>
      </c>
      <c r="AE388" s="395" t="str">
        <f>IF(ResultsTeams[[#This Row],[Type]]="G",INDEX(TeamsList[Club Name],MATCH(ResultsTeams[[#This Row],[Team A]],TeamsList[Team Name],0)),AE387)</f>
        <v>Irish Premier League</v>
      </c>
      <c r="AF388" s="395" t="str">
        <f>IF(ResultsTeams[[#This Row],[Type]]="G",INDEX(TeamsList[Club Name],MATCH(ResultsTeams[[#This Row],[Team B]],TeamsList[Team Name],0)),AF387)</f>
        <v>Wamme SC</v>
      </c>
      <c r="AG388" s="265"/>
    </row>
    <row r="389" spans="1:33" ht="12" thickBot="1" x14ac:dyDescent="0.25">
      <c r="A389" s="83"/>
      <c r="B389" s="83"/>
      <c r="C389" s="83"/>
      <c r="D389" s="83"/>
      <c r="E389" s="268" t="s">
        <v>12244</v>
      </c>
      <c r="F389" s="262"/>
      <c r="G389" s="262"/>
      <c r="H389" s="324"/>
      <c r="I389" s="324"/>
      <c r="J389" s="263"/>
      <c r="K389" s="365"/>
      <c r="L389" s="365"/>
      <c r="M389" s="84"/>
      <c r="N389" s="265" t="b">
        <f>NOT(ISERROR(ResultsTeams[[#This Row],[Goal-A]]+ResultsTeams[[#This Row],[Goal-B]]))</f>
        <v>0</v>
      </c>
      <c r="O389" s="265" t="str">
        <f>IF(ResultsTeams[[#This Row],[Type]]="G",SUM(O390:O393),IF(LEFT(ResultsTeams[[#This Row],[Type]],1)="P",IF(ResultsTeams[[#This Row],[Goal-A]]&gt;ResultsTeams[[#This Row],[Goal-B]],1,0),""))</f>
        <v/>
      </c>
      <c r="P389" s="265" t="str">
        <f>IF(ResultsTeams[[#This Row],[Type]]="G",SUM(P390:P393),IF(LEFT(ResultsTeams[[#This Row],[Type]],1)="P",IF(ResultsTeams[[#This Row],[Goal-A]]&lt;ResultsTeams[[#This Row],[Goal-B]],1,0),""))</f>
        <v/>
      </c>
      <c r="Q389" s="265" t="str">
        <f>IF(ResultsTeams[[#This Row],[Type]]="G",SUM(Q390:Q393),IF(LEFT(ResultsTeams[[#This Row],[Type]],1)="P",VALUE(ResultsTeams[[#This Row],[Score-A]]),""))</f>
        <v/>
      </c>
      <c r="R389" s="265" t="str">
        <f>IF(ResultsTeams[[#This Row],[Type]]="G",SUM(R390:R393),IF(LEFT(ResultsTeams[[#This Row],[Type]],1)="P",VALUE(ResultsTeams[[#This Row],[Score-B]]),""))</f>
        <v/>
      </c>
      <c r="S389" s="265" t="str">
        <f ca="1">IF(AND(ResultsTeams[[#This Row],[Category]]&lt;&gt;"",ResultsTeams[[#This Row],[Team A]]&lt;&gt;""),COUNTIF(INDIRECT("TeamsList[Club Name]"),ResultsTeams[[#This Row],[Team A]]),"")</f>
        <v/>
      </c>
      <c r="T389" s="265" t="str">
        <f ca="1">IF(AND(ResultsTeams[[#This Row],[Category]]&lt;&gt;"",ResultsTeams[[#This Row],[Team B]]&lt;&gt;""),COUNTIF(INDIRECT("TeamsList[Club Name]"),ResultsTeams[[#This Row],[Team B]]),"")</f>
        <v/>
      </c>
      <c r="U3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9" s="265" t="str">
        <f>IF(ResultsTeams[[#This Row],[Score_OK]],IF(ResultsTeams[[#This Row],[StageCpy]]="Groups",ResultsTeams[[#This Row],[Category]]&amp;"-"&amp;IF(ResultsTeams[[#This Row],[Team B]]="","",IF(ResultsTeams[[#This Row],[Match-A]]=ResultsTeams[[#This Row],[Match-B]],ResultsTeams[[#This Row],[Team A]],"")),""),"")</f>
        <v/>
      </c>
      <c r="W389" s="265" t="str">
        <f>IF(ResultsTeams[[#This Row],[Score_OK]],IF(ResultsTeams[[#This Row],[StageCpy]]="Groups",ResultsTeams[[#This Row],[Category]]&amp;"-"&amp;IF(ResultsTeams[[#This Row],[Team B]]="","",IF(ResultsTeams[[#This Row],[Match-A]]=ResultsTeams[[#This Row],[Match-B]],ResultsTeams[[#This Row],[Team B]],"")),""),"")</f>
        <v/>
      </c>
      <c r="X3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9" s="264" t="str">
        <f>IF(ResultsTeams[[#This Row],[Category]]="","",VLOOKUP(ResultsTeams[[#This Row],[Stage]],$R$1:$T$8,MATCH(ResultsTeams[[#This Row],[Category]],$S$1:$T$1,0)+1,FALSE))</f>
        <v/>
      </c>
      <c r="AC3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9" s="264" t="str">
        <f>IF(ResultsTeams[[#This Row],[Type]]="G",ResultsTeams[[#This Row],[Stage]],AD388)</f>
        <v>Groups</v>
      </c>
      <c r="AE389" s="395" t="str">
        <f>IF(ResultsTeams[[#This Row],[Type]]="G",INDEX(TeamsList[Club Name],MATCH(ResultsTeams[[#This Row],[Team A]],TeamsList[Team Name],0)),AE388)</f>
        <v>Irish Premier League</v>
      </c>
      <c r="AF389" s="395" t="str">
        <f>IF(ResultsTeams[[#This Row],[Type]]="G",INDEX(TeamsList[Club Name],MATCH(ResultsTeams[[#This Row],[Team B]],TeamsList[Team Name],0)),AF388)</f>
        <v>Wamme SC</v>
      </c>
      <c r="AG389" s="265"/>
    </row>
    <row r="390" spans="1:33" ht="12" thickBot="1" x14ac:dyDescent="0.25">
      <c r="A390" s="261" t="s">
        <v>12693</v>
      </c>
      <c r="B390" s="270" t="s">
        <v>12207</v>
      </c>
      <c r="C390" s="270">
        <v>9</v>
      </c>
      <c r="D390" s="270"/>
      <c r="E390" s="272" t="s">
        <v>12228</v>
      </c>
      <c r="F390" s="273" t="s">
        <v>14596</v>
      </c>
      <c r="G390" s="273" t="s">
        <v>14597</v>
      </c>
      <c r="H390" s="275">
        <v>0</v>
      </c>
      <c r="I390" s="275">
        <v>3</v>
      </c>
      <c r="J390" s="275"/>
      <c r="K390" s="366"/>
      <c r="L390" s="366"/>
      <c r="M390" s="274"/>
      <c r="N390" s="265" t="b">
        <f>NOT(ISERROR(ResultsTeams[[#This Row],[Goal-A]]+ResultsTeams[[#This Row],[Goal-B]]))</f>
        <v>1</v>
      </c>
      <c r="O390" s="265">
        <f>IF(ResultsTeams[[#This Row],[Type]]="G",SUM(O391:O394),IF(LEFT(ResultsTeams[[#This Row],[Type]],1)="P",IF(ResultsTeams[[#This Row],[Goal-A]]&gt;ResultsTeams[[#This Row],[Goal-B]],1,0),""))</f>
        <v>0</v>
      </c>
      <c r="P390" s="265">
        <f>IF(ResultsTeams[[#This Row],[Type]]="G",SUM(P391:P394),IF(LEFT(ResultsTeams[[#This Row],[Type]],1)="P",IF(ResultsTeams[[#This Row],[Goal-A]]&lt;ResultsTeams[[#This Row],[Goal-B]],1,0),""))</f>
        <v>3</v>
      </c>
      <c r="Q390" s="265">
        <f>IF(ResultsTeams[[#This Row],[Type]]="G",SUM(Q391:Q394),IF(LEFT(ResultsTeams[[#This Row],[Type]],1)="P",VALUE(ResultsTeams[[#This Row],[Score-A]]),""))</f>
        <v>4</v>
      </c>
      <c r="R390" s="265">
        <f>IF(ResultsTeams[[#This Row],[Type]]="G",SUM(R391:R394),IF(LEFT(ResultsTeams[[#This Row],[Type]],1)="P",VALUE(ResultsTeams[[#This Row],[Score-B]]),""))</f>
        <v>26</v>
      </c>
      <c r="S390" s="265">
        <f ca="1">IF(AND(ResultsTeams[[#This Row],[Category]]&lt;&gt;"",ResultsTeams[[#This Row],[Team A]]&lt;&gt;""),COUNTIF(INDIRECT("TeamsList[Club Name]"),ResultsTeams[[#This Row],[Team A]]),"")</f>
        <v>0</v>
      </c>
      <c r="T390" s="265">
        <f ca="1">IF(AND(ResultsTeams[[#This Row],[Category]]&lt;&gt;"",ResultsTeams[[#This Row],[Team B]]&lt;&gt;""),COUNTIF(INDIRECT("TeamsList[Club Name]"),ResultsTeams[[#This Row],[Team B]]),"")</f>
        <v>0</v>
      </c>
      <c r="U3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TEAM-Master Sanremo 2</v>
      </c>
      <c r="V390" s="265" t="str">
        <f>IF(ResultsTeams[[#This Row],[Score_OK]],IF(ResultsTeams[[#This Row],[StageCpy]]="Groups",ResultsTeams[[#This Row],[Category]]&amp;"-"&amp;IF(ResultsTeams[[#This Row],[Team B]]="","",IF(ResultsTeams[[#This Row],[Match-A]]=ResultsTeams[[#This Row],[Match-B]],ResultsTeams[[#This Row],[Team A]],"")),""),"")</f>
        <v>TEAM-</v>
      </c>
      <c r="W390" s="265" t="str">
        <f>IF(ResultsTeams[[#This Row],[Score_OK]],IF(ResultsTeams[[#This Row],[StageCpy]]="Groups",ResultsTeams[[#This Row],[Category]]&amp;"-"&amp;IF(ResultsTeams[[#This Row],[Team B]]="","",IF(ResultsTeams[[#This Row],[Match-A]]=ResultsTeams[[#This Row],[Match-B]],ResultsTeams[[#This Row],[Team B]],"")),""),"")</f>
        <v>TEAM-</v>
      </c>
      <c r="X3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 2</v>
      </c>
      <c r="Y3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A3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B390" s="264" t="str">
        <f>IF(ResultsTeams[[#This Row],[Category]]="","",VLOOKUP(ResultsTeams[[#This Row],[Stage]],$R$1:$T$8,MATCH(ResultsTeams[[#This Row],[Category]],$S$1:$T$1,0)+1,FALSE))</f>
        <v>PR1</v>
      </c>
      <c r="AC3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0" s="264" t="str">
        <f>IF(ResultsTeams[[#This Row],[Type]]="G",ResultsTeams[[#This Row],[Stage]],AD389)</f>
        <v>Groups</v>
      </c>
      <c r="AE390" s="395" t="str">
        <f>IF(ResultsTeams[[#This Row],[Type]]="G",INDEX(TeamsList[Club Name],MATCH(ResultsTeams[[#This Row],[Team A]],TeamsList[Team Name],0)),AE389)</f>
        <v>Wamme SC</v>
      </c>
      <c r="AF390" s="395" t="str">
        <f>IF(ResultsTeams[[#This Row],[Type]]="G",INDEX(TeamsList[Club Name],MATCH(ResultsTeams[[#This Row],[Team B]],TeamsList[Team Name],0)),AF389)</f>
        <v>Master Sanremo</v>
      </c>
      <c r="AG390" s="265"/>
    </row>
    <row r="391" spans="1:33" x14ac:dyDescent="0.2">
      <c r="A391" s="60"/>
      <c r="B391" s="280"/>
      <c r="C391" s="60"/>
      <c r="D391" s="60"/>
      <c r="E391" s="240" t="s">
        <v>12231</v>
      </c>
      <c r="F391" s="244" t="s">
        <v>8195</v>
      </c>
      <c r="G391" s="244" t="s">
        <v>8200</v>
      </c>
      <c r="H391" s="253">
        <v>0</v>
      </c>
      <c r="I391" s="253">
        <v>7</v>
      </c>
      <c r="J391" s="253"/>
      <c r="K391" s="362"/>
      <c r="L391" s="362"/>
      <c r="M391" s="245"/>
      <c r="N391" s="265" t="b">
        <f>NOT(ISERROR(ResultsTeams[[#This Row],[Goal-A]]+ResultsTeams[[#This Row],[Goal-B]]))</f>
        <v>1</v>
      </c>
      <c r="O391" s="265">
        <f>IF(ResultsTeams[[#This Row],[Type]]="G",SUM(O392:O395),IF(LEFT(ResultsTeams[[#This Row],[Type]],1)="P",IF(ResultsTeams[[#This Row],[Goal-A]]&gt;ResultsTeams[[#This Row],[Goal-B]],1,0),""))</f>
        <v>0</v>
      </c>
      <c r="P391" s="265">
        <f>IF(ResultsTeams[[#This Row],[Type]]="G",SUM(P392:P395),IF(LEFT(ResultsTeams[[#This Row],[Type]],1)="P",IF(ResultsTeams[[#This Row],[Goal-A]]&lt;ResultsTeams[[#This Row],[Goal-B]],1,0),""))</f>
        <v>1</v>
      </c>
      <c r="Q391" s="265">
        <f>IF(ResultsTeams[[#This Row],[Type]]="G",SUM(Q392:Q395),IF(LEFT(ResultsTeams[[#This Row],[Type]],1)="P",VALUE(ResultsTeams[[#This Row],[Score-A]]),""))</f>
        <v>0</v>
      </c>
      <c r="R391" s="265">
        <f>IF(ResultsTeams[[#This Row],[Type]]="G",SUM(R392:R395),IF(LEFT(ResultsTeams[[#This Row],[Type]],1)="P",VALUE(ResultsTeams[[#This Row],[Score-B]]),""))</f>
        <v>7</v>
      </c>
      <c r="S391" s="265" t="str">
        <f ca="1">IF(AND(ResultsTeams[[#This Row],[Category]]&lt;&gt;"",ResultsTeams[[#This Row],[Team A]]&lt;&gt;""),COUNTIF(INDIRECT("TeamsList[Club Name]"),ResultsTeams[[#This Row],[Team A]]),"")</f>
        <v/>
      </c>
      <c r="T391" s="265" t="str">
        <f ca="1">IF(AND(ResultsTeams[[#This Row],[Category]]&lt;&gt;"",ResultsTeams[[#This Row],[Team B]]&lt;&gt;""),COUNTIF(INDIRECT("TeamsList[Club Name]"),ResultsTeams[[#This Row],[Team B]]),"")</f>
        <v/>
      </c>
      <c r="U3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-Mathieu Crasset</v>
      </c>
      <c r="V391" s="265" t="str">
        <f>IF(ResultsTeams[[#This Row],[Score_OK]],IF(ResultsTeams[[#This Row],[StageCpy]]="Groups",ResultsTeams[[#This Row],[Category]]&amp;"-"&amp;IF(ResultsTeams[[#This Row],[Team B]]="","",IF(ResultsTeams[[#This Row],[Match-A]]=ResultsTeams[[#This Row],[Match-B]],ResultsTeams[[#This Row],[Team A]],"")),""),"")</f>
        <v>-</v>
      </c>
      <c r="W391" s="265" t="str">
        <f>IF(ResultsTeams[[#This Row],[Score_OK]],IF(ResultsTeams[[#This Row],[StageCpy]]="Groups",ResultsTeams[[#This Row],[Category]]&amp;"-"&amp;IF(ResultsTeams[[#This Row],[Team B]]="","",IF(ResultsTeams[[#This Row],[Match-A]]=ResultsTeams[[#This Row],[Match-B]],ResultsTeams[[#This Row],[Team B]],"")),""),"")</f>
        <v>-</v>
      </c>
      <c r="X3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Boulanger</v>
      </c>
      <c r="Y3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1" s="264" t="str">
        <f>IF(ResultsTeams[[#This Row],[Category]]="","",VLOOKUP(ResultsTeams[[#This Row],[Stage]],$R$1:$T$8,MATCH(ResultsTeams[[#This Row],[Category]],$S$1:$T$1,0)+1,FALSE))</f>
        <v/>
      </c>
      <c r="AC3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1" s="264" t="str">
        <f>IF(ResultsTeams[[#This Row],[Type]]="G",ResultsTeams[[#This Row],[Stage]],AD390)</f>
        <v>Groups</v>
      </c>
      <c r="AE391" s="395" t="str">
        <f>IF(ResultsTeams[[#This Row],[Type]]="G",INDEX(TeamsList[Club Name],MATCH(ResultsTeams[[#This Row],[Team A]],TeamsList[Team Name],0)),AE390)</f>
        <v>Wamme SC</v>
      </c>
      <c r="AF391" s="395" t="str">
        <f>IF(ResultsTeams[[#This Row],[Type]]="G",INDEX(TeamsList[Club Name],MATCH(ResultsTeams[[#This Row],[Team B]],TeamsList[Team Name],0)),AF390)</f>
        <v>Master Sanremo</v>
      </c>
      <c r="AG391" s="265"/>
    </row>
    <row r="392" spans="1:33" x14ac:dyDescent="0.2">
      <c r="A392" s="62"/>
      <c r="B392" s="280"/>
      <c r="C392" s="62"/>
      <c r="D392" s="62"/>
      <c r="E392" s="241" t="s">
        <v>12234</v>
      </c>
      <c r="F392" s="246" t="s">
        <v>8179</v>
      </c>
      <c r="G392" s="246" t="s">
        <v>10359</v>
      </c>
      <c r="H392" s="254">
        <v>2</v>
      </c>
      <c r="I392" s="254">
        <v>2</v>
      </c>
      <c r="J392" s="254"/>
      <c r="K392" s="363"/>
      <c r="L392" s="363"/>
      <c r="M392" s="247"/>
      <c r="N392" s="265" t="b">
        <f>NOT(ISERROR(ResultsTeams[[#This Row],[Goal-A]]+ResultsTeams[[#This Row],[Goal-B]]))</f>
        <v>1</v>
      </c>
      <c r="O392" s="265">
        <f>IF(ResultsTeams[[#This Row],[Type]]="G",SUM(O393:O396),IF(LEFT(ResultsTeams[[#This Row],[Type]],1)="P",IF(ResultsTeams[[#This Row],[Goal-A]]&gt;ResultsTeams[[#This Row],[Goal-B]],1,0),""))</f>
        <v>0</v>
      </c>
      <c r="P392" s="265">
        <f>IF(ResultsTeams[[#This Row],[Type]]="G",SUM(P393:P396),IF(LEFT(ResultsTeams[[#This Row],[Type]],1)="P",IF(ResultsTeams[[#This Row],[Goal-A]]&lt;ResultsTeams[[#This Row],[Goal-B]],1,0),""))</f>
        <v>0</v>
      </c>
      <c r="Q392" s="265">
        <f>IF(ResultsTeams[[#This Row],[Type]]="G",SUM(Q393:Q396),IF(LEFT(ResultsTeams[[#This Row],[Type]],1)="P",VALUE(ResultsTeams[[#This Row],[Score-A]]),""))</f>
        <v>2</v>
      </c>
      <c r="R392" s="265">
        <f>IF(ResultsTeams[[#This Row],[Type]]="G",SUM(R393:R396),IF(LEFT(ResultsTeams[[#This Row],[Type]],1)="P",VALUE(ResultsTeams[[#This Row],[Score-B]]),""))</f>
        <v>2</v>
      </c>
      <c r="S392" s="265" t="str">
        <f ca="1">IF(AND(ResultsTeams[[#This Row],[Category]]&lt;&gt;"",ResultsTeams[[#This Row],[Team A]]&lt;&gt;""),COUNTIF(INDIRECT("TeamsList[Club Name]"),ResultsTeams[[#This Row],[Team A]]),"")</f>
        <v/>
      </c>
      <c r="T392" s="265" t="str">
        <f ca="1">IF(AND(ResultsTeams[[#This Row],[Category]]&lt;&gt;"",ResultsTeams[[#This Row],[Team B]]&lt;&gt;""),COUNTIF(INDIRECT("TeamsList[Club Name]"),ResultsTeams[[#This Row],[Team B]]),"")</f>
        <v/>
      </c>
      <c r="U3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392" s="265" t="str">
        <f>IF(ResultsTeams[[#This Row],[Score_OK]],IF(ResultsTeams[[#This Row],[StageCpy]]="Groups",ResultsTeams[[#This Row],[Category]]&amp;"-"&amp;IF(ResultsTeams[[#This Row],[Team B]]="","",IF(ResultsTeams[[#This Row],[Match-A]]=ResultsTeams[[#This Row],[Match-B]],ResultsTeams[[#This Row],[Team A]],"")),""),"")</f>
        <v>-Maxim Grosdent</v>
      </c>
      <c r="W392" s="265" t="str">
        <f>IF(ResultsTeams[[#This Row],[Score_OK]],IF(ResultsTeams[[#This Row],[StageCpy]]="Groups",ResultsTeams[[#This Row],[Category]]&amp;"-"&amp;IF(ResultsTeams[[#This Row],[Team B]]="","",IF(ResultsTeams[[#This Row],[Match-A]]=ResultsTeams[[#This Row],[Match-B]],ResultsTeams[[#This Row],[Team B]],"")),""),"")</f>
        <v>-Alessandro Arca</v>
      </c>
      <c r="X3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3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2" s="264" t="str">
        <f>IF(ResultsTeams[[#This Row],[Category]]="","",VLOOKUP(ResultsTeams[[#This Row],[Stage]],$R$1:$T$8,MATCH(ResultsTeams[[#This Row],[Category]],$S$1:$T$1,0)+1,FALSE))</f>
        <v/>
      </c>
      <c r="AC3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2" s="264" t="str">
        <f>IF(ResultsTeams[[#This Row],[Type]]="G",ResultsTeams[[#This Row],[Stage]],AD391)</f>
        <v>Groups</v>
      </c>
      <c r="AE392" s="395" t="str">
        <f>IF(ResultsTeams[[#This Row],[Type]]="G",INDEX(TeamsList[Club Name],MATCH(ResultsTeams[[#This Row],[Team A]],TeamsList[Team Name],0)),AE391)</f>
        <v>Wamme SC</v>
      </c>
      <c r="AF392" s="395" t="str">
        <f>IF(ResultsTeams[[#This Row],[Type]]="G",INDEX(TeamsList[Club Name],MATCH(ResultsTeams[[#This Row],[Team B]],TeamsList[Team Name],0)),AF391)</f>
        <v>Master Sanremo</v>
      </c>
      <c r="AG392" s="265"/>
    </row>
    <row r="393" spans="1:33" x14ac:dyDescent="0.2">
      <c r="A393" s="62"/>
      <c r="B393" s="280"/>
      <c r="C393" s="62"/>
      <c r="D393" s="62"/>
      <c r="E393" s="241" t="s">
        <v>12237</v>
      </c>
      <c r="F393" s="246" t="s">
        <v>14481</v>
      </c>
      <c r="G393" s="246" t="s">
        <v>11270</v>
      </c>
      <c r="H393" s="254">
        <v>0</v>
      </c>
      <c r="I393" s="254">
        <v>5</v>
      </c>
      <c r="J393" s="254"/>
      <c r="K393" s="363"/>
      <c r="L393" s="363"/>
      <c r="M393" s="247"/>
      <c r="N393" s="265" t="b">
        <f>NOT(ISERROR(ResultsTeams[[#This Row],[Goal-A]]+ResultsTeams[[#This Row],[Goal-B]]))</f>
        <v>1</v>
      </c>
      <c r="O393" s="265">
        <f>IF(ResultsTeams[[#This Row],[Type]]="G",SUM(O394:O397),IF(LEFT(ResultsTeams[[#This Row],[Type]],1)="P",IF(ResultsTeams[[#This Row],[Goal-A]]&gt;ResultsTeams[[#This Row],[Goal-B]],1,0),""))</f>
        <v>0</v>
      </c>
      <c r="P393" s="265">
        <f>IF(ResultsTeams[[#This Row],[Type]]="G",SUM(P394:P397),IF(LEFT(ResultsTeams[[#This Row],[Type]],1)="P",IF(ResultsTeams[[#This Row],[Goal-A]]&lt;ResultsTeams[[#This Row],[Goal-B]],1,0),""))</f>
        <v>1</v>
      </c>
      <c r="Q393" s="265">
        <f>IF(ResultsTeams[[#This Row],[Type]]="G",SUM(Q394:Q397),IF(LEFT(ResultsTeams[[#This Row],[Type]],1)="P",VALUE(ResultsTeams[[#This Row],[Score-A]]),""))</f>
        <v>0</v>
      </c>
      <c r="R393" s="265">
        <f>IF(ResultsTeams[[#This Row],[Type]]="G",SUM(R394:R397),IF(LEFT(ResultsTeams[[#This Row],[Type]],1)="P",VALUE(ResultsTeams[[#This Row],[Score-B]]),""))</f>
        <v>5</v>
      </c>
      <c r="S393" s="265" t="str">
        <f ca="1">IF(AND(ResultsTeams[[#This Row],[Category]]&lt;&gt;"",ResultsTeams[[#This Row],[Team A]]&lt;&gt;""),COUNTIF(INDIRECT("TeamsList[Club Name]"),ResultsTeams[[#This Row],[Team A]]),"")</f>
        <v/>
      </c>
      <c r="T393" s="265" t="str">
        <f ca="1">IF(AND(ResultsTeams[[#This Row],[Category]]&lt;&gt;"",ResultsTeams[[#This Row],[Team B]]&lt;&gt;""),COUNTIF(INDIRECT("TeamsList[Club Name]"),ResultsTeams[[#This Row],[Team B]]),"")</f>
        <v/>
      </c>
      <c r="U3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-Frank Stiller</v>
      </c>
      <c r="V393" s="265" t="str">
        <f>IF(ResultsTeams[[#This Row],[Score_OK]],IF(ResultsTeams[[#This Row],[StageCpy]]="Groups",ResultsTeams[[#This Row],[Category]]&amp;"-"&amp;IF(ResultsTeams[[#This Row],[Team B]]="","",IF(ResultsTeams[[#This Row],[Match-A]]=ResultsTeams[[#This Row],[Match-B]],ResultsTeams[[#This Row],[Team A]],"")),""),"")</f>
        <v>-</v>
      </c>
      <c r="W393" s="265" t="str">
        <f>IF(ResultsTeams[[#This Row],[Score_OK]],IF(ResultsTeams[[#This Row],[StageCpy]]="Groups",ResultsTeams[[#This Row],[Category]]&amp;"-"&amp;IF(ResultsTeams[[#This Row],[Team B]]="","",IF(ResultsTeams[[#This Row],[Match-A]]=ResultsTeams[[#This Row],[Match-B]],ResultsTeams[[#This Row],[Team B]],"")),""),"")</f>
        <v>-</v>
      </c>
      <c r="X3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-Vincent Dirick</v>
      </c>
      <c r="Y3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3" s="264" t="str">
        <f>IF(ResultsTeams[[#This Row],[Category]]="","",VLOOKUP(ResultsTeams[[#This Row],[Stage]],$R$1:$T$8,MATCH(ResultsTeams[[#This Row],[Category]],$S$1:$T$1,0)+1,FALSE))</f>
        <v/>
      </c>
      <c r="AC3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3" s="264" t="str">
        <f>IF(ResultsTeams[[#This Row],[Type]]="G",ResultsTeams[[#This Row],[Stage]],AD392)</f>
        <v>Groups</v>
      </c>
      <c r="AE393" s="395" t="str">
        <f>IF(ResultsTeams[[#This Row],[Type]]="G",INDEX(TeamsList[Club Name],MATCH(ResultsTeams[[#This Row],[Team A]],TeamsList[Team Name],0)),AE392)</f>
        <v>Wamme SC</v>
      </c>
      <c r="AF393" s="395" t="str">
        <f>IF(ResultsTeams[[#This Row],[Type]]="G",INDEX(TeamsList[Club Name],MATCH(ResultsTeams[[#This Row],[Team B]],TeamsList[Team Name],0)),AF392)</f>
        <v>Master Sanremo</v>
      </c>
      <c r="AG393" s="265"/>
    </row>
    <row r="394" spans="1:33" x14ac:dyDescent="0.2">
      <c r="A394" s="62"/>
      <c r="B394" s="280"/>
      <c r="C394" s="62"/>
      <c r="D394" s="62"/>
      <c r="E394" s="241" t="s">
        <v>12240</v>
      </c>
      <c r="F394" s="246" t="s">
        <v>8191</v>
      </c>
      <c r="G394" s="246" t="s">
        <v>10369</v>
      </c>
      <c r="H394" s="254">
        <v>2</v>
      </c>
      <c r="I394" s="254">
        <v>12</v>
      </c>
      <c r="J394" s="254"/>
      <c r="K394" s="363"/>
      <c r="L394" s="363"/>
      <c r="M394" s="247"/>
      <c r="N394" s="265" t="b">
        <f>NOT(ISERROR(ResultsTeams[[#This Row],[Goal-A]]+ResultsTeams[[#This Row],[Goal-B]]))</f>
        <v>1</v>
      </c>
      <c r="O394" s="265">
        <f>IF(ResultsTeams[[#This Row],[Type]]="G",SUM(O395:O398),IF(LEFT(ResultsTeams[[#This Row],[Type]],1)="P",IF(ResultsTeams[[#This Row],[Goal-A]]&gt;ResultsTeams[[#This Row],[Goal-B]],1,0),""))</f>
        <v>0</v>
      </c>
      <c r="P394" s="265">
        <f>IF(ResultsTeams[[#This Row],[Type]]="G",SUM(P395:P398),IF(LEFT(ResultsTeams[[#This Row],[Type]],1)="P",IF(ResultsTeams[[#This Row],[Goal-A]]&lt;ResultsTeams[[#This Row],[Goal-B]],1,0),""))</f>
        <v>1</v>
      </c>
      <c r="Q394" s="265">
        <f>IF(ResultsTeams[[#This Row],[Type]]="G",SUM(Q395:Q398),IF(LEFT(ResultsTeams[[#This Row],[Type]],1)="P",VALUE(ResultsTeams[[#This Row],[Score-A]]),""))</f>
        <v>2</v>
      </c>
      <c r="R394" s="265">
        <f>IF(ResultsTeams[[#This Row],[Type]]="G",SUM(R395:R398),IF(LEFT(ResultsTeams[[#This Row],[Type]],1)="P",VALUE(ResultsTeams[[#This Row],[Score-B]]),""))</f>
        <v>12</v>
      </c>
      <c r="S394" s="265" t="str">
        <f ca="1">IF(AND(ResultsTeams[[#This Row],[Category]]&lt;&gt;"",ResultsTeams[[#This Row],[Team A]]&lt;&gt;""),COUNTIF(INDIRECT("TeamsList[Club Name]"),ResultsTeams[[#This Row],[Team A]]),"")</f>
        <v/>
      </c>
      <c r="T394" s="265" t="str">
        <f ca="1">IF(AND(ResultsTeams[[#This Row],[Category]]&lt;&gt;"",ResultsTeams[[#This Row],[Team B]]&lt;&gt;""),COUNTIF(INDIRECT("TeamsList[Club Name]"),ResultsTeams[[#This Row],[Team B]]),"")</f>
        <v/>
      </c>
      <c r="U3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-Carlo Alessi</v>
      </c>
      <c r="V394" s="265" t="str">
        <f>IF(ResultsTeams[[#This Row],[Score_OK]],IF(ResultsTeams[[#This Row],[StageCpy]]="Groups",ResultsTeams[[#This Row],[Category]]&amp;"-"&amp;IF(ResultsTeams[[#This Row],[Team B]]="","",IF(ResultsTeams[[#This Row],[Match-A]]=ResultsTeams[[#This Row],[Match-B]],ResultsTeams[[#This Row],[Team A]],"")),""),"")</f>
        <v>-</v>
      </c>
      <c r="W394" s="265" t="str">
        <f>IF(ResultsTeams[[#This Row],[Score_OK]],IF(ResultsTeams[[#This Row],[StageCpy]]="Groups",ResultsTeams[[#This Row],[Category]]&amp;"-"&amp;IF(ResultsTeams[[#This Row],[Team B]]="","",IF(ResultsTeams[[#This Row],[Match-A]]=ResultsTeams[[#This Row],[Match-B]],ResultsTeams[[#This Row],[Team B]],"")),""),"")</f>
        <v>-</v>
      </c>
      <c r="X3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3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4" s="264" t="str">
        <f>IF(ResultsTeams[[#This Row],[Category]]="","",VLOOKUP(ResultsTeams[[#This Row],[Stage]],$R$1:$T$8,MATCH(ResultsTeams[[#This Row],[Category]],$S$1:$T$1,0)+1,FALSE))</f>
        <v/>
      </c>
      <c r="AC3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4" s="264" t="str">
        <f>IF(ResultsTeams[[#This Row],[Type]]="G",ResultsTeams[[#This Row],[Stage]],AD393)</f>
        <v>Groups</v>
      </c>
      <c r="AE394" s="395" t="str">
        <f>IF(ResultsTeams[[#This Row],[Type]]="G",INDEX(TeamsList[Club Name],MATCH(ResultsTeams[[#This Row],[Team A]],TeamsList[Team Name],0)),AE393)</f>
        <v>Wamme SC</v>
      </c>
      <c r="AF394" s="395" t="str">
        <f>IF(ResultsTeams[[#This Row],[Type]]="G",INDEX(TeamsList[Club Name],MATCH(ResultsTeams[[#This Row],[Team B]],TeamsList[Team Name],0)),AF393)</f>
        <v>Master Sanremo</v>
      </c>
      <c r="AG394" s="265"/>
    </row>
    <row r="395" spans="1:33" x14ac:dyDescent="0.2">
      <c r="A395" s="62"/>
      <c r="B395" s="62"/>
      <c r="C395" s="62"/>
      <c r="D395" s="62"/>
      <c r="E395" s="241" t="s">
        <v>12243</v>
      </c>
      <c r="F395" s="247"/>
      <c r="G395" s="247"/>
      <c r="H395" s="254"/>
      <c r="I395" s="254"/>
      <c r="J395" s="260"/>
      <c r="K395" s="364"/>
      <c r="L395" s="364"/>
      <c r="M395" s="247"/>
      <c r="N395" s="265" t="b">
        <f>NOT(ISERROR(ResultsTeams[[#This Row],[Goal-A]]+ResultsTeams[[#This Row],[Goal-B]]))</f>
        <v>0</v>
      </c>
      <c r="O395" s="265" t="str">
        <f>IF(ResultsTeams[[#This Row],[Type]]="G",SUM(O396:O399),IF(LEFT(ResultsTeams[[#This Row],[Type]],1)="P",IF(ResultsTeams[[#This Row],[Goal-A]]&gt;ResultsTeams[[#This Row],[Goal-B]],1,0),""))</f>
        <v/>
      </c>
      <c r="P395" s="265" t="str">
        <f>IF(ResultsTeams[[#This Row],[Type]]="G",SUM(P396:P399),IF(LEFT(ResultsTeams[[#This Row],[Type]],1)="P",IF(ResultsTeams[[#This Row],[Goal-A]]&lt;ResultsTeams[[#This Row],[Goal-B]],1,0),""))</f>
        <v/>
      </c>
      <c r="Q395" s="265" t="str">
        <f>IF(ResultsTeams[[#This Row],[Type]]="G",SUM(Q396:Q399),IF(LEFT(ResultsTeams[[#This Row],[Type]],1)="P",VALUE(ResultsTeams[[#This Row],[Score-A]]),""))</f>
        <v/>
      </c>
      <c r="R395" s="265" t="str">
        <f>IF(ResultsTeams[[#This Row],[Type]]="G",SUM(R396:R399),IF(LEFT(ResultsTeams[[#This Row],[Type]],1)="P",VALUE(ResultsTeams[[#This Row],[Score-B]]),""))</f>
        <v/>
      </c>
      <c r="S395" s="265" t="str">
        <f ca="1">IF(AND(ResultsTeams[[#This Row],[Category]]&lt;&gt;"",ResultsTeams[[#This Row],[Team A]]&lt;&gt;""),COUNTIF(INDIRECT("TeamsList[Club Name]"),ResultsTeams[[#This Row],[Team A]]),"")</f>
        <v/>
      </c>
      <c r="T395" s="265" t="str">
        <f ca="1">IF(AND(ResultsTeams[[#This Row],[Category]]&lt;&gt;"",ResultsTeams[[#This Row],[Team B]]&lt;&gt;""),COUNTIF(INDIRECT("TeamsList[Club Name]"),ResultsTeams[[#This Row],[Team B]]),"")</f>
        <v/>
      </c>
      <c r="U3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5" s="265" t="str">
        <f>IF(ResultsTeams[[#This Row],[Score_OK]],IF(ResultsTeams[[#This Row],[StageCpy]]="Groups",ResultsTeams[[#This Row],[Category]]&amp;"-"&amp;IF(ResultsTeams[[#This Row],[Team B]]="","",IF(ResultsTeams[[#This Row],[Match-A]]=ResultsTeams[[#This Row],[Match-B]],ResultsTeams[[#This Row],[Team A]],"")),""),"")</f>
        <v/>
      </c>
      <c r="W395" s="265" t="str">
        <f>IF(ResultsTeams[[#This Row],[Score_OK]],IF(ResultsTeams[[#This Row],[StageCpy]]="Groups",ResultsTeams[[#This Row],[Category]]&amp;"-"&amp;IF(ResultsTeams[[#This Row],[Team B]]="","",IF(ResultsTeams[[#This Row],[Match-A]]=ResultsTeams[[#This Row],[Match-B]],ResultsTeams[[#This Row],[Team B]],"")),""),"")</f>
        <v/>
      </c>
      <c r="X3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5" s="264" t="str">
        <f>IF(ResultsTeams[[#This Row],[Category]]="","",VLOOKUP(ResultsTeams[[#This Row],[Stage]],$R$1:$T$8,MATCH(ResultsTeams[[#This Row],[Category]],$S$1:$T$1,0)+1,FALSE))</f>
        <v/>
      </c>
      <c r="AC3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5" s="264" t="str">
        <f>IF(ResultsTeams[[#This Row],[Type]]="G",ResultsTeams[[#This Row],[Stage]],AD394)</f>
        <v>Groups</v>
      </c>
      <c r="AE395" s="395" t="str">
        <f>IF(ResultsTeams[[#This Row],[Type]]="G",INDEX(TeamsList[Club Name],MATCH(ResultsTeams[[#This Row],[Team A]],TeamsList[Team Name],0)),AE394)</f>
        <v>Wamme SC</v>
      </c>
      <c r="AF395" s="395" t="str">
        <f>IF(ResultsTeams[[#This Row],[Type]]="G",INDEX(TeamsList[Club Name],MATCH(ResultsTeams[[#This Row],[Team B]],TeamsList[Team Name],0)),AF394)</f>
        <v>Master Sanremo</v>
      </c>
      <c r="AG395" s="265"/>
    </row>
    <row r="396" spans="1:33" ht="12" thickBot="1" x14ac:dyDescent="0.25">
      <c r="A396" s="83"/>
      <c r="B396" s="83"/>
      <c r="C396" s="83"/>
      <c r="D396" s="83"/>
      <c r="E396" s="268" t="s">
        <v>12244</v>
      </c>
      <c r="F396" s="262"/>
      <c r="G396" s="262"/>
      <c r="H396" s="324"/>
      <c r="I396" s="324"/>
      <c r="J396" s="263"/>
      <c r="K396" s="365"/>
      <c r="L396" s="365"/>
      <c r="M396" s="262"/>
      <c r="N396" s="265" t="b">
        <f>NOT(ISERROR(ResultsTeams[[#This Row],[Goal-A]]+ResultsTeams[[#This Row],[Goal-B]]))</f>
        <v>0</v>
      </c>
      <c r="O396" s="265" t="str">
        <f>IF(ResultsTeams[[#This Row],[Type]]="G",SUM(O397:O400),IF(LEFT(ResultsTeams[[#This Row],[Type]],1)="P",IF(ResultsTeams[[#This Row],[Goal-A]]&gt;ResultsTeams[[#This Row],[Goal-B]],1,0),""))</f>
        <v/>
      </c>
      <c r="P396" s="265" t="str">
        <f>IF(ResultsTeams[[#This Row],[Type]]="G",SUM(P397:P400),IF(LEFT(ResultsTeams[[#This Row],[Type]],1)="P",IF(ResultsTeams[[#This Row],[Goal-A]]&lt;ResultsTeams[[#This Row],[Goal-B]],1,0),""))</f>
        <v/>
      </c>
      <c r="Q396" s="265" t="str">
        <f>IF(ResultsTeams[[#This Row],[Type]]="G",SUM(Q397:Q400),IF(LEFT(ResultsTeams[[#This Row],[Type]],1)="P",VALUE(ResultsTeams[[#This Row],[Score-A]]),""))</f>
        <v/>
      </c>
      <c r="R396" s="265" t="str">
        <f>IF(ResultsTeams[[#This Row],[Type]]="G",SUM(R397:R400),IF(LEFT(ResultsTeams[[#This Row],[Type]],1)="P",VALUE(ResultsTeams[[#This Row],[Score-B]]),""))</f>
        <v/>
      </c>
      <c r="S396" s="265" t="str">
        <f ca="1">IF(AND(ResultsTeams[[#This Row],[Category]]&lt;&gt;"",ResultsTeams[[#This Row],[Team A]]&lt;&gt;""),COUNTIF(INDIRECT("TeamsList[Club Name]"),ResultsTeams[[#This Row],[Team A]]),"")</f>
        <v/>
      </c>
      <c r="T396" s="265" t="str">
        <f ca="1">IF(AND(ResultsTeams[[#This Row],[Category]]&lt;&gt;"",ResultsTeams[[#This Row],[Team B]]&lt;&gt;""),COUNTIF(INDIRECT("TeamsList[Club Name]"),ResultsTeams[[#This Row],[Team B]]),"")</f>
        <v/>
      </c>
      <c r="U3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6" s="265" t="str">
        <f>IF(ResultsTeams[[#This Row],[Score_OK]],IF(ResultsTeams[[#This Row],[StageCpy]]="Groups",ResultsTeams[[#This Row],[Category]]&amp;"-"&amp;IF(ResultsTeams[[#This Row],[Team B]]="","",IF(ResultsTeams[[#This Row],[Match-A]]=ResultsTeams[[#This Row],[Match-B]],ResultsTeams[[#This Row],[Team A]],"")),""),"")</f>
        <v/>
      </c>
      <c r="W396" s="265" t="str">
        <f>IF(ResultsTeams[[#This Row],[Score_OK]],IF(ResultsTeams[[#This Row],[StageCpy]]="Groups",ResultsTeams[[#This Row],[Category]]&amp;"-"&amp;IF(ResultsTeams[[#This Row],[Team B]]="","",IF(ResultsTeams[[#This Row],[Match-A]]=ResultsTeams[[#This Row],[Match-B]],ResultsTeams[[#This Row],[Team B]],"")),""),"")</f>
        <v/>
      </c>
      <c r="X3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6" s="264" t="str">
        <f>IF(ResultsTeams[[#This Row],[Category]]="","",VLOOKUP(ResultsTeams[[#This Row],[Stage]],$R$1:$T$8,MATCH(ResultsTeams[[#This Row],[Category]],$S$1:$T$1,0)+1,FALSE))</f>
        <v/>
      </c>
      <c r="AC3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6" s="264" t="str">
        <f>IF(ResultsTeams[[#This Row],[Type]]="G",ResultsTeams[[#This Row],[Stage]],AD395)</f>
        <v>Groups</v>
      </c>
      <c r="AE396" s="395" t="str">
        <f>IF(ResultsTeams[[#This Row],[Type]]="G",INDEX(TeamsList[Club Name],MATCH(ResultsTeams[[#This Row],[Team A]],TeamsList[Team Name],0)),AE395)</f>
        <v>Wamme SC</v>
      </c>
      <c r="AF396" s="395" t="str">
        <f>IF(ResultsTeams[[#This Row],[Type]]="G",INDEX(TeamsList[Club Name],MATCH(ResultsTeams[[#This Row],[Team B]],TeamsList[Team Name],0)),AF395)</f>
        <v>Master Sanremo</v>
      </c>
      <c r="AG396" s="265"/>
    </row>
    <row r="397" spans="1:33" ht="12" thickBot="1" x14ac:dyDescent="0.25">
      <c r="A397" s="261" t="s">
        <v>12693</v>
      </c>
      <c r="B397" s="270" t="s">
        <v>12207</v>
      </c>
      <c r="C397" s="270">
        <v>9</v>
      </c>
      <c r="D397" s="270"/>
      <c r="E397" s="272" t="s">
        <v>12228</v>
      </c>
      <c r="F397" s="273" t="s">
        <v>796</v>
      </c>
      <c r="G397" s="273" t="s">
        <v>819</v>
      </c>
      <c r="H397" s="275">
        <v>4</v>
      </c>
      <c r="I397" s="275">
        <v>0</v>
      </c>
      <c r="J397" s="275"/>
      <c r="K397" s="366"/>
      <c r="L397" s="366"/>
      <c r="M397" s="274"/>
      <c r="N397" s="265" t="b">
        <f>NOT(ISERROR(ResultsTeams[[#This Row],[Goal-A]]+ResultsTeams[[#This Row],[Goal-B]]))</f>
        <v>1</v>
      </c>
      <c r="O397" s="265">
        <f>IF(ResultsTeams[[#This Row],[Type]]="G",SUM(O398:O401),IF(LEFT(ResultsTeams[[#This Row],[Type]],1)="P",IF(ResultsTeams[[#This Row],[Goal-A]]&gt;ResultsTeams[[#This Row],[Goal-B]],1,0),""))</f>
        <v>4</v>
      </c>
      <c r="P397" s="265">
        <f>IF(ResultsTeams[[#This Row],[Type]]="G",SUM(P398:P401),IF(LEFT(ResultsTeams[[#This Row],[Type]],1)="P",IF(ResultsTeams[[#This Row],[Goal-A]]&lt;ResultsTeams[[#This Row],[Goal-B]],1,0),""))</f>
        <v>0</v>
      </c>
      <c r="Q397" s="265">
        <f>IF(ResultsTeams[[#This Row],[Type]]="G",SUM(Q398:Q401),IF(LEFT(ResultsTeams[[#This Row],[Type]],1)="P",VALUE(ResultsTeams[[#This Row],[Score-A]]),""))</f>
        <v>23</v>
      </c>
      <c r="R397" s="265">
        <f>IF(ResultsTeams[[#This Row],[Type]]="G",SUM(R398:R401),IF(LEFT(ResultsTeams[[#This Row],[Type]],1)="P",VALUE(ResultsTeams[[#This Row],[Score-B]]),""))</f>
        <v>5</v>
      </c>
      <c r="S397" s="265">
        <f ca="1">IF(AND(ResultsTeams[[#This Row],[Category]]&lt;&gt;"",ResultsTeams[[#This Row],[Team A]]&lt;&gt;""),COUNTIF(INDIRECT("TeamsList[Club Name]"),ResultsTeams[[#This Row],[Team A]]),"")</f>
        <v>1</v>
      </c>
      <c r="T397" s="265">
        <f ca="1">IF(AND(ResultsTeams[[#This Row],[Category]]&lt;&gt;"",ResultsTeams[[#This Row],[Team B]]&lt;&gt;""),COUNTIF(INDIRECT("TeamsList[Club Name]"),ResultsTeams[[#This Row],[Team B]]),"")</f>
        <v>1</v>
      </c>
      <c r="U3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TEAM-Valletta Lions TFC</v>
      </c>
      <c r="V397" s="265" t="str">
        <f>IF(ResultsTeams[[#This Row],[Score_OK]],IF(ResultsTeams[[#This Row],[StageCpy]]="Groups",ResultsTeams[[#This Row],[Category]]&amp;"-"&amp;IF(ResultsTeams[[#This Row],[Team B]]="","",IF(ResultsTeams[[#This Row],[Match-A]]=ResultsTeams[[#This Row],[Match-B]],ResultsTeams[[#This Row],[Team A]],"")),""),"")</f>
        <v>TEAM-</v>
      </c>
      <c r="W397" s="265" t="str">
        <f>IF(ResultsTeams[[#This Row],[Score_OK]],IF(ResultsTeams[[#This Row],[StageCpy]]="Groups",ResultsTeams[[#This Row],[Category]]&amp;"-"&amp;IF(ResultsTeams[[#This Row],[Team B]]="","",IF(ResultsTeams[[#This Row],[Match-A]]=ResultsTeams[[#This Row],[Match-B]],ResultsTeams[[#This Row],[Team B]],"")),""),"")</f>
        <v>TEAM-</v>
      </c>
      <c r="X3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3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3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397" s="264" t="str">
        <f>IF(ResultsTeams[[#This Row],[Category]]="","",VLOOKUP(ResultsTeams[[#This Row],[Stage]],$R$1:$T$8,MATCH(ResultsTeams[[#This Row],[Category]],$S$1:$T$1,0)+1,FALSE))</f>
        <v>PR1</v>
      </c>
      <c r="AC3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7" s="264" t="str">
        <f>IF(ResultsTeams[[#This Row],[Type]]="G",ResultsTeams[[#This Row],[Stage]],AD396)</f>
        <v>Groups</v>
      </c>
      <c r="AE397" s="395" t="str">
        <f>IF(ResultsTeams[[#This Row],[Type]]="G",INDEX(TeamsList[Club Name],MATCH(ResultsTeams[[#This Row],[Team A]],TeamsList[Team Name],0)),AE396)</f>
        <v>Valletta Lions TFC</v>
      </c>
      <c r="AF397" s="395" t="str">
        <f>IF(ResultsTeams[[#This Row],[Type]]="G",INDEX(TeamsList[Club Name],MATCH(ResultsTeams[[#This Row],[Team B]],TeamsList[Team Name],0)),AF396)</f>
        <v>Irish Premier League</v>
      </c>
      <c r="AG397" s="265"/>
    </row>
    <row r="398" spans="1:33" x14ac:dyDescent="0.2">
      <c r="A398" s="60"/>
      <c r="B398" s="280"/>
      <c r="C398" s="60"/>
      <c r="D398" s="60"/>
      <c r="E398" s="240" t="s">
        <v>12231</v>
      </c>
      <c r="F398" s="244" t="s">
        <v>10441</v>
      </c>
      <c r="G398" s="244" t="s">
        <v>10590</v>
      </c>
      <c r="H398" s="253">
        <v>5</v>
      </c>
      <c r="I398" s="253">
        <v>2</v>
      </c>
      <c r="J398" s="253"/>
      <c r="K398" s="362"/>
      <c r="L398" s="362"/>
      <c r="M398" s="245"/>
      <c r="N398" s="265" t="b">
        <f>NOT(ISERROR(ResultsTeams[[#This Row],[Goal-A]]+ResultsTeams[[#This Row],[Goal-B]]))</f>
        <v>1</v>
      </c>
      <c r="O398" s="265">
        <f>IF(ResultsTeams[[#This Row],[Type]]="G",SUM(O399:O402),IF(LEFT(ResultsTeams[[#This Row],[Type]],1)="P",IF(ResultsTeams[[#This Row],[Goal-A]]&gt;ResultsTeams[[#This Row],[Goal-B]],1,0),""))</f>
        <v>1</v>
      </c>
      <c r="P398" s="265">
        <f>IF(ResultsTeams[[#This Row],[Type]]="G",SUM(P399:P402),IF(LEFT(ResultsTeams[[#This Row],[Type]],1)="P",IF(ResultsTeams[[#This Row],[Goal-A]]&lt;ResultsTeams[[#This Row],[Goal-B]],1,0),""))</f>
        <v>0</v>
      </c>
      <c r="Q398" s="265">
        <f>IF(ResultsTeams[[#This Row],[Type]]="G",SUM(Q399:Q402),IF(LEFT(ResultsTeams[[#This Row],[Type]],1)="P",VALUE(ResultsTeams[[#This Row],[Score-A]]),""))</f>
        <v>5</v>
      </c>
      <c r="R398" s="265">
        <f>IF(ResultsTeams[[#This Row],[Type]]="G",SUM(R399:R402),IF(LEFT(ResultsTeams[[#This Row],[Type]],1)="P",VALUE(ResultsTeams[[#This Row],[Score-B]]),""))</f>
        <v>2</v>
      </c>
      <c r="S398" s="265" t="str">
        <f ca="1">IF(AND(ResultsTeams[[#This Row],[Category]]&lt;&gt;"",ResultsTeams[[#This Row],[Team A]]&lt;&gt;""),COUNTIF(INDIRECT("TeamsList[Club Name]"),ResultsTeams[[#This Row],[Team A]]),"")</f>
        <v/>
      </c>
      <c r="T398" s="265" t="str">
        <f ca="1">IF(AND(ResultsTeams[[#This Row],[Category]]&lt;&gt;"",ResultsTeams[[#This Row],[Team B]]&lt;&gt;""),COUNTIF(INDIRECT("TeamsList[Club Name]"),ResultsTeams[[#This Row],[Team B]]),"")</f>
        <v/>
      </c>
      <c r="U3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-Frank Chetcuti Dimech</v>
      </c>
      <c r="V398" s="265" t="str">
        <f>IF(ResultsTeams[[#This Row],[Score_OK]],IF(ResultsTeams[[#This Row],[StageCpy]]="Groups",ResultsTeams[[#This Row],[Category]]&amp;"-"&amp;IF(ResultsTeams[[#This Row],[Team B]]="","",IF(ResultsTeams[[#This Row],[Match-A]]=ResultsTeams[[#This Row],[Match-B]],ResultsTeams[[#This Row],[Team A]],"")),""),"")</f>
        <v>-</v>
      </c>
      <c r="W398" s="265" t="str">
        <f>IF(ResultsTeams[[#This Row],[Score_OK]],IF(ResultsTeams[[#This Row],[StageCpy]]="Groups",ResultsTeams[[#This Row],[Category]]&amp;"-"&amp;IF(ResultsTeams[[#This Row],[Team B]]="","",IF(ResultsTeams[[#This Row],[Match-A]]=ResultsTeams[[#This Row],[Match-B]],ResultsTeams[[#This Row],[Team B]],"")),""),"")</f>
        <v>-</v>
      </c>
      <c r="X3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3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8" s="264" t="str">
        <f>IF(ResultsTeams[[#This Row],[Category]]="","",VLOOKUP(ResultsTeams[[#This Row],[Stage]],$R$1:$T$8,MATCH(ResultsTeams[[#This Row],[Category]],$S$1:$T$1,0)+1,FALSE))</f>
        <v/>
      </c>
      <c r="AC3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8" s="264" t="str">
        <f>IF(ResultsTeams[[#This Row],[Type]]="G",ResultsTeams[[#This Row],[Stage]],AD397)</f>
        <v>Groups</v>
      </c>
      <c r="AE398" s="395" t="str">
        <f>IF(ResultsTeams[[#This Row],[Type]]="G",INDEX(TeamsList[Club Name],MATCH(ResultsTeams[[#This Row],[Team A]],TeamsList[Team Name],0)),AE397)</f>
        <v>Valletta Lions TFC</v>
      </c>
      <c r="AF398" s="395" t="str">
        <f>IF(ResultsTeams[[#This Row],[Type]]="G",INDEX(TeamsList[Club Name],MATCH(ResultsTeams[[#This Row],[Team B]],TeamsList[Team Name],0)),AF397)</f>
        <v>Irish Premier League</v>
      </c>
      <c r="AG398" s="265"/>
    </row>
    <row r="399" spans="1:33" x14ac:dyDescent="0.2">
      <c r="A399" s="62"/>
      <c r="B399" s="280"/>
      <c r="C399" s="62"/>
      <c r="D399" s="62"/>
      <c r="E399" s="241" t="s">
        <v>12234</v>
      </c>
      <c r="F399" s="246" t="s">
        <v>11908</v>
      </c>
      <c r="G399" s="246" t="s">
        <v>10584</v>
      </c>
      <c r="H399" s="254">
        <v>3</v>
      </c>
      <c r="I399" s="254">
        <v>2</v>
      </c>
      <c r="J399" s="254"/>
      <c r="K399" s="363"/>
      <c r="L399" s="363"/>
      <c r="M399" s="247"/>
      <c r="N399" s="265" t="b">
        <f>NOT(ISERROR(ResultsTeams[[#This Row],[Goal-A]]+ResultsTeams[[#This Row],[Goal-B]]))</f>
        <v>1</v>
      </c>
      <c r="O399" s="265">
        <f>IF(ResultsTeams[[#This Row],[Type]]="G",SUM(O400:O403),IF(LEFT(ResultsTeams[[#This Row],[Type]],1)="P",IF(ResultsTeams[[#This Row],[Goal-A]]&gt;ResultsTeams[[#This Row],[Goal-B]],1,0),""))</f>
        <v>1</v>
      </c>
      <c r="P399" s="265">
        <f>IF(ResultsTeams[[#This Row],[Type]]="G",SUM(P400:P403),IF(LEFT(ResultsTeams[[#This Row],[Type]],1)="P",IF(ResultsTeams[[#This Row],[Goal-A]]&lt;ResultsTeams[[#This Row],[Goal-B]],1,0),""))</f>
        <v>0</v>
      </c>
      <c r="Q399" s="265">
        <f>IF(ResultsTeams[[#This Row],[Type]]="G",SUM(Q400:Q403),IF(LEFT(ResultsTeams[[#This Row],[Type]],1)="P",VALUE(ResultsTeams[[#This Row],[Score-A]]),""))</f>
        <v>3</v>
      </c>
      <c r="R399" s="265">
        <f>IF(ResultsTeams[[#This Row],[Type]]="G",SUM(R400:R403),IF(LEFT(ResultsTeams[[#This Row],[Type]],1)="P",VALUE(ResultsTeams[[#This Row],[Score-B]]),""))</f>
        <v>2</v>
      </c>
      <c r="S399" s="265" t="str">
        <f ca="1">IF(AND(ResultsTeams[[#This Row],[Category]]&lt;&gt;"",ResultsTeams[[#This Row],[Team A]]&lt;&gt;""),COUNTIF(INDIRECT("TeamsList[Club Name]"),ResultsTeams[[#This Row],[Team A]]),"")</f>
        <v/>
      </c>
      <c r="T399" s="265" t="str">
        <f ca="1">IF(AND(ResultsTeams[[#This Row],[Category]]&lt;&gt;"",ResultsTeams[[#This Row],[Team B]]&lt;&gt;""),COUNTIF(INDIRECT("TeamsList[Club Name]"),ResultsTeams[[#This Row],[Team B]]),"")</f>
        <v/>
      </c>
      <c r="U3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-Steve Austin</v>
      </c>
      <c r="V399" s="265" t="str">
        <f>IF(ResultsTeams[[#This Row],[Score_OK]],IF(ResultsTeams[[#This Row],[StageCpy]]="Groups",ResultsTeams[[#This Row],[Category]]&amp;"-"&amp;IF(ResultsTeams[[#This Row],[Team B]]="","",IF(ResultsTeams[[#This Row],[Match-A]]=ResultsTeams[[#This Row],[Match-B]],ResultsTeams[[#This Row],[Team A]],"")),""),"")</f>
        <v>-</v>
      </c>
      <c r="W399" s="265" t="str">
        <f>IF(ResultsTeams[[#This Row],[Score_OK]],IF(ResultsTeams[[#This Row],[StageCpy]]="Groups",ResultsTeams[[#This Row],[Category]]&amp;"-"&amp;IF(ResultsTeams[[#This Row],[Team B]]="","",IF(ResultsTeams[[#This Row],[Match-A]]=ResultsTeams[[#This Row],[Match-B]],ResultsTeams[[#This Row],[Team B]],"")),""),"")</f>
        <v>-</v>
      </c>
      <c r="X3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-John Moore</v>
      </c>
      <c r="Y3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9" s="264" t="str">
        <f>IF(ResultsTeams[[#This Row],[Category]]="","",VLOOKUP(ResultsTeams[[#This Row],[Stage]],$R$1:$T$8,MATCH(ResultsTeams[[#This Row],[Category]],$S$1:$T$1,0)+1,FALSE))</f>
        <v/>
      </c>
      <c r="AC3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9" s="264" t="str">
        <f>IF(ResultsTeams[[#This Row],[Type]]="G",ResultsTeams[[#This Row],[Stage]],AD398)</f>
        <v>Groups</v>
      </c>
      <c r="AE399" s="395" t="str">
        <f>IF(ResultsTeams[[#This Row],[Type]]="G",INDEX(TeamsList[Club Name],MATCH(ResultsTeams[[#This Row],[Team A]],TeamsList[Team Name],0)),AE398)</f>
        <v>Valletta Lions TFC</v>
      </c>
      <c r="AF399" s="395" t="str">
        <f>IF(ResultsTeams[[#This Row],[Type]]="G",INDEX(TeamsList[Club Name],MATCH(ResultsTeams[[#This Row],[Team B]],TeamsList[Team Name],0)),AF398)</f>
        <v>Irish Premier League</v>
      </c>
      <c r="AG399" s="265"/>
    </row>
    <row r="400" spans="1:33" x14ac:dyDescent="0.2">
      <c r="A400" s="62"/>
      <c r="B400" s="280"/>
      <c r="C400" s="62"/>
      <c r="D400" s="62"/>
      <c r="E400" s="241" t="s">
        <v>12237</v>
      </c>
      <c r="F400" s="246" t="s">
        <v>11444</v>
      </c>
      <c r="G400" s="246" t="s">
        <v>13920</v>
      </c>
      <c r="H400" s="254">
        <v>4</v>
      </c>
      <c r="I400" s="254">
        <v>0</v>
      </c>
      <c r="J400" s="254"/>
      <c r="K400" s="363"/>
      <c r="L400" s="363"/>
      <c r="M400" s="247"/>
      <c r="N400" s="265" t="b">
        <f>NOT(ISERROR(ResultsTeams[[#This Row],[Goal-A]]+ResultsTeams[[#This Row],[Goal-B]]))</f>
        <v>1</v>
      </c>
      <c r="O400" s="265">
        <f>IF(ResultsTeams[[#This Row],[Type]]="G",SUM(O401:O404),IF(LEFT(ResultsTeams[[#This Row],[Type]],1)="P",IF(ResultsTeams[[#This Row],[Goal-A]]&gt;ResultsTeams[[#This Row],[Goal-B]],1,0),""))</f>
        <v>1</v>
      </c>
      <c r="P400" s="265">
        <f>IF(ResultsTeams[[#This Row],[Type]]="G",SUM(P401:P404),IF(LEFT(ResultsTeams[[#This Row],[Type]],1)="P",IF(ResultsTeams[[#This Row],[Goal-A]]&lt;ResultsTeams[[#This Row],[Goal-B]],1,0),""))</f>
        <v>0</v>
      </c>
      <c r="Q400" s="265">
        <f>IF(ResultsTeams[[#This Row],[Type]]="G",SUM(Q401:Q404),IF(LEFT(ResultsTeams[[#This Row],[Type]],1)="P",VALUE(ResultsTeams[[#This Row],[Score-A]]),""))</f>
        <v>4</v>
      </c>
      <c r="R400" s="265">
        <f>IF(ResultsTeams[[#This Row],[Type]]="G",SUM(R401:R404),IF(LEFT(ResultsTeams[[#This Row],[Type]],1)="P",VALUE(ResultsTeams[[#This Row],[Score-B]]),""))</f>
        <v>0</v>
      </c>
      <c r="S400" s="265" t="str">
        <f ca="1">IF(AND(ResultsTeams[[#This Row],[Category]]&lt;&gt;"",ResultsTeams[[#This Row],[Team A]]&lt;&gt;""),COUNTIF(INDIRECT("TeamsList[Club Name]"),ResultsTeams[[#This Row],[Team A]]),"")</f>
        <v/>
      </c>
      <c r="T400" s="265" t="str">
        <f ca="1">IF(AND(ResultsTeams[[#This Row],[Category]]&lt;&gt;"",ResultsTeams[[#This Row],[Team B]]&lt;&gt;""),COUNTIF(INDIRECT("TeamsList[Club Name]"),ResultsTeams[[#This Row],[Team B]]),"")</f>
        <v/>
      </c>
      <c r="U4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-Henk Landzaat</v>
      </c>
      <c r="V400" s="265" t="str">
        <f>IF(ResultsTeams[[#This Row],[Score_OK]],IF(ResultsTeams[[#This Row],[StageCpy]]="Groups",ResultsTeams[[#This Row],[Category]]&amp;"-"&amp;IF(ResultsTeams[[#This Row],[Team B]]="","",IF(ResultsTeams[[#This Row],[Match-A]]=ResultsTeams[[#This Row],[Match-B]],ResultsTeams[[#This Row],[Team A]],"")),""),"")</f>
        <v>-</v>
      </c>
      <c r="W400" s="265" t="str">
        <f>IF(ResultsTeams[[#This Row],[Score_OK]],IF(ResultsTeams[[#This Row],[StageCpy]]="Groups",ResultsTeams[[#This Row],[Category]]&amp;"-"&amp;IF(ResultsTeams[[#This Row],[Team B]]="","",IF(ResultsTeams[[#This Row],[Match-A]]=ResultsTeams[[#This Row],[Match-B]],ResultsTeams[[#This Row],[Team B]],"")),""),"")</f>
        <v>-</v>
      </c>
      <c r="X4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-Adrian Pigott</v>
      </c>
      <c r="Y4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0" s="264" t="str">
        <f>IF(ResultsTeams[[#This Row],[Category]]="","",VLOOKUP(ResultsTeams[[#This Row],[Stage]],$R$1:$T$8,MATCH(ResultsTeams[[#This Row],[Category]],$S$1:$T$1,0)+1,FALSE))</f>
        <v/>
      </c>
      <c r="AC4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0" s="264" t="str">
        <f>IF(ResultsTeams[[#This Row],[Type]]="G",ResultsTeams[[#This Row],[Stage]],AD399)</f>
        <v>Groups</v>
      </c>
      <c r="AE400" s="395" t="str">
        <f>IF(ResultsTeams[[#This Row],[Type]]="G",INDEX(TeamsList[Club Name],MATCH(ResultsTeams[[#This Row],[Team A]],TeamsList[Team Name],0)),AE399)</f>
        <v>Valletta Lions TFC</v>
      </c>
      <c r="AF400" s="395" t="str">
        <f>IF(ResultsTeams[[#This Row],[Type]]="G",INDEX(TeamsList[Club Name],MATCH(ResultsTeams[[#This Row],[Team B]],TeamsList[Team Name],0)),AF399)</f>
        <v>Irish Premier League</v>
      </c>
      <c r="AG400" s="265"/>
    </row>
    <row r="401" spans="1:33" x14ac:dyDescent="0.2">
      <c r="A401" s="62"/>
      <c r="B401" s="280"/>
      <c r="C401" s="62"/>
      <c r="D401" s="62"/>
      <c r="E401" s="241" t="s">
        <v>12240</v>
      </c>
      <c r="F401" s="246" t="s">
        <v>10448</v>
      </c>
      <c r="G401" s="246" t="s">
        <v>10591</v>
      </c>
      <c r="H401" s="254">
        <v>11</v>
      </c>
      <c r="I401" s="254">
        <v>1</v>
      </c>
      <c r="J401" s="254"/>
      <c r="K401" s="363"/>
      <c r="L401" s="363"/>
      <c r="M401" s="247"/>
      <c r="N401" s="265" t="b">
        <f>NOT(ISERROR(ResultsTeams[[#This Row],[Goal-A]]+ResultsTeams[[#This Row],[Goal-B]]))</f>
        <v>1</v>
      </c>
      <c r="O401" s="265">
        <f>IF(ResultsTeams[[#This Row],[Type]]="G",SUM(O402:O405),IF(LEFT(ResultsTeams[[#This Row],[Type]],1)="P",IF(ResultsTeams[[#This Row],[Goal-A]]&gt;ResultsTeams[[#This Row],[Goal-B]],1,0),""))</f>
        <v>1</v>
      </c>
      <c r="P401" s="265">
        <f>IF(ResultsTeams[[#This Row],[Type]]="G",SUM(P402:P405),IF(LEFT(ResultsTeams[[#This Row],[Type]],1)="P",IF(ResultsTeams[[#This Row],[Goal-A]]&lt;ResultsTeams[[#This Row],[Goal-B]],1,0),""))</f>
        <v>0</v>
      </c>
      <c r="Q401" s="265">
        <f>IF(ResultsTeams[[#This Row],[Type]]="G",SUM(Q402:Q405),IF(LEFT(ResultsTeams[[#This Row],[Type]],1)="P",VALUE(ResultsTeams[[#This Row],[Score-A]]),""))</f>
        <v>11</v>
      </c>
      <c r="R401" s="265">
        <f>IF(ResultsTeams[[#This Row],[Type]]="G",SUM(R402:R405),IF(LEFT(ResultsTeams[[#This Row],[Type]],1)="P",VALUE(ResultsTeams[[#This Row],[Score-B]]),""))</f>
        <v>1</v>
      </c>
      <c r="S401" s="265" t="str">
        <f ca="1">IF(AND(ResultsTeams[[#This Row],[Category]]&lt;&gt;"",ResultsTeams[[#This Row],[Team A]]&lt;&gt;""),COUNTIF(INDIRECT("TeamsList[Club Name]"),ResultsTeams[[#This Row],[Team A]]),"")</f>
        <v/>
      </c>
      <c r="T401" s="265" t="str">
        <f ca="1">IF(AND(ResultsTeams[[#This Row],[Category]]&lt;&gt;"",ResultsTeams[[#This Row],[Team B]]&lt;&gt;""),COUNTIF(INDIRECT("TeamsList[Club Name]"),ResultsTeams[[#This Row],[Team B]]),"")</f>
        <v/>
      </c>
      <c r="U4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-Spencer Conti</v>
      </c>
      <c r="V401" s="265" t="str">
        <f>IF(ResultsTeams[[#This Row],[Score_OK]],IF(ResultsTeams[[#This Row],[StageCpy]]="Groups",ResultsTeams[[#This Row],[Category]]&amp;"-"&amp;IF(ResultsTeams[[#This Row],[Team B]]="","",IF(ResultsTeams[[#This Row],[Match-A]]=ResultsTeams[[#This Row],[Match-B]],ResultsTeams[[#This Row],[Team A]],"")),""),"")</f>
        <v>-</v>
      </c>
      <c r="W401" s="265" t="str">
        <f>IF(ResultsTeams[[#This Row],[Score_OK]],IF(ResultsTeams[[#This Row],[StageCpy]]="Groups",ResultsTeams[[#This Row],[Category]]&amp;"-"&amp;IF(ResultsTeams[[#This Row],[Team B]]="","",IF(ResultsTeams[[#This Row],[Match-A]]=ResultsTeams[[#This Row],[Match-B]],ResultsTeams[[#This Row],[Team B]],"")),""),"")</f>
        <v>-</v>
      </c>
      <c r="X4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Kaliszewski</v>
      </c>
      <c r="Y4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1" s="264" t="str">
        <f>IF(ResultsTeams[[#This Row],[Category]]="","",VLOOKUP(ResultsTeams[[#This Row],[Stage]],$R$1:$T$8,MATCH(ResultsTeams[[#This Row],[Category]],$S$1:$T$1,0)+1,FALSE))</f>
        <v/>
      </c>
      <c r="AC4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1" s="264" t="str">
        <f>IF(ResultsTeams[[#This Row],[Type]]="G",ResultsTeams[[#This Row],[Stage]],AD400)</f>
        <v>Groups</v>
      </c>
      <c r="AE401" s="395" t="str">
        <f>IF(ResultsTeams[[#This Row],[Type]]="G",INDEX(TeamsList[Club Name],MATCH(ResultsTeams[[#This Row],[Team A]],TeamsList[Team Name],0)),AE400)</f>
        <v>Valletta Lions TFC</v>
      </c>
      <c r="AF401" s="395" t="str">
        <f>IF(ResultsTeams[[#This Row],[Type]]="G",INDEX(TeamsList[Club Name],MATCH(ResultsTeams[[#This Row],[Team B]],TeamsList[Team Name],0)),AF400)</f>
        <v>Irish Premier League</v>
      </c>
      <c r="AG401" s="265"/>
    </row>
    <row r="402" spans="1:33" x14ac:dyDescent="0.2">
      <c r="A402" s="62"/>
      <c r="B402" s="62"/>
      <c r="C402" s="62"/>
      <c r="D402" s="62"/>
      <c r="E402" s="241" t="s">
        <v>12243</v>
      </c>
      <c r="F402" s="247"/>
      <c r="G402" s="247"/>
      <c r="H402" s="254"/>
      <c r="I402" s="254"/>
      <c r="J402" s="260"/>
      <c r="K402" s="364"/>
      <c r="L402" s="364"/>
      <c r="M402" s="247"/>
      <c r="N402" s="265" t="b">
        <f>NOT(ISERROR(ResultsTeams[[#This Row],[Goal-A]]+ResultsTeams[[#This Row],[Goal-B]]))</f>
        <v>0</v>
      </c>
      <c r="O402" s="265" t="str">
        <f>IF(ResultsTeams[[#This Row],[Type]]="G",SUM(O403:O406),IF(LEFT(ResultsTeams[[#This Row],[Type]],1)="P",IF(ResultsTeams[[#This Row],[Goal-A]]&gt;ResultsTeams[[#This Row],[Goal-B]],1,0),""))</f>
        <v/>
      </c>
      <c r="P402" s="265" t="str">
        <f>IF(ResultsTeams[[#This Row],[Type]]="G",SUM(P403:P406),IF(LEFT(ResultsTeams[[#This Row],[Type]],1)="P",IF(ResultsTeams[[#This Row],[Goal-A]]&lt;ResultsTeams[[#This Row],[Goal-B]],1,0),""))</f>
        <v/>
      </c>
      <c r="Q402" s="265" t="str">
        <f>IF(ResultsTeams[[#This Row],[Type]]="G",SUM(Q403:Q406),IF(LEFT(ResultsTeams[[#This Row],[Type]],1)="P",VALUE(ResultsTeams[[#This Row],[Score-A]]),""))</f>
        <v/>
      </c>
      <c r="R402" s="265" t="str">
        <f>IF(ResultsTeams[[#This Row],[Type]]="G",SUM(R403:R406),IF(LEFT(ResultsTeams[[#This Row],[Type]],1)="P",VALUE(ResultsTeams[[#This Row],[Score-B]]),""))</f>
        <v/>
      </c>
      <c r="S402" s="265" t="str">
        <f ca="1">IF(AND(ResultsTeams[[#This Row],[Category]]&lt;&gt;"",ResultsTeams[[#This Row],[Team A]]&lt;&gt;""),COUNTIF(INDIRECT("TeamsList[Club Name]"),ResultsTeams[[#This Row],[Team A]]),"")</f>
        <v/>
      </c>
      <c r="T402" s="265" t="str">
        <f ca="1">IF(AND(ResultsTeams[[#This Row],[Category]]&lt;&gt;"",ResultsTeams[[#This Row],[Team B]]&lt;&gt;""),COUNTIF(INDIRECT("TeamsList[Club Name]"),ResultsTeams[[#This Row],[Team B]]),"")</f>
        <v/>
      </c>
      <c r="U4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2" s="265" t="str">
        <f>IF(ResultsTeams[[#This Row],[Score_OK]],IF(ResultsTeams[[#This Row],[StageCpy]]="Groups",ResultsTeams[[#This Row],[Category]]&amp;"-"&amp;IF(ResultsTeams[[#This Row],[Team B]]="","",IF(ResultsTeams[[#This Row],[Match-A]]=ResultsTeams[[#This Row],[Match-B]],ResultsTeams[[#This Row],[Team A]],"")),""),"")</f>
        <v/>
      </c>
      <c r="W402" s="265" t="str">
        <f>IF(ResultsTeams[[#This Row],[Score_OK]],IF(ResultsTeams[[#This Row],[StageCpy]]="Groups",ResultsTeams[[#This Row],[Category]]&amp;"-"&amp;IF(ResultsTeams[[#This Row],[Team B]]="","",IF(ResultsTeams[[#This Row],[Match-A]]=ResultsTeams[[#This Row],[Match-B]],ResultsTeams[[#This Row],[Team B]],"")),""),"")</f>
        <v/>
      </c>
      <c r="X4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2" s="264" t="str">
        <f>IF(ResultsTeams[[#This Row],[Category]]="","",VLOOKUP(ResultsTeams[[#This Row],[Stage]],$R$1:$T$8,MATCH(ResultsTeams[[#This Row],[Category]],$S$1:$T$1,0)+1,FALSE))</f>
        <v/>
      </c>
      <c r="AC4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2" s="264" t="str">
        <f>IF(ResultsTeams[[#This Row],[Type]]="G",ResultsTeams[[#This Row],[Stage]],AD401)</f>
        <v>Groups</v>
      </c>
      <c r="AE402" s="395" t="str">
        <f>IF(ResultsTeams[[#This Row],[Type]]="G",INDEX(TeamsList[Club Name],MATCH(ResultsTeams[[#This Row],[Team A]],TeamsList[Team Name],0)),AE401)</f>
        <v>Valletta Lions TFC</v>
      </c>
      <c r="AF402" s="395" t="str">
        <f>IF(ResultsTeams[[#This Row],[Type]]="G",INDEX(TeamsList[Club Name],MATCH(ResultsTeams[[#This Row],[Team B]],TeamsList[Team Name],0)),AF401)</f>
        <v>Irish Premier League</v>
      </c>
      <c r="AG402" s="265"/>
    </row>
    <row r="403" spans="1:33" ht="12" thickBot="1" x14ac:dyDescent="0.25">
      <c r="A403" s="83"/>
      <c r="B403" s="83"/>
      <c r="C403" s="83"/>
      <c r="D403" s="83"/>
      <c r="E403" s="268" t="s">
        <v>12244</v>
      </c>
      <c r="F403" s="262"/>
      <c r="G403" s="262"/>
      <c r="H403" s="324"/>
      <c r="I403" s="324"/>
      <c r="J403" s="263"/>
      <c r="K403" s="365"/>
      <c r="L403" s="365"/>
      <c r="M403" s="262"/>
      <c r="N403" s="265" t="b">
        <f>NOT(ISERROR(ResultsTeams[[#This Row],[Goal-A]]+ResultsTeams[[#This Row],[Goal-B]]))</f>
        <v>0</v>
      </c>
      <c r="O403" s="265" t="str">
        <f>IF(ResultsTeams[[#This Row],[Type]]="G",SUM(O404:O407),IF(LEFT(ResultsTeams[[#This Row],[Type]],1)="P",IF(ResultsTeams[[#This Row],[Goal-A]]&gt;ResultsTeams[[#This Row],[Goal-B]],1,0),""))</f>
        <v/>
      </c>
      <c r="P403" s="265" t="str">
        <f>IF(ResultsTeams[[#This Row],[Type]]="G",SUM(P404:P407),IF(LEFT(ResultsTeams[[#This Row],[Type]],1)="P",IF(ResultsTeams[[#This Row],[Goal-A]]&lt;ResultsTeams[[#This Row],[Goal-B]],1,0),""))</f>
        <v/>
      </c>
      <c r="Q403" s="265" t="str">
        <f>IF(ResultsTeams[[#This Row],[Type]]="G",SUM(Q404:Q407),IF(LEFT(ResultsTeams[[#This Row],[Type]],1)="P",VALUE(ResultsTeams[[#This Row],[Score-A]]),""))</f>
        <v/>
      </c>
      <c r="R403" s="265" t="str">
        <f>IF(ResultsTeams[[#This Row],[Type]]="G",SUM(R404:R407),IF(LEFT(ResultsTeams[[#This Row],[Type]],1)="P",VALUE(ResultsTeams[[#This Row],[Score-B]]),""))</f>
        <v/>
      </c>
      <c r="S403" s="265" t="str">
        <f ca="1">IF(AND(ResultsTeams[[#This Row],[Category]]&lt;&gt;"",ResultsTeams[[#This Row],[Team A]]&lt;&gt;""),COUNTIF(INDIRECT("TeamsList[Club Name]"),ResultsTeams[[#This Row],[Team A]]),"")</f>
        <v/>
      </c>
      <c r="T403" s="265" t="str">
        <f ca="1">IF(AND(ResultsTeams[[#This Row],[Category]]&lt;&gt;"",ResultsTeams[[#This Row],[Team B]]&lt;&gt;""),COUNTIF(INDIRECT("TeamsList[Club Name]"),ResultsTeams[[#This Row],[Team B]]),"")</f>
        <v/>
      </c>
      <c r="U4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3" s="265" t="str">
        <f>IF(ResultsTeams[[#This Row],[Score_OK]],IF(ResultsTeams[[#This Row],[StageCpy]]="Groups",ResultsTeams[[#This Row],[Category]]&amp;"-"&amp;IF(ResultsTeams[[#This Row],[Team B]]="","",IF(ResultsTeams[[#This Row],[Match-A]]=ResultsTeams[[#This Row],[Match-B]],ResultsTeams[[#This Row],[Team A]],"")),""),"")</f>
        <v/>
      </c>
      <c r="W403" s="265" t="str">
        <f>IF(ResultsTeams[[#This Row],[Score_OK]],IF(ResultsTeams[[#This Row],[StageCpy]]="Groups",ResultsTeams[[#This Row],[Category]]&amp;"-"&amp;IF(ResultsTeams[[#This Row],[Team B]]="","",IF(ResultsTeams[[#This Row],[Match-A]]=ResultsTeams[[#This Row],[Match-B]],ResultsTeams[[#This Row],[Team B]],"")),""),"")</f>
        <v/>
      </c>
      <c r="X4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3" s="264" t="str">
        <f>IF(ResultsTeams[[#This Row],[Category]]="","",VLOOKUP(ResultsTeams[[#This Row],[Stage]],$R$1:$T$8,MATCH(ResultsTeams[[#This Row],[Category]],$S$1:$T$1,0)+1,FALSE))</f>
        <v/>
      </c>
      <c r="AC4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3" s="264" t="str">
        <f>IF(ResultsTeams[[#This Row],[Type]]="G",ResultsTeams[[#This Row],[Stage]],AD402)</f>
        <v>Groups</v>
      </c>
      <c r="AE403" s="395" t="str">
        <f>IF(ResultsTeams[[#This Row],[Type]]="G",INDEX(TeamsList[Club Name],MATCH(ResultsTeams[[#This Row],[Team A]],TeamsList[Team Name],0)),AE402)</f>
        <v>Valletta Lions TFC</v>
      </c>
      <c r="AF403" s="395" t="str">
        <f>IF(ResultsTeams[[#This Row],[Type]]="G",INDEX(TeamsList[Club Name],MATCH(ResultsTeams[[#This Row],[Team B]],TeamsList[Team Name],0)),AF402)</f>
        <v>Irish Premier League</v>
      </c>
      <c r="AG403" s="265"/>
    </row>
    <row r="404" spans="1:33" ht="12" thickBot="1" x14ac:dyDescent="0.25">
      <c r="A404" s="261" t="s">
        <v>12693</v>
      </c>
      <c r="B404" s="270" t="s">
        <v>12207</v>
      </c>
      <c r="C404" s="270">
        <v>9</v>
      </c>
      <c r="D404" s="270"/>
      <c r="E404" s="272" t="s">
        <v>12228</v>
      </c>
      <c r="F404" s="273" t="s">
        <v>328</v>
      </c>
      <c r="G404" s="273" t="s">
        <v>819</v>
      </c>
      <c r="H404" s="275">
        <v>4</v>
      </c>
      <c r="I404" s="275">
        <v>0</v>
      </c>
      <c r="J404" s="275"/>
      <c r="K404" s="366"/>
      <c r="L404" s="366"/>
      <c r="M404" s="274"/>
      <c r="N404" s="265" t="b">
        <f>NOT(ISERROR(ResultsTeams[[#This Row],[Goal-A]]+ResultsTeams[[#This Row],[Goal-B]]))</f>
        <v>1</v>
      </c>
      <c r="O404" s="265">
        <f>IF(ResultsTeams[[#This Row],[Type]]="G",SUM(O405:O408),IF(LEFT(ResultsTeams[[#This Row],[Type]],1)="P",IF(ResultsTeams[[#This Row],[Goal-A]]&gt;ResultsTeams[[#This Row],[Goal-B]],1,0),""))</f>
        <v>4</v>
      </c>
      <c r="P404" s="265">
        <f>IF(ResultsTeams[[#This Row],[Type]]="G",SUM(P405:P408),IF(LEFT(ResultsTeams[[#This Row],[Type]],1)="P",IF(ResultsTeams[[#This Row],[Goal-A]]&lt;ResultsTeams[[#This Row],[Goal-B]],1,0),""))</f>
        <v>0</v>
      </c>
      <c r="Q404" s="265">
        <f>IF(ResultsTeams[[#This Row],[Type]]="G",SUM(Q405:Q408),IF(LEFT(ResultsTeams[[#This Row],[Type]],1)="P",VALUE(ResultsTeams[[#This Row],[Score-A]]),""))</f>
        <v>24</v>
      </c>
      <c r="R404" s="265">
        <f>IF(ResultsTeams[[#This Row],[Type]]="G",SUM(R405:R408),IF(LEFT(ResultsTeams[[#This Row],[Type]],1)="P",VALUE(ResultsTeams[[#This Row],[Score-B]]),""))</f>
        <v>7</v>
      </c>
      <c r="S404" s="265">
        <f ca="1">IF(AND(ResultsTeams[[#This Row],[Category]]&lt;&gt;"",ResultsTeams[[#This Row],[Team A]]&lt;&gt;""),COUNTIF(INDIRECT("TeamsList[Club Name]"),ResultsTeams[[#This Row],[Team A]]),"")</f>
        <v>4</v>
      </c>
      <c r="T404" s="265">
        <f ca="1">IF(AND(ResultsTeams[[#This Row],[Category]]&lt;&gt;"",ResultsTeams[[#This Row],[Team B]]&lt;&gt;""),COUNTIF(INDIRECT("TeamsList[Club Name]"),ResultsTeams[[#This Row],[Team B]]),"")</f>
        <v>1</v>
      </c>
      <c r="U4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404" s="265" t="str">
        <f>IF(ResultsTeams[[#This Row],[Score_OK]],IF(ResultsTeams[[#This Row],[StageCpy]]="Groups",ResultsTeams[[#This Row],[Category]]&amp;"-"&amp;IF(ResultsTeams[[#This Row],[Team B]]="","",IF(ResultsTeams[[#This Row],[Match-A]]=ResultsTeams[[#This Row],[Match-B]],ResultsTeams[[#This Row],[Team A]],"")),""),"")</f>
        <v>TEAM-</v>
      </c>
      <c r="W404" s="265" t="str">
        <f>IF(ResultsTeams[[#This Row],[Score_OK]],IF(ResultsTeams[[#This Row],[StageCpy]]="Groups",ResultsTeams[[#This Row],[Category]]&amp;"-"&amp;IF(ResultsTeams[[#This Row],[Team B]]="","",IF(ResultsTeams[[#This Row],[Match-A]]=ResultsTeams[[#This Row],[Match-B]],ResultsTeams[[#This Row],[Team B]],"")),""),"")</f>
        <v>TEAM-</v>
      </c>
      <c r="X4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4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4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404" s="264" t="str">
        <f>IF(ResultsTeams[[#This Row],[Category]]="","",VLOOKUP(ResultsTeams[[#This Row],[Stage]],$R$1:$T$8,MATCH(ResultsTeams[[#This Row],[Category]],$S$1:$T$1,0)+1,FALSE))</f>
        <v>PR1</v>
      </c>
      <c r="AC4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4" s="264" t="str">
        <f>IF(ResultsTeams[[#This Row],[Type]]="G",ResultsTeams[[#This Row],[Stage]],AD403)</f>
        <v>Groups</v>
      </c>
      <c r="AE404" s="395" t="str">
        <f>IF(ResultsTeams[[#This Row],[Type]]="G",INDEX(TeamsList[Club Name],MATCH(ResultsTeams[[#This Row],[Team A]],TeamsList[Team Name],0)),AE403)</f>
        <v>Avenir Subbuteo Hennuyer</v>
      </c>
      <c r="AF404" s="395" t="str">
        <f>IF(ResultsTeams[[#This Row],[Type]]="G",INDEX(TeamsList[Club Name],MATCH(ResultsTeams[[#This Row],[Team B]],TeamsList[Team Name],0)),AF403)</f>
        <v>Irish Premier League</v>
      </c>
      <c r="AG404" s="265"/>
    </row>
    <row r="405" spans="1:33" x14ac:dyDescent="0.2">
      <c r="A405" s="60"/>
      <c r="B405" s="280"/>
      <c r="C405" s="60"/>
      <c r="D405" s="60"/>
      <c r="E405" s="240" t="s">
        <v>12231</v>
      </c>
      <c r="F405" s="244" t="s">
        <v>8120</v>
      </c>
      <c r="G405" s="244" t="s">
        <v>13920</v>
      </c>
      <c r="H405" s="253">
        <v>9</v>
      </c>
      <c r="I405" s="253">
        <v>0</v>
      </c>
      <c r="J405" s="253"/>
      <c r="K405" s="362"/>
      <c r="L405" s="362"/>
      <c r="M405" s="245"/>
      <c r="N405" s="265" t="b">
        <f>NOT(ISERROR(ResultsTeams[[#This Row],[Goal-A]]+ResultsTeams[[#This Row],[Goal-B]]))</f>
        <v>1</v>
      </c>
      <c r="O405" s="265">
        <f>IF(ResultsTeams[[#This Row],[Type]]="G",SUM(O406:O409),IF(LEFT(ResultsTeams[[#This Row],[Type]],1)="P",IF(ResultsTeams[[#This Row],[Goal-A]]&gt;ResultsTeams[[#This Row],[Goal-B]],1,0),""))</f>
        <v>1</v>
      </c>
      <c r="P405" s="265">
        <f>IF(ResultsTeams[[#This Row],[Type]]="G",SUM(P406:P409),IF(LEFT(ResultsTeams[[#This Row],[Type]],1)="P",IF(ResultsTeams[[#This Row],[Goal-A]]&lt;ResultsTeams[[#This Row],[Goal-B]],1,0),""))</f>
        <v>0</v>
      </c>
      <c r="Q405" s="265">
        <f>IF(ResultsTeams[[#This Row],[Type]]="G",SUM(Q406:Q409),IF(LEFT(ResultsTeams[[#This Row],[Type]],1)="P",VALUE(ResultsTeams[[#This Row],[Score-A]]),""))</f>
        <v>9</v>
      </c>
      <c r="R405" s="265">
        <f>IF(ResultsTeams[[#This Row],[Type]]="G",SUM(R406:R409),IF(LEFT(ResultsTeams[[#This Row],[Type]],1)="P",VALUE(ResultsTeams[[#This Row],[Score-B]]),""))</f>
        <v>0</v>
      </c>
      <c r="S405" s="265" t="str">
        <f ca="1">IF(AND(ResultsTeams[[#This Row],[Category]]&lt;&gt;"",ResultsTeams[[#This Row],[Team A]]&lt;&gt;""),COUNTIF(INDIRECT("TeamsList[Club Name]"),ResultsTeams[[#This Row],[Team A]]),"")</f>
        <v/>
      </c>
      <c r="T405" s="265" t="str">
        <f ca="1">IF(AND(ResultsTeams[[#This Row],[Category]]&lt;&gt;"",ResultsTeams[[#This Row],[Team B]]&lt;&gt;""),COUNTIF(INDIRECT("TeamsList[Club Name]"),ResultsTeams[[#This Row],[Team B]]),"")</f>
        <v/>
      </c>
      <c r="U4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-Lucas Pere</v>
      </c>
      <c r="V405" s="265" t="str">
        <f>IF(ResultsTeams[[#This Row],[Score_OK]],IF(ResultsTeams[[#This Row],[StageCpy]]="Groups",ResultsTeams[[#This Row],[Category]]&amp;"-"&amp;IF(ResultsTeams[[#This Row],[Team B]]="","",IF(ResultsTeams[[#This Row],[Match-A]]=ResultsTeams[[#This Row],[Match-B]],ResultsTeams[[#This Row],[Team A]],"")),""),"")</f>
        <v>-</v>
      </c>
      <c r="W405" s="265" t="str">
        <f>IF(ResultsTeams[[#This Row],[Score_OK]],IF(ResultsTeams[[#This Row],[StageCpy]]="Groups",ResultsTeams[[#This Row],[Category]]&amp;"-"&amp;IF(ResultsTeams[[#This Row],[Team B]]="","",IF(ResultsTeams[[#This Row],[Match-A]]=ResultsTeams[[#This Row],[Match-B]],ResultsTeams[[#This Row],[Team B]],"")),""),"")</f>
        <v>-</v>
      </c>
      <c r="X4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-Adrian Pigott</v>
      </c>
      <c r="Y4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5" s="264" t="str">
        <f>IF(ResultsTeams[[#This Row],[Category]]="","",VLOOKUP(ResultsTeams[[#This Row],[Stage]],$R$1:$T$8,MATCH(ResultsTeams[[#This Row],[Category]],$S$1:$T$1,0)+1,FALSE))</f>
        <v/>
      </c>
      <c r="AC4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5" s="264" t="str">
        <f>IF(ResultsTeams[[#This Row],[Type]]="G",ResultsTeams[[#This Row],[Stage]],AD404)</f>
        <v>Groups</v>
      </c>
      <c r="AE405" s="395" t="str">
        <f>IF(ResultsTeams[[#This Row],[Type]]="G",INDEX(TeamsList[Club Name],MATCH(ResultsTeams[[#This Row],[Team A]],TeamsList[Team Name],0)),AE404)</f>
        <v>Avenir Subbuteo Hennuyer</v>
      </c>
      <c r="AF405" s="395" t="str">
        <f>IF(ResultsTeams[[#This Row],[Type]]="G",INDEX(TeamsList[Club Name],MATCH(ResultsTeams[[#This Row],[Team B]],TeamsList[Team Name],0)),AF404)</f>
        <v>Irish Premier League</v>
      </c>
      <c r="AG405" s="265"/>
    </row>
    <row r="406" spans="1:33" x14ac:dyDescent="0.2">
      <c r="A406" s="62"/>
      <c r="B406" s="280"/>
      <c r="C406" s="62"/>
      <c r="D406" s="62"/>
      <c r="E406" s="241" t="s">
        <v>12234</v>
      </c>
      <c r="F406" s="246" t="s">
        <v>8777</v>
      </c>
      <c r="G406" s="246" t="s">
        <v>10590</v>
      </c>
      <c r="H406" s="254">
        <v>5</v>
      </c>
      <c r="I406" s="254">
        <v>2</v>
      </c>
      <c r="J406" s="254"/>
      <c r="K406" s="363"/>
      <c r="L406" s="363"/>
      <c r="M406" s="247"/>
      <c r="N406" s="265" t="b">
        <f>NOT(ISERROR(ResultsTeams[[#This Row],[Goal-A]]+ResultsTeams[[#This Row],[Goal-B]]))</f>
        <v>1</v>
      </c>
      <c r="O406" s="265">
        <f>IF(ResultsTeams[[#This Row],[Type]]="G",SUM(O407:O410),IF(LEFT(ResultsTeams[[#This Row],[Type]],1)="P",IF(ResultsTeams[[#This Row],[Goal-A]]&gt;ResultsTeams[[#This Row],[Goal-B]],1,0),""))</f>
        <v>1</v>
      </c>
      <c r="P406" s="265">
        <f>IF(ResultsTeams[[#This Row],[Type]]="G",SUM(P407:P410),IF(LEFT(ResultsTeams[[#This Row],[Type]],1)="P",IF(ResultsTeams[[#This Row],[Goal-A]]&lt;ResultsTeams[[#This Row],[Goal-B]],1,0),""))</f>
        <v>0</v>
      </c>
      <c r="Q406" s="265">
        <f>IF(ResultsTeams[[#This Row],[Type]]="G",SUM(Q407:Q410),IF(LEFT(ResultsTeams[[#This Row],[Type]],1)="P",VALUE(ResultsTeams[[#This Row],[Score-A]]),""))</f>
        <v>5</v>
      </c>
      <c r="R406" s="265">
        <f>IF(ResultsTeams[[#This Row],[Type]]="G",SUM(R407:R410),IF(LEFT(ResultsTeams[[#This Row],[Type]],1)="P",VALUE(ResultsTeams[[#This Row],[Score-B]]),""))</f>
        <v>2</v>
      </c>
      <c r="S406" s="265" t="str">
        <f ca="1">IF(AND(ResultsTeams[[#This Row],[Category]]&lt;&gt;"",ResultsTeams[[#This Row],[Team A]]&lt;&gt;""),COUNTIF(INDIRECT("TeamsList[Club Name]"),ResultsTeams[[#This Row],[Team A]]),"")</f>
        <v/>
      </c>
      <c r="T406" s="265" t="str">
        <f ca="1">IF(AND(ResultsTeams[[#This Row],[Category]]&lt;&gt;"",ResultsTeams[[#This Row],[Team B]]&lt;&gt;""),COUNTIF(INDIRECT("TeamsList[Club Name]"),ResultsTeams[[#This Row],[Team B]]),"")</f>
        <v/>
      </c>
      <c r="U4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-Christos Angelinas</v>
      </c>
      <c r="V406" s="265" t="str">
        <f>IF(ResultsTeams[[#This Row],[Score_OK]],IF(ResultsTeams[[#This Row],[StageCpy]]="Groups",ResultsTeams[[#This Row],[Category]]&amp;"-"&amp;IF(ResultsTeams[[#This Row],[Team B]]="","",IF(ResultsTeams[[#This Row],[Match-A]]=ResultsTeams[[#This Row],[Match-B]],ResultsTeams[[#This Row],[Team A]],"")),""),"")</f>
        <v>-</v>
      </c>
      <c r="W406" s="265" t="str">
        <f>IF(ResultsTeams[[#This Row],[Score_OK]],IF(ResultsTeams[[#This Row],[StageCpy]]="Groups",ResultsTeams[[#This Row],[Category]]&amp;"-"&amp;IF(ResultsTeams[[#This Row],[Team B]]="","",IF(ResultsTeams[[#This Row],[Match-A]]=ResultsTeams[[#This Row],[Match-B]],ResultsTeams[[#This Row],[Team B]],"")),""),"")</f>
        <v>-</v>
      </c>
      <c r="X4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4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6" s="264" t="str">
        <f>IF(ResultsTeams[[#This Row],[Category]]="","",VLOOKUP(ResultsTeams[[#This Row],[Stage]],$R$1:$T$8,MATCH(ResultsTeams[[#This Row],[Category]],$S$1:$T$1,0)+1,FALSE))</f>
        <v/>
      </c>
      <c r="AC4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6" s="264" t="str">
        <f>IF(ResultsTeams[[#This Row],[Type]]="G",ResultsTeams[[#This Row],[Stage]],AD405)</f>
        <v>Groups</v>
      </c>
      <c r="AE406" s="395" t="str">
        <f>IF(ResultsTeams[[#This Row],[Type]]="G",INDEX(TeamsList[Club Name],MATCH(ResultsTeams[[#This Row],[Team A]],TeamsList[Team Name],0)),AE405)</f>
        <v>Avenir Subbuteo Hennuyer</v>
      </c>
      <c r="AF406" s="395" t="str">
        <f>IF(ResultsTeams[[#This Row],[Type]]="G",INDEX(TeamsList[Club Name],MATCH(ResultsTeams[[#This Row],[Team B]],TeamsList[Team Name],0)),AF405)</f>
        <v>Irish Premier League</v>
      </c>
      <c r="AG406" s="265"/>
    </row>
    <row r="407" spans="1:33" x14ac:dyDescent="0.2">
      <c r="A407" s="62"/>
      <c r="B407" s="280"/>
      <c r="C407" s="62"/>
      <c r="D407" s="62"/>
      <c r="E407" s="241" t="s">
        <v>12237</v>
      </c>
      <c r="F407" s="246" t="s">
        <v>8088</v>
      </c>
      <c r="G407" s="246" t="s">
        <v>10591</v>
      </c>
      <c r="H407" s="254">
        <v>4</v>
      </c>
      <c r="I407" s="254">
        <v>3</v>
      </c>
      <c r="J407" s="254"/>
      <c r="K407" s="363"/>
      <c r="L407" s="363"/>
      <c r="M407" s="247"/>
      <c r="N407" s="265" t="b">
        <f>NOT(ISERROR(ResultsTeams[[#This Row],[Goal-A]]+ResultsTeams[[#This Row],[Goal-B]]))</f>
        <v>1</v>
      </c>
      <c r="O407" s="265">
        <f>IF(ResultsTeams[[#This Row],[Type]]="G",SUM(O408:O411),IF(LEFT(ResultsTeams[[#This Row],[Type]],1)="P",IF(ResultsTeams[[#This Row],[Goal-A]]&gt;ResultsTeams[[#This Row],[Goal-B]],1,0),""))</f>
        <v>1</v>
      </c>
      <c r="P407" s="265">
        <f>IF(ResultsTeams[[#This Row],[Type]]="G",SUM(P408:P411),IF(LEFT(ResultsTeams[[#This Row],[Type]],1)="P",IF(ResultsTeams[[#This Row],[Goal-A]]&lt;ResultsTeams[[#This Row],[Goal-B]],1,0),""))</f>
        <v>0</v>
      </c>
      <c r="Q407" s="265">
        <f>IF(ResultsTeams[[#This Row],[Type]]="G",SUM(Q408:Q411),IF(LEFT(ResultsTeams[[#This Row],[Type]],1)="P",VALUE(ResultsTeams[[#This Row],[Score-A]]),""))</f>
        <v>4</v>
      </c>
      <c r="R407" s="265">
        <f>IF(ResultsTeams[[#This Row],[Type]]="G",SUM(R408:R411),IF(LEFT(ResultsTeams[[#This Row],[Type]],1)="P",VALUE(ResultsTeams[[#This Row],[Score-B]]),""))</f>
        <v>3</v>
      </c>
      <c r="S407" s="265" t="str">
        <f ca="1">IF(AND(ResultsTeams[[#This Row],[Category]]&lt;&gt;"",ResultsTeams[[#This Row],[Team A]]&lt;&gt;""),COUNTIF(INDIRECT("TeamsList[Club Name]"),ResultsTeams[[#This Row],[Team A]]),"")</f>
        <v/>
      </c>
      <c r="T407" s="265" t="str">
        <f ca="1">IF(AND(ResultsTeams[[#This Row],[Category]]&lt;&gt;"",ResultsTeams[[#This Row],[Team B]]&lt;&gt;""),COUNTIF(INDIRECT("TeamsList[Club Name]"),ResultsTeams[[#This Row],[Team B]]),"")</f>
        <v/>
      </c>
      <c r="U4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-Steffen Despretz</v>
      </c>
      <c r="V407" s="265" t="str">
        <f>IF(ResultsTeams[[#This Row],[Score_OK]],IF(ResultsTeams[[#This Row],[StageCpy]]="Groups",ResultsTeams[[#This Row],[Category]]&amp;"-"&amp;IF(ResultsTeams[[#This Row],[Team B]]="","",IF(ResultsTeams[[#This Row],[Match-A]]=ResultsTeams[[#This Row],[Match-B]],ResultsTeams[[#This Row],[Team A]],"")),""),"")</f>
        <v>-</v>
      </c>
      <c r="W407" s="265" t="str">
        <f>IF(ResultsTeams[[#This Row],[Score_OK]],IF(ResultsTeams[[#This Row],[StageCpy]]="Groups",ResultsTeams[[#This Row],[Category]]&amp;"-"&amp;IF(ResultsTeams[[#This Row],[Team B]]="","",IF(ResultsTeams[[#This Row],[Match-A]]=ResultsTeams[[#This Row],[Match-B]],ResultsTeams[[#This Row],[Team B]],"")),""),"")</f>
        <v>-</v>
      </c>
      <c r="X4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Kaliszewski</v>
      </c>
      <c r="Y4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7" s="264" t="str">
        <f>IF(ResultsTeams[[#This Row],[Category]]="","",VLOOKUP(ResultsTeams[[#This Row],[Stage]],$R$1:$T$8,MATCH(ResultsTeams[[#This Row],[Category]],$S$1:$T$1,0)+1,FALSE))</f>
        <v/>
      </c>
      <c r="AC4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7" s="264" t="str">
        <f>IF(ResultsTeams[[#This Row],[Type]]="G",ResultsTeams[[#This Row],[Stage]],AD406)</f>
        <v>Groups</v>
      </c>
      <c r="AE407" s="395" t="str">
        <f>IF(ResultsTeams[[#This Row],[Type]]="G",INDEX(TeamsList[Club Name],MATCH(ResultsTeams[[#This Row],[Team A]],TeamsList[Team Name],0)),AE406)</f>
        <v>Avenir Subbuteo Hennuyer</v>
      </c>
      <c r="AF407" s="395" t="str">
        <f>IF(ResultsTeams[[#This Row],[Type]]="G",INDEX(TeamsList[Club Name],MATCH(ResultsTeams[[#This Row],[Team B]],TeamsList[Team Name],0)),AF406)</f>
        <v>Irish Premier League</v>
      </c>
      <c r="AG407" s="265"/>
    </row>
    <row r="408" spans="1:33" x14ac:dyDescent="0.2">
      <c r="A408" s="62"/>
      <c r="B408" s="280"/>
      <c r="C408" s="62"/>
      <c r="D408" s="62"/>
      <c r="E408" s="241" t="s">
        <v>12240</v>
      </c>
      <c r="F408" s="246" t="s">
        <v>8141</v>
      </c>
      <c r="G408" s="246" t="s">
        <v>10584</v>
      </c>
      <c r="H408" s="254">
        <v>6</v>
      </c>
      <c r="I408" s="254">
        <v>2</v>
      </c>
      <c r="J408" s="254"/>
      <c r="K408" s="363"/>
      <c r="L408" s="363"/>
      <c r="M408" s="247"/>
      <c r="N408" s="265" t="b">
        <f>NOT(ISERROR(ResultsTeams[[#This Row],[Goal-A]]+ResultsTeams[[#This Row],[Goal-B]]))</f>
        <v>1</v>
      </c>
      <c r="O408" s="265">
        <f>IF(ResultsTeams[[#This Row],[Type]]="G",SUM(O409:O412),IF(LEFT(ResultsTeams[[#This Row],[Type]],1)="P",IF(ResultsTeams[[#This Row],[Goal-A]]&gt;ResultsTeams[[#This Row],[Goal-B]],1,0),""))</f>
        <v>1</v>
      </c>
      <c r="P408" s="265">
        <f>IF(ResultsTeams[[#This Row],[Type]]="G",SUM(P409:P412),IF(LEFT(ResultsTeams[[#This Row],[Type]],1)="P",IF(ResultsTeams[[#This Row],[Goal-A]]&lt;ResultsTeams[[#This Row],[Goal-B]],1,0),""))</f>
        <v>0</v>
      </c>
      <c r="Q408" s="265">
        <f>IF(ResultsTeams[[#This Row],[Type]]="G",SUM(Q409:Q412),IF(LEFT(ResultsTeams[[#This Row],[Type]],1)="P",VALUE(ResultsTeams[[#This Row],[Score-A]]),""))</f>
        <v>6</v>
      </c>
      <c r="R408" s="265">
        <f>IF(ResultsTeams[[#This Row],[Type]]="G",SUM(R409:R412),IF(LEFT(ResultsTeams[[#This Row],[Type]],1)="P",VALUE(ResultsTeams[[#This Row],[Score-B]]),""))</f>
        <v>2</v>
      </c>
      <c r="S408" s="265" t="str">
        <f ca="1">IF(AND(ResultsTeams[[#This Row],[Category]]&lt;&gt;"",ResultsTeams[[#This Row],[Team A]]&lt;&gt;""),COUNTIF(INDIRECT("TeamsList[Club Name]"),ResultsTeams[[#This Row],[Team A]]),"")</f>
        <v/>
      </c>
      <c r="T408" s="265" t="str">
        <f ca="1">IF(AND(ResultsTeams[[#This Row],[Category]]&lt;&gt;"",ResultsTeams[[#This Row],[Team B]]&lt;&gt;""),COUNTIF(INDIRECT("TeamsList[Club Name]"),ResultsTeams[[#This Row],[Team B]]),"")</f>
        <v/>
      </c>
      <c r="U4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Vantassel</v>
      </c>
      <c r="V408" s="265" t="str">
        <f>IF(ResultsTeams[[#This Row],[Score_OK]],IF(ResultsTeams[[#This Row],[StageCpy]]="Groups",ResultsTeams[[#This Row],[Category]]&amp;"-"&amp;IF(ResultsTeams[[#This Row],[Team B]]="","",IF(ResultsTeams[[#This Row],[Match-A]]=ResultsTeams[[#This Row],[Match-B]],ResultsTeams[[#This Row],[Team A]],"")),""),"")</f>
        <v>-</v>
      </c>
      <c r="W408" s="265" t="str">
        <f>IF(ResultsTeams[[#This Row],[Score_OK]],IF(ResultsTeams[[#This Row],[StageCpy]]="Groups",ResultsTeams[[#This Row],[Category]]&amp;"-"&amp;IF(ResultsTeams[[#This Row],[Team B]]="","",IF(ResultsTeams[[#This Row],[Match-A]]=ResultsTeams[[#This Row],[Match-B]],ResultsTeams[[#This Row],[Team B]],"")),""),"")</f>
        <v>-</v>
      </c>
      <c r="X4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-John Moore</v>
      </c>
      <c r="Y4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8" s="264" t="str">
        <f>IF(ResultsTeams[[#This Row],[Category]]="","",VLOOKUP(ResultsTeams[[#This Row],[Stage]],$R$1:$T$8,MATCH(ResultsTeams[[#This Row],[Category]],$S$1:$T$1,0)+1,FALSE))</f>
        <v/>
      </c>
      <c r="AC4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8" s="264" t="str">
        <f>IF(ResultsTeams[[#This Row],[Type]]="G",ResultsTeams[[#This Row],[Stage]],AD407)</f>
        <v>Groups</v>
      </c>
      <c r="AE408" s="395" t="str">
        <f>IF(ResultsTeams[[#This Row],[Type]]="G",INDEX(TeamsList[Club Name],MATCH(ResultsTeams[[#This Row],[Team A]],TeamsList[Team Name],0)),AE407)</f>
        <v>Avenir Subbuteo Hennuyer</v>
      </c>
      <c r="AF408" s="395" t="str">
        <f>IF(ResultsTeams[[#This Row],[Type]]="G",INDEX(TeamsList[Club Name],MATCH(ResultsTeams[[#This Row],[Team B]],TeamsList[Team Name],0)),AF407)</f>
        <v>Irish Premier League</v>
      </c>
      <c r="AG408" s="265"/>
    </row>
    <row r="409" spans="1:33" x14ac:dyDescent="0.2">
      <c r="A409" s="62"/>
      <c r="B409" s="62"/>
      <c r="C409" s="62"/>
      <c r="D409" s="62"/>
      <c r="E409" s="241" t="s">
        <v>12243</v>
      </c>
      <c r="F409" s="247" t="s">
        <v>8115</v>
      </c>
      <c r="G409" s="247"/>
      <c r="H409" s="254" t="s">
        <v>12243</v>
      </c>
      <c r="I409" s="254"/>
      <c r="J409" s="260"/>
      <c r="K409" s="364"/>
      <c r="L409" s="364"/>
      <c r="M409" s="63"/>
      <c r="N409" s="265" t="b">
        <f>NOT(ISERROR(ResultsTeams[[#This Row],[Goal-A]]+ResultsTeams[[#This Row],[Goal-B]]))</f>
        <v>0</v>
      </c>
      <c r="O409" s="265" t="str">
        <f>IF(ResultsTeams[[#This Row],[Type]]="G",SUM(O410:O413),IF(LEFT(ResultsTeams[[#This Row],[Type]],1)="P",IF(ResultsTeams[[#This Row],[Goal-A]]&gt;ResultsTeams[[#This Row],[Goal-B]],1,0),""))</f>
        <v/>
      </c>
      <c r="P409" s="265" t="str">
        <f>IF(ResultsTeams[[#This Row],[Type]]="G",SUM(P410:P413),IF(LEFT(ResultsTeams[[#This Row],[Type]],1)="P",IF(ResultsTeams[[#This Row],[Goal-A]]&lt;ResultsTeams[[#This Row],[Goal-B]],1,0),""))</f>
        <v/>
      </c>
      <c r="Q409" s="265" t="str">
        <f>IF(ResultsTeams[[#This Row],[Type]]="G",SUM(Q410:Q413),IF(LEFT(ResultsTeams[[#This Row],[Type]],1)="P",VALUE(ResultsTeams[[#This Row],[Score-A]]),""))</f>
        <v/>
      </c>
      <c r="R409" s="265" t="str">
        <f>IF(ResultsTeams[[#This Row],[Type]]="G",SUM(R410:R413),IF(LEFT(ResultsTeams[[#This Row],[Type]],1)="P",VALUE(ResultsTeams[[#This Row],[Score-B]]),""))</f>
        <v/>
      </c>
      <c r="S409" s="265" t="str">
        <f ca="1">IF(AND(ResultsTeams[[#This Row],[Category]]&lt;&gt;"",ResultsTeams[[#This Row],[Team A]]&lt;&gt;""),COUNTIF(INDIRECT("TeamsList[Club Name]"),ResultsTeams[[#This Row],[Team A]]),"")</f>
        <v/>
      </c>
      <c r="T409" s="265" t="str">
        <f ca="1">IF(AND(ResultsTeams[[#This Row],[Category]]&lt;&gt;"",ResultsTeams[[#This Row],[Team B]]&lt;&gt;""),COUNTIF(INDIRECT("TeamsList[Club Name]"),ResultsTeams[[#This Row],[Team B]]),"")</f>
        <v/>
      </c>
      <c r="U4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9" s="265" t="str">
        <f>IF(ResultsTeams[[#This Row],[Score_OK]],IF(ResultsTeams[[#This Row],[StageCpy]]="Groups",ResultsTeams[[#This Row],[Category]]&amp;"-"&amp;IF(ResultsTeams[[#This Row],[Team B]]="","",IF(ResultsTeams[[#This Row],[Match-A]]=ResultsTeams[[#This Row],[Match-B]],ResultsTeams[[#This Row],[Team A]],"")),""),"")</f>
        <v/>
      </c>
      <c r="W409" s="265" t="str">
        <f>IF(ResultsTeams[[#This Row],[Score_OK]],IF(ResultsTeams[[#This Row],[StageCpy]]="Groups",ResultsTeams[[#This Row],[Category]]&amp;"-"&amp;IF(ResultsTeams[[#This Row],[Team B]]="","",IF(ResultsTeams[[#This Row],[Match-A]]=ResultsTeams[[#This Row],[Match-B]],ResultsTeams[[#This Row],[Team B]],"")),""),"")</f>
        <v/>
      </c>
      <c r="X4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9" s="264" t="str">
        <f>IF(ResultsTeams[[#This Row],[Category]]="","",VLOOKUP(ResultsTeams[[#This Row],[Stage]],$R$1:$T$8,MATCH(ResultsTeams[[#This Row],[Category]],$S$1:$T$1,0)+1,FALSE))</f>
        <v/>
      </c>
      <c r="AC4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9" s="264" t="str">
        <f>IF(ResultsTeams[[#This Row],[Type]]="G",ResultsTeams[[#This Row],[Stage]],AD408)</f>
        <v>Groups</v>
      </c>
      <c r="AE409" s="395" t="str">
        <f>IF(ResultsTeams[[#This Row],[Type]]="G",INDEX(TeamsList[Club Name],MATCH(ResultsTeams[[#This Row],[Team A]],TeamsList[Team Name],0)),AE408)</f>
        <v>Avenir Subbuteo Hennuyer</v>
      </c>
      <c r="AF409" s="395" t="str">
        <f>IF(ResultsTeams[[#This Row],[Type]]="G",INDEX(TeamsList[Club Name],MATCH(ResultsTeams[[#This Row],[Team B]],TeamsList[Team Name],0)),AF408)</f>
        <v>Irish Premier League</v>
      </c>
      <c r="AG409" s="265"/>
    </row>
    <row r="410" spans="1:33" ht="12" thickBot="1" x14ac:dyDescent="0.25">
      <c r="A410" s="83"/>
      <c r="B410" s="83"/>
      <c r="C410" s="83"/>
      <c r="D410" s="83"/>
      <c r="E410" s="268" t="s">
        <v>12244</v>
      </c>
      <c r="F410" s="262"/>
      <c r="G410" s="262"/>
      <c r="H410" s="324"/>
      <c r="I410" s="324"/>
      <c r="J410" s="263"/>
      <c r="K410" s="365"/>
      <c r="L410" s="365"/>
      <c r="M410" s="84"/>
      <c r="N410" s="265" t="b">
        <f>NOT(ISERROR(ResultsTeams[[#This Row],[Goal-A]]+ResultsTeams[[#This Row],[Goal-B]]))</f>
        <v>0</v>
      </c>
      <c r="O410" s="265" t="str">
        <f>IF(ResultsTeams[[#This Row],[Type]]="G",SUM(O411:O414),IF(LEFT(ResultsTeams[[#This Row],[Type]],1)="P",IF(ResultsTeams[[#This Row],[Goal-A]]&gt;ResultsTeams[[#This Row],[Goal-B]],1,0),""))</f>
        <v/>
      </c>
      <c r="P410" s="265" t="str">
        <f>IF(ResultsTeams[[#This Row],[Type]]="G",SUM(P411:P414),IF(LEFT(ResultsTeams[[#This Row],[Type]],1)="P",IF(ResultsTeams[[#This Row],[Goal-A]]&lt;ResultsTeams[[#This Row],[Goal-B]],1,0),""))</f>
        <v/>
      </c>
      <c r="Q410" s="265" t="str">
        <f>IF(ResultsTeams[[#This Row],[Type]]="G",SUM(Q411:Q414),IF(LEFT(ResultsTeams[[#This Row],[Type]],1)="P",VALUE(ResultsTeams[[#This Row],[Score-A]]),""))</f>
        <v/>
      </c>
      <c r="R410" s="265" t="str">
        <f>IF(ResultsTeams[[#This Row],[Type]]="G",SUM(R411:R414),IF(LEFT(ResultsTeams[[#This Row],[Type]],1)="P",VALUE(ResultsTeams[[#This Row],[Score-B]]),""))</f>
        <v/>
      </c>
      <c r="S410" s="265" t="str">
        <f ca="1">IF(AND(ResultsTeams[[#This Row],[Category]]&lt;&gt;"",ResultsTeams[[#This Row],[Team A]]&lt;&gt;""),COUNTIF(INDIRECT("TeamsList[Club Name]"),ResultsTeams[[#This Row],[Team A]]),"")</f>
        <v/>
      </c>
      <c r="T410" s="265" t="str">
        <f ca="1">IF(AND(ResultsTeams[[#This Row],[Category]]&lt;&gt;"",ResultsTeams[[#This Row],[Team B]]&lt;&gt;""),COUNTIF(INDIRECT("TeamsList[Club Name]"),ResultsTeams[[#This Row],[Team B]]),"")</f>
        <v/>
      </c>
      <c r="U4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0" s="265" t="str">
        <f>IF(ResultsTeams[[#This Row],[Score_OK]],IF(ResultsTeams[[#This Row],[StageCpy]]="Groups",ResultsTeams[[#This Row],[Category]]&amp;"-"&amp;IF(ResultsTeams[[#This Row],[Team B]]="","",IF(ResultsTeams[[#This Row],[Match-A]]=ResultsTeams[[#This Row],[Match-B]],ResultsTeams[[#This Row],[Team A]],"")),""),"")</f>
        <v/>
      </c>
      <c r="W410" s="265" t="str">
        <f>IF(ResultsTeams[[#This Row],[Score_OK]],IF(ResultsTeams[[#This Row],[StageCpy]]="Groups",ResultsTeams[[#This Row],[Category]]&amp;"-"&amp;IF(ResultsTeams[[#This Row],[Team B]]="","",IF(ResultsTeams[[#This Row],[Match-A]]=ResultsTeams[[#This Row],[Match-B]],ResultsTeams[[#This Row],[Team B]],"")),""),"")</f>
        <v/>
      </c>
      <c r="X4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0" s="264" t="str">
        <f>IF(ResultsTeams[[#This Row],[Category]]="","",VLOOKUP(ResultsTeams[[#This Row],[Stage]],$R$1:$T$8,MATCH(ResultsTeams[[#This Row],[Category]],$S$1:$T$1,0)+1,FALSE))</f>
        <v/>
      </c>
      <c r="AC4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0" s="264" t="str">
        <f>IF(ResultsTeams[[#This Row],[Type]]="G",ResultsTeams[[#This Row],[Stage]],AD409)</f>
        <v>Groups</v>
      </c>
      <c r="AE410" s="395" t="str">
        <f>IF(ResultsTeams[[#This Row],[Type]]="G",INDEX(TeamsList[Club Name],MATCH(ResultsTeams[[#This Row],[Team A]],TeamsList[Team Name],0)),AE409)</f>
        <v>Avenir Subbuteo Hennuyer</v>
      </c>
      <c r="AF410" s="395" t="str">
        <f>IF(ResultsTeams[[#This Row],[Type]]="G",INDEX(TeamsList[Club Name],MATCH(ResultsTeams[[#This Row],[Team B]],TeamsList[Team Name],0)),AF409)</f>
        <v>Irish Premier League</v>
      </c>
      <c r="AG410" s="265"/>
    </row>
    <row r="411" spans="1:33" ht="12" thickBot="1" x14ac:dyDescent="0.25">
      <c r="A411" s="261" t="s">
        <v>12693</v>
      </c>
      <c r="B411" s="270" t="s">
        <v>12207</v>
      </c>
      <c r="C411" s="270">
        <v>9</v>
      </c>
      <c r="D411" s="270"/>
      <c r="E411" s="272" t="s">
        <v>12228</v>
      </c>
      <c r="F411" s="273" t="s">
        <v>14596</v>
      </c>
      <c r="G411" s="273" t="s">
        <v>796</v>
      </c>
      <c r="H411" s="275">
        <v>0</v>
      </c>
      <c r="I411" s="275">
        <v>4</v>
      </c>
      <c r="J411" s="275"/>
      <c r="K411" s="366"/>
      <c r="L411" s="366"/>
      <c r="M411" s="271"/>
      <c r="N411" s="265" t="b">
        <f>NOT(ISERROR(ResultsTeams[[#This Row],[Goal-A]]+ResultsTeams[[#This Row],[Goal-B]]))</f>
        <v>1</v>
      </c>
      <c r="O411" s="265">
        <f>IF(ResultsTeams[[#This Row],[Type]]="G",SUM(O412:O415),IF(LEFT(ResultsTeams[[#This Row],[Type]],1)="P",IF(ResultsTeams[[#This Row],[Goal-A]]&gt;ResultsTeams[[#This Row],[Goal-B]],1,0),""))</f>
        <v>0</v>
      </c>
      <c r="P411" s="265">
        <f>IF(ResultsTeams[[#This Row],[Type]]="G",SUM(P412:P415),IF(LEFT(ResultsTeams[[#This Row],[Type]],1)="P",IF(ResultsTeams[[#This Row],[Goal-A]]&lt;ResultsTeams[[#This Row],[Goal-B]],1,0),""))</f>
        <v>4</v>
      </c>
      <c r="Q411" s="265">
        <f>IF(ResultsTeams[[#This Row],[Type]]="G",SUM(Q412:Q415),IF(LEFT(ResultsTeams[[#This Row],[Type]],1)="P",VALUE(ResultsTeams[[#This Row],[Score-A]]),""))</f>
        <v>1</v>
      </c>
      <c r="R411" s="265">
        <f>IF(ResultsTeams[[#This Row],[Type]]="G",SUM(R412:R415),IF(LEFT(ResultsTeams[[#This Row],[Type]],1)="P",VALUE(ResultsTeams[[#This Row],[Score-B]]),""))</f>
        <v>22</v>
      </c>
      <c r="S411" s="265">
        <f ca="1">IF(AND(ResultsTeams[[#This Row],[Category]]&lt;&gt;"",ResultsTeams[[#This Row],[Team A]]&lt;&gt;""),COUNTIF(INDIRECT("TeamsList[Club Name]"),ResultsTeams[[#This Row],[Team A]]),"")</f>
        <v>0</v>
      </c>
      <c r="T411" s="265">
        <f ca="1">IF(AND(ResultsTeams[[#This Row],[Category]]&lt;&gt;"",ResultsTeams[[#This Row],[Team B]]&lt;&gt;""),COUNTIF(INDIRECT("TeamsList[Club Name]"),ResultsTeams[[#This Row],[Team B]]),"")</f>
        <v>1</v>
      </c>
      <c r="U4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TEAM-Valletta Lions TFC</v>
      </c>
      <c r="V411" s="265" t="str">
        <f>IF(ResultsTeams[[#This Row],[Score_OK]],IF(ResultsTeams[[#This Row],[StageCpy]]="Groups",ResultsTeams[[#This Row],[Category]]&amp;"-"&amp;IF(ResultsTeams[[#This Row],[Team B]]="","",IF(ResultsTeams[[#This Row],[Match-A]]=ResultsTeams[[#This Row],[Match-B]],ResultsTeams[[#This Row],[Team A]],"")),""),"")</f>
        <v>TEAM-</v>
      </c>
      <c r="W411" s="265" t="str">
        <f>IF(ResultsTeams[[#This Row],[Score_OK]],IF(ResultsTeams[[#This Row],[StageCpy]]="Groups",ResultsTeams[[#This Row],[Category]]&amp;"-"&amp;IF(ResultsTeams[[#This Row],[Team B]]="","",IF(ResultsTeams[[#This Row],[Match-A]]=ResultsTeams[[#This Row],[Match-B]],ResultsTeams[[#This Row],[Team B]],"")),""),"")</f>
        <v>TEAM-</v>
      </c>
      <c r="X4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 2</v>
      </c>
      <c r="Y4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A4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 2</v>
      </c>
      <c r="AB411" s="264" t="str">
        <f>IF(ResultsTeams[[#This Row],[Category]]="","",VLOOKUP(ResultsTeams[[#This Row],[Stage]],$R$1:$T$8,MATCH(ResultsTeams[[#This Row],[Category]],$S$1:$T$1,0)+1,FALSE))</f>
        <v>PR1</v>
      </c>
      <c r="AC4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1" s="264" t="str">
        <f>IF(ResultsTeams[[#This Row],[Type]]="G",ResultsTeams[[#This Row],[Stage]],AD410)</f>
        <v>Groups</v>
      </c>
      <c r="AE411" s="395" t="str">
        <f>IF(ResultsTeams[[#This Row],[Type]]="G",INDEX(TeamsList[Club Name],MATCH(ResultsTeams[[#This Row],[Team A]],TeamsList[Team Name],0)),AE410)</f>
        <v>Wamme SC</v>
      </c>
      <c r="AF411" s="395" t="str">
        <f>IF(ResultsTeams[[#This Row],[Type]]="G",INDEX(TeamsList[Club Name],MATCH(ResultsTeams[[#This Row],[Team B]],TeamsList[Team Name],0)),AF410)</f>
        <v>Valletta Lions TFC</v>
      </c>
      <c r="AG411" s="265"/>
    </row>
    <row r="412" spans="1:33" x14ac:dyDescent="0.2">
      <c r="A412" s="60"/>
      <c r="B412" s="280"/>
      <c r="C412" s="60"/>
      <c r="D412" s="60"/>
      <c r="E412" s="240" t="s">
        <v>12231</v>
      </c>
      <c r="F412" s="244" t="s">
        <v>8179</v>
      </c>
      <c r="G412" s="244" t="s">
        <v>11908</v>
      </c>
      <c r="H412" s="253">
        <v>1</v>
      </c>
      <c r="I412" s="253">
        <v>3</v>
      </c>
      <c r="J412" s="253"/>
      <c r="K412" s="362"/>
      <c r="L412" s="362"/>
      <c r="M412" s="61"/>
      <c r="N412" s="265" t="b">
        <f>NOT(ISERROR(ResultsTeams[[#This Row],[Goal-A]]+ResultsTeams[[#This Row],[Goal-B]]))</f>
        <v>1</v>
      </c>
      <c r="O412" s="265">
        <f>IF(ResultsTeams[[#This Row],[Type]]="G",SUM(O413:O416),IF(LEFT(ResultsTeams[[#This Row],[Type]],1)="P",IF(ResultsTeams[[#This Row],[Goal-A]]&gt;ResultsTeams[[#This Row],[Goal-B]],1,0),""))</f>
        <v>0</v>
      </c>
      <c r="P412" s="265">
        <f>IF(ResultsTeams[[#This Row],[Type]]="G",SUM(P413:P416),IF(LEFT(ResultsTeams[[#This Row],[Type]],1)="P",IF(ResultsTeams[[#This Row],[Goal-A]]&lt;ResultsTeams[[#This Row],[Goal-B]],1,0),""))</f>
        <v>1</v>
      </c>
      <c r="Q412" s="265">
        <f>IF(ResultsTeams[[#This Row],[Type]]="G",SUM(Q413:Q416),IF(LEFT(ResultsTeams[[#This Row],[Type]],1)="P",VALUE(ResultsTeams[[#This Row],[Score-A]]),""))</f>
        <v>1</v>
      </c>
      <c r="R412" s="265">
        <f>IF(ResultsTeams[[#This Row],[Type]]="G",SUM(R413:R416),IF(LEFT(ResultsTeams[[#This Row],[Type]],1)="P",VALUE(ResultsTeams[[#This Row],[Score-B]]),""))</f>
        <v>3</v>
      </c>
      <c r="S412" s="265" t="str">
        <f ca="1">IF(AND(ResultsTeams[[#This Row],[Category]]&lt;&gt;"",ResultsTeams[[#This Row],[Team A]]&lt;&gt;""),COUNTIF(INDIRECT("TeamsList[Club Name]"),ResultsTeams[[#This Row],[Team A]]),"")</f>
        <v/>
      </c>
      <c r="T412" s="265" t="str">
        <f ca="1">IF(AND(ResultsTeams[[#This Row],[Category]]&lt;&gt;"",ResultsTeams[[#This Row],[Team B]]&lt;&gt;""),COUNTIF(INDIRECT("TeamsList[Club Name]"),ResultsTeams[[#This Row],[Team B]]),"")</f>
        <v/>
      </c>
      <c r="U4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-Steve Austin</v>
      </c>
      <c r="V412" s="265" t="str">
        <f>IF(ResultsTeams[[#This Row],[Score_OK]],IF(ResultsTeams[[#This Row],[StageCpy]]="Groups",ResultsTeams[[#This Row],[Category]]&amp;"-"&amp;IF(ResultsTeams[[#This Row],[Team B]]="","",IF(ResultsTeams[[#This Row],[Match-A]]=ResultsTeams[[#This Row],[Match-B]],ResultsTeams[[#This Row],[Team A]],"")),""),"")</f>
        <v>-</v>
      </c>
      <c r="W412" s="265" t="str">
        <f>IF(ResultsTeams[[#This Row],[Score_OK]],IF(ResultsTeams[[#This Row],[StageCpy]]="Groups",ResultsTeams[[#This Row],[Category]]&amp;"-"&amp;IF(ResultsTeams[[#This Row],[Team B]]="","",IF(ResultsTeams[[#This Row],[Match-A]]=ResultsTeams[[#This Row],[Match-B]],ResultsTeams[[#This Row],[Team B]],"")),""),"")</f>
        <v>-</v>
      </c>
      <c r="X4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-Maxim Grosdent</v>
      </c>
      <c r="Y4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2" s="264" t="str">
        <f>IF(ResultsTeams[[#This Row],[Category]]="","",VLOOKUP(ResultsTeams[[#This Row],[Stage]],$R$1:$T$8,MATCH(ResultsTeams[[#This Row],[Category]],$S$1:$T$1,0)+1,FALSE))</f>
        <v/>
      </c>
      <c r="AC4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2" s="264" t="str">
        <f>IF(ResultsTeams[[#This Row],[Type]]="G",ResultsTeams[[#This Row],[Stage]],AD411)</f>
        <v>Groups</v>
      </c>
      <c r="AE412" s="395" t="str">
        <f>IF(ResultsTeams[[#This Row],[Type]]="G",INDEX(TeamsList[Club Name],MATCH(ResultsTeams[[#This Row],[Team A]],TeamsList[Team Name],0)),AE411)</f>
        <v>Wamme SC</v>
      </c>
      <c r="AF412" s="395" t="str">
        <f>IF(ResultsTeams[[#This Row],[Type]]="G",INDEX(TeamsList[Club Name],MATCH(ResultsTeams[[#This Row],[Team B]],TeamsList[Team Name],0)),AF411)</f>
        <v>Valletta Lions TFC</v>
      </c>
      <c r="AG412" s="265"/>
    </row>
    <row r="413" spans="1:33" x14ac:dyDescent="0.2">
      <c r="A413" s="62"/>
      <c r="B413" s="280"/>
      <c r="C413" s="62"/>
      <c r="D413" s="62"/>
      <c r="E413" s="241" t="s">
        <v>12234</v>
      </c>
      <c r="F413" s="246" t="s">
        <v>8191</v>
      </c>
      <c r="G413" s="246" t="s">
        <v>11444</v>
      </c>
      <c r="H413" s="254">
        <v>0</v>
      </c>
      <c r="I413" s="254">
        <v>7</v>
      </c>
      <c r="J413" s="254"/>
      <c r="K413" s="363"/>
      <c r="L413" s="363"/>
      <c r="M413" s="63"/>
      <c r="N413" s="265" t="b">
        <f>NOT(ISERROR(ResultsTeams[[#This Row],[Goal-A]]+ResultsTeams[[#This Row],[Goal-B]]))</f>
        <v>1</v>
      </c>
      <c r="O413" s="265">
        <f>IF(ResultsTeams[[#This Row],[Type]]="G",SUM(O414:O417),IF(LEFT(ResultsTeams[[#This Row],[Type]],1)="P",IF(ResultsTeams[[#This Row],[Goal-A]]&gt;ResultsTeams[[#This Row],[Goal-B]],1,0),""))</f>
        <v>0</v>
      </c>
      <c r="P413" s="265">
        <f>IF(ResultsTeams[[#This Row],[Type]]="G",SUM(P414:P417),IF(LEFT(ResultsTeams[[#This Row],[Type]],1)="P",IF(ResultsTeams[[#This Row],[Goal-A]]&lt;ResultsTeams[[#This Row],[Goal-B]],1,0),""))</f>
        <v>1</v>
      </c>
      <c r="Q413" s="265">
        <f>IF(ResultsTeams[[#This Row],[Type]]="G",SUM(Q414:Q417),IF(LEFT(ResultsTeams[[#This Row],[Type]],1)="P",VALUE(ResultsTeams[[#This Row],[Score-A]]),""))</f>
        <v>0</v>
      </c>
      <c r="R413" s="265">
        <f>IF(ResultsTeams[[#This Row],[Type]]="G",SUM(R414:R417),IF(LEFT(ResultsTeams[[#This Row],[Type]],1)="P",VALUE(ResultsTeams[[#This Row],[Score-B]]),""))</f>
        <v>7</v>
      </c>
      <c r="S413" s="265" t="str">
        <f ca="1">IF(AND(ResultsTeams[[#This Row],[Category]]&lt;&gt;"",ResultsTeams[[#This Row],[Team A]]&lt;&gt;""),COUNTIF(INDIRECT("TeamsList[Club Name]"),ResultsTeams[[#This Row],[Team A]]),"")</f>
        <v/>
      </c>
      <c r="T413" s="265" t="str">
        <f ca="1">IF(AND(ResultsTeams[[#This Row],[Category]]&lt;&gt;"",ResultsTeams[[#This Row],[Team B]]&lt;&gt;""),COUNTIF(INDIRECT("TeamsList[Club Name]"),ResultsTeams[[#This Row],[Team B]]),"")</f>
        <v/>
      </c>
      <c r="U4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-Henk Landzaat</v>
      </c>
      <c r="V413" s="265" t="str">
        <f>IF(ResultsTeams[[#This Row],[Score_OK]],IF(ResultsTeams[[#This Row],[StageCpy]]="Groups",ResultsTeams[[#This Row],[Category]]&amp;"-"&amp;IF(ResultsTeams[[#This Row],[Team B]]="","",IF(ResultsTeams[[#This Row],[Match-A]]=ResultsTeams[[#This Row],[Match-B]],ResultsTeams[[#This Row],[Team A]],"")),""),"")</f>
        <v>-</v>
      </c>
      <c r="W413" s="265" t="str">
        <f>IF(ResultsTeams[[#This Row],[Score_OK]],IF(ResultsTeams[[#This Row],[StageCpy]]="Groups",ResultsTeams[[#This Row],[Category]]&amp;"-"&amp;IF(ResultsTeams[[#This Row],[Team B]]="","",IF(ResultsTeams[[#This Row],[Match-A]]=ResultsTeams[[#This Row],[Match-B]],ResultsTeams[[#This Row],[Team B]],"")),""),"")</f>
        <v>-</v>
      </c>
      <c r="X4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4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3" s="264" t="str">
        <f>IF(ResultsTeams[[#This Row],[Category]]="","",VLOOKUP(ResultsTeams[[#This Row],[Stage]],$R$1:$T$8,MATCH(ResultsTeams[[#This Row],[Category]],$S$1:$T$1,0)+1,FALSE))</f>
        <v/>
      </c>
      <c r="AC4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3" s="264" t="str">
        <f>IF(ResultsTeams[[#This Row],[Type]]="G",ResultsTeams[[#This Row],[Stage]],AD412)</f>
        <v>Groups</v>
      </c>
      <c r="AE413" s="395" t="str">
        <f>IF(ResultsTeams[[#This Row],[Type]]="G",INDEX(TeamsList[Club Name],MATCH(ResultsTeams[[#This Row],[Team A]],TeamsList[Team Name],0)),AE412)</f>
        <v>Wamme SC</v>
      </c>
      <c r="AF413" s="395" t="str">
        <f>IF(ResultsTeams[[#This Row],[Type]]="G",INDEX(TeamsList[Club Name],MATCH(ResultsTeams[[#This Row],[Team B]],TeamsList[Team Name],0)),AF412)</f>
        <v>Valletta Lions TFC</v>
      </c>
      <c r="AG413" s="265"/>
    </row>
    <row r="414" spans="1:33" x14ac:dyDescent="0.2">
      <c r="A414" s="62"/>
      <c r="B414" s="280"/>
      <c r="C414" s="62"/>
      <c r="D414" s="62"/>
      <c r="E414" s="241" t="s">
        <v>12237</v>
      </c>
      <c r="F414" s="246" t="s">
        <v>14481</v>
      </c>
      <c r="G414" s="246" t="s">
        <v>10448</v>
      </c>
      <c r="H414" s="254">
        <v>0</v>
      </c>
      <c r="I414" s="254">
        <v>4</v>
      </c>
      <c r="J414" s="254"/>
      <c r="K414" s="363"/>
      <c r="L414" s="363"/>
      <c r="M414" s="63"/>
      <c r="N414" s="265" t="b">
        <f>NOT(ISERROR(ResultsTeams[[#This Row],[Goal-A]]+ResultsTeams[[#This Row],[Goal-B]]))</f>
        <v>1</v>
      </c>
      <c r="O414" s="265">
        <f>IF(ResultsTeams[[#This Row],[Type]]="G",SUM(O415:O418),IF(LEFT(ResultsTeams[[#This Row],[Type]],1)="P",IF(ResultsTeams[[#This Row],[Goal-A]]&gt;ResultsTeams[[#This Row],[Goal-B]],1,0),""))</f>
        <v>0</v>
      </c>
      <c r="P414" s="265">
        <f>IF(ResultsTeams[[#This Row],[Type]]="G",SUM(P415:P418),IF(LEFT(ResultsTeams[[#This Row],[Type]],1)="P",IF(ResultsTeams[[#This Row],[Goal-A]]&lt;ResultsTeams[[#This Row],[Goal-B]],1,0),""))</f>
        <v>1</v>
      </c>
      <c r="Q414" s="265">
        <f>IF(ResultsTeams[[#This Row],[Type]]="G",SUM(Q415:Q418),IF(LEFT(ResultsTeams[[#This Row],[Type]],1)="P",VALUE(ResultsTeams[[#This Row],[Score-A]]),""))</f>
        <v>0</v>
      </c>
      <c r="R414" s="265">
        <f>IF(ResultsTeams[[#This Row],[Type]]="G",SUM(R415:R418),IF(LEFT(ResultsTeams[[#This Row],[Type]],1)="P",VALUE(ResultsTeams[[#This Row],[Score-B]]),""))</f>
        <v>4</v>
      </c>
      <c r="S414" s="265" t="str">
        <f ca="1">IF(AND(ResultsTeams[[#This Row],[Category]]&lt;&gt;"",ResultsTeams[[#This Row],[Team A]]&lt;&gt;""),COUNTIF(INDIRECT("TeamsList[Club Name]"),ResultsTeams[[#This Row],[Team A]]),"")</f>
        <v/>
      </c>
      <c r="T414" s="265" t="str">
        <f ca="1">IF(AND(ResultsTeams[[#This Row],[Category]]&lt;&gt;"",ResultsTeams[[#This Row],[Team B]]&lt;&gt;""),COUNTIF(INDIRECT("TeamsList[Club Name]"),ResultsTeams[[#This Row],[Team B]]),"")</f>
        <v/>
      </c>
      <c r="U4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-Spencer Conti</v>
      </c>
      <c r="V414" s="265" t="str">
        <f>IF(ResultsTeams[[#This Row],[Score_OK]],IF(ResultsTeams[[#This Row],[StageCpy]]="Groups",ResultsTeams[[#This Row],[Category]]&amp;"-"&amp;IF(ResultsTeams[[#This Row],[Team B]]="","",IF(ResultsTeams[[#This Row],[Match-A]]=ResultsTeams[[#This Row],[Match-B]],ResultsTeams[[#This Row],[Team A]],"")),""),"")</f>
        <v>-</v>
      </c>
      <c r="W414" s="265" t="str">
        <f>IF(ResultsTeams[[#This Row],[Score_OK]],IF(ResultsTeams[[#This Row],[StageCpy]]="Groups",ResultsTeams[[#This Row],[Category]]&amp;"-"&amp;IF(ResultsTeams[[#This Row],[Team B]]="","",IF(ResultsTeams[[#This Row],[Match-A]]=ResultsTeams[[#This Row],[Match-B]],ResultsTeams[[#This Row],[Team B]],"")),""),"")</f>
        <v>-</v>
      </c>
      <c r="X4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-Vincent Dirick</v>
      </c>
      <c r="Y4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4" s="264" t="str">
        <f>IF(ResultsTeams[[#This Row],[Category]]="","",VLOOKUP(ResultsTeams[[#This Row],[Stage]],$R$1:$T$8,MATCH(ResultsTeams[[#This Row],[Category]],$S$1:$T$1,0)+1,FALSE))</f>
        <v/>
      </c>
      <c r="AC4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4" s="264" t="str">
        <f>IF(ResultsTeams[[#This Row],[Type]]="G",ResultsTeams[[#This Row],[Stage]],AD413)</f>
        <v>Groups</v>
      </c>
      <c r="AE414" s="395" t="str">
        <f>IF(ResultsTeams[[#This Row],[Type]]="G",INDEX(TeamsList[Club Name],MATCH(ResultsTeams[[#This Row],[Team A]],TeamsList[Team Name],0)),AE413)</f>
        <v>Wamme SC</v>
      </c>
      <c r="AF414" s="395" t="str">
        <f>IF(ResultsTeams[[#This Row],[Type]]="G",INDEX(TeamsList[Club Name],MATCH(ResultsTeams[[#This Row],[Team B]],TeamsList[Team Name],0)),AF413)</f>
        <v>Valletta Lions TFC</v>
      </c>
      <c r="AG414" s="265"/>
    </row>
    <row r="415" spans="1:33" x14ac:dyDescent="0.2">
      <c r="A415" s="62"/>
      <c r="B415" s="280"/>
      <c r="C415" s="62"/>
      <c r="D415" s="62"/>
      <c r="E415" s="241" t="s">
        <v>12240</v>
      </c>
      <c r="F415" s="246" t="s">
        <v>8195</v>
      </c>
      <c r="G415" s="246" t="s">
        <v>10441</v>
      </c>
      <c r="H415" s="254">
        <v>0</v>
      </c>
      <c r="I415" s="254">
        <v>8</v>
      </c>
      <c r="J415" s="254"/>
      <c r="K415" s="363"/>
      <c r="L415" s="363"/>
      <c r="M415" s="63"/>
      <c r="N415" s="265" t="b">
        <f>NOT(ISERROR(ResultsTeams[[#This Row],[Goal-A]]+ResultsTeams[[#This Row],[Goal-B]]))</f>
        <v>1</v>
      </c>
      <c r="O415" s="265">
        <f>IF(ResultsTeams[[#This Row],[Type]]="G",SUM(O416:O419),IF(LEFT(ResultsTeams[[#This Row],[Type]],1)="P",IF(ResultsTeams[[#This Row],[Goal-A]]&gt;ResultsTeams[[#This Row],[Goal-B]],1,0),""))</f>
        <v>0</v>
      </c>
      <c r="P415" s="265">
        <f>IF(ResultsTeams[[#This Row],[Type]]="G",SUM(P416:P419),IF(LEFT(ResultsTeams[[#This Row],[Type]],1)="P",IF(ResultsTeams[[#This Row],[Goal-A]]&lt;ResultsTeams[[#This Row],[Goal-B]],1,0),""))</f>
        <v>1</v>
      </c>
      <c r="Q415" s="265">
        <f>IF(ResultsTeams[[#This Row],[Type]]="G",SUM(Q416:Q419),IF(LEFT(ResultsTeams[[#This Row],[Type]],1)="P",VALUE(ResultsTeams[[#This Row],[Score-A]]),""))</f>
        <v>0</v>
      </c>
      <c r="R415" s="265">
        <f>IF(ResultsTeams[[#This Row],[Type]]="G",SUM(R416:R419),IF(LEFT(ResultsTeams[[#This Row],[Type]],1)="P",VALUE(ResultsTeams[[#This Row],[Score-B]]),""))</f>
        <v>8</v>
      </c>
      <c r="S415" s="265" t="str">
        <f ca="1">IF(AND(ResultsTeams[[#This Row],[Category]]&lt;&gt;"",ResultsTeams[[#This Row],[Team A]]&lt;&gt;""),COUNTIF(INDIRECT("TeamsList[Club Name]"),ResultsTeams[[#This Row],[Team A]]),"")</f>
        <v/>
      </c>
      <c r="T415" s="265" t="str">
        <f ca="1">IF(AND(ResultsTeams[[#This Row],[Category]]&lt;&gt;"",ResultsTeams[[#This Row],[Team B]]&lt;&gt;""),COUNTIF(INDIRECT("TeamsList[Club Name]"),ResultsTeams[[#This Row],[Team B]]),"")</f>
        <v/>
      </c>
      <c r="U4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-Frank Chetcuti Dimech</v>
      </c>
      <c r="V415" s="265" t="str">
        <f>IF(ResultsTeams[[#This Row],[Score_OK]],IF(ResultsTeams[[#This Row],[StageCpy]]="Groups",ResultsTeams[[#This Row],[Category]]&amp;"-"&amp;IF(ResultsTeams[[#This Row],[Team B]]="","",IF(ResultsTeams[[#This Row],[Match-A]]=ResultsTeams[[#This Row],[Match-B]],ResultsTeams[[#This Row],[Team A]],"")),""),"")</f>
        <v>-</v>
      </c>
      <c r="W415" s="265" t="str">
        <f>IF(ResultsTeams[[#This Row],[Score_OK]],IF(ResultsTeams[[#This Row],[StageCpy]]="Groups",ResultsTeams[[#This Row],[Category]]&amp;"-"&amp;IF(ResultsTeams[[#This Row],[Team B]]="","",IF(ResultsTeams[[#This Row],[Match-A]]=ResultsTeams[[#This Row],[Match-B]],ResultsTeams[[#This Row],[Team B]],"")),""),"")</f>
        <v>-</v>
      </c>
      <c r="X4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Boulanger</v>
      </c>
      <c r="Y4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5" s="264" t="str">
        <f>IF(ResultsTeams[[#This Row],[Category]]="","",VLOOKUP(ResultsTeams[[#This Row],[Stage]],$R$1:$T$8,MATCH(ResultsTeams[[#This Row],[Category]],$S$1:$T$1,0)+1,FALSE))</f>
        <v/>
      </c>
      <c r="AC4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5" s="264" t="str">
        <f>IF(ResultsTeams[[#This Row],[Type]]="G",ResultsTeams[[#This Row],[Stage]],AD414)</f>
        <v>Groups</v>
      </c>
      <c r="AE415" s="395" t="str">
        <f>IF(ResultsTeams[[#This Row],[Type]]="G",INDEX(TeamsList[Club Name],MATCH(ResultsTeams[[#This Row],[Team A]],TeamsList[Team Name],0)),AE414)</f>
        <v>Wamme SC</v>
      </c>
      <c r="AF415" s="395" t="str">
        <f>IF(ResultsTeams[[#This Row],[Type]]="G",INDEX(TeamsList[Club Name],MATCH(ResultsTeams[[#This Row],[Team B]],TeamsList[Team Name],0)),AF414)</f>
        <v>Valletta Lions TFC</v>
      </c>
      <c r="AG415" s="265"/>
    </row>
    <row r="416" spans="1:33" x14ac:dyDescent="0.2">
      <c r="A416" s="62"/>
      <c r="B416" s="62"/>
      <c r="C416" s="62"/>
      <c r="D416" s="62"/>
      <c r="E416" s="241" t="s">
        <v>12243</v>
      </c>
      <c r="F416" s="247"/>
      <c r="G416" s="247"/>
      <c r="H416" s="254"/>
      <c r="I416" s="254"/>
      <c r="J416" s="260"/>
      <c r="K416" s="364"/>
      <c r="L416" s="364"/>
      <c r="M416" s="63"/>
      <c r="N416" s="265" t="b">
        <f>NOT(ISERROR(ResultsTeams[[#This Row],[Goal-A]]+ResultsTeams[[#This Row],[Goal-B]]))</f>
        <v>0</v>
      </c>
      <c r="O416" s="265" t="str">
        <f>IF(ResultsTeams[[#This Row],[Type]]="G",SUM(O417:O420),IF(LEFT(ResultsTeams[[#This Row],[Type]],1)="P",IF(ResultsTeams[[#This Row],[Goal-A]]&gt;ResultsTeams[[#This Row],[Goal-B]],1,0),""))</f>
        <v/>
      </c>
      <c r="P416" s="265" t="str">
        <f>IF(ResultsTeams[[#This Row],[Type]]="G",SUM(P417:P420),IF(LEFT(ResultsTeams[[#This Row],[Type]],1)="P",IF(ResultsTeams[[#This Row],[Goal-A]]&lt;ResultsTeams[[#This Row],[Goal-B]],1,0),""))</f>
        <v/>
      </c>
      <c r="Q416" s="265" t="str">
        <f>IF(ResultsTeams[[#This Row],[Type]]="G",SUM(Q417:Q420),IF(LEFT(ResultsTeams[[#This Row],[Type]],1)="P",VALUE(ResultsTeams[[#This Row],[Score-A]]),""))</f>
        <v/>
      </c>
      <c r="R416" s="265" t="str">
        <f>IF(ResultsTeams[[#This Row],[Type]]="G",SUM(R417:R420),IF(LEFT(ResultsTeams[[#This Row],[Type]],1)="P",VALUE(ResultsTeams[[#This Row],[Score-B]]),""))</f>
        <v/>
      </c>
      <c r="S416" s="265" t="str">
        <f ca="1">IF(AND(ResultsTeams[[#This Row],[Category]]&lt;&gt;"",ResultsTeams[[#This Row],[Team A]]&lt;&gt;""),COUNTIF(INDIRECT("TeamsList[Club Name]"),ResultsTeams[[#This Row],[Team A]]),"")</f>
        <v/>
      </c>
      <c r="T416" s="265" t="str">
        <f ca="1">IF(AND(ResultsTeams[[#This Row],[Category]]&lt;&gt;"",ResultsTeams[[#This Row],[Team B]]&lt;&gt;""),COUNTIF(INDIRECT("TeamsList[Club Name]"),ResultsTeams[[#This Row],[Team B]]),"")</f>
        <v/>
      </c>
      <c r="U4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6" s="265" t="str">
        <f>IF(ResultsTeams[[#This Row],[Score_OK]],IF(ResultsTeams[[#This Row],[StageCpy]]="Groups",ResultsTeams[[#This Row],[Category]]&amp;"-"&amp;IF(ResultsTeams[[#This Row],[Team B]]="","",IF(ResultsTeams[[#This Row],[Match-A]]=ResultsTeams[[#This Row],[Match-B]],ResultsTeams[[#This Row],[Team A]],"")),""),"")</f>
        <v/>
      </c>
      <c r="W416" s="265" t="str">
        <f>IF(ResultsTeams[[#This Row],[Score_OK]],IF(ResultsTeams[[#This Row],[StageCpy]]="Groups",ResultsTeams[[#This Row],[Category]]&amp;"-"&amp;IF(ResultsTeams[[#This Row],[Team B]]="","",IF(ResultsTeams[[#This Row],[Match-A]]=ResultsTeams[[#This Row],[Match-B]],ResultsTeams[[#This Row],[Team B]],"")),""),"")</f>
        <v/>
      </c>
      <c r="X4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6" s="264" t="str">
        <f>IF(ResultsTeams[[#This Row],[Category]]="","",VLOOKUP(ResultsTeams[[#This Row],[Stage]],$R$1:$T$8,MATCH(ResultsTeams[[#This Row],[Category]],$S$1:$T$1,0)+1,FALSE))</f>
        <v/>
      </c>
      <c r="AC4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6" s="264" t="str">
        <f>IF(ResultsTeams[[#This Row],[Type]]="G",ResultsTeams[[#This Row],[Stage]],AD415)</f>
        <v>Groups</v>
      </c>
      <c r="AE416" s="395" t="str">
        <f>IF(ResultsTeams[[#This Row],[Type]]="G",INDEX(TeamsList[Club Name],MATCH(ResultsTeams[[#This Row],[Team A]],TeamsList[Team Name],0)),AE415)</f>
        <v>Wamme SC</v>
      </c>
      <c r="AF416" s="395" t="str">
        <f>IF(ResultsTeams[[#This Row],[Type]]="G",INDEX(TeamsList[Club Name],MATCH(ResultsTeams[[#This Row],[Team B]],TeamsList[Team Name],0)),AF415)</f>
        <v>Valletta Lions TFC</v>
      </c>
      <c r="AG416" s="265"/>
    </row>
    <row r="417" spans="1:33" ht="12" thickBot="1" x14ac:dyDescent="0.25">
      <c r="A417" s="83"/>
      <c r="B417" s="83"/>
      <c r="C417" s="83"/>
      <c r="D417" s="83"/>
      <c r="E417" s="268" t="s">
        <v>12244</v>
      </c>
      <c r="F417" s="262"/>
      <c r="G417" s="262"/>
      <c r="H417" s="324"/>
      <c r="I417" s="324"/>
      <c r="J417" s="263"/>
      <c r="K417" s="365"/>
      <c r="L417" s="365"/>
      <c r="M417" s="84"/>
      <c r="N417" s="265" t="b">
        <f>NOT(ISERROR(ResultsTeams[[#This Row],[Goal-A]]+ResultsTeams[[#This Row],[Goal-B]]))</f>
        <v>0</v>
      </c>
      <c r="O417" s="265" t="str">
        <f>IF(ResultsTeams[[#This Row],[Type]]="G",SUM(O418:O421),IF(LEFT(ResultsTeams[[#This Row],[Type]],1)="P",IF(ResultsTeams[[#This Row],[Goal-A]]&gt;ResultsTeams[[#This Row],[Goal-B]],1,0),""))</f>
        <v/>
      </c>
      <c r="P417" s="265" t="str">
        <f>IF(ResultsTeams[[#This Row],[Type]]="G",SUM(P418:P421),IF(LEFT(ResultsTeams[[#This Row],[Type]],1)="P",IF(ResultsTeams[[#This Row],[Goal-A]]&lt;ResultsTeams[[#This Row],[Goal-B]],1,0),""))</f>
        <v/>
      </c>
      <c r="Q417" s="265" t="str">
        <f>IF(ResultsTeams[[#This Row],[Type]]="G",SUM(Q418:Q421),IF(LEFT(ResultsTeams[[#This Row],[Type]],1)="P",VALUE(ResultsTeams[[#This Row],[Score-A]]),""))</f>
        <v/>
      </c>
      <c r="R417" s="265" t="str">
        <f>IF(ResultsTeams[[#This Row],[Type]]="G",SUM(R418:R421),IF(LEFT(ResultsTeams[[#This Row],[Type]],1)="P",VALUE(ResultsTeams[[#This Row],[Score-B]]),""))</f>
        <v/>
      </c>
      <c r="S417" s="265" t="str">
        <f ca="1">IF(AND(ResultsTeams[[#This Row],[Category]]&lt;&gt;"",ResultsTeams[[#This Row],[Team A]]&lt;&gt;""),COUNTIF(INDIRECT("TeamsList[Club Name]"),ResultsTeams[[#This Row],[Team A]]),"")</f>
        <v/>
      </c>
      <c r="T417" s="265" t="str">
        <f ca="1">IF(AND(ResultsTeams[[#This Row],[Category]]&lt;&gt;"",ResultsTeams[[#This Row],[Team B]]&lt;&gt;""),COUNTIF(INDIRECT("TeamsList[Club Name]"),ResultsTeams[[#This Row],[Team B]]),"")</f>
        <v/>
      </c>
      <c r="U4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7" s="265" t="str">
        <f>IF(ResultsTeams[[#This Row],[Score_OK]],IF(ResultsTeams[[#This Row],[StageCpy]]="Groups",ResultsTeams[[#This Row],[Category]]&amp;"-"&amp;IF(ResultsTeams[[#This Row],[Team B]]="","",IF(ResultsTeams[[#This Row],[Match-A]]=ResultsTeams[[#This Row],[Match-B]],ResultsTeams[[#This Row],[Team A]],"")),""),"")</f>
        <v/>
      </c>
      <c r="W417" s="265" t="str">
        <f>IF(ResultsTeams[[#This Row],[Score_OK]],IF(ResultsTeams[[#This Row],[StageCpy]]="Groups",ResultsTeams[[#This Row],[Category]]&amp;"-"&amp;IF(ResultsTeams[[#This Row],[Team B]]="","",IF(ResultsTeams[[#This Row],[Match-A]]=ResultsTeams[[#This Row],[Match-B]],ResultsTeams[[#This Row],[Team B]],"")),""),"")</f>
        <v/>
      </c>
      <c r="X4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7" s="264" t="str">
        <f>IF(ResultsTeams[[#This Row],[Category]]="","",VLOOKUP(ResultsTeams[[#This Row],[Stage]],$R$1:$T$8,MATCH(ResultsTeams[[#This Row],[Category]],$S$1:$T$1,0)+1,FALSE))</f>
        <v/>
      </c>
      <c r="AC4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7" s="264" t="str">
        <f>IF(ResultsTeams[[#This Row],[Type]]="G",ResultsTeams[[#This Row],[Stage]],AD416)</f>
        <v>Groups</v>
      </c>
      <c r="AE417" s="395" t="str">
        <f>IF(ResultsTeams[[#This Row],[Type]]="G",INDEX(TeamsList[Club Name],MATCH(ResultsTeams[[#This Row],[Team A]],TeamsList[Team Name],0)),AE416)</f>
        <v>Wamme SC</v>
      </c>
      <c r="AF417" s="395" t="str">
        <f>IF(ResultsTeams[[#This Row],[Type]]="G",INDEX(TeamsList[Club Name],MATCH(ResultsTeams[[#This Row],[Team B]],TeamsList[Team Name],0)),AF416)</f>
        <v>Valletta Lions TFC</v>
      </c>
      <c r="AG417" s="265"/>
    </row>
    <row r="418" spans="1:33" ht="12" thickBot="1" x14ac:dyDescent="0.25">
      <c r="A418" s="261" t="s">
        <v>12693</v>
      </c>
      <c r="B418" s="270" t="s">
        <v>12207</v>
      </c>
      <c r="C418" s="270">
        <v>9</v>
      </c>
      <c r="D418" s="270"/>
      <c r="E418" s="272" t="s">
        <v>12228</v>
      </c>
      <c r="F418" s="273" t="s">
        <v>796</v>
      </c>
      <c r="G418" s="273" t="s">
        <v>328</v>
      </c>
      <c r="H418" s="275">
        <v>0</v>
      </c>
      <c r="I418" s="275">
        <v>3</v>
      </c>
      <c r="J418" s="275"/>
      <c r="K418" s="366"/>
      <c r="L418" s="366"/>
      <c r="M418" s="274"/>
      <c r="N418" s="265" t="b">
        <f>NOT(ISERROR(ResultsTeams[[#This Row],[Goal-A]]+ResultsTeams[[#This Row],[Goal-B]]))</f>
        <v>1</v>
      </c>
      <c r="O418" s="265">
        <f>IF(ResultsTeams[[#This Row],[Type]]="G",SUM(O419:O422),IF(LEFT(ResultsTeams[[#This Row],[Type]],1)="P",IF(ResultsTeams[[#This Row],[Goal-A]]&gt;ResultsTeams[[#This Row],[Goal-B]],1,0),""))</f>
        <v>0</v>
      </c>
      <c r="P418" s="265">
        <f>IF(ResultsTeams[[#This Row],[Type]]="G",SUM(P419:P422),IF(LEFT(ResultsTeams[[#This Row],[Type]],1)="P",IF(ResultsTeams[[#This Row],[Goal-A]]&lt;ResultsTeams[[#This Row],[Goal-B]],1,0),""))</f>
        <v>3</v>
      </c>
      <c r="Q418" s="265">
        <f>IF(ResultsTeams[[#This Row],[Type]]="G",SUM(Q419:Q422),IF(LEFT(ResultsTeams[[#This Row],[Type]],1)="P",VALUE(ResultsTeams[[#This Row],[Score-A]]),""))</f>
        <v>5</v>
      </c>
      <c r="R418" s="265">
        <f>IF(ResultsTeams[[#This Row],[Type]]="G",SUM(R419:R422),IF(LEFT(ResultsTeams[[#This Row],[Type]],1)="P",VALUE(ResultsTeams[[#This Row],[Score-B]]),""))</f>
        <v>10</v>
      </c>
      <c r="S418" s="265">
        <f ca="1">IF(AND(ResultsTeams[[#This Row],[Category]]&lt;&gt;"",ResultsTeams[[#This Row],[Team A]]&lt;&gt;""),COUNTIF(INDIRECT("TeamsList[Club Name]"),ResultsTeams[[#This Row],[Team A]]),"")</f>
        <v>1</v>
      </c>
      <c r="T418" s="265">
        <f ca="1">IF(AND(ResultsTeams[[#This Row],[Category]]&lt;&gt;"",ResultsTeams[[#This Row],[Team B]]&lt;&gt;""),COUNTIF(INDIRECT("TeamsList[Club Name]"),ResultsTeams[[#This Row],[Team B]]),"")</f>
        <v>4</v>
      </c>
      <c r="U4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418" s="265" t="str">
        <f>IF(ResultsTeams[[#This Row],[Score_OK]],IF(ResultsTeams[[#This Row],[StageCpy]]="Groups",ResultsTeams[[#This Row],[Category]]&amp;"-"&amp;IF(ResultsTeams[[#This Row],[Team B]]="","",IF(ResultsTeams[[#This Row],[Match-A]]=ResultsTeams[[#This Row],[Match-B]],ResultsTeams[[#This Row],[Team A]],"")),""),"")</f>
        <v>TEAM-</v>
      </c>
      <c r="W418" s="265" t="str">
        <f>IF(ResultsTeams[[#This Row],[Score_OK]],IF(ResultsTeams[[#This Row],[StageCpy]]="Groups",ResultsTeams[[#This Row],[Category]]&amp;"-"&amp;IF(ResultsTeams[[#This Row],[Team B]]="","",IF(ResultsTeams[[#This Row],[Match-A]]=ResultsTeams[[#This Row],[Match-B]],ResultsTeams[[#This Row],[Team B]],"")),""),"")</f>
        <v>TEAM-</v>
      </c>
      <c r="X4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TEAM-Valletta Lions TFC</v>
      </c>
      <c r="Y4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TEAM-Valletta Lions TFC</v>
      </c>
      <c r="AA4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TEAM-Valletta Lions TFC</v>
      </c>
      <c r="AB418" s="264" t="str">
        <f>IF(ResultsTeams[[#This Row],[Category]]="","",VLOOKUP(ResultsTeams[[#This Row],[Stage]],$R$1:$T$8,MATCH(ResultsTeams[[#This Row],[Category]],$S$1:$T$1,0)+1,FALSE))</f>
        <v>PR1</v>
      </c>
      <c r="AC4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8" s="264" t="str">
        <f>IF(ResultsTeams[[#This Row],[Type]]="G",ResultsTeams[[#This Row],[Stage]],AD417)</f>
        <v>Groups</v>
      </c>
      <c r="AE418" s="395" t="str">
        <f>IF(ResultsTeams[[#This Row],[Type]]="G",INDEX(TeamsList[Club Name],MATCH(ResultsTeams[[#This Row],[Team A]],TeamsList[Team Name],0)),AE417)</f>
        <v>Valletta Lions TFC</v>
      </c>
      <c r="AF418" s="395" t="str">
        <f>IF(ResultsTeams[[#This Row],[Type]]="G",INDEX(TeamsList[Club Name],MATCH(ResultsTeams[[#This Row],[Team B]],TeamsList[Team Name],0)),AF417)</f>
        <v>Avenir Subbuteo Hennuyer</v>
      </c>
      <c r="AG418" s="265"/>
    </row>
    <row r="419" spans="1:33" x14ac:dyDescent="0.2">
      <c r="A419" s="60"/>
      <c r="B419" s="280"/>
      <c r="C419" s="60"/>
      <c r="D419" s="60"/>
      <c r="E419" s="240" t="s">
        <v>12231</v>
      </c>
      <c r="F419" s="244" t="s">
        <v>10448</v>
      </c>
      <c r="G419" s="244" t="s">
        <v>8115</v>
      </c>
      <c r="H419" s="253">
        <v>1</v>
      </c>
      <c r="I419" s="253">
        <v>2</v>
      </c>
      <c r="J419" s="253"/>
      <c r="K419" s="362"/>
      <c r="L419" s="362"/>
      <c r="M419" s="245"/>
      <c r="N419" s="265" t="b">
        <f>NOT(ISERROR(ResultsTeams[[#This Row],[Goal-A]]+ResultsTeams[[#This Row],[Goal-B]]))</f>
        <v>1</v>
      </c>
      <c r="O419" s="265">
        <f>IF(ResultsTeams[[#This Row],[Type]]="G",SUM(O420:O423),IF(LEFT(ResultsTeams[[#This Row],[Type]],1)="P",IF(ResultsTeams[[#This Row],[Goal-A]]&gt;ResultsTeams[[#This Row],[Goal-B]],1,0),""))</f>
        <v>0</v>
      </c>
      <c r="P419" s="265">
        <f>IF(ResultsTeams[[#This Row],[Type]]="G",SUM(P420:P423),IF(LEFT(ResultsTeams[[#This Row],[Type]],1)="P",IF(ResultsTeams[[#This Row],[Goal-A]]&lt;ResultsTeams[[#This Row],[Goal-B]],1,0),""))</f>
        <v>1</v>
      </c>
      <c r="Q419" s="265">
        <f>IF(ResultsTeams[[#This Row],[Type]]="G",SUM(Q420:Q423),IF(LEFT(ResultsTeams[[#This Row],[Type]],1)="P",VALUE(ResultsTeams[[#This Row],[Score-A]]),""))</f>
        <v>1</v>
      </c>
      <c r="R419" s="265">
        <f>IF(ResultsTeams[[#This Row],[Type]]="G",SUM(R420:R423),IF(LEFT(ResultsTeams[[#This Row],[Type]],1)="P",VALUE(ResultsTeams[[#This Row],[Score-B]]),""))</f>
        <v>2</v>
      </c>
      <c r="S419" s="265" t="str">
        <f ca="1">IF(AND(ResultsTeams[[#This Row],[Category]]&lt;&gt;"",ResultsTeams[[#This Row],[Team A]]&lt;&gt;""),COUNTIF(INDIRECT("TeamsList[Club Name]"),ResultsTeams[[#This Row],[Team A]]),"")</f>
        <v/>
      </c>
      <c r="T419" s="265" t="str">
        <f ca="1">IF(AND(ResultsTeams[[#This Row],[Category]]&lt;&gt;"",ResultsTeams[[#This Row],[Team B]]&lt;&gt;""),COUNTIF(INDIRECT("TeamsList[Club Name]"),ResultsTeams[[#This Row],[Team B]]),"")</f>
        <v/>
      </c>
      <c r="U4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-Geoffrey Marain</v>
      </c>
      <c r="V419" s="265" t="str">
        <f>IF(ResultsTeams[[#This Row],[Score_OK]],IF(ResultsTeams[[#This Row],[StageCpy]]="Groups",ResultsTeams[[#This Row],[Category]]&amp;"-"&amp;IF(ResultsTeams[[#This Row],[Team B]]="","",IF(ResultsTeams[[#This Row],[Match-A]]=ResultsTeams[[#This Row],[Match-B]],ResultsTeams[[#This Row],[Team A]],"")),""),"")</f>
        <v>-</v>
      </c>
      <c r="W419" s="265" t="str">
        <f>IF(ResultsTeams[[#This Row],[Score_OK]],IF(ResultsTeams[[#This Row],[StageCpy]]="Groups",ResultsTeams[[#This Row],[Category]]&amp;"-"&amp;IF(ResultsTeams[[#This Row],[Team B]]="","",IF(ResultsTeams[[#This Row],[Match-A]]=ResultsTeams[[#This Row],[Match-B]],ResultsTeams[[#This Row],[Team B]],"")),""),"")</f>
        <v>-</v>
      </c>
      <c r="X4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-Spencer Conti</v>
      </c>
      <c r="Y4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9" s="264" t="str">
        <f>IF(ResultsTeams[[#This Row],[Category]]="","",VLOOKUP(ResultsTeams[[#This Row],[Stage]],$R$1:$T$8,MATCH(ResultsTeams[[#This Row],[Category]],$S$1:$T$1,0)+1,FALSE))</f>
        <v/>
      </c>
      <c r="AC4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9" s="264" t="str">
        <f>IF(ResultsTeams[[#This Row],[Type]]="G",ResultsTeams[[#This Row],[Stage]],AD418)</f>
        <v>Groups</v>
      </c>
      <c r="AE419" s="395" t="str">
        <f>IF(ResultsTeams[[#This Row],[Type]]="G",INDEX(TeamsList[Club Name],MATCH(ResultsTeams[[#This Row],[Team A]],TeamsList[Team Name],0)),AE418)</f>
        <v>Valletta Lions TFC</v>
      </c>
      <c r="AF419" s="395" t="str">
        <f>IF(ResultsTeams[[#This Row],[Type]]="G",INDEX(TeamsList[Club Name],MATCH(ResultsTeams[[#This Row],[Team B]],TeamsList[Team Name],0)),AF418)</f>
        <v>Avenir Subbuteo Hennuyer</v>
      </c>
      <c r="AG419" s="265"/>
    </row>
    <row r="420" spans="1:33" x14ac:dyDescent="0.2">
      <c r="A420" s="62"/>
      <c r="B420" s="280"/>
      <c r="C420" s="62"/>
      <c r="D420" s="62"/>
      <c r="E420" s="241" t="s">
        <v>12234</v>
      </c>
      <c r="F420" s="246" t="s">
        <v>11908</v>
      </c>
      <c r="G420" s="246" t="s">
        <v>8088</v>
      </c>
      <c r="H420" s="254">
        <v>0</v>
      </c>
      <c r="I420" s="254">
        <v>2</v>
      </c>
      <c r="J420" s="254"/>
      <c r="K420" s="363"/>
      <c r="L420" s="363"/>
      <c r="M420" s="247"/>
      <c r="N420" s="265" t="b">
        <f>NOT(ISERROR(ResultsTeams[[#This Row],[Goal-A]]+ResultsTeams[[#This Row],[Goal-B]]))</f>
        <v>1</v>
      </c>
      <c r="O420" s="265">
        <f>IF(ResultsTeams[[#This Row],[Type]]="G",SUM(O421:O424),IF(LEFT(ResultsTeams[[#This Row],[Type]],1)="P",IF(ResultsTeams[[#This Row],[Goal-A]]&gt;ResultsTeams[[#This Row],[Goal-B]],1,0),""))</f>
        <v>0</v>
      </c>
      <c r="P420" s="265">
        <f>IF(ResultsTeams[[#This Row],[Type]]="G",SUM(P421:P424),IF(LEFT(ResultsTeams[[#This Row],[Type]],1)="P",IF(ResultsTeams[[#This Row],[Goal-A]]&lt;ResultsTeams[[#This Row],[Goal-B]],1,0),""))</f>
        <v>1</v>
      </c>
      <c r="Q420" s="265">
        <f>IF(ResultsTeams[[#This Row],[Type]]="G",SUM(Q421:Q424),IF(LEFT(ResultsTeams[[#This Row],[Type]],1)="P",VALUE(ResultsTeams[[#This Row],[Score-A]]),""))</f>
        <v>0</v>
      </c>
      <c r="R420" s="265">
        <f>IF(ResultsTeams[[#This Row],[Type]]="G",SUM(R421:R424),IF(LEFT(ResultsTeams[[#This Row],[Type]],1)="P",VALUE(ResultsTeams[[#This Row],[Score-B]]),""))</f>
        <v>2</v>
      </c>
      <c r="S420" s="265" t="str">
        <f ca="1">IF(AND(ResultsTeams[[#This Row],[Category]]&lt;&gt;"",ResultsTeams[[#This Row],[Team A]]&lt;&gt;""),COUNTIF(INDIRECT("TeamsList[Club Name]"),ResultsTeams[[#This Row],[Team A]]),"")</f>
        <v/>
      </c>
      <c r="T420" s="265" t="str">
        <f ca="1">IF(AND(ResultsTeams[[#This Row],[Category]]&lt;&gt;"",ResultsTeams[[#This Row],[Team B]]&lt;&gt;""),COUNTIF(INDIRECT("TeamsList[Club Name]"),ResultsTeams[[#This Row],[Team B]]),"")</f>
        <v/>
      </c>
      <c r="U4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-Steffen Despretz</v>
      </c>
      <c r="V420" s="265" t="str">
        <f>IF(ResultsTeams[[#This Row],[Score_OK]],IF(ResultsTeams[[#This Row],[StageCpy]]="Groups",ResultsTeams[[#This Row],[Category]]&amp;"-"&amp;IF(ResultsTeams[[#This Row],[Team B]]="","",IF(ResultsTeams[[#This Row],[Match-A]]=ResultsTeams[[#This Row],[Match-B]],ResultsTeams[[#This Row],[Team A]],"")),""),"")</f>
        <v>-</v>
      </c>
      <c r="W420" s="265" t="str">
        <f>IF(ResultsTeams[[#This Row],[Score_OK]],IF(ResultsTeams[[#This Row],[StageCpy]]="Groups",ResultsTeams[[#This Row],[Category]]&amp;"-"&amp;IF(ResultsTeams[[#This Row],[Team B]]="","",IF(ResultsTeams[[#This Row],[Match-A]]=ResultsTeams[[#This Row],[Match-B]],ResultsTeams[[#This Row],[Team B]],"")),""),"")</f>
        <v>-</v>
      </c>
      <c r="X4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-Steve Austin</v>
      </c>
      <c r="Y4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0" s="264" t="str">
        <f>IF(ResultsTeams[[#This Row],[Category]]="","",VLOOKUP(ResultsTeams[[#This Row],[Stage]],$R$1:$T$8,MATCH(ResultsTeams[[#This Row],[Category]],$S$1:$T$1,0)+1,FALSE))</f>
        <v/>
      </c>
      <c r="AC4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0" s="264" t="str">
        <f>IF(ResultsTeams[[#This Row],[Type]]="G",ResultsTeams[[#This Row],[Stage]],AD419)</f>
        <v>Groups</v>
      </c>
      <c r="AE420" s="395" t="str">
        <f>IF(ResultsTeams[[#This Row],[Type]]="G",INDEX(TeamsList[Club Name],MATCH(ResultsTeams[[#This Row],[Team A]],TeamsList[Team Name],0)),AE419)</f>
        <v>Valletta Lions TFC</v>
      </c>
      <c r="AF420" s="395" t="str">
        <f>IF(ResultsTeams[[#This Row],[Type]]="G",INDEX(TeamsList[Club Name],MATCH(ResultsTeams[[#This Row],[Team B]],TeamsList[Team Name],0)),AF419)</f>
        <v>Avenir Subbuteo Hennuyer</v>
      </c>
      <c r="AG420" s="265"/>
    </row>
    <row r="421" spans="1:33" x14ac:dyDescent="0.2">
      <c r="A421" s="62"/>
      <c r="B421" s="280"/>
      <c r="C421" s="62"/>
      <c r="D421" s="62"/>
      <c r="E421" s="241" t="s">
        <v>12237</v>
      </c>
      <c r="F421" s="246" t="s">
        <v>10441</v>
      </c>
      <c r="G421" s="246" t="s">
        <v>8141</v>
      </c>
      <c r="H421" s="254">
        <v>1</v>
      </c>
      <c r="I421" s="254">
        <v>3</v>
      </c>
      <c r="J421" s="254"/>
      <c r="K421" s="363"/>
      <c r="L421" s="363"/>
      <c r="M421" s="247"/>
      <c r="N421" s="265" t="b">
        <f>NOT(ISERROR(ResultsTeams[[#This Row],[Goal-A]]+ResultsTeams[[#This Row],[Goal-B]]))</f>
        <v>1</v>
      </c>
      <c r="O421" s="265">
        <f>IF(ResultsTeams[[#This Row],[Type]]="G",SUM(O422:O425),IF(LEFT(ResultsTeams[[#This Row],[Type]],1)="P",IF(ResultsTeams[[#This Row],[Goal-A]]&gt;ResultsTeams[[#This Row],[Goal-B]],1,0),""))</f>
        <v>0</v>
      </c>
      <c r="P421" s="265">
        <f>IF(ResultsTeams[[#This Row],[Type]]="G",SUM(P422:P425),IF(LEFT(ResultsTeams[[#This Row],[Type]],1)="P",IF(ResultsTeams[[#This Row],[Goal-A]]&lt;ResultsTeams[[#This Row],[Goal-B]],1,0),""))</f>
        <v>1</v>
      </c>
      <c r="Q421" s="265">
        <f>IF(ResultsTeams[[#This Row],[Type]]="G",SUM(Q422:Q425),IF(LEFT(ResultsTeams[[#This Row],[Type]],1)="P",VALUE(ResultsTeams[[#This Row],[Score-A]]),""))</f>
        <v>1</v>
      </c>
      <c r="R421" s="265">
        <f>IF(ResultsTeams[[#This Row],[Type]]="G",SUM(R422:R425),IF(LEFT(ResultsTeams[[#This Row],[Type]],1)="P",VALUE(ResultsTeams[[#This Row],[Score-B]]),""))</f>
        <v>3</v>
      </c>
      <c r="S421" s="265" t="str">
        <f ca="1">IF(AND(ResultsTeams[[#This Row],[Category]]&lt;&gt;"",ResultsTeams[[#This Row],[Team A]]&lt;&gt;""),COUNTIF(INDIRECT("TeamsList[Club Name]"),ResultsTeams[[#This Row],[Team A]]),"")</f>
        <v/>
      </c>
      <c r="T421" s="265" t="str">
        <f ca="1">IF(AND(ResultsTeams[[#This Row],[Category]]&lt;&gt;"",ResultsTeams[[#This Row],[Team B]]&lt;&gt;""),COUNTIF(INDIRECT("TeamsList[Club Name]"),ResultsTeams[[#This Row],[Team B]]),"")</f>
        <v/>
      </c>
      <c r="U4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Vantassel</v>
      </c>
      <c r="V421" s="265" t="str">
        <f>IF(ResultsTeams[[#This Row],[Score_OK]],IF(ResultsTeams[[#This Row],[StageCpy]]="Groups",ResultsTeams[[#This Row],[Category]]&amp;"-"&amp;IF(ResultsTeams[[#This Row],[Team B]]="","",IF(ResultsTeams[[#This Row],[Match-A]]=ResultsTeams[[#This Row],[Match-B]],ResultsTeams[[#This Row],[Team A]],"")),""),"")</f>
        <v>-</v>
      </c>
      <c r="W421" s="265" t="str">
        <f>IF(ResultsTeams[[#This Row],[Score_OK]],IF(ResultsTeams[[#This Row],[StageCpy]]="Groups",ResultsTeams[[#This Row],[Category]]&amp;"-"&amp;IF(ResultsTeams[[#This Row],[Team B]]="","",IF(ResultsTeams[[#This Row],[Match-A]]=ResultsTeams[[#This Row],[Match-B]],ResultsTeams[[#This Row],[Team B]],"")),""),"")</f>
        <v>-</v>
      </c>
      <c r="X4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-Frank Chetcuti Dimech</v>
      </c>
      <c r="Y4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1" s="264" t="str">
        <f>IF(ResultsTeams[[#This Row],[Category]]="","",VLOOKUP(ResultsTeams[[#This Row],[Stage]],$R$1:$T$8,MATCH(ResultsTeams[[#This Row],[Category]],$S$1:$T$1,0)+1,FALSE))</f>
        <v/>
      </c>
      <c r="AC4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1" s="264" t="str">
        <f>IF(ResultsTeams[[#This Row],[Type]]="G",ResultsTeams[[#This Row],[Stage]],AD420)</f>
        <v>Groups</v>
      </c>
      <c r="AE421" s="395" t="str">
        <f>IF(ResultsTeams[[#This Row],[Type]]="G",INDEX(TeamsList[Club Name],MATCH(ResultsTeams[[#This Row],[Team A]],TeamsList[Team Name],0)),AE420)</f>
        <v>Valletta Lions TFC</v>
      </c>
      <c r="AF421" s="395" t="str">
        <f>IF(ResultsTeams[[#This Row],[Type]]="G",INDEX(TeamsList[Club Name],MATCH(ResultsTeams[[#This Row],[Team B]],TeamsList[Team Name],0)),AF420)</f>
        <v>Avenir Subbuteo Hennuyer</v>
      </c>
      <c r="AG421" s="265"/>
    </row>
    <row r="422" spans="1:33" x14ac:dyDescent="0.2">
      <c r="A422" s="62"/>
      <c r="B422" s="280"/>
      <c r="C422" s="62"/>
      <c r="D422" s="62"/>
      <c r="E422" s="241" t="s">
        <v>12240</v>
      </c>
      <c r="F422" s="246" t="s">
        <v>11444</v>
      </c>
      <c r="G422" s="246" t="s">
        <v>8120</v>
      </c>
      <c r="H422" s="254">
        <v>3</v>
      </c>
      <c r="I422" s="254">
        <v>3</v>
      </c>
      <c r="J422" s="254"/>
      <c r="K422" s="363"/>
      <c r="L422" s="363"/>
      <c r="M422" s="247"/>
      <c r="N422" s="265" t="b">
        <f>NOT(ISERROR(ResultsTeams[[#This Row],[Goal-A]]+ResultsTeams[[#This Row],[Goal-B]]))</f>
        <v>1</v>
      </c>
      <c r="O422" s="265">
        <f>IF(ResultsTeams[[#This Row],[Type]]="G",SUM(O423:O426),IF(LEFT(ResultsTeams[[#This Row],[Type]],1)="P",IF(ResultsTeams[[#This Row],[Goal-A]]&gt;ResultsTeams[[#This Row],[Goal-B]],1,0),""))</f>
        <v>0</v>
      </c>
      <c r="P422" s="265">
        <f>IF(ResultsTeams[[#This Row],[Type]]="G",SUM(P423:P426),IF(LEFT(ResultsTeams[[#This Row],[Type]],1)="P",IF(ResultsTeams[[#This Row],[Goal-A]]&lt;ResultsTeams[[#This Row],[Goal-B]],1,0),""))</f>
        <v>0</v>
      </c>
      <c r="Q422" s="265">
        <f>IF(ResultsTeams[[#This Row],[Type]]="G",SUM(Q423:Q426),IF(LEFT(ResultsTeams[[#This Row],[Type]],1)="P",VALUE(ResultsTeams[[#This Row],[Score-A]]),""))</f>
        <v>3</v>
      </c>
      <c r="R422" s="265">
        <f>IF(ResultsTeams[[#This Row],[Type]]="G",SUM(R423:R426),IF(LEFT(ResultsTeams[[#This Row],[Type]],1)="P",VALUE(ResultsTeams[[#This Row],[Score-B]]),""))</f>
        <v>3</v>
      </c>
      <c r="S422" s="265" t="str">
        <f ca="1">IF(AND(ResultsTeams[[#This Row],[Category]]&lt;&gt;"",ResultsTeams[[#This Row],[Team A]]&lt;&gt;""),COUNTIF(INDIRECT("TeamsList[Club Name]"),ResultsTeams[[#This Row],[Team A]]),"")</f>
        <v/>
      </c>
      <c r="T422" s="265" t="str">
        <f ca="1">IF(AND(ResultsTeams[[#This Row],[Category]]&lt;&gt;"",ResultsTeams[[#This Row],[Team B]]&lt;&gt;""),COUNTIF(INDIRECT("TeamsList[Club Name]"),ResultsTeams[[#This Row],[Team B]]),"")</f>
        <v/>
      </c>
      <c r="U4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22" s="265" t="str">
        <f>IF(ResultsTeams[[#This Row],[Score_OK]],IF(ResultsTeams[[#This Row],[StageCpy]]="Groups",ResultsTeams[[#This Row],[Category]]&amp;"-"&amp;IF(ResultsTeams[[#This Row],[Team B]]="","",IF(ResultsTeams[[#This Row],[Match-A]]=ResultsTeams[[#This Row],[Match-B]],ResultsTeams[[#This Row],[Team A]],"")),""),"")</f>
        <v>-Henk Landzaat</v>
      </c>
      <c r="W422" s="265" t="str">
        <f>IF(ResultsTeams[[#This Row],[Score_OK]],IF(ResultsTeams[[#This Row],[StageCpy]]="Groups",ResultsTeams[[#This Row],[Category]]&amp;"-"&amp;IF(ResultsTeams[[#This Row],[Team B]]="","",IF(ResultsTeams[[#This Row],[Match-A]]=ResultsTeams[[#This Row],[Match-B]],ResultsTeams[[#This Row],[Team B]],"")),""),"")</f>
        <v>-Lucas Pere</v>
      </c>
      <c r="X4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2" s="264" t="str">
        <f>IF(ResultsTeams[[#This Row],[Category]]="","",VLOOKUP(ResultsTeams[[#This Row],[Stage]],$R$1:$T$8,MATCH(ResultsTeams[[#This Row],[Category]],$S$1:$T$1,0)+1,FALSE))</f>
        <v/>
      </c>
      <c r="AC4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2" s="264" t="str">
        <f>IF(ResultsTeams[[#This Row],[Type]]="G",ResultsTeams[[#This Row],[Stage]],AD421)</f>
        <v>Groups</v>
      </c>
      <c r="AE422" s="395" t="str">
        <f>IF(ResultsTeams[[#This Row],[Type]]="G",INDEX(TeamsList[Club Name],MATCH(ResultsTeams[[#This Row],[Team A]],TeamsList[Team Name],0)),AE421)</f>
        <v>Valletta Lions TFC</v>
      </c>
      <c r="AF422" s="395" t="str">
        <f>IF(ResultsTeams[[#This Row],[Type]]="G",INDEX(TeamsList[Club Name],MATCH(ResultsTeams[[#This Row],[Team B]],TeamsList[Team Name],0)),AF421)</f>
        <v>Avenir Subbuteo Hennuyer</v>
      </c>
      <c r="AG422" s="265"/>
    </row>
    <row r="423" spans="1:33" x14ac:dyDescent="0.2">
      <c r="A423" s="62"/>
      <c r="B423" s="62"/>
      <c r="C423" s="62"/>
      <c r="D423" s="62"/>
      <c r="E423" s="241" t="s">
        <v>12243</v>
      </c>
      <c r="F423" s="247"/>
      <c r="G423" s="247" t="s">
        <v>8777</v>
      </c>
      <c r="H423" s="254"/>
      <c r="I423" s="254" t="s">
        <v>12681</v>
      </c>
      <c r="J423" s="260"/>
      <c r="K423" s="364"/>
      <c r="L423" s="364"/>
      <c r="M423" s="247"/>
      <c r="N423" s="265" t="b">
        <f>NOT(ISERROR(ResultsTeams[[#This Row],[Goal-A]]+ResultsTeams[[#This Row],[Goal-B]]))</f>
        <v>0</v>
      </c>
      <c r="O423" s="265" t="str">
        <f>IF(ResultsTeams[[#This Row],[Type]]="G",SUM(O424:O427),IF(LEFT(ResultsTeams[[#This Row],[Type]],1)="P",IF(ResultsTeams[[#This Row],[Goal-A]]&gt;ResultsTeams[[#This Row],[Goal-B]],1,0),""))</f>
        <v/>
      </c>
      <c r="P423" s="265" t="str">
        <f>IF(ResultsTeams[[#This Row],[Type]]="G",SUM(P424:P427),IF(LEFT(ResultsTeams[[#This Row],[Type]],1)="P",IF(ResultsTeams[[#This Row],[Goal-A]]&lt;ResultsTeams[[#This Row],[Goal-B]],1,0),""))</f>
        <v/>
      </c>
      <c r="Q423" s="265" t="str">
        <f>IF(ResultsTeams[[#This Row],[Type]]="G",SUM(Q424:Q427),IF(LEFT(ResultsTeams[[#This Row],[Type]],1)="P",VALUE(ResultsTeams[[#This Row],[Score-A]]),""))</f>
        <v/>
      </c>
      <c r="R423" s="265" t="str">
        <f>IF(ResultsTeams[[#This Row],[Type]]="G",SUM(R424:R427),IF(LEFT(ResultsTeams[[#This Row],[Type]],1)="P",VALUE(ResultsTeams[[#This Row],[Score-B]]),""))</f>
        <v/>
      </c>
      <c r="S423" s="265" t="str">
        <f ca="1">IF(AND(ResultsTeams[[#This Row],[Category]]&lt;&gt;"",ResultsTeams[[#This Row],[Team A]]&lt;&gt;""),COUNTIF(INDIRECT("TeamsList[Club Name]"),ResultsTeams[[#This Row],[Team A]]),"")</f>
        <v/>
      </c>
      <c r="T423" s="265" t="str">
        <f ca="1">IF(AND(ResultsTeams[[#This Row],[Category]]&lt;&gt;"",ResultsTeams[[#This Row],[Team B]]&lt;&gt;""),COUNTIF(INDIRECT("TeamsList[Club Name]"),ResultsTeams[[#This Row],[Team B]]),"")</f>
        <v/>
      </c>
      <c r="U4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3" s="265" t="str">
        <f>IF(ResultsTeams[[#This Row],[Score_OK]],IF(ResultsTeams[[#This Row],[StageCpy]]="Groups",ResultsTeams[[#This Row],[Category]]&amp;"-"&amp;IF(ResultsTeams[[#This Row],[Team B]]="","",IF(ResultsTeams[[#This Row],[Match-A]]=ResultsTeams[[#This Row],[Match-B]],ResultsTeams[[#This Row],[Team A]],"")),""),"")</f>
        <v/>
      </c>
      <c r="W423" s="265" t="str">
        <f>IF(ResultsTeams[[#This Row],[Score_OK]],IF(ResultsTeams[[#This Row],[StageCpy]]="Groups",ResultsTeams[[#This Row],[Category]]&amp;"-"&amp;IF(ResultsTeams[[#This Row],[Team B]]="","",IF(ResultsTeams[[#This Row],[Match-A]]=ResultsTeams[[#This Row],[Match-B]],ResultsTeams[[#This Row],[Team B]],"")),""),"")</f>
        <v/>
      </c>
      <c r="X4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3" s="264" t="str">
        <f>IF(ResultsTeams[[#This Row],[Category]]="","",VLOOKUP(ResultsTeams[[#This Row],[Stage]],$R$1:$T$8,MATCH(ResultsTeams[[#This Row],[Category]],$S$1:$T$1,0)+1,FALSE))</f>
        <v/>
      </c>
      <c r="AC4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3" s="264" t="str">
        <f>IF(ResultsTeams[[#This Row],[Type]]="G",ResultsTeams[[#This Row],[Stage]],AD422)</f>
        <v>Groups</v>
      </c>
      <c r="AE423" s="395" t="str">
        <f>IF(ResultsTeams[[#This Row],[Type]]="G",INDEX(TeamsList[Club Name],MATCH(ResultsTeams[[#This Row],[Team A]],TeamsList[Team Name],0)),AE422)</f>
        <v>Valletta Lions TFC</v>
      </c>
      <c r="AF423" s="395" t="str">
        <f>IF(ResultsTeams[[#This Row],[Type]]="G",INDEX(TeamsList[Club Name],MATCH(ResultsTeams[[#This Row],[Team B]],TeamsList[Team Name],0)),AF422)</f>
        <v>Avenir Subbuteo Hennuyer</v>
      </c>
      <c r="AG423" s="265"/>
    </row>
    <row r="424" spans="1:33" ht="12" thickBot="1" x14ac:dyDescent="0.25">
      <c r="A424" s="83"/>
      <c r="B424" s="83"/>
      <c r="C424" s="83"/>
      <c r="D424" s="83"/>
      <c r="E424" s="268" t="s">
        <v>12244</v>
      </c>
      <c r="F424" s="262"/>
      <c r="G424" s="262"/>
      <c r="H424" s="324"/>
      <c r="I424" s="324"/>
      <c r="J424" s="263"/>
      <c r="K424" s="365"/>
      <c r="L424" s="365"/>
      <c r="M424" s="262"/>
      <c r="N424" s="265" t="b">
        <f>NOT(ISERROR(ResultsTeams[[#This Row],[Goal-A]]+ResultsTeams[[#This Row],[Goal-B]]))</f>
        <v>0</v>
      </c>
      <c r="O424" s="265" t="str">
        <f>IF(ResultsTeams[[#This Row],[Type]]="G",SUM(O425:O428),IF(LEFT(ResultsTeams[[#This Row],[Type]],1)="P",IF(ResultsTeams[[#This Row],[Goal-A]]&gt;ResultsTeams[[#This Row],[Goal-B]],1,0),""))</f>
        <v/>
      </c>
      <c r="P424" s="265" t="str">
        <f>IF(ResultsTeams[[#This Row],[Type]]="G",SUM(P425:P428),IF(LEFT(ResultsTeams[[#This Row],[Type]],1)="P",IF(ResultsTeams[[#This Row],[Goal-A]]&lt;ResultsTeams[[#This Row],[Goal-B]],1,0),""))</f>
        <v/>
      </c>
      <c r="Q424" s="265" t="str">
        <f>IF(ResultsTeams[[#This Row],[Type]]="G",SUM(Q425:Q428),IF(LEFT(ResultsTeams[[#This Row],[Type]],1)="P",VALUE(ResultsTeams[[#This Row],[Score-A]]),""))</f>
        <v/>
      </c>
      <c r="R424" s="265" t="str">
        <f>IF(ResultsTeams[[#This Row],[Type]]="G",SUM(R425:R428),IF(LEFT(ResultsTeams[[#This Row],[Type]],1)="P",VALUE(ResultsTeams[[#This Row],[Score-B]]),""))</f>
        <v/>
      </c>
      <c r="S424" s="265" t="str">
        <f ca="1">IF(AND(ResultsTeams[[#This Row],[Category]]&lt;&gt;"",ResultsTeams[[#This Row],[Team A]]&lt;&gt;""),COUNTIF(INDIRECT("TeamsList[Club Name]"),ResultsTeams[[#This Row],[Team A]]),"")</f>
        <v/>
      </c>
      <c r="T424" s="265" t="str">
        <f ca="1">IF(AND(ResultsTeams[[#This Row],[Category]]&lt;&gt;"",ResultsTeams[[#This Row],[Team B]]&lt;&gt;""),COUNTIF(INDIRECT("TeamsList[Club Name]"),ResultsTeams[[#This Row],[Team B]]),"")</f>
        <v/>
      </c>
      <c r="U4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4" s="265" t="str">
        <f>IF(ResultsTeams[[#This Row],[Score_OK]],IF(ResultsTeams[[#This Row],[StageCpy]]="Groups",ResultsTeams[[#This Row],[Category]]&amp;"-"&amp;IF(ResultsTeams[[#This Row],[Team B]]="","",IF(ResultsTeams[[#This Row],[Match-A]]=ResultsTeams[[#This Row],[Match-B]],ResultsTeams[[#This Row],[Team A]],"")),""),"")</f>
        <v/>
      </c>
      <c r="W424" s="265" t="str">
        <f>IF(ResultsTeams[[#This Row],[Score_OK]],IF(ResultsTeams[[#This Row],[StageCpy]]="Groups",ResultsTeams[[#This Row],[Category]]&amp;"-"&amp;IF(ResultsTeams[[#This Row],[Team B]]="","",IF(ResultsTeams[[#This Row],[Match-A]]=ResultsTeams[[#This Row],[Match-B]],ResultsTeams[[#This Row],[Team B]],"")),""),"")</f>
        <v/>
      </c>
      <c r="X4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4" s="264" t="str">
        <f>IF(ResultsTeams[[#This Row],[Category]]="","",VLOOKUP(ResultsTeams[[#This Row],[Stage]],$R$1:$T$8,MATCH(ResultsTeams[[#This Row],[Category]],$S$1:$T$1,0)+1,FALSE))</f>
        <v/>
      </c>
      <c r="AC4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4" s="264" t="str">
        <f>IF(ResultsTeams[[#This Row],[Type]]="G",ResultsTeams[[#This Row],[Stage]],AD423)</f>
        <v>Groups</v>
      </c>
      <c r="AE424" s="395" t="str">
        <f>IF(ResultsTeams[[#This Row],[Type]]="G",INDEX(TeamsList[Club Name],MATCH(ResultsTeams[[#This Row],[Team A]],TeamsList[Team Name],0)),AE423)</f>
        <v>Valletta Lions TFC</v>
      </c>
      <c r="AF424" s="395" t="str">
        <f>IF(ResultsTeams[[#This Row],[Type]]="G",INDEX(TeamsList[Club Name],MATCH(ResultsTeams[[#This Row],[Team B]],TeamsList[Team Name],0)),AF423)</f>
        <v>Avenir Subbuteo Hennuyer</v>
      </c>
      <c r="AG424" s="265"/>
    </row>
    <row r="425" spans="1:33" ht="12" thickBot="1" x14ac:dyDescent="0.25">
      <c r="A425" s="261" t="s">
        <v>12693</v>
      </c>
      <c r="B425" s="270" t="s">
        <v>12207</v>
      </c>
      <c r="C425" s="270">
        <v>9</v>
      </c>
      <c r="D425" s="270"/>
      <c r="E425" s="272" t="s">
        <v>12228</v>
      </c>
      <c r="F425" s="273" t="s">
        <v>14597</v>
      </c>
      <c r="G425" s="273" t="s">
        <v>819</v>
      </c>
      <c r="H425" s="275">
        <v>4</v>
      </c>
      <c r="I425" s="275">
        <v>0</v>
      </c>
      <c r="J425" s="275"/>
      <c r="K425" s="366"/>
      <c r="L425" s="366"/>
      <c r="M425" s="274"/>
      <c r="N425" s="265" t="b">
        <f>NOT(ISERROR(ResultsTeams[[#This Row],[Goal-A]]+ResultsTeams[[#This Row],[Goal-B]]))</f>
        <v>1</v>
      </c>
      <c r="O425" s="265">
        <f>IF(ResultsTeams[[#This Row],[Type]]="G",SUM(O426:O429),IF(LEFT(ResultsTeams[[#This Row],[Type]],1)="P",IF(ResultsTeams[[#This Row],[Goal-A]]&gt;ResultsTeams[[#This Row],[Goal-B]],1,0),""))</f>
        <v>4</v>
      </c>
      <c r="P425" s="265">
        <f>IF(ResultsTeams[[#This Row],[Type]]="G",SUM(P426:P429),IF(LEFT(ResultsTeams[[#This Row],[Type]],1)="P",IF(ResultsTeams[[#This Row],[Goal-A]]&lt;ResultsTeams[[#This Row],[Goal-B]],1,0),""))</f>
        <v>0</v>
      </c>
      <c r="Q425" s="265">
        <f>IF(ResultsTeams[[#This Row],[Type]]="G",SUM(Q426:Q429),IF(LEFT(ResultsTeams[[#This Row],[Type]],1)="P",VALUE(ResultsTeams[[#This Row],[Score-A]]),""))</f>
        <v>18</v>
      </c>
      <c r="R425" s="265">
        <f>IF(ResultsTeams[[#This Row],[Type]]="G",SUM(R426:R429),IF(LEFT(ResultsTeams[[#This Row],[Type]],1)="P",VALUE(ResultsTeams[[#This Row],[Score-B]]),""))</f>
        <v>1</v>
      </c>
      <c r="S425" s="265">
        <f ca="1">IF(AND(ResultsTeams[[#This Row],[Category]]&lt;&gt;"",ResultsTeams[[#This Row],[Team A]]&lt;&gt;""),COUNTIF(INDIRECT("TeamsList[Club Name]"),ResultsTeams[[#This Row],[Team A]]),"")</f>
        <v>0</v>
      </c>
      <c r="T425" s="265">
        <f ca="1">IF(AND(ResultsTeams[[#This Row],[Category]]&lt;&gt;"",ResultsTeams[[#This Row],[Team B]]&lt;&gt;""),COUNTIF(INDIRECT("TeamsList[Club Name]"),ResultsTeams[[#This Row],[Team B]]),"")</f>
        <v>1</v>
      </c>
      <c r="U4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TEAM-Master Sanremo 2</v>
      </c>
      <c r="V425" s="265" t="str">
        <f>IF(ResultsTeams[[#This Row],[Score_OK]],IF(ResultsTeams[[#This Row],[StageCpy]]="Groups",ResultsTeams[[#This Row],[Category]]&amp;"-"&amp;IF(ResultsTeams[[#This Row],[Team B]]="","",IF(ResultsTeams[[#This Row],[Match-A]]=ResultsTeams[[#This Row],[Match-B]],ResultsTeams[[#This Row],[Team A]],"")),""),"")</f>
        <v>TEAM-</v>
      </c>
      <c r="W425" s="265" t="str">
        <f>IF(ResultsTeams[[#This Row],[Score_OK]],IF(ResultsTeams[[#This Row],[StageCpy]]="Groups",ResultsTeams[[#This Row],[Category]]&amp;"-"&amp;IF(ResultsTeams[[#This Row],[Team B]]="","",IF(ResultsTeams[[#This Row],[Match-A]]=ResultsTeams[[#This Row],[Match-B]],ResultsTeams[[#This Row],[Team B]],"")),""),"")</f>
        <v>TEAM-</v>
      </c>
      <c r="X4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4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4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425" s="264" t="str">
        <f>IF(ResultsTeams[[#This Row],[Category]]="","",VLOOKUP(ResultsTeams[[#This Row],[Stage]],$R$1:$T$8,MATCH(ResultsTeams[[#This Row],[Category]],$S$1:$T$1,0)+1,FALSE))</f>
        <v>PR1</v>
      </c>
      <c r="AC4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5" s="264" t="str">
        <f>IF(ResultsTeams[[#This Row],[Type]]="G",ResultsTeams[[#This Row],[Stage]],AD424)</f>
        <v>Groups</v>
      </c>
      <c r="AE425" s="395" t="str">
        <f>IF(ResultsTeams[[#This Row],[Type]]="G",INDEX(TeamsList[Club Name],MATCH(ResultsTeams[[#This Row],[Team A]],TeamsList[Team Name],0)),AE424)</f>
        <v>Master Sanremo</v>
      </c>
      <c r="AF425" s="395" t="str">
        <f>IF(ResultsTeams[[#This Row],[Type]]="G",INDEX(TeamsList[Club Name],MATCH(ResultsTeams[[#This Row],[Team B]],TeamsList[Team Name],0)),AF424)</f>
        <v>Irish Premier League</v>
      </c>
      <c r="AG425" s="265"/>
    </row>
    <row r="426" spans="1:33" x14ac:dyDescent="0.2">
      <c r="A426" s="60"/>
      <c r="B426" s="280"/>
      <c r="C426" s="60"/>
      <c r="D426" s="60"/>
      <c r="E426" s="240" t="s">
        <v>12231</v>
      </c>
      <c r="F426" s="244" t="s">
        <v>8200</v>
      </c>
      <c r="G426" s="244" t="s">
        <v>10591</v>
      </c>
      <c r="H426" s="253">
        <v>3</v>
      </c>
      <c r="I426" s="253">
        <v>1</v>
      </c>
      <c r="J426" s="253"/>
      <c r="K426" s="362"/>
      <c r="L426" s="362"/>
      <c r="M426" s="245"/>
      <c r="N426" s="265" t="b">
        <f>NOT(ISERROR(ResultsTeams[[#This Row],[Goal-A]]+ResultsTeams[[#This Row],[Goal-B]]))</f>
        <v>1</v>
      </c>
      <c r="O426" s="265">
        <f>IF(ResultsTeams[[#This Row],[Type]]="G",SUM(O427:O430),IF(LEFT(ResultsTeams[[#This Row],[Type]],1)="P",IF(ResultsTeams[[#This Row],[Goal-A]]&gt;ResultsTeams[[#This Row],[Goal-B]],1,0),""))</f>
        <v>1</v>
      </c>
      <c r="P426" s="265">
        <f>IF(ResultsTeams[[#This Row],[Type]]="G",SUM(P427:P430),IF(LEFT(ResultsTeams[[#This Row],[Type]],1)="P",IF(ResultsTeams[[#This Row],[Goal-A]]&lt;ResultsTeams[[#This Row],[Goal-B]],1,0),""))</f>
        <v>0</v>
      </c>
      <c r="Q426" s="265">
        <f>IF(ResultsTeams[[#This Row],[Type]]="G",SUM(Q427:Q430),IF(LEFT(ResultsTeams[[#This Row],[Type]],1)="P",VALUE(ResultsTeams[[#This Row],[Score-A]]),""))</f>
        <v>3</v>
      </c>
      <c r="R426" s="265">
        <f>IF(ResultsTeams[[#This Row],[Type]]="G",SUM(R427:R430),IF(LEFT(ResultsTeams[[#This Row],[Type]],1)="P",VALUE(ResultsTeams[[#This Row],[Score-B]]),""))</f>
        <v>1</v>
      </c>
      <c r="S426" s="265" t="str">
        <f ca="1">IF(AND(ResultsTeams[[#This Row],[Category]]&lt;&gt;"",ResultsTeams[[#This Row],[Team A]]&lt;&gt;""),COUNTIF(INDIRECT("TeamsList[Club Name]"),ResultsTeams[[#This Row],[Team A]]),"")</f>
        <v/>
      </c>
      <c r="T426" s="265" t="str">
        <f ca="1">IF(AND(ResultsTeams[[#This Row],[Category]]&lt;&gt;"",ResultsTeams[[#This Row],[Team B]]&lt;&gt;""),COUNTIF(INDIRECT("TeamsList[Club Name]"),ResultsTeams[[#This Row],[Team B]]),"")</f>
        <v/>
      </c>
      <c r="U4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-Mathieu Crasset</v>
      </c>
      <c r="V426" s="265" t="str">
        <f>IF(ResultsTeams[[#This Row],[Score_OK]],IF(ResultsTeams[[#This Row],[StageCpy]]="Groups",ResultsTeams[[#This Row],[Category]]&amp;"-"&amp;IF(ResultsTeams[[#This Row],[Team B]]="","",IF(ResultsTeams[[#This Row],[Match-A]]=ResultsTeams[[#This Row],[Match-B]],ResultsTeams[[#This Row],[Team A]],"")),""),"")</f>
        <v>-</v>
      </c>
      <c r="W426" s="265" t="str">
        <f>IF(ResultsTeams[[#This Row],[Score_OK]],IF(ResultsTeams[[#This Row],[StageCpy]]="Groups",ResultsTeams[[#This Row],[Category]]&amp;"-"&amp;IF(ResultsTeams[[#This Row],[Team B]]="","",IF(ResultsTeams[[#This Row],[Match-A]]=ResultsTeams[[#This Row],[Match-B]],ResultsTeams[[#This Row],[Team B]],"")),""),"")</f>
        <v>-</v>
      </c>
      <c r="X4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Kaliszewski</v>
      </c>
      <c r="Y4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6" s="264" t="str">
        <f>IF(ResultsTeams[[#This Row],[Category]]="","",VLOOKUP(ResultsTeams[[#This Row],[Stage]],$R$1:$T$8,MATCH(ResultsTeams[[#This Row],[Category]],$S$1:$T$1,0)+1,FALSE))</f>
        <v/>
      </c>
      <c r="AC4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6" s="264" t="str">
        <f>IF(ResultsTeams[[#This Row],[Type]]="G",ResultsTeams[[#This Row],[Stage]],AD425)</f>
        <v>Groups</v>
      </c>
      <c r="AE426" s="395" t="str">
        <f>IF(ResultsTeams[[#This Row],[Type]]="G",INDEX(TeamsList[Club Name],MATCH(ResultsTeams[[#This Row],[Team A]],TeamsList[Team Name],0)),AE425)</f>
        <v>Master Sanremo</v>
      </c>
      <c r="AF426" s="395" t="str">
        <f>IF(ResultsTeams[[#This Row],[Type]]="G",INDEX(TeamsList[Club Name],MATCH(ResultsTeams[[#This Row],[Team B]],TeamsList[Team Name],0)),AF425)</f>
        <v>Irish Premier League</v>
      </c>
      <c r="AG426" s="265"/>
    </row>
    <row r="427" spans="1:33" x14ac:dyDescent="0.2">
      <c r="A427" s="62"/>
      <c r="B427" s="280"/>
      <c r="C427" s="62"/>
      <c r="D427" s="62"/>
      <c r="E427" s="241" t="s">
        <v>12234</v>
      </c>
      <c r="F427" s="246" t="s">
        <v>11270</v>
      </c>
      <c r="G427" s="246" t="s">
        <v>10590</v>
      </c>
      <c r="H427" s="254">
        <v>4</v>
      </c>
      <c r="I427" s="254">
        <v>0</v>
      </c>
      <c r="J427" s="254"/>
      <c r="K427" s="363"/>
      <c r="L427" s="363"/>
      <c r="M427" s="247"/>
      <c r="N427" s="265" t="b">
        <f>NOT(ISERROR(ResultsTeams[[#This Row],[Goal-A]]+ResultsTeams[[#This Row],[Goal-B]]))</f>
        <v>1</v>
      </c>
      <c r="O427" s="265">
        <f>IF(ResultsTeams[[#This Row],[Type]]="G",SUM(O428:O431),IF(LEFT(ResultsTeams[[#This Row],[Type]],1)="P",IF(ResultsTeams[[#This Row],[Goal-A]]&gt;ResultsTeams[[#This Row],[Goal-B]],1,0),""))</f>
        <v>1</v>
      </c>
      <c r="P427" s="265">
        <f>IF(ResultsTeams[[#This Row],[Type]]="G",SUM(P428:P431),IF(LEFT(ResultsTeams[[#This Row],[Type]],1)="P",IF(ResultsTeams[[#This Row],[Goal-A]]&lt;ResultsTeams[[#This Row],[Goal-B]],1,0),""))</f>
        <v>0</v>
      </c>
      <c r="Q427" s="265">
        <f>IF(ResultsTeams[[#This Row],[Type]]="G",SUM(Q428:Q431),IF(LEFT(ResultsTeams[[#This Row],[Type]],1)="P",VALUE(ResultsTeams[[#This Row],[Score-A]]),""))</f>
        <v>4</v>
      </c>
      <c r="R427" s="265">
        <f>IF(ResultsTeams[[#This Row],[Type]]="G",SUM(R428:R431),IF(LEFT(ResultsTeams[[#This Row],[Type]],1)="P",VALUE(ResultsTeams[[#This Row],[Score-B]]),""))</f>
        <v>0</v>
      </c>
      <c r="S427" s="265" t="str">
        <f ca="1">IF(AND(ResultsTeams[[#This Row],[Category]]&lt;&gt;"",ResultsTeams[[#This Row],[Team A]]&lt;&gt;""),COUNTIF(INDIRECT("TeamsList[Club Name]"),ResultsTeams[[#This Row],[Team A]]),"")</f>
        <v/>
      </c>
      <c r="T427" s="265" t="str">
        <f ca="1">IF(AND(ResultsTeams[[#This Row],[Category]]&lt;&gt;"",ResultsTeams[[#This Row],[Team B]]&lt;&gt;""),COUNTIF(INDIRECT("TeamsList[Club Name]"),ResultsTeams[[#This Row],[Team B]]),"")</f>
        <v/>
      </c>
      <c r="U4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-Frank Stiller</v>
      </c>
      <c r="V427" s="265" t="str">
        <f>IF(ResultsTeams[[#This Row],[Score_OK]],IF(ResultsTeams[[#This Row],[StageCpy]]="Groups",ResultsTeams[[#This Row],[Category]]&amp;"-"&amp;IF(ResultsTeams[[#This Row],[Team B]]="","",IF(ResultsTeams[[#This Row],[Match-A]]=ResultsTeams[[#This Row],[Match-B]],ResultsTeams[[#This Row],[Team A]],"")),""),"")</f>
        <v>-</v>
      </c>
      <c r="W427" s="265" t="str">
        <f>IF(ResultsTeams[[#This Row],[Score_OK]],IF(ResultsTeams[[#This Row],[StageCpy]]="Groups",ResultsTeams[[#This Row],[Category]]&amp;"-"&amp;IF(ResultsTeams[[#This Row],[Team B]]="","",IF(ResultsTeams[[#This Row],[Match-A]]=ResultsTeams[[#This Row],[Match-B]],ResultsTeams[[#This Row],[Team B]],"")),""),"")</f>
        <v>-</v>
      </c>
      <c r="X4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4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7" s="264" t="str">
        <f>IF(ResultsTeams[[#This Row],[Category]]="","",VLOOKUP(ResultsTeams[[#This Row],[Stage]],$R$1:$T$8,MATCH(ResultsTeams[[#This Row],[Category]],$S$1:$T$1,0)+1,FALSE))</f>
        <v/>
      </c>
      <c r="AC4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7" s="264" t="str">
        <f>IF(ResultsTeams[[#This Row],[Type]]="G",ResultsTeams[[#This Row],[Stage]],AD426)</f>
        <v>Groups</v>
      </c>
      <c r="AE427" s="395" t="str">
        <f>IF(ResultsTeams[[#This Row],[Type]]="G",INDEX(TeamsList[Club Name],MATCH(ResultsTeams[[#This Row],[Team A]],TeamsList[Team Name],0)),AE426)</f>
        <v>Master Sanremo</v>
      </c>
      <c r="AF427" s="395" t="str">
        <f>IF(ResultsTeams[[#This Row],[Type]]="G",INDEX(TeamsList[Club Name],MATCH(ResultsTeams[[#This Row],[Team B]],TeamsList[Team Name],0)),AF426)</f>
        <v>Irish Premier League</v>
      </c>
      <c r="AG427" s="265"/>
    </row>
    <row r="428" spans="1:33" x14ac:dyDescent="0.2">
      <c r="A428" s="62"/>
      <c r="B428" s="280"/>
      <c r="C428" s="62"/>
      <c r="D428" s="62"/>
      <c r="E428" s="241" t="s">
        <v>12237</v>
      </c>
      <c r="F428" s="246" t="s">
        <v>10369</v>
      </c>
      <c r="G428" s="246" t="s">
        <v>13920</v>
      </c>
      <c r="H428" s="254">
        <v>8</v>
      </c>
      <c r="I428" s="254">
        <v>0</v>
      </c>
      <c r="J428" s="254"/>
      <c r="K428" s="363"/>
      <c r="L428" s="363"/>
      <c r="M428" s="247"/>
      <c r="N428" s="265" t="b">
        <f>NOT(ISERROR(ResultsTeams[[#This Row],[Goal-A]]+ResultsTeams[[#This Row],[Goal-B]]))</f>
        <v>1</v>
      </c>
      <c r="O428" s="265">
        <f>IF(ResultsTeams[[#This Row],[Type]]="G",SUM(O429:O432),IF(LEFT(ResultsTeams[[#This Row],[Type]],1)="P",IF(ResultsTeams[[#This Row],[Goal-A]]&gt;ResultsTeams[[#This Row],[Goal-B]],1,0),""))</f>
        <v>1</v>
      </c>
      <c r="P428" s="265">
        <f>IF(ResultsTeams[[#This Row],[Type]]="G",SUM(P429:P432),IF(LEFT(ResultsTeams[[#This Row],[Type]],1)="P",IF(ResultsTeams[[#This Row],[Goal-A]]&lt;ResultsTeams[[#This Row],[Goal-B]],1,0),""))</f>
        <v>0</v>
      </c>
      <c r="Q428" s="265">
        <f>IF(ResultsTeams[[#This Row],[Type]]="G",SUM(Q429:Q432),IF(LEFT(ResultsTeams[[#This Row],[Type]],1)="P",VALUE(ResultsTeams[[#This Row],[Score-A]]),""))</f>
        <v>8</v>
      </c>
      <c r="R428" s="265">
        <f>IF(ResultsTeams[[#This Row],[Type]]="G",SUM(R429:R432),IF(LEFT(ResultsTeams[[#This Row],[Type]],1)="P",VALUE(ResultsTeams[[#This Row],[Score-B]]),""))</f>
        <v>0</v>
      </c>
      <c r="S428" s="265" t="str">
        <f ca="1">IF(AND(ResultsTeams[[#This Row],[Category]]&lt;&gt;"",ResultsTeams[[#This Row],[Team A]]&lt;&gt;""),COUNTIF(INDIRECT("TeamsList[Club Name]"),ResultsTeams[[#This Row],[Team A]]),"")</f>
        <v/>
      </c>
      <c r="T428" s="265" t="str">
        <f ca="1">IF(AND(ResultsTeams[[#This Row],[Category]]&lt;&gt;"",ResultsTeams[[#This Row],[Team B]]&lt;&gt;""),COUNTIF(INDIRECT("TeamsList[Club Name]"),ResultsTeams[[#This Row],[Team B]]),"")</f>
        <v/>
      </c>
      <c r="U4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-Carlo Alessi</v>
      </c>
      <c r="V428" s="265" t="str">
        <f>IF(ResultsTeams[[#This Row],[Score_OK]],IF(ResultsTeams[[#This Row],[StageCpy]]="Groups",ResultsTeams[[#This Row],[Category]]&amp;"-"&amp;IF(ResultsTeams[[#This Row],[Team B]]="","",IF(ResultsTeams[[#This Row],[Match-A]]=ResultsTeams[[#This Row],[Match-B]],ResultsTeams[[#This Row],[Team A]],"")),""),"")</f>
        <v>-</v>
      </c>
      <c r="W428" s="265" t="str">
        <f>IF(ResultsTeams[[#This Row],[Score_OK]],IF(ResultsTeams[[#This Row],[StageCpy]]="Groups",ResultsTeams[[#This Row],[Category]]&amp;"-"&amp;IF(ResultsTeams[[#This Row],[Team B]]="","",IF(ResultsTeams[[#This Row],[Match-A]]=ResultsTeams[[#This Row],[Match-B]],ResultsTeams[[#This Row],[Team B]],"")),""),"")</f>
        <v>-</v>
      </c>
      <c r="X4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-Adrian Pigott</v>
      </c>
      <c r="Y4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8" s="264" t="str">
        <f>IF(ResultsTeams[[#This Row],[Category]]="","",VLOOKUP(ResultsTeams[[#This Row],[Stage]],$R$1:$T$8,MATCH(ResultsTeams[[#This Row],[Category]],$S$1:$T$1,0)+1,FALSE))</f>
        <v/>
      </c>
      <c r="AC4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8" s="264" t="str">
        <f>IF(ResultsTeams[[#This Row],[Type]]="G",ResultsTeams[[#This Row],[Stage]],AD427)</f>
        <v>Groups</v>
      </c>
      <c r="AE428" s="395" t="str">
        <f>IF(ResultsTeams[[#This Row],[Type]]="G",INDEX(TeamsList[Club Name],MATCH(ResultsTeams[[#This Row],[Team A]],TeamsList[Team Name],0)),AE427)</f>
        <v>Master Sanremo</v>
      </c>
      <c r="AF428" s="395" t="str">
        <f>IF(ResultsTeams[[#This Row],[Type]]="G",INDEX(TeamsList[Club Name],MATCH(ResultsTeams[[#This Row],[Team B]],TeamsList[Team Name],0)),AF427)</f>
        <v>Irish Premier League</v>
      </c>
      <c r="AG428" s="265"/>
    </row>
    <row r="429" spans="1:33" x14ac:dyDescent="0.2">
      <c r="A429" s="62"/>
      <c r="B429" s="280"/>
      <c r="C429" s="62"/>
      <c r="D429" s="62"/>
      <c r="E429" s="241" t="s">
        <v>12240</v>
      </c>
      <c r="F429" s="246" t="s">
        <v>10359</v>
      </c>
      <c r="G429" s="246" t="s">
        <v>10584</v>
      </c>
      <c r="H429" s="254">
        <v>3</v>
      </c>
      <c r="I429" s="254">
        <v>0</v>
      </c>
      <c r="J429" s="254"/>
      <c r="K429" s="363"/>
      <c r="L429" s="363"/>
      <c r="M429" s="247"/>
      <c r="N429" s="265" t="b">
        <f>NOT(ISERROR(ResultsTeams[[#This Row],[Goal-A]]+ResultsTeams[[#This Row],[Goal-B]]))</f>
        <v>1</v>
      </c>
      <c r="O429" s="265">
        <f>IF(ResultsTeams[[#This Row],[Type]]="G",SUM(O430:O433),IF(LEFT(ResultsTeams[[#This Row],[Type]],1)="P",IF(ResultsTeams[[#This Row],[Goal-A]]&gt;ResultsTeams[[#This Row],[Goal-B]],1,0),""))</f>
        <v>1</v>
      </c>
      <c r="P429" s="265">
        <f>IF(ResultsTeams[[#This Row],[Type]]="G",SUM(P430:P433),IF(LEFT(ResultsTeams[[#This Row],[Type]],1)="P",IF(ResultsTeams[[#This Row],[Goal-A]]&lt;ResultsTeams[[#This Row],[Goal-B]],1,0),""))</f>
        <v>0</v>
      </c>
      <c r="Q429" s="265">
        <f>IF(ResultsTeams[[#This Row],[Type]]="G",SUM(Q430:Q433),IF(LEFT(ResultsTeams[[#This Row],[Type]],1)="P",VALUE(ResultsTeams[[#This Row],[Score-A]]),""))</f>
        <v>3</v>
      </c>
      <c r="R429" s="265">
        <f>IF(ResultsTeams[[#This Row],[Type]]="G",SUM(R430:R433),IF(LEFT(ResultsTeams[[#This Row],[Type]],1)="P",VALUE(ResultsTeams[[#This Row],[Score-B]]),""))</f>
        <v>0</v>
      </c>
      <c r="S429" s="265" t="str">
        <f ca="1">IF(AND(ResultsTeams[[#This Row],[Category]]&lt;&gt;"",ResultsTeams[[#This Row],[Team A]]&lt;&gt;""),COUNTIF(INDIRECT("TeamsList[Club Name]"),ResultsTeams[[#This Row],[Team A]]),"")</f>
        <v/>
      </c>
      <c r="T429" s="265" t="str">
        <f ca="1">IF(AND(ResultsTeams[[#This Row],[Category]]&lt;&gt;"",ResultsTeams[[#This Row],[Team B]]&lt;&gt;""),COUNTIF(INDIRECT("TeamsList[Club Name]"),ResultsTeams[[#This Row],[Team B]]),"")</f>
        <v/>
      </c>
      <c r="U4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-Alessandro Arca</v>
      </c>
      <c r="V429" s="265" t="str">
        <f>IF(ResultsTeams[[#This Row],[Score_OK]],IF(ResultsTeams[[#This Row],[StageCpy]]="Groups",ResultsTeams[[#This Row],[Category]]&amp;"-"&amp;IF(ResultsTeams[[#This Row],[Team B]]="","",IF(ResultsTeams[[#This Row],[Match-A]]=ResultsTeams[[#This Row],[Match-B]],ResultsTeams[[#This Row],[Team A]],"")),""),"")</f>
        <v>-</v>
      </c>
      <c r="W429" s="265" t="str">
        <f>IF(ResultsTeams[[#This Row],[Score_OK]],IF(ResultsTeams[[#This Row],[StageCpy]]="Groups",ResultsTeams[[#This Row],[Category]]&amp;"-"&amp;IF(ResultsTeams[[#This Row],[Team B]]="","",IF(ResultsTeams[[#This Row],[Match-A]]=ResultsTeams[[#This Row],[Match-B]],ResultsTeams[[#This Row],[Team B]],"")),""),"")</f>
        <v>-</v>
      </c>
      <c r="X4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-John Moore</v>
      </c>
      <c r="Y4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9" s="264" t="str">
        <f>IF(ResultsTeams[[#This Row],[Category]]="","",VLOOKUP(ResultsTeams[[#This Row],[Stage]],$R$1:$T$8,MATCH(ResultsTeams[[#This Row],[Category]],$S$1:$T$1,0)+1,FALSE))</f>
        <v/>
      </c>
      <c r="AC4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9" s="264" t="str">
        <f>IF(ResultsTeams[[#This Row],[Type]]="G",ResultsTeams[[#This Row],[Stage]],AD428)</f>
        <v>Groups</v>
      </c>
      <c r="AE429" s="395" t="str">
        <f>IF(ResultsTeams[[#This Row],[Type]]="G",INDEX(TeamsList[Club Name],MATCH(ResultsTeams[[#This Row],[Team A]],TeamsList[Team Name],0)),AE428)</f>
        <v>Master Sanremo</v>
      </c>
      <c r="AF429" s="395" t="str">
        <f>IF(ResultsTeams[[#This Row],[Type]]="G",INDEX(TeamsList[Club Name],MATCH(ResultsTeams[[#This Row],[Team B]],TeamsList[Team Name],0)),AF428)</f>
        <v>Irish Premier League</v>
      </c>
      <c r="AG429" s="265"/>
    </row>
    <row r="430" spans="1:33" x14ac:dyDescent="0.2">
      <c r="A430" s="62"/>
      <c r="B430" s="62"/>
      <c r="C430" s="62"/>
      <c r="D430" s="62"/>
      <c r="E430" s="241" t="s">
        <v>12243</v>
      </c>
      <c r="F430" s="247"/>
      <c r="G430" s="247"/>
      <c r="H430" s="254"/>
      <c r="I430" s="254"/>
      <c r="J430" s="260"/>
      <c r="K430" s="364"/>
      <c r="L430" s="364"/>
      <c r="M430" s="247"/>
      <c r="N430" s="265" t="b">
        <f>NOT(ISERROR(ResultsTeams[[#This Row],[Goal-A]]+ResultsTeams[[#This Row],[Goal-B]]))</f>
        <v>0</v>
      </c>
      <c r="O430" s="265" t="str">
        <f>IF(ResultsTeams[[#This Row],[Type]]="G",SUM(O431:O434),IF(LEFT(ResultsTeams[[#This Row],[Type]],1)="P",IF(ResultsTeams[[#This Row],[Goal-A]]&gt;ResultsTeams[[#This Row],[Goal-B]],1,0),""))</f>
        <v/>
      </c>
      <c r="P430" s="265" t="str">
        <f>IF(ResultsTeams[[#This Row],[Type]]="G",SUM(P431:P434),IF(LEFT(ResultsTeams[[#This Row],[Type]],1)="P",IF(ResultsTeams[[#This Row],[Goal-A]]&lt;ResultsTeams[[#This Row],[Goal-B]],1,0),""))</f>
        <v/>
      </c>
      <c r="Q430" s="265" t="str">
        <f>IF(ResultsTeams[[#This Row],[Type]]="G",SUM(Q431:Q434),IF(LEFT(ResultsTeams[[#This Row],[Type]],1)="P",VALUE(ResultsTeams[[#This Row],[Score-A]]),""))</f>
        <v/>
      </c>
      <c r="R430" s="265" t="str">
        <f>IF(ResultsTeams[[#This Row],[Type]]="G",SUM(R431:R434),IF(LEFT(ResultsTeams[[#This Row],[Type]],1)="P",VALUE(ResultsTeams[[#This Row],[Score-B]]),""))</f>
        <v/>
      </c>
      <c r="S430" s="265" t="str">
        <f ca="1">IF(AND(ResultsTeams[[#This Row],[Category]]&lt;&gt;"",ResultsTeams[[#This Row],[Team A]]&lt;&gt;""),COUNTIF(INDIRECT("TeamsList[Club Name]"),ResultsTeams[[#This Row],[Team A]]),"")</f>
        <v/>
      </c>
      <c r="T430" s="265" t="str">
        <f ca="1">IF(AND(ResultsTeams[[#This Row],[Category]]&lt;&gt;"",ResultsTeams[[#This Row],[Team B]]&lt;&gt;""),COUNTIF(INDIRECT("TeamsList[Club Name]"),ResultsTeams[[#This Row],[Team B]]),"")</f>
        <v/>
      </c>
      <c r="U4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0" s="265" t="str">
        <f>IF(ResultsTeams[[#This Row],[Score_OK]],IF(ResultsTeams[[#This Row],[StageCpy]]="Groups",ResultsTeams[[#This Row],[Category]]&amp;"-"&amp;IF(ResultsTeams[[#This Row],[Team B]]="","",IF(ResultsTeams[[#This Row],[Match-A]]=ResultsTeams[[#This Row],[Match-B]],ResultsTeams[[#This Row],[Team A]],"")),""),"")</f>
        <v/>
      </c>
      <c r="W430" s="265" t="str">
        <f>IF(ResultsTeams[[#This Row],[Score_OK]],IF(ResultsTeams[[#This Row],[StageCpy]]="Groups",ResultsTeams[[#This Row],[Category]]&amp;"-"&amp;IF(ResultsTeams[[#This Row],[Team B]]="","",IF(ResultsTeams[[#This Row],[Match-A]]=ResultsTeams[[#This Row],[Match-B]],ResultsTeams[[#This Row],[Team B]],"")),""),"")</f>
        <v/>
      </c>
      <c r="X4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0" s="264" t="str">
        <f>IF(ResultsTeams[[#This Row],[Category]]="","",VLOOKUP(ResultsTeams[[#This Row],[Stage]],$R$1:$T$8,MATCH(ResultsTeams[[#This Row],[Category]],$S$1:$T$1,0)+1,FALSE))</f>
        <v/>
      </c>
      <c r="AC4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0" s="264" t="str">
        <f>IF(ResultsTeams[[#This Row],[Type]]="G",ResultsTeams[[#This Row],[Stage]],AD429)</f>
        <v>Groups</v>
      </c>
      <c r="AE430" s="395" t="str">
        <f>IF(ResultsTeams[[#This Row],[Type]]="G",INDEX(TeamsList[Club Name],MATCH(ResultsTeams[[#This Row],[Team A]],TeamsList[Team Name],0)),AE429)</f>
        <v>Master Sanremo</v>
      </c>
      <c r="AF430" s="395" t="str">
        <f>IF(ResultsTeams[[#This Row],[Type]]="G",INDEX(TeamsList[Club Name],MATCH(ResultsTeams[[#This Row],[Team B]],TeamsList[Team Name],0)),AF429)</f>
        <v>Irish Premier League</v>
      </c>
      <c r="AG430" s="265"/>
    </row>
    <row r="431" spans="1:33" ht="12" thickBot="1" x14ac:dyDescent="0.25">
      <c r="A431" s="83"/>
      <c r="B431" s="83"/>
      <c r="C431" s="83"/>
      <c r="D431" s="83"/>
      <c r="E431" s="268" t="s">
        <v>12244</v>
      </c>
      <c r="F431" s="262"/>
      <c r="G431" s="262"/>
      <c r="H431" s="324"/>
      <c r="I431" s="324"/>
      <c r="J431" s="263"/>
      <c r="K431" s="365"/>
      <c r="L431" s="365"/>
      <c r="M431" s="262"/>
      <c r="N431" s="265" t="b">
        <f>NOT(ISERROR(ResultsTeams[[#This Row],[Goal-A]]+ResultsTeams[[#This Row],[Goal-B]]))</f>
        <v>0</v>
      </c>
      <c r="O431" s="265" t="str">
        <f>IF(ResultsTeams[[#This Row],[Type]]="G",SUM(O432:O435),IF(LEFT(ResultsTeams[[#This Row],[Type]],1)="P",IF(ResultsTeams[[#This Row],[Goal-A]]&gt;ResultsTeams[[#This Row],[Goal-B]],1,0),""))</f>
        <v/>
      </c>
      <c r="P431" s="265" t="str">
        <f>IF(ResultsTeams[[#This Row],[Type]]="G",SUM(P432:P435),IF(LEFT(ResultsTeams[[#This Row],[Type]],1)="P",IF(ResultsTeams[[#This Row],[Goal-A]]&lt;ResultsTeams[[#This Row],[Goal-B]],1,0),""))</f>
        <v/>
      </c>
      <c r="Q431" s="265" t="str">
        <f>IF(ResultsTeams[[#This Row],[Type]]="G",SUM(Q432:Q435),IF(LEFT(ResultsTeams[[#This Row],[Type]],1)="P",VALUE(ResultsTeams[[#This Row],[Score-A]]),""))</f>
        <v/>
      </c>
      <c r="R431" s="265" t="str">
        <f>IF(ResultsTeams[[#This Row],[Type]]="G",SUM(R432:R435),IF(LEFT(ResultsTeams[[#This Row],[Type]],1)="P",VALUE(ResultsTeams[[#This Row],[Score-B]]),""))</f>
        <v/>
      </c>
      <c r="S431" s="265" t="str">
        <f ca="1">IF(AND(ResultsTeams[[#This Row],[Category]]&lt;&gt;"",ResultsTeams[[#This Row],[Team A]]&lt;&gt;""),COUNTIF(INDIRECT("TeamsList[Club Name]"),ResultsTeams[[#This Row],[Team A]]),"")</f>
        <v/>
      </c>
      <c r="T431" s="265" t="str">
        <f ca="1">IF(AND(ResultsTeams[[#This Row],[Category]]&lt;&gt;"",ResultsTeams[[#This Row],[Team B]]&lt;&gt;""),COUNTIF(INDIRECT("TeamsList[Club Name]"),ResultsTeams[[#This Row],[Team B]]),"")</f>
        <v/>
      </c>
      <c r="U4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1" s="265" t="str">
        <f>IF(ResultsTeams[[#This Row],[Score_OK]],IF(ResultsTeams[[#This Row],[StageCpy]]="Groups",ResultsTeams[[#This Row],[Category]]&amp;"-"&amp;IF(ResultsTeams[[#This Row],[Team B]]="","",IF(ResultsTeams[[#This Row],[Match-A]]=ResultsTeams[[#This Row],[Match-B]],ResultsTeams[[#This Row],[Team A]],"")),""),"")</f>
        <v/>
      </c>
      <c r="W431" s="265" t="str">
        <f>IF(ResultsTeams[[#This Row],[Score_OK]],IF(ResultsTeams[[#This Row],[StageCpy]]="Groups",ResultsTeams[[#This Row],[Category]]&amp;"-"&amp;IF(ResultsTeams[[#This Row],[Team B]]="","",IF(ResultsTeams[[#This Row],[Match-A]]=ResultsTeams[[#This Row],[Match-B]],ResultsTeams[[#This Row],[Team B]],"")),""),"")</f>
        <v/>
      </c>
      <c r="X4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1" s="264" t="str">
        <f>IF(ResultsTeams[[#This Row],[Category]]="","",VLOOKUP(ResultsTeams[[#This Row],[Stage]],$R$1:$T$8,MATCH(ResultsTeams[[#This Row],[Category]],$S$1:$T$1,0)+1,FALSE))</f>
        <v/>
      </c>
      <c r="AC4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1" s="264" t="str">
        <f>IF(ResultsTeams[[#This Row],[Type]]="G",ResultsTeams[[#This Row],[Stage]],AD430)</f>
        <v>Groups</v>
      </c>
      <c r="AE431" s="395" t="str">
        <f>IF(ResultsTeams[[#This Row],[Type]]="G",INDEX(TeamsList[Club Name],MATCH(ResultsTeams[[#This Row],[Team A]],TeamsList[Team Name],0)),AE430)</f>
        <v>Master Sanremo</v>
      </c>
      <c r="AF431" s="395" t="str">
        <f>IF(ResultsTeams[[#This Row],[Type]]="G",INDEX(TeamsList[Club Name],MATCH(ResultsTeams[[#This Row],[Team B]],TeamsList[Team Name],0)),AF430)</f>
        <v>Irish Premier League</v>
      </c>
      <c r="AG431" s="265"/>
    </row>
    <row r="432" spans="1:33" ht="12" thickBot="1" x14ac:dyDescent="0.25">
      <c r="A432" s="261" t="s">
        <v>12693</v>
      </c>
      <c r="B432" s="270" t="s">
        <v>12207</v>
      </c>
      <c r="C432" s="270">
        <v>10</v>
      </c>
      <c r="D432" s="270"/>
      <c r="E432" s="272" t="s">
        <v>12228</v>
      </c>
      <c r="F432" s="273" t="s">
        <v>170</v>
      </c>
      <c r="G432" s="273" t="s">
        <v>792</v>
      </c>
      <c r="H432" s="275">
        <v>4</v>
      </c>
      <c r="I432" s="275">
        <v>0</v>
      </c>
      <c r="J432" s="275"/>
      <c r="K432" s="366"/>
      <c r="L432" s="366"/>
      <c r="M432" s="274"/>
      <c r="N432" s="265" t="b">
        <f>NOT(ISERROR(ResultsTeams[[#This Row],[Goal-A]]+ResultsTeams[[#This Row],[Goal-B]]))</f>
        <v>1</v>
      </c>
      <c r="O432" s="265">
        <f>IF(ResultsTeams[[#This Row],[Type]]="G",SUM(O433:O436),IF(LEFT(ResultsTeams[[#This Row],[Type]],1)="P",IF(ResultsTeams[[#This Row],[Goal-A]]&gt;ResultsTeams[[#This Row],[Goal-B]],1,0),""))</f>
        <v>4</v>
      </c>
      <c r="P432" s="265">
        <f>IF(ResultsTeams[[#This Row],[Type]]="G",SUM(P433:P436),IF(LEFT(ResultsTeams[[#This Row],[Type]],1)="P",IF(ResultsTeams[[#This Row],[Goal-A]]&lt;ResultsTeams[[#This Row],[Goal-B]],1,0),""))</f>
        <v>0</v>
      </c>
      <c r="Q432" s="265">
        <f>IF(ResultsTeams[[#This Row],[Type]]="G",SUM(Q433:Q436),IF(LEFT(ResultsTeams[[#This Row],[Type]],1)="P",VALUE(ResultsTeams[[#This Row],[Score-A]]),""))</f>
        <v>29</v>
      </c>
      <c r="R432" s="265">
        <f>IF(ResultsTeams[[#This Row],[Type]]="G",SUM(R433:R436),IF(LEFT(ResultsTeams[[#This Row],[Type]],1)="P",VALUE(ResultsTeams[[#This Row],[Score-B]]),""))</f>
        <v>3</v>
      </c>
      <c r="S432" s="265">
        <f ca="1">IF(AND(ResultsTeams[[#This Row],[Category]]&lt;&gt;"",ResultsTeams[[#This Row],[Team A]]&lt;&gt;""),COUNTIF(INDIRECT("TeamsList[Club Name]"),ResultsTeams[[#This Row],[Team A]]),"")</f>
        <v>2</v>
      </c>
      <c r="T432" s="265">
        <f ca="1">IF(AND(ResultsTeams[[#This Row],[Category]]&lt;&gt;"",ResultsTeams[[#This Row],[Team B]]&lt;&gt;""),COUNTIF(INDIRECT("TeamsList[Club Name]"),ResultsTeams[[#This Row],[Team B]]),"")</f>
        <v>1</v>
      </c>
      <c r="U4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v>
      </c>
      <c r="V432" s="265" t="str">
        <f>IF(ResultsTeams[[#This Row],[Score_OK]],IF(ResultsTeams[[#This Row],[StageCpy]]="Groups",ResultsTeams[[#This Row],[Category]]&amp;"-"&amp;IF(ResultsTeams[[#This Row],[Team B]]="","",IF(ResultsTeams[[#This Row],[Match-A]]=ResultsTeams[[#This Row],[Match-B]],ResultsTeams[[#This Row],[Team A]],"")),""),"")</f>
        <v>TEAM-</v>
      </c>
      <c r="W432" s="265" t="str">
        <f>IF(ResultsTeams[[#This Row],[Score_OK]],IF(ResultsTeams[[#This Row],[StageCpy]]="Groups",ResultsTeams[[#This Row],[Category]]&amp;"-"&amp;IF(ResultsTeams[[#This Row],[Team B]]="","",IF(ResultsTeams[[#This Row],[Match-A]]=ResultsTeams[[#This Row],[Match-B]],ResultsTeams[[#This Row],[Team B]],"")),""),"")</f>
        <v>TEAM-</v>
      </c>
      <c r="X4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TEAM-H'Attard SC</v>
      </c>
      <c r="Y4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TEAM-H'Attard SC</v>
      </c>
      <c r="AA4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TEAM-H'Attard SC</v>
      </c>
      <c r="AB432" s="264" t="str">
        <f>IF(ResultsTeams[[#This Row],[Category]]="","",VLOOKUP(ResultsTeams[[#This Row],[Stage]],$R$1:$T$8,MATCH(ResultsTeams[[#This Row],[Category]],$S$1:$T$1,0)+1,FALSE))</f>
        <v>PR1</v>
      </c>
      <c r="AC4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2" s="264" t="str">
        <f>IF(ResultsTeams[[#This Row],[Type]]="G",ResultsTeams[[#This Row],[Stage]],AD431)</f>
        <v>Groups</v>
      </c>
      <c r="AE432" s="395" t="str">
        <f>IF(ResultsTeams[[#This Row],[Type]]="G",INDEX(TeamsList[Club Name],MATCH(ResultsTeams[[#This Row],[Team A]],TeamsList[Team Name],0)),AE431)</f>
        <v>Tiburones FM</v>
      </c>
      <c r="AF432" s="395" t="str">
        <f>IF(ResultsTeams[[#This Row],[Type]]="G",INDEX(TeamsList[Club Name],MATCH(ResultsTeams[[#This Row],[Team B]],TeamsList[Team Name],0)),AF431)</f>
        <v>H'Attard SC</v>
      </c>
      <c r="AG432" s="265"/>
    </row>
    <row r="433" spans="1:33" x14ac:dyDescent="0.2">
      <c r="A433" s="60"/>
      <c r="B433" s="280"/>
      <c r="C433" s="60"/>
      <c r="D433" s="60"/>
      <c r="E433" s="240" t="s">
        <v>12231</v>
      </c>
      <c r="F433" s="244" t="s">
        <v>8752</v>
      </c>
      <c r="G433" s="244" t="s">
        <v>10440</v>
      </c>
      <c r="H433" s="253">
        <v>4</v>
      </c>
      <c r="I433" s="253">
        <v>0</v>
      </c>
      <c r="J433" s="253"/>
      <c r="K433" s="362"/>
      <c r="L433" s="362"/>
      <c r="M433" s="245"/>
      <c r="N433" s="265" t="b">
        <f>NOT(ISERROR(ResultsTeams[[#This Row],[Goal-A]]+ResultsTeams[[#This Row],[Goal-B]]))</f>
        <v>1</v>
      </c>
      <c r="O433" s="265">
        <f>IF(ResultsTeams[[#This Row],[Type]]="G",SUM(O434:O437),IF(LEFT(ResultsTeams[[#This Row],[Type]],1)="P",IF(ResultsTeams[[#This Row],[Goal-A]]&gt;ResultsTeams[[#This Row],[Goal-B]],1,0),""))</f>
        <v>1</v>
      </c>
      <c r="P433" s="265">
        <f>IF(ResultsTeams[[#This Row],[Type]]="G",SUM(P434:P437),IF(LEFT(ResultsTeams[[#This Row],[Type]],1)="P",IF(ResultsTeams[[#This Row],[Goal-A]]&lt;ResultsTeams[[#This Row],[Goal-B]],1,0),""))</f>
        <v>0</v>
      </c>
      <c r="Q433" s="265">
        <f>IF(ResultsTeams[[#This Row],[Type]]="G",SUM(Q434:Q437),IF(LEFT(ResultsTeams[[#This Row],[Type]],1)="P",VALUE(ResultsTeams[[#This Row],[Score-A]]),""))</f>
        <v>4</v>
      </c>
      <c r="R433" s="265">
        <f>IF(ResultsTeams[[#This Row],[Type]]="G",SUM(R434:R437),IF(LEFT(ResultsTeams[[#This Row],[Type]],1)="P",VALUE(ResultsTeams[[#This Row],[Score-B]]),""))</f>
        <v>0</v>
      </c>
      <c r="S433" s="265" t="str">
        <f ca="1">IF(AND(ResultsTeams[[#This Row],[Category]]&lt;&gt;"",ResultsTeams[[#This Row],[Team A]]&lt;&gt;""),COUNTIF(INDIRECT("TeamsList[Club Name]"),ResultsTeams[[#This Row],[Team A]]),"")</f>
        <v/>
      </c>
      <c r="T433" s="265" t="str">
        <f ca="1">IF(AND(ResultsTeams[[#This Row],[Category]]&lt;&gt;"",ResultsTeams[[#This Row],[Team B]]&lt;&gt;""),COUNTIF(INDIRECT("TeamsList[Club Name]"),ResultsTeams[[#This Row],[Team B]]),"")</f>
        <v/>
      </c>
      <c r="U4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Field</v>
      </c>
      <c r="V433" s="265" t="str">
        <f>IF(ResultsTeams[[#This Row],[Score_OK]],IF(ResultsTeams[[#This Row],[StageCpy]]="Groups",ResultsTeams[[#This Row],[Category]]&amp;"-"&amp;IF(ResultsTeams[[#This Row],[Team B]]="","",IF(ResultsTeams[[#This Row],[Match-A]]=ResultsTeams[[#This Row],[Match-B]],ResultsTeams[[#This Row],[Team A]],"")),""),"")</f>
        <v>-</v>
      </c>
      <c r="W433" s="265" t="str">
        <f>IF(ResultsTeams[[#This Row],[Score_OK]],IF(ResultsTeams[[#This Row],[StageCpy]]="Groups",ResultsTeams[[#This Row],[Category]]&amp;"-"&amp;IF(ResultsTeams[[#This Row],[Team B]]="","",IF(ResultsTeams[[#This Row],[Match-A]]=ResultsTeams[[#This Row],[Match-B]],ResultsTeams[[#This Row],[Team B]],"")),""),"")</f>
        <v>-</v>
      </c>
      <c r="X4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-Stanley Farrugia Randon</v>
      </c>
      <c r="Y4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3" s="264" t="str">
        <f>IF(ResultsTeams[[#This Row],[Category]]="","",VLOOKUP(ResultsTeams[[#This Row],[Stage]],$R$1:$T$8,MATCH(ResultsTeams[[#This Row],[Category]],$S$1:$T$1,0)+1,FALSE))</f>
        <v/>
      </c>
      <c r="AC4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3" s="264" t="str">
        <f>IF(ResultsTeams[[#This Row],[Type]]="G",ResultsTeams[[#This Row],[Stage]],AD432)</f>
        <v>Groups</v>
      </c>
      <c r="AE433" s="395" t="str">
        <f>IF(ResultsTeams[[#This Row],[Type]]="G",INDEX(TeamsList[Club Name],MATCH(ResultsTeams[[#This Row],[Team A]],TeamsList[Team Name],0)),AE432)</f>
        <v>Tiburones FM</v>
      </c>
      <c r="AF433" s="395" t="str">
        <f>IF(ResultsTeams[[#This Row],[Type]]="G",INDEX(TeamsList[Club Name],MATCH(ResultsTeams[[#This Row],[Team B]],TeamsList[Team Name],0)),AF432)</f>
        <v>H'Attard SC</v>
      </c>
      <c r="AG433" s="265"/>
    </row>
    <row r="434" spans="1:33" x14ac:dyDescent="0.2">
      <c r="A434" s="62"/>
      <c r="B434" s="280"/>
      <c r="C434" s="62"/>
      <c r="D434" s="62"/>
      <c r="E434" s="241" t="s">
        <v>12234</v>
      </c>
      <c r="F434" s="246" t="s">
        <v>8600</v>
      </c>
      <c r="G434" s="246" t="s">
        <v>10449</v>
      </c>
      <c r="H434" s="254">
        <v>7</v>
      </c>
      <c r="I434" s="254">
        <v>0</v>
      </c>
      <c r="J434" s="254"/>
      <c r="K434" s="363"/>
      <c r="L434" s="363"/>
      <c r="M434" s="247"/>
      <c r="N434" s="265" t="b">
        <f>NOT(ISERROR(ResultsTeams[[#This Row],[Goal-A]]+ResultsTeams[[#This Row],[Goal-B]]))</f>
        <v>1</v>
      </c>
      <c r="O434" s="265">
        <f>IF(ResultsTeams[[#This Row],[Type]]="G",SUM(O435:O438),IF(LEFT(ResultsTeams[[#This Row],[Type]],1)="P",IF(ResultsTeams[[#This Row],[Goal-A]]&gt;ResultsTeams[[#This Row],[Goal-B]],1,0),""))</f>
        <v>1</v>
      </c>
      <c r="P434" s="265">
        <f>IF(ResultsTeams[[#This Row],[Type]]="G",SUM(P435:P438),IF(LEFT(ResultsTeams[[#This Row],[Type]],1)="P",IF(ResultsTeams[[#This Row],[Goal-A]]&lt;ResultsTeams[[#This Row],[Goal-B]],1,0),""))</f>
        <v>0</v>
      </c>
      <c r="Q434" s="265">
        <f>IF(ResultsTeams[[#This Row],[Type]]="G",SUM(Q435:Q438),IF(LEFT(ResultsTeams[[#This Row],[Type]],1)="P",VALUE(ResultsTeams[[#This Row],[Score-A]]),""))</f>
        <v>7</v>
      </c>
      <c r="R434" s="265">
        <f>IF(ResultsTeams[[#This Row],[Type]]="G",SUM(R435:R438),IF(LEFT(ResultsTeams[[#This Row],[Type]],1)="P",VALUE(ResultsTeams[[#This Row],[Score-B]]),""))</f>
        <v>0</v>
      </c>
      <c r="S434" s="265" t="str">
        <f ca="1">IF(AND(ResultsTeams[[#This Row],[Category]]&lt;&gt;"",ResultsTeams[[#This Row],[Team A]]&lt;&gt;""),COUNTIF(INDIRECT("TeamsList[Club Name]"),ResultsTeams[[#This Row],[Team A]]),"")</f>
        <v/>
      </c>
      <c r="T434" s="265" t="str">
        <f ca="1">IF(AND(ResultsTeams[[#This Row],[Category]]&lt;&gt;"",ResultsTeams[[#This Row],[Team B]]&lt;&gt;""),COUNTIF(INDIRECT("TeamsList[Club Name]"),ResultsTeams[[#This Row],[Team B]]),"")</f>
        <v/>
      </c>
      <c r="U4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-Vicenç Prats</v>
      </c>
      <c r="V434" s="265" t="str">
        <f>IF(ResultsTeams[[#This Row],[Score_OK]],IF(ResultsTeams[[#This Row],[StageCpy]]="Groups",ResultsTeams[[#This Row],[Category]]&amp;"-"&amp;IF(ResultsTeams[[#This Row],[Team B]]="","",IF(ResultsTeams[[#This Row],[Match-A]]=ResultsTeams[[#This Row],[Match-B]],ResultsTeams[[#This Row],[Team A]],"")),""),"")</f>
        <v>-</v>
      </c>
      <c r="W434" s="265" t="str">
        <f>IF(ResultsTeams[[#This Row],[Score_OK]],IF(ResultsTeams[[#This Row],[StageCpy]]="Groups",ResultsTeams[[#This Row],[Category]]&amp;"-"&amp;IF(ResultsTeams[[#This Row],[Team B]]="","",IF(ResultsTeams[[#This Row],[Match-A]]=ResultsTeams[[#This Row],[Match-B]],ResultsTeams[[#This Row],[Team B]],"")),""),"")</f>
        <v>-</v>
      </c>
      <c r="X4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-Valentino Zamara</v>
      </c>
      <c r="Y4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4" s="264" t="str">
        <f>IF(ResultsTeams[[#This Row],[Category]]="","",VLOOKUP(ResultsTeams[[#This Row],[Stage]],$R$1:$T$8,MATCH(ResultsTeams[[#This Row],[Category]],$S$1:$T$1,0)+1,FALSE))</f>
        <v/>
      </c>
      <c r="AC4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4" s="264" t="str">
        <f>IF(ResultsTeams[[#This Row],[Type]]="G",ResultsTeams[[#This Row],[Stage]],AD433)</f>
        <v>Groups</v>
      </c>
      <c r="AE434" s="395" t="str">
        <f>IF(ResultsTeams[[#This Row],[Type]]="G",INDEX(TeamsList[Club Name],MATCH(ResultsTeams[[#This Row],[Team A]],TeamsList[Team Name],0)),AE433)</f>
        <v>Tiburones FM</v>
      </c>
      <c r="AF434" s="395" t="str">
        <f>IF(ResultsTeams[[#This Row],[Type]]="G",INDEX(TeamsList[Club Name],MATCH(ResultsTeams[[#This Row],[Team B]],TeamsList[Team Name],0)),AF433)</f>
        <v>H'Attard SC</v>
      </c>
      <c r="AG434" s="265"/>
    </row>
    <row r="435" spans="1:33" x14ac:dyDescent="0.2">
      <c r="A435" s="62"/>
      <c r="B435" s="280"/>
      <c r="C435" s="62"/>
      <c r="D435" s="62"/>
      <c r="E435" s="241" t="s">
        <v>12237</v>
      </c>
      <c r="F435" s="246" t="s">
        <v>8629</v>
      </c>
      <c r="G435" s="246" t="s">
        <v>10446</v>
      </c>
      <c r="H435" s="254">
        <v>10</v>
      </c>
      <c r="I435" s="254">
        <v>3</v>
      </c>
      <c r="J435" s="254"/>
      <c r="K435" s="363"/>
      <c r="L435" s="363"/>
      <c r="M435" s="247"/>
      <c r="N435" s="265" t="b">
        <f>NOT(ISERROR(ResultsTeams[[#This Row],[Goal-A]]+ResultsTeams[[#This Row],[Goal-B]]))</f>
        <v>1</v>
      </c>
      <c r="O435" s="265">
        <f>IF(ResultsTeams[[#This Row],[Type]]="G",SUM(O436:O439),IF(LEFT(ResultsTeams[[#This Row],[Type]],1)="P",IF(ResultsTeams[[#This Row],[Goal-A]]&gt;ResultsTeams[[#This Row],[Goal-B]],1,0),""))</f>
        <v>1</v>
      </c>
      <c r="P435" s="265">
        <f>IF(ResultsTeams[[#This Row],[Type]]="G",SUM(P436:P439),IF(LEFT(ResultsTeams[[#This Row],[Type]],1)="P",IF(ResultsTeams[[#This Row],[Goal-A]]&lt;ResultsTeams[[#This Row],[Goal-B]],1,0),""))</f>
        <v>0</v>
      </c>
      <c r="Q435" s="265">
        <f>IF(ResultsTeams[[#This Row],[Type]]="G",SUM(Q436:Q439),IF(LEFT(ResultsTeams[[#This Row],[Type]],1)="P",VALUE(ResultsTeams[[#This Row],[Score-A]]),""))</f>
        <v>10</v>
      </c>
      <c r="R435" s="265">
        <f>IF(ResultsTeams[[#This Row],[Type]]="G",SUM(R436:R439),IF(LEFT(ResultsTeams[[#This Row],[Type]],1)="P",VALUE(ResultsTeams[[#This Row],[Score-B]]),""))</f>
        <v>3</v>
      </c>
      <c r="S435" s="265" t="str">
        <f ca="1">IF(AND(ResultsTeams[[#This Row],[Category]]&lt;&gt;"",ResultsTeams[[#This Row],[Team A]]&lt;&gt;""),COUNTIF(INDIRECT("TeamsList[Club Name]"),ResultsTeams[[#This Row],[Team A]]),"")</f>
        <v/>
      </c>
      <c r="T435" s="265" t="str">
        <f ca="1">IF(AND(ResultsTeams[[#This Row],[Category]]&lt;&gt;"",ResultsTeams[[#This Row],[Team B]]&lt;&gt;""),COUNTIF(INDIRECT("TeamsList[Club Name]"),ResultsTeams[[#This Row],[Team B]]),"")</f>
        <v/>
      </c>
      <c r="U4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Jesús Casín</v>
      </c>
      <c r="V435" s="265" t="str">
        <f>IF(ResultsTeams[[#This Row],[Score_OK]],IF(ResultsTeams[[#This Row],[StageCpy]]="Groups",ResultsTeams[[#This Row],[Category]]&amp;"-"&amp;IF(ResultsTeams[[#This Row],[Team B]]="","",IF(ResultsTeams[[#This Row],[Match-A]]=ResultsTeams[[#This Row],[Match-B]],ResultsTeams[[#This Row],[Team A]],"")),""),"")</f>
        <v>-</v>
      </c>
      <c r="W435" s="265" t="str">
        <f>IF(ResultsTeams[[#This Row],[Score_OK]],IF(ResultsTeams[[#This Row],[StageCpy]]="Groups",ResultsTeams[[#This Row],[Category]]&amp;"-"&amp;IF(ResultsTeams[[#This Row],[Team B]]="","",IF(ResultsTeams[[#This Row],[Match-A]]=ResultsTeams[[#This Row],[Match-B]],ResultsTeams[[#This Row],[Team B]],"")),""),"")</f>
        <v>-</v>
      </c>
      <c r="X4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-Robert Farrugia Randon</v>
      </c>
      <c r="Y4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5" s="264" t="str">
        <f>IF(ResultsTeams[[#This Row],[Category]]="","",VLOOKUP(ResultsTeams[[#This Row],[Stage]],$R$1:$T$8,MATCH(ResultsTeams[[#This Row],[Category]],$S$1:$T$1,0)+1,FALSE))</f>
        <v/>
      </c>
      <c r="AC4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5" s="264" t="str">
        <f>IF(ResultsTeams[[#This Row],[Type]]="G",ResultsTeams[[#This Row],[Stage]],AD434)</f>
        <v>Groups</v>
      </c>
      <c r="AE435" s="395" t="str">
        <f>IF(ResultsTeams[[#This Row],[Type]]="G",INDEX(TeamsList[Club Name],MATCH(ResultsTeams[[#This Row],[Team A]],TeamsList[Team Name],0)),AE434)</f>
        <v>Tiburones FM</v>
      </c>
      <c r="AF435" s="395" t="str">
        <f>IF(ResultsTeams[[#This Row],[Type]]="G",INDEX(TeamsList[Club Name],MATCH(ResultsTeams[[#This Row],[Team B]],TeamsList[Team Name],0)),AF434)</f>
        <v>H'Attard SC</v>
      </c>
      <c r="AG435" s="265"/>
    </row>
    <row r="436" spans="1:33" x14ac:dyDescent="0.2">
      <c r="A436" s="62"/>
      <c r="B436" s="280"/>
      <c r="C436" s="62"/>
      <c r="D436" s="62"/>
      <c r="E436" s="241" t="s">
        <v>12240</v>
      </c>
      <c r="F436" s="246" t="s">
        <v>8628</v>
      </c>
      <c r="G436" s="246" t="s">
        <v>10447</v>
      </c>
      <c r="H436" s="254">
        <v>8</v>
      </c>
      <c r="I436" s="254">
        <v>0</v>
      </c>
      <c r="J436" s="254"/>
      <c r="K436" s="363"/>
      <c r="L436" s="363"/>
      <c r="M436" s="247"/>
      <c r="N436" s="265" t="b">
        <f>NOT(ISERROR(ResultsTeams[[#This Row],[Goal-A]]+ResultsTeams[[#This Row],[Goal-B]]))</f>
        <v>1</v>
      </c>
      <c r="O436" s="265">
        <f>IF(ResultsTeams[[#This Row],[Type]]="G",SUM(O437:O440),IF(LEFT(ResultsTeams[[#This Row],[Type]],1)="P",IF(ResultsTeams[[#This Row],[Goal-A]]&gt;ResultsTeams[[#This Row],[Goal-B]],1,0),""))</f>
        <v>1</v>
      </c>
      <c r="P436" s="265">
        <f>IF(ResultsTeams[[#This Row],[Type]]="G",SUM(P437:P440),IF(LEFT(ResultsTeams[[#This Row],[Type]],1)="P",IF(ResultsTeams[[#This Row],[Goal-A]]&lt;ResultsTeams[[#This Row],[Goal-B]],1,0),""))</f>
        <v>0</v>
      </c>
      <c r="Q436" s="265">
        <f>IF(ResultsTeams[[#This Row],[Type]]="G",SUM(Q437:Q440),IF(LEFT(ResultsTeams[[#This Row],[Type]],1)="P",VALUE(ResultsTeams[[#This Row],[Score-A]]),""))</f>
        <v>8</v>
      </c>
      <c r="R436" s="265">
        <f>IF(ResultsTeams[[#This Row],[Type]]="G",SUM(R437:R440),IF(LEFT(ResultsTeams[[#This Row],[Type]],1)="P",VALUE(ResultsTeams[[#This Row],[Score-B]]),""))</f>
        <v>0</v>
      </c>
      <c r="S436" s="265" t="str">
        <f ca="1">IF(AND(ResultsTeams[[#This Row],[Category]]&lt;&gt;"",ResultsTeams[[#This Row],[Team A]]&lt;&gt;""),COUNTIF(INDIRECT("TeamsList[Club Name]"),ResultsTeams[[#This Row],[Team A]]),"")</f>
        <v/>
      </c>
      <c r="T436" s="265" t="str">
        <f ca="1">IF(AND(ResultsTeams[[#This Row],[Category]]&lt;&gt;"",ResultsTeams[[#This Row],[Team B]]&lt;&gt;""),COUNTIF(INDIRECT("TeamsList[Club Name]"),ResultsTeams[[#This Row],[Team B]]),"")</f>
        <v/>
      </c>
      <c r="U4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González</v>
      </c>
      <c r="V436" s="265" t="str">
        <f>IF(ResultsTeams[[#This Row],[Score_OK]],IF(ResultsTeams[[#This Row],[StageCpy]]="Groups",ResultsTeams[[#This Row],[Category]]&amp;"-"&amp;IF(ResultsTeams[[#This Row],[Team B]]="","",IF(ResultsTeams[[#This Row],[Match-A]]=ResultsTeams[[#This Row],[Match-B]],ResultsTeams[[#This Row],[Team A]],"")),""),"")</f>
        <v>-</v>
      </c>
      <c r="W436" s="265" t="str">
        <f>IF(ResultsTeams[[#This Row],[Score_OK]],IF(ResultsTeams[[#This Row],[StageCpy]]="Groups",ResultsTeams[[#This Row],[Category]]&amp;"-"&amp;IF(ResultsTeams[[#This Row],[Team B]]="","",IF(ResultsTeams[[#This Row],[Match-A]]=ResultsTeams[[#This Row],[Match-B]],ResultsTeams[[#This Row],[Team B]],"")),""),"")</f>
        <v>-</v>
      </c>
      <c r="X4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-Mario Fleri Soler</v>
      </c>
      <c r="Y4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6" s="264" t="str">
        <f>IF(ResultsTeams[[#This Row],[Category]]="","",VLOOKUP(ResultsTeams[[#This Row],[Stage]],$R$1:$T$8,MATCH(ResultsTeams[[#This Row],[Category]],$S$1:$T$1,0)+1,FALSE))</f>
        <v/>
      </c>
      <c r="AC4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6" s="264" t="str">
        <f>IF(ResultsTeams[[#This Row],[Type]]="G",ResultsTeams[[#This Row],[Stage]],AD435)</f>
        <v>Groups</v>
      </c>
      <c r="AE436" s="395" t="str">
        <f>IF(ResultsTeams[[#This Row],[Type]]="G",INDEX(TeamsList[Club Name],MATCH(ResultsTeams[[#This Row],[Team A]],TeamsList[Team Name],0)),AE435)</f>
        <v>Tiburones FM</v>
      </c>
      <c r="AF436" s="395" t="str">
        <f>IF(ResultsTeams[[#This Row],[Type]]="G",INDEX(TeamsList[Club Name],MATCH(ResultsTeams[[#This Row],[Team B]],TeamsList[Team Name],0)),AF435)</f>
        <v>H'Attard SC</v>
      </c>
      <c r="AG436" s="265"/>
    </row>
    <row r="437" spans="1:33" x14ac:dyDescent="0.2">
      <c r="A437" s="62"/>
      <c r="B437" s="62"/>
      <c r="C437" s="62"/>
      <c r="D437" s="62"/>
      <c r="E437" s="241" t="s">
        <v>12243</v>
      </c>
      <c r="F437" s="247" t="s">
        <v>8747</v>
      </c>
      <c r="G437" s="247"/>
      <c r="H437" s="254" t="s">
        <v>12684</v>
      </c>
      <c r="I437" s="254"/>
      <c r="J437" s="260"/>
      <c r="K437" s="364"/>
      <c r="L437" s="364"/>
      <c r="M437" s="63"/>
      <c r="N437" s="265" t="b">
        <f>NOT(ISERROR(ResultsTeams[[#This Row],[Goal-A]]+ResultsTeams[[#This Row],[Goal-B]]))</f>
        <v>0</v>
      </c>
      <c r="O437" s="265" t="str">
        <f>IF(ResultsTeams[[#This Row],[Type]]="G",SUM(O438:O441),IF(LEFT(ResultsTeams[[#This Row],[Type]],1)="P",IF(ResultsTeams[[#This Row],[Goal-A]]&gt;ResultsTeams[[#This Row],[Goal-B]],1,0),""))</f>
        <v/>
      </c>
      <c r="P437" s="265" t="str">
        <f>IF(ResultsTeams[[#This Row],[Type]]="G",SUM(P438:P441),IF(LEFT(ResultsTeams[[#This Row],[Type]],1)="P",IF(ResultsTeams[[#This Row],[Goal-A]]&lt;ResultsTeams[[#This Row],[Goal-B]],1,0),""))</f>
        <v/>
      </c>
      <c r="Q437" s="265" t="str">
        <f>IF(ResultsTeams[[#This Row],[Type]]="G",SUM(Q438:Q441),IF(LEFT(ResultsTeams[[#This Row],[Type]],1)="P",VALUE(ResultsTeams[[#This Row],[Score-A]]),""))</f>
        <v/>
      </c>
      <c r="R437" s="265" t="str">
        <f>IF(ResultsTeams[[#This Row],[Type]]="G",SUM(R438:R441),IF(LEFT(ResultsTeams[[#This Row],[Type]],1)="P",VALUE(ResultsTeams[[#This Row],[Score-B]]),""))</f>
        <v/>
      </c>
      <c r="S437" s="265" t="str">
        <f ca="1">IF(AND(ResultsTeams[[#This Row],[Category]]&lt;&gt;"",ResultsTeams[[#This Row],[Team A]]&lt;&gt;""),COUNTIF(INDIRECT("TeamsList[Club Name]"),ResultsTeams[[#This Row],[Team A]]),"")</f>
        <v/>
      </c>
      <c r="T437" s="265" t="str">
        <f ca="1">IF(AND(ResultsTeams[[#This Row],[Category]]&lt;&gt;"",ResultsTeams[[#This Row],[Team B]]&lt;&gt;""),COUNTIF(INDIRECT("TeamsList[Club Name]"),ResultsTeams[[#This Row],[Team B]]),"")</f>
        <v/>
      </c>
      <c r="U4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7" s="265" t="str">
        <f>IF(ResultsTeams[[#This Row],[Score_OK]],IF(ResultsTeams[[#This Row],[StageCpy]]="Groups",ResultsTeams[[#This Row],[Category]]&amp;"-"&amp;IF(ResultsTeams[[#This Row],[Team B]]="","",IF(ResultsTeams[[#This Row],[Match-A]]=ResultsTeams[[#This Row],[Match-B]],ResultsTeams[[#This Row],[Team A]],"")),""),"")</f>
        <v/>
      </c>
      <c r="W437" s="265" t="str">
        <f>IF(ResultsTeams[[#This Row],[Score_OK]],IF(ResultsTeams[[#This Row],[StageCpy]]="Groups",ResultsTeams[[#This Row],[Category]]&amp;"-"&amp;IF(ResultsTeams[[#This Row],[Team B]]="","",IF(ResultsTeams[[#This Row],[Match-A]]=ResultsTeams[[#This Row],[Match-B]],ResultsTeams[[#This Row],[Team B]],"")),""),"")</f>
        <v/>
      </c>
      <c r="X4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7" s="264" t="str">
        <f>IF(ResultsTeams[[#This Row],[Category]]="","",VLOOKUP(ResultsTeams[[#This Row],[Stage]],$R$1:$T$8,MATCH(ResultsTeams[[#This Row],[Category]],$S$1:$T$1,0)+1,FALSE))</f>
        <v/>
      </c>
      <c r="AC4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7" s="264" t="str">
        <f>IF(ResultsTeams[[#This Row],[Type]]="G",ResultsTeams[[#This Row],[Stage]],AD436)</f>
        <v>Groups</v>
      </c>
      <c r="AE437" s="395" t="str">
        <f>IF(ResultsTeams[[#This Row],[Type]]="G",INDEX(TeamsList[Club Name],MATCH(ResultsTeams[[#This Row],[Team A]],TeamsList[Team Name],0)),AE436)</f>
        <v>Tiburones FM</v>
      </c>
      <c r="AF437" s="395" t="str">
        <f>IF(ResultsTeams[[#This Row],[Type]]="G",INDEX(TeamsList[Club Name],MATCH(ResultsTeams[[#This Row],[Team B]],TeamsList[Team Name],0)),AF436)</f>
        <v>H'Attard SC</v>
      </c>
      <c r="AG437" s="265"/>
    </row>
    <row r="438" spans="1:33" ht="12" thickBot="1" x14ac:dyDescent="0.25">
      <c r="A438" s="83"/>
      <c r="B438" s="83"/>
      <c r="C438" s="83"/>
      <c r="D438" s="83"/>
      <c r="E438" s="268" t="s">
        <v>12244</v>
      </c>
      <c r="F438" s="262"/>
      <c r="G438" s="262"/>
      <c r="H438" s="324"/>
      <c r="I438" s="324"/>
      <c r="J438" s="263"/>
      <c r="K438" s="365"/>
      <c r="L438" s="365"/>
      <c r="M438" s="84"/>
      <c r="N438" s="265" t="b">
        <f>NOT(ISERROR(ResultsTeams[[#This Row],[Goal-A]]+ResultsTeams[[#This Row],[Goal-B]]))</f>
        <v>0</v>
      </c>
      <c r="O438" s="265" t="str">
        <f>IF(ResultsTeams[[#This Row],[Type]]="G",SUM(O439:O442),IF(LEFT(ResultsTeams[[#This Row],[Type]],1)="P",IF(ResultsTeams[[#This Row],[Goal-A]]&gt;ResultsTeams[[#This Row],[Goal-B]],1,0),""))</f>
        <v/>
      </c>
      <c r="P438" s="265" t="str">
        <f>IF(ResultsTeams[[#This Row],[Type]]="G",SUM(P439:P442),IF(LEFT(ResultsTeams[[#This Row],[Type]],1)="P",IF(ResultsTeams[[#This Row],[Goal-A]]&lt;ResultsTeams[[#This Row],[Goal-B]],1,0),""))</f>
        <v/>
      </c>
      <c r="Q438" s="265" t="str">
        <f>IF(ResultsTeams[[#This Row],[Type]]="G",SUM(Q439:Q442),IF(LEFT(ResultsTeams[[#This Row],[Type]],1)="P",VALUE(ResultsTeams[[#This Row],[Score-A]]),""))</f>
        <v/>
      </c>
      <c r="R438" s="265" t="str">
        <f>IF(ResultsTeams[[#This Row],[Type]]="G",SUM(R439:R442),IF(LEFT(ResultsTeams[[#This Row],[Type]],1)="P",VALUE(ResultsTeams[[#This Row],[Score-B]]),""))</f>
        <v/>
      </c>
      <c r="S438" s="265" t="str">
        <f ca="1">IF(AND(ResultsTeams[[#This Row],[Category]]&lt;&gt;"",ResultsTeams[[#This Row],[Team A]]&lt;&gt;""),COUNTIF(INDIRECT("TeamsList[Club Name]"),ResultsTeams[[#This Row],[Team A]]),"")</f>
        <v/>
      </c>
      <c r="T438" s="265" t="str">
        <f ca="1">IF(AND(ResultsTeams[[#This Row],[Category]]&lt;&gt;"",ResultsTeams[[#This Row],[Team B]]&lt;&gt;""),COUNTIF(INDIRECT("TeamsList[Club Name]"),ResultsTeams[[#This Row],[Team B]]),"")</f>
        <v/>
      </c>
      <c r="U4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8" s="265" t="str">
        <f>IF(ResultsTeams[[#This Row],[Score_OK]],IF(ResultsTeams[[#This Row],[StageCpy]]="Groups",ResultsTeams[[#This Row],[Category]]&amp;"-"&amp;IF(ResultsTeams[[#This Row],[Team B]]="","",IF(ResultsTeams[[#This Row],[Match-A]]=ResultsTeams[[#This Row],[Match-B]],ResultsTeams[[#This Row],[Team A]],"")),""),"")</f>
        <v/>
      </c>
      <c r="W438" s="265" t="str">
        <f>IF(ResultsTeams[[#This Row],[Score_OK]],IF(ResultsTeams[[#This Row],[StageCpy]]="Groups",ResultsTeams[[#This Row],[Category]]&amp;"-"&amp;IF(ResultsTeams[[#This Row],[Team B]]="","",IF(ResultsTeams[[#This Row],[Match-A]]=ResultsTeams[[#This Row],[Match-B]],ResultsTeams[[#This Row],[Team B]],"")),""),"")</f>
        <v/>
      </c>
      <c r="X4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8" s="264" t="str">
        <f>IF(ResultsTeams[[#This Row],[Category]]="","",VLOOKUP(ResultsTeams[[#This Row],[Stage]],$R$1:$T$8,MATCH(ResultsTeams[[#This Row],[Category]],$S$1:$T$1,0)+1,FALSE))</f>
        <v/>
      </c>
      <c r="AC4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8" s="264" t="str">
        <f>IF(ResultsTeams[[#This Row],[Type]]="G",ResultsTeams[[#This Row],[Stage]],AD437)</f>
        <v>Groups</v>
      </c>
      <c r="AE438" s="395" t="str">
        <f>IF(ResultsTeams[[#This Row],[Type]]="G",INDEX(TeamsList[Club Name],MATCH(ResultsTeams[[#This Row],[Team A]],TeamsList[Team Name],0)),AE437)</f>
        <v>Tiburones FM</v>
      </c>
      <c r="AF438" s="395" t="str">
        <f>IF(ResultsTeams[[#This Row],[Type]]="G",INDEX(TeamsList[Club Name],MATCH(ResultsTeams[[#This Row],[Team B]],TeamsList[Team Name],0)),AF437)</f>
        <v>H'Attard SC</v>
      </c>
      <c r="AG438" s="265"/>
    </row>
    <row r="439" spans="1:33" ht="12" thickBot="1" x14ac:dyDescent="0.25">
      <c r="A439" s="261" t="s">
        <v>12693</v>
      </c>
      <c r="B439" s="270" t="s">
        <v>12207</v>
      </c>
      <c r="C439" s="270">
        <v>10</v>
      </c>
      <c r="D439" s="270"/>
      <c r="E439" s="272" t="s">
        <v>12228</v>
      </c>
      <c r="F439" s="273" t="s">
        <v>324</v>
      </c>
      <c r="G439" s="273" t="s">
        <v>340</v>
      </c>
      <c r="H439" s="275">
        <v>2</v>
      </c>
      <c r="I439" s="275">
        <v>1</v>
      </c>
      <c r="J439" s="275"/>
      <c r="K439" s="366"/>
      <c r="L439" s="366"/>
      <c r="M439" s="271"/>
      <c r="N439" s="265" t="b">
        <f>NOT(ISERROR(ResultsTeams[[#This Row],[Goal-A]]+ResultsTeams[[#This Row],[Goal-B]]))</f>
        <v>1</v>
      </c>
      <c r="O439" s="265">
        <f>IF(ResultsTeams[[#This Row],[Type]]="G",SUM(O440:O443),IF(LEFT(ResultsTeams[[#This Row],[Type]],1)="P",IF(ResultsTeams[[#This Row],[Goal-A]]&gt;ResultsTeams[[#This Row],[Goal-B]],1,0),""))</f>
        <v>2</v>
      </c>
      <c r="P439" s="265">
        <f>IF(ResultsTeams[[#This Row],[Type]]="G",SUM(P440:P443),IF(LEFT(ResultsTeams[[#This Row],[Type]],1)="P",IF(ResultsTeams[[#This Row],[Goal-A]]&lt;ResultsTeams[[#This Row],[Goal-B]],1,0),""))</f>
        <v>1</v>
      </c>
      <c r="Q439" s="265">
        <f>IF(ResultsTeams[[#This Row],[Type]]="G",SUM(Q440:Q443),IF(LEFT(ResultsTeams[[#This Row],[Type]],1)="P",VALUE(ResultsTeams[[#This Row],[Score-A]]),""))</f>
        <v>10</v>
      </c>
      <c r="R439" s="265">
        <f>IF(ResultsTeams[[#This Row],[Type]]="G",SUM(R440:R443),IF(LEFT(ResultsTeams[[#This Row],[Type]],1)="P",VALUE(ResultsTeams[[#This Row],[Score-B]]),""))</f>
        <v>5</v>
      </c>
      <c r="S439" s="265">
        <f ca="1">IF(AND(ResultsTeams[[#This Row],[Category]]&lt;&gt;"",ResultsTeams[[#This Row],[Team A]]&lt;&gt;""),COUNTIF(INDIRECT("TeamsList[Club Name]"),ResultsTeams[[#This Row],[Team A]]),"")</f>
        <v>4</v>
      </c>
      <c r="T439" s="265">
        <f ca="1">IF(AND(ResultsTeams[[#This Row],[Category]]&lt;&gt;"",ResultsTeams[[#This Row],[Team B]]&lt;&gt;""),COUNTIF(INDIRECT("TeamsList[Club Name]"),ResultsTeams[[#This Row],[Team B]]),"")</f>
        <v>2</v>
      </c>
      <c r="U4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Lion's Eugies</v>
      </c>
      <c r="V439" s="265" t="str">
        <f>IF(ResultsTeams[[#This Row],[Score_OK]],IF(ResultsTeams[[#This Row],[StageCpy]]="Groups",ResultsTeams[[#This Row],[Category]]&amp;"-"&amp;IF(ResultsTeams[[#This Row],[Team B]]="","",IF(ResultsTeams[[#This Row],[Match-A]]=ResultsTeams[[#This Row],[Match-B]],ResultsTeams[[#This Row],[Team A]],"")),""),"")</f>
        <v>TEAM-</v>
      </c>
      <c r="W439" s="265" t="str">
        <f>IF(ResultsTeams[[#This Row],[Score_OK]],IF(ResultsTeams[[#This Row],[StageCpy]]="Groups",ResultsTeams[[#This Row],[Category]]&amp;"-"&amp;IF(ResultsTeams[[#This Row],[Team B]]="","",IF(ResultsTeams[[#This Row],[Match-A]]=ResultsTeams[[#This Row],[Match-B]],ResultsTeams[[#This Row],[Team B]],"")),""),"")</f>
        <v>TEAM-</v>
      </c>
      <c r="X4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v>
      </c>
      <c r="Y4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A4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B439" s="264" t="str">
        <f>IF(ResultsTeams[[#This Row],[Category]]="","",VLOOKUP(ResultsTeams[[#This Row],[Stage]],$R$1:$T$8,MATCH(ResultsTeams[[#This Row],[Category]],$S$1:$T$1,0)+1,FALSE))</f>
        <v>PR1</v>
      </c>
      <c r="AC4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9" s="264" t="str">
        <f>IF(ResultsTeams[[#This Row],[Type]]="G",ResultsTeams[[#This Row],[Stage]],AD438)</f>
        <v>Groups</v>
      </c>
      <c r="AE439" s="395" t="str">
        <f>IF(ResultsTeams[[#This Row],[Type]]="G",INDEX(TeamsList[Club Name],MATCH(ResultsTeams[[#This Row],[Team A]],TeamsList[Team Name],0)),AE438)</f>
        <v>SC Lion's Eugies</v>
      </c>
      <c r="AF439" s="395" t="str">
        <f>IF(ResultsTeams[[#This Row],[Type]]="G",INDEX(TeamsList[Club Name],MATCH(ResultsTeams[[#This Row],[Team B]],TeamsList[Team Name],0)),AF438)</f>
        <v>Wamme SC</v>
      </c>
      <c r="AG439" s="265"/>
    </row>
    <row r="440" spans="1:33" x14ac:dyDescent="0.2">
      <c r="A440" s="60"/>
      <c r="B440" s="280"/>
      <c r="C440" s="60"/>
      <c r="D440" s="60"/>
      <c r="E440" s="240" t="s">
        <v>12231</v>
      </c>
      <c r="F440" s="244" t="s">
        <v>8109</v>
      </c>
      <c r="G440" s="244" t="s">
        <v>8193</v>
      </c>
      <c r="H440" s="253">
        <v>6</v>
      </c>
      <c r="I440" s="253">
        <v>0</v>
      </c>
      <c r="J440" s="253"/>
      <c r="K440" s="362"/>
      <c r="L440" s="362"/>
      <c r="M440" s="61"/>
      <c r="N440" s="265" t="b">
        <f>NOT(ISERROR(ResultsTeams[[#This Row],[Goal-A]]+ResultsTeams[[#This Row],[Goal-B]]))</f>
        <v>1</v>
      </c>
      <c r="O440" s="265">
        <f>IF(ResultsTeams[[#This Row],[Type]]="G",SUM(O441:O444),IF(LEFT(ResultsTeams[[#This Row],[Type]],1)="P",IF(ResultsTeams[[#This Row],[Goal-A]]&gt;ResultsTeams[[#This Row],[Goal-B]],1,0),""))</f>
        <v>1</v>
      </c>
      <c r="P440" s="265">
        <f>IF(ResultsTeams[[#This Row],[Type]]="G",SUM(P441:P444),IF(LEFT(ResultsTeams[[#This Row],[Type]],1)="P",IF(ResultsTeams[[#This Row],[Goal-A]]&lt;ResultsTeams[[#This Row],[Goal-B]],1,0),""))</f>
        <v>0</v>
      </c>
      <c r="Q440" s="265">
        <f>IF(ResultsTeams[[#This Row],[Type]]="G",SUM(Q441:Q444),IF(LEFT(ResultsTeams[[#This Row],[Type]],1)="P",VALUE(ResultsTeams[[#This Row],[Score-A]]),""))</f>
        <v>6</v>
      </c>
      <c r="R440" s="265">
        <f>IF(ResultsTeams[[#This Row],[Type]]="G",SUM(R441:R444),IF(LEFT(ResultsTeams[[#This Row],[Type]],1)="P",VALUE(ResultsTeams[[#This Row],[Score-B]]),""))</f>
        <v>0</v>
      </c>
      <c r="S440" s="265" t="str">
        <f ca="1">IF(AND(ResultsTeams[[#This Row],[Category]]&lt;&gt;"",ResultsTeams[[#This Row],[Team A]]&lt;&gt;""),COUNTIF(INDIRECT("TeamsList[Club Name]"),ResultsTeams[[#This Row],[Team A]]),"")</f>
        <v/>
      </c>
      <c r="T440" s="265" t="str">
        <f ca="1">IF(AND(ResultsTeams[[#This Row],[Category]]&lt;&gt;"",ResultsTeams[[#This Row],[Team B]]&lt;&gt;""),COUNTIF(INDIRECT("TeamsList[Club Name]"),ResultsTeams[[#This Row],[Team B]]),"")</f>
        <v/>
      </c>
      <c r="U4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-Joffray Laurent</v>
      </c>
      <c r="V440" s="265" t="str">
        <f>IF(ResultsTeams[[#This Row],[Score_OK]],IF(ResultsTeams[[#This Row],[StageCpy]]="Groups",ResultsTeams[[#This Row],[Category]]&amp;"-"&amp;IF(ResultsTeams[[#This Row],[Team B]]="","",IF(ResultsTeams[[#This Row],[Match-A]]=ResultsTeams[[#This Row],[Match-B]],ResultsTeams[[#This Row],[Team A]],"")),""),"")</f>
        <v>-</v>
      </c>
      <c r="W440" s="265" t="str">
        <f>IF(ResultsTeams[[#This Row],[Score_OK]],IF(ResultsTeams[[#This Row],[StageCpy]]="Groups",ResultsTeams[[#This Row],[Category]]&amp;"-"&amp;IF(ResultsTeams[[#This Row],[Team B]]="","",IF(ResultsTeams[[#This Row],[Match-A]]=ResultsTeams[[#This Row],[Match-B]],ResultsTeams[[#This Row],[Team B]],"")),""),"")</f>
        <v>-</v>
      </c>
      <c r="X4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Dirick</v>
      </c>
      <c r="Y4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0" s="264" t="str">
        <f>IF(ResultsTeams[[#This Row],[Category]]="","",VLOOKUP(ResultsTeams[[#This Row],[Stage]],$R$1:$T$8,MATCH(ResultsTeams[[#This Row],[Category]],$S$1:$T$1,0)+1,FALSE))</f>
        <v/>
      </c>
      <c r="AC4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0" s="264" t="str">
        <f>IF(ResultsTeams[[#This Row],[Type]]="G",ResultsTeams[[#This Row],[Stage]],AD439)</f>
        <v>Groups</v>
      </c>
      <c r="AE440" s="395" t="str">
        <f>IF(ResultsTeams[[#This Row],[Type]]="G",INDEX(TeamsList[Club Name],MATCH(ResultsTeams[[#This Row],[Team A]],TeamsList[Team Name],0)),AE439)</f>
        <v>SC Lion's Eugies</v>
      </c>
      <c r="AF440" s="395" t="str">
        <f>IF(ResultsTeams[[#This Row],[Type]]="G",INDEX(TeamsList[Club Name],MATCH(ResultsTeams[[#This Row],[Team B]],TeamsList[Team Name],0)),AF439)</f>
        <v>Wamme SC</v>
      </c>
      <c r="AG440" s="265"/>
    </row>
    <row r="441" spans="1:33" x14ac:dyDescent="0.2">
      <c r="A441" s="62"/>
      <c r="B441" s="280"/>
      <c r="C441" s="62"/>
      <c r="D441" s="62"/>
      <c r="E441" s="241" t="s">
        <v>12234</v>
      </c>
      <c r="F441" s="246" t="s">
        <v>8164</v>
      </c>
      <c r="G441" s="246" t="s">
        <v>8194</v>
      </c>
      <c r="H441" s="254">
        <v>2</v>
      </c>
      <c r="I441" s="254">
        <v>2</v>
      </c>
      <c r="J441" s="254"/>
      <c r="K441" s="363"/>
      <c r="L441" s="363"/>
      <c r="M441" s="63"/>
      <c r="N441" s="265" t="b">
        <f>NOT(ISERROR(ResultsTeams[[#This Row],[Goal-A]]+ResultsTeams[[#This Row],[Goal-B]]))</f>
        <v>1</v>
      </c>
      <c r="O441" s="265">
        <f>IF(ResultsTeams[[#This Row],[Type]]="G",SUM(O442:O445),IF(LEFT(ResultsTeams[[#This Row],[Type]],1)="P",IF(ResultsTeams[[#This Row],[Goal-A]]&gt;ResultsTeams[[#This Row],[Goal-B]],1,0),""))</f>
        <v>0</v>
      </c>
      <c r="P441" s="265">
        <f>IF(ResultsTeams[[#This Row],[Type]]="G",SUM(P442:P445),IF(LEFT(ResultsTeams[[#This Row],[Type]],1)="P",IF(ResultsTeams[[#This Row],[Goal-A]]&lt;ResultsTeams[[#This Row],[Goal-B]],1,0),""))</f>
        <v>0</v>
      </c>
      <c r="Q441" s="265">
        <f>IF(ResultsTeams[[#This Row],[Type]]="G",SUM(Q442:Q445),IF(LEFT(ResultsTeams[[#This Row],[Type]],1)="P",VALUE(ResultsTeams[[#This Row],[Score-A]]),""))</f>
        <v>2</v>
      </c>
      <c r="R441" s="265">
        <f>IF(ResultsTeams[[#This Row],[Type]]="G",SUM(R442:R445),IF(LEFT(ResultsTeams[[#This Row],[Type]],1)="P",VALUE(ResultsTeams[[#This Row],[Score-B]]),""))</f>
        <v>2</v>
      </c>
      <c r="S441" s="265" t="str">
        <f ca="1">IF(AND(ResultsTeams[[#This Row],[Category]]&lt;&gt;"",ResultsTeams[[#This Row],[Team A]]&lt;&gt;""),COUNTIF(INDIRECT("TeamsList[Club Name]"),ResultsTeams[[#This Row],[Team A]]),"")</f>
        <v/>
      </c>
      <c r="T441" s="265" t="str">
        <f ca="1">IF(AND(ResultsTeams[[#This Row],[Category]]&lt;&gt;"",ResultsTeams[[#This Row],[Team B]]&lt;&gt;""),COUNTIF(INDIRECT("TeamsList[Club Name]"),ResultsTeams[[#This Row],[Team B]]),"")</f>
        <v/>
      </c>
      <c r="U4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41" s="265" t="str">
        <f>IF(ResultsTeams[[#This Row],[Score_OK]],IF(ResultsTeams[[#This Row],[StageCpy]]="Groups",ResultsTeams[[#This Row],[Category]]&amp;"-"&amp;IF(ResultsTeams[[#This Row],[Team B]]="","",IF(ResultsTeams[[#This Row],[Match-A]]=ResultsTeams[[#This Row],[Match-B]],ResultsTeams[[#This Row],[Team A]],"")),""),"")</f>
        <v>-Bruno Timpano</v>
      </c>
      <c r="W441" s="265" t="str">
        <f>IF(ResultsTeams[[#This Row],[Score_OK]],IF(ResultsTeams[[#This Row],[StageCpy]]="Groups",ResultsTeams[[#This Row],[Category]]&amp;"-"&amp;IF(ResultsTeams[[#This Row],[Team B]]="","",IF(ResultsTeams[[#This Row],[Match-A]]=ResultsTeams[[#This Row],[Match-B]],ResultsTeams[[#This Row],[Team B]],"")),""),"")</f>
        <v>-Noah Janssens</v>
      </c>
      <c r="X4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1" s="264" t="str">
        <f>IF(ResultsTeams[[#This Row],[Category]]="","",VLOOKUP(ResultsTeams[[#This Row],[Stage]],$R$1:$T$8,MATCH(ResultsTeams[[#This Row],[Category]],$S$1:$T$1,0)+1,FALSE))</f>
        <v/>
      </c>
      <c r="AC4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1" s="264" t="str">
        <f>IF(ResultsTeams[[#This Row],[Type]]="G",ResultsTeams[[#This Row],[Stage]],AD440)</f>
        <v>Groups</v>
      </c>
      <c r="AE441" s="395" t="str">
        <f>IF(ResultsTeams[[#This Row],[Type]]="G",INDEX(TeamsList[Club Name],MATCH(ResultsTeams[[#This Row],[Team A]],TeamsList[Team Name],0)),AE440)</f>
        <v>SC Lion's Eugies</v>
      </c>
      <c r="AF441" s="395" t="str">
        <f>IF(ResultsTeams[[#This Row],[Type]]="G",INDEX(TeamsList[Club Name],MATCH(ResultsTeams[[#This Row],[Team B]],TeamsList[Team Name],0)),AF440)</f>
        <v>Wamme SC</v>
      </c>
      <c r="AG441" s="265"/>
    </row>
    <row r="442" spans="1:33" x14ac:dyDescent="0.2">
      <c r="A442" s="62"/>
      <c r="B442" s="280"/>
      <c r="C442" s="62"/>
      <c r="D442" s="62"/>
      <c r="E442" s="241" t="s">
        <v>12237</v>
      </c>
      <c r="F442" s="246" t="s">
        <v>8165</v>
      </c>
      <c r="G442" s="246" t="s">
        <v>8173</v>
      </c>
      <c r="H442" s="254">
        <v>1</v>
      </c>
      <c r="I442" s="254">
        <v>0</v>
      </c>
      <c r="J442" s="254"/>
      <c r="K442" s="363"/>
      <c r="L442" s="363"/>
      <c r="M442" s="63"/>
      <c r="N442" s="265" t="b">
        <f>NOT(ISERROR(ResultsTeams[[#This Row],[Goal-A]]+ResultsTeams[[#This Row],[Goal-B]]))</f>
        <v>1</v>
      </c>
      <c r="O442" s="265">
        <f>IF(ResultsTeams[[#This Row],[Type]]="G",SUM(O443:O446),IF(LEFT(ResultsTeams[[#This Row],[Type]],1)="P",IF(ResultsTeams[[#This Row],[Goal-A]]&gt;ResultsTeams[[#This Row],[Goal-B]],1,0),""))</f>
        <v>1</v>
      </c>
      <c r="P442" s="265">
        <f>IF(ResultsTeams[[#This Row],[Type]]="G",SUM(P443:P446),IF(LEFT(ResultsTeams[[#This Row],[Type]],1)="P",IF(ResultsTeams[[#This Row],[Goal-A]]&lt;ResultsTeams[[#This Row],[Goal-B]],1,0),""))</f>
        <v>0</v>
      </c>
      <c r="Q442" s="265">
        <f>IF(ResultsTeams[[#This Row],[Type]]="G",SUM(Q443:Q446),IF(LEFT(ResultsTeams[[#This Row],[Type]],1)="P",VALUE(ResultsTeams[[#This Row],[Score-A]]),""))</f>
        <v>1</v>
      </c>
      <c r="R442" s="265">
        <f>IF(ResultsTeams[[#This Row],[Type]]="G",SUM(R443:R446),IF(LEFT(ResultsTeams[[#This Row],[Type]],1)="P",VALUE(ResultsTeams[[#This Row],[Score-B]]),""))</f>
        <v>0</v>
      </c>
      <c r="S442" s="265" t="str">
        <f ca="1">IF(AND(ResultsTeams[[#This Row],[Category]]&lt;&gt;"",ResultsTeams[[#This Row],[Team A]]&lt;&gt;""),COUNTIF(INDIRECT("TeamsList[Club Name]"),ResultsTeams[[#This Row],[Team A]]),"")</f>
        <v/>
      </c>
      <c r="T442" s="265" t="str">
        <f ca="1">IF(AND(ResultsTeams[[#This Row],[Category]]&lt;&gt;"",ResultsTeams[[#This Row],[Team B]]&lt;&gt;""),COUNTIF(INDIRECT("TeamsList[Club Name]"),ResultsTeams[[#This Row],[Team B]]),"")</f>
        <v/>
      </c>
      <c r="U4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-Christopher Sabetta</v>
      </c>
      <c r="V442" s="265" t="str">
        <f>IF(ResultsTeams[[#This Row],[Score_OK]],IF(ResultsTeams[[#This Row],[StageCpy]]="Groups",ResultsTeams[[#This Row],[Category]]&amp;"-"&amp;IF(ResultsTeams[[#This Row],[Team B]]="","",IF(ResultsTeams[[#This Row],[Match-A]]=ResultsTeams[[#This Row],[Match-B]],ResultsTeams[[#This Row],[Team A]],"")),""),"")</f>
        <v>-</v>
      </c>
      <c r="W442" s="265" t="str">
        <f>IF(ResultsTeams[[#This Row],[Score_OK]],IF(ResultsTeams[[#This Row],[StageCpy]]="Groups",ResultsTeams[[#This Row],[Category]]&amp;"-"&amp;IF(ResultsTeams[[#This Row],[Team B]]="","",IF(ResultsTeams[[#This Row],[Match-A]]=ResultsTeams[[#This Row],[Match-B]],ResultsTeams[[#This Row],[Team B]],"")),""),"")</f>
        <v>-</v>
      </c>
      <c r="X4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 Grosdent</v>
      </c>
      <c r="Y4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2" s="264" t="str">
        <f>IF(ResultsTeams[[#This Row],[Category]]="","",VLOOKUP(ResultsTeams[[#This Row],[Stage]],$R$1:$T$8,MATCH(ResultsTeams[[#This Row],[Category]],$S$1:$T$1,0)+1,FALSE))</f>
        <v/>
      </c>
      <c r="AC4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2" s="264" t="str">
        <f>IF(ResultsTeams[[#This Row],[Type]]="G",ResultsTeams[[#This Row],[Stage]],AD441)</f>
        <v>Groups</v>
      </c>
      <c r="AE442" s="395" t="str">
        <f>IF(ResultsTeams[[#This Row],[Type]]="G",INDEX(TeamsList[Club Name],MATCH(ResultsTeams[[#This Row],[Team A]],TeamsList[Team Name],0)),AE441)</f>
        <v>SC Lion's Eugies</v>
      </c>
      <c r="AF442" s="395" t="str">
        <f>IF(ResultsTeams[[#This Row],[Type]]="G",INDEX(TeamsList[Club Name],MATCH(ResultsTeams[[#This Row],[Team B]],TeamsList[Team Name],0)),AF441)</f>
        <v>Wamme SC</v>
      </c>
      <c r="AG442" s="265"/>
    </row>
    <row r="443" spans="1:33" x14ac:dyDescent="0.2">
      <c r="A443" s="62"/>
      <c r="B443" s="280"/>
      <c r="C443" s="62"/>
      <c r="D443" s="62"/>
      <c r="E443" s="241" t="s">
        <v>12240</v>
      </c>
      <c r="F443" s="246" t="s">
        <v>8075</v>
      </c>
      <c r="G443" s="246" t="s">
        <v>8168</v>
      </c>
      <c r="H443" s="254">
        <v>1</v>
      </c>
      <c r="I443" s="254">
        <v>3</v>
      </c>
      <c r="J443" s="254"/>
      <c r="K443" s="363"/>
      <c r="L443" s="363"/>
      <c r="M443" s="63"/>
      <c r="N443" s="265" t="b">
        <f>NOT(ISERROR(ResultsTeams[[#This Row],[Goal-A]]+ResultsTeams[[#This Row],[Goal-B]]))</f>
        <v>1</v>
      </c>
      <c r="O443" s="265">
        <f>IF(ResultsTeams[[#This Row],[Type]]="G",SUM(O444:O447),IF(LEFT(ResultsTeams[[#This Row],[Type]],1)="P",IF(ResultsTeams[[#This Row],[Goal-A]]&gt;ResultsTeams[[#This Row],[Goal-B]],1,0),""))</f>
        <v>0</v>
      </c>
      <c r="P443" s="265">
        <f>IF(ResultsTeams[[#This Row],[Type]]="G",SUM(P444:P447),IF(LEFT(ResultsTeams[[#This Row],[Type]],1)="P",IF(ResultsTeams[[#This Row],[Goal-A]]&lt;ResultsTeams[[#This Row],[Goal-B]],1,0),""))</f>
        <v>1</v>
      </c>
      <c r="Q443" s="265">
        <f>IF(ResultsTeams[[#This Row],[Type]]="G",SUM(Q444:Q447),IF(LEFT(ResultsTeams[[#This Row],[Type]],1)="P",VALUE(ResultsTeams[[#This Row],[Score-A]]),""))</f>
        <v>1</v>
      </c>
      <c r="R443" s="265">
        <f>IF(ResultsTeams[[#This Row],[Type]]="G",SUM(R444:R447),IF(LEFT(ResultsTeams[[#This Row],[Type]],1)="P",VALUE(ResultsTeams[[#This Row],[Score-B]]),""))</f>
        <v>3</v>
      </c>
      <c r="S443" s="265" t="str">
        <f ca="1">IF(AND(ResultsTeams[[#This Row],[Category]]&lt;&gt;"",ResultsTeams[[#This Row],[Team A]]&lt;&gt;""),COUNTIF(INDIRECT("TeamsList[Club Name]"),ResultsTeams[[#This Row],[Team A]]),"")</f>
        <v/>
      </c>
      <c r="T443" s="265" t="str">
        <f ca="1">IF(AND(ResultsTeams[[#This Row],[Category]]&lt;&gt;"",ResultsTeams[[#This Row],[Team B]]&lt;&gt;""),COUNTIF(INDIRECT("TeamsList[Club Name]"),ResultsTeams[[#This Row],[Team B]]),"")</f>
        <v/>
      </c>
      <c r="U4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-Jean Grosdent</v>
      </c>
      <c r="V443" s="265" t="str">
        <f>IF(ResultsTeams[[#This Row],[Score_OK]],IF(ResultsTeams[[#This Row],[StageCpy]]="Groups",ResultsTeams[[#This Row],[Category]]&amp;"-"&amp;IF(ResultsTeams[[#This Row],[Team B]]="","",IF(ResultsTeams[[#This Row],[Match-A]]=ResultsTeams[[#This Row],[Match-B]],ResultsTeams[[#This Row],[Team A]],"")),""),"")</f>
        <v>-</v>
      </c>
      <c r="W443" s="265" t="str">
        <f>IF(ResultsTeams[[#This Row],[Score_OK]],IF(ResultsTeams[[#This Row],[StageCpy]]="Groups",ResultsTeams[[#This Row],[Category]]&amp;"-"&amp;IF(ResultsTeams[[#This Row],[Team B]]="","",IF(ResultsTeams[[#This Row],[Match-A]]=ResultsTeams[[#This Row],[Match-B]],ResultsTeams[[#This Row],[Team B]],"")),""),"")</f>
        <v>-</v>
      </c>
      <c r="X4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-Corentin Bouchez</v>
      </c>
      <c r="Y4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3" s="264" t="str">
        <f>IF(ResultsTeams[[#This Row],[Category]]="","",VLOOKUP(ResultsTeams[[#This Row],[Stage]],$R$1:$T$8,MATCH(ResultsTeams[[#This Row],[Category]],$S$1:$T$1,0)+1,FALSE))</f>
        <v/>
      </c>
      <c r="AC4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3" s="264" t="str">
        <f>IF(ResultsTeams[[#This Row],[Type]]="G",ResultsTeams[[#This Row],[Stage]],AD442)</f>
        <v>Groups</v>
      </c>
      <c r="AE443" s="395" t="str">
        <f>IF(ResultsTeams[[#This Row],[Type]]="G",INDEX(TeamsList[Club Name],MATCH(ResultsTeams[[#This Row],[Team A]],TeamsList[Team Name],0)),AE442)</f>
        <v>SC Lion's Eugies</v>
      </c>
      <c r="AF443" s="395" t="str">
        <f>IF(ResultsTeams[[#This Row],[Type]]="G",INDEX(TeamsList[Club Name],MATCH(ResultsTeams[[#This Row],[Team B]],TeamsList[Team Name],0)),AF442)</f>
        <v>Wamme SC</v>
      </c>
      <c r="AG443" s="265"/>
    </row>
    <row r="444" spans="1:33" x14ac:dyDescent="0.2">
      <c r="A444" s="62"/>
      <c r="B444" s="62"/>
      <c r="C444" s="62"/>
      <c r="D444" s="62"/>
      <c r="E444" s="241" t="s">
        <v>12243</v>
      </c>
      <c r="F444" s="247" t="s">
        <v>8123</v>
      </c>
      <c r="G444" s="247" t="s">
        <v>8166</v>
      </c>
      <c r="H444" s="254" t="s">
        <v>12244</v>
      </c>
      <c r="I444" s="254" t="s">
        <v>12681</v>
      </c>
      <c r="J444" s="260"/>
      <c r="K444" s="364"/>
      <c r="L444" s="364"/>
      <c r="M444" s="63"/>
      <c r="N444" s="265" t="b">
        <f>NOT(ISERROR(ResultsTeams[[#This Row],[Goal-A]]+ResultsTeams[[#This Row],[Goal-B]]))</f>
        <v>0</v>
      </c>
      <c r="O444" s="265" t="str">
        <f>IF(ResultsTeams[[#This Row],[Type]]="G",SUM(O445:O448),IF(LEFT(ResultsTeams[[#This Row],[Type]],1)="P",IF(ResultsTeams[[#This Row],[Goal-A]]&gt;ResultsTeams[[#This Row],[Goal-B]],1,0),""))</f>
        <v/>
      </c>
      <c r="P444" s="265" t="str">
        <f>IF(ResultsTeams[[#This Row],[Type]]="G",SUM(P445:P448),IF(LEFT(ResultsTeams[[#This Row],[Type]],1)="P",IF(ResultsTeams[[#This Row],[Goal-A]]&lt;ResultsTeams[[#This Row],[Goal-B]],1,0),""))</f>
        <v/>
      </c>
      <c r="Q444" s="265" t="str">
        <f>IF(ResultsTeams[[#This Row],[Type]]="G",SUM(Q445:Q448),IF(LEFT(ResultsTeams[[#This Row],[Type]],1)="P",VALUE(ResultsTeams[[#This Row],[Score-A]]),""))</f>
        <v/>
      </c>
      <c r="R444" s="265" t="str">
        <f>IF(ResultsTeams[[#This Row],[Type]]="G",SUM(R445:R448),IF(LEFT(ResultsTeams[[#This Row],[Type]],1)="P",VALUE(ResultsTeams[[#This Row],[Score-B]]),""))</f>
        <v/>
      </c>
      <c r="S444" s="265" t="str">
        <f ca="1">IF(AND(ResultsTeams[[#This Row],[Category]]&lt;&gt;"",ResultsTeams[[#This Row],[Team A]]&lt;&gt;""),COUNTIF(INDIRECT("TeamsList[Club Name]"),ResultsTeams[[#This Row],[Team A]]),"")</f>
        <v/>
      </c>
      <c r="T444" s="265" t="str">
        <f ca="1">IF(AND(ResultsTeams[[#This Row],[Category]]&lt;&gt;"",ResultsTeams[[#This Row],[Team B]]&lt;&gt;""),COUNTIF(INDIRECT("TeamsList[Club Name]"),ResultsTeams[[#This Row],[Team B]]),"")</f>
        <v/>
      </c>
      <c r="U4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4" s="265" t="str">
        <f>IF(ResultsTeams[[#This Row],[Score_OK]],IF(ResultsTeams[[#This Row],[StageCpy]]="Groups",ResultsTeams[[#This Row],[Category]]&amp;"-"&amp;IF(ResultsTeams[[#This Row],[Team B]]="","",IF(ResultsTeams[[#This Row],[Match-A]]=ResultsTeams[[#This Row],[Match-B]],ResultsTeams[[#This Row],[Team A]],"")),""),"")</f>
        <v/>
      </c>
      <c r="W444" s="265" t="str">
        <f>IF(ResultsTeams[[#This Row],[Score_OK]],IF(ResultsTeams[[#This Row],[StageCpy]]="Groups",ResultsTeams[[#This Row],[Category]]&amp;"-"&amp;IF(ResultsTeams[[#This Row],[Team B]]="","",IF(ResultsTeams[[#This Row],[Match-A]]=ResultsTeams[[#This Row],[Match-B]],ResultsTeams[[#This Row],[Team B]],"")),""),"")</f>
        <v/>
      </c>
      <c r="X4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4" s="264" t="str">
        <f>IF(ResultsTeams[[#This Row],[Category]]="","",VLOOKUP(ResultsTeams[[#This Row],[Stage]],$R$1:$T$8,MATCH(ResultsTeams[[#This Row],[Category]],$S$1:$T$1,0)+1,FALSE))</f>
        <v/>
      </c>
      <c r="AC4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4" s="264" t="str">
        <f>IF(ResultsTeams[[#This Row],[Type]]="G",ResultsTeams[[#This Row],[Stage]],AD443)</f>
        <v>Groups</v>
      </c>
      <c r="AE444" s="395" t="str">
        <f>IF(ResultsTeams[[#This Row],[Type]]="G",INDEX(TeamsList[Club Name],MATCH(ResultsTeams[[#This Row],[Team A]],TeamsList[Team Name],0)),AE443)</f>
        <v>SC Lion's Eugies</v>
      </c>
      <c r="AF444" s="395" t="str">
        <f>IF(ResultsTeams[[#This Row],[Type]]="G",INDEX(TeamsList[Club Name],MATCH(ResultsTeams[[#This Row],[Team B]],TeamsList[Team Name],0)),AF443)</f>
        <v>Wamme SC</v>
      </c>
      <c r="AG444" s="265"/>
    </row>
    <row r="445" spans="1:33" ht="12" thickBot="1" x14ac:dyDescent="0.25">
      <c r="A445" s="83"/>
      <c r="B445" s="83"/>
      <c r="C445" s="83"/>
      <c r="D445" s="83"/>
      <c r="E445" s="268" t="s">
        <v>12244</v>
      </c>
      <c r="F445" s="262"/>
      <c r="G445" s="262"/>
      <c r="H445" s="324"/>
      <c r="I445" s="324"/>
      <c r="J445" s="263"/>
      <c r="K445" s="365"/>
      <c r="L445" s="365"/>
      <c r="M445" s="84"/>
      <c r="N445" s="265" t="b">
        <f>NOT(ISERROR(ResultsTeams[[#This Row],[Goal-A]]+ResultsTeams[[#This Row],[Goal-B]]))</f>
        <v>0</v>
      </c>
      <c r="O445" s="265" t="str">
        <f>IF(ResultsTeams[[#This Row],[Type]]="G",SUM(O446:O449),IF(LEFT(ResultsTeams[[#This Row],[Type]],1)="P",IF(ResultsTeams[[#This Row],[Goal-A]]&gt;ResultsTeams[[#This Row],[Goal-B]],1,0),""))</f>
        <v/>
      </c>
      <c r="P445" s="265" t="str">
        <f>IF(ResultsTeams[[#This Row],[Type]]="G",SUM(P446:P449),IF(LEFT(ResultsTeams[[#This Row],[Type]],1)="P",IF(ResultsTeams[[#This Row],[Goal-A]]&lt;ResultsTeams[[#This Row],[Goal-B]],1,0),""))</f>
        <v/>
      </c>
      <c r="Q445" s="265" t="str">
        <f>IF(ResultsTeams[[#This Row],[Type]]="G",SUM(Q446:Q449),IF(LEFT(ResultsTeams[[#This Row],[Type]],1)="P",VALUE(ResultsTeams[[#This Row],[Score-A]]),""))</f>
        <v/>
      </c>
      <c r="R445" s="265" t="str">
        <f>IF(ResultsTeams[[#This Row],[Type]]="G",SUM(R446:R449),IF(LEFT(ResultsTeams[[#This Row],[Type]],1)="P",VALUE(ResultsTeams[[#This Row],[Score-B]]),""))</f>
        <v/>
      </c>
      <c r="S445" s="265" t="str">
        <f ca="1">IF(AND(ResultsTeams[[#This Row],[Category]]&lt;&gt;"",ResultsTeams[[#This Row],[Team A]]&lt;&gt;""),COUNTIF(INDIRECT("TeamsList[Club Name]"),ResultsTeams[[#This Row],[Team A]]),"")</f>
        <v/>
      </c>
      <c r="T445" s="265" t="str">
        <f ca="1">IF(AND(ResultsTeams[[#This Row],[Category]]&lt;&gt;"",ResultsTeams[[#This Row],[Team B]]&lt;&gt;""),COUNTIF(INDIRECT("TeamsList[Club Name]"),ResultsTeams[[#This Row],[Team B]]),"")</f>
        <v/>
      </c>
      <c r="U4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5" s="265" t="str">
        <f>IF(ResultsTeams[[#This Row],[Score_OK]],IF(ResultsTeams[[#This Row],[StageCpy]]="Groups",ResultsTeams[[#This Row],[Category]]&amp;"-"&amp;IF(ResultsTeams[[#This Row],[Team B]]="","",IF(ResultsTeams[[#This Row],[Match-A]]=ResultsTeams[[#This Row],[Match-B]],ResultsTeams[[#This Row],[Team A]],"")),""),"")</f>
        <v/>
      </c>
      <c r="W445" s="265" t="str">
        <f>IF(ResultsTeams[[#This Row],[Score_OK]],IF(ResultsTeams[[#This Row],[StageCpy]]="Groups",ResultsTeams[[#This Row],[Category]]&amp;"-"&amp;IF(ResultsTeams[[#This Row],[Team B]]="","",IF(ResultsTeams[[#This Row],[Match-A]]=ResultsTeams[[#This Row],[Match-B]],ResultsTeams[[#This Row],[Team B]],"")),""),"")</f>
        <v/>
      </c>
      <c r="X4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5" s="264" t="str">
        <f>IF(ResultsTeams[[#This Row],[Category]]="","",VLOOKUP(ResultsTeams[[#This Row],[Stage]],$R$1:$T$8,MATCH(ResultsTeams[[#This Row],[Category]],$S$1:$T$1,0)+1,FALSE))</f>
        <v/>
      </c>
      <c r="AC4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5" s="264" t="str">
        <f>IF(ResultsTeams[[#This Row],[Type]]="G",ResultsTeams[[#This Row],[Stage]],AD444)</f>
        <v>Groups</v>
      </c>
      <c r="AE445" s="395" t="str">
        <f>IF(ResultsTeams[[#This Row],[Type]]="G",INDEX(TeamsList[Club Name],MATCH(ResultsTeams[[#This Row],[Team A]],TeamsList[Team Name],0)),AE444)</f>
        <v>SC Lion's Eugies</v>
      </c>
      <c r="AF445" s="395" t="str">
        <f>IF(ResultsTeams[[#This Row],[Type]]="G",INDEX(TeamsList[Club Name],MATCH(ResultsTeams[[#This Row],[Team B]],TeamsList[Team Name],0)),AF444)</f>
        <v>Wamme SC</v>
      </c>
      <c r="AG445" s="265"/>
    </row>
    <row r="446" spans="1:33" ht="12" thickBot="1" x14ac:dyDescent="0.25">
      <c r="A446" s="261" t="s">
        <v>12693</v>
      </c>
      <c r="B446" s="270" t="s">
        <v>12207</v>
      </c>
      <c r="C446" s="270">
        <v>10</v>
      </c>
      <c r="D446" s="270"/>
      <c r="E446" s="272" t="s">
        <v>12228</v>
      </c>
      <c r="F446" s="273" t="s">
        <v>340</v>
      </c>
      <c r="G446" s="273" t="s">
        <v>170</v>
      </c>
      <c r="H446" s="275">
        <v>4</v>
      </c>
      <c r="I446" s="275">
        <v>3</v>
      </c>
      <c r="J446" s="275"/>
      <c r="K446" s="366"/>
      <c r="L446" s="366"/>
      <c r="M446" s="274"/>
      <c r="N446" s="265" t="b">
        <f>NOT(ISERROR(ResultsTeams[[#This Row],[Goal-A]]+ResultsTeams[[#This Row],[Goal-B]]))</f>
        <v>1</v>
      </c>
      <c r="O446" s="265">
        <f>IF(ResultsTeams[[#This Row],[Type]]="G",SUM(O447:O450),IF(LEFT(ResultsTeams[[#This Row],[Type]],1)="P",IF(ResultsTeams[[#This Row],[Goal-A]]&gt;ResultsTeams[[#This Row],[Goal-B]],1,0),""))</f>
        <v>1</v>
      </c>
      <c r="P446" s="265">
        <f>IF(ResultsTeams[[#This Row],[Type]]="G",SUM(P447:P450),IF(LEFT(ResultsTeams[[#This Row],[Type]],1)="P",IF(ResultsTeams[[#This Row],[Goal-A]]&lt;ResultsTeams[[#This Row],[Goal-B]],1,0),""))</f>
        <v>3</v>
      </c>
      <c r="Q446" s="265">
        <f>IF(ResultsTeams[[#This Row],[Type]]="G",SUM(Q447:Q450),IF(LEFT(ResultsTeams[[#This Row],[Type]],1)="P",VALUE(ResultsTeams[[#This Row],[Score-A]]),""))</f>
        <v>4</v>
      </c>
      <c r="R446" s="265">
        <f>IF(ResultsTeams[[#This Row],[Type]]="G",SUM(R447:R450),IF(LEFT(ResultsTeams[[#This Row],[Type]],1)="P",VALUE(ResultsTeams[[#This Row],[Score-B]]),""))</f>
        <v>16</v>
      </c>
      <c r="S446" s="265">
        <f ca="1">IF(AND(ResultsTeams[[#This Row],[Category]]&lt;&gt;"",ResultsTeams[[#This Row],[Team A]]&lt;&gt;""),COUNTIF(INDIRECT("TeamsList[Club Name]"),ResultsTeams[[#This Row],[Team A]]),"")</f>
        <v>2</v>
      </c>
      <c r="T446" s="265">
        <f ca="1">IF(AND(ResultsTeams[[#This Row],[Category]]&lt;&gt;"",ResultsTeams[[#This Row],[Team B]]&lt;&gt;""),COUNTIF(INDIRECT("TeamsList[Club Name]"),ResultsTeams[[#This Row],[Team B]]),"")</f>
        <v>2</v>
      </c>
      <c r="U4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v>
      </c>
      <c r="V446" s="265" t="str">
        <f>IF(ResultsTeams[[#This Row],[Score_OK]],IF(ResultsTeams[[#This Row],[StageCpy]]="Groups",ResultsTeams[[#This Row],[Category]]&amp;"-"&amp;IF(ResultsTeams[[#This Row],[Team B]]="","",IF(ResultsTeams[[#This Row],[Match-A]]=ResultsTeams[[#This Row],[Match-B]],ResultsTeams[[#This Row],[Team A]],"")),""),"")</f>
        <v>TEAM-</v>
      </c>
      <c r="W446" s="265" t="str">
        <f>IF(ResultsTeams[[#This Row],[Score_OK]],IF(ResultsTeams[[#This Row],[StageCpy]]="Groups",ResultsTeams[[#This Row],[Category]]&amp;"-"&amp;IF(ResultsTeams[[#This Row],[Team B]]="","",IF(ResultsTeams[[#This Row],[Match-A]]=ResultsTeams[[#This Row],[Match-B]],ResultsTeams[[#This Row],[Team B]],"")),""),"")</f>
        <v>TEAM-</v>
      </c>
      <c r="X4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v>
      </c>
      <c r="Y4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A4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B446" s="264" t="str">
        <f>IF(ResultsTeams[[#This Row],[Category]]="","",VLOOKUP(ResultsTeams[[#This Row],[Stage]],$R$1:$T$8,MATCH(ResultsTeams[[#This Row],[Category]],$S$1:$T$1,0)+1,FALSE))</f>
        <v>PR1</v>
      </c>
      <c r="AC4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6" s="264" t="str">
        <f>IF(ResultsTeams[[#This Row],[Type]]="G",ResultsTeams[[#This Row],[Stage]],AD445)</f>
        <v>Groups</v>
      </c>
      <c r="AE446" s="395" t="str">
        <f>IF(ResultsTeams[[#This Row],[Type]]="G",INDEX(TeamsList[Club Name],MATCH(ResultsTeams[[#This Row],[Team A]],TeamsList[Team Name],0)),AE445)</f>
        <v>Wamme SC</v>
      </c>
      <c r="AF446" s="395" t="str">
        <f>IF(ResultsTeams[[#This Row],[Type]]="G",INDEX(TeamsList[Club Name],MATCH(ResultsTeams[[#This Row],[Team B]],TeamsList[Team Name],0)),AF445)</f>
        <v>Tiburones FM</v>
      </c>
      <c r="AG446" s="265"/>
    </row>
    <row r="447" spans="1:33" x14ac:dyDescent="0.2">
      <c r="A447" s="60"/>
      <c r="B447" s="280"/>
      <c r="C447" s="60"/>
      <c r="D447" s="60"/>
      <c r="E447" s="240" t="s">
        <v>12231</v>
      </c>
      <c r="F447" s="244" t="s">
        <v>8168</v>
      </c>
      <c r="G447" s="244" t="s">
        <v>8752</v>
      </c>
      <c r="H447" s="253">
        <v>1</v>
      </c>
      <c r="I447" s="253">
        <v>5</v>
      </c>
      <c r="J447" s="253"/>
      <c r="K447" s="362"/>
      <c r="L447" s="362"/>
      <c r="M447" s="245"/>
      <c r="N447" s="265" t="b">
        <f>NOT(ISERROR(ResultsTeams[[#This Row],[Goal-A]]+ResultsTeams[[#This Row],[Goal-B]]))</f>
        <v>1</v>
      </c>
      <c r="O447" s="265">
        <f>IF(ResultsTeams[[#This Row],[Type]]="G",SUM(O448:O451),IF(LEFT(ResultsTeams[[#This Row],[Type]],1)="P",IF(ResultsTeams[[#This Row],[Goal-A]]&gt;ResultsTeams[[#This Row],[Goal-B]],1,0),""))</f>
        <v>0</v>
      </c>
      <c r="P447" s="265">
        <f>IF(ResultsTeams[[#This Row],[Type]]="G",SUM(P448:P451),IF(LEFT(ResultsTeams[[#This Row],[Type]],1)="P",IF(ResultsTeams[[#This Row],[Goal-A]]&lt;ResultsTeams[[#This Row],[Goal-B]],1,0),""))</f>
        <v>1</v>
      </c>
      <c r="Q447" s="265">
        <f>IF(ResultsTeams[[#This Row],[Type]]="G",SUM(Q448:Q451),IF(LEFT(ResultsTeams[[#This Row],[Type]],1)="P",VALUE(ResultsTeams[[#This Row],[Score-A]]),""))</f>
        <v>1</v>
      </c>
      <c r="R447" s="265">
        <f>IF(ResultsTeams[[#This Row],[Type]]="G",SUM(R448:R451),IF(LEFT(ResultsTeams[[#This Row],[Type]],1)="P",VALUE(ResultsTeams[[#This Row],[Score-B]]),""))</f>
        <v>5</v>
      </c>
      <c r="S447" s="265" t="str">
        <f ca="1">IF(AND(ResultsTeams[[#This Row],[Category]]&lt;&gt;"",ResultsTeams[[#This Row],[Team A]]&lt;&gt;""),COUNTIF(INDIRECT("TeamsList[Club Name]"),ResultsTeams[[#This Row],[Team A]]),"")</f>
        <v/>
      </c>
      <c r="T447" s="265" t="str">
        <f ca="1">IF(AND(ResultsTeams[[#This Row],[Category]]&lt;&gt;"",ResultsTeams[[#This Row],[Team B]]&lt;&gt;""),COUNTIF(INDIRECT("TeamsList[Club Name]"),ResultsTeams[[#This Row],[Team B]]),"")</f>
        <v/>
      </c>
      <c r="U4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Field</v>
      </c>
      <c r="V447" s="265" t="str">
        <f>IF(ResultsTeams[[#This Row],[Score_OK]],IF(ResultsTeams[[#This Row],[StageCpy]]="Groups",ResultsTeams[[#This Row],[Category]]&amp;"-"&amp;IF(ResultsTeams[[#This Row],[Team B]]="","",IF(ResultsTeams[[#This Row],[Match-A]]=ResultsTeams[[#This Row],[Match-B]],ResultsTeams[[#This Row],[Team A]],"")),""),"")</f>
        <v>-</v>
      </c>
      <c r="W447" s="265" t="str">
        <f>IF(ResultsTeams[[#This Row],[Score_OK]],IF(ResultsTeams[[#This Row],[StageCpy]]="Groups",ResultsTeams[[#This Row],[Category]]&amp;"-"&amp;IF(ResultsTeams[[#This Row],[Team B]]="","",IF(ResultsTeams[[#This Row],[Match-A]]=ResultsTeams[[#This Row],[Match-B]],ResultsTeams[[#This Row],[Team B]],"")),""),"")</f>
        <v>-</v>
      </c>
      <c r="X4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-Jean Grosdent</v>
      </c>
      <c r="Y4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7" s="264" t="str">
        <f>IF(ResultsTeams[[#This Row],[Category]]="","",VLOOKUP(ResultsTeams[[#This Row],[Stage]],$R$1:$T$8,MATCH(ResultsTeams[[#This Row],[Category]],$S$1:$T$1,0)+1,FALSE))</f>
        <v/>
      </c>
      <c r="AC4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7" s="264" t="str">
        <f>IF(ResultsTeams[[#This Row],[Type]]="G",ResultsTeams[[#This Row],[Stage]],AD446)</f>
        <v>Groups</v>
      </c>
      <c r="AE447" s="395" t="str">
        <f>IF(ResultsTeams[[#This Row],[Type]]="G",INDEX(TeamsList[Club Name],MATCH(ResultsTeams[[#This Row],[Team A]],TeamsList[Team Name],0)),AE446)</f>
        <v>Wamme SC</v>
      </c>
      <c r="AF447" s="395" t="str">
        <f>IF(ResultsTeams[[#This Row],[Type]]="G",INDEX(TeamsList[Club Name],MATCH(ResultsTeams[[#This Row],[Team B]],TeamsList[Team Name],0)),AF446)</f>
        <v>Tiburones FM</v>
      </c>
      <c r="AG447" s="265"/>
    </row>
    <row r="448" spans="1:33" x14ac:dyDescent="0.2">
      <c r="A448" s="62"/>
      <c r="B448" s="280"/>
      <c r="C448" s="62"/>
      <c r="D448" s="62"/>
      <c r="E448" s="241" t="s">
        <v>12234</v>
      </c>
      <c r="F448" s="246" t="s">
        <v>8166</v>
      </c>
      <c r="G448" s="246" t="s">
        <v>8629</v>
      </c>
      <c r="H448" s="254">
        <v>0</v>
      </c>
      <c r="I448" s="254">
        <v>5</v>
      </c>
      <c r="J448" s="254"/>
      <c r="K448" s="363"/>
      <c r="L448" s="363"/>
      <c r="M448" s="247"/>
      <c r="N448" s="265" t="b">
        <f>NOT(ISERROR(ResultsTeams[[#This Row],[Goal-A]]+ResultsTeams[[#This Row],[Goal-B]]))</f>
        <v>1</v>
      </c>
      <c r="O448" s="265">
        <f>IF(ResultsTeams[[#This Row],[Type]]="G",SUM(O449:O452),IF(LEFT(ResultsTeams[[#This Row],[Type]],1)="P",IF(ResultsTeams[[#This Row],[Goal-A]]&gt;ResultsTeams[[#This Row],[Goal-B]],1,0),""))</f>
        <v>0</v>
      </c>
      <c r="P448" s="265">
        <f>IF(ResultsTeams[[#This Row],[Type]]="G",SUM(P449:P452),IF(LEFT(ResultsTeams[[#This Row],[Type]],1)="P",IF(ResultsTeams[[#This Row],[Goal-A]]&lt;ResultsTeams[[#This Row],[Goal-B]],1,0),""))</f>
        <v>1</v>
      </c>
      <c r="Q448" s="265">
        <f>IF(ResultsTeams[[#This Row],[Type]]="G",SUM(Q449:Q452),IF(LEFT(ResultsTeams[[#This Row],[Type]],1)="P",VALUE(ResultsTeams[[#This Row],[Score-A]]),""))</f>
        <v>0</v>
      </c>
      <c r="R448" s="265">
        <f>IF(ResultsTeams[[#This Row],[Type]]="G",SUM(R449:R452),IF(LEFT(ResultsTeams[[#This Row],[Type]],1)="P",VALUE(ResultsTeams[[#This Row],[Score-B]]),""))</f>
        <v>5</v>
      </c>
      <c r="S448" s="265" t="str">
        <f ca="1">IF(AND(ResultsTeams[[#This Row],[Category]]&lt;&gt;"",ResultsTeams[[#This Row],[Team A]]&lt;&gt;""),COUNTIF(INDIRECT("TeamsList[Club Name]"),ResultsTeams[[#This Row],[Team A]]),"")</f>
        <v/>
      </c>
      <c r="T448" s="265" t="str">
        <f ca="1">IF(AND(ResultsTeams[[#This Row],[Category]]&lt;&gt;"",ResultsTeams[[#This Row],[Team B]]&lt;&gt;""),COUNTIF(INDIRECT("TeamsList[Club Name]"),ResultsTeams[[#This Row],[Team B]]),"")</f>
        <v/>
      </c>
      <c r="U4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Jesús Casín</v>
      </c>
      <c r="V448" s="265" t="str">
        <f>IF(ResultsTeams[[#This Row],[Score_OK]],IF(ResultsTeams[[#This Row],[StageCpy]]="Groups",ResultsTeams[[#This Row],[Category]]&amp;"-"&amp;IF(ResultsTeams[[#This Row],[Team B]]="","",IF(ResultsTeams[[#This Row],[Match-A]]=ResultsTeams[[#This Row],[Match-B]],ResultsTeams[[#This Row],[Team A]],"")),""),"")</f>
        <v>-</v>
      </c>
      <c r="W448" s="265" t="str">
        <f>IF(ResultsTeams[[#This Row],[Score_OK]],IF(ResultsTeams[[#This Row],[StageCpy]]="Groups",ResultsTeams[[#This Row],[Category]]&amp;"-"&amp;IF(ResultsTeams[[#This Row],[Team B]]="","",IF(ResultsTeams[[#This Row],[Match-A]]=ResultsTeams[[#This Row],[Match-B]],ResultsTeams[[#This Row],[Team B]],"")),""),"")</f>
        <v>-</v>
      </c>
      <c r="X4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-Antonio Timpano</v>
      </c>
      <c r="Y4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8" s="264" t="str">
        <f>IF(ResultsTeams[[#This Row],[Category]]="","",VLOOKUP(ResultsTeams[[#This Row],[Stage]],$R$1:$T$8,MATCH(ResultsTeams[[#This Row],[Category]],$S$1:$T$1,0)+1,FALSE))</f>
        <v/>
      </c>
      <c r="AC4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8" s="264" t="str">
        <f>IF(ResultsTeams[[#This Row],[Type]]="G",ResultsTeams[[#This Row],[Stage]],AD447)</f>
        <v>Groups</v>
      </c>
      <c r="AE448" s="395" t="str">
        <f>IF(ResultsTeams[[#This Row],[Type]]="G",INDEX(TeamsList[Club Name],MATCH(ResultsTeams[[#This Row],[Team A]],TeamsList[Team Name],0)),AE447)</f>
        <v>Wamme SC</v>
      </c>
      <c r="AF448" s="395" t="str">
        <f>IF(ResultsTeams[[#This Row],[Type]]="G",INDEX(TeamsList[Club Name],MATCH(ResultsTeams[[#This Row],[Team B]],TeamsList[Team Name],0)),AF447)</f>
        <v>Tiburones FM</v>
      </c>
      <c r="AG448" s="265"/>
    </row>
    <row r="449" spans="1:33" x14ac:dyDescent="0.2">
      <c r="A449" s="62"/>
      <c r="B449" s="280"/>
      <c r="C449" s="62"/>
      <c r="D449" s="62"/>
      <c r="E449" s="241" t="s">
        <v>12237</v>
      </c>
      <c r="F449" s="246" t="s">
        <v>8193</v>
      </c>
      <c r="G449" s="246" t="s">
        <v>8600</v>
      </c>
      <c r="H449" s="254">
        <v>2</v>
      </c>
      <c r="I449" s="254">
        <v>6</v>
      </c>
      <c r="J449" s="254"/>
      <c r="K449" s="363"/>
      <c r="L449" s="363"/>
      <c r="M449" s="247"/>
      <c r="N449" s="265" t="b">
        <f>NOT(ISERROR(ResultsTeams[[#This Row],[Goal-A]]+ResultsTeams[[#This Row],[Goal-B]]))</f>
        <v>1</v>
      </c>
      <c r="O449" s="265">
        <f>IF(ResultsTeams[[#This Row],[Type]]="G",SUM(O450:O453),IF(LEFT(ResultsTeams[[#This Row],[Type]],1)="P",IF(ResultsTeams[[#This Row],[Goal-A]]&gt;ResultsTeams[[#This Row],[Goal-B]],1,0),""))</f>
        <v>0</v>
      </c>
      <c r="P449" s="265">
        <f>IF(ResultsTeams[[#This Row],[Type]]="G",SUM(P450:P453),IF(LEFT(ResultsTeams[[#This Row],[Type]],1)="P",IF(ResultsTeams[[#This Row],[Goal-A]]&lt;ResultsTeams[[#This Row],[Goal-B]],1,0),""))</f>
        <v>1</v>
      </c>
      <c r="Q449" s="265">
        <f>IF(ResultsTeams[[#This Row],[Type]]="G",SUM(Q450:Q453),IF(LEFT(ResultsTeams[[#This Row],[Type]],1)="P",VALUE(ResultsTeams[[#This Row],[Score-A]]),""))</f>
        <v>2</v>
      </c>
      <c r="R449" s="265">
        <f>IF(ResultsTeams[[#This Row],[Type]]="G",SUM(R450:R453),IF(LEFT(ResultsTeams[[#This Row],[Type]],1)="P",VALUE(ResultsTeams[[#This Row],[Score-B]]),""))</f>
        <v>6</v>
      </c>
      <c r="S449" s="265" t="str">
        <f ca="1">IF(AND(ResultsTeams[[#This Row],[Category]]&lt;&gt;"",ResultsTeams[[#This Row],[Team A]]&lt;&gt;""),COUNTIF(INDIRECT("TeamsList[Club Name]"),ResultsTeams[[#This Row],[Team A]]),"")</f>
        <v/>
      </c>
      <c r="T449" s="265" t="str">
        <f ca="1">IF(AND(ResultsTeams[[#This Row],[Category]]&lt;&gt;"",ResultsTeams[[#This Row],[Team B]]&lt;&gt;""),COUNTIF(INDIRECT("TeamsList[Club Name]"),ResultsTeams[[#This Row],[Team B]]),"")</f>
        <v/>
      </c>
      <c r="U4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-Vicenç Prats</v>
      </c>
      <c r="V449" s="265" t="str">
        <f>IF(ResultsTeams[[#This Row],[Score_OK]],IF(ResultsTeams[[#This Row],[StageCpy]]="Groups",ResultsTeams[[#This Row],[Category]]&amp;"-"&amp;IF(ResultsTeams[[#This Row],[Team B]]="","",IF(ResultsTeams[[#This Row],[Match-A]]=ResultsTeams[[#This Row],[Match-B]],ResultsTeams[[#This Row],[Team A]],"")),""),"")</f>
        <v>-</v>
      </c>
      <c r="W449" s="265" t="str">
        <f>IF(ResultsTeams[[#This Row],[Score_OK]],IF(ResultsTeams[[#This Row],[StageCpy]]="Groups",ResultsTeams[[#This Row],[Category]]&amp;"-"&amp;IF(ResultsTeams[[#This Row],[Team B]]="","",IF(ResultsTeams[[#This Row],[Match-A]]=ResultsTeams[[#This Row],[Match-B]],ResultsTeams[[#This Row],[Team B]],"")),""),"")</f>
        <v>-</v>
      </c>
      <c r="X4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Dirick</v>
      </c>
      <c r="Y4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9" s="264" t="str">
        <f>IF(ResultsTeams[[#This Row],[Category]]="","",VLOOKUP(ResultsTeams[[#This Row],[Stage]],$R$1:$T$8,MATCH(ResultsTeams[[#This Row],[Category]],$S$1:$T$1,0)+1,FALSE))</f>
        <v/>
      </c>
      <c r="AC4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9" s="264" t="str">
        <f>IF(ResultsTeams[[#This Row],[Type]]="G",ResultsTeams[[#This Row],[Stage]],AD448)</f>
        <v>Groups</v>
      </c>
      <c r="AE449" s="395" t="str">
        <f>IF(ResultsTeams[[#This Row],[Type]]="G",INDEX(TeamsList[Club Name],MATCH(ResultsTeams[[#This Row],[Team A]],TeamsList[Team Name],0)),AE448)</f>
        <v>Wamme SC</v>
      </c>
      <c r="AF449" s="395" t="str">
        <f>IF(ResultsTeams[[#This Row],[Type]]="G",INDEX(TeamsList[Club Name],MATCH(ResultsTeams[[#This Row],[Team B]],TeamsList[Team Name],0)),AF448)</f>
        <v>Tiburones FM</v>
      </c>
      <c r="AG449" s="265"/>
    </row>
    <row r="450" spans="1:33" x14ac:dyDescent="0.2">
      <c r="A450" s="62"/>
      <c r="B450" s="280"/>
      <c r="C450" s="62"/>
      <c r="D450" s="62"/>
      <c r="E450" s="241" t="s">
        <v>12240</v>
      </c>
      <c r="F450" s="246" t="s">
        <v>8194</v>
      </c>
      <c r="G450" s="246" t="s">
        <v>8628</v>
      </c>
      <c r="H450" s="254">
        <v>1</v>
      </c>
      <c r="I450" s="254">
        <v>0</v>
      </c>
      <c r="J450" s="254"/>
      <c r="K450" s="363"/>
      <c r="L450" s="363"/>
      <c r="M450" s="247"/>
      <c r="N450" s="265" t="b">
        <f>NOT(ISERROR(ResultsTeams[[#This Row],[Goal-A]]+ResultsTeams[[#This Row],[Goal-B]]))</f>
        <v>1</v>
      </c>
      <c r="O450" s="265">
        <f>IF(ResultsTeams[[#This Row],[Type]]="G",SUM(O451:O454),IF(LEFT(ResultsTeams[[#This Row],[Type]],1)="P",IF(ResultsTeams[[#This Row],[Goal-A]]&gt;ResultsTeams[[#This Row],[Goal-B]],1,0),""))</f>
        <v>1</v>
      </c>
      <c r="P450" s="265">
        <f>IF(ResultsTeams[[#This Row],[Type]]="G",SUM(P451:P454),IF(LEFT(ResultsTeams[[#This Row],[Type]],1)="P",IF(ResultsTeams[[#This Row],[Goal-A]]&lt;ResultsTeams[[#This Row],[Goal-B]],1,0),""))</f>
        <v>0</v>
      </c>
      <c r="Q450" s="265">
        <f>IF(ResultsTeams[[#This Row],[Type]]="G",SUM(Q451:Q454),IF(LEFT(ResultsTeams[[#This Row],[Type]],1)="P",VALUE(ResultsTeams[[#This Row],[Score-A]]),""))</f>
        <v>1</v>
      </c>
      <c r="R450" s="265">
        <f>IF(ResultsTeams[[#This Row],[Type]]="G",SUM(R451:R454),IF(LEFT(ResultsTeams[[#This Row],[Type]],1)="P",VALUE(ResultsTeams[[#This Row],[Score-B]]),""))</f>
        <v>0</v>
      </c>
      <c r="S450" s="265" t="str">
        <f ca="1">IF(AND(ResultsTeams[[#This Row],[Category]]&lt;&gt;"",ResultsTeams[[#This Row],[Team A]]&lt;&gt;""),COUNTIF(INDIRECT("TeamsList[Club Name]"),ResultsTeams[[#This Row],[Team A]]),"")</f>
        <v/>
      </c>
      <c r="T450" s="265" t="str">
        <f ca="1">IF(AND(ResultsTeams[[#This Row],[Category]]&lt;&gt;"",ResultsTeams[[#This Row],[Team B]]&lt;&gt;""),COUNTIF(INDIRECT("TeamsList[Club Name]"),ResultsTeams[[#This Row],[Team B]]),"")</f>
        <v/>
      </c>
      <c r="U4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Janssens</v>
      </c>
      <c r="V450" s="265" t="str">
        <f>IF(ResultsTeams[[#This Row],[Score_OK]],IF(ResultsTeams[[#This Row],[StageCpy]]="Groups",ResultsTeams[[#This Row],[Category]]&amp;"-"&amp;IF(ResultsTeams[[#This Row],[Team B]]="","",IF(ResultsTeams[[#This Row],[Match-A]]=ResultsTeams[[#This Row],[Match-B]],ResultsTeams[[#This Row],[Team A]],"")),""),"")</f>
        <v>-</v>
      </c>
      <c r="W450" s="265" t="str">
        <f>IF(ResultsTeams[[#This Row],[Score_OK]],IF(ResultsTeams[[#This Row],[StageCpy]]="Groups",ResultsTeams[[#This Row],[Category]]&amp;"-"&amp;IF(ResultsTeams[[#This Row],[Team B]]="","",IF(ResultsTeams[[#This Row],[Match-A]]=ResultsTeams[[#This Row],[Match-B]],ResultsTeams[[#This Row],[Team B]],"")),""),"")</f>
        <v>-</v>
      </c>
      <c r="X4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González</v>
      </c>
      <c r="Y4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0" s="264" t="str">
        <f>IF(ResultsTeams[[#This Row],[Category]]="","",VLOOKUP(ResultsTeams[[#This Row],[Stage]],$R$1:$T$8,MATCH(ResultsTeams[[#This Row],[Category]],$S$1:$T$1,0)+1,FALSE))</f>
        <v/>
      </c>
      <c r="AC4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0" s="264" t="str">
        <f>IF(ResultsTeams[[#This Row],[Type]]="G",ResultsTeams[[#This Row],[Stage]],AD449)</f>
        <v>Groups</v>
      </c>
      <c r="AE450" s="395" t="str">
        <f>IF(ResultsTeams[[#This Row],[Type]]="G",INDEX(TeamsList[Club Name],MATCH(ResultsTeams[[#This Row],[Team A]],TeamsList[Team Name],0)),AE449)</f>
        <v>Wamme SC</v>
      </c>
      <c r="AF450" s="395" t="str">
        <f>IF(ResultsTeams[[#This Row],[Type]]="G",INDEX(TeamsList[Club Name],MATCH(ResultsTeams[[#This Row],[Team B]],TeamsList[Team Name],0)),AF449)</f>
        <v>Tiburones FM</v>
      </c>
      <c r="AG450" s="265"/>
    </row>
    <row r="451" spans="1:33" x14ac:dyDescent="0.2">
      <c r="A451" s="62"/>
      <c r="B451" s="62"/>
      <c r="C451" s="62"/>
      <c r="D451" s="62"/>
      <c r="E451" s="241" t="s">
        <v>12243</v>
      </c>
      <c r="F451" s="247" t="s">
        <v>8173</v>
      </c>
      <c r="G451" s="247"/>
      <c r="H451" s="254" t="s">
        <v>12243</v>
      </c>
      <c r="I451" s="254"/>
      <c r="J451" s="260"/>
      <c r="K451" s="364"/>
      <c r="L451" s="364"/>
      <c r="M451" s="247"/>
      <c r="N451" s="265" t="b">
        <f>NOT(ISERROR(ResultsTeams[[#This Row],[Goal-A]]+ResultsTeams[[#This Row],[Goal-B]]))</f>
        <v>0</v>
      </c>
      <c r="O451" s="265" t="str">
        <f>IF(ResultsTeams[[#This Row],[Type]]="G",SUM(O452:O455),IF(LEFT(ResultsTeams[[#This Row],[Type]],1)="P",IF(ResultsTeams[[#This Row],[Goal-A]]&gt;ResultsTeams[[#This Row],[Goal-B]],1,0),""))</f>
        <v/>
      </c>
      <c r="P451" s="265" t="str">
        <f>IF(ResultsTeams[[#This Row],[Type]]="G",SUM(P452:P455),IF(LEFT(ResultsTeams[[#This Row],[Type]],1)="P",IF(ResultsTeams[[#This Row],[Goal-A]]&lt;ResultsTeams[[#This Row],[Goal-B]],1,0),""))</f>
        <v/>
      </c>
      <c r="Q451" s="265" t="str">
        <f>IF(ResultsTeams[[#This Row],[Type]]="G",SUM(Q452:Q455),IF(LEFT(ResultsTeams[[#This Row],[Type]],1)="P",VALUE(ResultsTeams[[#This Row],[Score-A]]),""))</f>
        <v/>
      </c>
      <c r="R451" s="265" t="str">
        <f>IF(ResultsTeams[[#This Row],[Type]]="G",SUM(R452:R455),IF(LEFT(ResultsTeams[[#This Row],[Type]],1)="P",VALUE(ResultsTeams[[#This Row],[Score-B]]),""))</f>
        <v/>
      </c>
      <c r="S451" s="265" t="str">
        <f ca="1">IF(AND(ResultsTeams[[#This Row],[Category]]&lt;&gt;"",ResultsTeams[[#This Row],[Team A]]&lt;&gt;""),COUNTIF(INDIRECT("TeamsList[Club Name]"),ResultsTeams[[#This Row],[Team A]]),"")</f>
        <v/>
      </c>
      <c r="T451" s="265" t="str">
        <f ca="1">IF(AND(ResultsTeams[[#This Row],[Category]]&lt;&gt;"",ResultsTeams[[#This Row],[Team B]]&lt;&gt;""),COUNTIF(INDIRECT("TeamsList[Club Name]"),ResultsTeams[[#This Row],[Team B]]),"")</f>
        <v/>
      </c>
      <c r="U4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1" s="265" t="str">
        <f>IF(ResultsTeams[[#This Row],[Score_OK]],IF(ResultsTeams[[#This Row],[StageCpy]]="Groups",ResultsTeams[[#This Row],[Category]]&amp;"-"&amp;IF(ResultsTeams[[#This Row],[Team B]]="","",IF(ResultsTeams[[#This Row],[Match-A]]=ResultsTeams[[#This Row],[Match-B]],ResultsTeams[[#This Row],[Team A]],"")),""),"")</f>
        <v/>
      </c>
      <c r="W451" s="265" t="str">
        <f>IF(ResultsTeams[[#This Row],[Score_OK]],IF(ResultsTeams[[#This Row],[StageCpy]]="Groups",ResultsTeams[[#This Row],[Category]]&amp;"-"&amp;IF(ResultsTeams[[#This Row],[Team B]]="","",IF(ResultsTeams[[#This Row],[Match-A]]=ResultsTeams[[#This Row],[Match-B]],ResultsTeams[[#This Row],[Team B]],"")),""),"")</f>
        <v/>
      </c>
      <c r="X4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1" s="264" t="str">
        <f>IF(ResultsTeams[[#This Row],[Category]]="","",VLOOKUP(ResultsTeams[[#This Row],[Stage]],$R$1:$T$8,MATCH(ResultsTeams[[#This Row],[Category]],$S$1:$T$1,0)+1,FALSE))</f>
        <v/>
      </c>
      <c r="AC4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1" s="264" t="str">
        <f>IF(ResultsTeams[[#This Row],[Type]]="G",ResultsTeams[[#This Row],[Stage]],AD450)</f>
        <v>Groups</v>
      </c>
      <c r="AE451" s="395" t="str">
        <f>IF(ResultsTeams[[#This Row],[Type]]="G",INDEX(TeamsList[Club Name],MATCH(ResultsTeams[[#This Row],[Team A]],TeamsList[Team Name],0)),AE450)</f>
        <v>Wamme SC</v>
      </c>
      <c r="AF451" s="395" t="str">
        <f>IF(ResultsTeams[[#This Row],[Type]]="G",INDEX(TeamsList[Club Name],MATCH(ResultsTeams[[#This Row],[Team B]],TeamsList[Team Name],0)),AF450)</f>
        <v>Tiburones FM</v>
      </c>
      <c r="AG451" s="265"/>
    </row>
    <row r="452" spans="1:33" ht="12" thickBot="1" x14ac:dyDescent="0.25">
      <c r="A452" s="83"/>
      <c r="B452" s="83"/>
      <c r="C452" s="83"/>
      <c r="D452" s="83"/>
      <c r="E452" s="268" t="s">
        <v>12244</v>
      </c>
      <c r="F452" s="262"/>
      <c r="G452" s="262"/>
      <c r="H452" s="324"/>
      <c r="I452" s="324"/>
      <c r="J452" s="263"/>
      <c r="K452" s="365"/>
      <c r="L452" s="365"/>
      <c r="M452" s="262"/>
      <c r="N452" s="265" t="b">
        <f>NOT(ISERROR(ResultsTeams[[#This Row],[Goal-A]]+ResultsTeams[[#This Row],[Goal-B]]))</f>
        <v>0</v>
      </c>
      <c r="O452" s="265" t="str">
        <f>IF(ResultsTeams[[#This Row],[Type]]="G",SUM(O453:O456),IF(LEFT(ResultsTeams[[#This Row],[Type]],1)="P",IF(ResultsTeams[[#This Row],[Goal-A]]&gt;ResultsTeams[[#This Row],[Goal-B]],1,0),""))</f>
        <v/>
      </c>
      <c r="P452" s="265" t="str">
        <f>IF(ResultsTeams[[#This Row],[Type]]="G",SUM(P453:P456),IF(LEFT(ResultsTeams[[#This Row],[Type]],1)="P",IF(ResultsTeams[[#This Row],[Goal-A]]&lt;ResultsTeams[[#This Row],[Goal-B]],1,0),""))</f>
        <v/>
      </c>
      <c r="Q452" s="265" t="str">
        <f>IF(ResultsTeams[[#This Row],[Type]]="G",SUM(Q453:Q456),IF(LEFT(ResultsTeams[[#This Row],[Type]],1)="P",VALUE(ResultsTeams[[#This Row],[Score-A]]),""))</f>
        <v/>
      </c>
      <c r="R452" s="265" t="str">
        <f>IF(ResultsTeams[[#This Row],[Type]]="G",SUM(R453:R456),IF(LEFT(ResultsTeams[[#This Row],[Type]],1)="P",VALUE(ResultsTeams[[#This Row],[Score-B]]),""))</f>
        <v/>
      </c>
      <c r="S452" s="265" t="str">
        <f ca="1">IF(AND(ResultsTeams[[#This Row],[Category]]&lt;&gt;"",ResultsTeams[[#This Row],[Team A]]&lt;&gt;""),COUNTIF(INDIRECT("TeamsList[Club Name]"),ResultsTeams[[#This Row],[Team A]]),"")</f>
        <v/>
      </c>
      <c r="T452" s="265" t="str">
        <f ca="1">IF(AND(ResultsTeams[[#This Row],[Category]]&lt;&gt;"",ResultsTeams[[#This Row],[Team B]]&lt;&gt;""),COUNTIF(INDIRECT("TeamsList[Club Name]"),ResultsTeams[[#This Row],[Team B]]),"")</f>
        <v/>
      </c>
      <c r="U4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2" s="265" t="str">
        <f>IF(ResultsTeams[[#This Row],[Score_OK]],IF(ResultsTeams[[#This Row],[StageCpy]]="Groups",ResultsTeams[[#This Row],[Category]]&amp;"-"&amp;IF(ResultsTeams[[#This Row],[Team B]]="","",IF(ResultsTeams[[#This Row],[Match-A]]=ResultsTeams[[#This Row],[Match-B]],ResultsTeams[[#This Row],[Team A]],"")),""),"")</f>
        <v/>
      </c>
      <c r="W452" s="265" t="str">
        <f>IF(ResultsTeams[[#This Row],[Score_OK]],IF(ResultsTeams[[#This Row],[StageCpy]]="Groups",ResultsTeams[[#This Row],[Category]]&amp;"-"&amp;IF(ResultsTeams[[#This Row],[Team B]]="","",IF(ResultsTeams[[#This Row],[Match-A]]=ResultsTeams[[#This Row],[Match-B]],ResultsTeams[[#This Row],[Team B]],"")),""),"")</f>
        <v/>
      </c>
      <c r="X4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2" s="264" t="str">
        <f>IF(ResultsTeams[[#This Row],[Category]]="","",VLOOKUP(ResultsTeams[[#This Row],[Stage]],$R$1:$T$8,MATCH(ResultsTeams[[#This Row],[Category]],$S$1:$T$1,0)+1,FALSE))</f>
        <v/>
      </c>
      <c r="AC4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2" s="264" t="str">
        <f>IF(ResultsTeams[[#This Row],[Type]]="G",ResultsTeams[[#This Row],[Stage]],AD451)</f>
        <v>Groups</v>
      </c>
      <c r="AE452" s="395" t="str">
        <f>IF(ResultsTeams[[#This Row],[Type]]="G",INDEX(TeamsList[Club Name],MATCH(ResultsTeams[[#This Row],[Team A]],TeamsList[Team Name],0)),AE451)</f>
        <v>Wamme SC</v>
      </c>
      <c r="AF452" s="395" t="str">
        <f>IF(ResultsTeams[[#This Row],[Type]]="G",INDEX(TeamsList[Club Name],MATCH(ResultsTeams[[#This Row],[Team B]],TeamsList[Team Name],0)),AF451)</f>
        <v>Tiburones FM</v>
      </c>
      <c r="AG452" s="265"/>
    </row>
    <row r="453" spans="1:33" ht="12" thickBot="1" x14ac:dyDescent="0.25">
      <c r="A453" s="261" t="s">
        <v>12693</v>
      </c>
      <c r="B453" s="270" t="s">
        <v>12207</v>
      </c>
      <c r="C453" s="270">
        <v>10</v>
      </c>
      <c r="D453" s="270"/>
      <c r="E453" s="272" t="s">
        <v>12228</v>
      </c>
      <c r="F453" s="273" t="s">
        <v>7516</v>
      </c>
      <c r="G453" s="273" t="s">
        <v>792</v>
      </c>
      <c r="H453" s="275">
        <v>1</v>
      </c>
      <c r="I453" s="275">
        <v>2</v>
      </c>
      <c r="J453" s="275"/>
      <c r="K453" s="366"/>
      <c r="L453" s="366"/>
      <c r="M453" s="274"/>
      <c r="N453" s="265" t="b">
        <f>NOT(ISERROR(ResultsTeams[[#This Row],[Goal-A]]+ResultsTeams[[#This Row],[Goal-B]]))</f>
        <v>1</v>
      </c>
      <c r="O453" s="265">
        <f>IF(ResultsTeams[[#This Row],[Type]]="G",SUM(O454:O457),IF(LEFT(ResultsTeams[[#This Row],[Type]],1)="P",IF(ResultsTeams[[#This Row],[Goal-A]]&gt;ResultsTeams[[#This Row],[Goal-B]],1,0),""))</f>
        <v>1</v>
      </c>
      <c r="P453" s="265">
        <f>IF(ResultsTeams[[#This Row],[Type]]="G",SUM(P454:P457),IF(LEFT(ResultsTeams[[#This Row],[Type]],1)="P",IF(ResultsTeams[[#This Row],[Goal-A]]&lt;ResultsTeams[[#This Row],[Goal-B]],1,0),""))</f>
        <v>2</v>
      </c>
      <c r="Q453" s="265">
        <f>IF(ResultsTeams[[#This Row],[Type]]="G",SUM(Q454:Q457),IF(LEFT(ResultsTeams[[#This Row],[Type]],1)="P",VALUE(ResultsTeams[[#This Row],[Score-A]]),""))</f>
        <v>5</v>
      </c>
      <c r="R453" s="265">
        <f>IF(ResultsTeams[[#This Row],[Type]]="G",SUM(R454:R457),IF(LEFT(ResultsTeams[[#This Row],[Type]],1)="P",VALUE(ResultsTeams[[#This Row],[Score-B]]),""))</f>
        <v>7</v>
      </c>
      <c r="S453" s="265">
        <f ca="1">IF(AND(ResultsTeams[[#This Row],[Category]]&lt;&gt;"",ResultsTeams[[#This Row],[Team A]]&lt;&gt;""),COUNTIF(INDIRECT("TeamsList[Club Name]"),ResultsTeams[[#This Row],[Team A]]),"")</f>
        <v>1</v>
      </c>
      <c r="T453" s="265">
        <f ca="1">IF(AND(ResultsTeams[[#This Row],[Category]]&lt;&gt;"",ResultsTeams[[#This Row],[Team B]]&lt;&gt;""),COUNTIF(INDIRECT("TeamsList[Club Name]"),ResultsTeams[[#This Row],[Team B]]),"")</f>
        <v>1</v>
      </c>
      <c r="U4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TEAM-H'Attard SC</v>
      </c>
      <c r="V453" s="265" t="str">
        <f>IF(ResultsTeams[[#This Row],[Score_OK]],IF(ResultsTeams[[#This Row],[StageCpy]]="Groups",ResultsTeams[[#This Row],[Category]]&amp;"-"&amp;IF(ResultsTeams[[#This Row],[Team B]]="","",IF(ResultsTeams[[#This Row],[Match-A]]=ResultsTeams[[#This Row],[Match-B]],ResultsTeams[[#This Row],[Team A]],"")),""),"")</f>
        <v>TEAM-</v>
      </c>
      <c r="W453" s="265" t="str">
        <f>IF(ResultsTeams[[#This Row],[Score_OK]],IF(ResultsTeams[[#This Row],[StageCpy]]="Groups",ResultsTeams[[#This Row],[Category]]&amp;"-"&amp;IF(ResultsTeams[[#This Row],[Team B]]="","",IF(ResultsTeams[[#This Row],[Match-A]]=ResultsTeams[[#This Row],[Match-B]],ResultsTeams[[#This Row],[Team B]],"")),""),"")</f>
        <v>TEAM-</v>
      </c>
      <c r="X4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TEAM-Cardiff Bluebirds TFC</v>
      </c>
      <c r="Y4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A4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B453" s="264" t="str">
        <f>IF(ResultsTeams[[#This Row],[Category]]="","",VLOOKUP(ResultsTeams[[#This Row],[Stage]],$R$1:$T$8,MATCH(ResultsTeams[[#This Row],[Category]],$S$1:$T$1,0)+1,FALSE))</f>
        <v>PR1</v>
      </c>
      <c r="AC4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3" s="264" t="str">
        <f>IF(ResultsTeams[[#This Row],[Type]]="G",ResultsTeams[[#This Row],[Stage]],AD452)</f>
        <v>Groups</v>
      </c>
      <c r="AE453" s="395" t="str">
        <f>IF(ResultsTeams[[#This Row],[Type]]="G",INDEX(TeamsList[Club Name],MATCH(ResultsTeams[[#This Row],[Team A]],TeamsList[Team Name],0)),AE452)</f>
        <v>Cardiff Bluebirds TFC</v>
      </c>
      <c r="AF453" s="395" t="str">
        <f>IF(ResultsTeams[[#This Row],[Type]]="G",INDEX(TeamsList[Club Name],MATCH(ResultsTeams[[#This Row],[Team B]],TeamsList[Team Name],0)),AF452)</f>
        <v>H'Attard SC</v>
      </c>
      <c r="AG453" s="265"/>
    </row>
    <row r="454" spans="1:33" x14ac:dyDescent="0.2">
      <c r="A454" s="60"/>
      <c r="B454" s="280"/>
      <c r="C454" s="60"/>
      <c r="D454" s="60"/>
      <c r="E454" s="240" t="s">
        <v>12231</v>
      </c>
      <c r="F454" s="244" t="s">
        <v>10875</v>
      </c>
      <c r="G454" s="244" t="s">
        <v>10440</v>
      </c>
      <c r="H454" s="253">
        <v>0</v>
      </c>
      <c r="I454" s="253">
        <v>0</v>
      </c>
      <c r="J454" s="253"/>
      <c r="K454" s="362"/>
      <c r="L454" s="362"/>
      <c r="M454" s="245"/>
      <c r="N454" s="265" t="b">
        <f>NOT(ISERROR(ResultsTeams[[#This Row],[Goal-A]]+ResultsTeams[[#This Row],[Goal-B]]))</f>
        <v>1</v>
      </c>
      <c r="O454" s="265">
        <f>IF(ResultsTeams[[#This Row],[Type]]="G",SUM(O455:O458),IF(LEFT(ResultsTeams[[#This Row],[Type]],1)="P",IF(ResultsTeams[[#This Row],[Goal-A]]&gt;ResultsTeams[[#This Row],[Goal-B]],1,0),""))</f>
        <v>0</v>
      </c>
      <c r="P454" s="265">
        <f>IF(ResultsTeams[[#This Row],[Type]]="G",SUM(P455:P458),IF(LEFT(ResultsTeams[[#This Row],[Type]],1)="P",IF(ResultsTeams[[#This Row],[Goal-A]]&lt;ResultsTeams[[#This Row],[Goal-B]],1,0),""))</f>
        <v>0</v>
      </c>
      <c r="Q454" s="265">
        <f>IF(ResultsTeams[[#This Row],[Type]]="G",SUM(Q455:Q458),IF(LEFT(ResultsTeams[[#This Row],[Type]],1)="P",VALUE(ResultsTeams[[#This Row],[Score-A]]),""))</f>
        <v>0</v>
      </c>
      <c r="R454" s="265">
        <f>IF(ResultsTeams[[#This Row],[Type]]="G",SUM(R455:R458),IF(LEFT(ResultsTeams[[#This Row],[Type]],1)="P",VALUE(ResultsTeams[[#This Row],[Score-B]]),""))</f>
        <v>0</v>
      </c>
      <c r="S454" s="265" t="str">
        <f ca="1">IF(AND(ResultsTeams[[#This Row],[Category]]&lt;&gt;"",ResultsTeams[[#This Row],[Team A]]&lt;&gt;""),COUNTIF(INDIRECT("TeamsList[Club Name]"),ResultsTeams[[#This Row],[Team A]]),"")</f>
        <v/>
      </c>
      <c r="T454" s="265" t="str">
        <f ca="1">IF(AND(ResultsTeams[[#This Row],[Category]]&lt;&gt;"",ResultsTeams[[#This Row],[Team B]]&lt;&gt;""),COUNTIF(INDIRECT("TeamsList[Club Name]"),ResultsTeams[[#This Row],[Team B]]),"")</f>
        <v/>
      </c>
      <c r="U4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54" s="265" t="str">
        <f>IF(ResultsTeams[[#This Row],[Score_OK]],IF(ResultsTeams[[#This Row],[StageCpy]]="Groups",ResultsTeams[[#This Row],[Category]]&amp;"-"&amp;IF(ResultsTeams[[#This Row],[Team B]]="","",IF(ResultsTeams[[#This Row],[Match-A]]=ResultsTeams[[#This Row],[Match-B]],ResultsTeams[[#This Row],[Team A]],"")),""),"")</f>
        <v>-David Lauder</v>
      </c>
      <c r="W454" s="265" t="str">
        <f>IF(ResultsTeams[[#This Row],[Score_OK]],IF(ResultsTeams[[#This Row],[StageCpy]]="Groups",ResultsTeams[[#This Row],[Category]]&amp;"-"&amp;IF(ResultsTeams[[#This Row],[Team B]]="","",IF(ResultsTeams[[#This Row],[Match-A]]=ResultsTeams[[#This Row],[Match-B]],ResultsTeams[[#This Row],[Team B]],"")),""),"")</f>
        <v>-Stanley Farrugia Randon</v>
      </c>
      <c r="X4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4" s="264" t="str">
        <f>IF(ResultsTeams[[#This Row],[Category]]="","",VLOOKUP(ResultsTeams[[#This Row],[Stage]],$R$1:$T$8,MATCH(ResultsTeams[[#This Row],[Category]],$S$1:$T$1,0)+1,FALSE))</f>
        <v/>
      </c>
      <c r="AC4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4" s="264" t="str">
        <f>IF(ResultsTeams[[#This Row],[Type]]="G",ResultsTeams[[#This Row],[Stage]],AD453)</f>
        <v>Groups</v>
      </c>
      <c r="AE454" s="395" t="str">
        <f>IF(ResultsTeams[[#This Row],[Type]]="G",INDEX(TeamsList[Club Name],MATCH(ResultsTeams[[#This Row],[Team A]],TeamsList[Team Name],0)),AE453)</f>
        <v>Cardiff Bluebirds TFC</v>
      </c>
      <c r="AF454" s="395" t="str">
        <f>IF(ResultsTeams[[#This Row],[Type]]="G",INDEX(TeamsList[Club Name],MATCH(ResultsTeams[[#This Row],[Team B]],TeamsList[Team Name],0)),AF453)</f>
        <v>H'Attard SC</v>
      </c>
      <c r="AG454" s="265"/>
    </row>
    <row r="455" spans="1:33" x14ac:dyDescent="0.2">
      <c r="A455" s="62"/>
      <c r="B455" s="280"/>
      <c r="C455" s="62"/>
      <c r="D455" s="62"/>
      <c r="E455" s="241" t="s">
        <v>12234</v>
      </c>
      <c r="F455" s="246" t="s">
        <v>14598</v>
      </c>
      <c r="G455" s="246" t="s">
        <v>10449</v>
      </c>
      <c r="H455" s="254">
        <v>2</v>
      </c>
      <c r="I455" s="254">
        <v>3</v>
      </c>
      <c r="J455" s="254"/>
      <c r="K455" s="363"/>
      <c r="L455" s="363"/>
      <c r="M455" s="247"/>
      <c r="N455" s="265" t="b">
        <f>NOT(ISERROR(ResultsTeams[[#This Row],[Goal-A]]+ResultsTeams[[#This Row],[Goal-B]]))</f>
        <v>1</v>
      </c>
      <c r="O455" s="265">
        <f>IF(ResultsTeams[[#This Row],[Type]]="G",SUM(O456:O459),IF(LEFT(ResultsTeams[[#This Row],[Type]],1)="P",IF(ResultsTeams[[#This Row],[Goal-A]]&gt;ResultsTeams[[#This Row],[Goal-B]],1,0),""))</f>
        <v>0</v>
      </c>
      <c r="P455" s="265">
        <f>IF(ResultsTeams[[#This Row],[Type]]="G",SUM(P456:P459),IF(LEFT(ResultsTeams[[#This Row],[Type]],1)="P",IF(ResultsTeams[[#This Row],[Goal-A]]&lt;ResultsTeams[[#This Row],[Goal-B]],1,0),""))</f>
        <v>1</v>
      </c>
      <c r="Q455" s="265">
        <f>IF(ResultsTeams[[#This Row],[Type]]="G",SUM(Q456:Q459),IF(LEFT(ResultsTeams[[#This Row],[Type]],1)="P",VALUE(ResultsTeams[[#This Row],[Score-A]]),""))</f>
        <v>2</v>
      </c>
      <c r="R455" s="265">
        <f>IF(ResultsTeams[[#This Row],[Type]]="G",SUM(R456:R459),IF(LEFT(ResultsTeams[[#This Row],[Type]],1)="P",VALUE(ResultsTeams[[#This Row],[Score-B]]),""))</f>
        <v>3</v>
      </c>
      <c r="S455" s="265" t="str">
        <f ca="1">IF(AND(ResultsTeams[[#This Row],[Category]]&lt;&gt;"",ResultsTeams[[#This Row],[Team A]]&lt;&gt;""),COUNTIF(INDIRECT("TeamsList[Club Name]"),ResultsTeams[[#This Row],[Team A]]),"")</f>
        <v/>
      </c>
      <c r="T455" s="265" t="str">
        <f ca="1">IF(AND(ResultsTeams[[#This Row],[Category]]&lt;&gt;"",ResultsTeams[[#This Row],[Team B]]&lt;&gt;""),COUNTIF(INDIRECT("TeamsList[Club Name]"),ResultsTeams[[#This Row],[Team B]]),"")</f>
        <v/>
      </c>
      <c r="U4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-Valentino Zamara</v>
      </c>
      <c r="V455" s="265" t="str">
        <f>IF(ResultsTeams[[#This Row],[Score_OK]],IF(ResultsTeams[[#This Row],[StageCpy]]="Groups",ResultsTeams[[#This Row],[Category]]&amp;"-"&amp;IF(ResultsTeams[[#This Row],[Team B]]="","",IF(ResultsTeams[[#This Row],[Match-A]]=ResultsTeams[[#This Row],[Match-B]],ResultsTeams[[#This Row],[Team A]],"")),""),"")</f>
        <v>-</v>
      </c>
      <c r="W455" s="265" t="str">
        <f>IF(ResultsTeams[[#This Row],[Score_OK]],IF(ResultsTeams[[#This Row],[StageCpy]]="Groups",ResultsTeams[[#This Row],[Category]]&amp;"-"&amp;IF(ResultsTeams[[#This Row],[Team B]]="","",IF(ResultsTeams[[#This Row],[Match-A]]=ResultsTeams[[#This Row],[Match-B]],ResultsTeams[[#This Row],[Team B]],"")),""),"")</f>
        <v>-</v>
      </c>
      <c r="X4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-JOHN LAUDER</v>
      </c>
      <c r="Y4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5" s="264" t="str">
        <f>IF(ResultsTeams[[#This Row],[Category]]="","",VLOOKUP(ResultsTeams[[#This Row],[Stage]],$R$1:$T$8,MATCH(ResultsTeams[[#This Row],[Category]],$S$1:$T$1,0)+1,FALSE))</f>
        <v/>
      </c>
      <c r="AC4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5" s="264" t="str">
        <f>IF(ResultsTeams[[#This Row],[Type]]="G",ResultsTeams[[#This Row],[Stage]],AD454)</f>
        <v>Groups</v>
      </c>
      <c r="AE455" s="395" t="str">
        <f>IF(ResultsTeams[[#This Row],[Type]]="G",INDEX(TeamsList[Club Name],MATCH(ResultsTeams[[#This Row],[Team A]],TeamsList[Team Name],0)),AE454)</f>
        <v>Cardiff Bluebirds TFC</v>
      </c>
      <c r="AF455" s="395" t="str">
        <f>IF(ResultsTeams[[#This Row],[Type]]="G",INDEX(TeamsList[Club Name],MATCH(ResultsTeams[[#This Row],[Team B]],TeamsList[Team Name],0)),AF454)</f>
        <v>H'Attard SC</v>
      </c>
      <c r="AG455" s="265"/>
    </row>
    <row r="456" spans="1:33" x14ac:dyDescent="0.2">
      <c r="A456" s="62"/>
      <c r="B456" s="280"/>
      <c r="C456" s="62"/>
      <c r="D456" s="62"/>
      <c r="E456" s="241" t="s">
        <v>12237</v>
      </c>
      <c r="F456" s="246" t="s">
        <v>10886</v>
      </c>
      <c r="G456" s="246" t="s">
        <v>10446</v>
      </c>
      <c r="H456" s="254">
        <v>2</v>
      </c>
      <c r="I456" s="254">
        <v>4</v>
      </c>
      <c r="J456" s="254"/>
      <c r="K456" s="363"/>
      <c r="L456" s="363"/>
      <c r="M456" s="247"/>
      <c r="N456" s="265" t="b">
        <f>NOT(ISERROR(ResultsTeams[[#This Row],[Goal-A]]+ResultsTeams[[#This Row],[Goal-B]]))</f>
        <v>1</v>
      </c>
      <c r="O456" s="265">
        <f>IF(ResultsTeams[[#This Row],[Type]]="G",SUM(O457:O460),IF(LEFT(ResultsTeams[[#This Row],[Type]],1)="P",IF(ResultsTeams[[#This Row],[Goal-A]]&gt;ResultsTeams[[#This Row],[Goal-B]],1,0),""))</f>
        <v>0</v>
      </c>
      <c r="P456" s="265">
        <f>IF(ResultsTeams[[#This Row],[Type]]="G",SUM(P457:P460),IF(LEFT(ResultsTeams[[#This Row],[Type]],1)="P",IF(ResultsTeams[[#This Row],[Goal-A]]&lt;ResultsTeams[[#This Row],[Goal-B]],1,0),""))</f>
        <v>1</v>
      </c>
      <c r="Q456" s="265">
        <f>IF(ResultsTeams[[#This Row],[Type]]="G",SUM(Q457:Q460),IF(LEFT(ResultsTeams[[#This Row],[Type]],1)="P",VALUE(ResultsTeams[[#This Row],[Score-A]]),""))</f>
        <v>2</v>
      </c>
      <c r="R456" s="265">
        <f>IF(ResultsTeams[[#This Row],[Type]]="G",SUM(R457:R460),IF(LEFT(ResultsTeams[[#This Row],[Type]],1)="P",VALUE(ResultsTeams[[#This Row],[Score-B]]),""))</f>
        <v>4</v>
      </c>
      <c r="S456" s="265" t="str">
        <f ca="1">IF(AND(ResultsTeams[[#This Row],[Category]]&lt;&gt;"",ResultsTeams[[#This Row],[Team A]]&lt;&gt;""),COUNTIF(INDIRECT("TeamsList[Club Name]"),ResultsTeams[[#This Row],[Team A]]),"")</f>
        <v/>
      </c>
      <c r="T456" s="265" t="str">
        <f ca="1">IF(AND(ResultsTeams[[#This Row],[Category]]&lt;&gt;"",ResultsTeams[[#This Row],[Team B]]&lt;&gt;""),COUNTIF(INDIRECT("TeamsList[Club Name]"),ResultsTeams[[#This Row],[Team B]]),"")</f>
        <v/>
      </c>
      <c r="U4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-Robert Farrugia Randon</v>
      </c>
      <c r="V456" s="265" t="str">
        <f>IF(ResultsTeams[[#This Row],[Score_OK]],IF(ResultsTeams[[#This Row],[StageCpy]]="Groups",ResultsTeams[[#This Row],[Category]]&amp;"-"&amp;IF(ResultsTeams[[#This Row],[Team B]]="","",IF(ResultsTeams[[#This Row],[Match-A]]=ResultsTeams[[#This Row],[Match-B]],ResultsTeams[[#This Row],[Team A]],"")),""),"")</f>
        <v>-</v>
      </c>
      <c r="W456" s="265" t="str">
        <f>IF(ResultsTeams[[#This Row],[Score_OK]],IF(ResultsTeams[[#This Row],[StageCpy]]="Groups",ResultsTeams[[#This Row],[Category]]&amp;"-"&amp;IF(ResultsTeams[[#This Row],[Team B]]="","",IF(ResultsTeams[[#This Row],[Match-A]]=ResultsTeams[[#This Row],[Match-B]],ResultsTeams[[#This Row],[Team B]],"")),""),"")</f>
        <v>-</v>
      </c>
      <c r="X4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-Darren Barnes</v>
      </c>
      <c r="Y4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6" s="264" t="str">
        <f>IF(ResultsTeams[[#This Row],[Category]]="","",VLOOKUP(ResultsTeams[[#This Row],[Stage]],$R$1:$T$8,MATCH(ResultsTeams[[#This Row],[Category]],$S$1:$T$1,0)+1,FALSE))</f>
        <v/>
      </c>
      <c r="AC4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6" s="264" t="str">
        <f>IF(ResultsTeams[[#This Row],[Type]]="G",ResultsTeams[[#This Row],[Stage]],AD455)</f>
        <v>Groups</v>
      </c>
      <c r="AE456" s="395" t="str">
        <f>IF(ResultsTeams[[#This Row],[Type]]="G",INDEX(TeamsList[Club Name],MATCH(ResultsTeams[[#This Row],[Team A]],TeamsList[Team Name],0)),AE455)</f>
        <v>Cardiff Bluebirds TFC</v>
      </c>
      <c r="AF456" s="395" t="str">
        <f>IF(ResultsTeams[[#This Row],[Type]]="G",INDEX(TeamsList[Club Name],MATCH(ResultsTeams[[#This Row],[Team B]],TeamsList[Team Name],0)),AF455)</f>
        <v>H'Attard SC</v>
      </c>
      <c r="AG456" s="265"/>
    </row>
    <row r="457" spans="1:33" x14ac:dyDescent="0.2">
      <c r="A457" s="62"/>
      <c r="B457" s="280"/>
      <c r="C457" s="62"/>
      <c r="D457" s="62"/>
      <c r="E457" s="241" t="s">
        <v>12240</v>
      </c>
      <c r="F457" s="246" t="s">
        <v>10879</v>
      </c>
      <c r="G457" s="246" t="s">
        <v>10447</v>
      </c>
      <c r="H457" s="254">
        <v>1</v>
      </c>
      <c r="I457" s="254">
        <v>0</v>
      </c>
      <c r="J457" s="254"/>
      <c r="K457" s="363"/>
      <c r="L457" s="363"/>
      <c r="M457" s="247"/>
      <c r="N457" s="265" t="b">
        <f>NOT(ISERROR(ResultsTeams[[#This Row],[Goal-A]]+ResultsTeams[[#This Row],[Goal-B]]))</f>
        <v>1</v>
      </c>
      <c r="O457" s="265">
        <f>IF(ResultsTeams[[#This Row],[Type]]="G",SUM(O458:O461),IF(LEFT(ResultsTeams[[#This Row],[Type]],1)="P",IF(ResultsTeams[[#This Row],[Goal-A]]&gt;ResultsTeams[[#This Row],[Goal-B]],1,0),""))</f>
        <v>1</v>
      </c>
      <c r="P457" s="265">
        <f>IF(ResultsTeams[[#This Row],[Type]]="G",SUM(P458:P461),IF(LEFT(ResultsTeams[[#This Row],[Type]],1)="P",IF(ResultsTeams[[#This Row],[Goal-A]]&lt;ResultsTeams[[#This Row],[Goal-B]],1,0),""))</f>
        <v>0</v>
      </c>
      <c r="Q457" s="265">
        <f>IF(ResultsTeams[[#This Row],[Type]]="G",SUM(Q458:Q461),IF(LEFT(ResultsTeams[[#This Row],[Type]],1)="P",VALUE(ResultsTeams[[#This Row],[Score-A]]),""))</f>
        <v>1</v>
      </c>
      <c r="R457" s="265">
        <f>IF(ResultsTeams[[#This Row],[Type]]="G",SUM(R458:R461),IF(LEFT(ResultsTeams[[#This Row],[Type]],1)="P",VALUE(ResultsTeams[[#This Row],[Score-B]]),""))</f>
        <v>0</v>
      </c>
      <c r="S457" s="265" t="str">
        <f ca="1">IF(AND(ResultsTeams[[#This Row],[Category]]&lt;&gt;"",ResultsTeams[[#This Row],[Team A]]&lt;&gt;""),COUNTIF(INDIRECT("TeamsList[Club Name]"),ResultsTeams[[#This Row],[Team A]]),"")</f>
        <v/>
      </c>
      <c r="T457" s="265" t="str">
        <f ca="1">IF(AND(ResultsTeams[[#This Row],[Category]]&lt;&gt;"",ResultsTeams[[#This Row],[Team B]]&lt;&gt;""),COUNTIF(INDIRECT("TeamsList[Club Name]"),ResultsTeams[[#This Row],[Team B]]),"")</f>
        <v/>
      </c>
      <c r="U4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Samuel</v>
      </c>
      <c r="V457" s="265" t="str">
        <f>IF(ResultsTeams[[#This Row],[Score_OK]],IF(ResultsTeams[[#This Row],[StageCpy]]="Groups",ResultsTeams[[#This Row],[Category]]&amp;"-"&amp;IF(ResultsTeams[[#This Row],[Team B]]="","",IF(ResultsTeams[[#This Row],[Match-A]]=ResultsTeams[[#This Row],[Match-B]],ResultsTeams[[#This Row],[Team A]],"")),""),"")</f>
        <v>-</v>
      </c>
      <c r="W457" s="265" t="str">
        <f>IF(ResultsTeams[[#This Row],[Score_OK]],IF(ResultsTeams[[#This Row],[StageCpy]]="Groups",ResultsTeams[[#This Row],[Category]]&amp;"-"&amp;IF(ResultsTeams[[#This Row],[Team B]]="","",IF(ResultsTeams[[#This Row],[Match-A]]=ResultsTeams[[#This Row],[Match-B]],ResultsTeams[[#This Row],[Team B]],"")),""),"")</f>
        <v>-</v>
      </c>
      <c r="X4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-Mario Fleri Soler</v>
      </c>
      <c r="Y4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7" s="264" t="str">
        <f>IF(ResultsTeams[[#This Row],[Category]]="","",VLOOKUP(ResultsTeams[[#This Row],[Stage]],$R$1:$T$8,MATCH(ResultsTeams[[#This Row],[Category]],$S$1:$T$1,0)+1,FALSE))</f>
        <v/>
      </c>
      <c r="AC4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7" s="264" t="str">
        <f>IF(ResultsTeams[[#This Row],[Type]]="G",ResultsTeams[[#This Row],[Stage]],AD456)</f>
        <v>Groups</v>
      </c>
      <c r="AE457" s="395" t="str">
        <f>IF(ResultsTeams[[#This Row],[Type]]="G",INDEX(TeamsList[Club Name],MATCH(ResultsTeams[[#This Row],[Team A]],TeamsList[Team Name],0)),AE456)</f>
        <v>Cardiff Bluebirds TFC</v>
      </c>
      <c r="AF457" s="395" t="str">
        <f>IF(ResultsTeams[[#This Row],[Type]]="G",INDEX(TeamsList[Club Name],MATCH(ResultsTeams[[#This Row],[Team B]],TeamsList[Team Name],0)),AF456)</f>
        <v>H'Attard SC</v>
      </c>
      <c r="AG457" s="265"/>
    </row>
    <row r="458" spans="1:33" x14ac:dyDescent="0.2">
      <c r="A458" s="62"/>
      <c r="B458" s="62"/>
      <c r="C458" s="62"/>
      <c r="D458" s="62"/>
      <c r="E458" s="241" t="s">
        <v>12243</v>
      </c>
      <c r="F458" s="247"/>
      <c r="G458" s="247"/>
      <c r="H458" s="254"/>
      <c r="I458" s="254"/>
      <c r="J458" s="260"/>
      <c r="K458" s="364"/>
      <c r="L458" s="364"/>
      <c r="M458" s="247"/>
      <c r="N458" s="265" t="b">
        <f>NOT(ISERROR(ResultsTeams[[#This Row],[Goal-A]]+ResultsTeams[[#This Row],[Goal-B]]))</f>
        <v>0</v>
      </c>
      <c r="O458" s="265" t="str">
        <f>IF(ResultsTeams[[#This Row],[Type]]="G",SUM(O459:O462),IF(LEFT(ResultsTeams[[#This Row],[Type]],1)="P",IF(ResultsTeams[[#This Row],[Goal-A]]&gt;ResultsTeams[[#This Row],[Goal-B]],1,0),""))</f>
        <v/>
      </c>
      <c r="P458" s="265" t="str">
        <f>IF(ResultsTeams[[#This Row],[Type]]="G",SUM(P459:P462),IF(LEFT(ResultsTeams[[#This Row],[Type]],1)="P",IF(ResultsTeams[[#This Row],[Goal-A]]&lt;ResultsTeams[[#This Row],[Goal-B]],1,0),""))</f>
        <v/>
      </c>
      <c r="Q458" s="265" t="str">
        <f>IF(ResultsTeams[[#This Row],[Type]]="G",SUM(Q459:Q462),IF(LEFT(ResultsTeams[[#This Row],[Type]],1)="P",VALUE(ResultsTeams[[#This Row],[Score-A]]),""))</f>
        <v/>
      </c>
      <c r="R458" s="265" t="str">
        <f>IF(ResultsTeams[[#This Row],[Type]]="G",SUM(R459:R462),IF(LEFT(ResultsTeams[[#This Row],[Type]],1)="P",VALUE(ResultsTeams[[#This Row],[Score-B]]),""))</f>
        <v/>
      </c>
      <c r="S458" s="265" t="str">
        <f ca="1">IF(AND(ResultsTeams[[#This Row],[Category]]&lt;&gt;"",ResultsTeams[[#This Row],[Team A]]&lt;&gt;""),COUNTIF(INDIRECT("TeamsList[Club Name]"),ResultsTeams[[#This Row],[Team A]]),"")</f>
        <v/>
      </c>
      <c r="T458" s="265" t="str">
        <f ca="1">IF(AND(ResultsTeams[[#This Row],[Category]]&lt;&gt;"",ResultsTeams[[#This Row],[Team B]]&lt;&gt;""),COUNTIF(INDIRECT("TeamsList[Club Name]"),ResultsTeams[[#This Row],[Team B]]),"")</f>
        <v/>
      </c>
      <c r="U4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8" s="265" t="str">
        <f>IF(ResultsTeams[[#This Row],[Score_OK]],IF(ResultsTeams[[#This Row],[StageCpy]]="Groups",ResultsTeams[[#This Row],[Category]]&amp;"-"&amp;IF(ResultsTeams[[#This Row],[Team B]]="","",IF(ResultsTeams[[#This Row],[Match-A]]=ResultsTeams[[#This Row],[Match-B]],ResultsTeams[[#This Row],[Team A]],"")),""),"")</f>
        <v/>
      </c>
      <c r="W458" s="265" t="str">
        <f>IF(ResultsTeams[[#This Row],[Score_OK]],IF(ResultsTeams[[#This Row],[StageCpy]]="Groups",ResultsTeams[[#This Row],[Category]]&amp;"-"&amp;IF(ResultsTeams[[#This Row],[Team B]]="","",IF(ResultsTeams[[#This Row],[Match-A]]=ResultsTeams[[#This Row],[Match-B]],ResultsTeams[[#This Row],[Team B]],"")),""),"")</f>
        <v/>
      </c>
      <c r="X4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8" s="264" t="str">
        <f>IF(ResultsTeams[[#This Row],[Category]]="","",VLOOKUP(ResultsTeams[[#This Row],[Stage]],$R$1:$T$8,MATCH(ResultsTeams[[#This Row],[Category]],$S$1:$T$1,0)+1,FALSE))</f>
        <v/>
      </c>
      <c r="AC4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8" s="264" t="str">
        <f>IF(ResultsTeams[[#This Row],[Type]]="G",ResultsTeams[[#This Row],[Stage]],AD457)</f>
        <v>Groups</v>
      </c>
      <c r="AE458" s="395" t="str">
        <f>IF(ResultsTeams[[#This Row],[Type]]="G",INDEX(TeamsList[Club Name],MATCH(ResultsTeams[[#This Row],[Team A]],TeamsList[Team Name],0)),AE457)</f>
        <v>Cardiff Bluebirds TFC</v>
      </c>
      <c r="AF458" s="395" t="str">
        <f>IF(ResultsTeams[[#This Row],[Type]]="G",INDEX(TeamsList[Club Name],MATCH(ResultsTeams[[#This Row],[Team B]],TeamsList[Team Name],0)),AF457)</f>
        <v>H'Attard SC</v>
      </c>
      <c r="AG458" s="265"/>
    </row>
    <row r="459" spans="1:33" ht="12" thickBot="1" x14ac:dyDescent="0.25">
      <c r="A459" s="83"/>
      <c r="B459" s="83"/>
      <c r="C459" s="83"/>
      <c r="D459" s="83"/>
      <c r="E459" s="268" t="s">
        <v>12244</v>
      </c>
      <c r="F459" s="262"/>
      <c r="G459" s="262"/>
      <c r="H459" s="324"/>
      <c r="I459" s="324"/>
      <c r="J459" s="263"/>
      <c r="K459" s="365"/>
      <c r="L459" s="365"/>
      <c r="M459" s="262"/>
      <c r="N459" s="265" t="b">
        <f>NOT(ISERROR(ResultsTeams[[#This Row],[Goal-A]]+ResultsTeams[[#This Row],[Goal-B]]))</f>
        <v>0</v>
      </c>
      <c r="O459" s="265" t="str">
        <f>IF(ResultsTeams[[#This Row],[Type]]="G",SUM(O460:O463),IF(LEFT(ResultsTeams[[#This Row],[Type]],1)="P",IF(ResultsTeams[[#This Row],[Goal-A]]&gt;ResultsTeams[[#This Row],[Goal-B]],1,0),""))</f>
        <v/>
      </c>
      <c r="P459" s="265" t="str">
        <f>IF(ResultsTeams[[#This Row],[Type]]="G",SUM(P460:P463),IF(LEFT(ResultsTeams[[#This Row],[Type]],1)="P",IF(ResultsTeams[[#This Row],[Goal-A]]&lt;ResultsTeams[[#This Row],[Goal-B]],1,0),""))</f>
        <v/>
      </c>
      <c r="Q459" s="265" t="str">
        <f>IF(ResultsTeams[[#This Row],[Type]]="G",SUM(Q460:Q463),IF(LEFT(ResultsTeams[[#This Row],[Type]],1)="P",VALUE(ResultsTeams[[#This Row],[Score-A]]),""))</f>
        <v/>
      </c>
      <c r="R459" s="265" t="str">
        <f>IF(ResultsTeams[[#This Row],[Type]]="G",SUM(R460:R463),IF(LEFT(ResultsTeams[[#This Row],[Type]],1)="P",VALUE(ResultsTeams[[#This Row],[Score-B]]),""))</f>
        <v/>
      </c>
      <c r="S459" s="265" t="str">
        <f ca="1">IF(AND(ResultsTeams[[#This Row],[Category]]&lt;&gt;"",ResultsTeams[[#This Row],[Team A]]&lt;&gt;""),COUNTIF(INDIRECT("TeamsList[Club Name]"),ResultsTeams[[#This Row],[Team A]]),"")</f>
        <v/>
      </c>
      <c r="T459" s="265" t="str">
        <f ca="1">IF(AND(ResultsTeams[[#This Row],[Category]]&lt;&gt;"",ResultsTeams[[#This Row],[Team B]]&lt;&gt;""),COUNTIF(INDIRECT("TeamsList[Club Name]"),ResultsTeams[[#This Row],[Team B]]),"")</f>
        <v/>
      </c>
      <c r="U4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9" s="265" t="str">
        <f>IF(ResultsTeams[[#This Row],[Score_OK]],IF(ResultsTeams[[#This Row],[StageCpy]]="Groups",ResultsTeams[[#This Row],[Category]]&amp;"-"&amp;IF(ResultsTeams[[#This Row],[Team B]]="","",IF(ResultsTeams[[#This Row],[Match-A]]=ResultsTeams[[#This Row],[Match-B]],ResultsTeams[[#This Row],[Team A]],"")),""),"")</f>
        <v/>
      </c>
      <c r="W459" s="265" t="str">
        <f>IF(ResultsTeams[[#This Row],[Score_OK]],IF(ResultsTeams[[#This Row],[StageCpy]]="Groups",ResultsTeams[[#This Row],[Category]]&amp;"-"&amp;IF(ResultsTeams[[#This Row],[Team B]]="","",IF(ResultsTeams[[#This Row],[Match-A]]=ResultsTeams[[#This Row],[Match-B]],ResultsTeams[[#This Row],[Team B]],"")),""),"")</f>
        <v/>
      </c>
      <c r="X4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9" s="264" t="str">
        <f>IF(ResultsTeams[[#This Row],[Category]]="","",VLOOKUP(ResultsTeams[[#This Row],[Stage]],$R$1:$T$8,MATCH(ResultsTeams[[#This Row],[Category]],$S$1:$T$1,0)+1,FALSE))</f>
        <v/>
      </c>
      <c r="AC4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9" s="264" t="str">
        <f>IF(ResultsTeams[[#This Row],[Type]]="G",ResultsTeams[[#This Row],[Stage]],AD458)</f>
        <v>Groups</v>
      </c>
      <c r="AE459" s="395" t="str">
        <f>IF(ResultsTeams[[#This Row],[Type]]="G",INDEX(TeamsList[Club Name],MATCH(ResultsTeams[[#This Row],[Team A]],TeamsList[Team Name],0)),AE458)</f>
        <v>Cardiff Bluebirds TFC</v>
      </c>
      <c r="AF459" s="395" t="str">
        <f>IF(ResultsTeams[[#This Row],[Type]]="G",INDEX(TeamsList[Club Name],MATCH(ResultsTeams[[#This Row],[Team B]],TeamsList[Team Name],0)),AF458)</f>
        <v>H'Attard SC</v>
      </c>
      <c r="AG459" s="265"/>
    </row>
    <row r="460" spans="1:33" ht="12" thickBot="1" x14ac:dyDescent="0.25">
      <c r="A460" s="261" t="s">
        <v>12693</v>
      </c>
      <c r="B460" s="270" t="s">
        <v>12207</v>
      </c>
      <c r="C460" s="270">
        <v>10</v>
      </c>
      <c r="D460" s="270"/>
      <c r="E460" s="272" t="s">
        <v>12228</v>
      </c>
      <c r="F460" s="273" t="s">
        <v>792</v>
      </c>
      <c r="G460" s="273" t="s">
        <v>340</v>
      </c>
      <c r="H460" s="275">
        <v>0</v>
      </c>
      <c r="I460" s="275">
        <v>4</v>
      </c>
      <c r="J460" s="275"/>
      <c r="K460" s="366"/>
      <c r="L460" s="366"/>
      <c r="M460" s="274"/>
      <c r="N460" s="265" t="b">
        <f>NOT(ISERROR(ResultsTeams[[#This Row],[Goal-A]]+ResultsTeams[[#This Row],[Goal-B]]))</f>
        <v>1</v>
      </c>
      <c r="O460" s="265">
        <f>IF(ResultsTeams[[#This Row],[Type]]="G",SUM(O461:O464),IF(LEFT(ResultsTeams[[#This Row],[Type]],1)="P",IF(ResultsTeams[[#This Row],[Goal-A]]&gt;ResultsTeams[[#This Row],[Goal-B]],1,0),""))</f>
        <v>0</v>
      </c>
      <c r="P460" s="265">
        <f>IF(ResultsTeams[[#This Row],[Type]]="G",SUM(P461:P464),IF(LEFT(ResultsTeams[[#This Row],[Type]],1)="P",IF(ResultsTeams[[#This Row],[Goal-A]]&lt;ResultsTeams[[#This Row],[Goal-B]],1,0),""))</f>
        <v>4</v>
      </c>
      <c r="Q460" s="265">
        <f>IF(ResultsTeams[[#This Row],[Type]]="G",SUM(Q461:Q464),IF(LEFT(ResultsTeams[[#This Row],[Type]],1)="P",VALUE(ResultsTeams[[#This Row],[Score-A]]),""))</f>
        <v>3</v>
      </c>
      <c r="R460" s="265">
        <f>IF(ResultsTeams[[#This Row],[Type]]="G",SUM(R461:R464),IF(LEFT(ResultsTeams[[#This Row],[Type]],1)="P",VALUE(ResultsTeams[[#This Row],[Score-B]]),""))</f>
        <v>17</v>
      </c>
      <c r="S460" s="265">
        <f ca="1">IF(AND(ResultsTeams[[#This Row],[Category]]&lt;&gt;"",ResultsTeams[[#This Row],[Team A]]&lt;&gt;""),COUNTIF(INDIRECT("TeamsList[Club Name]"),ResultsTeams[[#This Row],[Team A]]),"")</f>
        <v>1</v>
      </c>
      <c r="T460" s="265">
        <f ca="1">IF(AND(ResultsTeams[[#This Row],[Category]]&lt;&gt;"",ResultsTeams[[#This Row],[Team B]]&lt;&gt;""),COUNTIF(INDIRECT("TeamsList[Club Name]"),ResultsTeams[[#This Row],[Team B]]),"")</f>
        <v>2</v>
      </c>
      <c r="U4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TEAM-Wamme SC</v>
      </c>
      <c r="V460" s="265" t="str">
        <f>IF(ResultsTeams[[#This Row],[Score_OK]],IF(ResultsTeams[[#This Row],[StageCpy]]="Groups",ResultsTeams[[#This Row],[Category]]&amp;"-"&amp;IF(ResultsTeams[[#This Row],[Team B]]="","",IF(ResultsTeams[[#This Row],[Match-A]]=ResultsTeams[[#This Row],[Match-B]],ResultsTeams[[#This Row],[Team A]],"")),""),"")</f>
        <v>TEAM-</v>
      </c>
      <c r="W460" s="265" t="str">
        <f>IF(ResultsTeams[[#This Row],[Score_OK]],IF(ResultsTeams[[#This Row],[StageCpy]]="Groups",ResultsTeams[[#This Row],[Category]]&amp;"-"&amp;IF(ResultsTeams[[#This Row],[Team B]]="","",IF(ResultsTeams[[#This Row],[Match-A]]=ResultsTeams[[#This Row],[Match-B]],ResultsTeams[[#This Row],[Team B]],"")),""),"")</f>
        <v>TEAM-</v>
      </c>
      <c r="X4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TEAM-H'Attard SC</v>
      </c>
      <c r="Y4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TEAM-H'Attard SC</v>
      </c>
      <c r="AA4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TEAM-H'Attard SC</v>
      </c>
      <c r="AB460" s="264" t="str">
        <f>IF(ResultsTeams[[#This Row],[Category]]="","",VLOOKUP(ResultsTeams[[#This Row],[Stage]],$R$1:$T$8,MATCH(ResultsTeams[[#This Row],[Category]],$S$1:$T$1,0)+1,FALSE))</f>
        <v>PR1</v>
      </c>
      <c r="AC4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0" s="264" t="str">
        <f>IF(ResultsTeams[[#This Row],[Type]]="G",ResultsTeams[[#This Row],[Stage]],AD459)</f>
        <v>Groups</v>
      </c>
      <c r="AE460" s="395" t="str">
        <f>IF(ResultsTeams[[#This Row],[Type]]="G",INDEX(TeamsList[Club Name],MATCH(ResultsTeams[[#This Row],[Team A]],TeamsList[Team Name],0)),AE459)</f>
        <v>H'Attard SC</v>
      </c>
      <c r="AF460" s="395" t="str">
        <f>IF(ResultsTeams[[#This Row],[Type]]="G",INDEX(TeamsList[Club Name],MATCH(ResultsTeams[[#This Row],[Team B]],TeamsList[Team Name],0)),AF459)</f>
        <v>Wamme SC</v>
      </c>
      <c r="AG460" s="265"/>
    </row>
    <row r="461" spans="1:33" x14ac:dyDescent="0.2">
      <c r="A461" s="60"/>
      <c r="B461" s="280"/>
      <c r="C461" s="60"/>
      <c r="D461" s="60"/>
      <c r="E461" s="240" t="s">
        <v>12231</v>
      </c>
      <c r="F461" s="244" t="s">
        <v>10449</v>
      </c>
      <c r="G461" s="244" t="s">
        <v>8194</v>
      </c>
      <c r="H461" s="253">
        <v>0</v>
      </c>
      <c r="I461" s="253">
        <v>5</v>
      </c>
      <c r="J461" s="253"/>
      <c r="K461" s="362"/>
      <c r="L461" s="362"/>
      <c r="M461" s="245"/>
      <c r="N461" s="265" t="b">
        <f>NOT(ISERROR(ResultsTeams[[#This Row],[Goal-A]]+ResultsTeams[[#This Row],[Goal-B]]))</f>
        <v>1</v>
      </c>
      <c r="O461" s="265">
        <f>IF(ResultsTeams[[#This Row],[Type]]="G",SUM(O462:O465),IF(LEFT(ResultsTeams[[#This Row],[Type]],1)="P",IF(ResultsTeams[[#This Row],[Goal-A]]&gt;ResultsTeams[[#This Row],[Goal-B]],1,0),""))</f>
        <v>0</v>
      </c>
      <c r="P461" s="265">
        <f>IF(ResultsTeams[[#This Row],[Type]]="G",SUM(P462:P465),IF(LEFT(ResultsTeams[[#This Row],[Type]],1)="P",IF(ResultsTeams[[#This Row],[Goal-A]]&lt;ResultsTeams[[#This Row],[Goal-B]],1,0),""))</f>
        <v>1</v>
      </c>
      <c r="Q461" s="265">
        <f>IF(ResultsTeams[[#This Row],[Type]]="G",SUM(Q462:Q465),IF(LEFT(ResultsTeams[[#This Row],[Type]],1)="P",VALUE(ResultsTeams[[#This Row],[Score-A]]),""))</f>
        <v>0</v>
      </c>
      <c r="R461" s="265">
        <f>IF(ResultsTeams[[#This Row],[Type]]="G",SUM(R462:R465),IF(LEFT(ResultsTeams[[#This Row],[Type]],1)="P",VALUE(ResultsTeams[[#This Row],[Score-B]]),""))</f>
        <v>5</v>
      </c>
      <c r="S461" s="265" t="str">
        <f ca="1">IF(AND(ResultsTeams[[#This Row],[Category]]&lt;&gt;"",ResultsTeams[[#This Row],[Team A]]&lt;&gt;""),COUNTIF(INDIRECT("TeamsList[Club Name]"),ResultsTeams[[#This Row],[Team A]]),"")</f>
        <v/>
      </c>
      <c r="T461" s="265" t="str">
        <f ca="1">IF(AND(ResultsTeams[[#This Row],[Category]]&lt;&gt;"",ResultsTeams[[#This Row],[Team B]]&lt;&gt;""),COUNTIF(INDIRECT("TeamsList[Club Name]"),ResultsTeams[[#This Row],[Team B]]),"")</f>
        <v/>
      </c>
      <c r="U4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Janssens</v>
      </c>
      <c r="V461" s="265" t="str">
        <f>IF(ResultsTeams[[#This Row],[Score_OK]],IF(ResultsTeams[[#This Row],[StageCpy]]="Groups",ResultsTeams[[#This Row],[Category]]&amp;"-"&amp;IF(ResultsTeams[[#This Row],[Team B]]="","",IF(ResultsTeams[[#This Row],[Match-A]]=ResultsTeams[[#This Row],[Match-B]],ResultsTeams[[#This Row],[Team A]],"")),""),"")</f>
        <v>-</v>
      </c>
      <c r="W461" s="265" t="str">
        <f>IF(ResultsTeams[[#This Row],[Score_OK]],IF(ResultsTeams[[#This Row],[StageCpy]]="Groups",ResultsTeams[[#This Row],[Category]]&amp;"-"&amp;IF(ResultsTeams[[#This Row],[Team B]]="","",IF(ResultsTeams[[#This Row],[Match-A]]=ResultsTeams[[#This Row],[Match-B]],ResultsTeams[[#This Row],[Team B]],"")),""),"")</f>
        <v>-</v>
      </c>
      <c r="X4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-Valentino Zamara</v>
      </c>
      <c r="Y4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1" s="264" t="str">
        <f>IF(ResultsTeams[[#This Row],[Category]]="","",VLOOKUP(ResultsTeams[[#This Row],[Stage]],$R$1:$T$8,MATCH(ResultsTeams[[#This Row],[Category]],$S$1:$T$1,0)+1,FALSE))</f>
        <v/>
      </c>
      <c r="AC4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1" s="264" t="str">
        <f>IF(ResultsTeams[[#This Row],[Type]]="G",ResultsTeams[[#This Row],[Stage]],AD460)</f>
        <v>Groups</v>
      </c>
      <c r="AE461" s="395" t="str">
        <f>IF(ResultsTeams[[#This Row],[Type]]="G",INDEX(TeamsList[Club Name],MATCH(ResultsTeams[[#This Row],[Team A]],TeamsList[Team Name],0)),AE460)</f>
        <v>H'Attard SC</v>
      </c>
      <c r="AF461" s="395" t="str">
        <f>IF(ResultsTeams[[#This Row],[Type]]="G",INDEX(TeamsList[Club Name],MATCH(ResultsTeams[[#This Row],[Team B]],TeamsList[Team Name],0)),AF460)</f>
        <v>Wamme SC</v>
      </c>
      <c r="AG461" s="265"/>
    </row>
    <row r="462" spans="1:33" x14ac:dyDescent="0.2">
      <c r="A462" s="62"/>
      <c r="B462" s="280"/>
      <c r="C462" s="62"/>
      <c r="D462" s="62"/>
      <c r="E462" s="241" t="s">
        <v>12234</v>
      </c>
      <c r="F462" s="246" t="s">
        <v>10440</v>
      </c>
      <c r="G462" s="246" t="s">
        <v>8173</v>
      </c>
      <c r="H462" s="254">
        <v>1</v>
      </c>
      <c r="I462" s="254">
        <v>2</v>
      </c>
      <c r="J462" s="254"/>
      <c r="K462" s="363"/>
      <c r="L462" s="363"/>
      <c r="M462" s="247"/>
      <c r="N462" s="265" t="b">
        <f>NOT(ISERROR(ResultsTeams[[#This Row],[Goal-A]]+ResultsTeams[[#This Row],[Goal-B]]))</f>
        <v>1</v>
      </c>
      <c r="O462" s="265">
        <f>IF(ResultsTeams[[#This Row],[Type]]="G",SUM(O463:O466),IF(LEFT(ResultsTeams[[#This Row],[Type]],1)="P",IF(ResultsTeams[[#This Row],[Goal-A]]&gt;ResultsTeams[[#This Row],[Goal-B]],1,0),""))</f>
        <v>0</v>
      </c>
      <c r="P462" s="265">
        <f>IF(ResultsTeams[[#This Row],[Type]]="G",SUM(P463:P466),IF(LEFT(ResultsTeams[[#This Row],[Type]],1)="P",IF(ResultsTeams[[#This Row],[Goal-A]]&lt;ResultsTeams[[#This Row],[Goal-B]],1,0),""))</f>
        <v>1</v>
      </c>
      <c r="Q462" s="265">
        <f>IF(ResultsTeams[[#This Row],[Type]]="G",SUM(Q463:Q466),IF(LEFT(ResultsTeams[[#This Row],[Type]],1)="P",VALUE(ResultsTeams[[#This Row],[Score-A]]),""))</f>
        <v>1</v>
      </c>
      <c r="R462" s="265">
        <f>IF(ResultsTeams[[#This Row],[Type]]="G",SUM(R463:R466),IF(LEFT(ResultsTeams[[#This Row],[Type]],1)="P",VALUE(ResultsTeams[[#This Row],[Score-B]]),""))</f>
        <v>2</v>
      </c>
      <c r="S462" s="265" t="str">
        <f ca="1">IF(AND(ResultsTeams[[#This Row],[Category]]&lt;&gt;"",ResultsTeams[[#This Row],[Team A]]&lt;&gt;""),COUNTIF(INDIRECT("TeamsList[Club Name]"),ResultsTeams[[#This Row],[Team A]]),"")</f>
        <v/>
      </c>
      <c r="T462" s="265" t="str">
        <f ca="1">IF(AND(ResultsTeams[[#This Row],[Category]]&lt;&gt;"",ResultsTeams[[#This Row],[Team B]]&lt;&gt;""),COUNTIF(INDIRECT("TeamsList[Club Name]"),ResultsTeams[[#This Row],[Team B]]),"")</f>
        <v/>
      </c>
      <c r="U4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 Grosdent</v>
      </c>
      <c r="V462" s="265" t="str">
        <f>IF(ResultsTeams[[#This Row],[Score_OK]],IF(ResultsTeams[[#This Row],[StageCpy]]="Groups",ResultsTeams[[#This Row],[Category]]&amp;"-"&amp;IF(ResultsTeams[[#This Row],[Team B]]="","",IF(ResultsTeams[[#This Row],[Match-A]]=ResultsTeams[[#This Row],[Match-B]],ResultsTeams[[#This Row],[Team A]],"")),""),"")</f>
        <v>-</v>
      </c>
      <c r="W462" s="265" t="str">
        <f>IF(ResultsTeams[[#This Row],[Score_OK]],IF(ResultsTeams[[#This Row],[StageCpy]]="Groups",ResultsTeams[[#This Row],[Category]]&amp;"-"&amp;IF(ResultsTeams[[#This Row],[Team B]]="","",IF(ResultsTeams[[#This Row],[Match-A]]=ResultsTeams[[#This Row],[Match-B]],ResultsTeams[[#This Row],[Team B]],"")),""),"")</f>
        <v>-</v>
      </c>
      <c r="X4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-Stanley Farrugia Randon</v>
      </c>
      <c r="Y4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2" s="264" t="str">
        <f>IF(ResultsTeams[[#This Row],[Category]]="","",VLOOKUP(ResultsTeams[[#This Row],[Stage]],$R$1:$T$8,MATCH(ResultsTeams[[#This Row],[Category]],$S$1:$T$1,0)+1,FALSE))</f>
        <v/>
      </c>
      <c r="AC4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2" s="264" t="str">
        <f>IF(ResultsTeams[[#This Row],[Type]]="G",ResultsTeams[[#This Row],[Stage]],AD461)</f>
        <v>Groups</v>
      </c>
      <c r="AE462" s="395" t="str">
        <f>IF(ResultsTeams[[#This Row],[Type]]="G",INDEX(TeamsList[Club Name],MATCH(ResultsTeams[[#This Row],[Team A]],TeamsList[Team Name],0)),AE461)</f>
        <v>H'Attard SC</v>
      </c>
      <c r="AF462" s="395" t="str">
        <f>IF(ResultsTeams[[#This Row],[Type]]="G",INDEX(TeamsList[Club Name],MATCH(ResultsTeams[[#This Row],[Team B]],TeamsList[Team Name],0)),AF461)</f>
        <v>Wamme SC</v>
      </c>
      <c r="AG462" s="265"/>
    </row>
    <row r="463" spans="1:33" x14ac:dyDescent="0.2">
      <c r="A463" s="62"/>
      <c r="B463" s="280"/>
      <c r="C463" s="62"/>
      <c r="D463" s="62"/>
      <c r="E463" s="241" t="s">
        <v>12237</v>
      </c>
      <c r="F463" s="246" t="s">
        <v>10446</v>
      </c>
      <c r="G463" s="246" t="s">
        <v>8166</v>
      </c>
      <c r="H463" s="254">
        <v>2</v>
      </c>
      <c r="I463" s="254">
        <v>5</v>
      </c>
      <c r="J463" s="254"/>
      <c r="K463" s="363"/>
      <c r="L463" s="363"/>
      <c r="M463" s="247"/>
      <c r="N463" s="265" t="b">
        <f>NOT(ISERROR(ResultsTeams[[#This Row],[Goal-A]]+ResultsTeams[[#This Row],[Goal-B]]))</f>
        <v>1</v>
      </c>
      <c r="O463" s="265">
        <f>IF(ResultsTeams[[#This Row],[Type]]="G",SUM(O464:O467),IF(LEFT(ResultsTeams[[#This Row],[Type]],1)="P",IF(ResultsTeams[[#This Row],[Goal-A]]&gt;ResultsTeams[[#This Row],[Goal-B]],1,0),""))</f>
        <v>0</v>
      </c>
      <c r="P463" s="265">
        <f>IF(ResultsTeams[[#This Row],[Type]]="G",SUM(P464:P467),IF(LEFT(ResultsTeams[[#This Row],[Type]],1)="P",IF(ResultsTeams[[#This Row],[Goal-A]]&lt;ResultsTeams[[#This Row],[Goal-B]],1,0),""))</f>
        <v>1</v>
      </c>
      <c r="Q463" s="265">
        <f>IF(ResultsTeams[[#This Row],[Type]]="G",SUM(Q464:Q467),IF(LEFT(ResultsTeams[[#This Row],[Type]],1)="P",VALUE(ResultsTeams[[#This Row],[Score-A]]),""))</f>
        <v>2</v>
      </c>
      <c r="R463" s="265">
        <f>IF(ResultsTeams[[#This Row],[Type]]="G",SUM(R464:R467),IF(LEFT(ResultsTeams[[#This Row],[Type]],1)="P",VALUE(ResultsTeams[[#This Row],[Score-B]]),""))</f>
        <v>5</v>
      </c>
      <c r="S463" s="265" t="str">
        <f ca="1">IF(AND(ResultsTeams[[#This Row],[Category]]&lt;&gt;"",ResultsTeams[[#This Row],[Team A]]&lt;&gt;""),COUNTIF(INDIRECT("TeamsList[Club Name]"),ResultsTeams[[#This Row],[Team A]]),"")</f>
        <v/>
      </c>
      <c r="T463" s="265" t="str">
        <f ca="1">IF(AND(ResultsTeams[[#This Row],[Category]]&lt;&gt;"",ResultsTeams[[#This Row],[Team B]]&lt;&gt;""),COUNTIF(INDIRECT("TeamsList[Club Name]"),ResultsTeams[[#This Row],[Team B]]),"")</f>
        <v/>
      </c>
      <c r="U4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Timpano</v>
      </c>
      <c r="V463" s="265" t="str">
        <f>IF(ResultsTeams[[#This Row],[Score_OK]],IF(ResultsTeams[[#This Row],[StageCpy]]="Groups",ResultsTeams[[#This Row],[Category]]&amp;"-"&amp;IF(ResultsTeams[[#This Row],[Team B]]="","",IF(ResultsTeams[[#This Row],[Match-A]]=ResultsTeams[[#This Row],[Match-B]],ResultsTeams[[#This Row],[Team A]],"")),""),"")</f>
        <v>-</v>
      </c>
      <c r="W463" s="265" t="str">
        <f>IF(ResultsTeams[[#This Row],[Score_OK]],IF(ResultsTeams[[#This Row],[StageCpy]]="Groups",ResultsTeams[[#This Row],[Category]]&amp;"-"&amp;IF(ResultsTeams[[#This Row],[Team B]]="","",IF(ResultsTeams[[#This Row],[Match-A]]=ResultsTeams[[#This Row],[Match-B]],ResultsTeams[[#This Row],[Team B]],"")),""),"")</f>
        <v>-</v>
      </c>
      <c r="X4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-Robert Farrugia Randon</v>
      </c>
      <c r="Y4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3" s="264" t="str">
        <f>IF(ResultsTeams[[#This Row],[Category]]="","",VLOOKUP(ResultsTeams[[#This Row],[Stage]],$R$1:$T$8,MATCH(ResultsTeams[[#This Row],[Category]],$S$1:$T$1,0)+1,FALSE))</f>
        <v/>
      </c>
      <c r="AC4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3" s="264" t="str">
        <f>IF(ResultsTeams[[#This Row],[Type]]="G",ResultsTeams[[#This Row],[Stage]],AD462)</f>
        <v>Groups</v>
      </c>
      <c r="AE463" s="395" t="str">
        <f>IF(ResultsTeams[[#This Row],[Type]]="G",INDEX(TeamsList[Club Name],MATCH(ResultsTeams[[#This Row],[Team A]],TeamsList[Team Name],0)),AE462)</f>
        <v>H'Attard SC</v>
      </c>
      <c r="AF463" s="395" t="str">
        <f>IF(ResultsTeams[[#This Row],[Type]]="G",INDEX(TeamsList[Club Name],MATCH(ResultsTeams[[#This Row],[Team B]],TeamsList[Team Name],0)),AF462)</f>
        <v>Wamme SC</v>
      </c>
      <c r="AG463" s="265"/>
    </row>
    <row r="464" spans="1:33" x14ac:dyDescent="0.2">
      <c r="A464" s="62"/>
      <c r="B464" s="280"/>
      <c r="C464" s="62"/>
      <c r="D464" s="62"/>
      <c r="E464" s="241" t="s">
        <v>12240</v>
      </c>
      <c r="F464" s="246" t="s">
        <v>10447</v>
      </c>
      <c r="G464" s="246" t="s">
        <v>8168</v>
      </c>
      <c r="H464" s="254">
        <v>0</v>
      </c>
      <c r="I464" s="254">
        <v>5</v>
      </c>
      <c r="J464" s="254"/>
      <c r="K464" s="363"/>
      <c r="L464" s="363"/>
      <c r="M464" s="247"/>
      <c r="N464" s="265" t="b">
        <f>NOT(ISERROR(ResultsTeams[[#This Row],[Goal-A]]+ResultsTeams[[#This Row],[Goal-B]]))</f>
        <v>1</v>
      </c>
      <c r="O464" s="265">
        <f>IF(ResultsTeams[[#This Row],[Type]]="G",SUM(O465:O468),IF(LEFT(ResultsTeams[[#This Row],[Type]],1)="P",IF(ResultsTeams[[#This Row],[Goal-A]]&gt;ResultsTeams[[#This Row],[Goal-B]],1,0),""))</f>
        <v>0</v>
      </c>
      <c r="P464" s="265">
        <f>IF(ResultsTeams[[#This Row],[Type]]="G",SUM(P465:P468),IF(LEFT(ResultsTeams[[#This Row],[Type]],1)="P",IF(ResultsTeams[[#This Row],[Goal-A]]&lt;ResultsTeams[[#This Row],[Goal-B]],1,0),""))</f>
        <v>1</v>
      </c>
      <c r="Q464" s="265">
        <f>IF(ResultsTeams[[#This Row],[Type]]="G",SUM(Q465:Q468),IF(LEFT(ResultsTeams[[#This Row],[Type]],1)="P",VALUE(ResultsTeams[[#This Row],[Score-A]]),""))</f>
        <v>0</v>
      </c>
      <c r="R464" s="265">
        <f>IF(ResultsTeams[[#This Row],[Type]]="G",SUM(R465:R468),IF(LEFT(ResultsTeams[[#This Row],[Type]],1)="P",VALUE(ResultsTeams[[#This Row],[Score-B]]),""))</f>
        <v>5</v>
      </c>
      <c r="S464" s="265" t="str">
        <f ca="1">IF(AND(ResultsTeams[[#This Row],[Category]]&lt;&gt;"",ResultsTeams[[#This Row],[Team A]]&lt;&gt;""),COUNTIF(INDIRECT("TeamsList[Club Name]"),ResultsTeams[[#This Row],[Team A]]),"")</f>
        <v/>
      </c>
      <c r="T464" s="265" t="str">
        <f ca="1">IF(AND(ResultsTeams[[#This Row],[Category]]&lt;&gt;"",ResultsTeams[[#This Row],[Team B]]&lt;&gt;""),COUNTIF(INDIRECT("TeamsList[Club Name]"),ResultsTeams[[#This Row],[Team B]]),"")</f>
        <v/>
      </c>
      <c r="U4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-Jean Grosdent</v>
      </c>
      <c r="V464" s="265" t="str">
        <f>IF(ResultsTeams[[#This Row],[Score_OK]],IF(ResultsTeams[[#This Row],[StageCpy]]="Groups",ResultsTeams[[#This Row],[Category]]&amp;"-"&amp;IF(ResultsTeams[[#This Row],[Team B]]="","",IF(ResultsTeams[[#This Row],[Match-A]]=ResultsTeams[[#This Row],[Match-B]],ResultsTeams[[#This Row],[Team A]],"")),""),"")</f>
        <v>-</v>
      </c>
      <c r="W464" s="265" t="str">
        <f>IF(ResultsTeams[[#This Row],[Score_OK]],IF(ResultsTeams[[#This Row],[StageCpy]]="Groups",ResultsTeams[[#This Row],[Category]]&amp;"-"&amp;IF(ResultsTeams[[#This Row],[Team B]]="","",IF(ResultsTeams[[#This Row],[Match-A]]=ResultsTeams[[#This Row],[Match-B]],ResultsTeams[[#This Row],[Team B]],"")),""),"")</f>
        <v>-</v>
      </c>
      <c r="X4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-Mario Fleri Soler</v>
      </c>
      <c r="Y4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4" s="264" t="str">
        <f>IF(ResultsTeams[[#This Row],[Category]]="","",VLOOKUP(ResultsTeams[[#This Row],[Stage]],$R$1:$T$8,MATCH(ResultsTeams[[#This Row],[Category]],$S$1:$T$1,0)+1,FALSE))</f>
        <v/>
      </c>
      <c r="AC4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4" s="264" t="str">
        <f>IF(ResultsTeams[[#This Row],[Type]]="G",ResultsTeams[[#This Row],[Stage]],AD463)</f>
        <v>Groups</v>
      </c>
      <c r="AE464" s="395" t="str">
        <f>IF(ResultsTeams[[#This Row],[Type]]="G",INDEX(TeamsList[Club Name],MATCH(ResultsTeams[[#This Row],[Team A]],TeamsList[Team Name],0)),AE463)</f>
        <v>H'Attard SC</v>
      </c>
      <c r="AF464" s="395" t="str">
        <f>IF(ResultsTeams[[#This Row],[Type]]="G",INDEX(TeamsList[Club Name],MATCH(ResultsTeams[[#This Row],[Team B]],TeamsList[Team Name],0)),AF463)</f>
        <v>Wamme SC</v>
      </c>
      <c r="AG464" s="265"/>
    </row>
    <row r="465" spans="1:33" x14ac:dyDescent="0.2">
      <c r="A465" s="62"/>
      <c r="B465" s="62"/>
      <c r="C465" s="62"/>
      <c r="D465" s="62"/>
      <c r="E465" s="241" t="s">
        <v>12243</v>
      </c>
      <c r="F465" s="247"/>
      <c r="G465" s="247"/>
      <c r="H465" s="254"/>
      <c r="I465" s="254"/>
      <c r="J465" s="260"/>
      <c r="K465" s="364"/>
      <c r="L465" s="364"/>
      <c r="M465" s="63"/>
      <c r="N465" s="265" t="b">
        <f>NOT(ISERROR(ResultsTeams[[#This Row],[Goal-A]]+ResultsTeams[[#This Row],[Goal-B]]))</f>
        <v>0</v>
      </c>
      <c r="O465" s="265" t="str">
        <f>IF(ResultsTeams[[#This Row],[Type]]="G",SUM(O466:O469),IF(LEFT(ResultsTeams[[#This Row],[Type]],1)="P",IF(ResultsTeams[[#This Row],[Goal-A]]&gt;ResultsTeams[[#This Row],[Goal-B]],1,0),""))</f>
        <v/>
      </c>
      <c r="P465" s="265" t="str">
        <f>IF(ResultsTeams[[#This Row],[Type]]="G",SUM(P466:P469),IF(LEFT(ResultsTeams[[#This Row],[Type]],1)="P",IF(ResultsTeams[[#This Row],[Goal-A]]&lt;ResultsTeams[[#This Row],[Goal-B]],1,0),""))</f>
        <v/>
      </c>
      <c r="Q465" s="265" t="str">
        <f>IF(ResultsTeams[[#This Row],[Type]]="G",SUM(Q466:Q469),IF(LEFT(ResultsTeams[[#This Row],[Type]],1)="P",VALUE(ResultsTeams[[#This Row],[Score-A]]),""))</f>
        <v/>
      </c>
      <c r="R465" s="265" t="str">
        <f>IF(ResultsTeams[[#This Row],[Type]]="G",SUM(R466:R469),IF(LEFT(ResultsTeams[[#This Row],[Type]],1)="P",VALUE(ResultsTeams[[#This Row],[Score-B]]),""))</f>
        <v/>
      </c>
      <c r="S465" s="265" t="str">
        <f ca="1">IF(AND(ResultsTeams[[#This Row],[Category]]&lt;&gt;"",ResultsTeams[[#This Row],[Team A]]&lt;&gt;""),COUNTIF(INDIRECT("TeamsList[Club Name]"),ResultsTeams[[#This Row],[Team A]]),"")</f>
        <v/>
      </c>
      <c r="T465" s="265" t="str">
        <f ca="1">IF(AND(ResultsTeams[[#This Row],[Category]]&lt;&gt;"",ResultsTeams[[#This Row],[Team B]]&lt;&gt;""),COUNTIF(INDIRECT("TeamsList[Club Name]"),ResultsTeams[[#This Row],[Team B]]),"")</f>
        <v/>
      </c>
      <c r="U4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5" s="265" t="str">
        <f>IF(ResultsTeams[[#This Row],[Score_OK]],IF(ResultsTeams[[#This Row],[StageCpy]]="Groups",ResultsTeams[[#This Row],[Category]]&amp;"-"&amp;IF(ResultsTeams[[#This Row],[Team B]]="","",IF(ResultsTeams[[#This Row],[Match-A]]=ResultsTeams[[#This Row],[Match-B]],ResultsTeams[[#This Row],[Team A]],"")),""),"")</f>
        <v/>
      </c>
      <c r="W465" s="265" t="str">
        <f>IF(ResultsTeams[[#This Row],[Score_OK]],IF(ResultsTeams[[#This Row],[StageCpy]]="Groups",ResultsTeams[[#This Row],[Category]]&amp;"-"&amp;IF(ResultsTeams[[#This Row],[Team B]]="","",IF(ResultsTeams[[#This Row],[Match-A]]=ResultsTeams[[#This Row],[Match-B]],ResultsTeams[[#This Row],[Team B]],"")),""),"")</f>
        <v/>
      </c>
      <c r="X4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5" s="264" t="str">
        <f>IF(ResultsTeams[[#This Row],[Category]]="","",VLOOKUP(ResultsTeams[[#This Row],[Stage]],$R$1:$T$8,MATCH(ResultsTeams[[#This Row],[Category]],$S$1:$T$1,0)+1,FALSE))</f>
        <v/>
      </c>
      <c r="AC4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5" s="264" t="str">
        <f>IF(ResultsTeams[[#This Row],[Type]]="G",ResultsTeams[[#This Row],[Stage]],AD464)</f>
        <v>Groups</v>
      </c>
      <c r="AE465" s="395" t="str">
        <f>IF(ResultsTeams[[#This Row],[Type]]="G",INDEX(TeamsList[Club Name],MATCH(ResultsTeams[[#This Row],[Team A]],TeamsList[Team Name],0)),AE464)</f>
        <v>H'Attard SC</v>
      </c>
      <c r="AF465" s="395" t="str">
        <f>IF(ResultsTeams[[#This Row],[Type]]="G",INDEX(TeamsList[Club Name],MATCH(ResultsTeams[[#This Row],[Team B]],TeamsList[Team Name],0)),AF464)</f>
        <v>Wamme SC</v>
      </c>
      <c r="AG465" s="265"/>
    </row>
    <row r="466" spans="1:33" ht="12" thickBot="1" x14ac:dyDescent="0.25">
      <c r="A466" s="83"/>
      <c r="B466" s="83"/>
      <c r="C466" s="83"/>
      <c r="D466" s="83"/>
      <c r="E466" s="268" t="s">
        <v>12244</v>
      </c>
      <c r="F466" s="262"/>
      <c r="G466" s="262"/>
      <c r="H466" s="324"/>
      <c r="I466" s="324"/>
      <c r="J466" s="263"/>
      <c r="K466" s="365"/>
      <c r="L466" s="365"/>
      <c r="M466" s="84"/>
      <c r="N466" s="265" t="b">
        <f>NOT(ISERROR(ResultsTeams[[#This Row],[Goal-A]]+ResultsTeams[[#This Row],[Goal-B]]))</f>
        <v>0</v>
      </c>
      <c r="O466" s="265" t="str">
        <f>IF(ResultsTeams[[#This Row],[Type]]="G",SUM(O467:O470),IF(LEFT(ResultsTeams[[#This Row],[Type]],1)="P",IF(ResultsTeams[[#This Row],[Goal-A]]&gt;ResultsTeams[[#This Row],[Goal-B]],1,0),""))</f>
        <v/>
      </c>
      <c r="P466" s="265" t="str">
        <f>IF(ResultsTeams[[#This Row],[Type]]="G",SUM(P467:P470),IF(LEFT(ResultsTeams[[#This Row],[Type]],1)="P",IF(ResultsTeams[[#This Row],[Goal-A]]&lt;ResultsTeams[[#This Row],[Goal-B]],1,0),""))</f>
        <v/>
      </c>
      <c r="Q466" s="265" t="str">
        <f>IF(ResultsTeams[[#This Row],[Type]]="G",SUM(Q467:Q470),IF(LEFT(ResultsTeams[[#This Row],[Type]],1)="P",VALUE(ResultsTeams[[#This Row],[Score-A]]),""))</f>
        <v/>
      </c>
      <c r="R466" s="265" t="str">
        <f>IF(ResultsTeams[[#This Row],[Type]]="G",SUM(R467:R470),IF(LEFT(ResultsTeams[[#This Row],[Type]],1)="P",VALUE(ResultsTeams[[#This Row],[Score-B]]),""))</f>
        <v/>
      </c>
      <c r="S466" s="265" t="str">
        <f ca="1">IF(AND(ResultsTeams[[#This Row],[Category]]&lt;&gt;"",ResultsTeams[[#This Row],[Team A]]&lt;&gt;""),COUNTIF(INDIRECT("TeamsList[Club Name]"),ResultsTeams[[#This Row],[Team A]]),"")</f>
        <v/>
      </c>
      <c r="T466" s="265" t="str">
        <f ca="1">IF(AND(ResultsTeams[[#This Row],[Category]]&lt;&gt;"",ResultsTeams[[#This Row],[Team B]]&lt;&gt;""),COUNTIF(INDIRECT("TeamsList[Club Name]"),ResultsTeams[[#This Row],[Team B]]),"")</f>
        <v/>
      </c>
      <c r="U4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6" s="265" t="str">
        <f>IF(ResultsTeams[[#This Row],[Score_OK]],IF(ResultsTeams[[#This Row],[StageCpy]]="Groups",ResultsTeams[[#This Row],[Category]]&amp;"-"&amp;IF(ResultsTeams[[#This Row],[Team B]]="","",IF(ResultsTeams[[#This Row],[Match-A]]=ResultsTeams[[#This Row],[Match-B]],ResultsTeams[[#This Row],[Team A]],"")),""),"")</f>
        <v/>
      </c>
      <c r="W466" s="265" t="str">
        <f>IF(ResultsTeams[[#This Row],[Score_OK]],IF(ResultsTeams[[#This Row],[StageCpy]]="Groups",ResultsTeams[[#This Row],[Category]]&amp;"-"&amp;IF(ResultsTeams[[#This Row],[Team B]]="","",IF(ResultsTeams[[#This Row],[Match-A]]=ResultsTeams[[#This Row],[Match-B]],ResultsTeams[[#This Row],[Team B]],"")),""),"")</f>
        <v/>
      </c>
      <c r="X4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6" s="264" t="str">
        <f>IF(ResultsTeams[[#This Row],[Category]]="","",VLOOKUP(ResultsTeams[[#This Row],[Stage]],$R$1:$T$8,MATCH(ResultsTeams[[#This Row],[Category]],$S$1:$T$1,0)+1,FALSE))</f>
        <v/>
      </c>
      <c r="AC4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6" s="264" t="str">
        <f>IF(ResultsTeams[[#This Row],[Type]]="G",ResultsTeams[[#This Row],[Stage]],AD465)</f>
        <v>Groups</v>
      </c>
      <c r="AE466" s="395" t="str">
        <f>IF(ResultsTeams[[#This Row],[Type]]="G",INDEX(TeamsList[Club Name],MATCH(ResultsTeams[[#This Row],[Team A]],TeamsList[Team Name],0)),AE465)</f>
        <v>H'Attard SC</v>
      </c>
      <c r="AF466" s="395" t="str">
        <f>IF(ResultsTeams[[#This Row],[Type]]="G",INDEX(TeamsList[Club Name],MATCH(ResultsTeams[[#This Row],[Team B]],TeamsList[Team Name],0)),AF465)</f>
        <v>Wamme SC</v>
      </c>
      <c r="AG466" s="265"/>
    </row>
    <row r="467" spans="1:33" ht="12" thickBot="1" x14ac:dyDescent="0.25">
      <c r="A467" s="261" t="s">
        <v>12693</v>
      </c>
      <c r="B467" s="270" t="s">
        <v>12207</v>
      </c>
      <c r="C467" s="270">
        <v>10</v>
      </c>
      <c r="D467" s="270"/>
      <c r="E467" s="272" t="s">
        <v>12228</v>
      </c>
      <c r="F467" s="273" t="s">
        <v>324</v>
      </c>
      <c r="G467" s="273" t="s">
        <v>7516</v>
      </c>
      <c r="H467" s="275">
        <v>4</v>
      </c>
      <c r="I467" s="275">
        <v>0</v>
      </c>
      <c r="J467" s="275"/>
      <c r="K467" s="366"/>
      <c r="L467" s="366"/>
      <c r="M467" s="271"/>
      <c r="N467" s="265" t="b">
        <f>NOT(ISERROR(ResultsTeams[[#This Row],[Goal-A]]+ResultsTeams[[#This Row],[Goal-B]]))</f>
        <v>1</v>
      </c>
      <c r="O467" s="265">
        <f>IF(ResultsTeams[[#This Row],[Type]]="G",SUM(O468:O471),IF(LEFT(ResultsTeams[[#This Row],[Type]],1)="P",IF(ResultsTeams[[#This Row],[Goal-A]]&gt;ResultsTeams[[#This Row],[Goal-B]],1,0),""))</f>
        <v>4</v>
      </c>
      <c r="P467" s="265">
        <f>IF(ResultsTeams[[#This Row],[Type]]="G",SUM(P468:P471),IF(LEFT(ResultsTeams[[#This Row],[Type]],1)="P",IF(ResultsTeams[[#This Row],[Goal-A]]&lt;ResultsTeams[[#This Row],[Goal-B]],1,0),""))</f>
        <v>0</v>
      </c>
      <c r="Q467" s="265">
        <f>IF(ResultsTeams[[#This Row],[Type]]="G",SUM(Q468:Q471),IF(LEFT(ResultsTeams[[#This Row],[Type]],1)="P",VALUE(ResultsTeams[[#This Row],[Score-A]]),""))</f>
        <v>18</v>
      </c>
      <c r="R467" s="265">
        <f>IF(ResultsTeams[[#This Row],[Type]]="G",SUM(R468:R471),IF(LEFT(ResultsTeams[[#This Row],[Type]],1)="P",VALUE(ResultsTeams[[#This Row],[Score-B]]),""))</f>
        <v>4</v>
      </c>
      <c r="S467" s="265">
        <f ca="1">IF(AND(ResultsTeams[[#This Row],[Category]]&lt;&gt;"",ResultsTeams[[#This Row],[Team A]]&lt;&gt;""),COUNTIF(INDIRECT("TeamsList[Club Name]"),ResultsTeams[[#This Row],[Team A]]),"")</f>
        <v>4</v>
      </c>
      <c r="T467" s="265">
        <f ca="1">IF(AND(ResultsTeams[[#This Row],[Category]]&lt;&gt;"",ResultsTeams[[#This Row],[Team B]]&lt;&gt;""),COUNTIF(INDIRECT("TeamsList[Club Name]"),ResultsTeams[[#This Row],[Team B]]),"")</f>
        <v>1</v>
      </c>
      <c r="U4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Lion's Eugies</v>
      </c>
      <c r="V467" s="265" t="str">
        <f>IF(ResultsTeams[[#This Row],[Score_OK]],IF(ResultsTeams[[#This Row],[StageCpy]]="Groups",ResultsTeams[[#This Row],[Category]]&amp;"-"&amp;IF(ResultsTeams[[#This Row],[Team B]]="","",IF(ResultsTeams[[#This Row],[Match-A]]=ResultsTeams[[#This Row],[Match-B]],ResultsTeams[[#This Row],[Team A]],"")),""),"")</f>
        <v>TEAM-</v>
      </c>
      <c r="W467" s="265" t="str">
        <f>IF(ResultsTeams[[#This Row],[Score_OK]],IF(ResultsTeams[[#This Row],[StageCpy]]="Groups",ResultsTeams[[#This Row],[Category]]&amp;"-"&amp;IF(ResultsTeams[[#This Row],[Team B]]="","",IF(ResultsTeams[[#This Row],[Match-A]]=ResultsTeams[[#This Row],[Match-B]],ResultsTeams[[#This Row],[Team B]],"")),""),"")</f>
        <v>TEAM-</v>
      </c>
      <c r="X4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TEAM-Cardiff Bluebirds TFC</v>
      </c>
      <c r="Y4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A4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B467" s="264" t="str">
        <f>IF(ResultsTeams[[#This Row],[Category]]="","",VLOOKUP(ResultsTeams[[#This Row],[Stage]],$R$1:$T$8,MATCH(ResultsTeams[[#This Row],[Category]],$S$1:$T$1,0)+1,FALSE))</f>
        <v>PR1</v>
      </c>
      <c r="AC4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7" s="264" t="str">
        <f>IF(ResultsTeams[[#This Row],[Type]]="G",ResultsTeams[[#This Row],[Stage]],AD466)</f>
        <v>Groups</v>
      </c>
      <c r="AE467" s="395" t="str">
        <f>IF(ResultsTeams[[#This Row],[Type]]="G",INDEX(TeamsList[Club Name],MATCH(ResultsTeams[[#This Row],[Team A]],TeamsList[Team Name],0)),AE466)</f>
        <v>SC Lion's Eugies</v>
      </c>
      <c r="AF467" s="395" t="str">
        <f>IF(ResultsTeams[[#This Row],[Type]]="G",INDEX(TeamsList[Club Name],MATCH(ResultsTeams[[#This Row],[Team B]],TeamsList[Team Name],0)),AF466)</f>
        <v>Cardiff Bluebirds TFC</v>
      </c>
      <c r="AG467" s="265"/>
    </row>
    <row r="468" spans="1:33" x14ac:dyDescent="0.2">
      <c r="A468" s="60"/>
      <c r="B468" s="280"/>
      <c r="C468" s="60"/>
      <c r="D468" s="60"/>
      <c r="E468" s="240" t="s">
        <v>12231</v>
      </c>
      <c r="F468" s="244" t="s">
        <v>8109</v>
      </c>
      <c r="G468" s="244" t="s">
        <v>10876</v>
      </c>
      <c r="H468" s="253">
        <v>6</v>
      </c>
      <c r="I468" s="253">
        <v>1</v>
      </c>
      <c r="J468" s="253"/>
      <c r="K468" s="362"/>
      <c r="L468" s="362"/>
      <c r="M468" s="61"/>
      <c r="N468" s="265" t="b">
        <f>NOT(ISERROR(ResultsTeams[[#This Row],[Goal-A]]+ResultsTeams[[#This Row],[Goal-B]]))</f>
        <v>1</v>
      </c>
      <c r="O468" s="265">
        <f>IF(ResultsTeams[[#This Row],[Type]]="G",SUM(O469:O472),IF(LEFT(ResultsTeams[[#This Row],[Type]],1)="P",IF(ResultsTeams[[#This Row],[Goal-A]]&gt;ResultsTeams[[#This Row],[Goal-B]],1,0),""))</f>
        <v>1</v>
      </c>
      <c r="P468" s="265">
        <f>IF(ResultsTeams[[#This Row],[Type]]="G",SUM(P469:P472),IF(LEFT(ResultsTeams[[#This Row],[Type]],1)="P",IF(ResultsTeams[[#This Row],[Goal-A]]&lt;ResultsTeams[[#This Row],[Goal-B]],1,0),""))</f>
        <v>0</v>
      </c>
      <c r="Q468" s="265">
        <f>IF(ResultsTeams[[#This Row],[Type]]="G",SUM(Q469:Q472),IF(LEFT(ResultsTeams[[#This Row],[Type]],1)="P",VALUE(ResultsTeams[[#This Row],[Score-A]]),""))</f>
        <v>6</v>
      </c>
      <c r="R468" s="265">
        <f>IF(ResultsTeams[[#This Row],[Type]]="G",SUM(R469:R472),IF(LEFT(ResultsTeams[[#This Row],[Type]],1)="P",VALUE(ResultsTeams[[#This Row],[Score-B]]),""))</f>
        <v>1</v>
      </c>
      <c r="S468" s="265" t="str">
        <f ca="1">IF(AND(ResultsTeams[[#This Row],[Category]]&lt;&gt;"",ResultsTeams[[#This Row],[Team A]]&lt;&gt;""),COUNTIF(INDIRECT("TeamsList[Club Name]"),ResultsTeams[[#This Row],[Team A]]),"")</f>
        <v/>
      </c>
      <c r="T468" s="265" t="str">
        <f ca="1">IF(AND(ResultsTeams[[#This Row],[Category]]&lt;&gt;"",ResultsTeams[[#This Row],[Team B]]&lt;&gt;""),COUNTIF(INDIRECT("TeamsList[Club Name]"),ResultsTeams[[#This Row],[Team B]]),"")</f>
        <v/>
      </c>
      <c r="U4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-Joffray Laurent</v>
      </c>
      <c r="V468" s="265" t="str">
        <f>IF(ResultsTeams[[#This Row],[Score_OK]],IF(ResultsTeams[[#This Row],[StageCpy]]="Groups",ResultsTeams[[#This Row],[Category]]&amp;"-"&amp;IF(ResultsTeams[[#This Row],[Team B]]="","",IF(ResultsTeams[[#This Row],[Match-A]]=ResultsTeams[[#This Row],[Match-B]],ResultsTeams[[#This Row],[Team A]],"")),""),"")</f>
        <v>-</v>
      </c>
      <c r="W468" s="265" t="str">
        <f>IF(ResultsTeams[[#This Row],[Score_OK]],IF(ResultsTeams[[#This Row],[StageCpy]]="Groups",ResultsTeams[[#This Row],[Category]]&amp;"-"&amp;IF(ResultsTeams[[#This Row],[Team B]]="","",IF(ResultsTeams[[#This Row],[Match-A]]=ResultsTeams[[#This Row],[Match-B]],ResultsTeams[[#This Row],[Team B]],"")),""),"")</f>
        <v>-</v>
      </c>
      <c r="X4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-Colin Lewis</v>
      </c>
      <c r="Y4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8" s="264" t="str">
        <f>IF(ResultsTeams[[#This Row],[Category]]="","",VLOOKUP(ResultsTeams[[#This Row],[Stage]],$R$1:$T$8,MATCH(ResultsTeams[[#This Row],[Category]],$S$1:$T$1,0)+1,FALSE))</f>
        <v/>
      </c>
      <c r="AC4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8" s="264" t="str">
        <f>IF(ResultsTeams[[#This Row],[Type]]="G",ResultsTeams[[#This Row],[Stage]],AD467)</f>
        <v>Groups</v>
      </c>
      <c r="AE468" s="395" t="str">
        <f>IF(ResultsTeams[[#This Row],[Type]]="G",INDEX(TeamsList[Club Name],MATCH(ResultsTeams[[#This Row],[Team A]],TeamsList[Team Name],0)),AE467)</f>
        <v>SC Lion's Eugies</v>
      </c>
      <c r="AF468" s="395" t="str">
        <f>IF(ResultsTeams[[#This Row],[Type]]="G",INDEX(TeamsList[Club Name],MATCH(ResultsTeams[[#This Row],[Team B]],TeamsList[Team Name],0)),AF467)</f>
        <v>Cardiff Bluebirds TFC</v>
      </c>
      <c r="AG468" s="265"/>
    </row>
    <row r="469" spans="1:33" x14ac:dyDescent="0.2">
      <c r="A469" s="62"/>
      <c r="B469" s="280"/>
      <c r="C469" s="62"/>
      <c r="D469" s="62"/>
      <c r="E469" s="241" t="s">
        <v>12234</v>
      </c>
      <c r="F469" s="246" t="s">
        <v>8075</v>
      </c>
      <c r="G469" s="246" t="s">
        <v>10875</v>
      </c>
      <c r="H469" s="254">
        <v>5</v>
      </c>
      <c r="I469" s="254">
        <v>1</v>
      </c>
      <c r="J469" s="254"/>
      <c r="K469" s="363"/>
      <c r="L469" s="363"/>
      <c r="M469" s="63"/>
      <c r="N469" s="265" t="b">
        <f>NOT(ISERROR(ResultsTeams[[#This Row],[Goal-A]]+ResultsTeams[[#This Row],[Goal-B]]))</f>
        <v>1</v>
      </c>
      <c r="O469" s="265">
        <f>IF(ResultsTeams[[#This Row],[Type]]="G",SUM(O470:O473),IF(LEFT(ResultsTeams[[#This Row],[Type]],1)="P",IF(ResultsTeams[[#This Row],[Goal-A]]&gt;ResultsTeams[[#This Row],[Goal-B]],1,0),""))</f>
        <v>1</v>
      </c>
      <c r="P469" s="265">
        <f>IF(ResultsTeams[[#This Row],[Type]]="G",SUM(P470:P473),IF(LEFT(ResultsTeams[[#This Row],[Type]],1)="P",IF(ResultsTeams[[#This Row],[Goal-A]]&lt;ResultsTeams[[#This Row],[Goal-B]],1,0),""))</f>
        <v>0</v>
      </c>
      <c r="Q469" s="265">
        <f>IF(ResultsTeams[[#This Row],[Type]]="G",SUM(Q470:Q473),IF(LEFT(ResultsTeams[[#This Row],[Type]],1)="P",VALUE(ResultsTeams[[#This Row],[Score-A]]),""))</f>
        <v>5</v>
      </c>
      <c r="R469" s="265">
        <f>IF(ResultsTeams[[#This Row],[Type]]="G",SUM(R470:R473),IF(LEFT(ResultsTeams[[#This Row],[Type]],1)="P",VALUE(ResultsTeams[[#This Row],[Score-B]]),""))</f>
        <v>1</v>
      </c>
      <c r="S469" s="265" t="str">
        <f ca="1">IF(AND(ResultsTeams[[#This Row],[Category]]&lt;&gt;"",ResultsTeams[[#This Row],[Team A]]&lt;&gt;""),COUNTIF(INDIRECT("TeamsList[Club Name]"),ResultsTeams[[#This Row],[Team A]]),"")</f>
        <v/>
      </c>
      <c r="T469" s="265" t="str">
        <f ca="1">IF(AND(ResultsTeams[[#This Row],[Category]]&lt;&gt;"",ResultsTeams[[#This Row],[Team B]]&lt;&gt;""),COUNTIF(INDIRECT("TeamsList[Club Name]"),ResultsTeams[[#This Row],[Team B]]),"")</f>
        <v/>
      </c>
      <c r="U4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-Corentin Bouchez</v>
      </c>
      <c r="V469" s="265" t="str">
        <f>IF(ResultsTeams[[#This Row],[Score_OK]],IF(ResultsTeams[[#This Row],[StageCpy]]="Groups",ResultsTeams[[#This Row],[Category]]&amp;"-"&amp;IF(ResultsTeams[[#This Row],[Team B]]="","",IF(ResultsTeams[[#This Row],[Match-A]]=ResultsTeams[[#This Row],[Match-B]],ResultsTeams[[#This Row],[Team A]],"")),""),"")</f>
        <v>-</v>
      </c>
      <c r="W469" s="265" t="str">
        <f>IF(ResultsTeams[[#This Row],[Score_OK]],IF(ResultsTeams[[#This Row],[StageCpy]]="Groups",ResultsTeams[[#This Row],[Category]]&amp;"-"&amp;IF(ResultsTeams[[#This Row],[Team B]]="","",IF(ResultsTeams[[#This Row],[Match-A]]=ResultsTeams[[#This Row],[Match-B]],ResultsTeams[[#This Row],[Team B]],"")),""),"")</f>
        <v>-</v>
      </c>
      <c r="X4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Lauder</v>
      </c>
      <c r="Y4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9" s="264" t="str">
        <f>IF(ResultsTeams[[#This Row],[Category]]="","",VLOOKUP(ResultsTeams[[#This Row],[Stage]],$R$1:$T$8,MATCH(ResultsTeams[[#This Row],[Category]],$S$1:$T$1,0)+1,FALSE))</f>
        <v/>
      </c>
      <c r="AC4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9" s="264" t="str">
        <f>IF(ResultsTeams[[#This Row],[Type]]="G",ResultsTeams[[#This Row],[Stage]],AD468)</f>
        <v>Groups</v>
      </c>
      <c r="AE469" s="395" t="str">
        <f>IF(ResultsTeams[[#This Row],[Type]]="G",INDEX(TeamsList[Club Name],MATCH(ResultsTeams[[#This Row],[Team A]],TeamsList[Team Name],0)),AE468)</f>
        <v>SC Lion's Eugies</v>
      </c>
      <c r="AF469" s="395" t="str">
        <f>IF(ResultsTeams[[#This Row],[Type]]="G",INDEX(TeamsList[Club Name],MATCH(ResultsTeams[[#This Row],[Team B]],TeamsList[Team Name],0)),AF468)</f>
        <v>Cardiff Bluebirds TFC</v>
      </c>
      <c r="AG469" s="265"/>
    </row>
    <row r="470" spans="1:33" x14ac:dyDescent="0.2">
      <c r="A470" s="62"/>
      <c r="B470" s="280"/>
      <c r="C470" s="62"/>
      <c r="D470" s="62"/>
      <c r="E470" s="241" t="s">
        <v>12237</v>
      </c>
      <c r="F470" s="246" t="s">
        <v>8165</v>
      </c>
      <c r="G470" s="246" t="s">
        <v>10886</v>
      </c>
      <c r="H470" s="254">
        <v>3</v>
      </c>
      <c r="I470" s="254">
        <v>1</v>
      </c>
      <c r="J470" s="254"/>
      <c r="K470" s="363"/>
      <c r="L470" s="363"/>
      <c r="M470" s="63"/>
      <c r="N470" s="265" t="b">
        <f>NOT(ISERROR(ResultsTeams[[#This Row],[Goal-A]]+ResultsTeams[[#This Row],[Goal-B]]))</f>
        <v>1</v>
      </c>
      <c r="O470" s="265">
        <f>IF(ResultsTeams[[#This Row],[Type]]="G",SUM(O471:O474),IF(LEFT(ResultsTeams[[#This Row],[Type]],1)="P",IF(ResultsTeams[[#This Row],[Goal-A]]&gt;ResultsTeams[[#This Row],[Goal-B]],1,0),""))</f>
        <v>1</v>
      </c>
      <c r="P470" s="265">
        <f>IF(ResultsTeams[[#This Row],[Type]]="G",SUM(P471:P474),IF(LEFT(ResultsTeams[[#This Row],[Type]],1)="P",IF(ResultsTeams[[#This Row],[Goal-A]]&lt;ResultsTeams[[#This Row],[Goal-B]],1,0),""))</f>
        <v>0</v>
      </c>
      <c r="Q470" s="265">
        <f>IF(ResultsTeams[[#This Row],[Type]]="G",SUM(Q471:Q474),IF(LEFT(ResultsTeams[[#This Row],[Type]],1)="P",VALUE(ResultsTeams[[#This Row],[Score-A]]),""))</f>
        <v>3</v>
      </c>
      <c r="R470" s="265">
        <f>IF(ResultsTeams[[#This Row],[Type]]="G",SUM(R471:R474),IF(LEFT(ResultsTeams[[#This Row],[Type]],1)="P",VALUE(ResultsTeams[[#This Row],[Score-B]]),""))</f>
        <v>1</v>
      </c>
      <c r="S470" s="265" t="str">
        <f ca="1">IF(AND(ResultsTeams[[#This Row],[Category]]&lt;&gt;"",ResultsTeams[[#This Row],[Team A]]&lt;&gt;""),COUNTIF(INDIRECT("TeamsList[Club Name]"),ResultsTeams[[#This Row],[Team A]]),"")</f>
        <v/>
      </c>
      <c r="T470" s="265" t="str">
        <f ca="1">IF(AND(ResultsTeams[[#This Row],[Category]]&lt;&gt;"",ResultsTeams[[#This Row],[Team B]]&lt;&gt;""),COUNTIF(INDIRECT("TeamsList[Club Name]"),ResultsTeams[[#This Row],[Team B]]),"")</f>
        <v/>
      </c>
      <c r="U4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-Christopher Sabetta</v>
      </c>
      <c r="V470" s="265" t="str">
        <f>IF(ResultsTeams[[#This Row],[Score_OK]],IF(ResultsTeams[[#This Row],[StageCpy]]="Groups",ResultsTeams[[#This Row],[Category]]&amp;"-"&amp;IF(ResultsTeams[[#This Row],[Team B]]="","",IF(ResultsTeams[[#This Row],[Match-A]]=ResultsTeams[[#This Row],[Match-B]],ResultsTeams[[#This Row],[Team A]],"")),""),"")</f>
        <v>-</v>
      </c>
      <c r="W470" s="265" t="str">
        <f>IF(ResultsTeams[[#This Row],[Score_OK]],IF(ResultsTeams[[#This Row],[StageCpy]]="Groups",ResultsTeams[[#This Row],[Category]]&amp;"-"&amp;IF(ResultsTeams[[#This Row],[Team B]]="","",IF(ResultsTeams[[#This Row],[Match-A]]=ResultsTeams[[#This Row],[Match-B]],ResultsTeams[[#This Row],[Team B]],"")),""),"")</f>
        <v>-</v>
      </c>
      <c r="X4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-Darren Barnes</v>
      </c>
      <c r="Y4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0" s="264" t="str">
        <f>IF(ResultsTeams[[#This Row],[Category]]="","",VLOOKUP(ResultsTeams[[#This Row],[Stage]],$R$1:$T$8,MATCH(ResultsTeams[[#This Row],[Category]],$S$1:$T$1,0)+1,FALSE))</f>
        <v/>
      </c>
      <c r="AC4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0" s="264" t="str">
        <f>IF(ResultsTeams[[#This Row],[Type]]="G",ResultsTeams[[#This Row],[Stage]],AD469)</f>
        <v>Groups</v>
      </c>
      <c r="AE470" s="395" t="str">
        <f>IF(ResultsTeams[[#This Row],[Type]]="G",INDEX(TeamsList[Club Name],MATCH(ResultsTeams[[#This Row],[Team A]],TeamsList[Team Name],0)),AE469)</f>
        <v>SC Lion's Eugies</v>
      </c>
      <c r="AF470" s="395" t="str">
        <f>IF(ResultsTeams[[#This Row],[Type]]="G",INDEX(TeamsList[Club Name],MATCH(ResultsTeams[[#This Row],[Team B]],TeamsList[Team Name],0)),AF469)</f>
        <v>Cardiff Bluebirds TFC</v>
      </c>
      <c r="AG470" s="265"/>
    </row>
    <row r="471" spans="1:33" x14ac:dyDescent="0.2">
      <c r="A471" s="62"/>
      <c r="B471" s="280"/>
      <c r="C471" s="62"/>
      <c r="D471" s="62"/>
      <c r="E471" s="241" t="s">
        <v>12240</v>
      </c>
      <c r="F471" s="246" t="s">
        <v>8164</v>
      </c>
      <c r="G471" s="246" t="s">
        <v>10879</v>
      </c>
      <c r="H471" s="254">
        <v>4</v>
      </c>
      <c r="I471" s="254">
        <v>1</v>
      </c>
      <c r="J471" s="254"/>
      <c r="K471" s="363"/>
      <c r="L471" s="363"/>
      <c r="M471" s="63"/>
      <c r="N471" s="265" t="b">
        <f>NOT(ISERROR(ResultsTeams[[#This Row],[Goal-A]]+ResultsTeams[[#This Row],[Goal-B]]))</f>
        <v>1</v>
      </c>
      <c r="O471" s="265">
        <f>IF(ResultsTeams[[#This Row],[Type]]="G",SUM(O472:O475),IF(LEFT(ResultsTeams[[#This Row],[Type]],1)="P",IF(ResultsTeams[[#This Row],[Goal-A]]&gt;ResultsTeams[[#This Row],[Goal-B]],1,0),""))</f>
        <v>1</v>
      </c>
      <c r="P471" s="265">
        <f>IF(ResultsTeams[[#This Row],[Type]]="G",SUM(P472:P475),IF(LEFT(ResultsTeams[[#This Row],[Type]],1)="P",IF(ResultsTeams[[#This Row],[Goal-A]]&lt;ResultsTeams[[#This Row],[Goal-B]],1,0),""))</f>
        <v>0</v>
      </c>
      <c r="Q471" s="265">
        <f>IF(ResultsTeams[[#This Row],[Type]]="G",SUM(Q472:Q475),IF(LEFT(ResultsTeams[[#This Row],[Type]],1)="P",VALUE(ResultsTeams[[#This Row],[Score-A]]),""))</f>
        <v>4</v>
      </c>
      <c r="R471" s="265">
        <f>IF(ResultsTeams[[#This Row],[Type]]="G",SUM(R472:R475),IF(LEFT(ResultsTeams[[#This Row],[Type]],1)="P",VALUE(ResultsTeams[[#This Row],[Score-B]]),""))</f>
        <v>1</v>
      </c>
      <c r="S471" s="265" t="str">
        <f ca="1">IF(AND(ResultsTeams[[#This Row],[Category]]&lt;&gt;"",ResultsTeams[[#This Row],[Team A]]&lt;&gt;""),COUNTIF(INDIRECT("TeamsList[Club Name]"),ResultsTeams[[#This Row],[Team A]]),"")</f>
        <v/>
      </c>
      <c r="T471" s="265" t="str">
        <f ca="1">IF(AND(ResultsTeams[[#This Row],[Category]]&lt;&gt;"",ResultsTeams[[#This Row],[Team B]]&lt;&gt;""),COUNTIF(INDIRECT("TeamsList[Club Name]"),ResultsTeams[[#This Row],[Team B]]),"")</f>
        <v/>
      </c>
      <c r="U4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-Bruno Timpano</v>
      </c>
      <c r="V471" s="265" t="str">
        <f>IF(ResultsTeams[[#This Row],[Score_OK]],IF(ResultsTeams[[#This Row],[StageCpy]]="Groups",ResultsTeams[[#This Row],[Category]]&amp;"-"&amp;IF(ResultsTeams[[#This Row],[Team B]]="","",IF(ResultsTeams[[#This Row],[Match-A]]=ResultsTeams[[#This Row],[Match-B]],ResultsTeams[[#This Row],[Team A]],"")),""),"")</f>
        <v>-</v>
      </c>
      <c r="W471" s="265" t="str">
        <f>IF(ResultsTeams[[#This Row],[Score_OK]],IF(ResultsTeams[[#This Row],[StageCpy]]="Groups",ResultsTeams[[#This Row],[Category]]&amp;"-"&amp;IF(ResultsTeams[[#This Row],[Team B]]="","",IF(ResultsTeams[[#This Row],[Match-A]]=ResultsTeams[[#This Row],[Match-B]],ResultsTeams[[#This Row],[Team B]],"")),""),"")</f>
        <v>-</v>
      </c>
      <c r="X4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Samuel</v>
      </c>
      <c r="Y4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1" s="264" t="str">
        <f>IF(ResultsTeams[[#This Row],[Category]]="","",VLOOKUP(ResultsTeams[[#This Row],[Stage]],$R$1:$T$8,MATCH(ResultsTeams[[#This Row],[Category]],$S$1:$T$1,0)+1,FALSE))</f>
        <v/>
      </c>
      <c r="AC4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1" s="264" t="str">
        <f>IF(ResultsTeams[[#This Row],[Type]]="G",ResultsTeams[[#This Row],[Stage]],AD470)</f>
        <v>Groups</v>
      </c>
      <c r="AE471" s="395" t="str">
        <f>IF(ResultsTeams[[#This Row],[Type]]="G",INDEX(TeamsList[Club Name],MATCH(ResultsTeams[[#This Row],[Team A]],TeamsList[Team Name],0)),AE470)</f>
        <v>SC Lion's Eugies</v>
      </c>
      <c r="AF471" s="395" t="str">
        <f>IF(ResultsTeams[[#This Row],[Type]]="G",INDEX(TeamsList[Club Name],MATCH(ResultsTeams[[#This Row],[Team B]],TeamsList[Team Name],0)),AF470)</f>
        <v>Cardiff Bluebirds TFC</v>
      </c>
      <c r="AG471" s="265"/>
    </row>
    <row r="472" spans="1:33" x14ac:dyDescent="0.2">
      <c r="A472" s="62"/>
      <c r="B472" s="62"/>
      <c r="C472" s="62"/>
      <c r="D472" s="62"/>
      <c r="E472" s="241" t="s">
        <v>12243</v>
      </c>
      <c r="F472" s="247"/>
      <c r="G472" s="247"/>
      <c r="H472" s="254"/>
      <c r="I472" s="254"/>
      <c r="J472" s="260"/>
      <c r="K472" s="364"/>
      <c r="L472" s="364"/>
      <c r="M472" s="63"/>
      <c r="N472" s="265" t="b">
        <f>NOT(ISERROR(ResultsTeams[[#This Row],[Goal-A]]+ResultsTeams[[#This Row],[Goal-B]]))</f>
        <v>0</v>
      </c>
      <c r="O472" s="265" t="str">
        <f>IF(ResultsTeams[[#This Row],[Type]]="G",SUM(O473:O476),IF(LEFT(ResultsTeams[[#This Row],[Type]],1)="P",IF(ResultsTeams[[#This Row],[Goal-A]]&gt;ResultsTeams[[#This Row],[Goal-B]],1,0),""))</f>
        <v/>
      </c>
      <c r="P472" s="265" t="str">
        <f>IF(ResultsTeams[[#This Row],[Type]]="G",SUM(P473:P476),IF(LEFT(ResultsTeams[[#This Row],[Type]],1)="P",IF(ResultsTeams[[#This Row],[Goal-A]]&lt;ResultsTeams[[#This Row],[Goal-B]],1,0),""))</f>
        <v/>
      </c>
      <c r="Q472" s="265" t="str">
        <f>IF(ResultsTeams[[#This Row],[Type]]="G",SUM(Q473:Q476),IF(LEFT(ResultsTeams[[#This Row],[Type]],1)="P",VALUE(ResultsTeams[[#This Row],[Score-A]]),""))</f>
        <v/>
      </c>
      <c r="R472" s="265" t="str">
        <f>IF(ResultsTeams[[#This Row],[Type]]="G",SUM(R473:R476),IF(LEFT(ResultsTeams[[#This Row],[Type]],1)="P",VALUE(ResultsTeams[[#This Row],[Score-B]]),""))</f>
        <v/>
      </c>
      <c r="S472" s="265" t="str">
        <f ca="1">IF(AND(ResultsTeams[[#This Row],[Category]]&lt;&gt;"",ResultsTeams[[#This Row],[Team A]]&lt;&gt;""),COUNTIF(INDIRECT("TeamsList[Club Name]"),ResultsTeams[[#This Row],[Team A]]),"")</f>
        <v/>
      </c>
      <c r="T472" s="265" t="str">
        <f ca="1">IF(AND(ResultsTeams[[#This Row],[Category]]&lt;&gt;"",ResultsTeams[[#This Row],[Team B]]&lt;&gt;""),COUNTIF(INDIRECT("TeamsList[Club Name]"),ResultsTeams[[#This Row],[Team B]]),"")</f>
        <v/>
      </c>
      <c r="U4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2" s="265" t="str">
        <f>IF(ResultsTeams[[#This Row],[Score_OK]],IF(ResultsTeams[[#This Row],[StageCpy]]="Groups",ResultsTeams[[#This Row],[Category]]&amp;"-"&amp;IF(ResultsTeams[[#This Row],[Team B]]="","",IF(ResultsTeams[[#This Row],[Match-A]]=ResultsTeams[[#This Row],[Match-B]],ResultsTeams[[#This Row],[Team A]],"")),""),"")</f>
        <v/>
      </c>
      <c r="W472" s="265" t="str">
        <f>IF(ResultsTeams[[#This Row],[Score_OK]],IF(ResultsTeams[[#This Row],[StageCpy]]="Groups",ResultsTeams[[#This Row],[Category]]&amp;"-"&amp;IF(ResultsTeams[[#This Row],[Team B]]="","",IF(ResultsTeams[[#This Row],[Match-A]]=ResultsTeams[[#This Row],[Match-B]],ResultsTeams[[#This Row],[Team B]],"")),""),"")</f>
        <v/>
      </c>
      <c r="X4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2" s="264" t="str">
        <f>IF(ResultsTeams[[#This Row],[Category]]="","",VLOOKUP(ResultsTeams[[#This Row],[Stage]],$R$1:$T$8,MATCH(ResultsTeams[[#This Row],[Category]],$S$1:$T$1,0)+1,FALSE))</f>
        <v/>
      </c>
      <c r="AC4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2" s="264" t="str">
        <f>IF(ResultsTeams[[#This Row],[Type]]="G",ResultsTeams[[#This Row],[Stage]],AD471)</f>
        <v>Groups</v>
      </c>
      <c r="AE472" s="395" t="str">
        <f>IF(ResultsTeams[[#This Row],[Type]]="G",INDEX(TeamsList[Club Name],MATCH(ResultsTeams[[#This Row],[Team A]],TeamsList[Team Name],0)),AE471)</f>
        <v>SC Lion's Eugies</v>
      </c>
      <c r="AF472" s="395" t="str">
        <f>IF(ResultsTeams[[#This Row],[Type]]="G",INDEX(TeamsList[Club Name],MATCH(ResultsTeams[[#This Row],[Team B]],TeamsList[Team Name],0)),AF471)</f>
        <v>Cardiff Bluebirds TFC</v>
      </c>
      <c r="AG472" s="265"/>
    </row>
    <row r="473" spans="1:33" ht="12" thickBot="1" x14ac:dyDescent="0.25">
      <c r="A473" s="83"/>
      <c r="B473" s="83"/>
      <c r="C473" s="83"/>
      <c r="D473" s="83"/>
      <c r="E473" s="268" t="s">
        <v>12244</v>
      </c>
      <c r="F473" s="262"/>
      <c r="G473" s="262"/>
      <c r="H473" s="324"/>
      <c r="I473" s="324"/>
      <c r="J473" s="263"/>
      <c r="K473" s="365"/>
      <c r="L473" s="365"/>
      <c r="M473" s="84"/>
      <c r="N473" s="265" t="b">
        <f>NOT(ISERROR(ResultsTeams[[#This Row],[Goal-A]]+ResultsTeams[[#This Row],[Goal-B]]))</f>
        <v>0</v>
      </c>
      <c r="O473" s="265" t="str">
        <f>IF(ResultsTeams[[#This Row],[Type]]="G",SUM(O474:O477),IF(LEFT(ResultsTeams[[#This Row],[Type]],1)="P",IF(ResultsTeams[[#This Row],[Goal-A]]&gt;ResultsTeams[[#This Row],[Goal-B]],1,0),""))</f>
        <v/>
      </c>
      <c r="P473" s="265" t="str">
        <f>IF(ResultsTeams[[#This Row],[Type]]="G",SUM(P474:P477),IF(LEFT(ResultsTeams[[#This Row],[Type]],1)="P",IF(ResultsTeams[[#This Row],[Goal-A]]&lt;ResultsTeams[[#This Row],[Goal-B]],1,0),""))</f>
        <v/>
      </c>
      <c r="Q473" s="265" t="str">
        <f>IF(ResultsTeams[[#This Row],[Type]]="G",SUM(Q474:Q477),IF(LEFT(ResultsTeams[[#This Row],[Type]],1)="P",VALUE(ResultsTeams[[#This Row],[Score-A]]),""))</f>
        <v/>
      </c>
      <c r="R473" s="265" t="str">
        <f>IF(ResultsTeams[[#This Row],[Type]]="G",SUM(R474:R477),IF(LEFT(ResultsTeams[[#This Row],[Type]],1)="P",VALUE(ResultsTeams[[#This Row],[Score-B]]),""))</f>
        <v/>
      </c>
      <c r="S473" s="265" t="str">
        <f ca="1">IF(AND(ResultsTeams[[#This Row],[Category]]&lt;&gt;"",ResultsTeams[[#This Row],[Team A]]&lt;&gt;""),COUNTIF(INDIRECT("TeamsList[Club Name]"),ResultsTeams[[#This Row],[Team A]]),"")</f>
        <v/>
      </c>
      <c r="T473" s="265" t="str">
        <f ca="1">IF(AND(ResultsTeams[[#This Row],[Category]]&lt;&gt;"",ResultsTeams[[#This Row],[Team B]]&lt;&gt;""),COUNTIF(INDIRECT("TeamsList[Club Name]"),ResultsTeams[[#This Row],[Team B]]),"")</f>
        <v/>
      </c>
      <c r="U4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3" s="265" t="str">
        <f>IF(ResultsTeams[[#This Row],[Score_OK]],IF(ResultsTeams[[#This Row],[StageCpy]]="Groups",ResultsTeams[[#This Row],[Category]]&amp;"-"&amp;IF(ResultsTeams[[#This Row],[Team B]]="","",IF(ResultsTeams[[#This Row],[Match-A]]=ResultsTeams[[#This Row],[Match-B]],ResultsTeams[[#This Row],[Team A]],"")),""),"")</f>
        <v/>
      </c>
      <c r="W473" s="265" t="str">
        <f>IF(ResultsTeams[[#This Row],[Score_OK]],IF(ResultsTeams[[#This Row],[StageCpy]]="Groups",ResultsTeams[[#This Row],[Category]]&amp;"-"&amp;IF(ResultsTeams[[#This Row],[Team B]]="","",IF(ResultsTeams[[#This Row],[Match-A]]=ResultsTeams[[#This Row],[Match-B]],ResultsTeams[[#This Row],[Team B]],"")),""),"")</f>
        <v/>
      </c>
      <c r="X4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3" s="264" t="str">
        <f>IF(ResultsTeams[[#This Row],[Category]]="","",VLOOKUP(ResultsTeams[[#This Row],[Stage]],$R$1:$T$8,MATCH(ResultsTeams[[#This Row],[Category]],$S$1:$T$1,0)+1,FALSE))</f>
        <v/>
      </c>
      <c r="AC4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3" s="264" t="str">
        <f>IF(ResultsTeams[[#This Row],[Type]]="G",ResultsTeams[[#This Row],[Stage]],AD472)</f>
        <v>Groups</v>
      </c>
      <c r="AE473" s="395" t="str">
        <f>IF(ResultsTeams[[#This Row],[Type]]="G",INDEX(TeamsList[Club Name],MATCH(ResultsTeams[[#This Row],[Team A]],TeamsList[Team Name],0)),AE472)</f>
        <v>SC Lion's Eugies</v>
      </c>
      <c r="AF473" s="395" t="str">
        <f>IF(ResultsTeams[[#This Row],[Type]]="G",INDEX(TeamsList[Club Name],MATCH(ResultsTeams[[#This Row],[Team B]],TeamsList[Team Name],0)),AF472)</f>
        <v>Cardiff Bluebirds TFC</v>
      </c>
      <c r="AG473" s="265"/>
    </row>
    <row r="474" spans="1:33" ht="12" thickBot="1" x14ac:dyDescent="0.25">
      <c r="A474" s="261" t="s">
        <v>12693</v>
      </c>
      <c r="B474" s="270" t="s">
        <v>12207</v>
      </c>
      <c r="C474" s="270">
        <v>10</v>
      </c>
      <c r="D474" s="270"/>
      <c r="E474" s="272" t="s">
        <v>12228</v>
      </c>
      <c r="F474" s="273" t="s">
        <v>170</v>
      </c>
      <c r="G474" s="273" t="s">
        <v>7516</v>
      </c>
      <c r="H474" s="275">
        <v>4</v>
      </c>
      <c r="I474" s="275">
        <v>0</v>
      </c>
      <c r="J474" s="275"/>
      <c r="K474" s="366"/>
      <c r="L474" s="366"/>
      <c r="M474" s="274"/>
      <c r="N474" s="265" t="b">
        <f>NOT(ISERROR(ResultsTeams[[#This Row],[Goal-A]]+ResultsTeams[[#This Row],[Goal-B]]))</f>
        <v>1</v>
      </c>
      <c r="O474" s="265">
        <f>IF(ResultsTeams[[#This Row],[Type]]="G",SUM(O475:O478),IF(LEFT(ResultsTeams[[#This Row],[Type]],1)="P",IF(ResultsTeams[[#This Row],[Goal-A]]&gt;ResultsTeams[[#This Row],[Goal-B]],1,0),""))</f>
        <v>4</v>
      </c>
      <c r="P474" s="265">
        <f>IF(ResultsTeams[[#This Row],[Type]]="G",SUM(P475:P478),IF(LEFT(ResultsTeams[[#This Row],[Type]],1)="P",IF(ResultsTeams[[#This Row],[Goal-A]]&lt;ResultsTeams[[#This Row],[Goal-B]],1,0),""))</f>
        <v>0</v>
      </c>
      <c r="Q474" s="265">
        <f>IF(ResultsTeams[[#This Row],[Type]]="G",SUM(Q475:Q478),IF(LEFT(ResultsTeams[[#This Row],[Type]],1)="P",VALUE(ResultsTeams[[#This Row],[Score-A]]),""))</f>
        <v>23</v>
      </c>
      <c r="R474" s="265">
        <f>IF(ResultsTeams[[#This Row],[Type]]="G",SUM(R475:R478),IF(LEFT(ResultsTeams[[#This Row],[Type]],1)="P",VALUE(ResultsTeams[[#This Row],[Score-B]]),""))</f>
        <v>3</v>
      </c>
      <c r="S474" s="265">
        <f ca="1">IF(AND(ResultsTeams[[#This Row],[Category]]&lt;&gt;"",ResultsTeams[[#This Row],[Team A]]&lt;&gt;""),COUNTIF(INDIRECT("TeamsList[Club Name]"),ResultsTeams[[#This Row],[Team A]]),"")</f>
        <v>2</v>
      </c>
      <c r="T474" s="265">
        <f ca="1">IF(AND(ResultsTeams[[#This Row],[Category]]&lt;&gt;"",ResultsTeams[[#This Row],[Team B]]&lt;&gt;""),COUNTIF(INDIRECT("TeamsList[Club Name]"),ResultsTeams[[#This Row],[Team B]]),"")</f>
        <v>1</v>
      </c>
      <c r="U4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v>
      </c>
      <c r="V474" s="265" t="str">
        <f>IF(ResultsTeams[[#This Row],[Score_OK]],IF(ResultsTeams[[#This Row],[StageCpy]]="Groups",ResultsTeams[[#This Row],[Category]]&amp;"-"&amp;IF(ResultsTeams[[#This Row],[Team B]]="","",IF(ResultsTeams[[#This Row],[Match-A]]=ResultsTeams[[#This Row],[Match-B]],ResultsTeams[[#This Row],[Team A]],"")),""),"")</f>
        <v>TEAM-</v>
      </c>
      <c r="W474" s="265" t="str">
        <f>IF(ResultsTeams[[#This Row],[Score_OK]],IF(ResultsTeams[[#This Row],[StageCpy]]="Groups",ResultsTeams[[#This Row],[Category]]&amp;"-"&amp;IF(ResultsTeams[[#This Row],[Team B]]="","",IF(ResultsTeams[[#This Row],[Match-A]]=ResultsTeams[[#This Row],[Match-B]],ResultsTeams[[#This Row],[Team B]],"")),""),"")</f>
        <v>TEAM-</v>
      </c>
      <c r="X4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TEAM-Cardiff Bluebirds TFC</v>
      </c>
      <c r="Y4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A4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B474" s="264" t="str">
        <f>IF(ResultsTeams[[#This Row],[Category]]="","",VLOOKUP(ResultsTeams[[#This Row],[Stage]],$R$1:$T$8,MATCH(ResultsTeams[[#This Row],[Category]],$S$1:$T$1,0)+1,FALSE))</f>
        <v>PR1</v>
      </c>
      <c r="AC4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4" s="264" t="str">
        <f>IF(ResultsTeams[[#This Row],[Type]]="G",ResultsTeams[[#This Row],[Stage]],AD473)</f>
        <v>Groups</v>
      </c>
      <c r="AE474" s="395" t="str">
        <f>IF(ResultsTeams[[#This Row],[Type]]="G",INDEX(TeamsList[Club Name],MATCH(ResultsTeams[[#This Row],[Team A]],TeamsList[Team Name],0)),AE473)</f>
        <v>Tiburones FM</v>
      </c>
      <c r="AF474" s="395" t="str">
        <f>IF(ResultsTeams[[#This Row],[Type]]="G",INDEX(TeamsList[Club Name],MATCH(ResultsTeams[[#This Row],[Team B]],TeamsList[Team Name],0)),AF473)</f>
        <v>Cardiff Bluebirds TFC</v>
      </c>
      <c r="AG474" s="265"/>
    </row>
    <row r="475" spans="1:33" x14ac:dyDescent="0.2">
      <c r="A475" s="60"/>
      <c r="B475" s="280"/>
      <c r="C475" s="60"/>
      <c r="D475" s="60"/>
      <c r="E475" s="240" t="s">
        <v>12231</v>
      </c>
      <c r="F475" s="244" t="s">
        <v>8752</v>
      </c>
      <c r="G475" s="244" t="s">
        <v>10875</v>
      </c>
      <c r="H475" s="253">
        <v>5</v>
      </c>
      <c r="I475" s="253">
        <v>0</v>
      </c>
      <c r="J475" s="253"/>
      <c r="K475" s="362"/>
      <c r="L475" s="362"/>
      <c r="M475" s="245"/>
      <c r="N475" s="265" t="b">
        <f>NOT(ISERROR(ResultsTeams[[#This Row],[Goal-A]]+ResultsTeams[[#This Row],[Goal-B]]))</f>
        <v>1</v>
      </c>
      <c r="O475" s="265">
        <f>IF(ResultsTeams[[#This Row],[Type]]="G",SUM(O476:O479),IF(LEFT(ResultsTeams[[#This Row],[Type]],1)="P",IF(ResultsTeams[[#This Row],[Goal-A]]&gt;ResultsTeams[[#This Row],[Goal-B]],1,0),""))</f>
        <v>1</v>
      </c>
      <c r="P475" s="265">
        <f>IF(ResultsTeams[[#This Row],[Type]]="G",SUM(P476:P479),IF(LEFT(ResultsTeams[[#This Row],[Type]],1)="P",IF(ResultsTeams[[#This Row],[Goal-A]]&lt;ResultsTeams[[#This Row],[Goal-B]],1,0),""))</f>
        <v>0</v>
      </c>
      <c r="Q475" s="265">
        <f>IF(ResultsTeams[[#This Row],[Type]]="G",SUM(Q476:Q479),IF(LEFT(ResultsTeams[[#This Row],[Type]],1)="P",VALUE(ResultsTeams[[#This Row],[Score-A]]),""))</f>
        <v>5</v>
      </c>
      <c r="R475" s="265">
        <f>IF(ResultsTeams[[#This Row],[Type]]="G",SUM(R476:R479),IF(LEFT(ResultsTeams[[#This Row],[Type]],1)="P",VALUE(ResultsTeams[[#This Row],[Score-B]]),""))</f>
        <v>0</v>
      </c>
      <c r="S475" s="265" t="str">
        <f ca="1">IF(AND(ResultsTeams[[#This Row],[Category]]&lt;&gt;"",ResultsTeams[[#This Row],[Team A]]&lt;&gt;""),COUNTIF(INDIRECT("TeamsList[Club Name]"),ResultsTeams[[#This Row],[Team A]]),"")</f>
        <v/>
      </c>
      <c r="T475" s="265" t="str">
        <f ca="1">IF(AND(ResultsTeams[[#This Row],[Category]]&lt;&gt;"",ResultsTeams[[#This Row],[Team B]]&lt;&gt;""),COUNTIF(INDIRECT("TeamsList[Club Name]"),ResultsTeams[[#This Row],[Team B]]),"")</f>
        <v/>
      </c>
      <c r="U4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Field</v>
      </c>
      <c r="V475" s="265" t="str">
        <f>IF(ResultsTeams[[#This Row],[Score_OK]],IF(ResultsTeams[[#This Row],[StageCpy]]="Groups",ResultsTeams[[#This Row],[Category]]&amp;"-"&amp;IF(ResultsTeams[[#This Row],[Team B]]="","",IF(ResultsTeams[[#This Row],[Match-A]]=ResultsTeams[[#This Row],[Match-B]],ResultsTeams[[#This Row],[Team A]],"")),""),"")</f>
        <v>-</v>
      </c>
      <c r="W475" s="265" t="str">
        <f>IF(ResultsTeams[[#This Row],[Score_OK]],IF(ResultsTeams[[#This Row],[StageCpy]]="Groups",ResultsTeams[[#This Row],[Category]]&amp;"-"&amp;IF(ResultsTeams[[#This Row],[Team B]]="","",IF(ResultsTeams[[#This Row],[Match-A]]=ResultsTeams[[#This Row],[Match-B]],ResultsTeams[[#This Row],[Team B]],"")),""),"")</f>
        <v>-</v>
      </c>
      <c r="X4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Lauder</v>
      </c>
      <c r="Y4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5" s="264" t="str">
        <f>IF(ResultsTeams[[#This Row],[Category]]="","",VLOOKUP(ResultsTeams[[#This Row],[Stage]],$R$1:$T$8,MATCH(ResultsTeams[[#This Row],[Category]],$S$1:$T$1,0)+1,FALSE))</f>
        <v/>
      </c>
      <c r="AC4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5" s="264" t="str">
        <f>IF(ResultsTeams[[#This Row],[Type]]="G",ResultsTeams[[#This Row],[Stage]],AD474)</f>
        <v>Groups</v>
      </c>
      <c r="AE475" s="395" t="str">
        <f>IF(ResultsTeams[[#This Row],[Type]]="G",INDEX(TeamsList[Club Name],MATCH(ResultsTeams[[#This Row],[Team A]],TeamsList[Team Name],0)),AE474)</f>
        <v>Tiburones FM</v>
      </c>
      <c r="AF475" s="395" t="str">
        <f>IF(ResultsTeams[[#This Row],[Type]]="G",INDEX(TeamsList[Club Name],MATCH(ResultsTeams[[#This Row],[Team B]],TeamsList[Team Name],0)),AF474)</f>
        <v>Cardiff Bluebirds TFC</v>
      </c>
      <c r="AG475" s="265"/>
    </row>
    <row r="476" spans="1:33" x14ac:dyDescent="0.2">
      <c r="A476" s="62"/>
      <c r="B476" s="280"/>
      <c r="C476" s="62"/>
      <c r="D476" s="62"/>
      <c r="E476" s="241" t="s">
        <v>12234</v>
      </c>
      <c r="F476" s="246" t="s">
        <v>8600</v>
      </c>
      <c r="G476" s="246" t="s">
        <v>10886</v>
      </c>
      <c r="H476" s="254">
        <v>4</v>
      </c>
      <c r="I476" s="254">
        <v>1</v>
      </c>
      <c r="J476" s="254"/>
      <c r="K476" s="363"/>
      <c r="L476" s="363"/>
      <c r="M476" s="247"/>
      <c r="N476" s="265" t="b">
        <f>NOT(ISERROR(ResultsTeams[[#This Row],[Goal-A]]+ResultsTeams[[#This Row],[Goal-B]]))</f>
        <v>1</v>
      </c>
      <c r="O476" s="265">
        <f>IF(ResultsTeams[[#This Row],[Type]]="G",SUM(O477:O480),IF(LEFT(ResultsTeams[[#This Row],[Type]],1)="P",IF(ResultsTeams[[#This Row],[Goal-A]]&gt;ResultsTeams[[#This Row],[Goal-B]],1,0),""))</f>
        <v>1</v>
      </c>
      <c r="P476" s="265">
        <f>IF(ResultsTeams[[#This Row],[Type]]="G",SUM(P477:P480),IF(LEFT(ResultsTeams[[#This Row],[Type]],1)="P",IF(ResultsTeams[[#This Row],[Goal-A]]&lt;ResultsTeams[[#This Row],[Goal-B]],1,0),""))</f>
        <v>0</v>
      </c>
      <c r="Q476" s="265">
        <f>IF(ResultsTeams[[#This Row],[Type]]="G",SUM(Q477:Q480),IF(LEFT(ResultsTeams[[#This Row],[Type]],1)="P",VALUE(ResultsTeams[[#This Row],[Score-A]]),""))</f>
        <v>4</v>
      </c>
      <c r="R476" s="265">
        <f>IF(ResultsTeams[[#This Row],[Type]]="G",SUM(R477:R480),IF(LEFT(ResultsTeams[[#This Row],[Type]],1)="P",VALUE(ResultsTeams[[#This Row],[Score-B]]),""))</f>
        <v>1</v>
      </c>
      <c r="S476" s="265" t="str">
        <f ca="1">IF(AND(ResultsTeams[[#This Row],[Category]]&lt;&gt;"",ResultsTeams[[#This Row],[Team A]]&lt;&gt;""),COUNTIF(INDIRECT("TeamsList[Club Name]"),ResultsTeams[[#This Row],[Team A]]),"")</f>
        <v/>
      </c>
      <c r="T476" s="265" t="str">
        <f ca="1">IF(AND(ResultsTeams[[#This Row],[Category]]&lt;&gt;"",ResultsTeams[[#This Row],[Team B]]&lt;&gt;""),COUNTIF(INDIRECT("TeamsList[Club Name]"),ResultsTeams[[#This Row],[Team B]]),"")</f>
        <v/>
      </c>
      <c r="U4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-Vicenç Prats</v>
      </c>
      <c r="V476" s="265" t="str">
        <f>IF(ResultsTeams[[#This Row],[Score_OK]],IF(ResultsTeams[[#This Row],[StageCpy]]="Groups",ResultsTeams[[#This Row],[Category]]&amp;"-"&amp;IF(ResultsTeams[[#This Row],[Team B]]="","",IF(ResultsTeams[[#This Row],[Match-A]]=ResultsTeams[[#This Row],[Match-B]],ResultsTeams[[#This Row],[Team A]],"")),""),"")</f>
        <v>-</v>
      </c>
      <c r="W476" s="265" t="str">
        <f>IF(ResultsTeams[[#This Row],[Score_OK]],IF(ResultsTeams[[#This Row],[StageCpy]]="Groups",ResultsTeams[[#This Row],[Category]]&amp;"-"&amp;IF(ResultsTeams[[#This Row],[Team B]]="","",IF(ResultsTeams[[#This Row],[Match-A]]=ResultsTeams[[#This Row],[Match-B]],ResultsTeams[[#This Row],[Team B]],"")),""),"")</f>
        <v>-</v>
      </c>
      <c r="X4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-Darren Barnes</v>
      </c>
      <c r="Y4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6" s="264" t="str">
        <f>IF(ResultsTeams[[#This Row],[Category]]="","",VLOOKUP(ResultsTeams[[#This Row],[Stage]],$R$1:$T$8,MATCH(ResultsTeams[[#This Row],[Category]],$S$1:$T$1,0)+1,FALSE))</f>
        <v/>
      </c>
      <c r="AC4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6" s="264" t="str">
        <f>IF(ResultsTeams[[#This Row],[Type]]="G",ResultsTeams[[#This Row],[Stage]],AD475)</f>
        <v>Groups</v>
      </c>
      <c r="AE476" s="395" t="str">
        <f>IF(ResultsTeams[[#This Row],[Type]]="G",INDEX(TeamsList[Club Name],MATCH(ResultsTeams[[#This Row],[Team A]],TeamsList[Team Name],0)),AE475)</f>
        <v>Tiburones FM</v>
      </c>
      <c r="AF476" s="395" t="str">
        <f>IF(ResultsTeams[[#This Row],[Type]]="G",INDEX(TeamsList[Club Name],MATCH(ResultsTeams[[#This Row],[Team B]],TeamsList[Team Name],0)),AF475)</f>
        <v>Cardiff Bluebirds TFC</v>
      </c>
      <c r="AG476" s="265"/>
    </row>
    <row r="477" spans="1:33" x14ac:dyDescent="0.2">
      <c r="A477" s="62"/>
      <c r="B477" s="280"/>
      <c r="C477" s="62"/>
      <c r="D477" s="62"/>
      <c r="E477" s="241" t="s">
        <v>12237</v>
      </c>
      <c r="F477" s="246" t="s">
        <v>8629</v>
      </c>
      <c r="G477" s="246" t="s">
        <v>10876</v>
      </c>
      <c r="H477" s="254">
        <v>6</v>
      </c>
      <c r="I477" s="254">
        <v>1</v>
      </c>
      <c r="J477" s="254"/>
      <c r="K477" s="363"/>
      <c r="L477" s="363"/>
      <c r="M477" s="247"/>
      <c r="N477" s="265" t="b">
        <f>NOT(ISERROR(ResultsTeams[[#This Row],[Goal-A]]+ResultsTeams[[#This Row],[Goal-B]]))</f>
        <v>1</v>
      </c>
      <c r="O477" s="265">
        <f>IF(ResultsTeams[[#This Row],[Type]]="G",SUM(O478:O481),IF(LEFT(ResultsTeams[[#This Row],[Type]],1)="P",IF(ResultsTeams[[#This Row],[Goal-A]]&gt;ResultsTeams[[#This Row],[Goal-B]],1,0),""))</f>
        <v>1</v>
      </c>
      <c r="P477" s="265">
        <f>IF(ResultsTeams[[#This Row],[Type]]="G",SUM(P478:P481),IF(LEFT(ResultsTeams[[#This Row],[Type]],1)="P",IF(ResultsTeams[[#This Row],[Goal-A]]&lt;ResultsTeams[[#This Row],[Goal-B]],1,0),""))</f>
        <v>0</v>
      </c>
      <c r="Q477" s="265">
        <f>IF(ResultsTeams[[#This Row],[Type]]="G",SUM(Q478:Q481),IF(LEFT(ResultsTeams[[#This Row],[Type]],1)="P",VALUE(ResultsTeams[[#This Row],[Score-A]]),""))</f>
        <v>6</v>
      </c>
      <c r="R477" s="265">
        <f>IF(ResultsTeams[[#This Row],[Type]]="G",SUM(R478:R481),IF(LEFT(ResultsTeams[[#This Row],[Type]],1)="P",VALUE(ResultsTeams[[#This Row],[Score-B]]),""))</f>
        <v>1</v>
      </c>
      <c r="S477" s="265" t="str">
        <f ca="1">IF(AND(ResultsTeams[[#This Row],[Category]]&lt;&gt;"",ResultsTeams[[#This Row],[Team A]]&lt;&gt;""),COUNTIF(INDIRECT("TeamsList[Club Name]"),ResultsTeams[[#This Row],[Team A]]),"")</f>
        <v/>
      </c>
      <c r="T477" s="265" t="str">
        <f ca="1">IF(AND(ResultsTeams[[#This Row],[Category]]&lt;&gt;"",ResultsTeams[[#This Row],[Team B]]&lt;&gt;""),COUNTIF(INDIRECT("TeamsList[Club Name]"),ResultsTeams[[#This Row],[Team B]]),"")</f>
        <v/>
      </c>
      <c r="U4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Jesús Casín</v>
      </c>
      <c r="V477" s="265" t="str">
        <f>IF(ResultsTeams[[#This Row],[Score_OK]],IF(ResultsTeams[[#This Row],[StageCpy]]="Groups",ResultsTeams[[#This Row],[Category]]&amp;"-"&amp;IF(ResultsTeams[[#This Row],[Team B]]="","",IF(ResultsTeams[[#This Row],[Match-A]]=ResultsTeams[[#This Row],[Match-B]],ResultsTeams[[#This Row],[Team A]],"")),""),"")</f>
        <v>-</v>
      </c>
      <c r="W477" s="265" t="str">
        <f>IF(ResultsTeams[[#This Row],[Score_OK]],IF(ResultsTeams[[#This Row],[StageCpy]]="Groups",ResultsTeams[[#This Row],[Category]]&amp;"-"&amp;IF(ResultsTeams[[#This Row],[Team B]]="","",IF(ResultsTeams[[#This Row],[Match-A]]=ResultsTeams[[#This Row],[Match-B]],ResultsTeams[[#This Row],[Team B]],"")),""),"")</f>
        <v>-</v>
      </c>
      <c r="X4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-Colin Lewis</v>
      </c>
      <c r="Y4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7" s="264" t="str">
        <f>IF(ResultsTeams[[#This Row],[Category]]="","",VLOOKUP(ResultsTeams[[#This Row],[Stage]],$R$1:$T$8,MATCH(ResultsTeams[[#This Row],[Category]],$S$1:$T$1,0)+1,FALSE))</f>
        <v/>
      </c>
      <c r="AC4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7" s="264" t="str">
        <f>IF(ResultsTeams[[#This Row],[Type]]="G",ResultsTeams[[#This Row],[Stage]],AD476)</f>
        <v>Groups</v>
      </c>
      <c r="AE477" s="395" t="str">
        <f>IF(ResultsTeams[[#This Row],[Type]]="G",INDEX(TeamsList[Club Name],MATCH(ResultsTeams[[#This Row],[Team A]],TeamsList[Team Name],0)),AE476)</f>
        <v>Tiburones FM</v>
      </c>
      <c r="AF477" s="395" t="str">
        <f>IF(ResultsTeams[[#This Row],[Type]]="G",INDEX(TeamsList[Club Name],MATCH(ResultsTeams[[#This Row],[Team B]],TeamsList[Team Name],0)),AF476)</f>
        <v>Cardiff Bluebirds TFC</v>
      </c>
      <c r="AG477" s="265"/>
    </row>
    <row r="478" spans="1:33" x14ac:dyDescent="0.2">
      <c r="A478" s="62"/>
      <c r="B478" s="280"/>
      <c r="C478" s="62"/>
      <c r="D478" s="62"/>
      <c r="E478" s="241" t="s">
        <v>12240</v>
      </c>
      <c r="F478" s="246" t="s">
        <v>8628</v>
      </c>
      <c r="G478" s="246" t="s">
        <v>10879</v>
      </c>
      <c r="H478" s="254">
        <v>8</v>
      </c>
      <c r="I478" s="254">
        <v>1</v>
      </c>
      <c r="J478" s="254"/>
      <c r="K478" s="363"/>
      <c r="L478" s="363"/>
      <c r="M478" s="247"/>
      <c r="N478" s="265" t="b">
        <f>NOT(ISERROR(ResultsTeams[[#This Row],[Goal-A]]+ResultsTeams[[#This Row],[Goal-B]]))</f>
        <v>1</v>
      </c>
      <c r="O478" s="265">
        <f>IF(ResultsTeams[[#This Row],[Type]]="G",SUM(O479:O482),IF(LEFT(ResultsTeams[[#This Row],[Type]],1)="P",IF(ResultsTeams[[#This Row],[Goal-A]]&gt;ResultsTeams[[#This Row],[Goal-B]],1,0),""))</f>
        <v>1</v>
      </c>
      <c r="P478" s="265">
        <f>IF(ResultsTeams[[#This Row],[Type]]="G",SUM(P479:P482),IF(LEFT(ResultsTeams[[#This Row],[Type]],1)="P",IF(ResultsTeams[[#This Row],[Goal-A]]&lt;ResultsTeams[[#This Row],[Goal-B]],1,0),""))</f>
        <v>0</v>
      </c>
      <c r="Q478" s="265">
        <f>IF(ResultsTeams[[#This Row],[Type]]="G",SUM(Q479:Q482),IF(LEFT(ResultsTeams[[#This Row],[Type]],1)="P",VALUE(ResultsTeams[[#This Row],[Score-A]]),""))</f>
        <v>8</v>
      </c>
      <c r="R478" s="265">
        <f>IF(ResultsTeams[[#This Row],[Type]]="G",SUM(R479:R482),IF(LEFT(ResultsTeams[[#This Row],[Type]],1)="P",VALUE(ResultsTeams[[#This Row],[Score-B]]),""))</f>
        <v>1</v>
      </c>
      <c r="S478" s="265" t="str">
        <f ca="1">IF(AND(ResultsTeams[[#This Row],[Category]]&lt;&gt;"",ResultsTeams[[#This Row],[Team A]]&lt;&gt;""),COUNTIF(INDIRECT("TeamsList[Club Name]"),ResultsTeams[[#This Row],[Team A]]),"")</f>
        <v/>
      </c>
      <c r="T478" s="265" t="str">
        <f ca="1">IF(AND(ResultsTeams[[#This Row],[Category]]&lt;&gt;"",ResultsTeams[[#This Row],[Team B]]&lt;&gt;""),COUNTIF(INDIRECT("TeamsList[Club Name]"),ResultsTeams[[#This Row],[Team B]]),"")</f>
        <v/>
      </c>
      <c r="U4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González</v>
      </c>
      <c r="V478" s="265" t="str">
        <f>IF(ResultsTeams[[#This Row],[Score_OK]],IF(ResultsTeams[[#This Row],[StageCpy]]="Groups",ResultsTeams[[#This Row],[Category]]&amp;"-"&amp;IF(ResultsTeams[[#This Row],[Team B]]="","",IF(ResultsTeams[[#This Row],[Match-A]]=ResultsTeams[[#This Row],[Match-B]],ResultsTeams[[#This Row],[Team A]],"")),""),"")</f>
        <v>-</v>
      </c>
      <c r="W478" s="265" t="str">
        <f>IF(ResultsTeams[[#This Row],[Score_OK]],IF(ResultsTeams[[#This Row],[StageCpy]]="Groups",ResultsTeams[[#This Row],[Category]]&amp;"-"&amp;IF(ResultsTeams[[#This Row],[Team B]]="","",IF(ResultsTeams[[#This Row],[Match-A]]=ResultsTeams[[#This Row],[Match-B]],ResultsTeams[[#This Row],[Team B]],"")),""),"")</f>
        <v>-</v>
      </c>
      <c r="X4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Samuel</v>
      </c>
      <c r="Y4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8" s="264" t="str">
        <f>IF(ResultsTeams[[#This Row],[Category]]="","",VLOOKUP(ResultsTeams[[#This Row],[Stage]],$R$1:$T$8,MATCH(ResultsTeams[[#This Row],[Category]],$S$1:$T$1,0)+1,FALSE))</f>
        <v/>
      </c>
      <c r="AC4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8" s="264" t="str">
        <f>IF(ResultsTeams[[#This Row],[Type]]="G",ResultsTeams[[#This Row],[Stage]],AD477)</f>
        <v>Groups</v>
      </c>
      <c r="AE478" s="395" t="str">
        <f>IF(ResultsTeams[[#This Row],[Type]]="G",INDEX(TeamsList[Club Name],MATCH(ResultsTeams[[#This Row],[Team A]],TeamsList[Team Name],0)),AE477)</f>
        <v>Tiburones FM</v>
      </c>
      <c r="AF478" s="395" t="str">
        <f>IF(ResultsTeams[[#This Row],[Type]]="G",INDEX(TeamsList[Club Name],MATCH(ResultsTeams[[#This Row],[Team B]],TeamsList[Team Name],0)),AF477)</f>
        <v>Cardiff Bluebirds TFC</v>
      </c>
      <c r="AG478" s="265"/>
    </row>
    <row r="479" spans="1:33" x14ac:dyDescent="0.2">
      <c r="A479" s="62"/>
      <c r="B479" s="62"/>
      <c r="C479" s="62"/>
      <c r="D479" s="62"/>
      <c r="E479" s="241" t="s">
        <v>12243</v>
      </c>
      <c r="F479" s="247"/>
      <c r="G479" s="247"/>
      <c r="H479" s="254"/>
      <c r="I479" s="254"/>
      <c r="J479" s="260"/>
      <c r="K479" s="364"/>
      <c r="L479" s="364"/>
      <c r="M479" s="247"/>
      <c r="N479" s="265" t="b">
        <f>NOT(ISERROR(ResultsTeams[[#This Row],[Goal-A]]+ResultsTeams[[#This Row],[Goal-B]]))</f>
        <v>0</v>
      </c>
      <c r="O479" s="265" t="str">
        <f>IF(ResultsTeams[[#This Row],[Type]]="G",SUM(O480:O483),IF(LEFT(ResultsTeams[[#This Row],[Type]],1)="P",IF(ResultsTeams[[#This Row],[Goal-A]]&gt;ResultsTeams[[#This Row],[Goal-B]],1,0),""))</f>
        <v/>
      </c>
      <c r="P479" s="265" t="str">
        <f>IF(ResultsTeams[[#This Row],[Type]]="G",SUM(P480:P483),IF(LEFT(ResultsTeams[[#This Row],[Type]],1)="P",IF(ResultsTeams[[#This Row],[Goal-A]]&lt;ResultsTeams[[#This Row],[Goal-B]],1,0),""))</f>
        <v/>
      </c>
      <c r="Q479" s="265" t="str">
        <f>IF(ResultsTeams[[#This Row],[Type]]="G",SUM(Q480:Q483),IF(LEFT(ResultsTeams[[#This Row],[Type]],1)="P",VALUE(ResultsTeams[[#This Row],[Score-A]]),""))</f>
        <v/>
      </c>
      <c r="R479" s="265" t="str">
        <f>IF(ResultsTeams[[#This Row],[Type]]="G",SUM(R480:R483),IF(LEFT(ResultsTeams[[#This Row],[Type]],1)="P",VALUE(ResultsTeams[[#This Row],[Score-B]]),""))</f>
        <v/>
      </c>
      <c r="S479" s="265" t="str">
        <f ca="1">IF(AND(ResultsTeams[[#This Row],[Category]]&lt;&gt;"",ResultsTeams[[#This Row],[Team A]]&lt;&gt;""),COUNTIF(INDIRECT("TeamsList[Club Name]"),ResultsTeams[[#This Row],[Team A]]),"")</f>
        <v/>
      </c>
      <c r="T479" s="265" t="str">
        <f ca="1">IF(AND(ResultsTeams[[#This Row],[Category]]&lt;&gt;"",ResultsTeams[[#This Row],[Team B]]&lt;&gt;""),COUNTIF(INDIRECT("TeamsList[Club Name]"),ResultsTeams[[#This Row],[Team B]]),"")</f>
        <v/>
      </c>
      <c r="U4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9" s="265" t="str">
        <f>IF(ResultsTeams[[#This Row],[Score_OK]],IF(ResultsTeams[[#This Row],[StageCpy]]="Groups",ResultsTeams[[#This Row],[Category]]&amp;"-"&amp;IF(ResultsTeams[[#This Row],[Team B]]="","",IF(ResultsTeams[[#This Row],[Match-A]]=ResultsTeams[[#This Row],[Match-B]],ResultsTeams[[#This Row],[Team A]],"")),""),"")</f>
        <v/>
      </c>
      <c r="W479" s="265" t="str">
        <f>IF(ResultsTeams[[#This Row],[Score_OK]],IF(ResultsTeams[[#This Row],[StageCpy]]="Groups",ResultsTeams[[#This Row],[Category]]&amp;"-"&amp;IF(ResultsTeams[[#This Row],[Team B]]="","",IF(ResultsTeams[[#This Row],[Match-A]]=ResultsTeams[[#This Row],[Match-B]],ResultsTeams[[#This Row],[Team B]],"")),""),"")</f>
        <v/>
      </c>
      <c r="X4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9" s="264" t="str">
        <f>IF(ResultsTeams[[#This Row],[Category]]="","",VLOOKUP(ResultsTeams[[#This Row],[Stage]],$R$1:$T$8,MATCH(ResultsTeams[[#This Row],[Category]],$S$1:$T$1,0)+1,FALSE))</f>
        <v/>
      </c>
      <c r="AC4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9" s="264" t="str">
        <f>IF(ResultsTeams[[#This Row],[Type]]="G",ResultsTeams[[#This Row],[Stage]],AD478)</f>
        <v>Groups</v>
      </c>
      <c r="AE479" s="395" t="str">
        <f>IF(ResultsTeams[[#This Row],[Type]]="G",INDEX(TeamsList[Club Name],MATCH(ResultsTeams[[#This Row],[Team A]],TeamsList[Team Name],0)),AE478)</f>
        <v>Tiburones FM</v>
      </c>
      <c r="AF479" s="395" t="str">
        <f>IF(ResultsTeams[[#This Row],[Type]]="G",INDEX(TeamsList[Club Name],MATCH(ResultsTeams[[#This Row],[Team B]],TeamsList[Team Name],0)),AF478)</f>
        <v>Cardiff Bluebirds TFC</v>
      </c>
      <c r="AG479" s="265"/>
    </row>
    <row r="480" spans="1:33" ht="12" thickBot="1" x14ac:dyDescent="0.25">
      <c r="A480" s="83"/>
      <c r="B480" s="83"/>
      <c r="C480" s="83"/>
      <c r="D480" s="83"/>
      <c r="E480" s="268" t="s">
        <v>12244</v>
      </c>
      <c r="F480" s="262"/>
      <c r="G480" s="262"/>
      <c r="H480" s="324"/>
      <c r="I480" s="324"/>
      <c r="J480" s="263"/>
      <c r="K480" s="365"/>
      <c r="L480" s="365"/>
      <c r="M480" s="262"/>
      <c r="N480" s="265" t="b">
        <f>NOT(ISERROR(ResultsTeams[[#This Row],[Goal-A]]+ResultsTeams[[#This Row],[Goal-B]]))</f>
        <v>0</v>
      </c>
      <c r="O480" s="265" t="str">
        <f>IF(ResultsTeams[[#This Row],[Type]]="G",SUM(O481:O484),IF(LEFT(ResultsTeams[[#This Row],[Type]],1)="P",IF(ResultsTeams[[#This Row],[Goal-A]]&gt;ResultsTeams[[#This Row],[Goal-B]],1,0),""))</f>
        <v/>
      </c>
      <c r="P480" s="265" t="str">
        <f>IF(ResultsTeams[[#This Row],[Type]]="G",SUM(P481:P484),IF(LEFT(ResultsTeams[[#This Row],[Type]],1)="P",IF(ResultsTeams[[#This Row],[Goal-A]]&lt;ResultsTeams[[#This Row],[Goal-B]],1,0),""))</f>
        <v/>
      </c>
      <c r="Q480" s="265" t="str">
        <f>IF(ResultsTeams[[#This Row],[Type]]="G",SUM(Q481:Q484),IF(LEFT(ResultsTeams[[#This Row],[Type]],1)="P",VALUE(ResultsTeams[[#This Row],[Score-A]]),""))</f>
        <v/>
      </c>
      <c r="R480" s="265" t="str">
        <f>IF(ResultsTeams[[#This Row],[Type]]="G",SUM(R481:R484),IF(LEFT(ResultsTeams[[#This Row],[Type]],1)="P",VALUE(ResultsTeams[[#This Row],[Score-B]]),""))</f>
        <v/>
      </c>
      <c r="S480" s="265" t="str">
        <f ca="1">IF(AND(ResultsTeams[[#This Row],[Category]]&lt;&gt;"",ResultsTeams[[#This Row],[Team A]]&lt;&gt;""),COUNTIF(INDIRECT("TeamsList[Club Name]"),ResultsTeams[[#This Row],[Team A]]),"")</f>
        <v/>
      </c>
      <c r="T480" s="265" t="str">
        <f ca="1">IF(AND(ResultsTeams[[#This Row],[Category]]&lt;&gt;"",ResultsTeams[[#This Row],[Team B]]&lt;&gt;""),COUNTIF(INDIRECT("TeamsList[Club Name]"),ResultsTeams[[#This Row],[Team B]]),"")</f>
        <v/>
      </c>
      <c r="U4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0" s="265" t="str">
        <f>IF(ResultsTeams[[#This Row],[Score_OK]],IF(ResultsTeams[[#This Row],[StageCpy]]="Groups",ResultsTeams[[#This Row],[Category]]&amp;"-"&amp;IF(ResultsTeams[[#This Row],[Team B]]="","",IF(ResultsTeams[[#This Row],[Match-A]]=ResultsTeams[[#This Row],[Match-B]],ResultsTeams[[#This Row],[Team A]],"")),""),"")</f>
        <v/>
      </c>
      <c r="W480" s="265" t="str">
        <f>IF(ResultsTeams[[#This Row],[Score_OK]],IF(ResultsTeams[[#This Row],[StageCpy]]="Groups",ResultsTeams[[#This Row],[Category]]&amp;"-"&amp;IF(ResultsTeams[[#This Row],[Team B]]="","",IF(ResultsTeams[[#This Row],[Match-A]]=ResultsTeams[[#This Row],[Match-B]],ResultsTeams[[#This Row],[Team B]],"")),""),"")</f>
        <v/>
      </c>
      <c r="X4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0" s="264" t="str">
        <f>IF(ResultsTeams[[#This Row],[Category]]="","",VLOOKUP(ResultsTeams[[#This Row],[Stage]],$R$1:$T$8,MATCH(ResultsTeams[[#This Row],[Category]],$S$1:$T$1,0)+1,FALSE))</f>
        <v/>
      </c>
      <c r="AC4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0" s="264" t="str">
        <f>IF(ResultsTeams[[#This Row],[Type]]="G",ResultsTeams[[#This Row],[Stage]],AD479)</f>
        <v>Groups</v>
      </c>
      <c r="AE480" s="395" t="str">
        <f>IF(ResultsTeams[[#This Row],[Type]]="G",INDEX(TeamsList[Club Name],MATCH(ResultsTeams[[#This Row],[Team A]],TeamsList[Team Name],0)),AE479)</f>
        <v>Tiburones FM</v>
      </c>
      <c r="AF480" s="395" t="str">
        <f>IF(ResultsTeams[[#This Row],[Type]]="G",INDEX(TeamsList[Club Name],MATCH(ResultsTeams[[#This Row],[Team B]],TeamsList[Team Name],0)),AF479)</f>
        <v>Cardiff Bluebirds TFC</v>
      </c>
      <c r="AG480" s="265"/>
    </row>
    <row r="481" spans="1:33" ht="12" thickBot="1" x14ac:dyDescent="0.25">
      <c r="A481" s="261" t="s">
        <v>12693</v>
      </c>
      <c r="B481" s="270" t="s">
        <v>12207</v>
      </c>
      <c r="C481" s="270">
        <v>10</v>
      </c>
      <c r="D481" s="270"/>
      <c r="E481" s="272" t="s">
        <v>12228</v>
      </c>
      <c r="F481" s="273" t="s">
        <v>792</v>
      </c>
      <c r="G481" s="273" t="s">
        <v>324</v>
      </c>
      <c r="H481" s="275">
        <v>0</v>
      </c>
      <c r="I481" s="275">
        <v>4</v>
      </c>
      <c r="J481" s="275"/>
      <c r="K481" s="366"/>
      <c r="L481" s="366"/>
      <c r="M481" s="274"/>
      <c r="N481" s="265" t="b">
        <f>NOT(ISERROR(ResultsTeams[[#This Row],[Goal-A]]+ResultsTeams[[#This Row],[Goal-B]]))</f>
        <v>1</v>
      </c>
      <c r="O481" s="265">
        <f>IF(ResultsTeams[[#This Row],[Type]]="G",SUM(O482:O485),IF(LEFT(ResultsTeams[[#This Row],[Type]],1)="P",IF(ResultsTeams[[#This Row],[Goal-A]]&gt;ResultsTeams[[#This Row],[Goal-B]],1,0),""))</f>
        <v>0</v>
      </c>
      <c r="P481" s="265">
        <f>IF(ResultsTeams[[#This Row],[Type]]="G",SUM(P482:P485),IF(LEFT(ResultsTeams[[#This Row],[Type]],1)="P",IF(ResultsTeams[[#This Row],[Goal-A]]&lt;ResultsTeams[[#This Row],[Goal-B]],1,0),""))</f>
        <v>4</v>
      </c>
      <c r="Q481" s="265">
        <f>IF(ResultsTeams[[#This Row],[Type]]="G",SUM(Q482:Q485),IF(LEFT(ResultsTeams[[#This Row],[Type]],1)="P",VALUE(ResultsTeams[[#This Row],[Score-A]]),""))</f>
        <v>5</v>
      </c>
      <c r="R481" s="265">
        <f>IF(ResultsTeams[[#This Row],[Type]]="G",SUM(R482:R485),IF(LEFT(ResultsTeams[[#This Row],[Type]],1)="P",VALUE(ResultsTeams[[#This Row],[Score-B]]),""))</f>
        <v>19</v>
      </c>
      <c r="S481" s="265">
        <f ca="1">IF(AND(ResultsTeams[[#This Row],[Category]]&lt;&gt;"",ResultsTeams[[#This Row],[Team A]]&lt;&gt;""),COUNTIF(INDIRECT("TeamsList[Club Name]"),ResultsTeams[[#This Row],[Team A]]),"")</f>
        <v>1</v>
      </c>
      <c r="T481" s="265">
        <f ca="1">IF(AND(ResultsTeams[[#This Row],[Category]]&lt;&gt;"",ResultsTeams[[#This Row],[Team B]]&lt;&gt;""),COUNTIF(INDIRECT("TeamsList[Club Name]"),ResultsTeams[[#This Row],[Team B]]),"")</f>
        <v>4</v>
      </c>
      <c r="U4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Lion's Eugies</v>
      </c>
      <c r="V481" s="265" t="str">
        <f>IF(ResultsTeams[[#This Row],[Score_OK]],IF(ResultsTeams[[#This Row],[StageCpy]]="Groups",ResultsTeams[[#This Row],[Category]]&amp;"-"&amp;IF(ResultsTeams[[#This Row],[Team B]]="","",IF(ResultsTeams[[#This Row],[Match-A]]=ResultsTeams[[#This Row],[Match-B]],ResultsTeams[[#This Row],[Team A]],"")),""),"")</f>
        <v>TEAM-</v>
      </c>
      <c r="W481" s="265" t="str">
        <f>IF(ResultsTeams[[#This Row],[Score_OK]],IF(ResultsTeams[[#This Row],[StageCpy]]="Groups",ResultsTeams[[#This Row],[Category]]&amp;"-"&amp;IF(ResultsTeams[[#This Row],[Team B]]="","",IF(ResultsTeams[[#This Row],[Match-A]]=ResultsTeams[[#This Row],[Match-B]],ResultsTeams[[#This Row],[Team B]],"")),""),"")</f>
        <v>TEAM-</v>
      </c>
      <c r="X4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TEAM-H'Attard SC</v>
      </c>
      <c r="Y4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TEAM-H'Attard SC</v>
      </c>
      <c r="AA4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TEAM-H'Attard SC</v>
      </c>
      <c r="AB481" s="264" t="str">
        <f>IF(ResultsTeams[[#This Row],[Category]]="","",VLOOKUP(ResultsTeams[[#This Row],[Stage]],$R$1:$T$8,MATCH(ResultsTeams[[#This Row],[Category]],$S$1:$T$1,0)+1,FALSE))</f>
        <v>PR1</v>
      </c>
      <c r="AC4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1" s="264" t="str">
        <f>IF(ResultsTeams[[#This Row],[Type]]="G",ResultsTeams[[#This Row],[Stage]],AD480)</f>
        <v>Groups</v>
      </c>
      <c r="AE481" s="395" t="str">
        <f>IF(ResultsTeams[[#This Row],[Type]]="G",INDEX(TeamsList[Club Name],MATCH(ResultsTeams[[#This Row],[Team A]],TeamsList[Team Name],0)),AE480)</f>
        <v>H'Attard SC</v>
      </c>
      <c r="AF481" s="395" t="str">
        <f>IF(ResultsTeams[[#This Row],[Type]]="G",INDEX(TeamsList[Club Name],MATCH(ResultsTeams[[#This Row],[Team B]],TeamsList[Team Name],0)),AF480)</f>
        <v>SC Lion's Eugies</v>
      </c>
      <c r="AG481" s="265"/>
    </row>
    <row r="482" spans="1:33" x14ac:dyDescent="0.2">
      <c r="A482" s="60"/>
      <c r="B482" s="280"/>
      <c r="C482" s="60"/>
      <c r="D482" s="60"/>
      <c r="E482" s="240" t="s">
        <v>12231</v>
      </c>
      <c r="F482" s="244" t="s">
        <v>10449</v>
      </c>
      <c r="G482" s="244" t="s">
        <v>8109</v>
      </c>
      <c r="H482" s="253">
        <v>3</v>
      </c>
      <c r="I482" s="253">
        <v>6</v>
      </c>
      <c r="J482" s="253"/>
      <c r="K482" s="362"/>
      <c r="L482" s="362"/>
      <c r="M482" s="245"/>
      <c r="N482" s="265" t="b">
        <f>NOT(ISERROR(ResultsTeams[[#This Row],[Goal-A]]+ResultsTeams[[#This Row],[Goal-B]]))</f>
        <v>1</v>
      </c>
      <c r="O482" s="265">
        <f>IF(ResultsTeams[[#This Row],[Type]]="G",SUM(O483:O486),IF(LEFT(ResultsTeams[[#This Row],[Type]],1)="P",IF(ResultsTeams[[#This Row],[Goal-A]]&gt;ResultsTeams[[#This Row],[Goal-B]],1,0),""))</f>
        <v>0</v>
      </c>
      <c r="P482" s="265">
        <f>IF(ResultsTeams[[#This Row],[Type]]="G",SUM(P483:P486),IF(LEFT(ResultsTeams[[#This Row],[Type]],1)="P",IF(ResultsTeams[[#This Row],[Goal-A]]&lt;ResultsTeams[[#This Row],[Goal-B]],1,0),""))</f>
        <v>1</v>
      </c>
      <c r="Q482" s="265">
        <f>IF(ResultsTeams[[#This Row],[Type]]="G",SUM(Q483:Q486),IF(LEFT(ResultsTeams[[#This Row],[Type]],1)="P",VALUE(ResultsTeams[[#This Row],[Score-A]]),""))</f>
        <v>3</v>
      </c>
      <c r="R482" s="265">
        <f>IF(ResultsTeams[[#This Row],[Type]]="G",SUM(R483:R486),IF(LEFT(ResultsTeams[[#This Row],[Type]],1)="P",VALUE(ResultsTeams[[#This Row],[Score-B]]),""))</f>
        <v>6</v>
      </c>
      <c r="S482" s="265" t="str">
        <f ca="1">IF(AND(ResultsTeams[[#This Row],[Category]]&lt;&gt;"",ResultsTeams[[#This Row],[Team A]]&lt;&gt;""),COUNTIF(INDIRECT("TeamsList[Club Name]"),ResultsTeams[[#This Row],[Team A]]),"")</f>
        <v/>
      </c>
      <c r="T482" s="265" t="str">
        <f ca="1">IF(AND(ResultsTeams[[#This Row],[Category]]&lt;&gt;"",ResultsTeams[[#This Row],[Team B]]&lt;&gt;""),COUNTIF(INDIRECT("TeamsList[Club Name]"),ResultsTeams[[#This Row],[Team B]]),"")</f>
        <v/>
      </c>
      <c r="U4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-Joffray Laurent</v>
      </c>
      <c r="V482" s="265" t="str">
        <f>IF(ResultsTeams[[#This Row],[Score_OK]],IF(ResultsTeams[[#This Row],[StageCpy]]="Groups",ResultsTeams[[#This Row],[Category]]&amp;"-"&amp;IF(ResultsTeams[[#This Row],[Team B]]="","",IF(ResultsTeams[[#This Row],[Match-A]]=ResultsTeams[[#This Row],[Match-B]],ResultsTeams[[#This Row],[Team A]],"")),""),"")</f>
        <v>-</v>
      </c>
      <c r="W482" s="265" t="str">
        <f>IF(ResultsTeams[[#This Row],[Score_OK]],IF(ResultsTeams[[#This Row],[StageCpy]]="Groups",ResultsTeams[[#This Row],[Category]]&amp;"-"&amp;IF(ResultsTeams[[#This Row],[Team B]]="","",IF(ResultsTeams[[#This Row],[Match-A]]=ResultsTeams[[#This Row],[Match-B]],ResultsTeams[[#This Row],[Team B]],"")),""),"")</f>
        <v>-</v>
      </c>
      <c r="X4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-Valentino Zamara</v>
      </c>
      <c r="Y4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2" s="264" t="str">
        <f>IF(ResultsTeams[[#This Row],[Category]]="","",VLOOKUP(ResultsTeams[[#This Row],[Stage]],$R$1:$T$8,MATCH(ResultsTeams[[#This Row],[Category]],$S$1:$T$1,0)+1,FALSE))</f>
        <v/>
      </c>
      <c r="AC4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2" s="264" t="str">
        <f>IF(ResultsTeams[[#This Row],[Type]]="G",ResultsTeams[[#This Row],[Stage]],AD481)</f>
        <v>Groups</v>
      </c>
      <c r="AE482" s="395" t="str">
        <f>IF(ResultsTeams[[#This Row],[Type]]="G",INDEX(TeamsList[Club Name],MATCH(ResultsTeams[[#This Row],[Team A]],TeamsList[Team Name],0)),AE481)</f>
        <v>H'Attard SC</v>
      </c>
      <c r="AF482" s="395" t="str">
        <f>IF(ResultsTeams[[#This Row],[Type]]="G",INDEX(TeamsList[Club Name],MATCH(ResultsTeams[[#This Row],[Team B]],TeamsList[Team Name],0)),AF481)</f>
        <v>SC Lion's Eugies</v>
      </c>
      <c r="AG482" s="265"/>
    </row>
    <row r="483" spans="1:33" x14ac:dyDescent="0.2">
      <c r="A483" s="62"/>
      <c r="B483" s="280"/>
      <c r="C483" s="62"/>
      <c r="D483" s="62"/>
      <c r="E483" s="241" t="s">
        <v>12234</v>
      </c>
      <c r="F483" s="246" t="s">
        <v>10440</v>
      </c>
      <c r="G483" s="246" t="s">
        <v>8164</v>
      </c>
      <c r="H483" s="254">
        <v>0</v>
      </c>
      <c r="I483" s="254">
        <v>3</v>
      </c>
      <c r="J483" s="254"/>
      <c r="K483" s="363"/>
      <c r="L483" s="363"/>
      <c r="M483" s="247"/>
      <c r="N483" s="265" t="b">
        <f>NOT(ISERROR(ResultsTeams[[#This Row],[Goal-A]]+ResultsTeams[[#This Row],[Goal-B]]))</f>
        <v>1</v>
      </c>
      <c r="O483" s="265">
        <f>IF(ResultsTeams[[#This Row],[Type]]="G",SUM(O484:O487),IF(LEFT(ResultsTeams[[#This Row],[Type]],1)="P",IF(ResultsTeams[[#This Row],[Goal-A]]&gt;ResultsTeams[[#This Row],[Goal-B]],1,0),""))</f>
        <v>0</v>
      </c>
      <c r="P483" s="265">
        <f>IF(ResultsTeams[[#This Row],[Type]]="G",SUM(P484:P487),IF(LEFT(ResultsTeams[[#This Row],[Type]],1)="P",IF(ResultsTeams[[#This Row],[Goal-A]]&lt;ResultsTeams[[#This Row],[Goal-B]],1,0),""))</f>
        <v>1</v>
      </c>
      <c r="Q483" s="265">
        <f>IF(ResultsTeams[[#This Row],[Type]]="G",SUM(Q484:Q487),IF(LEFT(ResultsTeams[[#This Row],[Type]],1)="P",VALUE(ResultsTeams[[#This Row],[Score-A]]),""))</f>
        <v>0</v>
      </c>
      <c r="R483" s="265">
        <f>IF(ResultsTeams[[#This Row],[Type]]="G",SUM(R484:R487),IF(LEFT(ResultsTeams[[#This Row],[Type]],1)="P",VALUE(ResultsTeams[[#This Row],[Score-B]]),""))</f>
        <v>3</v>
      </c>
      <c r="S483" s="265" t="str">
        <f ca="1">IF(AND(ResultsTeams[[#This Row],[Category]]&lt;&gt;"",ResultsTeams[[#This Row],[Team A]]&lt;&gt;""),COUNTIF(INDIRECT("TeamsList[Club Name]"),ResultsTeams[[#This Row],[Team A]]),"")</f>
        <v/>
      </c>
      <c r="T483" s="265" t="str">
        <f ca="1">IF(AND(ResultsTeams[[#This Row],[Category]]&lt;&gt;"",ResultsTeams[[#This Row],[Team B]]&lt;&gt;""),COUNTIF(INDIRECT("TeamsList[Club Name]"),ResultsTeams[[#This Row],[Team B]]),"")</f>
        <v/>
      </c>
      <c r="U4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-Bruno Timpano</v>
      </c>
      <c r="V483" s="265" t="str">
        <f>IF(ResultsTeams[[#This Row],[Score_OK]],IF(ResultsTeams[[#This Row],[StageCpy]]="Groups",ResultsTeams[[#This Row],[Category]]&amp;"-"&amp;IF(ResultsTeams[[#This Row],[Team B]]="","",IF(ResultsTeams[[#This Row],[Match-A]]=ResultsTeams[[#This Row],[Match-B]],ResultsTeams[[#This Row],[Team A]],"")),""),"")</f>
        <v>-</v>
      </c>
      <c r="W483" s="265" t="str">
        <f>IF(ResultsTeams[[#This Row],[Score_OK]],IF(ResultsTeams[[#This Row],[StageCpy]]="Groups",ResultsTeams[[#This Row],[Category]]&amp;"-"&amp;IF(ResultsTeams[[#This Row],[Team B]]="","",IF(ResultsTeams[[#This Row],[Match-A]]=ResultsTeams[[#This Row],[Match-B]],ResultsTeams[[#This Row],[Team B]],"")),""),"")</f>
        <v>-</v>
      </c>
      <c r="X4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-Stanley Farrugia Randon</v>
      </c>
      <c r="Y4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3" s="264" t="str">
        <f>IF(ResultsTeams[[#This Row],[Category]]="","",VLOOKUP(ResultsTeams[[#This Row],[Stage]],$R$1:$T$8,MATCH(ResultsTeams[[#This Row],[Category]],$S$1:$T$1,0)+1,FALSE))</f>
        <v/>
      </c>
      <c r="AC4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3" s="264" t="str">
        <f>IF(ResultsTeams[[#This Row],[Type]]="G",ResultsTeams[[#This Row],[Stage]],AD482)</f>
        <v>Groups</v>
      </c>
      <c r="AE483" s="395" t="str">
        <f>IF(ResultsTeams[[#This Row],[Type]]="G",INDEX(TeamsList[Club Name],MATCH(ResultsTeams[[#This Row],[Team A]],TeamsList[Team Name],0)),AE482)</f>
        <v>H'Attard SC</v>
      </c>
      <c r="AF483" s="395" t="str">
        <f>IF(ResultsTeams[[#This Row],[Type]]="G",INDEX(TeamsList[Club Name],MATCH(ResultsTeams[[#This Row],[Team B]],TeamsList[Team Name],0)),AF482)</f>
        <v>SC Lion's Eugies</v>
      </c>
      <c r="AG483" s="265"/>
    </row>
    <row r="484" spans="1:33" x14ac:dyDescent="0.2">
      <c r="A484" s="62"/>
      <c r="B484" s="280"/>
      <c r="C484" s="62"/>
      <c r="D484" s="62"/>
      <c r="E484" s="241" t="s">
        <v>12237</v>
      </c>
      <c r="F484" s="246" t="s">
        <v>10446</v>
      </c>
      <c r="G484" s="246" t="s">
        <v>8165</v>
      </c>
      <c r="H484" s="254">
        <v>0</v>
      </c>
      <c r="I484" s="254">
        <v>4</v>
      </c>
      <c r="J484" s="254"/>
      <c r="K484" s="363"/>
      <c r="L484" s="363"/>
      <c r="M484" s="247"/>
      <c r="N484" s="265" t="b">
        <f>NOT(ISERROR(ResultsTeams[[#This Row],[Goal-A]]+ResultsTeams[[#This Row],[Goal-B]]))</f>
        <v>1</v>
      </c>
      <c r="O484" s="265">
        <f>IF(ResultsTeams[[#This Row],[Type]]="G",SUM(O485:O488),IF(LEFT(ResultsTeams[[#This Row],[Type]],1)="P",IF(ResultsTeams[[#This Row],[Goal-A]]&gt;ResultsTeams[[#This Row],[Goal-B]],1,0),""))</f>
        <v>0</v>
      </c>
      <c r="P484" s="265">
        <f>IF(ResultsTeams[[#This Row],[Type]]="G",SUM(P485:P488),IF(LEFT(ResultsTeams[[#This Row],[Type]],1)="P",IF(ResultsTeams[[#This Row],[Goal-A]]&lt;ResultsTeams[[#This Row],[Goal-B]],1,0),""))</f>
        <v>1</v>
      </c>
      <c r="Q484" s="265">
        <f>IF(ResultsTeams[[#This Row],[Type]]="G",SUM(Q485:Q488),IF(LEFT(ResultsTeams[[#This Row],[Type]],1)="P",VALUE(ResultsTeams[[#This Row],[Score-A]]),""))</f>
        <v>0</v>
      </c>
      <c r="R484" s="265">
        <f>IF(ResultsTeams[[#This Row],[Type]]="G",SUM(R485:R488),IF(LEFT(ResultsTeams[[#This Row],[Type]],1)="P",VALUE(ResultsTeams[[#This Row],[Score-B]]),""))</f>
        <v>4</v>
      </c>
      <c r="S484" s="265" t="str">
        <f ca="1">IF(AND(ResultsTeams[[#This Row],[Category]]&lt;&gt;"",ResultsTeams[[#This Row],[Team A]]&lt;&gt;""),COUNTIF(INDIRECT("TeamsList[Club Name]"),ResultsTeams[[#This Row],[Team A]]),"")</f>
        <v/>
      </c>
      <c r="T484" s="265" t="str">
        <f ca="1">IF(AND(ResultsTeams[[#This Row],[Category]]&lt;&gt;"",ResultsTeams[[#This Row],[Team B]]&lt;&gt;""),COUNTIF(INDIRECT("TeamsList[Club Name]"),ResultsTeams[[#This Row],[Team B]]),"")</f>
        <v/>
      </c>
      <c r="U4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-Christopher Sabetta</v>
      </c>
      <c r="V484" s="265" t="str">
        <f>IF(ResultsTeams[[#This Row],[Score_OK]],IF(ResultsTeams[[#This Row],[StageCpy]]="Groups",ResultsTeams[[#This Row],[Category]]&amp;"-"&amp;IF(ResultsTeams[[#This Row],[Team B]]="","",IF(ResultsTeams[[#This Row],[Match-A]]=ResultsTeams[[#This Row],[Match-B]],ResultsTeams[[#This Row],[Team A]],"")),""),"")</f>
        <v>-</v>
      </c>
      <c r="W484" s="265" t="str">
        <f>IF(ResultsTeams[[#This Row],[Score_OK]],IF(ResultsTeams[[#This Row],[StageCpy]]="Groups",ResultsTeams[[#This Row],[Category]]&amp;"-"&amp;IF(ResultsTeams[[#This Row],[Team B]]="","",IF(ResultsTeams[[#This Row],[Match-A]]=ResultsTeams[[#This Row],[Match-B]],ResultsTeams[[#This Row],[Team B]],"")),""),"")</f>
        <v>-</v>
      </c>
      <c r="X4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-Robert Farrugia Randon</v>
      </c>
      <c r="Y4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4" s="264" t="str">
        <f>IF(ResultsTeams[[#This Row],[Category]]="","",VLOOKUP(ResultsTeams[[#This Row],[Stage]],$R$1:$T$8,MATCH(ResultsTeams[[#This Row],[Category]],$S$1:$T$1,0)+1,FALSE))</f>
        <v/>
      </c>
      <c r="AC4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4" s="264" t="str">
        <f>IF(ResultsTeams[[#This Row],[Type]]="G",ResultsTeams[[#This Row],[Stage]],AD483)</f>
        <v>Groups</v>
      </c>
      <c r="AE484" s="395" t="str">
        <f>IF(ResultsTeams[[#This Row],[Type]]="G",INDEX(TeamsList[Club Name],MATCH(ResultsTeams[[#This Row],[Team A]],TeamsList[Team Name],0)),AE483)</f>
        <v>H'Attard SC</v>
      </c>
      <c r="AF484" s="395" t="str">
        <f>IF(ResultsTeams[[#This Row],[Type]]="G",INDEX(TeamsList[Club Name],MATCH(ResultsTeams[[#This Row],[Team B]],TeamsList[Team Name],0)),AF483)</f>
        <v>SC Lion's Eugies</v>
      </c>
      <c r="AG484" s="265"/>
    </row>
    <row r="485" spans="1:33" x14ac:dyDescent="0.2">
      <c r="A485" s="62"/>
      <c r="B485" s="280"/>
      <c r="C485" s="62"/>
      <c r="D485" s="62"/>
      <c r="E485" s="241" t="s">
        <v>12240</v>
      </c>
      <c r="F485" s="246" t="s">
        <v>10447</v>
      </c>
      <c r="G485" s="246" t="s">
        <v>8075</v>
      </c>
      <c r="H485" s="254">
        <v>2</v>
      </c>
      <c r="I485" s="254">
        <v>6</v>
      </c>
      <c r="J485" s="254"/>
      <c r="K485" s="363"/>
      <c r="L485" s="363"/>
      <c r="M485" s="247"/>
      <c r="N485" s="265" t="b">
        <f>NOT(ISERROR(ResultsTeams[[#This Row],[Goal-A]]+ResultsTeams[[#This Row],[Goal-B]]))</f>
        <v>1</v>
      </c>
      <c r="O485" s="265">
        <f>IF(ResultsTeams[[#This Row],[Type]]="G",SUM(O486:O489),IF(LEFT(ResultsTeams[[#This Row],[Type]],1)="P",IF(ResultsTeams[[#This Row],[Goal-A]]&gt;ResultsTeams[[#This Row],[Goal-B]],1,0),""))</f>
        <v>0</v>
      </c>
      <c r="P485" s="265">
        <f>IF(ResultsTeams[[#This Row],[Type]]="G",SUM(P486:P489),IF(LEFT(ResultsTeams[[#This Row],[Type]],1)="P",IF(ResultsTeams[[#This Row],[Goal-A]]&lt;ResultsTeams[[#This Row],[Goal-B]],1,0),""))</f>
        <v>1</v>
      </c>
      <c r="Q485" s="265">
        <f>IF(ResultsTeams[[#This Row],[Type]]="G",SUM(Q486:Q489),IF(LEFT(ResultsTeams[[#This Row],[Type]],1)="P",VALUE(ResultsTeams[[#This Row],[Score-A]]),""))</f>
        <v>2</v>
      </c>
      <c r="R485" s="265">
        <f>IF(ResultsTeams[[#This Row],[Type]]="G",SUM(R486:R489),IF(LEFT(ResultsTeams[[#This Row],[Type]],1)="P",VALUE(ResultsTeams[[#This Row],[Score-B]]),""))</f>
        <v>6</v>
      </c>
      <c r="S485" s="265" t="str">
        <f ca="1">IF(AND(ResultsTeams[[#This Row],[Category]]&lt;&gt;"",ResultsTeams[[#This Row],[Team A]]&lt;&gt;""),COUNTIF(INDIRECT("TeamsList[Club Name]"),ResultsTeams[[#This Row],[Team A]]),"")</f>
        <v/>
      </c>
      <c r="T485" s="265" t="str">
        <f ca="1">IF(AND(ResultsTeams[[#This Row],[Category]]&lt;&gt;"",ResultsTeams[[#This Row],[Team B]]&lt;&gt;""),COUNTIF(INDIRECT("TeamsList[Club Name]"),ResultsTeams[[#This Row],[Team B]]),"")</f>
        <v/>
      </c>
      <c r="U4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-Corentin Bouchez</v>
      </c>
      <c r="V485" s="265" t="str">
        <f>IF(ResultsTeams[[#This Row],[Score_OK]],IF(ResultsTeams[[#This Row],[StageCpy]]="Groups",ResultsTeams[[#This Row],[Category]]&amp;"-"&amp;IF(ResultsTeams[[#This Row],[Team B]]="","",IF(ResultsTeams[[#This Row],[Match-A]]=ResultsTeams[[#This Row],[Match-B]],ResultsTeams[[#This Row],[Team A]],"")),""),"")</f>
        <v>-</v>
      </c>
      <c r="W485" s="265" t="str">
        <f>IF(ResultsTeams[[#This Row],[Score_OK]],IF(ResultsTeams[[#This Row],[StageCpy]]="Groups",ResultsTeams[[#This Row],[Category]]&amp;"-"&amp;IF(ResultsTeams[[#This Row],[Team B]]="","",IF(ResultsTeams[[#This Row],[Match-A]]=ResultsTeams[[#This Row],[Match-B]],ResultsTeams[[#This Row],[Team B]],"")),""),"")</f>
        <v>-</v>
      </c>
      <c r="X4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-Mario Fleri Soler</v>
      </c>
      <c r="Y4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5" s="264" t="str">
        <f>IF(ResultsTeams[[#This Row],[Category]]="","",VLOOKUP(ResultsTeams[[#This Row],[Stage]],$R$1:$T$8,MATCH(ResultsTeams[[#This Row],[Category]],$S$1:$T$1,0)+1,FALSE))</f>
        <v/>
      </c>
      <c r="AC4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5" s="264" t="str">
        <f>IF(ResultsTeams[[#This Row],[Type]]="G",ResultsTeams[[#This Row],[Stage]],AD484)</f>
        <v>Groups</v>
      </c>
      <c r="AE485" s="395" t="str">
        <f>IF(ResultsTeams[[#This Row],[Type]]="G",INDEX(TeamsList[Club Name],MATCH(ResultsTeams[[#This Row],[Team A]],TeamsList[Team Name],0)),AE484)</f>
        <v>H'Attard SC</v>
      </c>
      <c r="AF485" s="395" t="str">
        <f>IF(ResultsTeams[[#This Row],[Type]]="G",INDEX(TeamsList[Club Name],MATCH(ResultsTeams[[#This Row],[Team B]],TeamsList[Team Name],0)),AF484)</f>
        <v>SC Lion's Eugies</v>
      </c>
      <c r="AG485" s="265"/>
    </row>
    <row r="486" spans="1:33" x14ac:dyDescent="0.2">
      <c r="A486" s="62"/>
      <c r="B486" s="62"/>
      <c r="C486" s="62"/>
      <c r="D486" s="62"/>
      <c r="E486" s="241" t="s">
        <v>12243</v>
      </c>
      <c r="F486" s="247"/>
      <c r="G486" s="247" t="s">
        <v>8123</v>
      </c>
      <c r="H486" s="254"/>
      <c r="I486" s="254" t="s">
        <v>12244</v>
      </c>
      <c r="J486" s="260"/>
      <c r="K486" s="364"/>
      <c r="L486" s="364"/>
      <c r="M486" s="247"/>
      <c r="N486" s="265" t="b">
        <f>NOT(ISERROR(ResultsTeams[[#This Row],[Goal-A]]+ResultsTeams[[#This Row],[Goal-B]]))</f>
        <v>0</v>
      </c>
      <c r="O486" s="265" t="str">
        <f>IF(ResultsTeams[[#This Row],[Type]]="G",SUM(O487:O490),IF(LEFT(ResultsTeams[[#This Row],[Type]],1)="P",IF(ResultsTeams[[#This Row],[Goal-A]]&gt;ResultsTeams[[#This Row],[Goal-B]],1,0),""))</f>
        <v/>
      </c>
      <c r="P486" s="265" t="str">
        <f>IF(ResultsTeams[[#This Row],[Type]]="G",SUM(P487:P490),IF(LEFT(ResultsTeams[[#This Row],[Type]],1)="P",IF(ResultsTeams[[#This Row],[Goal-A]]&lt;ResultsTeams[[#This Row],[Goal-B]],1,0),""))</f>
        <v/>
      </c>
      <c r="Q486" s="265" t="str">
        <f>IF(ResultsTeams[[#This Row],[Type]]="G",SUM(Q487:Q490),IF(LEFT(ResultsTeams[[#This Row],[Type]],1)="P",VALUE(ResultsTeams[[#This Row],[Score-A]]),""))</f>
        <v/>
      </c>
      <c r="R486" s="265" t="str">
        <f>IF(ResultsTeams[[#This Row],[Type]]="G",SUM(R487:R490),IF(LEFT(ResultsTeams[[#This Row],[Type]],1)="P",VALUE(ResultsTeams[[#This Row],[Score-B]]),""))</f>
        <v/>
      </c>
      <c r="S486" s="265" t="str">
        <f ca="1">IF(AND(ResultsTeams[[#This Row],[Category]]&lt;&gt;"",ResultsTeams[[#This Row],[Team A]]&lt;&gt;""),COUNTIF(INDIRECT("TeamsList[Club Name]"),ResultsTeams[[#This Row],[Team A]]),"")</f>
        <v/>
      </c>
      <c r="T486" s="265" t="str">
        <f ca="1">IF(AND(ResultsTeams[[#This Row],[Category]]&lt;&gt;"",ResultsTeams[[#This Row],[Team B]]&lt;&gt;""),COUNTIF(INDIRECT("TeamsList[Club Name]"),ResultsTeams[[#This Row],[Team B]]),"")</f>
        <v/>
      </c>
      <c r="U4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6" s="265" t="str">
        <f>IF(ResultsTeams[[#This Row],[Score_OK]],IF(ResultsTeams[[#This Row],[StageCpy]]="Groups",ResultsTeams[[#This Row],[Category]]&amp;"-"&amp;IF(ResultsTeams[[#This Row],[Team B]]="","",IF(ResultsTeams[[#This Row],[Match-A]]=ResultsTeams[[#This Row],[Match-B]],ResultsTeams[[#This Row],[Team A]],"")),""),"")</f>
        <v/>
      </c>
      <c r="W486" s="265" t="str">
        <f>IF(ResultsTeams[[#This Row],[Score_OK]],IF(ResultsTeams[[#This Row],[StageCpy]]="Groups",ResultsTeams[[#This Row],[Category]]&amp;"-"&amp;IF(ResultsTeams[[#This Row],[Team B]]="","",IF(ResultsTeams[[#This Row],[Match-A]]=ResultsTeams[[#This Row],[Match-B]],ResultsTeams[[#This Row],[Team B]],"")),""),"")</f>
        <v/>
      </c>
      <c r="X4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6" s="264" t="str">
        <f>IF(ResultsTeams[[#This Row],[Category]]="","",VLOOKUP(ResultsTeams[[#This Row],[Stage]],$R$1:$T$8,MATCH(ResultsTeams[[#This Row],[Category]],$S$1:$T$1,0)+1,FALSE))</f>
        <v/>
      </c>
      <c r="AC4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6" s="264" t="str">
        <f>IF(ResultsTeams[[#This Row],[Type]]="G",ResultsTeams[[#This Row],[Stage]],AD485)</f>
        <v>Groups</v>
      </c>
      <c r="AE486" s="395" t="str">
        <f>IF(ResultsTeams[[#This Row],[Type]]="G",INDEX(TeamsList[Club Name],MATCH(ResultsTeams[[#This Row],[Team A]],TeamsList[Team Name],0)),AE485)</f>
        <v>H'Attard SC</v>
      </c>
      <c r="AF486" s="395" t="str">
        <f>IF(ResultsTeams[[#This Row],[Type]]="G",INDEX(TeamsList[Club Name],MATCH(ResultsTeams[[#This Row],[Team B]],TeamsList[Team Name],0)),AF485)</f>
        <v>SC Lion's Eugies</v>
      </c>
      <c r="AG486" s="265"/>
    </row>
    <row r="487" spans="1:33" ht="12" thickBot="1" x14ac:dyDescent="0.25">
      <c r="A487" s="83"/>
      <c r="B487" s="83"/>
      <c r="C487" s="83"/>
      <c r="D487" s="83"/>
      <c r="E487" s="268" t="s">
        <v>12244</v>
      </c>
      <c r="F487" s="262"/>
      <c r="G487" s="262"/>
      <c r="H487" s="324"/>
      <c r="I487" s="324"/>
      <c r="J487" s="263"/>
      <c r="K487" s="365"/>
      <c r="L487" s="365"/>
      <c r="M487" s="262"/>
      <c r="N487" s="265" t="b">
        <f>NOT(ISERROR(ResultsTeams[[#This Row],[Goal-A]]+ResultsTeams[[#This Row],[Goal-B]]))</f>
        <v>0</v>
      </c>
      <c r="O487" s="265" t="str">
        <f>IF(ResultsTeams[[#This Row],[Type]]="G",SUM(O488:O491),IF(LEFT(ResultsTeams[[#This Row],[Type]],1)="P",IF(ResultsTeams[[#This Row],[Goal-A]]&gt;ResultsTeams[[#This Row],[Goal-B]],1,0),""))</f>
        <v/>
      </c>
      <c r="P487" s="265" t="str">
        <f>IF(ResultsTeams[[#This Row],[Type]]="G",SUM(P488:P491),IF(LEFT(ResultsTeams[[#This Row],[Type]],1)="P",IF(ResultsTeams[[#This Row],[Goal-A]]&lt;ResultsTeams[[#This Row],[Goal-B]],1,0),""))</f>
        <v/>
      </c>
      <c r="Q487" s="265" t="str">
        <f>IF(ResultsTeams[[#This Row],[Type]]="G",SUM(Q488:Q491),IF(LEFT(ResultsTeams[[#This Row],[Type]],1)="P",VALUE(ResultsTeams[[#This Row],[Score-A]]),""))</f>
        <v/>
      </c>
      <c r="R487" s="265" t="str">
        <f>IF(ResultsTeams[[#This Row],[Type]]="G",SUM(R488:R491),IF(LEFT(ResultsTeams[[#This Row],[Type]],1)="P",VALUE(ResultsTeams[[#This Row],[Score-B]]),""))</f>
        <v/>
      </c>
      <c r="S487" s="265" t="str">
        <f ca="1">IF(AND(ResultsTeams[[#This Row],[Category]]&lt;&gt;"",ResultsTeams[[#This Row],[Team A]]&lt;&gt;""),COUNTIF(INDIRECT("TeamsList[Club Name]"),ResultsTeams[[#This Row],[Team A]]),"")</f>
        <v/>
      </c>
      <c r="T487" s="265" t="str">
        <f ca="1">IF(AND(ResultsTeams[[#This Row],[Category]]&lt;&gt;"",ResultsTeams[[#This Row],[Team B]]&lt;&gt;""),COUNTIF(INDIRECT("TeamsList[Club Name]"),ResultsTeams[[#This Row],[Team B]]),"")</f>
        <v/>
      </c>
      <c r="U4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7" s="265" t="str">
        <f>IF(ResultsTeams[[#This Row],[Score_OK]],IF(ResultsTeams[[#This Row],[StageCpy]]="Groups",ResultsTeams[[#This Row],[Category]]&amp;"-"&amp;IF(ResultsTeams[[#This Row],[Team B]]="","",IF(ResultsTeams[[#This Row],[Match-A]]=ResultsTeams[[#This Row],[Match-B]],ResultsTeams[[#This Row],[Team A]],"")),""),"")</f>
        <v/>
      </c>
      <c r="W487" s="265" t="str">
        <f>IF(ResultsTeams[[#This Row],[Score_OK]],IF(ResultsTeams[[#This Row],[StageCpy]]="Groups",ResultsTeams[[#This Row],[Category]]&amp;"-"&amp;IF(ResultsTeams[[#This Row],[Team B]]="","",IF(ResultsTeams[[#This Row],[Match-A]]=ResultsTeams[[#This Row],[Match-B]],ResultsTeams[[#This Row],[Team B]],"")),""),"")</f>
        <v/>
      </c>
      <c r="X4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7" s="264" t="str">
        <f>IF(ResultsTeams[[#This Row],[Category]]="","",VLOOKUP(ResultsTeams[[#This Row],[Stage]],$R$1:$T$8,MATCH(ResultsTeams[[#This Row],[Category]],$S$1:$T$1,0)+1,FALSE))</f>
        <v/>
      </c>
      <c r="AC4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7" s="264" t="str">
        <f>IF(ResultsTeams[[#This Row],[Type]]="G",ResultsTeams[[#This Row],[Stage]],AD486)</f>
        <v>Groups</v>
      </c>
      <c r="AE487" s="395" t="str">
        <f>IF(ResultsTeams[[#This Row],[Type]]="G",INDEX(TeamsList[Club Name],MATCH(ResultsTeams[[#This Row],[Team A]],TeamsList[Team Name],0)),AE486)</f>
        <v>H'Attard SC</v>
      </c>
      <c r="AF487" s="395" t="str">
        <f>IF(ResultsTeams[[#This Row],[Type]]="G",INDEX(TeamsList[Club Name],MATCH(ResultsTeams[[#This Row],[Team B]],TeamsList[Team Name],0)),AF486)</f>
        <v>SC Lion's Eugies</v>
      </c>
      <c r="AG487" s="265"/>
    </row>
    <row r="488" spans="1:33" ht="12" thickBot="1" x14ac:dyDescent="0.25">
      <c r="A488" s="261" t="s">
        <v>12693</v>
      </c>
      <c r="B488" s="270" t="s">
        <v>12207</v>
      </c>
      <c r="C488" s="270">
        <v>10</v>
      </c>
      <c r="D488" s="270"/>
      <c r="E488" s="272" t="s">
        <v>12228</v>
      </c>
      <c r="F488" s="273" t="s">
        <v>324</v>
      </c>
      <c r="G488" s="273" t="s">
        <v>170</v>
      </c>
      <c r="H488" s="275">
        <v>0</v>
      </c>
      <c r="I488" s="275">
        <v>2</v>
      </c>
      <c r="J488" s="275"/>
      <c r="K488" s="366"/>
      <c r="L488" s="366"/>
      <c r="M488" s="274"/>
      <c r="N488" s="265" t="b">
        <f>NOT(ISERROR(ResultsTeams[[#This Row],[Goal-A]]+ResultsTeams[[#This Row],[Goal-B]]))</f>
        <v>1</v>
      </c>
      <c r="O488" s="265">
        <f>IF(ResultsTeams[[#This Row],[Type]]="G",SUM(O489:O492),IF(LEFT(ResultsTeams[[#This Row],[Type]],1)="P",IF(ResultsTeams[[#This Row],[Goal-A]]&gt;ResultsTeams[[#This Row],[Goal-B]],1,0),""))</f>
        <v>0</v>
      </c>
      <c r="P488" s="265">
        <f>IF(ResultsTeams[[#This Row],[Type]]="G",SUM(P489:P492),IF(LEFT(ResultsTeams[[#This Row],[Type]],1)="P",IF(ResultsTeams[[#This Row],[Goal-A]]&lt;ResultsTeams[[#This Row],[Goal-B]],1,0),""))</f>
        <v>2</v>
      </c>
      <c r="Q488" s="265">
        <f>IF(ResultsTeams[[#This Row],[Type]]="G",SUM(Q489:Q492),IF(LEFT(ResultsTeams[[#This Row],[Type]],1)="P",VALUE(ResultsTeams[[#This Row],[Score-A]]),""))</f>
        <v>4</v>
      </c>
      <c r="R488" s="265">
        <f>IF(ResultsTeams[[#This Row],[Type]]="G",SUM(R489:R492),IF(LEFT(ResultsTeams[[#This Row],[Type]],1)="P",VALUE(ResultsTeams[[#This Row],[Score-B]]),""))</f>
        <v>9</v>
      </c>
      <c r="S488" s="265">
        <f ca="1">IF(AND(ResultsTeams[[#This Row],[Category]]&lt;&gt;"",ResultsTeams[[#This Row],[Team A]]&lt;&gt;""),COUNTIF(INDIRECT("TeamsList[Club Name]"),ResultsTeams[[#This Row],[Team A]]),"")</f>
        <v>4</v>
      </c>
      <c r="T488" s="265">
        <f ca="1">IF(AND(ResultsTeams[[#This Row],[Category]]&lt;&gt;"",ResultsTeams[[#This Row],[Team B]]&lt;&gt;""),COUNTIF(INDIRECT("TeamsList[Club Name]"),ResultsTeams[[#This Row],[Team B]]),"")</f>
        <v>2</v>
      </c>
      <c r="U4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v>
      </c>
      <c r="V488" s="265" t="str">
        <f>IF(ResultsTeams[[#This Row],[Score_OK]],IF(ResultsTeams[[#This Row],[StageCpy]]="Groups",ResultsTeams[[#This Row],[Category]]&amp;"-"&amp;IF(ResultsTeams[[#This Row],[Team B]]="","",IF(ResultsTeams[[#This Row],[Match-A]]=ResultsTeams[[#This Row],[Match-B]],ResultsTeams[[#This Row],[Team A]],"")),""),"")</f>
        <v>TEAM-</v>
      </c>
      <c r="W488" s="265" t="str">
        <f>IF(ResultsTeams[[#This Row],[Score_OK]],IF(ResultsTeams[[#This Row],[StageCpy]]="Groups",ResultsTeams[[#This Row],[Category]]&amp;"-"&amp;IF(ResultsTeams[[#This Row],[Team B]]="","",IF(ResultsTeams[[#This Row],[Match-A]]=ResultsTeams[[#This Row],[Match-B]],ResultsTeams[[#This Row],[Team B]],"")),""),"")</f>
        <v>TEAM-</v>
      </c>
      <c r="X4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v>
      </c>
      <c r="Y4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v>
      </c>
      <c r="AA4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v>
      </c>
      <c r="AB488" s="264" t="str">
        <f>IF(ResultsTeams[[#This Row],[Category]]="","",VLOOKUP(ResultsTeams[[#This Row],[Stage]],$R$1:$T$8,MATCH(ResultsTeams[[#This Row],[Category]],$S$1:$T$1,0)+1,FALSE))</f>
        <v>PR1</v>
      </c>
      <c r="AC4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8" s="264" t="str">
        <f>IF(ResultsTeams[[#This Row],[Type]]="G",ResultsTeams[[#This Row],[Stage]],AD487)</f>
        <v>Groups</v>
      </c>
      <c r="AE488" s="395" t="str">
        <f>IF(ResultsTeams[[#This Row],[Type]]="G",INDEX(TeamsList[Club Name],MATCH(ResultsTeams[[#This Row],[Team A]],TeamsList[Team Name],0)),AE487)</f>
        <v>SC Lion's Eugies</v>
      </c>
      <c r="AF488" s="395" t="str">
        <f>IF(ResultsTeams[[#This Row],[Type]]="G",INDEX(TeamsList[Club Name],MATCH(ResultsTeams[[#This Row],[Team B]],TeamsList[Team Name],0)),AF487)</f>
        <v>Tiburones FM</v>
      </c>
      <c r="AG488" s="265"/>
    </row>
    <row r="489" spans="1:33" x14ac:dyDescent="0.2">
      <c r="A489" s="60"/>
      <c r="B489" s="280"/>
      <c r="C489" s="60"/>
      <c r="D489" s="60"/>
      <c r="E489" s="240" t="s">
        <v>12231</v>
      </c>
      <c r="F489" s="244" t="s">
        <v>8165</v>
      </c>
      <c r="G489" s="244" t="s">
        <v>8752</v>
      </c>
      <c r="H489" s="253">
        <v>1</v>
      </c>
      <c r="I489" s="253">
        <v>2</v>
      </c>
      <c r="J489" s="253"/>
      <c r="K489" s="362"/>
      <c r="L489" s="362"/>
      <c r="M489" s="245"/>
      <c r="N489" s="265" t="b">
        <f>NOT(ISERROR(ResultsTeams[[#This Row],[Goal-A]]+ResultsTeams[[#This Row],[Goal-B]]))</f>
        <v>1</v>
      </c>
      <c r="O489" s="265">
        <f>IF(ResultsTeams[[#This Row],[Type]]="G",SUM(O490:O493),IF(LEFT(ResultsTeams[[#This Row],[Type]],1)="P",IF(ResultsTeams[[#This Row],[Goal-A]]&gt;ResultsTeams[[#This Row],[Goal-B]],1,0),""))</f>
        <v>0</v>
      </c>
      <c r="P489" s="265">
        <f>IF(ResultsTeams[[#This Row],[Type]]="G",SUM(P490:P493),IF(LEFT(ResultsTeams[[#This Row],[Type]],1)="P",IF(ResultsTeams[[#This Row],[Goal-A]]&lt;ResultsTeams[[#This Row],[Goal-B]],1,0),""))</f>
        <v>1</v>
      </c>
      <c r="Q489" s="265">
        <f>IF(ResultsTeams[[#This Row],[Type]]="G",SUM(Q490:Q493),IF(LEFT(ResultsTeams[[#This Row],[Type]],1)="P",VALUE(ResultsTeams[[#This Row],[Score-A]]),""))</f>
        <v>1</v>
      </c>
      <c r="R489" s="265">
        <f>IF(ResultsTeams[[#This Row],[Type]]="G",SUM(R490:R493),IF(LEFT(ResultsTeams[[#This Row],[Type]],1)="P",VALUE(ResultsTeams[[#This Row],[Score-B]]),""))</f>
        <v>2</v>
      </c>
      <c r="S489" s="265" t="str">
        <f ca="1">IF(AND(ResultsTeams[[#This Row],[Category]]&lt;&gt;"",ResultsTeams[[#This Row],[Team A]]&lt;&gt;""),COUNTIF(INDIRECT("TeamsList[Club Name]"),ResultsTeams[[#This Row],[Team A]]),"")</f>
        <v/>
      </c>
      <c r="T489" s="265" t="str">
        <f ca="1">IF(AND(ResultsTeams[[#This Row],[Category]]&lt;&gt;"",ResultsTeams[[#This Row],[Team B]]&lt;&gt;""),COUNTIF(INDIRECT("TeamsList[Club Name]"),ResultsTeams[[#This Row],[Team B]]),"")</f>
        <v/>
      </c>
      <c r="U4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Field</v>
      </c>
      <c r="V489" s="265" t="str">
        <f>IF(ResultsTeams[[#This Row],[Score_OK]],IF(ResultsTeams[[#This Row],[StageCpy]]="Groups",ResultsTeams[[#This Row],[Category]]&amp;"-"&amp;IF(ResultsTeams[[#This Row],[Team B]]="","",IF(ResultsTeams[[#This Row],[Match-A]]=ResultsTeams[[#This Row],[Match-B]],ResultsTeams[[#This Row],[Team A]],"")),""),"")</f>
        <v>-</v>
      </c>
      <c r="W489" s="265" t="str">
        <f>IF(ResultsTeams[[#This Row],[Score_OK]],IF(ResultsTeams[[#This Row],[StageCpy]]="Groups",ResultsTeams[[#This Row],[Category]]&amp;"-"&amp;IF(ResultsTeams[[#This Row],[Team B]]="","",IF(ResultsTeams[[#This Row],[Match-A]]=ResultsTeams[[#This Row],[Match-B]],ResultsTeams[[#This Row],[Team B]],"")),""),"")</f>
        <v>-</v>
      </c>
      <c r="X4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-Christopher Sabetta</v>
      </c>
      <c r="Y4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9" s="264" t="str">
        <f>IF(ResultsTeams[[#This Row],[Category]]="","",VLOOKUP(ResultsTeams[[#This Row],[Stage]],$R$1:$T$8,MATCH(ResultsTeams[[#This Row],[Category]],$S$1:$T$1,0)+1,FALSE))</f>
        <v/>
      </c>
      <c r="AC4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9" s="264" t="str">
        <f>IF(ResultsTeams[[#This Row],[Type]]="G",ResultsTeams[[#This Row],[Stage]],AD488)</f>
        <v>Groups</v>
      </c>
      <c r="AE489" s="395" t="str">
        <f>IF(ResultsTeams[[#This Row],[Type]]="G",INDEX(TeamsList[Club Name],MATCH(ResultsTeams[[#This Row],[Team A]],TeamsList[Team Name],0)),AE488)</f>
        <v>SC Lion's Eugies</v>
      </c>
      <c r="AF489" s="395" t="str">
        <f>IF(ResultsTeams[[#This Row],[Type]]="G",INDEX(TeamsList[Club Name],MATCH(ResultsTeams[[#This Row],[Team B]],TeamsList[Team Name],0)),AF488)</f>
        <v>Tiburones FM</v>
      </c>
      <c r="AG489" s="265"/>
    </row>
    <row r="490" spans="1:33" x14ac:dyDescent="0.2">
      <c r="A490" s="62"/>
      <c r="B490" s="280"/>
      <c r="C490" s="62"/>
      <c r="D490" s="62"/>
      <c r="E490" s="241" t="s">
        <v>12234</v>
      </c>
      <c r="F490" s="246" t="s">
        <v>8109</v>
      </c>
      <c r="G490" s="246" t="s">
        <v>8600</v>
      </c>
      <c r="H490" s="254">
        <v>0</v>
      </c>
      <c r="I490" s="254">
        <v>4</v>
      </c>
      <c r="J490" s="254"/>
      <c r="K490" s="363"/>
      <c r="L490" s="363"/>
      <c r="M490" s="247"/>
      <c r="N490" s="265" t="b">
        <f>NOT(ISERROR(ResultsTeams[[#This Row],[Goal-A]]+ResultsTeams[[#This Row],[Goal-B]]))</f>
        <v>1</v>
      </c>
      <c r="O490" s="265">
        <f>IF(ResultsTeams[[#This Row],[Type]]="G",SUM(O491:O494),IF(LEFT(ResultsTeams[[#This Row],[Type]],1)="P",IF(ResultsTeams[[#This Row],[Goal-A]]&gt;ResultsTeams[[#This Row],[Goal-B]],1,0),""))</f>
        <v>0</v>
      </c>
      <c r="P490" s="265">
        <f>IF(ResultsTeams[[#This Row],[Type]]="G",SUM(P491:P494),IF(LEFT(ResultsTeams[[#This Row],[Type]],1)="P",IF(ResultsTeams[[#This Row],[Goal-A]]&lt;ResultsTeams[[#This Row],[Goal-B]],1,0),""))</f>
        <v>1</v>
      </c>
      <c r="Q490" s="265">
        <f>IF(ResultsTeams[[#This Row],[Type]]="G",SUM(Q491:Q494),IF(LEFT(ResultsTeams[[#This Row],[Type]],1)="P",VALUE(ResultsTeams[[#This Row],[Score-A]]),""))</f>
        <v>0</v>
      </c>
      <c r="R490" s="265">
        <f>IF(ResultsTeams[[#This Row],[Type]]="G",SUM(R491:R494),IF(LEFT(ResultsTeams[[#This Row],[Type]],1)="P",VALUE(ResultsTeams[[#This Row],[Score-B]]),""))</f>
        <v>4</v>
      </c>
      <c r="S490" s="265" t="str">
        <f ca="1">IF(AND(ResultsTeams[[#This Row],[Category]]&lt;&gt;"",ResultsTeams[[#This Row],[Team A]]&lt;&gt;""),COUNTIF(INDIRECT("TeamsList[Club Name]"),ResultsTeams[[#This Row],[Team A]]),"")</f>
        <v/>
      </c>
      <c r="T490" s="265" t="str">
        <f ca="1">IF(AND(ResultsTeams[[#This Row],[Category]]&lt;&gt;"",ResultsTeams[[#This Row],[Team B]]&lt;&gt;""),COUNTIF(INDIRECT("TeamsList[Club Name]"),ResultsTeams[[#This Row],[Team B]]),"")</f>
        <v/>
      </c>
      <c r="U4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-Vicenç Prats</v>
      </c>
      <c r="V490" s="265" t="str">
        <f>IF(ResultsTeams[[#This Row],[Score_OK]],IF(ResultsTeams[[#This Row],[StageCpy]]="Groups",ResultsTeams[[#This Row],[Category]]&amp;"-"&amp;IF(ResultsTeams[[#This Row],[Team B]]="","",IF(ResultsTeams[[#This Row],[Match-A]]=ResultsTeams[[#This Row],[Match-B]],ResultsTeams[[#This Row],[Team A]],"")),""),"")</f>
        <v>-</v>
      </c>
      <c r="W490" s="265" t="str">
        <f>IF(ResultsTeams[[#This Row],[Score_OK]],IF(ResultsTeams[[#This Row],[StageCpy]]="Groups",ResultsTeams[[#This Row],[Category]]&amp;"-"&amp;IF(ResultsTeams[[#This Row],[Team B]]="","",IF(ResultsTeams[[#This Row],[Match-A]]=ResultsTeams[[#This Row],[Match-B]],ResultsTeams[[#This Row],[Team B]],"")),""),"")</f>
        <v>-</v>
      </c>
      <c r="X4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-Joffray Laurent</v>
      </c>
      <c r="Y4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0" s="264" t="str">
        <f>IF(ResultsTeams[[#This Row],[Category]]="","",VLOOKUP(ResultsTeams[[#This Row],[Stage]],$R$1:$T$8,MATCH(ResultsTeams[[#This Row],[Category]],$S$1:$T$1,0)+1,FALSE))</f>
        <v/>
      </c>
      <c r="AC4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0" s="264" t="str">
        <f>IF(ResultsTeams[[#This Row],[Type]]="G",ResultsTeams[[#This Row],[Stage]],AD489)</f>
        <v>Groups</v>
      </c>
      <c r="AE490" s="395" t="str">
        <f>IF(ResultsTeams[[#This Row],[Type]]="G",INDEX(TeamsList[Club Name],MATCH(ResultsTeams[[#This Row],[Team A]],TeamsList[Team Name],0)),AE489)</f>
        <v>SC Lion's Eugies</v>
      </c>
      <c r="AF490" s="395" t="str">
        <f>IF(ResultsTeams[[#This Row],[Type]]="G",INDEX(TeamsList[Club Name],MATCH(ResultsTeams[[#This Row],[Team B]],TeamsList[Team Name],0)),AF489)</f>
        <v>Tiburones FM</v>
      </c>
      <c r="AG490" s="265"/>
    </row>
    <row r="491" spans="1:33" x14ac:dyDescent="0.2">
      <c r="A491" s="62"/>
      <c r="B491" s="280"/>
      <c r="C491" s="62"/>
      <c r="D491" s="62"/>
      <c r="E491" s="241" t="s">
        <v>12237</v>
      </c>
      <c r="F491" s="246" t="s">
        <v>8075</v>
      </c>
      <c r="G491" s="246" t="s">
        <v>8629</v>
      </c>
      <c r="H491" s="254">
        <v>2</v>
      </c>
      <c r="I491" s="254">
        <v>2</v>
      </c>
      <c r="J491" s="254"/>
      <c r="K491" s="363"/>
      <c r="L491" s="363"/>
      <c r="M491" s="247"/>
      <c r="N491" s="265" t="b">
        <f>NOT(ISERROR(ResultsTeams[[#This Row],[Goal-A]]+ResultsTeams[[#This Row],[Goal-B]]))</f>
        <v>1</v>
      </c>
      <c r="O491" s="265">
        <f>IF(ResultsTeams[[#This Row],[Type]]="G",SUM(O492:O495),IF(LEFT(ResultsTeams[[#This Row],[Type]],1)="P",IF(ResultsTeams[[#This Row],[Goal-A]]&gt;ResultsTeams[[#This Row],[Goal-B]],1,0),""))</f>
        <v>0</v>
      </c>
      <c r="P491" s="265">
        <f>IF(ResultsTeams[[#This Row],[Type]]="G",SUM(P492:P495),IF(LEFT(ResultsTeams[[#This Row],[Type]],1)="P",IF(ResultsTeams[[#This Row],[Goal-A]]&lt;ResultsTeams[[#This Row],[Goal-B]],1,0),""))</f>
        <v>0</v>
      </c>
      <c r="Q491" s="265">
        <f>IF(ResultsTeams[[#This Row],[Type]]="G",SUM(Q492:Q495),IF(LEFT(ResultsTeams[[#This Row],[Type]],1)="P",VALUE(ResultsTeams[[#This Row],[Score-A]]),""))</f>
        <v>2</v>
      </c>
      <c r="R491" s="265">
        <f>IF(ResultsTeams[[#This Row],[Type]]="G",SUM(R492:R495),IF(LEFT(ResultsTeams[[#This Row],[Type]],1)="P",VALUE(ResultsTeams[[#This Row],[Score-B]]),""))</f>
        <v>2</v>
      </c>
      <c r="S491" s="265" t="str">
        <f ca="1">IF(AND(ResultsTeams[[#This Row],[Category]]&lt;&gt;"",ResultsTeams[[#This Row],[Team A]]&lt;&gt;""),COUNTIF(INDIRECT("TeamsList[Club Name]"),ResultsTeams[[#This Row],[Team A]]),"")</f>
        <v/>
      </c>
      <c r="T491" s="265" t="str">
        <f ca="1">IF(AND(ResultsTeams[[#This Row],[Category]]&lt;&gt;"",ResultsTeams[[#This Row],[Team B]]&lt;&gt;""),COUNTIF(INDIRECT("TeamsList[Club Name]"),ResultsTeams[[#This Row],[Team B]]),"")</f>
        <v/>
      </c>
      <c r="U4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91" s="265" t="str">
        <f>IF(ResultsTeams[[#This Row],[Score_OK]],IF(ResultsTeams[[#This Row],[StageCpy]]="Groups",ResultsTeams[[#This Row],[Category]]&amp;"-"&amp;IF(ResultsTeams[[#This Row],[Team B]]="","",IF(ResultsTeams[[#This Row],[Match-A]]=ResultsTeams[[#This Row],[Match-B]],ResultsTeams[[#This Row],[Team A]],"")),""),"")</f>
        <v>-Corentin Bouchez</v>
      </c>
      <c r="W491" s="265" t="str">
        <f>IF(ResultsTeams[[#This Row],[Score_OK]],IF(ResultsTeams[[#This Row],[StageCpy]]="Groups",ResultsTeams[[#This Row],[Category]]&amp;"-"&amp;IF(ResultsTeams[[#This Row],[Team B]]="","",IF(ResultsTeams[[#This Row],[Match-A]]=ResultsTeams[[#This Row],[Match-B]],ResultsTeams[[#This Row],[Team B]],"")),""),"")</f>
        <v>-Antonio Jesús Casín</v>
      </c>
      <c r="X4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1" s="264" t="str">
        <f>IF(ResultsTeams[[#This Row],[Category]]="","",VLOOKUP(ResultsTeams[[#This Row],[Stage]],$R$1:$T$8,MATCH(ResultsTeams[[#This Row],[Category]],$S$1:$T$1,0)+1,FALSE))</f>
        <v/>
      </c>
      <c r="AC4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1" s="264" t="str">
        <f>IF(ResultsTeams[[#This Row],[Type]]="G",ResultsTeams[[#This Row],[Stage]],AD490)</f>
        <v>Groups</v>
      </c>
      <c r="AE491" s="395" t="str">
        <f>IF(ResultsTeams[[#This Row],[Type]]="G",INDEX(TeamsList[Club Name],MATCH(ResultsTeams[[#This Row],[Team A]],TeamsList[Team Name],0)),AE490)</f>
        <v>SC Lion's Eugies</v>
      </c>
      <c r="AF491" s="395" t="str">
        <f>IF(ResultsTeams[[#This Row],[Type]]="G",INDEX(TeamsList[Club Name],MATCH(ResultsTeams[[#This Row],[Team B]],TeamsList[Team Name],0)),AF490)</f>
        <v>Tiburones FM</v>
      </c>
      <c r="AG491" s="265"/>
    </row>
    <row r="492" spans="1:33" x14ac:dyDescent="0.2">
      <c r="A492" s="62"/>
      <c r="B492" s="280"/>
      <c r="C492" s="62"/>
      <c r="D492" s="62"/>
      <c r="E492" s="241" t="s">
        <v>12240</v>
      </c>
      <c r="F492" s="246" t="s">
        <v>8123</v>
      </c>
      <c r="G492" s="246" t="s">
        <v>8628</v>
      </c>
      <c r="H492" s="254">
        <v>1</v>
      </c>
      <c r="I492" s="254">
        <v>1</v>
      </c>
      <c r="J492" s="254"/>
      <c r="K492" s="363"/>
      <c r="L492" s="363"/>
      <c r="M492" s="247"/>
      <c r="N492" s="265" t="b">
        <f>NOT(ISERROR(ResultsTeams[[#This Row],[Goal-A]]+ResultsTeams[[#This Row],[Goal-B]]))</f>
        <v>1</v>
      </c>
      <c r="O492" s="265">
        <f>IF(ResultsTeams[[#This Row],[Type]]="G",SUM(O493:O496),IF(LEFT(ResultsTeams[[#This Row],[Type]],1)="P",IF(ResultsTeams[[#This Row],[Goal-A]]&gt;ResultsTeams[[#This Row],[Goal-B]],1,0),""))</f>
        <v>0</v>
      </c>
      <c r="P492" s="265">
        <f>IF(ResultsTeams[[#This Row],[Type]]="G",SUM(P493:P496),IF(LEFT(ResultsTeams[[#This Row],[Type]],1)="P",IF(ResultsTeams[[#This Row],[Goal-A]]&lt;ResultsTeams[[#This Row],[Goal-B]],1,0),""))</f>
        <v>0</v>
      </c>
      <c r="Q492" s="265">
        <f>IF(ResultsTeams[[#This Row],[Type]]="G",SUM(Q493:Q496),IF(LEFT(ResultsTeams[[#This Row],[Type]],1)="P",VALUE(ResultsTeams[[#This Row],[Score-A]]),""))</f>
        <v>1</v>
      </c>
      <c r="R492" s="265">
        <f>IF(ResultsTeams[[#This Row],[Type]]="G",SUM(R493:R496),IF(LEFT(ResultsTeams[[#This Row],[Type]],1)="P",VALUE(ResultsTeams[[#This Row],[Score-B]]),""))</f>
        <v>1</v>
      </c>
      <c r="S492" s="265" t="str">
        <f ca="1">IF(AND(ResultsTeams[[#This Row],[Category]]&lt;&gt;"",ResultsTeams[[#This Row],[Team A]]&lt;&gt;""),COUNTIF(INDIRECT("TeamsList[Club Name]"),ResultsTeams[[#This Row],[Team A]]),"")</f>
        <v/>
      </c>
      <c r="T492" s="265" t="str">
        <f ca="1">IF(AND(ResultsTeams[[#This Row],[Category]]&lt;&gt;"",ResultsTeams[[#This Row],[Team B]]&lt;&gt;""),COUNTIF(INDIRECT("TeamsList[Club Name]"),ResultsTeams[[#This Row],[Team B]]),"")</f>
        <v/>
      </c>
      <c r="U4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92" s="265" t="str">
        <f>IF(ResultsTeams[[#This Row],[Score_OK]],IF(ResultsTeams[[#This Row],[StageCpy]]="Groups",ResultsTeams[[#This Row],[Category]]&amp;"-"&amp;IF(ResultsTeams[[#This Row],[Team B]]="","",IF(ResultsTeams[[#This Row],[Match-A]]=ResultsTeams[[#This Row],[Match-B]],ResultsTeams[[#This Row],[Team A]],"")),""),"")</f>
        <v>-Maxime Rairoux</v>
      </c>
      <c r="W492" s="265" t="str">
        <f>IF(ResultsTeams[[#This Row],[Score_OK]],IF(ResultsTeams[[#This Row],[StageCpy]]="Groups",ResultsTeams[[#This Row],[Category]]&amp;"-"&amp;IF(ResultsTeams[[#This Row],[Team B]]="","",IF(ResultsTeams[[#This Row],[Match-A]]=ResultsTeams[[#This Row],[Match-B]],ResultsTeams[[#This Row],[Team B]],"")),""),"")</f>
        <v>-David González</v>
      </c>
      <c r="X4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2" s="264" t="str">
        <f>IF(ResultsTeams[[#This Row],[Category]]="","",VLOOKUP(ResultsTeams[[#This Row],[Stage]],$R$1:$T$8,MATCH(ResultsTeams[[#This Row],[Category]],$S$1:$T$1,0)+1,FALSE))</f>
        <v/>
      </c>
      <c r="AC4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2" s="264" t="str">
        <f>IF(ResultsTeams[[#This Row],[Type]]="G",ResultsTeams[[#This Row],[Stage]],AD491)</f>
        <v>Groups</v>
      </c>
      <c r="AE492" s="395" t="str">
        <f>IF(ResultsTeams[[#This Row],[Type]]="G",INDEX(TeamsList[Club Name],MATCH(ResultsTeams[[#This Row],[Team A]],TeamsList[Team Name],0)),AE491)</f>
        <v>SC Lion's Eugies</v>
      </c>
      <c r="AF492" s="395" t="str">
        <f>IF(ResultsTeams[[#This Row],[Type]]="G",INDEX(TeamsList[Club Name],MATCH(ResultsTeams[[#This Row],[Team B]],TeamsList[Team Name],0)),AF491)</f>
        <v>Tiburones FM</v>
      </c>
      <c r="AG492" s="265"/>
    </row>
    <row r="493" spans="1:33" x14ac:dyDescent="0.2">
      <c r="A493" s="62"/>
      <c r="B493" s="62"/>
      <c r="C493" s="62"/>
      <c r="D493" s="62"/>
      <c r="E493" s="241" t="s">
        <v>12243</v>
      </c>
      <c r="F493" s="247"/>
      <c r="G493" s="247"/>
      <c r="H493" s="254"/>
      <c r="I493" s="254"/>
      <c r="J493" s="260"/>
      <c r="K493" s="364"/>
      <c r="L493" s="364"/>
      <c r="M493" s="63"/>
      <c r="N493" s="265" t="b">
        <f>NOT(ISERROR(ResultsTeams[[#This Row],[Goal-A]]+ResultsTeams[[#This Row],[Goal-B]]))</f>
        <v>0</v>
      </c>
      <c r="O493" s="265" t="str">
        <f>IF(ResultsTeams[[#This Row],[Type]]="G",SUM(O494:O497),IF(LEFT(ResultsTeams[[#This Row],[Type]],1)="P",IF(ResultsTeams[[#This Row],[Goal-A]]&gt;ResultsTeams[[#This Row],[Goal-B]],1,0),""))</f>
        <v/>
      </c>
      <c r="P493" s="265" t="str">
        <f>IF(ResultsTeams[[#This Row],[Type]]="G",SUM(P494:P497),IF(LEFT(ResultsTeams[[#This Row],[Type]],1)="P",IF(ResultsTeams[[#This Row],[Goal-A]]&lt;ResultsTeams[[#This Row],[Goal-B]],1,0),""))</f>
        <v/>
      </c>
      <c r="Q493" s="265" t="str">
        <f>IF(ResultsTeams[[#This Row],[Type]]="G",SUM(Q494:Q497),IF(LEFT(ResultsTeams[[#This Row],[Type]],1)="P",VALUE(ResultsTeams[[#This Row],[Score-A]]),""))</f>
        <v/>
      </c>
      <c r="R493" s="265" t="str">
        <f>IF(ResultsTeams[[#This Row],[Type]]="G",SUM(R494:R497),IF(LEFT(ResultsTeams[[#This Row],[Type]],1)="P",VALUE(ResultsTeams[[#This Row],[Score-B]]),""))</f>
        <v/>
      </c>
      <c r="S493" s="265" t="str">
        <f ca="1">IF(AND(ResultsTeams[[#This Row],[Category]]&lt;&gt;"",ResultsTeams[[#This Row],[Team A]]&lt;&gt;""),COUNTIF(INDIRECT("TeamsList[Club Name]"),ResultsTeams[[#This Row],[Team A]]),"")</f>
        <v/>
      </c>
      <c r="T493" s="265" t="str">
        <f ca="1">IF(AND(ResultsTeams[[#This Row],[Category]]&lt;&gt;"",ResultsTeams[[#This Row],[Team B]]&lt;&gt;""),COUNTIF(INDIRECT("TeamsList[Club Name]"),ResultsTeams[[#This Row],[Team B]]),"")</f>
        <v/>
      </c>
      <c r="U4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3" s="265" t="str">
        <f>IF(ResultsTeams[[#This Row],[Score_OK]],IF(ResultsTeams[[#This Row],[StageCpy]]="Groups",ResultsTeams[[#This Row],[Category]]&amp;"-"&amp;IF(ResultsTeams[[#This Row],[Team B]]="","",IF(ResultsTeams[[#This Row],[Match-A]]=ResultsTeams[[#This Row],[Match-B]],ResultsTeams[[#This Row],[Team A]],"")),""),"")</f>
        <v/>
      </c>
      <c r="W493" s="265" t="str">
        <f>IF(ResultsTeams[[#This Row],[Score_OK]],IF(ResultsTeams[[#This Row],[StageCpy]]="Groups",ResultsTeams[[#This Row],[Category]]&amp;"-"&amp;IF(ResultsTeams[[#This Row],[Team B]]="","",IF(ResultsTeams[[#This Row],[Match-A]]=ResultsTeams[[#This Row],[Match-B]],ResultsTeams[[#This Row],[Team B]],"")),""),"")</f>
        <v/>
      </c>
      <c r="X4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3" s="264" t="str">
        <f>IF(ResultsTeams[[#This Row],[Category]]="","",VLOOKUP(ResultsTeams[[#This Row],[Stage]],$R$1:$T$8,MATCH(ResultsTeams[[#This Row],[Category]],$S$1:$T$1,0)+1,FALSE))</f>
        <v/>
      </c>
      <c r="AC4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3" s="264" t="str">
        <f>IF(ResultsTeams[[#This Row],[Type]]="G",ResultsTeams[[#This Row],[Stage]],AD492)</f>
        <v>Groups</v>
      </c>
      <c r="AE493" s="395" t="str">
        <f>IF(ResultsTeams[[#This Row],[Type]]="G",INDEX(TeamsList[Club Name],MATCH(ResultsTeams[[#This Row],[Team A]],TeamsList[Team Name],0)),AE492)</f>
        <v>SC Lion's Eugies</v>
      </c>
      <c r="AF493" s="395" t="str">
        <f>IF(ResultsTeams[[#This Row],[Type]]="G",INDEX(TeamsList[Club Name],MATCH(ResultsTeams[[#This Row],[Team B]],TeamsList[Team Name],0)),AF492)</f>
        <v>Tiburones FM</v>
      </c>
      <c r="AG493" s="265"/>
    </row>
    <row r="494" spans="1:33" ht="12" thickBot="1" x14ac:dyDescent="0.25">
      <c r="A494" s="83"/>
      <c r="B494" s="83"/>
      <c r="C494" s="83"/>
      <c r="D494" s="83"/>
      <c r="E494" s="268" t="s">
        <v>12244</v>
      </c>
      <c r="F494" s="262"/>
      <c r="G494" s="262"/>
      <c r="H494" s="324"/>
      <c r="I494" s="324"/>
      <c r="J494" s="263"/>
      <c r="K494" s="365"/>
      <c r="L494" s="365"/>
      <c r="M494" s="84"/>
      <c r="N494" s="265" t="b">
        <f>NOT(ISERROR(ResultsTeams[[#This Row],[Goal-A]]+ResultsTeams[[#This Row],[Goal-B]]))</f>
        <v>0</v>
      </c>
      <c r="O494" s="265" t="str">
        <f>IF(ResultsTeams[[#This Row],[Type]]="G",SUM(O495:O498),IF(LEFT(ResultsTeams[[#This Row],[Type]],1)="P",IF(ResultsTeams[[#This Row],[Goal-A]]&gt;ResultsTeams[[#This Row],[Goal-B]],1,0),""))</f>
        <v/>
      </c>
      <c r="P494" s="265" t="str">
        <f>IF(ResultsTeams[[#This Row],[Type]]="G",SUM(P495:P498),IF(LEFT(ResultsTeams[[#This Row],[Type]],1)="P",IF(ResultsTeams[[#This Row],[Goal-A]]&lt;ResultsTeams[[#This Row],[Goal-B]],1,0),""))</f>
        <v/>
      </c>
      <c r="Q494" s="265" t="str">
        <f>IF(ResultsTeams[[#This Row],[Type]]="G",SUM(Q495:Q498),IF(LEFT(ResultsTeams[[#This Row],[Type]],1)="P",VALUE(ResultsTeams[[#This Row],[Score-A]]),""))</f>
        <v/>
      </c>
      <c r="R494" s="265" t="str">
        <f>IF(ResultsTeams[[#This Row],[Type]]="G",SUM(R495:R498),IF(LEFT(ResultsTeams[[#This Row],[Type]],1)="P",VALUE(ResultsTeams[[#This Row],[Score-B]]),""))</f>
        <v/>
      </c>
      <c r="S494" s="265" t="str">
        <f ca="1">IF(AND(ResultsTeams[[#This Row],[Category]]&lt;&gt;"",ResultsTeams[[#This Row],[Team A]]&lt;&gt;""),COUNTIF(INDIRECT("TeamsList[Club Name]"),ResultsTeams[[#This Row],[Team A]]),"")</f>
        <v/>
      </c>
      <c r="T494" s="265" t="str">
        <f ca="1">IF(AND(ResultsTeams[[#This Row],[Category]]&lt;&gt;"",ResultsTeams[[#This Row],[Team B]]&lt;&gt;""),COUNTIF(INDIRECT("TeamsList[Club Name]"),ResultsTeams[[#This Row],[Team B]]),"")</f>
        <v/>
      </c>
      <c r="U4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4" s="265" t="str">
        <f>IF(ResultsTeams[[#This Row],[Score_OK]],IF(ResultsTeams[[#This Row],[StageCpy]]="Groups",ResultsTeams[[#This Row],[Category]]&amp;"-"&amp;IF(ResultsTeams[[#This Row],[Team B]]="","",IF(ResultsTeams[[#This Row],[Match-A]]=ResultsTeams[[#This Row],[Match-B]],ResultsTeams[[#This Row],[Team A]],"")),""),"")</f>
        <v/>
      </c>
      <c r="W494" s="265" t="str">
        <f>IF(ResultsTeams[[#This Row],[Score_OK]],IF(ResultsTeams[[#This Row],[StageCpy]]="Groups",ResultsTeams[[#This Row],[Category]]&amp;"-"&amp;IF(ResultsTeams[[#This Row],[Team B]]="","",IF(ResultsTeams[[#This Row],[Match-A]]=ResultsTeams[[#This Row],[Match-B]],ResultsTeams[[#This Row],[Team B]],"")),""),"")</f>
        <v/>
      </c>
      <c r="X4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4" s="264" t="str">
        <f>IF(ResultsTeams[[#This Row],[Category]]="","",VLOOKUP(ResultsTeams[[#This Row],[Stage]],$R$1:$T$8,MATCH(ResultsTeams[[#This Row],[Category]],$S$1:$T$1,0)+1,FALSE))</f>
        <v/>
      </c>
      <c r="AC4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4" s="264" t="str">
        <f>IF(ResultsTeams[[#This Row],[Type]]="G",ResultsTeams[[#This Row],[Stage]],AD493)</f>
        <v>Groups</v>
      </c>
      <c r="AE494" s="395" t="str">
        <f>IF(ResultsTeams[[#This Row],[Type]]="G",INDEX(TeamsList[Club Name],MATCH(ResultsTeams[[#This Row],[Team A]],TeamsList[Team Name],0)),AE493)</f>
        <v>SC Lion's Eugies</v>
      </c>
      <c r="AF494" s="395" t="str">
        <f>IF(ResultsTeams[[#This Row],[Type]]="G",INDEX(TeamsList[Club Name],MATCH(ResultsTeams[[#This Row],[Team B]],TeamsList[Team Name],0)),AF493)</f>
        <v>Tiburones FM</v>
      </c>
      <c r="AG494" s="265"/>
    </row>
    <row r="495" spans="1:33" ht="12" thickBot="1" x14ac:dyDescent="0.25">
      <c r="A495" s="261" t="s">
        <v>12693</v>
      </c>
      <c r="B495" s="270" t="s">
        <v>12207</v>
      </c>
      <c r="C495" s="270">
        <v>10</v>
      </c>
      <c r="D495" s="270"/>
      <c r="E495" s="272" t="s">
        <v>12228</v>
      </c>
      <c r="F495" s="273" t="s">
        <v>340</v>
      </c>
      <c r="G495" s="273" t="s">
        <v>7516</v>
      </c>
      <c r="H495" s="275">
        <v>2</v>
      </c>
      <c r="I495" s="275">
        <v>0</v>
      </c>
      <c r="J495" s="275"/>
      <c r="K495" s="366"/>
      <c r="L495" s="366"/>
      <c r="M495" s="271"/>
      <c r="N495" s="265" t="b">
        <f>NOT(ISERROR(ResultsTeams[[#This Row],[Goal-A]]+ResultsTeams[[#This Row],[Goal-B]]))</f>
        <v>1</v>
      </c>
      <c r="O495" s="265">
        <f>IF(ResultsTeams[[#This Row],[Type]]="G",SUM(O496:O499),IF(LEFT(ResultsTeams[[#This Row],[Type]],1)="P",IF(ResultsTeams[[#This Row],[Goal-A]]&gt;ResultsTeams[[#This Row],[Goal-B]],1,0),""))</f>
        <v>2</v>
      </c>
      <c r="P495" s="265">
        <f>IF(ResultsTeams[[#This Row],[Type]]="G",SUM(P496:P499),IF(LEFT(ResultsTeams[[#This Row],[Type]],1)="P",IF(ResultsTeams[[#This Row],[Goal-A]]&lt;ResultsTeams[[#This Row],[Goal-B]],1,0),""))</f>
        <v>0</v>
      </c>
      <c r="Q495" s="265">
        <f>IF(ResultsTeams[[#This Row],[Type]]="G",SUM(Q496:Q499),IF(LEFT(ResultsTeams[[#This Row],[Type]],1)="P",VALUE(ResultsTeams[[#This Row],[Score-A]]),""))</f>
        <v>9</v>
      </c>
      <c r="R495" s="265">
        <f>IF(ResultsTeams[[#This Row],[Type]]="G",SUM(R496:R499),IF(LEFT(ResultsTeams[[#This Row],[Type]],1)="P",VALUE(ResultsTeams[[#This Row],[Score-B]]),""))</f>
        <v>2</v>
      </c>
      <c r="S495" s="265">
        <f ca="1">IF(AND(ResultsTeams[[#This Row],[Category]]&lt;&gt;"",ResultsTeams[[#This Row],[Team A]]&lt;&gt;""),COUNTIF(INDIRECT("TeamsList[Club Name]"),ResultsTeams[[#This Row],[Team A]]),"")</f>
        <v>2</v>
      </c>
      <c r="T495" s="265">
        <f ca="1">IF(AND(ResultsTeams[[#This Row],[Category]]&lt;&gt;"",ResultsTeams[[#This Row],[Team B]]&lt;&gt;""),COUNTIF(INDIRECT("TeamsList[Club Name]"),ResultsTeams[[#This Row],[Team B]]),"")</f>
        <v>1</v>
      </c>
      <c r="U4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TEAM-Wamme SC</v>
      </c>
      <c r="V495" s="265" t="str">
        <f>IF(ResultsTeams[[#This Row],[Score_OK]],IF(ResultsTeams[[#This Row],[StageCpy]]="Groups",ResultsTeams[[#This Row],[Category]]&amp;"-"&amp;IF(ResultsTeams[[#This Row],[Team B]]="","",IF(ResultsTeams[[#This Row],[Match-A]]=ResultsTeams[[#This Row],[Match-B]],ResultsTeams[[#This Row],[Team A]],"")),""),"")</f>
        <v>TEAM-</v>
      </c>
      <c r="W495" s="265" t="str">
        <f>IF(ResultsTeams[[#This Row],[Score_OK]],IF(ResultsTeams[[#This Row],[StageCpy]]="Groups",ResultsTeams[[#This Row],[Category]]&amp;"-"&amp;IF(ResultsTeams[[#This Row],[Team B]]="","",IF(ResultsTeams[[#This Row],[Match-A]]=ResultsTeams[[#This Row],[Match-B]],ResultsTeams[[#This Row],[Team B]],"")),""),"")</f>
        <v>TEAM-</v>
      </c>
      <c r="X4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TEAM-Cardiff Bluebirds TFC</v>
      </c>
      <c r="Y4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A4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TEAM-Cardiff Bluebirds TFC</v>
      </c>
      <c r="AB495" s="264" t="str">
        <f>IF(ResultsTeams[[#This Row],[Category]]="","",VLOOKUP(ResultsTeams[[#This Row],[Stage]],$R$1:$T$8,MATCH(ResultsTeams[[#This Row],[Category]],$S$1:$T$1,0)+1,FALSE))</f>
        <v>PR1</v>
      </c>
      <c r="AC4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5" s="264" t="str">
        <f>IF(ResultsTeams[[#This Row],[Type]]="G",ResultsTeams[[#This Row],[Stage]],AD494)</f>
        <v>Groups</v>
      </c>
      <c r="AE495" s="395" t="str">
        <f>IF(ResultsTeams[[#This Row],[Type]]="G",INDEX(TeamsList[Club Name],MATCH(ResultsTeams[[#This Row],[Team A]],TeamsList[Team Name],0)),AE494)</f>
        <v>Wamme SC</v>
      </c>
      <c r="AF495" s="395" t="str">
        <f>IF(ResultsTeams[[#This Row],[Type]]="G",INDEX(TeamsList[Club Name],MATCH(ResultsTeams[[#This Row],[Team B]],TeamsList[Team Name],0)),AF494)</f>
        <v>Cardiff Bluebirds TFC</v>
      </c>
      <c r="AG495" s="265"/>
    </row>
    <row r="496" spans="1:33" x14ac:dyDescent="0.2">
      <c r="A496" s="60"/>
      <c r="B496" s="280"/>
      <c r="C496" s="60"/>
      <c r="D496" s="60"/>
      <c r="E496" s="240" t="s">
        <v>12231</v>
      </c>
      <c r="F496" s="244" t="s">
        <v>8168</v>
      </c>
      <c r="G496" s="244" t="s">
        <v>10875</v>
      </c>
      <c r="H496" s="253">
        <v>1</v>
      </c>
      <c r="I496" s="253">
        <v>1</v>
      </c>
      <c r="J496" s="253"/>
      <c r="K496" s="362"/>
      <c r="L496" s="362"/>
      <c r="M496" s="61"/>
      <c r="N496" s="265" t="b">
        <f>NOT(ISERROR(ResultsTeams[[#This Row],[Goal-A]]+ResultsTeams[[#This Row],[Goal-B]]))</f>
        <v>1</v>
      </c>
      <c r="O496" s="265">
        <f>IF(ResultsTeams[[#This Row],[Type]]="G",SUM(O497:O500),IF(LEFT(ResultsTeams[[#This Row],[Type]],1)="P",IF(ResultsTeams[[#This Row],[Goal-A]]&gt;ResultsTeams[[#This Row],[Goal-B]],1,0),""))</f>
        <v>0</v>
      </c>
      <c r="P496" s="265">
        <f>IF(ResultsTeams[[#This Row],[Type]]="G",SUM(P497:P500),IF(LEFT(ResultsTeams[[#This Row],[Type]],1)="P",IF(ResultsTeams[[#This Row],[Goal-A]]&lt;ResultsTeams[[#This Row],[Goal-B]],1,0),""))</f>
        <v>0</v>
      </c>
      <c r="Q496" s="265">
        <f>IF(ResultsTeams[[#This Row],[Type]]="G",SUM(Q497:Q500),IF(LEFT(ResultsTeams[[#This Row],[Type]],1)="P",VALUE(ResultsTeams[[#This Row],[Score-A]]),""))</f>
        <v>1</v>
      </c>
      <c r="R496" s="265">
        <f>IF(ResultsTeams[[#This Row],[Type]]="G",SUM(R497:R500),IF(LEFT(ResultsTeams[[#This Row],[Type]],1)="P",VALUE(ResultsTeams[[#This Row],[Score-B]]),""))</f>
        <v>1</v>
      </c>
      <c r="S496" s="265" t="str">
        <f ca="1">IF(AND(ResultsTeams[[#This Row],[Category]]&lt;&gt;"",ResultsTeams[[#This Row],[Team A]]&lt;&gt;""),COUNTIF(INDIRECT("TeamsList[Club Name]"),ResultsTeams[[#This Row],[Team A]]),"")</f>
        <v/>
      </c>
      <c r="T496" s="265" t="str">
        <f ca="1">IF(AND(ResultsTeams[[#This Row],[Category]]&lt;&gt;"",ResultsTeams[[#This Row],[Team B]]&lt;&gt;""),COUNTIF(INDIRECT("TeamsList[Club Name]"),ResultsTeams[[#This Row],[Team B]]),"")</f>
        <v/>
      </c>
      <c r="U4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96" s="265" t="str">
        <f>IF(ResultsTeams[[#This Row],[Score_OK]],IF(ResultsTeams[[#This Row],[StageCpy]]="Groups",ResultsTeams[[#This Row],[Category]]&amp;"-"&amp;IF(ResultsTeams[[#This Row],[Team B]]="","",IF(ResultsTeams[[#This Row],[Match-A]]=ResultsTeams[[#This Row],[Match-B]],ResultsTeams[[#This Row],[Team A]],"")),""),"")</f>
        <v>-Jean Grosdent</v>
      </c>
      <c r="W496" s="265" t="str">
        <f>IF(ResultsTeams[[#This Row],[Score_OK]],IF(ResultsTeams[[#This Row],[StageCpy]]="Groups",ResultsTeams[[#This Row],[Category]]&amp;"-"&amp;IF(ResultsTeams[[#This Row],[Team B]]="","",IF(ResultsTeams[[#This Row],[Match-A]]=ResultsTeams[[#This Row],[Match-B]],ResultsTeams[[#This Row],[Team B]],"")),""),"")</f>
        <v>-David Lauder</v>
      </c>
      <c r="X4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6" s="264" t="str">
        <f>IF(ResultsTeams[[#This Row],[Category]]="","",VLOOKUP(ResultsTeams[[#This Row],[Stage]],$R$1:$T$8,MATCH(ResultsTeams[[#This Row],[Category]],$S$1:$T$1,0)+1,FALSE))</f>
        <v/>
      </c>
      <c r="AC4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6" s="264" t="str">
        <f>IF(ResultsTeams[[#This Row],[Type]]="G",ResultsTeams[[#This Row],[Stage]],AD495)</f>
        <v>Groups</v>
      </c>
      <c r="AE496" s="395" t="str">
        <f>IF(ResultsTeams[[#This Row],[Type]]="G",INDEX(TeamsList[Club Name],MATCH(ResultsTeams[[#This Row],[Team A]],TeamsList[Team Name],0)),AE495)</f>
        <v>Wamme SC</v>
      </c>
      <c r="AF496" s="395" t="str">
        <f>IF(ResultsTeams[[#This Row],[Type]]="G",INDEX(TeamsList[Club Name],MATCH(ResultsTeams[[#This Row],[Team B]],TeamsList[Team Name],0)),AF495)</f>
        <v>Cardiff Bluebirds TFC</v>
      </c>
      <c r="AG496" s="265"/>
    </row>
    <row r="497" spans="1:33" x14ac:dyDescent="0.2">
      <c r="A497" s="62"/>
      <c r="B497" s="280"/>
      <c r="C497" s="62"/>
      <c r="D497" s="62"/>
      <c r="E497" s="241" t="s">
        <v>12234</v>
      </c>
      <c r="F497" s="246" t="s">
        <v>8194</v>
      </c>
      <c r="G497" s="246" t="s">
        <v>10886</v>
      </c>
      <c r="H497" s="254">
        <v>4</v>
      </c>
      <c r="I497" s="254">
        <v>0</v>
      </c>
      <c r="J497" s="254"/>
      <c r="K497" s="363"/>
      <c r="L497" s="363"/>
      <c r="M497" s="63"/>
      <c r="N497" s="265" t="b">
        <f>NOT(ISERROR(ResultsTeams[[#This Row],[Goal-A]]+ResultsTeams[[#This Row],[Goal-B]]))</f>
        <v>1</v>
      </c>
      <c r="O497" s="265">
        <f>IF(ResultsTeams[[#This Row],[Type]]="G",SUM(O498:O501),IF(LEFT(ResultsTeams[[#This Row],[Type]],1)="P",IF(ResultsTeams[[#This Row],[Goal-A]]&gt;ResultsTeams[[#This Row],[Goal-B]],1,0),""))</f>
        <v>1</v>
      </c>
      <c r="P497" s="265">
        <f>IF(ResultsTeams[[#This Row],[Type]]="G",SUM(P498:P501),IF(LEFT(ResultsTeams[[#This Row],[Type]],1)="P",IF(ResultsTeams[[#This Row],[Goal-A]]&lt;ResultsTeams[[#This Row],[Goal-B]],1,0),""))</f>
        <v>0</v>
      </c>
      <c r="Q497" s="265">
        <f>IF(ResultsTeams[[#This Row],[Type]]="G",SUM(Q498:Q501),IF(LEFT(ResultsTeams[[#This Row],[Type]],1)="P",VALUE(ResultsTeams[[#This Row],[Score-A]]),""))</f>
        <v>4</v>
      </c>
      <c r="R497" s="265">
        <f>IF(ResultsTeams[[#This Row],[Type]]="G",SUM(R498:R501),IF(LEFT(ResultsTeams[[#This Row],[Type]],1)="P",VALUE(ResultsTeams[[#This Row],[Score-B]]),""))</f>
        <v>0</v>
      </c>
      <c r="S497" s="265" t="str">
        <f ca="1">IF(AND(ResultsTeams[[#This Row],[Category]]&lt;&gt;"",ResultsTeams[[#This Row],[Team A]]&lt;&gt;""),COUNTIF(INDIRECT("TeamsList[Club Name]"),ResultsTeams[[#This Row],[Team A]]),"")</f>
        <v/>
      </c>
      <c r="T497" s="265" t="str">
        <f ca="1">IF(AND(ResultsTeams[[#This Row],[Category]]&lt;&gt;"",ResultsTeams[[#This Row],[Team B]]&lt;&gt;""),COUNTIF(INDIRECT("TeamsList[Club Name]"),ResultsTeams[[#This Row],[Team B]]),"")</f>
        <v/>
      </c>
      <c r="U4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Janssens</v>
      </c>
      <c r="V497" s="265" t="str">
        <f>IF(ResultsTeams[[#This Row],[Score_OK]],IF(ResultsTeams[[#This Row],[StageCpy]]="Groups",ResultsTeams[[#This Row],[Category]]&amp;"-"&amp;IF(ResultsTeams[[#This Row],[Team B]]="","",IF(ResultsTeams[[#This Row],[Match-A]]=ResultsTeams[[#This Row],[Match-B]],ResultsTeams[[#This Row],[Team A]],"")),""),"")</f>
        <v>-</v>
      </c>
      <c r="W497" s="265" t="str">
        <f>IF(ResultsTeams[[#This Row],[Score_OK]],IF(ResultsTeams[[#This Row],[StageCpy]]="Groups",ResultsTeams[[#This Row],[Category]]&amp;"-"&amp;IF(ResultsTeams[[#This Row],[Team B]]="","",IF(ResultsTeams[[#This Row],[Match-A]]=ResultsTeams[[#This Row],[Match-B]],ResultsTeams[[#This Row],[Team B]],"")),""),"")</f>
        <v>-</v>
      </c>
      <c r="X4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-Darren Barnes</v>
      </c>
      <c r="Y4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7" s="264" t="str">
        <f>IF(ResultsTeams[[#This Row],[Category]]="","",VLOOKUP(ResultsTeams[[#This Row],[Stage]],$R$1:$T$8,MATCH(ResultsTeams[[#This Row],[Category]],$S$1:$T$1,0)+1,FALSE))</f>
        <v/>
      </c>
      <c r="AC4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7" s="264" t="str">
        <f>IF(ResultsTeams[[#This Row],[Type]]="G",ResultsTeams[[#This Row],[Stage]],AD496)</f>
        <v>Groups</v>
      </c>
      <c r="AE497" s="395" t="str">
        <f>IF(ResultsTeams[[#This Row],[Type]]="G",INDEX(TeamsList[Club Name],MATCH(ResultsTeams[[#This Row],[Team A]],TeamsList[Team Name],0)),AE496)</f>
        <v>Wamme SC</v>
      </c>
      <c r="AF497" s="395" t="str">
        <f>IF(ResultsTeams[[#This Row],[Type]]="G",INDEX(TeamsList[Club Name],MATCH(ResultsTeams[[#This Row],[Team B]],TeamsList[Team Name],0)),AF496)</f>
        <v>Cardiff Bluebirds TFC</v>
      </c>
      <c r="AG497" s="265"/>
    </row>
    <row r="498" spans="1:33" x14ac:dyDescent="0.2">
      <c r="A498" s="62"/>
      <c r="B498" s="280"/>
      <c r="C498" s="62"/>
      <c r="D498" s="62"/>
      <c r="E498" s="241" t="s">
        <v>12237</v>
      </c>
      <c r="F498" s="246" t="s">
        <v>8193</v>
      </c>
      <c r="G498" s="246" t="s">
        <v>10876</v>
      </c>
      <c r="H498" s="254">
        <v>1</v>
      </c>
      <c r="I498" s="254">
        <v>1</v>
      </c>
      <c r="J498" s="254"/>
      <c r="K498" s="363"/>
      <c r="L498" s="363"/>
      <c r="M498" s="63"/>
      <c r="N498" s="265" t="b">
        <f>NOT(ISERROR(ResultsTeams[[#This Row],[Goal-A]]+ResultsTeams[[#This Row],[Goal-B]]))</f>
        <v>1</v>
      </c>
      <c r="O498" s="265">
        <f>IF(ResultsTeams[[#This Row],[Type]]="G",SUM(O499:O502),IF(LEFT(ResultsTeams[[#This Row],[Type]],1)="P",IF(ResultsTeams[[#This Row],[Goal-A]]&gt;ResultsTeams[[#This Row],[Goal-B]],1,0),""))</f>
        <v>0</v>
      </c>
      <c r="P498" s="265">
        <f>IF(ResultsTeams[[#This Row],[Type]]="G",SUM(P499:P502),IF(LEFT(ResultsTeams[[#This Row],[Type]],1)="P",IF(ResultsTeams[[#This Row],[Goal-A]]&lt;ResultsTeams[[#This Row],[Goal-B]],1,0),""))</f>
        <v>0</v>
      </c>
      <c r="Q498" s="265">
        <f>IF(ResultsTeams[[#This Row],[Type]]="G",SUM(Q499:Q502),IF(LEFT(ResultsTeams[[#This Row],[Type]],1)="P",VALUE(ResultsTeams[[#This Row],[Score-A]]),""))</f>
        <v>1</v>
      </c>
      <c r="R498" s="265">
        <f>IF(ResultsTeams[[#This Row],[Type]]="G",SUM(R499:R502),IF(LEFT(ResultsTeams[[#This Row],[Type]],1)="P",VALUE(ResultsTeams[[#This Row],[Score-B]]),""))</f>
        <v>1</v>
      </c>
      <c r="S498" s="265" t="str">
        <f ca="1">IF(AND(ResultsTeams[[#This Row],[Category]]&lt;&gt;"",ResultsTeams[[#This Row],[Team A]]&lt;&gt;""),COUNTIF(INDIRECT("TeamsList[Club Name]"),ResultsTeams[[#This Row],[Team A]]),"")</f>
        <v/>
      </c>
      <c r="T498" s="265" t="str">
        <f ca="1">IF(AND(ResultsTeams[[#This Row],[Category]]&lt;&gt;"",ResultsTeams[[#This Row],[Team B]]&lt;&gt;""),COUNTIF(INDIRECT("TeamsList[Club Name]"),ResultsTeams[[#This Row],[Team B]]),"")</f>
        <v/>
      </c>
      <c r="U4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498" s="265" t="str">
        <f>IF(ResultsTeams[[#This Row],[Score_OK]],IF(ResultsTeams[[#This Row],[StageCpy]]="Groups",ResultsTeams[[#This Row],[Category]]&amp;"-"&amp;IF(ResultsTeams[[#This Row],[Team B]]="","",IF(ResultsTeams[[#This Row],[Match-A]]=ResultsTeams[[#This Row],[Match-B]],ResultsTeams[[#This Row],[Team A]],"")),""),"")</f>
        <v>-Noah Dirick</v>
      </c>
      <c r="W498" s="265" t="str">
        <f>IF(ResultsTeams[[#This Row],[Score_OK]],IF(ResultsTeams[[#This Row],[StageCpy]]="Groups",ResultsTeams[[#This Row],[Category]]&amp;"-"&amp;IF(ResultsTeams[[#This Row],[Team B]]="","",IF(ResultsTeams[[#This Row],[Match-A]]=ResultsTeams[[#This Row],[Match-B]],ResultsTeams[[#This Row],[Team B]],"")),""),"")</f>
        <v>-Colin Lewis</v>
      </c>
      <c r="X4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4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8" s="264" t="str">
        <f>IF(ResultsTeams[[#This Row],[Category]]="","",VLOOKUP(ResultsTeams[[#This Row],[Stage]],$R$1:$T$8,MATCH(ResultsTeams[[#This Row],[Category]],$S$1:$T$1,0)+1,FALSE))</f>
        <v/>
      </c>
      <c r="AC4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8" s="264" t="str">
        <f>IF(ResultsTeams[[#This Row],[Type]]="G",ResultsTeams[[#This Row],[Stage]],AD497)</f>
        <v>Groups</v>
      </c>
      <c r="AE498" s="395" t="str">
        <f>IF(ResultsTeams[[#This Row],[Type]]="G",INDEX(TeamsList[Club Name],MATCH(ResultsTeams[[#This Row],[Team A]],TeamsList[Team Name],0)),AE497)</f>
        <v>Wamme SC</v>
      </c>
      <c r="AF498" s="395" t="str">
        <f>IF(ResultsTeams[[#This Row],[Type]]="G",INDEX(TeamsList[Club Name],MATCH(ResultsTeams[[#This Row],[Team B]],TeamsList[Team Name],0)),AF497)</f>
        <v>Cardiff Bluebirds TFC</v>
      </c>
      <c r="AG498" s="265"/>
    </row>
    <row r="499" spans="1:33" x14ac:dyDescent="0.2">
      <c r="A499" s="62"/>
      <c r="B499" s="280"/>
      <c r="C499" s="62"/>
      <c r="D499" s="62"/>
      <c r="E499" s="241" t="s">
        <v>12240</v>
      </c>
      <c r="F499" s="246" t="s">
        <v>8173</v>
      </c>
      <c r="G499" s="246" t="s">
        <v>10879</v>
      </c>
      <c r="H499" s="254">
        <v>3</v>
      </c>
      <c r="I499" s="254">
        <v>0</v>
      </c>
      <c r="J499" s="254"/>
      <c r="K499" s="363"/>
      <c r="L499" s="363"/>
      <c r="M499" s="63"/>
      <c r="N499" s="265" t="b">
        <f>NOT(ISERROR(ResultsTeams[[#This Row],[Goal-A]]+ResultsTeams[[#This Row],[Goal-B]]))</f>
        <v>1</v>
      </c>
      <c r="O499" s="265">
        <f>IF(ResultsTeams[[#This Row],[Type]]="G",SUM(O500:O503),IF(LEFT(ResultsTeams[[#This Row],[Type]],1)="P",IF(ResultsTeams[[#This Row],[Goal-A]]&gt;ResultsTeams[[#This Row],[Goal-B]],1,0),""))</f>
        <v>1</v>
      </c>
      <c r="P499" s="265">
        <f>IF(ResultsTeams[[#This Row],[Type]]="G",SUM(P500:P503),IF(LEFT(ResultsTeams[[#This Row],[Type]],1)="P",IF(ResultsTeams[[#This Row],[Goal-A]]&lt;ResultsTeams[[#This Row],[Goal-B]],1,0),""))</f>
        <v>0</v>
      </c>
      <c r="Q499" s="265">
        <f>IF(ResultsTeams[[#This Row],[Type]]="G",SUM(Q500:Q503),IF(LEFT(ResultsTeams[[#This Row],[Type]],1)="P",VALUE(ResultsTeams[[#This Row],[Score-A]]),""))</f>
        <v>3</v>
      </c>
      <c r="R499" s="265">
        <f>IF(ResultsTeams[[#This Row],[Type]]="G",SUM(R500:R503),IF(LEFT(ResultsTeams[[#This Row],[Type]],1)="P",VALUE(ResultsTeams[[#This Row],[Score-B]]),""))</f>
        <v>0</v>
      </c>
      <c r="S499" s="265" t="str">
        <f ca="1">IF(AND(ResultsTeams[[#This Row],[Category]]&lt;&gt;"",ResultsTeams[[#This Row],[Team A]]&lt;&gt;""),COUNTIF(INDIRECT("TeamsList[Club Name]"),ResultsTeams[[#This Row],[Team A]]),"")</f>
        <v/>
      </c>
      <c r="T499" s="265" t="str">
        <f ca="1">IF(AND(ResultsTeams[[#This Row],[Category]]&lt;&gt;"",ResultsTeams[[#This Row],[Team B]]&lt;&gt;""),COUNTIF(INDIRECT("TeamsList[Club Name]"),ResultsTeams[[#This Row],[Team B]]),"")</f>
        <v/>
      </c>
      <c r="U4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 Grosdent</v>
      </c>
      <c r="V499" s="265" t="str">
        <f>IF(ResultsTeams[[#This Row],[Score_OK]],IF(ResultsTeams[[#This Row],[StageCpy]]="Groups",ResultsTeams[[#This Row],[Category]]&amp;"-"&amp;IF(ResultsTeams[[#This Row],[Team B]]="","",IF(ResultsTeams[[#This Row],[Match-A]]=ResultsTeams[[#This Row],[Match-B]],ResultsTeams[[#This Row],[Team A]],"")),""),"")</f>
        <v>-</v>
      </c>
      <c r="W499" s="265" t="str">
        <f>IF(ResultsTeams[[#This Row],[Score_OK]],IF(ResultsTeams[[#This Row],[StageCpy]]="Groups",ResultsTeams[[#This Row],[Category]]&amp;"-"&amp;IF(ResultsTeams[[#This Row],[Team B]]="","",IF(ResultsTeams[[#This Row],[Match-A]]=ResultsTeams[[#This Row],[Match-B]],ResultsTeams[[#This Row],[Team B]],"")),""),"")</f>
        <v>-</v>
      </c>
      <c r="X4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-David Samuel</v>
      </c>
      <c r="Y4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9" s="264" t="str">
        <f>IF(ResultsTeams[[#This Row],[Category]]="","",VLOOKUP(ResultsTeams[[#This Row],[Stage]],$R$1:$T$8,MATCH(ResultsTeams[[#This Row],[Category]],$S$1:$T$1,0)+1,FALSE))</f>
        <v/>
      </c>
      <c r="AC4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9" s="264" t="str">
        <f>IF(ResultsTeams[[#This Row],[Type]]="G",ResultsTeams[[#This Row],[Stage]],AD498)</f>
        <v>Groups</v>
      </c>
      <c r="AE499" s="395" t="str">
        <f>IF(ResultsTeams[[#This Row],[Type]]="G",INDEX(TeamsList[Club Name],MATCH(ResultsTeams[[#This Row],[Team A]],TeamsList[Team Name],0)),AE498)</f>
        <v>Wamme SC</v>
      </c>
      <c r="AF499" s="395" t="str">
        <f>IF(ResultsTeams[[#This Row],[Type]]="G",INDEX(TeamsList[Club Name],MATCH(ResultsTeams[[#This Row],[Team B]],TeamsList[Team Name],0)),AF498)</f>
        <v>Cardiff Bluebirds TFC</v>
      </c>
      <c r="AG499" s="265"/>
    </row>
    <row r="500" spans="1:33" x14ac:dyDescent="0.2">
      <c r="A500" s="62"/>
      <c r="B500" s="62"/>
      <c r="C500" s="62"/>
      <c r="D500" s="62"/>
      <c r="E500" s="241" t="s">
        <v>12243</v>
      </c>
      <c r="F500" s="247"/>
      <c r="G500" s="247"/>
      <c r="H500" s="254"/>
      <c r="I500" s="254"/>
      <c r="J500" s="260"/>
      <c r="K500" s="364"/>
      <c r="L500" s="364"/>
      <c r="M500" s="63"/>
      <c r="N500" s="265" t="b">
        <f>NOT(ISERROR(ResultsTeams[[#This Row],[Goal-A]]+ResultsTeams[[#This Row],[Goal-B]]))</f>
        <v>0</v>
      </c>
      <c r="O500" s="265" t="str">
        <f>IF(ResultsTeams[[#This Row],[Type]]="G",SUM(O501:O504),IF(LEFT(ResultsTeams[[#This Row],[Type]],1)="P",IF(ResultsTeams[[#This Row],[Goal-A]]&gt;ResultsTeams[[#This Row],[Goal-B]],1,0),""))</f>
        <v/>
      </c>
      <c r="P500" s="265" t="str">
        <f>IF(ResultsTeams[[#This Row],[Type]]="G",SUM(P501:P504),IF(LEFT(ResultsTeams[[#This Row],[Type]],1)="P",IF(ResultsTeams[[#This Row],[Goal-A]]&lt;ResultsTeams[[#This Row],[Goal-B]],1,0),""))</f>
        <v/>
      </c>
      <c r="Q500" s="265" t="str">
        <f>IF(ResultsTeams[[#This Row],[Type]]="G",SUM(Q501:Q504),IF(LEFT(ResultsTeams[[#This Row],[Type]],1)="P",VALUE(ResultsTeams[[#This Row],[Score-A]]),""))</f>
        <v/>
      </c>
      <c r="R500" s="265" t="str">
        <f>IF(ResultsTeams[[#This Row],[Type]]="G",SUM(R501:R504),IF(LEFT(ResultsTeams[[#This Row],[Type]],1)="P",VALUE(ResultsTeams[[#This Row],[Score-B]]),""))</f>
        <v/>
      </c>
      <c r="S500" s="265" t="str">
        <f ca="1">IF(AND(ResultsTeams[[#This Row],[Category]]&lt;&gt;"",ResultsTeams[[#This Row],[Team A]]&lt;&gt;""),COUNTIF(INDIRECT("TeamsList[Club Name]"),ResultsTeams[[#This Row],[Team A]]),"")</f>
        <v/>
      </c>
      <c r="T500" s="265" t="str">
        <f ca="1">IF(AND(ResultsTeams[[#This Row],[Category]]&lt;&gt;"",ResultsTeams[[#This Row],[Team B]]&lt;&gt;""),COUNTIF(INDIRECT("TeamsList[Club Name]"),ResultsTeams[[#This Row],[Team B]]),"")</f>
        <v/>
      </c>
      <c r="U5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0" s="265" t="str">
        <f>IF(ResultsTeams[[#This Row],[Score_OK]],IF(ResultsTeams[[#This Row],[StageCpy]]="Groups",ResultsTeams[[#This Row],[Category]]&amp;"-"&amp;IF(ResultsTeams[[#This Row],[Team B]]="","",IF(ResultsTeams[[#This Row],[Match-A]]=ResultsTeams[[#This Row],[Match-B]],ResultsTeams[[#This Row],[Team A]],"")),""),"")</f>
        <v/>
      </c>
      <c r="W500" s="265" t="str">
        <f>IF(ResultsTeams[[#This Row],[Score_OK]],IF(ResultsTeams[[#This Row],[StageCpy]]="Groups",ResultsTeams[[#This Row],[Category]]&amp;"-"&amp;IF(ResultsTeams[[#This Row],[Team B]]="","",IF(ResultsTeams[[#This Row],[Match-A]]=ResultsTeams[[#This Row],[Match-B]],ResultsTeams[[#This Row],[Team B]],"")),""),"")</f>
        <v/>
      </c>
      <c r="X5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0" s="264" t="str">
        <f>IF(ResultsTeams[[#This Row],[Category]]="","",VLOOKUP(ResultsTeams[[#This Row],[Stage]],$R$1:$T$8,MATCH(ResultsTeams[[#This Row],[Category]],$S$1:$T$1,0)+1,FALSE))</f>
        <v/>
      </c>
      <c r="AC5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0" s="264" t="str">
        <f>IF(ResultsTeams[[#This Row],[Type]]="G",ResultsTeams[[#This Row],[Stage]],AD499)</f>
        <v>Groups</v>
      </c>
      <c r="AE500" s="395" t="str">
        <f>IF(ResultsTeams[[#This Row],[Type]]="G",INDEX(TeamsList[Club Name],MATCH(ResultsTeams[[#This Row],[Team A]],TeamsList[Team Name],0)),AE499)</f>
        <v>Wamme SC</v>
      </c>
      <c r="AF500" s="395" t="str">
        <f>IF(ResultsTeams[[#This Row],[Type]]="G",INDEX(TeamsList[Club Name],MATCH(ResultsTeams[[#This Row],[Team B]],TeamsList[Team Name],0)),AF499)</f>
        <v>Cardiff Bluebirds TFC</v>
      </c>
      <c r="AG500" s="265"/>
    </row>
    <row r="501" spans="1:33" ht="12" thickBot="1" x14ac:dyDescent="0.25">
      <c r="A501" s="83"/>
      <c r="B501" s="83"/>
      <c r="C501" s="83"/>
      <c r="D501" s="83"/>
      <c r="E501" s="268" t="s">
        <v>12244</v>
      </c>
      <c r="F501" s="262"/>
      <c r="G501" s="262"/>
      <c r="H501" s="324"/>
      <c r="I501" s="324"/>
      <c r="J501" s="263"/>
      <c r="K501" s="365"/>
      <c r="L501" s="365"/>
      <c r="M501" s="84"/>
      <c r="N501" s="265" t="b">
        <f>NOT(ISERROR(ResultsTeams[[#This Row],[Goal-A]]+ResultsTeams[[#This Row],[Goal-B]]))</f>
        <v>0</v>
      </c>
      <c r="O501" s="265" t="str">
        <f>IF(ResultsTeams[[#This Row],[Type]]="G",SUM(O502:O505),IF(LEFT(ResultsTeams[[#This Row],[Type]],1)="P",IF(ResultsTeams[[#This Row],[Goal-A]]&gt;ResultsTeams[[#This Row],[Goal-B]],1,0),""))</f>
        <v/>
      </c>
      <c r="P501" s="265" t="str">
        <f>IF(ResultsTeams[[#This Row],[Type]]="G",SUM(P502:P505),IF(LEFT(ResultsTeams[[#This Row],[Type]],1)="P",IF(ResultsTeams[[#This Row],[Goal-A]]&lt;ResultsTeams[[#This Row],[Goal-B]],1,0),""))</f>
        <v/>
      </c>
      <c r="Q501" s="265" t="str">
        <f>IF(ResultsTeams[[#This Row],[Type]]="G",SUM(Q502:Q505),IF(LEFT(ResultsTeams[[#This Row],[Type]],1)="P",VALUE(ResultsTeams[[#This Row],[Score-A]]),""))</f>
        <v/>
      </c>
      <c r="R501" s="265" t="str">
        <f>IF(ResultsTeams[[#This Row],[Type]]="G",SUM(R502:R505),IF(LEFT(ResultsTeams[[#This Row],[Type]],1)="P",VALUE(ResultsTeams[[#This Row],[Score-B]]),""))</f>
        <v/>
      </c>
      <c r="S501" s="265" t="str">
        <f ca="1">IF(AND(ResultsTeams[[#This Row],[Category]]&lt;&gt;"",ResultsTeams[[#This Row],[Team A]]&lt;&gt;""),COUNTIF(INDIRECT("TeamsList[Club Name]"),ResultsTeams[[#This Row],[Team A]]),"")</f>
        <v/>
      </c>
      <c r="T501" s="265" t="str">
        <f ca="1">IF(AND(ResultsTeams[[#This Row],[Category]]&lt;&gt;"",ResultsTeams[[#This Row],[Team B]]&lt;&gt;""),COUNTIF(INDIRECT("TeamsList[Club Name]"),ResultsTeams[[#This Row],[Team B]]),"")</f>
        <v/>
      </c>
      <c r="U5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1" s="265" t="str">
        <f>IF(ResultsTeams[[#This Row],[Score_OK]],IF(ResultsTeams[[#This Row],[StageCpy]]="Groups",ResultsTeams[[#This Row],[Category]]&amp;"-"&amp;IF(ResultsTeams[[#This Row],[Team B]]="","",IF(ResultsTeams[[#This Row],[Match-A]]=ResultsTeams[[#This Row],[Match-B]],ResultsTeams[[#This Row],[Team A]],"")),""),"")</f>
        <v/>
      </c>
      <c r="W501" s="265" t="str">
        <f>IF(ResultsTeams[[#This Row],[Score_OK]],IF(ResultsTeams[[#This Row],[StageCpy]]="Groups",ResultsTeams[[#This Row],[Category]]&amp;"-"&amp;IF(ResultsTeams[[#This Row],[Team B]]="","",IF(ResultsTeams[[#This Row],[Match-A]]=ResultsTeams[[#This Row],[Match-B]],ResultsTeams[[#This Row],[Team B]],"")),""),"")</f>
        <v/>
      </c>
      <c r="X5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1" s="264" t="str">
        <f>IF(ResultsTeams[[#This Row],[Category]]="","",VLOOKUP(ResultsTeams[[#This Row],[Stage]],$R$1:$T$8,MATCH(ResultsTeams[[#This Row],[Category]],$S$1:$T$1,0)+1,FALSE))</f>
        <v/>
      </c>
      <c r="AC5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1" s="264" t="str">
        <f>IF(ResultsTeams[[#This Row],[Type]]="G",ResultsTeams[[#This Row],[Stage]],AD500)</f>
        <v>Groups</v>
      </c>
      <c r="AE501" s="395" t="str">
        <f>IF(ResultsTeams[[#This Row],[Type]]="G",INDEX(TeamsList[Club Name],MATCH(ResultsTeams[[#This Row],[Team A]],TeamsList[Team Name],0)),AE500)</f>
        <v>Wamme SC</v>
      </c>
      <c r="AF501" s="395" t="str">
        <f>IF(ResultsTeams[[#This Row],[Type]]="G",INDEX(TeamsList[Club Name],MATCH(ResultsTeams[[#This Row],[Team B]],TeamsList[Team Name],0)),AF500)</f>
        <v>Cardiff Bluebirds TFC</v>
      </c>
      <c r="AG501" s="265"/>
    </row>
    <row r="502" spans="1:33" ht="12" thickBot="1" x14ac:dyDescent="0.25">
      <c r="A502" s="261" t="s">
        <v>12693</v>
      </c>
      <c r="B502" s="270" t="s">
        <v>12215</v>
      </c>
      <c r="C502" s="270"/>
      <c r="D502" s="270"/>
      <c r="E502" s="272" t="s">
        <v>12228</v>
      </c>
      <c r="F502" s="273" t="s">
        <v>12674</v>
      </c>
      <c r="G502" s="273" t="s">
        <v>644</v>
      </c>
      <c r="H502" s="275">
        <v>1</v>
      </c>
      <c r="I502" s="275">
        <v>2</v>
      </c>
      <c r="J502" s="275"/>
      <c r="K502" s="366"/>
      <c r="L502" s="366"/>
      <c r="M502" s="274"/>
      <c r="N502" s="265" t="b">
        <f>NOT(ISERROR(ResultsTeams[[#This Row],[Goal-A]]+ResultsTeams[[#This Row],[Goal-B]]))</f>
        <v>1</v>
      </c>
      <c r="O502" s="265">
        <f>IF(ResultsTeams[[#This Row],[Type]]="G",SUM(O503:O506),IF(LEFT(ResultsTeams[[#This Row],[Type]],1)="P",IF(ResultsTeams[[#This Row],[Goal-A]]&gt;ResultsTeams[[#This Row],[Goal-B]],1,0),""))</f>
        <v>1</v>
      </c>
      <c r="P502" s="265">
        <f>IF(ResultsTeams[[#This Row],[Type]]="G",SUM(P503:P506),IF(LEFT(ResultsTeams[[#This Row],[Type]],1)="P",IF(ResultsTeams[[#This Row],[Goal-A]]&lt;ResultsTeams[[#This Row],[Goal-B]],1,0),""))</f>
        <v>2</v>
      </c>
      <c r="Q502" s="265">
        <f>IF(ResultsTeams[[#This Row],[Type]]="G",SUM(Q503:Q506),IF(LEFT(ResultsTeams[[#This Row],[Type]],1)="P",VALUE(ResultsTeams[[#This Row],[Score-A]]),""))</f>
        <v>7</v>
      </c>
      <c r="R502" s="265">
        <f>IF(ResultsTeams[[#This Row],[Type]]="G",SUM(R503:R506),IF(LEFT(ResultsTeams[[#This Row],[Type]],1)="P",VALUE(ResultsTeams[[#This Row],[Score-B]]),""))</f>
        <v>7</v>
      </c>
      <c r="S502" s="265">
        <f ca="1">IF(AND(ResultsTeams[[#This Row],[Category]]&lt;&gt;"",ResultsTeams[[#This Row],[Team A]]&lt;&gt;""),COUNTIF(INDIRECT("TeamsList[Club Name]"),ResultsTeams[[#This Row],[Team A]]),"")</f>
        <v>0</v>
      </c>
      <c r="T502" s="265">
        <f ca="1">IF(AND(ResultsTeams[[#This Row],[Category]]&lt;&gt;"",ResultsTeams[[#This Row],[Team B]]&lt;&gt;""),COUNTIF(INDIRECT("TeamsList[Club Name]"),ResultsTeams[[#This Row],[Team B]]),"")</f>
        <v>2</v>
      </c>
      <c r="U5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2" s="265" t="str">
        <f>IF(ResultsTeams[[#This Row],[Score_OK]],IF(ResultsTeams[[#This Row],[StageCpy]]="Groups",ResultsTeams[[#This Row],[Category]]&amp;"-"&amp;IF(ResultsTeams[[#This Row],[Team B]]="","",IF(ResultsTeams[[#This Row],[Match-A]]=ResultsTeams[[#This Row],[Match-B]],ResultsTeams[[#This Row],[Team A]],"")),""),"")</f>
        <v/>
      </c>
      <c r="W502" s="265" t="str">
        <f>IF(ResultsTeams[[#This Row],[Score_OK]],IF(ResultsTeams[[#This Row],[StageCpy]]="Groups",ResultsTeams[[#This Row],[Category]]&amp;"-"&amp;IF(ResultsTeams[[#This Row],[Team B]]="","",IF(ResultsTeams[[#This Row],[Match-A]]=ResultsTeams[[#This Row],[Match-B]],ResultsTeams[[#This Row],[Team B]],"")),""),"")</f>
        <v/>
      </c>
      <c r="X5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TEAM-Tiburones FM 2</v>
      </c>
      <c r="Z5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A5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B502" s="264" t="str">
        <f>IF(ResultsTeams[[#This Row],[Category]]="","",VLOOKUP(ResultsTeams[[#This Row],[Stage]],$R$1:$T$8,MATCH(ResultsTeams[[#This Row],[Category]],$S$1:$T$1,0)+1,FALSE))</f>
        <v>L32</v>
      </c>
      <c r="AC5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2" s="264" t="str">
        <f>IF(ResultsTeams[[#This Row],[Type]]="G",ResultsTeams[[#This Row],[Stage]],AD501)</f>
        <v>Barrage</v>
      </c>
      <c r="AE502" s="395" t="str">
        <f>IF(ResultsTeams[[#This Row],[Type]]="G",INDEX(TeamsList[Club Name],MATCH(ResultsTeams[[#This Row],[Team A]],TeamsList[Team Name],0)),AE501)</f>
        <v>Tiburones FM</v>
      </c>
      <c r="AF502" s="395" t="str">
        <f>IF(ResultsTeams[[#This Row],[Type]]="G",INDEX(TeamsList[Club Name],MATCH(ResultsTeams[[#This Row],[Team B]],TeamsList[Team Name],0)),AF501)</f>
        <v>Master Sanremo</v>
      </c>
      <c r="AG502" s="265"/>
    </row>
    <row r="503" spans="1:33" x14ac:dyDescent="0.2">
      <c r="A503" s="60"/>
      <c r="B503" s="280"/>
      <c r="C503" s="60"/>
      <c r="D503" s="60"/>
      <c r="E503" s="240" t="s">
        <v>12231</v>
      </c>
      <c r="F503" s="244" t="s">
        <v>8617</v>
      </c>
      <c r="G503" s="244" t="s">
        <v>8122</v>
      </c>
      <c r="H503" s="253">
        <v>3</v>
      </c>
      <c r="I503" s="253">
        <v>0</v>
      </c>
      <c r="J503" s="253"/>
      <c r="K503" s="362"/>
      <c r="L503" s="362"/>
      <c r="M503" s="245"/>
      <c r="N503" s="265" t="b">
        <f>NOT(ISERROR(ResultsTeams[[#This Row],[Goal-A]]+ResultsTeams[[#This Row],[Goal-B]]))</f>
        <v>1</v>
      </c>
      <c r="O503" s="265">
        <f>IF(ResultsTeams[[#This Row],[Type]]="G",SUM(O504:O507),IF(LEFT(ResultsTeams[[#This Row],[Type]],1)="P",IF(ResultsTeams[[#This Row],[Goal-A]]&gt;ResultsTeams[[#This Row],[Goal-B]],1,0),""))</f>
        <v>1</v>
      </c>
      <c r="P503" s="265">
        <f>IF(ResultsTeams[[#This Row],[Type]]="G",SUM(P504:P507),IF(LEFT(ResultsTeams[[#This Row],[Type]],1)="P",IF(ResultsTeams[[#This Row],[Goal-A]]&lt;ResultsTeams[[#This Row],[Goal-B]],1,0),""))</f>
        <v>0</v>
      </c>
      <c r="Q503" s="265">
        <f>IF(ResultsTeams[[#This Row],[Type]]="G",SUM(Q504:Q507),IF(LEFT(ResultsTeams[[#This Row],[Type]],1)="P",VALUE(ResultsTeams[[#This Row],[Score-A]]),""))</f>
        <v>3</v>
      </c>
      <c r="R503" s="265">
        <f>IF(ResultsTeams[[#This Row],[Type]]="G",SUM(R504:R507),IF(LEFT(ResultsTeams[[#This Row],[Type]],1)="P",VALUE(ResultsTeams[[#This Row],[Score-B]]),""))</f>
        <v>0</v>
      </c>
      <c r="S503" s="265" t="str">
        <f ca="1">IF(AND(ResultsTeams[[#This Row],[Category]]&lt;&gt;"",ResultsTeams[[#This Row],[Team A]]&lt;&gt;""),COUNTIF(INDIRECT("TeamsList[Club Name]"),ResultsTeams[[#This Row],[Team A]]),"")</f>
        <v/>
      </c>
      <c r="T503" s="265" t="str">
        <f ca="1">IF(AND(ResultsTeams[[#This Row],[Category]]&lt;&gt;"",ResultsTeams[[#This Row],[Team B]]&lt;&gt;""),COUNTIF(INDIRECT("TeamsList[Club Name]"),ResultsTeams[[#This Row],[Team B]]),"")</f>
        <v/>
      </c>
      <c r="U5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3" s="265" t="str">
        <f>IF(ResultsTeams[[#This Row],[Score_OK]],IF(ResultsTeams[[#This Row],[StageCpy]]="Groups",ResultsTeams[[#This Row],[Category]]&amp;"-"&amp;IF(ResultsTeams[[#This Row],[Team B]]="","",IF(ResultsTeams[[#This Row],[Match-A]]=ResultsTeams[[#This Row],[Match-B]],ResultsTeams[[#This Row],[Team A]],"")),""),"")</f>
        <v/>
      </c>
      <c r="W503" s="265" t="str">
        <f>IF(ResultsTeams[[#This Row],[Score_OK]],IF(ResultsTeams[[#This Row],[StageCpy]]="Groups",ResultsTeams[[#This Row],[Category]]&amp;"-"&amp;IF(ResultsTeams[[#This Row],[Team B]]="","",IF(ResultsTeams[[#This Row],[Match-A]]=ResultsTeams[[#This Row],[Match-B]],ResultsTeams[[#This Row],[Team B]],"")),""),"")</f>
        <v/>
      </c>
      <c r="X5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3" s="264" t="str">
        <f>IF(ResultsTeams[[#This Row],[Category]]="","",VLOOKUP(ResultsTeams[[#This Row],[Stage]],$R$1:$T$8,MATCH(ResultsTeams[[#This Row],[Category]],$S$1:$T$1,0)+1,FALSE))</f>
        <v/>
      </c>
      <c r="AC5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3" s="264" t="str">
        <f>IF(ResultsTeams[[#This Row],[Type]]="G",ResultsTeams[[#This Row],[Stage]],AD502)</f>
        <v>Barrage</v>
      </c>
      <c r="AE503" s="395" t="str">
        <f>IF(ResultsTeams[[#This Row],[Type]]="G",INDEX(TeamsList[Club Name],MATCH(ResultsTeams[[#This Row],[Team A]],TeamsList[Team Name],0)),AE502)</f>
        <v>Tiburones FM</v>
      </c>
      <c r="AF503" s="395" t="str">
        <f>IF(ResultsTeams[[#This Row],[Type]]="G",INDEX(TeamsList[Club Name],MATCH(ResultsTeams[[#This Row],[Team B]],TeamsList[Team Name],0)),AF502)</f>
        <v>Master Sanremo</v>
      </c>
      <c r="AG503" s="265"/>
    </row>
    <row r="504" spans="1:33" x14ac:dyDescent="0.2">
      <c r="A504" s="62"/>
      <c r="B504" s="280"/>
      <c r="C504" s="62"/>
      <c r="D504" s="62"/>
      <c r="E504" s="241" t="s">
        <v>12234</v>
      </c>
      <c r="F504" s="246" t="s">
        <v>11659</v>
      </c>
      <c r="G504" s="246" t="s">
        <v>10149</v>
      </c>
      <c r="H504" s="254">
        <v>2</v>
      </c>
      <c r="I504" s="254">
        <v>3</v>
      </c>
      <c r="J504" s="254"/>
      <c r="K504" s="363"/>
      <c r="L504" s="363"/>
      <c r="M504" s="247"/>
      <c r="N504" s="265" t="b">
        <f>NOT(ISERROR(ResultsTeams[[#This Row],[Goal-A]]+ResultsTeams[[#This Row],[Goal-B]]))</f>
        <v>1</v>
      </c>
      <c r="O504" s="265">
        <f>IF(ResultsTeams[[#This Row],[Type]]="G",SUM(O505:O508),IF(LEFT(ResultsTeams[[#This Row],[Type]],1)="P",IF(ResultsTeams[[#This Row],[Goal-A]]&gt;ResultsTeams[[#This Row],[Goal-B]],1,0),""))</f>
        <v>0</v>
      </c>
      <c r="P504" s="265">
        <f>IF(ResultsTeams[[#This Row],[Type]]="G",SUM(P505:P508),IF(LEFT(ResultsTeams[[#This Row],[Type]],1)="P",IF(ResultsTeams[[#This Row],[Goal-A]]&lt;ResultsTeams[[#This Row],[Goal-B]],1,0),""))</f>
        <v>1</v>
      </c>
      <c r="Q504" s="265">
        <f>IF(ResultsTeams[[#This Row],[Type]]="G",SUM(Q505:Q508),IF(LEFT(ResultsTeams[[#This Row],[Type]],1)="P",VALUE(ResultsTeams[[#This Row],[Score-A]]),""))</f>
        <v>2</v>
      </c>
      <c r="R504" s="265">
        <f>IF(ResultsTeams[[#This Row],[Type]]="G",SUM(R505:R508),IF(LEFT(ResultsTeams[[#This Row],[Type]],1)="P",VALUE(ResultsTeams[[#This Row],[Score-B]]),""))</f>
        <v>3</v>
      </c>
      <c r="S504" s="265" t="str">
        <f ca="1">IF(AND(ResultsTeams[[#This Row],[Category]]&lt;&gt;"",ResultsTeams[[#This Row],[Team A]]&lt;&gt;""),COUNTIF(INDIRECT("TeamsList[Club Name]"),ResultsTeams[[#This Row],[Team A]]),"")</f>
        <v/>
      </c>
      <c r="T504" s="265" t="str">
        <f ca="1">IF(AND(ResultsTeams[[#This Row],[Category]]&lt;&gt;"",ResultsTeams[[#This Row],[Team B]]&lt;&gt;""),COUNTIF(INDIRECT("TeamsList[Club Name]"),ResultsTeams[[#This Row],[Team B]]),"")</f>
        <v/>
      </c>
      <c r="U5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4" s="265" t="str">
        <f>IF(ResultsTeams[[#This Row],[Score_OK]],IF(ResultsTeams[[#This Row],[StageCpy]]="Groups",ResultsTeams[[#This Row],[Category]]&amp;"-"&amp;IF(ResultsTeams[[#This Row],[Team B]]="","",IF(ResultsTeams[[#This Row],[Match-A]]=ResultsTeams[[#This Row],[Match-B]],ResultsTeams[[#This Row],[Team A]],"")),""),"")</f>
        <v/>
      </c>
      <c r="W504" s="265" t="str">
        <f>IF(ResultsTeams[[#This Row],[Score_OK]],IF(ResultsTeams[[#This Row],[StageCpy]]="Groups",ResultsTeams[[#This Row],[Category]]&amp;"-"&amp;IF(ResultsTeams[[#This Row],[Team B]]="","",IF(ResultsTeams[[#This Row],[Match-A]]=ResultsTeams[[#This Row],[Match-B]],ResultsTeams[[#This Row],[Team B]],"")),""),"")</f>
        <v/>
      </c>
      <c r="X5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4" s="264" t="str">
        <f>IF(ResultsTeams[[#This Row],[Category]]="","",VLOOKUP(ResultsTeams[[#This Row],[Stage]],$R$1:$T$8,MATCH(ResultsTeams[[#This Row],[Category]],$S$1:$T$1,0)+1,FALSE))</f>
        <v/>
      </c>
      <c r="AC5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4" s="264" t="str">
        <f>IF(ResultsTeams[[#This Row],[Type]]="G",ResultsTeams[[#This Row],[Stage]],AD503)</f>
        <v>Barrage</v>
      </c>
      <c r="AE504" s="395" t="str">
        <f>IF(ResultsTeams[[#This Row],[Type]]="G",INDEX(TeamsList[Club Name],MATCH(ResultsTeams[[#This Row],[Team A]],TeamsList[Team Name],0)),AE503)</f>
        <v>Tiburones FM</v>
      </c>
      <c r="AF504" s="395" t="str">
        <f>IF(ResultsTeams[[#This Row],[Type]]="G",INDEX(TeamsList[Club Name],MATCH(ResultsTeams[[#This Row],[Team B]],TeamsList[Team Name],0)),AF503)</f>
        <v>Master Sanremo</v>
      </c>
      <c r="AG504" s="265"/>
    </row>
    <row r="505" spans="1:33" x14ac:dyDescent="0.2">
      <c r="A505" s="62"/>
      <c r="B505" s="280"/>
      <c r="C505" s="62"/>
      <c r="D505" s="62"/>
      <c r="E505" s="241" t="s">
        <v>12237</v>
      </c>
      <c r="F505" s="246" t="s">
        <v>8144</v>
      </c>
      <c r="G505" s="246" t="s">
        <v>10253</v>
      </c>
      <c r="H505" s="254">
        <v>0</v>
      </c>
      <c r="I505" s="254">
        <v>2</v>
      </c>
      <c r="J505" s="254"/>
      <c r="K505" s="363"/>
      <c r="L505" s="363"/>
      <c r="M505" s="247"/>
      <c r="N505" s="265" t="b">
        <f>NOT(ISERROR(ResultsTeams[[#This Row],[Goal-A]]+ResultsTeams[[#This Row],[Goal-B]]))</f>
        <v>1</v>
      </c>
      <c r="O505" s="265">
        <f>IF(ResultsTeams[[#This Row],[Type]]="G",SUM(O506:O509),IF(LEFT(ResultsTeams[[#This Row],[Type]],1)="P",IF(ResultsTeams[[#This Row],[Goal-A]]&gt;ResultsTeams[[#This Row],[Goal-B]],1,0),""))</f>
        <v>0</v>
      </c>
      <c r="P505" s="265">
        <f>IF(ResultsTeams[[#This Row],[Type]]="G",SUM(P506:P509),IF(LEFT(ResultsTeams[[#This Row],[Type]],1)="P",IF(ResultsTeams[[#This Row],[Goal-A]]&lt;ResultsTeams[[#This Row],[Goal-B]],1,0),""))</f>
        <v>1</v>
      </c>
      <c r="Q505" s="265">
        <f>IF(ResultsTeams[[#This Row],[Type]]="G",SUM(Q506:Q509),IF(LEFT(ResultsTeams[[#This Row],[Type]],1)="P",VALUE(ResultsTeams[[#This Row],[Score-A]]),""))</f>
        <v>0</v>
      </c>
      <c r="R505" s="265">
        <f>IF(ResultsTeams[[#This Row],[Type]]="G",SUM(R506:R509),IF(LEFT(ResultsTeams[[#This Row],[Type]],1)="P",VALUE(ResultsTeams[[#This Row],[Score-B]]),""))</f>
        <v>2</v>
      </c>
      <c r="S505" s="265" t="str">
        <f ca="1">IF(AND(ResultsTeams[[#This Row],[Category]]&lt;&gt;"",ResultsTeams[[#This Row],[Team A]]&lt;&gt;""),COUNTIF(INDIRECT("TeamsList[Club Name]"),ResultsTeams[[#This Row],[Team A]]),"")</f>
        <v/>
      </c>
      <c r="T505" s="265" t="str">
        <f ca="1">IF(AND(ResultsTeams[[#This Row],[Category]]&lt;&gt;"",ResultsTeams[[#This Row],[Team B]]&lt;&gt;""),COUNTIF(INDIRECT("TeamsList[Club Name]"),ResultsTeams[[#This Row],[Team B]]),"")</f>
        <v/>
      </c>
      <c r="U5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5" s="265" t="str">
        <f>IF(ResultsTeams[[#This Row],[Score_OK]],IF(ResultsTeams[[#This Row],[StageCpy]]="Groups",ResultsTeams[[#This Row],[Category]]&amp;"-"&amp;IF(ResultsTeams[[#This Row],[Team B]]="","",IF(ResultsTeams[[#This Row],[Match-A]]=ResultsTeams[[#This Row],[Match-B]],ResultsTeams[[#This Row],[Team A]],"")),""),"")</f>
        <v/>
      </c>
      <c r="W505" s="265" t="str">
        <f>IF(ResultsTeams[[#This Row],[Score_OK]],IF(ResultsTeams[[#This Row],[StageCpy]]="Groups",ResultsTeams[[#This Row],[Category]]&amp;"-"&amp;IF(ResultsTeams[[#This Row],[Team B]]="","",IF(ResultsTeams[[#This Row],[Match-A]]=ResultsTeams[[#This Row],[Match-B]],ResultsTeams[[#This Row],[Team B]],"")),""),"")</f>
        <v/>
      </c>
      <c r="X5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5" s="264" t="str">
        <f>IF(ResultsTeams[[#This Row],[Category]]="","",VLOOKUP(ResultsTeams[[#This Row],[Stage]],$R$1:$T$8,MATCH(ResultsTeams[[#This Row],[Category]],$S$1:$T$1,0)+1,FALSE))</f>
        <v/>
      </c>
      <c r="AC5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5" s="264" t="str">
        <f>IF(ResultsTeams[[#This Row],[Type]]="G",ResultsTeams[[#This Row],[Stage]],AD504)</f>
        <v>Barrage</v>
      </c>
      <c r="AE505" s="395" t="str">
        <f>IF(ResultsTeams[[#This Row],[Type]]="G",INDEX(TeamsList[Club Name],MATCH(ResultsTeams[[#This Row],[Team A]],TeamsList[Team Name],0)),AE504)</f>
        <v>Tiburones FM</v>
      </c>
      <c r="AF505" s="395" t="str">
        <f>IF(ResultsTeams[[#This Row],[Type]]="G",INDEX(TeamsList[Club Name],MATCH(ResultsTeams[[#This Row],[Team B]],TeamsList[Team Name],0)),AF504)</f>
        <v>Master Sanremo</v>
      </c>
      <c r="AG505" s="265"/>
    </row>
    <row r="506" spans="1:33" x14ac:dyDescent="0.2">
      <c r="A506" s="62"/>
      <c r="B506" s="280"/>
      <c r="C506" s="62"/>
      <c r="D506" s="62"/>
      <c r="E506" s="241" t="s">
        <v>12240</v>
      </c>
      <c r="F506" s="246" t="s">
        <v>8096</v>
      </c>
      <c r="G506" s="246" t="s">
        <v>8104</v>
      </c>
      <c r="H506" s="254">
        <v>2</v>
      </c>
      <c r="I506" s="254">
        <v>2</v>
      </c>
      <c r="J506" s="254"/>
      <c r="K506" s="363"/>
      <c r="L506" s="363"/>
      <c r="M506" s="247"/>
      <c r="N506" s="265" t="b">
        <f>NOT(ISERROR(ResultsTeams[[#This Row],[Goal-A]]+ResultsTeams[[#This Row],[Goal-B]]))</f>
        <v>1</v>
      </c>
      <c r="O506" s="265">
        <f>IF(ResultsTeams[[#This Row],[Type]]="G",SUM(O507:O510),IF(LEFT(ResultsTeams[[#This Row],[Type]],1)="P",IF(ResultsTeams[[#This Row],[Goal-A]]&gt;ResultsTeams[[#This Row],[Goal-B]],1,0),""))</f>
        <v>0</v>
      </c>
      <c r="P506" s="265">
        <f>IF(ResultsTeams[[#This Row],[Type]]="G",SUM(P507:P510),IF(LEFT(ResultsTeams[[#This Row],[Type]],1)="P",IF(ResultsTeams[[#This Row],[Goal-A]]&lt;ResultsTeams[[#This Row],[Goal-B]],1,0),""))</f>
        <v>0</v>
      </c>
      <c r="Q506" s="265">
        <f>IF(ResultsTeams[[#This Row],[Type]]="G",SUM(Q507:Q510),IF(LEFT(ResultsTeams[[#This Row],[Type]],1)="P",VALUE(ResultsTeams[[#This Row],[Score-A]]),""))</f>
        <v>2</v>
      </c>
      <c r="R506" s="265">
        <f>IF(ResultsTeams[[#This Row],[Type]]="G",SUM(R507:R510),IF(LEFT(ResultsTeams[[#This Row],[Type]],1)="P",VALUE(ResultsTeams[[#This Row],[Score-B]]),""))</f>
        <v>2</v>
      </c>
      <c r="S506" s="265" t="str">
        <f ca="1">IF(AND(ResultsTeams[[#This Row],[Category]]&lt;&gt;"",ResultsTeams[[#This Row],[Team A]]&lt;&gt;""),COUNTIF(INDIRECT("TeamsList[Club Name]"),ResultsTeams[[#This Row],[Team A]]),"")</f>
        <v/>
      </c>
      <c r="T506" s="265" t="str">
        <f ca="1">IF(AND(ResultsTeams[[#This Row],[Category]]&lt;&gt;"",ResultsTeams[[#This Row],[Team B]]&lt;&gt;""),COUNTIF(INDIRECT("TeamsList[Club Name]"),ResultsTeams[[#This Row],[Team B]]),"")</f>
        <v/>
      </c>
      <c r="U5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6" s="265" t="str">
        <f>IF(ResultsTeams[[#This Row],[Score_OK]],IF(ResultsTeams[[#This Row],[StageCpy]]="Groups",ResultsTeams[[#This Row],[Category]]&amp;"-"&amp;IF(ResultsTeams[[#This Row],[Team B]]="","",IF(ResultsTeams[[#This Row],[Match-A]]=ResultsTeams[[#This Row],[Match-B]],ResultsTeams[[#This Row],[Team A]],"")),""),"")</f>
        <v/>
      </c>
      <c r="W506" s="265" t="str">
        <f>IF(ResultsTeams[[#This Row],[Score_OK]],IF(ResultsTeams[[#This Row],[StageCpy]]="Groups",ResultsTeams[[#This Row],[Category]]&amp;"-"&amp;IF(ResultsTeams[[#This Row],[Team B]]="","",IF(ResultsTeams[[#This Row],[Match-A]]=ResultsTeams[[#This Row],[Match-B]],ResultsTeams[[#This Row],[Team B]],"")),""),"")</f>
        <v/>
      </c>
      <c r="X5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6" s="264" t="str">
        <f>IF(ResultsTeams[[#This Row],[Category]]="","",VLOOKUP(ResultsTeams[[#This Row],[Stage]],$R$1:$T$8,MATCH(ResultsTeams[[#This Row],[Category]],$S$1:$T$1,0)+1,FALSE))</f>
        <v/>
      </c>
      <c r="AC5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6" s="264" t="str">
        <f>IF(ResultsTeams[[#This Row],[Type]]="G",ResultsTeams[[#This Row],[Stage]],AD505)</f>
        <v>Barrage</v>
      </c>
      <c r="AE506" s="395" t="str">
        <f>IF(ResultsTeams[[#This Row],[Type]]="G",INDEX(TeamsList[Club Name],MATCH(ResultsTeams[[#This Row],[Team A]],TeamsList[Team Name],0)),AE505)</f>
        <v>Tiburones FM</v>
      </c>
      <c r="AF506" s="395" t="str">
        <f>IF(ResultsTeams[[#This Row],[Type]]="G",INDEX(TeamsList[Club Name],MATCH(ResultsTeams[[#This Row],[Team B]],TeamsList[Team Name],0)),AF505)</f>
        <v>Master Sanremo</v>
      </c>
      <c r="AG506" s="265"/>
    </row>
    <row r="507" spans="1:33" x14ac:dyDescent="0.2">
      <c r="A507" s="62"/>
      <c r="B507" s="62"/>
      <c r="C507" s="62"/>
      <c r="D507" s="62"/>
      <c r="E507" s="241" t="s">
        <v>12243</v>
      </c>
      <c r="F507" s="247"/>
      <c r="G507" s="247"/>
      <c r="H507" s="254"/>
      <c r="I507" s="254"/>
      <c r="J507" s="260"/>
      <c r="K507" s="364"/>
      <c r="L507" s="364"/>
      <c r="M507" s="247"/>
      <c r="N507" s="265" t="b">
        <f>NOT(ISERROR(ResultsTeams[[#This Row],[Goal-A]]+ResultsTeams[[#This Row],[Goal-B]]))</f>
        <v>0</v>
      </c>
      <c r="O507" s="265" t="str">
        <f>IF(ResultsTeams[[#This Row],[Type]]="G",SUM(O508:O511),IF(LEFT(ResultsTeams[[#This Row],[Type]],1)="P",IF(ResultsTeams[[#This Row],[Goal-A]]&gt;ResultsTeams[[#This Row],[Goal-B]],1,0),""))</f>
        <v/>
      </c>
      <c r="P507" s="265" t="str">
        <f>IF(ResultsTeams[[#This Row],[Type]]="G",SUM(P508:P511),IF(LEFT(ResultsTeams[[#This Row],[Type]],1)="P",IF(ResultsTeams[[#This Row],[Goal-A]]&lt;ResultsTeams[[#This Row],[Goal-B]],1,0),""))</f>
        <v/>
      </c>
      <c r="Q507" s="265" t="str">
        <f>IF(ResultsTeams[[#This Row],[Type]]="G",SUM(Q508:Q511),IF(LEFT(ResultsTeams[[#This Row],[Type]],1)="P",VALUE(ResultsTeams[[#This Row],[Score-A]]),""))</f>
        <v/>
      </c>
      <c r="R507" s="265" t="str">
        <f>IF(ResultsTeams[[#This Row],[Type]]="G",SUM(R508:R511),IF(LEFT(ResultsTeams[[#This Row],[Type]],1)="P",VALUE(ResultsTeams[[#This Row],[Score-B]]),""))</f>
        <v/>
      </c>
      <c r="S507" s="265" t="str">
        <f ca="1">IF(AND(ResultsTeams[[#This Row],[Category]]&lt;&gt;"",ResultsTeams[[#This Row],[Team A]]&lt;&gt;""),COUNTIF(INDIRECT("TeamsList[Club Name]"),ResultsTeams[[#This Row],[Team A]]),"")</f>
        <v/>
      </c>
      <c r="T507" s="265" t="str">
        <f ca="1">IF(AND(ResultsTeams[[#This Row],[Category]]&lt;&gt;"",ResultsTeams[[#This Row],[Team B]]&lt;&gt;""),COUNTIF(INDIRECT("TeamsList[Club Name]"),ResultsTeams[[#This Row],[Team B]]),"")</f>
        <v/>
      </c>
      <c r="U5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7" s="265" t="str">
        <f>IF(ResultsTeams[[#This Row],[Score_OK]],IF(ResultsTeams[[#This Row],[StageCpy]]="Groups",ResultsTeams[[#This Row],[Category]]&amp;"-"&amp;IF(ResultsTeams[[#This Row],[Team B]]="","",IF(ResultsTeams[[#This Row],[Match-A]]=ResultsTeams[[#This Row],[Match-B]],ResultsTeams[[#This Row],[Team A]],"")),""),"")</f>
        <v/>
      </c>
      <c r="W507" s="265" t="str">
        <f>IF(ResultsTeams[[#This Row],[Score_OK]],IF(ResultsTeams[[#This Row],[StageCpy]]="Groups",ResultsTeams[[#This Row],[Category]]&amp;"-"&amp;IF(ResultsTeams[[#This Row],[Team B]]="","",IF(ResultsTeams[[#This Row],[Match-A]]=ResultsTeams[[#This Row],[Match-B]],ResultsTeams[[#This Row],[Team B]],"")),""),"")</f>
        <v/>
      </c>
      <c r="X5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7" s="264" t="str">
        <f>IF(ResultsTeams[[#This Row],[Category]]="","",VLOOKUP(ResultsTeams[[#This Row],[Stage]],$R$1:$T$8,MATCH(ResultsTeams[[#This Row],[Category]],$S$1:$T$1,0)+1,FALSE))</f>
        <v/>
      </c>
      <c r="AC5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7" s="264" t="str">
        <f>IF(ResultsTeams[[#This Row],[Type]]="G",ResultsTeams[[#This Row],[Stage]],AD506)</f>
        <v>Barrage</v>
      </c>
      <c r="AE507" s="395" t="str">
        <f>IF(ResultsTeams[[#This Row],[Type]]="G",INDEX(TeamsList[Club Name],MATCH(ResultsTeams[[#This Row],[Team A]],TeamsList[Team Name],0)),AE506)</f>
        <v>Tiburones FM</v>
      </c>
      <c r="AF507" s="395" t="str">
        <f>IF(ResultsTeams[[#This Row],[Type]]="G",INDEX(TeamsList[Club Name],MATCH(ResultsTeams[[#This Row],[Team B]],TeamsList[Team Name],0)),AF506)</f>
        <v>Master Sanremo</v>
      </c>
      <c r="AG507" s="265"/>
    </row>
    <row r="508" spans="1:33" ht="12" thickBot="1" x14ac:dyDescent="0.25">
      <c r="A508" s="83"/>
      <c r="B508" s="83"/>
      <c r="C508" s="83"/>
      <c r="D508" s="83"/>
      <c r="E508" s="268" t="s">
        <v>12244</v>
      </c>
      <c r="F508" s="262"/>
      <c r="G508" s="262"/>
      <c r="H508" s="324"/>
      <c r="I508" s="324"/>
      <c r="J508" s="263"/>
      <c r="K508" s="365"/>
      <c r="L508" s="365"/>
      <c r="M508" s="262"/>
      <c r="N508" s="265" t="b">
        <f>NOT(ISERROR(ResultsTeams[[#This Row],[Goal-A]]+ResultsTeams[[#This Row],[Goal-B]]))</f>
        <v>0</v>
      </c>
      <c r="O508" s="265" t="str">
        <f>IF(ResultsTeams[[#This Row],[Type]]="G",SUM(O509:O512),IF(LEFT(ResultsTeams[[#This Row],[Type]],1)="P",IF(ResultsTeams[[#This Row],[Goal-A]]&gt;ResultsTeams[[#This Row],[Goal-B]],1,0),""))</f>
        <v/>
      </c>
      <c r="P508" s="265" t="str">
        <f>IF(ResultsTeams[[#This Row],[Type]]="G",SUM(P509:P512),IF(LEFT(ResultsTeams[[#This Row],[Type]],1)="P",IF(ResultsTeams[[#This Row],[Goal-A]]&lt;ResultsTeams[[#This Row],[Goal-B]],1,0),""))</f>
        <v/>
      </c>
      <c r="Q508" s="265" t="str">
        <f>IF(ResultsTeams[[#This Row],[Type]]="G",SUM(Q509:Q512),IF(LEFT(ResultsTeams[[#This Row],[Type]],1)="P",VALUE(ResultsTeams[[#This Row],[Score-A]]),""))</f>
        <v/>
      </c>
      <c r="R508" s="265" t="str">
        <f>IF(ResultsTeams[[#This Row],[Type]]="G",SUM(R509:R512),IF(LEFT(ResultsTeams[[#This Row],[Type]],1)="P",VALUE(ResultsTeams[[#This Row],[Score-B]]),""))</f>
        <v/>
      </c>
      <c r="S508" s="265" t="str">
        <f ca="1">IF(AND(ResultsTeams[[#This Row],[Category]]&lt;&gt;"",ResultsTeams[[#This Row],[Team A]]&lt;&gt;""),COUNTIF(INDIRECT("TeamsList[Club Name]"),ResultsTeams[[#This Row],[Team A]]),"")</f>
        <v/>
      </c>
      <c r="T508" s="265" t="str">
        <f ca="1">IF(AND(ResultsTeams[[#This Row],[Category]]&lt;&gt;"",ResultsTeams[[#This Row],[Team B]]&lt;&gt;""),COUNTIF(INDIRECT("TeamsList[Club Name]"),ResultsTeams[[#This Row],[Team B]]),"")</f>
        <v/>
      </c>
      <c r="U5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8" s="265" t="str">
        <f>IF(ResultsTeams[[#This Row],[Score_OK]],IF(ResultsTeams[[#This Row],[StageCpy]]="Groups",ResultsTeams[[#This Row],[Category]]&amp;"-"&amp;IF(ResultsTeams[[#This Row],[Team B]]="","",IF(ResultsTeams[[#This Row],[Match-A]]=ResultsTeams[[#This Row],[Match-B]],ResultsTeams[[#This Row],[Team A]],"")),""),"")</f>
        <v/>
      </c>
      <c r="W508" s="265" t="str">
        <f>IF(ResultsTeams[[#This Row],[Score_OK]],IF(ResultsTeams[[#This Row],[StageCpy]]="Groups",ResultsTeams[[#This Row],[Category]]&amp;"-"&amp;IF(ResultsTeams[[#This Row],[Team B]]="","",IF(ResultsTeams[[#This Row],[Match-A]]=ResultsTeams[[#This Row],[Match-B]],ResultsTeams[[#This Row],[Team B]],"")),""),"")</f>
        <v/>
      </c>
      <c r="X5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8" s="264" t="str">
        <f>IF(ResultsTeams[[#This Row],[Category]]="","",VLOOKUP(ResultsTeams[[#This Row],[Stage]],$R$1:$T$8,MATCH(ResultsTeams[[#This Row],[Category]],$S$1:$T$1,0)+1,FALSE))</f>
        <v/>
      </c>
      <c r="AC5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8" s="264" t="str">
        <f>IF(ResultsTeams[[#This Row],[Type]]="G",ResultsTeams[[#This Row],[Stage]],AD507)</f>
        <v>Barrage</v>
      </c>
      <c r="AE508" s="395" t="str">
        <f>IF(ResultsTeams[[#This Row],[Type]]="G",INDEX(TeamsList[Club Name],MATCH(ResultsTeams[[#This Row],[Team A]],TeamsList[Team Name],0)),AE507)</f>
        <v>Tiburones FM</v>
      </c>
      <c r="AF508" s="395" t="str">
        <f>IF(ResultsTeams[[#This Row],[Type]]="G",INDEX(TeamsList[Club Name],MATCH(ResultsTeams[[#This Row],[Team B]],TeamsList[Team Name],0)),AF507)</f>
        <v>Master Sanremo</v>
      </c>
      <c r="AG508" s="265"/>
    </row>
    <row r="509" spans="1:33" ht="12" thickBot="1" x14ac:dyDescent="0.25">
      <c r="A509" s="261" t="s">
        <v>12693</v>
      </c>
      <c r="B509" s="270" t="s">
        <v>12215</v>
      </c>
      <c r="C509" s="270"/>
      <c r="D509" s="270"/>
      <c r="E509" s="272" t="s">
        <v>12228</v>
      </c>
      <c r="F509" s="273" t="s">
        <v>654</v>
      </c>
      <c r="G509" s="273" t="s">
        <v>620</v>
      </c>
      <c r="H509" s="275">
        <v>1</v>
      </c>
      <c r="I509" s="275">
        <v>1</v>
      </c>
      <c r="J509" s="275"/>
      <c r="K509" s="366"/>
      <c r="L509" s="366"/>
      <c r="M509" s="274"/>
      <c r="N509" s="265" t="b">
        <f>NOT(ISERROR(ResultsTeams[[#This Row],[Goal-A]]+ResultsTeams[[#This Row],[Goal-B]]))</f>
        <v>1</v>
      </c>
      <c r="O509" s="265">
        <f>IF(ResultsTeams[[#This Row],[Type]]="G",SUM(O510:O513),IF(LEFT(ResultsTeams[[#This Row],[Type]],1)="P",IF(ResultsTeams[[#This Row],[Goal-A]]&gt;ResultsTeams[[#This Row],[Goal-B]],1,0),""))</f>
        <v>1</v>
      </c>
      <c r="P509" s="265">
        <f>IF(ResultsTeams[[#This Row],[Type]]="G",SUM(P510:P513),IF(LEFT(ResultsTeams[[#This Row],[Type]],1)="P",IF(ResultsTeams[[#This Row],[Goal-A]]&lt;ResultsTeams[[#This Row],[Goal-B]],1,0),""))</f>
        <v>1</v>
      </c>
      <c r="Q509" s="265">
        <f>IF(ResultsTeams[[#This Row],[Type]]="G",SUM(Q510:Q513),IF(LEFT(ResultsTeams[[#This Row],[Type]],1)="P",VALUE(ResultsTeams[[#This Row],[Score-A]]),""))</f>
        <v>6</v>
      </c>
      <c r="R509" s="265">
        <f>IF(ResultsTeams[[#This Row],[Type]]="G",SUM(R510:R513),IF(LEFT(ResultsTeams[[#This Row],[Type]],1)="P",VALUE(ResultsTeams[[#This Row],[Score-B]]),""))</f>
        <v>5</v>
      </c>
      <c r="S509" s="265">
        <f ca="1">IF(AND(ResultsTeams[[#This Row],[Category]]&lt;&gt;"",ResultsTeams[[#This Row],[Team A]]&lt;&gt;""),COUNTIF(INDIRECT("TeamsList[Club Name]"),ResultsTeams[[#This Row],[Team A]]),"")</f>
        <v>1</v>
      </c>
      <c r="T509" s="265">
        <f ca="1">IF(AND(ResultsTeams[[#This Row],[Category]]&lt;&gt;"",ResultsTeams[[#This Row],[Team B]]&lt;&gt;""),COUNTIF(INDIRECT("TeamsList[Club Name]"),ResultsTeams[[#This Row],[Team B]]),"")</f>
        <v>1</v>
      </c>
      <c r="U5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9" s="265" t="str">
        <f>IF(ResultsTeams[[#This Row],[Score_OK]],IF(ResultsTeams[[#This Row],[StageCpy]]="Groups",ResultsTeams[[#This Row],[Category]]&amp;"-"&amp;IF(ResultsTeams[[#This Row],[Team B]]="","",IF(ResultsTeams[[#This Row],[Match-A]]=ResultsTeams[[#This Row],[Match-B]],ResultsTeams[[#This Row],[Team A]],"")),""),"")</f>
        <v/>
      </c>
      <c r="W509" s="265" t="str">
        <f>IF(ResultsTeams[[#This Row],[Score_OK]],IF(ResultsTeams[[#This Row],[StageCpy]]="Groups",ResultsTeams[[#This Row],[Category]]&amp;"-"&amp;IF(ResultsTeams[[#This Row],[Team B]]="","",IF(ResultsTeams[[#This Row],[Match-A]]=ResultsTeams[[#This Row],[Match-B]],ResultsTeams[[#This Row],[Team B]],"")),""),"")</f>
        <v/>
      </c>
      <c r="X5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TEAM-Subbuteo Casale</v>
      </c>
      <c r="Z5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A5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B509" s="264" t="str">
        <f>IF(ResultsTeams[[#This Row],[Category]]="","",VLOOKUP(ResultsTeams[[#This Row],[Stage]],$R$1:$T$8,MATCH(ResultsTeams[[#This Row],[Category]],$S$1:$T$1,0)+1,FALSE))</f>
        <v>L32</v>
      </c>
      <c r="AC5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9" s="264" t="str">
        <f>IF(ResultsTeams[[#This Row],[Type]]="G",ResultsTeams[[#This Row],[Stage]],AD508)</f>
        <v>Barrage</v>
      </c>
      <c r="AE509" s="395" t="str">
        <f>IF(ResultsTeams[[#This Row],[Type]]="G",INDEX(TeamsList[Club Name],MATCH(ResultsTeams[[#This Row],[Team A]],TeamsList[Team Name],0)),AE508)</f>
        <v>ASD SC Salernitana</v>
      </c>
      <c r="AF509" s="395" t="str">
        <f>IF(ResultsTeams[[#This Row],[Type]]="G",INDEX(TeamsList[Club Name],MATCH(ResultsTeams[[#This Row],[Team B]],TeamsList[Team Name],0)),AF508)</f>
        <v>Subbuteo Casale</v>
      </c>
      <c r="AG509" s="265"/>
    </row>
    <row r="510" spans="1:33" x14ac:dyDescent="0.2">
      <c r="A510" s="60"/>
      <c r="B510" s="280"/>
      <c r="C510" s="60"/>
      <c r="D510" s="60"/>
      <c r="E510" s="240" t="s">
        <v>12231</v>
      </c>
      <c r="F510" s="244" t="s">
        <v>10243</v>
      </c>
      <c r="G510" s="244" t="s">
        <v>10283</v>
      </c>
      <c r="H510" s="253">
        <v>0</v>
      </c>
      <c r="I510" s="253">
        <v>0</v>
      </c>
      <c r="J510" s="253"/>
      <c r="K510" s="362"/>
      <c r="L510" s="362"/>
      <c r="M510" s="245"/>
      <c r="N510" s="265" t="b">
        <f>NOT(ISERROR(ResultsTeams[[#This Row],[Goal-A]]+ResultsTeams[[#This Row],[Goal-B]]))</f>
        <v>1</v>
      </c>
      <c r="O510" s="265">
        <f>IF(ResultsTeams[[#This Row],[Type]]="G",SUM(O511:O514),IF(LEFT(ResultsTeams[[#This Row],[Type]],1)="P",IF(ResultsTeams[[#This Row],[Goal-A]]&gt;ResultsTeams[[#This Row],[Goal-B]],1,0),""))</f>
        <v>0</v>
      </c>
      <c r="P510" s="265">
        <f>IF(ResultsTeams[[#This Row],[Type]]="G",SUM(P511:P514),IF(LEFT(ResultsTeams[[#This Row],[Type]],1)="P",IF(ResultsTeams[[#This Row],[Goal-A]]&lt;ResultsTeams[[#This Row],[Goal-B]],1,0),""))</f>
        <v>0</v>
      </c>
      <c r="Q510" s="265">
        <f>IF(ResultsTeams[[#This Row],[Type]]="G",SUM(Q511:Q514),IF(LEFT(ResultsTeams[[#This Row],[Type]],1)="P",VALUE(ResultsTeams[[#This Row],[Score-A]]),""))</f>
        <v>0</v>
      </c>
      <c r="R510" s="265">
        <f>IF(ResultsTeams[[#This Row],[Type]]="G",SUM(R511:R514),IF(LEFT(ResultsTeams[[#This Row],[Type]],1)="P",VALUE(ResultsTeams[[#This Row],[Score-B]]),""))</f>
        <v>0</v>
      </c>
      <c r="S510" s="265" t="str">
        <f ca="1">IF(AND(ResultsTeams[[#This Row],[Category]]&lt;&gt;"",ResultsTeams[[#This Row],[Team A]]&lt;&gt;""),COUNTIF(INDIRECT("TeamsList[Club Name]"),ResultsTeams[[#This Row],[Team A]]),"")</f>
        <v/>
      </c>
      <c r="T510" s="265" t="str">
        <f ca="1">IF(AND(ResultsTeams[[#This Row],[Category]]&lt;&gt;"",ResultsTeams[[#This Row],[Team B]]&lt;&gt;""),COUNTIF(INDIRECT("TeamsList[Club Name]"),ResultsTeams[[#This Row],[Team B]]),"")</f>
        <v/>
      </c>
      <c r="U5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0" s="265" t="str">
        <f>IF(ResultsTeams[[#This Row],[Score_OK]],IF(ResultsTeams[[#This Row],[StageCpy]]="Groups",ResultsTeams[[#This Row],[Category]]&amp;"-"&amp;IF(ResultsTeams[[#This Row],[Team B]]="","",IF(ResultsTeams[[#This Row],[Match-A]]=ResultsTeams[[#This Row],[Match-B]],ResultsTeams[[#This Row],[Team A]],"")),""),"")</f>
        <v/>
      </c>
      <c r="W510" s="265" t="str">
        <f>IF(ResultsTeams[[#This Row],[Score_OK]],IF(ResultsTeams[[#This Row],[StageCpy]]="Groups",ResultsTeams[[#This Row],[Category]]&amp;"-"&amp;IF(ResultsTeams[[#This Row],[Team B]]="","",IF(ResultsTeams[[#This Row],[Match-A]]=ResultsTeams[[#This Row],[Match-B]],ResultsTeams[[#This Row],[Team B]],"")),""),"")</f>
        <v/>
      </c>
      <c r="X5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0" s="264" t="str">
        <f>IF(ResultsTeams[[#This Row],[Category]]="","",VLOOKUP(ResultsTeams[[#This Row],[Stage]],$R$1:$T$8,MATCH(ResultsTeams[[#This Row],[Category]],$S$1:$T$1,0)+1,FALSE))</f>
        <v/>
      </c>
      <c r="AC5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0" s="264" t="str">
        <f>IF(ResultsTeams[[#This Row],[Type]]="G",ResultsTeams[[#This Row],[Stage]],AD509)</f>
        <v>Barrage</v>
      </c>
      <c r="AE510" s="395" t="str">
        <f>IF(ResultsTeams[[#This Row],[Type]]="G",INDEX(TeamsList[Club Name],MATCH(ResultsTeams[[#This Row],[Team A]],TeamsList[Team Name],0)),AE509)</f>
        <v>ASD SC Salernitana</v>
      </c>
      <c r="AF510" s="395" t="str">
        <f>IF(ResultsTeams[[#This Row],[Type]]="G",INDEX(TeamsList[Club Name],MATCH(ResultsTeams[[#This Row],[Team B]],TeamsList[Team Name],0)),AF509)</f>
        <v>Subbuteo Casale</v>
      </c>
      <c r="AG510" s="265"/>
    </row>
    <row r="511" spans="1:33" x14ac:dyDescent="0.2">
      <c r="A511" s="62"/>
      <c r="B511" s="280"/>
      <c r="C511" s="62"/>
      <c r="D511" s="62"/>
      <c r="E511" s="241" t="s">
        <v>12234</v>
      </c>
      <c r="F511" s="246" t="s">
        <v>9705</v>
      </c>
      <c r="G511" s="246" t="s">
        <v>10364</v>
      </c>
      <c r="H511" s="254">
        <v>2</v>
      </c>
      <c r="I511" s="254">
        <v>3</v>
      </c>
      <c r="J511" s="254"/>
      <c r="K511" s="363"/>
      <c r="L511" s="363"/>
      <c r="M511" s="247"/>
      <c r="N511" s="265" t="b">
        <f>NOT(ISERROR(ResultsTeams[[#This Row],[Goal-A]]+ResultsTeams[[#This Row],[Goal-B]]))</f>
        <v>1</v>
      </c>
      <c r="O511" s="265">
        <f>IF(ResultsTeams[[#This Row],[Type]]="G",SUM(O512:O515),IF(LEFT(ResultsTeams[[#This Row],[Type]],1)="P",IF(ResultsTeams[[#This Row],[Goal-A]]&gt;ResultsTeams[[#This Row],[Goal-B]],1,0),""))</f>
        <v>0</v>
      </c>
      <c r="P511" s="265">
        <f>IF(ResultsTeams[[#This Row],[Type]]="G",SUM(P512:P515),IF(LEFT(ResultsTeams[[#This Row],[Type]],1)="P",IF(ResultsTeams[[#This Row],[Goal-A]]&lt;ResultsTeams[[#This Row],[Goal-B]],1,0),""))</f>
        <v>1</v>
      </c>
      <c r="Q511" s="265">
        <f>IF(ResultsTeams[[#This Row],[Type]]="G",SUM(Q512:Q515),IF(LEFT(ResultsTeams[[#This Row],[Type]],1)="P",VALUE(ResultsTeams[[#This Row],[Score-A]]),""))</f>
        <v>2</v>
      </c>
      <c r="R511" s="265">
        <f>IF(ResultsTeams[[#This Row],[Type]]="G",SUM(R512:R515),IF(LEFT(ResultsTeams[[#This Row],[Type]],1)="P",VALUE(ResultsTeams[[#This Row],[Score-B]]),""))</f>
        <v>3</v>
      </c>
      <c r="S511" s="265" t="str">
        <f ca="1">IF(AND(ResultsTeams[[#This Row],[Category]]&lt;&gt;"",ResultsTeams[[#This Row],[Team A]]&lt;&gt;""),COUNTIF(INDIRECT("TeamsList[Club Name]"),ResultsTeams[[#This Row],[Team A]]),"")</f>
        <v/>
      </c>
      <c r="T511" s="265" t="str">
        <f ca="1">IF(AND(ResultsTeams[[#This Row],[Category]]&lt;&gt;"",ResultsTeams[[#This Row],[Team B]]&lt;&gt;""),COUNTIF(INDIRECT("TeamsList[Club Name]"),ResultsTeams[[#This Row],[Team B]]),"")</f>
        <v/>
      </c>
      <c r="U5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1" s="265" t="str">
        <f>IF(ResultsTeams[[#This Row],[Score_OK]],IF(ResultsTeams[[#This Row],[StageCpy]]="Groups",ResultsTeams[[#This Row],[Category]]&amp;"-"&amp;IF(ResultsTeams[[#This Row],[Team B]]="","",IF(ResultsTeams[[#This Row],[Match-A]]=ResultsTeams[[#This Row],[Match-B]],ResultsTeams[[#This Row],[Team A]],"")),""),"")</f>
        <v/>
      </c>
      <c r="W511" s="265" t="str">
        <f>IF(ResultsTeams[[#This Row],[Score_OK]],IF(ResultsTeams[[#This Row],[StageCpy]]="Groups",ResultsTeams[[#This Row],[Category]]&amp;"-"&amp;IF(ResultsTeams[[#This Row],[Team B]]="","",IF(ResultsTeams[[#This Row],[Match-A]]=ResultsTeams[[#This Row],[Match-B]],ResultsTeams[[#This Row],[Team B]],"")),""),"")</f>
        <v/>
      </c>
      <c r="X5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1" s="264" t="str">
        <f>IF(ResultsTeams[[#This Row],[Category]]="","",VLOOKUP(ResultsTeams[[#This Row],[Stage]],$R$1:$T$8,MATCH(ResultsTeams[[#This Row],[Category]],$S$1:$T$1,0)+1,FALSE))</f>
        <v/>
      </c>
      <c r="AC5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1" s="264" t="str">
        <f>IF(ResultsTeams[[#This Row],[Type]]="G",ResultsTeams[[#This Row],[Stage]],AD510)</f>
        <v>Barrage</v>
      </c>
      <c r="AE511" s="395" t="str">
        <f>IF(ResultsTeams[[#This Row],[Type]]="G",INDEX(TeamsList[Club Name],MATCH(ResultsTeams[[#This Row],[Team A]],TeamsList[Team Name],0)),AE510)</f>
        <v>ASD SC Salernitana</v>
      </c>
      <c r="AF511" s="395" t="str">
        <f>IF(ResultsTeams[[#This Row],[Type]]="G",INDEX(TeamsList[Club Name],MATCH(ResultsTeams[[#This Row],[Team B]],TeamsList[Team Name],0)),AF510)</f>
        <v>Subbuteo Casale</v>
      </c>
      <c r="AG511" s="265"/>
    </row>
    <row r="512" spans="1:33" x14ac:dyDescent="0.2">
      <c r="A512" s="62"/>
      <c r="B512" s="280"/>
      <c r="C512" s="62"/>
      <c r="D512" s="62"/>
      <c r="E512" s="241" t="s">
        <v>12237</v>
      </c>
      <c r="F512" s="246" t="s">
        <v>8922</v>
      </c>
      <c r="G512" s="246" t="s">
        <v>10272</v>
      </c>
      <c r="H512" s="254">
        <v>2</v>
      </c>
      <c r="I512" s="254">
        <v>0</v>
      </c>
      <c r="J512" s="254"/>
      <c r="K512" s="363"/>
      <c r="L512" s="363"/>
      <c r="M512" s="247"/>
      <c r="N512" s="265" t="b">
        <f>NOT(ISERROR(ResultsTeams[[#This Row],[Goal-A]]+ResultsTeams[[#This Row],[Goal-B]]))</f>
        <v>1</v>
      </c>
      <c r="O512" s="265">
        <f>IF(ResultsTeams[[#This Row],[Type]]="G",SUM(O513:O516),IF(LEFT(ResultsTeams[[#This Row],[Type]],1)="P",IF(ResultsTeams[[#This Row],[Goal-A]]&gt;ResultsTeams[[#This Row],[Goal-B]],1,0),""))</f>
        <v>1</v>
      </c>
      <c r="P512" s="265">
        <f>IF(ResultsTeams[[#This Row],[Type]]="G",SUM(P513:P516),IF(LEFT(ResultsTeams[[#This Row],[Type]],1)="P",IF(ResultsTeams[[#This Row],[Goal-A]]&lt;ResultsTeams[[#This Row],[Goal-B]],1,0),""))</f>
        <v>0</v>
      </c>
      <c r="Q512" s="265">
        <f>IF(ResultsTeams[[#This Row],[Type]]="G",SUM(Q513:Q516),IF(LEFT(ResultsTeams[[#This Row],[Type]],1)="P",VALUE(ResultsTeams[[#This Row],[Score-A]]),""))</f>
        <v>2</v>
      </c>
      <c r="R512" s="265">
        <f>IF(ResultsTeams[[#This Row],[Type]]="G",SUM(R513:R516),IF(LEFT(ResultsTeams[[#This Row],[Type]],1)="P",VALUE(ResultsTeams[[#This Row],[Score-B]]),""))</f>
        <v>0</v>
      </c>
      <c r="S512" s="265" t="str">
        <f ca="1">IF(AND(ResultsTeams[[#This Row],[Category]]&lt;&gt;"",ResultsTeams[[#This Row],[Team A]]&lt;&gt;""),COUNTIF(INDIRECT("TeamsList[Club Name]"),ResultsTeams[[#This Row],[Team A]]),"")</f>
        <v/>
      </c>
      <c r="T512" s="265" t="str">
        <f ca="1">IF(AND(ResultsTeams[[#This Row],[Category]]&lt;&gt;"",ResultsTeams[[#This Row],[Team B]]&lt;&gt;""),COUNTIF(INDIRECT("TeamsList[Club Name]"),ResultsTeams[[#This Row],[Team B]]),"")</f>
        <v/>
      </c>
      <c r="U5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2" s="265" t="str">
        <f>IF(ResultsTeams[[#This Row],[Score_OK]],IF(ResultsTeams[[#This Row],[StageCpy]]="Groups",ResultsTeams[[#This Row],[Category]]&amp;"-"&amp;IF(ResultsTeams[[#This Row],[Team B]]="","",IF(ResultsTeams[[#This Row],[Match-A]]=ResultsTeams[[#This Row],[Match-B]],ResultsTeams[[#This Row],[Team A]],"")),""),"")</f>
        <v/>
      </c>
      <c r="W512" s="265" t="str">
        <f>IF(ResultsTeams[[#This Row],[Score_OK]],IF(ResultsTeams[[#This Row],[StageCpy]]="Groups",ResultsTeams[[#This Row],[Category]]&amp;"-"&amp;IF(ResultsTeams[[#This Row],[Team B]]="","",IF(ResultsTeams[[#This Row],[Match-A]]=ResultsTeams[[#This Row],[Match-B]],ResultsTeams[[#This Row],[Team B]],"")),""),"")</f>
        <v/>
      </c>
      <c r="X5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2" s="264" t="str">
        <f>IF(ResultsTeams[[#This Row],[Category]]="","",VLOOKUP(ResultsTeams[[#This Row],[Stage]],$R$1:$T$8,MATCH(ResultsTeams[[#This Row],[Category]],$S$1:$T$1,0)+1,FALSE))</f>
        <v/>
      </c>
      <c r="AC5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2" s="264" t="str">
        <f>IF(ResultsTeams[[#This Row],[Type]]="G",ResultsTeams[[#This Row],[Stage]],AD511)</f>
        <v>Barrage</v>
      </c>
      <c r="AE512" s="395" t="str">
        <f>IF(ResultsTeams[[#This Row],[Type]]="G",INDEX(TeamsList[Club Name],MATCH(ResultsTeams[[#This Row],[Team A]],TeamsList[Team Name],0)),AE511)</f>
        <v>ASD SC Salernitana</v>
      </c>
      <c r="AF512" s="395" t="str">
        <f>IF(ResultsTeams[[#This Row],[Type]]="G",INDEX(TeamsList[Club Name],MATCH(ResultsTeams[[#This Row],[Team B]],TeamsList[Team Name],0)),AF511)</f>
        <v>Subbuteo Casale</v>
      </c>
      <c r="AG512" s="265"/>
    </row>
    <row r="513" spans="1:33" x14ac:dyDescent="0.2">
      <c r="A513" s="62"/>
      <c r="B513" s="280"/>
      <c r="C513" s="62"/>
      <c r="D513" s="62"/>
      <c r="E513" s="241" t="s">
        <v>12240</v>
      </c>
      <c r="F513" s="246" t="s">
        <v>8130</v>
      </c>
      <c r="G513" s="246" t="s">
        <v>9527</v>
      </c>
      <c r="H513" s="254">
        <v>2</v>
      </c>
      <c r="I513" s="254">
        <v>2</v>
      </c>
      <c r="J513" s="254"/>
      <c r="K513" s="363"/>
      <c r="L513" s="363"/>
      <c r="M513" s="247"/>
      <c r="N513" s="265" t="b">
        <f>NOT(ISERROR(ResultsTeams[[#This Row],[Goal-A]]+ResultsTeams[[#This Row],[Goal-B]]))</f>
        <v>1</v>
      </c>
      <c r="O513" s="265">
        <f>IF(ResultsTeams[[#This Row],[Type]]="G",SUM(O514:O517),IF(LEFT(ResultsTeams[[#This Row],[Type]],1)="P",IF(ResultsTeams[[#This Row],[Goal-A]]&gt;ResultsTeams[[#This Row],[Goal-B]],1,0),""))</f>
        <v>0</v>
      </c>
      <c r="P513" s="265">
        <f>IF(ResultsTeams[[#This Row],[Type]]="G",SUM(P514:P517),IF(LEFT(ResultsTeams[[#This Row],[Type]],1)="P",IF(ResultsTeams[[#This Row],[Goal-A]]&lt;ResultsTeams[[#This Row],[Goal-B]],1,0),""))</f>
        <v>0</v>
      </c>
      <c r="Q513" s="265">
        <f>IF(ResultsTeams[[#This Row],[Type]]="G",SUM(Q514:Q517),IF(LEFT(ResultsTeams[[#This Row],[Type]],1)="P",VALUE(ResultsTeams[[#This Row],[Score-A]]),""))</f>
        <v>2</v>
      </c>
      <c r="R513" s="265">
        <f>IF(ResultsTeams[[#This Row],[Type]]="G",SUM(R514:R517),IF(LEFT(ResultsTeams[[#This Row],[Type]],1)="P",VALUE(ResultsTeams[[#This Row],[Score-B]]),""))</f>
        <v>2</v>
      </c>
      <c r="S513" s="265" t="str">
        <f ca="1">IF(AND(ResultsTeams[[#This Row],[Category]]&lt;&gt;"",ResultsTeams[[#This Row],[Team A]]&lt;&gt;""),COUNTIF(INDIRECT("TeamsList[Club Name]"),ResultsTeams[[#This Row],[Team A]]),"")</f>
        <v/>
      </c>
      <c r="T513" s="265" t="str">
        <f ca="1">IF(AND(ResultsTeams[[#This Row],[Category]]&lt;&gt;"",ResultsTeams[[#This Row],[Team B]]&lt;&gt;""),COUNTIF(INDIRECT("TeamsList[Club Name]"),ResultsTeams[[#This Row],[Team B]]),"")</f>
        <v/>
      </c>
      <c r="U5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3" s="265" t="str">
        <f>IF(ResultsTeams[[#This Row],[Score_OK]],IF(ResultsTeams[[#This Row],[StageCpy]]="Groups",ResultsTeams[[#This Row],[Category]]&amp;"-"&amp;IF(ResultsTeams[[#This Row],[Team B]]="","",IF(ResultsTeams[[#This Row],[Match-A]]=ResultsTeams[[#This Row],[Match-B]],ResultsTeams[[#This Row],[Team A]],"")),""),"")</f>
        <v/>
      </c>
      <c r="W513" s="265" t="str">
        <f>IF(ResultsTeams[[#This Row],[Score_OK]],IF(ResultsTeams[[#This Row],[StageCpy]]="Groups",ResultsTeams[[#This Row],[Category]]&amp;"-"&amp;IF(ResultsTeams[[#This Row],[Team B]]="","",IF(ResultsTeams[[#This Row],[Match-A]]=ResultsTeams[[#This Row],[Match-B]],ResultsTeams[[#This Row],[Team B]],"")),""),"")</f>
        <v/>
      </c>
      <c r="X5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3" s="264" t="str">
        <f>IF(ResultsTeams[[#This Row],[Category]]="","",VLOOKUP(ResultsTeams[[#This Row],[Stage]],$R$1:$T$8,MATCH(ResultsTeams[[#This Row],[Category]],$S$1:$T$1,0)+1,FALSE))</f>
        <v/>
      </c>
      <c r="AC5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3" s="264" t="str">
        <f>IF(ResultsTeams[[#This Row],[Type]]="G",ResultsTeams[[#This Row],[Stage]],AD512)</f>
        <v>Barrage</v>
      </c>
      <c r="AE513" s="395" t="str">
        <f>IF(ResultsTeams[[#This Row],[Type]]="G",INDEX(TeamsList[Club Name],MATCH(ResultsTeams[[#This Row],[Team A]],TeamsList[Team Name],0)),AE512)</f>
        <v>ASD SC Salernitana</v>
      </c>
      <c r="AF513" s="395" t="str">
        <f>IF(ResultsTeams[[#This Row],[Type]]="G",INDEX(TeamsList[Club Name],MATCH(ResultsTeams[[#This Row],[Team B]],TeamsList[Team Name],0)),AF512)</f>
        <v>Subbuteo Casale</v>
      </c>
      <c r="AG513" s="265"/>
    </row>
    <row r="514" spans="1:33" x14ac:dyDescent="0.2">
      <c r="A514" s="62"/>
      <c r="B514" s="62"/>
      <c r="C514" s="62"/>
      <c r="D514" s="62"/>
      <c r="E514" s="241" t="s">
        <v>12243</v>
      </c>
      <c r="F514" s="247"/>
      <c r="G514" s="247"/>
      <c r="H514" s="254"/>
      <c r="I514" s="254"/>
      <c r="J514" s="260"/>
      <c r="K514" s="364"/>
      <c r="L514" s="364"/>
      <c r="M514" s="247"/>
      <c r="N514" s="265" t="b">
        <f>NOT(ISERROR(ResultsTeams[[#This Row],[Goal-A]]+ResultsTeams[[#This Row],[Goal-B]]))</f>
        <v>0</v>
      </c>
      <c r="O514" s="265" t="str">
        <f>IF(ResultsTeams[[#This Row],[Type]]="G",SUM(O515:O518),IF(LEFT(ResultsTeams[[#This Row],[Type]],1)="P",IF(ResultsTeams[[#This Row],[Goal-A]]&gt;ResultsTeams[[#This Row],[Goal-B]],1,0),""))</f>
        <v/>
      </c>
      <c r="P514" s="265" t="str">
        <f>IF(ResultsTeams[[#This Row],[Type]]="G",SUM(P515:P518),IF(LEFT(ResultsTeams[[#This Row],[Type]],1)="P",IF(ResultsTeams[[#This Row],[Goal-A]]&lt;ResultsTeams[[#This Row],[Goal-B]],1,0),""))</f>
        <v/>
      </c>
      <c r="Q514" s="265" t="str">
        <f>IF(ResultsTeams[[#This Row],[Type]]="G",SUM(Q515:Q518),IF(LEFT(ResultsTeams[[#This Row],[Type]],1)="P",VALUE(ResultsTeams[[#This Row],[Score-A]]),""))</f>
        <v/>
      </c>
      <c r="R514" s="265" t="str">
        <f>IF(ResultsTeams[[#This Row],[Type]]="G",SUM(R515:R518),IF(LEFT(ResultsTeams[[#This Row],[Type]],1)="P",VALUE(ResultsTeams[[#This Row],[Score-B]]),""))</f>
        <v/>
      </c>
      <c r="S514" s="265" t="str">
        <f ca="1">IF(AND(ResultsTeams[[#This Row],[Category]]&lt;&gt;"",ResultsTeams[[#This Row],[Team A]]&lt;&gt;""),COUNTIF(INDIRECT("TeamsList[Club Name]"),ResultsTeams[[#This Row],[Team A]]),"")</f>
        <v/>
      </c>
      <c r="T514" s="265" t="str">
        <f ca="1">IF(AND(ResultsTeams[[#This Row],[Category]]&lt;&gt;"",ResultsTeams[[#This Row],[Team B]]&lt;&gt;""),COUNTIF(INDIRECT("TeamsList[Club Name]"),ResultsTeams[[#This Row],[Team B]]),"")</f>
        <v/>
      </c>
      <c r="U5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4" s="265" t="str">
        <f>IF(ResultsTeams[[#This Row],[Score_OK]],IF(ResultsTeams[[#This Row],[StageCpy]]="Groups",ResultsTeams[[#This Row],[Category]]&amp;"-"&amp;IF(ResultsTeams[[#This Row],[Team B]]="","",IF(ResultsTeams[[#This Row],[Match-A]]=ResultsTeams[[#This Row],[Match-B]],ResultsTeams[[#This Row],[Team A]],"")),""),"")</f>
        <v/>
      </c>
      <c r="W514" s="265" t="str">
        <f>IF(ResultsTeams[[#This Row],[Score_OK]],IF(ResultsTeams[[#This Row],[StageCpy]]="Groups",ResultsTeams[[#This Row],[Category]]&amp;"-"&amp;IF(ResultsTeams[[#This Row],[Team B]]="","",IF(ResultsTeams[[#This Row],[Match-A]]=ResultsTeams[[#This Row],[Match-B]],ResultsTeams[[#This Row],[Team B]],"")),""),"")</f>
        <v/>
      </c>
      <c r="X5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4" s="264" t="str">
        <f>IF(ResultsTeams[[#This Row],[Category]]="","",VLOOKUP(ResultsTeams[[#This Row],[Stage]],$R$1:$T$8,MATCH(ResultsTeams[[#This Row],[Category]],$S$1:$T$1,0)+1,FALSE))</f>
        <v/>
      </c>
      <c r="AC5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4" s="264" t="str">
        <f>IF(ResultsTeams[[#This Row],[Type]]="G",ResultsTeams[[#This Row],[Stage]],AD513)</f>
        <v>Barrage</v>
      </c>
      <c r="AE514" s="395" t="str">
        <f>IF(ResultsTeams[[#This Row],[Type]]="G",INDEX(TeamsList[Club Name],MATCH(ResultsTeams[[#This Row],[Team A]],TeamsList[Team Name],0)),AE513)</f>
        <v>ASD SC Salernitana</v>
      </c>
      <c r="AF514" s="395" t="str">
        <f>IF(ResultsTeams[[#This Row],[Type]]="G",INDEX(TeamsList[Club Name],MATCH(ResultsTeams[[#This Row],[Team B]],TeamsList[Team Name],0)),AF513)</f>
        <v>Subbuteo Casale</v>
      </c>
      <c r="AG514" s="265"/>
    </row>
    <row r="515" spans="1:33" ht="12" thickBot="1" x14ac:dyDescent="0.25">
      <c r="A515" s="83"/>
      <c r="B515" s="83"/>
      <c r="C515" s="83"/>
      <c r="D515" s="83"/>
      <c r="E515" s="268" t="s">
        <v>12244</v>
      </c>
      <c r="F515" s="262"/>
      <c r="G515" s="262"/>
      <c r="H515" s="324"/>
      <c r="I515" s="324"/>
      <c r="J515" s="263"/>
      <c r="K515" s="365"/>
      <c r="L515" s="365"/>
      <c r="M515" s="262"/>
      <c r="N515" s="265" t="b">
        <f>NOT(ISERROR(ResultsTeams[[#This Row],[Goal-A]]+ResultsTeams[[#This Row],[Goal-B]]))</f>
        <v>0</v>
      </c>
      <c r="O515" s="265" t="str">
        <f>IF(ResultsTeams[[#This Row],[Type]]="G",SUM(O516:O519),IF(LEFT(ResultsTeams[[#This Row],[Type]],1)="P",IF(ResultsTeams[[#This Row],[Goal-A]]&gt;ResultsTeams[[#This Row],[Goal-B]],1,0),""))</f>
        <v/>
      </c>
      <c r="P515" s="265" t="str">
        <f>IF(ResultsTeams[[#This Row],[Type]]="G",SUM(P516:P519),IF(LEFT(ResultsTeams[[#This Row],[Type]],1)="P",IF(ResultsTeams[[#This Row],[Goal-A]]&lt;ResultsTeams[[#This Row],[Goal-B]],1,0),""))</f>
        <v/>
      </c>
      <c r="Q515" s="265" t="str">
        <f>IF(ResultsTeams[[#This Row],[Type]]="G",SUM(Q516:Q519),IF(LEFT(ResultsTeams[[#This Row],[Type]],1)="P",VALUE(ResultsTeams[[#This Row],[Score-A]]),""))</f>
        <v/>
      </c>
      <c r="R515" s="265" t="str">
        <f>IF(ResultsTeams[[#This Row],[Type]]="G",SUM(R516:R519),IF(LEFT(ResultsTeams[[#This Row],[Type]],1)="P",VALUE(ResultsTeams[[#This Row],[Score-B]]),""))</f>
        <v/>
      </c>
      <c r="S515" s="265" t="str">
        <f ca="1">IF(AND(ResultsTeams[[#This Row],[Category]]&lt;&gt;"",ResultsTeams[[#This Row],[Team A]]&lt;&gt;""),COUNTIF(INDIRECT("TeamsList[Club Name]"),ResultsTeams[[#This Row],[Team A]]),"")</f>
        <v/>
      </c>
      <c r="T515" s="265" t="str">
        <f ca="1">IF(AND(ResultsTeams[[#This Row],[Category]]&lt;&gt;"",ResultsTeams[[#This Row],[Team B]]&lt;&gt;""),COUNTIF(INDIRECT("TeamsList[Club Name]"),ResultsTeams[[#This Row],[Team B]]),"")</f>
        <v/>
      </c>
      <c r="U5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5" s="265" t="str">
        <f>IF(ResultsTeams[[#This Row],[Score_OK]],IF(ResultsTeams[[#This Row],[StageCpy]]="Groups",ResultsTeams[[#This Row],[Category]]&amp;"-"&amp;IF(ResultsTeams[[#This Row],[Team B]]="","",IF(ResultsTeams[[#This Row],[Match-A]]=ResultsTeams[[#This Row],[Match-B]],ResultsTeams[[#This Row],[Team A]],"")),""),"")</f>
        <v/>
      </c>
      <c r="W515" s="265" t="str">
        <f>IF(ResultsTeams[[#This Row],[Score_OK]],IF(ResultsTeams[[#This Row],[StageCpy]]="Groups",ResultsTeams[[#This Row],[Category]]&amp;"-"&amp;IF(ResultsTeams[[#This Row],[Team B]]="","",IF(ResultsTeams[[#This Row],[Match-A]]=ResultsTeams[[#This Row],[Match-B]],ResultsTeams[[#This Row],[Team B]],"")),""),"")</f>
        <v/>
      </c>
      <c r="X5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5" s="264" t="str">
        <f>IF(ResultsTeams[[#This Row],[Category]]="","",VLOOKUP(ResultsTeams[[#This Row],[Stage]],$R$1:$T$8,MATCH(ResultsTeams[[#This Row],[Category]],$S$1:$T$1,0)+1,FALSE))</f>
        <v/>
      </c>
      <c r="AC5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5" s="264" t="str">
        <f>IF(ResultsTeams[[#This Row],[Type]]="G",ResultsTeams[[#This Row],[Stage]],AD514)</f>
        <v>Barrage</v>
      </c>
      <c r="AE515" s="395" t="str">
        <f>IF(ResultsTeams[[#This Row],[Type]]="G",INDEX(TeamsList[Club Name],MATCH(ResultsTeams[[#This Row],[Team A]],TeamsList[Team Name],0)),AE514)</f>
        <v>ASD SC Salernitana</v>
      </c>
      <c r="AF515" s="395" t="str">
        <f>IF(ResultsTeams[[#This Row],[Type]]="G",INDEX(TeamsList[Club Name],MATCH(ResultsTeams[[#This Row],[Team B]],TeamsList[Team Name],0)),AF514)</f>
        <v>Subbuteo Casale</v>
      </c>
      <c r="AG515" s="265"/>
    </row>
    <row r="516" spans="1:33" ht="12" thickBot="1" x14ac:dyDescent="0.25">
      <c r="A516" s="261" t="s">
        <v>12693</v>
      </c>
      <c r="B516" s="270" t="s">
        <v>12215</v>
      </c>
      <c r="C516" s="270"/>
      <c r="D516" s="270"/>
      <c r="E516" s="272" t="s">
        <v>12228</v>
      </c>
      <c r="F516" s="273" t="s">
        <v>57</v>
      </c>
      <c r="G516" s="273" t="s">
        <v>14597</v>
      </c>
      <c r="H516" s="275">
        <v>4</v>
      </c>
      <c r="I516" s="275">
        <v>0</v>
      </c>
      <c r="J516" s="275"/>
      <c r="K516" s="366"/>
      <c r="L516" s="366"/>
      <c r="M516" s="274"/>
      <c r="N516" s="265" t="b">
        <f>NOT(ISERROR(ResultsTeams[[#This Row],[Goal-A]]+ResultsTeams[[#This Row],[Goal-B]]))</f>
        <v>1</v>
      </c>
      <c r="O516" s="265">
        <f>IF(ResultsTeams[[#This Row],[Type]]="G",SUM(O517:O520),IF(LEFT(ResultsTeams[[#This Row],[Type]],1)="P",IF(ResultsTeams[[#This Row],[Goal-A]]&gt;ResultsTeams[[#This Row],[Goal-B]],1,0),""))</f>
        <v>4</v>
      </c>
      <c r="P516" s="265">
        <f>IF(ResultsTeams[[#This Row],[Type]]="G",SUM(P517:P520),IF(LEFT(ResultsTeams[[#This Row],[Type]],1)="P",IF(ResultsTeams[[#This Row],[Goal-A]]&lt;ResultsTeams[[#This Row],[Goal-B]],1,0),""))</f>
        <v>0</v>
      </c>
      <c r="Q516" s="265">
        <f>IF(ResultsTeams[[#This Row],[Type]]="G",SUM(Q517:Q520),IF(LEFT(ResultsTeams[[#This Row],[Type]],1)="P",VALUE(ResultsTeams[[#This Row],[Score-A]]),""))</f>
        <v>16</v>
      </c>
      <c r="R516" s="265">
        <f>IF(ResultsTeams[[#This Row],[Type]]="G",SUM(R517:R520),IF(LEFT(ResultsTeams[[#This Row],[Type]],1)="P",VALUE(ResultsTeams[[#This Row],[Score-B]]),""))</f>
        <v>4</v>
      </c>
      <c r="S516" s="265">
        <f ca="1">IF(AND(ResultsTeams[[#This Row],[Category]]&lt;&gt;"",ResultsTeams[[#This Row],[Team A]]&lt;&gt;""),COUNTIF(INDIRECT("TeamsList[Club Name]"),ResultsTeams[[#This Row],[Team A]]),"")</f>
        <v>1</v>
      </c>
      <c r="T516" s="265">
        <f ca="1">IF(AND(ResultsTeams[[#This Row],[Category]]&lt;&gt;"",ResultsTeams[[#This Row],[Team B]]&lt;&gt;""),COUNTIF(INDIRECT("TeamsList[Club Name]"),ResultsTeams[[#This Row],[Team B]]),"")</f>
        <v>0</v>
      </c>
      <c r="U5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6" s="265" t="str">
        <f>IF(ResultsTeams[[#This Row],[Score_OK]],IF(ResultsTeams[[#This Row],[StageCpy]]="Groups",ResultsTeams[[#This Row],[Category]]&amp;"-"&amp;IF(ResultsTeams[[#This Row],[Team B]]="","",IF(ResultsTeams[[#This Row],[Match-A]]=ResultsTeams[[#This Row],[Match-B]],ResultsTeams[[#This Row],[Team A]],"")),""),"")</f>
        <v/>
      </c>
      <c r="W516" s="265" t="str">
        <f>IF(ResultsTeams[[#This Row],[Score_OK]],IF(ResultsTeams[[#This Row],[StageCpy]]="Groups",ResultsTeams[[#This Row],[Category]]&amp;"-"&amp;IF(ResultsTeams[[#This Row],[Team B]]="","",IF(ResultsTeams[[#This Row],[Match-A]]=ResultsTeams[[#This Row],[Match-B]],ResultsTeams[[#This Row],[Team B]],"")),""),"")</f>
        <v/>
      </c>
      <c r="X5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TEAM-Master Sanremo 2</v>
      </c>
      <c r="Z5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A5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B516" s="264" t="str">
        <f>IF(ResultsTeams[[#This Row],[Category]]="","",VLOOKUP(ResultsTeams[[#This Row],[Stage]],$R$1:$T$8,MATCH(ResultsTeams[[#This Row],[Category]],$S$1:$T$1,0)+1,FALSE))</f>
        <v>L32</v>
      </c>
      <c r="AC5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6" s="264" t="str">
        <f>IF(ResultsTeams[[#This Row],[Type]]="G",ResultsTeams[[#This Row],[Stage]],AD515)</f>
        <v>Barrage</v>
      </c>
      <c r="AE516" s="395" t="str">
        <f>IF(ResultsTeams[[#This Row],[Type]]="G",INDEX(TeamsList[Club Name],MATCH(ResultsTeams[[#This Row],[Team A]],TeamsList[Team Name],0)),AE515)</f>
        <v>SC Charleroi</v>
      </c>
      <c r="AF516" s="395" t="str">
        <f>IF(ResultsTeams[[#This Row],[Type]]="G",INDEX(TeamsList[Club Name],MATCH(ResultsTeams[[#This Row],[Team B]],TeamsList[Team Name],0)),AF515)</f>
        <v>Master Sanremo</v>
      </c>
      <c r="AG516" s="265"/>
    </row>
    <row r="517" spans="1:33" x14ac:dyDescent="0.2">
      <c r="A517" s="60"/>
      <c r="B517" s="280"/>
      <c r="C517" s="60"/>
      <c r="D517" s="60"/>
      <c r="E517" s="240" t="s">
        <v>12231</v>
      </c>
      <c r="F517" s="244" t="s">
        <v>8094</v>
      </c>
      <c r="G517" s="244" t="s">
        <v>10359</v>
      </c>
      <c r="H517" s="253">
        <v>4</v>
      </c>
      <c r="I517" s="253">
        <v>0</v>
      </c>
      <c r="J517" s="253"/>
      <c r="K517" s="362"/>
      <c r="L517" s="362"/>
      <c r="M517" s="245"/>
      <c r="N517" s="265" t="b">
        <f>NOT(ISERROR(ResultsTeams[[#This Row],[Goal-A]]+ResultsTeams[[#This Row],[Goal-B]]))</f>
        <v>1</v>
      </c>
      <c r="O517" s="265">
        <f>IF(ResultsTeams[[#This Row],[Type]]="G",SUM(O518:O521),IF(LEFT(ResultsTeams[[#This Row],[Type]],1)="P",IF(ResultsTeams[[#This Row],[Goal-A]]&gt;ResultsTeams[[#This Row],[Goal-B]],1,0),""))</f>
        <v>1</v>
      </c>
      <c r="P517" s="265">
        <f>IF(ResultsTeams[[#This Row],[Type]]="G",SUM(P518:P521),IF(LEFT(ResultsTeams[[#This Row],[Type]],1)="P",IF(ResultsTeams[[#This Row],[Goal-A]]&lt;ResultsTeams[[#This Row],[Goal-B]],1,0),""))</f>
        <v>0</v>
      </c>
      <c r="Q517" s="265">
        <f>IF(ResultsTeams[[#This Row],[Type]]="G",SUM(Q518:Q521),IF(LEFT(ResultsTeams[[#This Row],[Type]],1)="P",VALUE(ResultsTeams[[#This Row],[Score-A]]),""))</f>
        <v>4</v>
      </c>
      <c r="R517" s="265">
        <f>IF(ResultsTeams[[#This Row],[Type]]="G",SUM(R518:R521),IF(LEFT(ResultsTeams[[#This Row],[Type]],1)="P",VALUE(ResultsTeams[[#This Row],[Score-B]]),""))</f>
        <v>0</v>
      </c>
      <c r="S517" s="265" t="str">
        <f ca="1">IF(AND(ResultsTeams[[#This Row],[Category]]&lt;&gt;"",ResultsTeams[[#This Row],[Team A]]&lt;&gt;""),COUNTIF(INDIRECT("TeamsList[Club Name]"),ResultsTeams[[#This Row],[Team A]]),"")</f>
        <v/>
      </c>
      <c r="T517" s="265" t="str">
        <f ca="1">IF(AND(ResultsTeams[[#This Row],[Category]]&lt;&gt;"",ResultsTeams[[#This Row],[Team B]]&lt;&gt;""),COUNTIF(INDIRECT("TeamsList[Club Name]"),ResultsTeams[[#This Row],[Team B]]),"")</f>
        <v/>
      </c>
      <c r="U5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7" s="265" t="str">
        <f>IF(ResultsTeams[[#This Row],[Score_OK]],IF(ResultsTeams[[#This Row],[StageCpy]]="Groups",ResultsTeams[[#This Row],[Category]]&amp;"-"&amp;IF(ResultsTeams[[#This Row],[Team B]]="","",IF(ResultsTeams[[#This Row],[Match-A]]=ResultsTeams[[#This Row],[Match-B]],ResultsTeams[[#This Row],[Team A]],"")),""),"")</f>
        <v/>
      </c>
      <c r="W517" s="265" t="str">
        <f>IF(ResultsTeams[[#This Row],[Score_OK]],IF(ResultsTeams[[#This Row],[StageCpy]]="Groups",ResultsTeams[[#This Row],[Category]]&amp;"-"&amp;IF(ResultsTeams[[#This Row],[Team B]]="","",IF(ResultsTeams[[#This Row],[Match-A]]=ResultsTeams[[#This Row],[Match-B]],ResultsTeams[[#This Row],[Team B]],"")),""),"")</f>
        <v/>
      </c>
      <c r="X5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7" s="264" t="str">
        <f>IF(ResultsTeams[[#This Row],[Category]]="","",VLOOKUP(ResultsTeams[[#This Row],[Stage]],$R$1:$T$8,MATCH(ResultsTeams[[#This Row],[Category]],$S$1:$T$1,0)+1,FALSE))</f>
        <v/>
      </c>
      <c r="AC5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7" s="264" t="str">
        <f>IF(ResultsTeams[[#This Row],[Type]]="G",ResultsTeams[[#This Row],[Stage]],AD516)</f>
        <v>Barrage</v>
      </c>
      <c r="AE517" s="395" t="str">
        <f>IF(ResultsTeams[[#This Row],[Type]]="G",INDEX(TeamsList[Club Name],MATCH(ResultsTeams[[#This Row],[Team A]],TeamsList[Team Name],0)),AE516)</f>
        <v>SC Charleroi</v>
      </c>
      <c r="AF517" s="395" t="str">
        <f>IF(ResultsTeams[[#This Row],[Type]]="G",INDEX(TeamsList[Club Name],MATCH(ResultsTeams[[#This Row],[Team B]],TeamsList[Team Name],0)),AF516)</f>
        <v>Master Sanremo</v>
      </c>
      <c r="AG517" s="265"/>
    </row>
    <row r="518" spans="1:33" x14ac:dyDescent="0.2">
      <c r="A518" s="62"/>
      <c r="B518" s="280"/>
      <c r="C518" s="62"/>
      <c r="D518" s="62"/>
      <c r="E518" s="241" t="s">
        <v>12234</v>
      </c>
      <c r="F518" s="246" t="s">
        <v>8082</v>
      </c>
      <c r="G518" s="246" t="s">
        <v>10369</v>
      </c>
      <c r="H518" s="254">
        <v>4</v>
      </c>
      <c r="I518" s="254">
        <v>2</v>
      </c>
      <c r="J518" s="254"/>
      <c r="K518" s="363"/>
      <c r="L518" s="363"/>
      <c r="M518" s="247"/>
      <c r="N518" s="265" t="b">
        <f>NOT(ISERROR(ResultsTeams[[#This Row],[Goal-A]]+ResultsTeams[[#This Row],[Goal-B]]))</f>
        <v>1</v>
      </c>
      <c r="O518" s="265">
        <f>IF(ResultsTeams[[#This Row],[Type]]="G",SUM(O519:O522),IF(LEFT(ResultsTeams[[#This Row],[Type]],1)="P",IF(ResultsTeams[[#This Row],[Goal-A]]&gt;ResultsTeams[[#This Row],[Goal-B]],1,0),""))</f>
        <v>1</v>
      </c>
      <c r="P518" s="265">
        <f>IF(ResultsTeams[[#This Row],[Type]]="G",SUM(P519:P522),IF(LEFT(ResultsTeams[[#This Row],[Type]],1)="P",IF(ResultsTeams[[#This Row],[Goal-A]]&lt;ResultsTeams[[#This Row],[Goal-B]],1,0),""))</f>
        <v>0</v>
      </c>
      <c r="Q518" s="265">
        <f>IF(ResultsTeams[[#This Row],[Type]]="G",SUM(Q519:Q522),IF(LEFT(ResultsTeams[[#This Row],[Type]],1)="P",VALUE(ResultsTeams[[#This Row],[Score-A]]),""))</f>
        <v>4</v>
      </c>
      <c r="R518" s="265">
        <f>IF(ResultsTeams[[#This Row],[Type]]="G",SUM(R519:R522),IF(LEFT(ResultsTeams[[#This Row],[Type]],1)="P",VALUE(ResultsTeams[[#This Row],[Score-B]]),""))</f>
        <v>2</v>
      </c>
      <c r="S518" s="265" t="str">
        <f ca="1">IF(AND(ResultsTeams[[#This Row],[Category]]&lt;&gt;"",ResultsTeams[[#This Row],[Team A]]&lt;&gt;""),COUNTIF(INDIRECT("TeamsList[Club Name]"),ResultsTeams[[#This Row],[Team A]]),"")</f>
        <v/>
      </c>
      <c r="T518" s="265" t="str">
        <f ca="1">IF(AND(ResultsTeams[[#This Row],[Category]]&lt;&gt;"",ResultsTeams[[#This Row],[Team B]]&lt;&gt;""),COUNTIF(INDIRECT("TeamsList[Club Name]"),ResultsTeams[[#This Row],[Team B]]),"")</f>
        <v/>
      </c>
      <c r="U5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8" s="265" t="str">
        <f>IF(ResultsTeams[[#This Row],[Score_OK]],IF(ResultsTeams[[#This Row],[StageCpy]]="Groups",ResultsTeams[[#This Row],[Category]]&amp;"-"&amp;IF(ResultsTeams[[#This Row],[Team B]]="","",IF(ResultsTeams[[#This Row],[Match-A]]=ResultsTeams[[#This Row],[Match-B]],ResultsTeams[[#This Row],[Team A]],"")),""),"")</f>
        <v/>
      </c>
      <c r="W518" s="265" t="str">
        <f>IF(ResultsTeams[[#This Row],[Score_OK]],IF(ResultsTeams[[#This Row],[StageCpy]]="Groups",ResultsTeams[[#This Row],[Category]]&amp;"-"&amp;IF(ResultsTeams[[#This Row],[Team B]]="","",IF(ResultsTeams[[#This Row],[Match-A]]=ResultsTeams[[#This Row],[Match-B]],ResultsTeams[[#This Row],[Team B]],"")),""),"")</f>
        <v/>
      </c>
      <c r="X5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8" s="264" t="str">
        <f>IF(ResultsTeams[[#This Row],[Category]]="","",VLOOKUP(ResultsTeams[[#This Row],[Stage]],$R$1:$T$8,MATCH(ResultsTeams[[#This Row],[Category]],$S$1:$T$1,0)+1,FALSE))</f>
        <v/>
      </c>
      <c r="AC5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8" s="264" t="str">
        <f>IF(ResultsTeams[[#This Row],[Type]]="G",ResultsTeams[[#This Row],[Stage]],AD517)</f>
        <v>Barrage</v>
      </c>
      <c r="AE518" s="395" t="str">
        <f>IF(ResultsTeams[[#This Row],[Type]]="G",INDEX(TeamsList[Club Name],MATCH(ResultsTeams[[#This Row],[Team A]],TeamsList[Team Name],0)),AE517)</f>
        <v>SC Charleroi</v>
      </c>
      <c r="AF518" s="395" t="str">
        <f>IF(ResultsTeams[[#This Row],[Type]]="G",INDEX(TeamsList[Club Name],MATCH(ResultsTeams[[#This Row],[Team B]],TeamsList[Team Name],0)),AF517)</f>
        <v>Master Sanremo</v>
      </c>
      <c r="AG518" s="265"/>
    </row>
    <row r="519" spans="1:33" x14ac:dyDescent="0.2">
      <c r="A519" s="62"/>
      <c r="B519" s="280"/>
      <c r="C519" s="62"/>
      <c r="D519" s="62"/>
      <c r="E519" s="241" t="s">
        <v>12237</v>
      </c>
      <c r="F519" s="246" t="s">
        <v>8080</v>
      </c>
      <c r="G519" s="246" t="s">
        <v>11270</v>
      </c>
      <c r="H519" s="254">
        <v>4</v>
      </c>
      <c r="I519" s="254">
        <v>0</v>
      </c>
      <c r="J519" s="254"/>
      <c r="K519" s="363"/>
      <c r="L519" s="363"/>
      <c r="M519" s="247"/>
      <c r="N519" s="265" t="b">
        <f>NOT(ISERROR(ResultsTeams[[#This Row],[Goal-A]]+ResultsTeams[[#This Row],[Goal-B]]))</f>
        <v>1</v>
      </c>
      <c r="O519" s="265">
        <f>IF(ResultsTeams[[#This Row],[Type]]="G",SUM(O520:O523),IF(LEFT(ResultsTeams[[#This Row],[Type]],1)="P",IF(ResultsTeams[[#This Row],[Goal-A]]&gt;ResultsTeams[[#This Row],[Goal-B]],1,0),""))</f>
        <v>1</v>
      </c>
      <c r="P519" s="265">
        <f>IF(ResultsTeams[[#This Row],[Type]]="G",SUM(P520:P523),IF(LEFT(ResultsTeams[[#This Row],[Type]],1)="P",IF(ResultsTeams[[#This Row],[Goal-A]]&lt;ResultsTeams[[#This Row],[Goal-B]],1,0),""))</f>
        <v>0</v>
      </c>
      <c r="Q519" s="265">
        <f>IF(ResultsTeams[[#This Row],[Type]]="G",SUM(Q520:Q523),IF(LEFT(ResultsTeams[[#This Row],[Type]],1)="P",VALUE(ResultsTeams[[#This Row],[Score-A]]),""))</f>
        <v>4</v>
      </c>
      <c r="R519" s="265">
        <f>IF(ResultsTeams[[#This Row],[Type]]="G",SUM(R520:R523),IF(LEFT(ResultsTeams[[#This Row],[Type]],1)="P",VALUE(ResultsTeams[[#This Row],[Score-B]]),""))</f>
        <v>0</v>
      </c>
      <c r="S519" s="265" t="str">
        <f ca="1">IF(AND(ResultsTeams[[#This Row],[Category]]&lt;&gt;"",ResultsTeams[[#This Row],[Team A]]&lt;&gt;""),COUNTIF(INDIRECT("TeamsList[Club Name]"),ResultsTeams[[#This Row],[Team A]]),"")</f>
        <v/>
      </c>
      <c r="T519" s="265" t="str">
        <f ca="1">IF(AND(ResultsTeams[[#This Row],[Category]]&lt;&gt;"",ResultsTeams[[#This Row],[Team B]]&lt;&gt;""),COUNTIF(INDIRECT("TeamsList[Club Name]"),ResultsTeams[[#This Row],[Team B]]),"")</f>
        <v/>
      </c>
      <c r="U5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9" s="265" t="str">
        <f>IF(ResultsTeams[[#This Row],[Score_OK]],IF(ResultsTeams[[#This Row],[StageCpy]]="Groups",ResultsTeams[[#This Row],[Category]]&amp;"-"&amp;IF(ResultsTeams[[#This Row],[Team B]]="","",IF(ResultsTeams[[#This Row],[Match-A]]=ResultsTeams[[#This Row],[Match-B]],ResultsTeams[[#This Row],[Team A]],"")),""),"")</f>
        <v/>
      </c>
      <c r="W519" s="265" t="str">
        <f>IF(ResultsTeams[[#This Row],[Score_OK]],IF(ResultsTeams[[#This Row],[StageCpy]]="Groups",ResultsTeams[[#This Row],[Category]]&amp;"-"&amp;IF(ResultsTeams[[#This Row],[Team B]]="","",IF(ResultsTeams[[#This Row],[Match-A]]=ResultsTeams[[#This Row],[Match-B]],ResultsTeams[[#This Row],[Team B]],"")),""),"")</f>
        <v/>
      </c>
      <c r="X5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9" s="264" t="str">
        <f>IF(ResultsTeams[[#This Row],[Category]]="","",VLOOKUP(ResultsTeams[[#This Row],[Stage]],$R$1:$T$8,MATCH(ResultsTeams[[#This Row],[Category]],$S$1:$T$1,0)+1,FALSE))</f>
        <v/>
      </c>
      <c r="AC5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9" s="264" t="str">
        <f>IF(ResultsTeams[[#This Row],[Type]]="G",ResultsTeams[[#This Row],[Stage]],AD518)</f>
        <v>Barrage</v>
      </c>
      <c r="AE519" s="395" t="str">
        <f>IF(ResultsTeams[[#This Row],[Type]]="G",INDEX(TeamsList[Club Name],MATCH(ResultsTeams[[#This Row],[Team A]],TeamsList[Team Name],0)),AE518)</f>
        <v>SC Charleroi</v>
      </c>
      <c r="AF519" s="395" t="str">
        <f>IF(ResultsTeams[[#This Row],[Type]]="G",INDEX(TeamsList[Club Name],MATCH(ResultsTeams[[#This Row],[Team B]],TeamsList[Team Name],0)),AF518)</f>
        <v>Master Sanremo</v>
      </c>
      <c r="AG519" s="265"/>
    </row>
    <row r="520" spans="1:33" x14ac:dyDescent="0.2">
      <c r="A520" s="62"/>
      <c r="B520" s="280"/>
      <c r="C520" s="62"/>
      <c r="D520" s="62"/>
      <c r="E520" s="241" t="s">
        <v>12240</v>
      </c>
      <c r="F520" s="246" t="s">
        <v>8078</v>
      </c>
      <c r="G520" s="246" t="s">
        <v>8200</v>
      </c>
      <c r="H520" s="254">
        <v>4</v>
      </c>
      <c r="I520" s="254">
        <v>2</v>
      </c>
      <c r="J520" s="254"/>
      <c r="K520" s="363"/>
      <c r="L520" s="363"/>
      <c r="M520" s="247"/>
      <c r="N520" s="265" t="b">
        <f>NOT(ISERROR(ResultsTeams[[#This Row],[Goal-A]]+ResultsTeams[[#This Row],[Goal-B]]))</f>
        <v>1</v>
      </c>
      <c r="O520" s="265">
        <f>IF(ResultsTeams[[#This Row],[Type]]="G",SUM(O521:O524),IF(LEFT(ResultsTeams[[#This Row],[Type]],1)="P",IF(ResultsTeams[[#This Row],[Goal-A]]&gt;ResultsTeams[[#This Row],[Goal-B]],1,0),""))</f>
        <v>1</v>
      </c>
      <c r="P520" s="265">
        <f>IF(ResultsTeams[[#This Row],[Type]]="G",SUM(P521:P524),IF(LEFT(ResultsTeams[[#This Row],[Type]],1)="P",IF(ResultsTeams[[#This Row],[Goal-A]]&lt;ResultsTeams[[#This Row],[Goal-B]],1,0),""))</f>
        <v>0</v>
      </c>
      <c r="Q520" s="265">
        <f>IF(ResultsTeams[[#This Row],[Type]]="G",SUM(Q521:Q524),IF(LEFT(ResultsTeams[[#This Row],[Type]],1)="P",VALUE(ResultsTeams[[#This Row],[Score-A]]),""))</f>
        <v>4</v>
      </c>
      <c r="R520" s="265">
        <f>IF(ResultsTeams[[#This Row],[Type]]="G",SUM(R521:R524),IF(LEFT(ResultsTeams[[#This Row],[Type]],1)="P",VALUE(ResultsTeams[[#This Row],[Score-B]]),""))</f>
        <v>2</v>
      </c>
      <c r="S520" s="265" t="str">
        <f ca="1">IF(AND(ResultsTeams[[#This Row],[Category]]&lt;&gt;"",ResultsTeams[[#This Row],[Team A]]&lt;&gt;""),COUNTIF(INDIRECT("TeamsList[Club Name]"),ResultsTeams[[#This Row],[Team A]]),"")</f>
        <v/>
      </c>
      <c r="T520" s="265" t="str">
        <f ca="1">IF(AND(ResultsTeams[[#This Row],[Category]]&lt;&gt;"",ResultsTeams[[#This Row],[Team B]]&lt;&gt;""),COUNTIF(INDIRECT("TeamsList[Club Name]"),ResultsTeams[[#This Row],[Team B]]),"")</f>
        <v/>
      </c>
      <c r="U5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0" s="265" t="str">
        <f>IF(ResultsTeams[[#This Row],[Score_OK]],IF(ResultsTeams[[#This Row],[StageCpy]]="Groups",ResultsTeams[[#This Row],[Category]]&amp;"-"&amp;IF(ResultsTeams[[#This Row],[Team B]]="","",IF(ResultsTeams[[#This Row],[Match-A]]=ResultsTeams[[#This Row],[Match-B]],ResultsTeams[[#This Row],[Team A]],"")),""),"")</f>
        <v/>
      </c>
      <c r="W520" s="265" t="str">
        <f>IF(ResultsTeams[[#This Row],[Score_OK]],IF(ResultsTeams[[#This Row],[StageCpy]]="Groups",ResultsTeams[[#This Row],[Category]]&amp;"-"&amp;IF(ResultsTeams[[#This Row],[Team B]]="","",IF(ResultsTeams[[#This Row],[Match-A]]=ResultsTeams[[#This Row],[Match-B]],ResultsTeams[[#This Row],[Team B]],"")),""),"")</f>
        <v/>
      </c>
      <c r="X5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0" s="264" t="str">
        <f>IF(ResultsTeams[[#This Row],[Category]]="","",VLOOKUP(ResultsTeams[[#This Row],[Stage]],$R$1:$T$8,MATCH(ResultsTeams[[#This Row],[Category]],$S$1:$T$1,0)+1,FALSE))</f>
        <v/>
      </c>
      <c r="AC5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0" s="264" t="str">
        <f>IF(ResultsTeams[[#This Row],[Type]]="G",ResultsTeams[[#This Row],[Stage]],AD519)</f>
        <v>Barrage</v>
      </c>
      <c r="AE520" s="395" t="str">
        <f>IF(ResultsTeams[[#This Row],[Type]]="G",INDEX(TeamsList[Club Name],MATCH(ResultsTeams[[#This Row],[Team A]],TeamsList[Team Name],0)),AE519)</f>
        <v>SC Charleroi</v>
      </c>
      <c r="AF520" s="395" t="str">
        <f>IF(ResultsTeams[[#This Row],[Type]]="G",INDEX(TeamsList[Club Name],MATCH(ResultsTeams[[#This Row],[Team B]],TeamsList[Team Name],0)),AF519)</f>
        <v>Master Sanremo</v>
      </c>
      <c r="AG520" s="265"/>
    </row>
    <row r="521" spans="1:33" x14ac:dyDescent="0.2">
      <c r="A521" s="62"/>
      <c r="B521" s="62"/>
      <c r="C521" s="62"/>
      <c r="D521" s="62"/>
      <c r="E521" s="241" t="s">
        <v>12243</v>
      </c>
      <c r="F521" s="247"/>
      <c r="G521" s="247"/>
      <c r="H521" s="254"/>
      <c r="I521" s="254"/>
      <c r="J521" s="260"/>
      <c r="K521" s="364"/>
      <c r="L521" s="364"/>
      <c r="M521" s="63"/>
      <c r="N521" s="265" t="b">
        <f>NOT(ISERROR(ResultsTeams[[#This Row],[Goal-A]]+ResultsTeams[[#This Row],[Goal-B]]))</f>
        <v>0</v>
      </c>
      <c r="O521" s="265" t="str">
        <f>IF(ResultsTeams[[#This Row],[Type]]="G",SUM(O522:O525),IF(LEFT(ResultsTeams[[#This Row],[Type]],1)="P",IF(ResultsTeams[[#This Row],[Goal-A]]&gt;ResultsTeams[[#This Row],[Goal-B]],1,0),""))</f>
        <v/>
      </c>
      <c r="P521" s="265" t="str">
        <f>IF(ResultsTeams[[#This Row],[Type]]="G",SUM(P522:P525),IF(LEFT(ResultsTeams[[#This Row],[Type]],1)="P",IF(ResultsTeams[[#This Row],[Goal-A]]&lt;ResultsTeams[[#This Row],[Goal-B]],1,0),""))</f>
        <v/>
      </c>
      <c r="Q521" s="265" t="str">
        <f>IF(ResultsTeams[[#This Row],[Type]]="G",SUM(Q522:Q525),IF(LEFT(ResultsTeams[[#This Row],[Type]],1)="P",VALUE(ResultsTeams[[#This Row],[Score-A]]),""))</f>
        <v/>
      </c>
      <c r="R521" s="265" t="str">
        <f>IF(ResultsTeams[[#This Row],[Type]]="G",SUM(R522:R525),IF(LEFT(ResultsTeams[[#This Row],[Type]],1)="P",VALUE(ResultsTeams[[#This Row],[Score-B]]),""))</f>
        <v/>
      </c>
      <c r="S521" s="265" t="str">
        <f ca="1">IF(AND(ResultsTeams[[#This Row],[Category]]&lt;&gt;"",ResultsTeams[[#This Row],[Team A]]&lt;&gt;""),COUNTIF(INDIRECT("TeamsList[Club Name]"),ResultsTeams[[#This Row],[Team A]]),"")</f>
        <v/>
      </c>
      <c r="T521" s="265" t="str">
        <f ca="1">IF(AND(ResultsTeams[[#This Row],[Category]]&lt;&gt;"",ResultsTeams[[#This Row],[Team B]]&lt;&gt;""),COUNTIF(INDIRECT("TeamsList[Club Name]"),ResultsTeams[[#This Row],[Team B]]),"")</f>
        <v/>
      </c>
      <c r="U5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1" s="265" t="str">
        <f>IF(ResultsTeams[[#This Row],[Score_OK]],IF(ResultsTeams[[#This Row],[StageCpy]]="Groups",ResultsTeams[[#This Row],[Category]]&amp;"-"&amp;IF(ResultsTeams[[#This Row],[Team B]]="","",IF(ResultsTeams[[#This Row],[Match-A]]=ResultsTeams[[#This Row],[Match-B]],ResultsTeams[[#This Row],[Team A]],"")),""),"")</f>
        <v/>
      </c>
      <c r="W521" s="265" t="str">
        <f>IF(ResultsTeams[[#This Row],[Score_OK]],IF(ResultsTeams[[#This Row],[StageCpy]]="Groups",ResultsTeams[[#This Row],[Category]]&amp;"-"&amp;IF(ResultsTeams[[#This Row],[Team B]]="","",IF(ResultsTeams[[#This Row],[Match-A]]=ResultsTeams[[#This Row],[Match-B]],ResultsTeams[[#This Row],[Team B]],"")),""),"")</f>
        <v/>
      </c>
      <c r="X5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1" s="264" t="str">
        <f>IF(ResultsTeams[[#This Row],[Category]]="","",VLOOKUP(ResultsTeams[[#This Row],[Stage]],$R$1:$T$8,MATCH(ResultsTeams[[#This Row],[Category]],$S$1:$T$1,0)+1,FALSE))</f>
        <v/>
      </c>
      <c r="AC5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1" s="264" t="str">
        <f>IF(ResultsTeams[[#This Row],[Type]]="G",ResultsTeams[[#This Row],[Stage]],AD520)</f>
        <v>Barrage</v>
      </c>
      <c r="AE521" s="395" t="str">
        <f>IF(ResultsTeams[[#This Row],[Type]]="G",INDEX(TeamsList[Club Name],MATCH(ResultsTeams[[#This Row],[Team A]],TeamsList[Team Name],0)),AE520)</f>
        <v>SC Charleroi</v>
      </c>
      <c r="AF521" s="395" t="str">
        <f>IF(ResultsTeams[[#This Row],[Type]]="G",INDEX(TeamsList[Club Name],MATCH(ResultsTeams[[#This Row],[Team B]],TeamsList[Team Name],0)),AF520)</f>
        <v>Master Sanremo</v>
      </c>
      <c r="AG521" s="265"/>
    </row>
    <row r="522" spans="1:33" ht="12" thickBot="1" x14ac:dyDescent="0.25">
      <c r="A522" s="83"/>
      <c r="B522" s="83"/>
      <c r="C522" s="83"/>
      <c r="D522" s="83"/>
      <c r="E522" s="268" t="s">
        <v>12244</v>
      </c>
      <c r="F522" s="262"/>
      <c r="G522" s="262"/>
      <c r="H522" s="324"/>
      <c r="I522" s="324"/>
      <c r="J522" s="263"/>
      <c r="K522" s="365"/>
      <c r="L522" s="365"/>
      <c r="M522" s="84"/>
      <c r="N522" s="265" t="b">
        <f>NOT(ISERROR(ResultsTeams[[#This Row],[Goal-A]]+ResultsTeams[[#This Row],[Goal-B]]))</f>
        <v>0</v>
      </c>
      <c r="O522" s="265" t="str">
        <f>IF(ResultsTeams[[#This Row],[Type]]="G",SUM(O523:O526),IF(LEFT(ResultsTeams[[#This Row],[Type]],1)="P",IF(ResultsTeams[[#This Row],[Goal-A]]&gt;ResultsTeams[[#This Row],[Goal-B]],1,0),""))</f>
        <v/>
      </c>
      <c r="P522" s="265" t="str">
        <f>IF(ResultsTeams[[#This Row],[Type]]="G",SUM(P523:P526),IF(LEFT(ResultsTeams[[#This Row],[Type]],1)="P",IF(ResultsTeams[[#This Row],[Goal-A]]&lt;ResultsTeams[[#This Row],[Goal-B]],1,0),""))</f>
        <v/>
      </c>
      <c r="Q522" s="265" t="str">
        <f>IF(ResultsTeams[[#This Row],[Type]]="G",SUM(Q523:Q526),IF(LEFT(ResultsTeams[[#This Row],[Type]],1)="P",VALUE(ResultsTeams[[#This Row],[Score-A]]),""))</f>
        <v/>
      </c>
      <c r="R522" s="265" t="str">
        <f>IF(ResultsTeams[[#This Row],[Type]]="G",SUM(R523:R526),IF(LEFT(ResultsTeams[[#This Row],[Type]],1)="P",VALUE(ResultsTeams[[#This Row],[Score-B]]),""))</f>
        <v/>
      </c>
      <c r="S522" s="265" t="str">
        <f ca="1">IF(AND(ResultsTeams[[#This Row],[Category]]&lt;&gt;"",ResultsTeams[[#This Row],[Team A]]&lt;&gt;""),COUNTIF(INDIRECT("TeamsList[Club Name]"),ResultsTeams[[#This Row],[Team A]]),"")</f>
        <v/>
      </c>
      <c r="T522" s="265" t="str">
        <f ca="1">IF(AND(ResultsTeams[[#This Row],[Category]]&lt;&gt;"",ResultsTeams[[#This Row],[Team B]]&lt;&gt;""),COUNTIF(INDIRECT("TeamsList[Club Name]"),ResultsTeams[[#This Row],[Team B]]),"")</f>
        <v/>
      </c>
      <c r="U5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2" s="265" t="str">
        <f>IF(ResultsTeams[[#This Row],[Score_OK]],IF(ResultsTeams[[#This Row],[StageCpy]]="Groups",ResultsTeams[[#This Row],[Category]]&amp;"-"&amp;IF(ResultsTeams[[#This Row],[Team B]]="","",IF(ResultsTeams[[#This Row],[Match-A]]=ResultsTeams[[#This Row],[Match-B]],ResultsTeams[[#This Row],[Team A]],"")),""),"")</f>
        <v/>
      </c>
      <c r="W522" s="265" t="str">
        <f>IF(ResultsTeams[[#This Row],[Score_OK]],IF(ResultsTeams[[#This Row],[StageCpy]]="Groups",ResultsTeams[[#This Row],[Category]]&amp;"-"&amp;IF(ResultsTeams[[#This Row],[Team B]]="","",IF(ResultsTeams[[#This Row],[Match-A]]=ResultsTeams[[#This Row],[Match-B]],ResultsTeams[[#This Row],[Team B]],"")),""),"")</f>
        <v/>
      </c>
      <c r="X5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2" s="264" t="str">
        <f>IF(ResultsTeams[[#This Row],[Category]]="","",VLOOKUP(ResultsTeams[[#This Row],[Stage]],$R$1:$T$8,MATCH(ResultsTeams[[#This Row],[Category]],$S$1:$T$1,0)+1,FALSE))</f>
        <v/>
      </c>
      <c r="AC5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2" s="264" t="str">
        <f>IF(ResultsTeams[[#This Row],[Type]]="G",ResultsTeams[[#This Row],[Stage]],AD521)</f>
        <v>Barrage</v>
      </c>
      <c r="AE522" s="395" t="str">
        <f>IF(ResultsTeams[[#This Row],[Type]]="G",INDEX(TeamsList[Club Name],MATCH(ResultsTeams[[#This Row],[Team A]],TeamsList[Team Name],0)),AE521)</f>
        <v>SC Charleroi</v>
      </c>
      <c r="AF522" s="395" t="str">
        <f>IF(ResultsTeams[[#This Row],[Type]]="G",INDEX(TeamsList[Club Name],MATCH(ResultsTeams[[#This Row],[Team B]],TeamsList[Team Name],0)),AF521)</f>
        <v>Master Sanremo</v>
      </c>
      <c r="AG522" s="265"/>
    </row>
    <row r="523" spans="1:33" ht="12" thickBot="1" x14ac:dyDescent="0.25">
      <c r="A523" s="261" t="s">
        <v>12693</v>
      </c>
      <c r="B523" s="270" t="s">
        <v>12215</v>
      </c>
      <c r="C523" s="270"/>
      <c r="D523" s="270"/>
      <c r="E523" s="272" t="s">
        <v>12228</v>
      </c>
      <c r="F523" s="273" t="s">
        <v>547</v>
      </c>
      <c r="G523" s="273" t="s">
        <v>324</v>
      </c>
      <c r="H523" s="275">
        <v>1</v>
      </c>
      <c r="I523" s="275">
        <v>2</v>
      </c>
      <c r="J523" s="275"/>
      <c r="K523" s="366"/>
      <c r="L523" s="366"/>
      <c r="M523" s="271"/>
      <c r="N523" s="265" t="b">
        <f>NOT(ISERROR(ResultsTeams[[#This Row],[Goal-A]]+ResultsTeams[[#This Row],[Goal-B]]))</f>
        <v>1</v>
      </c>
      <c r="O523" s="265">
        <f>IF(ResultsTeams[[#This Row],[Type]]="G",SUM(O524:O527),IF(LEFT(ResultsTeams[[#This Row],[Type]],1)="P",IF(ResultsTeams[[#This Row],[Goal-A]]&gt;ResultsTeams[[#This Row],[Goal-B]],1,0),""))</f>
        <v>1</v>
      </c>
      <c r="P523" s="265">
        <f>IF(ResultsTeams[[#This Row],[Type]]="G",SUM(P524:P527),IF(LEFT(ResultsTeams[[#This Row],[Type]],1)="P",IF(ResultsTeams[[#This Row],[Goal-A]]&lt;ResultsTeams[[#This Row],[Goal-B]],1,0),""))</f>
        <v>2</v>
      </c>
      <c r="Q523" s="265">
        <f>IF(ResultsTeams[[#This Row],[Type]]="G",SUM(Q524:Q527),IF(LEFT(ResultsTeams[[#This Row],[Type]],1)="P",VALUE(ResultsTeams[[#This Row],[Score-A]]),""))</f>
        <v>1</v>
      </c>
      <c r="R523" s="265">
        <f>IF(ResultsTeams[[#This Row],[Type]]="G",SUM(R524:R527),IF(LEFT(ResultsTeams[[#This Row],[Type]],1)="P",VALUE(ResultsTeams[[#This Row],[Score-B]]),""))</f>
        <v>5</v>
      </c>
      <c r="S523" s="265">
        <f ca="1">IF(AND(ResultsTeams[[#This Row],[Category]]&lt;&gt;"",ResultsTeams[[#This Row],[Team A]]&lt;&gt;""),COUNTIF(INDIRECT("TeamsList[Club Name]"),ResultsTeams[[#This Row],[Team A]]),"")</f>
        <v>1</v>
      </c>
      <c r="T523" s="265">
        <f ca="1">IF(AND(ResultsTeams[[#This Row],[Category]]&lt;&gt;"",ResultsTeams[[#This Row],[Team B]]&lt;&gt;""),COUNTIF(INDIRECT("TeamsList[Club Name]"),ResultsTeams[[#This Row],[Team B]]),"")</f>
        <v>4</v>
      </c>
      <c r="U5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3" s="265" t="str">
        <f>IF(ResultsTeams[[#This Row],[Score_OK]],IF(ResultsTeams[[#This Row],[StageCpy]]="Groups",ResultsTeams[[#This Row],[Category]]&amp;"-"&amp;IF(ResultsTeams[[#This Row],[Team B]]="","",IF(ResultsTeams[[#This Row],[Match-A]]=ResultsTeams[[#This Row],[Match-B]],ResultsTeams[[#This Row],[Team A]],"")),""),"")</f>
        <v/>
      </c>
      <c r="W523" s="265" t="str">
        <f>IF(ResultsTeams[[#This Row],[Score_OK]],IF(ResultsTeams[[#This Row],[StageCpy]]="Groups",ResultsTeams[[#This Row],[Category]]&amp;"-"&amp;IF(ResultsTeams[[#This Row],[Team B]]="","",IF(ResultsTeams[[#This Row],[Match-A]]=ResultsTeams[[#This Row],[Match-B]],ResultsTeams[[#This Row],[Team B]],"")),""),"")</f>
        <v/>
      </c>
      <c r="X5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TEAM-Atlas FTC</v>
      </c>
      <c r="Z5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A5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L32</v>
      </c>
      <c r="AB523" s="264" t="str">
        <f>IF(ResultsTeams[[#This Row],[Category]]="","",VLOOKUP(ResultsTeams[[#This Row],[Stage]],$R$1:$T$8,MATCH(ResultsTeams[[#This Row],[Category]],$S$1:$T$1,0)+1,FALSE))</f>
        <v>L32</v>
      </c>
      <c r="AC5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3" s="264" t="str">
        <f>IF(ResultsTeams[[#This Row],[Type]]="G",ResultsTeams[[#This Row],[Stage]],AD522)</f>
        <v>Barrage</v>
      </c>
      <c r="AE523" s="395" t="str">
        <f>IF(ResultsTeams[[#This Row],[Type]]="G",INDEX(TeamsList[Club Name],MATCH(ResultsTeams[[#This Row],[Team A]],TeamsList[Team Name],0)),AE522)</f>
        <v>Atlas FTC</v>
      </c>
      <c r="AF523" s="395" t="str">
        <f>IF(ResultsTeams[[#This Row],[Type]]="G",INDEX(TeamsList[Club Name],MATCH(ResultsTeams[[#This Row],[Team B]],TeamsList[Team Name],0)),AF522)</f>
        <v>SC Lion's Eugies</v>
      </c>
      <c r="AG523" s="265"/>
    </row>
    <row r="524" spans="1:33" x14ac:dyDescent="0.2">
      <c r="A524" s="60"/>
      <c r="B524" s="280"/>
      <c r="C524" s="60"/>
      <c r="D524" s="60"/>
      <c r="E524" s="240" t="s">
        <v>12231</v>
      </c>
      <c r="F524" s="244" t="s">
        <v>9194</v>
      </c>
      <c r="G524" s="244" t="s">
        <v>8075</v>
      </c>
      <c r="H524" s="253">
        <v>0</v>
      </c>
      <c r="I524" s="253">
        <v>4</v>
      </c>
      <c r="J524" s="253"/>
      <c r="K524" s="362"/>
      <c r="L524" s="362"/>
      <c r="M524" s="61"/>
      <c r="N524" s="265" t="b">
        <f>NOT(ISERROR(ResultsTeams[[#This Row],[Goal-A]]+ResultsTeams[[#This Row],[Goal-B]]))</f>
        <v>1</v>
      </c>
      <c r="O524" s="265">
        <f>IF(ResultsTeams[[#This Row],[Type]]="G",SUM(O525:O528),IF(LEFT(ResultsTeams[[#This Row],[Type]],1)="P",IF(ResultsTeams[[#This Row],[Goal-A]]&gt;ResultsTeams[[#This Row],[Goal-B]],1,0),""))</f>
        <v>0</v>
      </c>
      <c r="P524" s="265">
        <f>IF(ResultsTeams[[#This Row],[Type]]="G",SUM(P525:P528),IF(LEFT(ResultsTeams[[#This Row],[Type]],1)="P",IF(ResultsTeams[[#This Row],[Goal-A]]&lt;ResultsTeams[[#This Row],[Goal-B]],1,0),""))</f>
        <v>1</v>
      </c>
      <c r="Q524" s="265">
        <f>IF(ResultsTeams[[#This Row],[Type]]="G",SUM(Q525:Q528),IF(LEFT(ResultsTeams[[#This Row],[Type]],1)="P",VALUE(ResultsTeams[[#This Row],[Score-A]]),""))</f>
        <v>0</v>
      </c>
      <c r="R524" s="265">
        <f>IF(ResultsTeams[[#This Row],[Type]]="G",SUM(R525:R528),IF(LEFT(ResultsTeams[[#This Row],[Type]],1)="P",VALUE(ResultsTeams[[#This Row],[Score-B]]),""))</f>
        <v>4</v>
      </c>
      <c r="S524" s="265" t="str">
        <f ca="1">IF(AND(ResultsTeams[[#This Row],[Category]]&lt;&gt;"",ResultsTeams[[#This Row],[Team A]]&lt;&gt;""),COUNTIF(INDIRECT("TeamsList[Club Name]"),ResultsTeams[[#This Row],[Team A]]),"")</f>
        <v/>
      </c>
      <c r="T524" s="265" t="str">
        <f ca="1">IF(AND(ResultsTeams[[#This Row],[Category]]&lt;&gt;"",ResultsTeams[[#This Row],[Team B]]&lt;&gt;""),COUNTIF(INDIRECT("TeamsList[Club Name]"),ResultsTeams[[#This Row],[Team B]]),"")</f>
        <v/>
      </c>
      <c r="U5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4" s="265" t="str">
        <f>IF(ResultsTeams[[#This Row],[Score_OK]],IF(ResultsTeams[[#This Row],[StageCpy]]="Groups",ResultsTeams[[#This Row],[Category]]&amp;"-"&amp;IF(ResultsTeams[[#This Row],[Team B]]="","",IF(ResultsTeams[[#This Row],[Match-A]]=ResultsTeams[[#This Row],[Match-B]],ResultsTeams[[#This Row],[Team A]],"")),""),"")</f>
        <v/>
      </c>
      <c r="W524" s="265" t="str">
        <f>IF(ResultsTeams[[#This Row],[Score_OK]],IF(ResultsTeams[[#This Row],[StageCpy]]="Groups",ResultsTeams[[#This Row],[Category]]&amp;"-"&amp;IF(ResultsTeams[[#This Row],[Team B]]="","",IF(ResultsTeams[[#This Row],[Match-A]]=ResultsTeams[[#This Row],[Match-B]],ResultsTeams[[#This Row],[Team B]],"")),""),"")</f>
        <v/>
      </c>
      <c r="X5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4" s="264" t="str">
        <f>IF(ResultsTeams[[#This Row],[Category]]="","",VLOOKUP(ResultsTeams[[#This Row],[Stage]],$R$1:$T$8,MATCH(ResultsTeams[[#This Row],[Category]],$S$1:$T$1,0)+1,FALSE))</f>
        <v/>
      </c>
      <c r="AC5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4" s="264" t="str">
        <f>IF(ResultsTeams[[#This Row],[Type]]="G",ResultsTeams[[#This Row],[Stage]],AD523)</f>
        <v>Barrage</v>
      </c>
      <c r="AE524" s="395" t="str">
        <f>IF(ResultsTeams[[#This Row],[Type]]="G",INDEX(TeamsList[Club Name],MATCH(ResultsTeams[[#This Row],[Team A]],TeamsList[Team Name],0)),AE523)</f>
        <v>Atlas FTC</v>
      </c>
      <c r="AF524" s="395" t="str">
        <f>IF(ResultsTeams[[#This Row],[Type]]="G",INDEX(TeamsList[Club Name],MATCH(ResultsTeams[[#This Row],[Team B]],TeamsList[Team Name],0)),AF523)</f>
        <v>SC Lion's Eugies</v>
      </c>
      <c r="AG524" s="265"/>
    </row>
    <row r="525" spans="1:33" x14ac:dyDescent="0.2">
      <c r="A525" s="62"/>
      <c r="B525" s="280"/>
      <c r="C525" s="62"/>
      <c r="D525" s="62"/>
      <c r="E525" s="241" t="s">
        <v>12234</v>
      </c>
      <c r="F525" s="246" t="s">
        <v>11084</v>
      </c>
      <c r="G525" s="246" t="s">
        <v>8164</v>
      </c>
      <c r="H525" s="254">
        <v>0</v>
      </c>
      <c r="I525" s="254">
        <v>0</v>
      </c>
      <c r="J525" s="254"/>
      <c r="K525" s="363"/>
      <c r="L525" s="363"/>
      <c r="M525" s="63"/>
      <c r="N525" s="265" t="b">
        <f>NOT(ISERROR(ResultsTeams[[#This Row],[Goal-A]]+ResultsTeams[[#This Row],[Goal-B]]))</f>
        <v>1</v>
      </c>
      <c r="O525" s="265">
        <f>IF(ResultsTeams[[#This Row],[Type]]="G",SUM(O526:O529),IF(LEFT(ResultsTeams[[#This Row],[Type]],1)="P",IF(ResultsTeams[[#This Row],[Goal-A]]&gt;ResultsTeams[[#This Row],[Goal-B]],1,0),""))</f>
        <v>0</v>
      </c>
      <c r="P525" s="265">
        <f>IF(ResultsTeams[[#This Row],[Type]]="G",SUM(P526:P529),IF(LEFT(ResultsTeams[[#This Row],[Type]],1)="P",IF(ResultsTeams[[#This Row],[Goal-A]]&lt;ResultsTeams[[#This Row],[Goal-B]],1,0),""))</f>
        <v>0</v>
      </c>
      <c r="Q525" s="265">
        <f>IF(ResultsTeams[[#This Row],[Type]]="G",SUM(Q526:Q529),IF(LEFT(ResultsTeams[[#This Row],[Type]],1)="P",VALUE(ResultsTeams[[#This Row],[Score-A]]),""))</f>
        <v>0</v>
      </c>
      <c r="R525" s="265">
        <f>IF(ResultsTeams[[#This Row],[Type]]="G",SUM(R526:R529),IF(LEFT(ResultsTeams[[#This Row],[Type]],1)="P",VALUE(ResultsTeams[[#This Row],[Score-B]]),""))</f>
        <v>0</v>
      </c>
      <c r="S525" s="265" t="str">
        <f ca="1">IF(AND(ResultsTeams[[#This Row],[Category]]&lt;&gt;"",ResultsTeams[[#This Row],[Team A]]&lt;&gt;""),COUNTIF(INDIRECT("TeamsList[Club Name]"),ResultsTeams[[#This Row],[Team A]]),"")</f>
        <v/>
      </c>
      <c r="T525" s="265" t="str">
        <f ca="1">IF(AND(ResultsTeams[[#This Row],[Category]]&lt;&gt;"",ResultsTeams[[#This Row],[Team B]]&lt;&gt;""),COUNTIF(INDIRECT("TeamsList[Club Name]"),ResultsTeams[[#This Row],[Team B]]),"")</f>
        <v/>
      </c>
      <c r="U5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5" s="265" t="str">
        <f>IF(ResultsTeams[[#This Row],[Score_OK]],IF(ResultsTeams[[#This Row],[StageCpy]]="Groups",ResultsTeams[[#This Row],[Category]]&amp;"-"&amp;IF(ResultsTeams[[#This Row],[Team B]]="","",IF(ResultsTeams[[#This Row],[Match-A]]=ResultsTeams[[#This Row],[Match-B]],ResultsTeams[[#This Row],[Team A]],"")),""),"")</f>
        <v/>
      </c>
      <c r="W525" s="265" t="str">
        <f>IF(ResultsTeams[[#This Row],[Score_OK]],IF(ResultsTeams[[#This Row],[StageCpy]]="Groups",ResultsTeams[[#This Row],[Category]]&amp;"-"&amp;IF(ResultsTeams[[#This Row],[Team B]]="","",IF(ResultsTeams[[#This Row],[Match-A]]=ResultsTeams[[#This Row],[Match-B]],ResultsTeams[[#This Row],[Team B]],"")),""),"")</f>
        <v/>
      </c>
      <c r="X5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5" s="264" t="str">
        <f>IF(ResultsTeams[[#This Row],[Category]]="","",VLOOKUP(ResultsTeams[[#This Row],[Stage]],$R$1:$T$8,MATCH(ResultsTeams[[#This Row],[Category]],$S$1:$T$1,0)+1,FALSE))</f>
        <v/>
      </c>
      <c r="AC5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5" s="264" t="str">
        <f>IF(ResultsTeams[[#This Row],[Type]]="G",ResultsTeams[[#This Row],[Stage]],AD524)</f>
        <v>Barrage</v>
      </c>
      <c r="AE525" s="395" t="str">
        <f>IF(ResultsTeams[[#This Row],[Type]]="G",INDEX(TeamsList[Club Name],MATCH(ResultsTeams[[#This Row],[Team A]],TeamsList[Team Name],0)),AE524)</f>
        <v>Atlas FTC</v>
      </c>
      <c r="AF525" s="395" t="str">
        <f>IF(ResultsTeams[[#This Row],[Type]]="G",INDEX(TeamsList[Club Name],MATCH(ResultsTeams[[#This Row],[Team B]],TeamsList[Team Name],0)),AF524)</f>
        <v>SC Lion's Eugies</v>
      </c>
      <c r="AG525" s="265"/>
    </row>
    <row r="526" spans="1:33" x14ac:dyDescent="0.2">
      <c r="A526" s="62"/>
      <c r="B526" s="280"/>
      <c r="C526" s="62"/>
      <c r="D526" s="62"/>
      <c r="E526" s="241" t="s">
        <v>12237</v>
      </c>
      <c r="F526" s="246" t="s">
        <v>9229</v>
      </c>
      <c r="G526" s="246" t="s">
        <v>8165</v>
      </c>
      <c r="H526" s="254">
        <v>0</v>
      </c>
      <c r="I526" s="254">
        <v>1</v>
      </c>
      <c r="J526" s="254"/>
      <c r="K526" s="363"/>
      <c r="L526" s="363"/>
      <c r="M526" s="63"/>
      <c r="N526" s="265" t="b">
        <f>NOT(ISERROR(ResultsTeams[[#This Row],[Goal-A]]+ResultsTeams[[#This Row],[Goal-B]]))</f>
        <v>1</v>
      </c>
      <c r="O526" s="265">
        <f>IF(ResultsTeams[[#This Row],[Type]]="G",SUM(O527:O530),IF(LEFT(ResultsTeams[[#This Row],[Type]],1)="P",IF(ResultsTeams[[#This Row],[Goal-A]]&gt;ResultsTeams[[#This Row],[Goal-B]],1,0),""))</f>
        <v>0</v>
      </c>
      <c r="P526" s="265">
        <f>IF(ResultsTeams[[#This Row],[Type]]="G",SUM(P527:P530),IF(LEFT(ResultsTeams[[#This Row],[Type]],1)="P",IF(ResultsTeams[[#This Row],[Goal-A]]&lt;ResultsTeams[[#This Row],[Goal-B]],1,0),""))</f>
        <v>1</v>
      </c>
      <c r="Q526" s="265">
        <f>IF(ResultsTeams[[#This Row],[Type]]="G",SUM(Q527:Q530),IF(LEFT(ResultsTeams[[#This Row],[Type]],1)="P",VALUE(ResultsTeams[[#This Row],[Score-A]]),""))</f>
        <v>0</v>
      </c>
      <c r="R526" s="265">
        <f>IF(ResultsTeams[[#This Row],[Type]]="G",SUM(R527:R530),IF(LEFT(ResultsTeams[[#This Row],[Type]],1)="P",VALUE(ResultsTeams[[#This Row],[Score-B]]),""))</f>
        <v>1</v>
      </c>
      <c r="S526" s="265" t="str">
        <f ca="1">IF(AND(ResultsTeams[[#This Row],[Category]]&lt;&gt;"",ResultsTeams[[#This Row],[Team A]]&lt;&gt;""),COUNTIF(INDIRECT("TeamsList[Club Name]"),ResultsTeams[[#This Row],[Team A]]),"")</f>
        <v/>
      </c>
      <c r="T526" s="265" t="str">
        <f ca="1">IF(AND(ResultsTeams[[#This Row],[Category]]&lt;&gt;"",ResultsTeams[[#This Row],[Team B]]&lt;&gt;""),COUNTIF(INDIRECT("TeamsList[Club Name]"),ResultsTeams[[#This Row],[Team B]]),"")</f>
        <v/>
      </c>
      <c r="U5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6" s="265" t="str">
        <f>IF(ResultsTeams[[#This Row],[Score_OK]],IF(ResultsTeams[[#This Row],[StageCpy]]="Groups",ResultsTeams[[#This Row],[Category]]&amp;"-"&amp;IF(ResultsTeams[[#This Row],[Team B]]="","",IF(ResultsTeams[[#This Row],[Match-A]]=ResultsTeams[[#This Row],[Match-B]],ResultsTeams[[#This Row],[Team A]],"")),""),"")</f>
        <v/>
      </c>
      <c r="W526" s="265" t="str">
        <f>IF(ResultsTeams[[#This Row],[Score_OK]],IF(ResultsTeams[[#This Row],[StageCpy]]="Groups",ResultsTeams[[#This Row],[Category]]&amp;"-"&amp;IF(ResultsTeams[[#This Row],[Team B]]="","",IF(ResultsTeams[[#This Row],[Match-A]]=ResultsTeams[[#This Row],[Match-B]],ResultsTeams[[#This Row],[Team B]],"")),""),"")</f>
        <v/>
      </c>
      <c r="X5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6" s="264" t="str">
        <f>IF(ResultsTeams[[#This Row],[Category]]="","",VLOOKUP(ResultsTeams[[#This Row],[Stage]],$R$1:$T$8,MATCH(ResultsTeams[[#This Row],[Category]],$S$1:$T$1,0)+1,FALSE))</f>
        <v/>
      </c>
      <c r="AC5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6" s="264" t="str">
        <f>IF(ResultsTeams[[#This Row],[Type]]="G",ResultsTeams[[#This Row],[Stage]],AD525)</f>
        <v>Barrage</v>
      </c>
      <c r="AE526" s="395" t="str">
        <f>IF(ResultsTeams[[#This Row],[Type]]="G",INDEX(TeamsList[Club Name],MATCH(ResultsTeams[[#This Row],[Team A]],TeamsList[Team Name],0)),AE525)</f>
        <v>Atlas FTC</v>
      </c>
      <c r="AF526" s="395" t="str">
        <f>IF(ResultsTeams[[#This Row],[Type]]="G",INDEX(TeamsList[Club Name],MATCH(ResultsTeams[[#This Row],[Team B]],TeamsList[Team Name],0)),AF525)</f>
        <v>SC Lion's Eugies</v>
      </c>
      <c r="AG526" s="265"/>
    </row>
    <row r="527" spans="1:33" x14ac:dyDescent="0.2">
      <c r="A527" s="62"/>
      <c r="B527" s="280"/>
      <c r="C527" s="62"/>
      <c r="D527" s="62"/>
      <c r="E527" s="241" t="s">
        <v>12240</v>
      </c>
      <c r="F527" s="246" t="s">
        <v>14019</v>
      </c>
      <c r="G527" s="246" t="s">
        <v>8123</v>
      </c>
      <c r="H527" s="254">
        <v>1</v>
      </c>
      <c r="I527" s="254">
        <v>0</v>
      </c>
      <c r="J527" s="254"/>
      <c r="K527" s="363"/>
      <c r="L527" s="363"/>
      <c r="M527" s="63"/>
      <c r="N527" s="265" t="b">
        <f>NOT(ISERROR(ResultsTeams[[#This Row],[Goal-A]]+ResultsTeams[[#This Row],[Goal-B]]))</f>
        <v>1</v>
      </c>
      <c r="O527" s="265">
        <f>IF(ResultsTeams[[#This Row],[Type]]="G",SUM(O528:O531),IF(LEFT(ResultsTeams[[#This Row],[Type]],1)="P",IF(ResultsTeams[[#This Row],[Goal-A]]&gt;ResultsTeams[[#This Row],[Goal-B]],1,0),""))</f>
        <v>1</v>
      </c>
      <c r="P527" s="265">
        <f>IF(ResultsTeams[[#This Row],[Type]]="G",SUM(P528:P531),IF(LEFT(ResultsTeams[[#This Row],[Type]],1)="P",IF(ResultsTeams[[#This Row],[Goal-A]]&lt;ResultsTeams[[#This Row],[Goal-B]],1,0),""))</f>
        <v>0</v>
      </c>
      <c r="Q527" s="265">
        <f>IF(ResultsTeams[[#This Row],[Type]]="G",SUM(Q528:Q531),IF(LEFT(ResultsTeams[[#This Row],[Type]],1)="P",VALUE(ResultsTeams[[#This Row],[Score-A]]),""))</f>
        <v>1</v>
      </c>
      <c r="R527" s="265">
        <f>IF(ResultsTeams[[#This Row],[Type]]="G",SUM(R528:R531),IF(LEFT(ResultsTeams[[#This Row],[Type]],1)="P",VALUE(ResultsTeams[[#This Row],[Score-B]]),""))</f>
        <v>0</v>
      </c>
      <c r="S527" s="265" t="str">
        <f ca="1">IF(AND(ResultsTeams[[#This Row],[Category]]&lt;&gt;"",ResultsTeams[[#This Row],[Team A]]&lt;&gt;""),COUNTIF(INDIRECT("TeamsList[Club Name]"),ResultsTeams[[#This Row],[Team A]]),"")</f>
        <v/>
      </c>
      <c r="T527" s="265" t="str">
        <f ca="1">IF(AND(ResultsTeams[[#This Row],[Category]]&lt;&gt;"",ResultsTeams[[#This Row],[Team B]]&lt;&gt;""),COUNTIF(INDIRECT("TeamsList[Club Name]"),ResultsTeams[[#This Row],[Team B]]),"")</f>
        <v/>
      </c>
      <c r="U5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7" s="265" t="str">
        <f>IF(ResultsTeams[[#This Row],[Score_OK]],IF(ResultsTeams[[#This Row],[StageCpy]]="Groups",ResultsTeams[[#This Row],[Category]]&amp;"-"&amp;IF(ResultsTeams[[#This Row],[Team B]]="","",IF(ResultsTeams[[#This Row],[Match-A]]=ResultsTeams[[#This Row],[Match-B]],ResultsTeams[[#This Row],[Team A]],"")),""),"")</f>
        <v/>
      </c>
      <c r="W527" s="265" t="str">
        <f>IF(ResultsTeams[[#This Row],[Score_OK]],IF(ResultsTeams[[#This Row],[StageCpy]]="Groups",ResultsTeams[[#This Row],[Category]]&amp;"-"&amp;IF(ResultsTeams[[#This Row],[Team B]]="","",IF(ResultsTeams[[#This Row],[Match-A]]=ResultsTeams[[#This Row],[Match-B]],ResultsTeams[[#This Row],[Team B]],"")),""),"")</f>
        <v/>
      </c>
      <c r="X5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7" s="264" t="str">
        <f>IF(ResultsTeams[[#This Row],[Category]]="","",VLOOKUP(ResultsTeams[[#This Row],[Stage]],$R$1:$T$8,MATCH(ResultsTeams[[#This Row],[Category]],$S$1:$T$1,0)+1,FALSE))</f>
        <v/>
      </c>
      <c r="AC5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7" s="264" t="str">
        <f>IF(ResultsTeams[[#This Row],[Type]]="G",ResultsTeams[[#This Row],[Stage]],AD526)</f>
        <v>Barrage</v>
      </c>
      <c r="AE527" s="395" t="str">
        <f>IF(ResultsTeams[[#This Row],[Type]]="G",INDEX(TeamsList[Club Name],MATCH(ResultsTeams[[#This Row],[Team A]],TeamsList[Team Name],0)),AE526)</f>
        <v>Atlas FTC</v>
      </c>
      <c r="AF527" s="395" t="str">
        <f>IF(ResultsTeams[[#This Row],[Type]]="G",INDEX(TeamsList[Club Name],MATCH(ResultsTeams[[#This Row],[Team B]],TeamsList[Team Name],0)),AF526)</f>
        <v>SC Lion's Eugies</v>
      </c>
      <c r="AG527" s="265"/>
    </row>
    <row r="528" spans="1:33" x14ac:dyDescent="0.2">
      <c r="A528" s="62"/>
      <c r="B528" s="62"/>
      <c r="C528" s="62"/>
      <c r="D528" s="62"/>
      <c r="E528" s="241" t="s">
        <v>12243</v>
      </c>
      <c r="F528" s="247"/>
      <c r="G528" s="247"/>
      <c r="H528" s="254"/>
      <c r="I528" s="254"/>
      <c r="J528" s="260"/>
      <c r="K528" s="364"/>
      <c r="L528" s="364"/>
      <c r="M528" s="63"/>
      <c r="N528" s="265" t="b">
        <f>NOT(ISERROR(ResultsTeams[[#This Row],[Goal-A]]+ResultsTeams[[#This Row],[Goal-B]]))</f>
        <v>0</v>
      </c>
      <c r="O528" s="265" t="str">
        <f>IF(ResultsTeams[[#This Row],[Type]]="G",SUM(O529:O532),IF(LEFT(ResultsTeams[[#This Row],[Type]],1)="P",IF(ResultsTeams[[#This Row],[Goal-A]]&gt;ResultsTeams[[#This Row],[Goal-B]],1,0),""))</f>
        <v/>
      </c>
      <c r="P528" s="265" t="str">
        <f>IF(ResultsTeams[[#This Row],[Type]]="G",SUM(P529:P532),IF(LEFT(ResultsTeams[[#This Row],[Type]],1)="P",IF(ResultsTeams[[#This Row],[Goal-A]]&lt;ResultsTeams[[#This Row],[Goal-B]],1,0),""))</f>
        <v/>
      </c>
      <c r="Q528" s="265" t="str">
        <f>IF(ResultsTeams[[#This Row],[Type]]="G",SUM(Q529:Q532),IF(LEFT(ResultsTeams[[#This Row],[Type]],1)="P",VALUE(ResultsTeams[[#This Row],[Score-A]]),""))</f>
        <v/>
      </c>
      <c r="R528" s="265" t="str">
        <f>IF(ResultsTeams[[#This Row],[Type]]="G",SUM(R529:R532),IF(LEFT(ResultsTeams[[#This Row],[Type]],1)="P",VALUE(ResultsTeams[[#This Row],[Score-B]]),""))</f>
        <v/>
      </c>
      <c r="S528" s="265" t="str">
        <f ca="1">IF(AND(ResultsTeams[[#This Row],[Category]]&lt;&gt;"",ResultsTeams[[#This Row],[Team A]]&lt;&gt;""),COUNTIF(INDIRECT("TeamsList[Club Name]"),ResultsTeams[[#This Row],[Team A]]),"")</f>
        <v/>
      </c>
      <c r="T528" s="265" t="str">
        <f ca="1">IF(AND(ResultsTeams[[#This Row],[Category]]&lt;&gt;"",ResultsTeams[[#This Row],[Team B]]&lt;&gt;""),COUNTIF(INDIRECT("TeamsList[Club Name]"),ResultsTeams[[#This Row],[Team B]]),"")</f>
        <v/>
      </c>
      <c r="U5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8" s="265" t="str">
        <f>IF(ResultsTeams[[#This Row],[Score_OK]],IF(ResultsTeams[[#This Row],[StageCpy]]="Groups",ResultsTeams[[#This Row],[Category]]&amp;"-"&amp;IF(ResultsTeams[[#This Row],[Team B]]="","",IF(ResultsTeams[[#This Row],[Match-A]]=ResultsTeams[[#This Row],[Match-B]],ResultsTeams[[#This Row],[Team A]],"")),""),"")</f>
        <v/>
      </c>
      <c r="W528" s="265" t="str">
        <f>IF(ResultsTeams[[#This Row],[Score_OK]],IF(ResultsTeams[[#This Row],[StageCpy]]="Groups",ResultsTeams[[#This Row],[Category]]&amp;"-"&amp;IF(ResultsTeams[[#This Row],[Team B]]="","",IF(ResultsTeams[[#This Row],[Match-A]]=ResultsTeams[[#This Row],[Match-B]],ResultsTeams[[#This Row],[Team B]],"")),""),"")</f>
        <v/>
      </c>
      <c r="X5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8" s="264" t="str">
        <f>IF(ResultsTeams[[#This Row],[Category]]="","",VLOOKUP(ResultsTeams[[#This Row],[Stage]],$R$1:$T$8,MATCH(ResultsTeams[[#This Row],[Category]],$S$1:$T$1,0)+1,FALSE))</f>
        <v/>
      </c>
      <c r="AC5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8" s="264" t="str">
        <f>IF(ResultsTeams[[#This Row],[Type]]="G",ResultsTeams[[#This Row],[Stage]],AD527)</f>
        <v>Barrage</v>
      </c>
      <c r="AE528" s="395" t="str">
        <f>IF(ResultsTeams[[#This Row],[Type]]="G",INDEX(TeamsList[Club Name],MATCH(ResultsTeams[[#This Row],[Team A]],TeamsList[Team Name],0)),AE527)</f>
        <v>Atlas FTC</v>
      </c>
      <c r="AF528" s="395" t="str">
        <f>IF(ResultsTeams[[#This Row],[Type]]="G",INDEX(TeamsList[Club Name],MATCH(ResultsTeams[[#This Row],[Team B]],TeamsList[Team Name],0)),AF527)</f>
        <v>SC Lion's Eugies</v>
      </c>
      <c r="AG528" s="265"/>
    </row>
    <row r="529" spans="1:33" ht="12" thickBot="1" x14ac:dyDescent="0.25">
      <c r="A529" s="83"/>
      <c r="B529" s="83"/>
      <c r="C529" s="83"/>
      <c r="D529" s="83"/>
      <c r="E529" s="268" t="s">
        <v>12244</v>
      </c>
      <c r="F529" s="262"/>
      <c r="G529" s="262"/>
      <c r="H529" s="324"/>
      <c r="I529" s="324"/>
      <c r="J529" s="263"/>
      <c r="K529" s="365"/>
      <c r="L529" s="365"/>
      <c r="M529" s="84"/>
      <c r="N529" s="265" t="b">
        <f>NOT(ISERROR(ResultsTeams[[#This Row],[Goal-A]]+ResultsTeams[[#This Row],[Goal-B]]))</f>
        <v>0</v>
      </c>
      <c r="O529" s="265" t="str">
        <f>IF(ResultsTeams[[#This Row],[Type]]="G",SUM(O530:O533),IF(LEFT(ResultsTeams[[#This Row],[Type]],1)="P",IF(ResultsTeams[[#This Row],[Goal-A]]&gt;ResultsTeams[[#This Row],[Goal-B]],1,0),""))</f>
        <v/>
      </c>
      <c r="P529" s="265" t="str">
        <f>IF(ResultsTeams[[#This Row],[Type]]="G",SUM(P530:P533),IF(LEFT(ResultsTeams[[#This Row],[Type]],1)="P",IF(ResultsTeams[[#This Row],[Goal-A]]&lt;ResultsTeams[[#This Row],[Goal-B]],1,0),""))</f>
        <v/>
      </c>
      <c r="Q529" s="265" t="str">
        <f>IF(ResultsTeams[[#This Row],[Type]]="G",SUM(Q530:Q533),IF(LEFT(ResultsTeams[[#This Row],[Type]],1)="P",VALUE(ResultsTeams[[#This Row],[Score-A]]),""))</f>
        <v/>
      </c>
      <c r="R529" s="265" t="str">
        <f>IF(ResultsTeams[[#This Row],[Type]]="G",SUM(R530:R533),IF(LEFT(ResultsTeams[[#This Row],[Type]],1)="P",VALUE(ResultsTeams[[#This Row],[Score-B]]),""))</f>
        <v/>
      </c>
      <c r="S529" s="265" t="str">
        <f ca="1">IF(AND(ResultsTeams[[#This Row],[Category]]&lt;&gt;"",ResultsTeams[[#This Row],[Team A]]&lt;&gt;""),COUNTIF(INDIRECT("TeamsList[Club Name]"),ResultsTeams[[#This Row],[Team A]]),"")</f>
        <v/>
      </c>
      <c r="T529" s="265" t="str">
        <f ca="1">IF(AND(ResultsTeams[[#This Row],[Category]]&lt;&gt;"",ResultsTeams[[#This Row],[Team B]]&lt;&gt;""),COUNTIF(INDIRECT("TeamsList[Club Name]"),ResultsTeams[[#This Row],[Team B]]),"")</f>
        <v/>
      </c>
      <c r="U5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9" s="265" t="str">
        <f>IF(ResultsTeams[[#This Row],[Score_OK]],IF(ResultsTeams[[#This Row],[StageCpy]]="Groups",ResultsTeams[[#This Row],[Category]]&amp;"-"&amp;IF(ResultsTeams[[#This Row],[Team B]]="","",IF(ResultsTeams[[#This Row],[Match-A]]=ResultsTeams[[#This Row],[Match-B]],ResultsTeams[[#This Row],[Team A]],"")),""),"")</f>
        <v/>
      </c>
      <c r="W529" s="265" t="str">
        <f>IF(ResultsTeams[[#This Row],[Score_OK]],IF(ResultsTeams[[#This Row],[StageCpy]]="Groups",ResultsTeams[[#This Row],[Category]]&amp;"-"&amp;IF(ResultsTeams[[#This Row],[Team B]]="","",IF(ResultsTeams[[#This Row],[Match-A]]=ResultsTeams[[#This Row],[Match-B]],ResultsTeams[[#This Row],[Team B]],"")),""),"")</f>
        <v/>
      </c>
      <c r="X5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9" s="264" t="str">
        <f>IF(ResultsTeams[[#This Row],[Category]]="","",VLOOKUP(ResultsTeams[[#This Row],[Stage]],$R$1:$T$8,MATCH(ResultsTeams[[#This Row],[Category]],$S$1:$T$1,0)+1,FALSE))</f>
        <v/>
      </c>
      <c r="AC5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9" s="264" t="str">
        <f>IF(ResultsTeams[[#This Row],[Type]]="G",ResultsTeams[[#This Row],[Stage]],AD528)</f>
        <v>Barrage</v>
      </c>
      <c r="AE529" s="395" t="str">
        <f>IF(ResultsTeams[[#This Row],[Type]]="G",INDEX(TeamsList[Club Name],MATCH(ResultsTeams[[#This Row],[Team A]],TeamsList[Team Name],0)),AE528)</f>
        <v>Atlas FTC</v>
      </c>
      <c r="AF529" s="395" t="str">
        <f>IF(ResultsTeams[[#This Row],[Type]]="G",INDEX(TeamsList[Club Name],MATCH(ResultsTeams[[#This Row],[Team B]],TeamsList[Team Name],0)),AF528)</f>
        <v>SC Lion's Eugies</v>
      </c>
      <c r="AG529" s="265"/>
    </row>
    <row r="530" spans="1:33" ht="12" thickBot="1" x14ac:dyDescent="0.25">
      <c r="A530" s="261" t="s">
        <v>12693</v>
      </c>
      <c r="B530" s="270" t="s">
        <v>12219</v>
      </c>
      <c r="C530" s="270"/>
      <c r="D530" s="270"/>
      <c r="E530" s="272" t="s">
        <v>12228</v>
      </c>
      <c r="F530" s="273" t="s">
        <v>328</v>
      </c>
      <c r="G530" s="273" t="s">
        <v>535</v>
      </c>
      <c r="H530" s="275">
        <v>0</v>
      </c>
      <c r="I530" s="275">
        <v>1</v>
      </c>
      <c r="J530" s="275"/>
      <c r="K530" s="366"/>
      <c r="L530" s="366"/>
      <c r="M530" s="274"/>
      <c r="N530" s="265" t="b">
        <f>NOT(ISERROR(ResultsTeams[[#This Row],[Goal-A]]+ResultsTeams[[#This Row],[Goal-B]]))</f>
        <v>1</v>
      </c>
      <c r="O530" s="265">
        <f>IF(ResultsTeams[[#This Row],[Type]]="G",SUM(O531:O534),IF(LEFT(ResultsTeams[[#This Row],[Type]],1)="P",IF(ResultsTeams[[#This Row],[Goal-A]]&gt;ResultsTeams[[#This Row],[Goal-B]],1,0),""))</f>
        <v>0</v>
      </c>
      <c r="P530" s="265">
        <f>IF(ResultsTeams[[#This Row],[Type]]="G",SUM(P531:P534),IF(LEFT(ResultsTeams[[#This Row],[Type]],1)="P",IF(ResultsTeams[[#This Row],[Goal-A]]&lt;ResultsTeams[[#This Row],[Goal-B]],1,0),""))</f>
        <v>1</v>
      </c>
      <c r="Q530" s="265">
        <f>IF(ResultsTeams[[#This Row],[Type]]="G",SUM(Q531:Q534),IF(LEFT(ResultsTeams[[#This Row],[Type]],1)="P",VALUE(ResultsTeams[[#This Row],[Score-A]]),""))</f>
        <v>4</v>
      </c>
      <c r="R530" s="265">
        <f>IF(ResultsTeams[[#This Row],[Type]]="G",SUM(R531:R534),IF(LEFT(ResultsTeams[[#This Row],[Type]],1)="P",VALUE(ResultsTeams[[#This Row],[Score-B]]),""))</f>
        <v>9</v>
      </c>
      <c r="S530" s="265">
        <f ca="1">IF(AND(ResultsTeams[[#This Row],[Category]]&lt;&gt;"",ResultsTeams[[#This Row],[Team A]]&lt;&gt;""),COUNTIF(INDIRECT("TeamsList[Club Name]"),ResultsTeams[[#This Row],[Team A]]),"")</f>
        <v>4</v>
      </c>
      <c r="T530" s="265">
        <f ca="1">IF(AND(ResultsTeams[[#This Row],[Category]]&lt;&gt;"",ResultsTeams[[#This Row],[Team B]]&lt;&gt;""),COUNTIF(INDIRECT("TeamsList[Club Name]"),ResultsTeams[[#This Row],[Team B]]),"")</f>
        <v>2</v>
      </c>
      <c r="U5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0" s="265" t="str">
        <f>IF(ResultsTeams[[#This Row],[Score_OK]],IF(ResultsTeams[[#This Row],[StageCpy]]="Groups",ResultsTeams[[#This Row],[Category]]&amp;"-"&amp;IF(ResultsTeams[[#This Row],[Team B]]="","",IF(ResultsTeams[[#This Row],[Match-A]]=ResultsTeams[[#This Row],[Match-B]],ResultsTeams[[#This Row],[Team A]],"")),""),"")</f>
        <v/>
      </c>
      <c r="W530" s="265" t="str">
        <f>IF(ResultsTeams[[#This Row],[Score_OK]],IF(ResultsTeams[[#This Row],[StageCpy]]="Groups",ResultsTeams[[#This Row],[Category]]&amp;"-"&amp;IF(ResultsTeams[[#This Row],[Team B]]="","",IF(ResultsTeams[[#This Row],[Match-A]]=ResultsTeams[[#This Row],[Match-B]],ResultsTeams[[#This Row],[Team B]],"")),""),"")</f>
        <v/>
      </c>
      <c r="X5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TEAM-Avenir Subbuteo Hennuyer</v>
      </c>
      <c r="Z5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5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530" s="264" t="str">
        <f>IF(ResultsTeams[[#This Row],[Category]]="","",VLOOKUP(ResultsTeams[[#This Row],[Stage]],$R$1:$T$8,MATCH(ResultsTeams[[#This Row],[Category]],$S$1:$T$1,0)+1,FALSE))</f>
        <v>L16</v>
      </c>
      <c r="AC5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0" s="264" t="str">
        <f>IF(ResultsTeams[[#This Row],[Type]]="G",ResultsTeams[[#This Row],[Stage]],AD529)</f>
        <v>Last 16</v>
      </c>
      <c r="AE530" s="395" t="str">
        <f>IF(ResultsTeams[[#This Row],[Type]]="G",INDEX(TeamsList[Club Name],MATCH(ResultsTeams[[#This Row],[Team A]],TeamsList[Team Name],0)),AE529)</f>
        <v>Avenir Subbuteo Hennuyer</v>
      </c>
      <c r="AF530" s="395" t="str">
        <f>IF(ResultsTeams[[#This Row],[Type]]="G",INDEX(TeamsList[Club Name],MATCH(ResultsTeams[[#This Row],[Team B]],TeamsList[Team Name],0)),AF529)</f>
        <v>FTC Caen</v>
      </c>
      <c r="AG530" s="265"/>
    </row>
    <row r="531" spans="1:33" x14ac:dyDescent="0.2">
      <c r="A531" s="60"/>
      <c r="B531" s="280"/>
      <c r="C531" s="60"/>
      <c r="D531" s="60"/>
      <c r="E531" s="240" t="s">
        <v>12231</v>
      </c>
      <c r="F531" s="244" t="s">
        <v>8088</v>
      </c>
      <c r="G531" s="244" t="s">
        <v>8711</v>
      </c>
      <c r="H531" s="253">
        <v>0</v>
      </c>
      <c r="I531" s="253">
        <v>0</v>
      </c>
      <c r="J531" s="253"/>
      <c r="K531" s="362"/>
      <c r="L531" s="362"/>
      <c r="M531" s="245"/>
      <c r="N531" s="265" t="b">
        <f>NOT(ISERROR(ResultsTeams[[#This Row],[Goal-A]]+ResultsTeams[[#This Row],[Goal-B]]))</f>
        <v>1</v>
      </c>
      <c r="O531" s="265">
        <f>IF(ResultsTeams[[#This Row],[Type]]="G",SUM(O532:O535),IF(LEFT(ResultsTeams[[#This Row],[Type]],1)="P",IF(ResultsTeams[[#This Row],[Goal-A]]&gt;ResultsTeams[[#This Row],[Goal-B]],1,0),""))</f>
        <v>0</v>
      </c>
      <c r="P531" s="265">
        <f>IF(ResultsTeams[[#This Row],[Type]]="G",SUM(P532:P535),IF(LEFT(ResultsTeams[[#This Row],[Type]],1)="P",IF(ResultsTeams[[#This Row],[Goal-A]]&lt;ResultsTeams[[#This Row],[Goal-B]],1,0),""))</f>
        <v>0</v>
      </c>
      <c r="Q531" s="265">
        <f>IF(ResultsTeams[[#This Row],[Type]]="G",SUM(Q532:Q535),IF(LEFT(ResultsTeams[[#This Row],[Type]],1)="P",VALUE(ResultsTeams[[#This Row],[Score-A]]),""))</f>
        <v>0</v>
      </c>
      <c r="R531" s="265">
        <f>IF(ResultsTeams[[#This Row],[Type]]="G",SUM(R532:R535),IF(LEFT(ResultsTeams[[#This Row],[Type]],1)="P",VALUE(ResultsTeams[[#This Row],[Score-B]]),""))</f>
        <v>0</v>
      </c>
      <c r="S531" s="265" t="str">
        <f ca="1">IF(AND(ResultsTeams[[#This Row],[Category]]&lt;&gt;"",ResultsTeams[[#This Row],[Team A]]&lt;&gt;""),COUNTIF(INDIRECT("TeamsList[Club Name]"),ResultsTeams[[#This Row],[Team A]]),"")</f>
        <v/>
      </c>
      <c r="T531" s="265" t="str">
        <f ca="1">IF(AND(ResultsTeams[[#This Row],[Category]]&lt;&gt;"",ResultsTeams[[#This Row],[Team B]]&lt;&gt;""),COUNTIF(INDIRECT("TeamsList[Club Name]"),ResultsTeams[[#This Row],[Team B]]),"")</f>
        <v/>
      </c>
      <c r="U5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1" s="265" t="str">
        <f>IF(ResultsTeams[[#This Row],[Score_OK]],IF(ResultsTeams[[#This Row],[StageCpy]]="Groups",ResultsTeams[[#This Row],[Category]]&amp;"-"&amp;IF(ResultsTeams[[#This Row],[Team B]]="","",IF(ResultsTeams[[#This Row],[Match-A]]=ResultsTeams[[#This Row],[Match-B]],ResultsTeams[[#This Row],[Team A]],"")),""),"")</f>
        <v/>
      </c>
      <c r="W531" s="265" t="str">
        <f>IF(ResultsTeams[[#This Row],[Score_OK]],IF(ResultsTeams[[#This Row],[StageCpy]]="Groups",ResultsTeams[[#This Row],[Category]]&amp;"-"&amp;IF(ResultsTeams[[#This Row],[Team B]]="","",IF(ResultsTeams[[#This Row],[Match-A]]=ResultsTeams[[#This Row],[Match-B]],ResultsTeams[[#This Row],[Team B]],"")),""),"")</f>
        <v/>
      </c>
      <c r="X5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1" s="264" t="str">
        <f>IF(ResultsTeams[[#This Row],[Category]]="","",VLOOKUP(ResultsTeams[[#This Row],[Stage]],$R$1:$T$8,MATCH(ResultsTeams[[#This Row],[Category]],$S$1:$T$1,0)+1,FALSE))</f>
        <v/>
      </c>
      <c r="AC5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1" s="264" t="str">
        <f>IF(ResultsTeams[[#This Row],[Type]]="G",ResultsTeams[[#This Row],[Stage]],AD530)</f>
        <v>Last 16</v>
      </c>
      <c r="AE531" s="395" t="str">
        <f>IF(ResultsTeams[[#This Row],[Type]]="G",INDEX(TeamsList[Club Name],MATCH(ResultsTeams[[#This Row],[Team A]],TeamsList[Team Name],0)),AE530)</f>
        <v>Avenir Subbuteo Hennuyer</v>
      </c>
      <c r="AF531" s="395" t="str">
        <f>IF(ResultsTeams[[#This Row],[Type]]="G",INDEX(TeamsList[Club Name],MATCH(ResultsTeams[[#This Row],[Team B]],TeamsList[Team Name],0)),AF530)</f>
        <v>FTC Caen</v>
      </c>
      <c r="AG531" s="265"/>
    </row>
    <row r="532" spans="1:33" x14ac:dyDescent="0.2">
      <c r="A532" s="62"/>
      <c r="B532" s="280"/>
      <c r="C532" s="62"/>
      <c r="D532" s="62"/>
      <c r="E532" s="241" t="s">
        <v>12234</v>
      </c>
      <c r="F532" s="246" t="s">
        <v>8777</v>
      </c>
      <c r="G532" s="246" t="s">
        <v>14390</v>
      </c>
      <c r="H532" s="254">
        <v>2</v>
      </c>
      <c r="I532" s="254">
        <v>2</v>
      </c>
      <c r="J532" s="254"/>
      <c r="K532" s="363"/>
      <c r="L532" s="363"/>
      <c r="M532" s="247"/>
      <c r="N532" s="265" t="b">
        <f>NOT(ISERROR(ResultsTeams[[#This Row],[Goal-A]]+ResultsTeams[[#This Row],[Goal-B]]))</f>
        <v>1</v>
      </c>
      <c r="O532" s="265">
        <f>IF(ResultsTeams[[#This Row],[Type]]="G",SUM(O533:O536),IF(LEFT(ResultsTeams[[#This Row],[Type]],1)="P",IF(ResultsTeams[[#This Row],[Goal-A]]&gt;ResultsTeams[[#This Row],[Goal-B]],1,0),""))</f>
        <v>0</v>
      </c>
      <c r="P532" s="265">
        <f>IF(ResultsTeams[[#This Row],[Type]]="G",SUM(P533:P536),IF(LEFT(ResultsTeams[[#This Row],[Type]],1)="P",IF(ResultsTeams[[#This Row],[Goal-A]]&lt;ResultsTeams[[#This Row],[Goal-B]],1,0),""))</f>
        <v>0</v>
      </c>
      <c r="Q532" s="265">
        <f>IF(ResultsTeams[[#This Row],[Type]]="G",SUM(Q533:Q536),IF(LEFT(ResultsTeams[[#This Row],[Type]],1)="P",VALUE(ResultsTeams[[#This Row],[Score-A]]),""))</f>
        <v>2</v>
      </c>
      <c r="R532" s="265">
        <f>IF(ResultsTeams[[#This Row],[Type]]="G",SUM(R533:R536),IF(LEFT(ResultsTeams[[#This Row],[Type]],1)="P",VALUE(ResultsTeams[[#This Row],[Score-B]]),""))</f>
        <v>2</v>
      </c>
      <c r="S532" s="265" t="str">
        <f ca="1">IF(AND(ResultsTeams[[#This Row],[Category]]&lt;&gt;"",ResultsTeams[[#This Row],[Team A]]&lt;&gt;""),COUNTIF(INDIRECT("TeamsList[Club Name]"),ResultsTeams[[#This Row],[Team A]]),"")</f>
        <v/>
      </c>
      <c r="T532" s="265" t="str">
        <f ca="1">IF(AND(ResultsTeams[[#This Row],[Category]]&lt;&gt;"",ResultsTeams[[#This Row],[Team B]]&lt;&gt;""),COUNTIF(INDIRECT("TeamsList[Club Name]"),ResultsTeams[[#This Row],[Team B]]),"")</f>
        <v/>
      </c>
      <c r="U5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2" s="265" t="str">
        <f>IF(ResultsTeams[[#This Row],[Score_OK]],IF(ResultsTeams[[#This Row],[StageCpy]]="Groups",ResultsTeams[[#This Row],[Category]]&amp;"-"&amp;IF(ResultsTeams[[#This Row],[Team B]]="","",IF(ResultsTeams[[#This Row],[Match-A]]=ResultsTeams[[#This Row],[Match-B]],ResultsTeams[[#This Row],[Team A]],"")),""),"")</f>
        <v/>
      </c>
      <c r="W532" s="265" t="str">
        <f>IF(ResultsTeams[[#This Row],[Score_OK]],IF(ResultsTeams[[#This Row],[StageCpy]]="Groups",ResultsTeams[[#This Row],[Category]]&amp;"-"&amp;IF(ResultsTeams[[#This Row],[Team B]]="","",IF(ResultsTeams[[#This Row],[Match-A]]=ResultsTeams[[#This Row],[Match-B]],ResultsTeams[[#This Row],[Team B]],"")),""),"")</f>
        <v/>
      </c>
      <c r="X5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2" s="264" t="str">
        <f>IF(ResultsTeams[[#This Row],[Category]]="","",VLOOKUP(ResultsTeams[[#This Row],[Stage]],$R$1:$T$8,MATCH(ResultsTeams[[#This Row],[Category]],$S$1:$T$1,0)+1,FALSE))</f>
        <v/>
      </c>
      <c r="AC5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2" s="264" t="str">
        <f>IF(ResultsTeams[[#This Row],[Type]]="G",ResultsTeams[[#This Row],[Stage]],AD531)</f>
        <v>Last 16</v>
      </c>
      <c r="AE532" s="395" t="str">
        <f>IF(ResultsTeams[[#This Row],[Type]]="G",INDEX(TeamsList[Club Name],MATCH(ResultsTeams[[#This Row],[Team A]],TeamsList[Team Name],0)),AE531)</f>
        <v>Avenir Subbuteo Hennuyer</v>
      </c>
      <c r="AF532" s="395" t="str">
        <f>IF(ResultsTeams[[#This Row],[Type]]="G",INDEX(TeamsList[Club Name],MATCH(ResultsTeams[[#This Row],[Team B]],TeamsList[Team Name],0)),AF531)</f>
        <v>FTC Caen</v>
      </c>
      <c r="AG532" s="265"/>
    </row>
    <row r="533" spans="1:33" x14ac:dyDescent="0.2">
      <c r="A533" s="62"/>
      <c r="B533" s="280"/>
      <c r="C533" s="62"/>
      <c r="D533" s="62"/>
      <c r="E533" s="241" t="s">
        <v>12237</v>
      </c>
      <c r="F533" s="246" t="s">
        <v>8141</v>
      </c>
      <c r="G533" s="246" t="s">
        <v>14607</v>
      </c>
      <c r="H533" s="254">
        <v>0</v>
      </c>
      <c r="I533" s="254">
        <v>5</v>
      </c>
      <c r="J533" s="254"/>
      <c r="K533" s="363"/>
      <c r="L533" s="363"/>
      <c r="M533" s="247"/>
      <c r="N533" s="265" t="b">
        <f>NOT(ISERROR(ResultsTeams[[#This Row],[Goal-A]]+ResultsTeams[[#This Row],[Goal-B]]))</f>
        <v>1</v>
      </c>
      <c r="O533" s="265">
        <f>IF(ResultsTeams[[#This Row],[Type]]="G",SUM(O534:O537),IF(LEFT(ResultsTeams[[#This Row],[Type]],1)="P",IF(ResultsTeams[[#This Row],[Goal-A]]&gt;ResultsTeams[[#This Row],[Goal-B]],1,0),""))</f>
        <v>0</v>
      </c>
      <c r="P533" s="265">
        <f>IF(ResultsTeams[[#This Row],[Type]]="G",SUM(P534:P537),IF(LEFT(ResultsTeams[[#This Row],[Type]],1)="P",IF(ResultsTeams[[#This Row],[Goal-A]]&lt;ResultsTeams[[#This Row],[Goal-B]],1,0),""))</f>
        <v>1</v>
      </c>
      <c r="Q533" s="265">
        <f>IF(ResultsTeams[[#This Row],[Type]]="G",SUM(Q534:Q537),IF(LEFT(ResultsTeams[[#This Row],[Type]],1)="P",VALUE(ResultsTeams[[#This Row],[Score-A]]),""))</f>
        <v>0</v>
      </c>
      <c r="R533" s="265">
        <f>IF(ResultsTeams[[#This Row],[Type]]="G",SUM(R534:R537),IF(LEFT(ResultsTeams[[#This Row],[Type]],1)="P",VALUE(ResultsTeams[[#This Row],[Score-B]]),""))</f>
        <v>5</v>
      </c>
      <c r="S533" s="265" t="str">
        <f ca="1">IF(AND(ResultsTeams[[#This Row],[Category]]&lt;&gt;"",ResultsTeams[[#This Row],[Team A]]&lt;&gt;""),COUNTIF(INDIRECT("TeamsList[Club Name]"),ResultsTeams[[#This Row],[Team A]]),"")</f>
        <v/>
      </c>
      <c r="T533" s="265" t="str">
        <f ca="1">IF(AND(ResultsTeams[[#This Row],[Category]]&lt;&gt;"",ResultsTeams[[#This Row],[Team B]]&lt;&gt;""),COUNTIF(INDIRECT("TeamsList[Club Name]"),ResultsTeams[[#This Row],[Team B]]),"")</f>
        <v/>
      </c>
      <c r="U5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3" s="265" t="str">
        <f>IF(ResultsTeams[[#This Row],[Score_OK]],IF(ResultsTeams[[#This Row],[StageCpy]]="Groups",ResultsTeams[[#This Row],[Category]]&amp;"-"&amp;IF(ResultsTeams[[#This Row],[Team B]]="","",IF(ResultsTeams[[#This Row],[Match-A]]=ResultsTeams[[#This Row],[Match-B]],ResultsTeams[[#This Row],[Team A]],"")),""),"")</f>
        <v/>
      </c>
      <c r="W533" s="265" t="str">
        <f>IF(ResultsTeams[[#This Row],[Score_OK]],IF(ResultsTeams[[#This Row],[StageCpy]]="Groups",ResultsTeams[[#This Row],[Category]]&amp;"-"&amp;IF(ResultsTeams[[#This Row],[Team B]]="","",IF(ResultsTeams[[#This Row],[Match-A]]=ResultsTeams[[#This Row],[Match-B]],ResultsTeams[[#This Row],[Team B]],"")),""),"")</f>
        <v/>
      </c>
      <c r="X5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3" s="264" t="str">
        <f>IF(ResultsTeams[[#This Row],[Category]]="","",VLOOKUP(ResultsTeams[[#This Row],[Stage]],$R$1:$T$8,MATCH(ResultsTeams[[#This Row],[Category]],$S$1:$T$1,0)+1,FALSE))</f>
        <v/>
      </c>
      <c r="AC5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3" s="264" t="str">
        <f>IF(ResultsTeams[[#This Row],[Type]]="G",ResultsTeams[[#This Row],[Stage]],AD532)</f>
        <v>Last 16</v>
      </c>
      <c r="AE533" s="395" t="str">
        <f>IF(ResultsTeams[[#This Row],[Type]]="G",INDEX(TeamsList[Club Name],MATCH(ResultsTeams[[#This Row],[Team A]],TeamsList[Team Name],0)),AE532)</f>
        <v>Avenir Subbuteo Hennuyer</v>
      </c>
      <c r="AF533" s="395" t="str">
        <f>IF(ResultsTeams[[#This Row],[Type]]="G",INDEX(TeamsList[Club Name],MATCH(ResultsTeams[[#This Row],[Team B]],TeamsList[Team Name],0)),AF532)</f>
        <v>FTC Caen</v>
      </c>
      <c r="AG533" s="265"/>
    </row>
    <row r="534" spans="1:33" x14ac:dyDescent="0.2">
      <c r="A534" s="62"/>
      <c r="B534" s="280"/>
      <c r="C534" s="62"/>
      <c r="D534" s="62"/>
      <c r="E534" s="241" t="s">
        <v>12240</v>
      </c>
      <c r="F534" s="246" t="s">
        <v>8115</v>
      </c>
      <c r="G534" s="246" t="s">
        <v>8095</v>
      </c>
      <c r="H534" s="254">
        <v>2</v>
      </c>
      <c r="I534" s="254">
        <v>2</v>
      </c>
      <c r="J534" s="254"/>
      <c r="K534" s="363"/>
      <c r="L534" s="363"/>
      <c r="M534" s="247"/>
      <c r="N534" s="265" t="b">
        <f>NOT(ISERROR(ResultsTeams[[#This Row],[Goal-A]]+ResultsTeams[[#This Row],[Goal-B]]))</f>
        <v>1</v>
      </c>
      <c r="O534" s="265">
        <f>IF(ResultsTeams[[#This Row],[Type]]="G",SUM(O535:O538),IF(LEFT(ResultsTeams[[#This Row],[Type]],1)="P",IF(ResultsTeams[[#This Row],[Goal-A]]&gt;ResultsTeams[[#This Row],[Goal-B]],1,0),""))</f>
        <v>0</v>
      </c>
      <c r="P534" s="265">
        <f>IF(ResultsTeams[[#This Row],[Type]]="G",SUM(P535:P538),IF(LEFT(ResultsTeams[[#This Row],[Type]],1)="P",IF(ResultsTeams[[#This Row],[Goal-A]]&lt;ResultsTeams[[#This Row],[Goal-B]],1,0),""))</f>
        <v>0</v>
      </c>
      <c r="Q534" s="265">
        <f>IF(ResultsTeams[[#This Row],[Type]]="G",SUM(Q535:Q538),IF(LEFT(ResultsTeams[[#This Row],[Type]],1)="P",VALUE(ResultsTeams[[#This Row],[Score-A]]),""))</f>
        <v>2</v>
      </c>
      <c r="R534" s="265">
        <f>IF(ResultsTeams[[#This Row],[Type]]="G",SUM(R535:R538),IF(LEFT(ResultsTeams[[#This Row],[Type]],1)="P",VALUE(ResultsTeams[[#This Row],[Score-B]]),""))</f>
        <v>2</v>
      </c>
      <c r="S534" s="265" t="str">
        <f ca="1">IF(AND(ResultsTeams[[#This Row],[Category]]&lt;&gt;"",ResultsTeams[[#This Row],[Team A]]&lt;&gt;""),COUNTIF(INDIRECT("TeamsList[Club Name]"),ResultsTeams[[#This Row],[Team A]]),"")</f>
        <v/>
      </c>
      <c r="T534" s="265" t="str">
        <f ca="1">IF(AND(ResultsTeams[[#This Row],[Category]]&lt;&gt;"",ResultsTeams[[#This Row],[Team B]]&lt;&gt;""),COUNTIF(INDIRECT("TeamsList[Club Name]"),ResultsTeams[[#This Row],[Team B]]),"")</f>
        <v/>
      </c>
      <c r="U5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4" s="265" t="str">
        <f>IF(ResultsTeams[[#This Row],[Score_OK]],IF(ResultsTeams[[#This Row],[StageCpy]]="Groups",ResultsTeams[[#This Row],[Category]]&amp;"-"&amp;IF(ResultsTeams[[#This Row],[Team B]]="","",IF(ResultsTeams[[#This Row],[Match-A]]=ResultsTeams[[#This Row],[Match-B]],ResultsTeams[[#This Row],[Team A]],"")),""),"")</f>
        <v/>
      </c>
      <c r="W534" s="265" t="str">
        <f>IF(ResultsTeams[[#This Row],[Score_OK]],IF(ResultsTeams[[#This Row],[StageCpy]]="Groups",ResultsTeams[[#This Row],[Category]]&amp;"-"&amp;IF(ResultsTeams[[#This Row],[Team B]]="","",IF(ResultsTeams[[#This Row],[Match-A]]=ResultsTeams[[#This Row],[Match-B]],ResultsTeams[[#This Row],[Team B]],"")),""),"")</f>
        <v/>
      </c>
      <c r="X5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4" s="264" t="str">
        <f>IF(ResultsTeams[[#This Row],[Category]]="","",VLOOKUP(ResultsTeams[[#This Row],[Stage]],$R$1:$T$8,MATCH(ResultsTeams[[#This Row],[Category]],$S$1:$T$1,0)+1,FALSE))</f>
        <v/>
      </c>
      <c r="AC5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4" s="264" t="str">
        <f>IF(ResultsTeams[[#This Row],[Type]]="G",ResultsTeams[[#This Row],[Stage]],AD533)</f>
        <v>Last 16</v>
      </c>
      <c r="AE534" s="395" t="str">
        <f>IF(ResultsTeams[[#This Row],[Type]]="G",INDEX(TeamsList[Club Name],MATCH(ResultsTeams[[#This Row],[Team A]],TeamsList[Team Name],0)),AE533)</f>
        <v>Avenir Subbuteo Hennuyer</v>
      </c>
      <c r="AF534" s="395" t="str">
        <f>IF(ResultsTeams[[#This Row],[Type]]="G",INDEX(TeamsList[Club Name],MATCH(ResultsTeams[[#This Row],[Team B]],TeamsList[Team Name],0)),AF533)</f>
        <v>FTC Caen</v>
      </c>
      <c r="AG534" s="265"/>
    </row>
    <row r="535" spans="1:33" x14ac:dyDescent="0.2">
      <c r="A535" s="62"/>
      <c r="B535" s="62"/>
      <c r="C535" s="62"/>
      <c r="D535" s="62"/>
      <c r="E535" s="241" t="s">
        <v>12243</v>
      </c>
      <c r="F535" s="247" t="s">
        <v>8120</v>
      </c>
      <c r="G535" s="247"/>
      <c r="H535" s="254" t="s">
        <v>12684</v>
      </c>
      <c r="I535" s="254"/>
      <c r="J535" s="260"/>
      <c r="K535" s="364"/>
      <c r="L535" s="364"/>
      <c r="M535" s="247"/>
      <c r="N535" s="265" t="b">
        <f>NOT(ISERROR(ResultsTeams[[#This Row],[Goal-A]]+ResultsTeams[[#This Row],[Goal-B]]))</f>
        <v>0</v>
      </c>
      <c r="O535" s="265" t="str">
        <f>IF(ResultsTeams[[#This Row],[Type]]="G",SUM(O536:O539),IF(LEFT(ResultsTeams[[#This Row],[Type]],1)="P",IF(ResultsTeams[[#This Row],[Goal-A]]&gt;ResultsTeams[[#This Row],[Goal-B]],1,0),""))</f>
        <v/>
      </c>
      <c r="P535" s="265" t="str">
        <f>IF(ResultsTeams[[#This Row],[Type]]="G",SUM(P536:P539),IF(LEFT(ResultsTeams[[#This Row],[Type]],1)="P",IF(ResultsTeams[[#This Row],[Goal-A]]&lt;ResultsTeams[[#This Row],[Goal-B]],1,0),""))</f>
        <v/>
      </c>
      <c r="Q535" s="265" t="str">
        <f>IF(ResultsTeams[[#This Row],[Type]]="G",SUM(Q536:Q539),IF(LEFT(ResultsTeams[[#This Row],[Type]],1)="P",VALUE(ResultsTeams[[#This Row],[Score-A]]),""))</f>
        <v/>
      </c>
      <c r="R535" s="265" t="str">
        <f>IF(ResultsTeams[[#This Row],[Type]]="G",SUM(R536:R539),IF(LEFT(ResultsTeams[[#This Row],[Type]],1)="P",VALUE(ResultsTeams[[#This Row],[Score-B]]),""))</f>
        <v/>
      </c>
      <c r="S535" s="265" t="str">
        <f ca="1">IF(AND(ResultsTeams[[#This Row],[Category]]&lt;&gt;"",ResultsTeams[[#This Row],[Team A]]&lt;&gt;""),COUNTIF(INDIRECT("TeamsList[Club Name]"),ResultsTeams[[#This Row],[Team A]]),"")</f>
        <v/>
      </c>
      <c r="T535" s="265" t="str">
        <f ca="1">IF(AND(ResultsTeams[[#This Row],[Category]]&lt;&gt;"",ResultsTeams[[#This Row],[Team B]]&lt;&gt;""),COUNTIF(INDIRECT("TeamsList[Club Name]"),ResultsTeams[[#This Row],[Team B]]),"")</f>
        <v/>
      </c>
      <c r="U5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5" s="265" t="str">
        <f>IF(ResultsTeams[[#This Row],[Score_OK]],IF(ResultsTeams[[#This Row],[StageCpy]]="Groups",ResultsTeams[[#This Row],[Category]]&amp;"-"&amp;IF(ResultsTeams[[#This Row],[Team B]]="","",IF(ResultsTeams[[#This Row],[Match-A]]=ResultsTeams[[#This Row],[Match-B]],ResultsTeams[[#This Row],[Team A]],"")),""),"")</f>
        <v/>
      </c>
      <c r="W535" s="265" t="str">
        <f>IF(ResultsTeams[[#This Row],[Score_OK]],IF(ResultsTeams[[#This Row],[StageCpy]]="Groups",ResultsTeams[[#This Row],[Category]]&amp;"-"&amp;IF(ResultsTeams[[#This Row],[Team B]]="","",IF(ResultsTeams[[#This Row],[Match-A]]=ResultsTeams[[#This Row],[Match-B]],ResultsTeams[[#This Row],[Team B]],"")),""),"")</f>
        <v/>
      </c>
      <c r="X5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5" s="264" t="str">
        <f>IF(ResultsTeams[[#This Row],[Category]]="","",VLOOKUP(ResultsTeams[[#This Row],[Stage]],$R$1:$T$8,MATCH(ResultsTeams[[#This Row],[Category]],$S$1:$T$1,0)+1,FALSE))</f>
        <v/>
      </c>
      <c r="AC5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5" s="264" t="str">
        <f>IF(ResultsTeams[[#This Row],[Type]]="G",ResultsTeams[[#This Row],[Stage]],AD534)</f>
        <v>Last 16</v>
      </c>
      <c r="AE535" s="395" t="str">
        <f>IF(ResultsTeams[[#This Row],[Type]]="G",INDEX(TeamsList[Club Name],MATCH(ResultsTeams[[#This Row],[Team A]],TeamsList[Team Name],0)),AE534)</f>
        <v>Avenir Subbuteo Hennuyer</v>
      </c>
      <c r="AF535" s="395" t="str">
        <f>IF(ResultsTeams[[#This Row],[Type]]="G",INDEX(TeamsList[Club Name],MATCH(ResultsTeams[[#This Row],[Team B]],TeamsList[Team Name],0)),AF534)</f>
        <v>FTC Caen</v>
      </c>
      <c r="AG535" s="265"/>
    </row>
    <row r="536" spans="1:33" ht="12" thickBot="1" x14ac:dyDescent="0.25">
      <c r="A536" s="83"/>
      <c r="B536" s="83"/>
      <c r="C536" s="83"/>
      <c r="D536" s="83"/>
      <c r="E536" s="268" t="s">
        <v>12244</v>
      </c>
      <c r="F536" s="262"/>
      <c r="G536" s="262"/>
      <c r="H536" s="324"/>
      <c r="I536" s="324"/>
      <c r="J536" s="263"/>
      <c r="K536" s="365"/>
      <c r="L536" s="365"/>
      <c r="M536" s="262"/>
      <c r="N536" s="265" t="b">
        <f>NOT(ISERROR(ResultsTeams[[#This Row],[Goal-A]]+ResultsTeams[[#This Row],[Goal-B]]))</f>
        <v>0</v>
      </c>
      <c r="O536" s="265" t="str">
        <f>IF(ResultsTeams[[#This Row],[Type]]="G",SUM(O537:O540),IF(LEFT(ResultsTeams[[#This Row],[Type]],1)="P",IF(ResultsTeams[[#This Row],[Goal-A]]&gt;ResultsTeams[[#This Row],[Goal-B]],1,0),""))</f>
        <v/>
      </c>
      <c r="P536" s="265" t="str">
        <f>IF(ResultsTeams[[#This Row],[Type]]="G",SUM(P537:P540),IF(LEFT(ResultsTeams[[#This Row],[Type]],1)="P",IF(ResultsTeams[[#This Row],[Goal-A]]&lt;ResultsTeams[[#This Row],[Goal-B]],1,0),""))</f>
        <v/>
      </c>
      <c r="Q536" s="265" t="str">
        <f>IF(ResultsTeams[[#This Row],[Type]]="G",SUM(Q537:Q540),IF(LEFT(ResultsTeams[[#This Row],[Type]],1)="P",VALUE(ResultsTeams[[#This Row],[Score-A]]),""))</f>
        <v/>
      </c>
      <c r="R536" s="265" t="str">
        <f>IF(ResultsTeams[[#This Row],[Type]]="G",SUM(R537:R540),IF(LEFT(ResultsTeams[[#This Row],[Type]],1)="P",VALUE(ResultsTeams[[#This Row],[Score-B]]),""))</f>
        <v/>
      </c>
      <c r="S536" s="265" t="str">
        <f ca="1">IF(AND(ResultsTeams[[#This Row],[Category]]&lt;&gt;"",ResultsTeams[[#This Row],[Team A]]&lt;&gt;""),COUNTIF(INDIRECT("TeamsList[Club Name]"),ResultsTeams[[#This Row],[Team A]]),"")</f>
        <v/>
      </c>
      <c r="T536" s="265" t="str">
        <f ca="1">IF(AND(ResultsTeams[[#This Row],[Category]]&lt;&gt;"",ResultsTeams[[#This Row],[Team B]]&lt;&gt;""),COUNTIF(INDIRECT("TeamsList[Club Name]"),ResultsTeams[[#This Row],[Team B]]),"")</f>
        <v/>
      </c>
      <c r="U5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6" s="265" t="str">
        <f>IF(ResultsTeams[[#This Row],[Score_OK]],IF(ResultsTeams[[#This Row],[StageCpy]]="Groups",ResultsTeams[[#This Row],[Category]]&amp;"-"&amp;IF(ResultsTeams[[#This Row],[Team B]]="","",IF(ResultsTeams[[#This Row],[Match-A]]=ResultsTeams[[#This Row],[Match-B]],ResultsTeams[[#This Row],[Team A]],"")),""),"")</f>
        <v/>
      </c>
      <c r="W536" s="265" t="str">
        <f>IF(ResultsTeams[[#This Row],[Score_OK]],IF(ResultsTeams[[#This Row],[StageCpy]]="Groups",ResultsTeams[[#This Row],[Category]]&amp;"-"&amp;IF(ResultsTeams[[#This Row],[Team B]]="","",IF(ResultsTeams[[#This Row],[Match-A]]=ResultsTeams[[#This Row],[Match-B]],ResultsTeams[[#This Row],[Team B]],"")),""),"")</f>
        <v/>
      </c>
      <c r="X5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6" s="264" t="str">
        <f>IF(ResultsTeams[[#This Row],[Category]]="","",VLOOKUP(ResultsTeams[[#This Row],[Stage]],$R$1:$T$8,MATCH(ResultsTeams[[#This Row],[Category]],$S$1:$T$1,0)+1,FALSE))</f>
        <v/>
      </c>
      <c r="AC5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6" s="264" t="str">
        <f>IF(ResultsTeams[[#This Row],[Type]]="G",ResultsTeams[[#This Row],[Stage]],AD535)</f>
        <v>Last 16</v>
      </c>
      <c r="AE536" s="395" t="str">
        <f>IF(ResultsTeams[[#This Row],[Type]]="G",INDEX(TeamsList[Club Name],MATCH(ResultsTeams[[#This Row],[Team A]],TeamsList[Team Name],0)),AE535)</f>
        <v>Avenir Subbuteo Hennuyer</v>
      </c>
      <c r="AF536" s="395" t="str">
        <f>IF(ResultsTeams[[#This Row],[Type]]="G",INDEX(TeamsList[Club Name],MATCH(ResultsTeams[[#This Row],[Team B]],TeamsList[Team Name],0)),AF535)</f>
        <v>FTC Caen</v>
      </c>
      <c r="AG536" s="265"/>
    </row>
    <row r="537" spans="1:33" ht="12" thickBot="1" x14ac:dyDescent="0.25">
      <c r="A537" s="261" t="s">
        <v>12693</v>
      </c>
      <c r="B537" s="270" t="s">
        <v>12219</v>
      </c>
      <c r="C537" s="270"/>
      <c r="D537" s="270"/>
      <c r="E537" s="272" t="s">
        <v>12228</v>
      </c>
      <c r="F537" s="273" t="s">
        <v>201</v>
      </c>
      <c r="G537" s="273" t="s">
        <v>14589</v>
      </c>
      <c r="H537" s="275">
        <v>3</v>
      </c>
      <c r="I537" s="275">
        <v>0</v>
      </c>
      <c r="J537" s="275"/>
      <c r="K537" s="366"/>
      <c r="L537" s="366"/>
      <c r="M537" s="274"/>
      <c r="N537" s="265" t="b">
        <f>NOT(ISERROR(ResultsTeams[[#This Row],[Goal-A]]+ResultsTeams[[#This Row],[Goal-B]]))</f>
        <v>1</v>
      </c>
      <c r="O537" s="265">
        <f>IF(ResultsTeams[[#This Row],[Type]]="G",SUM(O538:O541),IF(LEFT(ResultsTeams[[#This Row],[Type]],1)="P",IF(ResultsTeams[[#This Row],[Goal-A]]&gt;ResultsTeams[[#This Row],[Goal-B]],1,0),""))</f>
        <v>3</v>
      </c>
      <c r="P537" s="265">
        <f>IF(ResultsTeams[[#This Row],[Type]]="G",SUM(P538:P541),IF(LEFT(ResultsTeams[[#This Row],[Type]],1)="P",IF(ResultsTeams[[#This Row],[Goal-A]]&lt;ResultsTeams[[#This Row],[Goal-B]],1,0),""))</f>
        <v>0</v>
      </c>
      <c r="Q537" s="265">
        <f>IF(ResultsTeams[[#This Row],[Type]]="G",SUM(Q538:Q541),IF(LEFT(ResultsTeams[[#This Row],[Type]],1)="P",VALUE(ResultsTeams[[#This Row],[Score-A]]),""))</f>
        <v>15</v>
      </c>
      <c r="R537" s="265">
        <f>IF(ResultsTeams[[#This Row],[Type]]="G",SUM(R538:R541),IF(LEFT(ResultsTeams[[#This Row],[Type]],1)="P",VALUE(ResultsTeams[[#This Row],[Score-B]]),""))</f>
        <v>5</v>
      </c>
      <c r="S537" s="265">
        <f ca="1">IF(AND(ResultsTeams[[#This Row],[Category]]&lt;&gt;"",ResultsTeams[[#This Row],[Team A]]&lt;&gt;""),COUNTIF(INDIRECT("TeamsList[Club Name]"),ResultsTeams[[#This Row],[Team A]]),"")</f>
        <v>1</v>
      </c>
      <c r="T537" s="265">
        <f ca="1">IF(AND(ResultsTeams[[#This Row],[Category]]&lt;&gt;"",ResultsTeams[[#This Row],[Team B]]&lt;&gt;""),COUNTIF(INDIRECT("TeamsList[Club Name]"),ResultsTeams[[#This Row],[Team B]]),"")</f>
        <v>0</v>
      </c>
      <c r="U5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7" s="265" t="str">
        <f>IF(ResultsTeams[[#This Row],[Score_OK]],IF(ResultsTeams[[#This Row],[StageCpy]]="Groups",ResultsTeams[[#This Row],[Category]]&amp;"-"&amp;IF(ResultsTeams[[#This Row],[Team B]]="","",IF(ResultsTeams[[#This Row],[Match-A]]=ResultsTeams[[#This Row],[Match-B]],ResultsTeams[[#This Row],[Team A]],"")),""),"")</f>
        <v/>
      </c>
      <c r="W537" s="265" t="str">
        <f>IF(ResultsTeams[[#This Row],[Score_OK]],IF(ResultsTeams[[#This Row],[StageCpy]]="Groups",ResultsTeams[[#This Row],[Category]]&amp;"-"&amp;IF(ResultsTeams[[#This Row],[Team B]]="","",IF(ResultsTeams[[#This Row],[Match-A]]=ResultsTeams[[#This Row],[Match-B]],ResultsTeams[[#This Row],[Team B]],"")),""),"")</f>
        <v/>
      </c>
      <c r="X5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TEAM-Avenir Subbuteo Hennuyer 2</v>
      </c>
      <c r="Z5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5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537" s="264" t="str">
        <f>IF(ResultsTeams[[#This Row],[Category]]="","",VLOOKUP(ResultsTeams[[#This Row],[Stage]],$R$1:$T$8,MATCH(ResultsTeams[[#This Row],[Category]],$S$1:$T$1,0)+1,FALSE))</f>
        <v>L16</v>
      </c>
      <c r="AC5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7" s="264" t="str">
        <f>IF(ResultsTeams[[#This Row],[Type]]="G",ResultsTeams[[#This Row],[Stage]],AD536)</f>
        <v>Last 16</v>
      </c>
      <c r="AE537" s="395" t="str">
        <f>IF(ResultsTeams[[#This Row],[Type]]="G",INDEX(TeamsList[Club Name],MATCH(ResultsTeams[[#This Row],[Team A]],TeamsList[Team Name],0)),AE536)</f>
        <v>CCT Eagles Napoli</v>
      </c>
      <c r="AF537" s="395" t="str">
        <f>IF(ResultsTeams[[#This Row],[Type]]="G",INDEX(TeamsList[Club Name],MATCH(ResultsTeams[[#This Row],[Team B]],TeamsList[Team Name],0)),AF536)</f>
        <v>Avenir Subbuteo Hennuyer</v>
      </c>
      <c r="AG537" s="265"/>
    </row>
    <row r="538" spans="1:33" x14ac:dyDescent="0.2">
      <c r="A538" s="60"/>
      <c r="B538" s="280"/>
      <c r="C538" s="60"/>
      <c r="D538" s="60"/>
      <c r="E538" s="240" t="s">
        <v>12231</v>
      </c>
      <c r="F538" s="244" t="s">
        <v>10089</v>
      </c>
      <c r="G538" s="244" t="s">
        <v>8091</v>
      </c>
      <c r="H538" s="253">
        <v>3</v>
      </c>
      <c r="I538" s="253">
        <v>2</v>
      </c>
      <c r="J538" s="253"/>
      <c r="K538" s="362"/>
      <c r="L538" s="362"/>
      <c r="M538" s="245"/>
      <c r="N538" s="265" t="b">
        <f>NOT(ISERROR(ResultsTeams[[#This Row],[Goal-A]]+ResultsTeams[[#This Row],[Goal-B]]))</f>
        <v>1</v>
      </c>
      <c r="O538" s="265">
        <f>IF(ResultsTeams[[#This Row],[Type]]="G",SUM(O539:O542),IF(LEFT(ResultsTeams[[#This Row],[Type]],1)="P",IF(ResultsTeams[[#This Row],[Goal-A]]&gt;ResultsTeams[[#This Row],[Goal-B]],1,0),""))</f>
        <v>1</v>
      </c>
      <c r="P538" s="265">
        <f>IF(ResultsTeams[[#This Row],[Type]]="G",SUM(P539:P542),IF(LEFT(ResultsTeams[[#This Row],[Type]],1)="P",IF(ResultsTeams[[#This Row],[Goal-A]]&lt;ResultsTeams[[#This Row],[Goal-B]],1,0),""))</f>
        <v>0</v>
      </c>
      <c r="Q538" s="265">
        <f>IF(ResultsTeams[[#This Row],[Type]]="G",SUM(Q539:Q542),IF(LEFT(ResultsTeams[[#This Row],[Type]],1)="P",VALUE(ResultsTeams[[#This Row],[Score-A]]),""))</f>
        <v>3</v>
      </c>
      <c r="R538" s="265">
        <f>IF(ResultsTeams[[#This Row],[Type]]="G",SUM(R539:R542),IF(LEFT(ResultsTeams[[#This Row],[Type]],1)="P",VALUE(ResultsTeams[[#This Row],[Score-B]]),""))</f>
        <v>2</v>
      </c>
      <c r="S538" s="265" t="str">
        <f ca="1">IF(AND(ResultsTeams[[#This Row],[Category]]&lt;&gt;"",ResultsTeams[[#This Row],[Team A]]&lt;&gt;""),COUNTIF(INDIRECT("TeamsList[Club Name]"),ResultsTeams[[#This Row],[Team A]]),"")</f>
        <v/>
      </c>
      <c r="T538" s="265" t="str">
        <f ca="1">IF(AND(ResultsTeams[[#This Row],[Category]]&lt;&gt;"",ResultsTeams[[#This Row],[Team B]]&lt;&gt;""),COUNTIF(INDIRECT("TeamsList[Club Name]"),ResultsTeams[[#This Row],[Team B]]),"")</f>
        <v/>
      </c>
      <c r="U5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8" s="265" t="str">
        <f>IF(ResultsTeams[[#This Row],[Score_OK]],IF(ResultsTeams[[#This Row],[StageCpy]]="Groups",ResultsTeams[[#This Row],[Category]]&amp;"-"&amp;IF(ResultsTeams[[#This Row],[Team B]]="","",IF(ResultsTeams[[#This Row],[Match-A]]=ResultsTeams[[#This Row],[Match-B]],ResultsTeams[[#This Row],[Team A]],"")),""),"")</f>
        <v/>
      </c>
      <c r="W538" s="265" t="str">
        <f>IF(ResultsTeams[[#This Row],[Score_OK]],IF(ResultsTeams[[#This Row],[StageCpy]]="Groups",ResultsTeams[[#This Row],[Category]]&amp;"-"&amp;IF(ResultsTeams[[#This Row],[Team B]]="","",IF(ResultsTeams[[#This Row],[Match-A]]=ResultsTeams[[#This Row],[Match-B]],ResultsTeams[[#This Row],[Team B]],"")),""),"")</f>
        <v/>
      </c>
      <c r="X5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8" s="264" t="str">
        <f>IF(ResultsTeams[[#This Row],[Category]]="","",VLOOKUP(ResultsTeams[[#This Row],[Stage]],$R$1:$T$8,MATCH(ResultsTeams[[#This Row],[Category]],$S$1:$T$1,0)+1,FALSE))</f>
        <v/>
      </c>
      <c r="AC5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8" s="264" t="str">
        <f>IF(ResultsTeams[[#This Row],[Type]]="G",ResultsTeams[[#This Row],[Stage]],AD537)</f>
        <v>Last 16</v>
      </c>
      <c r="AE538" s="395" t="str">
        <f>IF(ResultsTeams[[#This Row],[Type]]="G",INDEX(TeamsList[Club Name],MATCH(ResultsTeams[[#This Row],[Team A]],TeamsList[Team Name],0)),AE537)</f>
        <v>CCT Eagles Napoli</v>
      </c>
      <c r="AF538" s="395" t="str">
        <f>IF(ResultsTeams[[#This Row],[Type]]="G",INDEX(TeamsList[Club Name],MATCH(ResultsTeams[[#This Row],[Team B]],TeamsList[Team Name],0)),AF537)</f>
        <v>Avenir Subbuteo Hennuyer</v>
      </c>
      <c r="AG538" s="265"/>
    </row>
    <row r="539" spans="1:33" x14ac:dyDescent="0.2">
      <c r="A539" s="62"/>
      <c r="B539" s="280"/>
      <c r="C539" s="62"/>
      <c r="D539" s="62"/>
      <c r="E539" s="241" t="s">
        <v>12234</v>
      </c>
      <c r="F539" s="246" t="s">
        <v>10088</v>
      </c>
      <c r="G539" s="246" t="s">
        <v>8714</v>
      </c>
      <c r="H539" s="254">
        <v>2</v>
      </c>
      <c r="I539" s="254">
        <v>2</v>
      </c>
      <c r="J539" s="254"/>
      <c r="K539" s="363"/>
      <c r="L539" s="363"/>
      <c r="M539" s="247"/>
      <c r="N539" s="265" t="b">
        <f>NOT(ISERROR(ResultsTeams[[#This Row],[Goal-A]]+ResultsTeams[[#This Row],[Goal-B]]))</f>
        <v>1</v>
      </c>
      <c r="O539" s="265">
        <f>IF(ResultsTeams[[#This Row],[Type]]="G",SUM(O540:O543),IF(LEFT(ResultsTeams[[#This Row],[Type]],1)="P",IF(ResultsTeams[[#This Row],[Goal-A]]&gt;ResultsTeams[[#This Row],[Goal-B]],1,0),""))</f>
        <v>0</v>
      </c>
      <c r="P539" s="265">
        <f>IF(ResultsTeams[[#This Row],[Type]]="G",SUM(P540:P543),IF(LEFT(ResultsTeams[[#This Row],[Type]],1)="P",IF(ResultsTeams[[#This Row],[Goal-A]]&lt;ResultsTeams[[#This Row],[Goal-B]],1,0),""))</f>
        <v>0</v>
      </c>
      <c r="Q539" s="265">
        <f>IF(ResultsTeams[[#This Row],[Type]]="G",SUM(Q540:Q543),IF(LEFT(ResultsTeams[[#This Row],[Type]],1)="P",VALUE(ResultsTeams[[#This Row],[Score-A]]),""))</f>
        <v>2</v>
      </c>
      <c r="R539" s="265">
        <f>IF(ResultsTeams[[#This Row],[Type]]="G",SUM(R540:R543),IF(LEFT(ResultsTeams[[#This Row],[Type]],1)="P",VALUE(ResultsTeams[[#This Row],[Score-B]]),""))</f>
        <v>2</v>
      </c>
      <c r="S539" s="265" t="str">
        <f ca="1">IF(AND(ResultsTeams[[#This Row],[Category]]&lt;&gt;"",ResultsTeams[[#This Row],[Team A]]&lt;&gt;""),COUNTIF(INDIRECT("TeamsList[Club Name]"),ResultsTeams[[#This Row],[Team A]]),"")</f>
        <v/>
      </c>
      <c r="T539" s="265" t="str">
        <f ca="1">IF(AND(ResultsTeams[[#This Row],[Category]]&lt;&gt;"",ResultsTeams[[#This Row],[Team B]]&lt;&gt;""),COUNTIF(INDIRECT("TeamsList[Club Name]"),ResultsTeams[[#This Row],[Team B]]),"")</f>
        <v/>
      </c>
      <c r="U5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9" s="265" t="str">
        <f>IF(ResultsTeams[[#This Row],[Score_OK]],IF(ResultsTeams[[#This Row],[StageCpy]]="Groups",ResultsTeams[[#This Row],[Category]]&amp;"-"&amp;IF(ResultsTeams[[#This Row],[Team B]]="","",IF(ResultsTeams[[#This Row],[Match-A]]=ResultsTeams[[#This Row],[Match-B]],ResultsTeams[[#This Row],[Team A]],"")),""),"")</f>
        <v/>
      </c>
      <c r="W539" s="265" t="str">
        <f>IF(ResultsTeams[[#This Row],[Score_OK]],IF(ResultsTeams[[#This Row],[StageCpy]]="Groups",ResultsTeams[[#This Row],[Category]]&amp;"-"&amp;IF(ResultsTeams[[#This Row],[Team B]]="","",IF(ResultsTeams[[#This Row],[Match-A]]=ResultsTeams[[#This Row],[Match-B]],ResultsTeams[[#This Row],[Team B]],"")),""),"")</f>
        <v/>
      </c>
      <c r="X5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9" s="264" t="str">
        <f>IF(ResultsTeams[[#This Row],[Category]]="","",VLOOKUP(ResultsTeams[[#This Row],[Stage]],$R$1:$T$8,MATCH(ResultsTeams[[#This Row],[Category]],$S$1:$T$1,0)+1,FALSE))</f>
        <v/>
      </c>
      <c r="AC5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9" s="264" t="str">
        <f>IF(ResultsTeams[[#This Row],[Type]]="G",ResultsTeams[[#This Row],[Stage]],AD538)</f>
        <v>Last 16</v>
      </c>
      <c r="AE539" s="395" t="str">
        <f>IF(ResultsTeams[[#This Row],[Type]]="G",INDEX(TeamsList[Club Name],MATCH(ResultsTeams[[#This Row],[Team A]],TeamsList[Team Name],0)),AE538)</f>
        <v>CCT Eagles Napoli</v>
      </c>
      <c r="AF539" s="395" t="str">
        <f>IF(ResultsTeams[[#This Row],[Type]]="G",INDEX(TeamsList[Club Name],MATCH(ResultsTeams[[#This Row],[Team B]],TeamsList[Team Name],0)),AF538)</f>
        <v>Avenir Subbuteo Hennuyer</v>
      </c>
      <c r="AG539" s="265"/>
    </row>
    <row r="540" spans="1:33" x14ac:dyDescent="0.2">
      <c r="A540" s="62"/>
      <c r="B540" s="280"/>
      <c r="C540" s="62"/>
      <c r="D540" s="62"/>
      <c r="E540" s="241" t="s">
        <v>12237</v>
      </c>
      <c r="F540" s="246" t="s">
        <v>10281</v>
      </c>
      <c r="G540" s="246" t="s">
        <v>8149</v>
      </c>
      <c r="H540" s="254">
        <v>3</v>
      </c>
      <c r="I540" s="254">
        <v>1</v>
      </c>
      <c r="J540" s="254"/>
      <c r="K540" s="363"/>
      <c r="L540" s="363"/>
      <c r="M540" s="247"/>
      <c r="N540" s="265" t="b">
        <f>NOT(ISERROR(ResultsTeams[[#This Row],[Goal-A]]+ResultsTeams[[#This Row],[Goal-B]]))</f>
        <v>1</v>
      </c>
      <c r="O540" s="265">
        <f>IF(ResultsTeams[[#This Row],[Type]]="G",SUM(O541:O544),IF(LEFT(ResultsTeams[[#This Row],[Type]],1)="P",IF(ResultsTeams[[#This Row],[Goal-A]]&gt;ResultsTeams[[#This Row],[Goal-B]],1,0),""))</f>
        <v>1</v>
      </c>
      <c r="P540" s="265">
        <f>IF(ResultsTeams[[#This Row],[Type]]="G",SUM(P541:P544),IF(LEFT(ResultsTeams[[#This Row],[Type]],1)="P",IF(ResultsTeams[[#This Row],[Goal-A]]&lt;ResultsTeams[[#This Row],[Goal-B]],1,0),""))</f>
        <v>0</v>
      </c>
      <c r="Q540" s="265">
        <f>IF(ResultsTeams[[#This Row],[Type]]="G",SUM(Q541:Q544),IF(LEFT(ResultsTeams[[#This Row],[Type]],1)="P",VALUE(ResultsTeams[[#This Row],[Score-A]]),""))</f>
        <v>3</v>
      </c>
      <c r="R540" s="265">
        <f>IF(ResultsTeams[[#This Row],[Type]]="G",SUM(R541:R544),IF(LEFT(ResultsTeams[[#This Row],[Type]],1)="P",VALUE(ResultsTeams[[#This Row],[Score-B]]),""))</f>
        <v>1</v>
      </c>
      <c r="S540" s="265" t="str">
        <f ca="1">IF(AND(ResultsTeams[[#This Row],[Category]]&lt;&gt;"",ResultsTeams[[#This Row],[Team A]]&lt;&gt;""),COUNTIF(INDIRECT("TeamsList[Club Name]"),ResultsTeams[[#This Row],[Team A]]),"")</f>
        <v/>
      </c>
      <c r="T540" s="265" t="str">
        <f ca="1">IF(AND(ResultsTeams[[#This Row],[Category]]&lt;&gt;"",ResultsTeams[[#This Row],[Team B]]&lt;&gt;""),COUNTIF(INDIRECT("TeamsList[Club Name]"),ResultsTeams[[#This Row],[Team B]]),"")</f>
        <v/>
      </c>
      <c r="U5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0" s="265" t="str">
        <f>IF(ResultsTeams[[#This Row],[Score_OK]],IF(ResultsTeams[[#This Row],[StageCpy]]="Groups",ResultsTeams[[#This Row],[Category]]&amp;"-"&amp;IF(ResultsTeams[[#This Row],[Team B]]="","",IF(ResultsTeams[[#This Row],[Match-A]]=ResultsTeams[[#This Row],[Match-B]],ResultsTeams[[#This Row],[Team A]],"")),""),"")</f>
        <v/>
      </c>
      <c r="W540" s="265" t="str">
        <f>IF(ResultsTeams[[#This Row],[Score_OK]],IF(ResultsTeams[[#This Row],[StageCpy]]="Groups",ResultsTeams[[#This Row],[Category]]&amp;"-"&amp;IF(ResultsTeams[[#This Row],[Team B]]="","",IF(ResultsTeams[[#This Row],[Match-A]]=ResultsTeams[[#This Row],[Match-B]],ResultsTeams[[#This Row],[Team B]],"")),""),"")</f>
        <v/>
      </c>
      <c r="X5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0" s="264" t="str">
        <f>IF(ResultsTeams[[#This Row],[Category]]="","",VLOOKUP(ResultsTeams[[#This Row],[Stage]],$R$1:$T$8,MATCH(ResultsTeams[[#This Row],[Category]],$S$1:$T$1,0)+1,FALSE))</f>
        <v/>
      </c>
      <c r="AC5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0" s="264" t="str">
        <f>IF(ResultsTeams[[#This Row],[Type]]="G",ResultsTeams[[#This Row],[Stage]],AD539)</f>
        <v>Last 16</v>
      </c>
      <c r="AE540" s="395" t="str">
        <f>IF(ResultsTeams[[#This Row],[Type]]="G",INDEX(TeamsList[Club Name],MATCH(ResultsTeams[[#This Row],[Team A]],TeamsList[Team Name],0)),AE539)</f>
        <v>CCT Eagles Napoli</v>
      </c>
      <c r="AF540" s="395" t="str">
        <f>IF(ResultsTeams[[#This Row],[Type]]="G",INDEX(TeamsList[Club Name],MATCH(ResultsTeams[[#This Row],[Team B]],TeamsList[Team Name],0)),AF539)</f>
        <v>Avenir Subbuteo Hennuyer</v>
      </c>
      <c r="AG540" s="265"/>
    </row>
    <row r="541" spans="1:33" x14ac:dyDescent="0.2">
      <c r="A541" s="62"/>
      <c r="B541" s="280"/>
      <c r="C541" s="62"/>
      <c r="D541" s="62"/>
      <c r="E541" s="241" t="s">
        <v>12240</v>
      </c>
      <c r="F541" s="246" t="s">
        <v>8089</v>
      </c>
      <c r="G541" s="246" t="s">
        <v>8148</v>
      </c>
      <c r="H541" s="254">
        <v>7</v>
      </c>
      <c r="I541" s="254">
        <v>0</v>
      </c>
      <c r="J541" s="254"/>
      <c r="K541" s="363"/>
      <c r="L541" s="363"/>
      <c r="M541" s="247"/>
      <c r="N541" s="265" t="b">
        <f>NOT(ISERROR(ResultsTeams[[#This Row],[Goal-A]]+ResultsTeams[[#This Row],[Goal-B]]))</f>
        <v>1</v>
      </c>
      <c r="O541" s="265">
        <f>IF(ResultsTeams[[#This Row],[Type]]="G",SUM(O542:O545),IF(LEFT(ResultsTeams[[#This Row],[Type]],1)="P",IF(ResultsTeams[[#This Row],[Goal-A]]&gt;ResultsTeams[[#This Row],[Goal-B]],1,0),""))</f>
        <v>1</v>
      </c>
      <c r="P541" s="265">
        <f>IF(ResultsTeams[[#This Row],[Type]]="G",SUM(P542:P545),IF(LEFT(ResultsTeams[[#This Row],[Type]],1)="P",IF(ResultsTeams[[#This Row],[Goal-A]]&lt;ResultsTeams[[#This Row],[Goal-B]],1,0),""))</f>
        <v>0</v>
      </c>
      <c r="Q541" s="265">
        <f>IF(ResultsTeams[[#This Row],[Type]]="G",SUM(Q542:Q545),IF(LEFT(ResultsTeams[[#This Row],[Type]],1)="P",VALUE(ResultsTeams[[#This Row],[Score-A]]),""))</f>
        <v>7</v>
      </c>
      <c r="R541" s="265">
        <f>IF(ResultsTeams[[#This Row],[Type]]="G",SUM(R542:R545),IF(LEFT(ResultsTeams[[#This Row],[Type]],1)="P",VALUE(ResultsTeams[[#This Row],[Score-B]]),""))</f>
        <v>0</v>
      </c>
      <c r="S541" s="265" t="str">
        <f ca="1">IF(AND(ResultsTeams[[#This Row],[Category]]&lt;&gt;"",ResultsTeams[[#This Row],[Team A]]&lt;&gt;""),COUNTIF(INDIRECT("TeamsList[Club Name]"),ResultsTeams[[#This Row],[Team A]]),"")</f>
        <v/>
      </c>
      <c r="T541" s="265" t="str">
        <f ca="1">IF(AND(ResultsTeams[[#This Row],[Category]]&lt;&gt;"",ResultsTeams[[#This Row],[Team B]]&lt;&gt;""),COUNTIF(INDIRECT("TeamsList[Club Name]"),ResultsTeams[[#This Row],[Team B]]),"")</f>
        <v/>
      </c>
      <c r="U5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1" s="265" t="str">
        <f>IF(ResultsTeams[[#This Row],[Score_OK]],IF(ResultsTeams[[#This Row],[StageCpy]]="Groups",ResultsTeams[[#This Row],[Category]]&amp;"-"&amp;IF(ResultsTeams[[#This Row],[Team B]]="","",IF(ResultsTeams[[#This Row],[Match-A]]=ResultsTeams[[#This Row],[Match-B]],ResultsTeams[[#This Row],[Team A]],"")),""),"")</f>
        <v/>
      </c>
      <c r="W541" s="265" t="str">
        <f>IF(ResultsTeams[[#This Row],[Score_OK]],IF(ResultsTeams[[#This Row],[StageCpy]]="Groups",ResultsTeams[[#This Row],[Category]]&amp;"-"&amp;IF(ResultsTeams[[#This Row],[Team B]]="","",IF(ResultsTeams[[#This Row],[Match-A]]=ResultsTeams[[#This Row],[Match-B]],ResultsTeams[[#This Row],[Team B]],"")),""),"")</f>
        <v/>
      </c>
      <c r="X5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1" s="264" t="str">
        <f>IF(ResultsTeams[[#This Row],[Category]]="","",VLOOKUP(ResultsTeams[[#This Row],[Stage]],$R$1:$T$8,MATCH(ResultsTeams[[#This Row],[Category]],$S$1:$T$1,0)+1,FALSE))</f>
        <v/>
      </c>
      <c r="AC5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1" s="264" t="str">
        <f>IF(ResultsTeams[[#This Row],[Type]]="G",ResultsTeams[[#This Row],[Stage]],AD540)</f>
        <v>Last 16</v>
      </c>
      <c r="AE541" s="395" t="str">
        <f>IF(ResultsTeams[[#This Row],[Type]]="G",INDEX(TeamsList[Club Name],MATCH(ResultsTeams[[#This Row],[Team A]],TeamsList[Team Name],0)),AE540)</f>
        <v>CCT Eagles Napoli</v>
      </c>
      <c r="AF541" s="395" t="str">
        <f>IF(ResultsTeams[[#This Row],[Type]]="G",INDEX(TeamsList[Club Name],MATCH(ResultsTeams[[#This Row],[Team B]],TeamsList[Team Name],0)),AF540)</f>
        <v>Avenir Subbuteo Hennuyer</v>
      </c>
      <c r="AG541" s="265"/>
    </row>
    <row r="542" spans="1:33" x14ac:dyDescent="0.2">
      <c r="A542" s="62"/>
      <c r="B542" s="62"/>
      <c r="C542" s="62"/>
      <c r="D542" s="62"/>
      <c r="E542" s="241" t="s">
        <v>12243</v>
      </c>
      <c r="F542" s="247"/>
      <c r="G542" s="247"/>
      <c r="H542" s="254"/>
      <c r="I542" s="254"/>
      <c r="J542" s="260"/>
      <c r="K542" s="364"/>
      <c r="L542" s="364"/>
      <c r="M542" s="247"/>
      <c r="N542" s="265" t="b">
        <f>NOT(ISERROR(ResultsTeams[[#This Row],[Goal-A]]+ResultsTeams[[#This Row],[Goal-B]]))</f>
        <v>0</v>
      </c>
      <c r="O542" s="265" t="str">
        <f>IF(ResultsTeams[[#This Row],[Type]]="G",SUM(O543:O546),IF(LEFT(ResultsTeams[[#This Row],[Type]],1)="P",IF(ResultsTeams[[#This Row],[Goal-A]]&gt;ResultsTeams[[#This Row],[Goal-B]],1,0),""))</f>
        <v/>
      </c>
      <c r="P542" s="265" t="str">
        <f>IF(ResultsTeams[[#This Row],[Type]]="G",SUM(P543:P546),IF(LEFT(ResultsTeams[[#This Row],[Type]],1)="P",IF(ResultsTeams[[#This Row],[Goal-A]]&lt;ResultsTeams[[#This Row],[Goal-B]],1,0),""))</f>
        <v/>
      </c>
      <c r="Q542" s="265" t="str">
        <f>IF(ResultsTeams[[#This Row],[Type]]="G",SUM(Q543:Q546),IF(LEFT(ResultsTeams[[#This Row],[Type]],1)="P",VALUE(ResultsTeams[[#This Row],[Score-A]]),""))</f>
        <v/>
      </c>
      <c r="R542" s="265" t="str">
        <f>IF(ResultsTeams[[#This Row],[Type]]="G",SUM(R543:R546),IF(LEFT(ResultsTeams[[#This Row],[Type]],1)="P",VALUE(ResultsTeams[[#This Row],[Score-B]]),""))</f>
        <v/>
      </c>
      <c r="S542" s="265" t="str">
        <f ca="1">IF(AND(ResultsTeams[[#This Row],[Category]]&lt;&gt;"",ResultsTeams[[#This Row],[Team A]]&lt;&gt;""),COUNTIF(INDIRECT("TeamsList[Club Name]"),ResultsTeams[[#This Row],[Team A]]),"")</f>
        <v/>
      </c>
      <c r="T542" s="265" t="str">
        <f ca="1">IF(AND(ResultsTeams[[#This Row],[Category]]&lt;&gt;"",ResultsTeams[[#This Row],[Team B]]&lt;&gt;""),COUNTIF(INDIRECT("TeamsList[Club Name]"),ResultsTeams[[#This Row],[Team B]]),"")</f>
        <v/>
      </c>
      <c r="U5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2" s="265" t="str">
        <f>IF(ResultsTeams[[#This Row],[Score_OK]],IF(ResultsTeams[[#This Row],[StageCpy]]="Groups",ResultsTeams[[#This Row],[Category]]&amp;"-"&amp;IF(ResultsTeams[[#This Row],[Team B]]="","",IF(ResultsTeams[[#This Row],[Match-A]]=ResultsTeams[[#This Row],[Match-B]],ResultsTeams[[#This Row],[Team A]],"")),""),"")</f>
        <v/>
      </c>
      <c r="W542" s="265" t="str">
        <f>IF(ResultsTeams[[#This Row],[Score_OK]],IF(ResultsTeams[[#This Row],[StageCpy]]="Groups",ResultsTeams[[#This Row],[Category]]&amp;"-"&amp;IF(ResultsTeams[[#This Row],[Team B]]="","",IF(ResultsTeams[[#This Row],[Match-A]]=ResultsTeams[[#This Row],[Match-B]],ResultsTeams[[#This Row],[Team B]],"")),""),"")</f>
        <v/>
      </c>
      <c r="X5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2" s="264" t="str">
        <f>IF(ResultsTeams[[#This Row],[Category]]="","",VLOOKUP(ResultsTeams[[#This Row],[Stage]],$R$1:$T$8,MATCH(ResultsTeams[[#This Row],[Category]],$S$1:$T$1,0)+1,FALSE))</f>
        <v/>
      </c>
      <c r="AC5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2" s="264" t="str">
        <f>IF(ResultsTeams[[#This Row],[Type]]="G",ResultsTeams[[#This Row],[Stage]],AD541)</f>
        <v>Last 16</v>
      </c>
      <c r="AE542" s="395" t="str">
        <f>IF(ResultsTeams[[#This Row],[Type]]="G",INDEX(TeamsList[Club Name],MATCH(ResultsTeams[[#This Row],[Team A]],TeamsList[Team Name],0)),AE541)</f>
        <v>CCT Eagles Napoli</v>
      </c>
      <c r="AF542" s="395" t="str">
        <f>IF(ResultsTeams[[#This Row],[Type]]="G",INDEX(TeamsList[Club Name],MATCH(ResultsTeams[[#This Row],[Team B]],TeamsList[Team Name],0)),AF541)</f>
        <v>Avenir Subbuteo Hennuyer</v>
      </c>
      <c r="AG542" s="265"/>
    </row>
    <row r="543" spans="1:33" ht="12" thickBot="1" x14ac:dyDescent="0.25">
      <c r="A543" s="83"/>
      <c r="B543" s="83"/>
      <c r="C543" s="83"/>
      <c r="D543" s="83"/>
      <c r="E543" s="268" t="s">
        <v>12244</v>
      </c>
      <c r="F543" s="262"/>
      <c r="G543" s="262"/>
      <c r="H543" s="324"/>
      <c r="I543" s="324"/>
      <c r="J543" s="263"/>
      <c r="K543" s="365"/>
      <c r="L543" s="365"/>
      <c r="M543" s="262"/>
      <c r="N543" s="265" t="b">
        <f>NOT(ISERROR(ResultsTeams[[#This Row],[Goal-A]]+ResultsTeams[[#This Row],[Goal-B]]))</f>
        <v>0</v>
      </c>
      <c r="O543" s="265" t="str">
        <f>IF(ResultsTeams[[#This Row],[Type]]="G",SUM(O544:O547),IF(LEFT(ResultsTeams[[#This Row],[Type]],1)="P",IF(ResultsTeams[[#This Row],[Goal-A]]&gt;ResultsTeams[[#This Row],[Goal-B]],1,0),""))</f>
        <v/>
      </c>
      <c r="P543" s="265" t="str">
        <f>IF(ResultsTeams[[#This Row],[Type]]="G",SUM(P544:P547),IF(LEFT(ResultsTeams[[#This Row],[Type]],1)="P",IF(ResultsTeams[[#This Row],[Goal-A]]&lt;ResultsTeams[[#This Row],[Goal-B]],1,0),""))</f>
        <v/>
      </c>
      <c r="Q543" s="265" t="str">
        <f>IF(ResultsTeams[[#This Row],[Type]]="G",SUM(Q544:Q547),IF(LEFT(ResultsTeams[[#This Row],[Type]],1)="P",VALUE(ResultsTeams[[#This Row],[Score-A]]),""))</f>
        <v/>
      </c>
      <c r="R543" s="265" t="str">
        <f>IF(ResultsTeams[[#This Row],[Type]]="G",SUM(R544:R547),IF(LEFT(ResultsTeams[[#This Row],[Type]],1)="P",VALUE(ResultsTeams[[#This Row],[Score-B]]),""))</f>
        <v/>
      </c>
      <c r="S543" s="265" t="str">
        <f ca="1">IF(AND(ResultsTeams[[#This Row],[Category]]&lt;&gt;"",ResultsTeams[[#This Row],[Team A]]&lt;&gt;""),COUNTIF(INDIRECT("TeamsList[Club Name]"),ResultsTeams[[#This Row],[Team A]]),"")</f>
        <v/>
      </c>
      <c r="T543" s="265" t="str">
        <f ca="1">IF(AND(ResultsTeams[[#This Row],[Category]]&lt;&gt;"",ResultsTeams[[#This Row],[Team B]]&lt;&gt;""),COUNTIF(INDIRECT("TeamsList[Club Name]"),ResultsTeams[[#This Row],[Team B]]),"")</f>
        <v/>
      </c>
      <c r="U5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3" s="265" t="str">
        <f>IF(ResultsTeams[[#This Row],[Score_OK]],IF(ResultsTeams[[#This Row],[StageCpy]]="Groups",ResultsTeams[[#This Row],[Category]]&amp;"-"&amp;IF(ResultsTeams[[#This Row],[Team B]]="","",IF(ResultsTeams[[#This Row],[Match-A]]=ResultsTeams[[#This Row],[Match-B]],ResultsTeams[[#This Row],[Team A]],"")),""),"")</f>
        <v/>
      </c>
      <c r="W543" s="265" t="str">
        <f>IF(ResultsTeams[[#This Row],[Score_OK]],IF(ResultsTeams[[#This Row],[StageCpy]]="Groups",ResultsTeams[[#This Row],[Category]]&amp;"-"&amp;IF(ResultsTeams[[#This Row],[Team B]]="","",IF(ResultsTeams[[#This Row],[Match-A]]=ResultsTeams[[#This Row],[Match-B]],ResultsTeams[[#This Row],[Team B]],"")),""),"")</f>
        <v/>
      </c>
      <c r="X5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3" s="264" t="str">
        <f>IF(ResultsTeams[[#This Row],[Category]]="","",VLOOKUP(ResultsTeams[[#This Row],[Stage]],$R$1:$T$8,MATCH(ResultsTeams[[#This Row],[Category]],$S$1:$T$1,0)+1,FALSE))</f>
        <v/>
      </c>
      <c r="AC5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3" s="264" t="str">
        <f>IF(ResultsTeams[[#This Row],[Type]]="G",ResultsTeams[[#This Row],[Stage]],AD542)</f>
        <v>Last 16</v>
      </c>
      <c r="AE543" s="395" t="str">
        <f>IF(ResultsTeams[[#This Row],[Type]]="G",INDEX(TeamsList[Club Name],MATCH(ResultsTeams[[#This Row],[Team A]],TeamsList[Team Name],0)),AE542)</f>
        <v>CCT Eagles Napoli</v>
      </c>
      <c r="AF543" s="395" t="str">
        <f>IF(ResultsTeams[[#This Row],[Type]]="G",INDEX(TeamsList[Club Name],MATCH(ResultsTeams[[#This Row],[Team B]],TeamsList[Team Name],0)),AF542)</f>
        <v>Avenir Subbuteo Hennuyer</v>
      </c>
      <c r="AG543" s="265"/>
    </row>
    <row r="544" spans="1:33" ht="12" thickBot="1" x14ac:dyDescent="0.25">
      <c r="A544" s="261" t="s">
        <v>12263</v>
      </c>
      <c r="B544" s="270" t="s">
        <v>12215</v>
      </c>
      <c r="C544" s="506"/>
      <c r="D544" s="270"/>
      <c r="E544" s="272" t="s">
        <v>12228</v>
      </c>
      <c r="F544" s="273" t="s">
        <v>14587</v>
      </c>
      <c r="G544" s="273" t="s">
        <v>14596</v>
      </c>
      <c r="H544" s="275">
        <v>4</v>
      </c>
      <c r="I544" s="275">
        <v>0</v>
      </c>
      <c r="J544" s="275"/>
      <c r="K544" s="366"/>
      <c r="L544" s="366"/>
      <c r="M544" s="274"/>
      <c r="N544" s="265" t="b">
        <f>NOT(ISERROR(ResultsTeams[[#This Row],[Goal-A]]+ResultsTeams[[#This Row],[Goal-B]]))</f>
        <v>1</v>
      </c>
      <c r="O544" s="265">
        <f>IF(ResultsTeams[[#This Row],[Type]]="G",SUM(O545:O548),IF(LEFT(ResultsTeams[[#This Row],[Type]],1)="P",IF(ResultsTeams[[#This Row],[Goal-A]]&gt;ResultsTeams[[#This Row],[Goal-B]],1,0),""))</f>
        <v>4</v>
      </c>
      <c r="P544" s="265">
        <f>IF(ResultsTeams[[#This Row],[Type]]="G",SUM(P545:P548),IF(LEFT(ResultsTeams[[#This Row],[Type]],1)="P",IF(ResultsTeams[[#This Row],[Goal-A]]&lt;ResultsTeams[[#This Row],[Goal-B]],1,0),""))</f>
        <v>0</v>
      </c>
      <c r="Q544" s="265">
        <f>IF(ResultsTeams[[#This Row],[Type]]="G",SUM(Q545:Q548),IF(LEFT(ResultsTeams[[#This Row],[Type]],1)="P",VALUE(ResultsTeams[[#This Row],[Score-A]]),""))</f>
        <v>15</v>
      </c>
      <c r="R544" s="265">
        <f>IF(ResultsTeams[[#This Row],[Type]]="G",SUM(R545:R548),IF(LEFT(ResultsTeams[[#This Row],[Type]],1)="P",VALUE(ResultsTeams[[#This Row],[Score-B]]),""))</f>
        <v>1</v>
      </c>
      <c r="S544" s="265">
        <f ca="1">IF(AND(ResultsTeams[[#This Row],[Category]]&lt;&gt;"",ResultsTeams[[#This Row],[Team A]]&lt;&gt;""),COUNTIF(INDIRECT("TeamsList[Club Name]"),ResultsTeams[[#This Row],[Team A]]),"")</f>
        <v>0</v>
      </c>
      <c r="T544" s="265">
        <f ca="1">IF(AND(ResultsTeams[[#This Row],[Category]]&lt;&gt;"",ResultsTeams[[#This Row],[Team B]]&lt;&gt;""),COUNTIF(INDIRECT("TeamsList[Club Name]"),ResultsTeams[[#This Row],[Team B]]),"")</f>
        <v>0</v>
      </c>
      <c r="U5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4" s="265" t="str">
        <f>IF(ResultsTeams[[#This Row],[Score_OK]],IF(ResultsTeams[[#This Row],[StageCpy]]="Groups",ResultsTeams[[#This Row],[Category]]&amp;"-"&amp;IF(ResultsTeams[[#This Row],[Team B]]="","",IF(ResultsTeams[[#This Row],[Match-A]]=ResultsTeams[[#This Row],[Match-B]],ResultsTeams[[#This Row],[Team A]],"")),""),"")</f>
        <v/>
      </c>
      <c r="W544" s="265" t="str">
        <f>IF(ResultsTeams[[#This Row],[Score_OK]],IF(ResultsTeams[[#This Row],[StageCpy]]="Groups",ResultsTeams[[#This Row],[Category]]&amp;"-"&amp;IF(ResultsTeams[[#This Row],[Team B]]="","",IF(ResultsTeams[[#This Row],[Match-A]]=ResultsTeams[[#This Row],[Match-B]],ResultsTeams[[#This Row],[Team B]],"")),""),"")</f>
        <v/>
      </c>
      <c r="X5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CONSOLATION-Wamme SC 2</v>
      </c>
      <c r="Z544"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544"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544" s="264" t="e">
        <f>IF(ResultsTeams[[#This Row],[Category]]="","",VLOOKUP(ResultsTeams[[#This Row],[Stage]],$R$1:$T$8,MATCH(ResultsTeams[[#This Row],[Category]],$S$1:$T$1,0)+1,FALSE))</f>
        <v>#N/A</v>
      </c>
      <c r="AC544"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544" s="264" t="str">
        <f>IF(ResultsTeams[[#This Row],[Type]]="G",ResultsTeams[[#This Row],[Stage]],AD543)</f>
        <v>Barrage</v>
      </c>
      <c r="AE544" s="395" t="str">
        <f>IF(ResultsTeams[[#This Row],[Type]]="G",INDEX(TeamsList[Club Name],MATCH(ResultsTeams[[#This Row],[Team A]],TeamsList[Team Name],0)),AE543)</f>
        <v>Avenir Subbuteo Hennuyer</v>
      </c>
      <c r="AF544" s="395" t="str">
        <f>IF(ResultsTeams[[#This Row],[Type]]="G",INDEX(TeamsList[Club Name],MATCH(ResultsTeams[[#This Row],[Team B]],TeamsList[Team Name],0)),AF543)</f>
        <v>Wamme SC</v>
      </c>
      <c r="AG544" s="265"/>
    </row>
    <row r="545" spans="1:33" x14ac:dyDescent="0.2">
      <c r="A545" s="60"/>
      <c r="B545" s="280"/>
      <c r="C545" s="60"/>
      <c r="D545" s="60"/>
      <c r="E545" s="240" t="s">
        <v>12231</v>
      </c>
      <c r="F545" s="244" t="s">
        <v>8713</v>
      </c>
      <c r="G545" s="244" t="s">
        <v>8195</v>
      </c>
      <c r="H545" s="253">
        <v>3</v>
      </c>
      <c r="I545" s="253">
        <v>1</v>
      </c>
      <c r="J545" s="253"/>
      <c r="K545" s="362"/>
      <c r="L545" s="362"/>
      <c r="M545" s="245"/>
      <c r="N545" s="265" t="b">
        <f>NOT(ISERROR(ResultsTeams[[#This Row],[Goal-A]]+ResultsTeams[[#This Row],[Goal-B]]))</f>
        <v>1</v>
      </c>
      <c r="O545" s="265">
        <f>IF(ResultsTeams[[#This Row],[Type]]="G",SUM(O546:O549),IF(LEFT(ResultsTeams[[#This Row],[Type]],1)="P",IF(ResultsTeams[[#This Row],[Goal-A]]&gt;ResultsTeams[[#This Row],[Goal-B]],1,0),""))</f>
        <v>1</v>
      </c>
      <c r="P545" s="265">
        <f>IF(ResultsTeams[[#This Row],[Type]]="G",SUM(P546:P549),IF(LEFT(ResultsTeams[[#This Row],[Type]],1)="P",IF(ResultsTeams[[#This Row],[Goal-A]]&lt;ResultsTeams[[#This Row],[Goal-B]],1,0),""))</f>
        <v>0</v>
      </c>
      <c r="Q545" s="265">
        <f>IF(ResultsTeams[[#This Row],[Type]]="G",SUM(Q546:Q549),IF(LEFT(ResultsTeams[[#This Row],[Type]],1)="P",VALUE(ResultsTeams[[#This Row],[Score-A]]),""))</f>
        <v>3</v>
      </c>
      <c r="R545" s="265">
        <f>IF(ResultsTeams[[#This Row],[Type]]="G",SUM(R546:R549),IF(LEFT(ResultsTeams[[#This Row],[Type]],1)="P",VALUE(ResultsTeams[[#This Row],[Score-B]]),""))</f>
        <v>1</v>
      </c>
      <c r="S545" s="265" t="str">
        <f ca="1">IF(AND(ResultsTeams[[#This Row],[Category]]&lt;&gt;"",ResultsTeams[[#This Row],[Team A]]&lt;&gt;""),COUNTIF(INDIRECT("TeamsList[Club Name]"),ResultsTeams[[#This Row],[Team A]]),"")</f>
        <v/>
      </c>
      <c r="T545" s="265" t="str">
        <f ca="1">IF(AND(ResultsTeams[[#This Row],[Category]]&lt;&gt;"",ResultsTeams[[#This Row],[Team B]]&lt;&gt;""),COUNTIF(INDIRECT("TeamsList[Club Name]"),ResultsTeams[[#This Row],[Team B]]),"")</f>
        <v/>
      </c>
      <c r="U5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5" s="265" t="str">
        <f>IF(ResultsTeams[[#This Row],[Score_OK]],IF(ResultsTeams[[#This Row],[StageCpy]]="Groups",ResultsTeams[[#This Row],[Category]]&amp;"-"&amp;IF(ResultsTeams[[#This Row],[Team B]]="","",IF(ResultsTeams[[#This Row],[Match-A]]=ResultsTeams[[#This Row],[Match-B]],ResultsTeams[[#This Row],[Team A]],"")),""),"")</f>
        <v/>
      </c>
      <c r="W545" s="265" t="str">
        <f>IF(ResultsTeams[[#This Row],[Score_OK]],IF(ResultsTeams[[#This Row],[StageCpy]]="Groups",ResultsTeams[[#This Row],[Category]]&amp;"-"&amp;IF(ResultsTeams[[#This Row],[Team B]]="","",IF(ResultsTeams[[#This Row],[Match-A]]=ResultsTeams[[#This Row],[Match-B]],ResultsTeams[[#This Row],[Team B]],"")),""),"")</f>
        <v/>
      </c>
      <c r="X5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5" s="264" t="str">
        <f>IF(ResultsTeams[[#This Row],[Category]]="","",VLOOKUP(ResultsTeams[[#This Row],[Stage]],$R$1:$T$8,MATCH(ResultsTeams[[#This Row],[Category]],$S$1:$T$1,0)+1,FALSE))</f>
        <v/>
      </c>
      <c r="AC5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5" s="264" t="str">
        <f>IF(ResultsTeams[[#This Row],[Type]]="G",ResultsTeams[[#This Row],[Stage]],AD544)</f>
        <v>Barrage</v>
      </c>
      <c r="AE545" s="395" t="str">
        <f>IF(ResultsTeams[[#This Row],[Type]]="G",INDEX(TeamsList[Club Name],MATCH(ResultsTeams[[#This Row],[Team A]],TeamsList[Team Name],0)),AE544)</f>
        <v>Avenir Subbuteo Hennuyer</v>
      </c>
      <c r="AF545" s="395" t="str">
        <f>IF(ResultsTeams[[#This Row],[Type]]="G",INDEX(TeamsList[Club Name],MATCH(ResultsTeams[[#This Row],[Team B]],TeamsList[Team Name],0)),AF544)</f>
        <v>Wamme SC</v>
      </c>
      <c r="AG545" s="265"/>
    </row>
    <row r="546" spans="1:33" x14ac:dyDescent="0.2">
      <c r="A546" s="62"/>
      <c r="B546" s="280"/>
      <c r="C546" s="62"/>
      <c r="D546" s="62"/>
      <c r="E546" s="241" t="s">
        <v>12234</v>
      </c>
      <c r="F546" s="246" t="s">
        <v>8146</v>
      </c>
      <c r="G546" s="246" t="s">
        <v>8179</v>
      </c>
      <c r="H546" s="254">
        <v>2</v>
      </c>
      <c r="I546" s="254">
        <v>0</v>
      </c>
      <c r="J546" s="254"/>
      <c r="K546" s="363"/>
      <c r="L546" s="363"/>
      <c r="M546" s="247"/>
      <c r="N546" s="265" t="b">
        <f>NOT(ISERROR(ResultsTeams[[#This Row],[Goal-A]]+ResultsTeams[[#This Row],[Goal-B]]))</f>
        <v>1</v>
      </c>
      <c r="O546" s="265">
        <f>IF(ResultsTeams[[#This Row],[Type]]="G",SUM(O547:O550),IF(LEFT(ResultsTeams[[#This Row],[Type]],1)="P",IF(ResultsTeams[[#This Row],[Goal-A]]&gt;ResultsTeams[[#This Row],[Goal-B]],1,0),""))</f>
        <v>1</v>
      </c>
      <c r="P546" s="265">
        <f>IF(ResultsTeams[[#This Row],[Type]]="G",SUM(P547:P550),IF(LEFT(ResultsTeams[[#This Row],[Type]],1)="P",IF(ResultsTeams[[#This Row],[Goal-A]]&lt;ResultsTeams[[#This Row],[Goal-B]],1,0),""))</f>
        <v>0</v>
      </c>
      <c r="Q546" s="265">
        <f>IF(ResultsTeams[[#This Row],[Type]]="G",SUM(Q547:Q550),IF(LEFT(ResultsTeams[[#This Row],[Type]],1)="P",VALUE(ResultsTeams[[#This Row],[Score-A]]),""))</f>
        <v>2</v>
      </c>
      <c r="R546" s="265">
        <f>IF(ResultsTeams[[#This Row],[Type]]="G",SUM(R547:R550),IF(LEFT(ResultsTeams[[#This Row],[Type]],1)="P",VALUE(ResultsTeams[[#This Row],[Score-B]]),""))</f>
        <v>0</v>
      </c>
      <c r="S546" s="265" t="str">
        <f ca="1">IF(AND(ResultsTeams[[#This Row],[Category]]&lt;&gt;"",ResultsTeams[[#This Row],[Team A]]&lt;&gt;""),COUNTIF(INDIRECT("TeamsList[Club Name]"),ResultsTeams[[#This Row],[Team A]]),"")</f>
        <v/>
      </c>
      <c r="T546" s="265" t="str">
        <f ca="1">IF(AND(ResultsTeams[[#This Row],[Category]]&lt;&gt;"",ResultsTeams[[#This Row],[Team B]]&lt;&gt;""),COUNTIF(INDIRECT("TeamsList[Club Name]"),ResultsTeams[[#This Row],[Team B]]),"")</f>
        <v/>
      </c>
      <c r="U5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6" s="265" t="str">
        <f>IF(ResultsTeams[[#This Row],[Score_OK]],IF(ResultsTeams[[#This Row],[StageCpy]]="Groups",ResultsTeams[[#This Row],[Category]]&amp;"-"&amp;IF(ResultsTeams[[#This Row],[Team B]]="","",IF(ResultsTeams[[#This Row],[Match-A]]=ResultsTeams[[#This Row],[Match-B]],ResultsTeams[[#This Row],[Team A]],"")),""),"")</f>
        <v/>
      </c>
      <c r="W546" s="265" t="str">
        <f>IF(ResultsTeams[[#This Row],[Score_OK]],IF(ResultsTeams[[#This Row],[StageCpy]]="Groups",ResultsTeams[[#This Row],[Category]]&amp;"-"&amp;IF(ResultsTeams[[#This Row],[Team B]]="","",IF(ResultsTeams[[#This Row],[Match-A]]=ResultsTeams[[#This Row],[Match-B]],ResultsTeams[[#This Row],[Team B]],"")),""),"")</f>
        <v/>
      </c>
      <c r="X5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6" s="264" t="str">
        <f>IF(ResultsTeams[[#This Row],[Category]]="","",VLOOKUP(ResultsTeams[[#This Row],[Stage]],$R$1:$T$8,MATCH(ResultsTeams[[#This Row],[Category]],$S$1:$T$1,0)+1,FALSE))</f>
        <v/>
      </c>
      <c r="AC5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6" s="264" t="str">
        <f>IF(ResultsTeams[[#This Row],[Type]]="G",ResultsTeams[[#This Row],[Stage]],AD545)</f>
        <v>Barrage</v>
      </c>
      <c r="AE546" s="395" t="str">
        <f>IF(ResultsTeams[[#This Row],[Type]]="G",INDEX(TeamsList[Club Name],MATCH(ResultsTeams[[#This Row],[Team A]],TeamsList[Team Name],0)),AE545)</f>
        <v>Avenir Subbuteo Hennuyer</v>
      </c>
      <c r="AF546" s="395" t="str">
        <f>IF(ResultsTeams[[#This Row],[Type]]="G",INDEX(TeamsList[Club Name],MATCH(ResultsTeams[[#This Row],[Team B]],TeamsList[Team Name],0)),AF545)</f>
        <v>Wamme SC</v>
      </c>
      <c r="AG546" s="265"/>
    </row>
    <row r="547" spans="1:33" x14ac:dyDescent="0.2">
      <c r="A547" s="62"/>
      <c r="B547" s="280"/>
      <c r="C547" s="62"/>
      <c r="D547" s="62"/>
      <c r="E547" s="241" t="s">
        <v>12237</v>
      </c>
      <c r="F547" s="246" t="s">
        <v>8589</v>
      </c>
      <c r="G547" s="246" t="s">
        <v>8191</v>
      </c>
      <c r="H547" s="254">
        <v>6</v>
      </c>
      <c r="I547" s="254">
        <v>0</v>
      </c>
      <c r="J547" s="254"/>
      <c r="K547" s="363"/>
      <c r="L547" s="363"/>
      <c r="M547" s="247"/>
      <c r="N547" s="265" t="b">
        <f>NOT(ISERROR(ResultsTeams[[#This Row],[Goal-A]]+ResultsTeams[[#This Row],[Goal-B]]))</f>
        <v>1</v>
      </c>
      <c r="O547" s="265">
        <f>IF(ResultsTeams[[#This Row],[Type]]="G",SUM(O548:O551),IF(LEFT(ResultsTeams[[#This Row],[Type]],1)="P",IF(ResultsTeams[[#This Row],[Goal-A]]&gt;ResultsTeams[[#This Row],[Goal-B]],1,0),""))</f>
        <v>1</v>
      </c>
      <c r="P547" s="265">
        <f>IF(ResultsTeams[[#This Row],[Type]]="G",SUM(P548:P551),IF(LEFT(ResultsTeams[[#This Row],[Type]],1)="P",IF(ResultsTeams[[#This Row],[Goal-A]]&lt;ResultsTeams[[#This Row],[Goal-B]],1,0),""))</f>
        <v>0</v>
      </c>
      <c r="Q547" s="265">
        <f>IF(ResultsTeams[[#This Row],[Type]]="G",SUM(Q548:Q551),IF(LEFT(ResultsTeams[[#This Row],[Type]],1)="P",VALUE(ResultsTeams[[#This Row],[Score-A]]),""))</f>
        <v>6</v>
      </c>
      <c r="R547" s="265">
        <f>IF(ResultsTeams[[#This Row],[Type]]="G",SUM(R548:R551),IF(LEFT(ResultsTeams[[#This Row],[Type]],1)="P",VALUE(ResultsTeams[[#This Row],[Score-B]]),""))</f>
        <v>0</v>
      </c>
      <c r="S547" s="265" t="str">
        <f ca="1">IF(AND(ResultsTeams[[#This Row],[Category]]&lt;&gt;"",ResultsTeams[[#This Row],[Team A]]&lt;&gt;""),COUNTIF(INDIRECT("TeamsList[Club Name]"),ResultsTeams[[#This Row],[Team A]]),"")</f>
        <v/>
      </c>
      <c r="T547" s="265" t="str">
        <f ca="1">IF(AND(ResultsTeams[[#This Row],[Category]]&lt;&gt;"",ResultsTeams[[#This Row],[Team B]]&lt;&gt;""),COUNTIF(INDIRECT("TeamsList[Club Name]"),ResultsTeams[[#This Row],[Team B]]),"")</f>
        <v/>
      </c>
      <c r="U5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7" s="265" t="str">
        <f>IF(ResultsTeams[[#This Row],[Score_OK]],IF(ResultsTeams[[#This Row],[StageCpy]]="Groups",ResultsTeams[[#This Row],[Category]]&amp;"-"&amp;IF(ResultsTeams[[#This Row],[Team B]]="","",IF(ResultsTeams[[#This Row],[Match-A]]=ResultsTeams[[#This Row],[Match-B]],ResultsTeams[[#This Row],[Team A]],"")),""),"")</f>
        <v/>
      </c>
      <c r="W547" s="265" t="str">
        <f>IF(ResultsTeams[[#This Row],[Score_OK]],IF(ResultsTeams[[#This Row],[StageCpy]]="Groups",ResultsTeams[[#This Row],[Category]]&amp;"-"&amp;IF(ResultsTeams[[#This Row],[Team B]]="","",IF(ResultsTeams[[#This Row],[Match-A]]=ResultsTeams[[#This Row],[Match-B]],ResultsTeams[[#This Row],[Team B]],"")),""),"")</f>
        <v/>
      </c>
      <c r="X5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7" s="264" t="str">
        <f>IF(ResultsTeams[[#This Row],[Category]]="","",VLOOKUP(ResultsTeams[[#This Row],[Stage]],$R$1:$T$8,MATCH(ResultsTeams[[#This Row],[Category]],$S$1:$T$1,0)+1,FALSE))</f>
        <v/>
      </c>
      <c r="AC5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7" s="264" t="str">
        <f>IF(ResultsTeams[[#This Row],[Type]]="G",ResultsTeams[[#This Row],[Stage]],AD546)</f>
        <v>Barrage</v>
      </c>
      <c r="AE547" s="395" t="str">
        <f>IF(ResultsTeams[[#This Row],[Type]]="G",INDEX(TeamsList[Club Name],MATCH(ResultsTeams[[#This Row],[Team A]],TeamsList[Team Name],0)),AE546)</f>
        <v>Avenir Subbuteo Hennuyer</v>
      </c>
      <c r="AF547" s="395" t="str">
        <f>IF(ResultsTeams[[#This Row],[Type]]="G",INDEX(TeamsList[Club Name],MATCH(ResultsTeams[[#This Row],[Team B]],TeamsList[Team Name],0)),AF546)</f>
        <v>Wamme SC</v>
      </c>
      <c r="AG547" s="265"/>
    </row>
    <row r="548" spans="1:33" x14ac:dyDescent="0.2">
      <c r="A548" s="62"/>
      <c r="B548" s="280"/>
      <c r="C548" s="62"/>
      <c r="D548" s="62"/>
      <c r="E548" s="241" t="s">
        <v>12240</v>
      </c>
      <c r="F548" s="246" t="s">
        <v>14521</v>
      </c>
      <c r="G548" s="246" t="s">
        <v>14481</v>
      </c>
      <c r="H548" s="254">
        <v>4</v>
      </c>
      <c r="I548" s="254">
        <v>0</v>
      </c>
      <c r="J548" s="254"/>
      <c r="K548" s="363"/>
      <c r="L548" s="363"/>
      <c r="M548" s="247"/>
      <c r="N548" s="265" t="b">
        <f>NOT(ISERROR(ResultsTeams[[#This Row],[Goal-A]]+ResultsTeams[[#This Row],[Goal-B]]))</f>
        <v>1</v>
      </c>
      <c r="O548" s="265">
        <f>IF(ResultsTeams[[#This Row],[Type]]="G",SUM(O549:O552),IF(LEFT(ResultsTeams[[#This Row],[Type]],1)="P",IF(ResultsTeams[[#This Row],[Goal-A]]&gt;ResultsTeams[[#This Row],[Goal-B]],1,0),""))</f>
        <v>1</v>
      </c>
      <c r="P548" s="265">
        <f>IF(ResultsTeams[[#This Row],[Type]]="G",SUM(P549:P552),IF(LEFT(ResultsTeams[[#This Row],[Type]],1)="P",IF(ResultsTeams[[#This Row],[Goal-A]]&lt;ResultsTeams[[#This Row],[Goal-B]],1,0),""))</f>
        <v>0</v>
      </c>
      <c r="Q548" s="265">
        <f>IF(ResultsTeams[[#This Row],[Type]]="G",SUM(Q549:Q552),IF(LEFT(ResultsTeams[[#This Row],[Type]],1)="P",VALUE(ResultsTeams[[#This Row],[Score-A]]),""))</f>
        <v>4</v>
      </c>
      <c r="R548" s="265">
        <f>IF(ResultsTeams[[#This Row],[Type]]="G",SUM(R549:R552),IF(LEFT(ResultsTeams[[#This Row],[Type]],1)="P",VALUE(ResultsTeams[[#This Row],[Score-B]]),""))</f>
        <v>0</v>
      </c>
      <c r="S548" s="265" t="str">
        <f ca="1">IF(AND(ResultsTeams[[#This Row],[Category]]&lt;&gt;"",ResultsTeams[[#This Row],[Team A]]&lt;&gt;""),COUNTIF(INDIRECT("TeamsList[Club Name]"),ResultsTeams[[#This Row],[Team A]]),"")</f>
        <v/>
      </c>
      <c r="T548" s="265" t="str">
        <f ca="1">IF(AND(ResultsTeams[[#This Row],[Category]]&lt;&gt;"",ResultsTeams[[#This Row],[Team B]]&lt;&gt;""),COUNTIF(INDIRECT("TeamsList[Club Name]"),ResultsTeams[[#This Row],[Team B]]),"")</f>
        <v/>
      </c>
      <c r="U5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8" s="265" t="str">
        <f>IF(ResultsTeams[[#This Row],[Score_OK]],IF(ResultsTeams[[#This Row],[StageCpy]]="Groups",ResultsTeams[[#This Row],[Category]]&amp;"-"&amp;IF(ResultsTeams[[#This Row],[Team B]]="","",IF(ResultsTeams[[#This Row],[Match-A]]=ResultsTeams[[#This Row],[Match-B]],ResultsTeams[[#This Row],[Team A]],"")),""),"")</f>
        <v/>
      </c>
      <c r="W548" s="265" t="str">
        <f>IF(ResultsTeams[[#This Row],[Score_OK]],IF(ResultsTeams[[#This Row],[StageCpy]]="Groups",ResultsTeams[[#This Row],[Category]]&amp;"-"&amp;IF(ResultsTeams[[#This Row],[Team B]]="","",IF(ResultsTeams[[#This Row],[Match-A]]=ResultsTeams[[#This Row],[Match-B]],ResultsTeams[[#This Row],[Team B]],"")),""),"")</f>
        <v/>
      </c>
      <c r="X5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8" s="264" t="str">
        <f>IF(ResultsTeams[[#This Row],[Category]]="","",VLOOKUP(ResultsTeams[[#This Row],[Stage]],$R$1:$T$8,MATCH(ResultsTeams[[#This Row],[Category]],$S$1:$T$1,0)+1,FALSE))</f>
        <v/>
      </c>
      <c r="AC5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8" s="264" t="str">
        <f>IF(ResultsTeams[[#This Row],[Type]]="G",ResultsTeams[[#This Row],[Stage]],AD547)</f>
        <v>Barrage</v>
      </c>
      <c r="AE548" s="395" t="str">
        <f>IF(ResultsTeams[[#This Row],[Type]]="G",INDEX(TeamsList[Club Name],MATCH(ResultsTeams[[#This Row],[Team A]],TeamsList[Team Name],0)),AE547)</f>
        <v>Avenir Subbuteo Hennuyer</v>
      </c>
      <c r="AF548" s="395" t="str">
        <f>IF(ResultsTeams[[#This Row],[Type]]="G",INDEX(TeamsList[Club Name],MATCH(ResultsTeams[[#This Row],[Team B]],TeamsList[Team Name],0)),AF547)</f>
        <v>Wamme SC</v>
      </c>
      <c r="AG548" s="265"/>
    </row>
    <row r="549" spans="1:33" x14ac:dyDescent="0.2">
      <c r="A549" s="62"/>
      <c r="B549" s="62"/>
      <c r="C549" s="62"/>
      <c r="D549" s="62"/>
      <c r="E549" s="241" t="s">
        <v>12243</v>
      </c>
      <c r="F549" s="247"/>
      <c r="G549" s="247"/>
      <c r="H549" s="254"/>
      <c r="I549" s="254"/>
      <c r="J549" s="260"/>
      <c r="K549" s="364"/>
      <c r="L549" s="364"/>
      <c r="M549" s="63"/>
      <c r="N549" s="265" t="b">
        <f>NOT(ISERROR(ResultsTeams[[#This Row],[Goal-A]]+ResultsTeams[[#This Row],[Goal-B]]))</f>
        <v>0</v>
      </c>
      <c r="O549" s="265" t="str">
        <f>IF(ResultsTeams[[#This Row],[Type]]="G",SUM(O550:O553),IF(LEFT(ResultsTeams[[#This Row],[Type]],1)="P",IF(ResultsTeams[[#This Row],[Goal-A]]&gt;ResultsTeams[[#This Row],[Goal-B]],1,0),""))</f>
        <v/>
      </c>
      <c r="P549" s="265" t="str">
        <f>IF(ResultsTeams[[#This Row],[Type]]="G",SUM(P550:P553),IF(LEFT(ResultsTeams[[#This Row],[Type]],1)="P",IF(ResultsTeams[[#This Row],[Goal-A]]&lt;ResultsTeams[[#This Row],[Goal-B]],1,0),""))</f>
        <v/>
      </c>
      <c r="Q549" s="265" t="str">
        <f>IF(ResultsTeams[[#This Row],[Type]]="G",SUM(Q550:Q553),IF(LEFT(ResultsTeams[[#This Row],[Type]],1)="P",VALUE(ResultsTeams[[#This Row],[Score-A]]),""))</f>
        <v/>
      </c>
      <c r="R549" s="265" t="str">
        <f>IF(ResultsTeams[[#This Row],[Type]]="G",SUM(R550:R553),IF(LEFT(ResultsTeams[[#This Row],[Type]],1)="P",VALUE(ResultsTeams[[#This Row],[Score-B]]),""))</f>
        <v/>
      </c>
      <c r="S549" s="265" t="str">
        <f ca="1">IF(AND(ResultsTeams[[#This Row],[Category]]&lt;&gt;"",ResultsTeams[[#This Row],[Team A]]&lt;&gt;""),COUNTIF(INDIRECT("TeamsList[Club Name]"),ResultsTeams[[#This Row],[Team A]]),"")</f>
        <v/>
      </c>
      <c r="T549" s="265" t="str">
        <f ca="1">IF(AND(ResultsTeams[[#This Row],[Category]]&lt;&gt;"",ResultsTeams[[#This Row],[Team B]]&lt;&gt;""),COUNTIF(INDIRECT("TeamsList[Club Name]"),ResultsTeams[[#This Row],[Team B]]),"")</f>
        <v/>
      </c>
      <c r="U5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9" s="265" t="str">
        <f>IF(ResultsTeams[[#This Row],[Score_OK]],IF(ResultsTeams[[#This Row],[StageCpy]]="Groups",ResultsTeams[[#This Row],[Category]]&amp;"-"&amp;IF(ResultsTeams[[#This Row],[Team B]]="","",IF(ResultsTeams[[#This Row],[Match-A]]=ResultsTeams[[#This Row],[Match-B]],ResultsTeams[[#This Row],[Team A]],"")),""),"")</f>
        <v/>
      </c>
      <c r="W549" s="265" t="str">
        <f>IF(ResultsTeams[[#This Row],[Score_OK]],IF(ResultsTeams[[#This Row],[StageCpy]]="Groups",ResultsTeams[[#This Row],[Category]]&amp;"-"&amp;IF(ResultsTeams[[#This Row],[Team B]]="","",IF(ResultsTeams[[#This Row],[Match-A]]=ResultsTeams[[#This Row],[Match-B]],ResultsTeams[[#This Row],[Team B]],"")),""),"")</f>
        <v/>
      </c>
      <c r="X5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9" s="264" t="str">
        <f>IF(ResultsTeams[[#This Row],[Category]]="","",VLOOKUP(ResultsTeams[[#This Row],[Stage]],$R$1:$T$8,MATCH(ResultsTeams[[#This Row],[Category]],$S$1:$T$1,0)+1,FALSE))</f>
        <v/>
      </c>
      <c r="AC5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9" s="264" t="str">
        <f>IF(ResultsTeams[[#This Row],[Type]]="G",ResultsTeams[[#This Row],[Stage]],AD548)</f>
        <v>Barrage</v>
      </c>
      <c r="AE549" s="395" t="str">
        <f>IF(ResultsTeams[[#This Row],[Type]]="G",INDEX(TeamsList[Club Name],MATCH(ResultsTeams[[#This Row],[Team A]],TeamsList[Team Name],0)),AE548)</f>
        <v>Avenir Subbuteo Hennuyer</v>
      </c>
      <c r="AF549" s="395" t="str">
        <f>IF(ResultsTeams[[#This Row],[Type]]="G",INDEX(TeamsList[Club Name],MATCH(ResultsTeams[[#This Row],[Team B]],TeamsList[Team Name],0)),AF548)</f>
        <v>Wamme SC</v>
      </c>
      <c r="AG549" s="265"/>
    </row>
    <row r="550" spans="1:33" ht="12" thickBot="1" x14ac:dyDescent="0.25">
      <c r="A550" s="83"/>
      <c r="B550" s="83"/>
      <c r="C550" s="83"/>
      <c r="D550" s="83"/>
      <c r="E550" s="268" t="s">
        <v>12244</v>
      </c>
      <c r="F550" s="262"/>
      <c r="G550" s="262"/>
      <c r="H550" s="324"/>
      <c r="I550" s="324"/>
      <c r="J550" s="263"/>
      <c r="K550" s="365"/>
      <c r="L550" s="365"/>
      <c r="M550" s="84"/>
      <c r="N550" s="265" t="b">
        <f>NOT(ISERROR(ResultsTeams[[#This Row],[Goal-A]]+ResultsTeams[[#This Row],[Goal-B]]))</f>
        <v>0</v>
      </c>
      <c r="O550" s="265" t="str">
        <f>IF(ResultsTeams[[#This Row],[Type]]="G",SUM(O551:O554),IF(LEFT(ResultsTeams[[#This Row],[Type]],1)="P",IF(ResultsTeams[[#This Row],[Goal-A]]&gt;ResultsTeams[[#This Row],[Goal-B]],1,0),""))</f>
        <v/>
      </c>
      <c r="P550" s="265" t="str">
        <f>IF(ResultsTeams[[#This Row],[Type]]="G",SUM(P551:P554),IF(LEFT(ResultsTeams[[#This Row],[Type]],1)="P",IF(ResultsTeams[[#This Row],[Goal-A]]&lt;ResultsTeams[[#This Row],[Goal-B]],1,0),""))</f>
        <v/>
      </c>
      <c r="Q550" s="265" t="str">
        <f>IF(ResultsTeams[[#This Row],[Type]]="G",SUM(Q551:Q554),IF(LEFT(ResultsTeams[[#This Row],[Type]],1)="P",VALUE(ResultsTeams[[#This Row],[Score-A]]),""))</f>
        <v/>
      </c>
      <c r="R550" s="265" t="str">
        <f>IF(ResultsTeams[[#This Row],[Type]]="G",SUM(R551:R554),IF(LEFT(ResultsTeams[[#This Row],[Type]],1)="P",VALUE(ResultsTeams[[#This Row],[Score-B]]),""))</f>
        <v/>
      </c>
      <c r="S550" s="265" t="str">
        <f ca="1">IF(AND(ResultsTeams[[#This Row],[Category]]&lt;&gt;"",ResultsTeams[[#This Row],[Team A]]&lt;&gt;""),COUNTIF(INDIRECT("TeamsList[Club Name]"),ResultsTeams[[#This Row],[Team A]]),"")</f>
        <v/>
      </c>
      <c r="T550" s="265" t="str">
        <f ca="1">IF(AND(ResultsTeams[[#This Row],[Category]]&lt;&gt;"",ResultsTeams[[#This Row],[Team B]]&lt;&gt;""),COUNTIF(INDIRECT("TeamsList[Club Name]"),ResultsTeams[[#This Row],[Team B]]),"")</f>
        <v/>
      </c>
      <c r="U5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0" s="265" t="str">
        <f>IF(ResultsTeams[[#This Row],[Score_OK]],IF(ResultsTeams[[#This Row],[StageCpy]]="Groups",ResultsTeams[[#This Row],[Category]]&amp;"-"&amp;IF(ResultsTeams[[#This Row],[Team B]]="","",IF(ResultsTeams[[#This Row],[Match-A]]=ResultsTeams[[#This Row],[Match-B]],ResultsTeams[[#This Row],[Team A]],"")),""),"")</f>
        <v/>
      </c>
      <c r="W550" s="265" t="str">
        <f>IF(ResultsTeams[[#This Row],[Score_OK]],IF(ResultsTeams[[#This Row],[StageCpy]]="Groups",ResultsTeams[[#This Row],[Category]]&amp;"-"&amp;IF(ResultsTeams[[#This Row],[Team B]]="","",IF(ResultsTeams[[#This Row],[Match-A]]=ResultsTeams[[#This Row],[Match-B]],ResultsTeams[[#This Row],[Team B]],"")),""),"")</f>
        <v/>
      </c>
      <c r="X5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0" s="264" t="str">
        <f>IF(ResultsTeams[[#This Row],[Category]]="","",VLOOKUP(ResultsTeams[[#This Row],[Stage]],$R$1:$T$8,MATCH(ResultsTeams[[#This Row],[Category]],$S$1:$T$1,0)+1,FALSE))</f>
        <v/>
      </c>
      <c r="AC5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0" s="264" t="str">
        <f>IF(ResultsTeams[[#This Row],[Type]]="G",ResultsTeams[[#This Row],[Stage]],AD549)</f>
        <v>Barrage</v>
      </c>
      <c r="AE550" s="395" t="str">
        <f>IF(ResultsTeams[[#This Row],[Type]]="G",INDEX(TeamsList[Club Name],MATCH(ResultsTeams[[#This Row],[Team A]],TeamsList[Team Name],0)),AE549)</f>
        <v>Avenir Subbuteo Hennuyer</v>
      </c>
      <c r="AF550" s="395" t="str">
        <f>IF(ResultsTeams[[#This Row],[Type]]="G",INDEX(TeamsList[Club Name],MATCH(ResultsTeams[[#This Row],[Team B]],TeamsList[Team Name],0)),AF549)</f>
        <v>Wamme SC</v>
      </c>
      <c r="AG550" s="265"/>
    </row>
    <row r="551" spans="1:33" ht="12" thickBot="1" x14ac:dyDescent="0.25">
      <c r="A551" s="261" t="s">
        <v>12263</v>
      </c>
      <c r="B551" s="270" t="s">
        <v>12215</v>
      </c>
      <c r="C551" s="506"/>
      <c r="D551" s="270"/>
      <c r="E551" s="272" t="s">
        <v>12228</v>
      </c>
      <c r="F551" s="273" t="s">
        <v>6490</v>
      </c>
      <c r="G551" s="273" t="s">
        <v>14595</v>
      </c>
      <c r="H551" s="275">
        <v>2</v>
      </c>
      <c r="I551" s="275">
        <v>1</v>
      </c>
      <c r="J551" s="275"/>
      <c r="K551" s="366"/>
      <c r="L551" s="366"/>
      <c r="M551" s="271"/>
      <c r="N551" s="265" t="b">
        <f>NOT(ISERROR(ResultsTeams[[#This Row],[Goal-A]]+ResultsTeams[[#This Row],[Goal-B]]))</f>
        <v>1</v>
      </c>
      <c r="O551" s="265">
        <f>IF(ResultsTeams[[#This Row],[Type]]="G",SUM(O552:O555),IF(LEFT(ResultsTeams[[#This Row],[Type]],1)="P",IF(ResultsTeams[[#This Row],[Goal-A]]&gt;ResultsTeams[[#This Row],[Goal-B]],1,0),""))</f>
        <v>2</v>
      </c>
      <c r="P551" s="265">
        <f>IF(ResultsTeams[[#This Row],[Type]]="G",SUM(P552:P555),IF(LEFT(ResultsTeams[[#This Row],[Type]],1)="P",IF(ResultsTeams[[#This Row],[Goal-A]]&lt;ResultsTeams[[#This Row],[Goal-B]],1,0),""))</f>
        <v>1</v>
      </c>
      <c r="Q551" s="265">
        <f>IF(ResultsTeams[[#This Row],[Type]]="G",SUM(Q552:Q555),IF(LEFT(ResultsTeams[[#This Row],[Type]],1)="P",VALUE(ResultsTeams[[#This Row],[Score-A]]),""))</f>
        <v>11</v>
      </c>
      <c r="R551" s="265">
        <f>IF(ResultsTeams[[#This Row],[Type]]="G",SUM(R552:R555),IF(LEFT(ResultsTeams[[#This Row],[Type]],1)="P",VALUE(ResultsTeams[[#This Row],[Score-B]]),""))</f>
        <v>13</v>
      </c>
      <c r="S551" s="265">
        <f ca="1">IF(AND(ResultsTeams[[#This Row],[Category]]&lt;&gt;"",ResultsTeams[[#This Row],[Team A]]&lt;&gt;""),COUNTIF(INDIRECT("TeamsList[Club Name]"),ResultsTeams[[#This Row],[Team A]]),"")</f>
        <v>1</v>
      </c>
      <c r="T551" s="265">
        <f ca="1">IF(AND(ResultsTeams[[#This Row],[Category]]&lt;&gt;"",ResultsTeams[[#This Row],[Team B]]&lt;&gt;""),COUNTIF(INDIRECT("TeamsList[Club Name]"),ResultsTeams[[#This Row],[Team B]]),"")</f>
        <v>0</v>
      </c>
      <c r="U5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1" s="265" t="str">
        <f>IF(ResultsTeams[[#This Row],[Score_OK]],IF(ResultsTeams[[#This Row],[StageCpy]]="Groups",ResultsTeams[[#This Row],[Category]]&amp;"-"&amp;IF(ResultsTeams[[#This Row],[Team B]]="","",IF(ResultsTeams[[#This Row],[Match-A]]=ResultsTeams[[#This Row],[Match-B]],ResultsTeams[[#This Row],[Team A]],"")),""),"")</f>
        <v/>
      </c>
      <c r="W551" s="265" t="str">
        <f>IF(ResultsTeams[[#This Row],[Score_OK]],IF(ResultsTeams[[#This Row],[StageCpy]]="Groups",ResultsTeams[[#This Row],[Category]]&amp;"-"&amp;IF(ResultsTeams[[#This Row],[Team B]]="","",IF(ResultsTeams[[#This Row],[Match-A]]=ResultsTeams[[#This Row],[Match-B]],ResultsTeams[[#This Row],[Team B]],"")),""),"")</f>
        <v/>
      </c>
      <c r="X5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CONSOLATION-Kent Invicta TFC 2</v>
      </c>
      <c r="Z551"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551"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551" s="264" t="e">
        <f>IF(ResultsTeams[[#This Row],[Category]]="","",VLOOKUP(ResultsTeams[[#This Row],[Stage]],$R$1:$T$8,MATCH(ResultsTeams[[#This Row],[Category]],$S$1:$T$1,0)+1,FALSE))</f>
        <v>#N/A</v>
      </c>
      <c r="AC551"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551" s="264" t="str">
        <f>IF(ResultsTeams[[#This Row],[Type]]="G",ResultsTeams[[#This Row],[Stage]],AD550)</f>
        <v>Barrage</v>
      </c>
      <c r="AE551" s="395" t="str">
        <f>IF(ResultsTeams[[#This Row],[Type]]="G",INDEX(TeamsList[Club Name],MATCH(ResultsTeams[[#This Row],[Team A]],TeamsList[Team Name],0)),AE550)</f>
        <v>Dutch Legends</v>
      </c>
      <c r="AF551" s="395" t="str">
        <f>IF(ResultsTeams[[#This Row],[Type]]="G",INDEX(TeamsList[Club Name],MATCH(ResultsTeams[[#This Row],[Team B]],TeamsList[Team Name],0)),AF550)</f>
        <v>Kent Invicta TFC</v>
      </c>
      <c r="AG551" s="265"/>
    </row>
    <row r="552" spans="1:33" x14ac:dyDescent="0.2">
      <c r="A552" s="60"/>
      <c r="B552" s="280"/>
      <c r="C552" s="60"/>
      <c r="D552" s="60"/>
      <c r="E552" s="240" t="s">
        <v>12231</v>
      </c>
      <c r="F552" s="244" t="s">
        <v>11473</v>
      </c>
      <c r="G552" s="244" t="s">
        <v>13262</v>
      </c>
      <c r="H552" s="253">
        <v>1</v>
      </c>
      <c r="I552" s="253">
        <v>0</v>
      </c>
      <c r="J552" s="253"/>
      <c r="K552" s="362"/>
      <c r="L552" s="362"/>
      <c r="M552" s="61"/>
      <c r="N552" s="265" t="b">
        <f>NOT(ISERROR(ResultsTeams[[#This Row],[Goal-A]]+ResultsTeams[[#This Row],[Goal-B]]))</f>
        <v>1</v>
      </c>
      <c r="O552" s="265">
        <f>IF(ResultsTeams[[#This Row],[Type]]="G",SUM(O553:O556),IF(LEFT(ResultsTeams[[#This Row],[Type]],1)="P",IF(ResultsTeams[[#This Row],[Goal-A]]&gt;ResultsTeams[[#This Row],[Goal-B]],1,0),""))</f>
        <v>1</v>
      </c>
      <c r="P552" s="265">
        <f>IF(ResultsTeams[[#This Row],[Type]]="G",SUM(P553:P556),IF(LEFT(ResultsTeams[[#This Row],[Type]],1)="P",IF(ResultsTeams[[#This Row],[Goal-A]]&lt;ResultsTeams[[#This Row],[Goal-B]],1,0),""))</f>
        <v>0</v>
      </c>
      <c r="Q552" s="265">
        <f>IF(ResultsTeams[[#This Row],[Type]]="G",SUM(Q553:Q556),IF(LEFT(ResultsTeams[[#This Row],[Type]],1)="P",VALUE(ResultsTeams[[#This Row],[Score-A]]),""))</f>
        <v>1</v>
      </c>
      <c r="R552" s="265">
        <f>IF(ResultsTeams[[#This Row],[Type]]="G",SUM(R553:R556),IF(LEFT(ResultsTeams[[#This Row],[Type]],1)="P",VALUE(ResultsTeams[[#This Row],[Score-B]]),""))</f>
        <v>0</v>
      </c>
      <c r="S552" s="265" t="str">
        <f ca="1">IF(AND(ResultsTeams[[#This Row],[Category]]&lt;&gt;"",ResultsTeams[[#This Row],[Team A]]&lt;&gt;""),COUNTIF(INDIRECT("TeamsList[Club Name]"),ResultsTeams[[#This Row],[Team A]]),"")</f>
        <v/>
      </c>
      <c r="T552" s="265" t="str">
        <f ca="1">IF(AND(ResultsTeams[[#This Row],[Category]]&lt;&gt;"",ResultsTeams[[#This Row],[Team B]]&lt;&gt;""),COUNTIF(INDIRECT("TeamsList[Club Name]"),ResultsTeams[[#This Row],[Team B]]),"")</f>
        <v/>
      </c>
      <c r="U5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2" s="265" t="str">
        <f>IF(ResultsTeams[[#This Row],[Score_OK]],IF(ResultsTeams[[#This Row],[StageCpy]]="Groups",ResultsTeams[[#This Row],[Category]]&amp;"-"&amp;IF(ResultsTeams[[#This Row],[Team B]]="","",IF(ResultsTeams[[#This Row],[Match-A]]=ResultsTeams[[#This Row],[Match-B]],ResultsTeams[[#This Row],[Team A]],"")),""),"")</f>
        <v/>
      </c>
      <c r="W552" s="265" t="str">
        <f>IF(ResultsTeams[[#This Row],[Score_OK]],IF(ResultsTeams[[#This Row],[StageCpy]]="Groups",ResultsTeams[[#This Row],[Category]]&amp;"-"&amp;IF(ResultsTeams[[#This Row],[Team B]]="","",IF(ResultsTeams[[#This Row],[Match-A]]=ResultsTeams[[#This Row],[Match-B]],ResultsTeams[[#This Row],[Team B]],"")),""),"")</f>
        <v/>
      </c>
      <c r="X5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2" s="264" t="str">
        <f>IF(ResultsTeams[[#This Row],[Category]]="","",VLOOKUP(ResultsTeams[[#This Row],[Stage]],$R$1:$T$8,MATCH(ResultsTeams[[#This Row],[Category]],$S$1:$T$1,0)+1,FALSE))</f>
        <v/>
      </c>
      <c r="AC5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2" s="264" t="str">
        <f>IF(ResultsTeams[[#This Row],[Type]]="G",ResultsTeams[[#This Row],[Stage]],AD551)</f>
        <v>Barrage</v>
      </c>
      <c r="AE552" s="395" t="str">
        <f>IF(ResultsTeams[[#This Row],[Type]]="G",INDEX(TeamsList[Club Name],MATCH(ResultsTeams[[#This Row],[Team A]],TeamsList[Team Name],0)),AE551)</f>
        <v>Dutch Legends</v>
      </c>
      <c r="AF552" s="395" t="str">
        <f>IF(ResultsTeams[[#This Row],[Type]]="G",INDEX(TeamsList[Club Name],MATCH(ResultsTeams[[#This Row],[Team B]],TeamsList[Team Name],0)),AF551)</f>
        <v>Kent Invicta TFC</v>
      </c>
      <c r="AG552" s="265"/>
    </row>
    <row r="553" spans="1:33" x14ac:dyDescent="0.2">
      <c r="A553" s="62"/>
      <c r="B553" s="280"/>
      <c r="C553" s="62"/>
      <c r="D553" s="62"/>
      <c r="E553" s="241" t="s">
        <v>12234</v>
      </c>
      <c r="F553" s="246" t="s">
        <v>10459</v>
      </c>
      <c r="G553" s="246" t="s">
        <v>13243</v>
      </c>
      <c r="H553" s="254">
        <v>8</v>
      </c>
      <c r="I553" s="254">
        <v>6</v>
      </c>
      <c r="J553" s="254"/>
      <c r="K553" s="363"/>
      <c r="L553" s="363"/>
      <c r="M553" s="63"/>
      <c r="N553" s="265" t="b">
        <f>NOT(ISERROR(ResultsTeams[[#This Row],[Goal-A]]+ResultsTeams[[#This Row],[Goal-B]]))</f>
        <v>1</v>
      </c>
      <c r="O553" s="265">
        <f>IF(ResultsTeams[[#This Row],[Type]]="G",SUM(O554:O557),IF(LEFT(ResultsTeams[[#This Row],[Type]],1)="P",IF(ResultsTeams[[#This Row],[Goal-A]]&gt;ResultsTeams[[#This Row],[Goal-B]],1,0),""))</f>
        <v>1</v>
      </c>
      <c r="P553" s="265">
        <f>IF(ResultsTeams[[#This Row],[Type]]="G",SUM(P554:P557),IF(LEFT(ResultsTeams[[#This Row],[Type]],1)="P",IF(ResultsTeams[[#This Row],[Goal-A]]&lt;ResultsTeams[[#This Row],[Goal-B]],1,0),""))</f>
        <v>0</v>
      </c>
      <c r="Q553" s="265">
        <f>IF(ResultsTeams[[#This Row],[Type]]="G",SUM(Q554:Q557),IF(LEFT(ResultsTeams[[#This Row],[Type]],1)="P",VALUE(ResultsTeams[[#This Row],[Score-A]]),""))</f>
        <v>8</v>
      </c>
      <c r="R553" s="265">
        <f>IF(ResultsTeams[[#This Row],[Type]]="G",SUM(R554:R557),IF(LEFT(ResultsTeams[[#This Row],[Type]],1)="P",VALUE(ResultsTeams[[#This Row],[Score-B]]),""))</f>
        <v>6</v>
      </c>
      <c r="S553" s="265" t="str">
        <f ca="1">IF(AND(ResultsTeams[[#This Row],[Category]]&lt;&gt;"",ResultsTeams[[#This Row],[Team A]]&lt;&gt;""),COUNTIF(INDIRECT("TeamsList[Club Name]"),ResultsTeams[[#This Row],[Team A]]),"")</f>
        <v/>
      </c>
      <c r="T553" s="265" t="str">
        <f ca="1">IF(AND(ResultsTeams[[#This Row],[Category]]&lt;&gt;"",ResultsTeams[[#This Row],[Team B]]&lt;&gt;""),COUNTIF(INDIRECT("TeamsList[Club Name]"),ResultsTeams[[#This Row],[Team B]]),"")</f>
        <v/>
      </c>
      <c r="U5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3" s="265" t="str">
        <f>IF(ResultsTeams[[#This Row],[Score_OK]],IF(ResultsTeams[[#This Row],[StageCpy]]="Groups",ResultsTeams[[#This Row],[Category]]&amp;"-"&amp;IF(ResultsTeams[[#This Row],[Team B]]="","",IF(ResultsTeams[[#This Row],[Match-A]]=ResultsTeams[[#This Row],[Match-B]],ResultsTeams[[#This Row],[Team A]],"")),""),"")</f>
        <v/>
      </c>
      <c r="W553" s="265" t="str">
        <f>IF(ResultsTeams[[#This Row],[Score_OK]],IF(ResultsTeams[[#This Row],[StageCpy]]="Groups",ResultsTeams[[#This Row],[Category]]&amp;"-"&amp;IF(ResultsTeams[[#This Row],[Team B]]="","",IF(ResultsTeams[[#This Row],[Match-A]]=ResultsTeams[[#This Row],[Match-B]],ResultsTeams[[#This Row],[Team B]],"")),""),"")</f>
        <v/>
      </c>
      <c r="X5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3" s="264" t="str">
        <f>IF(ResultsTeams[[#This Row],[Category]]="","",VLOOKUP(ResultsTeams[[#This Row],[Stage]],$R$1:$T$8,MATCH(ResultsTeams[[#This Row],[Category]],$S$1:$T$1,0)+1,FALSE))</f>
        <v/>
      </c>
      <c r="AC5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3" s="264" t="str">
        <f>IF(ResultsTeams[[#This Row],[Type]]="G",ResultsTeams[[#This Row],[Stage]],AD552)</f>
        <v>Barrage</v>
      </c>
      <c r="AE553" s="395" t="str">
        <f>IF(ResultsTeams[[#This Row],[Type]]="G",INDEX(TeamsList[Club Name],MATCH(ResultsTeams[[#This Row],[Team A]],TeamsList[Team Name],0)),AE552)</f>
        <v>Dutch Legends</v>
      </c>
      <c r="AF553" s="395" t="str">
        <f>IF(ResultsTeams[[#This Row],[Type]]="G",INDEX(TeamsList[Club Name],MATCH(ResultsTeams[[#This Row],[Team B]],TeamsList[Team Name],0)),AF552)</f>
        <v>Kent Invicta TFC</v>
      </c>
      <c r="AG553" s="265"/>
    </row>
    <row r="554" spans="1:33" x14ac:dyDescent="0.2">
      <c r="A554" s="62"/>
      <c r="B554" s="280"/>
      <c r="C554" s="62"/>
      <c r="D554" s="62"/>
      <c r="E554" s="241" t="s">
        <v>12237</v>
      </c>
      <c r="F554" s="246" t="s">
        <v>12619</v>
      </c>
      <c r="G554" s="246" t="s">
        <v>8514</v>
      </c>
      <c r="H554" s="254">
        <v>2</v>
      </c>
      <c r="I554" s="254">
        <v>2</v>
      </c>
      <c r="J554" s="254"/>
      <c r="K554" s="363"/>
      <c r="L554" s="363"/>
      <c r="M554" s="63"/>
      <c r="N554" s="265" t="b">
        <f>NOT(ISERROR(ResultsTeams[[#This Row],[Goal-A]]+ResultsTeams[[#This Row],[Goal-B]]))</f>
        <v>1</v>
      </c>
      <c r="O554" s="265">
        <f>IF(ResultsTeams[[#This Row],[Type]]="G",SUM(O555:O558),IF(LEFT(ResultsTeams[[#This Row],[Type]],1)="P",IF(ResultsTeams[[#This Row],[Goal-A]]&gt;ResultsTeams[[#This Row],[Goal-B]],1,0),""))</f>
        <v>0</v>
      </c>
      <c r="P554" s="265">
        <f>IF(ResultsTeams[[#This Row],[Type]]="G",SUM(P555:P558),IF(LEFT(ResultsTeams[[#This Row],[Type]],1)="P",IF(ResultsTeams[[#This Row],[Goal-A]]&lt;ResultsTeams[[#This Row],[Goal-B]],1,0),""))</f>
        <v>0</v>
      </c>
      <c r="Q554" s="265">
        <f>IF(ResultsTeams[[#This Row],[Type]]="G",SUM(Q555:Q558),IF(LEFT(ResultsTeams[[#This Row],[Type]],1)="P",VALUE(ResultsTeams[[#This Row],[Score-A]]),""))</f>
        <v>2</v>
      </c>
      <c r="R554" s="265">
        <f>IF(ResultsTeams[[#This Row],[Type]]="G",SUM(R555:R558),IF(LEFT(ResultsTeams[[#This Row],[Type]],1)="P",VALUE(ResultsTeams[[#This Row],[Score-B]]),""))</f>
        <v>2</v>
      </c>
      <c r="S554" s="265" t="str">
        <f ca="1">IF(AND(ResultsTeams[[#This Row],[Category]]&lt;&gt;"",ResultsTeams[[#This Row],[Team A]]&lt;&gt;""),COUNTIF(INDIRECT("TeamsList[Club Name]"),ResultsTeams[[#This Row],[Team A]]),"")</f>
        <v/>
      </c>
      <c r="T554" s="265" t="str">
        <f ca="1">IF(AND(ResultsTeams[[#This Row],[Category]]&lt;&gt;"",ResultsTeams[[#This Row],[Team B]]&lt;&gt;""),COUNTIF(INDIRECT("TeamsList[Club Name]"),ResultsTeams[[#This Row],[Team B]]),"")</f>
        <v/>
      </c>
      <c r="U5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4" s="265" t="str">
        <f>IF(ResultsTeams[[#This Row],[Score_OK]],IF(ResultsTeams[[#This Row],[StageCpy]]="Groups",ResultsTeams[[#This Row],[Category]]&amp;"-"&amp;IF(ResultsTeams[[#This Row],[Team B]]="","",IF(ResultsTeams[[#This Row],[Match-A]]=ResultsTeams[[#This Row],[Match-B]],ResultsTeams[[#This Row],[Team A]],"")),""),"")</f>
        <v/>
      </c>
      <c r="W554" s="265" t="str">
        <f>IF(ResultsTeams[[#This Row],[Score_OK]],IF(ResultsTeams[[#This Row],[StageCpy]]="Groups",ResultsTeams[[#This Row],[Category]]&amp;"-"&amp;IF(ResultsTeams[[#This Row],[Team B]]="","",IF(ResultsTeams[[#This Row],[Match-A]]=ResultsTeams[[#This Row],[Match-B]],ResultsTeams[[#This Row],[Team B]],"")),""),"")</f>
        <v/>
      </c>
      <c r="X5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4" s="264" t="str">
        <f>IF(ResultsTeams[[#This Row],[Category]]="","",VLOOKUP(ResultsTeams[[#This Row],[Stage]],$R$1:$T$8,MATCH(ResultsTeams[[#This Row],[Category]],$S$1:$T$1,0)+1,FALSE))</f>
        <v/>
      </c>
      <c r="AC5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4" s="264" t="str">
        <f>IF(ResultsTeams[[#This Row],[Type]]="G",ResultsTeams[[#This Row],[Stage]],AD553)</f>
        <v>Barrage</v>
      </c>
      <c r="AE554" s="395" t="str">
        <f>IF(ResultsTeams[[#This Row],[Type]]="G",INDEX(TeamsList[Club Name],MATCH(ResultsTeams[[#This Row],[Team A]],TeamsList[Team Name],0)),AE553)</f>
        <v>Dutch Legends</v>
      </c>
      <c r="AF554" s="395" t="str">
        <f>IF(ResultsTeams[[#This Row],[Type]]="G",INDEX(TeamsList[Club Name],MATCH(ResultsTeams[[#This Row],[Team B]],TeamsList[Team Name],0)),AF553)</f>
        <v>Kent Invicta TFC</v>
      </c>
      <c r="AG554" s="265"/>
    </row>
    <row r="555" spans="1:33" x14ac:dyDescent="0.2">
      <c r="A555" s="62"/>
      <c r="B555" s="280"/>
      <c r="C555" s="62"/>
      <c r="D555" s="62"/>
      <c r="E555" s="241" t="s">
        <v>12240</v>
      </c>
      <c r="F555" s="246" t="s">
        <v>11459</v>
      </c>
      <c r="G555" s="246" t="s">
        <v>13246</v>
      </c>
      <c r="H555" s="254">
        <v>0</v>
      </c>
      <c r="I555" s="254">
        <v>5</v>
      </c>
      <c r="J555" s="254"/>
      <c r="K555" s="363"/>
      <c r="L555" s="363"/>
      <c r="M555" s="63"/>
      <c r="N555" s="265" t="b">
        <f>NOT(ISERROR(ResultsTeams[[#This Row],[Goal-A]]+ResultsTeams[[#This Row],[Goal-B]]))</f>
        <v>1</v>
      </c>
      <c r="O555" s="265">
        <f>IF(ResultsTeams[[#This Row],[Type]]="G",SUM(O556:O559),IF(LEFT(ResultsTeams[[#This Row],[Type]],1)="P",IF(ResultsTeams[[#This Row],[Goal-A]]&gt;ResultsTeams[[#This Row],[Goal-B]],1,0),""))</f>
        <v>0</v>
      </c>
      <c r="P555" s="265">
        <f>IF(ResultsTeams[[#This Row],[Type]]="G",SUM(P556:P559),IF(LEFT(ResultsTeams[[#This Row],[Type]],1)="P",IF(ResultsTeams[[#This Row],[Goal-A]]&lt;ResultsTeams[[#This Row],[Goal-B]],1,0),""))</f>
        <v>1</v>
      </c>
      <c r="Q555" s="265">
        <f>IF(ResultsTeams[[#This Row],[Type]]="G",SUM(Q556:Q559),IF(LEFT(ResultsTeams[[#This Row],[Type]],1)="P",VALUE(ResultsTeams[[#This Row],[Score-A]]),""))</f>
        <v>0</v>
      </c>
      <c r="R555" s="265">
        <f>IF(ResultsTeams[[#This Row],[Type]]="G",SUM(R556:R559),IF(LEFT(ResultsTeams[[#This Row],[Type]],1)="P",VALUE(ResultsTeams[[#This Row],[Score-B]]),""))</f>
        <v>5</v>
      </c>
      <c r="S555" s="265" t="str">
        <f ca="1">IF(AND(ResultsTeams[[#This Row],[Category]]&lt;&gt;"",ResultsTeams[[#This Row],[Team A]]&lt;&gt;""),COUNTIF(INDIRECT("TeamsList[Club Name]"),ResultsTeams[[#This Row],[Team A]]),"")</f>
        <v/>
      </c>
      <c r="T555" s="265" t="str">
        <f ca="1">IF(AND(ResultsTeams[[#This Row],[Category]]&lt;&gt;"",ResultsTeams[[#This Row],[Team B]]&lt;&gt;""),COUNTIF(INDIRECT("TeamsList[Club Name]"),ResultsTeams[[#This Row],[Team B]]),"")</f>
        <v/>
      </c>
      <c r="U5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5" s="265" t="str">
        <f>IF(ResultsTeams[[#This Row],[Score_OK]],IF(ResultsTeams[[#This Row],[StageCpy]]="Groups",ResultsTeams[[#This Row],[Category]]&amp;"-"&amp;IF(ResultsTeams[[#This Row],[Team B]]="","",IF(ResultsTeams[[#This Row],[Match-A]]=ResultsTeams[[#This Row],[Match-B]],ResultsTeams[[#This Row],[Team A]],"")),""),"")</f>
        <v/>
      </c>
      <c r="W555" s="265" t="str">
        <f>IF(ResultsTeams[[#This Row],[Score_OK]],IF(ResultsTeams[[#This Row],[StageCpy]]="Groups",ResultsTeams[[#This Row],[Category]]&amp;"-"&amp;IF(ResultsTeams[[#This Row],[Team B]]="","",IF(ResultsTeams[[#This Row],[Match-A]]=ResultsTeams[[#This Row],[Match-B]],ResultsTeams[[#This Row],[Team B]],"")),""),"")</f>
        <v/>
      </c>
      <c r="X5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5" s="264" t="str">
        <f>IF(ResultsTeams[[#This Row],[Category]]="","",VLOOKUP(ResultsTeams[[#This Row],[Stage]],$R$1:$T$8,MATCH(ResultsTeams[[#This Row],[Category]],$S$1:$T$1,0)+1,FALSE))</f>
        <v/>
      </c>
      <c r="AC5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5" s="264" t="str">
        <f>IF(ResultsTeams[[#This Row],[Type]]="G",ResultsTeams[[#This Row],[Stage]],AD554)</f>
        <v>Barrage</v>
      </c>
      <c r="AE555" s="395" t="str">
        <f>IF(ResultsTeams[[#This Row],[Type]]="G",INDEX(TeamsList[Club Name],MATCH(ResultsTeams[[#This Row],[Team A]],TeamsList[Team Name],0)),AE554)</f>
        <v>Dutch Legends</v>
      </c>
      <c r="AF555" s="395" t="str">
        <f>IF(ResultsTeams[[#This Row],[Type]]="G",INDEX(TeamsList[Club Name],MATCH(ResultsTeams[[#This Row],[Team B]],TeamsList[Team Name],0)),AF554)</f>
        <v>Kent Invicta TFC</v>
      </c>
      <c r="AG555" s="265"/>
    </row>
    <row r="556" spans="1:33" x14ac:dyDescent="0.2">
      <c r="A556" s="62"/>
      <c r="B556" s="62"/>
      <c r="C556" s="62"/>
      <c r="D556" s="62"/>
      <c r="E556" s="241" t="s">
        <v>12243</v>
      </c>
      <c r="F556" s="247" t="s">
        <v>11466</v>
      </c>
      <c r="G556" s="247"/>
      <c r="H556" s="254" t="s">
        <v>12684</v>
      </c>
      <c r="I556" s="254"/>
      <c r="J556" s="260"/>
      <c r="K556" s="364"/>
      <c r="L556" s="364"/>
      <c r="M556" s="63"/>
      <c r="N556" s="265" t="b">
        <f>NOT(ISERROR(ResultsTeams[[#This Row],[Goal-A]]+ResultsTeams[[#This Row],[Goal-B]]))</f>
        <v>0</v>
      </c>
      <c r="O556" s="265" t="str">
        <f>IF(ResultsTeams[[#This Row],[Type]]="G",SUM(O557:O560),IF(LEFT(ResultsTeams[[#This Row],[Type]],1)="P",IF(ResultsTeams[[#This Row],[Goal-A]]&gt;ResultsTeams[[#This Row],[Goal-B]],1,0),""))</f>
        <v/>
      </c>
      <c r="P556" s="265" t="str">
        <f>IF(ResultsTeams[[#This Row],[Type]]="G",SUM(P557:P560),IF(LEFT(ResultsTeams[[#This Row],[Type]],1)="P",IF(ResultsTeams[[#This Row],[Goal-A]]&lt;ResultsTeams[[#This Row],[Goal-B]],1,0),""))</f>
        <v/>
      </c>
      <c r="Q556" s="265" t="str">
        <f>IF(ResultsTeams[[#This Row],[Type]]="G",SUM(Q557:Q560),IF(LEFT(ResultsTeams[[#This Row],[Type]],1)="P",VALUE(ResultsTeams[[#This Row],[Score-A]]),""))</f>
        <v/>
      </c>
      <c r="R556" s="265" t="str">
        <f>IF(ResultsTeams[[#This Row],[Type]]="G",SUM(R557:R560),IF(LEFT(ResultsTeams[[#This Row],[Type]],1)="P",VALUE(ResultsTeams[[#This Row],[Score-B]]),""))</f>
        <v/>
      </c>
      <c r="S556" s="265" t="str">
        <f ca="1">IF(AND(ResultsTeams[[#This Row],[Category]]&lt;&gt;"",ResultsTeams[[#This Row],[Team A]]&lt;&gt;""),COUNTIF(INDIRECT("TeamsList[Club Name]"),ResultsTeams[[#This Row],[Team A]]),"")</f>
        <v/>
      </c>
      <c r="T556" s="265" t="str">
        <f ca="1">IF(AND(ResultsTeams[[#This Row],[Category]]&lt;&gt;"",ResultsTeams[[#This Row],[Team B]]&lt;&gt;""),COUNTIF(INDIRECT("TeamsList[Club Name]"),ResultsTeams[[#This Row],[Team B]]),"")</f>
        <v/>
      </c>
      <c r="U5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6" s="265" t="str">
        <f>IF(ResultsTeams[[#This Row],[Score_OK]],IF(ResultsTeams[[#This Row],[StageCpy]]="Groups",ResultsTeams[[#This Row],[Category]]&amp;"-"&amp;IF(ResultsTeams[[#This Row],[Team B]]="","",IF(ResultsTeams[[#This Row],[Match-A]]=ResultsTeams[[#This Row],[Match-B]],ResultsTeams[[#This Row],[Team A]],"")),""),"")</f>
        <v/>
      </c>
      <c r="W556" s="265" t="str">
        <f>IF(ResultsTeams[[#This Row],[Score_OK]],IF(ResultsTeams[[#This Row],[StageCpy]]="Groups",ResultsTeams[[#This Row],[Category]]&amp;"-"&amp;IF(ResultsTeams[[#This Row],[Team B]]="","",IF(ResultsTeams[[#This Row],[Match-A]]=ResultsTeams[[#This Row],[Match-B]],ResultsTeams[[#This Row],[Team B]],"")),""),"")</f>
        <v/>
      </c>
      <c r="X5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6" s="264" t="str">
        <f>IF(ResultsTeams[[#This Row],[Category]]="","",VLOOKUP(ResultsTeams[[#This Row],[Stage]],$R$1:$T$8,MATCH(ResultsTeams[[#This Row],[Category]],$S$1:$T$1,0)+1,FALSE))</f>
        <v/>
      </c>
      <c r="AC5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6" s="264" t="str">
        <f>IF(ResultsTeams[[#This Row],[Type]]="G",ResultsTeams[[#This Row],[Stage]],AD555)</f>
        <v>Barrage</v>
      </c>
      <c r="AE556" s="395" t="str">
        <f>IF(ResultsTeams[[#This Row],[Type]]="G",INDEX(TeamsList[Club Name],MATCH(ResultsTeams[[#This Row],[Team A]],TeamsList[Team Name],0)),AE555)</f>
        <v>Dutch Legends</v>
      </c>
      <c r="AF556" s="395" t="str">
        <f>IF(ResultsTeams[[#This Row],[Type]]="G",INDEX(TeamsList[Club Name],MATCH(ResultsTeams[[#This Row],[Team B]],TeamsList[Team Name],0)),AF555)</f>
        <v>Kent Invicta TFC</v>
      </c>
      <c r="AG556" s="265"/>
    </row>
    <row r="557" spans="1:33" ht="12" thickBot="1" x14ac:dyDescent="0.25">
      <c r="A557" s="83"/>
      <c r="B557" s="83"/>
      <c r="C557" s="83"/>
      <c r="D557" s="83"/>
      <c r="E557" s="268" t="s">
        <v>12244</v>
      </c>
      <c r="F557" s="262"/>
      <c r="G557" s="262"/>
      <c r="H557" s="324"/>
      <c r="I557" s="324"/>
      <c r="J557" s="263"/>
      <c r="K557" s="365"/>
      <c r="L557" s="365"/>
      <c r="M557" s="84"/>
      <c r="N557" s="265" t="b">
        <f>NOT(ISERROR(ResultsTeams[[#This Row],[Goal-A]]+ResultsTeams[[#This Row],[Goal-B]]))</f>
        <v>0</v>
      </c>
      <c r="O557" s="265" t="str">
        <f>IF(ResultsTeams[[#This Row],[Type]]="G",SUM(O558:O561),IF(LEFT(ResultsTeams[[#This Row],[Type]],1)="P",IF(ResultsTeams[[#This Row],[Goal-A]]&gt;ResultsTeams[[#This Row],[Goal-B]],1,0),""))</f>
        <v/>
      </c>
      <c r="P557" s="265" t="str">
        <f>IF(ResultsTeams[[#This Row],[Type]]="G",SUM(P558:P561),IF(LEFT(ResultsTeams[[#This Row],[Type]],1)="P",IF(ResultsTeams[[#This Row],[Goal-A]]&lt;ResultsTeams[[#This Row],[Goal-B]],1,0),""))</f>
        <v/>
      </c>
      <c r="Q557" s="265" t="str">
        <f>IF(ResultsTeams[[#This Row],[Type]]="G",SUM(Q558:Q561),IF(LEFT(ResultsTeams[[#This Row],[Type]],1)="P",VALUE(ResultsTeams[[#This Row],[Score-A]]),""))</f>
        <v/>
      </c>
      <c r="R557" s="265" t="str">
        <f>IF(ResultsTeams[[#This Row],[Type]]="G",SUM(R558:R561),IF(LEFT(ResultsTeams[[#This Row],[Type]],1)="P",VALUE(ResultsTeams[[#This Row],[Score-B]]),""))</f>
        <v/>
      </c>
      <c r="S557" s="265" t="str">
        <f ca="1">IF(AND(ResultsTeams[[#This Row],[Category]]&lt;&gt;"",ResultsTeams[[#This Row],[Team A]]&lt;&gt;""),COUNTIF(INDIRECT("TeamsList[Club Name]"),ResultsTeams[[#This Row],[Team A]]),"")</f>
        <v/>
      </c>
      <c r="T557" s="265" t="str">
        <f ca="1">IF(AND(ResultsTeams[[#This Row],[Category]]&lt;&gt;"",ResultsTeams[[#This Row],[Team B]]&lt;&gt;""),COUNTIF(INDIRECT("TeamsList[Club Name]"),ResultsTeams[[#This Row],[Team B]]),"")</f>
        <v/>
      </c>
      <c r="U5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7" s="265" t="str">
        <f>IF(ResultsTeams[[#This Row],[Score_OK]],IF(ResultsTeams[[#This Row],[StageCpy]]="Groups",ResultsTeams[[#This Row],[Category]]&amp;"-"&amp;IF(ResultsTeams[[#This Row],[Team B]]="","",IF(ResultsTeams[[#This Row],[Match-A]]=ResultsTeams[[#This Row],[Match-B]],ResultsTeams[[#This Row],[Team A]],"")),""),"")</f>
        <v/>
      </c>
      <c r="W557" s="265" t="str">
        <f>IF(ResultsTeams[[#This Row],[Score_OK]],IF(ResultsTeams[[#This Row],[StageCpy]]="Groups",ResultsTeams[[#This Row],[Category]]&amp;"-"&amp;IF(ResultsTeams[[#This Row],[Team B]]="","",IF(ResultsTeams[[#This Row],[Match-A]]=ResultsTeams[[#This Row],[Match-B]],ResultsTeams[[#This Row],[Team B]],"")),""),"")</f>
        <v/>
      </c>
      <c r="X5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7" s="264" t="str">
        <f>IF(ResultsTeams[[#This Row],[Category]]="","",VLOOKUP(ResultsTeams[[#This Row],[Stage]],$R$1:$T$8,MATCH(ResultsTeams[[#This Row],[Category]],$S$1:$T$1,0)+1,FALSE))</f>
        <v/>
      </c>
      <c r="AC5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7" s="264" t="str">
        <f>IF(ResultsTeams[[#This Row],[Type]]="G",ResultsTeams[[#This Row],[Stage]],AD556)</f>
        <v>Barrage</v>
      </c>
      <c r="AE557" s="395" t="str">
        <f>IF(ResultsTeams[[#This Row],[Type]]="G",INDEX(TeamsList[Club Name],MATCH(ResultsTeams[[#This Row],[Team A]],TeamsList[Team Name],0)),AE556)</f>
        <v>Dutch Legends</v>
      </c>
      <c r="AF557" s="395" t="str">
        <f>IF(ResultsTeams[[#This Row],[Type]]="G",INDEX(TeamsList[Club Name],MATCH(ResultsTeams[[#This Row],[Team B]],TeamsList[Team Name],0)),AF556)</f>
        <v>Kent Invicta TFC</v>
      </c>
      <c r="AG557" s="265"/>
    </row>
    <row r="558" spans="1:33" ht="12" thickBot="1" x14ac:dyDescent="0.25">
      <c r="A558" s="261" t="s">
        <v>12263</v>
      </c>
      <c r="B558" s="270" t="s">
        <v>12215</v>
      </c>
      <c r="C558" s="506"/>
      <c r="D558" s="270"/>
      <c r="E558" s="272" t="s">
        <v>12228</v>
      </c>
      <c r="F558" s="273" t="s">
        <v>415</v>
      </c>
      <c r="G558" s="273" t="s">
        <v>819</v>
      </c>
      <c r="H558" s="275">
        <v>3</v>
      </c>
      <c r="I558" s="275">
        <v>1</v>
      </c>
      <c r="J558" s="275"/>
      <c r="K558" s="366"/>
      <c r="L558" s="366"/>
      <c r="M558" s="274"/>
      <c r="N558" s="265" t="b">
        <f>NOT(ISERROR(ResultsTeams[[#This Row],[Goal-A]]+ResultsTeams[[#This Row],[Goal-B]]))</f>
        <v>1</v>
      </c>
      <c r="O558" s="265">
        <f>IF(ResultsTeams[[#This Row],[Type]]="G",SUM(O559:O562),IF(LEFT(ResultsTeams[[#This Row],[Type]],1)="P",IF(ResultsTeams[[#This Row],[Goal-A]]&gt;ResultsTeams[[#This Row],[Goal-B]],1,0),""))</f>
        <v>3</v>
      </c>
      <c r="P558" s="265">
        <f>IF(ResultsTeams[[#This Row],[Type]]="G",SUM(P559:P562),IF(LEFT(ResultsTeams[[#This Row],[Type]],1)="P",IF(ResultsTeams[[#This Row],[Goal-A]]&lt;ResultsTeams[[#This Row],[Goal-B]],1,0),""))</f>
        <v>1</v>
      </c>
      <c r="Q558" s="265">
        <f>IF(ResultsTeams[[#This Row],[Type]]="G",SUM(Q559:Q562),IF(LEFT(ResultsTeams[[#This Row],[Type]],1)="P",VALUE(ResultsTeams[[#This Row],[Score-A]]),""))</f>
        <v>13</v>
      </c>
      <c r="R558" s="265">
        <f>IF(ResultsTeams[[#This Row],[Type]]="G",SUM(R559:R562),IF(LEFT(ResultsTeams[[#This Row],[Type]],1)="P",VALUE(ResultsTeams[[#This Row],[Score-B]]),""))</f>
        <v>7</v>
      </c>
      <c r="S558" s="265">
        <f ca="1">IF(AND(ResultsTeams[[#This Row],[Category]]&lt;&gt;"",ResultsTeams[[#This Row],[Team A]]&lt;&gt;""),COUNTIF(INDIRECT("TeamsList[Club Name]"),ResultsTeams[[#This Row],[Team A]]),"")</f>
        <v>2</v>
      </c>
      <c r="T558" s="265">
        <f ca="1">IF(AND(ResultsTeams[[#This Row],[Category]]&lt;&gt;"",ResultsTeams[[#This Row],[Team B]]&lt;&gt;""),COUNTIF(INDIRECT("TeamsList[Club Name]"),ResultsTeams[[#This Row],[Team B]]),"")</f>
        <v>1</v>
      </c>
      <c r="U5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8" s="265" t="str">
        <f>IF(ResultsTeams[[#This Row],[Score_OK]],IF(ResultsTeams[[#This Row],[StageCpy]]="Groups",ResultsTeams[[#This Row],[Category]]&amp;"-"&amp;IF(ResultsTeams[[#This Row],[Team B]]="","",IF(ResultsTeams[[#This Row],[Match-A]]=ResultsTeams[[#This Row],[Match-B]],ResultsTeams[[#This Row],[Team A]],"")),""),"")</f>
        <v/>
      </c>
      <c r="W558" s="265" t="str">
        <f>IF(ResultsTeams[[#This Row],[Score_OK]],IF(ResultsTeams[[#This Row],[StageCpy]]="Groups",ResultsTeams[[#This Row],[Category]]&amp;"-"&amp;IF(ResultsTeams[[#This Row],[Team B]]="","",IF(ResultsTeams[[#This Row],[Match-A]]=ResultsTeams[[#This Row],[Match-B]],ResultsTeams[[#This Row],[Team B]],"")),""),"")</f>
        <v/>
      </c>
      <c r="X5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CONSOLATION-Irish Premier League</v>
      </c>
      <c r="Z558"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558"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558" s="264" t="e">
        <f>IF(ResultsTeams[[#This Row],[Category]]="","",VLOOKUP(ResultsTeams[[#This Row],[Stage]],$R$1:$T$8,MATCH(ResultsTeams[[#This Row],[Category]],$S$1:$T$1,0)+1,FALSE))</f>
        <v>#N/A</v>
      </c>
      <c r="AC558"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558" s="264" t="str">
        <f>IF(ResultsTeams[[#This Row],[Type]]="G",ResultsTeams[[#This Row],[Stage]],AD557)</f>
        <v>Barrage</v>
      </c>
      <c r="AE558" s="395" t="str">
        <f>IF(ResultsTeams[[#This Row],[Type]]="G",INDEX(TeamsList[Club Name],MATCH(ResultsTeams[[#This Row],[Team A]],TeamsList[Team Name],0)),AE557)</f>
        <v>Kent Invicta TFC</v>
      </c>
      <c r="AF558" s="395" t="str">
        <f>IF(ResultsTeams[[#This Row],[Type]]="G",INDEX(TeamsList[Club Name],MATCH(ResultsTeams[[#This Row],[Team B]],TeamsList[Team Name],0)),AF557)</f>
        <v>Irish Premier League</v>
      </c>
      <c r="AG558" s="265"/>
    </row>
    <row r="559" spans="1:33" x14ac:dyDescent="0.2">
      <c r="A559" s="60"/>
      <c r="B559" s="280"/>
      <c r="C559" s="60"/>
      <c r="D559" s="60"/>
      <c r="E559" s="240" t="s">
        <v>12231</v>
      </c>
      <c r="F559" s="244" t="s">
        <v>8107</v>
      </c>
      <c r="G559" s="244" t="s">
        <v>10591</v>
      </c>
      <c r="H559" s="253">
        <v>3</v>
      </c>
      <c r="I559" s="253">
        <v>2</v>
      </c>
      <c r="J559" s="253"/>
      <c r="K559" s="362"/>
      <c r="L559" s="362"/>
      <c r="M559" s="245"/>
      <c r="N559" s="265" t="b">
        <f>NOT(ISERROR(ResultsTeams[[#This Row],[Goal-A]]+ResultsTeams[[#This Row],[Goal-B]]))</f>
        <v>1</v>
      </c>
      <c r="O559" s="265">
        <f>IF(ResultsTeams[[#This Row],[Type]]="G",SUM(O560:O563),IF(LEFT(ResultsTeams[[#This Row],[Type]],1)="P",IF(ResultsTeams[[#This Row],[Goal-A]]&gt;ResultsTeams[[#This Row],[Goal-B]],1,0),""))</f>
        <v>1</v>
      </c>
      <c r="P559" s="265">
        <f>IF(ResultsTeams[[#This Row],[Type]]="G",SUM(P560:P563),IF(LEFT(ResultsTeams[[#This Row],[Type]],1)="P",IF(ResultsTeams[[#This Row],[Goal-A]]&lt;ResultsTeams[[#This Row],[Goal-B]],1,0),""))</f>
        <v>0</v>
      </c>
      <c r="Q559" s="265">
        <f>IF(ResultsTeams[[#This Row],[Type]]="G",SUM(Q560:Q563),IF(LEFT(ResultsTeams[[#This Row],[Type]],1)="P",VALUE(ResultsTeams[[#This Row],[Score-A]]),""))</f>
        <v>3</v>
      </c>
      <c r="R559" s="265">
        <f>IF(ResultsTeams[[#This Row],[Type]]="G",SUM(R560:R563),IF(LEFT(ResultsTeams[[#This Row],[Type]],1)="P",VALUE(ResultsTeams[[#This Row],[Score-B]]),""))</f>
        <v>2</v>
      </c>
      <c r="S559" s="265" t="str">
        <f ca="1">IF(AND(ResultsTeams[[#This Row],[Category]]&lt;&gt;"",ResultsTeams[[#This Row],[Team A]]&lt;&gt;""),COUNTIF(INDIRECT("TeamsList[Club Name]"),ResultsTeams[[#This Row],[Team A]]),"")</f>
        <v/>
      </c>
      <c r="T559" s="265" t="str">
        <f ca="1">IF(AND(ResultsTeams[[#This Row],[Category]]&lt;&gt;"",ResultsTeams[[#This Row],[Team B]]&lt;&gt;""),COUNTIF(INDIRECT("TeamsList[Club Name]"),ResultsTeams[[#This Row],[Team B]]),"")</f>
        <v/>
      </c>
      <c r="U5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9" s="265" t="str">
        <f>IF(ResultsTeams[[#This Row],[Score_OK]],IF(ResultsTeams[[#This Row],[StageCpy]]="Groups",ResultsTeams[[#This Row],[Category]]&amp;"-"&amp;IF(ResultsTeams[[#This Row],[Team B]]="","",IF(ResultsTeams[[#This Row],[Match-A]]=ResultsTeams[[#This Row],[Match-B]],ResultsTeams[[#This Row],[Team A]],"")),""),"")</f>
        <v/>
      </c>
      <c r="W559" s="265" t="str">
        <f>IF(ResultsTeams[[#This Row],[Score_OK]],IF(ResultsTeams[[#This Row],[StageCpy]]="Groups",ResultsTeams[[#This Row],[Category]]&amp;"-"&amp;IF(ResultsTeams[[#This Row],[Team B]]="","",IF(ResultsTeams[[#This Row],[Match-A]]=ResultsTeams[[#This Row],[Match-B]],ResultsTeams[[#This Row],[Team B]],"")),""),"")</f>
        <v/>
      </c>
      <c r="X5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9" s="264" t="str">
        <f>IF(ResultsTeams[[#This Row],[Category]]="","",VLOOKUP(ResultsTeams[[#This Row],[Stage]],$R$1:$T$8,MATCH(ResultsTeams[[#This Row],[Category]],$S$1:$T$1,0)+1,FALSE))</f>
        <v/>
      </c>
      <c r="AC5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9" s="264" t="str">
        <f>IF(ResultsTeams[[#This Row],[Type]]="G",ResultsTeams[[#This Row],[Stage]],AD558)</f>
        <v>Barrage</v>
      </c>
      <c r="AE559" s="395" t="str">
        <f>IF(ResultsTeams[[#This Row],[Type]]="G",INDEX(TeamsList[Club Name],MATCH(ResultsTeams[[#This Row],[Team A]],TeamsList[Team Name],0)),AE558)</f>
        <v>Kent Invicta TFC</v>
      </c>
      <c r="AF559" s="395" t="str">
        <f>IF(ResultsTeams[[#This Row],[Type]]="G",INDEX(TeamsList[Club Name],MATCH(ResultsTeams[[#This Row],[Team B]],TeamsList[Team Name],0)),AF558)</f>
        <v>Irish Premier League</v>
      </c>
      <c r="AG559" s="265"/>
    </row>
    <row r="560" spans="1:33" x14ac:dyDescent="0.2">
      <c r="A560" s="62"/>
      <c r="B560" s="280"/>
      <c r="C560" s="62"/>
      <c r="D560" s="62"/>
      <c r="E560" s="241" t="s">
        <v>12234</v>
      </c>
      <c r="F560" s="246" t="s">
        <v>13241</v>
      </c>
      <c r="G560" s="246" t="s">
        <v>10590</v>
      </c>
      <c r="H560" s="254">
        <v>3</v>
      </c>
      <c r="I560" s="254">
        <v>0</v>
      </c>
      <c r="J560" s="254"/>
      <c r="K560" s="363"/>
      <c r="L560" s="363"/>
      <c r="M560" s="247"/>
      <c r="N560" s="265" t="b">
        <f>NOT(ISERROR(ResultsTeams[[#This Row],[Goal-A]]+ResultsTeams[[#This Row],[Goal-B]]))</f>
        <v>1</v>
      </c>
      <c r="O560" s="265">
        <f>IF(ResultsTeams[[#This Row],[Type]]="G",SUM(O561:O564),IF(LEFT(ResultsTeams[[#This Row],[Type]],1)="P",IF(ResultsTeams[[#This Row],[Goal-A]]&gt;ResultsTeams[[#This Row],[Goal-B]],1,0),""))</f>
        <v>1</v>
      </c>
      <c r="P560" s="265">
        <f>IF(ResultsTeams[[#This Row],[Type]]="G",SUM(P561:P564),IF(LEFT(ResultsTeams[[#This Row],[Type]],1)="P",IF(ResultsTeams[[#This Row],[Goal-A]]&lt;ResultsTeams[[#This Row],[Goal-B]],1,0),""))</f>
        <v>0</v>
      </c>
      <c r="Q560" s="265">
        <f>IF(ResultsTeams[[#This Row],[Type]]="G",SUM(Q561:Q564),IF(LEFT(ResultsTeams[[#This Row],[Type]],1)="P",VALUE(ResultsTeams[[#This Row],[Score-A]]),""))</f>
        <v>3</v>
      </c>
      <c r="R560" s="265">
        <f>IF(ResultsTeams[[#This Row],[Type]]="G",SUM(R561:R564),IF(LEFT(ResultsTeams[[#This Row],[Type]],1)="P",VALUE(ResultsTeams[[#This Row],[Score-B]]),""))</f>
        <v>0</v>
      </c>
      <c r="S560" s="265" t="str">
        <f ca="1">IF(AND(ResultsTeams[[#This Row],[Category]]&lt;&gt;"",ResultsTeams[[#This Row],[Team A]]&lt;&gt;""),COUNTIF(INDIRECT("TeamsList[Club Name]"),ResultsTeams[[#This Row],[Team A]]),"")</f>
        <v/>
      </c>
      <c r="T560" s="265" t="str">
        <f ca="1">IF(AND(ResultsTeams[[#This Row],[Category]]&lt;&gt;"",ResultsTeams[[#This Row],[Team B]]&lt;&gt;""),COUNTIF(INDIRECT("TeamsList[Club Name]"),ResultsTeams[[#This Row],[Team B]]),"")</f>
        <v/>
      </c>
      <c r="U5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0" s="265" t="str">
        <f>IF(ResultsTeams[[#This Row],[Score_OK]],IF(ResultsTeams[[#This Row],[StageCpy]]="Groups",ResultsTeams[[#This Row],[Category]]&amp;"-"&amp;IF(ResultsTeams[[#This Row],[Team B]]="","",IF(ResultsTeams[[#This Row],[Match-A]]=ResultsTeams[[#This Row],[Match-B]],ResultsTeams[[#This Row],[Team A]],"")),""),"")</f>
        <v/>
      </c>
      <c r="W560" s="265" t="str">
        <f>IF(ResultsTeams[[#This Row],[Score_OK]],IF(ResultsTeams[[#This Row],[StageCpy]]="Groups",ResultsTeams[[#This Row],[Category]]&amp;"-"&amp;IF(ResultsTeams[[#This Row],[Team B]]="","",IF(ResultsTeams[[#This Row],[Match-A]]=ResultsTeams[[#This Row],[Match-B]],ResultsTeams[[#This Row],[Team B]],"")),""),"")</f>
        <v/>
      </c>
      <c r="X5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0" s="264" t="str">
        <f>IF(ResultsTeams[[#This Row],[Category]]="","",VLOOKUP(ResultsTeams[[#This Row],[Stage]],$R$1:$T$8,MATCH(ResultsTeams[[#This Row],[Category]],$S$1:$T$1,0)+1,FALSE))</f>
        <v/>
      </c>
      <c r="AC5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0" s="264" t="str">
        <f>IF(ResultsTeams[[#This Row],[Type]]="G",ResultsTeams[[#This Row],[Stage]],AD559)</f>
        <v>Barrage</v>
      </c>
      <c r="AE560" s="395" t="str">
        <f>IF(ResultsTeams[[#This Row],[Type]]="G",INDEX(TeamsList[Club Name],MATCH(ResultsTeams[[#This Row],[Team A]],TeamsList[Team Name],0)),AE559)</f>
        <v>Kent Invicta TFC</v>
      </c>
      <c r="AF560" s="395" t="str">
        <f>IF(ResultsTeams[[#This Row],[Type]]="G",INDEX(TeamsList[Club Name],MATCH(ResultsTeams[[#This Row],[Team B]],TeamsList[Team Name],0)),AF559)</f>
        <v>Irish Premier League</v>
      </c>
      <c r="AG560" s="265"/>
    </row>
    <row r="561" spans="1:33" x14ac:dyDescent="0.2">
      <c r="A561" s="62"/>
      <c r="B561" s="280"/>
      <c r="C561" s="62"/>
      <c r="D561" s="62"/>
      <c r="E561" s="241" t="s">
        <v>12237</v>
      </c>
      <c r="F561" s="246" t="s">
        <v>8547</v>
      </c>
      <c r="G561" s="246" t="s">
        <v>10584</v>
      </c>
      <c r="H561" s="254">
        <v>4</v>
      </c>
      <c r="I561" s="254">
        <v>5</v>
      </c>
      <c r="J561" s="254"/>
      <c r="K561" s="363"/>
      <c r="L561" s="363"/>
      <c r="M561" s="247"/>
      <c r="N561" s="265" t="b">
        <f>NOT(ISERROR(ResultsTeams[[#This Row],[Goal-A]]+ResultsTeams[[#This Row],[Goal-B]]))</f>
        <v>1</v>
      </c>
      <c r="O561" s="265">
        <f>IF(ResultsTeams[[#This Row],[Type]]="G",SUM(O562:O565),IF(LEFT(ResultsTeams[[#This Row],[Type]],1)="P",IF(ResultsTeams[[#This Row],[Goal-A]]&gt;ResultsTeams[[#This Row],[Goal-B]],1,0),""))</f>
        <v>0</v>
      </c>
      <c r="P561" s="265">
        <f>IF(ResultsTeams[[#This Row],[Type]]="G",SUM(P562:P565),IF(LEFT(ResultsTeams[[#This Row],[Type]],1)="P",IF(ResultsTeams[[#This Row],[Goal-A]]&lt;ResultsTeams[[#This Row],[Goal-B]],1,0),""))</f>
        <v>1</v>
      </c>
      <c r="Q561" s="265">
        <f>IF(ResultsTeams[[#This Row],[Type]]="G",SUM(Q562:Q565),IF(LEFT(ResultsTeams[[#This Row],[Type]],1)="P",VALUE(ResultsTeams[[#This Row],[Score-A]]),""))</f>
        <v>4</v>
      </c>
      <c r="R561" s="265">
        <f>IF(ResultsTeams[[#This Row],[Type]]="G",SUM(R562:R565),IF(LEFT(ResultsTeams[[#This Row],[Type]],1)="P",VALUE(ResultsTeams[[#This Row],[Score-B]]),""))</f>
        <v>5</v>
      </c>
      <c r="S561" s="265" t="str">
        <f ca="1">IF(AND(ResultsTeams[[#This Row],[Category]]&lt;&gt;"",ResultsTeams[[#This Row],[Team A]]&lt;&gt;""),COUNTIF(INDIRECT("TeamsList[Club Name]"),ResultsTeams[[#This Row],[Team A]]),"")</f>
        <v/>
      </c>
      <c r="T561" s="265" t="str">
        <f ca="1">IF(AND(ResultsTeams[[#This Row],[Category]]&lt;&gt;"",ResultsTeams[[#This Row],[Team B]]&lt;&gt;""),COUNTIF(INDIRECT("TeamsList[Club Name]"),ResultsTeams[[#This Row],[Team B]]),"")</f>
        <v/>
      </c>
      <c r="U5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1" s="265" t="str">
        <f>IF(ResultsTeams[[#This Row],[Score_OK]],IF(ResultsTeams[[#This Row],[StageCpy]]="Groups",ResultsTeams[[#This Row],[Category]]&amp;"-"&amp;IF(ResultsTeams[[#This Row],[Team B]]="","",IF(ResultsTeams[[#This Row],[Match-A]]=ResultsTeams[[#This Row],[Match-B]],ResultsTeams[[#This Row],[Team A]],"")),""),"")</f>
        <v/>
      </c>
      <c r="W561" s="265" t="str">
        <f>IF(ResultsTeams[[#This Row],[Score_OK]],IF(ResultsTeams[[#This Row],[StageCpy]]="Groups",ResultsTeams[[#This Row],[Category]]&amp;"-"&amp;IF(ResultsTeams[[#This Row],[Team B]]="","",IF(ResultsTeams[[#This Row],[Match-A]]=ResultsTeams[[#This Row],[Match-B]],ResultsTeams[[#This Row],[Team B]],"")),""),"")</f>
        <v/>
      </c>
      <c r="X5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1" s="264" t="str">
        <f>IF(ResultsTeams[[#This Row],[Category]]="","",VLOOKUP(ResultsTeams[[#This Row],[Stage]],$R$1:$T$8,MATCH(ResultsTeams[[#This Row],[Category]],$S$1:$T$1,0)+1,FALSE))</f>
        <v/>
      </c>
      <c r="AC5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1" s="264" t="str">
        <f>IF(ResultsTeams[[#This Row],[Type]]="G",ResultsTeams[[#This Row],[Stage]],AD560)</f>
        <v>Barrage</v>
      </c>
      <c r="AE561" s="395" t="str">
        <f>IF(ResultsTeams[[#This Row],[Type]]="G",INDEX(TeamsList[Club Name],MATCH(ResultsTeams[[#This Row],[Team A]],TeamsList[Team Name],0)),AE560)</f>
        <v>Kent Invicta TFC</v>
      </c>
      <c r="AF561" s="395" t="str">
        <f>IF(ResultsTeams[[#This Row],[Type]]="G",INDEX(TeamsList[Club Name],MATCH(ResultsTeams[[#This Row],[Team B]],TeamsList[Team Name],0)),AF560)</f>
        <v>Irish Premier League</v>
      </c>
      <c r="AG561" s="265"/>
    </row>
    <row r="562" spans="1:33" x14ac:dyDescent="0.2">
      <c r="A562" s="62"/>
      <c r="B562" s="280"/>
      <c r="C562" s="62"/>
      <c r="D562" s="62"/>
      <c r="E562" s="241" t="s">
        <v>12240</v>
      </c>
      <c r="F562" s="246" t="s">
        <v>8546</v>
      </c>
      <c r="G562" s="246" t="s">
        <v>13920</v>
      </c>
      <c r="H562" s="254">
        <v>3</v>
      </c>
      <c r="I562" s="254">
        <v>0</v>
      </c>
      <c r="J562" s="254"/>
      <c r="K562" s="363"/>
      <c r="L562" s="363"/>
      <c r="M562" s="247"/>
      <c r="N562" s="265" t="b">
        <f>NOT(ISERROR(ResultsTeams[[#This Row],[Goal-A]]+ResultsTeams[[#This Row],[Goal-B]]))</f>
        <v>1</v>
      </c>
      <c r="O562" s="265">
        <f>IF(ResultsTeams[[#This Row],[Type]]="G",SUM(O563:O566),IF(LEFT(ResultsTeams[[#This Row],[Type]],1)="P",IF(ResultsTeams[[#This Row],[Goal-A]]&gt;ResultsTeams[[#This Row],[Goal-B]],1,0),""))</f>
        <v>1</v>
      </c>
      <c r="P562" s="265">
        <f>IF(ResultsTeams[[#This Row],[Type]]="G",SUM(P563:P566),IF(LEFT(ResultsTeams[[#This Row],[Type]],1)="P",IF(ResultsTeams[[#This Row],[Goal-A]]&lt;ResultsTeams[[#This Row],[Goal-B]],1,0),""))</f>
        <v>0</v>
      </c>
      <c r="Q562" s="265">
        <f>IF(ResultsTeams[[#This Row],[Type]]="G",SUM(Q563:Q566),IF(LEFT(ResultsTeams[[#This Row],[Type]],1)="P",VALUE(ResultsTeams[[#This Row],[Score-A]]),""))</f>
        <v>3</v>
      </c>
      <c r="R562" s="265">
        <f>IF(ResultsTeams[[#This Row],[Type]]="G",SUM(R563:R566),IF(LEFT(ResultsTeams[[#This Row],[Type]],1)="P",VALUE(ResultsTeams[[#This Row],[Score-B]]),""))</f>
        <v>0</v>
      </c>
      <c r="S562" s="265" t="str">
        <f ca="1">IF(AND(ResultsTeams[[#This Row],[Category]]&lt;&gt;"",ResultsTeams[[#This Row],[Team A]]&lt;&gt;""),COUNTIF(INDIRECT("TeamsList[Club Name]"),ResultsTeams[[#This Row],[Team A]]),"")</f>
        <v/>
      </c>
      <c r="T562" s="265" t="str">
        <f ca="1">IF(AND(ResultsTeams[[#This Row],[Category]]&lt;&gt;"",ResultsTeams[[#This Row],[Team B]]&lt;&gt;""),COUNTIF(INDIRECT("TeamsList[Club Name]"),ResultsTeams[[#This Row],[Team B]]),"")</f>
        <v/>
      </c>
      <c r="U5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2" s="265" t="str">
        <f>IF(ResultsTeams[[#This Row],[Score_OK]],IF(ResultsTeams[[#This Row],[StageCpy]]="Groups",ResultsTeams[[#This Row],[Category]]&amp;"-"&amp;IF(ResultsTeams[[#This Row],[Team B]]="","",IF(ResultsTeams[[#This Row],[Match-A]]=ResultsTeams[[#This Row],[Match-B]],ResultsTeams[[#This Row],[Team A]],"")),""),"")</f>
        <v/>
      </c>
      <c r="W562" s="265" t="str">
        <f>IF(ResultsTeams[[#This Row],[Score_OK]],IF(ResultsTeams[[#This Row],[StageCpy]]="Groups",ResultsTeams[[#This Row],[Category]]&amp;"-"&amp;IF(ResultsTeams[[#This Row],[Team B]]="","",IF(ResultsTeams[[#This Row],[Match-A]]=ResultsTeams[[#This Row],[Match-B]],ResultsTeams[[#This Row],[Team B]],"")),""),"")</f>
        <v/>
      </c>
      <c r="X5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2" s="264" t="str">
        <f>IF(ResultsTeams[[#This Row],[Category]]="","",VLOOKUP(ResultsTeams[[#This Row],[Stage]],$R$1:$T$8,MATCH(ResultsTeams[[#This Row],[Category]],$S$1:$T$1,0)+1,FALSE))</f>
        <v/>
      </c>
      <c r="AC5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2" s="264" t="str">
        <f>IF(ResultsTeams[[#This Row],[Type]]="G",ResultsTeams[[#This Row],[Stage]],AD561)</f>
        <v>Barrage</v>
      </c>
      <c r="AE562" s="395" t="str">
        <f>IF(ResultsTeams[[#This Row],[Type]]="G",INDEX(TeamsList[Club Name],MATCH(ResultsTeams[[#This Row],[Team A]],TeamsList[Team Name],0)),AE561)</f>
        <v>Kent Invicta TFC</v>
      </c>
      <c r="AF562" s="395" t="str">
        <f>IF(ResultsTeams[[#This Row],[Type]]="G",INDEX(TeamsList[Club Name],MATCH(ResultsTeams[[#This Row],[Team B]],TeamsList[Team Name],0)),AF561)</f>
        <v>Irish Premier League</v>
      </c>
      <c r="AG562" s="265"/>
    </row>
    <row r="563" spans="1:33" x14ac:dyDescent="0.2">
      <c r="A563" s="62"/>
      <c r="B563" s="62"/>
      <c r="C563" s="62"/>
      <c r="D563" s="62"/>
      <c r="E563" s="241" t="s">
        <v>12243</v>
      </c>
      <c r="F563" s="247"/>
      <c r="G563" s="247"/>
      <c r="H563" s="254"/>
      <c r="I563" s="254"/>
      <c r="J563" s="260"/>
      <c r="K563" s="364"/>
      <c r="L563" s="364"/>
      <c r="M563" s="247"/>
      <c r="N563" s="265" t="b">
        <f>NOT(ISERROR(ResultsTeams[[#This Row],[Goal-A]]+ResultsTeams[[#This Row],[Goal-B]]))</f>
        <v>0</v>
      </c>
      <c r="O563" s="265" t="str">
        <f>IF(ResultsTeams[[#This Row],[Type]]="G",SUM(O564:O567),IF(LEFT(ResultsTeams[[#This Row],[Type]],1)="P",IF(ResultsTeams[[#This Row],[Goal-A]]&gt;ResultsTeams[[#This Row],[Goal-B]],1,0),""))</f>
        <v/>
      </c>
      <c r="P563" s="265" t="str">
        <f>IF(ResultsTeams[[#This Row],[Type]]="G",SUM(P564:P567),IF(LEFT(ResultsTeams[[#This Row],[Type]],1)="P",IF(ResultsTeams[[#This Row],[Goal-A]]&lt;ResultsTeams[[#This Row],[Goal-B]],1,0),""))</f>
        <v/>
      </c>
      <c r="Q563" s="265" t="str">
        <f>IF(ResultsTeams[[#This Row],[Type]]="G",SUM(Q564:Q567),IF(LEFT(ResultsTeams[[#This Row],[Type]],1)="P",VALUE(ResultsTeams[[#This Row],[Score-A]]),""))</f>
        <v/>
      </c>
      <c r="R563" s="265" t="str">
        <f>IF(ResultsTeams[[#This Row],[Type]]="G",SUM(R564:R567),IF(LEFT(ResultsTeams[[#This Row],[Type]],1)="P",VALUE(ResultsTeams[[#This Row],[Score-B]]),""))</f>
        <v/>
      </c>
      <c r="S563" s="265" t="str">
        <f ca="1">IF(AND(ResultsTeams[[#This Row],[Category]]&lt;&gt;"",ResultsTeams[[#This Row],[Team A]]&lt;&gt;""),COUNTIF(INDIRECT("TeamsList[Club Name]"),ResultsTeams[[#This Row],[Team A]]),"")</f>
        <v/>
      </c>
      <c r="T563" s="265" t="str">
        <f ca="1">IF(AND(ResultsTeams[[#This Row],[Category]]&lt;&gt;"",ResultsTeams[[#This Row],[Team B]]&lt;&gt;""),COUNTIF(INDIRECT("TeamsList[Club Name]"),ResultsTeams[[#This Row],[Team B]]),"")</f>
        <v/>
      </c>
      <c r="U5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3" s="265" t="str">
        <f>IF(ResultsTeams[[#This Row],[Score_OK]],IF(ResultsTeams[[#This Row],[StageCpy]]="Groups",ResultsTeams[[#This Row],[Category]]&amp;"-"&amp;IF(ResultsTeams[[#This Row],[Team B]]="","",IF(ResultsTeams[[#This Row],[Match-A]]=ResultsTeams[[#This Row],[Match-B]],ResultsTeams[[#This Row],[Team A]],"")),""),"")</f>
        <v/>
      </c>
      <c r="W563" s="265" t="str">
        <f>IF(ResultsTeams[[#This Row],[Score_OK]],IF(ResultsTeams[[#This Row],[StageCpy]]="Groups",ResultsTeams[[#This Row],[Category]]&amp;"-"&amp;IF(ResultsTeams[[#This Row],[Team B]]="","",IF(ResultsTeams[[#This Row],[Match-A]]=ResultsTeams[[#This Row],[Match-B]],ResultsTeams[[#This Row],[Team B]],"")),""),"")</f>
        <v/>
      </c>
      <c r="X5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3" s="264" t="str">
        <f>IF(ResultsTeams[[#This Row],[Category]]="","",VLOOKUP(ResultsTeams[[#This Row],[Stage]],$R$1:$T$8,MATCH(ResultsTeams[[#This Row],[Category]],$S$1:$T$1,0)+1,FALSE))</f>
        <v/>
      </c>
      <c r="AC5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3" s="264" t="str">
        <f>IF(ResultsTeams[[#This Row],[Type]]="G",ResultsTeams[[#This Row],[Stage]],AD562)</f>
        <v>Barrage</v>
      </c>
      <c r="AE563" s="395" t="str">
        <f>IF(ResultsTeams[[#This Row],[Type]]="G",INDEX(TeamsList[Club Name],MATCH(ResultsTeams[[#This Row],[Team A]],TeamsList[Team Name],0)),AE562)</f>
        <v>Kent Invicta TFC</v>
      </c>
      <c r="AF563" s="395" t="str">
        <f>IF(ResultsTeams[[#This Row],[Type]]="G",INDEX(TeamsList[Club Name],MATCH(ResultsTeams[[#This Row],[Team B]],TeamsList[Team Name],0)),AF562)</f>
        <v>Irish Premier League</v>
      </c>
      <c r="AG563" s="265"/>
    </row>
    <row r="564" spans="1:33" ht="12" thickBot="1" x14ac:dyDescent="0.25">
      <c r="A564" s="83"/>
      <c r="B564" s="83"/>
      <c r="C564" s="83"/>
      <c r="D564" s="83"/>
      <c r="E564" s="268" t="s">
        <v>12244</v>
      </c>
      <c r="F564" s="262"/>
      <c r="G564" s="262"/>
      <c r="H564" s="324"/>
      <c r="I564" s="324"/>
      <c r="J564" s="263"/>
      <c r="K564" s="365"/>
      <c r="L564" s="365"/>
      <c r="M564" s="262"/>
      <c r="N564" s="265" t="b">
        <f>NOT(ISERROR(ResultsTeams[[#This Row],[Goal-A]]+ResultsTeams[[#This Row],[Goal-B]]))</f>
        <v>0</v>
      </c>
      <c r="O564" s="265" t="str">
        <f>IF(ResultsTeams[[#This Row],[Type]]="G",SUM(O565:O568),IF(LEFT(ResultsTeams[[#This Row],[Type]],1)="P",IF(ResultsTeams[[#This Row],[Goal-A]]&gt;ResultsTeams[[#This Row],[Goal-B]],1,0),""))</f>
        <v/>
      </c>
      <c r="P564" s="265" t="str">
        <f>IF(ResultsTeams[[#This Row],[Type]]="G",SUM(P565:P568),IF(LEFT(ResultsTeams[[#This Row],[Type]],1)="P",IF(ResultsTeams[[#This Row],[Goal-A]]&lt;ResultsTeams[[#This Row],[Goal-B]],1,0),""))</f>
        <v/>
      </c>
      <c r="Q564" s="265" t="str">
        <f>IF(ResultsTeams[[#This Row],[Type]]="G",SUM(Q565:Q568),IF(LEFT(ResultsTeams[[#This Row],[Type]],1)="P",VALUE(ResultsTeams[[#This Row],[Score-A]]),""))</f>
        <v/>
      </c>
      <c r="R564" s="265" t="str">
        <f>IF(ResultsTeams[[#This Row],[Type]]="G",SUM(R565:R568),IF(LEFT(ResultsTeams[[#This Row],[Type]],1)="P",VALUE(ResultsTeams[[#This Row],[Score-B]]),""))</f>
        <v/>
      </c>
      <c r="S564" s="265" t="str">
        <f ca="1">IF(AND(ResultsTeams[[#This Row],[Category]]&lt;&gt;"",ResultsTeams[[#This Row],[Team A]]&lt;&gt;""),COUNTIF(INDIRECT("TeamsList[Club Name]"),ResultsTeams[[#This Row],[Team A]]),"")</f>
        <v/>
      </c>
      <c r="T564" s="265" t="str">
        <f ca="1">IF(AND(ResultsTeams[[#This Row],[Category]]&lt;&gt;"",ResultsTeams[[#This Row],[Team B]]&lt;&gt;""),COUNTIF(INDIRECT("TeamsList[Club Name]"),ResultsTeams[[#This Row],[Team B]]),"")</f>
        <v/>
      </c>
      <c r="U5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4" s="265" t="str">
        <f>IF(ResultsTeams[[#This Row],[Score_OK]],IF(ResultsTeams[[#This Row],[StageCpy]]="Groups",ResultsTeams[[#This Row],[Category]]&amp;"-"&amp;IF(ResultsTeams[[#This Row],[Team B]]="","",IF(ResultsTeams[[#This Row],[Match-A]]=ResultsTeams[[#This Row],[Match-B]],ResultsTeams[[#This Row],[Team A]],"")),""),"")</f>
        <v/>
      </c>
      <c r="W564" s="265" t="str">
        <f>IF(ResultsTeams[[#This Row],[Score_OK]],IF(ResultsTeams[[#This Row],[StageCpy]]="Groups",ResultsTeams[[#This Row],[Category]]&amp;"-"&amp;IF(ResultsTeams[[#This Row],[Team B]]="","",IF(ResultsTeams[[#This Row],[Match-A]]=ResultsTeams[[#This Row],[Match-B]],ResultsTeams[[#This Row],[Team B]],"")),""),"")</f>
        <v/>
      </c>
      <c r="X5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4" s="264" t="str">
        <f>IF(ResultsTeams[[#This Row],[Category]]="","",VLOOKUP(ResultsTeams[[#This Row],[Stage]],$R$1:$T$8,MATCH(ResultsTeams[[#This Row],[Category]],$S$1:$T$1,0)+1,FALSE))</f>
        <v/>
      </c>
      <c r="AC5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4" s="264" t="str">
        <f>IF(ResultsTeams[[#This Row],[Type]]="G",ResultsTeams[[#This Row],[Stage]],AD563)</f>
        <v>Barrage</v>
      </c>
      <c r="AE564" s="395" t="str">
        <f>IF(ResultsTeams[[#This Row],[Type]]="G",INDEX(TeamsList[Club Name],MATCH(ResultsTeams[[#This Row],[Team A]],TeamsList[Team Name],0)),AE563)</f>
        <v>Kent Invicta TFC</v>
      </c>
      <c r="AF564" s="395" t="str">
        <f>IF(ResultsTeams[[#This Row],[Type]]="G",INDEX(TeamsList[Club Name],MATCH(ResultsTeams[[#This Row],[Team B]],TeamsList[Team Name],0)),AF563)</f>
        <v>Irish Premier League</v>
      </c>
      <c r="AG564" s="265"/>
    </row>
    <row r="565" spans="1:33" ht="12" thickBot="1" x14ac:dyDescent="0.25">
      <c r="A565" s="261" t="s">
        <v>12263</v>
      </c>
      <c r="B565" s="270" t="s">
        <v>12215</v>
      </c>
      <c r="C565" s="506"/>
      <c r="D565" s="270"/>
      <c r="E565" s="272" t="s">
        <v>12228</v>
      </c>
      <c r="F565" s="273" t="s">
        <v>14592</v>
      </c>
      <c r="G565" s="273" t="s">
        <v>792</v>
      </c>
      <c r="H565" s="275">
        <v>1</v>
      </c>
      <c r="I565" s="275">
        <v>3</v>
      </c>
      <c r="J565" s="275"/>
      <c r="K565" s="366"/>
      <c r="L565" s="366"/>
      <c r="M565" s="274"/>
      <c r="N565" s="265" t="b">
        <f>NOT(ISERROR(ResultsTeams[[#This Row],[Goal-A]]+ResultsTeams[[#This Row],[Goal-B]]))</f>
        <v>1</v>
      </c>
      <c r="O565" s="265">
        <f>IF(ResultsTeams[[#This Row],[Type]]="G",SUM(O566:O569),IF(LEFT(ResultsTeams[[#This Row],[Type]],1)="P",IF(ResultsTeams[[#This Row],[Goal-A]]&gt;ResultsTeams[[#This Row],[Goal-B]],1,0),""))</f>
        <v>1</v>
      </c>
      <c r="P565" s="265">
        <f>IF(ResultsTeams[[#This Row],[Type]]="G",SUM(P566:P569),IF(LEFT(ResultsTeams[[#This Row],[Type]],1)="P",IF(ResultsTeams[[#This Row],[Goal-A]]&lt;ResultsTeams[[#This Row],[Goal-B]],1,0),""))</f>
        <v>3</v>
      </c>
      <c r="Q565" s="265">
        <f>IF(ResultsTeams[[#This Row],[Type]]="G",SUM(Q566:Q569),IF(LEFT(ResultsTeams[[#This Row],[Type]],1)="P",VALUE(ResultsTeams[[#This Row],[Score-A]]),""))</f>
        <v>3</v>
      </c>
      <c r="R565" s="265">
        <f>IF(ResultsTeams[[#This Row],[Type]]="G",SUM(R566:R569),IF(LEFT(ResultsTeams[[#This Row],[Type]],1)="P",VALUE(ResultsTeams[[#This Row],[Score-B]]),""))</f>
        <v>14</v>
      </c>
      <c r="S565" s="265">
        <f ca="1">IF(AND(ResultsTeams[[#This Row],[Category]]&lt;&gt;"",ResultsTeams[[#This Row],[Team A]]&lt;&gt;""),COUNTIF(INDIRECT("TeamsList[Club Name]"),ResultsTeams[[#This Row],[Team A]]),"")</f>
        <v>0</v>
      </c>
      <c r="T565" s="265">
        <f ca="1">IF(AND(ResultsTeams[[#This Row],[Category]]&lt;&gt;"",ResultsTeams[[#This Row],[Team B]]&lt;&gt;""),COUNTIF(INDIRECT("TeamsList[Club Name]"),ResultsTeams[[#This Row],[Team B]]),"")</f>
        <v>1</v>
      </c>
      <c r="U5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5" s="265" t="str">
        <f>IF(ResultsTeams[[#This Row],[Score_OK]],IF(ResultsTeams[[#This Row],[StageCpy]]="Groups",ResultsTeams[[#This Row],[Category]]&amp;"-"&amp;IF(ResultsTeams[[#This Row],[Team B]]="","",IF(ResultsTeams[[#This Row],[Match-A]]=ResultsTeams[[#This Row],[Match-B]],ResultsTeams[[#This Row],[Team A]],"")),""),"")</f>
        <v/>
      </c>
      <c r="W565" s="265" t="str">
        <f>IF(ResultsTeams[[#This Row],[Score_OK]],IF(ResultsTeams[[#This Row],[StageCpy]]="Groups",ResultsTeams[[#This Row],[Category]]&amp;"-"&amp;IF(ResultsTeams[[#This Row],[Team B]]="","",IF(ResultsTeams[[#This Row],[Match-A]]=ResultsTeams[[#This Row],[Match-B]],ResultsTeams[[#This Row],[Team B]],"")),""),"")</f>
        <v/>
      </c>
      <c r="X5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CONSOLATION-SC Lion's Eugies 4</v>
      </c>
      <c r="Z565"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565"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565" s="264" t="e">
        <f>IF(ResultsTeams[[#This Row],[Category]]="","",VLOOKUP(ResultsTeams[[#This Row],[Stage]],$R$1:$T$8,MATCH(ResultsTeams[[#This Row],[Category]],$S$1:$T$1,0)+1,FALSE))</f>
        <v>#N/A</v>
      </c>
      <c r="AC565"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565" s="264" t="str">
        <f>IF(ResultsTeams[[#This Row],[Type]]="G",ResultsTeams[[#This Row],[Stage]],AD564)</f>
        <v>Barrage</v>
      </c>
      <c r="AE565" s="395" t="str">
        <f>IF(ResultsTeams[[#This Row],[Type]]="G",INDEX(TeamsList[Club Name],MATCH(ResultsTeams[[#This Row],[Team A]],TeamsList[Team Name],0)),AE564)</f>
        <v>SC Lion's Eugies</v>
      </c>
      <c r="AF565" s="395" t="str">
        <f>IF(ResultsTeams[[#This Row],[Type]]="G",INDEX(TeamsList[Club Name],MATCH(ResultsTeams[[#This Row],[Team B]],TeamsList[Team Name],0)),AF564)</f>
        <v>H'Attard SC</v>
      </c>
      <c r="AG565" s="265"/>
    </row>
    <row r="566" spans="1:33" x14ac:dyDescent="0.2">
      <c r="A566" s="60"/>
      <c r="B566" s="280"/>
      <c r="C566" s="60"/>
      <c r="D566" s="60"/>
      <c r="E566" s="240" t="s">
        <v>12231</v>
      </c>
      <c r="F566" s="244" t="s">
        <v>8201</v>
      </c>
      <c r="G566" s="244" t="s">
        <v>10449</v>
      </c>
      <c r="H566" s="253">
        <v>0</v>
      </c>
      <c r="I566" s="253">
        <v>1</v>
      </c>
      <c r="J566" s="253"/>
      <c r="K566" s="362"/>
      <c r="L566" s="362"/>
      <c r="M566" s="245"/>
      <c r="N566" s="265" t="b">
        <f>NOT(ISERROR(ResultsTeams[[#This Row],[Goal-A]]+ResultsTeams[[#This Row],[Goal-B]]))</f>
        <v>1</v>
      </c>
      <c r="O566" s="265">
        <f>IF(ResultsTeams[[#This Row],[Type]]="G",SUM(O567:O570),IF(LEFT(ResultsTeams[[#This Row],[Type]],1)="P",IF(ResultsTeams[[#This Row],[Goal-A]]&gt;ResultsTeams[[#This Row],[Goal-B]],1,0),""))</f>
        <v>0</v>
      </c>
      <c r="P566" s="265">
        <f>IF(ResultsTeams[[#This Row],[Type]]="G",SUM(P567:P570),IF(LEFT(ResultsTeams[[#This Row],[Type]],1)="P",IF(ResultsTeams[[#This Row],[Goal-A]]&lt;ResultsTeams[[#This Row],[Goal-B]],1,0),""))</f>
        <v>1</v>
      </c>
      <c r="Q566" s="265">
        <f>IF(ResultsTeams[[#This Row],[Type]]="G",SUM(Q567:Q570),IF(LEFT(ResultsTeams[[#This Row],[Type]],1)="P",VALUE(ResultsTeams[[#This Row],[Score-A]]),""))</f>
        <v>0</v>
      </c>
      <c r="R566" s="265">
        <f>IF(ResultsTeams[[#This Row],[Type]]="G",SUM(R567:R570),IF(LEFT(ResultsTeams[[#This Row],[Type]],1)="P",VALUE(ResultsTeams[[#This Row],[Score-B]]),""))</f>
        <v>1</v>
      </c>
      <c r="S566" s="265" t="str">
        <f ca="1">IF(AND(ResultsTeams[[#This Row],[Category]]&lt;&gt;"",ResultsTeams[[#This Row],[Team A]]&lt;&gt;""),COUNTIF(INDIRECT("TeamsList[Club Name]"),ResultsTeams[[#This Row],[Team A]]),"")</f>
        <v/>
      </c>
      <c r="T566" s="265" t="str">
        <f ca="1">IF(AND(ResultsTeams[[#This Row],[Category]]&lt;&gt;"",ResultsTeams[[#This Row],[Team B]]&lt;&gt;""),COUNTIF(INDIRECT("TeamsList[Club Name]"),ResultsTeams[[#This Row],[Team B]]),"")</f>
        <v/>
      </c>
      <c r="U5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6" s="265" t="str">
        <f>IF(ResultsTeams[[#This Row],[Score_OK]],IF(ResultsTeams[[#This Row],[StageCpy]]="Groups",ResultsTeams[[#This Row],[Category]]&amp;"-"&amp;IF(ResultsTeams[[#This Row],[Team B]]="","",IF(ResultsTeams[[#This Row],[Match-A]]=ResultsTeams[[#This Row],[Match-B]],ResultsTeams[[#This Row],[Team A]],"")),""),"")</f>
        <v/>
      </c>
      <c r="W566" s="265" t="str">
        <f>IF(ResultsTeams[[#This Row],[Score_OK]],IF(ResultsTeams[[#This Row],[StageCpy]]="Groups",ResultsTeams[[#This Row],[Category]]&amp;"-"&amp;IF(ResultsTeams[[#This Row],[Team B]]="","",IF(ResultsTeams[[#This Row],[Match-A]]=ResultsTeams[[#This Row],[Match-B]],ResultsTeams[[#This Row],[Team B]],"")),""),"")</f>
        <v/>
      </c>
      <c r="X5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6" s="264" t="str">
        <f>IF(ResultsTeams[[#This Row],[Category]]="","",VLOOKUP(ResultsTeams[[#This Row],[Stage]],$R$1:$T$8,MATCH(ResultsTeams[[#This Row],[Category]],$S$1:$T$1,0)+1,FALSE))</f>
        <v/>
      </c>
      <c r="AC5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6" s="264" t="str">
        <f>IF(ResultsTeams[[#This Row],[Type]]="G",ResultsTeams[[#This Row],[Stage]],AD565)</f>
        <v>Barrage</v>
      </c>
      <c r="AE566" s="395" t="str">
        <f>IF(ResultsTeams[[#This Row],[Type]]="G",INDEX(TeamsList[Club Name],MATCH(ResultsTeams[[#This Row],[Team A]],TeamsList[Team Name],0)),AE565)</f>
        <v>SC Lion's Eugies</v>
      </c>
      <c r="AF566" s="395" t="str">
        <f>IF(ResultsTeams[[#This Row],[Type]]="G",INDEX(TeamsList[Club Name],MATCH(ResultsTeams[[#This Row],[Team B]],TeamsList[Team Name],0)),AF565)</f>
        <v>H'Attard SC</v>
      </c>
      <c r="AG566" s="265"/>
    </row>
    <row r="567" spans="1:33" x14ac:dyDescent="0.2">
      <c r="A567" s="62"/>
      <c r="B567" s="280"/>
      <c r="C567" s="62"/>
      <c r="D567" s="62"/>
      <c r="E567" s="241" t="s">
        <v>12234</v>
      </c>
      <c r="F567" s="246" t="s">
        <v>8202</v>
      </c>
      <c r="G567" s="246" t="s">
        <v>10440</v>
      </c>
      <c r="H567" s="254">
        <v>0</v>
      </c>
      <c r="I567" s="254">
        <v>2</v>
      </c>
      <c r="J567" s="254"/>
      <c r="K567" s="363"/>
      <c r="L567" s="363"/>
      <c r="M567" s="247"/>
      <c r="N567" s="265" t="b">
        <f>NOT(ISERROR(ResultsTeams[[#This Row],[Goal-A]]+ResultsTeams[[#This Row],[Goal-B]]))</f>
        <v>1</v>
      </c>
      <c r="O567" s="265">
        <f>IF(ResultsTeams[[#This Row],[Type]]="G",SUM(O568:O571),IF(LEFT(ResultsTeams[[#This Row],[Type]],1)="P",IF(ResultsTeams[[#This Row],[Goal-A]]&gt;ResultsTeams[[#This Row],[Goal-B]],1,0),""))</f>
        <v>0</v>
      </c>
      <c r="P567" s="265">
        <f>IF(ResultsTeams[[#This Row],[Type]]="G",SUM(P568:P571),IF(LEFT(ResultsTeams[[#This Row],[Type]],1)="P",IF(ResultsTeams[[#This Row],[Goal-A]]&lt;ResultsTeams[[#This Row],[Goal-B]],1,0),""))</f>
        <v>1</v>
      </c>
      <c r="Q567" s="265">
        <f>IF(ResultsTeams[[#This Row],[Type]]="G",SUM(Q568:Q571),IF(LEFT(ResultsTeams[[#This Row],[Type]],1)="P",VALUE(ResultsTeams[[#This Row],[Score-A]]),""))</f>
        <v>0</v>
      </c>
      <c r="R567" s="265">
        <f>IF(ResultsTeams[[#This Row],[Type]]="G",SUM(R568:R571),IF(LEFT(ResultsTeams[[#This Row],[Type]],1)="P",VALUE(ResultsTeams[[#This Row],[Score-B]]),""))</f>
        <v>2</v>
      </c>
      <c r="S567" s="265" t="str">
        <f ca="1">IF(AND(ResultsTeams[[#This Row],[Category]]&lt;&gt;"",ResultsTeams[[#This Row],[Team A]]&lt;&gt;""),COUNTIF(INDIRECT("TeamsList[Club Name]"),ResultsTeams[[#This Row],[Team A]]),"")</f>
        <v/>
      </c>
      <c r="T567" s="265" t="str">
        <f ca="1">IF(AND(ResultsTeams[[#This Row],[Category]]&lt;&gt;"",ResultsTeams[[#This Row],[Team B]]&lt;&gt;""),COUNTIF(INDIRECT("TeamsList[Club Name]"),ResultsTeams[[#This Row],[Team B]]),"")</f>
        <v/>
      </c>
      <c r="U5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7" s="265" t="str">
        <f>IF(ResultsTeams[[#This Row],[Score_OK]],IF(ResultsTeams[[#This Row],[StageCpy]]="Groups",ResultsTeams[[#This Row],[Category]]&amp;"-"&amp;IF(ResultsTeams[[#This Row],[Team B]]="","",IF(ResultsTeams[[#This Row],[Match-A]]=ResultsTeams[[#This Row],[Match-B]],ResultsTeams[[#This Row],[Team A]],"")),""),"")</f>
        <v/>
      </c>
      <c r="W567" s="265" t="str">
        <f>IF(ResultsTeams[[#This Row],[Score_OK]],IF(ResultsTeams[[#This Row],[StageCpy]]="Groups",ResultsTeams[[#This Row],[Category]]&amp;"-"&amp;IF(ResultsTeams[[#This Row],[Team B]]="","",IF(ResultsTeams[[#This Row],[Match-A]]=ResultsTeams[[#This Row],[Match-B]],ResultsTeams[[#This Row],[Team B]],"")),""),"")</f>
        <v/>
      </c>
      <c r="X5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7" s="264" t="str">
        <f>IF(ResultsTeams[[#This Row],[Category]]="","",VLOOKUP(ResultsTeams[[#This Row],[Stage]],$R$1:$T$8,MATCH(ResultsTeams[[#This Row],[Category]],$S$1:$T$1,0)+1,FALSE))</f>
        <v/>
      </c>
      <c r="AC5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7" s="264" t="str">
        <f>IF(ResultsTeams[[#This Row],[Type]]="G",ResultsTeams[[#This Row],[Stage]],AD566)</f>
        <v>Barrage</v>
      </c>
      <c r="AE567" s="395" t="str">
        <f>IF(ResultsTeams[[#This Row],[Type]]="G",INDEX(TeamsList[Club Name],MATCH(ResultsTeams[[#This Row],[Team A]],TeamsList[Team Name],0)),AE566)</f>
        <v>SC Lion's Eugies</v>
      </c>
      <c r="AF567" s="395" t="str">
        <f>IF(ResultsTeams[[#This Row],[Type]]="G",INDEX(TeamsList[Club Name],MATCH(ResultsTeams[[#This Row],[Team B]],TeamsList[Team Name],0)),AF566)</f>
        <v>H'Attard SC</v>
      </c>
      <c r="AG567" s="265"/>
    </row>
    <row r="568" spans="1:33" x14ac:dyDescent="0.2">
      <c r="A568" s="62"/>
      <c r="B568" s="280"/>
      <c r="C568" s="62"/>
      <c r="D568" s="62"/>
      <c r="E568" s="241" t="s">
        <v>12237</v>
      </c>
      <c r="F568" s="246" t="s">
        <v>8196</v>
      </c>
      <c r="G568" s="246" t="s">
        <v>10446</v>
      </c>
      <c r="H568" s="254">
        <v>1</v>
      </c>
      <c r="I568" s="254">
        <v>10</v>
      </c>
      <c r="J568" s="254"/>
      <c r="K568" s="363"/>
      <c r="L568" s="363"/>
      <c r="M568" s="247"/>
      <c r="N568" s="265" t="b">
        <f>NOT(ISERROR(ResultsTeams[[#This Row],[Goal-A]]+ResultsTeams[[#This Row],[Goal-B]]))</f>
        <v>1</v>
      </c>
      <c r="O568" s="265">
        <f>IF(ResultsTeams[[#This Row],[Type]]="G",SUM(O569:O572),IF(LEFT(ResultsTeams[[#This Row],[Type]],1)="P",IF(ResultsTeams[[#This Row],[Goal-A]]&gt;ResultsTeams[[#This Row],[Goal-B]],1,0),""))</f>
        <v>0</v>
      </c>
      <c r="P568" s="265">
        <f>IF(ResultsTeams[[#This Row],[Type]]="G",SUM(P569:P572),IF(LEFT(ResultsTeams[[#This Row],[Type]],1)="P",IF(ResultsTeams[[#This Row],[Goal-A]]&lt;ResultsTeams[[#This Row],[Goal-B]],1,0),""))</f>
        <v>1</v>
      </c>
      <c r="Q568" s="265">
        <f>IF(ResultsTeams[[#This Row],[Type]]="G",SUM(Q569:Q572),IF(LEFT(ResultsTeams[[#This Row],[Type]],1)="P",VALUE(ResultsTeams[[#This Row],[Score-A]]),""))</f>
        <v>1</v>
      </c>
      <c r="R568" s="265">
        <f>IF(ResultsTeams[[#This Row],[Type]]="G",SUM(R569:R572),IF(LEFT(ResultsTeams[[#This Row],[Type]],1)="P",VALUE(ResultsTeams[[#This Row],[Score-B]]),""))</f>
        <v>10</v>
      </c>
      <c r="S568" s="265" t="str">
        <f ca="1">IF(AND(ResultsTeams[[#This Row],[Category]]&lt;&gt;"",ResultsTeams[[#This Row],[Team A]]&lt;&gt;""),COUNTIF(INDIRECT("TeamsList[Club Name]"),ResultsTeams[[#This Row],[Team A]]),"")</f>
        <v/>
      </c>
      <c r="T568" s="265" t="str">
        <f ca="1">IF(AND(ResultsTeams[[#This Row],[Category]]&lt;&gt;"",ResultsTeams[[#This Row],[Team B]]&lt;&gt;""),COUNTIF(INDIRECT("TeamsList[Club Name]"),ResultsTeams[[#This Row],[Team B]]),"")</f>
        <v/>
      </c>
      <c r="U5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8" s="265" t="str">
        <f>IF(ResultsTeams[[#This Row],[Score_OK]],IF(ResultsTeams[[#This Row],[StageCpy]]="Groups",ResultsTeams[[#This Row],[Category]]&amp;"-"&amp;IF(ResultsTeams[[#This Row],[Team B]]="","",IF(ResultsTeams[[#This Row],[Match-A]]=ResultsTeams[[#This Row],[Match-B]],ResultsTeams[[#This Row],[Team A]],"")),""),"")</f>
        <v/>
      </c>
      <c r="W568" s="265" t="str">
        <f>IF(ResultsTeams[[#This Row],[Score_OK]],IF(ResultsTeams[[#This Row],[StageCpy]]="Groups",ResultsTeams[[#This Row],[Category]]&amp;"-"&amp;IF(ResultsTeams[[#This Row],[Team B]]="","",IF(ResultsTeams[[#This Row],[Match-A]]=ResultsTeams[[#This Row],[Match-B]],ResultsTeams[[#This Row],[Team B]],"")),""),"")</f>
        <v/>
      </c>
      <c r="X5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8" s="264" t="str">
        <f>IF(ResultsTeams[[#This Row],[Category]]="","",VLOOKUP(ResultsTeams[[#This Row],[Stage]],$R$1:$T$8,MATCH(ResultsTeams[[#This Row],[Category]],$S$1:$T$1,0)+1,FALSE))</f>
        <v/>
      </c>
      <c r="AC5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8" s="264" t="str">
        <f>IF(ResultsTeams[[#This Row],[Type]]="G",ResultsTeams[[#This Row],[Stage]],AD567)</f>
        <v>Barrage</v>
      </c>
      <c r="AE568" s="395" t="str">
        <f>IF(ResultsTeams[[#This Row],[Type]]="G",INDEX(TeamsList[Club Name],MATCH(ResultsTeams[[#This Row],[Team A]],TeamsList[Team Name],0)),AE567)</f>
        <v>SC Lion's Eugies</v>
      </c>
      <c r="AF568" s="395" t="str">
        <f>IF(ResultsTeams[[#This Row],[Type]]="G",INDEX(TeamsList[Club Name],MATCH(ResultsTeams[[#This Row],[Team B]],TeamsList[Team Name],0)),AF567)</f>
        <v>H'Attard SC</v>
      </c>
      <c r="AG568" s="265"/>
    </row>
    <row r="569" spans="1:33" x14ac:dyDescent="0.2">
      <c r="A569" s="62"/>
      <c r="B569" s="280"/>
      <c r="C569" s="62"/>
      <c r="D569" s="62"/>
      <c r="E569" s="241" t="s">
        <v>12240</v>
      </c>
      <c r="F569" s="246" t="s">
        <v>8103</v>
      </c>
      <c r="G569" s="246" t="s">
        <v>10447</v>
      </c>
      <c r="H569" s="254">
        <v>2</v>
      </c>
      <c r="I569" s="254">
        <v>1</v>
      </c>
      <c r="J569" s="254"/>
      <c r="K569" s="363"/>
      <c r="L569" s="363"/>
      <c r="M569" s="247"/>
      <c r="N569" s="265" t="b">
        <f>NOT(ISERROR(ResultsTeams[[#This Row],[Goal-A]]+ResultsTeams[[#This Row],[Goal-B]]))</f>
        <v>1</v>
      </c>
      <c r="O569" s="265">
        <f>IF(ResultsTeams[[#This Row],[Type]]="G",SUM(O570:O573),IF(LEFT(ResultsTeams[[#This Row],[Type]],1)="P",IF(ResultsTeams[[#This Row],[Goal-A]]&gt;ResultsTeams[[#This Row],[Goal-B]],1,0),""))</f>
        <v>1</v>
      </c>
      <c r="P569" s="265">
        <f>IF(ResultsTeams[[#This Row],[Type]]="G",SUM(P570:P573),IF(LEFT(ResultsTeams[[#This Row],[Type]],1)="P",IF(ResultsTeams[[#This Row],[Goal-A]]&lt;ResultsTeams[[#This Row],[Goal-B]],1,0),""))</f>
        <v>0</v>
      </c>
      <c r="Q569" s="265">
        <f>IF(ResultsTeams[[#This Row],[Type]]="G",SUM(Q570:Q573),IF(LEFT(ResultsTeams[[#This Row],[Type]],1)="P",VALUE(ResultsTeams[[#This Row],[Score-A]]),""))</f>
        <v>2</v>
      </c>
      <c r="R569" s="265">
        <f>IF(ResultsTeams[[#This Row],[Type]]="G",SUM(R570:R573),IF(LEFT(ResultsTeams[[#This Row],[Type]],1)="P",VALUE(ResultsTeams[[#This Row],[Score-B]]),""))</f>
        <v>1</v>
      </c>
      <c r="S569" s="265" t="str">
        <f ca="1">IF(AND(ResultsTeams[[#This Row],[Category]]&lt;&gt;"",ResultsTeams[[#This Row],[Team A]]&lt;&gt;""),COUNTIF(INDIRECT("TeamsList[Club Name]"),ResultsTeams[[#This Row],[Team A]]),"")</f>
        <v/>
      </c>
      <c r="T569" s="265" t="str">
        <f ca="1">IF(AND(ResultsTeams[[#This Row],[Category]]&lt;&gt;"",ResultsTeams[[#This Row],[Team B]]&lt;&gt;""),COUNTIF(INDIRECT("TeamsList[Club Name]"),ResultsTeams[[#This Row],[Team B]]),"")</f>
        <v/>
      </c>
      <c r="U5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9" s="265" t="str">
        <f>IF(ResultsTeams[[#This Row],[Score_OK]],IF(ResultsTeams[[#This Row],[StageCpy]]="Groups",ResultsTeams[[#This Row],[Category]]&amp;"-"&amp;IF(ResultsTeams[[#This Row],[Team B]]="","",IF(ResultsTeams[[#This Row],[Match-A]]=ResultsTeams[[#This Row],[Match-B]],ResultsTeams[[#This Row],[Team A]],"")),""),"")</f>
        <v/>
      </c>
      <c r="W569" s="265" t="str">
        <f>IF(ResultsTeams[[#This Row],[Score_OK]],IF(ResultsTeams[[#This Row],[StageCpy]]="Groups",ResultsTeams[[#This Row],[Category]]&amp;"-"&amp;IF(ResultsTeams[[#This Row],[Team B]]="","",IF(ResultsTeams[[#This Row],[Match-A]]=ResultsTeams[[#This Row],[Match-B]],ResultsTeams[[#This Row],[Team B]],"")),""),"")</f>
        <v/>
      </c>
      <c r="X5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9" s="264" t="str">
        <f>IF(ResultsTeams[[#This Row],[Category]]="","",VLOOKUP(ResultsTeams[[#This Row],[Stage]],$R$1:$T$8,MATCH(ResultsTeams[[#This Row],[Category]],$S$1:$T$1,0)+1,FALSE))</f>
        <v/>
      </c>
      <c r="AC5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9" s="264" t="str">
        <f>IF(ResultsTeams[[#This Row],[Type]]="G",ResultsTeams[[#This Row],[Stage]],AD568)</f>
        <v>Barrage</v>
      </c>
      <c r="AE569" s="395" t="str">
        <f>IF(ResultsTeams[[#This Row],[Type]]="G",INDEX(TeamsList[Club Name],MATCH(ResultsTeams[[#This Row],[Team A]],TeamsList[Team Name],0)),AE568)</f>
        <v>SC Lion's Eugies</v>
      </c>
      <c r="AF569" s="395" t="str">
        <f>IF(ResultsTeams[[#This Row],[Type]]="G",INDEX(TeamsList[Club Name],MATCH(ResultsTeams[[#This Row],[Team B]],TeamsList[Team Name],0)),AF568)</f>
        <v>H'Attard SC</v>
      </c>
      <c r="AG569" s="265"/>
    </row>
    <row r="570" spans="1:33" x14ac:dyDescent="0.2">
      <c r="A570" s="62"/>
      <c r="B570" s="62"/>
      <c r="C570" s="62"/>
      <c r="D570" s="62"/>
      <c r="E570" s="241" t="s">
        <v>12243</v>
      </c>
      <c r="F570" s="247"/>
      <c r="G570" s="247"/>
      <c r="H570" s="254"/>
      <c r="I570" s="254"/>
      <c r="J570" s="260"/>
      <c r="K570" s="364"/>
      <c r="L570" s="364"/>
      <c r="M570" s="247"/>
      <c r="N570" s="265" t="b">
        <f>NOT(ISERROR(ResultsTeams[[#This Row],[Goal-A]]+ResultsTeams[[#This Row],[Goal-B]]))</f>
        <v>0</v>
      </c>
      <c r="O570" s="265" t="str">
        <f>IF(ResultsTeams[[#This Row],[Type]]="G",SUM(O571:O574),IF(LEFT(ResultsTeams[[#This Row],[Type]],1)="P",IF(ResultsTeams[[#This Row],[Goal-A]]&gt;ResultsTeams[[#This Row],[Goal-B]],1,0),""))</f>
        <v/>
      </c>
      <c r="P570" s="265" t="str">
        <f>IF(ResultsTeams[[#This Row],[Type]]="G",SUM(P571:P574),IF(LEFT(ResultsTeams[[#This Row],[Type]],1)="P",IF(ResultsTeams[[#This Row],[Goal-A]]&lt;ResultsTeams[[#This Row],[Goal-B]],1,0),""))</f>
        <v/>
      </c>
      <c r="Q570" s="265" t="str">
        <f>IF(ResultsTeams[[#This Row],[Type]]="G",SUM(Q571:Q574),IF(LEFT(ResultsTeams[[#This Row],[Type]],1)="P",VALUE(ResultsTeams[[#This Row],[Score-A]]),""))</f>
        <v/>
      </c>
      <c r="R570" s="265" t="str">
        <f>IF(ResultsTeams[[#This Row],[Type]]="G",SUM(R571:R574),IF(LEFT(ResultsTeams[[#This Row],[Type]],1)="P",VALUE(ResultsTeams[[#This Row],[Score-B]]),""))</f>
        <v/>
      </c>
      <c r="S570" s="265" t="str">
        <f ca="1">IF(AND(ResultsTeams[[#This Row],[Category]]&lt;&gt;"",ResultsTeams[[#This Row],[Team A]]&lt;&gt;""),COUNTIF(INDIRECT("TeamsList[Club Name]"),ResultsTeams[[#This Row],[Team A]]),"")</f>
        <v/>
      </c>
      <c r="T570" s="265" t="str">
        <f ca="1">IF(AND(ResultsTeams[[#This Row],[Category]]&lt;&gt;"",ResultsTeams[[#This Row],[Team B]]&lt;&gt;""),COUNTIF(INDIRECT("TeamsList[Club Name]"),ResultsTeams[[#This Row],[Team B]]),"")</f>
        <v/>
      </c>
      <c r="U5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0" s="265" t="str">
        <f>IF(ResultsTeams[[#This Row],[Score_OK]],IF(ResultsTeams[[#This Row],[StageCpy]]="Groups",ResultsTeams[[#This Row],[Category]]&amp;"-"&amp;IF(ResultsTeams[[#This Row],[Team B]]="","",IF(ResultsTeams[[#This Row],[Match-A]]=ResultsTeams[[#This Row],[Match-B]],ResultsTeams[[#This Row],[Team A]],"")),""),"")</f>
        <v/>
      </c>
      <c r="W570" s="265" t="str">
        <f>IF(ResultsTeams[[#This Row],[Score_OK]],IF(ResultsTeams[[#This Row],[StageCpy]]="Groups",ResultsTeams[[#This Row],[Category]]&amp;"-"&amp;IF(ResultsTeams[[#This Row],[Team B]]="","",IF(ResultsTeams[[#This Row],[Match-A]]=ResultsTeams[[#This Row],[Match-B]],ResultsTeams[[#This Row],[Team B]],"")),""),"")</f>
        <v/>
      </c>
      <c r="X5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0" s="264" t="str">
        <f>IF(ResultsTeams[[#This Row],[Category]]="","",VLOOKUP(ResultsTeams[[#This Row],[Stage]],$R$1:$T$8,MATCH(ResultsTeams[[#This Row],[Category]],$S$1:$T$1,0)+1,FALSE))</f>
        <v/>
      </c>
      <c r="AC5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0" s="264" t="str">
        <f>IF(ResultsTeams[[#This Row],[Type]]="G",ResultsTeams[[#This Row],[Stage]],AD569)</f>
        <v>Barrage</v>
      </c>
      <c r="AE570" s="395" t="str">
        <f>IF(ResultsTeams[[#This Row],[Type]]="G",INDEX(TeamsList[Club Name],MATCH(ResultsTeams[[#This Row],[Team A]],TeamsList[Team Name],0)),AE569)</f>
        <v>SC Lion's Eugies</v>
      </c>
      <c r="AF570" s="395" t="str">
        <f>IF(ResultsTeams[[#This Row],[Type]]="G",INDEX(TeamsList[Club Name],MATCH(ResultsTeams[[#This Row],[Team B]],TeamsList[Team Name],0)),AF569)</f>
        <v>H'Attard SC</v>
      </c>
      <c r="AG570" s="265"/>
    </row>
    <row r="571" spans="1:33" ht="12" thickBot="1" x14ac:dyDescent="0.25">
      <c r="A571" s="83"/>
      <c r="B571" s="83"/>
      <c r="C571" s="83"/>
      <c r="D571" s="83"/>
      <c r="E571" s="268" t="s">
        <v>12244</v>
      </c>
      <c r="F571" s="262"/>
      <c r="G571" s="262"/>
      <c r="H571" s="324"/>
      <c r="I571" s="324"/>
      <c r="J571" s="263"/>
      <c r="K571" s="365"/>
      <c r="L571" s="365"/>
      <c r="M571" s="262"/>
      <c r="N571" s="265" t="b">
        <f>NOT(ISERROR(ResultsTeams[[#This Row],[Goal-A]]+ResultsTeams[[#This Row],[Goal-B]]))</f>
        <v>0</v>
      </c>
      <c r="O571" s="265" t="str">
        <f>IF(ResultsTeams[[#This Row],[Type]]="G",SUM(O572:O575),IF(LEFT(ResultsTeams[[#This Row],[Type]],1)="P",IF(ResultsTeams[[#This Row],[Goal-A]]&gt;ResultsTeams[[#This Row],[Goal-B]],1,0),""))</f>
        <v/>
      </c>
      <c r="P571" s="265" t="str">
        <f>IF(ResultsTeams[[#This Row],[Type]]="G",SUM(P572:P575),IF(LEFT(ResultsTeams[[#This Row],[Type]],1)="P",IF(ResultsTeams[[#This Row],[Goal-A]]&lt;ResultsTeams[[#This Row],[Goal-B]],1,0),""))</f>
        <v/>
      </c>
      <c r="Q571" s="265" t="str">
        <f>IF(ResultsTeams[[#This Row],[Type]]="G",SUM(Q572:Q575),IF(LEFT(ResultsTeams[[#This Row],[Type]],1)="P",VALUE(ResultsTeams[[#This Row],[Score-A]]),""))</f>
        <v/>
      </c>
      <c r="R571" s="265" t="str">
        <f>IF(ResultsTeams[[#This Row],[Type]]="G",SUM(R572:R575),IF(LEFT(ResultsTeams[[#This Row],[Type]],1)="P",VALUE(ResultsTeams[[#This Row],[Score-B]]),""))</f>
        <v/>
      </c>
      <c r="S571" s="265" t="str">
        <f ca="1">IF(AND(ResultsTeams[[#This Row],[Category]]&lt;&gt;"",ResultsTeams[[#This Row],[Team A]]&lt;&gt;""),COUNTIF(INDIRECT("TeamsList[Club Name]"),ResultsTeams[[#This Row],[Team A]]),"")</f>
        <v/>
      </c>
      <c r="T571" s="265" t="str">
        <f ca="1">IF(AND(ResultsTeams[[#This Row],[Category]]&lt;&gt;"",ResultsTeams[[#This Row],[Team B]]&lt;&gt;""),COUNTIF(INDIRECT("TeamsList[Club Name]"),ResultsTeams[[#This Row],[Team B]]),"")</f>
        <v/>
      </c>
      <c r="U5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1" s="265" t="str">
        <f>IF(ResultsTeams[[#This Row],[Score_OK]],IF(ResultsTeams[[#This Row],[StageCpy]]="Groups",ResultsTeams[[#This Row],[Category]]&amp;"-"&amp;IF(ResultsTeams[[#This Row],[Team B]]="","",IF(ResultsTeams[[#This Row],[Match-A]]=ResultsTeams[[#This Row],[Match-B]],ResultsTeams[[#This Row],[Team A]],"")),""),"")</f>
        <v/>
      </c>
      <c r="W571" s="265" t="str">
        <f>IF(ResultsTeams[[#This Row],[Score_OK]],IF(ResultsTeams[[#This Row],[StageCpy]]="Groups",ResultsTeams[[#This Row],[Category]]&amp;"-"&amp;IF(ResultsTeams[[#This Row],[Team B]]="","",IF(ResultsTeams[[#This Row],[Match-A]]=ResultsTeams[[#This Row],[Match-B]],ResultsTeams[[#This Row],[Team B]],"")),""),"")</f>
        <v/>
      </c>
      <c r="X5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1" s="264" t="str">
        <f>IF(ResultsTeams[[#This Row],[Category]]="","",VLOOKUP(ResultsTeams[[#This Row],[Stage]],$R$1:$T$8,MATCH(ResultsTeams[[#This Row],[Category]],$S$1:$T$1,0)+1,FALSE))</f>
        <v/>
      </c>
      <c r="AC5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1" s="264" t="str">
        <f>IF(ResultsTeams[[#This Row],[Type]]="G",ResultsTeams[[#This Row],[Stage]],AD570)</f>
        <v>Barrage</v>
      </c>
      <c r="AE571" s="395" t="str">
        <f>IF(ResultsTeams[[#This Row],[Type]]="G",INDEX(TeamsList[Club Name],MATCH(ResultsTeams[[#This Row],[Team A]],TeamsList[Team Name],0)),AE570)</f>
        <v>SC Lion's Eugies</v>
      </c>
      <c r="AF571" s="395" t="str">
        <f>IF(ResultsTeams[[#This Row],[Type]]="G",INDEX(TeamsList[Club Name],MATCH(ResultsTeams[[#This Row],[Team B]],TeamsList[Team Name],0)),AF570)</f>
        <v>H'Attard SC</v>
      </c>
      <c r="AG571" s="265"/>
    </row>
    <row r="572" spans="1:33" ht="12" thickBot="1" x14ac:dyDescent="0.25">
      <c r="A572" s="261" t="s">
        <v>12693</v>
      </c>
      <c r="B572" s="270" t="s">
        <v>12219</v>
      </c>
      <c r="C572" s="270"/>
      <c r="D572" s="270"/>
      <c r="E572" s="272" t="s">
        <v>12228</v>
      </c>
      <c r="F572" s="273" t="s">
        <v>789</v>
      </c>
      <c r="G572" s="273" t="s">
        <v>324</v>
      </c>
      <c r="H572" s="275">
        <v>2</v>
      </c>
      <c r="I572" s="275">
        <v>0</v>
      </c>
      <c r="J572" s="275"/>
      <c r="K572" s="366"/>
      <c r="L572" s="366"/>
      <c r="M572" s="274"/>
      <c r="N572" s="265" t="b">
        <f>NOT(ISERROR(ResultsTeams[[#This Row],[Goal-A]]+ResultsTeams[[#This Row],[Goal-B]]))</f>
        <v>1</v>
      </c>
      <c r="O572" s="265">
        <f>IF(ResultsTeams[[#This Row],[Type]]="G",SUM(O573:O576),IF(LEFT(ResultsTeams[[#This Row],[Type]],1)="P",IF(ResultsTeams[[#This Row],[Goal-A]]&gt;ResultsTeams[[#This Row],[Goal-B]],1,0),""))</f>
        <v>2</v>
      </c>
      <c r="P572" s="265">
        <f>IF(ResultsTeams[[#This Row],[Type]]="G",SUM(P573:P576),IF(LEFT(ResultsTeams[[#This Row],[Type]],1)="P",IF(ResultsTeams[[#This Row],[Goal-A]]&lt;ResultsTeams[[#This Row],[Goal-B]],1,0),""))</f>
        <v>0</v>
      </c>
      <c r="Q572" s="265">
        <f>IF(ResultsTeams[[#This Row],[Type]]="G",SUM(Q573:Q576),IF(LEFT(ResultsTeams[[#This Row],[Type]],1)="P",VALUE(ResultsTeams[[#This Row],[Score-A]]),""))</f>
        <v>10</v>
      </c>
      <c r="R572" s="265">
        <f>IF(ResultsTeams[[#This Row],[Type]]="G",SUM(R573:R576),IF(LEFT(ResultsTeams[[#This Row],[Type]],1)="P",VALUE(ResultsTeams[[#This Row],[Score-B]]),""))</f>
        <v>4</v>
      </c>
      <c r="S572" s="265">
        <f ca="1">IF(AND(ResultsTeams[[#This Row],[Category]]&lt;&gt;"",ResultsTeams[[#This Row],[Team A]]&lt;&gt;""),COUNTIF(INDIRECT("TeamsList[Club Name]"),ResultsTeams[[#This Row],[Team A]]),"")</f>
        <v>1</v>
      </c>
      <c r="T572" s="265">
        <f ca="1">IF(AND(ResultsTeams[[#This Row],[Category]]&lt;&gt;"",ResultsTeams[[#This Row],[Team B]]&lt;&gt;""),COUNTIF(INDIRECT("TeamsList[Club Name]"),ResultsTeams[[#This Row],[Team B]]),"")</f>
        <v>4</v>
      </c>
      <c r="U5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2" s="265" t="str">
        <f>IF(ResultsTeams[[#This Row],[Score_OK]],IF(ResultsTeams[[#This Row],[StageCpy]]="Groups",ResultsTeams[[#This Row],[Category]]&amp;"-"&amp;IF(ResultsTeams[[#This Row],[Team B]]="","",IF(ResultsTeams[[#This Row],[Match-A]]=ResultsTeams[[#This Row],[Match-B]],ResultsTeams[[#This Row],[Team A]],"")),""),"")</f>
        <v/>
      </c>
      <c r="W572" s="265" t="str">
        <f>IF(ResultsTeams[[#This Row],[Score_OK]],IF(ResultsTeams[[#This Row],[StageCpy]]="Groups",ResultsTeams[[#This Row],[Category]]&amp;"-"&amp;IF(ResultsTeams[[#This Row],[Team B]]="","",IF(ResultsTeams[[#This Row],[Match-A]]=ResultsTeams[[#This Row],[Match-B]],ResultsTeams[[#This Row],[Team B]],"")),""),"")</f>
        <v/>
      </c>
      <c r="X5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TEAM-SC Lion's Eugies</v>
      </c>
      <c r="Z5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5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572" s="264" t="str">
        <f>IF(ResultsTeams[[#This Row],[Category]]="","",VLOOKUP(ResultsTeams[[#This Row],[Stage]],$R$1:$T$8,MATCH(ResultsTeams[[#This Row],[Category]],$S$1:$T$1,0)+1,FALSE))</f>
        <v>L16</v>
      </c>
      <c r="AC5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2" s="264" t="str">
        <f>IF(ResultsTeams[[#This Row],[Type]]="G",ResultsTeams[[#This Row],[Stage]],AD571)</f>
        <v>Last 16</v>
      </c>
      <c r="AE572" s="395" t="str">
        <f>IF(ResultsTeams[[#This Row],[Type]]="G",INDEX(TeamsList[Club Name],MATCH(ResultsTeams[[#This Row],[Team A]],TeamsList[Team Name],0)),AE571)</f>
        <v>Valletta SC</v>
      </c>
      <c r="AF572" s="395" t="str">
        <f>IF(ResultsTeams[[#This Row],[Type]]="G",INDEX(TeamsList[Club Name],MATCH(ResultsTeams[[#This Row],[Team B]],TeamsList[Team Name],0)),AF571)</f>
        <v>SC Lion's Eugies</v>
      </c>
      <c r="AG572" s="265"/>
    </row>
    <row r="573" spans="1:33" x14ac:dyDescent="0.2">
      <c r="A573" s="60"/>
      <c r="B573" s="280"/>
      <c r="C573" s="60"/>
      <c r="D573" s="60"/>
      <c r="E573" s="240" t="s">
        <v>12231</v>
      </c>
      <c r="F573" s="244" t="s">
        <v>9787</v>
      </c>
      <c r="G573" s="244" t="s">
        <v>8165</v>
      </c>
      <c r="H573" s="253">
        <v>3</v>
      </c>
      <c r="I573" s="253">
        <v>2</v>
      </c>
      <c r="J573" s="253"/>
      <c r="K573" s="362"/>
      <c r="L573" s="362"/>
      <c r="M573" s="245"/>
      <c r="N573" s="265" t="b">
        <f>NOT(ISERROR(ResultsTeams[[#This Row],[Goal-A]]+ResultsTeams[[#This Row],[Goal-B]]))</f>
        <v>1</v>
      </c>
      <c r="O573" s="265">
        <f>IF(ResultsTeams[[#This Row],[Type]]="G",SUM(O574:O577),IF(LEFT(ResultsTeams[[#This Row],[Type]],1)="P",IF(ResultsTeams[[#This Row],[Goal-A]]&gt;ResultsTeams[[#This Row],[Goal-B]],1,0),""))</f>
        <v>1</v>
      </c>
      <c r="P573" s="265">
        <f>IF(ResultsTeams[[#This Row],[Type]]="G",SUM(P574:P577),IF(LEFT(ResultsTeams[[#This Row],[Type]],1)="P",IF(ResultsTeams[[#This Row],[Goal-A]]&lt;ResultsTeams[[#This Row],[Goal-B]],1,0),""))</f>
        <v>0</v>
      </c>
      <c r="Q573" s="265">
        <f>IF(ResultsTeams[[#This Row],[Type]]="G",SUM(Q574:Q577),IF(LEFT(ResultsTeams[[#This Row],[Type]],1)="P",VALUE(ResultsTeams[[#This Row],[Score-A]]),""))</f>
        <v>3</v>
      </c>
      <c r="R573" s="265">
        <f>IF(ResultsTeams[[#This Row],[Type]]="G",SUM(R574:R577),IF(LEFT(ResultsTeams[[#This Row],[Type]],1)="P",VALUE(ResultsTeams[[#This Row],[Score-B]]),""))</f>
        <v>2</v>
      </c>
      <c r="S573" s="265" t="str">
        <f ca="1">IF(AND(ResultsTeams[[#This Row],[Category]]&lt;&gt;"",ResultsTeams[[#This Row],[Team A]]&lt;&gt;""),COUNTIF(INDIRECT("TeamsList[Club Name]"),ResultsTeams[[#This Row],[Team A]]),"")</f>
        <v/>
      </c>
      <c r="T573" s="265" t="str">
        <f ca="1">IF(AND(ResultsTeams[[#This Row],[Category]]&lt;&gt;"",ResultsTeams[[#This Row],[Team B]]&lt;&gt;""),COUNTIF(INDIRECT("TeamsList[Club Name]"),ResultsTeams[[#This Row],[Team B]]),"")</f>
        <v/>
      </c>
      <c r="U5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3" s="265" t="str">
        <f>IF(ResultsTeams[[#This Row],[Score_OK]],IF(ResultsTeams[[#This Row],[StageCpy]]="Groups",ResultsTeams[[#This Row],[Category]]&amp;"-"&amp;IF(ResultsTeams[[#This Row],[Team B]]="","",IF(ResultsTeams[[#This Row],[Match-A]]=ResultsTeams[[#This Row],[Match-B]],ResultsTeams[[#This Row],[Team A]],"")),""),"")</f>
        <v/>
      </c>
      <c r="W573" s="265" t="str">
        <f>IF(ResultsTeams[[#This Row],[Score_OK]],IF(ResultsTeams[[#This Row],[StageCpy]]="Groups",ResultsTeams[[#This Row],[Category]]&amp;"-"&amp;IF(ResultsTeams[[#This Row],[Team B]]="","",IF(ResultsTeams[[#This Row],[Match-A]]=ResultsTeams[[#This Row],[Match-B]],ResultsTeams[[#This Row],[Team B]],"")),""),"")</f>
        <v/>
      </c>
      <c r="X5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3" s="264" t="str">
        <f>IF(ResultsTeams[[#This Row],[Category]]="","",VLOOKUP(ResultsTeams[[#This Row],[Stage]],$R$1:$T$8,MATCH(ResultsTeams[[#This Row],[Category]],$S$1:$T$1,0)+1,FALSE))</f>
        <v/>
      </c>
      <c r="AC5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3" s="264" t="str">
        <f>IF(ResultsTeams[[#This Row],[Type]]="G",ResultsTeams[[#This Row],[Stage]],AD572)</f>
        <v>Last 16</v>
      </c>
      <c r="AE573" s="395" t="str">
        <f>IF(ResultsTeams[[#This Row],[Type]]="G",INDEX(TeamsList[Club Name],MATCH(ResultsTeams[[#This Row],[Team A]],TeamsList[Team Name],0)),AE572)</f>
        <v>Valletta SC</v>
      </c>
      <c r="AF573" s="395" t="str">
        <f>IF(ResultsTeams[[#This Row],[Type]]="G",INDEX(TeamsList[Club Name],MATCH(ResultsTeams[[#This Row],[Team B]],TeamsList[Team Name],0)),AF572)</f>
        <v>SC Lion's Eugies</v>
      </c>
      <c r="AG573" s="265"/>
    </row>
    <row r="574" spans="1:33" x14ac:dyDescent="0.2">
      <c r="A574" s="62"/>
      <c r="B574" s="280"/>
      <c r="C574" s="62"/>
      <c r="D574" s="62"/>
      <c r="E574" s="241" t="s">
        <v>12234</v>
      </c>
      <c r="F574" s="246" t="s">
        <v>10415</v>
      </c>
      <c r="G574" s="246" t="s">
        <v>8109</v>
      </c>
      <c r="H574" s="254">
        <v>1</v>
      </c>
      <c r="I574" s="254">
        <v>1</v>
      </c>
      <c r="J574" s="254"/>
      <c r="K574" s="363"/>
      <c r="L574" s="363"/>
      <c r="M574" s="247"/>
      <c r="N574" s="265" t="b">
        <f>NOT(ISERROR(ResultsTeams[[#This Row],[Goal-A]]+ResultsTeams[[#This Row],[Goal-B]]))</f>
        <v>1</v>
      </c>
      <c r="O574" s="265">
        <f>IF(ResultsTeams[[#This Row],[Type]]="G",SUM(O575:O578),IF(LEFT(ResultsTeams[[#This Row],[Type]],1)="P",IF(ResultsTeams[[#This Row],[Goal-A]]&gt;ResultsTeams[[#This Row],[Goal-B]],1,0),""))</f>
        <v>0</v>
      </c>
      <c r="P574" s="265">
        <f>IF(ResultsTeams[[#This Row],[Type]]="G",SUM(P575:P578),IF(LEFT(ResultsTeams[[#This Row],[Type]],1)="P",IF(ResultsTeams[[#This Row],[Goal-A]]&lt;ResultsTeams[[#This Row],[Goal-B]],1,0),""))</f>
        <v>0</v>
      </c>
      <c r="Q574" s="265">
        <f>IF(ResultsTeams[[#This Row],[Type]]="G",SUM(Q575:Q578),IF(LEFT(ResultsTeams[[#This Row],[Type]],1)="P",VALUE(ResultsTeams[[#This Row],[Score-A]]),""))</f>
        <v>1</v>
      </c>
      <c r="R574" s="265">
        <f>IF(ResultsTeams[[#This Row],[Type]]="G",SUM(R575:R578),IF(LEFT(ResultsTeams[[#This Row],[Type]],1)="P",VALUE(ResultsTeams[[#This Row],[Score-B]]),""))</f>
        <v>1</v>
      </c>
      <c r="S574" s="265" t="str">
        <f ca="1">IF(AND(ResultsTeams[[#This Row],[Category]]&lt;&gt;"",ResultsTeams[[#This Row],[Team A]]&lt;&gt;""),COUNTIF(INDIRECT("TeamsList[Club Name]"),ResultsTeams[[#This Row],[Team A]]),"")</f>
        <v/>
      </c>
      <c r="T574" s="265" t="str">
        <f ca="1">IF(AND(ResultsTeams[[#This Row],[Category]]&lt;&gt;"",ResultsTeams[[#This Row],[Team B]]&lt;&gt;""),COUNTIF(INDIRECT("TeamsList[Club Name]"),ResultsTeams[[#This Row],[Team B]]),"")</f>
        <v/>
      </c>
      <c r="U5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4" s="265" t="str">
        <f>IF(ResultsTeams[[#This Row],[Score_OK]],IF(ResultsTeams[[#This Row],[StageCpy]]="Groups",ResultsTeams[[#This Row],[Category]]&amp;"-"&amp;IF(ResultsTeams[[#This Row],[Team B]]="","",IF(ResultsTeams[[#This Row],[Match-A]]=ResultsTeams[[#This Row],[Match-B]],ResultsTeams[[#This Row],[Team A]],"")),""),"")</f>
        <v/>
      </c>
      <c r="W574" s="265" t="str">
        <f>IF(ResultsTeams[[#This Row],[Score_OK]],IF(ResultsTeams[[#This Row],[StageCpy]]="Groups",ResultsTeams[[#This Row],[Category]]&amp;"-"&amp;IF(ResultsTeams[[#This Row],[Team B]]="","",IF(ResultsTeams[[#This Row],[Match-A]]=ResultsTeams[[#This Row],[Match-B]],ResultsTeams[[#This Row],[Team B]],"")),""),"")</f>
        <v/>
      </c>
      <c r="X5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4" s="264" t="str">
        <f>IF(ResultsTeams[[#This Row],[Category]]="","",VLOOKUP(ResultsTeams[[#This Row],[Stage]],$R$1:$T$8,MATCH(ResultsTeams[[#This Row],[Category]],$S$1:$T$1,0)+1,FALSE))</f>
        <v/>
      </c>
      <c r="AC5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4" s="264" t="str">
        <f>IF(ResultsTeams[[#This Row],[Type]]="G",ResultsTeams[[#This Row],[Stage]],AD573)</f>
        <v>Last 16</v>
      </c>
      <c r="AE574" s="395" t="str">
        <f>IF(ResultsTeams[[#This Row],[Type]]="G",INDEX(TeamsList[Club Name],MATCH(ResultsTeams[[#This Row],[Team A]],TeamsList[Team Name],0)),AE573)</f>
        <v>Valletta SC</v>
      </c>
      <c r="AF574" s="395" t="str">
        <f>IF(ResultsTeams[[#This Row],[Type]]="G",INDEX(TeamsList[Club Name],MATCH(ResultsTeams[[#This Row],[Team B]],TeamsList[Team Name],0)),AF573)</f>
        <v>SC Lion's Eugies</v>
      </c>
      <c r="AG574" s="265"/>
    </row>
    <row r="575" spans="1:33" x14ac:dyDescent="0.2">
      <c r="A575" s="62"/>
      <c r="B575" s="280"/>
      <c r="C575" s="62"/>
      <c r="D575" s="62"/>
      <c r="E575" s="241" t="s">
        <v>12237</v>
      </c>
      <c r="F575" s="246" t="s">
        <v>10436</v>
      </c>
      <c r="G575" s="246" t="s">
        <v>8123</v>
      </c>
      <c r="H575" s="254">
        <v>0</v>
      </c>
      <c r="I575" s="254">
        <v>0</v>
      </c>
      <c r="J575" s="254"/>
      <c r="K575" s="363"/>
      <c r="L575" s="363"/>
      <c r="M575" s="247"/>
      <c r="N575" s="265" t="b">
        <f>NOT(ISERROR(ResultsTeams[[#This Row],[Goal-A]]+ResultsTeams[[#This Row],[Goal-B]]))</f>
        <v>1</v>
      </c>
      <c r="O575" s="265">
        <f>IF(ResultsTeams[[#This Row],[Type]]="G",SUM(O576:O579),IF(LEFT(ResultsTeams[[#This Row],[Type]],1)="P",IF(ResultsTeams[[#This Row],[Goal-A]]&gt;ResultsTeams[[#This Row],[Goal-B]],1,0),""))</f>
        <v>0</v>
      </c>
      <c r="P575" s="265">
        <f>IF(ResultsTeams[[#This Row],[Type]]="G",SUM(P576:P579),IF(LEFT(ResultsTeams[[#This Row],[Type]],1)="P",IF(ResultsTeams[[#This Row],[Goal-A]]&lt;ResultsTeams[[#This Row],[Goal-B]],1,0),""))</f>
        <v>0</v>
      </c>
      <c r="Q575" s="265">
        <f>IF(ResultsTeams[[#This Row],[Type]]="G",SUM(Q576:Q579),IF(LEFT(ResultsTeams[[#This Row],[Type]],1)="P",VALUE(ResultsTeams[[#This Row],[Score-A]]),""))</f>
        <v>0</v>
      </c>
      <c r="R575" s="265">
        <f>IF(ResultsTeams[[#This Row],[Type]]="G",SUM(R576:R579),IF(LEFT(ResultsTeams[[#This Row],[Type]],1)="P",VALUE(ResultsTeams[[#This Row],[Score-B]]),""))</f>
        <v>0</v>
      </c>
      <c r="S575" s="265" t="str">
        <f ca="1">IF(AND(ResultsTeams[[#This Row],[Category]]&lt;&gt;"",ResultsTeams[[#This Row],[Team A]]&lt;&gt;""),COUNTIF(INDIRECT("TeamsList[Club Name]"),ResultsTeams[[#This Row],[Team A]]),"")</f>
        <v/>
      </c>
      <c r="T575" s="265" t="str">
        <f ca="1">IF(AND(ResultsTeams[[#This Row],[Category]]&lt;&gt;"",ResultsTeams[[#This Row],[Team B]]&lt;&gt;""),COUNTIF(INDIRECT("TeamsList[Club Name]"),ResultsTeams[[#This Row],[Team B]]),"")</f>
        <v/>
      </c>
      <c r="U5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5" s="265" t="str">
        <f>IF(ResultsTeams[[#This Row],[Score_OK]],IF(ResultsTeams[[#This Row],[StageCpy]]="Groups",ResultsTeams[[#This Row],[Category]]&amp;"-"&amp;IF(ResultsTeams[[#This Row],[Team B]]="","",IF(ResultsTeams[[#This Row],[Match-A]]=ResultsTeams[[#This Row],[Match-B]],ResultsTeams[[#This Row],[Team A]],"")),""),"")</f>
        <v/>
      </c>
      <c r="W575" s="265" t="str">
        <f>IF(ResultsTeams[[#This Row],[Score_OK]],IF(ResultsTeams[[#This Row],[StageCpy]]="Groups",ResultsTeams[[#This Row],[Category]]&amp;"-"&amp;IF(ResultsTeams[[#This Row],[Team B]]="","",IF(ResultsTeams[[#This Row],[Match-A]]=ResultsTeams[[#This Row],[Match-B]],ResultsTeams[[#This Row],[Team B]],"")),""),"")</f>
        <v/>
      </c>
      <c r="X5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5" s="264" t="str">
        <f>IF(ResultsTeams[[#This Row],[Category]]="","",VLOOKUP(ResultsTeams[[#This Row],[Stage]],$R$1:$T$8,MATCH(ResultsTeams[[#This Row],[Category]],$S$1:$T$1,0)+1,FALSE))</f>
        <v/>
      </c>
      <c r="AC5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5" s="264" t="str">
        <f>IF(ResultsTeams[[#This Row],[Type]]="G",ResultsTeams[[#This Row],[Stage]],AD574)</f>
        <v>Last 16</v>
      </c>
      <c r="AE575" s="395" t="str">
        <f>IF(ResultsTeams[[#This Row],[Type]]="G",INDEX(TeamsList[Club Name],MATCH(ResultsTeams[[#This Row],[Team A]],TeamsList[Team Name],0)),AE574)</f>
        <v>Valletta SC</v>
      </c>
      <c r="AF575" s="395" t="str">
        <f>IF(ResultsTeams[[#This Row],[Type]]="G",INDEX(TeamsList[Club Name],MATCH(ResultsTeams[[#This Row],[Team B]],TeamsList[Team Name],0)),AF574)</f>
        <v>SC Lion's Eugies</v>
      </c>
      <c r="AG575" s="265"/>
    </row>
    <row r="576" spans="1:33" x14ac:dyDescent="0.2">
      <c r="A576" s="62"/>
      <c r="B576" s="280"/>
      <c r="C576" s="62"/>
      <c r="D576" s="62"/>
      <c r="E576" s="241" t="s">
        <v>12240</v>
      </c>
      <c r="F576" s="246" t="s">
        <v>8129</v>
      </c>
      <c r="G576" s="246" t="s">
        <v>8075</v>
      </c>
      <c r="H576" s="254">
        <v>6</v>
      </c>
      <c r="I576" s="254">
        <v>1</v>
      </c>
      <c r="J576" s="254"/>
      <c r="K576" s="363"/>
      <c r="L576" s="363"/>
      <c r="M576" s="247"/>
      <c r="N576" s="265" t="b">
        <f>NOT(ISERROR(ResultsTeams[[#This Row],[Goal-A]]+ResultsTeams[[#This Row],[Goal-B]]))</f>
        <v>1</v>
      </c>
      <c r="O576" s="265">
        <f>IF(ResultsTeams[[#This Row],[Type]]="G",SUM(O577:O580),IF(LEFT(ResultsTeams[[#This Row],[Type]],1)="P",IF(ResultsTeams[[#This Row],[Goal-A]]&gt;ResultsTeams[[#This Row],[Goal-B]],1,0),""))</f>
        <v>1</v>
      </c>
      <c r="P576" s="265">
        <f>IF(ResultsTeams[[#This Row],[Type]]="G",SUM(P577:P580),IF(LEFT(ResultsTeams[[#This Row],[Type]],1)="P",IF(ResultsTeams[[#This Row],[Goal-A]]&lt;ResultsTeams[[#This Row],[Goal-B]],1,0),""))</f>
        <v>0</v>
      </c>
      <c r="Q576" s="265">
        <f>IF(ResultsTeams[[#This Row],[Type]]="G",SUM(Q577:Q580),IF(LEFT(ResultsTeams[[#This Row],[Type]],1)="P",VALUE(ResultsTeams[[#This Row],[Score-A]]),""))</f>
        <v>6</v>
      </c>
      <c r="R576" s="265">
        <f>IF(ResultsTeams[[#This Row],[Type]]="G",SUM(R577:R580),IF(LEFT(ResultsTeams[[#This Row],[Type]],1)="P",VALUE(ResultsTeams[[#This Row],[Score-B]]),""))</f>
        <v>1</v>
      </c>
      <c r="S576" s="265" t="str">
        <f ca="1">IF(AND(ResultsTeams[[#This Row],[Category]]&lt;&gt;"",ResultsTeams[[#This Row],[Team A]]&lt;&gt;""),COUNTIF(INDIRECT("TeamsList[Club Name]"),ResultsTeams[[#This Row],[Team A]]),"")</f>
        <v/>
      </c>
      <c r="T576" s="265" t="str">
        <f ca="1">IF(AND(ResultsTeams[[#This Row],[Category]]&lt;&gt;"",ResultsTeams[[#This Row],[Team B]]&lt;&gt;""),COUNTIF(INDIRECT("TeamsList[Club Name]"),ResultsTeams[[#This Row],[Team B]]),"")</f>
        <v/>
      </c>
      <c r="U5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6" s="265" t="str">
        <f>IF(ResultsTeams[[#This Row],[Score_OK]],IF(ResultsTeams[[#This Row],[StageCpy]]="Groups",ResultsTeams[[#This Row],[Category]]&amp;"-"&amp;IF(ResultsTeams[[#This Row],[Team B]]="","",IF(ResultsTeams[[#This Row],[Match-A]]=ResultsTeams[[#This Row],[Match-B]],ResultsTeams[[#This Row],[Team A]],"")),""),"")</f>
        <v/>
      </c>
      <c r="W576" s="265" t="str">
        <f>IF(ResultsTeams[[#This Row],[Score_OK]],IF(ResultsTeams[[#This Row],[StageCpy]]="Groups",ResultsTeams[[#This Row],[Category]]&amp;"-"&amp;IF(ResultsTeams[[#This Row],[Team B]]="","",IF(ResultsTeams[[#This Row],[Match-A]]=ResultsTeams[[#This Row],[Match-B]],ResultsTeams[[#This Row],[Team B]],"")),""),"")</f>
        <v/>
      </c>
      <c r="X5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6" s="264" t="str">
        <f>IF(ResultsTeams[[#This Row],[Category]]="","",VLOOKUP(ResultsTeams[[#This Row],[Stage]],$R$1:$T$8,MATCH(ResultsTeams[[#This Row],[Category]],$S$1:$T$1,0)+1,FALSE))</f>
        <v/>
      </c>
      <c r="AC5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6" s="264" t="str">
        <f>IF(ResultsTeams[[#This Row],[Type]]="G",ResultsTeams[[#This Row],[Stage]],AD575)</f>
        <v>Last 16</v>
      </c>
      <c r="AE576" s="395" t="str">
        <f>IF(ResultsTeams[[#This Row],[Type]]="G",INDEX(TeamsList[Club Name],MATCH(ResultsTeams[[#This Row],[Team A]],TeamsList[Team Name],0)),AE575)</f>
        <v>Valletta SC</v>
      </c>
      <c r="AF576" s="395" t="str">
        <f>IF(ResultsTeams[[#This Row],[Type]]="G",INDEX(TeamsList[Club Name],MATCH(ResultsTeams[[#This Row],[Team B]],TeamsList[Team Name],0)),AF575)</f>
        <v>SC Lion's Eugies</v>
      </c>
      <c r="AG576" s="265"/>
    </row>
    <row r="577" spans="1:33" x14ac:dyDescent="0.2">
      <c r="A577" s="62"/>
      <c r="B577" s="62"/>
      <c r="C577" s="62"/>
      <c r="D577" s="62"/>
      <c r="E577" s="241" t="s">
        <v>12243</v>
      </c>
      <c r="F577" s="247"/>
      <c r="G577" s="247"/>
      <c r="H577" s="254"/>
      <c r="I577" s="254"/>
      <c r="J577" s="260"/>
      <c r="K577" s="364"/>
      <c r="L577" s="364"/>
      <c r="M577" s="63"/>
      <c r="N577" s="265" t="b">
        <f>NOT(ISERROR(ResultsTeams[[#This Row],[Goal-A]]+ResultsTeams[[#This Row],[Goal-B]]))</f>
        <v>0</v>
      </c>
      <c r="O577" s="265" t="str">
        <f>IF(ResultsTeams[[#This Row],[Type]]="G",SUM(O578:O581),IF(LEFT(ResultsTeams[[#This Row],[Type]],1)="P",IF(ResultsTeams[[#This Row],[Goal-A]]&gt;ResultsTeams[[#This Row],[Goal-B]],1,0),""))</f>
        <v/>
      </c>
      <c r="P577" s="265" t="str">
        <f>IF(ResultsTeams[[#This Row],[Type]]="G",SUM(P578:P581),IF(LEFT(ResultsTeams[[#This Row],[Type]],1)="P",IF(ResultsTeams[[#This Row],[Goal-A]]&lt;ResultsTeams[[#This Row],[Goal-B]],1,0),""))</f>
        <v/>
      </c>
      <c r="Q577" s="265" t="str">
        <f>IF(ResultsTeams[[#This Row],[Type]]="G",SUM(Q578:Q581),IF(LEFT(ResultsTeams[[#This Row],[Type]],1)="P",VALUE(ResultsTeams[[#This Row],[Score-A]]),""))</f>
        <v/>
      </c>
      <c r="R577" s="265" t="str">
        <f>IF(ResultsTeams[[#This Row],[Type]]="G",SUM(R578:R581),IF(LEFT(ResultsTeams[[#This Row],[Type]],1)="P",VALUE(ResultsTeams[[#This Row],[Score-B]]),""))</f>
        <v/>
      </c>
      <c r="S577" s="265" t="str">
        <f ca="1">IF(AND(ResultsTeams[[#This Row],[Category]]&lt;&gt;"",ResultsTeams[[#This Row],[Team A]]&lt;&gt;""),COUNTIF(INDIRECT("TeamsList[Club Name]"),ResultsTeams[[#This Row],[Team A]]),"")</f>
        <v/>
      </c>
      <c r="T577" s="265" t="str">
        <f ca="1">IF(AND(ResultsTeams[[#This Row],[Category]]&lt;&gt;"",ResultsTeams[[#This Row],[Team B]]&lt;&gt;""),COUNTIF(INDIRECT("TeamsList[Club Name]"),ResultsTeams[[#This Row],[Team B]]),"")</f>
        <v/>
      </c>
      <c r="U5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7" s="265" t="str">
        <f>IF(ResultsTeams[[#This Row],[Score_OK]],IF(ResultsTeams[[#This Row],[StageCpy]]="Groups",ResultsTeams[[#This Row],[Category]]&amp;"-"&amp;IF(ResultsTeams[[#This Row],[Team B]]="","",IF(ResultsTeams[[#This Row],[Match-A]]=ResultsTeams[[#This Row],[Match-B]],ResultsTeams[[#This Row],[Team A]],"")),""),"")</f>
        <v/>
      </c>
      <c r="W577" s="265" t="str">
        <f>IF(ResultsTeams[[#This Row],[Score_OK]],IF(ResultsTeams[[#This Row],[StageCpy]]="Groups",ResultsTeams[[#This Row],[Category]]&amp;"-"&amp;IF(ResultsTeams[[#This Row],[Team B]]="","",IF(ResultsTeams[[#This Row],[Match-A]]=ResultsTeams[[#This Row],[Match-B]],ResultsTeams[[#This Row],[Team B]],"")),""),"")</f>
        <v/>
      </c>
      <c r="X5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7" s="264" t="str">
        <f>IF(ResultsTeams[[#This Row],[Category]]="","",VLOOKUP(ResultsTeams[[#This Row],[Stage]],$R$1:$T$8,MATCH(ResultsTeams[[#This Row],[Category]],$S$1:$T$1,0)+1,FALSE))</f>
        <v/>
      </c>
      <c r="AC5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7" s="264" t="str">
        <f>IF(ResultsTeams[[#This Row],[Type]]="G",ResultsTeams[[#This Row],[Stage]],AD576)</f>
        <v>Last 16</v>
      </c>
      <c r="AE577" s="395" t="str">
        <f>IF(ResultsTeams[[#This Row],[Type]]="G",INDEX(TeamsList[Club Name],MATCH(ResultsTeams[[#This Row],[Team A]],TeamsList[Team Name],0)),AE576)</f>
        <v>Valletta SC</v>
      </c>
      <c r="AF577" s="395" t="str">
        <f>IF(ResultsTeams[[#This Row],[Type]]="G",INDEX(TeamsList[Club Name],MATCH(ResultsTeams[[#This Row],[Team B]],TeamsList[Team Name],0)),AF576)</f>
        <v>SC Lion's Eugies</v>
      </c>
      <c r="AG577" s="265"/>
    </row>
    <row r="578" spans="1:33" ht="12" thickBot="1" x14ac:dyDescent="0.25">
      <c r="A578" s="83"/>
      <c r="B578" s="83"/>
      <c r="C578" s="83"/>
      <c r="D578" s="83"/>
      <c r="E578" s="268" t="s">
        <v>12244</v>
      </c>
      <c r="F578" s="262"/>
      <c r="G578" s="262"/>
      <c r="H578" s="324"/>
      <c r="I578" s="324"/>
      <c r="J578" s="263"/>
      <c r="K578" s="365"/>
      <c r="L578" s="365"/>
      <c r="M578" s="84"/>
      <c r="N578" s="265" t="b">
        <f>NOT(ISERROR(ResultsTeams[[#This Row],[Goal-A]]+ResultsTeams[[#This Row],[Goal-B]]))</f>
        <v>0</v>
      </c>
      <c r="O578" s="265" t="str">
        <f>IF(ResultsTeams[[#This Row],[Type]]="G",SUM(O579:O582),IF(LEFT(ResultsTeams[[#This Row],[Type]],1)="P",IF(ResultsTeams[[#This Row],[Goal-A]]&gt;ResultsTeams[[#This Row],[Goal-B]],1,0),""))</f>
        <v/>
      </c>
      <c r="P578" s="265" t="str">
        <f>IF(ResultsTeams[[#This Row],[Type]]="G",SUM(P579:P582),IF(LEFT(ResultsTeams[[#This Row],[Type]],1)="P",IF(ResultsTeams[[#This Row],[Goal-A]]&lt;ResultsTeams[[#This Row],[Goal-B]],1,0),""))</f>
        <v/>
      </c>
      <c r="Q578" s="265" t="str">
        <f>IF(ResultsTeams[[#This Row],[Type]]="G",SUM(Q579:Q582),IF(LEFT(ResultsTeams[[#This Row],[Type]],1)="P",VALUE(ResultsTeams[[#This Row],[Score-A]]),""))</f>
        <v/>
      </c>
      <c r="R578" s="265" t="str">
        <f>IF(ResultsTeams[[#This Row],[Type]]="G",SUM(R579:R582),IF(LEFT(ResultsTeams[[#This Row],[Type]],1)="P",VALUE(ResultsTeams[[#This Row],[Score-B]]),""))</f>
        <v/>
      </c>
      <c r="S578" s="265" t="str">
        <f ca="1">IF(AND(ResultsTeams[[#This Row],[Category]]&lt;&gt;"",ResultsTeams[[#This Row],[Team A]]&lt;&gt;""),COUNTIF(INDIRECT("TeamsList[Club Name]"),ResultsTeams[[#This Row],[Team A]]),"")</f>
        <v/>
      </c>
      <c r="T578" s="265" t="str">
        <f ca="1">IF(AND(ResultsTeams[[#This Row],[Category]]&lt;&gt;"",ResultsTeams[[#This Row],[Team B]]&lt;&gt;""),COUNTIF(INDIRECT("TeamsList[Club Name]"),ResultsTeams[[#This Row],[Team B]]),"")</f>
        <v/>
      </c>
      <c r="U5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8" s="265" t="str">
        <f>IF(ResultsTeams[[#This Row],[Score_OK]],IF(ResultsTeams[[#This Row],[StageCpy]]="Groups",ResultsTeams[[#This Row],[Category]]&amp;"-"&amp;IF(ResultsTeams[[#This Row],[Team B]]="","",IF(ResultsTeams[[#This Row],[Match-A]]=ResultsTeams[[#This Row],[Match-B]],ResultsTeams[[#This Row],[Team A]],"")),""),"")</f>
        <v/>
      </c>
      <c r="W578" s="265" t="str">
        <f>IF(ResultsTeams[[#This Row],[Score_OK]],IF(ResultsTeams[[#This Row],[StageCpy]]="Groups",ResultsTeams[[#This Row],[Category]]&amp;"-"&amp;IF(ResultsTeams[[#This Row],[Team B]]="","",IF(ResultsTeams[[#This Row],[Match-A]]=ResultsTeams[[#This Row],[Match-B]],ResultsTeams[[#This Row],[Team B]],"")),""),"")</f>
        <v/>
      </c>
      <c r="X5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8" s="264" t="str">
        <f>IF(ResultsTeams[[#This Row],[Category]]="","",VLOOKUP(ResultsTeams[[#This Row],[Stage]],$R$1:$T$8,MATCH(ResultsTeams[[#This Row],[Category]],$S$1:$T$1,0)+1,FALSE))</f>
        <v/>
      </c>
      <c r="AC5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8" s="264" t="str">
        <f>IF(ResultsTeams[[#This Row],[Type]]="G",ResultsTeams[[#This Row],[Stage]],AD577)</f>
        <v>Last 16</v>
      </c>
      <c r="AE578" s="395" t="str">
        <f>IF(ResultsTeams[[#This Row],[Type]]="G",INDEX(TeamsList[Club Name],MATCH(ResultsTeams[[#This Row],[Team A]],TeamsList[Team Name],0)),AE577)</f>
        <v>Valletta SC</v>
      </c>
      <c r="AF578" s="395" t="str">
        <f>IF(ResultsTeams[[#This Row],[Type]]="G",INDEX(TeamsList[Club Name],MATCH(ResultsTeams[[#This Row],[Team B]],TeamsList[Team Name],0)),AF577)</f>
        <v>SC Lion's Eugies</v>
      </c>
      <c r="AG578" s="265"/>
    </row>
    <row r="579" spans="1:33" ht="12" thickBot="1" x14ac:dyDescent="0.25">
      <c r="A579" s="261" t="s">
        <v>12693</v>
      </c>
      <c r="B579" s="270" t="s">
        <v>12219</v>
      </c>
      <c r="C579" s="270"/>
      <c r="D579" s="270"/>
      <c r="E579" s="272" t="s">
        <v>12228</v>
      </c>
      <c r="F579" s="273" t="s">
        <v>644</v>
      </c>
      <c r="G579" s="273" t="s">
        <v>11495</v>
      </c>
      <c r="H579" s="275">
        <v>3</v>
      </c>
      <c r="I579" s="275">
        <v>0</v>
      </c>
      <c r="J579" s="275"/>
      <c r="K579" s="366"/>
      <c r="L579" s="366"/>
      <c r="M579" s="271"/>
      <c r="N579" s="265" t="b">
        <f>NOT(ISERROR(ResultsTeams[[#This Row],[Goal-A]]+ResultsTeams[[#This Row],[Goal-B]]))</f>
        <v>1</v>
      </c>
      <c r="O579" s="265">
        <f>IF(ResultsTeams[[#This Row],[Type]]="G",SUM(O580:O583),IF(LEFT(ResultsTeams[[#This Row],[Type]],1)="P",IF(ResultsTeams[[#This Row],[Goal-A]]&gt;ResultsTeams[[#This Row],[Goal-B]],1,0),""))</f>
        <v>3</v>
      </c>
      <c r="P579" s="265">
        <f>IF(ResultsTeams[[#This Row],[Type]]="G",SUM(P580:P583),IF(LEFT(ResultsTeams[[#This Row],[Type]],1)="P",IF(ResultsTeams[[#This Row],[Goal-A]]&lt;ResultsTeams[[#This Row],[Goal-B]],1,0),""))</f>
        <v>0</v>
      </c>
      <c r="Q579" s="265">
        <f>IF(ResultsTeams[[#This Row],[Type]]="G",SUM(Q580:Q583),IF(LEFT(ResultsTeams[[#This Row],[Type]],1)="P",VALUE(ResultsTeams[[#This Row],[Score-A]]),""))</f>
        <v>18</v>
      </c>
      <c r="R579" s="265">
        <f>IF(ResultsTeams[[#This Row],[Type]]="G",SUM(R580:R583),IF(LEFT(ResultsTeams[[#This Row],[Type]],1)="P",VALUE(ResultsTeams[[#This Row],[Score-B]]),""))</f>
        <v>6</v>
      </c>
      <c r="S579" s="265">
        <f ca="1">IF(AND(ResultsTeams[[#This Row],[Category]]&lt;&gt;"",ResultsTeams[[#This Row],[Team A]]&lt;&gt;""),COUNTIF(INDIRECT("TeamsList[Club Name]"),ResultsTeams[[#This Row],[Team A]]),"")</f>
        <v>2</v>
      </c>
      <c r="T579" s="265">
        <f ca="1">IF(AND(ResultsTeams[[#This Row],[Category]]&lt;&gt;"",ResultsTeams[[#This Row],[Team B]]&lt;&gt;""),COUNTIF(INDIRECT("TeamsList[Club Name]"),ResultsTeams[[#This Row],[Team B]]),"")</f>
        <v>1</v>
      </c>
      <c r="U5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9" s="265" t="str">
        <f>IF(ResultsTeams[[#This Row],[Score_OK]],IF(ResultsTeams[[#This Row],[StageCpy]]="Groups",ResultsTeams[[#This Row],[Category]]&amp;"-"&amp;IF(ResultsTeams[[#This Row],[Team B]]="","",IF(ResultsTeams[[#This Row],[Match-A]]=ResultsTeams[[#This Row],[Match-B]],ResultsTeams[[#This Row],[Team A]],"")),""),"")</f>
        <v/>
      </c>
      <c r="W579" s="265" t="str">
        <f>IF(ResultsTeams[[#This Row],[Score_OK]],IF(ResultsTeams[[#This Row],[StageCpy]]="Groups",ResultsTeams[[#This Row],[Category]]&amp;"-"&amp;IF(ResultsTeams[[#This Row],[Team B]]="","",IF(ResultsTeams[[#This Row],[Match-A]]=ResultsTeams[[#This Row],[Match-B]],ResultsTeams[[#This Row],[Team B]],"")),""),"")</f>
        <v/>
      </c>
      <c r="X5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TEAM-Subbuteo Dragons Azuqueca</v>
      </c>
      <c r="Z5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5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579" s="264" t="str">
        <f>IF(ResultsTeams[[#This Row],[Category]]="","",VLOOKUP(ResultsTeams[[#This Row],[Stage]],$R$1:$T$8,MATCH(ResultsTeams[[#This Row],[Category]],$S$1:$T$1,0)+1,FALSE))</f>
        <v>L16</v>
      </c>
      <c r="AC5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9" s="264" t="str">
        <f>IF(ResultsTeams[[#This Row],[Type]]="G",ResultsTeams[[#This Row],[Stage]],AD578)</f>
        <v>Last 16</v>
      </c>
      <c r="AE579" s="395" t="str">
        <f>IF(ResultsTeams[[#This Row],[Type]]="G",INDEX(TeamsList[Club Name],MATCH(ResultsTeams[[#This Row],[Team A]],TeamsList[Team Name],0)),AE578)</f>
        <v>Master Sanremo</v>
      </c>
      <c r="AF579" s="395" t="str">
        <f>IF(ResultsTeams[[#This Row],[Type]]="G",INDEX(TeamsList[Club Name],MATCH(ResultsTeams[[#This Row],[Team B]],TeamsList[Team Name],0)),AF578)</f>
        <v>Subbuteo Dragons Azuqueca</v>
      </c>
      <c r="AG579" s="265"/>
    </row>
    <row r="580" spans="1:33" x14ac:dyDescent="0.2">
      <c r="A580" s="60"/>
      <c r="B580" s="280"/>
      <c r="C580" s="60"/>
      <c r="D580" s="60"/>
      <c r="E580" s="240" t="s">
        <v>12231</v>
      </c>
      <c r="F580" s="244" t="s">
        <v>8122</v>
      </c>
      <c r="G580" s="244" t="s">
        <v>8643</v>
      </c>
      <c r="H580" s="253">
        <v>2</v>
      </c>
      <c r="I580" s="253">
        <v>2</v>
      </c>
      <c r="J580" s="253"/>
      <c r="K580" s="362"/>
      <c r="L580" s="362"/>
      <c r="M580" s="61"/>
      <c r="N580" s="265" t="b">
        <f>NOT(ISERROR(ResultsTeams[[#This Row],[Goal-A]]+ResultsTeams[[#This Row],[Goal-B]]))</f>
        <v>1</v>
      </c>
      <c r="O580" s="265">
        <f>IF(ResultsTeams[[#This Row],[Type]]="G",SUM(O581:O584),IF(LEFT(ResultsTeams[[#This Row],[Type]],1)="P",IF(ResultsTeams[[#This Row],[Goal-A]]&gt;ResultsTeams[[#This Row],[Goal-B]],1,0),""))</f>
        <v>0</v>
      </c>
      <c r="P580" s="265">
        <f>IF(ResultsTeams[[#This Row],[Type]]="G",SUM(P581:P584),IF(LEFT(ResultsTeams[[#This Row],[Type]],1)="P",IF(ResultsTeams[[#This Row],[Goal-A]]&lt;ResultsTeams[[#This Row],[Goal-B]],1,0),""))</f>
        <v>0</v>
      </c>
      <c r="Q580" s="265">
        <f>IF(ResultsTeams[[#This Row],[Type]]="G",SUM(Q581:Q584),IF(LEFT(ResultsTeams[[#This Row],[Type]],1)="P",VALUE(ResultsTeams[[#This Row],[Score-A]]),""))</f>
        <v>2</v>
      </c>
      <c r="R580" s="265">
        <f>IF(ResultsTeams[[#This Row],[Type]]="G",SUM(R581:R584),IF(LEFT(ResultsTeams[[#This Row],[Type]],1)="P",VALUE(ResultsTeams[[#This Row],[Score-B]]),""))</f>
        <v>2</v>
      </c>
      <c r="S580" s="265" t="str">
        <f ca="1">IF(AND(ResultsTeams[[#This Row],[Category]]&lt;&gt;"",ResultsTeams[[#This Row],[Team A]]&lt;&gt;""),COUNTIF(INDIRECT("TeamsList[Club Name]"),ResultsTeams[[#This Row],[Team A]]),"")</f>
        <v/>
      </c>
      <c r="T580" s="265" t="str">
        <f ca="1">IF(AND(ResultsTeams[[#This Row],[Category]]&lt;&gt;"",ResultsTeams[[#This Row],[Team B]]&lt;&gt;""),COUNTIF(INDIRECT("TeamsList[Club Name]"),ResultsTeams[[#This Row],[Team B]]),"")</f>
        <v/>
      </c>
      <c r="U5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0" s="265" t="str">
        <f>IF(ResultsTeams[[#This Row],[Score_OK]],IF(ResultsTeams[[#This Row],[StageCpy]]="Groups",ResultsTeams[[#This Row],[Category]]&amp;"-"&amp;IF(ResultsTeams[[#This Row],[Team B]]="","",IF(ResultsTeams[[#This Row],[Match-A]]=ResultsTeams[[#This Row],[Match-B]],ResultsTeams[[#This Row],[Team A]],"")),""),"")</f>
        <v/>
      </c>
      <c r="W580" s="265" t="str">
        <f>IF(ResultsTeams[[#This Row],[Score_OK]],IF(ResultsTeams[[#This Row],[StageCpy]]="Groups",ResultsTeams[[#This Row],[Category]]&amp;"-"&amp;IF(ResultsTeams[[#This Row],[Team B]]="","",IF(ResultsTeams[[#This Row],[Match-A]]=ResultsTeams[[#This Row],[Match-B]],ResultsTeams[[#This Row],[Team B]],"")),""),"")</f>
        <v/>
      </c>
      <c r="X5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0" s="264" t="str">
        <f>IF(ResultsTeams[[#This Row],[Category]]="","",VLOOKUP(ResultsTeams[[#This Row],[Stage]],$R$1:$T$8,MATCH(ResultsTeams[[#This Row],[Category]],$S$1:$T$1,0)+1,FALSE))</f>
        <v/>
      </c>
      <c r="AC5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0" s="264" t="str">
        <f>IF(ResultsTeams[[#This Row],[Type]]="G",ResultsTeams[[#This Row],[Stage]],AD579)</f>
        <v>Last 16</v>
      </c>
      <c r="AE580" s="395" t="str">
        <f>IF(ResultsTeams[[#This Row],[Type]]="G",INDEX(TeamsList[Club Name],MATCH(ResultsTeams[[#This Row],[Team A]],TeamsList[Team Name],0)),AE579)</f>
        <v>Master Sanremo</v>
      </c>
      <c r="AF580" s="395" t="str">
        <f>IF(ResultsTeams[[#This Row],[Type]]="G",INDEX(TeamsList[Club Name],MATCH(ResultsTeams[[#This Row],[Team B]],TeamsList[Team Name],0)),AF579)</f>
        <v>Subbuteo Dragons Azuqueca</v>
      </c>
      <c r="AG580" s="265"/>
    </row>
    <row r="581" spans="1:33" x14ac:dyDescent="0.2">
      <c r="A581" s="62"/>
      <c r="B581" s="280"/>
      <c r="C581" s="62"/>
      <c r="D581" s="62"/>
      <c r="E581" s="241" t="s">
        <v>12234</v>
      </c>
      <c r="F581" s="246" t="s">
        <v>10149</v>
      </c>
      <c r="G581" s="246" t="s">
        <v>10542</v>
      </c>
      <c r="H581" s="254">
        <v>3</v>
      </c>
      <c r="I581" s="254">
        <v>1</v>
      </c>
      <c r="J581" s="254"/>
      <c r="K581" s="363"/>
      <c r="L581" s="363"/>
      <c r="M581" s="63"/>
      <c r="N581" s="265" t="b">
        <f>NOT(ISERROR(ResultsTeams[[#This Row],[Goal-A]]+ResultsTeams[[#This Row],[Goal-B]]))</f>
        <v>1</v>
      </c>
      <c r="O581" s="265">
        <f>IF(ResultsTeams[[#This Row],[Type]]="G",SUM(O582:O585),IF(LEFT(ResultsTeams[[#This Row],[Type]],1)="P",IF(ResultsTeams[[#This Row],[Goal-A]]&gt;ResultsTeams[[#This Row],[Goal-B]],1,0),""))</f>
        <v>1</v>
      </c>
      <c r="P581" s="265">
        <f>IF(ResultsTeams[[#This Row],[Type]]="G",SUM(P582:P585),IF(LEFT(ResultsTeams[[#This Row],[Type]],1)="P",IF(ResultsTeams[[#This Row],[Goal-A]]&lt;ResultsTeams[[#This Row],[Goal-B]],1,0),""))</f>
        <v>0</v>
      </c>
      <c r="Q581" s="265">
        <f>IF(ResultsTeams[[#This Row],[Type]]="G",SUM(Q582:Q585),IF(LEFT(ResultsTeams[[#This Row],[Type]],1)="P",VALUE(ResultsTeams[[#This Row],[Score-A]]),""))</f>
        <v>3</v>
      </c>
      <c r="R581" s="265">
        <f>IF(ResultsTeams[[#This Row],[Type]]="G",SUM(R582:R585),IF(LEFT(ResultsTeams[[#This Row],[Type]],1)="P",VALUE(ResultsTeams[[#This Row],[Score-B]]),""))</f>
        <v>1</v>
      </c>
      <c r="S581" s="265" t="str">
        <f ca="1">IF(AND(ResultsTeams[[#This Row],[Category]]&lt;&gt;"",ResultsTeams[[#This Row],[Team A]]&lt;&gt;""),COUNTIF(INDIRECT("TeamsList[Club Name]"),ResultsTeams[[#This Row],[Team A]]),"")</f>
        <v/>
      </c>
      <c r="T581" s="265" t="str">
        <f ca="1">IF(AND(ResultsTeams[[#This Row],[Category]]&lt;&gt;"",ResultsTeams[[#This Row],[Team B]]&lt;&gt;""),COUNTIF(INDIRECT("TeamsList[Club Name]"),ResultsTeams[[#This Row],[Team B]]),"")</f>
        <v/>
      </c>
      <c r="U5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1" s="265" t="str">
        <f>IF(ResultsTeams[[#This Row],[Score_OK]],IF(ResultsTeams[[#This Row],[StageCpy]]="Groups",ResultsTeams[[#This Row],[Category]]&amp;"-"&amp;IF(ResultsTeams[[#This Row],[Team B]]="","",IF(ResultsTeams[[#This Row],[Match-A]]=ResultsTeams[[#This Row],[Match-B]],ResultsTeams[[#This Row],[Team A]],"")),""),"")</f>
        <v/>
      </c>
      <c r="W581" s="265" t="str">
        <f>IF(ResultsTeams[[#This Row],[Score_OK]],IF(ResultsTeams[[#This Row],[StageCpy]]="Groups",ResultsTeams[[#This Row],[Category]]&amp;"-"&amp;IF(ResultsTeams[[#This Row],[Team B]]="","",IF(ResultsTeams[[#This Row],[Match-A]]=ResultsTeams[[#This Row],[Match-B]],ResultsTeams[[#This Row],[Team B]],"")),""),"")</f>
        <v/>
      </c>
      <c r="X5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1" s="264" t="str">
        <f>IF(ResultsTeams[[#This Row],[Category]]="","",VLOOKUP(ResultsTeams[[#This Row],[Stage]],$R$1:$T$8,MATCH(ResultsTeams[[#This Row],[Category]],$S$1:$T$1,0)+1,FALSE))</f>
        <v/>
      </c>
      <c r="AC5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1" s="264" t="str">
        <f>IF(ResultsTeams[[#This Row],[Type]]="G",ResultsTeams[[#This Row],[Stage]],AD580)</f>
        <v>Last 16</v>
      </c>
      <c r="AE581" s="395" t="str">
        <f>IF(ResultsTeams[[#This Row],[Type]]="G",INDEX(TeamsList[Club Name],MATCH(ResultsTeams[[#This Row],[Team A]],TeamsList[Team Name],0)),AE580)</f>
        <v>Master Sanremo</v>
      </c>
      <c r="AF581" s="395" t="str">
        <f>IF(ResultsTeams[[#This Row],[Type]]="G",INDEX(TeamsList[Club Name],MATCH(ResultsTeams[[#This Row],[Team B]],TeamsList[Team Name],0)),AF580)</f>
        <v>Subbuteo Dragons Azuqueca</v>
      </c>
      <c r="AG581" s="265"/>
    </row>
    <row r="582" spans="1:33" x14ac:dyDescent="0.2">
      <c r="A582" s="62"/>
      <c r="B582" s="280"/>
      <c r="C582" s="62"/>
      <c r="D582" s="62"/>
      <c r="E582" s="241" t="s">
        <v>12237</v>
      </c>
      <c r="F582" s="246" t="s">
        <v>10253</v>
      </c>
      <c r="G582" s="246" t="s">
        <v>14609</v>
      </c>
      <c r="H582" s="254">
        <v>9</v>
      </c>
      <c r="I582" s="254">
        <v>0</v>
      </c>
      <c r="J582" s="254"/>
      <c r="K582" s="363"/>
      <c r="L582" s="363"/>
      <c r="M582" s="63"/>
      <c r="N582" s="265" t="b">
        <f>NOT(ISERROR(ResultsTeams[[#This Row],[Goal-A]]+ResultsTeams[[#This Row],[Goal-B]]))</f>
        <v>1</v>
      </c>
      <c r="O582" s="265">
        <f>IF(ResultsTeams[[#This Row],[Type]]="G",SUM(O583:O586),IF(LEFT(ResultsTeams[[#This Row],[Type]],1)="P",IF(ResultsTeams[[#This Row],[Goal-A]]&gt;ResultsTeams[[#This Row],[Goal-B]],1,0),""))</f>
        <v>1</v>
      </c>
      <c r="P582" s="265">
        <f>IF(ResultsTeams[[#This Row],[Type]]="G",SUM(P583:P586),IF(LEFT(ResultsTeams[[#This Row],[Type]],1)="P",IF(ResultsTeams[[#This Row],[Goal-A]]&lt;ResultsTeams[[#This Row],[Goal-B]],1,0),""))</f>
        <v>0</v>
      </c>
      <c r="Q582" s="265">
        <f>IF(ResultsTeams[[#This Row],[Type]]="G",SUM(Q583:Q586),IF(LEFT(ResultsTeams[[#This Row],[Type]],1)="P",VALUE(ResultsTeams[[#This Row],[Score-A]]),""))</f>
        <v>9</v>
      </c>
      <c r="R582" s="265">
        <f>IF(ResultsTeams[[#This Row],[Type]]="G",SUM(R583:R586),IF(LEFT(ResultsTeams[[#This Row],[Type]],1)="P",VALUE(ResultsTeams[[#This Row],[Score-B]]),""))</f>
        <v>0</v>
      </c>
      <c r="S582" s="265" t="str">
        <f ca="1">IF(AND(ResultsTeams[[#This Row],[Category]]&lt;&gt;"",ResultsTeams[[#This Row],[Team A]]&lt;&gt;""),COUNTIF(INDIRECT("TeamsList[Club Name]"),ResultsTeams[[#This Row],[Team A]]),"")</f>
        <v/>
      </c>
      <c r="T582" s="265" t="str">
        <f ca="1">IF(AND(ResultsTeams[[#This Row],[Category]]&lt;&gt;"",ResultsTeams[[#This Row],[Team B]]&lt;&gt;""),COUNTIF(INDIRECT("TeamsList[Club Name]"),ResultsTeams[[#This Row],[Team B]]),"")</f>
        <v/>
      </c>
      <c r="U5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2" s="265" t="str">
        <f>IF(ResultsTeams[[#This Row],[Score_OK]],IF(ResultsTeams[[#This Row],[StageCpy]]="Groups",ResultsTeams[[#This Row],[Category]]&amp;"-"&amp;IF(ResultsTeams[[#This Row],[Team B]]="","",IF(ResultsTeams[[#This Row],[Match-A]]=ResultsTeams[[#This Row],[Match-B]],ResultsTeams[[#This Row],[Team A]],"")),""),"")</f>
        <v/>
      </c>
      <c r="W582" s="265" t="str">
        <f>IF(ResultsTeams[[#This Row],[Score_OK]],IF(ResultsTeams[[#This Row],[StageCpy]]="Groups",ResultsTeams[[#This Row],[Category]]&amp;"-"&amp;IF(ResultsTeams[[#This Row],[Team B]]="","",IF(ResultsTeams[[#This Row],[Match-A]]=ResultsTeams[[#This Row],[Match-B]],ResultsTeams[[#This Row],[Team B]],"")),""),"")</f>
        <v/>
      </c>
      <c r="X5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2" s="264" t="str">
        <f>IF(ResultsTeams[[#This Row],[Category]]="","",VLOOKUP(ResultsTeams[[#This Row],[Stage]],$R$1:$T$8,MATCH(ResultsTeams[[#This Row],[Category]],$S$1:$T$1,0)+1,FALSE))</f>
        <v/>
      </c>
      <c r="AC5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2" s="264" t="str">
        <f>IF(ResultsTeams[[#This Row],[Type]]="G",ResultsTeams[[#This Row],[Stage]],AD581)</f>
        <v>Last 16</v>
      </c>
      <c r="AE582" s="395" t="str">
        <f>IF(ResultsTeams[[#This Row],[Type]]="G",INDEX(TeamsList[Club Name],MATCH(ResultsTeams[[#This Row],[Team A]],TeamsList[Team Name],0)),AE581)</f>
        <v>Master Sanremo</v>
      </c>
      <c r="AF582" s="395" t="str">
        <f>IF(ResultsTeams[[#This Row],[Type]]="G",INDEX(TeamsList[Club Name],MATCH(ResultsTeams[[#This Row],[Team B]],TeamsList[Team Name],0)),AF581)</f>
        <v>Subbuteo Dragons Azuqueca</v>
      </c>
      <c r="AG582" s="265"/>
    </row>
    <row r="583" spans="1:33" x14ac:dyDescent="0.2">
      <c r="A583" s="62"/>
      <c r="B583" s="280"/>
      <c r="C583" s="62"/>
      <c r="D583" s="62"/>
      <c r="E583" s="241" t="s">
        <v>12240</v>
      </c>
      <c r="F583" s="246" t="s">
        <v>10085</v>
      </c>
      <c r="G583" s="246" t="s">
        <v>10506</v>
      </c>
      <c r="H583" s="254">
        <v>4</v>
      </c>
      <c r="I583" s="254">
        <v>3</v>
      </c>
      <c r="J583" s="254"/>
      <c r="K583" s="363"/>
      <c r="L583" s="363"/>
      <c r="M583" s="63"/>
      <c r="N583" s="265" t="b">
        <f>NOT(ISERROR(ResultsTeams[[#This Row],[Goal-A]]+ResultsTeams[[#This Row],[Goal-B]]))</f>
        <v>1</v>
      </c>
      <c r="O583" s="265">
        <f>IF(ResultsTeams[[#This Row],[Type]]="G",SUM(O584:O587),IF(LEFT(ResultsTeams[[#This Row],[Type]],1)="P",IF(ResultsTeams[[#This Row],[Goal-A]]&gt;ResultsTeams[[#This Row],[Goal-B]],1,0),""))</f>
        <v>1</v>
      </c>
      <c r="P583" s="265">
        <f>IF(ResultsTeams[[#This Row],[Type]]="G",SUM(P584:P587),IF(LEFT(ResultsTeams[[#This Row],[Type]],1)="P",IF(ResultsTeams[[#This Row],[Goal-A]]&lt;ResultsTeams[[#This Row],[Goal-B]],1,0),""))</f>
        <v>0</v>
      </c>
      <c r="Q583" s="265">
        <f>IF(ResultsTeams[[#This Row],[Type]]="G",SUM(Q584:Q587),IF(LEFT(ResultsTeams[[#This Row],[Type]],1)="P",VALUE(ResultsTeams[[#This Row],[Score-A]]),""))</f>
        <v>4</v>
      </c>
      <c r="R583" s="265">
        <f>IF(ResultsTeams[[#This Row],[Type]]="G",SUM(R584:R587),IF(LEFT(ResultsTeams[[#This Row],[Type]],1)="P",VALUE(ResultsTeams[[#This Row],[Score-B]]),""))</f>
        <v>3</v>
      </c>
      <c r="S583" s="265" t="str">
        <f ca="1">IF(AND(ResultsTeams[[#This Row],[Category]]&lt;&gt;"",ResultsTeams[[#This Row],[Team A]]&lt;&gt;""),COUNTIF(INDIRECT("TeamsList[Club Name]"),ResultsTeams[[#This Row],[Team A]]),"")</f>
        <v/>
      </c>
      <c r="T583" s="265" t="str">
        <f ca="1">IF(AND(ResultsTeams[[#This Row],[Category]]&lt;&gt;"",ResultsTeams[[#This Row],[Team B]]&lt;&gt;""),COUNTIF(INDIRECT("TeamsList[Club Name]"),ResultsTeams[[#This Row],[Team B]]),"")</f>
        <v/>
      </c>
      <c r="U5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3" s="265" t="str">
        <f>IF(ResultsTeams[[#This Row],[Score_OK]],IF(ResultsTeams[[#This Row],[StageCpy]]="Groups",ResultsTeams[[#This Row],[Category]]&amp;"-"&amp;IF(ResultsTeams[[#This Row],[Team B]]="","",IF(ResultsTeams[[#This Row],[Match-A]]=ResultsTeams[[#This Row],[Match-B]],ResultsTeams[[#This Row],[Team A]],"")),""),"")</f>
        <v/>
      </c>
      <c r="W583" s="265" t="str">
        <f>IF(ResultsTeams[[#This Row],[Score_OK]],IF(ResultsTeams[[#This Row],[StageCpy]]="Groups",ResultsTeams[[#This Row],[Category]]&amp;"-"&amp;IF(ResultsTeams[[#This Row],[Team B]]="","",IF(ResultsTeams[[#This Row],[Match-A]]=ResultsTeams[[#This Row],[Match-B]],ResultsTeams[[#This Row],[Team B]],"")),""),"")</f>
        <v/>
      </c>
      <c r="X5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3" s="264" t="str">
        <f>IF(ResultsTeams[[#This Row],[Category]]="","",VLOOKUP(ResultsTeams[[#This Row],[Stage]],$R$1:$T$8,MATCH(ResultsTeams[[#This Row],[Category]],$S$1:$T$1,0)+1,FALSE))</f>
        <v/>
      </c>
      <c r="AC5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3" s="264" t="str">
        <f>IF(ResultsTeams[[#This Row],[Type]]="G",ResultsTeams[[#This Row],[Stage]],AD582)</f>
        <v>Last 16</v>
      </c>
      <c r="AE583" s="395" t="str">
        <f>IF(ResultsTeams[[#This Row],[Type]]="G",INDEX(TeamsList[Club Name],MATCH(ResultsTeams[[#This Row],[Team A]],TeamsList[Team Name],0)),AE582)</f>
        <v>Master Sanremo</v>
      </c>
      <c r="AF583" s="395" t="str">
        <f>IF(ResultsTeams[[#This Row],[Type]]="G",INDEX(TeamsList[Club Name],MATCH(ResultsTeams[[#This Row],[Team B]],TeamsList[Team Name],0)),AF582)</f>
        <v>Subbuteo Dragons Azuqueca</v>
      </c>
      <c r="AG583" s="265"/>
    </row>
    <row r="584" spans="1:33" x14ac:dyDescent="0.2">
      <c r="A584" s="62"/>
      <c r="B584" s="62"/>
      <c r="C584" s="62"/>
      <c r="D584" s="62"/>
      <c r="E584" s="241" t="s">
        <v>12243</v>
      </c>
      <c r="F584" s="247"/>
      <c r="G584" s="247"/>
      <c r="H584" s="254"/>
      <c r="I584" s="254"/>
      <c r="J584" s="260"/>
      <c r="K584" s="364"/>
      <c r="L584" s="364"/>
      <c r="M584" s="63"/>
      <c r="N584" s="265" t="b">
        <f>NOT(ISERROR(ResultsTeams[[#This Row],[Goal-A]]+ResultsTeams[[#This Row],[Goal-B]]))</f>
        <v>0</v>
      </c>
      <c r="O584" s="265" t="str">
        <f>IF(ResultsTeams[[#This Row],[Type]]="G",SUM(O585:O588),IF(LEFT(ResultsTeams[[#This Row],[Type]],1)="P",IF(ResultsTeams[[#This Row],[Goal-A]]&gt;ResultsTeams[[#This Row],[Goal-B]],1,0),""))</f>
        <v/>
      </c>
      <c r="P584" s="265" t="str">
        <f>IF(ResultsTeams[[#This Row],[Type]]="G",SUM(P585:P588),IF(LEFT(ResultsTeams[[#This Row],[Type]],1)="P",IF(ResultsTeams[[#This Row],[Goal-A]]&lt;ResultsTeams[[#This Row],[Goal-B]],1,0),""))</f>
        <v/>
      </c>
      <c r="Q584" s="265" t="str">
        <f>IF(ResultsTeams[[#This Row],[Type]]="G",SUM(Q585:Q588),IF(LEFT(ResultsTeams[[#This Row],[Type]],1)="P",VALUE(ResultsTeams[[#This Row],[Score-A]]),""))</f>
        <v/>
      </c>
      <c r="R584" s="265" t="str">
        <f>IF(ResultsTeams[[#This Row],[Type]]="G",SUM(R585:R588),IF(LEFT(ResultsTeams[[#This Row],[Type]],1)="P",VALUE(ResultsTeams[[#This Row],[Score-B]]),""))</f>
        <v/>
      </c>
      <c r="S584" s="265" t="str">
        <f ca="1">IF(AND(ResultsTeams[[#This Row],[Category]]&lt;&gt;"",ResultsTeams[[#This Row],[Team A]]&lt;&gt;""),COUNTIF(INDIRECT("TeamsList[Club Name]"),ResultsTeams[[#This Row],[Team A]]),"")</f>
        <v/>
      </c>
      <c r="T584" s="265" t="str">
        <f ca="1">IF(AND(ResultsTeams[[#This Row],[Category]]&lt;&gt;"",ResultsTeams[[#This Row],[Team B]]&lt;&gt;""),COUNTIF(INDIRECT("TeamsList[Club Name]"),ResultsTeams[[#This Row],[Team B]]),"")</f>
        <v/>
      </c>
      <c r="U5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4" s="265" t="str">
        <f>IF(ResultsTeams[[#This Row],[Score_OK]],IF(ResultsTeams[[#This Row],[StageCpy]]="Groups",ResultsTeams[[#This Row],[Category]]&amp;"-"&amp;IF(ResultsTeams[[#This Row],[Team B]]="","",IF(ResultsTeams[[#This Row],[Match-A]]=ResultsTeams[[#This Row],[Match-B]],ResultsTeams[[#This Row],[Team A]],"")),""),"")</f>
        <v/>
      </c>
      <c r="W584" s="265" t="str">
        <f>IF(ResultsTeams[[#This Row],[Score_OK]],IF(ResultsTeams[[#This Row],[StageCpy]]="Groups",ResultsTeams[[#This Row],[Category]]&amp;"-"&amp;IF(ResultsTeams[[#This Row],[Team B]]="","",IF(ResultsTeams[[#This Row],[Match-A]]=ResultsTeams[[#This Row],[Match-B]],ResultsTeams[[#This Row],[Team B]],"")),""),"")</f>
        <v/>
      </c>
      <c r="X5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4" s="264" t="str">
        <f>IF(ResultsTeams[[#This Row],[Category]]="","",VLOOKUP(ResultsTeams[[#This Row],[Stage]],$R$1:$T$8,MATCH(ResultsTeams[[#This Row],[Category]],$S$1:$T$1,0)+1,FALSE))</f>
        <v/>
      </c>
      <c r="AC5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4" s="264" t="str">
        <f>IF(ResultsTeams[[#This Row],[Type]]="G",ResultsTeams[[#This Row],[Stage]],AD583)</f>
        <v>Last 16</v>
      </c>
      <c r="AE584" s="395" t="str">
        <f>IF(ResultsTeams[[#This Row],[Type]]="G",INDEX(TeamsList[Club Name],MATCH(ResultsTeams[[#This Row],[Team A]],TeamsList[Team Name],0)),AE583)</f>
        <v>Master Sanremo</v>
      </c>
      <c r="AF584" s="395" t="str">
        <f>IF(ResultsTeams[[#This Row],[Type]]="G",INDEX(TeamsList[Club Name],MATCH(ResultsTeams[[#This Row],[Team B]],TeamsList[Team Name],0)),AF583)</f>
        <v>Subbuteo Dragons Azuqueca</v>
      </c>
      <c r="AG584" s="265"/>
    </row>
    <row r="585" spans="1:33" ht="12" thickBot="1" x14ac:dyDescent="0.25">
      <c r="A585" s="83"/>
      <c r="B585" s="83"/>
      <c r="C585" s="83"/>
      <c r="D585" s="83"/>
      <c r="E585" s="268" t="s">
        <v>12244</v>
      </c>
      <c r="F585" s="262"/>
      <c r="G585" s="262"/>
      <c r="H585" s="324"/>
      <c r="I585" s="324"/>
      <c r="J585" s="263"/>
      <c r="K585" s="365"/>
      <c r="L585" s="365"/>
      <c r="M585" s="84"/>
      <c r="N585" s="265" t="b">
        <f>NOT(ISERROR(ResultsTeams[[#This Row],[Goal-A]]+ResultsTeams[[#This Row],[Goal-B]]))</f>
        <v>0</v>
      </c>
      <c r="O585" s="265" t="str">
        <f>IF(ResultsTeams[[#This Row],[Type]]="G",SUM(O586:O589),IF(LEFT(ResultsTeams[[#This Row],[Type]],1)="P",IF(ResultsTeams[[#This Row],[Goal-A]]&gt;ResultsTeams[[#This Row],[Goal-B]],1,0),""))</f>
        <v/>
      </c>
      <c r="P585" s="265" t="str">
        <f>IF(ResultsTeams[[#This Row],[Type]]="G",SUM(P586:P589),IF(LEFT(ResultsTeams[[#This Row],[Type]],1)="P",IF(ResultsTeams[[#This Row],[Goal-A]]&lt;ResultsTeams[[#This Row],[Goal-B]],1,0),""))</f>
        <v/>
      </c>
      <c r="Q585" s="265" t="str">
        <f>IF(ResultsTeams[[#This Row],[Type]]="G",SUM(Q586:Q589),IF(LEFT(ResultsTeams[[#This Row],[Type]],1)="P",VALUE(ResultsTeams[[#This Row],[Score-A]]),""))</f>
        <v/>
      </c>
      <c r="R585" s="265" t="str">
        <f>IF(ResultsTeams[[#This Row],[Type]]="G",SUM(R586:R589),IF(LEFT(ResultsTeams[[#This Row],[Type]],1)="P",VALUE(ResultsTeams[[#This Row],[Score-B]]),""))</f>
        <v/>
      </c>
      <c r="S585" s="265" t="str">
        <f ca="1">IF(AND(ResultsTeams[[#This Row],[Category]]&lt;&gt;"",ResultsTeams[[#This Row],[Team A]]&lt;&gt;""),COUNTIF(INDIRECT("TeamsList[Club Name]"),ResultsTeams[[#This Row],[Team A]]),"")</f>
        <v/>
      </c>
      <c r="T585" s="265" t="str">
        <f ca="1">IF(AND(ResultsTeams[[#This Row],[Category]]&lt;&gt;"",ResultsTeams[[#This Row],[Team B]]&lt;&gt;""),COUNTIF(INDIRECT("TeamsList[Club Name]"),ResultsTeams[[#This Row],[Team B]]),"")</f>
        <v/>
      </c>
      <c r="U5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5" s="265" t="str">
        <f>IF(ResultsTeams[[#This Row],[Score_OK]],IF(ResultsTeams[[#This Row],[StageCpy]]="Groups",ResultsTeams[[#This Row],[Category]]&amp;"-"&amp;IF(ResultsTeams[[#This Row],[Team B]]="","",IF(ResultsTeams[[#This Row],[Match-A]]=ResultsTeams[[#This Row],[Match-B]],ResultsTeams[[#This Row],[Team A]],"")),""),"")</f>
        <v/>
      </c>
      <c r="W585" s="265" t="str">
        <f>IF(ResultsTeams[[#This Row],[Score_OK]],IF(ResultsTeams[[#This Row],[StageCpy]]="Groups",ResultsTeams[[#This Row],[Category]]&amp;"-"&amp;IF(ResultsTeams[[#This Row],[Team B]]="","",IF(ResultsTeams[[#This Row],[Match-A]]=ResultsTeams[[#This Row],[Match-B]],ResultsTeams[[#This Row],[Team B]],"")),""),"")</f>
        <v/>
      </c>
      <c r="X5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5" s="264" t="str">
        <f>IF(ResultsTeams[[#This Row],[Category]]="","",VLOOKUP(ResultsTeams[[#This Row],[Stage]],$R$1:$T$8,MATCH(ResultsTeams[[#This Row],[Category]],$S$1:$T$1,0)+1,FALSE))</f>
        <v/>
      </c>
      <c r="AC5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5" s="264" t="str">
        <f>IF(ResultsTeams[[#This Row],[Type]]="G",ResultsTeams[[#This Row],[Stage]],AD584)</f>
        <v>Last 16</v>
      </c>
      <c r="AE585" s="395" t="str">
        <f>IF(ResultsTeams[[#This Row],[Type]]="G",INDEX(TeamsList[Club Name],MATCH(ResultsTeams[[#This Row],[Team A]],TeamsList[Team Name],0)),AE584)</f>
        <v>Master Sanremo</v>
      </c>
      <c r="AF585" s="395" t="str">
        <f>IF(ResultsTeams[[#This Row],[Type]]="G",INDEX(TeamsList[Club Name],MATCH(ResultsTeams[[#This Row],[Team B]],TeamsList[Team Name],0)),AF584)</f>
        <v>Subbuteo Dragons Azuqueca</v>
      </c>
      <c r="AG585" s="265"/>
    </row>
    <row r="586" spans="1:33" ht="12" thickBot="1" x14ac:dyDescent="0.25">
      <c r="A586" s="261" t="s">
        <v>12693</v>
      </c>
      <c r="B586" s="270" t="s">
        <v>12219</v>
      </c>
      <c r="C586" s="270"/>
      <c r="D586" s="270"/>
      <c r="E586" s="272" t="s">
        <v>12228</v>
      </c>
      <c r="F586" s="273" t="s">
        <v>794</v>
      </c>
      <c r="G586" s="273" t="s">
        <v>654</v>
      </c>
      <c r="H586" s="275">
        <v>2</v>
      </c>
      <c r="I586" s="275">
        <v>1</v>
      </c>
      <c r="J586" s="275"/>
      <c r="K586" s="366"/>
      <c r="L586" s="366"/>
      <c r="M586" s="274"/>
      <c r="N586" s="265" t="b">
        <f>NOT(ISERROR(ResultsTeams[[#This Row],[Goal-A]]+ResultsTeams[[#This Row],[Goal-B]]))</f>
        <v>1</v>
      </c>
      <c r="O586" s="265">
        <f>IF(ResultsTeams[[#This Row],[Type]]="G",SUM(O587:O590),IF(LEFT(ResultsTeams[[#This Row],[Type]],1)="P",IF(ResultsTeams[[#This Row],[Goal-A]]&gt;ResultsTeams[[#This Row],[Goal-B]],1,0),""))</f>
        <v>2</v>
      </c>
      <c r="P586" s="265">
        <f>IF(ResultsTeams[[#This Row],[Type]]="G",SUM(P587:P590),IF(LEFT(ResultsTeams[[#This Row],[Type]],1)="P",IF(ResultsTeams[[#This Row],[Goal-A]]&lt;ResultsTeams[[#This Row],[Goal-B]],1,0),""))</f>
        <v>1</v>
      </c>
      <c r="Q586" s="265">
        <f>IF(ResultsTeams[[#This Row],[Type]]="G",SUM(Q587:Q590),IF(LEFT(ResultsTeams[[#This Row],[Type]],1)="P",VALUE(ResultsTeams[[#This Row],[Score-A]]),""))</f>
        <v>10</v>
      </c>
      <c r="R586" s="265">
        <f>IF(ResultsTeams[[#This Row],[Type]]="G",SUM(R587:R590),IF(LEFT(ResultsTeams[[#This Row],[Type]],1)="P",VALUE(ResultsTeams[[#This Row],[Score-B]]),""))</f>
        <v>10</v>
      </c>
      <c r="S586" s="265">
        <f ca="1">IF(AND(ResultsTeams[[#This Row],[Category]]&lt;&gt;"",ResultsTeams[[#This Row],[Team A]]&lt;&gt;""),COUNTIF(INDIRECT("TeamsList[Club Name]"),ResultsTeams[[#This Row],[Team A]]),"")</f>
        <v>1</v>
      </c>
      <c r="T586" s="265">
        <f ca="1">IF(AND(ResultsTeams[[#This Row],[Category]]&lt;&gt;"",ResultsTeams[[#This Row],[Team B]]&lt;&gt;""),COUNTIF(INDIRECT("TeamsList[Club Name]"),ResultsTeams[[#This Row],[Team B]]),"")</f>
        <v>1</v>
      </c>
      <c r="U5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6" s="265" t="str">
        <f>IF(ResultsTeams[[#This Row],[Score_OK]],IF(ResultsTeams[[#This Row],[StageCpy]]="Groups",ResultsTeams[[#This Row],[Category]]&amp;"-"&amp;IF(ResultsTeams[[#This Row],[Team B]]="","",IF(ResultsTeams[[#This Row],[Match-A]]=ResultsTeams[[#This Row],[Match-B]],ResultsTeams[[#This Row],[Team A]],"")),""),"")</f>
        <v/>
      </c>
      <c r="W586" s="265" t="str">
        <f>IF(ResultsTeams[[#This Row],[Score_OK]],IF(ResultsTeams[[#This Row],[StageCpy]]="Groups",ResultsTeams[[#This Row],[Category]]&amp;"-"&amp;IF(ResultsTeams[[#This Row],[Team B]]="","",IF(ResultsTeams[[#This Row],[Match-A]]=ResultsTeams[[#This Row],[Match-B]],ResultsTeams[[#This Row],[Team B]],"")),""),"")</f>
        <v/>
      </c>
      <c r="X5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TEAM-ASD SC Salernitana</v>
      </c>
      <c r="Z5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5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586" s="264" t="str">
        <f>IF(ResultsTeams[[#This Row],[Category]]="","",VLOOKUP(ResultsTeams[[#This Row],[Stage]],$R$1:$T$8,MATCH(ResultsTeams[[#This Row],[Category]],$S$1:$T$1,0)+1,FALSE))</f>
        <v>L16</v>
      </c>
      <c r="AC5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6" s="264" t="str">
        <f>IF(ResultsTeams[[#This Row],[Type]]="G",ResultsTeams[[#This Row],[Stage]],AD585)</f>
        <v>Last 16</v>
      </c>
      <c r="AE586" s="395" t="str">
        <f>IF(ResultsTeams[[#This Row],[Type]]="G",INDEX(TeamsList[Club Name],MATCH(ResultsTeams[[#This Row],[Team A]],TeamsList[Team Name],0)),AE585)</f>
        <v>Bormla SC</v>
      </c>
      <c r="AF586" s="395" t="str">
        <f>IF(ResultsTeams[[#This Row],[Type]]="G",INDEX(TeamsList[Club Name],MATCH(ResultsTeams[[#This Row],[Team B]],TeamsList[Team Name],0)),AF585)</f>
        <v>ASD SC Salernitana</v>
      </c>
      <c r="AG586" s="265"/>
    </row>
    <row r="587" spans="1:33" x14ac:dyDescent="0.2">
      <c r="A587" s="60"/>
      <c r="B587" s="280"/>
      <c r="C587" s="60"/>
      <c r="D587" s="60"/>
      <c r="E587" s="240" t="s">
        <v>12231</v>
      </c>
      <c r="F587" s="244" t="s">
        <v>8062</v>
      </c>
      <c r="G587" s="244" t="s">
        <v>8130</v>
      </c>
      <c r="H587" s="253">
        <v>0</v>
      </c>
      <c r="I587" s="253">
        <v>2</v>
      </c>
      <c r="J587" s="253"/>
      <c r="K587" s="362"/>
      <c r="L587" s="362"/>
      <c r="M587" s="245"/>
      <c r="N587" s="265" t="b">
        <f>NOT(ISERROR(ResultsTeams[[#This Row],[Goal-A]]+ResultsTeams[[#This Row],[Goal-B]]))</f>
        <v>1</v>
      </c>
      <c r="O587" s="265">
        <f>IF(ResultsTeams[[#This Row],[Type]]="G",SUM(O588:O591),IF(LEFT(ResultsTeams[[#This Row],[Type]],1)="P",IF(ResultsTeams[[#This Row],[Goal-A]]&gt;ResultsTeams[[#This Row],[Goal-B]],1,0),""))</f>
        <v>0</v>
      </c>
      <c r="P587" s="265">
        <f>IF(ResultsTeams[[#This Row],[Type]]="G",SUM(P588:P591),IF(LEFT(ResultsTeams[[#This Row],[Type]],1)="P",IF(ResultsTeams[[#This Row],[Goal-A]]&lt;ResultsTeams[[#This Row],[Goal-B]],1,0),""))</f>
        <v>1</v>
      </c>
      <c r="Q587" s="265">
        <f>IF(ResultsTeams[[#This Row],[Type]]="G",SUM(Q588:Q591),IF(LEFT(ResultsTeams[[#This Row],[Type]],1)="P",VALUE(ResultsTeams[[#This Row],[Score-A]]),""))</f>
        <v>0</v>
      </c>
      <c r="R587" s="265">
        <f>IF(ResultsTeams[[#This Row],[Type]]="G",SUM(R588:R591),IF(LEFT(ResultsTeams[[#This Row],[Type]],1)="P",VALUE(ResultsTeams[[#This Row],[Score-B]]),""))</f>
        <v>2</v>
      </c>
      <c r="S587" s="265" t="str">
        <f ca="1">IF(AND(ResultsTeams[[#This Row],[Category]]&lt;&gt;"",ResultsTeams[[#This Row],[Team A]]&lt;&gt;""),COUNTIF(INDIRECT("TeamsList[Club Name]"),ResultsTeams[[#This Row],[Team A]]),"")</f>
        <v/>
      </c>
      <c r="T587" s="265" t="str">
        <f ca="1">IF(AND(ResultsTeams[[#This Row],[Category]]&lt;&gt;"",ResultsTeams[[#This Row],[Team B]]&lt;&gt;""),COUNTIF(INDIRECT("TeamsList[Club Name]"),ResultsTeams[[#This Row],[Team B]]),"")</f>
        <v/>
      </c>
      <c r="U5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7" s="265" t="str">
        <f>IF(ResultsTeams[[#This Row],[Score_OK]],IF(ResultsTeams[[#This Row],[StageCpy]]="Groups",ResultsTeams[[#This Row],[Category]]&amp;"-"&amp;IF(ResultsTeams[[#This Row],[Team B]]="","",IF(ResultsTeams[[#This Row],[Match-A]]=ResultsTeams[[#This Row],[Match-B]],ResultsTeams[[#This Row],[Team A]],"")),""),"")</f>
        <v/>
      </c>
      <c r="W587" s="265" t="str">
        <f>IF(ResultsTeams[[#This Row],[Score_OK]],IF(ResultsTeams[[#This Row],[StageCpy]]="Groups",ResultsTeams[[#This Row],[Category]]&amp;"-"&amp;IF(ResultsTeams[[#This Row],[Team B]]="","",IF(ResultsTeams[[#This Row],[Match-A]]=ResultsTeams[[#This Row],[Match-B]],ResultsTeams[[#This Row],[Team B]],"")),""),"")</f>
        <v/>
      </c>
      <c r="X5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7" s="264" t="str">
        <f>IF(ResultsTeams[[#This Row],[Category]]="","",VLOOKUP(ResultsTeams[[#This Row],[Stage]],$R$1:$T$8,MATCH(ResultsTeams[[#This Row],[Category]],$S$1:$T$1,0)+1,FALSE))</f>
        <v/>
      </c>
      <c r="AC5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7" s="264" t="str">
        <f>IF(ResultsTeams[[#This Row],[Type]]="G",ResultsTeams[[#This Row],[Stage]],AD586)</f>
        <v>Last 16</v>
      </c>
      <c r="AE587" s="395" t="str">
        <f>IF(ResultsTeams[[#This Row],[Type]]="G",INDEX(TeamsList[Club Name],MATCH(ResultsTeams[[#This Row],[Team A]],TeamsList[Team Name],0)),AE586)</f>
        <v>Bormla SC</v>
      </c>
      <c r="AF587" s="395" t="str">
        <f>IF(ResultsTeams[[#This Row],[Type]]="G",INDEX(TeamsList[Club Name],MATCH(ResultsTeams[[#This Row],[Team B]],TeamsList[Team Name],0)),AF586)</f>
        <v>ASD SC Salernitana</v>
      </c>
      <c r="AG587" s="265"/>
    </row>
    <row r="588" spans="1:33" x14ac:dyDescent="0.2">
      <c r="A588" s="62"/>
      <c r="B588" s="280"/>
      <c r="C588" s="62"/>
      <c r="D588" s="62"/>
      <c r="E588" s="241" t="s">
        <v>12234</v>
      </c>
      <c r="F588" s="246" t="s">
        <v>8097</v>
      </c>
      <c r="G588" s="246" t="s">
        <v>9705</v>
      </c>
      <c r="H588" s="254">
        <v>4</v>
      </c>
      <c r="I588" s="254">
        <v>3</v>
      </c>
      <c r="J588" s="254"/>
      <c r="K588" s="363"/>
      <c r="L588" s="363"/>
      <c r="M588" s="247"/>
      <c r="N588" s="265" t="b">
        <f>NOT(ISERROR(ResultsTeams[[#This Row],[Goal-A]]+ResultsTeams[[#This Row],[Goal-B]]))</f>
        <v>1</v>
      </c>
      <c r="O588" s="265">
        <f>IF(ResultsTeams[[#This Row],[Type]]="G",SUM(O589:O592),IF(LEFT(ResultsTeams[[#This Row],[Type]],1)="P",IF(ResultsTeams[[#This Row],[Goal-A]]&gt;ResultsTeams[[#This Row],[Goal-B]],1,0),""))</f>
        <v>1</v>
      </c>
      <c r="P588" s="265">
        <f>IF(ResultsTeams[[#This Row],[Type]]="G",SUM(P589:P592),IF(LEFT(ResultsTeams[[#This Row],[Type]],1)="P",IF(ResultsTeams[[#This Row],[Goal-A]]&lt;ResultsTeams[[#This Row],[Goal-B]],1,0),""))</f>
        <v>0</v>
      </c>
      <c r="Q588" s="265">
        <f>IF(ResultsTeams[[#This Row],[Type]]="G",SUM(Q589:Q592),IF(LEFT(ResultsTeams[[#This Row],[Type]],1)="P",VALUE(ResultsTeams[[#This Row],[Score-A]]),""))</f>
        <v>4</v>
      </c>
      <c r="R588" s="265">
        <f>IF(ResultsTeams[[#This Row],[Type]]="G",SUM(R589:R592),IF(LEFT(ResultsTeams[[#This Row],[Type]],1)="P",VALUE(ResultsTeams[[#This Row],[Score-B]]),""))</f>
        <v>3</v>
      </c>
      <c r="S588" s="265" t="str">
        <f ca="1">IF(AND(ResultsTeams[[#This Row],[Category]]&lt;&gt;"",ResultsTeams[[#This Row],[Team A]]&lt;&gt;""),COUNTIF(INDIRECT("TeamsList[Club Name]"),ResultsTeams[[#This Row],[Team A]]),"")</f>
        <v/>
      </c>
      <c r="T588" s="265" t="str">
        <f ca="1">IF(AND(ResultsTeams[[#This Row],[Category]]&lt;&gt;"",ResultsTeams[[#This Row],[Team B]]&lt;&gt;""),COUNTIF(INDIRECT("TeamsList[Club Name]"),ResultsTeams[[#This Row],[Team B]]),"")</f>
        <v/>
      </c>
      <c r="U5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8" s="265" t="str">
        <f>IF(ResultsTeams[[#This Row],[Score_OK]],IF(ResultsTeams[[#This Row],[StageCpy]]="Groups",ResultsTeams[[#This Row],[Category]]&amp;"-"&amp;IF(ResultsTeams[[#This Row],[Team B]]="","",IF(ResultsTeams[[#This Row],[Match-A]]=ResultsTeams[[#This Row],[Match-B]],ResultsTeams[[#This Row],[Team A]],"")),""),"")</f>
        <v/>
      </c>
      <c r="W588" s="265" t="str">
        <f>IF(ResultsTeams[[#This Row],[Score_OK]],IF(ResultsTeams[[#This Row],[StageCpy]]="Groups",ResultsTeams[[#This Row],[Category]]&amp;"-"&amp;IF(ResultsTeams[[#This Row],[Team B]]="","",IF(ResultsTeams[[#This Row],[Match-A]]=ResultsTeams[[#This Row],[Match-B]],ResultsTeams[[#This Row],[Team B]],"")),""),"")</f>
        <v/>
      </c>
      <c r="X5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8" s="264" t="str">
        <f>IF(ResultsTeams[[#This Row],[Category]]="","",VLOOKUP(ResultsTeams[[#This Row],[Stage]],$R$1:$T$8,MATCH(ResultsTeams[[#This Row],[Category]],$S$1:$T$1,0)+1,FALSE))</f>
        <v/>
      </c>
      <c r="AC5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8" s="264" t="str">
        <f>IF(ResultsTeams[[#This Row],[Type]]="G",ResultsTeams[[#This Row],[Stage]],AD587)</f>
        <v>Last 16</v>
      </c>
      <c r="AE588" s="395" t="str">
        <f>IF(ResultsTeams[[#This Row],[Type]]="G",INDEX(TeamsList[Club Name],MATCH(ResultsTeams[[#This Row],[Team A]],TeamsList[Team Name],0)),AE587)</f>
        <v>Bormla SC</v>
      </c>
      <c r="AF588" s="395" t="str">
        <f>IF(ResultsTeams[[#This Row],[Type]]="G",INDEX(TeamsList[Club Name],MATCH(ResultsTeams[[#This Row],[Team B]],TeamsList[Team Name],0)),AF587)</f>
        <v>ASD SC Salernitana</v>
      </c>
      <c r="AG588" s="265"/>
    </row>
    <row r="589" spans="1:33" x14ac:dyDescent="0.2">
      <c r="A589" s="62"/>
      <c r="B589" s="280"/>
      <c r="C589" s="62"/>
      <c r="D589" s="62"/>
      <c r="E589" s="241" t="s">
        <v>12237</v>
      </c>
      <c r="F589" s="246" t="s">
        <v>10414</v>
      </c>
      <c r="G589" s="246" t="s">
        <v>10243</v>
      </c>
      <c r="H589" s="254">
        <v>3</v>
      </c>
      <c r="I589" s="254">
        <v>3</v>
      </c>
      <c r="J589" s="254"/>
      <c r="K589" s="363"/>
      <c r="L589" s="363"/>
      <c r="M589" s="247"/>
      <c r="N589" s="265" t="b">
        <f>NOT(ISERROR(ResultsTeams[[#This Row],[Goal-A]]+ResultsTeams[[#This Row],[Goal-B]]))</f>
        <v>1</v>
      </c>
      <c r="O589" s="265">
        <f>IF(ResultsTeams[[#This Row],[Type]]="G",SUM(O590:O593),IF(LEFT(ResultsTeams[[#This Row],[Type]],1)="P",IF(ResultsTeams[[#This Row],[Goal-A]]&gt;ResultsTeams[[#This Row],[Goal-B]],1,0),""))</f>
        <v>0</v>
      </c>
      <c r="P589" s="265">
        <f>IF(ResultsTeams[[#This Row],[Type]]="G",SUM(P590:P593),IF(LEFT(ResultsTeams[[#This Row],[Type]],1)="P",IF(ResultsTeams[[#This Row],[Goal-A]]&lt;ResultsTeams[[#This Row],[Goal-B]],1,0),""))</f>
        <v>0</v>
      </c>
      <c r="Q589" s="265">
        <f>IF(ResultsTeams[[#This Row],[Type]]="G",SUM(Q590:Q593),IF(LEFT(ResultsTeams[[#This Row],[Type]],1)="P",VALUE(ResultsTeams[[#This Row],[Score-A]]),""))</f>
        <v>3</v>
      </c>
      <c r="R589" s="265">
        <f>IF(ResultsTeams[[#This Row],[Type]]="G",SUM(R590:R593),IF(LEFT(ResultsTeams[[#This Row],[Type]],1)="P",VALUE(ResultsTeams[[#This Row],[Score-B]]),""))</f>
        <v>3</v>
      </c>
      <c r="S589" s="265" t="str">
        <f ca="1">IF(AND(ResultsTeams[[#This Row],[Category]]&lt;&gt;"",ResultsTeams[[#This Row],[Team A]]&lt;&gt;""),COUNTIF(INDIRECT("TeamsList[Club Name]"),ResultsTeams[[#This Row],[Team A]]),"")</f>
        <v/>
      </c>
      <c r="T589" s="265" t="str">
        <f ca="1">IF(AND(ResultsTeams[[#This Row],[Category]]&lt;&gt;"",ResultsTeams[[#This Row],[Team B]]&lt;&gt;""),COUNTIF(INDIRECT("TeamsList[Club Name]"),ResultsTeams[[#This Row],[Team B]]),"")</f>
        <v/>
      </c>
      <c r="U5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9" s="265" t="str">
        <f>IF(ResultsTeams[[#This Row],[Score_OK]],IF(ResultsTeams[[#This Row],[StageCpy]]="Groups",ResultsTeams[[#This Row],[Category]]&amp;"-"&amp;IF(ResultsTeams[[#This Row],[Team B]]="","",IF(ResultsTeams[[#This Row],[Match-A]]=ResultsTeams[[#This Row],[Match-B]],ResultsTeams[[#This Row],[Team A]],"")),""),"")</f>
        <v/>
      </c>
      <c r="W589" s="265" t="str">
        <f>IF(ResultsTeams[[#This Row],[Score_OK]],IF(ResultsTeams[[#This Row],[StageCpy]]="Groups",ResultsTeams[[#This Row],[Category]]&amp;"-"&amp;IF(ResultsTeams[[#This Row],[Team B]]="","",IF(ResultsTeams[[#This Row],[Match-A]]=ResultsTeams[[#This Row],[Match-B]],ResultsTeams[[#This Row],[Team B]],"")),""),"")</f>
        <v/>
      </c>
      <c r="X5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9" s="264" t="str">
        <f>IF(ResultsTeams[[#This Row],[Category]]="","",VLOOKUP(ResultsTeams[[#This Row],[Stage]],$R$1:$T$8,MATCH(ResultsTeams[[#This Row],[Category]],$S$1:$T$1,0)+1,FALSE))</f>
        <v/>
      </c>
      <c r="AC5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9" s="264" t="str">
        <f>IF(ResultsTeams[[#This Row],[Type]]="G",ResultsTeams[[#This Row],[Stage]],AD588)</f>
        <v>Last 16</v>
      </c>
      <c r="AE589" s="395" t="str">
        <f>IF(ResultsTeams[[#This Row],[Type]]="G",INDEX(TeamsList[Club Name],MATCH(ResultsTeams[[#This Row],[Team A]],TeamsList[Team Name],0)),AE588)</f>
        <v>Bormla SC</v>
      </c>
      <c r="AF589" s="395" t="str">
        <f>IF(ResultsTeams[[#This Row],[Type]]="G",INDEX(TeamsList[Club Name],MATCH(ResultsTeams[[#This Row],[Team B]],TeamsList[Team Name],0)),AF588)</f>
        <v>ASD SC Salernitana</v>
      </c>
      <c r="AG589" s="265"/>
    </row>
    <row r="590" spans="1:33" x14ac:dyDescent="0.2">
      <c r="A590" s="62"/>
      <c r="B590" s="280"/>
      <c r="C590" s="62"/>
      <c r="D590" s="62"/>
      <c r="E590" s="241" t="s">
        <v>12240</v>
      </c>
      <c r="F590" s="246" t="s">
        <v>10431</v>
      </c>
      <c r="G590" s="246" t="s">
        <v>8922</v>
      </c>
      <c r="H590" s="254">
        <v>3</v>
      </c>
      <c r="I590" s="254">
        <v>2</v>
      </c>
      <c r="J590" s="254"/>
      <c r="K590" s="363"/>
      <c r="L590" s="363"/>
      <c r="M590" s="247"/>
      <c r="N590" s="265" t="b">
        <f>NOT(ISERROR(ResultsTeams[[#This Row],[Goal-A]]+ResultsTeams[[#This Row],[Goal-B]]))</f>
        <v>1</v>
      </c>
      <c r="O590" s="265">
        <f>IF(ResultsTeams[[#This Row],[Type]]="G",SUM(O591:O594),IF(LEFT(ResultsTeams[[#This Row],[Type]],1)="P",IF(ResultsTeams[[#This Row],[Goal-A]]&gt;ResultsTeams[[#This Row],[Goal-B]],1,0),""))</f>
        <v>1</v>
      </c>
      <c r="P590" s="265">
        <f>IF(ResultsTeams[[#This Row],[Type]]="G",SUM(P591:P594),IF(LEFT(ResultsTeams[[#This Row],[Type]],1)="P",IF(ResultsTeams[[#This Row],[Goal-A]]&lt;ResultsTeams[[#This Row],[Goal-B]],1,0),""))</f>
        <v>0</v>
      </c>
      <c r="Q590" s="265">
        <f>IF(ResultsTeams[[#This Row],[Type]]="G",SUM(Q591:Q594),IF(LEFT(ResultsTeams[[#This Row],[Type]],1)="P",VALUE(ResultsTeams[[#This Row],[Score-A]]),""))</f>
        <v>3</v>
      </c>
      <c r="R590" s="265">
        <f>IF(ResultsTeams[[#This Row],[Type]]="G",SUM(R591:R594),IF(LEFT(ResultsTeams[[#This Row],[Type]],1)="P",VALUE(ResultsTeams[[#This Row],[Score-B]]),""))</f>
        <v>2</v>
      </c>
      <c r="S590" s="265" t="str">
        <f ca="1">IF(AND(ResultsTeams[[#This Row],[Category]]&lt;&gt;"",ResultsTeams[[#This Row],[Team A]]&lt;&gt;""),COUNTIF(INDIRECT("TeamsList[Club Name]"),ResultsTeams[[#This Row],[Team A]]),"")</f>
        <v/>
      </c>
      <c r="T590" s="265" t="str">
        <f ca="1">IF(AND(ResultsTeams[[#This Row],[Category]]&lt;&gt;"",ResultsTeams[[#This Row],[Team B]]&lt;&gt;""),COUNTIF(INDIRECT("TeamsList[Club Name]"),ResultsTeams[[#This Row],[Team B]]),"")</f>
        <v/>
      </c>
      <c r="U5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0" s="265" t="str">
        <f>IF(ResultsTeams[[#This Row],[Score_OK]],IF(ResultsTeams[[#This Row],[StageCpy]]="Groups",ResultsTeams[[#This Row],[Category]]&amp;"-"&amp;IF(ResultsTeams[[#This Row],[Team B]]="","",IF(ResultsTeams[[#This Row],[Match-A]]=ResultsTeams[[#This Row],[Match-B]],ResultsTeams[[#This Row],[Team A]],"")),""),"")</f>
        <v/>
      </c>
      <c r="W590" s="265" t="str">
        <f>IF(ResultsTeams[[#This Row],[Score_OK]],IF(ResultsTeams[[#This Row],[StageCpy]]="Groups",ResultsTeams[[#This Row],[Category]]&amp;"-"&amp;IF(ResultsTeams[[#This Row],[Team B]]="","",IF(ResultsTeams[[#This Row],[Match-A]]=ResultsTeams[[#This Row],[Match-B]],ResultsTeams[[#This Row],[Team B]],"")),""),"")</f>
        <v/>
      </c>
      <c r="X5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0" s="264" t="str">
        <f>IF(ResultsTeams[[#This Row],[Category]]="","",VLOOKUP(ResultsTeams[[#This Row],[Stage]],$R$1:$T$8,MATCH(ResultsTeams[[#This Row],[Category]],$S$1:$T$1,0)+1,FALSE))</f>
        <v/>
      </c>
      <c r="AC5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0" s="264" t="str">
        <f>IF(ResultsTeams[[#This Row],[Type]]="G",ResultsTeams[[#This Row],[Stage]],AD589)</f>
        <v>Last 16</v>
      </c>
      <c r="AE590" s="395" t="str">
        <f>IF(ResultsTeams[[#This Row],[Type]]="G",INDEX(TeamsList[Club Name],MATCH(ResultsTeams[[#This Row],[Team A]],TeamsList[Team Name],0)),AE589)</f>
        <v>Bormla SC</v>
      </c>
      <c r="AF590" s="395" t="str">
        <f>IF(ResultsTeams[[#This Row],[Type]]="G",INDEX(TeamsList[Club Name],MATCH(ResultsTeams[[#This Row],[Team B]],TeamsList[Team Name],0)),AF589)</f>
        <v>ASD SC Salernitana</v>
      </c>
      <c r="AG590" s="265"/>
    </row>
    <row r="591" spans="1:33" x14ac:dyDescent="0.2">
      <c r="A591" s="62"/>
      <c r="B591" s="62"/>
      <c r="C591" s="62"/>
      <c r="D591" s="62"/>
      <c r="E591" s="241" t="s">
        <v>12243</v>
      </c>
      <c r="F591" s="247"/>
      <c r="G591" s="247"/>
      <c r="H591" s="254"/>
      <c r="I591" s="254"/>
      <c r="J591" s="260"/>
      <c r="K591" s="364"/>
      <c r="L591" s="364"/>
      <c r="M591" s="247"/>
      <c r="N591" s="265" t="b">
        <f>NOT(ISERROR(ResultsTeams[[#This Row],[Goal-A]]+ResultsTeams[[#This Row],[Goal-B]]))</f>
        <v>0</v>
      </c>
      <c r="O591" s="265" t="str">
        <f>IF(ResultsTeams[[#This Row],[Type]]="G",SUM(O592:O595),IF(LEFT(ResultsTeams[[#This Row],[Type]],1)="P",IF(ResultsTeams[[#This Row],[Goal-A]]&gt;ResultsTeams[[#This Row],[Goal-B]],1,0),""))</f>
        <v/>
      </c>
      <c r="P591" s="265" t="str">
        <f>IF(ResultsTeams[[#This Row],[Type]]="G",SUM(P592:P595),IF(LEFT(ResultsTeams[[#This Row],[Type]],1)="P",IF(ResultsTeams[[#This Row],[Goal-A]]&lt;ResultsTeams[[#This Row],[Goal-B]],1,0),""))</f>
        <v/>
      </c>
      <c r="Q591" s="265" t="str">
        <f>IF(ResultsTeams[[#This Row],[Type]]="G",SUM(Q592:Q595),IF(LEFT(ResultsTeams[[#This Row],[Type]],1)="P",VALUE(ResultsTeams[[#This Row],[Score-A]]),""))</f>
        <v/>
      </c>
      <c r="R591" s="265" t="str">
        <f>IF(ResultsTeams[[#This Row],[Type]]="G",SUM(R592:R595),IF(LEFT(ResultsTeams[[#This Row],[Type]],1)="P",VALUE(ResultsTeams[[#This Row],[Score-B]]),""))</f>
        <v/>
      </c>
      <c r="S591" s="265" t="str">
        <f ca="1">IF(AND(ResultsTeams[[#This Row],[Category]]&lt;&gt;"",ResultsTeams[[#This Row],[Team A]]&lt;&gt;""),COUNTIF(INDIRECT("TeamsList[Club Name]"),ResultsTeams[[#This Row],[Team A]]),"")</f>
        <v/>
      </c>
      <c r="T591" s="265" t="str">
        <f ca="1">IF(AND(ResultsTeams[[#This Row],[Category]]&lt;&gt;"",ResultsTeams[[#This Row],[Team B]]&lt;&gt;""),COUNTIF(INDIRECT("TeamsList[Club Name]"),ResultsTeams[[#This Row],[Team B]]),"")</f>
        <v/>
      </c>
      <c r="U5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1" s="265" t="str">
        <f>IF(ResultsTeams[[#This Row],[Score_OK]],IF(ResultsTeams[[#This Row],[StageCpy]]="Groups",ResultsTeams[[#This Row],[Category]]&amp;"-"&amp;IF(ResultsTeams[[#This Row],[Team B]]="","",IF(ResultsTeams[[#This Row],[Match-A]]=ResultsTeams[[#This Row],[Match-B]],ResultsTeams[[#This Row],[Team A]],"")),""),"")</f>
        <v/>
      </c>
      <c r="W591" s="265" t="str">
        <f>IF(ResultsTeams[[#This Row],[Score_OK]],IF(ResultsTeams[[#This Row],[StageCpy]]="Groups",ResultsTeams[[#This Row],[Category]]&amp;"-"&amp;IF(ResultsTeams[[#This Row],[Team B]]="","",IF(ResultsTeams[[#This Row],[Match-A]]=ResultsTeams[[#This Row],[Match-B]],ResultsTeams[[#This Row],[Team B]],"")),""),"")</f>
        <v/>
      </c>
      <c r="X5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1" s="264" t="str">
        <f>IF(ResultsTeams[[#This Row],[Category]]="","",VLOOKUP(ResultsTeams[[#This Row],[Stage]],$R$1:$T$8,MATCH(ResultsTeams[[#This Row],[Category]],$S$1:$T$1,0)+1,FALSE))</f>
        <v/>
      </c>
      <c r="AC5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1" s="264" t="str">
        <f>IF(ResultsTeams[[#This Row],[Type]]="G",ResultsTeams[[#This Row],[Stage]],AD590)</f>
        <v>Last 16</v>
      </c>
      <c r="AE591" s="395" t="str">
        <f>IF(ResultsTeams[[#This Row],[Type]]="G",INDEX(TeamsList[Club Name],MATCH(ResultsTeams[[#This Row],[Team A]],TeamsList[Team Name],0)),AE590)</f>
        <v>Bormla SC</v>
      </c>
      <c r="AF591" s="395" t="str">
        <f>IF(ResultsTeams[[#This Row],[Type]]="G",INDEX(TeamsList[Club Name],MATCH(ResultsTeams[[#This Row],[Team B]],TeamsList[Team Name],0)),AF590)</f>
        <v>ASD SC Salernitana</v>
      </c>
      <c r="AG591" s="265"/>
    </row>
    <row r="592" spans="1:33" ht="12" thickBot="1" x14ac:dyDescent="0.25">
      <c r="A592" s="83"/>
      <c r="B592" s="83"/>
      <c r="C592" s="83"/>
      <c r="D592" s="83"/>
      <c r="E592" s="268" t="s">
        <v>12244</v>
      </c>
      <c r="F592" s="262"/>
      <c r="G592" s="262"/>
      <c r="H592" s="324"/>
      <c r="I592" s="324"/>
      <c r="J592" s="263"/>
      <c r="K592" s="365"/>
      <c r="L592" s="365"/>
      <c r="M592" s="262"/>
      <c r="N592" s="265" t="b">
        <f>NOT(ISERROR(ResultsTeams[[#This Row],[Goal-A]]+ResultsTeams[[#This Row],[Goal-B]]))</f>
        <v>0</v>
      </c>
      <c r="O592" s="265" t="str">
        <f>IF(ResultsTeams[[#This Row],[Type]]="G",SUM(O593:O596),IF(LEFT(ResultsTeams[[#This Row],[Type]],1)="P",IF(ResultsTeams[[#This Row],[Goal-A]]&gt;ResultsTeams[[#This Row],[Goal-B]],1,0),""))</f>
        <v/>
      </c>
      <c r="P592" s="265" t="str">
        <f>IF(ResultsTeams[[#This Row],[Type]]="G",SUM(P593:P596),IF(LEFT(ResultsTeams[[#This Row],[Type]],1)="P",IF(ResultsTeams[[#This Row],[Goal-A]]&lt;ResultsTeams[[#This Row],[Goal-B]],1,0),""))</f>
        <v/>
      </c>
      <c r="Q592" s="265" t="str">
        <f>IF(ResultsTeams[[#This Row],[Type]]="G",SUM(Q593:Q596),IF(LEFT(ResultsTeams[[#This Row],[Type]],1)="P",VALUE(ResultsTeams[[#This Row],[Score-A]]),""))</f>
        <v/>
      </c>
      <c r="R592" s="265" t="str">
        <f>IF(ResultsTeams[[#This Row],[Type]]="G",SUM(R593:R596),IF(LEFT(ResultsTeams[[#This Row],[Type]],1)="P",VALUE(ResultsTeams[[#This Row],[Score-B]]),""))</f>
        <v/>
      </c>
      <c r="S592" s="265" t="str">
        <f ca="1">IF(AND(ResultsTeams[[#This Row],[Category]]&lt;&gt;"",ResultsTeams[[#This Row],[Team A]]&lt;&gt;""),COUNTIF(INDIRECT("TeamsList[Club Name]"),ResultsTeams[[#This Row],[Team A]]),"")</f>
        <v/>
      </c>
      <c r="T592" s="265" t="str">
        <f ca="1">IF(AND(ResultsTeams[[#This Row],[Category]]&lt;&gt;"",ResultsTeams[[#This Row],[Team B]]&lt;&gt;""),COUNTIF(INDIRECT("TeamsList[Club Name]"),ResultsTeams[[#This Row],[Team B]]),"")</f>
        <v/>
      </c>
      <c r="U5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2" s="265" t="str">
        <f>IF(ResultsTeams[[#This Row],[Score_OK]],IF(ResultsTeams[[#This Row],[StageCpy]]="Groups",ResultsTeams[[#This Row],[Category]]&amp;"-"&amp;IF(ResultsTeams[[#This Row],[Team B]]="","",IF(ResultsTeams[[#This Row],[Match-A]]=ResultsTeams[[#This Row],[Match-B]],ResultsTeams[[#This Row],[Team A]],"")),""),"")</f>
        <v/>
      </c>
      <c r="W592" s="265" t="str">
        <f>IF(ResultsTeams[[#This Row],[Score_OK]],IF(ResultsTeams[[#This Row],[StageCpy]]="Groups",ResultsTeams[[#This Row],[Category]]&amp;"-"&amp;IF(ResultsTeams[[#This Row],[Team B]]="","",IF(ResultsTeams[[#This Row],[Match-A]]=ResultsTeams[[#This Row],[Match-B]],ResultsTeams[[#This Row],[Team B]],"")),""),"")</f>
        <v/>
      </c>
      <c r="X5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2" s="264" t="str">
        <f>IF(ResultsTeams[[#This Row],[Category]]="","",VLOOKUP(ResultsTeams[[#This Row],[Stage]],$R$1:$T$8,MATCH(ResultsTeams[[#This Row],[Category]],$S$1:$T$1,0)+1,FALSE))</f>
        <v/>
      </c>
      <c r="AC5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2" s="264" t="str">
        <f>IF(ResultsTeams[[#This Row],[Type]]="G",ResultsTeams[[#This Row],[Stage]],AD591)</f>
        <v>Last 16</v>
      </c>
      <c r="AE592" s="395" t="str">
        <f>IF(ResultsTeams[[#This Row],[Type]]="G",INDEX(TeamsList[Club Name],MATCH(ResultsTeams[[#This Row],[Team A]],TeamsList[Team Name],0)),AE591)</f>
        <v>Bormla SC</v>
      </c>
      <c r="AF592" s="395" t="str">
        <f>IF(ResultsTeams[[#This Row],[Type]]="G",INDEX(TeamsList[Club Name],MATCH(ResultsTeams[[#This Row],[Team B]],TeamsList[Team Name],0)),AF591)</f>
        <v>ASD SC Salernitana</v>
      </c>
      <c r="AG592" s="265"/>
    </row>
    <row r="593" spans="1:33" ht="12" thickBot="1" x14ac:dyDescent="0.25">
      <c r="A593" s="261" t="s">
        <v>12693</v>
      </c>
      <c r="B593" s="270" t="s">
        <v>12219</v>
      </c>
      <c r="C593" s="270"/>
      <c r="D593" s="270"/>
      <c r="E593" s="272" t="s">
        <v>12228</v>
      </c>
      <c r="F593" s="273" t="s">
        <v>179</v>
      </c>
      <c r="G593" s="273" t="s">
        <v>197</v>
      </c>
      <c r="H593" s="275">
        <v>1</v>
      </c>
      <c r="I593" s="275">
        <v>3</v>
      </c>
      <c r="J593" s="275"/>
      <c r="K593" s="366"/>
      <c r="L593" s="366"/>
      <c r="M593" s="274"/>
      <c r="N593" s="265" t="b">
        <f>NOT(ISERROR(ResultsTeams[[#This Row],[Goal-A]]+ResultsTeams[[#This Row],[Goal-B]]))</f>
        <v>1</v>
      </c>
      <c r="O593" s="265">
        <f>IF(ResultsTeams[[#This Row],[Type]]="G",SUM(O594:O597),IF(LEFT(ResultsTeams[[#This Row],[Type]],1)="P",IF(ResultsTeams[[#This Row],[Goal-A]]&gt;ResultsTeams[[#This Row],[Goal-B]],1,0),""))</f>
        <v>1</v>
      </c>
      <c r="P593" s="265">
        <f>IF(ResultsTeams[[#This Row],[Type]]="G",SUM(P594:P597),IF(LEFT(ResultsTeams[[#This Row],[Type]],1)="P",IF(ResultsTeams[[#This Row],[Goal-A]]&lt;ResultsTeams[[#This Row],[Goal-B]],1,0),""))</f>
        <v>3</v>
      </c>
      <c r="Q593" s="265">
        <f>IF(ResultsTeams[[#This Row],[Type]]="G",SUM(Q594:Q597),IF(LEFT(ResultsTeams[[#This Row],[Type]],1)="P",VALUE(ResultsTeams[[#This Row],[Score-A]]),""))</f>
        <v>5</v>
      </c>
      <c r="R593" s="265">
        <f>IF(ResultsTeams[[#This Row],[Type]]="G",SUM(R594:R597),IF(LEFT(ResultsTeams[[#This Row],[Type]],1)="P",VALUE(ResultsTeams[[#This Row],[Score-B]]),""))</f>
        <v>7</v>
      </c>
      <c r="S593" s="265">
        <f ca="1">IF(AND(ResultsTeams[[#This Row],[Category]]&lt;&gt;"",ResultsTeams[[#This Row],[Team A]]&lt;&gt;""),COUNTIF(INDIRECT("TeamsList[Club Name]"),ResultsTeams[[#This Row],[Team A]]),"")</f>
        <v>2</v>
      </c>
      <c r="T593" s="265">
        <f ca="1">IF(AND(ResultsTeams[[#This Row],[Category]]&lt;&gt;"",ResultsTeams[[#This Row],[Team B]]&lt;&gt;""),COUNTIF(INDIRECT("TeamsList[Club Name]"),ResultsTeams[[#This Row],[Team B]]),"")</f>
        <v>1</v>
      </c>
      <c r="U5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3" s="265" t="str">
        <f>IF(ResultsTeams[[#This Row],[Score_OK]],IF(ResultsTeams[[#This Row],[StageCpy]]="Groups",ResultsTeams[[#This Row],[Category]]&amp;"-"&amp;IF(ResultsTeams[[#This Row],[Team B]]="","",IF(ResultsTeams[[#This Row],[Match-A]]=ResultsTeams[[#This Row],[Match-B]],ResultsTeams[[#This Row],[Team A]],"")),""),"")</f>
        <v/>
      </c>
      <c r="W593" s="265" t="str">
        <f>IF(ResultsTeams[[#This Row],[Score_OK]],IF(ResultsTeams[[#This Row],[StageCpy]]="Groups",ResultsTeams[[#This Row],[Category]]&amp;"-"&amp;IF(ResultsTeams[[#This Row],[Team B]]="","",IF(ResultsTeams[[#This Row],[Match-A]]=ResultsTeams[[#This Row],[Match-B]],ResultsTeams[[#This Row],[Team B]],"")),""),"")</f>
        <v/>
      </c>
      <c r="X5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TEAM-FTC Issy-les-Moulineaux</v>
      </c>
      <c r="Z5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5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593" s="264" t="str">
        <f>IF(ResultsTeams[[#This Row],[Category]]="","",VLOOKUP(ResultsTeams[[#This Row],[Stage]],$R$1:$T$8,MATCH(ResultsTeams[[#This Row],[Category]],$S$1:$T$1,0)+1,FALSE))</f>
        <v>L16</v>
      </c>
      <c r="AC5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3" s="264" t="str">
        <f>IF(ResultsTeams[[#This Row],[Type]]="G",ResultsTeams[[#This Row],[Stage]],AD592)</f>
        <v>Last 16</v>
      </c>
      <c r="AE593" s="395" t="str">
        <f>IF(ResultsTeams[[#This Row],[Type]]="G",INDEX(TeamsList[Club Name],MATCH(ResultsTeams[[#This Row],[Team A]],TeamsList[Team Name],0)),AE592)</f>
        <v>FTC Issy-les-Moulineaux</v>
      </c>
      <c r="AF593" s="395" t="str">
        <f>IF(ResultsTeams[[#This Row],[Type]]="G",INDEX(TeamsList[Club Name],MATCH(ResultsTeams[[#This Row],[Team B]],TeamsList[Team Name],0)),AF592)</f>
        <v>Bologna Tigers Subbuteo</v>
      </c>
      <c r="AG593" s="265"/>
    </row>
    <row r="594" spans="1:33" x14ac:dyDescent="0.2">
      <c r="A594" s="60"/>
      <c r="B594" s="280"/>
      <c r="C594" s="60"/>
      <c r="D594" s="60"/>
      <c r="E594" s="240" t="s">
        <v>12231</v>
      </c>
      <c r="F594" s="244" t="s">
        <v>8720</v>
      </c>
      <c r="G594" s="244" t="s">
        <v>9744</v>
      </c>
      <c r="H594" s="253">
        <v>2</v>
      </c>
      <c r="I594" s="253">
        <v>1</v>
      </c>
      <c r="J594" s="253"/>
      <c r="K594" s="362"/>
      <c r="L594" s="362"/>
      <c r="M594" s="245"/>
      <c r="N594" s="265" t="b">
        <f>NOT(ISERROR(ResultsTeams[[#This Row],[Goal-A]]+ResultsTeams[[#This Row],[Goal-B]]))</f>
        <v>1</v>
      </c>
      <c r="O594" s="265">
        <f>IF(ResultsTeams[[#This Row],[Type]]="G",SUM(O595:O598),IF(LEFT(ResultsTeams[[#This Row],[Type]],1)="P",IF(ResultsTeams[[#This Row],[Goal-A]]&gt;ResultsTeams[[#This Row],[Goal-B]],1,0),""))</f>
        <v>1</v>
      </c>
      <c r="P594" s="265">
        <f>IF(ResultsTeams[[#This Row],[Type]]="G",SUM(P595:P598),IF(LEFT(ResultsTeams[[#This Row],[Type]],1)="P",IF(ResultsTeams[[#This Row],[Goal-A]]&lt;ResultsTeams[[#This Row],[Goal-B]],1,0),""))</f>
        <v>0</v>
      </c>
      <c r="Q594" s="265">
        <f>IF(ResultsTeams[[#This Row],[Type]]="G",SUM(Q595:Q598),IF(LEFT(ResultsTeams[[#This Row],[Type]],1)="P",VALUE(ResultsTeams[[#This Row],[Score-A]]),""))</f>
        <v>2</v>
      </c>
      <c r="R594" s="265">
        <f>IF(ResultsTeams[[#This Row],[Type]]="G",SUM(R595:R598),IF(LEFT(ResultsTeams[[#This Row],[Type]],1)="P",VALUE(ResultsTeams[[#This Row],[Score-B]]),""))</f>
        <v>1</v>
      </c>
      <c r="S594" s="265" t="str">
        <f ca="1">IF(AND(ResultsTeams[[#This Row],[Category]]&lt;&gt;"",ResultsTeams[[#This Row],[Team A]]&lt;&gt;""),COUNTIF(INDIRECT("TeamsList[Club Name]"),ResultsTeams[[#This Row],[Team A]]),"")</f>
        <v/>
      </c>
      <c r="T594" s="265" t="str">
        <f ca="1">IF(AND(ResultsTeams[[#This Row],[Category]]&lt;&gt;"",ResultsTeams[[#This Row],[Team B]]&lt;&gt;""),COUNTIF(INDIRECT("TeamsList[Club Name]"),ResultsTeams[[#This Row],[Team B]]),"")</f>
        <v/>
      </c>
      <c r="U5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4" s="265" t="str">
        <f>IF(ResultsTeams[[#This Row],[Score_OK]],IF(ResultsTeams[[#This Row],[StageCpy]]="Groups",ResultsTeams[[#This Row],[Category]]&amp;"-"&amp;IF(ResultsTeams[[#This Row],[Team B]]="","",IF(ResultsTeams[[#This Row],[Match-A]]=ResultsTeams[[#This Row],[Match-B]],ResultsTeams[[#This Row],[Team A]],"")),""),"")</f>
        <v/>
      </c>
      <c r="W594" s="265" t="str">
        <f>IF(ResultsTeams[[#This Row],[Score_OK]],IF(ResultsTeams[[#This Row],[StageCpy]]="Groups",ResultsTeams[[#This Row],[Category]]&amp;"-"&amp;IF(ResultsTeams[[#This Row],[Team B]]="","",IF(ResultsTeams[[#This Row],[Match-A]]=ResultsTeams[[#This Row],[Match-B]],ResultsTeams[[#This Row],[Team B]],"")),""),"")</f>
        <v/>
      </c>
      <c r="X5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4" s="264" t="str">
        <f>IF(ResultsTeams[[#This Row],[Category]]="","",VLOOKUP(ResultsTeams[[#This Row],[Stage]],$R$1:$T$8,MATCH(ResultsTeams[[#This Row],[Category]],$S$1:$T$1,0)+1,FALSE))</f>
        <v/>
      </c>
      <c r="AC5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4" s="264" t="str">
        <f>IF(ResultsTeams[[#This Row],[Type]]="G",ResultsTeams[[#This Row],[Stage]],AD593)</f>
        <v>Last 16</v>
      </c>
      <c r="AE594" s="395" t="str">
        <f>IF(ResultsTeams[[#This Row],[Type]]="G",INDEX(TeamsList[Club Name],MATCH(ResultsTeams[[#This Row],[Team A]],TeamsList[Team Name],0)),AE593)</f>
        <v>FTC Issy-les-Moulineaux</v>
      </c>
      <c r="AF594" s="395" t="str">
        <f>IF(ResultsTeams[[#This Row],[Type]]="G",INDEX(TeamsList[Club Name],MATCH(ResultsTeams[[#This Row],[Team B]],TeamsList[Team Name],0)),AF593)</f>
        <v>Bologna Tigers Subbuteo</v>
      </c>
      <c r="AG594" s="265"/>
    </row>
    <row r="595" spans="1:33" x14ac:dyDescent="0.2">
      <c r="A595" s="62"/>
      <c r="B595" s="280"/>
      <c r="C595" s="62"/>
      <c r="D595" s="62"/>
      <c r="E595" s="241" t="s">
        <v>12234</v>
      </c>
      <c r="F595" s="246" t="s">
        <v>8697</v>
      </c>
      <c r="G595" s="246" t="s">
        <v>9838</v>
      </c>
      <c r="H595" s="254">
        <v>1</v>
      </c>
      <c r="I595" s="254">
        <v>2</v>
      </c>
      <c r="J595" s="254"/>
      <c r="K595" s="363"/>
      <c r="L595" s="363"/>
      <c r="M595" s="247"/>
      <c r="N595" s="265" t="b">
        <f>NOT(ISERROR(ResultsTeams[[#This Row],[Goal-A]]+ResultsTeams[[#This Row],[Goal-B]]))</f>
        <v>1</v>
      </c>
      <c r="O595" s="265">
        <f>IF(ResultsTeams[[#This Row],[Type]]="G",SUM(O596:O599),IF(LEFT(ResultsTeams[[#This Row],[Type]],1)="P",IF(ResultsTeams[[#This Row],[Goal-A]]&gt;ResultsTeams[[#This Row],[Goal-B]],1,0),""))</f>
        <v>0</v>
      </c>
      <c r="P595" s="265">
        <f>IF(ResultsTeams[[#This Row],[Type]]="G",SUM(P596:P599),IF(LEFT(ResultsTeams[[#This Row],[Type]],1)="P",IF(ResultsTeams[[#This Row],[Goal-A]]&lt;ResultsTeams[[#This Row],[Goal-B]],1,0),""))</f>
        <v>1</v>
      </c>
      <c r="Q595" s="265">
        <f>IF(ResultsTeams[[#This Row],[Type]]="G",SUM(Q596:Q599),IF(LEFT(ResultsTeams[[#This Row],[Type]],1)="P",VALUE(ResultsTeams[[#This Row],[Score-A]]),""))</f>
        <v>1</v>
      </c>
      <c r="R595" s="265">
        <f>IF(ResultsTeams[[#This Row],[Type]]="G",SUM(R596:R599),IF(LEFT(ResultsTeams[[#This Row],[Type]],1)="P",VALUE(ResultsTeams[[#This Row],[Score-B]]),""))</f>
        <v>2</v>
      </c>
      <c r="S595" s="265" t="str">
        <f ca="1">IF(AND(ResultsTeams[[#This Row],[Category]]&lt;&gt;"",ResultsTeams[[#This Row],[Team A]]&lt;&gt;""),COUNTIF(INDIRECT("TeamsList[Club Name]"),ResultsTeams[[#This Row],[Team A]]),"")</f>
        <v/>
      </c>
      <c r="T595" s="265" t="str">
        <f ca="1">IF(AND(ResultsTeams[[#This Row],[Category]]&lt;&gt;"",ResultsTeams[[#This Row],[Team B]]&lt;&gt;""),COUNTIF(INDIRECT("TeamsList[Club Name]"),ResultsTeams[[#This Row],[Team B]]),"")</f>
        <v/>
      </c>
      <c r="U5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5" s="265" t="str">
        <f>IF(ResultsTeams[[#This Row],[Score_OK]],IF(ResultsTeams[[#This Row],[StageCpy]]="Groups",ResultsTeams[[#This Row],[Category]]&amp;"-"&amp;IF(ResultsTeams[[#This Row],[Team B]]="","",IF(ResultsTeams[[#This Row],[Match-A]]=ResultsTeams[[#This Row],[Match-B]],ResultsTeams[[#This Row],[Team A]],"")),""),"")</f>
        <v/>
      </c>
      <c r="W595" s="265" t="str">
        <f>IF(ResultsTeams[[#This Row],[Score_OK]],IF(ResultsTeams[[#This Row],[StageCpy]]="Groups",ResultsTeams[[#This Row],[Category]]&amp;"-"&amp;IF(ResultsTeams[[#This Row],[Team B]]="","",IF(ResultsTeams[[#This Row],[Match-A]]=ResultsTeams[[#This Row],[Match-B]],ResultsTeams[[#This Row],[Team B]],"")),""),"")</f>
        <v/>
      </c>
      <c r="X5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5" s="264" t="str">
        <f>IF(ResultsTeams[[#This Row],[Category]]="","",VLOOKUP(ResultsTeams[[#This Row],[Stage]],$R$1:$T$8,MATCH(ResultsTeams[[#This Row],[Category]],$S$1:$T$1,0)+1,FALSE))</f>
        <v/>
      </c>
      <c r="AC5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5" s="264" t="str">
        <f>IF(ResultsTeams[[#This Row],[Type]]="G",ResultsTeams[[#This Row],[Stage]],AD594)</f>
        <v>Last 16</v>
      </c>
      <c r="AE595" s="395" t="str">
        <f>IF(ResultsTeams[[#This Row],[Type]]="G",INDEX(TeamsList[Club Name],MATCH(ResultsTeams[[#This Row],[Team A]],TeamsList[Team Name],0)),AE594)</f>
        <v>FTC Issy-les-Moulineaux</v>
      </c>
      <c r="AF595" s="395" t="str">
        <f>IF(ResultsTeams[[#This Row],[Type]]="G",INDEX(TeamsList[Club Name],MATCH(ResultsTeams[[#This Row],[Team B]],TeamsList[Team Name],0)),AF594)</f>
        <v>Bologna Tigers Subbuteo</v>
      </c>
      <c r="AG595" s="265"/>
    </row>
    <row r="596" spans="1:33" x14ac:dyDescent="0.2">
      <c r="A596" s="62"/>
      <c r="B596" s="280"/>
      <c r="C596" s="62"/>
      <c r="D596" s="62"/>
      <c r="E596" s="241" t="s">
        <v>12237</v>
      </c>
      <c r="F596" s="246" t="s">
        <v>8696</v>
      </c>
      <c r="G596" s="246" t="s">
        <v>8874</v>
      </c>
      <c r="H596" s="254">
        <v>1</v>
      </c>
      <c r="I596" s="254">
        <v>2</v>
      </c>
      <c r="J596" s="254"/>
      <c r="K596" s="363"/>
      <c r="L596" s="363"/>
      <c r="M596" s="247"/>
      <c r="N596" s="265" t="b">
        <f>NOT(ISERROR(ResultsTeams[[#This Row],[Goal-A]]+ResultsTeams[[#This Row],[Goal-B]]))</f>
        <v>1</v>
      </c>
      <c r="O596" s="265">
        <f>IF(ResultsTeams[[#This Row],[Type]]="G",SUM(O597:O600),IF(LEFT(ResultsTeams[[#This Row],[Type]],1)="P",IF(ResultsTeams[[#This Row],[Goal-A]]&gt;ResultsTeams[[#This Row],[Goal-B]],1,0),""))</f>
        <v>0</v>
      </c>
      <c r="P596" s="265">
        <f>IF(ResultsTeams[[#This Row],[Type]]="G",SUM(P597:P600),IF(LEFT(ResultsTeams[[#This Row],[Type]],1)="P",IF(ResultsTeams[[#This Row],[Goal-A]]&lt;ResultsTeams[[#This Row],[Goal-B]],1,0),""))</f>
        <v>1</v>
      </c>
      <c r="Q596" s="265">
        <f>IF(ResultsTeams[[#This Row],[Type]]="G",SUM(Q597:Q600),IF(LEFT(ResultsTeams[[#This Row],[Type]],1)="P",VALUE(ResultsTeams[[#This Row],[Score-A]]),""))</f>
        <v>1</v>
      </c>
      <c r="R596" s="265">
        <f>IF(ResultsTeams[[#This Row],[Type]]="G",SUM(R597:R600),IF(LEFT(ResultsTeams[[#This Row],[Type]],1)="P",VALUE(ResultsTeams[[#This Row],[Score-B]]),""))</f>
        <v>2</v>
      </c>
      <c r="S596" s="265" t="str">
        <f ca="1">IF(AND(ResultsTeams[[#This Row],[Category]]&lt;&gt;"",ResultsTeams[[#This Row],[Team A]]&lt;&gt;""),COUNTIF(INDIRECT("TeamsList[Club Name]"),ResultsTeams[[#This Row],[Team A]]),"")</f>
        <v/>
      </c>
      <c r="T596" s="265" t="str">
        <f ca="1">IF(AND(ResultsTeams[[#This Row],[Category]]&lt;&gt;"",ResultsTeams[[#This Row],[Team B]]&lt;&gt;""),COUNTIF(INDIRECT("TeamsList[Club Name]"),ResultsTeams[[#This Row],[Team B]]),"")</f>
        <v/>
      </c>
      <c r="U5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6" s="265" t="str">
        <f>IF(ResultsTeams[[#This Row],[Score_OK]],IF(ResultsTeams[[#This Row],[StageCpy]]="Groups",ResultsTeams[[#This Row],[Category]]&amp;"-"&amp;IF(ResultsTeams[[#This Row],[Team B]]="","",IF(ResultsTeams[[#This Row],[Match-A]]=ResultsTeams[[#This Row],[Match-B]],ResultsTeams[[#This Row],[Team A]],"")),""),"")</f>
        <v/>
      </c>
      <c r="W596" s="265" t="str">
        <f>IF(ResultsTeams[[#This Row],[Score_OK]],IF(ResultsTeams[[#This Row],[StageCpy]]="Groups",ResultsTeams[[#This Row],[Category]]&amp;"-"&amp;IF(ResultsTeams[[#This Row],[Team B]]="","",IF(ResultsTeams[[#This Row],[Match-A]]=ResultsTeams[[#This Row],[Match-B]],ResultsTeams[[#This Row],[Team B]],"")),""),"")</f>
        <v/>
      </c>
      <c r="X5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6" s="264" t="str">
        <f>IF(ResultsTeams[[#This Row],[Category]]="","",VLOOKUP(ResultsTeams[[#This Row],[Stage]],$R$1:$T$8,MATCH(ResultsTeams[[#This Row],[Category]],$S$1:$T$1,0)+1,FALSE))</f>
        <v/>
      </c>
      <c r="AC5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6" s="264" t="str">
        <f>IF(ResultsTeams[[#This Row],[Type]]="G",ResultsTeams[[#This Row],[Stage]],AD595)</f>
        <v>Last 16</v>
      </c>
      <c r="AE596" s="395" t="str">
        <f>IF(ResultsTeams[[#This Row],[Type]]="G",INDEX(TeamsList[Club Name],MATCH(ResultsTeams[[#This Row],[Team A]],TeamsList[Team Name],0)),AE595)</f>
        <v>FTC Issy-les-Moulineaux</v>
      </c>
      <c r="AF596" s="395" t="str">
        <f>IF(ResultsTeams[[#This Row],[Type]]="G",INDEX(TeamsList[Club Name],MATCH(ResultsTeams[[#This Row],[Team B]],TeamsList[Team Name],0)),AF595)</f>
        <v>Bologna Tigers Subbuteo</v>
      </c>
      <c r="AG596" s="265"/>
    </row>
    <row r="597" spans="1:33" x14ac:dyDescent="0.2">
      <c r="A597" s="62"/>
      <c r="B597" s="280"/>
      <c r="C597" s="62"/>
      <c r="D597" s="62"/>
      <c r="E597" s="241" t="s">
        <v>12240</v>
      </c>
      <c r="F597" s="246" t="s">
        <v>8701</v>
      </c>
      <c r="G597" s="246" t="s">
        <v>10090</v>
      </c>
      <c r="H597" s="254">
        <v>1</v>
      </c>
      <c r="I597" s="254">
        <v>2</v>
      </c>
      <c r="J597" s="254"/>
      <c r="K597" s="363"/>
      <c r="L597" s="363"/>
      <c r="M597" s="247"/>
      <c r="N597" s="265" t="b">
        <f>NOT(ISERROR(ResultsTeams[[#This Row],[Goal-A]]+ResultsTeams[[#This Row],[Goal-B]]))</f>
        <v>1</v>
      </c>
      <c r="O597" s="265">
        <f>IF(ResultsTeams[[#This Row],[Type]]="G",SUM(O598:O601),IF(LEFT(ResultsTeams[[#This Row],[Type]],1)="P",IF(ResultsTeams[[#This Row],[Goal-A]]&gt;ResultsTeams[[#This Row],[Goal-B]],1,0),""))</f>
        <v>0</v>
      </c>
      <c r="P597" s="265">
        <f>IF(ResultsTeams[[#This Row],[Type]]="G",SUM(P598:P601),IF(LEFT(ResultsTeams[[#This Row],[Type]],1)="P",IF(ResultsTeams[[#This Row],[Goal-A]]&lt;ResultsTeams[[#This Row],[Goal-B]],1,0),""))</f>
        <v>1</v>
      </c>
      <c r="Q597" s="265">
        <f>IF(ResultsTeams[[#This Row],[Type]]="G",SUM(Q598:Q601),IF(LEFT(ResultsTeams[[#This Row],[Type]],1)="P",VALUE(ResultsTeams[[#This Row],[Score-A]]),""))</f>
        <v>1</v>
      </c>
      <c r="R597" s="265">
        <f>IF(ResultsTeams[[#This Row],[Type]]="G",SUM(R598:R601),IF(LEFT(ResultsTeams[[#This Row],[Type]],1)="P",VALUE(ResultsTeams[[#This Row],[Score-B]]),""))</f>
        <v>2</v>
      </c>
      <c r="S597" s="265" t="str">
        <f ca="1">IF(AND(ResultsTeams[[#This Row],[Category]]&lt;&gt;"",ResultsTeams[[#This Row],[Team A]]&lt;&gt;""),COUNTIF(INDIRECT("TeamsList[Club Name]"),ResultsTeams[[#This Row],[Team A]]),"")</f>
        <v/>
      </c>
      <c r="T597" s="265" t="str">
        <f ca="1">IF(AND(ResultsTeams[[#This Row],[Category]]&lt;&gt;"",ResultsTeams[[#This Row],[Team B]]&lt;&gt;""),COUNTIF(INDIRECT("TeamsList[Club Name]"),ResultsTeams[[#This Row],[Team B]]),"")</f>
        <v/>
      </c>
      <c r="U5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7" s="265" t="str">
        <f>IF(ResultsTeams[[#This Row],[Score_OK]],IF(ResultsTeams[[#This Row],[StageCpy]]="Groups",ResultsTeams[[#This Row],[Category]]&amp;"-"&amp;IF(ResultsTeams[[#This Row],[Team B]]="","",IF(ResultsTeams[[#This Row],[Match-A]]=ResultsTeams[[#This Row],[Match-B]],ResultsTeams[[#This Row],[Team A]],"")),""),"")</f>
        <v/>
      </c>
      <c r="W597" s="265" t="str">
        <f>IF(ResultsTeams[[#This Row],[Score_OK]],IF(ResultsTeams[[#This Row],[StageCpy]]="Groups",ResultsTeams[[#This Row],[Category]]&amp;"-"&amp;IF(ResultsTeams[[#This Row],[Team B]]="","",IF(ResultsTeams[[#This Row],[Match-A]]=ResultsTeams[[#This Row],[Match-B]],ResultsTeams[[#This Row],[Team B]],"")),""),"")</f>
        <v/>
      </c>
      <c r="X5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7" s="264" t="str">
        <f>IF(ResultsTeams[[#This Row],[Category]]="","",VLOOKUP(ResultsTeams[[#This Row],[Stage]],$R$1:$T$8,MATCH(ResultsTeams[[#This Row],[Category]],$S$1:$T$1,0)+1,FALSE))</f>
        <v/>
      </c>
      <c r="AC5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7" s="264" t="str">
        <f>IF(ResultsTeams[[#This Row],[Type]]="G",ResultsTeams[[#This Row],[Stage]],AD596)</f>
        <v>Last 16</v>
      </c>
      <c r="AE597" s="395" t="str">
        <f>IF(ResultsTeams[[#This Row],[Type]]="G",INDEX(TeamsList[Club Name],MATCH(ResultsTeams[[#This Row],[Team A]],TeamsList[Team Name],0)),AE596)</f>
        <v>FTC Issy-les-Moulineaux</v>
      </c>
      <c r="AF597" s="395" t="str">
        <f>IF(ResultsTeams[[#This Row],[Type]]="G",INDEX(TeamsList[Club Name],MATCH(ResultsTeams[[#This Row],[Team B]],TeamsList[Team Name],0)),AF596)</f>
        <v>Bologna Tigers Subbuteo</v>
      </c>
      <c r="AG597" s="265"/>
    </row>
    <row r="598" spans="1:33" x14ac:dyDescent="0.2">
      <c r="A598" s="62"/>
      <c r="B598" s="62"/>
      <c r="C598" s="62"/>
      <c r="D598" s="62"/>
      <c r="E598" s="241" t="s">
        <v>12243</v>
      </c>
      <c r="F598" s="247"/>
      <c r="G598" s="247"/>
      <c r="H598" s="254"/>
      <c r="I598" s="254"/>
      <c r="J598" s="260"/>
      <c r="K598" s="364"/>
      <c r="L598" s="364"/>
      <c r="M598" s="247"/>
      <c r="N598" s="265" t="b">
        <f>NOT(ISERROR(ResultsTeams[[#This Row],[Goal-A]]+ResultsTeams[[#This Row],[Goal-B]]))</f>
        <v>0</v>
      </c>
      <c r="O598" s="265" t="str">
        <f>IF(ResultsTeams[[#This Row],[Type]]="G",SUM(O599:O602),IF(LEFT(ResultsTeams[[#This Row],[Type]],1)="P",IF(ResultsTeams[[#This Row],[Goal-A]]&gt;ResultsTeams[[#This Row],[Goal-B]],1,0),""))</f>
        <v/>
      </c>
      <c r="P598" s="265" t="str">
        <f>IF(ResultsTeams[[#This Row],[Type]]="G",SUM(P599:P602),IF(LEFT(ResultsTeams[[#This Row],[Type]],1)="P",IF(ResultsTeams[[#This Row],[Goal-A]]&lt;ResultsTeams[[#This Row],[Goal-B]],1,0),""))</f>
        <v/>
      </c>
      <c r="Q598" s="265" t="str">
        <f>IF(ResultsTeams[[#This Row],[Type]]="G",SUM(Q599:Q602),IF(LEFT(ResultsTeams[[#This Row],[Type]],1)="P",VALUE(ResultsTeams[[#This Row],[Score-A]]),""))</f>
        <v/>
      </c>
      <c r="R598" s="265" t="str">
        <f>IF(ResultsTeams[[#This Row],[Type]]="G",SUM(R599:R602),IF(LEFT(ResultsTeams[[#This Row],[Type]],1)="P",VALUE(ResultsTeams[[#This Row],[Score-B]]),""))</f>
        <v/>
      </c>
      <c r="S598" s="265" t="str">
        <f ca="1">IF(AND(ResultsTeams[[#This Row],[Category]]&lt;&gt;"",ResultsTeams[[#This Row],[Team A]]&lt;&gt;""),COUNTIF(INDIRECT("TeamsList[Club Name]"),ResultsTeams[[#This Row],[Team A]]),"")</f>
        <v/>
      </c>
      <c r="T598" s="265" t="str">
        <f ca="1">IF(AND(ResultsTeams[[#This Row],[Category]]&lt;&gt;"",ResultsTeams[[#This Row],[Team B]]&lt;&gt;""),COUNTIF(INDIRECT("TeamsList[Club Name]"),ResultsTeams[[#This Row],[Team B]]),"")</f>
        <v/>
      </c>
      <c r="U5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8" s="265" t="str">
        <f>IF(ResultsTeams[[#This Row],[Score_OK]],IF(ResultsTeams[[#This Row],[StageCpy]]="Groups",ResultsTeams[[#This Row],[Category]]&amp;"-"&amp;IF(ResultsTeams[[#This Row],[Team B]]="","",IF(ResultsTeams[[#This Row],[Match-A]]=ResultsTeams[[#This Row],[Match-B]],ResultsTeams[[#This Row],[Team A]],"")),""),"")</f>
        <v/>
      </c>
      <c r="W598" s="265" t="str">
        <f>IF(ResultsTeams[[#This Row],[Score_OK]],IF(ResultsTeams[[#This Row],[StageCpy]]="Groups",ResultsTeams[[#This Row],[Category]]&amp;"-"&amp;IF(ResultsTeams[[#This Row],[Team B]]="","",IF(ResultsTeams[[#This Row],[Match-A]]=ResultsTeams[[#This Row],[Match-B]],ResultsTeams[[#This Row],[Team B]],"")),""),"")</f>
        <v/>
      </c>
      <c r="X5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8" s="264" t="str">
        <f>IF(ResultsTeams[[#This Row],[Category]]="","",VLOOKUP(ResultsTeams[[#This Row],[Stage]],$R$1:$T$8,MATCH(ResultsTeams[[#This Row],[Category]],$S$1:$T$1,0)+1,FALSE))</f>
        <v/>
      </c>
      <c r="AC5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8" s="264" t="str">
        <f>IF(ResultsTeams[[#This Row],[Type]]="G",ResultsTeams[[#This Row],[Stage]],AD597)</f>
        <v>Last 16</v>
      </c>
      <c r="AE598" s="395" t="str">
        <f>IF(ResultsTeams[[#This Row],[Type]]="G",INDEX(TeamsList[Club Name],MATCH(ResultsTeams[[#This Row],[Team A]],TeamsList[Team Name],0)),AE597)</f>
        <v>FTC Issy-les-Moulineaux</v>
      </c>
      <c r="AF598" s="395" t="str">
        <f>IF(ResultsTeams[[#This Row],[Type]]="G",INDEX(TeamsList[Club Name],MATCH(ResultsTeams[[#This Row],[Team B]],TeamsList[Team Name],0)),AF597)</f>
        <v>Bologna Tigers Subbuteo</v>
      </c>
      <c r="AG598" s="265"/>
    </row>
    <row r="599" spans="1:33" ht="12" thickBot="1" x14ac:dyDescent="0.25">
      <c r="A599" s="83"/>
      <c r="B599" s="83"/>
      <c r="C599" s="83"/>
      <c r="D599" s="83"/>
      <c r="E599" s="268" t="s">
        <v>12244</v>
      </c>
      <c r="F599" s="262"/>
      <c r="G599" s="262"/>
      <c r="H599" s="324"/>
      <c r="I599" s="324"/>
      <c r="J599" s="263"/>
      <c r="K599" s="365"/>
      <c r="L599" s="365"/>
      <c r="M599" s="262"/>
      <c r="N599" s="265" t="b">
        <f>NOT(ISERROR(ResultsTeams[[#This Row],[Goal-A]]+ResultsTeams[[#This Row],[Goal-B]]))</f>
        <v>0</v>
      </c>
      <c r="O599" s="265" t="str">
        <f>IF(ResultsTeams[[#This Row],[Type]]="G",SUM(O600:O603),IF(LEFT(ResultsTeams[[#This Row],[Type]],1)="P",IF(ResultsTeams[[#This Row],[Goal-A]]&gt;ResultsTeams[[#This Row],[Goal-B]],1,0),""))</f>
        <v/>
      </c>
      <c r="P599" s="265" t="str">
        <f>IF(ResultsTeams[[#This Row],[Type]]="G",SUM(P600:P603),IF(LEFT(ResultsTeams[[#This Row],[Type]],1)="P",IF(ResultsTeams[[#This Row],[Goal-A]]&lt;ResultsTeams[[#This Row],[Goal-B]],1,0),""))</f>
        <v/>
      </c>
      <c r="Q599" s="265" t="str">
        <f>IF(ResultsTeams[[#This Row],[Type]]="G",SUM(Q600:Q603),IF(LEFT(ResultsTeams[[#This Row],[Type]],1)="P",VALUE(ResultsTeams[[#This Row],[Score-A]]),""))</f>
        <v/>
      </c>
      <c r="R599" s="265" t="str">
        <f>IF(ResultsTeams[[#This Row],[Type]]="G",SUM(R600:R603),IF(LEFT(ResultsTeams[[#This Row],[Type]],1)="P",VALUE(ResultsTeams[[#This Row],[Score-B]]),""))</f>
        <v/>
      </c>
      <c r="S599" s="265" t="str">
        <f ca="1">IF(AND(ResultsTeams[[#This Row],[Category]]&lt;&gt;"",ResultsTeams[[#This Row],[Team A]]&lt;&gt;""),COUNTIF(INDIRECT("TeamsList[Club Name]"),ResultsTeams[[#This Row],[Team A]]),"")</f>
        <v/>
      </c>
      <c r="T599" s="265" t="str">
        <f ca="1">IF(AND(ResultsTeams[[#This Row],[Category]]&lt;&gt;"",ResultsTeams[[#This Row],[Team B]]&lt;&gt;""),COUNTIF(INDIRECT("TeamsList[Club Name]"),ResultsTeams[[#This Row],[Team B]]),"")</f>
        <v/>
      </c>
      <c r="U5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9" s="265" t="str">
        <f>IF(ResultsTeams[[#This Row],[Score_OK]],IF(ResultsTeams[[#This Row],[StageCpy]]="Groups",ResultsTeams[[#This Row],[Category]]&amp;"-"&amp;IF(ResultsTeams[[#This Row],[Team B]]="","",IF(ResultsTeams[[#This Row],[Match-A]]=ResultsTeams[[#This Row],[Match-B]],ResultsTeams[[#This Row],[Team A]],"")),""),"")</f>
        <v/>
      </c>
      <c r="W599" s="265" t="str">
        <f>IF(ResultsTeams[[#This Row],[Score_OK]],IF(ResultsTeams[[#This Row],[StageCpy]]="Groups",ResultsTeams[[#This Row],[Category]]&amp;"-"&amp;IF(ResultsTeams[[#This Row],[Team B]]="","",IF(ResultsTeams[[#This Row],[Match-A]]=ResultsTeams[[#This Row],[Match-B]],ResultsTeams[[#This Row],[Team B]],"")),""),"")</f>
        <v/>
      </c>
      <c r="X5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9" s="264" t="str">
        <f>IF(ResultsTeams[[#This Row],[Category]]="","",VLOOKUP(ResultsTeams[[#This Row],[Stage]],$R$1:$T$8,MATCH(ResultsTeams[[#This Row],[Category]],$S$1:$T$1,0)+1,FALSE))</f>
        <v/>
      </c>
      <c r="AC5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9" s="264" t="str">
        <f>IF(ResultsTeams[[#This Row],[Type]]="G",ResultsTeams[[#This Row],[Stage]],AD598)</f>
        <v>Last 16</v>
      </c>
      <c r="AE599" s="395" t="str">
        <f>IF(ResultsTeams[[#This Row],[Type]]="G",INDEX(TeamsList[Club Name],MATCH(ResultsTeams[[#This Row],[Team A]],TeamsList[Team Name],0)),AE598)</f>
        <v>FTC Issy-les-Moulineaux</v>
      </c>
      <c r="AF599" s="395" t="str">
        <f>IF(ResultsTeams[[#This Row],[Type]]="G",INDEX(TeamsList[Club Name],MATCH(ResultsTeams[[#This Row],[Team B]],TeamsList[Team Name],0)),AF598)</f>
        <v>Bologna Tigers Subbuteo</v>
      </c>
      <c r="AG599" s="265"/>
    </row>
    <row r="600" spans="1:33" ht="12" thickBot="1" x14ac:dyDescent="0.25">
      <c r="A600" s="261" t="s">
        <v>12693</v>
      </c>
      <c r="B600" s="270" t="s">
        <v>12219</v>
      </c>
      <c r="C600" s="270"/>
      <c r="D600" s="270"/>
      <c r="E600" s="272" t="s">
        <v>12228</v>
      </c>
      <c r="F600" s="273" t="s">
        <v>39</v>
      </c>
      <c r="G600" s="273" t="s">
        <v>170</v>
      </c>
      <c r="H600" s="275">
        <v>1</v>
      </c>
      <c r="I600" s="275">
        <v>3</v>
      </c>
      <c r="J600" s="275"/>
      <c r="K600" s="366"/>
      <c r="L600" s="366"/>
      <c r="M600" s="274"/>
      <c r="N600" s="265" t="b">
        <f>NOT(ISERROR(ResultsTeams[[#This Row],[Goal-A]]+ResultsTeams[[#This Row],[Goal-B]]))</f>
        <v>1</v>
      </c>
      <c r="O600" s="265">
        <f>IF(ResultsTeams[[#This Row],[Type]]="G",SUM(O601:O604),IF(LEFT(ResultsTeams[[#This Row],[Type]],1)="P",IF(ResultsTeams[[#This Row],[Goal-A]]&gt;ResultsTeams[[#This Row],[Goal-B]],1,0),""))</f>
        <v>1</v>
      </c>
      <c r="P600" s="265">
        <f>IF(ResultsTeams[[#This Row],[Type]]="G",SUM(P601:P604),IF(LEFT(ResultsTeams[[#This Row],[Type]],1)="P",IF(ResultsTeams[[#This Row],[Goal-A]]&lt;ResultsTeams[[#This Row],[Goal-B]],1,0),""))</f>
        <v>3</v>
      </c>
      <c r="Q600" s="265">
        <f>IF(ResultsTeams[[#This Row],[Type]]="G",SUM(Q601:Q604),IF(LEFT(ResultsTeams[[#This Row],[Type]],1)="P",VALUE(ResultsTeams[[#This Row],[Score-A]]),""))</f>
        <v>6</v>
      </c>
      <c r="R600" s="265">
        <f>IF(ResultsTeams[[#This Row],[Type]]="G",SUM(R601:R604),IF(LEFT(ResultsTeams[[#This Row],[Type]],1)="P",VALUE(ResultsTeams[[#This Row],[Score-B]]),""))</f>
        <v>16</v>
      </c>
      <c r="S600" s="265">
        <f ca="1">IF(AND(ResultsTeams[[#This Row],[Category]]&lt;&gt;"",ResultsTeams[[#This Row],[Team A]]&lt;&gt;""),COUNTIF(INDIRECT("TeamsList[Club Name]"),ResultsTeams[[#This Row],[Team A]]),"")</f>
        <v>1</v>
      </c>
      <c r="T600" s="265">
        <f ca="1">IF(AND(ResultsTeams[[#This Row],[Category]]&lt;&gt;"",ResultsTeams[[#This Row],[Team B]]&lt;&gt;""),COUNTIF(INDIRECT("TeamsList[Club Name]"),ResultsTeams[[#This Row],[Team B]]),"")</f>
        <v>2</v>
      </c>
      <c r="U6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0" s="265" t="str">
        <f>IF(ResultsTeams[[#This Row],[Score_OK]],IF(ResultsTeams[[#This Row],[StageCpy]]="Groups",ResultsTeams[[#This Row],[Category]]&amp;"-"&amp;IF(ResultsTeams[[#This Row],[Team B]]="","",IF(ResultsTeams[[#This Row],[Match-A]]=ResultsTeams[[#This Row],[Match-B]],ResultsTeams[[#This Row],[Team A]],"")),""),"")</f>
        <v/>
      </c>
      <c r="W600" s="265" t="str">
        <f>IF(ResultsTeams[[#This Row],[Score_OK]],IF(ResultsTeams[[#This Row],[StageCpy]]="Groups",ResultsTeams[[#This Row],[Category]]&amp;"-"&amp;IF(ResultsTeams[[#This Row],[Team B]]="","",IF(ResultsTeams[[#This Row],[Match-A]]=ResultsTeams[[#This Row],[Match-B]],ResultsTeams[[#This Row],[Team B]],"")),""),"")</f>
        <v/>
      </c>
      <c r="X6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TEAM-TSC Royal 78 Kaisermühlen</v>
      </c>
      <c r="Z6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6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600" s="264" t="str">
        <f>IF(ResultsTeams[[#This Row],[Category]]="","",VLOOKUP(ResultsTeams[[#This Row],[Stage]],$R$1:$T$8,MATCH(ResultsTeams[[#This Row],[Category]],$S$1:$T$1,0)+1,FALSE))</f>
        <v>L16</v>
      </c>
      <c r="AC6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0" s="264" t="str">
        <f>IF(ResultsTeams[[#This Row],[Type]]="G",ResultsTeams[[#This Row],[Stage]],AD599)</f>
        <v>Last 16</v>
      </c>
      <c r="AE600" s="395" t="str">
        <f>IF(ResultsTeams[[#This Row],[Type]]="G",INDEX(TeamsList[Club Name],MATCH(ResultsTeams[[#This Row],[Team A]],TeamsList[Team Name],0)),AE599)</f>
        <v>TSC Royal 78 Kaisermühlen</v>
      </c>
      <c r="AF600" s="395" t="str">
        <f>IF(ResultsTeams[[#This Row],[Type]]="G",INDEX(TeamsList[Club Name],MATCH(ResultsTeams[[#This Row],[Team B]],TeamsList[Team Name],0)),AF599)</f>
        <v>Tiburones FM</v>
      </c>
      <c r="AG600" s="265"/>
    </row>
    <row r="601" spans="1:33" x14ac:dyDescent="0.2">
      <c r="A601" s="60"/>
      <c r="B601" s="280"/>
      <c r="C601" s="60"/>
      <c r="D601" s="60"/>
      <c r="E601" s="240" t="s">
        <v>12231</v>
      </c>
      <c r="F601" s="244" t="s">
        <v>8036</v>
      </c>
      <c r="G601" s="244" t="s">
        <v>8752</v>
      </c>
      <c r="H601" s="253">
        <v>3</v>
      </c>
      <c r="I601" s="253">
        <v>1</v>
      </c>
      <c r="J601" s="253"/>
      <c r="K601" s="362"/>
      <c r="L601" s="362"/>
      <c r="M601" s="245"/>
      <c r="N601" s="265" t="b">
        <f>NOT(ISERROR(ResultsTeams[[#This Row],[Goal-A]]+ResultsTeams[[#This Row],[Goal-B]]))</f>
        <v>1</v>
      </c>
      <c r="O601" s="265">
        <f>IF(ResultsTeams[[#This Row],[Type]]="G",SUM(O602:O605),IF(LEFT(ResultsTeams[[#This Row],[Type]],1)="P",IF(ResultsTeams[[#This Row],[Goal-A]]&gt;ResultsTeams[[#This Row],[Goal-B]],1,0),""))</f>
        <v>1</v>
      </c>
      <c r="P601" s="265">
        <f>IF(ResultsTeams[[#This Row],[Type]]="G",SUM(P602:P605),IF(LEFT(ResultsTeams[[#This Row],[Type]],1)="P",IF(ResultsTeams[[#This Row],[Goal-A]]&lt;ResultsTeams[[#This Row],[Goal-B]],1,0),""))</f>
        <v>0</v>
      </c>
      <c r="Q601" s="265">
        <f>IF(ResultsTeams[[#This Row],[Type]]="G",SUM(Q602:Q605),IF(LEFT(ResultsTeams[[#This Row],[Type]],1)="P",VALUE(ResultsTeams[[#This Row],[Score-A]]),""))</f>
        <v>3</v>
      </c>
      <c r="R601" s="265">
        <f>IF(ResultsTeams[[#This Row],[Type]]="G",SUM(R602:R605),IF(LEFT(ResultsTeams[[#This Row],[Type]],1)="P",VALUE(ResultsTeams[[#This Row],[Score-B]]),""))</f>
        <v>1</v>
      </c>
      <c r="S601" s="265" t="str">
        <f ca="1">IF(AND(ResultsTeams[[#This Row],[Category]]&lt;&gt;"",ResultsTeams[[#This Row],[Team A]]&lt;&gt;""),COUNTIF(INDIRECT("TeamsList[Club Name]"),ResultsTeams[[#This Row],[Team A]]),"")</f>
        <v/>
      </c>
      <c r="T601" s="265" t="str">
        <f ca="1">IF(AND(ResultsTeams[[#This Row],[Category]]&lt;&gt;"",ResultsTeams[[#This Row],[Team B]]&lt;&gt;""),COUNTIF(INDIRECT("TeamsList[Club Name]"),ResultsTeams[[#This Row],[Team B]]),"")</f>
        <v/>
      </c>
      <c r="U6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1" s="265" t="str">
        <f>IF(ResultsTeams[[#This Row],[Score_OK]],IF(ResultsTeams[[#This Row],[StageCpy]]="Groups",ResultsTeams[[#This Row],[Category]]&amp;"-"&amp;IF(ResultsTeams[[#This Row],[Team B]]="","",IF(ResultsTeams[[#This Row],[Match-A]]=ResultsTeams[[#This Row],[Match-B]],ResultsTeams[[#This Row],[Team A]],"")),""),"")</f>
        <v/>
      </c>
      <c r="W601" s="265" t="str">
        <f>IF(ResultsTeams[[#This Row],[Score_OK]],IF(ResultsTeams[[#This Row],[StageCpy]]="Groups",ResultsTeams[[#This Row],[Category]]&amp;"-"&amp;IF(ResultsTeams[[#This Row],[Team B]]="","",IF(ResultsTeams[[#This Row],[Match-A]]=ResultsTeams[[#This Row],[Match-B]],ResultsTeams[[#This Row],[Team B]],"")),""),"")</f>
        <v/>
      </c>
      <c r="X6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1" s="264" t="str">
        <f>IF(ResultsTeams[[#This Row],[Category]]="","",VLOOKUP(ResultsTeams[[#This Row],[Stage]],$R$1:$T$8,MATCH(ResultsTeams[[#This Row],[Category]],$S$1:$T$1,0)+1,FALSE))</f>
        <v/>
      </c>
      <c r="AC6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1" s="264" t="str">
        <f>IF(ResultsTeams[[#This Row],[Type]]="G",ResultsTeams[[#This Row],[Stage]],AD600)</f>
        <v>Last 16</v>
      </c>
      <c r="AE601" s="395" t="str">
        <f>IF(ResultsTeams[[#This Row],[Type]]="G",INDEX(TeamsList[Club Name],MATCH(ResultsTeams[[#This Row],[Team A]],TeamsList[Team Name],0)),AE600)</f>
        <v>TSC Royal 78 Kaisermühlen</v>
      </c>
      <c r="AF601" s="395" t="str">
        <f>IF(ResultsTeams[[#This Row],[Type]]="G",INDEX(TeamsList[Club Name],MATCH(ResultsTeams[[#This Row],[Team B]],TeamsList[Team Name],0)),AF600)</f>
        <v>Tiburones FM</v>
      </c>
      <c r="AG601" s="265"/>
    </row>
    <row r="602" spans="1:33" x14ac:dyDescent="0.2">
      <c r="A602" s="62"/>
      <c r="B602" s="280"/>
      <c r="C602" s="62"/>
      <c r="D602" s="62"/>
      <c r="E602" s="241" t="s">
        <v>12234</v>
      </c>
      <c r="F602" s="246" t="s">
        <v>8050</v>
      </c>
      <c r="G602" s="246" t="s">
        <v>8600</v>
      </c>
      <c r="H602" s="254">
        <v>0</v>
      </c>
      <c r="I602" s="254">
        <v>5</v>
      </c>
      <c r="J602" s="254"/>
      <c r="K602" s="363"/>
      <c r="L602" s="363"/>
      <c r="M602" s="247"/>
      <c r="N602" s="265" t="b">
        <f>NOT(ISERROR(ResultsTeams[[#This Row],[Goal-A]]+ResultsTeams[[#This Row],[Goal-B]]))</f>
        <v>1</v>
      </c>
      <c r="O602" s="265">
        <f>IF(ResultsTeams[[#This Row],[Type]]="G",SUM(O603:O606),IF(LEFT(ResultsTeams[[#This Row],[Type]],1)="P",IF(ResultsTeams[[#This Row],[Goal-A]]&gt;ResultsTeams[[#This Row],[Goal-B]],1,0),""))</f>
        <v>0</v>
      </c>
      <c r="P602" s="265">
        <f>IF(ResultsTeams[[#This Row],[Type]]="G",SUM(P603:P606),IF(LEFT(ResultsTeams[[#This Row],[Type]],1)="P",IF(ResultsTeams[[#This Row],[Goal-A]]&lt;ResultsTeams[[#This Row],[Goal-B]],1,0),""))</f>
        <v>1</v>
      </c>
      <c r="Q602" s="265">
        <f>IF(ResultsTeams[[#This Row],[Type]]="G",SUM(Q603:Q606),IF(LEFT(ResultsTeams[[#This Row],[Type]],1)="P",VALUE(ResultsTeams[[#This Row],[Score-A]]),""))</f>
        <v>0</v>
      </c>
      <c r="R602" s="265">
        <f>IF(ResultsTeams[[#This Row],[Type]]="G",SUM(R603:R606),IF(LEFT(ResultsTeams[[#This Row],[Type]],1)="P",VALUE(ResultsTeams[[#This Row],[Score-B]]),""))</f>
        <v>5</v>
      </c>
      <c r="S602" s="265" t="str">
        <f ca="1">IF(AND(ResultsTeams[[#This Row],[Category]]&lt;&gt;"",ResultsTeams[[#This Row],[Team A]]&lt;&gt;""),COUNTIF(INDIRECT("TeamsList[Club Name]"),ResultsTeams[[#This Row],[Team A]]),"")</f>
        <v/>
      </c>
      <c r="T602" s="265" t="str">
        <f ca="1">IF(AND(ResultsTeams[[#This Row],[Category]]&lt;&gt;"",ResultsTeams[[#This Row],[Team B]]&lt;&gt;""),COUNTIF(INDIRECT("TeamsList[Club Name]"),ResultsTeams[[#This Row],[Team B]]),"")</f>
        <v/>
      </c>
      <c r="U6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2" s="265" t="str">
        <f>IF(ResultsTeams[[#This Row],[Score_OK]],IF(ResultsTeams[[#This Row],[StageCpy]]="Groups",ResultsTeams[[#This Row],[Category]]&amp;"-"&amp;IF(ResultsTeams[[#This Row],[Team B]]="","",IF(ResultsTeams[[#This Row],[Match-A]]=ResultsTeams[[#This Row],[Match-B]],ResultsTeams[[#This Row],[Team A]],"")),""),"")</f>
        <v/>
      </c>
      <c r="W602" s="265" t="str">
        <f>IF(ResultsTeams[[#This Row],[Score_OK]],IF(ResultsTeams[[#This Row],[StageCpy]]="Groups",ResultsTeams[[#This Row],[Category]]&amp;"-"&amp;IF(ResultsTeams[[#This Row],[Team B]]="","",IF(ResultsTeams[[#This Row],[Match-A]]=ResultsTeams[[#This Row],[Match-B]],ResultsTeams[[#This Row],[Team B]],"")),""),"")</f>
        <v/>
      </c>
      <c r="X6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2" s="264" t="str">
        <f>IF(ResultsTeams[[#This Row],[Category]]="","",VLOOKUP(ResultsTeams[[#This Row],[Stage]],$R$1:$T$8,MATCH(ResultsTeams[[#This Row],[Category]],$S$1:$T$1,0)+1,FALSE))</f>
        <v/>
      </c>
      <c r="AC6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2" s="264" t="str">
        <f>IF(ResultsTeams[[#This Row],[Type]]="G",ResultsTeams[[#This Row],[Stage]],AD601)</f>
        <v>Last 16</v>
      </c>
      <c r="AE602" s="395" t="str">
        <f>IF(ResultsTeams[[#This Row],[Type]]="G",INDEX(TeamsList[Club Name],MATCH(ResultsTeams[[#This Row],[Team A]],TeamsList[Team Name],0)),AE601)</f>
        <v>TSC Royal 78 Kaisermühlen</v>
      </c>
      <c r="AF602" s="395" t="str">
        <f>IF(ResultsTeams[[#This Row],[Type]]="G",INDEX(TeamsList[Club Name],MATCH(ResultsTeams[[#This Row],[Team B]],TeamsList[Team Name],0)),AF601)</f>
        <v>Tiburones FM</v>
      </c>
      <c r="AG602" s="265"/>
    </row>
    <row r="603" spans="1:33" x14ac:dyDescent="0.2">
      <c r="A603" s="62"/>
      <c r="B603" s="280"/>
      <c r="C603" s="62"/>
      <c r="D603" s="62"/>
      <c r="E603" s="241" t="s">
        <v>12237</v>
      </c>
      <c r="F603" s="246" t="s">
        <v>8037</v>
      </c>
      <c r="G603" s="246" t="s">
        <v>8629</v>
      </c>
      <c r="H603" s="254">
        <v>1</v>
      </c>
      <c r="I603" s="254">
        <v>3</v>
      </c>
      <c r="J603" s="254"/>
      <c r="K603" s="363"/>
      <c r="L603" s="363"/>
      <c r="M603" s="247"/>
      <c r="N603" s="265" t="b">
        <f>NOT(ISERROR(ResultsTeams[[#This Row],[Goal-A]]+ResultsTeams[[#This Row],[Goal-B]]))</f>
        <v>1</v>
      </c>
      <c r="O603" s="265">
        <f>IF(ResultsTeams[[#This Row],[Type]]="G",SUM(O604:O607),IF(LEFT(ResultsTeams[[#This Row],[Type]],1)="P",IF(ResultsTeams[[#This Row],[Goal-A]]&gt;ResultsTeams[[#This Row],[Goal-B]],1,0),""))</f>
        <v>0</v>
      </c>
      <c r="P603" s="265">
        <f>IF(ResultsTeams[[#This Row],[Type]]="G",SUM(P604:P607),IF(LEFT(ResultsTeams[[#This Row],[Type]],1)="P",IF(ResultsTeams[[#This Row],[Goal-A]]&lt;ResultsTeams[[#This Row],[Goal-B]],1,0),""))</f>
        <v>1</v>
      </c>
      <c r="Q603" s="265">
        <f>IF(ResultsTeams[[#This Row],[Type]]="G",SUM(Q604:Q607),IF(LEFT(ResultsTeams[[#This Row],[Type]],1)="P",VALUE(ResultsTeams[[#This Row],[Score-A]]),""))</f>
        <v>1</v>
      </c>
      <c r="R603" s="265">
        <f>IF(ResultsTeams[[#This Row],[Type]]="G",SUM(R604:R607),IF(LEFT(ResultsTeams[[#This Row],[Type]],1)="P",VALUE(ResultsTeams[[#This Row],[Score-B]]),""))</f>
        <v>3</v>
      </c>
      <c r="S603" s="265" t="str">
        <f ca="1">IF(AND(ResultsTeams[[#This Row],[Category]]&lt;&gt;"",ResultsTeams[[#This Row],[Team A]]&lt;&gt;""),COUNTIF(INDIRECT("TeamsList[Club Name]"),ResultsTeams[[#This Row],[Team A]]),"")</f>
        <v/>
      </c>
      <c r="T603" s="265" t="str">
        <f ca="1">IF(AND(ResultsTeams[[#This Row],[Category]]&lt;&gt;"",ResultsTeams[[#This Row],[Team B]]&lt;&gt;""),COUNTIF(INDIRECT("TeamsList[Club Name]"),ResultsTeams[[#This Row],[Team B]]),"")</f>
        <v/>
      </c>
      <c r="U6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3" s="265" t="str">
        <f>IF(ResultsTeams[[#This Row],[Score_OK]],IF(ResultsTeams[[#This Row],[StageCpy]]="Groups",ResultsTeams[[#This Row],[Category]]&amp;"-"&amp;IF(ResultsTeams[[#This Row],[Team B]]="","",IF(ResultsTeams[[#This Row],[Match-A]]=ResultsTeams[[#This Row],[Match-B]],ResultsTeams[[#This Row],[Team A]],"")),""),"")</f>
        <v/>
      </c>
      <c r="W603" s="265" t="str">
        <f>IF(ResultsTeams[[#This Row],[Score_OK]],IF(ResultsTeams[[#This Row],[StageCpy]]="Groups",ResultsTeams[[#This Row],[Category]]&amp;"-"&amp;IF(ResultsTeams[[#This Row],[Team B]]="","",IF(ResultsTeams[[#This Row],[Match-A]]=ResultsTeams[[#This Row],[Match-B]],ResultsTeams[[#This Row],[Team B]],"")),""),"")</f>
        <v/>
      </c>
      <c r="X6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3" s="264" t="str">
        <f>IF(ResultsTeams[[#This Row],[Category]]="","",VLOOKUP(ResultsTeams[[#This Row],[Stage]],$R$1:$T$8,MATCH(ResultsTeams[[#This Row],[Category]],$S$1:$T$1,0)+1,FALSE))</f>
        <v/>
      </c>
      <c r="AC6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3" s="264" t="str">
        <f>IF(ResultsTeams[[#This Row],[Type]]="G",ResultsTeams[[#This Row],[Stage]],AD602)</f>
        <v>Last 16</v>
      </c>
      <c r="AE603" s="395" t="str">
        <f>IF(ResultsTeams[[#This Row],[Type]]="G",INDEX(TeamsList[Club Name],MATCH(ResultsTeams[[#This Row],[Team A]],TeamsList[Team Name],0)),AE602)</f>
        <v>TSC Royal 78 Kaisermühlen</v>
      </c>
      <c r="AF603" s="395" t="str">
        <f>IF(ResultsTeams[[#This Row],[Type]]="G",INDEX(TeamsList[Club Name],MATCH(ResultsTeams[[#This Row],[Team B]],TeamsList[Team Name],0)),AF602)</f>
        <v>Tiburones FM</v>
      </c>
      <c r="AG603" s="265"/>
    </row>
    <row r="604" spans="1:33" x14ac:dyDescent="0.2">
      <c r="A604" s="62"/>
      <c r="B604" s="280"/>
      <c r="C604" s="62"/>
      <c r="D604" s="62"/>
      <c r="E604" s="241" t="s">
        <v>12240</v>
      </c>
      <c r="F604" s="246" t="s">
        <v>8043</v>
      </c>
      <c r="G604" s="246" t="s">
        <v>8628</v>
      </c>
      <c r="H604" s="254">
        <v>2</v>
      </c>
      <c r="I604" s="254">
        <v>7</v>
      </c>
      <c r="J604" s="254"/>
      <c r="K604" s="363"/>
      <c r="L604" s="363"/>
      <c r="M604" s="247"/>
      <c r="N604" s="265" t="b">
        <f>NOT(ISERROR(ResultsTeams[[#This Row],[Goal-A]]+ResultsTeams[[#This Row],[Goal-B]]))</f>
        <v>1</v>
      </c>
      <c r="O604" s="265">
        <f>IF(ResultsTeams[[#This Row],[Type]]="G",SUM(O605:O608),IF(LEFT(ResultsTeams[[#This Row],[Type]],1)="P",IF(ResultsTeams[[#This Row],[Goal-A]]&gt;ResultsTeams[[#This Row],[Goal-B]],1,0),""))</f>
        <v>0</v>
      </c>
      <c r="P604" s="265">
        <f>IF(ResultsTeams[[#This Row],[Type]]="G",SUM(P605:P608),IF(LEFT(ResultsTeams[[#This Row],[Type]],1)="P",IF(ResultsTeams[[#This Row],[Goal-A]]&lt;ResultsTeams[[#This Row],[Goal-B]],1,0),""))</f>
        <v>1</v>
      </c>
      <c r="Q604" s="265">
        <f>IF(ResultsTeams[[#This Row],[Type]]="G",SUM(Q605:Q608),IF(LEFT(ResultsTeams[[#This Row],[Type]],1)="P",VALUE(ResultsTeams[[#This Row],[Score-A]]),""))</f>
        <v>2</v>
      </c>
      <c r="R604" s="265">
        <f>IF(ResultsTeams[[#This Row],[Type]]="G",SUM(R605:R608),IF(LEFT(ResultsTeams[[#This Row],[Type]],1)="P",VALUE(ResultsTeams[[#This Row],[Score-B]]),""))</f>
        <v>7</v>
      </c>
      <c r="S604" s="265" t="str">
        <f ca="1">IF(AND(ResultsTeams[[#This Row],[Category]]&lt;&gt;"",ResultsTeams[[#This Row],[Team A]]&lt;&gt;""),COUNTIF(INDIRECT("TeamsList[Club Name]"),ResultsTeams[[#This Row],[Team A]]),"")</f>
        <v/>
      </c>
      <c r="T604" s="265" t="str">
        <f ca="1">IF(AND(ResultsTeams[[#This Row],[Category]]&lt;&gt;"",ResultsTeams[[#This Row],[Team B]]&lt;&gt;""),COUNTIF(INDIRECT("TeamsList[Club Name]"),ResultsTeams[[#This Row],[Team B]]),"")</f>
        <v/>
      </c>
      <c r="U6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4" s="265" t="str">
        <f>IF(ResultsTeams[[#This Row],[Score_OK]],IF(ResultsTeams[[#This Row],[StageCpy]]="Groups",ResultsTeams[[#This Row],[Category]]&amp;"-"&amp;IF(ResultsTeams[[#This Row],[Team B]]="","",IF(ResultsTeams[[#This Row],[Match-A]]=ResultsTeams[[#This Row],[Match-B]],ResultsTeams[[#This Row],[Team A]],"")),""),"")</f>
        <v/>
      </c>
      <c r="W604" s="265" t="str">
        <f>IF(ResultsTeams[[#This Row],[Score_OK]],IF(ResultsTeams[[#This Row],[StageCpy]]="Groups",ResultsTeams[[#This Row],[Category]]&amp;"-"&amp;IF(ResultsTeams[[#This Row],[Team B]]="","",IF(ResultsTeams[[#This Row],[Match-A]]=ResultsTeams[[#This Row],[Match-B]],ResultsTeams[[#This Row],[Team B]],"")),""),"")</f>
        <v/>
      </c>
      <c r="X6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4" s="264" t="str">
        <f>IF(ResultsTeams[[#This Row],[Category]]="","",VLOOKUP(ResultsTeams[[#This Row],[Stage]],$R$1:$T$8,MATCH(ResultsTeams[[#This Row],[Category]],$S$1:$T$1,0)+1,FALSE))</f>
        <v/>
      </c>
      <c r="AC6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4" s="264" t="str">
        <f>IF(ResultsTeams[[#This Row],[Type]]="G",ResultsTeams[[#This Row],[Stage]],AD603)</f>
        <v>Last 16</v>
      </c>
      <c r="AE604" s="395" t="str">
        <f>IF(ResultsTeams[[#This Row],[Type]]="G",INDEX(TeamsList[Club Name],MATCH(ResultsTeams[[#This Row],[Team A]],TeamsList[Team Name],0)),AE603)</f>
        <v>TSC Royal 78 Kaisermühlen</v>
      </c>
      <c r="AF604" s="395" t="str">
        <f>IF(ResultsTeams[[#This Row],[Type]]="G",INDEX(TeamsList[Club Name],MATCH(ResultsTeams[[#This Row],[Team B]],TeamsList[Team Name],0)),AF603)</f>
        <v>Tiburones FM</v>
      </c>
      <c r="AG604" s="265"/>
    </row>
    <row r="605" spans="1:33" x14ac:dyDescent="0.2">
      <c r="A605" s="62"/>
      <c r="B605" s="62"/>
      <c r="C605" s="62"/>
      <c r="D605" s="62"/>
      <c r="E605" s="241" t="s">
        <v>12243</v>
      </c>
      <c r="F605" s="247"/>
      <c r="G605" s="247"/>
      <c r="H605" s="254"/>
      <c r="I605" s="254"/>
      <c r="J605" s="260"/>
      <c r="K605" s="364"/>
      <c r="L605" s="364"/>
      <c r="M605" s="63"/>
      <c r="N605" s="265" t="b">
        <f>NOT(ISERROR(ResultsTeams[[#This Row],[Goal-A]]+ResultsTeams[[#This Row],[Goal-B]]))</f>
        <v>0</v>
      </c>
      <c r="O605" s="265" t="str">
        <f>IF(ResultsTeams[[#This Row],[Type]]="G",SUM(O606:O609),IF(LEFT(ResultsTeams[[#This Row],[Type]],1)="P",IF(ResultsTeams[[#This Row],[Goal-A]]&gt;ResultsTeams[[#This Row],[Goal-B]],1,0),""))</f>
        <v/>
      </c>
      <c r="P605" s="265" t="str">
        <f>IF(ResultsTeams[[#This Row],[Type]]="G",SUM(P606:P609),IF(LEFT(ResultsTeams[[#This Row],[Type]],1)="P",IF(ResultsTeams[[#This Row],[Goal-A]]&lt;ResultsTeams[[#This Row],[Goal-B]],1,0),""))</f>
        <v/>
      </c>
      <c r="Q605" s="265" t="str">
        <f>IF(ResultsTeams[[#This Row],[Type]]="G",SUM(Q606:Q609),IF(LEFT(ResultsTeams[[#This Row],[Type]],1)="P",VALUE(ResultsTeams[[#This Row],[Score-A]]),""))</f>
        <v/>
      </c>
      <c r="R605" s="265" t="str">
        <f>IF(ResultsTeams[[#This Row],[Type]]="G",SUM(R606:R609),IF(LEFT(ResultsTeams[[#This Row],[Type]],1)="P",VALUE(ResultsTeams[[#This Row],[Score-B]]),""))</f>
        <v/>
      </c>
      <c r="S605" s="265" t="str">
        <f ca="1">IF(AND(ResultsTeams[[#This Row],[Category]]&lt;&gt;"",ResultsTeams[[#This Row],[Team A]]&lt;&gt;""),COUNTIF(INDIRECT("TeamsList[Club Name]"),ResultsTeams[[#This Row],[Team A]]),"")</f>
        <v/>
      </c>
      <c r="T605" s="265" t="str">
        <f ca="1">IF(AND(ResultsTeams[[#This Row],[Category]]&lt;&gt;"",ResultsTeams[[#This Row],[Team B]]&lt;&gt;""),COUNTIF(INDIRECT("TeamsList[Club Name]"),ResultsTeams[[#This Row],[Team B]]),"")</f>
        <v/>
      </c>
      <c r="U6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5" s="265" t="str">
        <f>IF(ResultsTeams[[#This Row],[Score_OK]],IF(ResultsTeams[[#This Row],[StageCpy]]="Groups",ResultsTeams[[#This Row],[Category]]&amp;"-"&amp;IF(ResultsTeams[[#This Row],[Team B]]="","",IF(ResultsTeams[[#This Row],[Match-A]]=ResultsTeams[[#This Row],[Match-B]],ResultsTeams[[#This Row],[Team A]],"")),""),"")</f>
        <v/>
      </c>
      <c r="W605" s="265" t="str">
        <f>IF(ResultsTeams[[#This Row],[Score_OK]],IF(ResultsTeams[[#This Row],[StageCpy]]="Groups",ResultsTeams[[#This Row],[Category]]&amp;"-"&amp;IF(ResultsTeams[[#This Row],[Team B]]="","",IF(ResultsTeams[[#This Row],[Match-A]]=ResultsTeams[[#This Row],[Match-B]],ResultsTeams[[#This Row],[Team B]],"")),""),"")</f>
        <v/>
      </c>
      <c r="X6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5" s="264" t="str">
        <f>IF(ResultsTeams[[#This Row],[Category]]="","",VLOOKUP(ResultsTeams[[#This Row],[Stage]],$R$1:$T$8,MATCH(ResultsTeams[[#This Row],[Category]],$S$1:$T$1,0)+1,FALSE))</f>
        <v/>
      </c>
      <c r="AC6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5" s="264" t="str">
        <f>IF(ResultsTeams[[#This Row],[Type]]="G",ResultsTeams[[#This Row],[Stage]],AD604)</f>
        <v>Last 16</v>
      </c>
      <c r="AE605" s="395" t="str">
        <f>IF(ResultsTeams[[#This Row],[Type]]="G",INDEX(TeamsList[Club Name],MATCH(ResultsTeams[[#This Row],[Team A]],TeamsList[Team Name],0)),AE604)</f>
        <v>TSC Royal 78 Kaisermühlen</v>
      </c>
      <c r="AF605" s="395" t="str">
        <f>IF(ResultsTeams[[#This Row],[Type]]="G",INDEX(TeamsList[Club Name],MATCH(ResultsTeams[[#This Row],[Team B]],TeamsList[Team Name],0)),AF604)</f>
        <v>Tiburones FM</v>
      </c>
      <c r="AG605" s="265"/>
    </row>
    <row r="606" spans="1:33" ht="12" thickBot="1" x14ac:dyDescent="0.25">
      <c r="A606" s="83"/>
      <c r="B606" s="83"/>
      <c r="C606" s="83"/>
      <c r="D606" s="83"/>
      <c r="E606" s="268" t="s">
        <v>12244</v>
      </c>
      <c r="F606" s="262"/>
      <c r="G606" s="262"/>
      <c r="H606" s="324"/>
      <c r="I606" s="324"/>
      <c r="J606" s="263"/>
      <c r="K606" s="365"/>
      <c r="L606" s="365"/>
      <c r="M606" s="84"/>
      <c r="N606" s="265" t="b">
        <f>NOT(ISERROR(ResultsTeams[[#This Row],[Goal-A]]+ResultsTeams[[#This Row],[Goal-B]]))</f>
        <v>0</v>
      </c>
      <c r="O606" s="265" t="str">
        <f>IF(ResultsTeams[[#This Row],[Type]]="G",SUM(O607:O610),IF(LEFT(ResultsTeams[[#This Row],[Type]],1)="P",IF(ResultsTeams[[#This Row],[Goal-A]]&gt;ResultsTeams[[#This Row],[Goal-B]],1,0),""))</f>
        <v/>
      </c>
      <c r="P606" s="265" t="str">
        <f>IF(ResultsTeams[[#This Row],[Type]]="G",SUM(P607:P610),IF(LEFT(ResultsTeams[[#This Row],[Type]],1)="P",IF(ResultsTeams[[#This Row],[Goal-A]]&lt;ResultsTeams[[#This Row],[Goal-B]],1,0),""))</f>
        <v/>
      </c>
      <c r="Q606" s="265" t="str">
        <f>IF(ResultsTeams[[#This Row],[Type]]="G",SUM(Q607:Q610),IF(LEFT(ResultsTeams[[#This Row],[Type]],1)="P",VALUE(ResultsTeams[[#This Row],[Score-A]]),""))</f>
        <v/>
      </c>
      <c r="R606" s="265" t="str">
        <f>IF(ResultsTeams[[#This Row],[Type]]="G",SUM(R607:R610),IF(LEFT(ResultsTeams[[#This Row],[Type]],1)="P",VALUE(ResultsTeams[[#This Row],[Score-B]]),""))</f>
        <v/>
      </c>
      <c r="S606" s="265" t="str">
        <f ca="1">IF(AND(ResultsTeams[[#This Row],[Category]]&lt;&gt;"",ResultsTeams[[#This Row],[Team A]]&lt;&gt;""),COUNTIF(INDIRECT("TeamsList[Club Name]"),ResultsTeams[[#This Row],[Team A]]),"")</f>
        <v/>
      </c>
      <c r="T606" s="265" t="str">
        <f ca="1">IF(AND(ResultsTeams[[#This Row],[Category]]&lt;&gt;"",ResultsTeams[[#This Row],[Team B]]&lt;&gt;""),COUNTIF(INDIRECT("TeamsList[Club Name]"),ResultsTeams[[#This Row],[Team B]]),"")</f>
        <v/>
      </c>
      <c r="U6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6" s="265" t="str">
        <f>IF(ResultsTeams[[#This Row],[Score_OK]],IF(ResultsTeams[[#This Row],[StageCpy]]="Groups",ResultsTeams[[#This Row],[Category]]&amp;"-"&amp;IF(ResultsTeams[[#This Row],[Team B]]="","",IF(ResultsTeams[[#This Row],[Match-A]]=ResultsTeams[[#This Row],[Match-B]],ResultsTeams[[#This Row],[Team A]],"")),""),"")</f>
        <v/>
      </c>
      <c r="W606" s="265" t="str">
        <f>IF(ResultsTeams[[#This Row],[Score_OK]],IF(ResultsTeams[[#This Row],[StageCpy]]="Groups",ResultsTeams[[#This Row],[Category]]&amp;"-"&amp;IF(ResultsTeams[[#This Row],[Team B]]="","",IF(ResultsTeams[[#This Row],[Match-A]]=ResultsTeams[[#This Row],[Match-B]],ResultsTeams[[#This Row],[Team B]],"")),""),"")</f>
        <v/>
      </c>
      <c r="X6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6" s="264" t="str">
        <f>IF(ResultsTeams[[#This Row],[Category]]="","",VLOOKUP(ResultsTeams[[#This Row],[Stage]],$R$1:$T$8,MATCH(ResultsTeams[[#This Row],[Category]],$S$1:$T$1,0)+1,FALSE))</f>
        <v/>
      </c>
      <c r="AC6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6" s="264" t="str">
        <f>IF(ResultsTeams[[#This Row],[Type]]="G",ResultsTeams[[#This Row],[Stage]],AD605)</f>
        <v>Last 16</v>
      </c>
      <c r="AE606" s="395" t="str">
        <f>IF(ResultsTeams[[#This Row],[Type]]="G",INDEX(TeamsList[Club Name],MATCH(ResultsTeams[[#This Row],[Team A]],TeamsList[Team Name],0)),AE605)</f>
        <v>TSC Royal 78 Kaisermühlen</v>
      </c>
      <c r="AF606" s="395" t="str">
        <f>IF(ResultsTeams[[#This Row],[Type]]="G",INDEX(TeamsList[Club Name],MATCH(ResultsTeams[[#This Row],[Team B]],TeamsList[Team Name],0)),AF605)</f>
        <v>Tiburones FM</v>
      </c>
      <c r="AG606" s="265"/>
    </row>
    <row r="607" spans="1:33" ht="12" thickBot="1" x14ac:dyDescent="0.25">
      <c r="A607" s="261" t="s">
        <v>12693</v>
      </c>
      <c r="B607" s="270" t="s">
        <v>12219</v>
      </c>
      <c r="C607" s="270"/>
      <c r="D607" s="270"/>
      <c r="E607" s="272" t="s">
        <v>12228</v>
      </c>
      <c r="F607" s="273" t="s">
        <v>57</v>
      </c>
      <c r="G607" s="273" t="s">
        <v>12558</v>
      </c>
      <c r="H607" s="275">
        <v>0</v>
      </c>
      <c r="I607" s="275">
        <v>3</v>
      </c>
      <c r="J607" s="275"/>
      <c r="K607" s="366"/>
      <c r="L607" s="366"/>
      <c r="M607" s="271"/>
      <c r="N607" s="265" t="b">
        <f>NOT(ISERROR(ResultsTeams[[#This Row],[Goal-A]]+ResultsTeams[[#This Row],[Goal-B]]))</f>
        <v>1</v>
      </c>
      <c r="O607" s="265">
        <f>IF(ResultsTeams[[#This Row],[Type]]="G",SUM(O608:O611),IF(LEFT(ResultsTeams[[#This Row],[Type]],1)="P",IF(ResultsTeams[[#This Row],[Goal-A]]&gt;ResultsTeams[[#This Row],[Goal-B]],1,0),""))</f>
        <v>0</v>
      </c>
      <c r="P607" s="265">
        <f>IF(ResultsTeams[[#This Row],[Type]]="G",SUM(P608:P611),IF(LEFT(ResultsTeams[[#This Row],[Type]],1)="P",IF(ResultsTeams[[#This Row],[Goal-A]]&lt;ResultsTeams[[#This Row],[Goal-B]],1,0),""))</f>
        <v>3</v>
      </c>
      <c r="Q607" s="265">
        <f>IF(ResultsTeams[[#This Row],[Type]]="G",SUM(Q608:Q611),IF(LEFT(ResultsTeams[[#This Row],[Type]],1)="P",VALUE(ResultsTeams[[#This Row],[Score-A]]),""))</f>
        <v>3</v>
      </c>
      <c r="R607" s="265">
        <f>IF(ResultsTeams[[#This Row],[Type]]="G",SUM(R608:R611),IF(LEFT(ResultsTeams[[#This Row],[Type]],1)="P",VALUE(ResultsTeams[[#This Row],[Score-B]]),""))</f>
        <v>10</v>
      </c>
      <c r="S607" s="265">
        <f ca="1">IF(AND(ResultsTeams[[#This Row],[Category]]&lt;&gt;"",ResultsTeams[[#This Row],[Team A]]&lt;&gt;""),COUNTIF(INDIRECT("TeamsList[Club Name]"),ResultsTeams[[#This Row],[Team A]]),"")</f>
        <v>1</v>
      </c>
      <c r="T607" s="265">
        <f ca="1">IF(AND(ResultsTeams[[#This Row],[Category]]&lt;&gt;"",ResultsTeams[[#This Row],[Team B]]&lt;&gt;""),COUNTIF(INDIRECT("TeamsList[Club Name]"),ResultsTeams[[#This Row],[Team B]]),"")</f>
        <v>1</v>
      </c>
      <c r="U6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7" s="265" t="str">
        <f>IF(ResultsTeams[[#This Row],[Score_OK]],IF(ResultsTeams[[#This Row],[StageCpy]]="Groups",ResultsTeams[[#This Row],[Category]]&amp;"-"&amp;IF(ResultsTeams[[#This Row],[Team B]]="","",IF(ResultsTeams[[#This Row],[Match-A]]=ResultsTeams[[#This Row],[Match-B]],ResultsTeams[[#This Row],[Team A]],"")),""),"")</f>
        <v/>
      </c>
      <c r="W607" s="265" t="str">
        <f>IF(ResultsTeams[[#This Row],[Score_OK]],IF(ResultsTeams[[#This Row],[StageCpy]]="Groups",ResultsTeams[[#This Row],[Category]]&amp;"-"&amp;IF(ResultsTeams[[#This Row],[Team B]]="","",IF(ResultsTeams[[#This Row],[Match-A]]=ResultsTeams[[#This Row],[Match-B]],ResultsTeams[[#This Row],[Team B]],"")),""),"")</f>
        <v/>
      </c>
      <c r="X6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TEAM-SC Charleroi</v>
      </c>
      <c r="Z6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6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607" s="264" t="str">
        <f>IF(ResultsTeams[[#This Row],[Category]]="","",VLOOKUP(ResultsTeams[[#This Row],[Stage]],$R$1:$T$8,MATCH(ResultsTeams[[#This Row],[Category]],$S$1:$T$1,0)+1,FALSE))</f>
        <v>L16</v>
      </c>
      <c r="AC6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7" s="264" t="str">
        <f>IF(ResultsTeams[[#This Row],[Type]]="G",ResultsTeams[[#This Row],[Stage]],AD606)</f>
        <v>Last 16</v>
      </c>
      <c r="AE607" s="395" t="str">
        <f>IF(ResultsTeams[[#This Row],[Type]]="G",INDEX(TeamsList[Club Name],MATCH(ResultsTeams[[#This Row],[Team A]],TeamsList[Team Name],0)),AE606)</f>
        <v>SC Charleroi</v>
      </c>
      <c r="AF607" s="395" t="str">
        <f>IF(ResultsTeams[[#This Row],[Type]]="G",INDEX(TeamsList[Club Name],MATCH(ResultsTeams[[#This Row],[Team B]],TeamsList[Team Name],0)),AF606)</f>
        <v>F.lli Bari Reggio Emilia</v>
      </c>
      <c r="AG607" s="265"/>
    </row>
    <row r="608" spans="1:33" x14ac:dyDescent="0.2">
      <c r="A608" s="60"/>
      <c r="B608" s="280"/>
      <c r="C608" s="60"/>
      <c r="D608" s="60"/>
      <c r="E608" s="240" t="s">
        <v>12231</v>
      </c>
      <c r="F608" s="244" t="s">
        <v>8094</v>
      </c>
      <c r="G608" s="244" t="s">
        <v>13</v>
      </c>
      <c r="H608" s="253">
        <v>0</v>
      </c>
      <c r="I608" s="253">
        <v>4</v>
      </c>
      <c r="J608" s="253"/>
      <c r="K608" s="362"/>
      <c r="L608" s="362"/>
      <c r="M608" s="61"/>
      <c r="N608" s="265" t="b">
        <f>NOT(ISERROR(ResultsTeams[[#This Row],[Goal-A]]+ResultsTeams[[#This Row],[Goal-B]]))</f>
        <v>1</v>
      </c>
      <c r="O608" s="265">
        <f>IF(ResultsTeams[[#This Row],[Type]]="G",SUM(O609:O612),IF(LEFT(ResultsTeams[[#This Row],[Type]],1)="P",IF(ResultsTeams[[#This Row],[Goal-A]]&gt;ResultsTeams[[#This Row],[Goal-B]],1,0),""))</f>
        <v>0</v>
      </c>
      <c r="P608" s="265">
        <f>IF(ResultsTeams[[#This Row],[Type]]="G",SUM(P609:P612),IF(LEFT(ResultsTeams[[#This Row],[Type]],1)="P",IF(ResultsTeams[[#This Row],[Goal-A]]&lt;ResultsTeams[[#This Row],[Goal-B]],1,0),""))</f>
        <v>1</v>
      </c>
      <c r="Q608" s="265">
        <f>IF(ResultsTeams[[#This Row],[Type]]="G",SUM(Q609:Q612),IF(LEFT(ResultsTeams[[#This Row],[Type]],1)="P",VALUE(ResultsTeams[[#This Row],[Score-A]]),""))</f>
        <v>0</v>
      </c>
      <c r="R608" s="265">
        <f>IF(ResultsTeams[[#This Row],[Type]]="G",SUM(R609:R612),IF(LEFT(ResultsTeams[[#This Row],[Type]],1)="P",VALUE(ResultsTeams[[#This Row],[Score-B]]),""))</f>
        <v>4</v>
      </c>
      <c r="S608" s="265" t="str">
        <f ca="1">IF(AND(ResultsTeams[[#This Row],[Category]]&lt;&gt;"",ResultsTeams[[#This Row],[Team A]]&lt;&gt;""),COUNTIF(INDIRECT("TeamsList[Club Name]"),ResultsTeams[[#This Row],[Team A]]),"")</f>
        <v/>
      </c>
      <c r="T608" s="265" t="str">
        <f ca="1">IF(AND(ResultsTeams[[#This Row],[Category]]&lt;&gt;"",ResultsTeams[[#This Row],[Team B]]&lt;&gt;""),COUNTIF(INDIRECT("TeamsList[Club Name]"),ResultsTeams[[#This Row],[Team B]]),"")</f>
        <v/>
      </c>
      <c r="U6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8" s="265" t="str">
        <f>IF(ResultsTeams[[#This Row],[Score_OK]],IF(ResultsTeams[[#This Row],[StageCpy]]="Groups",ResultsTeams[[#This Row],[Category]]&amp;"-"&amp;IF(ResultsTeams[[#This Row],[Team B]]="","",IF(ResultsTeams[[#This Row],[Match-A]]=ResultsTeams[[#This Row],[Match-B]],ResultsTeams[[#This Row],[Team A]],"")),""),"")</f>
        <v/>
      </c>
      <c r="W608" s="265" t="str">
        <f>IF(ResultsTeams[[#This Row],[Score_OK]],IF(ResultsTeams[[#This Row],[StageCpy]]="Groups",ResultsTeams[[#This Row],[Category]]&amp;"-"&amp;IF(ResultsTeams[[#This Row],[Team B]]="","",IF(ResultsTeams[[#This Row],[Match-A]]=ResultsTeams[[#This Row],[Match-B]],ResultsTeams[[#This Row],[Team B]],"")),""),"")</f>
        <v/>
      </c>
      <c r="X6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8" s="264" t="str">
        <f>IF(ResultsTeams[[#This Row],[Category]]="","",VLOOKUP(ResultsTeams[[#This Row],[Stage]],$R$1:$T$8,MATCH(ResultsTeams[[#This Row],[Category]],$S$1:$T$1,0)+1,FALSE))</f>
        <v/>
      </c>
      <c r="AC6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8" s="264" t="str">
        <f>IF(ResultsTeams[[#This Row],[Type]]="G",ResultsTeams[[#This Row],[Stage]],AD607)</f>
        <v>Last 16</v>
      </c>
      <c r="AE608" s="395" t="str">
        <f>IF(ResultsTeams[[#This Row],[Type]]="G",INDEX(TeamsList[Club Name],MATCH(ResultsTeams[[#This Row],[Team A]],TeamsList[Team Name],0)),AE607)</f>
        <v>SC Charleroi</v>
      </c>
      <c r="AF608" s="395" t="str">
        <f>IF(ResultsTeams[[#This Row],[Type]]="G",INDEX(TeamsList[Club Name],MATCH(ResultsTeams[[#This Row],[Team B]],TeamsList[Team Name],0)),AF607)</f>
        <v>F.lli Bari Reggio Emilia</v>
      </c>
      <c r="AG608" s="265"/>
    </row>
    <row r="609" spans="1:33" x14ac:dyDescent="0.2">
      <c r="A609" s="62"/>
      <c r="B609" s="280"/>
      <c r="C609" s="62"/>
      <c r="D609" s="62"/>
      <c r="E609" s="241" t="s">
        <v>12234</v>
      </c>
      <c r="F609" s="246" t="s">
        <v>8080</v>
      </c>
      <c r="G609" s="246" t="s">
        <v>9915</v>
      </c>
      <c r="H609" s="254">
        <v>0</v>
      </c>
      <c r="I609" s="254">
        <v>1</v>
      </c>
      <c r="J609" s="254"/>
      <c r="K609" s="363"/>
      <c r="L609" s="363"/>
      <c r="M609" s="63"/>
      <c r="N609" s="265" t="b">
        <f>NOT(ISERROR(ResultsTeams[[#This Row],[Goal-A]]+ResultsTeams[[#This Row],[Goal-B]]))</f>
        <v>1</v>
      </c>
      <c r="O609" s="265">
        <f>IF(ResultsTeams[[#This Row],[Type]]="G",SUM(O610:O613),IF(LEFT(ResultsTeams[[#This Row],[Type]],1)="P",IF(ResultsTeams[[#This Row],[Goal-A]]&gt;ResultsTeams[[#This Row],[Goal-B]],1,0),""))</f>
        <v>0</v>
      </c>
      <c r="P609" s="265">
        <f>IF(ResultsTeams[[#This Row],[Type]]="G",SUM(P610:P613),IF(LEFT(ResultsTeams[[#This Row],[Type]],1)="P",IF(ResultsTeams[[#This Row],[Goal-A]]&lt;ResultsTeams[[#This Row],[Goal-B]],1,0),""))</f>
        <v>1</v>
      </c>
      <c r="Q609" s="265">
        <f>IF(ResultsTeams[[#This Row],[Type]]="G",SUM(Q610:Q613),IF(LEFT(ResultsTeams[[#This Row],[Type]],1)="P",VALUE(ResultsTeams[[#This Row],[Score-A]]),""))</f>
        <v>0</v>
      </c>
      <c r="R609" s="265">
        <f>IF(ResultsTeams[[#This Row],[Type]]="G",SUM(R610:R613),IF(LEFT(ResultsTeams[[#This Row],[Type]],1)="P",VALUE(ResultsTeams[[#This Row],[Score-B]]),""))</f>
        <v>1</v>
      </c>
      <c r="S609" s="265" t="str">
        <f ca="1">IF(AND(ResultsTeams[[#This Row],[Category]]&lt;&gt;"",ResultsTeams[[#This Row],[Team A]]&lt;&gt;""),COUNTIF(INDIRECT("TeamsList[Club Name]"),ResultsTeams[[#This Row],[Team A]]),"")</f>
        <v/>
      </c>
      <c r="T609" s="265" t="str">
        <f ca="1">IF(AND(ResultsTeams[[#This Row],[Category]]&lt;&gt;"",ResultsTeams[[#This Row],[Team B]]&lt;&gt;""),COUNTIF(INDIRECT("TeamsList[Club Name]"),ResultsTeams[[#This Row],[Team B]]),"")</f>
        <v/>
      </c>
      <c r="U6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9" s="265" t="str">
        <f>IF(ResultsTeams[[#This Row],[Score_OK]],IF(ResultsTeams[[#This Row],[StageCpy]]="Groups",ResultsTeams[[#This Row],[Category]]&amp;"-"&amp;IF(ResultsTeams[[#This Row],[Team B]]="","",IF(ResultsTeams[[#This Row],[Match-A]]=ResultsTeams[[#This Row],[Match-B]],ResultsTeams[[#This Row],[Team A]],"")),""),"")</f>
        <v/>
      </c>
      <c r="W609" s="265" t="str">
        <f>IF(ResultsTeams[[#This Row],[Score_OK]],IF(ResultsTeams[[#This Row],[StageCpy]]="Groups",ResultsTeams[[#This Row],[Category]]&amp;"-"&amp;IF(ResultsTeams[[#This Row],[Team B]]="","",IF(ResultsTeams[[#This Row],[Match-A]]=ResultsTeams[[#This Row],[Match-B]],ResultsTeams[[#This Row],[Team B]],"")),""),"")</f>
        <v/>
      </c>
      <c r="X6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9" s="264" t="str">
        <f>IF(ResultsTeams[[#This Row],[Category]]="","",VLOOKUP(ResultsTeams[[#This Row],[Stage]],$R$1:$T$8,MATCH(ResultsTeams[[#This Row],[Category]],$S$1:$T$1,0)+1,FALSE))</f>
        <v/>
      </c>
      <c r="AC6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9" s="264" t="str">
        <f>IF(ResultsTeams[[#This Row],[Type]]="G",ResultsTeams[[#This Row],[Stage]],AD608)</f>
        <v>Last 16</v>
      </c>
      <c r="AE609" s="395" t="str">
        <f>IF(ResultsTeams[[#This Row],[Type]]="G",INDEX(TeamsList[Club Name],MATCH(ResultsTeams[[#This Row],[Team A]],TeamsList[Team Name],0)),AE608)</f>
        <v>SC Charleroi</v>
      </c>
      <c r="AF609" s="395" t="str">
        <f>IF(ResultsTeams[[#This Row],[Type]]="G",INDEX(TeamsList[Club Name],MATCH(ResultsTeams[[#This Row],[Team B]],TeamsList[Team Name],0)),AF608)</f>
        <v>F.lli Bari Reggio Emilia</v>
      </c>
      <c r="AG609" s="265"/>
    </row>
    <row r="610" spans="1:33" x14ac:dyDescent="0.2">
      <c r="A610" s="62"/>
      <c r="B610" s="280"/>
      <c r="C610" s="62"/>
      <c r="D610" s="62"/>
      <c r="E610" s="241" t="s">
        <v>12237</v>
      </c>
      <c r="F610" s="246" t="s">
        <v>8082</v>
      </c>
      <c r="G610" s="246" t="s">
        <v>10080</v>
      </c>
      <c r="H610" s="254">
        <v>1</v>
      </c>
      <c r="I610" s="254">
        <v>3</v>
      </c>
      <c r="J610" s="254"/>
      <c r="K610" s="363"/>
      <c r="L610" s="363"/>
      <c r="M610" s="63"/>
      <c r="N610" s="265" t="b">
        <f>NOT(ISERROR(ResultsTeams[[#This Row],[Goal-A]]+ResultsTeams[[#This Row],[Goal-B]]))</f>
        <v>1</v>
      </c>
      <c r="O610" s="265">
        <f>IF(ResultsTeams[[#This Row],[Type]]="G",SUM(O611:O614),IF(LEFT(ResultsTeams[[#This Row],[Type]],1)="P",IF(ResultsTeams[[#This Row],[Goal-A]]&gt;ResultsTeams[[#This Row],[Goal-B]],1,0),""))</f>
        <v>0</v>
      </c>
      <c r="P610" s="265">
        <f>IF(ResultsTeams[[#This Row],[Type]]="G",SUM(P611:P614),IF(LEFT(ResultsTeams[[#This Row],[Type]],1)="P",IF(ResultsTeams[[#This Row],[Goal-A]]&lt;ResultsTeams[[#This Row],[Goal-B]],1,0),""))</f>
        <v>1</v>
      </c>
      <c r="Q610" s="265">
        <f>IF(ResultsTeams[[#This Row],[Type]]="G",SUM(Q611:Q614),IF(LEFT(ResultsTeams[[#This Row],[Type]],1)="P",VALUE(ResultsTeams[[#This Row],[Score-A]]),""))</f>
        <v>1</v>
      </c>
      <c r="R610" s="265">
        <f>IF(ResultsTeams[[#This Row],[Type]]="G",SUM(R611:R614),IF(LEFT(ResultsTeams[[#This Row],[Type]],1)="P",VALUE(ResultsTeams[[#This Row],[Score-B]]),""))</f>
        <v>3</v>
      </c>
      <c r="S610" s="265" t="str">
        <f ca="1">IF(AND(ResultsTeams[[#This Row],[Category]]&lt;&gt;"",ResultsTeams[[#This Row],[Team A]]&lt;&gt;""),COUNTIF(INDIRECT("TeamsList[Club Name]"),ResultsTeams[[#This Row],[Team A]]),"")</f>
        <v/>
      </c>
      <c r="T610" s="265" t="str">
        <f ca="1">IF(AND(ResultsTeams[[#This Row],[Category]]&lt;&gt;"",ResultsTeams[[#This Row],[Team B]]&lt;&gt;""),COUNTIF(INDIRECT("TeamsList[Club Name]"),ResultsTeams[[#This Row],[Team B]]),"")</f>
        <v/>
      </c>
      <c r="U6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0" s="265" t="str">
        <f>IF(ResultsTeams[[#This Row],[Score_OK]],IF(ResultsTeams[[#This Row],[StageCpy]]="Groups",ResultsTeams[[#This Row],[Category]]&amp;"-"&amp;IF(ResultsTeams[[#This Row],[Team B]]="","",IF(ResultsTeams[[#This Row],[Match-A]]=ResultsTeams[[#This Row],[Match-B]],ResultsTeams[[#This Row],[Team A]],"")),""),"")</f>
        <v/>
      </c>
      <c r="W610" s="265" t="str">
        <f>IF(ResultsTeams[[#This Row],[Score_OK]],IF(ResultsTeams[[#This Row],[StageCpy]]="Groups",ResultsTeams[[#This Row],[Category]]&amp;"-"&amp;IF(ResultsTeams[[#This Row],[Team B]]="","",IF(ResultsTeams[[#This Row],[Match-A]]=ResultsTeams[[#This Row],[Match-B]],ResultsTeams[[#This Row],[Team B]],"")),""),"")</f>
        <v/>
      </c>
      <c r="X6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0" s="264" t="str">
        <f>IF(ResultsTeams[[#This Row],[Category]]="","",VLOOKUP(ResultsTeams[[#This Row],[Stage]],$R$1:$T$8,MATCH(ResultsTeams[[#This Row],[Category]],$S$1:$T$1,0)+1,FALSE))</f>
        <v/>
      </c>
      <c r="AC6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0" s="264" t="str">
        <f>IF(ResultsTeams[[#This Row],[Type]]="G",ResultsTeams[[#This Row],[Stage]],AD609)</f>
        <v>Last 16</v>
      </c>
      <c r="AE610" s="395" t="str">
        <f>IF(ResultsTeams[[#This Row],[Type]]="G",INDEX(TeamsList[Club Name],MATCH(ResultsTeams[[#This Row],[Team A]],TeamsList[Team Name],0)),AE609)</f>
        <v>SC Charleroi</v>
      </c>
      <c r="AF610" s="395" t="str">
        <f>IF(ResultsTeams[[#This Row],[Type]]="G",INDEX(TeamsList[Club Name],MATCH(ResultsTeams[[#This Row],[Team B]],TeamsList[Team Name],0)),AF609)</f>
        <v>F.lli Bari Reggio Emilia</v>
      </c>
      <c r="AG610" s="265"/>
    </row>
    <row r="611" spans="1:33" x14ac:dyDescent="0.2">
      <c r="A611" s="62"/>
      <c r="B611" s="280"/>
      <c r="C611" s="62"/>
      <c r="D611" s="62"/>
      <c r="E611" s="241" t="s">
        <v>12240</v>
      </c>
      <c r="F611" s="246" t="s">
        <v>8134</v>
      </c>
      <c r="G611" s="246" t="s">
        <v>9526</v>
      </c>
      <c r="H611" s="254">
        <v>2</v>
      </c>
      <c r="I611" s="254">
        <v>2</v>
      </c>
      <c r="J611" s="254"/>
      <c r="K611" s="363"/>
      <c r="L611" s="363"/>
      <c r="M611" s="63"/>
      <c r="N611" s="265" t="b">
        <f>NOT(ISERROR(ResultsTeams[[#This Row],[Goal-A]]+ResultsTeams[[#This Row],[Goal-B]]))</f>
        <v>1</v>
      </c>
      <c r="O611" s="265">
        <f>IF(ResultsTeams[[#This Row],[Type]]="G",SUM(O612:O615),IF(LEFT(ResultsTeams[[#This Row],[Type]],1)="P",IF(ResultsTeams[[#This Row],[Goal-A]]&gt;ResultsTeams[[#This Row],[Goal-B]],1,0),""))</f>
        <v>0</v>
      </c>
      <c r="P611" s="265">
        <f>IF(ResultsTeams[[#This Row],[Type]]="G",SUM(P612:P615),IF(LEFT(ResultsTeams[[#This Row],[Type]],1)="P",IF(ResultsTeams[[#This Row],[Goal-A]]&lt;ResultsTeams[[#This Row],[Goal-B]],1,0),""))</f>
        <v>0</v>
      </c>
      <c r="Q611" s="265">
        <f>IF(ResultsTeams[[#This Row],[Type]]="G",SUM(Q612:Q615),IF(LEFT(ResultsTeams[[#This Row],[Type]],1)="P",VALUE(ResultsTeams[[#This Row],[Score-A]]),""))</f>
        <v>2</v>
      </c>
      <c r="R611" s="265">
        <f>IF(ResultsTeams[[#This Row],[Type]]="G",SUM(R612:R615),IF(LEFT(ResultsTeams[[#This Row],[Type]],1)="P",VALUE(ResultsTeams[[#This Row],[Score-B]]),""))</f>
        <v>2</v>
      </c>
      <c r="S611" s="265" t="str">
        <f ca="1">IF(AND(ResultsTeams[[#This Row],[Category]]&lt;&gt;"",ResultsTeams[[#This Row],[Team A]]&lt;&gt;""),COUNTIF(INDIRECT("TeamsList[Club Name]"),ResultsTeams[[#This Row],[Team A]]),"")</f>
        <v/>
      </c>
      <c r="T611" s="265" t="str">
        <f ca="1">IF(AND(ResultsTeams[[#This Row],[Category]]&lt;&gt;"",ResultsTeams[[#This Row],[Team B]]&lt;&gt;""),COUNTIF(INDIRECT("TeamsList[Club Name]"),ResultsTeams[[#This Row],[Team B]]),"")</f>
        <v/>
      </c>
      <c r="U6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1" s="265" t="str">
        <f>IF(ResultsTeams[[#This Row],[Score_OK]],IF(ResultsTeams[[#This Row],[StageCpy]]="Groups",ResultsTeams[[#This Row],[Category]]&amp;"-"&amp;IF(ResultsTeams[[#This Row],[Team B]]="","",IF(ResultsTeams[[#This Row],[Match-A]]=ResultsTeams[[#This Row],[Match-B]],ResultsTeams[[#This Row],[Team A]],"")),""),"")</f>
        <v/>
      </c>
      <c r="W611" s="265" t="str">
        <f>IF(ResultsTeams[[#This Row],[Score_OK]],IF(ResultsTeams[[#This Row],[StageCpy]]="Groups",ResultsTeams[[#This Row],[Category]]&amp;"-"&amp;IF(ResultsTeams[[#This Row],[Team B]]="","",IF(ResultsTeams[[#This Row],[Match-A]]=ResultsTeams[[#This Row],[Match-B]],ResultsTeams[[#This Row],[Team B]],"")),""),"")</f>
        <v/>
      </c>
      <c r="X6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1" s="264" t="str">
        <f>IF(ResultsTeams[[#This Row],[Category]]="","",VLOOKUP(ResultsTeams[[#This Row],[Stage]],$R$1:$T$8,MATCH(ResultsTeams[[#This Row],[Category]],$S$1:$T$1,0)+1,FALSE))</f>
        <v/>
      </c>
      <c r="AC6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1" s="264" t="str">
        <f>IF(ResultsTeams[[#This Row],[Type]]="G",ResultsTeams[[#This Row],[Stage]],AD610)</f>
        <v>Last 16</v>
      </c>
      <c r="AE611" s="395" t="str">
        <f>IF(ResultsTeams[[#This Row],[Type]]="G",INDEX(TeamsList[Club Name],MATCH(ResultsTeams[[#This Row],[Team A]],TeamsList[Team Name],0)),AE610)</f>
        <v>SC Charleroi</v>
      </c>
      <c r="AF611" s="395" t="str">
        <f>IF(ResultsTeams[[#This Row],[Type]]="G",INDEX(TeamsList[Club Name],MATCH(ResultsTeams[[#This Row],[Team B]],TeamsList[Team Name],0)),AF610)</f>
        <v>F.lli Bari Reggio Emilia</v>
      </c>
      <c r="AG611" s="265"/>
    </row>
    <row r="612" spans="1:33" x14ac:dyDescent="0.2">
      <c r="A612" s="62"/>
      <c r="B612" s="62"/>
      <c r="C612" s="62"/>
      <c r="D612" s="62"/>
      <c r="E612" s="241" t="s">
        <v>12243</v>
      </c>
      <c r="F612" s="247"/>
      <c r="G612" s="247" t="s">
        <v>8610</v>
      </c>
      <c r="H612" s="254"/>
      <c r="I612" s="254" t="s">
        <v>12684</v>
      </c>
      <c r="J612" s="260"/>
      <c r="K612" s="364"/>
      <c r="L612" s="364"/>
      <c r="M612" s="63"/>
      <c r="N612" s="265" t="b">
        <f>NOT(ISERROR(ResultsTeams[[#This Row],[Goal-A]]+ResultsTeams[[#This Row],[Goal-B]]))</f>
        <v>0</v>
      </c>
      <c r="O612" s="265" t="str">
        <f>IF(ResultsTeams[[#This Row],[Type]]="G",SUM(O613:O616),IF(LEFT(ResultsTeams[[#This Row],[Type]],1)="P",IF(ResultsTeams[[#This Row],[Goal-A]]&gt;ResultsTeams[[#This Row],[Goal-B]],1,0),""))</f>
        <v/>
      </c>
      <c r="P612" s="265" t="str">
        <f>IF(ResultsTeams[[#This Row],[Type]]="G",SUM(P613:P616),IF(LEFT(ResultsTeams[[#This Row],[Type]],1)="P",IF(ResultsTeams[[#This Row],[Goal-A]]&lt;ResultsTeams[[#This Row],[Goal-B]],1,0),""))</f>
        <v/>
      </c>
      <c r="Q612" s="265" t="str">
        <f>IF(ResultsTeams[[#This Row],[Type]]="G",SUM(Q613:Q616),IF(LEFT(ResultsTeams[[#This Row],[Type]],1)="P",VALUE(ResultsTeams[[#This Row],[Score-A]]),""))</f>
        <v/>
      </c>
      <c r="R612" s="265" t="str">
        <f>IF(ResultsTeams[[#This Row],[Type]]="G",SUM(R613:R616),IF(LEFT(ResultsTeams[[#This Row],[Type]],1)="P",VALUE(ResultsTeams[[#This Row],[Score-B]]),""))</f>
        <v/>
      </c>
      <c r="S612" s="265" t="str">
        <f ca="1">IF(AND(ResultsTeams[[#This Row],[Category]]&lt;&gt;"",ResultsTeams[[#This Row],[Team A]]&lt;&gt;""),COUNTIF(INDIRECT("TeamsList[Club Name]"),ResultsTeams[[#This Row],[Team A]]),"")</f>
        <v/>
      </c>
      <c r="T612" s="265" t="str">
        <f ca="1">IF(AND(ResultsTeams[[#This Row],[Category]]&lt;&gt;"",ResultsTeams[[#This Row],[Team B]]&lt;&gt;""),COUNTIF(INDIRECT("TeamsList[Club Name]"),ResultsTeams[[#This Row],[Team B]]),"")</f>
        <v/>
      </c>
      <c r="U6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2" s="265" t="str">
        <f>IF(ResultsTeams[[#This Row],[Score_OK]],IF(ResultsTeams[[#This Row],[StageCpy]]="Groups",ResultsTeams[[#This Row],[Category]]&amp;"-"&amp;IF(ResultsTeams[[#This Row],[Team B]]="","",IF(ResultsTeams[[#This Row],[Match-A]]=ResultsTeams[[#This Row],[Match-B]],ResultsTeams[[#This Row],[Team A]],"")),""),"")</f>
        <v/>
      </c>
      <c r="W612" s="265" t="str">
        <f>IF(ResultsTeams[[#This Row],[Score_OK]],IF(ResultsTeams[[#This Row],[StageCpy]]="Groups",ResultsTeams[[#This Row],[Category]]&amp;"-"&amp;IF(ResultsTeams[[#This Row],[Team B]]="","",IF(ResultsTeams[[#This Row],[Match-A]]=ResultsTeams[[#This Row],[Match-B]],ResultsTeams[[#This Row],[Team B]],"")),""),"")</f>
        <v/>
      </c>
      <c r="X6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2" s="264" t="str">
        <f>IF(ResultsTeams[[#This Row],[Category]]="","",VLOOKUP(ResultsTeams[[#This Row],[Stage]],$R$1:$T$8,MATCH(ResultsTeams[[#This Row],[Category]],$S$1:$T$1,0)+1,FALSE))</f>
        <v/>
      </c>
      <c r="AC6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2" s="264" t="str">
        <f>IF(ResultsTeams[[#This Row],[Type]]="G",ResultsTeams[[#This Row],[Stage]],AD611)</f>
        <v>Last 16</v>
      </c>
      <c r="AE612" s="395" t="str">
        <f>IF(ResultsTeams[[#This Row],[Type]]="G",INDEX(TeamsList[Club Name],MATCH(ResultsTeams[[#This Row],[Team A]],TeamsList[Team Name],0)),AE611)</f>
        <v>SC Charleroi</v>
      </c>
      <c r="AF612" s="395" t="str">
        <f>IF(ResultsTeams[[#This Row],[Type]]="G",INDEX(TeamsList[Club Name],MATCH(ResultsTeams[[#This Row],[Team B]],TeamsList[Team Name],0)),AF611)</f>
        <v>F.lli Bari Reggio Emilia</v>
      </c>
      <c r="AG612" s="265"/>
    </row>
    <row r="613" spans="1:33" ht="12" thickBot="1" x14ac:dyDescent="0.25">
      <c r="A613" s="83"/>
      <c r="B613" s="83"/>
      <c r="C613" s="83"/>
      <c r="D613" s="83"/>
      <c r="E613" s="268" t="s">
        <v>12244</v>
      </c>
      <c r="F613" s="262"/>
      <c r="G613" s="262"/>
      <c r="H613" s="324"/>
      <c r="I613" s="324"/>
      <c r="J613" s="263"/>
      <c r="K613" s="365"/>
      <c r="L613" s="365"/>
      <c r="M613" s="84"/>
      <c r="N613" s="265" t="b">
        <f>NOT(ISERROR(ResultsTeams[[#This Row],[Goal-A]]+ResultsTeams[[#This Row],[Goal-B]]))</f>
        <v>0</v>
      </c>
      <c r="O613" s="265" t="str">
        <f>IF(ResultsTeams[[#This Row],[Type]]="G",SUM(O614:O617),IF(LEFT(ResultsTeams[[#This Row],[Type]],1)="P",IF(ResultsTeams[[#This Row],[Goal-A]]&gt;ResultsTeams[[#This Row],[Goal-B]],1,0),""))</f>
        <v/>
      </c>
      <c r="P613" s="265" t="str">
        <f>IF(ResultsTeams[[#This Row],[Type]]="G",SUM(P614:P617),IF(LEFT(ResultsTeams[[#This Row],[Type]],1)="P",IF(ResultsTeams[[#This Row],[Goal-A]]&lt;ResultsTeams[[#This Row],[Goal-B]],1,0),""))</f>
        <v/>
      </c>
      <c r="Q613" s="265" t="str">
        <f>IF(ResultsTeams[[#This Row],[Type]]="G",SUM(Q614:Q617),IF(LEFT(ResultsTeams[[#This Row],[Type]],1)="P",VALUE(ResultsTeams[[#This Row],[Score-A]]),""))</f>
        <v/>
      </c>
      <c r="R613" s="265" t="str">
        <f>IF(ResultsTeams[[#This Row],[Type]]="G",SUM(R614:R617),IF(LEFT(ResultsTeams[[#This Row],[Type]],1)="P",VALUE(ResultsTeams[[#This Row],[Score-B]]),""))</f>
        <v/>
      </c>
      <c r="S613" s="265" t="str">
        <f ca="1">IF(AND(ResultsTeams[[#This Row],[Category]]&lt;&gt;"",ResultsTeams[[#This Row],[Team A]]&lt;&gt;""),COUNTIF(INDIRECT("TeamsList[Club Name]"),ResultsTeams[[#This Row],[Team A]]),"")</f>
        <v/>
      </c>
      <c r="T613" s="265" t="str">
        <f ca="1">IF(AND(ResultsTeams[[#This Row],[Category]]&lt;&gt;"",ResultsTeams[[#This Row],[Team B]]&lt;&gt;""),COUNTIF(INDIRECT("TeamsList[Club Name]"),ResultsTeams[[#This Row],[Team B]]),"")</f>
        <v/>
      </c>
      <c r="U6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3" s="265" t="str">
        <f>IF(ResultsTeams[[#This Row],[Score_OK]],IF(ResultsTeams[[#This Row],[StageCpy]]="Groups",ResultsTeams[[#This Row],[Category]]&amp;"-"&amp;IF(ResultsTeams[[#This Row],[Team B]]="","",IF(ResultsTeams[[#This Row],[Match-A]]=ResultsTeams[[#This Row],[Match-B]],ResultsTeams[[#This Row],[Team A]],"")),""),"")</f>
        <v/>
      </c>
      <c r="W613" s="265" t="str">
        <f>IF(ResultsTeams[[#This Row],[Score_OK]],IF(ResultsTeams[[#This Row],[StageCpy]]="Groups",ResultsTeams[[#This Row],[Category]]&amp;"-"&amp;IF(ResultsTeams[[#This Row],[Team B]]="","",IF(ResultsTeams[[#This Row],[Match-A]]=ResultsTeams[[#This Row],[Match-B]],ResultsTeams[[#This Row],[Team B]],"")),""),"")</f>
        <v/>
      </c>
      <c r="X6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3" s="264" t="str">
        <f>IF(ResultsTeams[[#This Row],[Category]]="","",VLOOKUP(ResultsTeams[[#This Row],[Stage]],$R$1:$T$8,MATCH(ResultsTeams[[#This Row],[Category]],$S$1:$T$1,0)+1,FALSE))</f>
        <v/>
      </c>
      <c r="AC6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3" s="264" t="str">
        <f>IF(ResultsTeams[[#This Row],[Type]]="G",ResultsTeams[[#This Row],[Stage]],AD612)</f>
        <v>Last 16</v>
      </c>
      <c r="AE613" s="395" t="str">
        <f>IF(ResultsTeams[[#This Row],[Type]]="G",INDEX(TeamsList[Club Name],MATCH(ResultsTeams[[#This Row],[Team A]],TeamsList[Team Name],0)),AE612)</f>
        <v>SC Charleroi</v>
      </c>
      <c r="AF613" s="395" t="str">
        <f>IF(ResultsTeams[[#This Row],[Type]]="G",INDEX(TeamsList[Club Name],MATCH(ResultsTeams[[#This Row],[Team B]],TeamsList[Team Name],0)),AF612)</f>
        <v>F.lli Bari Reggio Emilia</v>
      </c>
      <c r="AG613" s="265"/>
    </row>
    <row r="614" spans="1:33" ht="12" thickBot="1" x14ac:dyDescent="0.25">
      <c r="A614" s="261" t="s">
        <v>12263</v>
      </c>
      <c r="B614" s="270" t="s">
        <v>12219</v>
      </c>
      <c r="C614" s="506"/>
      <c r="D614" s="270"/>
      <c r="E614" s="272" t="s">
        <v>12228</v>
      </c>
      <c r="F614" s="273" t="s">
        <v>251</v>
      </c>
      <c r="G614" s="273" t="s">
        <v>7516</v>
      </c>
      <c r="H614" s="275">
        <v>3</v>
      </c>
      <c r="I614" s="275">
        <v>0</v>
      </c>
      <c r="J614" s="275"/>
      <c r="K614" s="366"/>
      <c r="L614" s="366"/>
      <c r="M614" s="274"/>
      <c r="N614" s="265" t="b">
        <f>NOT(ISERROR(ResultsTeams[[#This Row],[Goal-A]]+ResultsTeams[[#This Row],[Goal-B]]))</f>
        <v>1</v>
      </c>
      <c r="O614" s="265">
        <f>IF(ResultsTeams[[#This Row],[Type]]="G",SUM(O615:O618),IF(LEFT(ResultsTeams[[#This Row],[Type]],1)="P",IF(ResultsTeams[[#This Row],[Goal-A]]&gt;ResultsTeams[[#This Row],[Goal-B]],1,0),""))</f>
        <v>3</v>
      </c>
      <c r="P614" s="265">
        <f>IF(ResultsTeams[[#This Row],[Type]]="G",SUM(P615:P618),IF(LEFT(ResultsTeams[[#This Row],[Type]],1)="P",IF(ResultsTeams[[#This Row],[Goal-A]]&lt;ResultsTeams[[#This Row],[Goal-B]],1,0),""))</f>
        <v>0</v>
      </c>
      <c r="Q614" s="265">
        <f>IF(ResultsTeams[[#This Row],[Type]]="G",SUM(Q615:Q618),IF(LEFT(ResultsTeams[[#This Row],[Type]],1)="P",VALUE(ResultsTeams[[#This Row],[Score-A]]),""))</f>
        <v>12</v>
      </c>
      <c r="R614" s="265">
        <f>IF(ResultsTeams[[#This Row],[Type]]="G",SUM(R615:R618),IF(LEFT(ResultsTeams[[#This Row],[Type]],1)="P",VALUE(ResultsTeams[[#This Row],[Score-B]]),""))</f>
        <v>6</v>
      </c>
      <c r="S614" s="265">
        <f ca="1">IF(AND(ResultsTeams[[#This Row],[Category]]&lt;&gt;"",ResultsTeams[[#This Row],[Team A]]&lt;&gt;""),COUNTIF(INDIRECT("TeamsList[Club Name]"),ResultsTeams[[#This Row],[Team A]]),"")</f>
        <v>1</v>
      </c>
      <c r="T614" s="265">
        <f ca="1">IF(AND(ResultsTeams[[#This Row],[Category]]&lt;&gt;"",ResultsTeams[[#This Row],[Team B]]&lt;&gt;""),COUNTIF(INDIRECT("TeamsList[Club Name]"),ResultsTeams[[#This Row],[Team B]]),"")</f>
        <v>1</v>
      </c>
      <c r="U6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4" s="265" t="str">
        <f>IF(ResultsTeams[[#This Row],[Score_OK]],IF(ResultsTeams[[#This Row],[StageCpy]]="Groups",ResultsTeams[[#This Row],[Category]]&amp;"-"&amp;IF(ResultsTeams[[#This Row],[Team B]]="","",IF(ResultsTeams[[#This Row],[Match-A]]=ResultsTeams[[#This Row],[Match-B]],ResultsTeams[[#This Row],[Team A]],"")),""),"")</f>
        <v/>
      </c>
      <c r="W614" s="265" t="str">
        <f>IF(ResultsTeams[[#This Row],[Score_OK]],IF(ResultsTeams[[#This Row],[StageCpy]]="Groups",ResultsTeams[[#This Row],[Category]]&amp;"-"&amp;IF(ResultsTeams[[#This Row],[Team B]]="","",IF(ResultsTeams[[#This Row],[Match-A]]=ResultsTeams[[#This Row],[Match-B]],ResultsTeams[[#This Row],[Team B]],"")),""),"")</f>
        <v/>
      </c>
      <c r="X6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CONSOLATION-Cardiff Bluebirds TFC</v>
      </c>
      <c r="Z614"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14"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14" s="264" t="e">
        <f>IF(ResultsTeams[[#This Row],[Category]]="","",VLOOKUP(ResultsTeams[[#This Row],[Stage]],$R$1:$T$8,MATCH(ResultsTeams[[#This Row],[Category]],$S$1:$T$1,0)+1,FALSE))</f>
        <v>#N/A</v>
      </c>
      <c r="AC614"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14" s="264" t="str">
        <f>IF(ResultsTeams[[#This Row],[Type]]="G",ResultsTeams[[#This Row],[Stage]],AD613)</f>
        <v>Last 16</v>
      </c>
      <c r="AE614" s="395" t="str">
        <f>IF(ResultsTeams[[#This Row],[Type]]="G",INDEX(TeamsList[Club Name],MATCH(ResultsTeams[[#This Row],[Team A]],TeamsList[Team Name],0)),AE613)</f>
        <v>MVV Rijnmond</v>
      </c>
      <c r="AF614" s="395" t="str">
        <f>IF(ResultsTeams[[#This Row],[Type]]="G",INDEX(TeamsList[Club Name],MATCH(ResultsTeams[[#This Row],[Team B]],TeamsList[Team Name],0)),AF613)</f>
        <v>Cardiff Bluebirds TFC</v>
      </c>
      <c r="AG614" s="265"/>
    </row>
    <row r="615" spans="1:33" x14ac:dyDescent="0.2">
      <c r="A615" s="60"/>
      <c r="B615" s="280"/>
      <c r="C615" s="60"/>
      <c r="D615" s="60"/>
      <c r="E615" s="240" t="s">
        <v>12231</v>
      </c>
      <c r="F615" s="244" t="s">
        <v>11923</v>
      </c>
      <c r="G615" s="244" t="s">
        <v>10875</v>
      </c>
      <c r="H615" s="253">
        <v>2</v>
      </c>
      <c r="I615" s="253">
        <v>1</v>
      </c>
      <c r="J615" s="253"/>
      <c r="K615" s="362"/>
      <c r="L615" s="362"/>
      <c r="M615" s="245"/>
      <c r="N615" s="265" t="b">
        <f>NOT(ISERROR(ResultsTeams[[#This Row],[Goal-A]]+ResultsTeams[[#This Row],[Goal-B]]))</f>
        <v>1</v>
      </c>
      <c r="O615" s="265">
        <f>IF(ResultsTeams[[#This Row],[Type]]="G",SUM(O616:O619),IF(LEFT(ResultsTeams[[#This Row],[Type]],1)="P",IF(ResultsTeams[[#This Row],[Goal-A]]&gt;ResultsTeams[[#This Row],[Goal-B]],1,0),""))</f>
        <v>1</v>
      </c>
      <c r="P615" s="265">
        <f>IF(ResultsTeams[[#This Row],[Type]]="G",SUM(P616:P619),IF(LEFT(ResultsTeams[[#This Row],[Type]],1)="P",IF(ResultsTeams[[#This Row],[Goal-A]]&lt;ResultsTeams[[#This Row],[Goal-B]],1,0),""))</f>
        <v>0</v>
      </c>
      <c r="Q615" s="265">
        <f>IF(ResultsTeams[[#This Row],[Type]]="G",SUM(Q616:Q619),IF(LEFT(ResultsTeams[[#This Row],[Type]],1)="P",VALUE(ResultsTeams[[#This Row],[Score-A]]),""))</f>
        <v>2</v>
      </c>
      <c r="R615" s="265">
        <f>IF(ResultsTeams[[#This Row],[Type]]="G",SUM(R616:R619),IF(LEFT(ResultsTeams[[#This Row],[Type]],1)="P",VALUE(ResultsTeams[[#This Row],[Score-B]]),""))</f>
        <v>1</v>
      </c>
      <c r="S615" s="265" t="str">
        <f ca="1">IF(AND(ResultsTeams[[#This Row],[Category]]&lt;&gt;"",ResultsTeams[[#This Row],[Team A]]&lt;&gt;""),COUNTIF(INDIRECT("TeamsList[Club Name]"),ResultsTeams[[#This Row],[Team A]]),"")</f>
        <v/>
      </c>
      <c r="T615" s="265" t="str">
        <f ca="1">IF(AND(ResultsTeams[[#This Row],[Category]]&lt;&gt;"",ResultsTeams[[#This Row],[Team B]]&lt;&gt;""),COUNTIF(INDIRECT("TeamsList[Club Name]"),ResultsTeams[[#This Row],[Team B]]),"")</f>
        <v/>
      </c>
      <c r="U6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5" s="265" t="str">
        <f>IF(ResultsTeams[[#This Row],[Score_OK]],IF(ResultsTeams[[#This Row],[StageCpy]]="Groups",ResultsTeams[[#This Row],[Category]]&amp;"-"&amp;IF(ResultsTeams[[#This Row],[Team B]]="","",IF(ResultsTeams[[#This Row],[Match-A]]=ResultsTeams[[#This Row],[Match-B]],ResultsTeams[[#This Row],[Team A]],"")),""),"")</f>
        <v/>
      </c>
      <c r="W615" s="265" t="str">
        <f>IF(ResultsTeams[[#This Row],[Score_OK]],IF(ResultsTeams[[#This Row],[StageCpy]]="Groups",ResultsTeams[[#This Row],[Category]]&amp;"-"&amp;IF(ResultsTeams[[#This Row],[Team B]]="","",IF(ResultsTeams[[#This Row],[Match-A]]=ResultsTeams[[#This Row],[Match-B]],ResultsTeams[[#This Row],[Team B]],"")),""),"")</f>
        <v/>
      </c>
      <c r="X6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5" s="264" t="str">
        <f>IF(ResultsTeams[[#This Row],[Category]]="","",VLOOKUP(ResultsTeams[[#This Row],[Stage]],$R$1:$T$8,MATCH(ResultsTeams[[#This Row],[Category]],$S$1:$T$1,0)+1,FALSE))</f>
        <v/>
      </c>
      <c r="AC6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5" s="264" t="str">
        <f>IF(ResultsTeams[[#This Row],[Type]]="G",ResultsTeams[[#This Row],[Stage]],AD614)</f>
        <v>Last 16</v>
      </c>
      <c r="AE615" s="395" t="str">
        <f>IF(ResultsTeams[[#This Row],[Type]]="G",INDEX(TeamsList[Club Name],MATCH(ResultsTeams[[#This Row],[Team A]],TeamsList[Team Name],0)),AE614)</f>
        <v>MVV Rijnmond</v>
      </c>
      <c r="AF615" s="395" t="str">
        <f>IF(ResultsTeams[[#This Row],[Type]]="G",INDEX(TeamsList[Club Name],MATCH(ResultsTeams[[#This Row],[Team B]],TeamsList[Team Name],0)),AF614)</f>
        <v>Cardiff Bluebirds TFC</v>
      </c>
      <c r="AG615" s="265"/>
    </row>
    <row r="616" spans="1:33" x14ac:dyDescent="0.2">
      <c r="A616" s="62"/>
      <c r="B616" s="280"/>
      <c r="C616" s="62"/>
      <c r="D616" s="62"/>
      <c r="E616" s="241" t="s">
        <v>12234</v>
      </c>
      <c r="F616" s="246" t="s">
        <v>10462</v>
      </c>
      <c r="G616" s="246" t="s">
        <v>10886</v>
      </c>
      <c r="H616" s="254">
        <v>2</v>
      </c>
      <c r="I616" s="254">
        <v>0</v>
      </c>
      <c r="J616" s="254"/>
      <c r="K616" s="363"/>
      <c r="L616" s="363"/>
      <c r="M616" s="247"/>
      <c r="N616" s="265" t="b">
        <f>NOT(ISERROR(ResultsTeams[[#This Row],[Goal-A]]+ResultsTeams[[#This Row],[Goal-B]]))</f>
        <v>1</v>
      </c>
      <c r="O616" s="265">
        <f>IF(ResultsTeams[[#This Row],[Type]]="G",SUM(O617:O620),IF(LEFT(ResultsTeams[[#This Row],[Type]],1)="P",IF(ResultsTeams[[#This Row],[Goal-A]]&gt;ResultsTeams[[#This Row],[Goal-B]],1,0),""))</f>
        <v>1</v>
      </c>
      <c r="P616" s="265">
        <f>IF(ResultsTeams[[#This Row],[Type]]="G",SUM(P617:P620),IF(LEFT(ResultsTeams[[#This Row],[Type]],1)="P",IF(ResultsTeams[[#This Row],[Goal-A]]&lt;ResultsTeams[[#This Row],[Goal-B]],1,0),""))</f>
        <v>0</v>
      </c>
      <c r="Q616" s="265">
        <f>IF(ResultsTeams[[#This Row],[Type]]="G",SUM(Q617:Q620),IF(LEFT(ResultsTeams[[#This Row],[Type]],1)="P",VALUE(ResultsTeams[[#This Row],[Score-A]]),""))</f>
        <v>2</v>
      </c>
      <c r="R616" s="265">
        <f>IF(ResultsTeams[[#This Row],[Type]]="G",SUM(R617:R620),IF(LEFT(ResultsTeams[[#This Row],[Type]],1)="P",VALUE(ResultsTeams[[#This Row],[Score-B]]),""))</f>
        <v>0</v>
      </c>
      <c r="S616" s="265" t="str">
        <f ca="1">IF(AND(ResultsTeams[[#This Row],[Category]]&lt;&gt;"",ResultsTeams[[#This Row],[Team A]]&lt;&gt;""),COUNTIF(INDIRECT("TeamsList[Club Name]"),ResultsTeams[[#This Row],[Team A]]),"")</f>
        <v/>
      </c>
      <c r="T616" s="265" t="str">
        <f ca="1">IF(AND(ResultsTeams[[#This Row],[Category]]&lt;&gt;"",ResultsTeams[[#This Row],[Team B]]&lt;&gt;""),COUNTIF(INDIRECT("TeamsList[Club Name]"),ResultsTeams[[#This Row],[Team B]]),"")</f>
        <v/>
      </c>
      <c r="U6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6" s="265" t="str">
        <f>IF(ResultsTeams[[#This Row],[Score_OK]],IF(ResultsTeams[[#This Row],[StageCpy]]="Groups",ResultsTeams[[#This Row],[Category]]&amp;"-"&amp;IF(ResultsTeams[[#This Row],[Team B]]="","",IF(ResultsTeams[[#This Row],[Match-A]]=ResultsTeams[[#This Row],[Match-B]],ResultsTeams[[#This Row],[Team A]],"")),""),"")</f>
        <v/>
      </c>
      <c r="W616" s="265" t="str">
        <f>IF(ResultsTeams[[#This Row],[Score_OK]],IF(ResultsTeams[[#This Row],[StageCpy]]="Groups",ResultsTeams[[#This Row],[Category]]&amp;"-"&amp;IF(ResultsTeams[[#This Row],[Team B]]="","",IF(ResultsTeams[[#This Row],[Match-A]]=ResultsTeams[[#This Row],[Match-B]],ResultsTeams[[#This Row],[Team B]],"")),""),"")</f>
        <v/>
      </c>
      <c r="X6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6" s="264" t="str">
        <f>IF(ResultsTeams[[#This Row],[Category]]="","",VLOOKUP(ResultsTeams[[#This Row],[Stage]],$R$1:$T$8,MATCH(ResultsTeams[[#This Row],[Category]],$S$1:$T$1,0)+1,FALSE))</f>
        <v/>
      </c>
      <c r="AC6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6" s="264" t="str">
        <f>IF(ResultsTeams[[#This Row],[Type]]="G",ResultsTeams[[#This Row],[Stage]],AD615)</f>
        <v>Last 16</v>
      </c>
      <c r="AE616" s="395" t="str">
        <f>IF(ResultsTeams[[#This Row],[Type]]="G",INDEX(TeamsList[Club Name],MATCH(ResultsTeams[[#This Row],[Team A]],TeamsList[Team Name],0)),AE615)</f>
        <v>MVV Rijnmond</v>
      </c>
      <c r="AF616" s="395" t="str">
        <f>IF(ResultsTeams[[#This Row],[Type]]="G",INDEX(TeamsList[Club Name],MATCH(ResultsTeams[[#This Row],[Team B]],TeamsList[Team Name],0)),AF615)</f>
        <v>Cardiff Bluebirds TFC</v>
      </c>
      <c r="AG616" s="265"/>
    </row>
    <row r="617" spans="1:33" x14ac:dyDescent="0.2">
      <c r="A617" s="62"/>
      <c r="B617" s="280"/>
      <c r="C617" s="62"/>
      <c r="D617" s="62"/>
      <c r="E617" s="241" t="s">
        <v>12237</v>
      </c>
      <c r="F617" s="246" t="s">
        <v>11916</v>
      </c>
      <c r="G617" s="246" t="s">
        <v>10881</v>
      </c>
      <c r="H617" s="254">
        <v>5</v>
      </c>
      <c r="I617" s="254">
        <v>2</v>
      </c>
      <c r="J617" s="254"/>
      <c r="K617" s="363"/>
      <c r="L617" s="363"/>
      <c r="M617" s="247"/>
      <c r="N617" s="265" t="b">
        <f>NOT(ISERROR(ResultsTeams[[#This Row],[Goal-A]]+ResultsTeams[[#This Row],[Goal-B]]))</f>
        <v>1</v>
      </c>
      <c r="O617" s="265">
        <f>IF(ResultsTeams[[#This Row],[Type]]="G",SUM(O618:O621),IF(LEFT(ResultsTeams[[#This Row],[Type]],1)="P",IF(ResultsTeams[[#This Row],[Goal-A]]&gt;ResultsTeams[[#This Row],[Goal-B]],1,0),""))</f>
        <v>1</v>
      </c>
      <c r="P617" s="265">
        <f>IF(ResultsTeams[[#This Row],[Type]]="G",SUM(P618:P621),IF(LEFT(ResultsTeams[[#This Row],[Type]],1)="P",IF(ResultsTeams[[#This Row],[Goal-A]]&lt;ResultsTeams[[#This Row],[Goal-B]],1,0),""))</f>
        <v>0</v>
      </c>
      <c r="Q617" s="265">
        <f>IF(ResultsTeams[[#This Row],[Type]]="G",SUM(Q618:Q621),IF(LEFT(ResultsTeams[[#This Row],[Type]],1)="P",VALUE(ResultsTeams[[#This Row],[Score-A]]),""))</f>
        <v>5</v>
      </c>
      <c r="R617" s="265">
        <f>IF(ResultsTeams[[#This Row],[Type]]="G",SUM(R618:R621),IF(LEFT(ResultsTeams[[#This Row],[Type]],1)="P",VALUE(ResultsTeams[[#This Row],[Score-B]]),""))</f>
        <v>2</v>
      </c>
      <c r="S617" s="265" t="str">
        <f ca="1">IF(AND(ResultsTeams[[#This Row],[Category]]&lt;&gt;"",ResultsTeams[[#This Row],[Team A]]&lt;&gt;""),COUNTIF(INDIRECT("TeamsList[Club Name]"),ResultsTeams[[#This Row],[Team A]]),"")</f>
        <v/>
      </c>
      <c r="T617" s="265" t="str">
        <f ca="1">IF(AND(ResultsTeams[[#This Row],[Category]]&lt;&gt;"",ResultsTeams[[#This Row],[Team B]]&lt;&gt;""),COUNTIF(INDIRECT("TeamsList[Club Name]"),ResultsTeams[[#This Row],[Team B]]),"")</f>
        <v/>
      </c>
      <c r="U6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7" s="265" t="str">
        <f>IF(ResultsTeams[[#This Row],[Score_OK]],IF(ResultsTeams[[#This Row],[StageCpy]]="Groups",ResultsTeams[[#This Row],[Category]]&amp;"-"&amp;IF(ResultsTeams[[#This Row],[Team B]]="","",IF(ResultsTeams[[#This Row],[Match-A]]=ResultsTeams[[#This Row],[Match-B]],ResultsTeams[[#This Row],[Team A]],"")),""),"")</f>
        <v/>
      </c>
      <c r="W617" s="265" t="str">
        <f>IF(ResultsTeams[[#This Row],[Score_OK]],IF(ResultsTeams[[#This Row],[StageCpy]]="Groups",ResultsTeams[[#This Row],[Category]]&amp;"-"&amp;IF(ResultsTeams[[#This Row],[Team B]]="","",IF(ResultsTeams[[#This Row],[Match-A]]=ResultsTeams[[#This Row],[Match-B]],ResultsTeams[[#This Row],[Team B]],"")),""),"")</f>
        <v/>
      </c>
      <c r="X6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7" s="264" t="str">
        <f>IF(ResultsTeams[[#This Row],[Category]]="","",VLOOKUP(ResultsTeams[[#This Row],[Stage]],$R$1:$T$8,MATCH(ResultsTeams[[#This Row],[Category]],$S$1:$T$1,0)+1,FALSE))</f>
        <v/>
      </c>
      <c r="AC6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7" s="264" t="str">
        <f>IF(ResultsTeams[[#This Row],[Type]]="G",ResultsTeams[[#This Row],[Stage]],AD616)</f>
        <v>Last 16</v>
      </c>
      <c r="AE617" s="395" t="str">
        <f>IF(ResultsTeams[[#This Row],[Type]]="G",INDEX(TeamsList[Club Name],MATCH(ResultsTeams[[#This Row],[Team A]],TeamsList[Team Name],0)),AE616)</f>
        <v>MVV Rijnmond</v>
      </c>
      <c r="AF617" s="395" t="str">
        <f>IF(ResultsTeams[[#This Row],[Type]]="G",INDEX(TeamsList[Club Name],MATCH(ResultsTeams[[#This Row],[Team B]],TeamsList[Team Name],0)),AF616)</f>
        <v>Cardiff Bluebirds TFC</v>
      </c>
      <c r="AG617" s="265"/>
    </row>
    <row r="618" spans="1:33" x14ac:dyDescent="0.2">
      <c r="A618" s="62"/>
      <c r="B618" s="280"/>
      <c r="C618" s="62"/>
      <c r="D618" s="62"/>
      <c r="E618" s="241" t="s">
        <v>12240</v>
      </c>
      <c r="F618" s="246" t="s">
        <v>11920</v>
      </c>
      <c r="G618" s="246" t="s">
        <v>14564</v>
      </c>
      <c r="H618" s="254">
        <v>3</v>
      </c>
      <c r="I618" s="254">
        <v>3</v>
      </c>
      <c r="J618" s="254"/>
      <c r="K618" s="363"/>
      <c r="L618" s="363"/>
      <c r="M618" s="247"/>
      <c r="N618" s="265" t="b">
        <f>NOT(ISERROR(ResultsTeams[[#This Row],[Goal-A]]+ResultsTeams[[#This Row],[Goal-B]]))</f>
        <v>1</v>
      </c>
      <c r="O618" s="265">
        <f>IF(ResultsTeams[[#This Row],[Type]]="G",SUM(O619:O622),IF(LEFT(ResultsTeams[[#This Row],[Type]],1)="P",IF(ResultsTeams[[#This Row],[Goal-A]]&gt;ResultsTeams[[#This Row],[Goal-B]],1,0),""))</f>
        <v>0</v>
      </c>
      <c r="P618" s="265">
        <f>IF(ResultsTeams[[#This Row],[Type]]="G",SUM(P619:P622),IF(LEFT(ResultsTeams[[#This Row],[Type]],1)="P",IF(ResultsTeams[[#This Row],[Goal-A]]&lt;ResultsTeams[[#This Row],[Goal-B]],1,0),""))</f>
        <v>0</v>
      </c>
      <c r="Q618" s="265">
        <f>IF(ResultsTeams[[#This Row],[Type]]="G",SUM(Q619:Q622),IF(LEFT(ResultsTeams[[#This Row],[Type]],1)="P",VALUE(ResultsTeams[[#This Row],[Score-A]]),""))</f>
        <v>3</v>
      </c>
      <c r="R618" s="265">
        <f>IF(ResultsTeams[[#This Row],[Type]]="G",SUM(R619:R622),IF(LEFT(ResultsTeams[[#This Row],[Type]],1)="P",VALUE(ResultsTeams[[#This Row],[Score-B]]),""))</f>
        <v>3</v>
      </c>
      <c r="S618" s="265" t="str">
        <f ca="1">IF(AND(ResultsTeams[[#This Row],[Category]]&lt;&gt;"",ResultsTeams[[#This Row],[Team A]]&lt;&gt;""),COUNTIF(INDIRECT("TeamsList[Club Name]"),ResultsTeams[[#This Row],[Team A]]),"")</f>
        <v/>
      </c>
      <c r="T618" s="265" t="str">
        <f ca="1">IF(AND(ResultsTeams[[#This Row],[Category]]&lt;&gt;"",ResultsTeams[[#This Row],[Team B]]&lt;&gt;""),COUNTIF(INDIRECT("TeamsList[Club Name]"),ResultsTeams[[#This Row],[Team B]]),"")</f>
        <v/>
      </c>
      <c r="U6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8" s="265" t="str">
        <f>IF(ResultsTeams[[#This Row],[Score_OK]],IF(ResultsTeams[[#This Row],[StageCpy]]="Groups",ResultsTeams[[#This Row],[Category]]&amp;"-"&amp;IF(ResultsTeams[[#This Row],[Team B]]="","",IF(ResultsTeams[[#This Row],[Match-A]]=ResultsTeams[[#This Row],[Match-B]],ResultsTeams[[#This Row],[Team A]],"")),""),"")</f>
        <v/>
      </c>
      <c r="W618" s="265" t="str">
        <f>IF(ResultsTeams[[#This Row],[Score_OK]],IF(ResultsTeams[[#This Row],[StageCpy]]="Groups",ResultsTeams[[#This Row],[Category]]&amp;"-"&amp;IF(ResultsTeams[[#This Row],[Team B]]="","",IF(ResultsTeams[[#This Row],[Match-A]]=ResultsTeams[[#This Row],[Match-B]],ResultsTeams[[#This Row],[Team B]],"")),""),"")</f>
        <v/>
      </c>
      <c r="X6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8" s="264" t="str">
        <f>IF(ResultsTeams[[#This Row],[Category]]="","",VLOOKUP(ResultsTeams[[#This Row],[Stage]],$R$1:$T$8,MATCH(ResultsTeams[[#This Row],[Category]],$S$1:$T$1,0)+1,FALSE))</f>
        <v/>
      </c>
      <c r="AC6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8" s="264" t="str">
        <f>IF(ResultsTeams[[#This Row],[Type]]="G",ResultsTeams[[#This Row],[Stage]],AD617)</f>
        <v>Last 16</v>
      </c>
      <c r="AE618" s="395" t="str">
        <f>IF(ResultsTeams[[#This Row],[Type]]="G",INDEX(TeamsList[Club Name],MATCH(ResultsTeams[[#This Row],[Team A]],TeamsList[Team Name],0)),AE617)</f>
        <v>MVV Rijnmond</v>
      </c>
      <c r="AF618" s="395" t="str">
        <f>IF(ResultsTeams[[#This Row],[Type]]="G",INDEX(TeamsList[Club Name],MATCH(ResultsTeams[[#This Row],[Team B]],TeamsList[Team Name],0)),AF617)</f>
        <v>Cardiff Bluebirds TFC</v>
      </c>
      <c r="AG618" s="265"/>
    </row>
    <row r="619" spans="1:33" x14ac:dyDescent="0.2">
      <c r="A619" s="62"/>
      <c r="B619" s="62"/>
      <c r="C619" s="62"/>
      <c r="D619" s="62"/>
      <c r="E619" s="241" t="s">
        <v>12243</v>
      </c>
      <c r="F619" s="247"/>
      <c r="G619" s="247"/>
      <c r="H619" s="254"/>
      <c r="I619" s="254"/>
      <c r="J619" s="260"/>
      <c r="K619" s="364"/>
      <c r="L619" s="364"/>
      <c r="M619" s="247"/>
      <c r="N619" s="265" t="b">
        <f>NOT(ISERROR(ResultsTeams[[#This Row],[Goal-A]]+ResultsTeams[[#This Row],[Goal-B]]))</f>
        <v>0</v>
      </c>
      <c r="O619" s="265" t="str">
        <f>IF(ResultsTeams[[#This Row],[Type]]="G",SUM(O620:O623),IF(LEFT(ResultsTeams[[#This Row],[Type]],1)="P",IF(ResultsTeams[[#This Row],[Goal-A]]&gt;ResultsTeams[[#This Row],[Goal-B]],1,0),""))</f>
        <v/>
      </c>
      <c r="P619" s="265" t="str">
        <f>IF(ResultsTeams[[#This Row],[Type]]="G",SUM(P620:P623),IF(LEFT(ResultsTeams[[#This Row],[Type]],1)="P",IF(ResultsTeams[[#This Row],[Goal-A]]&lt;ResultsTeams[[#This Row],[Goal-B]],1,0),""))</f>
        <v/>
      </c>
      <c r="Q619" s="265" t="str">
        <f>IF(ResultsTeams[[#This Row],[Type]]="G",SUM(Q620:Q623),IF(LEFT(ResultsTeams[[#This Row],[Type]],1)="P",VALUE(ResultsTeams[[#This Row],[Score-A]]),""))</f>
        <v/>
      </c>
      <c r="R619" s="265" t="str">
        <f>IF(ResultsTeams[[#This Row],[Type]]="G",SUM(R620:R623),IF(LEFT(ResultsTeams[[#This Row],[Type]],1)="P",VALUE(ResultsTeams[[#This Row],[Score-B]]),""))</f>
        <v/>
      </c>
      <c r="S619" s="265" t="str">
        <f ca="1">IF(AND(ResultsTeams[[#This Row],[Category]]&lt;&gt;"",ResultsTeams[[#This Row],[Team A]]&lt;&gt;""),COUNTIF(INDIRECT("TeamsList[Club Name]"),ResultsTeams[[#This Row],[Team A]]),"")</f>
        <v/>
      </c>
      <c r="T619" s="265" t="str">
        <f ca="1">IF(AND(ResultsTeams[[#This Row],[Category]]&lt;&gt;"",ResultsTeams[[#This Row],[Team B]]&lt;&gt;""),COUNTIF(INDIRECT("TeamsList[Club Name]"),ResultsTeams[[#This Row],[Team B]]),"")</f>
        <v/>
      </c>
      <c r="U6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9" s="265" t="str">
        <f>IF(ResultsTeams[[#This Row],[Score_OK]],IF(ResultsTeams[[#This Row],[StageCpy]]="Groups",ResultsTeams[[#This Row],[Category]]&amp;"-"&amp;IF(ResultsTeams[[#This Row],[Team B]]="","",IF(ResultsTeams[[#This Row],[Match-A]]=ResultsTeams[[#This Row],[Match-B]],ResultsTeams[[#This Row],[Team A]],"")),""),"")</f>
        <v/>
      </c>
      <c r="W619" s="265" t="str">
        <f>IF(ResultsTeams[[#This Row],[Score_OK]],IF(ResultsTeams[[#This Row],[StageCpy]]="Groups",ResultsTeams[[#This Row],[Category]]&amp;"-"&amp;IF(ResultsTeams[[#This Row],[Team B]]="","",IF(ResultsTeams[[#This Row],[Match-A]]=ResultsTeams[[#This Row],[Match-B]],ResultsTeams[[#This Row],[Team B]],"")),""),"")</f>
        <v/>
      </c>
      <c r="X6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9" s="264" t="str">
        <f>IF(ResultsTeams[[#This Row],[Category]]="","",VLOOKUP(ResultsTeams[[#This Row],[Stage]],$R$1:$T$8,MATCH(ResultsTeams[[#This Row],[Category]],$S$1:$T$1,0)+1,FALSE))</f>
        <v/>
      </c>
      <c r="AC6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9" s="264" t="str">
        <f>IF(ResultsTeams[[#This Row],[Type]]="G",ResultsTeams[[#This Row],[Stage]],AD618)</f>
        <v>Last 16</v>
      </c>
      <c r="AE619" s="395" t="str">
        <f>IF(ResultsTeams[[#This Row],[Type]]="G",INDEX(TeamsList[Club Name],MATCH(ResultsTeams[[#This Row],[Team A]],TeamsList[Team Name],0)),AE618)</f>
        <v>MVV Rijnmond</v>
      </c>
      <c r="AF619" s="395" t="str">
        <f>IF(ResultsTeams[[#This Row],[Type]]="G",INDEX(TeamsList[Club Name],MATCH(ResultsTeams[[#This Row],[Team B]],TeamsList[Team Name],0)),AF618)</f>
        <v>Cardiff Bluebirds TFC</v>
      </c>
      <c r="AG619" s="265"/>
    </row>
    <row r="620" spans="1:33" ht="12" thickBot="1" x14ac:dyDescent="0.25">
      <c r="A620" s="83"/>
      <c r="B620" s="83"/>
      <c r="C620" s="83"/>
      <c r="D620" s="83"/>
      <c r="E620" s="268" t="s">
        <v>12244</v>
      </c>
      <c r="F620" s="262"/>
      <c r="G620" s="262"/>
      <c r="H620" s="324"/>
      <c r="I620" s="324"/>
      <c r="J620" s="263"/>
      <c r="K620" s="365"/>
      <c r="L620" s="365"/>
      <c r="M620" s="262"/>
      <c r="N620" s="265" t="b">
        <f>NOT(ISERROR(ResultsTeams[[#This Row],[Goal-A]]+ResultsTeams[[#This Row],[Goal-B]]))</f>
        <v>0</v>
      </c>
      <c r="O620" s="265" t="str">
        <f>IF(ResultsTeams[[#This Row],[Type]]="G",SUM(O621:O624),IF(LEFT(ResultsTeams[[#This Row],[Type]],1)="P",IF(ResultsTeams[[#This Row],[Goal-A]]&gt;ResultsTeams[[#This Row],[Goal-B]],1,0),""))</f>
        <v/>
      </c>
      <c r="P620" s="265" t="str">
        <f>IF(ResultsTeams[[#This Row],[Type]]="G",SUM(P621:P624),IF(LEFT(ResultsTeams[[#This Row],[Type]],1)="P",IF(ResultsTeams[[#This Row],[Goal-A]]&lt;ResultsTeams[[#This Row],[Goal-B]],1,0),""))</f>
        <v/>
      </c>
      <c r="Q620" s="265" t="str">
        <f>IF(ResultsTeams[[#This Row],[Type]]="G",SUM(Q621:Q624),IF(LEFT(ResultsTeams[[#This Row],[Type]],1)="P",VALUE(ResultsTeams[[#This Row],[Score-A]]),""))</f>
        <v/>
      </c>
      <c r="R620" s="265" t="str">
        <f>IF(ResultsTeams[[#This Row],[Type]]="G",SUM(R621:R624),IF(LEFT(ResultsTeams[[#This Row],[Type]],1)="P",VALUE(ResultsTeams[[#This Row],[Score-B]]),""))</f>
        <v/>
      </c>
      <c r="S620" s="265" t="str">
        <f ca="1">IF(AND(ResultsTeams[[#This Row],[Category]]&lt;&gt;"",ResultsTeams[[#This Row],[Team A]]&lt;&gt;""),COUNTIF(INDIRECT("TeamsList[Club Name]"),ResultsTeams[[#This Row],[Team A]]),"")</f>
        <v/>
      </c>
      <c r="T620" s="265" t="str">
        <f ca="1">IF(AND(ResultsTeams[[#This Row],[Category]]&lt;&gt;"",ResultsTeams[[#This Row],[Team B]]&lt;&gt;""),COUNTIF(INDIRECT("TeamsList[Club Name]"),ResultsTeams[[#This Row],[Team B]]),"")</f>
        <v/>
      </c>
      <c r="U6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0" s="265" t="str">
        <f>IF(ResultsTeams[[#This Row],[Score_OK]],IF(ResultsTeams[[#This Row],[StageCpy]]="Groups",ResultsTeams[[#This Row],[Category]]&amp;"-"&amp;IF(ResultsTeams[[#This Row],[Team B]]="","",IF(ResultsTeams[[#This Row],[Match-A]]=ResultsTeams[[#This Row],[Match-B]],ResultsTeams[[#This Row],[Team A]],"")),""),"")</f>
        <v/>
      </c>
      <c r="W620" s="265" t="str">
        <f>IF(ResultsTeams[[#This Row],[Score_OK]],IF(ResultsTeams[[#This Row],[StageCpy]]="Groups",ResultsTeams[[#This Row],[Category]]&amp;"-"&amp;IF(ResultsTeams[[#This Row],[Team B]]="","",IF(ResultsTeams[[#This Row],[Match-A]]=ResultsTeams[[#This Row],[Match-B]],ResultsTeams[[#This Row],[Team B]],"")),""),"")</f>
        <v/>
      </c>
      <c r="X6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0" s="264" t="str">
        <f>IF(ResultsTeams[[#This Row],[Category]]="","",VLOOKUP(ResultsTeams[[#This Row],[Stage]],$R$1:$T$8,MATCH(ResultsTeams[[#This Row],[Category]],$S$1:$T$1,0)+1,FALSE))</f>
        <v/>
      </c>
      <c r="AC6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0" s="264" t="str">
        <f>IF(ResultsTeams[[#This Row],[Type]]="G",ResultsTeams[[#This Row],[Stage]],AD619)</f>
        <v>Last 16</v>
      </c>
      <c r="AE620" s="395" t="str">
        <f>IF(ResultsTeams[[#This Row],[Type]]="G",INDEX(TeamsList[Club Name],MATCH(ResultsTeams[[#This Row],[Team A]],TeamsList[Team Name],0)),AE619)</f>
        <v>MVV Rijnmond</v>
      </c>
      <c r="AF620" s="395" t="str">
        <f>IF(ResultsTeams[[#This Row],[Type]]="G",INDEX(TeamsList[Club Name],MATCH(ResultsTeams[[#This Row],[Team B]],TeamsList[Team Name],0)),AF619)</f>
        <v>Cardiff Bluebirds TFC</v>
      </c>
      <c r="AG620" s="265"/>
    </row>
    <row r="621" spans="1:33" ht="12" thickBot="1" x14ac:dyDescent="0.25">
      <c r="A621" s="261" t="s">
        <v>12263</v>
      </c>
      <c r="B621" s="270" t="s">
        <v>12219</v>
      </c>
      <c r="C621" s="506"/>
      <c r="D621" s="270"/>
      <c r="E621" s="272" t="s">
        <v>12228</v>
      </c>
      <c r="F621" s="273" t="s">
        <v>796</v>
      </c>
      <c r="G621" s="273" t="s">
        <v>326</v>
      </c>
      <c r="H621" s="275">
        <v>1</v>
      </c>
      <c r="I621" s="275">
        <v>2</v>
      </c>
      <c r="J621" s="275"/>
      <c r="K621" s="366"/>
      <c r="L621" s="366"/>
      <c r="M621" s="274"/>
      <c r="N621" s="265" t="b">
        <f>NOT(ISERROR(ResultsTeams[[#This Row],[Goal-A]]+ResultsTeams[[#This Row],[Goal-B]]))</f>
        <v>1</v>
      </c>
      <c r="O621" s="265">
        <f>IF(ResultsTeams[[#This Row],[Type]]="G",SUM(O622:O625),IF(LEFT(ResultsTeams[[#This Row],[Type]],1)="P",IF(ResultsTeams[[#This Row],[Goal-A]]&gt;ResultsTeams[[#This Row],[Goal-B]],1,0),""))</f>
        <v>1</v>
      </c>
      <c r="P621" s="265">
        <f>IF(ResultsTeams[[#This Row],[Type]]="G",SUM(P622:P625),IF(LEFT(ResultsTeams[[#This Row],[Type]],1)="P",IF(ResultsTeams[[#This Row],[Goal-A]]&lt;ResultsTeams[[#This Row],[Goal-B]],1,0),""))</f>
        <v>2</v>
      </c>
      <c r="Q621" s="265">
        <f>IF(ResultsTeams[[#This Row],[Type]]="G",SUM(Q622:Q625),IF(LEFT(ResultsTeams[[#This Row],[Type]],1)="P",VALUE(ResultsTeams[[#This Row],[Score-A]]),""))</f>
        <v>3</v>
      </c>
      <c r="R621" s="265">
        <f>IF(ResultsTeams[[#This Row],[Type]]="G",SUM(R622:R625),IF(LEFT(ResultsTeams[[#This Row],[Type]],1)="P",VALUE(ResultsTeams[[#This Row],[Score-B]]),""))</f>
        <v>4</v>
      </c>
      <c r="S621" s="265">
        <f ca="1">IF(AND(ResultsTeams[[#This Row],[Category]]&lt;&gt;"",ResultsTeams[[#This Row],[Team A]]&lt;&gt;""),COUNTIF(INDIRECT("TeamsList[Club Name]"),ResultsTeams[[#This Row],[Team A]]),"")</f>
        <v>1</v>
      </c>
      <c r="T621" s="265">
        <f ca="1">IF(AND(ResultsTeams[[#This Row],[Category]]&lt;&gt;"",ResultsTeams[[#This Row],[Team B]]&lt;&gt;""),COUNTIF(INDIRECT("TeamsList[Club Name]"),ResultsTeams[[#This Row],[Team B]]),"")</f>
        <v>1</v>
      </c>
      <c r="U6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1" s="265" t="str">
        <f>IF(ResultsTeams[[#This Row],[Score_OK]],IF(ResultsTeams[[#This Row],[StageCpy]]="Groups",ResultsTeams[[#This Row],[Category]]&amp;"-"&amp;IF(ResultsTeams[[#This Row],[Team B]]="","",IF(ResultsTeams[[#This Row],[Match-A]]=ResultsTeams[[#This Row],[Match-B]],ResultsTeams[[#This Row],[Team A]],"")),""),"")</f>
        <v/>
      </c>
      <c r="W621" s="265" t="str">
        <f>IF(ResultsTeams[[#This Row],[Score_OK]],IF(ResultsTeams[[#This Row],[StageCpy]]="Groups",ResultsTeams[[#This Row],[Category]]&amp;"-"&amp;IF(ResultsTeams[[#This Row],[Team B]]="","",IF(ResultsTeams[[#This Row],[Match-A]]=ResultsTeams[[#This Row],[Match-B]],ResultsTeams[[#This Row],[Team B]],"")),""),"")</f>
        <v/>
      </c>
      <c r="X6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CONSOLATION-Valletta Lions TFC</v>
      </c>
      <c r="Z621"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21"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21" s="264" t="e">
        <f>IF(ResultsTeams[[#This Row],[Category]]="","",VLOOKUP(ResultsTeams[[#This Row],[Stage]],$R$1:$T$8,MATCH(ResultsTeams[[#This Row],[Category]],$S$1:$T$1,0)+1,FALSE))</f>
        <v>#N/A</v>
      </c>
      <c r="AC621"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21" s="264" t="str">
        <f>IF(ResultsTeams[[#This Row],[Type]]="G",ResultsTeams[[#This Row],[Stage]],AD620)</f>
        <v>Last 16</v>
      </c>
      <c r="AE621" s="395" t="str">
        <f>IF(ResultsTeams[[#This Row],[Type]]="G",INDEX(TeamsList[Club Name],MATCH(ResultsTeams[[#This Row],[Team A]],TeamsList[Team Name],0)),AE620)</f>
        <v>Valletta Lions TFC</v>
      </c>
      <c r="AF621" s="395" t="str">
        <f>IF(ResultsTeams[[#This Row],[Type]]="G",INDEX(TeamsList[Club Name],MATCH(ResultsTeams[[#This Row],[Team B]],TeamsList[Team Name],0)),AF620)</f>
        <v>SC Flanders</v>
      </c>
      <c r="AG621" s="265"/>
    </row>
    <row r="622" spans="1:33" x14ac:dyDescent="0.2">
      <c r="A622" s="60"/>
      <c r="B622" s="280"/>
      <c r="C622" s="60"/>
      <c r="D622" s="60"/>
      <c r="E622" s="240" t="s">
        <v>12231</v>
      </c>
      <c r="F622" s="244" t="s">
        <v>10448</v>
      </c>
      <c r="G622" s="244" t="s">
        <v>8163</v>
      </c>
      <c r="H622" s="253">
        <v>0</v>
      </c>
      <c r="I622" s="253">
        <v>2</v>
      </c>
      <c r="J622" s="253"/>
      <c r="K622" s="362"/>
      <c r="L622" s="362"/>
      <c r="M622" s="245"/>
      <c r="N622" s="265" t="b">
        <f>NOT(ISERROR(ResultsTeams[[#This Row],[Goal-A]]+ResultsTeams[[#This Row],[Goal-B]]))</f>
        <v>1</v>
      </c>
      <c r="O622" s="265">
        <f>IF(ResultsTeams[[#This Row],[Type]]="G",SUM(O623:O626),IF(LEFT(ResultsTeams[[#This Row],[Type]],1)="P",IF(ResultsTeams[[#This Row],[Goal-A]]&gt;ResultsTeams[[#This Row],[Goal-B]],1,0),""))</f>
        <v>0</v>
      </c>
      <c r="P622" s="265">
        <f>IF(ResultsTeams[[#This Row],[Type]]="G",SUM(P623:P626),IF(LEFT(ResultsTeams[[#This Row],[Type]],1)="P",IF(ResultsTeams[[#This Row],[Goal-A]]&lt;ResultsTeams[[#This Row],[Goal-B]],1,0),""))</f>
        <v>1</v>
      </c>
      <c r="Q622" s="265">
        <f>IF(ResultsTeams[[#This Row],[Type]]="G",SUM(Q623:Q626),IF(LEFT(ResultsTeams[[#This Row],[Type]],1)="P",VALUE(ResultsTeams[[#This Row],[Score-A]]),""))</f>
        <v>0</v>
      </c>
      <c r="R622" s="265">
        <f>IF(ResultsTeams[[#This Row],[Type]]="G",SUM(R623:R626),IF(LEFT(ResultsTeams[[#This Row],[Type]],1)="P",VALUE(ResultsTeams[[#This Row],[Score-B]]),""))</f>
        <v>2</v>
      </c>
      <c r="S622" s="265" t="str">
        <f ca="1">IF(AND(ResultsTeams[[#This Row],[Category]]&lt;&gt;"",ResultsTeams[[#This Row],[Team A]]&lt;&gt;""),COUNTIF(INDIRECT("TeamsList[Club Name]"),ResultsTeams[[#This Row],[Team A]]),"")</f>
        <v/>
      </c>
      <c r="T622" s="265" t="str">
        <f ca="1">IF(AND(ResultsTeams[[#This Row],[Category]]&lt;&gt;"",ResultsTeams[[#This Row],[Team B]]&lt;&gt;""),COUNTIF(INDIRECT("TeamsList[Club Name]"),ResultsTeams[[#This Row],[Team B]]),"")</f>
        <v/>
      </c>
      <c r="U6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2" s="265" t="str">
        <f>IF(ResultsTeams[[#This Row],[Score_OK]],IF(ResultsTeams[[#This Row],[StageCpy]]="Groups",ResultsTeams[[#This Row],[Category]]&amp;"-"&amp;IF(ResultsTeams[[#This Row],[Team B]]="","",IF(ResultsTeams[[#This Row],[Match-A]]=ResultsTeams[[#This Row],[Match-B]],ResultsTeams[[#This Row],[Team A]],"")),""),"")</f>
        <v/>
      </c>
      <c r="W622" s="265" t="str">
        <f>IF(ResultsTeams[[#This Row],[Score_OK]],IF(ResultsTeams[[#This Row],[StageCpy]]="Groups",ResultsTeams[[#This Row],[Category]]&amp;"-"&amp;IF(ResultsTeams[[#This Row],[Team B]]="","",IF(ResultsTeams[[#This Row],[Match-A]]=ResultsTeams[[#This Row],[Match-B]],ResultsTeams[[#This Row],[Team B]],"")),""),"")</f>
        <v/>
      </c>
      <c r="X6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2" s="264" t="str">
        <f>IF(ResultsTeams[[#This Row],[Category]]="","",VLOOKUP(ResultsTeams[[#This Row],[Stage]],$R$1:$T$8,MATCH(ResultsTeams[[#This Row],[Category]],$S$1:$T$1,0)+1,FALSE))</f>
        <v/>
      </c>
      <c r="AC6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2" s="264" t="str">
        <f>IF(ResultsTeams[[#This Row],[Type]]="G",ResultsTeams[[#This Row],[Stage]],AD621)</f>
        <v>Last 16</v>
      </c>
      <c r="AE622" s="395" t="str">
        <f>IF(ResultsTeams[[#This Row],[Type]]="G",INDEX(TeamsList[Club Name],MATCH(ResultsTeams[[#This Row],[Team A]],TeamsList[Team Name],0)),AE621)</f>
        <v>Valletta Lions TFC</v>
      </c>
      <c r="AF622" s="395" t="str">
        <f>IF(ResultsTeams[[#This Row],[Type]]="G",INDEX(TeamsList[Club Name],MATCH(ResultsTeams[[#This Row],[Team B]],TeamsList[Team Name],0)),AF621)</f>
        <v>SC Flanders</v>
      </c>
      <c r="AG622" s="265"/>
    </row>
    <row r="623" spans="1:33" x14ac:dyDescent="0.2">
      <c r="A623" s="62"/>
      <c r="B623" s="280"/>
      <c r="C623" s="62"/>
      <c r="D623" s="62"/>
      <c r="E623" s="241" t="s">
        <v>12234</v>
      </c>
      <c r="F623" s="246" t="s">
        <v>10441</v>
      </c>
      <c r="G623" s="246" t="s">
        <v>8174</v>
      </c>
      <c r="H623" s="254">
        <v>2</v>
      </c>
      <c r="I623" s="254">
        <v>0</v>
      </c>
      <c r="J623" s="254"/>
      <c r="K623" s="363"/>
      <c r="L623" s="363"/>
      <c r="M623" s="247"/>
      <c r="N623" s="265" t="b">
        <f>NOT(ISERROR(ResultsTeams[[#This Row],[Goal-A]]+ResultsTeams[[#This Row],[Goal-B]]))</f>
        <v>1</v>
      </c>
      <c r="O623" s="265">
        <f>IF(ResultsTeams[[#This Row],[Type]]="G",SUM(O624:O627),IF(LEFT(ResultsTeams[[#This Row],[Type]],1)="P",IF(ResultsTeams[[#This Row],[Goal-A]]&gt;ResultsTeams[[#This Row],[Goal-B]],1,0),""))</f>
        <v>1</v>
      </c>
      <c r="P623" s="265">
        <f>IF(ResultsTeams[[#This Row],[Type]]="G",SUM(P624:P627),IF(LEFT(ResultsTeams[[#This Row],[Type]],1)="P",IF(ResultsTeams[[#This Row],[Goal-A]]&lt;ResultsTeams[[#This Row],[Goal-B]],1,0),""))</f>
        <v>0</v>
      </c>
      <c r="Q623" s="265">
        <f>IF(ResultsTeams[[#This Row],[Type]]="G",SUM(Q624:Q627),IF(LEFT(ResultsTeams[[#This Row],[Type]],1)="P",VALUE(ResultsTeams[[#This Row],[Score-A]]),""))</f>
        <v>2</v>
      </c>
      <c r="R623" s="265">
        <f>IF(ResultsTeams[[#This Row],[Type]]="G",SUM(R624:R627),IF(LEFT(ResultsTeams[[#This Row],[Type]],1)="P",VALUE(ResultsTeams[[#This Row],[Score-B]]),""))</f>
        <v>0</v>
      </c>
      <c r="S623" s="265" t="str">
        <f ca="1">IF(AND(ResultsTeams[[#This Row],[Category]]&lt;&gt;"",ResultsTeams[[#This Row],[Team A]]&lt;&gt;""),COUNTIF(INDIRECT("TeamsList[Club Name]"),ResultsTeams[[#This Row],[Team A]]),"")</f>
        <v/>
      </c>
      <c r="T623" s="265" t="str">
        <f ca="1">IF(AND(ResultsTeams[[#This Row],[Category]]&lt;&gt;"",ResultsTeams[[#This Row],[Team B]]&lt;&gt;""),COUNTIF(INDIRECT("TeamsList[Club Name]"),ResultsTeams[[#This Row],[Team B]]),"")</f>
        <v/>
      </c>
      <c r="U6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3" s="265" t="str">
        <f>IF(ResultsTeams[[#This Row],[Score_OK]],IF(ResultsTeams[[#This Row],[StageCpy]]="Groups",ResultsTeams[[#This Row],[Category]]&amp;"-"&amp;IF(ResultsTeams[[#This Row],[Team B]]="","",IF(ResultsTeams[[#This Row],[Match-A]]=ResultsTeams[[#This Row],[Match-B]],ResultsTeams[[#This Row],[Team A]],"")),""),"")</f>
        <v/>
      </c>
      <c r="W623" s="265" t="str">
        <f>IF(ResultsTeams[[#This Row],[Score_OK]],IF(ResultsTeams[[#This Row],[StageCpy]]="Groups",ResultsTeams[[#This Row],[Category]]&amp;"-"&amp;IF(ResultsTeams[[#This Row],[Team B]]="","",IF(ResultsTeams[[#This Row],[Match-A]]=ResultsTeams[[#This Row],[Match-B]],ResultsTeams[[#This Row],[Team B]],"")),""),"")</f>
        <v/>
      </c>
      <c r="X6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3" s="264" t="str">
        <f>IF(ResultsTeams[[#This Row],[Category]]="","",VLOOKUP(ResultsTeams[[#This Row],[Stage]],$R$1:$T$8,MATCH(ResultsTeams[[#This Row],[Category]],$S$1:$T$1,0)+1,FALSE))</f>
        <v/>
      </c>
      <c r="AC6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3" s="264" t="str">
        <f>IF(ResultsTeams[[#This Row],[Type]]="G",ResultsTeams[[#This Row],[Stage]],AD622)</f>
        <v>Last 16</v>
      </c>
      <c r="AE623" s="395" t="str">
        <f>IF(ResultsTeams[[#This Row],[Type]]="G",INDEX(TeamsList[Club Name],MATCH(ResultsTeams[[#This Row],[Team A]],TeamsList[Team Name],0)),AE622)</f>
        <v>Valletta Lions TFC</v>
      </c>
      <c r="AF623" s="395" t="str">
        <f>IF(ResultsTeams[[#This Row],[Type]]="G",INDEX(TeamsList[Club Name],MATCH(ResultsTeams[[#This Row],[Team B]],TeamsList[Team Name],0)),AF622)</f>
        <v>SC Flanders</v>
      </c>
      <c r="AG623" s="265"/>
    </row>
    <row r="624" spans="1:33" x14ac:dyDescent="0.2">
      <c r="A624" s="62"/>
      <c r="B624" s="280"/>
      <c r="C624" s="62"/>
      <c r="D624" s="62"/>
      <c r="E624" s="241" t="s">
        <v>12237</v>
      </c>
      <c r="F624" s="246" t="s">
        <v>11444</v>
      </c>
      <c r="G624" s="246" t="s">
        <v>8113</v>
      </c>
      <c r="H624" s="254">
        <v>0</v>
      </c>
      <c r="I624" s="254">
        <v>1</v>
      </c>
      <c r="J624" s="254"/>
      <c r="K624" s="363"/>
      <c r="L624" s="363"/>
      <c r="M624" s="247"/>
      <c r="N624" s="265" t="b">
        <f>NOT(ISERROR(ResultsTeams[[#This Row],[Goal-A]]+ResultsTeams[[#This Row],[Goal-B]]))</f>
        <v>1</v>
      </c>
      <c r="O624" s="265">
        <f>IF(ResultsTeams[[#This Row],[Type]]="G",SUM(O625:O628),IF(LEFT(ResultsTeams[[#This Row],[Type]],1)="P",IF(ResultsTeams[[#This Row],[Goal-A]]&gt;ResultsTeams[[#This Row],[Goal-B]],1,0),""))</f>
        <v>0</v>
      </c>
      <c r="P624" s="265">
        <f>IF(ResultsTeams[[#This Row],[Type]]="G",SUM(P625:P628),IF(LEFT(ResultsTeams[[#This Row],[Type]],1)="P",IF(ResultsTeams[[#This Row],[Goal-A]]&lt;ResultsTeams[[#This Row],[Goal-B]],1,0),""))</f>
        <v>1</v>
      </c>
      <c r="Q624" s="265">
        <f>IF(ResultsTeams[[#This Row],[Type]]="G",SUM(Q625:Q628),IF(LEFT(ResultsTeams[[#This Row],[Type]],1)="P",VALUE(ResultsTeams[[#This Row],[Score-A]]),""))</f>
        <v>0</v>
      </c>
      <c r="R624" s="265">
        <f>IF(ResultsTeams[[#This Row],[Type]]="G",SUM(R625:R628),IF(LEFT(ResultsTeams[[#This Row],[Type]],1)="P",VALUE(ResultsTeams[[#This Row],[Score-B]]),""))</f>
        <v>1</v>
      </c>
      <c r="S624" s="265" t="str">
        <f ca="1">IF(AND(ResultsTeams[[#This Row],[Category]]&lt;&gt;"",ResultsTeams[[#This Row],[Team A]]&lt;&gt;""),COUNTIF(INDIRECT("TeamsList[Club Name]"),ResultsTeams[[#This Row],[Team A]]),"")</f>
        <v/>
      </c>
      <c r="T624" s="265" t="str">
        <f ca="1">IF(AND(ResultsTeams[[#This Row],[Category]]&lt;&gt;"",ResultsTeams[[#This Row],[Team B]]&lt;&gt;""),COUNTIF(INDIRECT("TeamsList[Club Name]"),ResultsTeams[[#This Row],[Team B]]),"")</f>
        <v/>
      </c>
      <c r="U6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4" s="265" t="str">
        <f>IF(ResultsTeams[[#This Row],[Score_OK]],IF(ResultsTeams[[#This Row],[StageCpy]]="Groups",ResultsTeams[[#This Row],[Category]]&amp;"-"&amp;IF(ResultsTeams[[#This Row],[Team B]]="","",IF(ResultsTeams[[#This Row],[Match-A]]=ResultsTeams[[#This Row],[Match-B]],ResultsTeams[[#This Row],[Team A]],"")),""),"")</f>
        <v/>
      </c>
      <c r="W624" s="265" t="str">
        <f>IF(ResultsTeams[[#This Row],[Score_OK]],IF(ResultsTeams[[#This Row],[StageCpy]]="Groups",ResultsTeams[[#This Row],[Category]]&amp;"-"&amp;IF(ResultsTeams[[#This Row],[Team B]]="","",IF(ResultsTeams[[#This Row],[Match-A]]=ResultsTeams[[#This Row],[Match-B]],ResultsTeams[[#This Row],[Team B]],"")),""),"")</f>
        <v/>
      </c>
      <c r="X6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4" s="264" t="str">
        <f>IF(ResultsTeams[[#This Row],[Category]]="","",VLOOKUP(ResultsTeams[[#This Row],[Stage]],$R$1:$T$8,MATCH(ResultsTeams[[#This Row],[Category]],$S$1:$T$1,0)+1,FALSE))</f>
        <v/>
      </c>
      <c r="AC6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4" s="264" t="str">
        <f>IF(ResultsTeams[[#This Row],[Type]]="G",ResultsTeams[[#This Row],[Stage]],AD623)</f>
        <v>Last 16</v>
      </c>
      <c r="AE624" s="395" t="str">
        <f>IF(ResultsTeams[[#This Row],[Type]]="G",INDEX(TeamsList[Club Name],MATCH(ResultsTeams[[#This Row],[Team A]],TeamsList[Team Name],0)),AE623)</f>
        <v>Valletta Lions TFC</v>
      </c>
      <c r="AF624" s="395" t="str">
        <f>IF(ResultsTeams[[#This Row],[Type]]="G",INDEX(TeamsList[Club Name],MATCH(ResultsTeams[[#This Row],[Team B]],TeamsList[Team Name],0)),AF623)</f>
        <v>SC Flanders</v>
      </c>
      <c r="AG624" s="265"/>
    </row>
    <row r="625" spans="1:33" x14ac:dyDescent="0.2">
      <c r="A625" s="62"/>
      <c r="B625" s="280"/>
      <c r="C625" s="62"/>
      <c r="D625" s="62"/>
      <c r="E625" s="241" t="s">
        <v>12240</v>
      </c>
      <c r="F625" s="246" t="s">
        <v>11908</v>
      </c>
      <c r="G625" s="246" t="s">
        <v>10452</v>
      </c>
      <c r="H625" s="254">
        <v>1</v>
      </c>
      <c r="I625" s="254">
        <v>1</v>
      </c>
      <c r="J625" s="254"/>
      <c r="K625" s="363"/>
      <c r="L625" s="363"/>
      <c r="M625" s="247"/>
      <c r="N625" s="265" t="b">
        <f>NOT(ISERROR(ResultsTeams[[#This Row],[Goal-A]]+ResultsTeams[[#This Row],[Goal-B]]))</f>
        <v>1</v>
      </c>
      <c r="O625" s="265">
        <f>IF(ResultsTeams[[#This Row],[Type]]="G",SUM(O626:O629),IF(LEFT(ResultsTeams[[#This Row],[Type]],1)="P",IF(ResultsTeams[[#This Row],[Goal-A]]&gt;ResultsTeams[[#This Row],[Goal-B]],1,0),""))</f>
        <v>0</v>
      </c>
      <c r="P625" s="265">
        <f>IF(ResultsTeams[[#This Row],[Type]]="G",SUM(P626:P629),IF(LEFT(ResultsTeams[[#This Row],[Type]],1)="P",IF(ResultsTeams[[#This Row],[Goal-A]]&lt;ResultsTeams[[#This Row],[Goal-B]],1,0),""))</f>
        <v>0</v>
      </c>
      <c r="Q625" s="265">
        <f>IF(ResultsTeams[[#This Row],[Type]]="G",SUM(Q626:Q629),IF(LEFT(ResultsTeams[[#This Row],[Type]],1)="P",VALUE(ResultsTeams[[#This Row],[Score-A]]),""))</f>
        <v>1</v>
      </c>
      <c r="R625" s="265">
        <f>IF(ResultsTeams[[#This Row],[Type]]="G",SUM(R626:R629),IF(LEFT(ResultsTeams[[#This Row],[Type]],1)="P",VALUE(ResultsTeams[[#This Row],[Score-B]]),""))</f>
        <v>1</v>
      </c>
      <c r="S625" s="265" t="str">
        <f ca="1">IF(AND(ResultsTeams[[#This Row],[Category]]&lt;&gt;"",ResultsTeams[[#This Row],[Team A]]&lt;&gt;""),COUNTIF(INDIRECT("TeamsList[Club Name]"),ResultsTeams[[#This Row],[Team A]]),"")</f>
        <v/>
      </c>
      <c r="T625" s="265" t="str">
        <f ca="1">IF(AND(ResultsTeams[[#This Row],[Category]]&lt;&gt;"",ResultsTeams[[#This Row],[Team B]]&lt;&gt;""),COUNTIF(INDIRECT("TeamsList[Club Name]"),ResultsTeams[[#This Row],[Team B]]),"")</f>
        <v/>
      </c>
      <c r="U6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5" s="265" t="str">
        <f>IF(ResultsTeams[[#This Row],[Score_OK]],IF(ResultsTeams[[#This Row],[StageCpy]]="Groups",ResultsTeams[[#This Row],[Category]]&amp;"-"&amp;IF(ResultsTeams[[#This Row],[Team B]]="","",IF(ResultsTeams[[#This Row],[Match-A]]=ResultsTeams[[#This Row],[Match-B]],ResultsTeams[[#This Row],[Team A]],"")),""),"")</f>
        <v/>
      </c>
      <c r="W625" s="265" t="str">
        <f>IF(ResultsTeams[[#This Row],[Score_OK]],IF(ResultsTeams[[#This Row],[StageCpy]]="Groups",ResultsTeams[[#This Row],[Category]]&amp;"-"&amp;IF(ResultsTeams[[#This Row],[Team B]]="","",IF(ResultsTeams[[#This Row],[Match-A]]=ResultsTeams[[#This Row],[Match-B]],ResultsTeams[[#This Row],[Team B]],"")),""),"")</f>
        <v/>
      </c>
      <c r="X6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5" s="264" t="str">
        <f>IF(ResultsTeams[[#This Row],[Category]]="","",VLOOKUP(ResultsTeams[[#This Row],[Stage]],$R$1:$T$8,MATCH(ResultsTeams[[#This Row],[Category]],$S$1:$T$1,0)+1,FALSE))</f>
        <v/>
      </c>
      <c r="AC6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5" s="264" t="str">
        <f>IF(ResultsTeams[[#This Row],[Type]]="G",ResultsTeams[[#This Row],[Stage]],AD624)</f>
        <v>Last 16</v>
      </c>
      <c r="AE625" s="395" t="str">
        <f>IF(ResultsTeams[[#This Row],[Type]]="G",INDEX(TeamsList[Club Name],MATCH(ResultsTeams[[#This Row],[Team A]],TeamsList[Team Name],0)),AE624)</f>
        <v>Valletta Lions TFC</v>
      </c>
      <c r="AF625" s="395" t="str">
        <f>IF(ResultsTeams[[#This Row],[Type]]="G",INDEX(TeamsList[Club Name],MATCH(ResultsTeams[[#This Row],[Team B]],TeamsList[Team Name],0)),AF624)</f>
        <v>SC Flanders</v>
      </c>
      <c r="AG625" s="265"/>
    </row>
    <row r="626" spans="1:33" x14ac:dyDescent="0.2">
      <c r="A626" s="62"/>
      <c r="B626" s="62"/>
      <c r="C626" s="62"/>
      <c r="D626" s="62"/>
      <c r="E626" s="241" t="s">
        <v>12243</v>
      </c>
      <c r="F626" s="247"/>
      <c r="G626" s="247"/>
      <c r="H626" s="254"/>
      <c r="I626" s="254"/>
      <c r="J626" s="260"/>
      <c r="K626" s="364"/>
      <c r="L626" s="364"/>
      <c r="M626" s="247"/>
      <c r="N626" s="265" t="b">
        <f>NOT(ISERROR(ResultsTeams[[#This Row],[Goal-A]]+ResultsTeams[[#This Row],[Goal-B]]))</f>
        <v>0</v>
      </c>
      <c r="O626" s="265" t="str">
        <f>IF(ResultsTeams[[#This Row],[Type]]="G",SUM(O627:O630),IF(LEFT(ResultsTeams[[#This Row],[Type]],1)="P",IF(ResultsTeams[[#This Row],[Goal-A]]&gt;ResultsTeams[[#This Row],[Goal-B]],1,0),""))</f>
        <v/>
      </c>
      <c r="P626" s="265" t="str">
        <f>IF(ResultsTeams[[#This Row],[Type]]="G",SUM(P627:P630),IF(LEFT(ResultsTeams[[#This Row],[Type]],1)="P",IF(ResultsTeams[[#This Row],[Goal-A]]&lt;ResultsTeams[[#This Row],[Goal-B]],1,0),""))</f>
        <v/>
      </c>
      <c r="Q626" s="265" t="str">
        <f>IF(ResultsTeams[[#This Row],[Type]]="G",SUM(Q627:Q630),IF(LEFT(ResultsTeams[[#This Row],[Type]],1)="P",VALUE(ResultsTeams[[#This Row],[Score-A]]),""))</f>
        <v/>
      </c>
      <c r="R626" s="265" t="str">
        <f>IF(ResultsTeams[[#This Row],[Type]]="G",SUM(R627:R630),IF(LEFT(ResultsTeams[[#This Row],[Type]],1)="P",VALUE(ResultsTeams[[#This Row],[Score-B]]),""))</f>
        <v/>
      </c>
      <c r="S626" s="265" t="str">
        <f ca="1">IF(AND(ResultsTeams[[#This Row],[Category]]&lt;&gt;"",ResultsTeams[[#This Row],[Team A]]&lt;&gt;""),COUNTIF(INDIRECT("TeamsList[Club Name]"),ResultsTeams[[#This Row],[Team A]]),"")</f>
        <v/>
      </c>
      <c r="T626" s="265" t="str">
        <f ca="1">IF(AND(ResultsTeams[[#This Row],[Category]]&lt;&gt;"",ResultsTeams[[#This Row],[Team B]]&lt;&gt;""),COUNTIF(INDIRECT("TeamsList[Club Name]"),ResultsTeams[[#This Row],[Team B]]),"")</f>
        <v/>
      </c>
      <c r="U6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6" s="265" t="str">
        <f>IF(ResultsTeams[[#This Row],[Score_OK]],IF(ResultsTeams[[#This Row],[StageCpy]]="Groups",ResultsTeams[[#This Row],[Category]]&amp;"-"&amp;IF(ResultsTeams[[#This Row],[Team B]]="","",IF(ResultsTeams[[#This Row],[Match-A]]=ResultsTeams[[#This Row],[Match-B]],ResultsTeams[[#This Row],[Team A]],"")),""),"")</f>
        <v/>
      </c>
      <c r="W626" s="265" t="str">
        <f>IF(ResultsTeams[[#This Row],[Score_OK]],IF(ResultsTeams[[#This Row],[StageCpy]]="Groups",ResultsTeams[[#This Row],[Category]]&amp;"-"&amp;IF(ResultsTeams[[#This Row],[Team B]]="","",IF(ResultsTeams[[#This Row],[Match-A]]=ResultsTeams[[#This Row],[Match-B]],ResultsTeams[[#This Row],[Team B]],"")),""),"")</f>
        <v/>
      </c>
      <c r="X6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6" s="264" t="str">
        <f>IF(ResultsTeams[[#This Row],[Category]]="","",VLOOKUP(ResultsTeams[[#This Row],[Stage]],$R$1:$T$8,MATCH(ResultsTeams[[#This Row],[Category]],$S$1:$T$1,0)+1,FALSE))</f>
        <v/>
      </c>
      <c r="AC6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6" s="264" t="str">
        <f>IF(ResultsTeams[[#This Row],[Type]]="G",ResultsTeams[[#This Row],[Stage]],AD625)</f>
        <v>Last 16</v>
      </c>
      <c r="AE626" s="395" t="str">
        <f>IF(ResultsTeams[[#This Row],[Type]]="G",INDEX(TeamsList[Club Name],MATCH(ResultsTeams[[#This Row],[Team A]],TeamsList[Team Name],0)),AE625)</f>
        <v>Valletta Lions TFC</v>
      </c>
      <c r="AF626" s="395" t="str">
        <f>IF(ResultsTeams[[#This Row],[Type]]="G",INDEX(TeamsList[Club Name],MATCH(ResultsTeams[[#This Row],[Team B]],TeamsList[Team Name],0)),AF625)</f>
        <v>SC Flanders</v>
      </c>
      <c r="AG626" s="265"/>
    </row>
    <row r="627" spans="1:33" ht="12" thickBot="1" x14ac:dyDescent="0.25">
      <c r="A627" s="83"/>
      <c r="B627" s="83"/>
      <c r="C627" s="83"/>
      <c r="D627" s="83"/>
      <c r="E627" s="268" t="s">
        <v>12244</v>
      </c>
      <c r="F627" s="262"/>
      <c r="G627" s="262"/>
      <c r="H627" s="324"/>
      <c r="I627" s="324"/>
      <c r="J627" s="263"/>
      <c r="K627" s="365"/>
      <c r="L627" s="365"/>
      <c r="M627" s="262"/>
      <c r="N627" s="265" t="b">
        <f>NOT(ISERROR(ResultsTeams[[#This Row],[Goal-A]]+ResultsTeams[[#This Row],[Goal-B]]))</f>
        <v>0</v>
      </c>
      <c r="O627" s="265" t="str">
        <f>IF(ResultsTeams[[#This Row],[Type]]="G",SUM(O628:O631),IF(LEFT(ResultsTeams[[#This Row],[Type]],1)="P",IF(ResultsTeams[[#This Row],[Goal-A]]&gt;ResultsTeams[[#This Row],[Goal-B]],1,0),""))</f>
        <v/>
      </c>
      <c r="P627" s="265" t="str">
        <f>IF(ResultsTeams[[#This Row],[Type]]="G",SUM(P628:P631),IF(LEFT(ResultsTeams[[#This Row],[Type]],1)="P",IF(ResultsTeams[[#This Row],[Goal-A]]&lt;ResultsTeams[[#This Row],[Goal-B]],1,0),""))</f>
        <v/>
      </c>
      <c r="Q627" s="265" t="str">
        <f>IF(ResultsTeams[[#This Row],[Type]]="G",SUM(Q628:Q631),IF(LEFT(ResultsTeams[[#This Row],[Type]],1)="P",VALUE(ResultsTeams[[#This Row],[Score-A]]),""))</f>
        <v/>
      </c>
      <c r="R627" s="265" t="str">
        <f>IF(ResultsTeams[[#This Row],[Type]]="G",SUM(R628:R631),IF(LEFT(ResultsTeams[[#This Row],[Type]],1)="P",VALUE(ResultsTeams[[#This Row],[Score-B]]),""))</f>
        <v/>
      </c>
      <c r="S627" s="265" t="str">
        <f ca="1">IF(AND(ResultsTeams[[#This Row],[Category]]&lt;&gt;"",ResultsTeams[[#This Row],[Team A]]&lt;&gt;""),COUNTIF(INDIRECT("TeamsList[Club Name]"),ResultsTeams[[#This Row],[Team A]]),"")</f>
        <v/>
      </c>
      <c r="T627" s="265" t="str">
        <f ca="1">IF(AND(ResultsTeams[[#This Row],[Category]]&lt;&gt;"",ResultsTeams[[#This Row],[Team B]]&lt;&gt;""),COUNTIF(INDIRECT("TeamsList[Club Name]"),ResultsTeams[[#This Row],[Team B]]),"")</f>
        <v/>
      </c>
      <c r="U6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7" s="265" t="str">
        <f>IF(ResultsTeams[[#This Row],[Score_OK]],IF(ResultsTeams[[#This Row],[StageCpy]]="Groups",ResultsTeams[[#This Row],[Category]]&amp;"-"&amp;IF(ResultsTeams[[#This Row],[Team B]]="","",IF(ResultsTeams[[#This Row],[Match-A]]=ResultsTeams[[#This Row],[Match-B]],ResultsTeams[[#This Row],[Team A]],"")),""),"")</f>
        <v/>
      </c>
      <c r="W627" s="265" t="str">
        <f>IF(ResultsTeams[[#This Row],[Score_OK]],IF(ResultsTeams[[#This Row],[StageCpy]]="Groups",ResultsTeams[[#This Row],[Category]]&amp;"-"&amp;IF(ResultsTeams[[#This Row],[Team B]]="","",IF(ResultsTeams[[#This Row],[Match-A]]=ResultsTeams[[#This Row],[Match-B]],ResultsTeams[[#This Row],[Team B]],"")),""),"")</f>
        <v/>
      </c>
      <c r="X6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7" s="264" t="str">
        <f>IF(ResultsTeams[[#This Row],[Category]]="","",VLOOKUP(ResultsTeams[[#This Row],[Stage]],$R$1:$T$8,MATCH(ResultsTeams[[#This Row],[Category]],$S$1:$T$1,0)+1,FALSE))</f>
        <v/>
      </c>
      <c r="AC6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7" s="264" t="str">
        <f>IF(ResultsTeams[[#This Row],[Type]]="G",ResultsTeams[[#This Row],[Stage]],AD626)</f>
        <v>Last 16</v>
      </c>
      <c r="AE627" s="395" t="str">
        <f>IF(ResultsTeams[[#This Row],[Type]]="G",INDEX(TeamsList[Club Name],MATCH(ResultsTeams[[#This Row],[Team A]],TeamsList[Team Name],0)),AE626)</f>
        <v>Valletta Lions TFC</v>
      </c>
      <c r="AF627" s="395" t="str">
        <f>IF(ResultsTeams[[#This Row],[Type]]="G",INDEX(TeamsList[Club Name],MATCH(ResultsTeams[[#This Row],[Team B]],TeamsList[Team Name],0)),AF626)</f>
        <v>SC Flanders</v>
      </c>
      <c r="AG627" s="265"/>
    </row>
    <row r="628" spans="1:33" ht="12" thickBot="1" x14ac:dyDescent="0.25">
      <c r="A628" s="261" t="s">
        <v>12263</v>
      </c>
      <c r="B628" s="270" t="s">
        <v>12219</v>
      </c>
      <c r="C628" s="506"/>
      <c r="D628" s="270"/>
      <c r="E628" s="272" t="s">
        <v>12228</v>
      </c>
      <c r="F628" s="273" t="s">
        <v>14591</v>
      </c>
      <c r="G628" s="273" t="s">
        <v>792</v>
      </c>
      <c r="H628" s="275">
        <v>1</v>
      </c>
      <c r="I628" s="275">
        <v>3</v>
      </c>
      <c r="J628" s="275"/>
      <c r="K628" s="366"/>
      <c r="L628" s="366"/>
      <c r="M628" s="274"/>
      <c r="N628" s="265" t="b">
        <f>NOT(ISERROR(ResultsTeams[[#This Row],[Goal-A]]+ResultsTeams[[#This Row],[Goal-B]]))</f>
        <v>1</v>
      </c>
      <c r="O628" s="265">
        <f>IF(ResultsTeams[[#This Row],[Type]]="G",SUM(O629:O632),IF(LEFT(ResultsTeams[[#This Row],[Type]],1)="P",IF(ResultsTeams[[#This Row],[Goal-A]]&gt;ResultsTeams[[#This Row],[Goal-B]],1,0),""))</f>
        <v>1</v>
      </c>
      <c r="P628" s="265">
        <f>IF(ResultsTeams[[#This Row],[Type]]="G",SUM(P629:P632),IF(LEFT(ResultsTeams[[#This Row],[Type]],1)="P",IF(ResultsTeams[[#This Row],[Goal-A]]&lt;ResultsTeams[[#This Row],[Goal-B]],1,0),""))</f>
        <v>3</v>
      </c>
      <c r="Q628" s="265">
        <f>IF(ResultsTeams[[#This Row],[Type]]="G",SUM(Q629:Q632),IF(LEFT(ResultsTeams[[#This Row],[Type]],1)="P",VALUE(ResultsTeams[[#This Row],[Score-A]]),""))</f>
        <v>3</v>
      </c>
      <c r="R628" s="265">
        <f>IF(ResultsTeams[[#This Row],[Type]]="G",SUM(R629:R632),IF(LEFT(ResultsTeams[[#This Row],[Type]],1)="P",VALUE(ResultsTeams[[#This Row],[Score-B]]),""))</f>
        <v>12</v>
      </c>
      <c r="S628" s="265">
        <f ca="1">IF(AND(ResultsTeams[[#This Row],[Category]]&lt;&gt;"",ResultsTeams[[#This Row],[Team A]]&lt;&gt;""),COUNTIF(INDIRECT("TeamsList[Club Name]"),ResultsTeams[[#This Row],[Team A]]),"")</f>
        <v>0</v>
      </c>
      <c r="T628" s="265">
        <f ca="1">IF(AND(ResultsTeams[[#This Row],[Category]]&lt;&gt;"",ResultsTeams[[#This Row],[Team B]]&lt;&gt;""),COUNTIF(INDIRECT("TeamsList[Club Name]"),ResultsTeams[[#This Row],[Team B]]),"")</f>
        <v>1</v>
      </c>
      <c r="U6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8" s="265" t="str">
        <f>IF(ResultsTeams[[#This Row],[Score_OK]],IF(ResultsTeams[[#This Row],[StageCpy]]="Groups",ResultsTeams[[#This Row],[Category]]&amp;"-"&amp;IF(ResultsTeams[[#This Row],[Team B]]="","",IF(ResultsTeams[[#This Row],[Match-A]]=ResultsTeams[[#This Row],[Match-B]],ResultsTeams[[#This Row],[Team A]],"")),""),"")</f>
        <v/>
      </c>
      <c r="W628" s="265" t="str">
        <f>IF(ResultsTeams[[#This Row],[Score_OK]],IF(ResultsTeams[[#This Row],[StageCpy]]="Groups",ResultsTeams[[#This Row],[Category]]&amp;"-"&amp;IF(ResultsTeams[[#This Row],[Team B]]="","",IF(ResultsTeams[[#This Row],[Match-A]]=ResultsTeams[[#This Row],[Match-B]],ResultsTeams[[#This Row],[Team B]],"")),""),"")</f>
        <v/>
      </c>
      <c r="X6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CONSOLATION-FTC Caen 2</v>
      </c>
      <c r="Z628"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28"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28" s="264" t="e">
        <f>IF(ResultsTeams[[#This Row],[Category]]="","",VLOOKUP(ResultsTeams[[#This Row],[Stage]],$R$1:$T$8,MATCH(ResultsTeams[[#This Row],[Category]],$S$1:$T$1,0)+1,FALSE))</f>
        <v>#N/A</v>
      </c>
      <c r="AC628"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28" s="264" t="str">
        <f>IF(ResultsTeams[[#This Row],[Type]]="G",ResultsTeams[[#This Row],[Stage]],AD627)</f>
        <v>Last 16</v>
      </c>
      <c r="AE628" s="395" t="str">
        <f>IF(ResultsTeams[[#This Row],[Type]]="G",INDEX(TeamsList[Club Name],MATCH(ResultsTeams[[#This Row],[Team A]],TeamsList[Team Name],0)),AE627)</f>
        <v>FTC Caen</v>
      </c>
      <c r="AF628" s="395" t="str">
        <f>IF(ResultsTeams[[#This Row],[Type]]="G",INDEX(TeamsList[Club Name],MATCH(ResultsTeams[[#This Row],[Team B]],TeamsList[Team Name],0)),AF627)</f>
        <v>H'Attard SC</v>
      </c>
      <c r="AG628" s="265"/>
    </row>
    <row r="629" spans="1:33" x14ac:dyDescent="0.2">
      <c r="A629" s="60"/>
      <c r="B629" s="280"/>
      <c r="C629" s="60"/>
      <c r="D629" s="60"/>
      <c r="E629" s="240" t="s">
        <v>12231</v>
      </c>
      <c r="F629" s="244" t="s">
        <v>14389</v>
      </c>
      <c r="G629" s="244" t="s">
        <v>10440</v>
      </c>
      <c r="H629" s="253">
        <v>0</v>
      </c>
      <c r="I629" s="253">
        <v>2</v>
      </c>
      <c r="J629" s="253"/>
      <c r="K629" s="362"/>
      <c r="L629" s="362"/>
      <c r="M629" s="245"/>
      <c r="N629" s="265" t="b">
        <f>NOT(ISERROR(ResultsTeams[[#This Row],[Goal-A]]+ResultsTeams[[#This Row],[Goal-B]]))</f>
        <v>1</v>
      </c>
      <c r="O629" s="265">
        <f>IF(ResultsTeams[[#This Row],[Type]]="G",SUM(O630:O633),IF(LEFT(ResultsTeams[[#This Row],[Type]],1)="P",IF(ResultsTeams[[#This Row],[Goal-A]]&gt;ResultsTeams[[#This Row],[Goal-B]],1,0),""))</f>
        <v>0</v>
      </c>
      <c r="P629" s="265">
        <f>IF(ResultsTeams[[#This Row],[Type]]="G",SUM(P630:P633),IF(LEFT(ResultsTeams[[#This Row],[Type]],1)="P",IF(ResultsTeams[[#This Row],[Goal-A]]&lt;ResultsTeams[[#This Row],[Goal-B]],1,0),""))</f>
        <v>1</v>
      </c>
      <c r="Q629" s="265">
        <f>IF(ResultsTeams[[#This Row],[Type]]="G",SUM(Q630:Q633),IF(LEFT(ResultsTeams[[#This Row],[Type]],1)="P",VALUE(ResultsTeams[[#This Row],[Score-A]]),""))</f>
        <v>0</v>
      </c>
      <c r="R629" s="265">
        <f>IF(ResultsTeams[[#This Row],[Type]]="G",SUM(R630:R633),IF(LEFT(ResultsTeams[[#This Row],[Type]],1)="P",VALUE(ResultsTeams[[#This Row],[Score-B]]),""))</f>
        <v>2</v>
      </c>
      <c r="S629" s="265" t="str">
        <f ca="1">IF(AND(ResultsTeams[[#This Row],[Category]]&lt;&gt;"",ResultsTeams[[#This Row],[Team A]]&lt;&gt;""),COUNTIF(INDIRECT("TeamsList[Club Name]"),ResultsTeams[[#This Row],[Team A]]),"")</f>
        <v/>
      </c>
      <c r="T629" s="265" t="str">
        <f ca="1">IF(AND(ResultsTeams[[#This Row],[Category]]&lt;&gt;"",ResultsTeams[[#This Row],[Team B]]&lt;&gt;""),COUNTIF(INDIRECT("TeamsList[Club Name]"),ResultsTeams[[#This Row],[Team B]]),"")</f>
        <v/>
      </c>
      <c r="U6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9" s="265" t="str">
        <f>IF(ResultsTeams[[#This Row],[Score_OK]],IF(ResultsTeams[[#This Row],[StageCpy]]="Groups",ResultsTeams[[#This Row],[Category]]&amp;"-"&amp;IF(ResultsTeams[[#This Row],[Team B]]="","",IF(ResultsTeams[[#This Row],[Match-A]]=ResultsTeams[[#This Row],[Match-B]],ResultsTeams[[#This Row],[Team A]],"")),""),"")</f>
        <v/>
      </c>
      <c r="W629" s="265" t="str">
        <f>IF(ResultsTeams[[#This Row],[Score_OK]],IF(ResultsTeams[[#This Row],[StageCpy]]="Groups",ResultsTeams[[#This Row],[Category]]&amp;"-"&amp;IF(ResultsTeams[[#This Row],[Team B]]="","",IF(ResultsTeams[[#This Row],[Match-A]]=ResultsTeams[[#This Row],[Match-B]],ResultsTeams[[#This Row],[Team B]],"")),""),"")</f>
        <v/>
      </c>
      <c r="X6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9" s="264" t="str">
        <f>IF(ResultsTeams[[#This Row],[Category]]="","",VLOOKUP(ResultsTeams[[#This Row],[Stage]],$R$1:$T$8,MATCH(ResultsTeams[[#This Row],[Category]],$S$1:$T$1,0)+1,FALSE))</f>
        <v/>
      </c>
      <c r="AC6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9" s="264" t="str">
        <f>IF(ResultsTeams[[#This Row],[Type]]="G",ResultsTeams[[#This Row],[Stage]],AD628)</f>
        <v>Last 16</v>
      </c>
      <c r="AE629" s="395" t="str">
        <f>IF(ResultsTeams[[#This Row],[Type]]="G",INDEX(TeamsList[Club Name],MATCH(ResultsTeams[[#This Row],[Team A]],TeamsList[Team Name],0)),AE628)</f>
        <v>FTC Caen</v>
      </c>
      <c r="AF629" s="395" t="str">
        <f>IF(ResultsTeams[[#This Row],[Type]]="G",INDEX(TeamsList[Club Name],MATCH(ResultsTeams[[#This Row],[Team B]],TeamsList[Team Name],0)),AF628)</f>
        <v>H'Attard SC</v>
      </c>
      <c r="AG629" s="265"/>
    </row>
    <row r="630" spans="1:33" x14ac:dyDescent="0.2">
      <c r="A630" s="62"/>
      <c r="B630" s="280"/>
      <c r="C630" s="62"/>
      <c r="D630" s="62"/>
      <c r="E630" s="241" t="s">
        <v>12234</v>
      </c>
      <c r="F630" s="246" t="s">
        <v>10784</v>
      </c>
      <c r="G630" s="246" t="s">
        <v>10446</v>
      </c>
      <c r="H630" s="254">
        <v>1</v>
      </c>
      <c r="I630" s="254">
        <v>6</v>
      </c>
      <c r="J630" s="254"/>
      <c r="K630" s="363"/>
      <c r="L630" s="363"/>
      <c r="M630" s="247"/>
      <c r="N630" s="265" t="b">
        <f>NOT(ISERROR(ResultsTeams[[#This Row],[Goal-A]]+ResultsTeams[[#This Row],[Goal-B]]))</f>
        <v>1</v>
      </c>
      <c r="O630" s="265">
        <f>IF(ResultsTeams[[#This Row],[Type]]="G",SUM(O631:O634),IF(LEFT(ResultsTeams[[#This Row],[Type]],1)="P",IF(ResultsTeams[[#This Row],[Goal-A]]&gt;ResultsTeams[[#This Row],[Goal-B]],1,0),""))</f>
        <v>0</v>
      </c>
      <c r="P630" s="265">
        <f>IF(ResultsTeams[[#This Row],[Type]]="G",SUM(P631:P634),IF(LEFT(ResultsTeams[[#This Row],[Type]],1)="P",IF(ResultsTeams[[#This Row],[Goal-A]]&lt;ResultsTeams[[#This Row],[Goal-B]],1,0),""))</f>
        <v>1</v>
      </c>
      <c r="Q630" s="265">
        <f>IF(ResultsTeams[[#This Row],[Type]]="G",SUM(Q631:Q634),IF(LEFT(ResultsTeams[[#This Row],[Type]],1)="P",VALUE(ResultsTeams[[#This Row],[Score-A]]),""))</f>
        <v>1</v>
      </c>
      <c r="R630" s="265">
        <f>IF(ResultsTeams[[#This Row],[Type]]="G",SUM(R631:R634),IF(LEFT(ResultsTeams[[#This Row],[Type]],1)="P",VALUE(ResultsTeams[[#This Row],[Score-B]]),""))</f>
        <v>6</v>
      </c>
      <c r="S630" s="265" t="str">
        <f ca="1">IF(AND(ResultsTeams[[#This Row],[Category]]&lt;&gt;"",ResultsTeams[[#This Row],[Team A]]&lt;&gt;""),COUNTIF(INDIRECT("TeamsList[Club Name]"),ResultsTeams[[#This Row],[Team A]]),"")</f>
        <v/>
      </c>
      <c r="T630" s="265" t="str">
        <f ca="1">IF(AND(ResultsTeams[[#This Row],[Category]]&lt;&gt;"",ResultsTeams[[#This Row],[Team B]]&lt;&gt;""),COUNTIF(INDIRECT("TeamsList[Club Name]"),ResultsTeams[[#This Row],[Team B]]),"")</f>
        <v/>
      </c>
      <c r="U6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0" s="265" t="str">
        <f>IF(ResultsTeams[[#This Row],[Score_OK]],IF(ResultsTeams[[#This Row],[StageCpy]]="Groups",ResultsTeams[[#This Row],[Category]]&amp;"-"&amp;IF(ResultsTeams[[#This Row],[Team B]]="","",IF(ResultsTeams[[#This Row],[Match-A]]=ResultsTeams[[#This Row],[Match-B]],ResultsTeams[[#This Row],[Team A]],"")),""),"")</f>
        <v/>
      </c>
      <c r="W630" s="265" t="str">
        <f>IF(ResultsTeams[[#This Row],[Score_OK]],IF(ResultsTeams[[#This Row],[StageCpy]]="Groups",ResultsTeams[[#This Row],[Category]]&amp;"-"&amp;IF(ResultsTeams[[#This Row],[Team B]]="","",IF(ResultsTeams[[#This Row],[Match-A]]=ResultsTeams[[#This Row],[Match-B]],ResultsTeams[[#This Row],[Team B]],"")),""),"")</f>
        <v/>
      </c>
      <c r="X6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0" s="264" t="str">
        <f>IF(ResultsTeams[[#This Row],[Category]]="","",VLOOKUP(ResultsTeams[[#This Row],[Stage]],$R$1:$T$8,MATCH(ResultsTeams[[#This Row],[Category]],$S$1:$T$1,0)+1,FALSE))</f>
        <v/>
      </c>
      <c r="AC6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0" s="264" t="str">
        <f>IF(ResultsTeams[[#This Row],[Type]]="G",ResultsTeams[[#This Row],[Stage]],AD629)</f>
        <v>Last 16</v>
      </c>
      <c r="AE630" s="395" t="str">
        <f>IF(ResultsTeams[[#This Row],[Type]]="G",INDEX(TeamsList[Club Name],MATCH(ResultsTeams[[#This Row],[Team A]],TeamsList[Team Name],0)),AE629)</f>
        <v>FTC Caen</v>
      </c>
      <c r="AF630" s="395" t="str">
        <f>IF(ResultsTeams[[#This Row],[Type]]="G",INDEX(TeamsList[Club Name],MATCH(ResultsTeams[[#This Row],[Team B]],TeamsList[Team Name],0)),AF629)</f>
        <v>H'Attard SC</v>
      </c>
      <c r="AG630" s="265"/>
    </row>
    <row r="631" spans="1:33" x14ac:dyDescent="0.2">
      <c r="A631" s="62"/>
      <c r="B631" s="280"/>
      <c r="C631" s="62"/>
      <c r="D631" s="62"/>
      <c r="E631" s="241" t="s">
        <v>12237</v>
      </c>
      <c r="F631" s="246" t="s">
        <v>8708</v>
      </c>
      <c r="G631" s="246" t="s">
        <v>10447</v>
      </c>
      <c r="H631" s="254">
        <v>2</v>
      </c>
      <c r="I631" s="254">
        <v>1</v>
      </c>
      <c r="J631" s="254"/>
      <c r="K631" s="363"/>
      <c r="L631" s="363"/>
      <c r="M631" s="247"/>
      <c r="N631" s="265" t="b">
        <f>NOT(ISERROR(ResultsTeams[[#This Row],[Goal-A]]+ResultsTeams[[#This Row],[Goal-B]]))</f>
        <v>1</v>
      </c>
      <c r="O631" s="265">
        <f>IF(ResultsTeams[[#This Row],[Type]]="G",SUM(O632:O635),IF(LEFT(ResultsTeams[[#This Row],[Type]],1)="P",IF(ResultsTeams[[#This Row],[Goal-A]]&gt;ResultsTeams[[#This Row],[Goal-B]],1,0),""))</f>
        <v>1</v>
      </c>
      <c r="P631" s="265">
        <f>IF(ResultsTeams[[#This Row],[Type]]="G",SUM(P632:P635),IF(LEFT(ResultsTeams[[#This Row],[Type]],1)="P",IF(ResultsTeams[[#This Row],[Goal-A]]&lt;ResultsTeams[[#This Row],[Goal-B]],1,0),""))</f>
        <v>0</v>
      </c>
      <c r="Q631" s="265">
        <f>IF(ResultsTeams[[#This Row],[Type]]="G",SUM(Q632:Q635),IF(LEFT(ResultsTeams[[#This Row],[Type]],1)="P",VALUE(ResultsTeams[[#This Row],[Score-A]]),""))</f>
        <v>2</v>
      </c>
      <c r="R631" s="265">
        <f>IF(ResultsTeams[[#This Row],[Type]]="G",SUM(R632:R635),IF(LEFT(ResultsTeams[[#This Row],[Type]],1)="P",VALUE(ResultsTeams[[#This Row],[Score-B]]),""))</f>
        <v>1</v>
      </c>
      <c r="S631" s="265" t="str">
        <f ca="1">IF(AND(ResultsTeams[[#This Row],[Category]]&lt;&gt;"",ResultsTeams[[#This Row],[Team A]]&lt;&gt;""),COUNTIF(INDIRECT("TeamsList[Club Name]"),ResultsTeams[[#This Row],[Team A]]),"")</f>
        <v/>
      </c>
      <c r="T631" s="265" t="str">
        <f ca="1">IF(AND(ResultsTeams[[#This Row],[Category]]&lt;&gt;"",ResultsTeams[[#This Row],[Team B]]&lt;&gt;""),COUNTIF(INDIRECT("TeamsList[Club Name]"),ResultsTeams[[#This Row],[Team B]]),"")</f>
        <v/>
      </c>
      <c r="U6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1" s="265" t="str">
        <f>IF(ResultsTeams[[#This Row],[Score_OK]],IF(ResultsTeams[[#This Row],[StageCpy]]="Groups",ResultsTeams[[#This Row],[Category]]&amp;"-"&amp;IF(ResultsTeams[[#This Row],[Team B]]="","",IF(ResultsTeams[[#This Row],[Match-A]]=ResultsTeams[[#This Row],[Match-B]],ResultsTeams[[#This Row],[Team A]],"")),""),"")</f>
        <v/>
      </c>
      <c r="W631" s="265" t="str">
        <f>IF(ResultsTeams[[#This Row],[Score_OK]],IF(ResultsTeams[[#This Row],[StageCpy]]="Groups",ResultsTeams[[#This Row],[Category]]&amp;"-"&amp;IF(ResultsTeams[[#This Row],[Team B]]="","",IF(ResultsTeams[[#This Row],[Match-A]]=ResultsTeams[[#This Row],[Match-B]],ResultsTeams[[#This Row],[Team B]],"")),""),"")</f>
        <v/>
      </c>
      <c r="X6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1" s="264" t="str">
        <f>IF(ResultsTeams[[#This Row],[Category]]="","",VLOOKUP(ResultsTeams[[#This Row],[Stage]],$R$1:$T$8,MATCH(ResultsTeams[[#This Row],[Category]],$S$1:$T$1,0)+1,FALSE))</f>
        <v/>
      </c>
      <c r="AC6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1" s="264" t="str">
        <f>IF(ResultsTeams[[#This Row],[Type]]="G",ResultsTeams[[#This Row],[Stage]],AD630)</f>
        <v>Last 16</v>
      </c>
      <c r="AE631" s="395" t="str">
        <f>IF(ResultsTeams[[#This Row],[Type]]="G",INDEX(TeamsList[Club Name],MATCH(ResultsTeams[[#This Row],[Team A]],TeamsList[Team Name],0)),AE630)</f>
        <v>FTC Caen</v>
      </c>
      <c r="AF631" s="395" t="str">
        <f>IF(ResultsTeams[[#This Row],[Type]]="G",INDEX(TeamsList[Club Name],MATCH(ResultsTeams[[#This Row],[Team B]],TeamsList[Team Name],0)),AF630)</f>
        <v>H'Attard SC</v>
      </c>
      <c r="AG631" s="265"/>
    </row>
    <row r="632" spans="1:33" x14ac:dyDescent="0.2">
      <c r="A632" s="62"/>
      <c r="B632" s="280"/>
      <c r="C632" s="62"/>
      <c r="D632" s="62"/>
      <c r="E632" s="241" t="s">
        <v>12240</v>
      </c>
      <c r="F632" s="246"/>
      <c r="G632" s="246" t="s">
        <v>10449</v>
      </c>
      <c r="H632" s="254">
        <v>0</v>
      </c>
      <c r="I632" s="254">
        <v>3</v>
      </c>
      <c r="J632" s="254"/>
      <c r="K632" s="363"/>
      <c r="L632" s="363"/>
      <c r="M632" s="247"/>
      <c r="N632" s="265" t="b">
        <f>NOT(ISERROR(ResultsTeams[[#This Row],[Goal-A]]+ResultsTeams[[#This Row],[Goal-B]]))</f>
        <v>1</v>
      </c>
      <c r="O632" s="265">
        <f>IF(ResultsTeams[[#This Row],[Type]]="G",SUM(O633:O636),IF(LEFT(ResultsTeams[[#This Row],[Type]],1)="P",IF(ResultsTeams[[#This Row],[Goal-A]]&gt;ResultsTeams[[#This Row],[Goal-B]],1,0),""))</f>
        <v>0</v>
      </c>
      <c r="P632" s="265">
        <f>IF(ResultsTeams[[#This Row],[Type]]="G",SUM(P633:P636),IF(LEFT(ResultsTeams[[#This Row],[Type]],1)="P",IF(ResultsTeams[[#This Row],[Goal-A]]&lt;ResultsTeams[[#This Row],[Goal-B]],1,0),""))</f>
        <v>1</v>
      </c>
      <c r="Q632" s="265">
        <f>IF(ResultsTeams[[#This Row],[Type]]="G",SUM(Q633:Q636),IF(LEFT(ResultsTeams[[#This Row],[Type]],1)="P",VALUE(ResultsTeams[[#This Row],[Score-A]]),""))</f>
        <v>0</v>
      </c>
      <c r="R632" s="265">
        <f>IF(ResultsTeams[[#This Row],[Type]]="G",SUM(R633:R636),IF(LEFT(ResultsTeams[[#This Row],[Type]],1)="P",VALUE(ResultsTeams[[#This Row],[Score-B]]),""))</f>
        <v>3</v>
      </c>
      <c r="S632" s="265" t="str">
        <f ca="1">IF(AND(ResultsTeams[[#This Row],[Category]]&lt;&gt;"",ResultsTeams[[#This Row],[Team A]]&lt;&gt;""),COUNTIF(INDIRECT("TeamsList[Club Name]"),ResultsTeams[[#This Row],[Team A]]),"")</f>
        <v/>
      </c>
      <c r="T632" s="265" t="str">
        <f ca="1">IF(AND(ResultsTeams[[#This Row],[Category]]&lt;&gt;"",ResultsTeams[[#This Row],[Team B]]&lt;&gt;""),COUNTIF(INDIRECT("TeamsList[Club Name]"),ResultsTeams[[#This Row],[Team B]]),"")</f>
        <v/>
      </c>
      <c r="U6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2" s="265" t="str">
        <f>IF(ResultsTeams[[#This Row],[Score_OK]],IF(ResultsTeams[[#This Row],[StageCpy]]="Groups",ResultsTeams[[#This Row],[Category]]&amp;"-"&amp;IF(ResultsTeams[[#This Row],[Team B]]="","",IF(ResultsTeams[[#This Row],[Match-A]]=ResultsTeams[[#This Row],[Match-B]],ResultsTeams[[#This Row],[Team A]],"")),""),"")</f>
        <v/>
      </c>
      <c r="W632" s="265" t="str">
        <f>IF(ResultsTeams[[#This Row],[Score_OK]],IF(ResultsTeams[[#This Row],[StageCpy]]="Groups",ResultsTeams[[#This Row],[Category]]&amp;"-"&amp;IF(ResultsTeams[[#This Row],[Team B]]="","",IF(ResultsTeams[[#This Row],[Match-A]]=ResultsTeams[[#This Row],[Match-B]],ResultsTeams[[#This Row],[Team B]],"")),""),"")</f>
        <v/>
      </c>
      <c r="X6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2" s="264" t="str">
        <f>IF(ResultsTeams[[#This Row],[Category]]="","",VLOOKUP(ResultsTeams[[#This Row],[Stage]],$R$1:$T$8,MATCH(ResultsTeams[[#This Row],[Category]],$S$1:$T$1,0)+1,FALSE))</f>
        <v/>
      </c>
      <c r="AC6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2" s="264" t="str">
        <f>IF(ResultsTeams[[#This Row],[Type]]="G",ResultsTeams[[#This Row],[Stage]],AD631)</f>
        <v>Last 16</v>
      </c>
      <c r="AE632" s="395" t="str">
        <f>IF(ResultsTeams[[#This Row],[Type]]="G",INDEX(TeamsList[Club Name],MATCH(ResultsTeams[[#This Row],[Team A]],TeamsList[Team Name],0)),AE631)</f>
        <v>FTC Caen</v>
      </c>
      <c r="AF632" s="395" t="str">
        <f>IF(ResultsTeams[[#This Row],[Type]]="G",INDEX(TeamsList[Club Name],MATCH(ResultsTeams[[#This Row],[Team B]],TeamsList[Team Name],0)),AF631)</f>
        <v>H'Attard SC</v>
      </c>
      <c r="AG632" s="265"/>
    </row>
    <row r="633" spans="1:33" x14ac:dyDescent="0.2">
      <c r="A633" s="62"/>
      <c r="B633" s="62"/>
      <c r="C633" s="62"/>
      <c r="D633" s="62"/>
      <c r="E633" s="241" t="s">
        <v>12243</v>
      </c>
      <c r="F633" s="247"/>
      <c r="G633" s="247"/>
      <c r="H633" s="254"/>
      <c r="I633" s="254"/>
      <c r="J633" s="260"/>
      <c r="K633" s="364"/>
      <c r="L633" s="364"/>
      <c r="M633" s="63"/>
      <c r="N633" s="265" t="b">
        <f>NOT(ISERROR(ResultsTeams[[#This Row],[Goal-A]]+ResultsTeams[[#This Row],[Goal-B]]))</f>
        <v>0</v>
      </c>
      <c r="O633" s="265" t="str">
        <f>IF(ResultsTeams[[#This Row],[Type]]="G",SUM(O634:O637),IF(LEFT(ResultsTeams[[#This Row],[Type]],1)="P",IF(ResultsTeams[[#This Row],[Goal-A]]&gt;ResultsTeams[[#This Row],[Goal-B]],1,0),""))</f>
        <v/>
      </c>
      <c r="P633" s="265" t="str">
        <f>IF(ResultsTeams[[#This Row],[Type]]="G",SUM(P634:P637),IF(LEFT(ResultsTeams[[#This Row],[Type]],1)="P",IF(ResultsTeams[[#This Row],[Goal-A]]&lt;ResultsTeams[[#This Row],[Goal-B]],1,0),""))</f>
        <v/>
      </c>
      <c r="Q633" s="265" t="str">
        <f>IF(ResultsTeams[[#This Row],[Type]]="G",SUM(Q634:Q637),IF(LEFT(ResultsTeams[[#This Row],[Type]],1)="P",VALUE(ResultsTeams[[#This Row],[Score-A]]),""))</f>
        <v/>
      </c>
      <c r="R633" s="265" t="str">
        <f>IF(ResultsTeams[[#This Row],[Type]]="G",SUM(R634:R637),IF(LEFT(ResultsTeams[[#This Row],[Type]],1)="P",VALUE(ResultsTeams[[#This Row],[Score-B]]),""))</f>
        <v/>
      </c>
      <c r="S633" s="265" t="str">
        <f ca="1">IF(AND(ResultsTeams[[#This Row],[Category]]&lt;&gt;"",ResultsTeams[[#This Row],[Team A]]&lt;&gt;""),COUNTIF(INDIRECT("TeamsList[Club Name]"),ResultsTeams[[#This Row],[Team A]]),"")</f>
        <v/>
      </c>
      <c r="T633" s="265" t="str">
        <f ca="1">IF(AND(ResultsTeams[[#This Row],[Category]]&lt;&gt;"",ResultsTeams[[#This Row],[Team B]]&lt;&gt;""),COUNTIF(INDIRECT("TeamsList[Club Name]"),ResultsTeams[[#This Row],[Team B]]),"")</f>
        <v/>
      </c>
      <c r="U6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3" s="265" t="str">
        <f>IF(ResultsTeams[[#This Row],[Score_OK]],IF(ResultsTeams[[#This Row],[StageCpy]]="Groups",ResultsTeams[[#This Row],[Category]]&amp;"-"&amp;IF(ResultsTeams[[#This Row],[Team B]]="","",IF(ResultsTeams[[#This Row],[Match-A]]=ResultsTeams[[#This Row],[Match-B]],ResultsTeams[[#This Row],[Team A]],"")),""),"")</f>
        <v/>
      </c>
      <c r="W633" s="265" t="str">
        <f>IF(ResultsTeams[[#This Row],[Score_OK]],IF(ResultsTeams[[#This Row],[StageCpy]]="Groups",ResultsTeams[[#This Row],[Category]]&amp;"-"&amp;IF(ResultsTeams[[#This Row],[Team B]]="","",IF(ResultsTeams[[#This Row],[Match-A]]=ResultsTeams[[#This Row],[Match-B]],ResultsTeams[[#This Row],[Team B]],"")),""),"")</f>
        <v/>
      </c>
      <c r="X6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3" s="264" t="str">
        <f>IF(ResultsTeams[[#This Row],[Category]]="","",VLOOKUP(ResultsTeams[[#This Row],[Stage]],$R$1:$T$8,MATCH(ResultsTeams[[#This Row],[Category]],$S$1:$T$1,0)+1,FALSE))</f>
        <v/>
      </c>
      <c r="AC6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3" s="264" t="str">
        <f>IF(ResultsTeams[[#This Row],[Type]]="G",ResultsTeams[[#This Row],[Stage]],AD632)</f>
        <v>Last 16</v>
      </c>
      <c r="AE633" s="395" t="str">
        <f>IF(ResultsTeams[[#This Row],[Type]]="G",INDEX(TeamsList[Club Name],MATCH(ResultsTeams[[#This Row],[Team A]],TeamsList[Team Name],0)),AE632)</f>
        <v>FTC Caen</v>
      </c>
      <c r="AF633" s="395" t="str">
        <f>IF(ResultsTeams[[#This Row],[Type]]="G",INDEX(TeamsList[Club Name],MATCH(ResultsTeams[[#This Row],[Team B]],TeamsList[Team Name],0)),AF632)</f>
        <v>H'Attard SC</v>
      </c>
      <c r="AG633" s="265"/>
    </row>
    <row r="634" spans="1:33" ht="12" thickBot="1" x14ac:dyDescent="0.25">
      <c r="A634" s="83"/>
      <c r="B634" s="83"/>
      <c r="C634" s="83"/>
      <c r="D634" s="83"/>
      <c r="E634" s="268" t="s">
        <v>12244</v>
      </c>
      <c r="F634" s="262"/>
      <c r="G634" s="262"/>
      <c r="H634" s="324"/>
      <c r="I634" s="324"/>
      <c r="J634" s="263"/>
      <c r="K634" s="365"/>
      <c r="L634" s="365"/>
      <c r="M634" s="84"/>
      <c r="N634" s="265" t="b">
        <f>NOT(ISERROR(ResultsTeams[[#This Row],[Goal-A]]+ResultsTeams[[#This Row],[Goal-B]]))</f>
        <v>0</v>
      </c>
      <c r="O634" s="265" t="str">
        <f>IF(ResultsTeams[[#This Row],[Type]]="G",SUM(O635:O638),IF(LEFT(ResultsTeams[[#This Row],[Type]],1)="P",IF(ResultsTeams[[#This Row],[Goal-A]]&gt;ResultsTeams[[#This Row],[Goal-B]],1,0),""))</f>
        <v/>
      </c>
      <c r="P634" s="265" t="str">
        <f>IF(ResultsTeams[[#This Row],[Type]]="G",SUM(P635:P638),IF(LEFT(ResultsTeams[[#This Row],[Type]],1)="P",IF(ResultsTeams[[#This Row],[Goal-A]]&lt;ResultsTeams[[#This Row],[Goal-B]],1,0),""))</f>
        <v/>
      </c>
      <c r="Q634" s="265" t="str">
        <f>IF(ResultsTeams[[#This Row],[Type]]="G",SUM(Q635:Q638),IF(LEFT(ResultsTeams[[#This Row],[Type]],1)="P",VALUE(ResultsTeams[[#This Row],[Score-A]]),""))</f>
        <v/>
      </c>
      <c r="R634" s="265" t="str">
        <f>IF(ResultsTeams[[#This Row],[Type]]="G",SUM(R635:R638),IF(LEFT(ResultsTeams[[#This Row],[Type]],1)="P",VALUE(ResultsTeams[[#This Row],[Score-B]]),""))</f>
        <v/>
      </c>
      <c r="S634" s="265" t="str">
        <f ca="1">IF(AND(ResultsTeams[[#This Row],[Category]]&lt;&gt;"",ResultsTeams[[#This Row],[Team A]]&lt;&gt;""),COUNTIF(INDIRECT("TeamsList[Club Name]"),ResultsTeams[[#This Row],[Team A]]),"")</f>
        <v/>
      </c>
      <c r="T634" s="265" t="str">
        <f ca="1">IF(AND(ResultsTeams[[#This Row],[Category]]&lt;&gt;"",ResultsTeams[[#This Row],[Team B]]&lt;&gt;""),COUNTIF(INDIRECT("TeamsList[Club Name]"),ResultsTeams[[#This Row],[Team B]]),"")</f>
        <v/>
      </c>
      <c r="U6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4" s="265" t="str">
        <f>IF(ResultsTeams[[#This Row],[Score_OK]],IF(ResultsTeams[[#This Row],[StageCpy]]="Groups",ResultsTeams[[#This Row],[Category]]&amp;"-"&amp;IF(ResultsTeams[[#This Row],[Team B]]="","",IF(ResultsTeams[[#This Row],[Match-A]]=ResultsTeams[[#This Row],[Match-B]],ResultsTeams[[#This Row],[Team A]],"")),""),"")</f>
        <v/>
      </c>
      <c r="W634" s="265" t="str">
        <f>IF(ResultsTeams[[#This Row],[Score_OK]],IF(ResultsTeams[[#This Row],[StageCpy]]="Groups",ResultsTeams[[#This Row],[Category]]&amp;"-"&amp;IF(ResultsTeams[[#This Row],[Team B]]="","",IF(ResultsTeams[[#This Row],[Match-A]]=ResultsTeams[[#This Row],[Match-B]],ResultsTeams[[#This Row],[Team B]],"")),""),"")</f>
        <v/>
      </c>
      <c r="X6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4" s="264" t="str">
        <f>IF(ResultsTeams[[#This Row],[Category]]="","",VLOOKUP(ResultsTeams[[#This Row],[Stage]],$R$1:$T$8,MATCH(ResultsTeams[[#This Row],[Category]],$S$1:$T$1,0)+1,FALSE))</f>
        <v/>
      </c>
      <c r="AC6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4" s="264" t="str">
        <f>IF(ResultsTeams[[#This Row],[Type]]="G",ResultsTeams[[#This Row],[Stage]],AD633)</f>
        <v>Last 16</v>
      </c>
      <c r="AE634" s="395" t="str">
        <f>IF(ResultsTeams[[#This Row],[Type]]="G",INDEX(TeamsList[Club Name],MATCH(ResultsTeams[[#This Row],[Team A]],TeamsList[Team Name],0)),AE633)</f>
        <v>FTC Caen</v>
      </c>
      <c r="AF634" s="395" t="str">
        <f>IF(ResultsTeams[[#This Row],[Type]]="G",INDEX(TeamsList[Club Name],MATCH(ResultsTeams[[#This Row],[Team B]],TeamsList[Team Name],0)),AF633)</f>
        <v>H'Attard SC</v>
      </c>
      <c r="AG634" s="265"/>
    </row>
    <row r="635" spans="1:33" ht="12" thickBot="1" x14ac:dyDescent="0.25">
      <c r="A635" s="261" t="s">
        <v>12263</v>
      </c>
      <c r="B635" s="270" t="s">
        <v>12219</v>
      </c>
      <c r="C635" s="506"/>
      <c r="D635" s="270"/>
      <c r="E635" s="272" t="s">
        <v>12228</v>
      </c>
      <c r="F635" s="273" t="s">
        <v>14593</v>
      </c>
      <c r="G635" s="273" t="s">
        <v>78</v>
      </c>
      <c r="H635" s="275">
        <v>1</v>
      </c>
      <c r="I635" s="275">
        <v>0</v>
      </c>
      <c r="J635" s="275"/>
      <c r="K635" s="366"/>
      <c r="L635" s="366"/>
      <c r="M635" s="271"/>
      <c r="N635" s="265" t="b">
        <f>NOT(ISERROR(ResultsTeams[[#This Row],[Goal-A]]+ResultsTeams[[#This Row],[Goal-B]]))</f>
        <v>1</v>
      </c>
      <c r="O635" s="265">
        <f>IF(ResultsTeams[[#This Row],[Type]]="G",SUM(O636:O639),IF(LEFT(ResultsTeams[[#This Row],[Type]],1)="P",IF(ResultsTeams[[#This Row],[Goal-A]]&gt;ResultsTeams[[#This Row],[Goal-B]],1,0),""))</f>
        <v>1</v>
      </c>
      <c r="P635" s="265">
        <f>IF(ResultsTeams[[#This Row],[Type]]="G",SUM(P636:P639),IF(LEFT(ResultsTeams[[#This Row],[Type]],1)="P",IF(ResultsTeams[[#This Row],[Goal-A]]&lt;ResultsTeams[[#This Row],[Goal-B]],1,0),""))</f>
        <v>0</v>
      </c>
      <c r="Q635" s="265">
        <f>IF(ResultsTeams[[#This Row],[Type]]="G",SUM(Q636:Q639),IF(LEFT(ResultsTeams[[#This Row],[Type]],1)="P",VALUE(ResultsTeams[[#This Row],[Score-A]]),""))</f>
        <v>6</v>
      </c>
      <c r="R635" s="265">
        <f>IF(ResultsTeams[[#This Row],[Type]]="G",SUM(R636:R639),IF(LEFT(ResultsTeams[[#This Row],[Type]],1)="P",VALUE(ResultsTeams[[#This Row],[Score-B]]),""))</f>
        <v>5</v>
      </c>
      <c r="S635" s="265">
        <f ca="1">IF(AND(ResultsTeams[[#This Row],[Category]]&lt;&gt;"",ResultsTeams[[#This Row],[Team A]]&lt;&gt;""),COUNTIF(INDIRECT("TeamsList[Club Name]"),ResultsTeams[[#This Row],[Team A]]),"")</f>
        <v>0</v>
      </c>
      <c r="T635" s="265">
        <f ca="1">IF(AND(ResultsTeams[[#This Row],[Category]]&lt;&gt;"",ResultsTeams[[#This Row],[Team B]]&lt;&gt;""),COUNTIF(INDIRECT("TeamsList[Club Name]"),ResultsTeams[[#This Row],[Team B]]),"")</f>
        <v>1</v>
      </c>
      <c r="U6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5" s="265" t="str">
        <f>IF(ResultsTeams[[#This Row],[Score_OK]],IF(ResultsTeams[[#This Row],[StageCpy]]="Groups",ResultsTeams[[#This Row],[Category]]&amp;"-"&amp;IF(ResultsTeams[[#This Row],[Team B]]="","",IF(ResultsTeams[[#This Row],[Match-A]]=ResultsTeams[[#This Row],[Match-B]],ResultsTeams[[#This Row],[Team A]],"")),""),"")</f>
        <v/>
      </c>
      <c r="W635" s="265" t="str">
        <f>IF(ResultsTeams[[#This Row],[Score_OK]],IF(ResultsTeams[[#This Row],[StageCpy]]="Groups",ResultsTeams[[#This Row],[Category]]&amp;"-"&amp;IF(ResultsTeams[[#This Row],[Team B]]="","",IF(ResultsTeams[[#This Row],[Match-A]]=ResultsTeams[[#This Row],[Match-B]],ResultsTeams[[#This Row],[Team B]],"")),""),"")</f>
        <v/>
      </c>
      <c r="X6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CONSOLATION-SC Temploux</v>
      </c>
      <c r="Z635"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35"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35" s="264" t="e">
        <f>IF(ResultsTeams[[#This Row],[Category]]="","",VLOOKUP(ResultsTeams[[#This Row],[Stage]],$R$1:$T$8,MATCH(ResultsTeams[[#This Row],[Category]],$S$1:$T$1,0)+1,FALSE))</f>
        <v>#N/A</v>
      </c>
      <c r="AC635"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35" s="264" t="str">
        <f>IF(ResultsTeams[[#This Row],[Type]]="G",ResultsTeams[[#This Row],[Stage]],AD634)</f>
        <v>Last 16</v>
      </c>
      <c r="AE635" s="395" t="str">
        <f>IF(ResultsTeams[[#This Row],[Type]]="G",INDEX(TeamsList[Club Name],MATCH(ResultsTeams[[#This Row],[Team A]],TeamsList[Team Name],0)),AE634)</f>
        <v>Avenir Subbuteo Hennuyer</v>
      </c>
      <c r="AF635" s="395" t="str">
        <f>IF(ResultsTeams[[#This Row],[Type]]="G",INDEX(TeamsList[Club Name],MATCH(ResultsTeams[[#This Row],[Team B]],TeamsList[Team Name],0)),AF634)</f>
        <v>SC Temploux</v>
      </c>
      <c r="AG635" s="265"/>
    </row>
    <row r="636" spans="1:33" x14ac:dyDescent="0.2">
      <c r="A636" s="60"/>
      <c r="B636" s="280"/>
      <c r="C636" s="60"/>
      <c r="D636" s="60"/>
      <c r="E636" s="240" t="s">
        <v>12231</v>
      </c>
      <c r="F636" s="244" t="s">
        <v>8722</v>
      </c>
      <c r="G636" s="244" t="s">
        <v>8138</v>
      </c>
      <c r="H636" s="253">
        <v>1</v>
      </c>
      <c r="I636" s="253">
        <v>1</v>
      </c>
      <c r="J636" s="253"/>
      <c r="K636" s="362"/>
      <c r="L636" s="362"/>
      <c r="M636" s="61"/>
      <c r="N636" s="265" t="b">
        <f>NOT(ISERROR(ResultsTeams[[#This Row],[Goal-A]]+ResultsTeams[[#This Row],[Goal-B]]))</f>
        <v>1</v>
      </c>
      <c r="O636" s="265">
        <f>IF(ResultsTeams[[#This Row],[Type]]="G",SUM(O637:O640),IF(LEFT(ResultsTeams[[#This Row],[Type]],1)="P",IF(ResultsTeams[[#This Row],[Goal-A]]&gt;ResultsTeams[[#This Row],[Goal-B]],1,0),""))</f>
        <v>0</v>
      </c>
      <c r="P636" s="265">
        <f>IF(ResultsTeams[[#This Row],[Type]]="G",SUM(P637:P640),IF(LEFT(ResultsTeams[[#This Row],[Type]],1)="P",IF(ResultsTeams[[#This Row],[Goal-A]]&lt;ResultsTeams[[#This Row],[Goal-B]],1,0),""))</f>
        <v>0</v>
      </c>
      <c r="Q636" s="265">
        <f>IF(ResultsTeams[[#This Row],[Type]]="G",SUM(Q637:Q640),IF(LEFT(ResultsTeams[[#This Row],[Type]],1)="P",VALUE(ResultsTeams[[#This Row],[Score-A]]),""))</f>
        <v>1</v>
      </c>
      <c r="R636" s="265">
        <f>IF(ResultsTeams[[#This Row],[Type]]="G",SUM(R637:R640),IF(LEFT(ResultsTeams[[#This Row],[Type]],1)="P",VALUE(ResultsTeams[[#This Row],[Score-B]]),""))</f>
        <v>1</v>
      </c>
      <c r="S636" s="265" t="str">
        <f ca="1">IF(AND(ResultsTeams[[#This Row],[Category]]&lt;&gt;"",ResultsTeams[[#This Row],[Team A]]&lt;&gt;""),COUNTIF(INDIRECT("TeamsList[Club Name]"),ResultsTeams[[#This Row],[Team A]]),"")</f>
        <v/>
      </c>
      <c r="T636" s="265" t="str">
        <f ca="1">IF(AND(ResultsTeams[[#This Row],[Category]]&lt;&gt;"",ResultsTeams[[#This Row],[Team B]]&lt;&gt;""),COUNTIF(INDIRECT("TeamsList[Club Name]"),ResultsTeams[[#This Row],[Team B]]),"")</f>
        <v/>
      </c>
      <c r="U6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6" s="265" t="str">
        <f>IF(ResultsTeams[[#This Row],[Score_OK]],IF(ResultsTeams[[#This Row],[StageCpy]]="Groups",ResultsTeams[[#This Row],[Category]]&amp;"-"&amp;IF(ResultsTeams[[#This Row],[Team B]]="","",IF(ResultsTeams[[#This Row],[Match-A]]=ResultsTeams[[#This Row],[Match-B]],ResultsTeams[[#This Row],[Team A]],"")),""),"")</f>
        <v/>
      </c>
      <c r="W636" s="265" t="str">
        <f>IF(ResultsTeams[[#This Row],[Score_OK]],IF(ResultsTeams[[#This Row],[StageCpy]]="Groups",ResultsTeams[[#This Row],[Category]]&amp;"-"&amp;IF(ResultsTeams[[#This Row],[Team B]]="","",IF(ResultsTeams[[#This Row],[Match-A]]=ResultsTeams[[#This Row],[Match-B]],ResultsTeams[[#This Row],[Team B]],"")),""),"")</f>
        <v/>
      </c>
      <c r="X6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6" s="264" t="str">
        <f>IF(ResultsTeams[[#This Row],[Category]]="","",VLOOKUP(ResultsTeams[[#This Row],[Stage]],$R$1:$T$8,MATCH(ResultsTeams[[#This Row],[Category]],$S$1:$T$1,0)+1,FALSE))</f>
        <v/>
      </c>
      <c r="AC6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6" s="264" t="str">
        <f>IF(ResultsTeams[[#This Row],[Type]]="G",ResultsTeams[[#This Row],[Stage]],AD635)</f>
        <v>Last 16</v>
      </c>
      <c r="AE636" s="395" t="str">
        <f>IF(ResultsTeams[[#This Row],[Type]]="G",INDEX(TeamsList[Club Name],MATCH(ResultsTeams[[#This Row],[Team A]],TeamsList[Team Name],0)),AE635)</f>
        <v>Avenir Subbuteo Hennuyer</v>
      </c>
      <c r="AF636" s="395" t="str">
        <f>IF(ResultsTeams[[#This Row],[Type]]="G",INDEX(TeamsList[Club Name],MATCH(ResultsTeams[[#This Row],[Team B]],TeamsList[Team Name],0)),AF635)</f>
        <v>SC Temploux</v>
      </c>
      <c r="AG636" s="265"/>
    </row>
    <row r="637" spans="1:33" x14ac:dyDescent="0.2">
      <c r="A637" s="62"/>
      <c r="B637" s="280"/>
      <c r="C637" s="62"/>
      <c r="D637" s="62"/>
      <c r="E637" s="241" t="s">
        <v>12234</v>
      </c>
      <c r="F637" s="246" t="s">
        <v>8721</v>
      </c>
      <c r="G637" s="246" t="s">
        <v>8116</v>
      </c>
      <c r="H637" s="254">
        <v>4</v>
      </c>
      <c r="I637" s="254">
        <v>4</v>
      </c>
      <c r="J637" s="254"/>
      <c r="K637" s="363"/>
      <c r="L637" s="363"/>
      <c r="M637" s="63"/>
      <c r="N637" s="265" t="b">
        <f>NOT(ISERROR(ResultsTeams[[#This Row],[Goal-A]]+ResultsTeams[[#This Row],[Goal-B]]))</f>
        <v>1</v>
      </c>
      <c r="O637" s="265">
        <f>IF(ResultsTeams[[#This Row],[Type]]="G",SUM(O638:O641),IF(LEFT(ResultsTeams[[#This Row],[Type]],1)="P",IF(ResultsTeams[[#This Row],[Goal-A]]&gt;ResultsTeams[[#This Row],[Goal-B]],1,0),""))</f>
        <v>0</v>
      </c>
      <c r="P637" s="265">
        <f>IF(ResultsTeams[[#This Row],[Type]]="G",SUM(P638:P641),IF(LEFT(ResultsTeams[[#This Row],[Type]],1)="P",IF(ResultsTeams[[#This Row],[Goal-A]]&lt;ResultsTeams[[#This Row],[Goal-B]],1,0),""))</f>
        <v>0</v>
      </c>
      <c r="Q637" s="265">
        <f>IF(ResultsTeams[[#This Row],[Type]]="G",SUM(Q638:Q641),IF(LEFT(ResultsTeams[[#This Row],[Type]],1)="P",VALUE(ResultsTeams[[#This Row],[Score-A]]),""))</f>
        <v>4</v>
      </c>
      <c r="R637" s="265">
        <f>IF(ResultsTeams[[#This Row],[Type]]="G",SUM(R638:R641),IF(LEFT(ResultsTeams[[#This Row],[Type]],1)="P",VALUE(ResultsTeams[[#This Row],[Score-B]]),""))</f>
        <v>4</v>
      </c>
      <c r="S637" s="265" t="str">
        <f ca="1">IF(AND(ResultsTeams[[#This Row],[Category]]&lt;&gt;"",ResultsTeams[[#This Row],[Team A]]&lt;&gt;""),COUNTIF(INDIRECT("TeamsList[Club Name]"),ResultsTeams[[#This Row],[Team A]]),"")</f>
        <v/>
      </c>
      <c r="T637" s="265" t="str">
        <f ca="1">IF(AND(ResultsTeams[[#This Row],[Category]]&lt;&gt;"",ResultsTeams[[#This Row],[Team B]]&lt;&gt;""),COUNTIF(INDIRECT("TeamsList[Club Name]"),ResultsTeams[[#This Row],[Team B]]),"")</f>
        <v/>
      </c>
      <c r="U6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7" s="265" t="str">
        <f>IF(ResultsTeams[[#This Row],[Score_OK]],IF(ResultsTeams[[#This Row],[StageCpy]]="Groups",ResultsTeams[[#This Row],[Category]]&amp;"-"&amp;IF(ResultsTeams[[#This Row],[Team B]]="","",IF(ResultsTeams[[#This Row],[Match-A]]=ResultsTeams[[#This Row],[Match-B]],ResultsTeams[[#This Row],[Team A]],"")),""),"")</f>
        <v/>
      </c>
      <c r="W637" s="265" t="str">
        <f>IF(ResultsTeams[[#This Row],[Score_OK]],IF(ResultsTeams[[#This Row],[StageCpy]]="Groups",ResultsTeams[[#This Row],[Category]]&amp;"-"&amp;IF(ResultsTeams[[#This Row],[Team B]]="","",IF(ResultsTeams[[#This Row],[Match-A]]=ResultsTeams[[#This Row],[Match-B]],ResultsTeams[[#This Row],[Team B]],"")),""),"")</f>
        <v/>
      </c>
      <c r="X6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7" s="264" t="str">
        <f>IF(ResultsTeams[[#This Row],[Category]]="","",VLOOKUP(ResultsTeams[[#This Row],[Stage]],$R$1:$T$8,MATCH(ResultsTeams[[#This Row],[Category]],$S$1:$T$1,0)+1,FALSE))</f>
        <v/>
      </c>
      <c r="AC6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7" s="264" t="str">
        <f>IF(ResultsTeams[[#This Row],[Type]]="G",ResultsTeams[[#This Row],[Stage]],AD636)</f>
        <v>Last 16</v>
      </c>
      <c r="AE637" s="395" t="str">
        <f>IF(ResultsTeams[[#This Row],[Type]]="G",INDEX(TeamsList[Club Name],MATCH(ResultsTeams[[#This Row],[Team A]],TeamsList[Team Name],0)),AE636)</f>
        <v>Avenir Subbuteo Hennuyer</v>
      </c>
      <c r="AF637" s="395" t="str">
        <f>IF(ResultsTeams[[#This Row],[Type]]="G",INDEX(TeamsList[Club Name],MATCH(ResultsTeams[[#This Row],[Team B]],TeamsList[Team Name],0)),AF636)</f>
        <v>SC Temploux</v>
      </c>
      <c r="AG637" s="265"/>
    </row>
    <row r="638" spans="1:33" x14ac:dyDescent="0.2">
      <c r="A638" s="62"/>
      <c r="B638" s="280"/>
      <c r="C638" s="62"/>
      <c r="D638" s="62"/>
      <c r="E638" s="241" t="s">
        <v>12237</v>
      </c>
      <c r="F638" s="246" t="s">
        <v>14445</v>
      </c>
      <c r="G638" s="246" t="s">
        <v>8178</v>
      </c>
      <c r="H638" s="254">
        <v>1</v>
      </c>
      <c r="I638" s="254">
        <v>0</v>
      </c>
      <c r="J638" s="254"/>
      <c r="K638" s="363"/>
      <c r="L638" s="363"/>
      <c r="M638" s="63"/>
      <c r="N638" s="265" t="b">
        <f>NOT(ISERROR(ResultsTeams[[#This Row],[Goal-A]]+ResultsTeams[[#This Row],[Goal-B]]))</f>
        <v>1</v>
      </c>
      <c r="O638" s="265">
        <f>IF(ResultsTeams[[#This Row],[Type]]="G",SUM(O639:O642),IF(LEFT(ResultsTeams[[#This Row],[Type]],1)="P",IF(ResultsTeams[[#This Row],[Goal-A]]&gt;ResultsTeams[[#This Row],[Goal-B]],1,0),""))</f>
        <v>1</v>
      </c>
      <c r="P638" s="265">
        <f>IF(ResultsTeams[[#This Row],[Type]]="G",SUM(P639:P642),IF(LEFT(ResultsTeams[[#This Row],[Type]],1)="P",IF(ResultsTeams[[#This Row],[Goal-A]]&lt;ResultsTeams[[#This Row],[Goal-B]],1,0),""))</f>
        <v>0</v>
      </c>
      <c r="Q638" s="265">
        <f>IF(ResultsTeams[[#This Row],[Type]]="G",SUM(Q639:Q642),IF(LEFT(ResultsTeams[[#This Row],[Type]],1)="P",VALUE(ResultsTeams[[#This Row],[Score-A]]),""))</f>
        <v>1</v>
      </c>
      <c r="R638" s="265">
        <f>IF(ResultsTeams[[#This Row],[Type]]="G",SUM(R639:R642),IF(LEFT(ResultsTeams[[#This Row],[Type]],1)="P",VALUE(ResultsTeams[[#This Row],[Score-B]]),""))</f>
        <v>0</v>
      </c>
      <c r="S638" s="265" t="str">
        <f ca="1">IF(AND(ResultsTeams[[#This Row],[Category]]&lt;&gt;"",ResultsTeams[[#This Row],[Team A]]&lt;&gt;""),COUNTIF(INDIRECT("TeamsList[Club Name]"),ResultsTeams[[#This Row],[Team A]]),"")</f>
        <v/>
      </c>
      <c r="T638" s="265" t="str">
        <f ca="1">IF(AND(ResultsTeams[[#This Row],[Category]]&lt;&gt;"",ResultsTeams[[#This Row],[Team B]]&lt;&gt;""),COUNTIF(INDIRECT("TeamsList[Club Name]"),ResultsTeams[[#This Row],[Team B]]),"")</f>
        <v/>
      </c>
      <c r="U6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8" s="265" t="str">
        <f>IF(ResultsTeams[[#This Row],[Score_OK]],IF(ResultsTeams[[#This Row],[StageCpy]]="Groups",ResultsTeams[[#This Row],[Category]]&amp;"-"&amp;IF(ResultsTeams[[#This Row],[Team B]]="","",IF(ResultsTeams[[#This Row],[Match-A]]=ResultsTeams[[#This Row],[Match-B]],ResultsTeams[[#This Row],[Team A]],"")),""),"")</f>
        <v/>
      </c>
      <c r="W638" s="265" t="str">
        <f>IF(ResultsTeams[[#This Row],[Score_OK]],IF(ResultsTeams[[#This Row],[StageCpy]]="Groups",ResultsTeams[[#This Row],[Category]]&amp;"-"&amp;IF(ResultsTeams[[#This Row],[Team B]]="","",IF(ResultsTeams[[#This Row],[Match-A]]=ResultsTeams[[#This Row],[Match-B]],ResultsTeams[[#This Row],[Team B]],"")),""),"")</f>
        <v/>
      </c>
      <c r="X6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8" s="264" t="str">
        <f>IF(ResultsTeams[[#This Row],[Category]]="","",VLOOKUP(ResultsTeams[[#This Row],[Stage]],$R$1:$T$8,MATCH(ResultsTeams[[#This Row],[Category]],$S$1:$T$1,0)+1,FALSE))</f>
        <v/>
      </c>
      <c r="AC6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8" s="264" t="str">
        <f>IF(ResultsTeams[[#This Row],[Type]]="G",ResultsTeams[[#This Row],[Stage]],AD637)</f>
        <v>Last 16</v>
      </c>
      <c r="AE638" s="395" t="str">
        <f>IF(ResultsTeams[[#This Row],[Type]]="G",INDEX(TeamsList[Club Name],MATCH(ResultsTeams[[#This Row],[Team A]],TeamsList[Team Name],0)),AE637)</f>
        <v>Avenir Subbuteo Hennuyer</v>
      </c>
      <c r="AF638" s="395" t="str">
        <f>IF(ResultsTeams[[#This Row],[Type]]="G",INDEX(TeamsList[Club Name],MATCH(ResultsTeams[[#This Row],[Team B]],TeamsList[Team Name],0)),AF637)</f>
        <v>SC Temploux</v>
      </c>
      <c r="AG638" s="265"/>
    </row>
    <row r="639" spans="1:33" x14ac:dyDescent="0.2">
      <c r="A639" s="62"/>
      <c r="B639" s="280"/>
      <c r="C639" s="62"/>
      <c r="D639" s="62"/>
      <c r="E639" s="241" t="s">
        <v>12240</v>
      </c>
      <c r="F639" s="246" t="s">
        <v>8161</v>
      </c>
      <c r="G639" s="246" t="s">
        <v>8118</v>
      </c>
      <c r="H639" s="254">
        <v>0</v>
      </c>
      <c r="I639" s="254">
        <v>0</v>
      </c>
      <c r="J639" s="254"/>
      <c r="K639" s="363"/>
      <c r="L639" s="363"/>
      <c r="M639" s="63"/>
      <c r="N639" s="265" t="b">
        <f>NOT(ISERROR(ResultsTeams[[#This Row],[Goal-A]]+ResultsTeams[[#This Row],[Goal-B]]))</f>
        <v>1</v>
      </c>
      <c r="O639" s="265">
        <f>IF(ResultsTeams[[#This Row],[Type]]="G",SUM(O640:O643),IF(LEFT(ResultsTeams[[#This Row],[Type]],1)="P",IF(ResultsTeams[[#This Row],[Goal-A]]&gt;ResultsTeams[[#This Row],[Goal-B]],1,0),""))</f>
        <v>0</v>
      </c>
      <c r="P639" s="265">
        <f>IF(ResultsTeams[[#This Row],[Type]]="G",SUM(P640:P643),IF(LEFT(ResultsTeams[[#This Row],[Type]],1)="P",IF(ResultsTeams[[#This Row],[Goal-A]]&lt;ResultsTeams[[#This Row],[Goal-B]],1,0),""))</f>
        <v>0</v>
      </c>
      <c r="Q639" s="265">
        <f>IF(ResultsTeams[[#This Row],[Type]]="G",SUM(Q640:Q643),IF(LEFT(ResultsTeams[[#This Row],[Type]],1)="P",VALUE(ResultsTeams[[#This Row],[Score-A]]),""))</f>
        <v>0</v>
      </c>
      <c r="R639" s="265">
        <f>IF(ResultsTeams[[#This Row],[Type]]="G",SUM(R640:R643),IF(LEFT(ResultsTeams[[#This Row],[Type]],1)="P",VALUE(ResultsTeams[[#This Row],[Score-B]]),""))</f>
        <v>0</v>
      </c>
      <c r="S639" s="265" t="str">
        <f ca="1">IF(AND(ResultsTeams[[#This Row],[Category]]&lt;&gt;"",ResultsTeams[[#This Row],[Team A]]&lt;&gt;""),COUNTIF(INDIRECT("TeamsList[Club Name]"),ResultsTeams[[#This Row],[Team A]]),"")</f>
        <v/>
      </c>
      <c r="T639" s="265" t="str">
        <f ca="1">IF(AND(ResultsTeams[[#This Row],[Category]]&lt;&gt;"",ResultsTeams[[#This Row],[Team B]]&lt;&gt;""),COUNTIF(INDIRECT("TeamsList[Club Name]"),ResultsTeams[[#This Row],[Team B]]),"")</f>
        <v/>
      </c>
      <c r="U6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9" s="265" t="str">
        <f>IF(ResultsTeams[[#This Row],[Score_OK]],IF(ResultsTeams[[#This Row],[StageCpy]]="Groups",ResultsTeams[[#This Row],[Category]]&amp;"-"&amp;IF(ResultsTeams[[#This Row],[Team B]]="","",IF(ResultsTeams[[#This Row],[Match-A]]=ResultsTeams[[#This Row],[Match-B]],ResultsTeams[[#This Row],[Team A]],"")),""),"")</f>
        <v/>
      </c>
      <c r="W639" s="265" t="str">
        <f>IF(ResultsTeams[[#This Row],[Score_OK]],IF(ResultsTeams[[#This Row],[StageCpy]]="Groups",ResultsTeams[[#This Row],[Category]]&amp;"-"&amp;IF(ResultsTeams[[#This Row],[Team B]]="","",IF(ResultsTeams[[#This Row],[Match-A]]=ResultsTeams[[#This Row],[Match-B]],ResultsTeams[[#This Row],[Team B]],"")),""),"")</f>
        <v/>
      </c>
      <c r="X6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9" s="264" t="str">
        <f>IF(ResultsTeams[[#This Row],[Category]]="","",VLOOKUP(ResultsTeams[[#This Row],[Stage]],$R$1:$T$8,MATCH(ResultsTeams[[#This Row],[Category]],$S$1:$T$1,0)+1,FALSE))</f>
        <v/>
      </c>
      <c r="AC6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9" s="264" t="str">
        <f>IF(ResultsTeams[[#This Row],[Type]]="G",ResultsTeams[[#This Row],[Stage]],AD638)</f>
        <v>Last 16</v>
      </c>
      <c r="AE639" s="395" t="str">
        <f>IF(ResultsTeams[[#This Row],[Type]]="G",INDEX(TeamsList[Club Name],MATCH(ResultsTeams[[#This Row],[Team A]],TeamsList[Team Name],0)),AE638)</f>
        <v>Avenir Subbuteo Hennuyer</v>
      </c>
      <c r="AF639" s="395" t="str">
        <f>IF(ResultsTeams[[#This Row],[Type]]="G",INDEX(TeamsList[Club Name],MATCH(ResultsTeams[[#This Row],[Team B]],TeamsList[Team Name],0)),AF638)</f>
        <v>SC Temploux</v>
      </c>
      <c r="AG639" s="265"/>
    </row>
    <row r="640" spans="1:33" x14ac:dyDescent="0.2">
      <c r="A640" s="62"/>
      <c r="B640" s="62"/>
      <c r="C640" s="62"/>
      <c r="D640" s="62"/>
      <c r="E640" s="241" t="s">
        <v>12243</v>
      </c>
      <c r="F640" s="247"/>
      <c r="G640" s="247"/>
      <c r="H640" s="254"/>
      <c r="I640" s="254"/>
      <c r="J640" s="260"/>
      <c r="K640" s="364"/>
      <c r="L640" s="364"/>
      <c r="M640" s="63"/>
      <c r="N640" s="265" t="b">
        <f>NOT(ISERROR(ResultsTeams[[#This Row],[Goal-A]]+ResultsTeams[[#This Row],[Goal-B]]))</f>
        <v>0</v>
      </c>
      <c r="O640" s="265" t="str">
        <f>IF(ResultsTeams[[#This Row],[Type]]="G",SUM(O641:O644),IF(LEFT(ResultsTeams[[#This Row],[Type]],1)="P",IF(ResultsTeams[[#This Row],[Goal-A]]&gt;ResultsTeams[[#This Row],[Goal-B]],1,0),""))</f>
        <v/>
      </c>
      <c r="P640" s="265" t="str">
        <f>IF(ResultsTeams[[#This Row],[Type]]="G",SUM(P641:P644),IF(LEFT(ResultsTeams[[#This Row],[Type]],1)="P",IF(ResultsTeams[[#This Row],[Goal-A]]&lt;ResultsTeams[[#This Row],[Goal-B]],1,0),""))</f>
        <v/>
      </c>
      <c r="Q640" s="265" t="str">
        <f>IF(ResultsTeams[[#This Row],[Type]]="G",SUM(Q641:Q644),IF(LEFT(ResultsTeams[[#This Row],[Type]],1)="P",VALUE(ResultsTeams[[#This Row],[Score-A]]),""))</f>
        <v/>
      </c>
      <c r="R640" s="265" t="str">
        <f>IF(ResultsTeams[[#This Row],[Type]]="G",SUM(R641:R644),IF(LEFT(ResultsTeams[[#This Row],[Type]],1)="P",VALUE(ResultsTeams[[#This Row],[Score-B]]),""))</f>
        <v/>
      </c>
      <c r="S640" s="265" t="str">
        <f ca="1">IF(AND(ResultsTeams[[#This Row],[Category]]&lt;&gt;"",ResultsTeams[[#This Row],[Team A]]&lt;&gt;""),COUNTIF(INDIRECT("TeamsList[Club Name]"),ResultsTeams[[#This Row],[Team A]]),"")</f>
        <v/>
      </c>
      <c r="T640" s="265" t="str">
        <f ca="1">IF(AND(ResultsTeams[[#This Row],[Category]]&lt;&gt;"",ResultsTeams[[#This Row],[Team B]]&lt;&gt;""),COUNTIF(INDIRECT("TeamsList[Club Name]"),ResultsTeams[[#This Row],[Team B]]),"")</f>
        <v/>
      </c>
      <c r="U6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0" s="265" t="str">
        <f>IF(ResultsTeams[[#This Row],[Score_OK]],IF(ResultsTeams[[#This Row],[StageCpy]]="Groups",ResultsTeams[[#This Row],[Category]]&amp;"-"&amp;IF(ResultsTeams[[#This Row],[Team B]]="","",IF(ResultsTeams[[#This Row],[Match-A]]=ResultsTeams[[#This Row],[Match-B]],ResultsTeams[[#This Row],[Team A]],"")),""),"")</f>
        <v/>
      </c>
      <c r="W640" s="265" t="str">
        <f>IF(ResultsTeams[[#This Row],[Score_OK]],IF(ResultsTeams[[#This Row],[StageCpy]]="Groups",ResultsTeams[[#This Row],[Category]]&amp;"-"&amp;IF(ResultsTeams[[#This Row],[Team B]]="","",IF(ResultsTeams[[#This Row],[Match-A]]=ResultsTeams[[#This Row],[Match-B]],ResultsTeams[[#This Row],[Team B]],"")),""),"")</f>
        <v/>
      </c>
      <c r="X6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0" s="264" t="str">
        <f>IF(ResultsTeams[[#This Row],[Category]]="","",VLOOKUP(ResultsTeams[[#This Row],[Stage]],$R$1:$T$8,MATCH(ResultsTeams[[#This Row],[Category]],$S$1:$T$1,0)+1,FALSE))</f>
        <v/>
      </c>
      <c r="AC6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0" s="264" t="str">
        <f>IF(ResultsTeams[[#This Row],[Type]]="G",ResultsTeams[[#This Row],[Stage]],AD639)</f>
        <v>Last 16</v>
      </c>
      <c r="AE640" s="395" t="str">
        <f>IF(ResultsTeams[[#This Row],[Type]]="G",INDEX(TeamsList[Club Name],MATCH(ResultsTeams[[#This Row],[Team A]],TeamsList[Team Name],0)),AE639)</f>
        <v>Avenir Subbuteo Hennuyer</v>
      </c>
      <c r="AF640" s="395" t="str">
        <f>IF(ResultsTeams[[#This Row],[Type]]="G",INDEX(TeamsList[Club Name],MATCH(ResultsTeams[[#This Row],[Team B]],TeamsList[Team Name],0)),AF639)</f>
        <v>SC Temploux</v>
      </c>
      <c r="AG640" s="265"/>
    </row>
    <row r="641" spans="1:33" ht="12" thickBot="1" x14ac:dyDescent="0.25">
      <c r="A641" s="83"/>
      <c r="B641" s="83"/>
      <c r="C641" s="83"/>
      <c r="D641" s="83"/>
      <c r="E641" s="268" t="s">
        <v>12244</v>
      </c>
      <c r="F641" s="262"/>
      <c r="G641" s="262"/>
      <c r="H641" s="324"/>
      <c r="I641" s="324"/>
      <c r="J641" s="263"/>
      <c r="K641" s="365"/>
      <c r="L641" s="365"/>
      <c r="M641" s="84"/>
      <c r="N641" s="265" t="b">
        <f>NOT(ISERROR(ResultsTeams[[#This Row],[Goal-A]]+ResultsTeams[[#This Row],[Goal-B]]))</f>
        <v>0</v>
      </c>
      <c r="O641" s="265" t="str">
        <f>IF(ResultsTeams[[#This Row],[Type]]="G",SUM(O642:O645),IF(LEFT(ResultsTeams[[#This Row],[Type]],1)="P",IF(ResultsTeams[[#This Row],[Goal-A]]&gt;ResultsTeams[[#This Row],[Goal-B]],1,0),""))</f>
        <v/>
      </c>
      <c r="P641" s="265" t="str">
        <f>IF(ResultsTeams[[#This Row],[Type]]="G",SUM(P642:P645),IF(LEFT(ResultsTeams[[#This Row],[Type]],1)="P",IF(ResultsTeams[[#This Row],[Goal-A]]&lt;ResultsTeams[[#This Row],[Goal-B]],1,0),""))</f>
        <v/>
      </c>
      <c r="Q641" s="265" t="str">
        <f>IF(ResultsTeams[[#This Row],[Type]]="G",SUM(Q642:Q645),IF(LEFT(ResultsTeams[[#This Row],[Type]],1)="P",VALUE(ResultsTeams[[#This Row],[Score-A]]),""))</f>
        <v/>
      </c>
      <c r="R641" s="265" t="str">
        <f>IF(ResultsTeams[[#This Row],[Type]]="G",SUM(R642:R645),IF(LEFT(ResultsTeams[[#This Row],[Type]],1)="P",VALUE(ResultsTeams[[#This Row],[Score-B]]),""))</f>
        <v/>
      </c>
      <c r="S641" s="265" t="str">
        <f ca="1">IF(AND(ResultsTeams[[#This Row],[Category]]&lt;&gt;"",ResultsTeams[[#This Row],[Team A]]&lt;&gt;""),COUNTIF(INDIRECT("TeamsList[Club Name]"),ResultsTeams[[#This Row],[Team A]]),"")</f>
        <v/>
      </c>
      <c r="T641" s="265" t="str">
        <f ca="1">IF(AND(ResultsTeams[[#This Row],[Category]]&lt;&gt;"",ResultsTeams[[#This Row],[Team B]]&lt;&gt;""),COUNTIF(INDIRECT("TeamsList[Club Name]"),ResultsTeams[[#This Row],[Team B]]),"")</f>
        <v/>
      </c>
      <c r="U6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1" s="265" t="str">
        <f>IF(ResultsTeams[[#This Row],[Score_OK]],IF(ResultsTeams[[#This Row],[StageCpy]]="Groups",ResultsTeams[[#This Row],[Category]]&amp;"-"&amp;IF(ResultsTeams[[#This Row],[Team B]]="","",IF(ResultsTeams[[#This Row],[Match-A]]=ResultsTeams[[#This Row],[Match-B]],ResultsTeams[[#This Row],[Team A]],"")),""),"")</f>
        <v/>
      </c>
      <c r="W641" s="265" t="str">
        <f>IF(ResultsTeams[[#This Row],[Score_OK]],IF(ResultsTeams[[#This Row],[StageCpy]]="Groups",ResultsTeams[[#This Row],[Category]]&amp;"-"&amp;IF(ResultsTeams[[#This Row],[Team B]]="","",IF(ResultsTeams[[#This Row],[Match-A]]=ResultsTeams[[#This Row],[Match-B]],ResultsTeams[[#This Row],[Team B]],"")),""),"")</f>
        <v/>
      </c>
      <c r="X6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1" s="264" t="str">
        <f>IF(ResultsTeams[[#This Row],[Category]]="","",VLOOKUP(ResultsTeams[[#This Row],[Stage]],$R$1:$T$8,MATCH(ResultsTeams[[#This Row],[Category]],$S$1:$T$1,0)+1,FALSE))</f>
        <v/>
      </c>
      <c r="AC6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1" s="264" t="str">
        <f>IF(ResultsTeams[[#This Row],[Type]]="G",ResultsTeams[[#This Row],[Stage]],AD640)</f>
        <v>Last 16</v>
      </c>
      <c r="AE641" s="395" t="str">
        <f>IF(ResultsTeams[[#This Row],[Type]]="G",INDEX(TeamsList[Club Name],MATCH(ResultsTeams[[#This Row],[Team A]],TeamsList[Team Name],0)),AE640)</f>
        <v>Avenir Subbuteo Hennuyer</v>
      </c>
      <c r="AF641" s="395" t="str">
        <f>IF(ResultsTeams[[#This Row],[Type]]="G",INDEX(TeamsList[Club Name],MATCH(ResultsTeams[[#This Row],[Team B]],TeamsList[Team Name],0)),AF640)</f>
        <v>SC Temploux</v>
      </c>
      <c r="AG641" s="265"/>
    </row>
    <row r="642" spans="1:33" ht="12" thickBot="1" x14ac:dyDescent="0.25">
      <c r="A642" s="261" t="s">
        <v>12263</v>
      </c>
      <c r="B642" s="270" t="s">
        <v>12219</v>
      </c>
      <c r="C642" s="506"/>
      <c r="D642" s="270"/>
      <c r="E642" s="272" t="s">
        <v>12228</v>
      </c>
      <c r="F642" s="273" t="s">
        <v>69</v>
      </c>
      <c r="G642" s="273" t="s">
        <v>6490</v>
      </c>
      <c r="H642" s="275">
        <v>3</v>
      </c>
      <c r="I642" s="275">
        <v>0</v>
      </c>
      <c r="J642" s="275"/>
      <c r="K642" s="366"/>
      <c r="L642" s="366"/>
      <c r="M642" s="274"/>
      <c r="N642" s="265" t="b">
        <f>NOT(ISERROR(ResultsTeams[[#This Row],[Goal-A]]+ResultsTeams[[#This Row],[Goal-B]]))</f>
        <v>1</v>
      </c>
      <c r="O642" s="265">
        <f>IF(ResultsTeams[[#This Row],[Type]]="G",SUM(O643:O646),IF(LEFT(ResultsTeams[[#This Row],[Type]],1)="P",IF(ResultsTeams[[#This Row],[Goal-A]]&gt;ResultsTeams[[#This Row],[Goal-B]],1,0),""))</f>
        <v>3</v>
      </c>
      <c r="P642" s="265">
        <f>IF(ResultsTeams[[#This Row],[Type]]="G",SUM(P643:P646),IF(LEFT(ResultsTeams[[#This Row],[Type]],1)="P",IF(ResultsTeams[[#This Row],[Goal-A]]&lt;ResultsTeams[[#This Row],[Goal-B]],1,0),""))</f>
        <v>0</v>
      </c>
      <c r="Q642" s="265">
        <f>IF(ResultsTeams[[#This Row],[Type]]="G",SUM(Q643:Q646),IF(LEFT(ResultsTeams[[#This Row],[Type]],1)="P",VALUE(ResultsTeams[[#This Row],[Score-A]]),""))</f>
        <v>14</v>
      </c>
      <c r="R642" s="265">
        <f>IF(ResultsTeams[[#This Row],[Type]]="G",SUM(R643:R646),IF(LEFT(ResultsTeams[[#This Row],[Type]],1)="P",VALUE(ResultsTeams[[#This Row],[Score-B]]),""))</f>
        <v>6</v>
      </c>
      <c r="S642" s="265">
        <f ca="1">IF(AND(ResultsTeams[[#This Row],[Category]]&lt;&gt;"",ResultsTeams[[#This Row],[Team A]]&lt;&gt;""),COUNTIF(INDIRECT("TeamsList[Club Name]"),ResultsTeams[[#This Row],[Team A]]),"")</f>
        <v>1</v>
      </c>
      <c r="T642" s="265">
        <f ca="1">IF(AND(ResultsTeams[[#This Row],[Category]]&lt;&gt;"",ResultsTeams[[#This Row],[Team B]]&lt;&gt;""),COUNTIF(INDIRECT("TeamsList[Club Name]"),ResultsTeams[[#This Row],[Team B]]),"")</f>
        <v>1</v>
      </c>
      <c r="U6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2" s="265" t="str">
        <f>IF(ResultsTeams[[#This Row],[Score_OK]],IF(ResultsTeams[[#This Row],[StageCpy]]="Groups",ResultsTeams[[#This Row],[Category]]&amp;"-"&amp;IF(ResultsTeams[[#This Row],[Team B]]="","",IF(ResultsTeams[[#This Row],[Match-A]]=ResultsTeams[[#This Row],[Match-B]],ResultsTeams[[#This Row],[Team A]],"")),""),"")</f>
        <v/>
      </c>
      <c r="W642" s="265" t="str">
        <f>IF(ResultsTeams[[#This Row],[Score_OK]],IF(ResultsTeams[[#This Row],[StageCpy]]="Groups",ResultsTeams[[#This Row],[Category]]&amp;"-"&amp;IF(ResultsTeams[[#This Row],[Team B]]="","",IF(ResultsTeams[[#This Row],[Match-A]]=ResultsTeams[[#This Row],[Match-B]],ResultsTeams[[#This Row],[Team B]],"")),""),"")</f>
        <v/>
      </c>
      <c r="X6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CONSOLATION-Dutch Legends</v>
      </c>
      <c r="Z642"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42"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42" s="264" t="e">
        <f>IF(ResultsTeams[[#This Row],[Category]]="","",VLOOKUP(ResultsTeams[[#This Row],[Stage]],$R$1:$T$8,MATCH(ResultsTeams[[#This Row],[Category]],$S$1:$T$1,0)+1,FALSE))</f>
        <v>#N/A</v>
      </c>
      <c r="AC642"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42" s="264" t="str">
        <f>IF(ResultsTeams[[#This Row],[Type]]="G",ResultsTeams[[#This Row],[Stage]],AD641)</f>
        <v>Last 16</v>
      </c>
      <c r="AE642" s="395" t="str">
        <f>IF(ResultsTeams[[#This Row],[Type]]="G",INDEX(TeamsList[Club Name],MATCH(ResultsTeams[[#This Row],[Team A]],TeamsList[Team Name],0)),AE641)</f>
        <v>JSC Rochefort</v>
      </c>
      <c r="AF642" s="395" t="str">
        <f>IF(ResultsTeams[[#This Row],[Type]]="G",INDEX(TeamsList[Club Name],MATCH(ResultsTeams[[#This Row],[Team B]],TeamsList[Team Name],0)),AF641)</f>
        <v>Dutch Legends</v>
      </c>
      <c r="AG642" s="265"/>
    </row>
    <row r="643" spans="1:33" x14ac:dyDescent="0.2">
      <c r="A643" s="60"/>
      <c r="B643" s="280"/>
      <c r="C643" s="60"/>
      <c r="D643" s="60"/>
      <c r="E643" s="240" t="s">
        <v>12231</v>
      </c>
      <c r="F643" s="244" t="s">
        <v>8192</v>
      </c>
      <c r="G643" s="244" t="s">
        <v>11466</v>
      </c>
      <c r="H643" s="253">
        <v>3</v>
      </c>
      <c r="I643" s="253">
        <v>2</v>
      </c>
      <c r="J643" s="253"/>
      <c r="K643" s="362"/>
      <c r="L643" s="362"/>
      <c r="M643" s="245"/>
      <c r="N643" s="265" t="b">
        <f>NOT(ISERROR(ResultsTeams[[#This Row],[Goal-A]]+ResultsTeams[[#This Row],[Goal-B]]))</f>
        <v>1</v>
      </c>
      <c r="O643" s="265">
        <f>IF(ResultsTeams[[#This Row],[Type]]="G",SUM(O644:O647),IF(LEFT(ResultsTeams[[#This Row],[Type]],1)="P",IF(ResultsTeams[[#This Row],[Goal-A]]&gt;ResultsTeams[[#This Row],[Goal-B]],1,0),""))</f>
        <v>1</v>
      </c>
      <c r="P643" s="265">
        <f>IF(ResultsTeams[[#This Row],[Type]]="G",SUM(P644:P647),IF(LEFT(ResultsTeams[[#This Row],[Type]],1)="P",IF(ResultsTeams[[#This Row],[Goal-A]]&lt;ResultsTeams[[#This Row],[Goal-B]],1,0),""))</f>
        <v>0</v>
      </c>
      <c r="Q643" s="265">
        <f>IF(ResultsTeams[[#This Row],[Type]]="G",SUM(Q644:Q647),IF(LEFT(ResultsTeams[[#This Row],[Type]],1)="P",VALUE(ResultsTeams[[#This Row],[Score-A]]),""))</f>
        <v>3</v>
      </c>
      <c r="R643" s="265">
        <f>IF(ResultsTeams[[#This Row],[Type]]="G",SUM(R644:R647),IF(LEFT(ResultsTeams[[#This Row],[Type]],1)="P",VALUE(ResultsTeams[[#This Row],[Score-B]]),""))</f>
        <v>2</v>
      </c>
      <c r="S643" s="265" t="str">
        <f ca="1">IF(AND(ResultsTeams[[#This Row],[Category]]&lt;&gt;"",ResultsTeams[[#This Row],[Team A]]&lt;&gt;""),COUNTIF(INDIRECT("TeamsList[Club Name]"),ResultsTeams[[#This Row],[Team A]]),"")</f>
        <v/>
      </c>
      <c r="T643" s="265" t="str">
        <f ca="1">IF(AND(ResultsTeams[[#This Row],[Category]]&lt;&gt;"",ResultsTeams[[#This Row],[Team B]]&lt;&gt;""),COUNTIF(INDIRECT("TeamsList[Club Name]"),ResultsTeams[[#This Row],[Team B]]),"")</f>
        <v/>
      </c>
      <c r="U6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3" s="265" t="str">
        <f>IF(ResultsTeams[[#This Row],[Score_OK]],IF(ResultsTeams[[#This Row],[StageCpy]]="Groups",ResultsTeams[[#This Row],[Category]]&amp;"-"&amp;IF(ResultsTeams[[#This Row],[Team B]]="","",IF(ResultsTeams[[#This Row],[Match-A]]=ResultsTeams[[#This Row],[Match-B]],ResultsTeams[[#This Row],[Team A]],"")),""),"")</f>
        <v/>
      </c>
      <c r="W643" s="265" t="str">
        <f>IF(ResultsTeams[[#This Row],[Score_OK]],IF(ResultsTeams[[#This Row],[StageCpy]]="Groups",ResultsTeams[[#This Row],[Category]]&amp;"-"&amp;IF(ResultsTeams[[#This Row],[Team B]]="","",IF(ResultsTeams[[#This Row],[Match-A]]=ResultsTeams[[#This Row],[Match-B]],ResultsTeams[[#This Row],[Team B]],"")),""),"")</f>
        <v/>
      </c>
      <c r="X6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3" s="264" t="str">
        <f>IF(ResultsTeams[[#This Row],[Category]]="","",VLOOKUP(ResultsTeams[[#This Row],[Stage]],$R$1:$T$8,MATCH(ResultsTeams[[#This Row],[Category]],$S$1:$T$1,0)+1,FALSE))</f>
        <v/>
      </c>
      <c r="AC6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3" s="264" t="str">
        <f>IF(ResultsTeams[[#This Row],[Type]]="G",ResultsTeams[[#This Row],[Stage]],AD642)</f>
        <v>Last 16</v>
      </c>
      <c r="AE643" s="395" t="str">
        <f>IF(ResultsTeams[[#This Row],[Type]]="G",INDEX(TeamsList[Club Name],MATCH(ResultsTeams[[#This Row],[Team A]],TeamsList[Team Name],0)),AE642)</f>
        <v>JSC Rochefort</v>
      </c>
      <c r="AF643" s="395" t="str">
        <f>IF(ResultsTeams[[#This Row],[Type]]="G",INDEX(TeamsList[Club Name],MATCH(ResultsTeams[[#This Row],[Team B]],TeamsList[Team Name],0)),AF642)</f>
        <v>Dutch Legends</v>
      </c>
      <c r="AG643" s="265"/>
    </row>
    <row r="644" spans="1:33" x14ac:dyDescent="0.2">
      <c r="A644" s="62"/>
      <c r="B644" s="280"/>
      <c r="C644" s="62"/>
      <c r="D644" s="62"/>
      <c r="E644" s="241" t="s">
        <v>12234</v>
      </c>
      <c r="F644" s="246" t="s">
        <v>8072</v>
      </c>
      <c r="G644" s="246" t="s">
        <v>11459</v>
      </c>
      <c r="H644" s="254">
        <v>0</v>
      </c>
      <c r="I644" s="254">
        <v>0</v>
      </c>
      <c r="J644" s="254"/>
      <c r="K644" s="363"/>
      <c r="L644" s="363"/>
      <c r="M644" s="247"/>
      <c r="N644" s="265" t="b">
        <f>NOT(ISERROR(ResultsTeams[[#This Row],[Goal-A]]+ResultsTeams[[#This Row],[Goal-B]]))</f>
        <v>1</v>
      </c>
      <c r="O644" s="265">
        <f>IF(ResultsTeams[[#This Row],[Type]]="G",SUM(O645:O648),IF(LEFT(ResultsTeams[[#This Row],[Type]],1)="P",IF(ResultsTeams[[#This Row],[Goal-A]]&gt;ResultsTeams[[#This Row],[Goal-B]],1,0),""))</f>
        <v>0</v>
      </c>
      <c r="P644" s="265">
        <f>IF(ResultsTeams[[#This Row],[Type]]="G",SUM(P645:P648),IF(LEFT(ResultsTeams[[#This Row],[Type]],1)="P",IF(ResultsTeams[[#This Row],[Goal-A]]&lt;ResultsTeams[[#This Row],[Goal-B]],1,0),""))</f>
        <v>0</v>
      </c>
      <c r="Q644" s="265">
        <f>IF(ResultsTeams[[#This Row],[Type]]="G",SUM(Q645:Q648),IF(LEFT(ResultsTeams[[#This Row],[Type]],1)="P",VALUE(ResultsTeams[[#This Row],[Score-A]]),""))</f>
        <v>0</v>
      </c>
      <c r="R644" s="265">
        <f>IF(ResultsTeams[[#This Row],[Type]]="G",SUM(R645:R648),IF(LEFT(ResultsTeams[[#This Row],[Type]],1)="P",VALUE(ResultsTeams[[#This Row],[Score-B]]),""))</f>
        <v>0</v>
      </c>
      <c r="S644" s="265" t="str">
        <f ca="1">IF(AND(ResultsTeams[[#This Row],[Category]]&lt;&gt;"",ResultsTeams[[#This Row],[Team A]]&lt;&gt;""),COUNTIF(INDIRECT("TeamsList[Club Name]"),ResultsTeams[[#This Row],[Team A]]),"")</f>
        <v/>
      </c>
      <c r="T644" s="265" t="str">
        <f ca="1">IF(AND(ResultsTeams[[#This Row],[Category]]&lt;&gt;"",ResultsTeams[[#This Row],[Team B]]&lt;&gt;""),COUNTIF(INDIRECT("TeamsList[Club Name]"),ResultsTeams[[#This Row],[Team B]]),"")</f>
        <v/>
      </c>
      <c r="U6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4" s="265" t="str">
        <f>IF(ResultsTeams[[#This Row],[Score_OK]],IF(ResultsTeams[[#This Row],[StageCpy]]="Groups",ResultsTeams[[#This Row],[Category]]&amp;"-"&amp;IF(ResultsTeams[[#This Row],[Team B]]="","",IF(ResultsTeams[[#This Row],[Match-A]]=ResultsTeams[[#This Row],[Match-B]],ResultsTeams[[#This Row],[Team A]],"")),""),"")</f>
        <v/>
      </c>
      <c r="W644" s="265" t="str">
        <f>IF(ResultsTeams[[#This Row],[Score_OK]],IF(ResultsTeams[[#This Row],[StageCpy]]="Groups",ResultsTeams[[#This Row],[Category]]&amp;"-"&amp;IF(ResultsTeams[[#This Row],[Team B]]="","",IF(ResultsTeams[[#This Row],[Match-A]]=ResultsTeams[[#This Row],[Match-B]],ResultsTeams[[#This Row],[Team B]],"")),""),"")</f>
        <v/>
      </c>
      <c r="X6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4" s="264" t="str">
        <f>IF(ResultsTeams[[#This Row],[Category]]="","",VLOOKUP(ResultsTeams[[#This Row],[Stage]],$R$1:$T$8,MATCH(ResultsTeams[[#This Row],[Category]],$S$1:$T$1,0)+1,FALSE))</f>
        <v/>
      </c>
      <c r="AC6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4" s="264" t="str">
        <f>IF(ResultsTeams[[#This Row],[Type]]="G",ResultsTeams[[#This Row],[Stage]],AD643)</f>
        <v>Last 16</v>
      </c>
      <c r="AE644" s="395" t="str">
        <f>IF(ResultsTeams[[#This Row],[Type]]="G",INDEX(TeamsList[Club Name],MATCH(ResultsTeams[[#This Row],[Team A]],TeamsList[Team Name],0)),AE643)</f>
        <v>JSC Rochefort</v>
      </c>
      <c r="AF644" s="395" t="str">
        <f>IF(ResultsTeams[[#This Row],[Type]]="G",INDEX(TeamsList[Club Name],MATCH(ResultsTeams[[#This Row],[Team B]],TeamsList[Team Name],0)),AF643)</f>
        <v>Dutch Legends</v>
      </c>
      <c r="AG644" s="265"/>
    </row>
    <row r="645" spans="1:33" x14ac:dyDescent="0.2">
      <c r="A645" s="62"/>
      <c r="B645" s="280"/>
      <c r="C645" s="62"/>
      <c r="D645" s="62"/>
      <c r="E645" s="241" t="s">
        <v>12237</v>
      </c>
      <c r="F645" s="246" t="s">
        <v>8087</v>
      </c>
      <c r="G645" s="246" t="s">
        <v>11473</v>
      </c>
      <c r="H645" s="254">
        <v>7</v>
      </c>
      <c r="I645" s="254">
        <v>1</v>
      </c>
      <c r="J645" s="254"/>
      <c r="K645" s="363"/>
      <c r="L645" s="363"/>
      <c r="M645" s="247"/>
      <c r="N645" s="265" t="b">
        <f>NOT(ISERROR(ResultsTeams[[#This Row],[Goal-A]]+ResultsTeams[[#This Row],[Goal-B]]))</f>
        <v>1</v>
      </c>
      <c r="O645" s="265">
        <f>IF(ResultsTeams[[#This Row],[Type]]="G",SUM(O646:O649),IF(LEFT(ResultsTeams[[#This Row],[Type]],1)="P",IF(ResultsTeams[[#This Row],[Goal-A]]&gt;ResultsTeams[[#This Row],[Goal-B]],1,0),""))</f>
        <v>1</v>
      </c>
      <c r="P645" s="265">
        <f>IF(ResultsTeams[[#This Row],[Type]]="G",SUM(P646:P649),IF(LEFT(ResultsTeams[[#This Row],[Type]],1)="P",IF(ResultsTeams[[#This Row],[Goal-A]]&lt;ResultsTeams[[#This Row],[Goal-B]],1,0),""))</f>
        <v>0</v>
      </c>
      <c r="Q645" s="265">
        <f>IF(ResultsTeams[[#This Row],[Type]]="G",SUM(Q646:Q649),IF(LEFT(ResultsTeams[[#This Row],[Type]],1)="P",VALUE(ResultsTeams[[#This Row],[Score-A]]),""))</f>
        <v>7</v>
      </c>
      <c r="R645" s="265">
        <f>IF(ResultsTeams[[#This Row],[Type]]="G",SUM(R646:R649),IF(LEFT(ResultsTeams[[#This Row],[Type]],1)="P",VALUE(ResultsTeams[[#This Row],[Score-B]]),""))</f>
        <v>1</v>
      </c>
      <c r="S645" s="265" t="str">
        <f ca="1">IF(AND(ResultsTeams[[#This Row],[Category]]&lt;&gt;"",ResultsTeams[[#This Row],[Team A]]&lt;&gt;""),COUNTIF(INDIRECT("TeamsList[Club Name]"),ResultsTeams[[#This Row],[Team A]]),"")</f>
        <v/>
      </c>
      <c r="T645" s="265" t="str">
        <f ca="1">IF(AND(ResultsTeams[[#This Row],[Category]]&lt;&gt;"",ResultsTeams[[#This Row],[Team B]]&lt;&gt;""),COUNTIF(INDIRECT("TeamsList[Club Name]"),ResultsTeams[[#This Row],[Team B]]),"")</f>
        <v/>
      </c>
      <c r="U6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5" s="265" t="str">
        <f>IF(ResultsTeams[[#This Row],[Score_OK]],IF(ResultsTeams[[#This Row],[StageCpy]]="Groups",ResultsTeams[[#This Row],[Category]]&amp;"-"&amp;IF(ResultsTeams[[#This Row],[Team B]]="","",IF(ResultsTeams[[#This Row],[Match-A]]=ResultsTeams[[#This Row],[Match-B]],ResultsTeams[[#This Row],[Team A]],"")),""),"")</f>
        <v/>
      </c>
      <c r="W645" s="265" t="str">
        <f>IF(ResultsTeams[[#This Row],[Score_OK]],IF(ResultsTeams[[#This Row],[StageCpy]]="Groups",ResultsTeams[[#This Row],[Category]]&amp;"-"&amp;IF(ResultsTeams[[#This Row],[Team B]]="","",IF(ResultsTeams[[#This Row],[Match-A]]=ResultsTeams[[#This Row],[Match-B]],ResultsTeams[[#This Row],[Team B]],"")),""),"")</f>
        <v/>
      </c>
      <c r="X6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5" s="264" t="str">
        <f>IF(ResultsTeams[[#This Row],[Category]]="","",VLOOKUP(ResultsTeams[[#This Row],[Stage]],$R$1:$T$8,MATCH(ResultsTeams[[#This Row],[Category]],$S$1:$T$1,0)+1,FALSE))</f>
        <v/>
      </c>
      <c r="AC6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5" s="264" t="str">
        <f>IF(ResultsTeams[[#This Row],[Type]]="G",ResultsTeams[[#This Row],[Stage]],AD644)</f>
        <v>Last 16</v>
      </c>
      <c r="AE645" s="395" t="str">
        <f>IF(ResultsTeams[[#This Row],[Type]]="G",INDEX(TeamsList[Club Name],MATCH(ResultsTeams[[#This Row],[Team A]],TeamsList[Team Name],0)),AE644)</f>
        <v>JSC Rochefort</v>
      </c>
      <c r="AF645" s="395" t="str">
        <f>IF(ResultsTeams[[#This Row],[Type]]="G",INDEX(TeamsList[Club Name],MATCH(ResultsTeams[[#This Row],[Team B]],TeamsList[Team Name],0)),AF644)</f>
        <v>Dutch Legends</v>
      </c>
      <c r="AG645" s="265"/>
    </row>
    <row r="646" spans="1:33" x14ac:dyDescent="0.2">
      <c r="A646" s="62"/>
      <c r="B646" s="280"/>
      <c r="C646" s="62"/>
      <c r="D646" s="62"/>
      <c r="E646" s="241" t="s">
        <v>12240</v>
      </c>
      <c r="F646" s="246" t="s">
        <v>8117</v>
      </c>
      <c r="G646" s="246" t="s">
        <v>10459</v>
      </c>
      <c r="H646" s="254">
        <v>4</v>
      </c>
      <c r="I646" s="254">
        <v>3</v>
      </c>
      <c r="J646" s="254"/>
      <c r="K646" s="363"/>
      <c r="L646" s="363"/>
      <c r="M646" s="247"/>
      <c r="N646" s="265" t="b">
        <f>NOT(ISERROR(ResultsTeams[[#This Row],[Goal-A]]+ResultsTeams[[#This Row],[Goal-B]]))</f>
        <v>1</v>
      </c>
      <c r="O646" s="265">
        <f>IF(ResultsTeams[[#This Row],[Type]]="G",SUM(O647:O650),IF(LEFT(ResultsTeams[[#This Row],[Type]],1)="P",IF(ResultsTeams[[#This Row],[Goal-A]]&gt;ResultsTeams[[#This Row],[Goal-B]],1,0),""))</f>
        <v>1</v>
      </c>
      <c r="P646" s="265">
        <f>IF(ResultsTeams[[#This Row],[Type]]="G",SUM(P647:P650),IF(LEFT(ResultsTeams[[#This Row],[Type]],1)="P",IF(ResultsTeams[[#This Row],[Goal-A]]&lt;ResultsTeams[[#This Row],[Goal-B]],1,0),""))</f>
        <v>0</v>
      </c>
      <c r="Q646" s="265">
        <f>IF(ResultsTeams[[#This Row],[Type]]="G",SUM(Q647:Q650),IF(LEFT(ResultsTeams[[#This Row],[Type]],1)="P",VALUE(ResultsTeams[[#This Row],[Score-A]]),""))</f>
        <v>4</v>
      </c>
      <c r="R646" s="265">
        <f>IF(ResultsTeams[[#This Row],[Type]]="G",SUM(R647:R650),IF(LEFT(ResultsTeams[[#This Row],[Type]],1)="P",VALUE(ResultsTeams[[#This Row],[Score-B]]),""))</f>
        <v>3</v>
      </c>
      <c r="S646" s="265" t="str">
        <f ca="1">IF(AND(ResultsTeams[[#This Row],[Category]]&lt;&gt;"",ResultsTeams[[#This Row],[Team A]]&lt;&gt;""),COUNTIF(INDIRECT("TeamsList[Club Name]"),ResultsTeams[[#This Row],[Team A]]),"")</f>
        <v/>
      </c>
      <c r="T646" s="265" t="str">
        <f ca="1">IF(AND(ResultsTeams[[#This Row],[Category]]&lt;&gt;"",ResultsTeams[[#This Row],[Team B]]&lt;&gt;""),COUNTIF(INDIRECT("TeamsList[Club Name]"),ResultsTeams[[#This Row],[Team B]]),"")</f>
        <v/>
      </c>
      <c r="U6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6" s="265" t="str">
        <f>IF(ResultsTeams[[#This Row],[Score_OK]],IF(ResultsTeams[[#This Row],[StageCpy]]="Groups",ResultsTeams[[#This Row],[Category]]&amp;"-"&amp;IF(ResultsTeams[[#This Row],[Team B]]="","",IF(ResultsTeams[[#This Row],[Match-A]]=ResultsTeams[[#This Row],[Match-B]],ResultsTeams[[#This Row],[Team A]],"")),""),"")</f>
        <v/>
      </c>
      <c r="W646" s="265" t="str">
        <f>IF(ResultsTeams[[#This Row],[Score_OK]],IF(ResultsTeams[[#This Row],[StageCpy]]="Groups",ResultsTeams[[#This Row],[Category]]&amp;"-"&amp;IF(ResultsTeams[[#This Row],[Team B]]="","",IF(ResultsTeams[[#This Row],[Match-A]]=ResultsTeams[[#This Row],[Match-B]],ResultsTeams[[#This Row],[Team B]],"")),""),"")</f>
        <v/>
      </c>
      <c r="X6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6" s="264" t="str">
        <f>IF(ResultsTeams[[#This Row],[Category]]="","",VLOOKUP(ResultsTeams[[#This Row],[Stage]],$R$1:$T$8,MATCH(ResultsTeams[[#This Row],[Category]],$S$1:$T$1,0)+1,FALSE))</f>
        <v/>
      </c>
      <c r="AC6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6" s="264" t="str">
        <f>IF(ResultsTeams[[#This Row],[Type]]="G",ResultsTeams[[#This Row],[Stage]],AD645)</f>
        <v>Last 16</v>
      </c>
      <c r="AE646" s="395" t="str">
        <f>IF(ResultsTeams[[#This Row],[Type]]="G",INDEX(TeamsList[Club Name],MATCH(ResultsTeams[[#This Row],[Team A]],TeamsList[Team Name],0)),AE645)</f>
        <v>JSC Rochefort</v>
      </c>
      <c r="AF646" s="395" t="str">
        <f>IF(ResultsTeams[[#This Row],[Type]]="G",INDEX(TeamsList[Club Name],MATCH(ResultsTeams[[#This Row],[Team B]],TeamsList[Team Name],0)),AF645)</f>
        <v>Dutch Legends</v>
      </c>
      <c r="AG646" s="265"/>
    </row>
    <row r="647" spans="1:33" x14ac:dyDescent="0.2">
      <c r="A647" s="62"/>
      <c r="B647" s="62"/>
      <c r="C647" s="62"/>
      <c r="D647" s="62"/>
      <c r="E647" s="241" t="s">
        <v>12243</v>
      </c>
      <c r="F647" s="247"/>
      <c r="G647" s="247"/>
      <c r="H647" s="254"/>
      <c r="I647" s="254"/>
      <c r="J647" s="260"/>
      <c r="K647" s="364"/>
      <c r="L647" s="364"/>
      <c r="M647" s="247"/>
      <c r="N647" s="265" t="b">
        <f>NOT(ISERROR(ResultsTeams[[#This Row],[Goal-A]]+ResultsTeams[[#This Row],[Goal-B]]))</f>
        <v>0</v>
      </c>
      <c r="O647" s="265" t="str">
        <f>IF(ResultsTeams[[#This Row],[Type]]="G",SUM(O648:O651),IF(LEFT(ResultsTeams[[#This Row],[Type]],1)="P",IF(ResultsTeams[[#This Row],[Goal-A]]&gt;ResultsTeams[[#This Row],[Goal-B]],1,0),""))</f>
        <v/>
      </c>
      <c r="P647" s="265" t="str">
        <f>IF(ResultsTeams[[#This Row],[Type]]="G",SUM(P648:P651),IF(LEFT(ResultsTeams[[#This Row],[Type]],1)="P",IF(ResultsTeams[[#This Row],[Goal-A]]&lt;ResultsTeams[[#This Row],[Goal-B]],1,0),""))</f>
        <v/>
      </c>
      <c r="Q647" s="265" t="str">
        <f>IF(ResultsTeams[[#This Row],[Type]]="G",SUM(Q648:Q651),IF(LEFT(ResultsTeams[[#This Row],[Type]],1)="P",VALUE(ResultsTeams[[#This Row],[Score-A]]),""))</f>
        <v/>
      </c>
      <c r="R647" s="265" t="str">
        <f>IF(ResultsTeams[[#This Row],[Type]]="G",SUM(R648:R651),IF(LEFT(ResultsTeams[[#This Row],[Type]],1)="P",VALUE(ResultsTeams[[#This Row],[Score-B]]),""))</f>
        <v/>
      </c>
      <c r="S647" s="265" t="str">
        <f ca="1">IF(AND(ResultsTeams[[#This Row],[Category]]&lt;&gt;"",ResultsTeams[[#This Row],[Team A]]&lt;&gt;""),COUNTIF(INDIRECT("TeamsList[Club Name]"),ResultsTeams[[#This Row],[Team A]]),"")</f>
        <v/>
      </c>
      <c r="T647" s="265" t="str">
        <f ca="1">IF(AND(ResultsTeams[[#This Row],[Category]]&lt;&gt;"",ResultsTeams[[#This Row],[Team B]]&lt;&gt;""),COUNTIF(INDIRECT("TeamsList[Club Name]"),ResultsTeams[[#This Row],[Team B]]),"")</f>
        <v/>
      </c>
      <c r="U6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7" s="265" t="str">
        <f>IF(ResultsTeams[[#This Row],[Score_OK]],IF(ResultsTeams[[#This Row],[StageCpy]]="Groups",ResultsTeams[[#This Row],[Category]]&amp;"-"&amp;IF(ResultsTeams[[#This Row],[Team B]]="","",IF(ResultsTeams[[#This Row],[Match-A]]=ResultsTeams[[#This Row],[Match-B]],ResultsTeams[[#This Row],[Team A]],"")),""),"")</f>
        <v/>
      </c>
      <c r="W647" s="265" t="str">
        <f>IF(ResultsTeams[[#This Row],[Score_OK]],IF(ResultsTeams[[#This Row],[StageCpy]]="Groups",ResultsTeams[[#This Row],[Category]]&amp;"-"&amp;IF(ResultsTeams[[#This Row],[Team B]]="","",IF(ResultsTeams[[#This Row],[Match-A]]=ResultsTeams[[#This Row],[Match-B]],ResultsTeams[[#This Row],[Team B]],"")),""),"")</f>
        <v/>
      </c>
      <c r="X6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7" s="264" t="str">
        <f>IF(ResultsTeams[[#This Row],[Category]]="","",VLOOKUP(ResultsTeams[[#This Row],[Stage]],$R$1:$T$8,MATCH(ResultsTeams[[#This Row],[Category]],$S$1:$T$1,0)+1,FALSE))</f>
        <v/>
      </c>
      <c r="AC6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7" s="264" t="str">
        <f>IF(ResultsTeams[[#This Row],[Type]]="G",ResultsTeams[[#This Row],[Stage]],AD646)</f>
        <v>Last 16</v>
      </c>
      <c r="AE647" s="395" t="str">
        <f>IF(ResultsTeams[[#This Row],[Type]]="G",INDEX(TeamsList[Club Name],MATCH(ResultsTeams[[#This Row],[Team A]],TeamsList[Team Name],0)),AE646)</f>
        <v>JSC Rochefort</v>
      </c>
      <c r="AF647" s="395" t="str">
        <f>IF(ResultsTeams[[#This Row],[Type]]="G",INDEX(TeamsList[Club Name],MATCH(ResultsTeams[[#This Row],[Team B]],TeamsList[Team Name],0)),AF646)</f>
        <v>Dutch Legends</v>
      </c>
      <c r="AG647" s="265"/>
    </row>
    <row r="648" spans="1:33" ht="12" thickBot="1" x14ac:dyDescent="0.25">
      <c r="A648" s="83"/>
      <c r="B648" s="83"/>
      <c r="C648" s="83"/>
      <c r="D648" s="83"/>
      <c r="E648" s="268" t="s">
        <v>12244</v>
      </c>
      <c r="F648" s="262"/>
      <c r="G648" s="262"/>
      <c r="H648" s="324"/>
      <c r="I648" s="324"/>
      <c r="J648" s="263"/>
      <c r="K648" s="365"/>
      <c r="L648" s="365"/>
      <c r="M648" s="262"/>
      <c r="N648" s="265" t="b">
        <f>NOT(ISERROR(ResultsTeams[[#This Row],[Goal-A]]+ResultsTeams[[#This Row],[Goal-B]]))</f>
        <v>0</v>
      </c>
      <c r="O648" s="265" t="str">
        <f>IF(ResultsTeams[[#This Row],[Type]]="G",SUM(O649:O652),IF(LEFT(ResultsTeams[[#This Row],[Type]],1)="P",IF(ResultsTeams[[#This Row],[Goal-A]]&gt;ResultsTeams[[#This Row],[Goal-B]],1,0),""))</f>
        <v/>
      </c>
      <c r="P648" s="265" t="str">
        <f>IF(ResultsTeams[[#This Row],[Type]]="G",SUM(P649:P652),IF(LEFT(ResultsTeams[[#This Row],[Type]],1)="P",IF(ResultsTeams[[#This Row],[Goal-A]]&lt;ResultsTeams[[#This Row],[Goal-B]],1,0),""))</f>
        <v/>
      </c>
      <c r="Q648" s="265" t="str">
        <f>IF(ResultsTeams[[#This Row],[Type]]="G",SUM(Q649:Q652),IF(LEFT(ResultsTeams[[#This Row],[Type]],1)="P",VALUE(ResultsTeams[[#This Row],[Score-A]]),""))</f>
        <v/>
      </c>
      <c r="R648" s="265" t="str">
        <f>IF(ResultsTeams[[#This Row],[Type]]="G",SUM(R649:R652),IF(LEFT(ResultsTeams[[#This Row],[Type]],1)="P",VALUE(ResultsTeams[[#This Row],[Score-B]]),""))</f>
        <v/>
      </c>
      <c r="S648" s="265" t="str">
        <f ca="1">IF(AND(ResultsTeams[[#This Row],[Category]]&lt;&gt;"",ResultsTeams[[#This Row],[Team A]]&lt;&gt;""),COUNTIF(INDIRECT("TeamsList[Club Name]"),ResultsTeams[[#This Row],[Team A]]),"")</f>
        <v/>
      </c>
      <c r="T648" s="265" t="str">
        <f ca="1">IF(AND(ResultsTeams[[#This Row],[Category]]&lt;&gt;"",ResultsTeams[[#This Row],[Team B]]&lt;&gt;""),COUNTIF(INDIRECT("TeamsList[Club Name]"),ResultsTeams[[#This Row],[Team B]]),"")</f>
        <v/>
      </c>
      <c r="U6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8" s="265" t="str">
        <f>IF(ResultsTeams[[#This Row],[Score_OK]],IF(ResultsTeams[[#This Row],[StageCpy]]="Groups",ResultsTeams[[#This Row],[Category]]&amp;"-"&amp;IF(ResultsTeams[[#This Row],[Team B]]="","",IF(ResultsTeams[[#This Row],[Match-A]]=ResultsTeams[[#This Row],[Match-B]],ResultsTeams[[#This Row],[Team A]],"")),""),"")</f>
        <v/>
      </c>
      <c r="W648" s="265" t="str">
        <f>IF(ResultsTeams[[#This Row],[Score_OK]],IF(ResultsTeams[[#This Row],[StageCpy]]="Groups",ResultsTeams[[#This Row],[Category]]&amp;"-"&amp;IF(ResultsTeams[[#This Row],[Team B]]="","",IF(ResultsTeams[[#This Row],[Match-A]]=ResultsTeams[[#This Row],[Match-B]],ResultsTeams[[#This Row],[Team B]],"")),""),"")</f>
        <v/>
      </c>
      <c r="X6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8" s="264" t="str">
        <f>IF(ResultsTeams[[#This Row],[Category]]="","",VLOOKUP(ResultsTeams[[#This Row],[Stage]],$R$1:$T$8,MATCH(ResultsTeams[[#This Row],[Category]],$S$1:$T$1,0)+1,FALSE))</f>
        <v/>
      </c>
      <c r="AC6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8" s="264" t="str">
        <f>IF(ResultsTeams[[#This Row],[Type]]="G",ResultsTeams[[#This Row],[Stage]],AD647)</f>
        <v>Last 16</v>
      </c>
      <c r="AE648" s="395" t="str">
        <f>IF(ResultsTeams[[#This Row],[Type]]="G",INDEX(TeamsList[Club Name],MATCH(ResultsTeams[[#This Row],[Team A]],TeamsList[Team Name],0)),AE647)</f>
        <v>JSC Rochefort</v>
      </c>
      <c r="AF648" s="395" t="str">
        <f>IF(ResultsTeams[[#This Row],[Type]]="G",INDEX(TeamsList[Club Name],MATCH(ResultsTeams[[#This Row],[Team B]],TeamsList[Team Name],0)),AF647)</f>
        <v>Dutch Legends</v>
      </c>
      <c r="AG648" s="265"/>
    </row>
    <row r="649" spans="1:33" ht="12" thickBot="1" x14ac:dyDescent="0.25">
      <c r="A649" s="261" t="s">
        <v>12263</v>
      </c>
      <c r="B649" s="270" t="s">
        <v>12219</v>
      </c>
      <c r="C649" s="506"/>
      <c r="D649" s="270"/>
      <c r="E649" s="272" t="s">
        <v>12228</v>
      </c>
      <c r="F649" s="273" t="s">
        <v>415</v>
      </c>
      <c r="G649" s="273" t="s">
        <v>343</v>
      </c>
      <c r="H649" s="275">
        <v>2</v>
      </c>
      <c r="I649" s="275">
        <v>2</v>
      </c>
      <c r="J649" s="275"/>
      <c r="K649" s="366"/>
      <c r="L649" s="366"/>
      <c r="M649" s="274"/>
      <c r="N649" s="265" t="b">
        <f>NOT(ISERROR(ResultsTeams[[#This Row],[Goal-A]]+ResultsTeams[[#This Row],[Goal-B]]))</f>
        <v>1</v>
      </c>
      <c r="O649" s="265">
        <f>IF(ResultsTeams[[#This Row],[Type]]="G",SUM(O650:O653),IF(LEFT(ResultsTeams[[#This Row],[Type]],1)="P",IF(ResultsTeams[[#This Row],[Goal-A]]&gt;ResultsTeams[[#This Row],[Goal-B]],1,0),""))</f>
        <v>2</v>
      </c>
      <c r="P649" s="265">
        <f>IF(ResultsTeams[[#This Row],[Type]]="G",SUM(P650:P653),IF(LEFT(ResultsTeams[[#This Row],[Type]],1)="P",IF(ResultsTeams[[#This Row],[Goal-A]]&lt;ResultsTeams[[#This Row],[Goal-B]],1,0),""))</f>
        <v>2</v>
      </c>
      <c r="Q649" s="265">
        <f>IF(ResultsTeams[[#This Row],[Type]]="G",SUM(Q650:Q653),IF(LEFT(ResultsTeams[[#This Row],[Type]],1)="P",VALUE(ResultsTeams[[#This Row],[Score-A]]),""))</f>
        <v>9</v>
      </c>
      <c r="R649" s="265">
        <f>IF(ResultsTeams[[#This Row],[Type]]="G",SUM(R650:R653),IF(LEFT(ResultsTeams[[#This Row],[Type]],1)="P",VALUE(ResultsTeams[[#This Row],[Score-B]]),""))</f>
        <v>8</v>
      </c>
      <c r="S649" s="265">
        <f ca="1">IF(AND(ResultsTeams[[#This Row],[Category]]&lt;&gt;"",ResultsTeams[[#This Row],[Team A]]&lt;&gt;""),COUNTIF(INDIRECT("TeamsList[Club Name]"),ResultsTeams[[#This Row],[Team A]]),"")</f>
        <v>2</v>
      </c>
      <c r="T649" s="265">
        <f ca="1">IF(AND(ResultsTeams[[#This Row],[Category]]&lt;&gt;"",ResultsTeams[[#This Row],[Team B]]&lt;&gt;""),COUNTIF(INDIRECT("TeamsList[Club Name]"),ResultsTeams[[#This Row],[Team B]]),"")</f>
        <v>1</v>
      </c>
      <c r="U6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9" s="265" t="str">
        <f>IF(ResultsTeams[[#This Row],[Score_OK]],IF(ResultsTeams[[#This Row],[StageCpy]]="Groups",ResultsTeams[[#This Row],[Category]]&amp;"-"&amp;IF(ResultsTeams[[#This Row],[Team B]]="","",IF(ResultsTeams[[#This Row],[Match-A]]=ResultsTeams[[#This Row],[Match-B]],ResultsTeams[[#This Row],[Team A]],"")),""),"")</f>
        <v/>
      </c>
      <c r="W649" s="265" t="str">
        <f>IF(ResultsTeams[[#This Row],[Score_OK]],IF(ResultsTeams[[#This Row],[StageCpy]]="Groups",ResultsTeams[[#This Row],[Category]]&amp;"-"&amp;IF(ResultsTeams[[#This Row],[Team B]]="","",IF(ResultsTeams[[#This Row],[Match-A]]=ResultsTeams[[#This Row],[Match-B]],ResultsTeams[[#This Row],[Team B]],"")),""),"")</f>
        <v/>
      </c>
      <c r="X6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CONSOLATION-US Huy</v>
      </c>
      <c r="Z649"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49"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49" s="264" t="e">
        <f>IF(ResultsTeams[[#This Row],[Category]]="","",VLOOKUP(ResultsTeams[[#This Row],[Stage]],$R$1:$T$8,MATCH(ResultsTeams[[#This Row],[Category]],$S$1:$T$1,0)+1,FALSE))</f>
        <v>#N/A</v>
      </c>
      <c r="AC649"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49" s="264" t="str">
        <f>IF(ResultsTeams[[#This Row],[Type]]="G",ResultsTeams[[#This Row],[Stage]],AD648)</f>
        <v>Last 16</v>
      </c>
      <c r="AE649" s="395" t="str">
        <f>IF(ResultsTeams[[#This Row],[Type]]="G",INDEX(TeamsList[Club Name],MATCH(ResultsTeams[[#This Row],[Team A]],TeamsList[Team Name],0)),AE648)</f>
        <v>Kent Invicta TFC</v>
      </c>
      <c r="AF649" s="395" t="str">
        <f>IF(ResultsTeams[[#This Row],[Type]]="G",INDEX(TeamsList[Club Name],MATCH(ResultsTeams[[#This Row],[Team B]],TeamsList[Team Name],0)),AF648)</f>
        <v>US Huy</v>
      </c>
      <c r="AG649" s="265"/>
    </row>
    <row r="650" spans="1:33" x14ac:dyDescent="0.2">
      <c r="A650" s="60"/>
      <c r="B650" s="280"/>
      <c r="C650" s="60"/>
      <c r="D650" s="60"/>
      <c r="E650" s="240" t="s">
        <v>12231</v>
      </c>
      <c r="F650" s="244" t="s">
        <v>13241</v>
      </c>
      <c r="G650" s="244" t="s">
        <v>8100</v>
      </c>
      <c r="H650" s="253">
        <v>1</v>
      </c>
      <c r="I650" s="253">
        <v>2</v>
      </c>
      <c r="J650" s="253"/>
      <c r="K650" s="362"/>
      <c r="L650" s="362"/>
      <c r="M650" s="245"/>
      <c r="N650" s="265" t="b">
        <f>NOT(ISERROR(ResultsTeams[[#This Row],[Goal-A]]+ResultsTeams[[#This Row],[Goal-B]]))</f>
        <v>1</v>
      </c>
      <c r="O650" s="265">
        <f>IF(ResultsTeams[[#This Row],[Type]]="G",SUM(O651:O654),IF(LEFT(ResultsTeams[[#This Row],[Type]],1)="P",IF(ResultsTeams[[#This Row],[Goal-A]]&gt;ResultsTeams[[#This Row],[Goal-B]],1,0),""))</f>
        <v>0</v>
      </c>
      <c r="P650" s="265">
        <f>IF(ResultsTeams[[#This Row],[Type]]="G",SUM(P651:P654),IF(LEFT(ResultsTeams[[#This Row],[Type]],1)="P",IF(ResultsTeams[[#This Row],[Goal-A]]&lt;ResultsTeams[[#This Row],[Goal-B]],1,0),""))</f>
        <v>1</v>
      </c>
      <c r="Q650" s="265">
        <f>IF(ResultsTeams[[#This Row],[Type]]="G",SUM(Q651:Q654),IF(LEFT(ResultsTeams[[#This Row],[Type]],1)="P",VALUE(ResultsTeams[[#This Row],[Score-A]]),""))</f>
        <v>1</v>
      </c>
      <c r="R650" s="265">
        <f>IF(ResultsTeams[[#This Row],[Type]]="G",SUM(R651:R654),IF(LEFT(ResultsTeams[[#This Row],[Type]],1)="P",VALUE(ResultsTeams[[#This Row],[Score-B]]),""))</f>
        <v>2</v>
      </c>
      <c r="S650" s="265" t="str">
        <f ca="1">IF(AND(ResultsTeams[[#This Row],[Category]]&lt;&gt;"",ResultsTeams[[#This Row],[Team A]]&lt;&gt;""),COUNTIF(INDIRECT("TeamsList[Club Name]"),ResultsTeams[[#This Row],[Team A]]),"")</f>
        <v/>
      </c>
      <c r="T650" s="265" t="str">
        <f ca="1">IF(AND(ResultsTeams[[#This Row],[Category]]&lt;&gt;"",ResultsTeams[[#This Row],[Team B]]&lt;&gt;""),COUNTIF(INDIRECT("TeamsList[Club Name]"),ResultsTeams[[#This Row],[Team B]]),"")</f>
        <v/>
      </c>
      <c r="U6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0" s="265" t="str">
        <f>IF(ResultsTeams[[#This Row],[Score_OK]],IF(ResultsTeams[[#This Row],[StageCpy]]="Groups",ResultsTeams[[#This Row],[Category]]&amp;"-"&amp;IF(ResultsTeams[[#This Row],[Team B]]="","",IF(ResultsTeams[[#This Row],[Match-A]]=ResultsTeams[[#This Row],[Match-B]],ResultsTeams[[#This Row],[Team A]],"")),""),"")</f>
        <v/>
      </c>
      <c r="W650" s="265" t="str">
        <f>IF(ResultsTeams[[#This Row],[Score_OK]],IF(ResultsTeams[[#This Row],[StageCpy]]="Groups",ResultsTeams[[#This Row],[Category]]&amp;"-"&amp;IF(ResultsTeams[[#This Row],[Team B]]="","",IF(ResultsTeams[[#This Row],[Match-A]]=ResultsTeams[[#This Row],[Match-B]],ResultsTeams[[#This Row],[Team B]],"")),""),"")</f>
        <v/>
      </c>
      <c r="X6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0" s="264" t="str">
        <f>IF(ResultsTeams[[#This Row],[Category]]="","",VLOOKUP(ResultsTeams[[#This Row],[Stage]],$R$1:$T$8,MATCH(ResultsTeams[[#This Row],[Category]],$S$1:$T$1,0)+1,FALSE))</f>
        <v/>
      </c>
      <c r="AC6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0" s="264" t="str">
        <f>IF(ResultsTeams[[#This Row],[Type]]="G",ResultsTeams[[#This Row],[Stage]],AD649)</f>
        <v>Last 16</v>
      </c>
      <c r="AE650" s="395" t="str">
        <f>IF(ResultsTeams[[#This Row],[Type]]="G",INDEX(TeamsList[Club Name],MATCH(ResultsTeams[[#This Row],[Team A]],TeamsList[Team Name],0)),AE649)</f>
        <v>Kent Invicta TFC</v>
      </c>
      <c r="AF650" s="395" t="str">
        <f>IF(ResultsTeams[[#This Row],[Type]]="G",INDEX(TeamsList[Club Name],MATCH(ResultsTeams[[#This Row],[Team B]],TeamsList[Team Name],0)),AF649)</f>
        <v>US Huy</v>
      </c>
      <c r="AG650" s="265"/>
    </row>
    <row r="651" spans="1:33" x14ac:dyDescent="0.2">
      <c r="A651" s="62"/>
      <c r="B651" s="280"/>
      <c r="C651" s="62"/>
      <c r="D651" s="62"/>
      <c r="E651" s="241" t="s">
        <v>12234</v>
      </c>
      <c r="F651" s="246" t="s">
        <v>8513</v>
      </c>
      <c r="G651" s="246" t="s">
        <v>8152</v>
      </c>
      <c r="H651" s="254">
        <v>2</v>
      </c>
      <c r="I651" s="254">
        <v>1</v>
      </c>
      <c r="J651" s="254"/>
      <c r="K651" s="363"/>
      <c r="L651" s="363"/>
      <c r="M651" s="247"/>
      <c r="N651" s="265" t="b">
        <f>NOT(ISERROR(ResultsTeams[[#This Row],[Goal-A]]+ResultsTeams[[#This Row],[Goal-B]]))</f>
        <v>1</v>
      </c>
      <c r="O651" s="265">
        <f>IF(ResultsTeams[[#This Row],[Type]]="G",SUM(O652:O655),IF(LEFT(ResultsTeams[[#This Row],[Type]],1)="P",IF(ResultsTeams[[#This Row],[Goal-A]]&gt;ResultsTeams[[#This Row],[Goal-B]],1,0),""))</f>
        <v>1</v>
      </c>
      <c r="P651" s="265">
        <f>IF(ResultsTeams[[#This Row],[Type]]="G",SUM(P652:P655),IF(LEFT(ResultsTeams[[#This Row],[Type]],1)="P",IF(ResultsTeams[[#This Row],[Goal-A]]&lt;ResultsTeams[[#This Row],[Goal-B]],1,0),""))</f>
        <v>0</v>
      </c>
      <c r="Q651" s="265">
        <f>IF(ResultsTeams[[#This Row],[Type]]="G",SUM(Q652:Q655),IF(LEFT(ResultsTeams[[#This Row],[Type]],1)="P",VALUE(ResultsTeams[[#This Row],[Score-A]]),""))</f>
        <v>2</v>
      </c>
      <c r="R651" s="265">
        <f>IF(ResultsTeams[[#This Row],[Type]]="G",SUM(R652:R655),IF(LEFT(ResultsTeams[[#This Row],[Type]],1)="P",VALUE(ResultsTeams[[#This Row],[Score-B]]),""))</f>
        <v>1</v>
      </c>
      <c r="S651" s="265" t="str">
        <f ca="1">IF(AND(ResultsTeams[[#This Row],[Category]]&lt;&gt;"",ResultsTeams[[#This Row],[Team A]]&lt;&gt;""),COUNTIF(INDIRECT("TeamsList[Club Name]"),ResultsTeams[[#This Row],[Team A]]),"")</f>
        <v/>
      </c>
      <c r="T651" s="265" t="str">
        <f ca="1">IF(AND(ResultsTeams[[#This Row],[Category]]&lt;&gt;"",ResultsTeams[[#This Row],[Team B]]&lt;&gt;""),COUNTIF(INDIRECT("TeamsList[Club Name]"),ResultsTeams[[#This Row],[Team B]]),"")</f>
        <v/>
      </c>
      <c r="U6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1" s="265" t="str">
        <f>IF(ResultsTeams[[#This Row],[Score_OK]],IF(ResultsTeams[[#This Row],[StageCpy]]="Groups",ResultsTeams[[#This Row],[Category]]&amp;"-"&amp;IF(ResultsTeams[[#This Row],[Team B]]="","",IF(ResultsTeams[[#This Row],[Match-A]]=ResultsTeams[[#This Row],[Match-B]],ResultsTeams[[#This Row],[Team A]],"")),""),"")</f>
        <v/>
      </c>
      <c r="W651" s="265" t="str">
        <f>IF(ResultsTeams[[#This Row],[Score_OK]],IF(ResultsTeams[[#This Row],[StageCpy]]="Groups",ResultsTeams[[#This Row],[Category]]&amp;"-"&amp;IF(ResultsTeams[[#This Row],[Team B]]="","",IF(ResultsTeams[[#This Row],[Match-A]]=ResultsTeams[[#This Row],[Match-B]],ResultsTeams[[#This Row],[Team B]],"")),""),"")</f>
        <v/>
      </c>
      <c r="X6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1" s="264" t="str">
        <f>IF(ResultsTeams[[#This Row],[Category]]="","",VLOOKUP(ResultsTeams[[#This Row],[Stage]],$R$1:$T$8,MATCH(ResultsTeams[[#This Row],[Category]],$S$1:$T$1,0)+1,FALSE))</f>
        <v/>
      </c>
      <c r="AC6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1" s="264" t="str">
        <f>IF(ResultsTeams[[#This Row],[Type]]="G",ResultsTeams[[#This Row],[Stage]],AD650)</f>
        <v>Last 16</v>
      </c>
      <c r="AE651" s="395" t="str">
        <f>IF(ResultsTeams[[#This Row],[Type]]="G",INDEX(TeamsList[Club Name],MATCH(ResultsTeams[[#This Row],[Team A]],TeamsList[Team Name],0)),AE650)</f>
        <v>Kent Invicta TFC</v>
      </c>
      <c r="AF651" s="395" t="str">
        <f>IF(ResultsTeams[[#This Row],[Type]]="G",INDEX(TeamsList[Club Name],MATCH(ResultsTeams[[#This Row],[Team B]],TeamsList[Team Name],0)),AF650)</f>
        <v>US Huy</v>
      </c>
      <c r="AG651" s="265"/>
    </row>
    <row r="652" spans="1:33" x14ac:dyDescent="0.2">
      <c r="A652" s="62"/>
      <c r="B652" s="280"/>
      <c r="C652" s="62"/>
      <c r="D652" s="62"/>
      <c r="E652" s="241" t="s">
        <v>12237</v>
      </c>
      <c r="F652" s="246" t="s">
        <v>8547</v>
      </c>
      <c r="G652" s="246" t="s">
        <v>12756</v>
      </c>
      <c r="H652" s="254">
        <v>6</v>
      </c>
      <c r="I652" s="254">
        <v>1</v>
      </c>
      <c r="J652" s="254" t="s">
        <v>14586</v>
      </c>
      <c r="K652" s="363"/>
      <c r="L652" s="363"/>
      <c r="M652" s="247"/>
      <c r="N652" s="265" t="b">
        <f>NOT(ISERROR(ResultsTeams[[#This Row],[Goal-A]]+ResultsTeams[[#This Row],[Goal-B]]))</f>
        <v>1</v>
      </c>
      <c r="O652" s="265">
        <f>IF(ResultsTeams[[#This Row],[Type]]="G",SUM(O653:O656),IF(LEFT(ResultsTeams[[#This Row],[Type]],1)="P",IF(ResultsTeams[[#This Row],[Goal-A]]&gt;ResultsTeams[[#This Row],[Goal-B]],1,0),""))</f>
        <v>1</v>
      </c>
      <c r="P652" s="265">
        <f>IF(ResultsTeams[[#This Row],[Type]]="G",SUM(P653:P656),IF(LEFT(ResultsTeams[[#This Row],[Type]],1)="P",IF(ResultsTeams[[#This Row],[Goal-A]]&lt;ResultsTeams[[#This Row],[Goal-B]],1,0),""))</f>
        <v>0</v>
      </c>
      <c r="Q652" s="265">
        <f>IF(ResultsTeams[[#This Row],[Type]]="G",SUM(Q653:Q656),IF(LEFT(ResultsTeams[[#This Row],[Type]],1)="P",VALUE(ResultsTeams[[#This Row],[Score-A]]),""))</f>
        <v>6</v>
      </c>
      <c r="R652" s="265">
        <f>IF(ResultsTeams[[#This Row],[Type]]="G",SUM(R653:R656),IF(LEFT(ResultsTeams[[#This Row],[Type]],1)="P",VALUE(ResultsTeams[[#This Row],[Score-B]]),""))</f>
        <v>1</v>
      </c>
      <c r="S652" s="265" t="str">
        <f ca="1">IF(AND(ResultsTeams[[#This Row],[Category]]&lt;&gt;"",ResultsTeams[[#This Row],[Team A]]&lt;&gt;""),COUNTIF(INDIRECT("TeamsList[Club Name]"),ResultsTeams[[#This Row],[Team A]]),"")</f>
        <v/>
      </c>
      <c r="T652" s="265" t="str">
        <f ca="1">IF(AND(ResultsTeams[[#This Row],[Category]]&lt;&gt;"",ResultsTeams[[#This Row],[Team B]]&lt;&gt;""),COUNTIF(INDIRECT("TeamsList[Club Name]"),ResultsTeams[[#This Row],[Team B]]),"")</f>
        <v/>
      </c>
      <c r="U6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2" s="265" t="str">
        <f>IF(ResultsTeams[[#This Row],[Score_OK]],IF(ResultsTeams[[#This Row],[StageCpy]]="Groups",ResultsTeams[[#This Row],[Category]]&amp;"-"&amp;IF(ResultsTeams[[#This Row],[Team B]]="","",IF(ResultsTeams[[#This Row],[Match-A]]=ResultsTeams[[#This Row],[Match-B]],ResultsTeams[[#This Row],[Team A]],"")),""),"")</f>
        <v/>
      </c>
      <c r="W652" s="265" t="str">
        <f>IF(ResultsTeams[[#This Row],[Score_OK]],IF(ResultsTeams[[#This Row],[StageCpy]]="Groups",ResultsTeams[[#This Row],[Category]]&amp;"-"&amp;IF(ResultsTeams[[#This Row],[Team B]]="","",IF(ResultsTeams[[#This Row],[Match-A]]=ResultsTeams[[#This Row],[Match-B]],ResultsTeams[[#This Row],[Team B]],"")),""),"")</f>
        <v/>
      </c>
      <c r="X6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2" s="264" t="str">
        <f>IF(ResultsTeams[[#This Row],[Category]]="","",VLOOKUP(ResultsTeams[[#This Row],[Stage]],$R$1:$T$8,MATCH(ResultsTeams[[#This Row],[Category]],$S$1:$T$1,0)+1,FALSE))</f>
        <v/>
      </c>
      <c r="AC6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2" s="264" t="str">
        <f>IF(ResultsTeams[[#This Row],[Type]]="G",ResultsTeams[[#This Row],[Stage]],AD651)</f>
        <v>Last 16</v>
      </c>
      <c r="AE652" s="395" t="str">
        <f>IF(ResultsTeams[[#This Row],[Type]]="G",INDEX(TeamsList[Club Name],MATCH(ResultsTeams[[#This Row],[Team A]],TeamsList[Team Name],0)),AE651)</f>
        <v>Kent Invicta TFC</v>
      </c>
      <c r="AF652" s="395" t="str">
        <f>IF(ResultsTeams[[#This Row],[Type]]="G",INDEX(TeamsList[Club Name],MATCH(ResultsTeams[[#This Row],[Team B]],TeamsList[Team Name],0)),AF651)</f>
        <v>US Huy</v>
      </c>
      <c r="AG652" s="265"/>
    </row>
    <row r="653" spans="1:33" x14ac:dyDescent="0.2">
      <c r="A653" s="62"/>
      <c r="B653" s="280"/>
      <c r="C653" s="62"/>
      <c r="D653" s="62"/>
      <c r="E653" s="241" t="s">
        <v>12240</v>
      </c>
      <c r="F653" s="246" t="s">
        <v>8107</v>
      </c>
      <c r="G653" s="246" t="s">
        <v>8131</v>
      </c>
      <c r="H653" s="254">
        <v>0</v>
      </c>
      <c r="I653" s="254">
        <v>4</v>
      </c>
      <c r="J653" s="254"/>
      <c r="K653" s="363"/>
      <c r="L653" s="363"/>
      <c r="M653" s="247"/>
      <c r="N653" s="265" t="b">
        <f>NOT(ISERROR(ResultsTeams[[#This Row],[Goal-A]]+ResultsTeams[[#This Row],[Goal-B]]))</f>
        <v>1</v>
      </c>
      <c r="O653" s="265">
        <f>IF(ResultsTeams[[#This Row],[Type]]="G",SUM(O654:O657),IF(LEFT(ResultsTeams[[#This Row],[Type]],1)="P",IF(ResultsTeams[[#This Row],[Goal-A]]&gt;ResultsTeams[[#This Row],[Goal-B]],1,0),""))</f>
        <v>0</v>
      </c>
      <c r="P653" s="265">
        <f>IF(ResultsTeams[[#This Row],[Type]]="G",SUM(P654:P657),IF(LEFT(ResultsTeams[[#This Row],[Type]],1)="P",IF(ResultsTeams[[#This Row],[Goal-A]]&lt;ResultsTeams[[#This Row],[Goal-B]],1,0),""))</f>
        <v>1</v>
      </c>
      <c r="Q653" s="265">
        <f>IF(ResultsTeams[[#This Row],[Type]]="G",SUM(Q654:Q657),IF(LEFT(ResultsTeams[[#This Row],[Type]],1)="P",VALUE(ResultsTeams[[#This Row],[Score-A]]),""))</f>
        <v>0</v>
      </c>
      <c r="R653" s="265">
        <f>IF(ResultsTeams[[#This Row],[Type]]="G",SUM(R654:R657),IF(LEFT(ResultsTeams[[#This Row],[Type]],1)="P",VALUE(ResultsTeams[[#This Row],[Score-B]]),""))</f>
        <v>4</v>
      </c>
      <c r="S653" s="265" t="str">
        <f ca="1">IF(AND(ResultsTeams[[#This Row],[Category]]&lt;&gt;"",ResultsTeams[[#This Row],[Team A]]&lt;&gt;""),COUNTIF(INDIRECT("TeamsList[Club Name]"),ResultsTeams[[#This Row],[Team A]]),"")</f>
        <v/>
      </c>
      <c r="T653" s="265" t="str">
        <f ca="1">IF(AND(ResultsTeams[[#This Row],[Category]]&lt;&gt;"",ResultsTeams[[#This Row],[Team B]]&lt;&gt;""),COUNTIF(INDIRECT("TeamsList[Club Name]"),ResultsTeams[[#This Row],[Team B]]),"")</f>
        <v/>
      </c>
      <c r="U6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3" s="265" t="str">
        <f>IF(ResultsTeams[[#This Row],[Score_OK]],IF(ResultsTeams[[#This Row],[StageCpy]]="Groups",ResultsTeams[[#This Row],[Category]]&amp;"-"&amp;IF(ResultsTeams[[#This Row],[Team B]]="","",IF(ResultsTeams[[#This Row],[Match-A]]=ResultsTeams[[#This Row],[Match-B]],ResultsTeams[[#This Row],[Team A]],"")),""),"")</f>
        <v/>
      </c>
      <c r="W653" s="265" t="str">
        <f>IF(ResultsTeams[[#This Row],[Score_OK]],IF(ResultsTeams[[#This Row],[StageCpy]]="Groups",ResultsTeams[[#This Row],[Category]]&amp;"-"&amp;IF(ResultsTeams[[#This Row],[Team B]]="","",IF(ResultsTeams[[#This Row],[Match-A]]=ResultsTeams[[#This Row],[Match-B]],ResultsTeams[[#This Row],[Team B]],"")),""),"")</f>
        <v/>
      </c>
      <c r="X6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3" s="264" t="str">
        <f>IF(ResultsTeams[[#This Row],[Category]]="","",VLOOKUP(ResultsTeams[[#This Row],[Stage]],$R$1:$T$8,MATCH(ResultsTeams[[#This Row],[Category]],$S$1:$T$1,0)+1,FALSE))</f>
        <v/>
      </c>
      <c r="AC6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3" s="264" t="str">
        <f>IF(ResultsTeams[[#This Row],[Type]]="G",ResultsTeams[[#This Row],[Stage]],AD652)</f>
        <v>Last 16</v>
      </c>
      <c r="AE653" s="395" t="str">
        <f>IF(ResultsTeams[[#This Row],[Type]]="G",INDEX(TeamsList[Club Name],MATCH(ResultsTeams[[#This Row],[Team A]],TeamsList[Team Name],0)),AE652)</f>
        <v>Kent Invicta TFC</v>
      </c>
      <c r="AF653" s="395" t="str">
        <f>IF(ResultsTeams[[#This Row],[Type]]="G",INDEX(TeamsList[Club Name],MATCH(ResultsTeams[[#This Row],[Team B]],TeamsList[Team Name],0)),AF652)</f>
        <v>US Huy</v>
      </c>
      <c r="AG653" s="265"/>
    </row>
    <row r="654" spans="1:33" x14ac:dyDescent="0.2">
      <c r="A654" s="62"/>
      <c r="B654" s="62"/>
      <c r="C654" s="62"/>
      <c r="D654" s="62"/>
      <c r="E654" s="241" t="s">
        <v>12243</v>
      </c>
      <c r="F654" s="247"/>
      <c r="G654" s="247"/>
      <c r="H654" s="254"/>
      <c r="I654" s="254"/>
      <c r="J654" s="260"/>
      <c r="K654" s="364"/>
      <c r="L654" s="364"/>
      <c r="M654" s="247"/>
      <c r="N654" s="265" t="b">
        <f>NOT(ISERROR(ResultsTeams[[#This Row],[Goal-A]]+ResultsTeams[[#This Row],[Goal-B]]))</f>
        <v>0</v>
      </c>
      <c r="O654" s="265" t="str">
        <f>IF(ResultsTeams[[#This Row],[Type]]="G",SUM(O655:O658),IF(LEFT(ResultsTeams[[#This Row],[Type]],1)="P",IF(ResultsTeams[[#This Row],[Goal-A]]&gt;ResultsTeams[[#This Row],[Goal-B]],1,0),""))</f>
        <v/>
      </c>
      <c r="P654" s="265" t="str">
        <f>IF(ResultsTeams[[#This Row],[Type]]="G",SUM(P655:P658),IF(LEFT(ResultsTeams[[#This Row],[Type]],1)="P",IF(ResultsTeams[[#This Row],[Goal-A]]&lt;ResultsTeams[[#This Row],[Goal-B]],1,0),""))</f>
        <v/>
      </c>
      <c r="Q654" s="265" t="str">
        <f>IF(ResultsTeams[[#This Row],[Type]]="G",SUM(Q655:Q658),IF(LEFT(ResultsTeams[[#This Row],[Type]],1)="P",VALUE(ResultsTeams[[#This Row],[Score-A]]),""))</f>
        <v/>
      </c>
      <c r="R654" s="265" t="str">
        <f>IF(ResultsTeams[[#This Row],[Type]]="G",SUM(R655:R658),IF(LEFT(ResultsTeams[[#This Row],[Type]],1)="P",VALUE(ResultsTeams[[#This Row],[Score-B]]),""))</f>
        <v/>
      </c>
      <c r="S654" s="265" t="str">
        <f ca="1">IF(AND(ResultsTeams[[#This Row],[Category]]&lt;&gt;"",ResultsTeams[[#This Row],[Team A]]&lt;&gt;""),COUNTIF(INDIRECT("TeamsList[Club Name]"),ResultsTeams[[#This Row],[Team A]]),"")</f>
        <v/>
      </c>
      <c r="T654" s="265" t="str">
        <f ca="1">IF(AND(ResultsTeams[[#This Row],[Category]]&lt;&gt;"",ResultsTeams[[#This Row],[Team B]]&lt;&gt;""),COUNTIF(INDIRECT("TeamsList[Club Name]"),ResultsTeams[[#This Row],[Team B]]),"")</f>
        <v/>
      </c>
      <c r="U6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4" s="265" t="str">
        <f>IF(ResultsTeams[[#This Row],[Score_OK]],IF(ResultsTeams[[#This Row],[StageCpy]]="Groups",ResultsTeams[[#This Row],[Category]]&amp;"-"&amp;IF(ResultsTeams[[#This Row],[Team B]]="","",IF(ResultsTeams[[#This Row],[Match-A]]=ResultsTeams[[#This Row],[Match-B]],ResultsTeams[[#This Row],[Team A]],"")),""),"")</f>
        <v/>
      </c>
      <c r="W654" s="265" t="str">
        <f>IF(ResultsTeams[[#This Row],[Score_OK]],IF(ResultsTeams[[#This Row],[StageCpy]]="Groups",ResultsTeams[[#This Row],[Category]]&amp;"-"&amp;IF(ResultsTeams[[#This Row],[Team B]]="","",IF(ResultsTeams[[#This Row],[Match-A]]=ResultsTeams[[#This Row],[Match-B]],ResultsTeams[[#This Row],[Team B]],"")),""),"")</f>
        <v/>
      </c>
      <c r="X6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4" s="264" t="str">
        <f>IF(ResultsTeams[[#This Row],[Category]]="","",VLOOKUP(ResultsTeams[[#This Row],[Stage]],$R$1:$T$8,MATCH(ResultsTeams[[#This Row],[Category]],$S$1:$T$1,0)+1,FALSE))</f>
        <v/>
      </c>
      <c r="AC6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4" s="264" t="str">
        <f>IF(ResultsTeams[[#This Row],[Type]]="G",ResultsTeams[[#This Row],[Stage]],AD653)</f>
        <v>Last 16</v>
      </c>
      <c r="AE654" s="395" t="str">
        <f>IF(ResultsTeams[[#This Row],[Type]]="G",INDEX(TeamsList[Club Name],MATCH(ResultsTeams[[#This Row],[Team A]],TeamsList[Team Name],0)),AE653)</f>
        <v>Kent Invicta TFC</v>
      </c>
      <c r="AF654" s="395" t="str">
        <f>IF(ResultsTeams[[#This Row],[Type]]="G",INDEX(TeamsList[Club Name],MATCH(ResultsTeams[[#This Row],[Team B]],TeamsList[Team Name],0)),AF653)</f>
        <v>US Huy</v>
      </c>
      <c r="AG654" s="265"/>
    </row>
    <row r="655" spans="1:33" ht="12" thickBot="1" x14ac:dyDescent="0.25">
      <c r="A655" s="83"/>
      <c r="B655" s="83"/>
      <c r="C655" s="83"/>
      <c r="D655" s="83"/>
      <c r="E655" s="268" t="s">
        <v>12244</v>
      </c>
      <c r="F655" s="262"/>
      <c r="G655" s="262"/>
      <c r="H655" s="324"/>
      <c r="I655" s="324"/>
      <c r="J655" s="263"/>
      <c r="K655" s="365"/>
      <c r="L655" s="365"/>
      <c r="M655" s="262"/>
      <c r="N655" s="265" t="b">
        <f>NOT(ISERROR(ResultsTeams[[#This Row],[Goal-A]]+ResultsTeams[[#This Row],[Goal-B]]))</f>
        <v>0</v>
      </c>
      <c r="O655" s="265" t="str">
        <f>IF(ResultsTeams[[#This Row],[Type]]="G",SUM(O656:O659),IF(LEFT(ResultsTeams[[#This Row],[Type]],1)="P",IF(ResultsTeams[[#This Row],[Goal-A]]&gt;ResultsTeams[[#This Row],[Goal-B]],1,0),""))</f>
        <v/>
      </c>
      <c r="P655" s="265" t="str">
        <f>IF(ResultsTeams[[#This Row],[Type]]="G",SUM(P656:P659),IF(LEFT(ResultsTeams[[#This Row],[Type]],1)="P",IF(ResultsTeams[[#This Row],[Goal-A]]&lt;ResultsTeams[[#This Row],[Goal-B]],1,0),""))</f>
        <v/>
      </c>
      <c r="Q655" s="265" t="str">
        <f>IF(ResultsTeams[[#This Row],[Type]]="G",SUM(Q656:Q659),IF(LEFT(ResultsTeams[[#This Row],[Type]],1)="P",VALUE(ResultsTeams[[#This Row],[Score-A]]),""))</f>
        <v/>
      </c>
      <c r="R655" s="265" t="str">
        <f>IF(ResultsTeams[[#This Row],[Type]]="G",SUM(R656:R659),IF(LEFT(ResultsTeams[[#This Row],[Type]],1)="P",VALUE(ResultsTeams[[#This Row],[Score-B]]),""))</f>
        <v/>
      </c>
      <c r="S655" s="265" t="str">
        <f ca="1">IF(AND(ResultsTeams[[#This Row],[Category]]&lt;&gt;"",ResultsTeams[[#This Row],[Team A]]&lt;&gt;""),COUNTIF(INDIRECT("TeamsList[Club Name]"),ResultsTeams[[#This Row],[Team A]]),"")</f>
        <v/>
      </c>
      <c r="T655" s="265" t="str">
        <f ca="1">IF(AND(ResultsTeams[[#This Row],[Category]]&lt;&gt;"",ResultsTeams[[#This Row],[Team B]]&lt;&gt;""),COUNTIF(INDIRECT("TeamsList[Club Name]"),ResultsTeams[[#This Row],[Team B]]),"")</f>
        <v/>
      </c>
      <c r="U6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5" s="265" t="str">
        <f>IF(ResultsTeams[[#This Row],[Score_OK]],IF(ResultsTeams[[#This Row],[StageCpy]]="Groups",ResultsTeams[[#This Row],[Category]]&amp;"-"&amp;IF(ResultsTeams[[#This Row],[Team B]]="","",IF(ResultsTeams[[#This Row],[Match-A]]=ResultsTeams[[#This Row],[Match-B]],ResultsTeams[[#This Row],[Team A]],"")),""),"")</f>
        <v/>
      </c>
      <c r="W655" s="265" t="str">
        <f>IF(ResultsTeams[[#This Row],[Score_OK]],IF(ResultsTeams[[#This Row],[StageCpy]]="Groups",ResultsTeams[[#This Row],[Category]]&amp;"-"&amp;IF(ResultsTeams[[#This Row],[Team B]]="","",IF(ResultsTeams[[#This Row],[Match-A]]=ResultsTeams[[#This Row],[Match-B]],ResultsTeams[[#This Row],[Team B]],"")),""),"")</f>
        <v/>
      </c>
      <c r="X6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5" s="264" t="str">
        <f>IF(ResultsTeams[[#This Row],[Category]]="","",VLOOKUP(ResultsTeams[[#This Row],[Stage]],$R$1:$T$8,MATCH(ResultsTeams[[#This Row],[Category]],$S$1:$T$1,0)+1,FALSE))</f>
        <v/>
      </c>
      <c r="AC6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5" s="264" t="str">
        <f>IF(ResultsTeams[[#This Row],[Type]]="G",ResultsTeams[[#This Row],[Stage]],AD654)</f>
        <v>Last 16</v>
      </c>
      <c r="AE655" s="395" t="str">
        <f>IF(ResultsTeams[[#This Row],[Type]]="G",INDEX(TeamsList[Club Name],MATCH(ResultsTeams[[#This Row],[Team A]],TeamsList[Team Name],0)),AE654)</f>
        <v>Kent Invicta TFC</v>
      </c>
      <c r="AF655" s="395" t="str">
        <f>IF(ResultsTeams[[#This Row],[Type]]="G",INDEX(TeamsList[Club Name],MATCH(ResultsTeams[[#This Row],[Team B]],TeamsList[Team Name],0)),AF654)</f>
        <v>US Huy</v>
      </c>
      <c r="AG655" s="265"/>
    </row>
    <row r="656" spans="1:33" ht="12" thickBot="1" x14ac:dyDescent="0.25">
      <c r="A656" s="261" t="s">
        <v>12263</v>
      </c>
      <c r="B656" s="270" t="s">
        <v>12219</v>
      </c>
      <c r="C656" s="506"/>
      <c r="D656" s="270"/>
      <c r="E656" s="272" t="s">
        <v>12228</v>
      </c>
      <c r="F656" s="273" t="s">
        <v>14594</v>
      </c>
      <c r="G656" s="273" t="s">
        <v>340</v>
      </c>
      <c r="H656" s="275">
        <v>5</v>
      </c>
      <c r="I656" s="275">
        <v>3</v>
      </c>
      <c r="J656" s="275"/>
      <c r="K656" s="366"/>
      <c r="L656" s="366"/>
      <c r="M656" s="274"/>
      <c r="N656" s="265" t="b">
        <f>NOT(ISERROR(ResultsTeams[[#This Row],[Goal-A]]+ResultsTeams[[#This Row],[Goal-B]]))</f>
        <v>1</v>
      </c>
      <c r="O656" s="265">
        <f>IF(ResultsTeams[[#This Row],[Type]]="G",SUM(O657:O660),IF(LEFT(ResultsTeams[[#This Row],[Type]],1)="P",IF(ResultsTeams[[#This Row],[Goal-A]]&gt;ResultsTeams[[#This Row],[Goal-B]],1,0),""))</f>
        <v>0</v>
      </c>
      <c r="P656" s="265">
        <f>IF(ResultsTeams[[#This Row],[Type]]="G",SUM(P657:P660),IF(LEFT(ResultsTeams[[#This Row],[Type]],1)="P",IF(ResultsTeams[[#This Row],[Goal-A]]&lt;ResultsTeams[[#This Row],[Goal-B]],1,0),""))</f>
        <v>3</v>
      </c>
      <c r="Q656" s="265">
        <f>IF(ResultsTeams[[#This Row],[Type]]="G",SUM(Q657:Q660),IF(LEFT(ResultsTeams[[#This Row],[Type]],1)="P",VALUE(ResultsTeams[[#This Row],[Score-A]]),""))</f>
        <v>5</v>
      </c>
      <c r="R656" s="265">
        <f>IF(ResultsTeams[[#This Row],[Type]]="G",SUM(R657:R660),IF(LEFT(ResultsTeams[[#This Row],[Type]],1)="P",VALUE(ResultsTeams[[#This Row],[Score-B]]),""))</f>
        <v>14</v>
      </c>
      <c r="S656" s="265">
        <f ca="1">IF(AND(ResultsTeams[[#This Row],[Category]]&lt;&gt;"",ResultsTeams[[#This Row],[Team A]]&lt;&gt;""),COUNTIF(INDIRECT("TeamsList[Club Name]"),ResultsTeams[[#This Row],[Team A]]),"")</f>
        <v>0</v>
      </c>
      <c r="T656" s="265">
        <f ca="1">IF(AND(ResultsTeams[[#This Row],[Category]]&lt;&gt;"",ResultsTeams[[#This Row],[Team B]]&lt;&gt;""),COUNTIF(INDIRECT("TeamsList[Club Name]"),ResultsTeams[[#This Row],[Team B]]),"")</f>
        <v>2</v>
      </c>
      <c r="U6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6" s="265" t="str">
        <f>IF(ResultsTeams[[#This Row],[Score_OK]],IF(ResultsTeams[[#This Row],[StageCpy]]="Groups",ResultsTeams[[#This Row],[Category]]&amp;"-"&amp;IF(ResultsTeams[[#This Row],[Team B]]="","",IF(ResultsTeams[[#This Row],[Match-A]]=ResultsTeams[[#This Row],[Match-B]],ResultsTeams[[#This Row],[Team A]],"")),""),"")</f>
        <v/>
      </c>
      <c r="W656" s="265" t="str">
        <f>IF(ResultsTeams[[#This Row],[Score_OK]],IF(ResultsTeams[[#This Row],[StageCpy]]="Groups",ResultsTeams[[#This Row],[Category]]&amp;"-"&amp;IF(ResultsTeams[[#This Row],[Team B]]="","",IF(ResultsTeams[[#This Row],[Match-A]]=ResultsTeams[[#This Row],[Match-B]],ResultsTeams[[#This Row],[Team B]],"")),""),"")</f>
        <v/>
      </c>
      <c r="X6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CONSOLATION-SC Lion's Eugies 2</v>
      </c>
      <c r="Z656"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56"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56" s="264" t="e">
        <f>IF(ResultsTeams[[#This Row],[Category]]="","",VLOOKUP(ResultsTeams[[#This Row],[Stage]],$R$1:$T$8,MATCH(ResultsTeams[[#This Row],[Category]],$S$1:$T$1,0)+1,FALSE))</f>
        <v>#N/A</v>
      </c>
      <c r="AC656"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56" s="264" t="str">
        <f>IF(ResultsTeams[[#This Row],[Type]]="G",ResultsTeams[[#This Row],[Stage]],AD655)</f>
        <v>Last 16</v>
      </c>
      <c r="AE656" s="395" t="str">
        <f>IF(ResultsTeams[[#This Row],[Type]]="G",INDEX(TeamsList[Club Name],MATCH(ResultsTeams[[#This Row],[Team A]],TeamsList[Team Name],0)),AE655)</f>
        <v>SC Lion's Eugies</v>
      </c>
      <c r="AF656" s="395" t="str">
        <f>IF(ResultsTeams[[#This Row],[Type]]="G",INDEX(TeamsList[Club Name],MATCH(ResultsTeams[[#This Row],[Team B]],TeamsList[Team Name],0)),AF655)</f>
        <v>Wamme SC</v>
      </c>
      <c r="AG656" s="265"/>
    </row>
    <row r="657" spans="1:33" x14ac:dyDescent="0.2">
      <c r="A657" s="60"/>
      <c r="B657" s="280"/>
      <c r="C657" s="60"/>
      <c r="D657" s="60"/>
      <c r="E657" s="240" t="s">
        <v>12231</v>
      </c>
      <c r="F657" s="244" t="s">
        <v>8076</v>
      </c>
      <c r="G657" s="244" t="s">
        <v>8168</v>
      </c>
      <c r="H657" s="253">
        <v>2</v>
      </c>
      <c r="I657" s="253">
        <v>2</v>
      </c>
      <c r="J657" s="253"/>
      <c r="K657" s="362"/>
      <c r="L657" s="362"/>
      <c r="M657" s="245"/>
      <c r="N657" s="265" t="b">
        <f>NOT(ISERROR(ResultsTeams[[#This Row],[Goal-A]]+ResultsTeams[[#This Row],[Goal-B]]))</f>
        <v>1</v>
      </c>
      <c r="O657" s="265">
        <f>IF(ResultsTeams[[#This Row],[Type]]="G",SUM(O658:O661),IF(LEFT(ResultsTeams[[#This Row],[Type]],1)="P",IF(ResultsTeams[[#This Row],[Goal-A]]&gt;ResultsTeams[[#This Row],[Goal-B]],1,0),""))</f>
        <v>0</v>
      </c>
      <c r="P657" s="265">
        <f>IF(ResultsTeams[[#This Row],[Type]]="G",SUM(P658:P661),IF(LEFT(ResultsTeams[[#This Row],[Type]],1)="P",IF(ResultsTeams[[#This Row],[Goal-A]]&lt;ResultsTeams[[#This Row],[Goal-B]],1,0),""))</f>
        <v>0</v>
      </c>
      <c r="Q657" s="265">
        <f>IF(ResultsTeams[[#This Row],[Type]]="G",SUM(Q658:Q661),IF(LEFT(ResultsTeams[[#This Row],[Type]],1)="P",VALUE(ResultsTeams[[#This Row],[Score-A]]),""))</f>
        <v>2</v>
      </c>
      <c r="R657" s="265">
        <f>IF(ResultsTeams[[#This Row],[Type]]="G",SUM(R658:R661),IF(LEFT(ResultsTeams[[#This Row],[Type]],1)="P",VALUE(ResultsTeams[[#This Row],[Score-B]]),""))</f>
        <v>2</v>
      </c>
      <c r="S657" s="265" t="str">
        <f ca="1">IF(AND(ResultsTeams[[#This Row],[Category]]&lt;&gt;"",ResultsTeams[[#This Row],[Team A]]&lt;&gt;""),COUNTIF(INDIRECT("TeamsList[Club Name]"),ResultsTeams[[#This Row],[Team A]]),"")</f>
        <v/>
      </c>
      <c r="T657" s="265" t="str">
        <f ca="1">IF(AND(ResultsTeams[[#This Row],[Category]]&lt;&gt;"",ResultsTeams[[#This Row],[Team B]]&lt;&gt;""),COUNTIF(INDIRECT("TeamsList[Club Name]"),ResultsTeams[[#This Row],[Team B]]),"")</f>
        <v/>
      </c>
      <c r="U6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7" s="265" t="str">
        <f>IF(ResultsTeams[[#This Row],[Score_OK]],IF(ResultsTeams[[#This Row],[StageCpy]]="Groups",ResultsTeams[[#This Row],[Category]]&amp;"-"&amp;IF(ResultsTeams[[#This Row],[Team B]]="","",IF(ResultsTeams[[#This Row],[Match-A]]=ResultsTeams[[#This Row],[Match-B]],ResultsTeams[[#This Row],[Team A]],"")),""),"")</f>
        <v/>
      </c>
      <c r="W657" s="265" t="str">
        <f>IF(ResultsTeams[[#This Row],[Score_OK]],IF(ResultsTeams[[#This Row],[StageCpy]]="Groups",ResultsTeams[[#This Row],[Category]]&amp;"-"&amp;IF(ResultsTeams[[#This Row],[Team B]]="","",IF(ResultsTeams[[#This Row],[Match-A]]=ResultsTeams[[#This Row],[Match-B]],ResultsTeams[[#This Row],[Team B]],"")),""),"")</f>
        <v/>
      </c>
      <c r="X6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7" s="264" t="str">
        <f>IF(ResultsTeams[[#This Row],[Category]]="","",VLOOKUP(ResultsTeams[[#This Row],[Stage]],$R$1:$T$8,MATCH(ResultsTeams[[#This Row],[Category]],$S$1:$T$1,0)+1,FALSE))</f>
        <v/>
      </c>
      <c r="AC6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7" s="264" t="str">
        <f>IF(ResultsTeams[[#This Row],[Type]]="G",ResultsTeams[[#This Row],[Stage]],AD656)</f>
        <v>Last 16</v>
      </c>
      <c r="AE657" s="395" t="str">
        <f>IF(ResultsTeams[[#This Row],[Type]]="G",INDEX(TeamsList[Club Name],MATCH(ResultsTeams[[#This Row],[Team A]],TeamsList[Team Name],0)),AE656)</f>
        <v>SC Lion's Eugies</v>
      </c>
      <c r="AF657" s="395" t="str">
        <f>IF(ResultsTeams[[#This Row],[Type]]="G",INDEX(TeamsList[Club Name],MATCH(ResultsTeams[[#This Row],[Team B]],TeamsList[Team Name],0)),AF656)</f>
        <v>Wamme SC</v>
      </c>
      <c r="AG657" s="265"/>
    </row>
    <row r="658" spans="1:33" x14ac:dyDescent="0.2">
      <c r="A658" s="62"/>
      <c r="B658" s="280"/>
      <c r="C658" s="62"/>
      <c r="D658" s="62"/>
      <c r="E658" s="241" t="s">
        <v>12234</v>
      </c>
      <c r="F658" s="246" t="s">
        <v>8140</v>
      </c>
      <c r="G658" s="246" t="s">
        <v>8194</v>
      </c>
      <c r="H658" s="254">
        <v>0</v>
      </c>
      <c r="I658" s="254">
        <v>5</v>
      </c>
      <c r="J658" s="254"/>
      <c r="K658" s="363"/>
      <c r="L658" s="363"/>
      <c r="M658" s="247"/>
      <c r="N658" s="265" t="b">
        <f>NOT(ISERROR(ResultsTeams[[#This Row],[Goal-A]]+ResultsTeams[[#This Row],[Goal-B]]))</f>
        <v>1</v>
      </c>
      <c r="O658" s="265">
        <f>IF(ResultsTeams[[#This Row],[Type]]="G",SUM(O659:O662),IF(LEFT(ResultsTeams[[#This Row],[Type]],1)="P",IF(ResultsTeams[[#This Row],[Goal-A]]&gt;ResultsTeams[[#This Row],[Goal-B]],1,0),""))</f>
        <v>0</v>
      </c>
      <c r="P658" s="265">
        <f>IF(ResultsTeams[[#This Row],[Type]]="G",SUM(P659:P662),IF(LEFT(ResultsTeams[[#This Row],[Type]],1)="P",IF(ResultsTeams[[#This Row],[Goal-A]]&lt;ResultsTeams[[#This Row],[Goal-B]],1,0),""))</f>
        <v>1</v>
      </c>
      <c r="Q658" s="265">
        <f>IF(ResultsTeams[[#This Row],[Type]]="G",SUM(Q659:Q662),IF(LEFT(ResultsTeams[[#This Row],[Type]],1)="P",VALUE(ResultsTeams[[#This Row],[Score-A]]),""))</f>
        <v>0</v>
      </c>
      <c r="R658" s="265">
        <f>IF(ResultsTeams[[#This Row],[Type]]="G",SUM(R659:R662),IF(LEFT(ResultsTeams[[#This Row],[Type]],1)="P",VALUE(ResultsTeams[[#This Row],[Score-B]]),""))</f>
        <v>5</v>
      </c>
      <c r="S658" s="265" t="str">
        <f ca="1">IF(AND(ResultsTeams[[#This Row],[Category]]&lt;&gt;"",ResultsTeams[[#This Row],[Team A]]&lt;&gt;""),COUNTIF(INDIRECT("TeamsList[Club Name]"),ResultsTeams[[#This Row],[Team A]]),"")</f>
        <v/>
      </c>
      <c r="T658" s="265" t="str">
        <f ca="1">IF(AND(ResultsTeams[[#This Row],[Category]]&lt;&gt;"",ResultsTeams[[#This Row],[Team B]]&lt;&gt;""),COUNTIF(INDIRECT("TeamsList[Club Name]"),ResultsTeams[[#This Row],[Team B]]),"")</f>
        <v/>
      </c>
      <c r="U6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8" s="265" t="str">
        <f>IF(ResultsTeams[[#This Row],[Score_OK]],IF(ResultsTeams[[#This Row],[StageCpy]]="Groups",ResultsTeams[[#This Row],[Category]]&amp;"-"&amp;IF(ResultsTeams[[#This Row],[Team B]]="","",IF(ResultsTeams[[#This Row],[Match-A]]=ResultsTeams[[#This Row],[Match-B]],ResultsTeams[[#This Row],[Team A]],"")),""),"")</f>
        <v/>
      </c>
      <c r="W658" s="265" t="str">
        <f>IF(ResultsTeams[[#This Row],[Score_OK]],IF(ResultsTeams[[#This Row],[StageCpy]]="Groups",ResultsTeams[[#This Row],[Category]]&amp;"-"&amp;IF(ResultsTeams[[#This Row],[Team B]]="","",IF(ResultsTeams[[#This Row],[Match-A]]=ResultsTeams[[#This Row],[Match-B]],ResultsTeams[[#This Row],[Team B]],"")),""),"")</f>
        <v/>
      </c>
      <c r="X6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8" s="264" t="str">
        <f>IF(ResultsTeams[[#This Row],[Category]]="","",VLOOKUP(ResultsTeams[[#This Row],[Stage]],$R$1:$T$8,MATCH(ResultsTeams[[#This Row],[Category]],$S$1:$T$1,0)+1,FALSE))</f>
        <v/>
      </c>
      <c r="AC6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8" s="264" t="str">
        <f>IF(ResultsTeams[[#This Row],[Type]]="G",ResultsTeams[[#This Row],[Stage]],AD657)</f>
        <v>Last 16</v>
      </c>
      <c r="AE658" s="395" t="str">
        <f>IF(ResultsTeams[[#This Row],[Type]]="G",INDEX(TeamsList[Club Name],MATCH(ResultsTeams[[#This Row],[Team A]],TeamsList[Team Name],0)),AE657)</f>
        <v>SC Lion's Eugies</v>
      </c>
      <c r="AF658" s="395" t="str">
        <f>IF(ResultsTeams[[#This Row],[Type]]="G",INDEX(TeamsList[Club Name],MATCH(ResultsTeams[[#This Row],[Team B]],TeamsList[Team Name],0)),AF657)</f>
        <v>Wamme SC</v>
      </c>
      <c r="AG658" s="265"/>
    </row>
    <row r="659" spans="1:33" x14ac:dyDescent="0.2">
      <c r="A659" s="62"/>
      <c r="B659" s="280"/>
      <c r="C659" s="62"/>
      <c r="D659" s="62"/>
      <c r="E659" s="241" t="s">
        <v>12237</v>
      </c>
      <c r="F659" s="246" t="s">
        <v>10783</v>
      </c>
      <c r="G659" s="246" t="s">
        <v>8166</v>
      </c>
      <c r="H659" s="254">
        <v>1</v>
      </c>
      <c r="I659" s="254">
        <v>2</v>
      </c>
      <c r="J659" s="254"/>
      <c r="K659" s="363"/>
      <c r="L659" s="363"/>
      <c r="M659" s="247"/>
      <c r="N659" s="265" t="b">
        <f>NOT(ISERROR(ResultsTeams[[#This Row],[Goal-A]]+ResultsTeams[[#This Row],[Goal-B]]))</f>
        <v>1</v>
      </c>
      <c r="O659" s="265">
        <f>IF(ResultsTeams[[#This Row],[Type]]="G",SUM(O660:O663),IF(LEFT(ResultsTeams[[#This Row],[Type]],1)="P",IF(ResultsTeams[[#This Row],[Goal-A]]&gt;ResultsTeams[[#This Row],[Goal-B]],1,0),""))</f>
        <v>0</v>
      </c>
      <c r="P659" s="265">
        <f>IF(ResultsTeams[[#This Row],[Type]]="G",SUM(P660:P663),IF(LEFT(ResultsTeams[[#This Row],[Type]],1)="P",IF(ResultsTeams[[#This Row],[Goal-A]]&lt;ResultsTeams[[#This Row],[Goal-B]],1,0),""))</f>
        <v>1</v>
      </c>
      <c r="Q659" s="265">
        <f>IF(ResultsTeams[[#This Row],[Type]]="G",SUM(Q660:Q663),IF(LEFT(ResultsTeams[[#This Row],[Type]],1)="P",VALUE(ResultsTeams[[#This Row],[Score-A]]),""))</f>
        <v>1</v>
      </c>
      <c r="R659" s="265">
        <f>IF(ResultsTeams[[#This Row],[Type]]="G",SUM(R660:R663),IF(LEFT(ResultsTeams[[#This Row],[Type]],1)="P",VALUE(ResultsTeams[[#This Row],[Score-B]]),""))</f>
        <v>2</v>
      </c>
      <c r="S659" s="265" t="str">
        <f ca="1">IF(AND(ResultsTeams[[#This Row],[Category]]&lt;&gt;"",ResultsTeams[[#This Row],[Team A]]&lt;&gt;""),COUNTIF(INDIRECT("TeamsList[Club Name]"),ResultsTeams[[#This Row],[Team A]]),"")</f>
        <v/>
      </c>
      <c r="T659" s="265" t="str">
        <f ca="1">IF(AND(ResultsTeams[[#This Row],[Category]]&lt;&gt;"",ResultsTeams[[#This Row],[Team B]]&lt;&gt;""),COUNTIF(INDIRECT("TeamsList[Club Name]"),ResultsTeams[[#This Row],[Team B]]),"")</f>
        <v/>
      </c>
      <c r="U6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9" s="265" t="str">
        <f>IF(ResultsTeams[[#This Row],[Score_OK]],IF(ResultsTeams[[#This Row],[StageCpy]]="Groups",ResultsTeams[[#This Row],[Category]]&amp;"-"&amp;IF(ResultsTeams[[#This Row],[Team B]]="","",IF(ResultsTeams[[#This Row],[Match-A]]=ResultsTeams[[#This Row],[Match-B]],ResultsTeams[[#This Row],[Team A]],"")),""),"")</f>
        <v/>
      </c>
      <c r="W659" s="265" t="str">
        <f>IF(ResultsTeams[[#This Row],[Score_OK]],IF(ResultsTeams[[#This Row],[StageCpy]]="Groups",ResultsTeams[[#This Row],[Category]]&amp;"-"&amp;IF(ResultsTeams[[#This Row],[Team B]]="","",IF(ResultsTeams[[#This Row],[Match-A]]=ResultsTeams[[#This Row],[Match-B]],ResultsTeams[[#This Row],[Team B]],"")),""),"")</f>
        <v/>
      </c>
      <c r="X6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9" s="264" t="str">
        <f>IF(ResultsTeams[[#This Row],[Category]]="","",VLOOKUP(ResultsTeams[[#This Row],[Stage]],$R$1:$T$8,MATCH(ResultsTeams[[#This Row],[Category]],$S$1:$T$1,0)+1,FALSE))</f>
        <v/>
      </c>
      <c r="AC6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9" s="264" t="str">
        <f>IF(ResultsTeams[[#This Row],[Type]]="G",ResultsTeams[[#This Row],[Stage]],AD658)</f>
        <v>Last 16</v>
      </c>
      <c r="AE659" s="395" t="str">
        <f>IF(ResultsTeams[[#This Row],[Type]]="G",INDEX(TeamsList[Club Name],MATCH(ResultsTeams[[#This Row],[Team A]],TeamsList[Team Name],0)),AE658)</f>
        <v>SC Lion's Eugies</v>
      </c>
      <c r="AF659" s="395" t="str">
        <f>IF(ResultsTeams[[#This Row],[Type]]="G",INDEX(TeamsList[Club Name],MATCH(ResultsTeams[[#This Row],[Team B]],TeamsList[Team Name],0)),AF658)</f>
        <v>Wamme SC</v>
      </c>
      <c r="AG659" s="265"/>
    </row>
    <row r="660" spans="1:33" x14ac:dyDescent="0.2">
      <c r="A660" s="62"/>
      <c r="B660" s="280"/>
      <c r="C660" s="62"/>
      <c r="D660" s="62"/>
      <c r="E660" s="241" t="s">
        <v>12240</v>
      </c>
      <c r="F660" s="246" t="s">
        <v>8171</v>
      </c>
      <c r="G660" s="246" t="s">
        <v>8173</v>
      </c>
      <c r="H660" s="254">
        <v>2</v>
      </c>
      <c r="I660" s="254">
        <v>5</v>
      </c>
      <c r="J660" s="254"/>
      <c r="K660" s="363"/>
      <c r="L660" s="363"/>
      <c r="M660" s="247"/>
      <c r="N660" s="265" t="b">
        <f>NOT(ISERROR(ResultsTeams[[#This Row],[Goal-A]]+ResultsTeams[[#This Row],[Goal-B]]))</f>
        <v>1</v>
      </c>
      <c r="O660" s="265">
        <f>IF(ResultsTeams[[#This Row],[Type]]="G",SUM(O661:O664),IF(LEFT(ResultsTeams[[#This Row],[Type]],1)="P",IF(ResultsTeams[[#This Row],[Goal-A]]&gt;ResultsTeams[[#This Row],[Goal-B]],1,0),""))</f>
        <v>0</v>
      </c>
      <c r="P660" s="265">
        <f>IF(ResultsTeams[[#This Row],[Type]]="G",SUM(P661:P664),IF(LEFT(ResultsTeams[[#This Row],[Type]],1)="P",IF(ResultsTeams[[#This Row],[Goal-A]]&lt;ResultsTeams[[#This Row],[Goal-B]],1,0),""))</f>
        <v>1</v>
      </c>
      <c r="Q660" s="265">
        <f>IF(ResultsTeams[[#This Row],[Type]]="G",SUM(Q661:Q664),IF(LEFT(ResultsTeams[[#This Row],[Type]],1)="P",VALUE(ResultsTeams[[#This Row],[Score-A]]),""))</f>
        <v>2</v>
      </c>
      <c r="R660" s="265">
        <f>IF(ResultsTeams[[#This Row],[Type]]="G",SUM(R661:R664),IF(LEFT(ResultsTeams[[#This Row],[Type]],1)="P",VALUE(ResultsTeams[[#This Row],[Score-B]]),""))</f>
        <v>5</v>
      </c>
      <c r="S660" s="265" t="str">
        <f ca="1">IF(AND(ResultsTeams[[#This Row],[Category]]&lt;&gt;"",ResultsTeams[[#This Row],[Team A]]&lt;&gt;""),COUNTIF(INDIRECT("TeamsList[Club Name]"),ResultsTeams[[#This Row],[Team A]]),"")</f>
        <v/>
      </c>
      <c r="T660" s="265" t="str">
        <f ca="1">IF(AND(ResultsTeams[[#This Row],[Category]]&lt;&gt;"",ResultsTeams[[#This Row],[Team B]]&lt;&gt;""),COUNTIF(INDIRECT("TeamsList[Club Name]"),ResultsTeams[[#This Row],[Team B]]),"")</f>
        <v/>
      </c>
      <c r="U6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0" s="265" t="str">
        <f>IF(ResultsTeams[[#This Row],[Score_OK]],IF(ResultsTeams[[#This Row],[StageCpy]]="Groups",ResultsTeams[[#This Row],[Category]]&amp;"-"&amp;IF(ResultsTeams[[#This Row],[Team B]]="","",IF(ResultsTeams[[#This Row],[Match-A]]=ResultsTeams[[#This Row],[Match-B]],ResultsTeams[[#This Row],[Team A]],"")),""),"")</f>
        <v/>
      </c>
      <c r="W660" s="265" t="str">
        <f>IF(ResultsTeams[[#This Row],[Score_OK]],IF(ResultsTeams[[#This Row],[StageCpy]]="Groups",ResultsTeams[[#This Row],[Category]]&amp;"-"&amp;IF(ResultsTeams[[#This Row],[Team B]]="","",IF(ResultsTeams[[#This Row],[Match-A]]=ResultsTeams[[#This Row],[Match-B]],ResultsTeams[[#This Row],[Team B]],"")),""),"")</f>
        <v/>
      </c>
      <c r="X6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0" s="264" t="str">
        <f>IF(ResultsTeams[[#This Row],[Category]]="","",VLOOKUP(ResultsTeams[[#This Row],[Stage]],$R$1:$T$8,MATCH(ResultsTeams[[#This Row],[Category]],$S$1:$T$1,0)+1,FALSE))</f>
        <v/>
      </c>
      <c r="AC6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0" s="264" t="str">
        <f>IF(ResultsTeams[[#This Row],[Type]]="G",ResultsTeams[[#This Row],[Stage]],AD659)</f>
        <v>Last 16</v>
      </c>
      <c r="AE660" s="395" t="str">
        <f>IF(ResultsTeams[[#This Row],[Type]]="G",INDEX(TeamsList[Club Name],MATCH(ResultsTeams[[#This Row],[Team A]],TeamsList[Team Name],0)),AE659)</f>
        <v>SC Lion's Eugies</v>
      </c>
      <c r="AF660" s="395" t="str">
        <f>IF(ResultsTeams[[#This Row],[Type]]="G",INDEX(TeamsList[Club Name],MATCH(ResultsTeams[[#This Row],[Team B]],TeamsList[Team Name],0)),AF659)</f>
        <v>Wamme SC</v>
      </c>
      <c r="AG660" s="265"/>
    </row>
    <row r="661" spans="1:33" x14ac:dyDescent="0.2">
      <c r="A661" s="62"/>
      <c r="B661" s="62"/>
      <c r="C661" s="62"/>
      <c r="D661" s="62"/>
      <c r="E661" s="241" t="s">
        <v>12243</v>
      </c>
      <c r="F661" s="247" t="s">
        <v>8167</v>
      </c>
      <c r="G661" s="247"/>
      <c r="H661" s="254" t="s">
        <v>12681</v>
      </c>
      <c r="I661" s="254"/>
      <c r="J661" s="260"/>
      <c r="K661" s="364"/>
      <c r="L661" s="364"/>
      <c r="M661" s="63"/>
      <c r="N661" s="265" t="b">
        <f>NOT(ISERROR(ResultsTeams[[#This Row],[Goal-A]]+ResultsTeams[[#This Row],[Goal-B]]))</f>
        <v>0</v>
      </c>
      <c r="O661" s="265" t="str">
        <f>IF(ResultsTeams[[#This Row],[Type]]="G",SUM(O662:O665),IF(LEFT(ResultsTeams[[#This Row],[Type]],1)="P",IF(ResultsTeams[[#This Row],[Goal-A]]&gt;ResultsTeams[[#This Row],[Goal-B]],1,0),""))</f>
        <v/>
      </c>
      <c r="P661" s="265" t="str">
        <f>IF(ResultsTeams[[#This Row],[Type]]="G",SUM(P662:P665),IF(LEFT(ResultsTeams[[#This Row],[Type]],1)="P",IF(ResultsTeams[[#This Row],[Goal-A]]&lt;ResultsTeams[[#This Row],[Goal-B]],1,0),""))</f>
        <v/>
      </c>
      <c r="Q661" s="265" t="str">
        <f>IF(ResultsTeams[[#This Row],[Type]]="G",SUM(Q662:Q665),IF(LEFT(ResultsTeams[[#This Row],[Type]],1)="P",VALUE(ResultsTeams[[#This Row],[Score-A]]),""))</f>
        <v/>
      </c>
      <c r="R661" s="265" t="str">
        <f>IF(ResultsTeams[[#This Row],[Type]]="G",SUM(R662:R665),IF(LEFT(ResultsTeams[[#This Row],[Type]],1)="P",VALUE(ResultsTeams[[#This Row],[Score-B]]),""))</f>
        <v/>
      </c>
      <c r="S661" s="265" t="str">
        <f ca="1">IF(AND(ResultsTeams[[#This Row],[Category]]&lt;&gt;"",ResultsTeams[[#This Row],[Team A]]&lt;&gt;""),COUNTIF(INDIRECT("TeamsList[Club Name]"),ResultsTeams[[#This Row],[Team A]]),"")</f>
        <v/>
      </c>
      <c r="T661" s="265" t="str">
        <f ca="1">IF(AND(ResultsTeams[[#This Row],[Category]]&lt;&gt;"",ResultsTeams[[#This Row],[Team B]]&lt;&gt;""),COUNTIF(INDIRECT("TeamsList[Club Name]"),ResultsTeams[[#This Row],[Team B]]),"")</f>
        <v/>
      </c>
      <c r="U6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1" s="265" t="str">
        <f>IF(ResultsTeams[[#This Row],[Score_OK]],IF(ResultsTeams[[#This Row],[StageCpy]]="Groups",ResultsTeams[[#This Row],[Category]]&amp;"-"&amp;IF(ResultsTeams[[#This Row],[Team B]]="","",IF(ResultsTeams[[#This Row],[Match-A]]=ResultsTeams[[#This Row],[Match-B]],ResultsTeams[[#This Row],[Team A]],"")),""),"")</f>
        <v/>
      </c>
      <c r="W661" s="265" t="str">
        <f>IF(ResultsTeams[[#This Row],[Score_OK]],IF(ResultsTeams[[#This Row],[StageCpy]]="Groups",ResultsTeams[[#This Row],[Category]]&amp;"-"&amp;IF(ResultsTeams[[#This Row],[Team B]]="","",IF(ResultsTeams[[#This Row],[Match-A]]=ResultsTeams[[#This Row],[Match-B]],ResultsTeams[[#This Row],[Team B]],"")),""),"")</f>
        <v/>
      </c>
      <c r="X6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1" s="264" t="str">
        <f>IF(ResultsTeams[[#This Row],[Category]]="","",VLOOKUP(ResultsTeams[[#This Row],[Stage]],$R$1:$T$8,MATCH(ResultsTeams[[#This Row],[Category]],$S$1:$T$1,0)+1,FALSE))</f>
        <v/>
      </c>
      <c r="AC6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1" s="264" t="str">
        <f>IF(ResultsTeams[[#This Row],[Type]]="G",ResultsTeams[[#This Row],[Stage]],AD660)</f>
        <v>Last 16</v>
      </c>
      <c r="AE661" s="395" t="str">
        <f>IF(ResultsTeams[[#This Row],[Type]]="G",INDEX(TeamsList[Club Name],MATCH(ResultsTeams[[#This Row],[Team A]],TeamsList[Team Name],0)),AE660)</f>
        <v>SC Lion's Eugies</v>
      </c>
      <c r="AF661" s="395" t="str">
        <f>IF(ResultsTeams[[#This Row],[Type]]="G",INDEX(TeamsList[Club Name],MATCH(ResultsTeams[[#This Row],[Team B]],TeamsList[Team Name],0)),AF660)</f>
        <v>Wamme SC</v>
      </c>
      <c r="AG661" s="265"/>
    </row>
    <row r="662" spans="1:33" ht="12" thickBot="1" x14ac:dyDescent="0.25">
      <c r="A662" s="83"/>
      <c r="B662" s="83"/>
      <c r="C662" s="83"/>
      <c r="D662" s="83"/>
      <c r="E662" s="268" t="s">
        <v>12244</v>
      </c>
      <c r="F662" s="262"/>
      <c r="G662" s="262"/>
      <c r="H662" s="324"/>
      <c r="I662" s="324"/>
      <c r="J662" s="263"/>
      <c r="K662" s="365"/>
      <c r="L662" s="365"/>
      <c r="M662" s="84"/>
      <c r="N662" s="265" t="b">
        <f>NOT(ISERROR(ResultsTeams[[#This Row],[Goal-A]]+ResultsTeams[[#This Row],[Goal-B]]))</f>
        <v>0</v>
      </c>
      <c r="O662" s="265" t="str">
        <f>IF(ResultsTeams[[#This Row],[Type]]="G",SUM(O663:O666),IF(LEFT(ResultsTeams[[#This Row],[Type]],1)="P",IF(ResultsTeams[[#This Row],[Goal-A]]&gt;ResultsTeams[[#This Row],[Goal-B]],1,0),""))</f>
        <v/>
      </c>
      <c r="P662" s="265" t="str">
        <f>IF(ResultsTeams[[#This Row],[Type]]="G",SUM(P663:P666),IF(LEFT(ResultsTeams[[#This Row],[Type]],1)="P",IF(ResultsTeams[[#This Row],[Goal-A]]&lt;ResultsTeams[[#This Row],[Goal-B]],1,0),""))</f>
        <v/>
      </c>
      <c r="Q662" s="265" t="str">
        <f>IF(ResultsTeams[[#This Row],[Type]]="G",SUM(Q663:Q666),IF(LEFT(ResultsTeams[[#This Row],[Type]],1)="P",VALUE(ResultsTeams[[#This Row],[Score-A]]),""))</f>
        <v/>
      </c>
      <c r="R662" s="265" t="str">
        <f>IF(ResultsTeams[[#This Row],[Type]]="G",SUM(R663:R666),IF(LEFT(ResultsTeams[[#This Row],[Type]],1)="P",VALUE(ResultsTeams[[#This Row],[Score-B]]),""))</f>
        <v/>
      </c>
      <c r="S662" s="265" t="str">
        <f ca="1">IF(AND(ResultsTeams[[#This Row],[Category]]&lt;&gt;"",ResultsTeams[[#This Row],[Team A]]&lt;&gt;""),COUNTIF(INDIRECT("TeamsList[Club Name]"),ResultsTeams[[#This Row],[Team A]]),"")</f>
        <v/>
      </c>
      <c r="T662" s="265" t="str">
        <f ca="1">IF(AND(ResultsTeams[[#This Row],[Category]]&lt;&gt;"",ResultsTeams[[#This Row],[Team B]]&lt;&gt;""),COUNTIF(INDIRECT("TeamsList[Club Name]"),ResultsTeams[[#This Row],[Team B]]),"")</f>
        <v/>
      </c>
      <c r="U6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2" s="265" t="str">
        <f>IF(ResultsTeams[[#This Row],[Score_OK]],IF(ResultsTeams[[#This Row],[StageCpy]]="Groups",ResultsTeams[[#This Row],[Category]]&amp;"-"&amp;IF(ResultsTeams[[#This Row],[Team B]]="","",IF(ResultsTeams[[#This Row],[Match-A]]=ResultsTeams[[#This Row],[Match-B]],ResultsTeams[[#This Row],[Team A]],"")),""),"")</f>
        <v/>
      </c>
      <c r="W662" s="265" t="str">
        <f>IF(ResultsTeams[[#This Row],[Score_OK]],IF(ResultsTeams[[#This Row],[StageCpy]]="Groups",ResultsTeams[[#This Row],[Category]]&amp;"-"&amp;IF(ResultsTeams[[#This Row],[Team B]]="","",IF(ResultsTeams[[#This Row],[Match-A]]=ResultsTeams[[#This Row],[Match-B]],ResultsTeams[[#This Row],[Team B]],"")),""),"")</f>
        <v/>
      </c>
      <c r="X6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2" s="264" t="str">
        <f>IF(ResultsTeams[[#This Row],[Category]]="","",VLOOKUP(ResultsTeams[[#This Row],[Stage]],$R$1:$T$8,MATCH(ResultsTeams[[#This Row],[Category]],$S$1:$T$1,0)+1,FALSE))</f>
        <v/>
      </c>
      <c r="AC6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2" s="264" t="str">
        <f>IF(ResultsTeams[[#This Row],[Type]]="G",ResultsTeams[[#This Row],[Stage]],AD661)</f>
        <v>Last 16</v>
      </c>
      <c r="AE662" s="395" t="str">
        <f>IF(ResultsTeams[[#This Row],[Type]]="G",INDEX(TeamsList[Club Name],MATCH(ResultsTeams[[#This Row],[Team A]],TeamsList[Team Name],0)),AE661)</f>
        <v>SC Lion's Eugies</v>
      </c>
      <c r="AF662" s="395" t="str">
        <f>IF(ResultsTeams[[#This Row],[Type]]="G",INDEX(TeamsList[Club Name],MATCH(ResultsTeams[[#This Row],[Team B]],TeamsList[Team Name],0)),AF661)</f>
        <v>Wamme SC</v>
      </c>
      <c r="AG662" s="265"/>
    </row>
    <row r="663" spans="1:33" ht="12" thickBot="1" x14ac:dyDescent="0.25">
      <c r="A663" s="261" t="s">
        <v>12263</v>
      </c>
      <c r="B663" s="270" t="s">
        <v>12219</v>
      </c>
      <c r="C663" s="506"/>
      <c r="D663" s="270"/>
      <c r="E663" s="272" t="s">
        <v>12228</v>
      </c>
      <c r="F663" s="273" t="s">
        <v>14587</v>
      </c>
      <c r="G663" s="273" t="s">
        <v>14588</v>
      </c>
      <c r="H663" s="275">
        <v>2</v>
      </c>
      <c r="I663" s="275">
        <v>1</v>
      </c>
      <c r="J663" s="275"/>
      <c r="K663" s="366"/>
      <c r="L663" s="366"/>
      <c r="M663" s="271"/>
      <c r="N663" s="265" t="b">
        <f>NOT(ISERROR(ResultsTeams[[#This Row],[Goal-A]]+ResultsTeams[[#This Row],[Goal-B]]))</f>
        <v>1</v>
      </c>
      <c r="O663" s="265">
        <f>IF(ResultsTeams[[#This Row],[Type]]="G",SUM(O664:O667),IF(LEFT(ResultsTeams[[#This Row],[Type]],1)="P",IF(ResultsTeams[[#This Row],[Goal-A]]&gt;ResultsTeams[[#This Row],[Goal-B]],1,0),""))</f>
        <v>2</v>
      </c>
      <c r="P663" s="265">
        <f>IF(ResultsTeams[[#This Row],[Type]]="G",SUM(P664:P667),IF(LEFT(ResultsTeams[[#This Row],[Type]],1)="P",IF(ResultsTeams[[#This Row],[Goal-A]]&lt;ResultsTeams[[#This Row],[Goal-B]],1,0),""))</f>
        <v>1</v>
      </c>
      <c r="Q663" s="265">
        <f>IF(ResultsTeams[[#This Row],[Type]]="G",SUM(Q664:Q667),IF(LEFT(ResultsTeams[[#This Row],[Type]],1)="P",VALUE(ResultsTeams[[#This Row],[Score-A]]),""))</f>
        <v>6</v>
      </c>
      <c r="R663" s="265">
        <f>IF(ResultsTeams[[#This Row],[Type]]="G",SUM(R664:R667),IF(LEFT(ResultsTeams[[#This Row],[Type]],1)="P",VALUE(ResultsTeams[[#This Row],[Score-B]]),""))</f>
        <v>5</v>
      </c>
      <c r="S663" s="265">
        <f ca="1">IF(AND(ResultsTeams[[#This Row],[Category]]&lt;&gt;"",ResultsTeams[[#This Row],[Team A]]&lt;&gt;""),COUNTIF(INDIRECT("TeamsList[Club Name]"),ResultsTeams[[#This Row],[Team A]]),"")</f>
        <v>0</v>
      </c>
      <c r="T663" s="265">
        <f ca="1">IF(AND(ResultsTeams[[#This Row],[Category]]&lt;&gt;"",ResultsTeams[[#This Row],[Team B]]&lt;&gt;""),COUNTIF(INDIRECT("TeamsList[Club Name]"),ResultsTeams[[#This Row],[Team B]]),"")</f>
        <v>0</v>
      </c>
      <c r="U6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3" s="265" t="str">
        <f>IF(ResultsTeams[[#This Row],[Score_OK]],IF(ResultsTeams[[#This Row],[StageCpy]]="Groups",ResultsTeams[[#This Row],[Category]]&amp;"-"&amp;IF(ResultsTeams[[#This Row],[Team B]]="","",IF(ResultsTeams[[#This Row],[Match-A]]=ResultsTeams[[#This Row],[Match-B]],ResultsTeams[[#This Row],[Team A]],"")),""),"")</f>
        <v/>
      </c>
      <c r="W663" s="265" t="str">
        <f>IF(ResultsTeams[[#This Row],[Score_OK]],IF(ResultsTeams[[#This Row],[StageCpy]]="Groups",ResultsTeams[[#This Row],[Category]]&amp;"-"&amp;IF(ResultsTeams[[#This Row],[Team B]]="","",IF(ResultsTeams[[#This Row],[Match-A]]=ResultsTeams[[#This Row],[Match-B]],ResultsTeams[[#This Row],[Team B]],"")),""),"")</f>
        <v/>
      </c>
      <c r="X6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CONSOLATION-SC Lion's Eugies 3</v>
      </c>
      <c r="Z663"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63"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63" s="264" t="e">
        <f>IF(ResultsTeams[[#This Row],[Category]]="","",VLOOKUP(ResultsTeams[[#This Row],[Stage]],$R$1:$T$8,MATCH(ResultsTeams[[#This Row],[Category]],$S$1:$T$1,0)+1,FALSE))</f>
        <v>#N/A</v>
      </c>
      <c r="AC663"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63" s="264" t="str">
        <f>IF(ResultsTeams[[#This Row],[Type]]="G",ResultsTeams[[#This Row],[Stage]],AD662)</f>
        <v>Last 16</v>
      </c>
      <c r="AE663" s="395" t="str">
        <f>IF(ResultsTeams[[#This Row],[Type]]="G",INDEX(TeamsList[Club Name],MATCH(ResultsTeams[[#This Row],[Team A]],TeamsList[Team Name],0)),AE662)</f>
        <v>Avenir Subbuteo Hennuyer</v>
      </c>
      <c r="AF663" s="395" t="str">
        <f>IF(ResultsTeams[[#This Row],[Type]]="G",INDEX(TeamsList[Club Name],MATCH(ResultsTeams[[#This Row],[Team B]],TeamsList[Team Name],0)),AF662)</f>
        <v>SC Lion's Eugies</v>
      </c>
      <c r="AG663" s="265"/>
    </row>
    <row r="664" spans="1:33" x14ac:dyDescent="0.2">
      <c r="A664" s="60"/>
      <c r="B664" s="280"/>
      <c r="C664" s="60"/>
      <c r="D664" s="60"/>
      <c r="E664" s="240" t="s">
        <v>12231</v>
      </c>
      <c r="F664" s="244" t="s">
        <v>8146</v>
      </c>
      <c r="G664" s="244" t="s">
        <v>8139</v>
      </c>
      <c r="H664" s="253">
        <v>1</v>
      </c>
      <c r="I664" s="253">
        <v>2</v>
      </c>
      <c r="J664" s="253"/>
      <c r="K664" s="362"/>
      <c r="L664" s="362"/>
      <c r="M664" s="61"/>
      <c r="N664" s="265" t="b">
        <f>NOT(ISERROR(ResultsTeams[[#This Row],[Goal-A]]+ResultsTeams[[#This Row],[Goal-B]]))</f>
        <v>1</v>
      </c>
      <c r="O664" s="265">
        <f>IF(ResultsTeams[[#This Row],[Type]]="G",SUM(O665:O668),IF(LEFT(ResultsTeams[[#This Row],[Type]],1)="P",IF(ResultsTeams[[#This Row],[Goal-A]]&gt;ResultsTeams[[#This Row],[Goal-B]],1,0),""))</f>
        <v>0</v>
      </c>
      <c r="P664" s="265">
        <f>IF(ResultsTeams[[#This Row],[Type]]="G",SUM(P665:P668),IF(LEFT(ResultsTeams[[#This Row],[Type]],1)="P",IF(ResultsTeams[[#This Row],[Goal-A]]&lt;ResultsTeams[[#This Row],[Goal-B]],1,0),""))</f>
        <v>1</v>
      </c>
      <c r="Q664" s="265">
        <f>IF(ResultsTeams[[#This Row],[Type]]="G",SUM(Q665:Q668),IF(LEFT(ResultsTeams[[#This Row],[Type]],1)="P",VALUE(ResultsTeams[[#This Row],[Score-A]]),""))</f>
        <v>1</v>
      </c>
      <c r="R664" s="265">
        <f>IF(ResultsTeams[[#This Row],[Type]]="G",SUM(R665:R668),IF(LEFT(ResultsTeams[[#This Row],[Type]],1)="P",VALUE(ResultsTeams[[#This Row],[Score-B]]),""))</f>
        <v>2</v>
      </c>
      <c r="S664" s="265" t="str">
        <f ca="1">IF(AND(ResultsTeams[[#This Row],[Category]]&lt;&gt;"",ResultsTeams[[#This Row],[Team A]]&lt;&gt;""),COUNTIF(INDIRECT("TeamsList[Club Name]"),ResultsTeams[[#This Row],[Team A]]),"")</f>
        <v/>
      </c>
      <c r="T664" s="265" t="str">
        <f ca="1">IF(AND(ResultsTeams[[#This Row],[Category]]&lt;&gt;"",ResultsTeams[[#This Row],[Team B]]&lt;&gt;""),COUNTIF(INDIRECT("TeamsList[Club Name]"),ResultsTeams[[#This Row],[Team B]]),"")</f>
        <v/>
      </c>
      <c r="U6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4" s="265" t="str">
        <f>IF(ResultsTeams[[#This Row],[Score_OK]],IF(ResultsTeams[[#This Row],[StageCpy]]="Groups",ResultsTeams[[#This Row],[Category]]&amp;"-"&amp;IF(ResultsTeams[[#This Row],[Team B]]="","",IF(ResultsTeams[[#This Row],[Match-A]]=ResultsTeams[[#This Row],[Match-B]],ResultsTeams[[#This Row],[Team A]],"")),""),"")</f>
        <v/>
      </c>
      <c r="W664" s="265" t="str">
        <f>IF(ResultsTeams[[#This Row],[Score_OK]],IF(ResultsTeams[[#This Row],[StageCpy]]="Groups",ResultsTeams[[#This Row],[Category]]&amp;"-"&amp;IF(ResultsTeams[[#This Row],[Team B]]="","",IF(ResultsTeams[[#This Row],[Match-A]]=ResultsTeams[[#This Row],[Match-B]],ResultsTeams[[#This Row],[Team B]],"")),""),"")</f>
        <v/>
      </c>
      <c r="X6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4" s="264" t="str">
        <f>IF(ResultsTeams[[#This Row],[Category]]="","",VLOOKUP(ResultsTeams[[#This Row],[Stage]],$R$1:$T$8,MATCH(ResultsTeams[[#This Row],[Category]],$S$1:$T$1,0)+1,FALSE))</f>
        <v/>
      </c>
      <c r="AC6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4" s="264" t="str">
        <f>IF(ResultsTeams[[#This Row],[Type]]="G",ResultsTeams[[#This Row],[Stage]],AD663)</f>
        <v>Last 16</v>
      </c>
      <c r="AE664" s="395" t="str">
        <f>IF(ResultsTeams[[#This Row],[Type]]="G",INDEX(TeamsList[Club Name],MATCH(ResultsTeams[[#This Row],[Team A]],TeamsList[Team Name],0)),AE663)</f>
        <v>Avenir Subbuteo Hennuyer</v>
      </c>
      <c r="AF664" s="395" t="str">
        <f>IF(ResultsTeams[[#This Row],[Type]]="G",INDEX(TeamsList[Club Name],MATCH(ResultsTeams[[#This Row],[Team B]],TeamsList[Team Name],0)),AF663)</f>
        <v>SC Lion's Eugies</v>
      </c>
      <c r="AG664" s="265"/>
    </row>
    <row r="665" spans="1:33" x14ac:dyDescent="0.2">
      <c r="A665" s="62"/>
      <c r="B665" s="280"/>
      <c r="C665" s="62"/>
      <c r="D665" s="62"/>
      <c r="E665" s="241" t="s">
        <v>12234</v>
      </c>
      <c r="F665" s="246" t="s">
        <v>8589</v>
      </c>
      <c r="G665" s="246" t="s">
        <v>8110</v>
      </c>
      <c r="H665" s="254">
        <v>3</v>
      </c>
      <c r="I665" s="254">
        <v>2</v>
      </c>
      <c r="J665" s="254"/>
      <c r="K665" s="363"/>
      <c r="L665" s="363"/>
      <c r="M665" s="63"/>
      <c r="N665" s="265" t="b">
        <f>NOT(ISERROR(ResultsTeams[[#This Row],[Goal-A]]+ResultsTeams[[#This Row],[Goal-B]]))</f>
        <v>1</v>
      </c>
      <c r="O665" s="265">
        <f>IF(ResultsTeams[[#This Row],[Type]]="G",SUM(O666:O669),IF(LEFT(ResultsTeams[[#This Row],[Type]],1)="P",IF(ResultsTeams[[#This Row],[Goal-A]]&gt;ResultsTeams[[#This Row],[Goal-B]],1,0),""))</f>
        <v>1</v>
      </c>
      <c r="P665" s="265">
        <f>IF(ResultsTeams[[#This Row],[Type]]="G",SUM(P666:P669),IF(LEFT(ResultsTeams[[#This Row],[Type]],1)="P",IF(ResultsTeams[[#This Row],[Goal-A]]&lt;ResultsTeams[[#This Row],[Goal-B]],1,0),""))</f>
        <v>0</v>
      </c>
      <c r="Q665" s="265">
        <f>IF(ResultsTeams[[#This Row],[Type]]="G",SUM(Q666:Q669),IF(LEFT(ResultsTeams[[#This Row],[Type]],1)="P",VALUE(ResultsTeams[[#This Row],[Score-A]]),""))</f>
        <v>3</v>
      </c>
      <c r="R665" s="265">
        <f>IF(ResultsTeams[[#This Row],[Type]]="G",SUM(R666:R669),IF(LEFT(ResultsTeams[[#This Row],[Type]],1)="P",VALUE(ResultsTeams[[#This Row],[Score-B]]),""))</f>
        <v>2</v>
      </c>
      <c r="S665" s="265" t="str">
        <f ca="1">IF(AND(ResultsTeams[[#This Row],[Category]]&lt;&gt;"",ResultsTeams[[#This Row],[Team A]]&lt;&gt;""),COUNTIF(INDIRECT("TeamsList[Club Name]"),ResultsTeams[[#This Row],[Team A]]),"")</f>
        <v/>
      </c>
      <c r="T665" s="265" t="str">
        <f ca="1">IF(AND(ResultsTeams[[#This Row],[Category]]&lt;&gt;"",ResultsTeams[[#This Row],[Team B]]&lt;&gt;""),COUNTIF(INDIRECT("TeamsList[Club Name]"),ResultsTeams[[#This Row],[Team B]]),"")</f>
        <v/>
      </c>
      <c r="U6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5" s="265" t="str">
        <f>IF(ResultsTeams[[#This Row],[Score_OK]],IF(ResultsTeams[[#This Row],[StageCpy]]="Groups",ResultsTeams[[#This Row],[Category]]&amp;"-"&amp;IF(ResultsTeams[[#This Row],[Team B]]="","",IF(ResultsTeams[[#This Row],[Match-A]]=ResultsTeams[[#This Row],[Match-B]],ResultsTeams[[#This Row],[Team A]],"")),""),"")</f>
        <v/>
      </c>
      <c r="W665" s="265" t="str">
        <f>IF(ResultsTeams[[#This Row],[Score_OK]],IF(ResultsTeams[[#This Row],[StageCpy]]="Groups",ResultsTeams[[#This Row],[Category]]&amp;"-"&amp;IF(ResultsTeams[[#This Row],[Team B]]="","",IF(ResultsTeams[[#This Row],[Match-A]]=ResultsTeams[[#This Row],[Match-B]],ResultsTeams[[#This Row],[Team B]],"")),""),"")</f>
        <v/>
      </c>
      <c r="X6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5" s="264" t="str">
        <f>IF(ResultsTeams[[#This Row],[Category]]="","",VLOOKUP(ResultsTeams[[#This Row],[Stage]],$R$1:$T$8,MATCH(ResultsTeams[[#This Row],[Category]],$S$1:$T$1,0)+1,FALSE))</f>
        <v/>
      </c>
      <c r="AC6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5" s="264" t="str">
        <f>IF(ResultsTeams[[#This Row],[Type]]="G",ResultsTeams[[#This Row],[Stage]],AD664)</f>
        <v>Last 16</v>
      </c>
      <c r="AE665" s="395" t="str">
        <f>IF(ResultsTeams[[#This Row],[Type]]="G",INDEX(TeamsList[Club Name],MATCH(ResultsTeams[[#This Row],[Team A]],TeamsList[Team Name],0)),AE664)</f>
        <v>Avenir Subbuteo Hennuyer</v>
      </c>
      <c r="AF665" s="395" t="str">
        <f>IF(ResultsTeams[[#This Row],[Type]]="G",INDEX(TeamsList[Club Name],MATCH(ResultsTeams[[#This Row],[Team B]],TeamsList[Team Name],0)),AF664)</f>
        <v>SC Lion's Eugies</v>
      </c>
      <c r="AG665" s="265"/>
    </row>
    <row r="666" spans="1:33" x14ac:dyDescent="0.2">
      <c r="A666" s="62"/>
      <c r="B666" s="280"/>
      <c r="C666" s="62"/>
      <c r="D666" s="62"/>
      <c r="E666" s="241" t="s">
        <v>12237</v>
      </c>
      <c r="F666" s="246" t="s">
        <v>8713</v>
      </c>
      <c r="G666" s="246" t="s">
        <v>14608</v>
      </c>
      <c r="H666" s="254">
        <v>0</v>
      </c>
      <c r="I666" s="254">
        <v>0</v>
      </c>
      <c r="J666" s="254"/>
      <c r="K666" s="363"/>
      <c r="L666" s="363"/>
      <c r="M666" s="63"/>
      <c r="N666" s="265" t="b">
        <f>NOT(ISERROR(ResultsTeams[[#This Row],[Goal-A]]+ResultsTeams[[#This Row],[Goal-B]]))</f>
        <v>1</v>
      </c>
      <c r="O666" s="265">
        <f>IF(ResultsTeams[[#This Row],[Type]]="G",SUM(O667:O670),IF(LEFT(ResultsTeams[[#This Row],[Type]],1)="P",IF(ResultsTeams[[#This Row],[Goal-A]]&gt;ResultsTeams[[#This Row],[Goal-B]],1,0),""))</f>
        <v>0</v>
      </c>
      <c r="P666" s="265">
        <f>IF(ResultsTeams[[#This Row],[Type]]="G",SUM(P667:P670),IF(LEFT(ResultsTeams[[#This Row],[Type]],1)="P",IF(ResultsTeams[[#This Row],[Goal-A]]&lt;ResultsTeams[[#This Row],[Goal-B]],1,0),""))</f>
        <v>0</v>
      </c>
      <c r="Q666" s="265">
        <f>IF(ResultsTeams[[#This Row],[Type]]="G",SUM(Q667:Q670),IF(LEFT(ResultsTeams[[#This Row],[Type]],1)="P",VALUE(ResultsTeams[[#This Row],[Score-A]]),""))</f>
        <v>0</v>
      </c>
      <c r="R666" s="265">
        <f>IF(ResultsTeams[[#This Row],[Type]]="G",SUM(R667:R670),IF(LEFT(ResultsTeams[[#This Row],[Type]],1)="P",VALUE(ResultsTeams[[#This Row],[Score-B]]),""))</f>
        <v>0</v>
      </c>
      <c r="S666" s="265" t="str">
        <f ca="1">IF(AND(ResultsTeams[[#This Row],[Category]]&lt;&gt;"",ResultsTeams[[#This Row],[Team A]]&lt;&gt;""),COUNTIF(INDIRECT("TeamsList[Club Name]"),ResultsTeams[[#This Row],[Team A]]),"")</f>
        <v/>
      </c>
      <c r="T666" s="265" t="str">
        <f ca="1">IF(AND(ResultsTeams[[#This Row],[Category]]&lt;&gt;"",ResultsTeams[[#This Row],[Team B]]&lt;&gt;""),COUNTIF(INDIRECT("TeamsList[Club Name]"),ResultsTeams[[#This Row],[Team B]]),"")</f>
        <v/>
      </c>
      <c r="U6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6" s="265" t="str">
        <f>IF(ResultsTeams[[#This Row],[Score_OK]],IF(ResultsTeams[[#This Row],[StageCpy]]="Groups",ResultsTeams[[#This Row],[Category]]&amp;"-"&amp;IF(ResultsTeams[[#This Row],[Team B]]="","",IF(ResultsTeams[[#This Row],[Match-A]]=ResultsTeams[[#This Row],[Match-B]],ResultsTeams[[#This Row],[Team A]],"")),""),"")</f>
        <v/>
      </c>
      <c r="W666" s="265" t="str">
        <f>IF(ResultsTeams[[#This Row],[Score_OK]],IF(ResultsTeams[[#This Row],[StageCpy]]="Groups",ResultsTeams[[#This Row],[Category]]&amp;"-"&amp;IF(ResultsTeams[[#This Row],[Team B]]="","",IF(ResultsTeams[[#This Row],[Match-A]]=ResultsTeams[[#This Row],[Match-B]],ResultsTeams[[#This Row],[Team B]],"")),""),"")</f>
        <v/>
      </c>
      <c r="X6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6" s="264" t="str">
        <f>IF(ResultsTeams[[#This Row],[Category]]="","",VLOOKUP(ResultsTeams[[#This Row],[Stage]],$R$1:$T$8,MATCH(ResultsTeams[[#This Row],[Category]],$S$1:$T$1,0)+1,FALSE))</f>
        <v/>
      </c>
      <c r="AC6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6" s="264" t="str">
        <f>IF(ResultsTeams[[#This Row],[Type]]="G",ResultsTeams[[#This Row],[Stage]],AD665)</f>
        <v>Last 16</v>
      </c>
      <c r="AE666" s="395" t="str">
        <f>IF(ResultsTeams[[#This Row],[Type]]="G",INDEX(TeamsList[Club Name],MATCH(ResultsTeams[[#This Row],[Team A]],TeamsList[Team Name],0)),AE665)</f>
        <v>Avenir Subbuteo Hennuyer</v>
      </c>
      <c r="AF666" s="395" t="str">
        <f>IF(ResultsTeams[[#This Row],[Type]]="G",INDEX(TeamsList[Club Name],MATCH(ResultsTeams[[#This Row],[Team B]],TeamsList[Team Name],0)),AF665)</f>
        <v>SC Lion's Eugies</v>
      </c>
      <c r="AG666" s="265"/>
    </row>
    <row r="667" spans="1:33" x14ac:dyDescent="0.2">
      <c r="A667" s="62"/>
      <c r="B667" s="280"/>
      <c r="C667" s="62"/>
      <c r="D667" s="62"/>
      <c r="E667" s="241" t="s">
        <v>12240</v>
      </c>
      <c r="F667" s="246" t="s">
        <v>14521</v>
      </c>
      <c r="G667" s="246" t="s">
        <v>8083</v>
      </c>
      <c r="H667" s="254">
        <v>2</v>
      </c>
      <c r="I667" s="254">
        <v>1</v>
      </c>
      <c r="J667" s="254"/>
      <c r="K667" s="363"/>
      <c r="L667" s="363"/>
      <c r="M667" s="63"/>
      <c r="N667" s="265" t="b">
        <f>NOT(ISERROR(ResultsTeams[[#This Row],[Goal-A]]+ResultsTeams[[#This Row],[Goal-B]]))</f>
        <v>1</v>
      </c>
      <c r="O667" s="265">
        <f>IF(ResultsTeams[[#This Row],[Type]]="G",SUM(O668:O671),IF(LEFT(ResultsTeams[[#This Row],[Type]],1)="P",IF(ResultsTeams[[#This Row],[Goal-A]]&gt;ResultsTeams[[#This Row],[Goal-B]],1,0),""))</f>
        <v>1</v>
      </c>
      <c r="P667" s="265">
        <f>IF(ResultsTeams[[#This Row],[Type]]="G",SUM(P668:P671),IF(LEFT(ResultsTeams[[#This Row],[Type]],1)="P",IF(ResultsTeams[[#This Row],[Goal-A]]&lt;ResultsTeams[[#This Row],[Goal-B]],1,0),""))</f>
        <v>0</v>
      </c>
      <c r="Q667" s="265">
        <f>IF(ResultsTeams[[#This Row],[Type]]="G",SUM(Q668:Q671),IF(LEFT(ResultsTeams[[#This Row],[Type]],1)="P",VALUE(ResultsTeams[[#This Row],[Score-A]]),""))</f>
        <v>2</v>
      </c>
      <c r="R667" s="265">
        <f>IF(ResultsTeams[[#This Row],[Type]]="G",SUM(R668:R671),IF(LEFT(ResultsTeams[[#This Row],[Type]],1)="P",VALUE(ResultsTeams[[#This Row],[Score-B]]),""))</f>
        <v>1</v>
      </c>
      <c r="S667" s="265" t="str">
        <f ca="1">IF(AND(ResultsTeams[[#This Row],[Category]]&lt;&gt;"",ResultsTeams[[#This Row],[Team A]]&lt;&gt;""),COUNTIF(INDIRECT("TeamsList[Club Name]"),ResultsTeams[[#This Row],[Team A]]),"")</f>
        <v/>
      </c>
      <c r="T667" s="265" t="str">
        <f ca="1">IF(AND(ResultsTeams[[#This Row],[Category]]&lt;&gt;"",ResultsTeams[[#This Row],[Team B]]&lt;&gt;""),COUNTIF(INDIRECT("TeamsList[Club Name]"),ResultsTeams[[#This Row],[Team B]]),"")</f>
        <v/>
      </c>
      <c r="U6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7" s="265" t="str">
        <f>IF(ResultsTeams[[#This Row],[Score_OK]],IF(ResultsTeams[[#This Row],[StageCpy]]="Groups",ResultsTeams[[#This Row],[Category]]&amp;"-"&amp;IF(ResultsTeams[[#This Row],[Team B]]="","",IF(ResultsTeams[[#This Row],[Match-A]]=ResultsTeams[[#This Row],[Match-B]],ResultsTeams[[#This Row],[Team A]],"")),""),"")</f>
        <v/>
      </c>
      <c r="W667" s="265" t="str">
        <f>IF(ResultsTeams[[#This Row],[Score_OK]],IF(ResultsTeams[[#This Row],[StageCpy]]="Groups",ResultsTeams[[#This Row],[Category]]&amp;"-"&amp;IF(ResultsTeams[[#This Row],[Team B]]="","",IF(ResultsTeams[[#This Row],[Match-A]]=ResultsTeams[[#This Row],[Match-B]],ResultsTeams[[#This Row],[Team B]],"")),""),"")</f>
        <v/>
      </c>
      <c r="X6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7" s="264" t="str">
        <f>IF(ResultsTeams[[#This Row],[Category]]="","",VLOOKUP(ResultsTeams[[#This Row],[Stage]],$R$1:$T$8,MATCH(ResultsTeams[[#This Row],[Category]],$S$1:$T$1,0)+1,FALSE))</f>
        <v/>
      </c>
      <c r="AC6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7" s="264" t="str">
        <f>IF(ResultsTeams[[#This Row],[Type]]="G",ResultsTeams[[#This Row],[Stage]],AD666)</f>
        <v>Last 16</v>
      </c>
      <c r="AE667" s="395" t="str">
        <f>IF(ResultsTeams[[#This Row],[Type]]="G",INDEX(TeamsList[Club Name],MATCH(ResultsTeams[[#This Row],[Team A]],TeamsList[Team Name],0)),AE666)</f>
        <v>Avenir Subbuteo Hennuyer</v>
      </c>
      <c r="AF667" s="395" t="str">
        <f>IF(ResultsTeams[[#This Row],[Type]]="G",INDEX(TeamsList[Club Name],MATCH(ResultsTeams[[#This Row],[Team B]],TeamsList[Team Name],0)),AF666)</f>
        <v>SC Lion's Eugies</v>
      </c>
      <c r="AG667" s="265"/>
    </row>
    <row r="668" spans="1:33" x14ac:dyDescent="0.2">
      <c r="A668" s="62"/>
      <c r="B668" s="62"/>
      <c r="C668" s="62"/>
      <c r="D668" s="62"/>
      <c r="E668" s="241" t="s">
        <v>12243</v>
      </c>
      <c r="F668" s="247" t="s">
        <v>8121</v>
      </c>
      <c r="G668" s="247"/>
      <c r="H668" s="254"/>
      <c r="I668" s="254"/>
      <c r="J668" s="260"/>
      <c r="K668" s="364"/>
      <c r="L668" s="364"/>
      <c r="M668" s="63"/>
      <c r="N668" s="265" t="b">
        <f>NOT(ISERROR(ResultsTeams[[#This Row],[Goal-A]]+ResultsTeams[[#This Row],[Goal-B]]))</f>
        <v>0</v>
      </c>
      <c r="O668" s="265" t="str">
        <f>IF(ResultsTeams[[#This Row],[Type]]="G",SUM(O669:O672),IF(LEFT(ResultsTeams[[#This Row],[Type]],1)="P",IF(ResultsTeams[[#This Row],[Goal-A]]&gt;ResultsTeams[[#This Row],[Goal-B]],1,0),""))</f>
        <v/>
      </c>
      <c r="P668" s="265" t="str">
        <f>IF(ResultsTeams[[#This Row],[Type]]="G",SUM(P669:P672),IF(LEFT(ResultsTeams[[#This Row],[Type]],1)="P",IF(ResultsTeams[[#This Row],[Goal-A]]&lt;ResultsTeams[[#This Row],[Goal-B]],1,0),""))</f>
        <v/>
      </c>
      <c r="Q668" s="265" t="str">
        <f>IF(ResultsTeams[[#This Row],[Type]]="G",SUM(Q669:Q672),IF(LEFT(ResultsTeams[[#This Row],[Type]],1)="P",VALUE(ResultsTeams[[#This Row],[Score-A]]),""))</f>
        <v/>
      </c>
      <c r="R668" s="265" t="str">
        <f>IF(ResultsTeams[[#This Row],[Type]]="G",SUM(R669:R672),IF(LEFT(ResultsTeams[[#This Row],[Type]],1)="P",VALUE(ResultsTeams[[#This Row],[Score-B]]),""))</f>
        <v/>
      </c>
      <c r="S668" s="265" t="str">
        <f ca="1">IF(AND(ResultsTeams[[#This Row],[Category]]&lt;&gt;"",ResultsTeams[[#This Row],[Team A]]&lt;&gt;""),COUNTIF(INDIRECT("TeamsList[Club Name]"),ResultsTeams[[#This Row],[Team A]]),"")</f>
        <v/>
      </c>
      <c r="T668" s="265" t="str">
        <f ca="1">IF(AND(ResultsTeams[[#This Row],[Category]]&lt;&gt;"",ResultsTeams[[#This Row],[Team B]]&lt;&gt;""),COUNTIF(INDIRECT("TeamsList[Club Name]"),ResultsTeams[[#This Row],[Team B]]),"")</f>
        <v/>
      </c>
      <c r="U6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8" s="265" t="str">
        <f>IF(ResultsTeams[[#This Row],[Score_OK]],IF(ResultsTeams[[#This Row],[StageCpy]]="Groups",ResultsTeams[[#This Row],[Category]]&amp;"-"&amp;IF(ResultsTeams[[#This Row],[Team B]]="","",IF(ResultsTeams[[#This Row],[Match-A]]=ResultsTeams[[#This Row],[Match-B]],ResultsTeams[[#This Row],[Team A]],"")),""),"")</f>
        <v/>
      </c>
      <c r="W668" s="265" t="str">
        <f>IF(ResultsTeams[[#This Row],[Score_OK]],IF(ResultsTeams[[#This Row],[StageCpy]]="Groups",ResultsTeams[[#This Row],[Category]]&amp;"-"&amp;IF(ResultsTeams[[#This Row],[Team B]]="","",IF(ResultsTeams[[#This Row],[Match-A]]=ResultsTeams[[#This Row],[Match-B]],ResultsTeams[[#This Row],[Team B]],"")),""),"")</f>
        <v/>
      </c>
      <c r="X6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8" s="264" t="str">
        <f>IF(ResultsTeams[[#This Row],[Category]]="","",VLOOKUP(ResultsTeams[[#This Row],[Stage]],$R$1:$T$8,MATCH(ResultsTeams[[#This Row],[Category]],$S$1:$T$1,0)+1,FALSE))</f>
        <v/>
      </c>
      <c r="AC6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8" s="264" t="str">
        <f>IF(ResultsTeams[[#This Row],[Type]]="G",ResultsTeams[[#This Row],[Stage]],AD667)</f>
        <v>Last 16</v>
      </c>
      <c r="AE668" s="395" t="str">
        <f>IF(ResultsTeams[[#This Row],[Type]]="G",INDEX(TeamsList[Club Name],MATCH(ResultsTeams[[#This Row],[Team A]],TeamsList[Team Name],0)),AE667)</f>
        <v>Avenir Subbuteo Hennuyer</v>
      </c>
      <c r="AF668" s="395" t="str">
        <f>IF(ResultsTeams[[#This Row],[Type]]="G",INDEX(TeamsList[Club Name],MATCH(ResultsTeams[[#This Row],[Team B]],TeamsList[Team Name],0)),AF667)</f>
        <v>SC Lion's Eugies</v>
      </c>
      <c r="AG668" s="265"/>
    </row>
    <row r="669" spans="1:33" ht="12" thickBot="1" x14ac:dyDescent="0.25">
      <c r="A669" s="83"/>
      <c r="B669" s="83"/>
      <c r="C669" s="83"/>
      <c r="D669" s="83"/>
      <c r="E669" s="268" t="s">
        <v>12244</v>
      </c>
      <c r="F669" s="262"/>
      <c r="G669" s="262"/>
      <c r="H669" s="324"/>
      <c r="I669" s="324"/>
      <c r="J669" s="263"/>
      <c r="K669" s="365"/>
      <c r="L669" s="365"/>
      <c r="M669" s="84"/>
      <c r="N669" s="265" t="b">
        <f>NOT(ISERROR(ResultsTeams[[#This Row],[Goal-A]]+ResultsTeams[[#This Row],[Goal-B]]))</f>
        <v>0</v>
      </c>
      <c r="O669" s="265" t="str">
        <f>IF(ResultsTeams[[#This Row],[Type]]="G",SUM(O670:O673),IF(LEFT(ResultsTeams[[#This Row],[Type]],1)="P",IF(ResultsTeams[[#This Row],[Goal-A]]&gt;ResultsTeams[[#This Row],[Goal-B]],1,0),""))</f>
        <v/>
      </c>
      <c r="P669" s="265" t="str">
        <f>IF(ResultsTeams[[#This Row],[Type]]="G",SUM(P670:P673),IF(LEFT(ResultsTeams[[#This Row],[Type]],1)="P",IF(ResultsTeams[[#This Row],[Goal-A]]&lt;ResultsTeams[[#This Row],[Goal-B]],1,0),""))</f>
        <v/>
      </c>
      <c r="Q669" s="265" t="str">
        <f>IF(ResultsTeams[[#This Row],[Type]]="G",SUM(Q670:Q673),IF(LEFT(ResultsTeams[[#This Row],[Type]],1)="P",VALUE(ResultsTeams[[#This Row],[Score-A]]),""))</f>
        <v/>
      </c>
      <c r="R669" s="265" t="str">
        <f>IF(ResultsTeams[[#This Row],[Type]]="G",SUM(R670:R673),IF(LEFT(ResultsTeams[[#This Row],[Type]],1)="P",VALUE(ResultsTeams[[#This Row],[Score-B]]),""))</f>
        <v/>
      </c>
      <c r="S669" s="265" t="str">
        <f ca="1">IF(AND(ResultsTeams[[#This Row],[Category]]&lt;&gt;"",ResultsTeams[[#This Row],[Team A]]&lt;&gt;""),COUNTIF(INDIRECT("TeamsList[Club Name]"),ResultsTeams[[#This Row],[Team A]]),"")</f>
        <v/>
      </c>
      <c r="T669" s="265" t="str">
        <f ca="1">IF(AND(ResultsTeams[[#This Row],[Category]]&lt;&gt;"",ResultsTeams[[#This Row],[Team B]]&lt;&gt;""),COUNTIF(INDIRECT("TeamsList[Club Name]"),ResultsTeams[[#This Row],[Team B]]),"")</f>
        <v/>
      </c>
      <c r="U6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9" s="265" t="str">
        <f>IF(ResultsTeams[[#This Row],[Score_OK]],IF(ResultsTeams[[#This Row],[StageCpy]]="Groups",ResultsTeams[[#This Row],[Category]]&amp;"-"&amp;IF(ResultsTeams[[#This Row],[Team B]]="","",IF(ResultsTeams[[#This Row],[Match-A]]=ResultsTeams[[#This Row],[Match-B]],ResultsTeams[[#This Row],[Team A]],"")),""),"")</f>
        <v/>
      </c>
      <c r="W669" s="265" t="str">
        <f>IF(ResultsTeams[[#This Row],[Score_OK]],IF(ResultsTeams[[#This Row],[StageCpy]]="Groups",ResultsTeams[[#This Row],[Category]]&amp;"-"&amp;IF(ResultsTeams[[#This Row],[Team B]]="","",IF(ResultsTeams[[#This Row],[Match-A]]=ResultsTeams[[#This Row],[Match-B]],ResultsTeams[[#This Row],[Team B]],"")),""),"")</f>
        <v/>
      </c>
      <c r="X6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9" s="264" t="str">
        <f>IF(ResultsTeams[[#This Row],[Category]]="","",VLOOKUP(ResultsTeams[[#This Row],[Stage]],$R$1:$T$8,MATCH(ResultsTeams[[#This Row],[Category]],$S$1:$T$1,0)+1,FALSE))</f>
        <v/>
      </c>
      <c r="AC6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9" s="264" t="str">
        <f>IF(ResultsTeams[[#This Row],[Type]]="G",ResultsTeams[[#This Row],[Stage]],AD668)</f>
        <v>Last 16</v>
      </c>
      <c r="AE669" s="395" t="str">
        <f>IF(ResultsTeams[[#This Row],[Type]]="G",INDEX(TeamsList[Club Name],MATCH(ResultsTeams[[#This Row],[Team A]],TeamsList[Team Name],0)),AE668)</f>
        <v>Avenir Subbuteo Hennuyer</v>
      </c>
      <c r="AF669" s="395" t="str">
        <f>IF(ResultsTeams[[#This Row],[Type]]="G",INDEX(TeamsList[Club Name],MATCH(ResultsTeams[[#This Row],[Team B]],TeamsList[Team Name],0)),AF668)</f>
        <v>SC Lion's Eugies</v>
      </c>
      <c r="AG669" s="265"/>
    </row>
    <row r="670" spans="1:33" ht="12" thickBot="1" x14ac:dyDescent="0.25">
      <c r="A670" s="261" t="s">
        <v>12693</v>
      </c>
      <c r="B670" s="270" t="s">
        <v>12212</v>
      </c>
      <c r="C670" s="270"/>
      <c r="D670" s="270"/>
      <c r="E670" s="272" t="s">
        <v>12228</v>
      </c>
      <c r="F670" s="273" t="s">
        <v>789</v>
      </c>
      <c r="G670" s="273" t="s">
        <v>535</v>
      </c>
      <c r="H670" s="275">
        <v>2</v>
      </c>
      <c r="I670" s="275">
        <v>2</v>
      </c>
      <c r="J670" s="275"/>
      <c r="K670" s="366"/>
      <c r="L670" s="366"/>
      <c r="M670" s="274"/>
      <c r="N670" s="265" t="b">
        <f>NOT(ISERROR(ResultsTeams[[#This Row],[Goal-A]]+ResultsTeams[[#This Row],[Goal-B]]))</f>
        <v>1</v>
      </c>
      <c r="O670" s="265">
        <f>IF(ResultsTeams[[#This Row],[Type]]="G",SUM(O671:O674),IF(LEFT(ResultsTeams[[#This Row],[Type]],1)="P",IF(ResultsTeams[[#This Row],[Goal-A]]&gt;ResultsTeams[[#This Row],[Goal-B]],1,0),""))</f>
        <v>2</v>
      </c>
      <c r="P670" s="265">
        <f>IF(ResultsTeams[[#This Row],[Type]]="G",SUM(P671:P674),IF(LEFT(ResultsTeams[[#This Row],[Type]],1)="P",IF(ResultsTeams[[#This Row],[Goal-A]]&lt;ResultsTeams[[#This Row],[Goal-B]],1,0),""))</f>
        <v>2</v>
      </c>
      <c r="Q670" s="265">
        <f>IF(ResultsTeams[[#This Row],[Type]]="G",SUM(Q671:Q674),IF(LEFT(ResultsTeams[[#This Row],[Type]],1)="P",VALUE(ResultsTeams[[#This Row],[Score-A]]),""))</f>
        <v>14</v>
      </c>
      <c r="R670" s="265">
        <f>IF(ResultsTeams[[#This Row],[Type]]="G",SUM(R671:R674),IF(LEFT(ResultsTeams[[#This Row],[Type]],1)="P",VALUE(ResultsTeams[[#This Row],[Score-B]]),""))</f>
        <v>11</v>
      </c>
      <c r="S670" s="265">
        <f ca="1">IF(AND(ResultsTeams[[#This Row],[Category]]&lt;&gt;"",ResultsTeams[[#This Row],[Team A]]&lt;&gt;""),COUNTIF(INDIRECT("TeamsList[Club Name]"),ResultsTeams[[#This Row],[Team A]]),"")</f>
        <v>1</v>
      </c>
      <c r="T670" s="265">
        <f ca="1">IF(AND(ResultsTeams[[#This Row],[Category]]&lt;&gt;"",ResultsTeams[[#This Row],[Team B]]&lt;&gt;""),COUNTIF(INDIRECT("TeamsList[Club Name]"),ResultsTeams[[#This Row],[Team B]]),"")</f>
        <v>2</v>
      </c>
      <c r="U6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0" s="265" t="str">
        <f>IF(ResultsTeams[[#This Row],[Score_OK]],IF(ResultsTeams[[#This Row],[StageCpy]]="Groups",ResultsTeams[[#This Row],[Category]]&amp;"-"&amp;IF(ResultsTeams[[#This Row],[Team B]]="","",IF(ResultsTeams[[#This Row],[Match-A]]=ResultsTeams[[#This Row],[Match-B]],ResultsTeams[[#This Row],[Team A]],"")),""),"")</f>
        <v/>
      </c>
      <c r="W670" s="265" t="str">
        <f>IF(ResultsTeams[[#This Row],[Score_OK]],IF(ResultsTeams[[#This Row],[StageCpy]]="Groups",ResultsTeams[[#This Row],[Category]]&amp;"-"&amp;IF(ResultsTeams[[#This Row],[Team B]]="","",IF(ResultsTeams[[#This Row],[Match-A]]=ResultsTeams[[#This Row],[Match-B]],ResultsTeams[[#This Row],[Team B]],"")),""),"")</f>
        <v/>
      </c>
      <c r="X6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TEAM-FTC Caen</v>
      </c>
      <c r="Z6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6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670" s="264" t="str">
        <f>IF(ResultsTeams[[#This Row],[Category]]="","",VLOOKUP(ResultsTeams[[#This Row],[Stage]],$R$1:$T$8,MATCH(ResultsTeams[[#This Row],[Category]],$S$1:$T$1,0)+1,FALSE))</f>
        <v>Q</v>
      </c>
      <c r="AC6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0" s="264" t="str">
        <f>IF(ResultsTeams[[#This Row],[Type]]="G",ResultsTeams[[#This Row],[Stage]],AD669)</f>
        <v>Last 8</v>
      </c>
      <c r="AE670" s="395" t="str">
        <f>IF(ResultsTeams[[#This Row],[Type]]="G",INDEX(TeamsList[Club Name],MATCH(ResultsTeams[[#This Row],[Team A]],TeamsList[Team Name],0)),AE669)</f>
        <v>Valletta SC</v>
      </c>
      <c r="AF670" s="395" t="str">
        <f>IF(ResultsTeams[[#This Row],[Type]]="G",INDEX(TeamsList[Club Name],MATCH(ResultsTeams[[#This Row],[Team B]],TeamsList[Team Name],0)),AF669)</f>
        <v>FTC Caen</v>
      </c>
      <c r="AG670" s="265"/>
    </row>
    <row r="671" spans="1:33" x14ac:dyDescent="0.2">
      <c r="A671" s="60"/>
      <c r="B671" s="280"/>
      <c r="C671" s="60"/>
      <c r="D671" s="60"/>
      <c r="E671" s="240" t="s">
        <v>12231</v>
      </c>
      <c r="F671" s="244" t="s">
        <v>10436</v>
      </c>
      <c r="G671" s="244" t="s">
        <v>14390</v>
      </c>
      <c r="H671" s="253">
        <v>2</v>
      </c>
      <c r="I671" s="253">
        <v>3</v>
      </c>
      <c r="J671" s="253"/>
      <c r="K671" s="362"/>
      <c r="L671" s="362"/>
      <c r="M671" s="245"/>
      <c r="N671" s="265" t="b">
        <f>NOT(ISERROR(ResultsTeams[[#This Row],[Goal-A]]+ResultsTeams[[#This Row],[Goal-B]]))</f>
        <v>1</v>
      </c>
      <c r="O671" s="265">
        <f>IF(ResultsTeams[[#This Row],[Type]]="G",SUM(O672:O675),IF(LEFT(ResultsTeams[[#This Row],[Type]],1)="P",IF(ResultsTeams[[#This Row],[Goal-A]]&gt;ResultsTeams[[#This Row],[Goal-B]],1,0),""))</f>
        <v>0</v>
      </c>
      <c r="P671" s="265">
        <f>IF(ResultsTeams[[#This Row],[Type]]="G",SUM(P672:P675),IF(LEFT(ResultsTeams[[#This Row],[Type]],1)="P",IF(ResultsTeams[[#This Row],[Goal-A]]&lt;ResultsTeams[[#This Row],[Goal-B]],1,0),""))</f>
        <v>1</v>
      </c>
      <c r="Q671" s="265">
        <f>IF(ResultsTeams[[#This Row],[Type]]="G",SUM(Q672:Q675),IF(LEFT(ResultsTeams[[#This Row],[Type]],1)="P",VALUE(ResultsTeams[[#This Row],[Score-A]]),""))</f>
        <v>2</v>
      </c>
      <c r="R671" s="265">
        <f>IF(ResultsTeams[[#This Row],[Type]]="G",SUM(R672:R675),IF(LEFT(ResultsTeams[[#This Row],[Type]],1)="P",VALUE(ResultsTeams[[#This Row],[Score-B]]),""))</f>
        <v>3</v>
      </c>
      <c r="S671" s="265" t="str">
        <f ca="1">IF(AND(ResultsTeams[[#This Row],[Category]]&lt;&gt;"",ResultsTeams[[#This Row],[Team A]]&lt;&gt;""),COUNTIF(INDIRECT("TeamsList[Club Name]"),ResultsTeams[[#This Row],[Team A]]),"")</f>
        <v/>
      </c>
      <c r="T671" s="265" t="str">
        <f ca="1">IF(AND(ResultsTeams[[#This Row],[Category]]&lt;&gt;"",ResultsTeams[[#This Row],[Team B]]&lt;&gt;""),COUNTIF(INDIRECT("TeamsList[Club Name]"),ResultsTeams[[#This Row],[Team B]]),"")</f>
        <v/>
      </c>
      <c r="U6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1" s="265" t="str">
        <f>IF(ResultsTeams[[#This Row],[Score_OK]],IF(ResultsTeams[[#This Row],[StageCpy]]="Groups",ResultsTeams[[#This Row],[Category]]&amp;"-"&amp;IF(ResultsTeams[[#This Row],[Team B]]="","",IF(ResultsTeams[[#This Row],[Match-A]]=ResultsTeams[[#This Row],[Match-B]],ResultsTeams[[#This Row],[Team A]],"")),""),"")</f>
        <v/>
      </c>
      <c r="W671" s="265" t="str">
        <f>IF(ResultsTeams[[#This Row],[Score_OK]],IF(ResultsTeams[[#This Row],[StageCpy]]="Groups",ResultsTeams[[#This Row],[Category]]&amp;"-"&amp;IF(ResultsTeams[[#This Row],[Team B]]="","",IF(ResultsTeams[[#This Row],[Match-A]]=ResultsTeams[[#This Row],[Match-B]],ResultsTeams[[#This Row],[Team B]],"")),""),"")</f>
        <v/>
      </c>
      <c r="X6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1" s="264" t="str">
        <f>IF(ResultsTeams[[#This Row],[Category]]="","",VLOOKUP(ResultsTeams[[#This Row],[Stage]],$R$1:$T$8,MATCH(ResultsTeams[[#This Row],[Category]],$S$1:$T$1,0)+1,FALSE))</f>
        <v/>
      </c>
      <c r="AC6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1" s="264" t="str">
        <f>IF(ResultsTeams[[#This Row],[Type]]="G",ResultsTeams[[#This Row],[Stage]],AD670)</f>
        <v>Last 8</v>
      </c>
      <c r="AE671" s="395" t="str">
        <f>IF(ResultsTeams[[#This Row],[Type]]="G",INDEX(TeamsList[Club Name],MATCH(ResultsTeams[[#This Row],[Team A]],TeamsList[Team Name],0)),AE670)</f>
        <v>Valletta SC</v>
      </c>
      <c r="AF671" s="395" t="str">
        <f>IF(ResultsTeams[[#This Row],[Type]]="G",INDEX(TeamsList[Club Name],MATCH(ResultsTeams[[#This Row],[Team B]],TeamsList[Team Name],0)),AF670)</f>
        <v>FTC Caen</v>
      </c>
      <c r="AG671" s="265"/>
    </row>
    <row r="672" spans="1:33" x14ac:dyDescent="0.2">
      <c r="A672" s="62"/>
      <c r="B672" s="280"/>
      <c r="C672" s="62"/>
      <c r="D672" s="62"/>
      <c r="E672" s="241" t="s">
        <v>12234</v>
      </c>
      <c r="F672" s="246" t="s">
        <v>9787</v>
      </c>
      <c r="G672" s="246" t="s">
        <v>8095</v>
      </c>
      <c r="H672" s="254">
        <v>4</v>
      </c>
      <c r="I672" s="254">
        <v>6</v>
      </c>
      <c r="J672" s="254"/>
      <c r="K672" s="363"/>
      <c r="L672" s="363"/>
      <c r="M672" s="247"/>
      <c r="N672" s="265" t="b">
        <f>NOT(ISERROR(ResultsTeams[[#This Row],[Goal-A]]+ResultsTeams[[#This Row],[Goal-B]]))</f>
        <v>1</v>
      </c>
      <c r="O672" s="265">
        <f>IF(ResultsTeams[[#This Row],[Type]]="G",SUM(O673:O676),IF(LEFT(ResultsTeams[[#This Row],[Type]],1)="P",IF(ResultsTeams[[#This Row],[Goal-A]]&gt;ResultsTeams[[#This Row],[Goal-B]],1,0),""))</f>
        <v>0</v>
      </c>
      <c r="P672" s="265">
        <f>IF(ResultsTeams[[#This Row],[Type]]="G",SUM(P673:P676),IF(LEFT(ResultsTeams[[#This Row],[Type]],1)="P",IF(ResultsTeams[[#This Row],[Goal-A]]&lt;ResultsTeams[[#This Row],[Goal-B]],1,0),""))</f>
        <v>1</v>
      </c>
      <c r="Q672" s="265">
        <f>IF(ResultsTeams[[#This Row],[Type]]="G",SUM(Q673:Q676),IF(LEFT(ResultsTeams[[#This Row],[Type]],1)="P",VALUE(ResultsTeams[[#This Row],[Score-A]]),""))</f>
        <v>4</v>
      </c>
      <c r="R672" s="265">
        <f>IF(ResultsTeams[[#This Row],[Type]]="G",SUM(R673:R676),IF(LEFT(ResultsTeams[[#This Row],[Type]],1)="P",VALUE(ResultsTeams[[#This Row],[Score-B]]),""))</f>
        <v>6</v>
      </c>
      <c r="S672" s="265" t="str">
        <f ca="1">IF(AND(ResultsTeams[[#This Row],[Category]]&lt;&gt;"",ResultsTeams[[#This Row],[Team A]]&lt;&gt;""),COUNTIF(INDIRECT("TeamsList[Club Name]"),ResultsTeams[[#This Row],[Team A]]),"")</f>
        <v/>
      </c>
      <c r="T672" s="265" t="str">
        <f ca="1">IF(AND(ResultsTeams[[#This Row],[Category]]&lt;&gt;"",ResultsTeams[[#This Row],[Team B]]&lt;&gt;""),COUNTIF(INDIRECT("TeamsList[Club Name]"),ResultsTeams[[#This Row],[Team B]]),"")</f>
        <v/>
      </c>
      <c r="U6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2" s="265" t="str">
        <f>IF(ResultsTeams[[#This Row],[Score_OK]],IF(ResultsTeams[[#This Row],[StageCpy]]="Groups",ResultsTeams[[#This Row],[Category]]&amp;"-"&amp;IF(ResultsTeams[[#This Row],[Team B]]="","",IF(ResultsTeams[[#This Row],[Match-A]]=ResultsTeams[[#This Row],[Match-B]],ResultsTeams[[#This Row],[Team A]],"")),""),"")</f>
        <v/>
      </c>
      <c r="W672" s="265" t="str">
        <f>IF(ResultsTeams[[#This Row],[Score_OK]],IF(ResultsTeams[[#This Row],[StageCpy]]="Groups",ResultsTeams[[#This Row],[Category]]&amp;"-"&amp;IF(ResultsTeams[[#This Row],[Team B]]="","",IF(ResultsTeams[[#This Row],[Match-A]]=ResultsTeams[[#This Row],[Match-B]],ResultsTeams[[#This Row],[Team B]],"")),""),"")</f>
        <v/>
      </c>
      <c r="X6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2" s="264" t="str">
        <f>IF(ResultsTeams[[#This Row],[Category]]="","",VLOOKUP(ResultsTeams[[#This Row],[Stage]],$R$1:$T$8,MATCH(ResultsTeams[[#This Row],[Category]],$S$1:$T$1,0)+1,FALSE))</f>
        <v/>
      </c>
      <c r="AC6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2" s="264" t="str">
        <f>IF(ResultsTeams[[#This Row],[Type]]="G",ResultsTeams[[#This Row],[Stage]],AD671)</f>
        <v>Last 8</v>
      </c>
      <c r="AE672" s="395" t="str">
        <f>IF(ResultsTeams[[#This Row],[Type]]="G",INDEX(TeamsList[Club Name],MATCH(ResultsTeams[[#This Row],[Team A]],TeamsList[Team Name],0)),AE671)</f>
        <v>Valletta SC</v>
      </c>
      <c r="AF672" s="395" t="str">
        <f>IF(ResultsTeams[[#This Row],[Type]]="G",INDEX(TeamsList[Club Name],MATCH(ResultsTeams[[#This Row],[Team B]],TeamsList[Team Name],0)),AF671)</f>
        <v>FTC Caen</v>
      </c>
      <c r="AG672" s="265"/>
    </row>
    <row r="673" spans="1:33" x14ac:dyDescent="0.2">
      <c r="A673" s="62"/>
      <c r="B673" s="280"/>
      <c r="C673" s="62"/>
      <c r="D673" s="62"/>
      <c r="E673" s="241" t="s">
        <v>12237</v>
      </c>
      <c r="F673" s="246" t="s">
        <v>10415</v>
      </c>
      <c r="G673" s="246" t="s">
        <v>8711</v>
      </c>
      <c r="H673" s="254">
        <v>4</v>
      </c>
      <c r="I673" s="254">
        <v>1</v>
      </c>
      <c r="J673" s="254"/>
      <c r="K673" s="363"/>
      <c r="L673" s="363"/>
      <c r="M673" s="247"/>
      <c r="N673" s="265" t="b">
        <f>NOT(ISERROR(ResultsTeams[[#This Row],[Goal-A]]+ResultsTeams[[#This Row],[Goal-B]]))</f>
        <v>1</v>
      </c>
      <c r="O673" s="265">
        <f>IF(ResultsTeams[[#This Row],[Type]]="G",SUM(O674:O677),IF(LEFT(ResultsTeams[[#This Row],[Type]],1)="P",IF(ResultsTeams[[#This Row],[Goal-A]]&gt;ResultsTeams[[#This Row],[Goal-B]],1,0),""))</f>
        <v>1</v>
      </c>
      <c r="P673" s="265">
        <f>IF(ResultsTeams[[#This Row],[Type]]="G",SUM(P674:P677),IF(LEFT(ResultsTeams[[#This Row],[Type]],1)="P",IF(ResultsTeams[[#This Row],[Goal-A]]&lt;ResultsTeams[[#This Row],[Goal-B]],1,0),""))</f>
        <v>0</v>
      </c>
      <c r="Q673" s="265">
        <f>IF(ResultsTeams[[#This Row],[Type]]="G",SUM(Q674:Q677),IF(LEFT(ResultsTeams[[#This Row],[Type]],1)="P",VALUE(ResultsTeams[[#This Row],[Score-A]]),""))</f>
        <v>4</v>
      </c>
      <c r="R673" s="265">
        <f>IF(ResultsTeams[[#This Row],[Type]]="G",SUM(R674:R677),IF(LEFT(ResultsTeams[[#This Row],[Type]],1)="P",VALUE(ResultsTeams[[#This Row],[Score-B]]),""))</f>
        <v>1</v>
      </c>
      <c r="S673" s="265" t="str">
        <f ca="1">IF(AND(ResultsTeams[[#This Row],[Category]]&lt;&gt;"",ResultsTeams[[#This Row],[Team A]]&lt;&gt;""),COUNTIF(INDIRECT("TeamsList[Club Name]"),ResultsTeams[[#This Row],[Team A]]),"")</f>
        <v/>
      </c>
      <c r="T673" s="265" t="str">
        <f ca="1">IF(AND(ResultsTeams[[#This Row],[Category]]&lt;&gt;"",ResultsTeams[[#This Row],[Team B]]&lt;&gt;""),COUNTIF(INDIRECT("TeamsList[Club Name]"),ResultsTeams[[#This Row],[Team B]]),"")</f>
        <v/>
      </c>
      <c r="U6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3" s="265" t="str">
        <f>IF(ResultsTeams[[#This Row],[Score_OK]],IF(ResultsTeams[[#This Row],[StageCpy]]="Groups",ResultsTeams[[#This Row],[Category]]&amp;"-"&amp;IF(ResultsTeams[[#This Row],[Team B]]="","",IF(ResultsTeams[[#This Row],[Match-A]]=ResultsTeams[[#This Row],[Match-B]],ResultsTeams[[#This Row],[Team A]],"")),""),"")</f>
        <v/>
      </c>
      <c r="W673" s="265" t="str">
        <f>IF(ResultsTeams[[#This Row],[Score_OK]],IF(ResultsTeams[[#This Row],[StageCpy]]="Groups",ResultsTeams[[#This Row],[Category]]&amp;"-"&amp;IF(ResultsTeams[[#This Row],[Team B]]="","",IF(ResultsTeams[[#This Row],[Match-A]]=ResultsTeams[[#This Row],[Match-B]],ResultsTeams[[#This Row],[Team B]],"")),""),"")</f>
        <v/>
      </c>
      <c r="X6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3" s="264" t="str">
        <f>IF(ResultsTeams[[#This Row],[Category]]="","",VLOOKUP(ResultsTeams[[#This Row],[Stage]],$R$1:$T$8,MATCH(ResultsTeams[[#This Row],[Category]],$S$1:$T$1,0)+1,FALSE))</f>
        <v/>
      </c>
      <c r="AC6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3" s="264" t="str">
        <f>IF(ResultsTeams[[#This Row],[Type]]="G",ResultsTeams[[#This Row],[Stage]],AD672)</f>
        <v>Last 8</v>
      </c>
      <c r="AE673" s="395" t="str">
        <f>IF(ResultsTeams[[#This Row],[Type]]="G",INDEX(TeamsList[Club Name],MATCH(ResultsTeams[[#This Row],[Team A]],TeamsList[Team Name],0)),AE672)</f>
        <v>Valletta SC</v>
      </c>
      <c r="AF673" s="395" t="str">
        <f>IF(ResultsTeams[[#This Row],[Type]]="G",INDEX(TeamsList[Club Name],MATCH(ResultsTeams[[#This Row],[Team B]],TeamsList[Team Name],0)),AF672)</f>
        <v>FTC Caen</v>
      </c>
      <c r="AG673" s="265"/>
    </row>
    <row r="674" spans="1:33" x14ac:dyDescent="0.2">
      <c r="A674" s="62"/>
      <c r="B674" s="280"/>
      <c r="C674" s="62"/>
      <c r="D674" s="62"/>
      <c r="E674" s="241" t="s">
        <v>12240</v>
      </c>
      <c r="F674" s="246" t="s">
        <v>8129</v>
      </c>
      <c r="G674" s="246" t="s">
        <v>14607</v>
      </c>
      <c r="H674" s="254">
        <v>4</v>
      </c>
      <c r="I674" s="254">
        <v>1</v>
      </c>
      <c r="J674" s="254"/>
      <c r="K674" s="363"/>
      <c r="L674" s="363"/>
      <c r="M674" s="247"/>
      <c r="N674" s="265" t="b">
        <f>NOT(ISERROR(ResultsTeams[[#This Row],[Goal-A]]+ResultsTeams[[#This Row],[Goal-B]]))</f>
        <v>1</v>
      </c>
      <c r="O674" s="265">
        <f>IF(ResultsTeams[[#This Row],[Type]]="G",SUM(O675:O678),IF(LEFT(ResultsTeams[[#This Row],[Type]],1)="P",IF(ResultsTeams[[#This Row],[Goal-A]]&gt;ResultsTeams[[#This Row],[Goal-B]],1,0),""))</f>
        <v>1</v>
      </c>
      <c r="P674" s="265">
        <f>IF(ResultsTeams[[#This Row],[Type]]="G",SUM(P675:P678),IF(LEFT(ResultsTeams[[#This Row],[Type]],1)="P",IF(ResultsTeams[[#This Row],[Goal-A]]&lt;ResultsTeams[[#This Row],[Goal-B]],1,0),""))</f>
        <v>0</v>
      </c>
      <c r="Q674" s="265">
        <f>IF(ResultsTeams[[#This Row],[Type]]="G",SUM(Q675:Q678),IF(LEFT(ResultsTeams[[#This Row],[Type]],1)="P",VALUE(ResultsTeams[[#This Row],[Score-A]]),""))</f>
        <v>4</v>
      </c>
      <c r="R674" s="265">
        <f>IF(ResultsTeams[[#This Row],[Type]]="G",SUM(R675:R678),IF(LEFT(ResultsTeams[[#This Row],[Type]],1)="P",VALUE(ResultsTeams[[#This Row],[Score-B]]),""))</f>
        <v>1</v>
      </c>
      <c r="S674" s="265" t="str">
        <f ca="1">IF(AND(ResultsTeams[[#This Row],[Category]]&lt;&gt;"",ResultsTeams[[#This Row],[Team A]]&lt;&gt;""),COUNTIF(INDIRECT("TeamsList[Club Name]"),ResultsTeams[[#This Row],[Team A]]),"")</f>
        <v/>
      </c>
      <c r="T674" s="265" t="str">
        <f ca="1">IF(AND(ResultsTeams[[#This Row],[Category]]&lt;&gt;"",ResultsTeams[[#This Row],[Team B]]&lt;&gt;""),COUNTIF(INDIRECT("TeamsList[Club Name]"),ResultsTeams[[#This Row],[Team B]]),"")</f>
        <v/>
      </c>
      <c r="U6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4" s="265" t="str">
        <f>IF(ResultsTeams[[#This Row],[Score_OK]],IF(ResultsTeams[[#This Row],[StageCpy]]="Groups",ResultsTeams[[#This Row],[Category]]&amp;"-"&amp;IF(ResultsTeams[[#This Row],[Team B]]="","",IF(ResultsTeams[[#This Row],[Match-A]]=ResultsTeams[[#This Row],[Match-B]],ResultsTeams[[#This Row],[Team A]],"")),""),"")</f>
        <v/>
      </c>
      <c r="W674" s="265" t="str">
        <f>IF(ResultsTeams[[#This Row],[Score_OK]],IF(ResultsTeams[[#This Row],[StageCpy]]="Groups",ResultsTeams[[#This Row],[Category]]&amp;"-"&amp;IF(ResultsTeams[[#This Row],[Team B]]="","",IF(ResultsTeams[[#This Row],[Match-A]]=ResultsTeams[[#This Row],[Match-B]],ResultsTeams[[#This Row],[Team B]],"")),""),"")</f>
        <v/>
      </c>
      <c r="X6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4" s="264" t="str">
        <f>IF(ResultsTeams[[#This Row],[Category]]="","",VLOOKUP(ResultsTeams[[#This Row],[Stage]],$R$1:$T$8,MATCH(ResultsTeams[[#This Row],[Category]],$S$1:$T$1,0)+1,FALSE))</f>
        <v/>
      </c>
      <c r="AC6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4" s="264" t="str">
        <f>IF(ResultsTeams[[#This Row],[Type]]="G",ResultsTeams[[#This Row],[Stage]],AD673)</f>
        <v>Last 8</v>
      </c>
      <c r="AE674" s="395" t="str">
        <f>IF(ResultsTeams[[#This Row],[Type]]="G",INDEX(TeamsList[Club Name],MATCH(ResultsTeams[[#This Row],[Team A]],TeamsList[Team Name],0)),AE673)</f>
        <v>Valletta SC</v>
      </c>
      <c r="AF674" s="395" t="str">
        <f>IF(ResultsTeams[[#This Row],[Type]]="G",INDEX(TeamsList[Club Name],MATCH(ResultsTeams[[#This Row],[Team B]],TeamsList[Team Name],0)),AF673)</f>
        <v>FTC Caen</v>
      </c>
      <c r="AG674" s="265"/>
    </row>
    <row r="675" spans="1:33" x14ac:dyDescent="0.2">
      <c r="A675" s="62"/>
      <c r="B675" s="62"/>
      <c r="C675" s="62"/>
      <c r="D675" s="62"/>
      <c r="E675" s="241" t="s">
        <v>12243</v>
      </c>
      <c r="F675" s="247" t="s">
        <v>10426</v>
      </c>
      <c r="G675" s="247"/>
      <c r="H675" s="254" t="s">
        <v>12244</v>
      </c>
      <c r="I675" s="254"/>
      <c r="J675" s="260"/>
      <c r="K675" s="364"/>
      <c r="L675" s="364"/>
      <c r="M675" s="247"/>
      <c r="N675" s="265" t="b">
        <f>NOT(ISERROR(ResultsTeams[[#This Row],[Goal-A]]+ResultsTeams[[#This Row],[Goal-B]]))</f>
        <v>0</v>
      </c>
      <c r="O675" s="265" t="str">
        <f>IF(ResultsTeams[[#This Row],[Type]]="G",SUM(O676:O679),IF(LEFT(ResultsTeams[[#This Row],[Type]],1)="P",IF(ResultsTeams[[#This Row],[Goal-A]]&gt;ResultsTeams[[#This Row],[Goal-B]],1,0),""))</f>
        <v/>
      </c>
      <c r="P675" s="265" t="str">
        <f>IF(ResultsTeams[[#This Row],[Type]]="G",SUM(P676:P679),IF(LEFT(ResultsTeams[[#This Row],[Type]],1)="P",IF(ResultsTeams[[#This Row],[Goal-A]]&lt;ResultsTeams[[#This Row],[Goal-B]],1,0),""))</f>
        <v/>
      </c>
      <c r="Q675" s="265" t="str">
        <f>IF(ResultsTeams[[#This Row],[Type]]="G",SUM(Q676:Q679),IF(LEFT(ResultsTeams[[#This Row],[Type]],1)="P",VALUE(ResultsTeams[[#This Row],[Score-A]]),""))</f>
        <v/>
      </c>
      <c r="R675" s="265" t="str">
        <f>IF(ResultsTeams[[#This Row],[Type]]="G",SUM(R676:R679),IF(LEFT(ResultsTeams[[#This Row],[Type]],1)="P",VALUE(ResultsTeams[[#This Row],[Score-B]]),""))</f>
        <v/>
      </c>
      <c r="S675" s="265" t="str">
        <f ca="1">IF(AND(ResultsTeams[[#This Row],[Category]]&lt;&gt;"",ResultsTeams[[#This Row],[Team A]]&lt;&gt;""),COUNTIF(INDIRECT("TeamsList[Club Name]"),ResultsTeams[[#This Row],[Team A]]),"")</f>
        <v/>
      </c>
      <c r="T675" s="265" t="str">
        <f ca="1">IF(AND(ResultsTeams[[#This Row],[Category]]&lt;&gt;"",ResultsTeams[[#This Row],[Team B]]&lt;&gt;""),COUNTIF(INDIRECT("TeamsList[Club Name]"),ResultsTeams[[#This Row],[Team B]]),"")</f>
        <v/>
      </c>
      <c r="U6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5" s="265" t="str">
        <f>IF(ResultsTeams[[#This Row],[Score_OK]],IF(ResultsTeams[[#This Row],[StageCpy]]="Groups",ResultsTeams[[#This Row],[Category]]&amp;"-"&amp;IF(ResultsTeams[[#This Row],[Team B]]="","",IF(ResultsTeams[[#This Row],[Match-A]]=ResultsTeams[[#This Row],[Match-B]],ResultsTeams[[#This Row],[Team A]],"")),""),"")</f>
        <v/>
      </c>
      <c r="W675" s="265" t="str">
        <f>IF(ResultsTeams[[#This Row],[Score_OK]],IF(ResultsTeams[[#This Row],[StageCpy]]="Groups",ResultsTeams[[#This Row],[Category]]&amp;"-"&amp;IF(ResultsTeams[[#This Row],[Team B]]="","",IF(ResultsTeams[[#This Row],[Match-A]]=ResultsTeams[[#This Row],[Match-B]],ResultsTeams[[#This Row],[Team B]],"")),""),"")</f>
        <v/>
      </c>
      <c r="X6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5" s="264" t="str">
        <f>IF(ResultsTeams[[#This Row],[Category]]="","",VLOOKUP(ResultsTeams[[#This Row],[Stage]],$R$1:$T$8,MATCH(ResultsTeams[[#This Row],[Category]],$S$1:$T$1,0)+1,FALSE))</f>
        <v/>
      </c>
      <c r="AC6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5" s="264" t="str">
        <f>IF(ResultsTeams[[#This Row],[Type]]="G",ResultsTeams[[#This Row],[Stage]],AD674)</f>
        <v>Last 8</v>
      </c>
      <c r="AE675" s="395" t="str">
        <f>IF(ResultsTeams[[#This Row],[Type]]="G",INDEX(TeamsList[Club Name],MATCH(ResultsTeams[[#This Row],[Team A]],TeamsList[Team Name],0)),AE674)</f>
        <v>Valletta SC</v>
      </c>
      <c r="AF675" s="395" t="str">
        <f>IF(ResultsTeams[[#This Row],[Type]]="G",INDEX(TeamsList[Club Name],MATCH(ResultsTeams[[#This Row],[Team B]],TeamsList[Team Name],0)),AF674)</f>
        <v>FTC Caen</v>
      </c>
      <c r="AG675" s="265"/>
    </row>
    <row r="676" spans="1:33" ht="12" thickBot="1" x14ac:dyDescent="0.25">
      <c r="A676" s="83"/>
      <c r="B676" s="83"/>
      <c r="C676" s="83"/>
      <c r="D676" s="83"/>
      <c r="E676" s="268" t="s">
        <v>12244</v>
      </c>
      <c r="F676" s="262"/>
      <c r="G676" s="262"/>
      <c r="H676" s="324"/>
      <c r="I676" s="324"/>
      <c r="J676" s="263"/>
      <c r="K676" s="365"/>
      <c r="L676" s="365"/>
      <c r="M676" s="262"/>
      <c r="N676" s="265" t="b">
        <f>NOT(ISERROR(ResultsTeams[[#This Row],[Goal-A]]+ResultsTeams[[#This Row],[Goal-B]]))</f>
        <v>0</v>
      </c>
      <c r="O676" s="265" t="str">
        <f>IF(ResultsTeams[[#This Row],[Type]]="G",SUM(O677:O680),IF(LEFT(ResultsTeams[[#This Row],[Type]],1)="P",IF(ResultsTeams[[#This Row],[Goal-A]]&gt;ResultsTeams[[#This Row],[Goal-B]],1,0),""))</f>
        <v/>
      </c>
      <c r="P676" s="265" t="str">
        <f>IF(ResultsTeams[[#This Row],[Type]]="G",SUM(P677:P680),IF(LEFT(ResultsTeams[[#This Row],[Type]],1)="P",IF(ResultsTeams[[#This Row],[Goal-A]]&lt;ResultsTeams[[#This Row],[Goal-B]],1,0),""))</f>
        <v/>
      </c>
      <c r="Q676" s="265" t="str">
        <f>IF(ResultsTeams[[#This Row],[Type]]="G",SUM(Q677:Q680),IF(LEFT(ResultsTeams[[#This Row],[Type]],1)="P",VALUE(ResultsTeams[[#This Row],[Score-A]]),""))</f>
        <v/>
      </c>
      <c r="R676" s="265" t="str">
        <f>IF(ResultsTeams[[#This Row],[Type]]="G",SUM(R677:R680),IF(LEFT(ResultsTeams[[#This Row],[Type]],1)="P",VALUE(ResultsTeams[[#This Row],[Score-B]]),""))</f>
        <v/>
      </c>
      <c r="S676" s="265" t="str">
        <f ca="1">IF(AND(ResultsTeams[[#This Row],[Category]]&lt;&gt;"",ResultsTeams[[#This Row],[Team A]]&lt;&gt;""),COUNTIF(INDIRECT("TeamsList[Club Name]"),ResultsTeams[[#This Row],[Team A]]),"")</f>
        <v/>
      </c>
      <c r="T676" s="265" t="str">
        <f ca="1">IF(AND(ResultsTeams[[#This Row],[Category]]&lt;&gt;"",ResultsTeams[[#This Row],[Team B]]&lt;&gt;""),COUNTIF(INDIRECT("TeamsList[Club Name]"),ResultsTeams[[#This Row],[Team B]]),"")</f>
        <v/>
      </c>
      <c r="U6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6" s="265" t="str">
        <f>IF(ResultsTeams[[#This Row],[Score_OK]],IF(ResultsTeams[[#This Row],[StageCpy]]="Groups",ResultsTeams[[#This Row],[Category]]&amp;"-"&amp;IF(ResultsTeams[[#This Row],[Team B]]="","",IF(ResultsTeams[[#This Row],[Match-A]]=ResultsTeams[[#This Row],[Match-B]],ResultsTeams[[#This Row],[Team A]],"")),""),"")</f>
        <v/>
      </c>
      <c r="W676" s="265" t="str">
        <f>IF(ResultsTeams[[#This Row],[Score_OK]],IF(ResultsTeams[[#This Row],[StageCpy]]="Groups",ResultsTeams[[#This Row],[Category]]&amp;"-"&amp;IF(ResultsTeams[[#This Row],[Team B]]="","",IF(ResultsTeams[[#This Row],[Match-A]]=ResultsTeams[[#This Row],[Match-B]],ResultsTeams[[#This Row],[Team B]],"")),""),"")</f>
        <v/>
      </c>
      <c r="X6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6" s="264" t="str">
        <f>IF(ResultsTeams[[#This Row],[Category]]="","",VLOOKUP(ResultsTeams[[#This Row],[Stage]],$R$1:$T$8,MATCH(ResultsTeams[[#This Row],[Category]],$S$1:$T$1,0)+1,FALSE))</f>
        <v/>
      </c>
      <c r="AC6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6" s="264" t="str">
        <f>IF(ResultsTeams[[#This Row],[Type]]="G",ResultsTeams[[#This Row],[Stage]],AD675)</f>
        <v>Last 8</v>
      </c>
      <c r="AE676" s="395" t="str">
        <f>IF(ResultsTeams[[#This Row],[Type]]="G",INDEX(TeamsList[Club Name],MATCH(ResultsTeams[[#This Row],[Team A]],TeamsList[Team Name],0)),AE675)</f>
        <v>Valletta SC</v>
      </c>
      <c r="AF676" s="395" t="str">
        <f>IF(ResultsTeams[[#This Row],[Type]]="G",INDEX(TeamsList[Club Name],MATCH(ResultsTeams[[#This Row],[Team B]],TeamsList[Team Name],0)),AF675)</f>
        <v>FTC Caen</v>
      </c>
      <c r="AG676" s="265"/>
    </row>
    <row r="677" spans="1:33" ht="12" thickBot="1" x14ac:dyDescent="0.25">
      <c r="A677" s="261" t="s">
        <v>12693</v>
      </c>
      <c r="B677" s="270" t="s">
        <v>12212</v>
      </c>
      <c r="C677" s="270"/>
      <c r="D677" s="270"/>
      <c r="E677" s="272" t="s">
        <v>12228</v>
      </c>
      <c r="F677" s="273" t="s">
        <v>201</v>
      </c>
      <c r="G677" s="273" t="s">
        <v>644</v>
      </c>
      <c r="H677" s="275">
        <v>2</v>
      </c>
      <c r="I677" s="275">
        <v>1</v>
      </c>
      <c r="J677" s="275"/>
      <c r="K677" s="366"/>
      <c r="L677" s="366"/>
      <c r="M677" s="274"/>
      <c r="N677" s="265" t="b">
        <f>NOT(ISERROR(ResultsTeams[[#This Row],[Goal-A]]+ResultsTeams[[#This Row],[Goal-B]]))</f>
        <v>1</v>
      </c>
      <c r="O677" s="265">
        <f>IF(ResultsTeams[[#This Row],[Type]]="G",SUM(O678:O681),IF(LEFT(ResultsTeams[[#This Row],[Type]],1)="P",IF(ResultsTeams[[#This Row],[Goal-A]]&gt;ResultsTeams[[#This Row],[Goal-B]],1,0),""))</f>
        <v>2</v>
      </c>
      <c r="P677" s="265">
        <f>IF(ResultsTeams[[#This Row],[Type]]="G",SUM(P678:P681),IF(LEFT(ResultsTeams[[#This Row],[Type]],1)="P",IF(ResultsTeams[[#This Row],[Goal-A]]&lt;ResultsTeams[[#This Row],[Goal-B]],1,0),""))</f>
        <v>1</v>
      </c>
      <c r="Q677" s="265">
        <f>IF(ResultsTeams[[#This Row],[Type]]="G",SUM(Q678:Q681),IF(LEFT(ResultsTeams[[#This Row],[Type]],1)="P",VALUE(ResultsTeams[[#This Row],[Score-A]]),""))</f>
        <v>8</v>
      </c>
      <c r="R677" s="265">
        <f>IF(ResultsTeams[[#This Row],[Type]]="G",SUM(R678:R681),IF(LEFT(ResultsTeams[[#This Row],[Type]],1)="P",VALUE(ResultsTeams[[#This Row],[Score-B]]),""))</f>
        <v>8</v>
      </c>
      <c r="S677" s="265">
        <f ca="1">IF(AND(ResultsTeams[[#This Row],[Category]]&lt;&gt;"",ResultsTeams[[#This Row],[Team A]]&lt;&gt;""),COUNTIF(INDIRECT("TeamsList[Club Name]"),ResultsTeams[[#This Row],[Team A]]),"")</f>
        <v>1</v>
      </c>
      <c r="T677" s="265">
        <f ca="1">IF(AND(ResultsTeams[[#This Row],[Category]]&lt;&gt;"",ResultsTeams[[#This Row],[Team B]]&lt;&gt;""),COUNTIF(INDIRECT("TeamsList[Club Name]"),ResultsTeams[[#This Row],[Team B]]),"")</f>
        <v>2</v>
      </c>
      <c r="U6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7" s="265" t="str">
        <f>IF(ResultsTeams[[#This Row],[Score_OK]],IF(ResultsTeams[[#This Row],[StageCpy]]="Groups",ResultsTeams[[#This Row],[Category]]&amp;"-"&amp;IF(ResultsTeams[[#This Row],[Team B]]="","",IF(ResultsTeams[[#This Row],[Match-A]]=ResultsTeams[[#This Row],[Match-B]],ResultsTeams[[#This Row],[Team A]],"")),""),"")</f>
        <v/>
      </c>
      <c r="W677" s="265" t="str">
        <f>IF(ResultsTeams[[#This Row],[Score_OK]],IF(ResultsTeams[[#This Row],[StageCpy]]="Groups",ResultsTeams[[#This Row],[Category]]&amp;"-"&amp;IF(ResultsTeams[[#This Row],[Team B]]="","",IF(ResultsTeams[[#This Row],[Match-A]]=ResultsTeams[[#This Row],[Match-B]],ResultsTeams[[#This Row],[Team B]],"")),""),"")</f>
        <v/>
      </c>
      <c r="X6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TEAM-Master Sanremo</v>
      </c>
      <c r="Z6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6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677" s="264" t="str">
        <f>IF(ResultsTeams[[#This Row],[Category]]="","",VLOOKUP(ResultsTeams[[#This Row],[Stage]],$R$1:$T$8,MATCH(ResultsTeams[[#This Row],[Category]],$S$1:$T$1,0)+1,FALSE))</f>
        <v>Q</v>
      </c>
      <c r="AC6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7" s="264" t="str">
        <f>IF(ResultsTeams[[#This Row],[Type]]="G",ResultsTeams[[#This Row],[Stage]],AD676)</f>
        <v>Last 8</v>
      </c>
      <c r="AE677" s="395" t="str">
        <f>IF(ResultsTeams[[#This Row],[Type]]="G",INDEX(TeamsList[Club Name],MATCH(ResultsTeams[[#This Row],[Team A]],TeamsList[Team Name],0)),AE676)</f>
        <v>CCT Eagles Napoli</v>
      </c>
      <c r="AF677" s="395" t="str">
        <f>IF(ResultsTeams[[#This Row],[Type]]="G",INDEX(TeamsList[Club Name],MATCH(ResultsTeams[[#This Row],[Team B]],TeamsList[Team Name],0)),AF676)</f>
        <v>Master Sanremo</v>
      </c>
      <c r="AG677" s="265"/>
    </row>
    <row r="678" spans="1:33" x14ac:dyDescent="0.2">
      <c r="A678" s="60"/>
      <c r="B678" s="280"/>
      <c r="C678" s="60"/>
      <c r="D678" s="60"/>
      <c r="E678" s="240" t="s">
        <v>12231</v>
      </c>
      <c r="F678" s="244" t="s">
        <v>8089</v>
      </c>
      <c r="G678" s="244" t="s">
        <v>10149</v>
      </c>
      <c r="H678" s="253">
        <v>2</v>
      </c>
      <c r="I678" s="253">
        <v>1</v>
      </c>
      <c r="J678" s="253"/>
      <c r="K678" s="362"/>
      <c r="L678" s="362"/>
      <c r="M678" s="245"/>
      <c r="N678" s="265" t="b">
        <f>NOT(ISERROR(ResultsTeams[[#This Row],[Goal-A]]+ResultsTeams[[#This Row],[Goal-B]]))</f>
        <v>1</v>
      </c>
      <c r="O678" s="265">
        <f>IF(ResultsTeams[[#This Row],[Type]]="G",SUM(O679:O682),IF(LEFT(ResultsTeams[[#This Row],[Type]],1)="P",IF(ResultsTeams[[#This Row],[Goal-A]]&gt;ResultsTeams[[#This Row],[Goal-B]],1,0),""))</f>
        <v>1</v>
      </c>
      <c r="P678" s="265">
        <f>IF(ResultsTeams[[#This Row],[Type]]="G",SUM(P679:P682),IF(LEFT(ResultsTeams[[#This Row],[Type]],1)="P",IF(ResultsTeams[[#This Row],[Goal-A]]&lt;ResultsTeams[[#This Row],[Goal-B]],1,0),""))</f>
        <v>0</v>
      </c>
      <c r="Q678" s="265">
        <f>IF(ResultsTeams[[#This Row],[Type]]="G",SUM(Q679:Q682),IF(LEFT(ResultsTeams[[#This Row],[Type]],1)="P",VALUE(ResultsTeams[[#This Row],[Score-A]]),""))</f>
        <v>2</v>
      </c>
      <c r="R678" s="265">
        <f>IF(ResultsTeams[[#This Row],[Type]]="G",SUM(R679:R682),IF(LEFT(ResultsTeams[[#This Row],[Type]],1)="P",VALUE(ResultsTeams[[#This Row],[Score-B]]),""))</f>
        <v>1</v>
      </c>
      <c r="S678" s="265" t="str">
        <f ca="1">IF(AND(ResultsTeams[[#This Row],[Category]]&lt;&gt;"",ResultsTeams[[#This Row],[Team A]]&lt;&gt;""),COUNTIF(INDIRECT("TeamsList[Club Name]"),ResultsTeams[[#This Row],[Team A]]),"")</f>
        <v/>
      </c>
      <c r="T678" s="265" t="str">
        <f ca="1">IF(AND(ResultsTeams[[#This Row],[Category]]&lt;&gt;"",ResultsTeams[[#This Row],[Team B]]&lt;&gt;""),COUNTIF(INDIRECT("TeamsList[Club Name]"),ResultsTeams[[#This Row],[Team B]]),"")</f>
        <v/>
      </c>
      <c r="U6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8" s="265" t="str">
        <f>IF(ResultsTeams[[#This Row],[Score_OK]],IF(ResultsTeams[[#This Row],[StageCpy]]="Groups",ResultsTeams[[#This Row],[Category]]&amp;"-"&amp;IF(ResultsTeams[[#This Row],[Team B]]="","",IF(ResultsTeams[[#This Row],[Match-A]]=ResultsTeams[[#This Row],[Match-B]],ResultsTeams[[#This Row],[Team A]],"")),""),"")</f>
        <v/>
      </c>
      <c r="W678" s="265" t="str">
        <f>IF(ResultsTeams[[#This Row],[Score_OK]],IF(ResultsTeams[[#This Row],[StageCpy]]="Groups",ResultsTeams[[#This Row],[Category]]&amp;"-"&amp;IF(ResultsTeams[[#This Row],[Team B]]="","",IF(ResultsTeams[[#This Row],[Match-A]]=ResultsTeams[[#This Row],[Match-B]],ResultsTeams[[#This Row],[Team B]],"")),""),"")</f>
        <v/>
      </c>
      <c r="X6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8" s="264" t="str">
        <f>IF(ResultsTeams[[#This Row],[Category]]="","",VLOOKUP(ResultsTeams[[#This Row],[Stage]],$R$1:$T$8,MATCH(ResultsTeams[[#This Row],[Category]],$S$1:$T$1,0)+1,FALSE))</f>
        <v/>
      </c>
      <c r="AC6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8" s="264" t="str">
        <f>IF(ResultsTeams[[#This Row],[Type]]="G",ResultsTeams[[#This Row],[Stage]],AD677)</f>
        <v>Last 8</v>
      </c>
      <c r="AE678" s="395" t="str">
        <f>IF(ResultsTeams[[#This Row],[Type]]="G",INDEX(TeamsList[Club Name],MATCH(ResultsTeams[[#This Row],[Team A]],TeamsList[Team Name],0)),AE677)</f>
        <v>CCT Eagles Napoli</v>
      </c>
      <c r="AF678" s="395" t="str">
        <f>IF(ResultsTeams[[#This Row],[Type]]="G",INDEX(TeamsList[Club Name],MATCH(ResultsTeams[[#This Row],[Team B]],TeamsList[Team Name],0)),AF677)</f>
        <v>Master Sanremo</v>
      </c>
      <c r="AG678" s="265"/>
    </row>
    <row r="679" spans="1:33" x14ac:dyDescent="0.2">
      <c r="A679" s="62"/>
      <c r="B679" s="280"/>
      <c r="C679" s="62"/>
      <c r="D679" s="62"/>
      <c r="E679" s="241" t="s">
        <v>12234</v>
      </c>
      <c r="F679" s="246" t="s">
        <v>10089</v>
      </c>
      <c r="G679" s="246" t="s">
        <v>8122</v>
      </c>
      <c r="H679" s="254">
        <v>1</v>
      </c>
      <c r="I679" s="254">
        <v>1</v>
      </c>
      <c r="J679" s="254"/>
      <c r="K679" s="363"/>
      <c r="L679" s="363"/>
      <c r="M679" s="247"/>
      <c r="N679" s="265" t="b">
        <f>NOT(ISERROR(ResultsTeams[[#This Row],[Goal-A]]+ResultsTeams[[#This Row],[Goal-B]]))</f>
        <v>1</v>
      </c>
      <c r="O679" s="265">
        <f>IF(ResultsTeams[[#This Row],[Type]]="G",SUM(O680:O683),IF(LEFT(ResultsTeams[[#This Row],[Type]],1)="P",IF(ResultsTeams[[#This Row],[Goal-A]]&gt;ResultsTeams[[#This Row],[Goal-B]],1,0),""))</f>
        <v>0</v>
      </c>
      <c r="P679" s="265">
        <f>IF(ResultsTeams[[#This Row],[Type]]="G",SUM(P680:P683),IF(LEFT(ResultsTeams[[#This Row],[Type]],1)="P",IF(ResultsTeams[[#This Row],[Goal-A]]&lt;ResultsTeams[[#This Row],[Goal-B]],1,0),""))</f>
        <v>0</v>
      </c>
      <c r="Q679" s="265">
        <f>IF(ResultsTeams[[#This Row],[Type]]="G",SUM(Q680:Q683),IF(LEFT(ResultsTeams[[#This Row],[Type]],1)="P",VALUE(ResultsTeams[[#This Row],[Score-A]]),""))</f>
        <v>1</v>
      </c>
      <c r="R679" s="265">
        <f>IF(ResultsTeams[[#This Row],[Type]]="G",SUM(R680:R683),IF(LEFT(ResultsTeams[[#This Row],[Type]],1)="P",VALUE(ResultsTeams[[#This Row],[Score-B]]),""))</f>
        <v>1</v>
      </c>
      <c r="S679" s="265" t="str">
        <f ca="1">IF(AND(ResultsTeams[[#This Row],[Category]]&lt;&gt;"",ResultsTeams[[#This Row],[Team A]]&lt;&gt;""),COUNTIF(INDIRECT("TeamsList[Club Name]"),ResultsTeams[[#This Row],[Team A]]),"")</f>
        <v/>
      </c>
      <c r="T679" s="265" t="str">
        <f ca="1">IF(AND(ResultsTeams[[#This Row],[Category]]&lt;&gt;"",ResultsTeams[[#This Row],[Team B]]&lt;&gt;""),COUNTIF(INDIRECT("TeamsList[Club Name]"),ResultsTeams[[#This Row],[Team B]]),"")</f>
        <v/>
      </c>
      <c r="U6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9" s="265" t="str">
        <f>IF(ResultsTeams[[#This Row],[Score_OK]],IF(ResultsTeams[[#This Row],[StageCpy]]="Groups",ResultsTeams[[#This Row],[Category]]&amp;"-"&amp;IF(ResultsTeams[[#This Row],[Team B]]="","",IF(ResultsTeams[[#This Row],[Match-A]]=ResultsTeams[[#This Row],[Match-B]],ResultsTeams[[#This Row],[Team A]],"")),""),"")</f>
        <v/>
      </c>
      <c r="W679" s="265" t="str">
        <f>IF(ResultsTeams[[#This Row],[Score_OK]],IF(ResultsTeams[[#This Row],[StageCpy]]="Groups",ResultsTeams[[#This Row],[Category]]&amp;"-"&amp;IF(ResultsTeams[[#This Row],[Team B]]="","",IF(ResultsTeams[[#This Row],[Match-A]]=ResultsTeams[[#This Row],[Match-B]],ResultsTeams[[#This Row],[Team B]],"")),""),"")</f>
        <v/>
      </c>
      <c r="X6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9" s="264" t="str">
        <f>IF(ResultsTeams[[#This Row],[Category]]="","",VLOOKUP(ResultsTeams[[#This Row],[Stage]],$R$1:$T$8,MATCH(ResultsTeams[[#This Row],[Category]],$S$1:$T$1,0)+1,FALSE))</f>
        <v/>
      </c>
      <c r="AC6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9" s="264" t="str">
        <f>IF(ResultsTeams[[#This Row],[Type]]="G",ResultsTeams[[#This Row],[Stage]],AD678)</f>
        <v>Last 8</v>
      </c>
      <c r="AE679" s="395" t="str">
        <f>IF(ResultsTeams[[#This Row],[Type]]="G",INDEX(TeamsList[Club Name],MATCH(ResultsTeams[[#This Row],[Team A]],TeamsList[Team Name],0)),AE678)</f>
        <v>CCT Eagles Napoli</v>
      </c>
      <c r="AF679" s="395" t="str">
        <f>IF(ResultsTeams[[#This Row],[Type]]="G",INDEX(TeamsList[Club Name],MATCH(ResultsTeams[[#This Row],[Team B]],TeamsList[Team Name],0)),AF678)</f>
        <v>Master Sanremo</v>
      </c>
      <c r="AG679" s="265"/>
    </row>
    <row r="680" spans="1:33" x14ac:dyDescent="0.2">
      <c r="A680" s="62"/>
      <c r="B680" s="280"/>
      <c r="C680" s="62"/>
      <c r="D680" s="62"/>
      <c r="E680" s="241" t="s">
        <v>12237</v>
      </c>
      <c r="F680" s="246" t="s">
        <v>10281</v>
      </c>
      <c r="G680" s="246" t="s">
        <v>8104</v>
      </c>
      <c r="H680" s="254">
        <v>4</v>
      </c>
      <c r="I680" s="254">
        <v>2</v>
      </c>
      <c r="J680" s="254"/>
      <c r="K680" s="363"/>
      <c r="L680" s="363"/>
      <c r="M680" s="247"/>
      <c r="N680" s="265" t="b">
        <f>NOT(ISERROR(ResultsTeams[[#This Row],[Goal-A]]+ResultsTeams[[#This Row],[Goal-B]]))</f>
        <v>1</v>
      </c>
      <c r="O680" s="265">
        <f>IF(ResultsTeams[[#This Row],[Type]]="G",SUM(O681:O684),IF(LEFT(ResultsTeams[[#This Row],[Type]],1)="P",IF(ResultsTeams[[#This Row],[Goal-A]]&gt;ResultsTeams[[#This Row],[Goal-B]],1,0),""))</f>
        <v>1</v>
      </c>
      <c r="P680" s="265">
        <f>IF(ResultsTeams[[#This Row],[Type]]="G",SUM(P681:P684),IF(LEFT(ResultsTeams[[#This Row],[Type]],1)="P",IF(ResultsTeams[[#This Row],[Goal-A]]&lt;ResultsTeams[[#This Row],[Goal-B]],1,0),""))</f>
        <v>0</v>
      </c>
      <c r="Q680" s="265">
        <f>IF(ResultsTeams[[#This Row],[Type]]="G",SUM(Q681:Q684),IF(LEFT(ResultsTeams[[#This Row],[Type]],1)="P",VALUE(ResultsTeams[[#This Row],[Score-A]]),""))</f>
        <v>4</v>
      </c>
      <c r="R680" s="265">
        <f>IF(ResultsTeams[[#This Row],[Type]]="G",SUM(R681:R684),IF(LEFT(ResultsTeams[[#This Row],[Type]],1)="P",VALUE(ResultsTeams[[#This Row],[Score-B]]),""))</f>
        <v>2</v>
      </c>
      <c r="S680" s="265" t="str">
        <f ca="1">IF(AND(ResultsTeams[[#This Row],[Category]]&lt;&gt;"",ResultsTeams[[#This Row],[Team A]]&lt;&gt;""),COUNTIF(INDIRECT("TeamsList[Club Name]"),ResultsTeams[[#This Row],[Team A]]),"")</f>
        <v/>
      </c>
      <c r="T680" s="265" t="str">
        <f ca="1">IF(AND(ResultsTeams[[#This Row],[Category]]&lt;&gt;"",ResultsTeams[[#This Row],[Team B]]&lt;&gt;""),COUNTIF(INDIRECT("TeamsList[Club Name]"),ResultsTeams[[#This Row],[Team B]]),"")</f>
        <v/>
      </c>
      <c r="U6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0" s="265" t="str">
        <f>IF(ResultsTeams[[#This Row],[Score_OK]],IF(ResultsTeams[[#This Row],[StageCpy]]="Groups",ResultsTeams[[#This Row],[Category]]&amp;"-"&amp;IF(ResultsTeams[[#This Row],[Team B]]="","",IF(ResultsTeams[[#This Row],[Match-A]]=ResultsTeams[[#This Row],[Match-B]],ResultsTeams[[#This Row],[Team A]],"")),""),"")</f>
        <v/>
      </c>
      <c r="W680" s="265" t="str">
        <f>IF(ResultsTeams[[#This Row],[Score_OK]],IF(ResultsTeams[[#This Row],[StageCpy]]="Groups",ResultsTeams[[#This Row],[Category]]&amp;"-"&amp;IF(ResultsTeams[[#This Row],[Team B]]="","",IF(ResultsTeams[[#This Row],[Match-A]]=ResultsTeams[[#This Row],[Match-B]],ResultsTeams[[#This Row],[Team B]],"")),""),"")</f>
        <v/>
      </c>
      <c r="X6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0" s="264" t="str">
        <f>IF(ResultsTeams[[#This Row],[Category]]="","",VLOOKUP(ResultsTeams[[#This Row],[Stage]],$R$1:$T$8,MATCH(ResultsTeams[[#This Row],[Category]],$S$1:$T$1,0)+1,FALSE))</f>
        <v/>
      </c>
      <c r="AC6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0" s="264" t="str">
        <f>IF(ResultsTeams[[#This Row],[Type]]="G",ResultsTeams[[#This Row],[Stage]],AD679)</f>
        <v>Last 8</v>
      </c>
      <c r="AE680" s="395" t="str">
        <f>IF(ResultsTeams[[#This Row],[Type]]="G",INDEX(TeamsList[Club Name],MATCH(ResultsTeams[[#This Row],[Team A]],TeamsList[Team Name],0)),AE679)</f>
        <v>CCT Eagles Napoli</v>
      </c>
      <c r="AF680" s="395" t="str">
        <f>IF(ResultsTeams[[#This Row],[Type]]="G",INDEX(TeamsList[Club Name],MATCH(ResultsTeams[[#This Row],[Team B]],TeamsList[Team Name],0)),AF679)</f>
        <v>Master Sanremo</v>
      </c>
      <c r="AG680" s="265"/>
    </row>
    <row r="681" spans="1:33" x14ac:dyDescent="0.2">
      <c r="A681" s="62"/>
      <c r="B681" s="280"/>
      <c r="C681" s="62"/>
      <c r="D681" s="62"/>
      <c r="E681" s="241" t="s">
        <v>12240</v>
      </c>
      <c r="F681" s="246" t="s">
        <v>10088</v>
      </c>
      <c r="G681" s="246" t="s">
        <v>10253</v>
      </c>
      <c r="H681" s="254">
        <v>1</v>
      </c>
      <c r="I681" s="254">
        <v>4</v>
      </c>
      <c r="J681" s="254"/>
      <c r="K681" s="363"/>
      <c r="L681" s="363"/>
      <c r="M681" s="247"/>
      <c r="N681" s="265" t="b">
        <f>NOT(ISERROR(ResultsTeams[[#This Row],[Goal-A]]+ResultsTeams[[#This Row],[Goal-B]]))</f>
        <v>1</v>
      </c>
      <c r="O681" s="265">
        <f>IF(ResultsTeams[[#This Row],[Type]]="G",SUM(O682:O685),IF(LEFT(ResultsTeams[[#This Row],[Type]],1)="P",IF(ResultsTeams[[#This Row],[Goal-A]]&gt;ResultsTeams[[#This Row],[Goal-B]],1,0),""))</f>
        <v>0</v>
      </c>
      <c r="P681" s="265">
        <f>IF(ResultsTeams[[#This Row],[Type]]="G",SUM(P682:P685),IF(LEFT(ResultsTeams[[#This Row],[Type]],1)="P",IF(ResultsTeams[[#This Row],[Goal-A]]&lt;ResultsTeams[[#This Row],[Goal-B]],1,0),""))</f>
        <v>1</v>
      </c>
      <c r="Q681" s="265">
        <f>IF(ResultsTeams[[#This Row],[Type]]="G",SUM(Q682:Q685),IF(LEFT(ResultsTeams[[#This Row],[Type]],1)="P",VALUE(ResultsTeams[[#This Row],[Score-A]]),""))</f>
        <v>1</v>
      </c>
      <c r="R681" s="265">
        <f>IF(ResultsTeams[[#This Row],[Type]]="G",SUM(R682:R685),IF(LEFT(ResultsTeams[[#This Row],[Type]],1)="P",VALUE(ResultsTeams[[#This Row],[Score-B]]),""))</f>
        <v>4</v>
      </c>
      <c r="S681" s="265" t="str">
        <f ca="1">IF(AND(ResultsTeams[[#This Row],[Category]]&lt;&gt;"",ResultsTeams[[#This Row],[Team A]]&lt;&gt;""),COUNTIF(INDIRECT("TeamsList[Club Name]"),ResultsTeams[[#This Row],[Team A]]),"")</f>
        <v/>
      </c>
      <c r="T681" s="265" t="str">
        <f ca="1">IF(AND(ResultsTeams[[#This Row],[Category]]&lt;&gt;"",ResultsTeams[[#This Row],[Team B]]&lt;&gt;""),COUNTIF(INDIRECT("TeamsList[Club Name]"),ResultsTeams[[#This Row],[Team B]]),"")</f>
        <v/>
      </c>
      <c r="U6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1" s="265" t="str">
        <f>IF(ResultsTeams[[#This Row],[Score_OK]],IF(ResultsTeams[[#This Row],[StageCpy]]="Groups",ResultsTeams[[#This Row],[Category]]&amp;"-"&amp;IF(ResultsTeams[[#This Row],[Team B]]="","",IF(ResultsTeams[[#This Row],[Match-A]]=ResultsTeams[[#This Row],[Match-B]],ResultsTeams[[#This Row],[Team A]],"")),""),"")</f>
        <v/>
      </c>
      <c r="W681" s="265" t="str">
        <f>IF(ResultsTeams[[#This Row],[Score_OK]],IF(ResultsTeams[[#This Row],[StageCpy]]="Groups",ResultsTeams[[#This Row],[Category]]&amp;"-"&amp;IF(ResultsTeams[[#This Row],[Team B]]="","",IF(ResultsTeams[[#This Row],[Match-A]]=ResultsTeams[[#This Row],[Match-B]],ResultsTeams[[#This Row],[Team B]],"")),""),"")</f>
        <v/>
      </c>
      <c r="X6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1" s="264" t="str">
        <f>IF(ResultsTeams[[#This Row],[Category]]="","",VLOOKUP(ResultsTeams[[#This Row],[Stage]],$R$1:$T$8,MATCH(ResultsTeams[[#This Row],[Category]],$S$1:$T$1,0)+1,FALSE))</f>
        <v/>
      </c>
      <c r="AC6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1" s="264" t="str">
        <f>IF(ResultsTeams[[#This Row],[Type]]="G",ResultsTeams[[#This Row],[Stage]],AD680)</f>
        <v>Last 8</v>
      </c>
      <c r="AE681" s="395" t="str">
        <f>IF(ResultsTeams[[#This Row],[Type]]="G",INDEX(TeamsList[Club Name],MATCH(ResultsTeams[[#This Row],[Team A]],TeamsList[Team Name],0)),AE680)</f>
        <v>CCT Eagles Napoli</v>
      </c>
      <c r="AF681" s="395" t="str">
        <f>IF(ResultsTeams[[#This Row],[Type]]="G",INDEX(TeamsList[Club Name],MATCH(ResultsTeams[[#This Row],[Team B]],TeamsList[Team Name],0)),AF680)</f>
        <v>Master Sanremo</v>
      </c>
      <c r="AG681" s="265"/>
    </row>
    <row r="682" spans="1:33" x14ac:dyDescent="0.2">
      <c r="A682" s="62"/>
      <c r="B682" s="62"/>
      <c r="C682" s="62"/>
      <c r="D682" s="62"/>
      <c r="E682" s="241" t="s">
        <v>12243</v>
      </c>
      <c r="F682" s="247" t="s">
        <v>9827</v>
      </c>
      <c r="G682" s="247"/>
      <c r="H682" s="254"/>
      <c r="I682" s="254"/>
      <c r="J682" s="260"/>
      <c r="K682" s="364"/>
      <c r="L682" s="364"/>
      <c r="M682" s="247"/>
      <c r="N682" s="265" t="b">
        <f>NOT(ISERROR(ResultsTeams[[#This Row],[Goal-A]]+ResultsTeams[[#This Row],[Goal-B]]))</f>
        <v>0</v>
      </c>
      <c r="O682" s="265" t="str">
        <f>IF(ResultsTeams[[#This Row],[Type]]="G",SUM(O683:O686),IF(LEFT(ResultsTeams[[#This Row],[Type]],1)="P",IF(ResultsTeams[[#This Row],[Goal-A]]&gt;ResultsTeams[[#This Row],[Goal-B]],1,0),""))</f>
        <v/>
      </c>
      <c r="P682" s="265" t="str">
        <f>IF(ResultsTeams[[#This Row],[Type]]="G",SUM(P683:P686),IF(LEFT(ResultsTeams[[#This Row],[Type]],1)="P",IF(ResultsTeams[[#This Row],[Goal-A]]&lt;ResultsTeams[[#This Row],[Goal-B]],1,0),""))</f>
        <v/>
      </c>
      <c r="Q682" s="265" t="str">
        <f>IF(ResultsTeams[[#This Row],[Type]]="G",SUM(Q683:Q686),IF(LEFT(ResultsTeams[[#This Row],[Type]],1)="P",VALUE(ResultsTeams[[#This Row],[Score-A]]),""))</f>
        <v/>
      </c>
      <c r="R682" s="265" t="str">
        <f>IF(ResultsTeams[[#This Row],[Type]]="G",SUM(R683:R686),IF(LEFT(ResultsTeams[[#This Row],[Type]],1)="P",VALUE(ResultsTeams[[#This Row],[Score-B]]),""))</f>
        <v/>
      </c>
      <c r="S682" s="265" t="str">
        <f ca="1">IF(AND(ResultsTeams[[#This Row],[Category]]&lt;&gt;"",ResultsTeams[[#This Row],[Team A]]&lt;&gt;""),COUNTIF(INDIRECT("TeamsList[Club Name]"),ResultsTeams[[#This Row],[Team A]]),"")</f>
        <v/>
      </c>
      <c r="T682" s="265" t="str">
        <f ca="1">IF(AND(ResultsTeams[[#This Row],[Category]]&lt;&gt;"",ResultsTeams[[#This Row],[Team B]]&lt;&gt;""),COUNTIF(INDIRECT("TeamsList[Club Name]"),ResultsTeams[[#This Row],[Team B]]),"")</f>
        <v/>
      </c>
      <c r="U6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2" s="265" t="str">
        <f>IF(ResultsTeams[[#This Row],[Score_OK]],IF(ResultsTeams[[#This Row],[StageCpy]]="Groups",ResultsTeams[[#This Row],[Category]]&amp;"-"&amp;IF(ResultsTeams[[#This Row],[Team B]]="","",IF(ResultsTeams[[#This Row],[Match-A]]=ResultsTeams[[#This Row],[Match-B]],ResultsTeams[[#This Row],[Team A]],"")),""),"")</f>
        <v/>
      </c>
      <c r="W682" s="265" t="str">
        <f>IF(ResultsTeams[[#This Row],[Score_OK]],IF(ResultsTeams[[#This Row],[StageCpy]]="Groups",ResultsTeams[[#This Row],[Category]]&amp;"-"&amp;IF(ResultsTeams[[#This Row],[Team B]]="","",IF(ResultsTeams[[#This Row],[Match-A]]=ResultsTeams[[#This Row],[Match-B]],ResultsTeams[[#This Row],[Team B]],"")),""),"")</f>
        <v/>
      </c>
      <c r="X6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2" s="264" t="str">
        <f>IF(ResultsTeams[[#This Row],[Category]]="","",VLOOKUP(ResultsTeams[[#This Row],[Stage]],$R$1:$T$8,MATCH(ResultsTeams[[#This Row],[Category]],$S$1:$T$1,0)+1,FALSE))</f>
        <v/>
      </c>
      <c r="AC6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2" s="264" t="str">
        <f>IF(ResultsTeams[[#This Row],[Type]]="G",ResultsTeams[[#This Row],[Stage]],AD681)</f>
        <v>Last 8</v>
      </c>
      <c r="AE682" s="395" t="str">
        <f>IF(ResultsTeams[[#This Row],[Type]]="G",INDEX(TeamsList[Club Name],MATCH(ResultsTeams[[#This Row],[Team A]],TeamsList[Team Name],0)),AE681)</f>
        <v>CCT Eagles Napoli</v>
      </c>
      <c r="AF682" s="395" t="str">
        <f>IF(ResultsTeams[[#This Row],[Type]]="G",INDEX(TeamsList[Club Name],MATCH(ResultsTeams[[#This Row],[Team B]],TeamsList[Team Name],0)),AF681)</f>
        <v>Master Sanremo</v>
      </c>
      <c r="AG682" s="265"/>
    </row>
    <row r="683" spans="1:33" ht="12" thickBot="1" x14ac:dyDescent="0.25">
      <c r="A683" s="83"/>
      <c r="B683" s="83"/>
      <c r="C683" s="83"/>
      <c r="D683" s="83"/>
      <c r="E683" s="268" t="s">
        <v>12244</v>
      </c>
      <c r="F683" s="262"/>
      <c r="G683" s="262"/>
      <c r="H683" s="324"/>
      <c r="I683" s="324"/>
      <c r="J683" s="263"/>
      <c r="K683" s="365"/>
      <c r="L683" s="365"/>
      <c r="M683" s="262"/>
      <c r="N683" s="265" t="b">
        <f>NOT(ISERROR(ResultsTeams[[#This Row],[Goal-A]]+ResultsTeams[[#This Row],[Goal-B]]))</f>
        <v>0</v>
      </c>
      <c r="O683" s="265" t="str">
        <f>IF(ResultsTeams[[#This Row],[Type]]="G",SUM(O684:O687),IF(LEFT(ResultsTeams[[#This Row],[Type]],1)="P",IF(ResultsTeams[[#This Row],[Goal-A]]&gt;ResultsTeams[[#This Row],[Goal-B]],1,0),""))</f>
        <v/>
      </c>
      <c r="P683" s="265" t="str">
        <f>IF(ResultsTeams[[#This Row],[Type]]="G",SUM(P684:P687),IF(LEFT(ResultsTeams[[#This Row],[Type]],1)="P",IF(ResultsTeams[[#This Row],[Goal-A]]&lt;ResultsTeams[[#This Row],[Goal-B]],1,0),""))</f>
        <v/>
      </c>
      <c r="Q683" s="265" t="str">
        <f>IF(ResultsTeams[[#This Row],[Type]]="G",SUM(Q684:Q687),IF(LEFT(ResultsTeams[[#This Row],[Type]],1)="P",VALUE(ResultsTeams[[#This Row],[Score-A]]),""))</f>
        <v/>
      </c>
      <c r="R683" s="265" t="str">
        <f>IF(ResultsTeams[[#This Row],[Type]]="G",SUM(R684:R687),IF(LEFT(ResultsTeams[[#This Row],[Type]],1)="P",VALUE(ResultsTeams[[#This Row],[Score-B]]),""))</f>
        <v/>
      </c>
      <c r="S683" s="265" t="str">
        <f ca="1">IF(AND(ResultsTeams[[#This Row],[Category]]&lt;&gt;"",ResultsTeams[[#This Row],[Team A]]&lt;&gt;""),COUNTIF(INDIRECT("TeamsList[Club Name]"),ResultsTeams[[#This Row],[Team A]]),"")</f>
        <v/>
      </c>
      <c r="T683" s="265" t="str">
        <f ca="1">IF(AND(ResultsTeams[[#This Row],[Category]]&lt;&gt;"",ResultsTeams[[#This Row],[Team B]]&lt;&gt;""),COUNTIF(INDIRECT("TeamsList[Club Name]"),ResultsTeams[[#This Row],[Team B]]),"")</f>
        <v/>
      </c>
      <c r="U6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3" s="265" t="str">
        <f>IF(ResultsTeams[[#This Row],[Score_OK]],IF(ResultsTeams[[#This Row],[StageCpy]]="Groups",ResultsTeams[[#This Row],[Category]]&amp;"-"&amp;IF(ResultsTeams[[#This Row],[Team B]]="","",IF(ResultsTeams[[#This Row],[Match-A]]=ResultsTeams[[#This Row],[Match-B]],ResultsTeams[[#This Row],[Team A]],"")),""),"")</f>
        <v/>
      </c>
      <c r="W683" s="265" t="str">
        <f>IF(ResultsTeams[[#This Row],[Score_OK]],IF(ResultsTeams[[#This Row],[StageCpy]]="Groups",ResultsTeams[[#This Row],[Category]]&amp;"-"&amp;IF(ResultsTeams[[#This Row],[Team B]]="","",IF(ResultsTeams[[#This Row],[Match-A]]=ResultsTeams[[#This Row],[Match-B]],ResultsTeams[[#This Row],[Team B]],"")),""),"")</f>
        <v/>
      </c>
      <c r="X6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3" s="264" t="str">
        <f>IF(ResultsTeams[[#This Row],[Category]]="","",VLOOKUP(ResultsTeams[[#This Row],[Stage]],$R$1:$T$8,MATCH(ResultsTeams[[#This Row],[Category]],$S$1:$T$1,0)+1,FALSE))</f>
        <v/>
      </c>
      <c r="AC6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3" s="264" t="str">
        <f>IF(ResultsTeams[[#This Row],[Type]]="G",ResultsTeams[[#This Row],[Stage]],AD682)</f>
        <v>Last 8</v>
      </c>
      <c r="AE683" s="395" t="str">
        <f>IF(ResultsTeams[[#This Row],[Type]]="G",INDEX(TeamsList[Club Name],MATCH(ResultsTeams[[#This Row],[Team A]],TeamsList[Team Name],0)),AE682)</f>
        <v>CCT Eagles Napoli</v>
      </c>
      <c r="AF683" s="395" t="str">
        <f>IF(ResultsTeams[[#This Row],[Type]]="G",INDEX(TeamsList[Club Name],MATCH(ResultsTeams[[#This Row],[Team B]],TeamsList[Team Name],0)),AF682)</f>
        <v>Master Sanremo</v>
      </c>
      <c r="AG683" s="265"/>
    </row>
    <row r="684" spans="1:33" ht="12" thickBot="1" x14ac:dyDescent="0.25">
      <c r="A684" s="261" t="s">
        <v>12693</v>
      </c>
      <c r="B684" s="270" t="s">
        <v>12212</v>
      </c>
      <c r="C684" s="270"/>
      <c r="D684" s="270"/>
      <c r="E684" s="272" t="s">
        <v>12228</v>
      </c>
      <c r="F684" s="273" t="s">
        <v>794</v>
      </c>
      <c r="G684" s="273" t="s">
        <v>197</v>
      </c>
      <c r="H684" s="275">
        <v>2</v>
      </c>
      <c r="I684" s="275">
        <v>1</v>
      </c>
      <c r="J684" s="275"/>
      <c r="K684" s="366"/>
      <c r="L684" s="366"/>
      <c r="M684" s="274"/>
      <c r="N684" s="265" t="b">
        <f>NOT(ISERROR(ResultsTeams[[#This Row],[Goal-A]]+ResultsTeams[[#This Row],[Goal-B]]))</f>
        <v>1</v>
      </c>
      <c r="O684" s="265">
        <f>IF(ResultsTeams[[#This Row],[Type]]="G",SUM(O685:O688),IF(LEFT(ResultsTeams[[#This Row],[Type]],1)="P",IF(ResultsTeams[[#This Row],[Goal-A]]&gt;ResultsTeams[[#This Row],[Goal-B]],1,0),""))</f>
        <v>2</v>
      </c>
      <c r="P684" s="265">
        <f>IF(ResultsTeams[[#This Row],[Type]]="G",SUM(P685:P688),IF(LEFT(ResultsTeams[[#This Row],[Type]],1)="P",IF(ResultsTeams[[#This Row],[Goal-A]]&lt;ResultsTeams[[#This Row],[Goal-B]],1,0),""))</f>
        <v>1</v>
      </c>
      <c r="Q684" s="265">
        <f>IF(ResultsTeams[[#This Row],[Type]]="G",SUM(Q685:Q688),IF(LEFT(ResultsTeams[[#This Row],[Type]],1)="P",VALUE(ResultsTeams[[#This Row],[Score-A]]),""))</f>
        <v>5</v>
      </c>
      <c r="R684" s="265">
        <f>IF(ResultsTeams[[#This Row],[Type]]="G",SUM(R685:R688),IF(LEFT(ResultsTeams[[#This Row],[Type]],1)="P",VALUE(ResultsTeams[[#This Row],[Score-B]]),""))</f>
        <v>2</v>
      </c>
      <c r="S684" s="265">
        <f ca="1">IF(AND(ResultsTeams[[#This Row],[Category]]&lt;&gt;"",ResultsTeams[[#This Row],[Team A]]&lt;&gt;""),COUNTIF(INDIRECT("TeamsList[Club Name]"),ResultsTeams[[#This Row],[Team A]]),"")</f>
        <v>1</v>
      </c>
      <c r="T684" s="265">
        <f ca="1">IF(AND(ResultsTeams[[#This Row],[Category]]&lt;&gt;"",ResultsTeams[[#This Row],[Team B]]&lt;&gt;""),COUNTIF(INDIRECT("TeamsList[Club Name]"),ResultsTeams[[#This Row],[Team B]]),"")</f>
        <v>1</v>
      </c>
      <c r="U6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4" s="265" t="str">
        <f>IF(ResultsTeams[[#This Row],[Score_OK]],IF(ResultsTeams[[#This Row],[StageCpy]]="Groups",ResultsTeams[[#This Row],[Category]]&amp;"-"&amp;IF(ResultsTeams[[#This Row],[Team B]]="","",IF(ResultsTeams[[#This Row],[Match-A]]=ResultsTeams[[#This Row],[Match-B]],ResultsTeams[[#This Row],[Team A]],"")),""),"")</f>
        <v/>
      </c>
      <c r="W684" s="265" t="str">
        <f>IF(ResultsTeams[[#This Row],[Score_OK]],IF(ResultsTeams[[#This Row],[StageCpy]]="Groups",ResultsTeams[[#This Row],[Category]]&amp;"-"&amp;IF(ResultsTeams[[#This Row],[Team B]]="","",IF(ResultsTeams[[#This Row],[Match-A]]=ResultsTeams[[#This Row],[Match-B]],ResultsTeams[[#This Row],[Team B]],"")),""),"")</f>
        <v/>
      </c>
      <c r="X6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TEAM-Bologna Tigers Subbuteo</v>
      </c>
      <c r="Z6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6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684" s="264" t="str">
        <f>IF(ResultsTeams[[#This Row],[Category]]="","",VLOOKUP(ResultsTeams[[#This Row],[Stage]],$R$1:$T$8,MATCH(ResultsTeams[[#This Row],[Category]],$S$1:$T$1,0)+1,FALSE))</f>
        <v>Q</v>
      </c>
      <c r="AC6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4" s="264" t="str">
        <f>IF(ResultsTeams[[#This Row],[Type]]="G",ResultsTeams[[#This Row],[Stage]],AD683)</f>
        <v>Last 8</v>
      </c>
      <c r="AE684" s="395" t="str">
        <f>IF(ResultsTeams[[#This Row],[Type]]="G",INDEX(TeamsList[Club Name],MATCH(ResultsTeams[[#This Row],[Team A]],TeamsList[Team Name],0)),AE683)</f>
        <v>Bormla SC</v>
      </c>
      <c r="AF684" s="395" t="str">
        <f>IF(ResultsTeams[[#This Row],[Type]]="G",INDEX(TeamsList[Club Name],MATCH(ResultsTeams[[#This Row],[Team B]],TeamsList[Team Name],0)),AF683)</f>
        <v>Bologna Tigers Subbuteo</v>
      </c>
      <c r="AG684" s="265"/>
    </row>
    <row r="685" spans="1:33" x14ac:dyDescent="0.2">
      <c r="A685" s="60"/>
      <c r="B685" s="280"/>
      <c r="C685" s="60"/>
      <c r="D685" s="60"/>
      <c r="E685" s="240" t="s">
        <v>12231</v>
      </c>
      <c r="F685" s="244" t="s">
        <v>8062</v>
      </c>
      <c r="G685" s="244" t="s">
        <v>9744</v>
      </c>
      <c r="H685" s="253">
        <v>2</v>
      </c>
      <c r="I685" s="253">
        <v>1</v>
      </c>
      <c r="J685" s="253"/>
      <c r="K685" s="362"/>
      <c r="L685" s="362"/>
      <c r="M685" s="245"/>
      <c r="N685" s="265" t="b">
        <f>NOT(ISERROR(ResultsTeams[[#This Row],[Goal-A]]+ResultsTeams[[#This Row],[Goal-B]]))</f>
        <v>1</v>
      </c>
      <c r="O685" s="265">
        <f>IF(ResultsTeams[[#This Row],[Type]]="G",SUM(O686:O689),IF(LEFT(ResultsTeams[[#This Row],[Type]],1)="P",IF(ResultsTeams[[#This Row],[Goal-A]]&gt;ResultsTeams[[#This Row],[Goal-B]],1,0),""))</f>
        <v>1</v>
      </c>
      <c r="P685" s="265">
        <f>IF(ResultsTeams[[#This Row],[Type]]="G",SUM(P686:P689),IF(LEFT(ResultsTeams[[#This Row],[Type]],1)="P",IF(ResultsTeams[[#This Row],[Goal-A]]&lt;ResultsTeams[[#This Row],[Goal-B]],1,0),""))</f>
        <v>0</v>
      </c>
      <c r="Q685" s="265">
        <f>IF(ResultsTeams[[#This Row],[Type]]="G",SUM(Q686:Q689),IF(LEFT(ResultsTeams[[#This Row],[Type]],1)="P",VALUE(ResultsTeams[[#This Row],[Score-A]]),""))</f>
        <v>2</v>
      </c>
      <c r="R685" s="265">
        <f>IF(ResultsTeams[[#This Row],[Type]]="G",SUM(R686:R689),IF(LEFT(ResultsTeams[[#This Row],[Type]],1)="P",VALUE(ResultsTeams[[#This Row],[Score-B]]),""))</f>
        <v>1</v>
      </c>
      <c r="S685" s="265" t="str">
        <f ca="1">IF(AND(ResultsTeams[[#This Row],[Category]]&lt;&gt;"",ResultsTeams[[#This Row],[Team A]]&lt;&gt;""),COUNTIF(INDIRECT("TeamsList[Club Name]"),ResultsTeams[[#This Row],[Team A]]),"")</f>
        <v/>
      </c>
      <c r="T685" s="265" t="str">
        <f ca="1">IF(AND(ResultsTeams[[#This Row],[Category]]&lt;&gt;"",ResultsTeams[[#This Row],[Team B]]&lt;&gt;""),COUNTIF(INDIRECT("TeamsList[Club Name]"),ResultsTeams[[#This Row],[Team B]]),"")</f>
        <v/>
      </c>
      <c r="U6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5" s="265" t="str">
        <f>IF(ResultsTeams[[#This Row],[Score_OK]],IF(ResultsTeams[[#This Row],[StageCpy]]="Groups",ResultsTeams[[#This Row],[Category]]&amp;"-"&amp;IF(ResultsTeams[[#This Row],[Team B]]="","",IF(ResultsTeams[[#This Row],[Match-A]]=ResultsTeams[[#This Row],[Match-B]],ResultsTeams[[#This Row],[Team A]],"")),""),"")</f>
        <v/>
      </c>
      <c r="W685" s="265" t="str">
        <f>IF(ResultsTeams[[#This Row],[Score_OK]],IF(ResultsTeams[[#This Row],[StageCpy]]="Groups",ResultsTeams[[#This Row],[Category]]&amp;"-"&amp;IF(ResultsTeams[[#This Row],[Team B]]="","",IF(ResultsTeams[[#This Row],[Match-A]]=ResultsTeams[[#This Row],[Match-B]],ResultsTeams[[#This Row],[Team B]],"")),""),"")</f>
        <v/>
      </c>
      <c r="X6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5" s="264" t="str">
        <f>IF(ResultsTeams[[#This Row],[Category]]="","",VLOOKUP(ResultsTeams[[#This Row],[Stage]],$R$1:$T$8,MATCH(ResultsTeams[[#This Row],[Category]],$S$1:$T$1,0)+1,FALSE))</f>
        <v/>
      </c>
      <c r="AC6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5" s="264" t="str">
        <f>IF(ResultsTeams[[#This Row],[Type]]="G",ResultsTeams[[#This Row],[Stage]],AD684)</f>
        <v>Last 8</v>
      </c>
      <c r="AE685" s="395" t="str">
        <f>IF(ResultsTeams[[#This Row],[Type]]="G",INDEX(TeamsList[Club Name],MATCH(ResultsTeams[[#This Row],[Team A]],TeamsList[Team Name],0)),AE684)</f>
        <v>Bormla SC</v>
      </c>
      <c r="AF685" s="395" t="str">
        <f>IF(ResultsTeams[[#This Row],[Type]]="G",INDEX(TeamsList[Club Name],MATCH(ResultsTeams[[#This Row],[Team B]],TeamsList[Team Name],0)),AF684)</f>
        <v>Bologna Tigers Subbuteo</v>
      </c>
      <c r="AG685" s="265"/>
    </row>
    <row r="686" spans="1:33" x14ac:dyDescent="0.2">
      <c r="A686" s="62"/>
      <c r="B686" s="280"/>
      <c r="C686" s="62"/>
      <c r="D686" s="62"/>
      <c r="E686" s="241" t="s">
        <v>12234</v>
      </c>
      <c r="F686" s="246" t="s">
        <v>10414</v>
      </c>
      <c r="G686" s="246" t="s">
        <v>9838</v>
      </c>
      <c r="H686" s="254">
        <v>3</v>
      </c>
      <c r="I686" s="254">
        <v>0</v>
      </c>
      <c r="J686" s="254"/>
      <c r="K686" s="363"/>
      <c r="L686" s="363"/>
      <c r="M686" s="247"/>
      <c r="N686" s="265" t="b">
        <f>NOT(ISERROR(ResultsTeams[[#This Row],[Goal-A]]+ResultsTeams[[#This Row],[Goal-B]]))</f>
        <v>1</v>
      </c>
      <c r="O686" s="265">
        <f>IF(ResultsTeams[[#This Row],[Type]]="G",SUM(O687:O690),IF(LEFT(ResultsTeams[[#This Row],[Type]],1)="P",IF(ResultsTeams[[#This Row],[Goal-A]]&gt;ResultsTeams[[#This Row],[Goal-B]],1,0),""))</f>
        <v>1</v>
      </c>
      <c r="P686" s="265">
        <f>IF(ResultsTeams[[#This Row],[Type]]="G",SUM(P687:P690),IF(LEFT(ResultsTeams[[#This Row],[Type]],1)="P",IF(ResultsTeams[[#This Row],[Goal-A]]&lt;ResultsTeams[[#This Row],[Goal-B]],1,0),""))</f>
        <v>0</v>
      </c>
      <c r="Q686" s="265">
        <f>IF(ResultsTeams[[#This Row],[Type]]="G",SUM(Q687:Q690),IF(LEFT(ResultsTeams[[#This Row],[Type]],1)="P",VALUE(ResultsTeams[[#This Row],[Score-A]]),""))</f>
        <v>3</v>
      </c>
      <c r="R686" s="265">
        <f>IF(ResultsTeams[[#This Row],[Type]]="G",SUM(R687:R690),IF(LEFT(ResultsTeams[[#This Row],[Type]],1)="P",VALUE(ResultsTeams[[#This Row],[Score-B]]),""))</f>
        <v>0</v>
      </c>
      <c r="S686" s="265" t="str">
        <f ca="1">IF(AND(ResultsTeams[[#This Row],[Category]]&lt;&gt;"",ResultsTeams[[#This Row],[Team A]]&lt;&gt;""),COUNTIF(INDIRECT("TeamsList[Club Name]"),ResultsTeams[[#This Row],[Team A]]),"")</f>
        <v/>
      </c>
      <c r="T686" s="265" t="str">
        <f ca="1">IF(AND(ResultsTeams[[#This Row],[Category]]&lt;&gt;"",ResultsTeams[[#This Row],[Team B]]&lt;&gt;""),COUNTIF(INDIRECT("TeamsList[Club Name]"),ResultsTeams[[#This Row],[Team B]]),"")</f>
        <v/>
      </c>
      <c r="U6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6" s="265" t="str">
        <f>IF(ResultsTeams[[#This Row],[Score_OK]],IF(ResultsTeams[[#This Row],[StageCpy]]="Groups",ResultsTeams[[#This Row],[Category]]&amp;"-"&amp;IF(ResultsTeams[[#This Row],[Team B]]="","",IF(ResultsTeams[[#This Row],[Match-A]]=ResultsTeams[[#This Row],[Match-B]],ResultsTeams[[#This Row],[Team A]],"")),""),"")</f>
        <v/>
      </c>
      <c r="W686" s="265" t="str">
        <f>IF(ResultsTeams[[#This Row],[Score_OK]],IF(ResultsTeams[[#This Row],[StageCpy]]="Groups",ResultsTeams[[#This Row],[Category]]&amp;"-"&amp;IF(ResultsTeams[[#This Row],[Team B]]="","",IF(ResultsTeams[[#This Row],[Match-A]]=ResultsTeams[[#This Row],[Match-B]],ResultsTeams[[#This Row],[Team B]],"")),""),"")</f>
        <v/>
      </c>
      <c r="X6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6" s="264" t="str">
        <f>IF(ResultsTeams[[#This Row],[Category]]="","",VLOOKUP(ResultsTeams[[#This Row],[Stage]],$R$1:$T$8,MATCH(ResultsTeams[[#This Row],[Category]],$S$1:$T$1,0)+1,FALSE))</f>
        <v/>
      </c>
      <c r="AC6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6" s="264" t="str">
        <f>IF(ResultsTeams[[#This Row],[Type]]="G",ResultsTeams[[#This Row],[Stage]],AD685)</f>
        <v>Last 8</v>
      </c>
      <c r="AE686" s="395" t="str">
        <f>IF(ResultsTeams[[#This Row],[Type]]="G",INDEX(TeamsList[Club Name],MATCH(ResultsTeams[[#This Row],[Team A]],TeamsList[Team Name],0)),AE685)</f>
        <v>Bormla SC</v>
      </c>
      <c r="AF686" s="395" t="str">
        <f>IF(ResultsTeams[[#This Row],[Type]]="G",INDEX(TeamsList[Club Name],MATCH(ResultsTeams[[#This Row],[Team B]],TeamsList[Team Name],0)),AF685)</f>
        <v>Bologna Tigers Subbuteo</v>
      </c>
      <c r="AG686" s="265"/>
    </row>
    <row r="687" spans="1:33" x14ac:dyDescent="0.2">
      <c r="A687" s="62"/>
      <c r="B687" s="280"/>
      <c r="C687" s="62"/>
      <c r="D687" s="62"/>
      <c r="E687" s="241" t="s">
        <v>12237</v>
      </c>
      <c r="F687" s="246" t="s">
        <v>10431</v>
      </c>
      <c r="G687" s="246" t="s">
        <v>10090</v>
      </c>
      <c r="H687" s="254">
        <v>0</v>
      </c>
      <c r="I687" s="254">
        <v>1</v>
      </c>
      <c r="J687" s="254"/>
      <c r="K687" s="363"/>
      <c r="L687" s="363"/>
      <c r="M687" s="247"/>
      <c r="N687" s="265" t="b">
        <f>NOT(ISERROR(ResultsTeams[[#This Row],[Goal-A]]+ResultsTeams[[#This Row],[Goal-B]]))</f>
        <v>1</v>
      </c>
      <c r="O687" s="265">
        <f>IF(ResultsTeams[[#This Row],[Type]]="G",SUM(O688:O691),IF(LEFT(ResultsTeams[[#This Row],[Type]],1)="P",IF(ResultsTeams[[#This Row],[Goal-A]]&gt;ResultsTeams[[#This Row],[Goal-B]],1,0),""))</f>
        <v>0</v>
      </c>
      <c r="P687" s="265">
        <f>IF(ResultsTeams[[#This Row],[Type]]="G",SUM(P688:P691),IF(LEFT(ResultsTeams[[#This Row],[Type]],1)="P",IF(ResultsTeams[[#This Row],[Goal-A]]&lt;ResultsTeams[[#This Row],[Goal-B]],1,0),""))</f>
        <v>1</v>
      </c>
      <c r="Q687" s="265">
        <f>IF(ResultsTeams[[#This Row],[Type]]="G",SUM(Q688:Q691),IF(LEFT(ResultsTeams[[#This Row],[Type]],1)="P",VALUE(ResultsTeams[[#This Row],[Score-A]]),""))</f>
        <v>0</v>
      </c>
      <c r="R687" s="265">
        <f>IF(ResultsTeams[[#This Row],[Type]]="G",SUM(R688:R691),IF(LEFT(ResultsTeams[[#This Row],[Type]],1)="P",VALUE(ResultsTeams[[#This Row],[Score-B]]),""))</f>
        <v>1</v>
      </c>
      <c r="S687" s="265" t="str">
        <f ca="1">IF(AND(ResultsTeams[[#This Row],[Category]]&lt;&gt;"",ResultsTeams[[#This Row],[Team A]]&lt;&gt;""),COUNTIF(INDIRECT("TeamsList[Club Name]"),ResultsTeams[[#This Row],[Team A]]),"")</f>
        <v/>
      </c>
      <c r="T687" s="265" t="str">
        <f ca="1">IF(AND(ResultsTeams[[#This Row],[Category]]&lt;&gt;"",ResultsTeams[[#This Row],[Team B]]&lt;&gt;""),COUNTIF(INDIRECT("TeamsList[Club Name]"),ResultsTeams[[#This Row],[Team B]]),"")</f>
        <v/>
      </c>
      <c r="U6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7" s="265" t="str">
        <f>IF(ResultsTeams[[#This Row],[Score_OK]],IF(ResultsTeams[[#This Row],[StageCpy]]="Groups",ResultsTeams[[#This Row],[Category]]&amp;"-"&amp;IF(ResultsTeams[[#This Row],[Team B]]="","",IF(ResultsTeams[[#This Row],[Match-A]]=ResultsTeams[[#This Row],[Match-B]],ResultsTeams[[#This Row],[Team A]],"")),""),"")</f>
        <v/>
      </c>
      <c r="W687" s="265" t="str">
        <f>IF(ResultsTeams[[#This Row],[Score_OK]],IF(ResultsTeams[[#This Row],[StageCpy]]="Groups",ResultsTeams[[#This Row],[Category]]&amp;"-"&amp;IF(ResultsTeams[[#This Row],[Team B]]="","",IF(ResultsTeams[[#This Row],[Match-A]]=ResultsTeams[[#This Row],[Match-B]],ResultsTeams[[#This Row],[Team B]],"")),""),"")</f>
        <v/>
      </c>
      <c r="X6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7" s="264" t="str">
        <f>IF(ResultsTeams[[#This Row],[Category]]="","",VLOOKUP(ResultsTeams[[#This Row],[Stage]],$R$1:$T$8,MATCH(ResultsTeams[[#This Row],[Category]],$S$1:$T$1,0)+1,FALSE))</f>
        <v/>
      </c>
      <c r="AC6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7" s="264" t="str">
        <f>IF(ResultsTeams[[#This Row],[Type]]="G",ResultsTeams[[#This Row],[Stage]],AD686)</f>
        <v>Last 8</v>
      </c>
      <c r="AE687" s="395" t="str">
        <f>IF(ResultsTeams[[#This Row],[Type]]="G",INDEX(TeamsList[Club Name],MATCH(ResultsTeams[[#This Row],[Team A]],TeamsList[Team Name],0)),AE686)</f>
        <v>Bormla SC</v>
      </c>
      <c r="AF687" s="395" t="str">
        <f>IF(ResultsTeams[[#This Row],[Type]]="G",INDEX(TeamsList[Club Name],MATCH(ResultsTeams[[#This Row],[Team B]],TeamsList[Team Name],0)),AF686)</f>
        <v>Bologna Tigers Subbuteo</v>
      </c>
      <c r="AG687" s="265"/>
    </row>
    <row r="688" spans="1:33" x14ac:dyDescent="0.2">
      <c r="A688" s="62"/>
      <c r="B688" s="280"/>
      <c r="C688" s="62"/>
      <c r="D688" s="62"/>
      <c r="E688" s="241" t="s">
        <v>12240</v>
      </c>
      <c r="F688" s="246" t="s">
        <v>8097</v>
      </c>
      <c r="G688" s="246" t="s">
        <v>8874</v>
      </c>
      <c r="H688" s="254">
        <v>0</v>
      </c>
      <c r="I688" s="254">
        <v>0</v>
      </c>
      <c r="J688" s="254"/>
      <c r="K688" s="363"/>
      <c r="L688" s="363"/>
      <c r="M688" s="247"/>
      <c r="N688" s="265" t="b">
        <f>NOT(ISERROR(ResultsTeams[[#This Row],[Goal-A]]+ResultsTeams[[#This Row],[Goal-B]]))</f>
        <v>1</v>
      </c>
      <c r="O688" s="265">
        <f>IF(ResultsTeams[[#This Row],[Type]]="G",SUM(O689:O692),IF(LEFT(ResultsTeams[[#This Row],[Type]],1)="P",IF(ResultsTeams[[#This Row],[Goal-A]]&gt;ResultsTeams[[#This Row],[Goal-B]],1,0),""))</f>
        <v>0</v>
      </c>
      <c r="P688" s="265">
        <f>IF(ResultsTeams[[#This Row],[Type]]="G",SUM(P689:P692),IF(LEFT(ResultsTeams[[#This Row],[Type]],1)="P",IF(ResultsTeams[[#This Row],[Goal-A]]&lt;ResultsTeams[[#This Row],[Goal-B]],1,0),""))</f>
        <v>0</v>
      </c>
      <c r="Q688" s="265">
        <f>IF(ResultsTeams[[#This Row],[Type]]="G",SUM(Q689:Q692),IF(LEFT(ResultsTeams[[#This Row],[Type]],1)="P",VALUE(ResultsTeams[[#This Row],[Score-A]]),""))</f>
        <v>0</v>
      </c>
      <c r="R688" s="265">
        <f>IF(ResultsTeams[[#This Row],[Type]]="G",SUM(R689:R692),IF(LEFT(ResultsTeams[[#This Row],[Type]],1)="P",VALUE(ResultsTeams[[#This Row],[Score-B]]),""))</f>
        <v>0</v>
      </c>
      <c r="S688" s="265" t="str">
        <f ca="1">IF(AND(ResultsTeams[[#This Row],[Category]]&lt;&gt;"",ResultsTeams[[#This Row],[Team A]]&lt;&gt;""),COUNTIF(INDIRECT("TeamsList[Club Name]"),ResultsTeams[[#This Row],[Team A]]),"")</f>
        <v/>
      </c>
      <c r="T688" s="265" t="str">
        <f ca="1">IF(AND(ResultsTeams[[#This Row],[Category]]&lt;&gt;"",ResultsTeams[[#This Row],[Team B]]&lt;&gt;""),COUNTIF(INDIRECT("TeamsList[Club Name]"),ResultsTeams[[#This Row],[Team B]]),"")</f>
        <v/>
      </c>
      <c r="U6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8" s="265" t="str">
        <f>IF(ResultsTeams[[#This Row],[Score_OK]],IF(ResultsTeams[[#This Row],[StageCpy]]="Groups",ResultsTeams[[#This Row],[Category]]&amp;"-"&amp;IF(ResultsTeams[[#This Row],[Team B]]="","",IF(ResultsTeams[[#This Row],[Match-A]]=ResultsTeams[[#This Row],[Match-B]],ResultsTeams[[#This Row],[Team A]],"")),""),"")</f>
        <v/>
      </c>
      <c r="W688" s="265" t="str">
        <f>IF(ResultsTeams[[#This Row],[Score_OK]],IF(ResultsTeams[[#This Row],[StageCpy]]="Groups",ResultsTeams[[#This Row],[Category]]&amp;"-"&amp;IF(ResultsTeams[[#This Row],[Team B]]="","",IF(ResultsTeams[[#This Row],[Match-A]]=ResultsTeams[[#This Row],[Match-B]],ResultsTeams[[#This Row],[Team B]],"")),""),"")</f>
        <v/>
      </c>
      <c r="X6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8" s="264" t="str">
        <f>IF(ResultsTeams[[#This Row],[Category]]="","",VLOOKUP(ResultsTeams[[#This Row],[Stage]],$R$1:$T$8,MATCH(ResultsTeams[[#This Row],[Category]],$S$1:$T$1,0)+1,FALSE))</f>
        <v/>
      </c>
      <c r="AC6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8" s="264" t="str">
        <f>IF(ResultsTeams[[#This Row],[Type]]="G",ResultsTeams[[#This Row],[Stage]],AD687)</f>
        <v>Last 8</v>
      </c>
      <c r="AE688" s="395" t="str">
        <f>IF(ResultsTeams[[#This Row],[Type]]="G",INDEX(TeamsList[Club Name],MATCH(ResultsTeams[[#This Row],[Team A]],TeamsList[Team Name],0)),AE687)</f>
        <v>Bormla SC</v>
      </c>
      <c r="AF688" s="395" t="str">
        <f>IF(ResultsTeams[[#This Row],[Type]]="G",INDEX(TeamsList[Club Name],MATCH(ResultsTeams[[#This Row],[Team B]],TeamsList[Team Name],0)),AF687)</f>
        <v>Bologna Tigers Subbuteo</v>
      </c>
      <c r="AG688" s="265"/>
    </row>
    <row r="689" spans="1:33" x14ac:dyDescent="0.2">
      <c r="A689" s="62"/>
      <c r="B689" s="62"/>
      <c r="C689" s="62"/>
      <c r="D689" s="62"/>
      <c r="E689" s="241" t="s">
        <v>12243</v>
      </c>
      <c r="F689" s="247"/>
      <c r="G689" s="247"/>
      <c r="H689" s="254"/>
      <c r="I689" s="254"/>
      <c r="J689" s="260"/>
      <c r="K689" s="364"/>
      <c r="L689" s="364"/>
      <c r="M689" s="63"/>
      <c r="N689" s="265" t="b">
        <f>NOT(ISERROR(ResultsTeams[[#This Row],[Goal-A]]+ResultsTeams[[#This Row],[Goal-B]]))</f>
        <v>0</v>
      </c>
      <c r="O689" s="265" t="str">
        <f>IF(ResultsTeams[[#This Row],[Type]]="G",SUM(O690:O693),IF(LEFT(ResultsTeams[[#This Row],[Type]],1)="P",IF(ResultsTeams[[#This Row],[Goal-A]]&gt;ResultsTeams[[#This Row],[Goal-B]],1,0),""))</f>
        <v/>
      </c>
      <c r="P689" s="265" t="str">
        <f>IF(ResultsTeams[[#This Row],[Type]]="G",SUM(P690:P693),IF(LEFT(ResultsTeams[[#This Row],[Type]],1)="P",IF(ResultsTeams[[#This Row],[Goal-A]]&lt;ResultsTeams[[#This Row],[Goal-B]],1,0),""))</f>
        <v/>
      </c>
      <c r="Q689" s="265" t="str">
        <f>IF(ResultsTeams[[#This Row],[Type]]="G",SUM(Q690:Q693),IF(LEFT(ResultsTeams[[#This Row],[Type]],1)="P",VALUE(ResultsTeams[[#This Row],[Score-A]]),""))</f>
        <v/>
      </c>
      <c r="R689" s="265" t="str">
        <f>IF(ResultsTeams[[#This Row],[Type]]="G",SUM(R690:R693),IF(LEFT(ResultsTeams[[#This Row],[Type]],1)="P",VALUE(ResultsTeams[[#This Row],[Score-B]]),""))</f>
        <v/>
      </c>
      <c r="S689" s="265" t="str">
        <f ca="1">IF(AND(ResultsTeams[[#This Row],[Category]]&lt;&gt;"",ResultsTeams[[#This Row],[Team A]]&lt;&gt;""),COUNTIF(INDIRECT("TeamsList[Club Name]"),ResultsTeams[[#This Row],[Team A]]),"")</f>
        <v/>
      </c>
      <c r="T689" s="265" t="str">
        <f ca="1">IF(AND(ResultsTeams[[#This Row],[Category]]&lt;&gt;"",ResultsTeams[[#This Row],[Team B]]&lt;&gt;""),COUNTIF(INDIRECT("TeamsList[Club Name]"),ResultsTeams[[#This Row],[Team B]]),"")</f>
        <v/>
      </c>
      <c r="U6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9" s="265" t="str">
        <f>IF(ResultsTeams[[#This Row],[Score_OK]],IF(ResultsTeams[[#This Row],[StageCpy]]="Groups",ResultsTeams[[#This Row],[Category]]&amp;"-"&amp;IF(ResultsTeams[[#This Row],[Team B]]="","",IF(ResultsTeams[[#This Row],[Match-A]]=ResultsTeams[[#This Row],[Match-B]],ResultsTeams[[#This Row],[Team A]],"")),""),"")</f>
        <v/>
      </c>
      <c r="W689" s="265" t="str">
        <f>IF(ResultsTeams[[#This Row],[Score_OK]],IF(ResultsTeams[[#This Row],[StageCpy]]="Groups",ResultsTeams[[#This Row],[Category]]&amp;"-"&amp;IF(ResultsTeams[[#This Row],[Team B]]="","",IF(ResultsTeams[[#This Row],[Match-A]]=ResultsTeams[[#This Row],[Match-B]],ResultsTeams[[#This Row],[Team B]],"")),""),"")</f>
        <v/>
      </c>
      <c r="X6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9" s="264" t="str">
        <f>IF(ResultsTeams[[#This Row],[Category]]="","",VLOOKUP(ResultsTeams[[#This Row],[Stage]],$R$1:$T$8,MATCH(ResultsTeams[[#This Row],[Category]],$S$1:$T$1,0)+1,FALSE))</f>
        <v/>
      </c>
      <c r="AC6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9" s="264" t="str">
        <f>IF(ResultsTeams[[#This Row],[Type]]="G",ResultsTeams[[#This Row],[Stage]],AD688)</f>
        <v>Last 8</v>
      </c>
      <c r="AE689" s="395" t="str">
        <f>IF(ResultsTeams[[#This Row],[Type]]="G",INDEX(TeamsList[Club Name],MATCH(ResultsTeams[[#This Row],[Team A]],TeamsList[Team Name],0)),AE688)</f>
        <v>Bormla SC</v>
      </c>
      <c r="AF689" s="395" t="str">
        <f>IF(ResultsTeams[[#This Row],[Type]]="G",INDEX(TeamsList[Club Name],MATCH(ResultsTeams[[#This Row],[Team B]],TeamsList[Team Name],0)),AF688)</f>
        <v>Bologna Tigers Subbuteo</v>
      </c>
      <c r="AG689" s="265"/>
    </row>
    <row r="690" spans="1:33" ht="12" thickBot="1" x14ac:dyDescent="0.25">
      <c r="A690" s="83"/>
      <c r="B690" s="83"/>
      <c r="C690" s="83"/>
      <c r="D690" s="83"/>
      <c r="E690" s="268" t="s">
        <v>12244</v>
      </c>
      <c r="F690" s="262"/>
      <c r="G690" s="262"/>
      <c r="H690" s="324"/>
      <c r="I690" s="324"/>
      <c r="J690" s="263"/>
      <c r="K690" s="365"/>
      <c r="L690" s="365"/>
      <c r="M690" s="84"/>
      <c r="N690" s="265" t="b">
        <f>NOT(ISERROR(ResultsTeams[[#This Row],[Goal-A]]+ResultsTeams[[#This Row],[Goal-B]]))</f>
        <v>0</v>
      </c>
      <c r="O690" s="265" t="str">
        <f>IF(ResultsTeams[[#This Row],[Type]]="G",SUM(O691:O694),IF(LEFT(ResultsTeams[[#This Row],[Type]],1)="P",IF(ResultsTeams[[#This Row],[Goal-A]]&gt;ResultsTeams[[#This Row],[Goal-B]],1,0),""))</f>
        <v/>
      </c>
      <c r="P690" s="265" t="str">
        <f>IF(ResultsTeams[[#This Row],[Type]]="G",SUM(P691:P694),IF(LEFT(ResultsTeams[[#This Row],[Type]],1)="P",IF(ResultsTeams[[#This Row],[Goal-A]]&lt;ResultsTeams[[#This Row],[Goal-B]],1,0),""))</f>
        <v/>
      </c>
      <c r="Q690" s="265" t="str">
        <f>IF(ResultsTeams[[#This Row],[Type]]="G",SUM(Q691:Q694),IF(LEFT(ResultsTeams[[#This Row],[Type]],1)="P",VALUE(ResultsTeams[[#This Row],[Score-A]]),""))</f>
        <v/>
      </c>
      <c r="R690" s="265" t="str">
        <f>IF(ResultsTeams[[#This Row],[Type]]="G",SUM(R691:R694),IF(LEFT(ResultsTeams[[#This Row],[Type]],1)="P",VALUE(ResultsTeams[[#This Row],[Score-B]]),""))</f>
        <v/>
      </c>
      <c r="S690" s="265" t="str">
        <f ca="1">IF(AND(ResultsTeams[[#This Row],[Category]]&lt;&gt;"",ResultsTeams[[#This Row],[Team A]]&lt;&gt;""),COUNTIF(INDIRECT("TeamsList[Club Name]"),ResultsTeams[[#This Row],[Team A]]),"")</f>
        <v/>
      </c>
      <c r="T690" s="265" t="str">
        <f ca="1">IF(AND(ResultsTeams[[#This Row],[Category]]&lt;&gt;"",ResultsTeams[[#This Row],[Team B]]&lt;&gt;""),COUNTIF(INDIRECT("TeamsList[Club Name]"),ResultsTeams[[#This Row],[Team B]]),"")</f>
        <v/>
      </c>
      <c r="U6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0" s="265" t="str">
        <f>IF(ResultsTeams[[#This Row],[Score_OK]],IF(ResultsTeams[[#This Row],[StageCpy]]="Groups",ResultsTeams[[#This Row],[Category]]&amp;"-"&amp;IF(ResultsTeams[[#This Row],[Team B]]="","",IF(ResultsTeams[[#This Row],[Match-A]]=ResultsTeams[[#This Row],[Match-B]],ResultsTeams[[#This Row],[Team A]],"")),""),"")</f>
        <v/>
      </c>
      <c r="W690" s="265" t="str">
        <f>IF(ResultsTeams[[#This Row],[Score_OK]],IF(ResultsTeams[[#This Row],[StageCpy]]="Groups",ResultsTeams[[#This Row],[Category]]&amp;"-"&amp;IF(ResultsTeams[[#This Row],[Team B]]="","",IF(ResultsTeams[[#This Row],[Match-A]]=ResultsTeams[[#This Row],[Match-B]],ResultsTeams[[#This Row],[Team B]],"")),""),"")</f>
        <v/>
      </c>
      <c r="X6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0" s="264" t="str">
        <f>IF(ResultsTeams[[#This Row],[Category]]="","",VLOOKUP(ResultsTeams[[#This Row],[Stage]],$R$1:$T$8,MATCH(ResultsTeams[[#This Row],[Category]],$S$1:$T$1,0)+1,FALSE))</f>
        <v/>
      </c>
      <c r="AC6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0" s="264" t="str">
        <f>IF(ResultsTeams[[#This Row],[Type]]="G",ResultsTeams[[#This Row],[Stage]],AD689)</f>
        <v>Last 8</v>
      </c>
      <c r="AE690" s="395" t="str">
        <f>IF(ResultsTeams[[#This Row],[Type]]="G",INDEX(TeamsList[Club Name],MATCH(ResultsTeams[[#This Row],[Team A]],TeamsList[Team Name],0)),AE689)</f>
        <v>Bormla SC</v>
      </c>
      <c r="AF690" s="395" t="str">
        <f>IF(ResultsTeams[[#This Row],[Type]]="G",INDEX(TeamsList[Club Name],MATCH(ResultsTeams[[#This Row],[Team B]],TeamsList[Team Name],0)),AF689)</f>
        <v>Bologna Tigers Subbuteo</v>
      </c>
      <c r="AG690" s="265"/>
    </row>
    <row r="691" spans="1:33" ht="12" thickBot="1" x14ac:dyDescent="0.25">
      <c r="A691" s="261" t="s">
        <v>12693</v>
      </c>
      <c r="B691" s="270" t="s">
        <v>12212</v>
      </c>
      <c r="C691" s="270"/>
      <c r="D691" s="270"/>
      <c r="E691" s="272" t="s">
        <v>12228</v>
      </c>
      <c r="F691" s="273" t="s">
        <v>170</v>
      </c>
      <c r="G691" s="273" t="s">
        <v>12558</v>
      </c>
      <c r="H691" s="275">
        <v>0</v>
      </c>
      <c r="I691" s="275">
        <v>2</v>
      </c>
      <c r="J691" s="275"/>
      <c r="K691" s="366"/>
      <c r="L691" s="366"/>
      <c r="M691" s="271"/>
      <c r="N691" s="265" t="b">
        <f>NOT(ISERROR(ResultsTeams[[#This Row],[Goal-A]]+ResultsTeams[[#This Row],[Goal-B]]))</f>
        <v>1</v>
      </c>
      <c r="O691" s="265">
        <f>IF(ResultsTeams[[#This Row],[Type]]="G",SUM(O692:O695),IF(LEFT(ResultsTeams[[#This Row],[Type]],1)="P",IF(ResultsTeams[[#This Row],[Goal-A]]&gt;ResultsTeams[[#This Row],[Goal-B]],1,0),""))</f>
        <v>0</v>
      </c>
      <c r="P691" s="265">
        <f>IF(ResultsTeams[[#This Row],[Type]]="G",SUM(P692:P695),IF(LEFT(ResultsTeams[[#This Row],[Type]],1)="P",IF(ResultsTeams[[#This Row],[Goal-A]]&lt;ResultsTeams[[#This Row],[Goal-B]],1,0),""))</f>
        <v>2</v>
      </c>
      <c r="Q691" s="265">
        <f>IF(ResultsTeams[[#This Row],[Type]]="G",SUM(Q692:Q695),IF(LEFT(ResultsTeams[[#This Row],[Type]],1)="P",VALUE(ResultsTeams[[#This Row],[Score-A]]),""))</f>
        <v>7</v>
      </c>
      <c r="R691" s="265">
        <f>IF(ResultsTeams[[#This Row],[Type]]="G",SUM(R692:R695),IF(LEFT(ResultsTeams[[#This Row],[Type]],1)="P",VALUE(ResultsTeams[[#This Row],[Score-B]]),""))</f>
        <v>12</v>
      </c>
      <c r="S691" s="265">
        <f ca="1">IF(AND(ResultsTeams[[#This Row],[Category]]&lt;&gt;"",ResultsTeams[[#This Row],[Team A]]&lt;&gt;""),COUNTIF(INDIRECT("TeamsList[Club Name]"),ResultsTeams[[#This Row],[Team A]]),"")</f>
        <v>2</v>
      </c>
      <c r="T691" s="265">
        <f ca="1">IF(AND(ResultsTeams[[#This Row],[Category]]&lt;&gt;"",ResultsTeams[[#This Row],[Team B]]&lt;&gt;""),COUNTIF(INDIRECT("TeamsList[Club Name]"),ResultsTeams[[#This Row],[Team B]]),"")</f>
        <v>1</v>
      </c>
      <c r="U6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1" s="265" t="str">
        <f>IF(ResultsTeams[[#This Row],[Score_OK]],IF(ResultsTeams[[#This Row],[StageCpy]]="Groups",ResultsTeams[[#This Row],[Category]]&amp;"-"&amp;IF(ResultsTeams[[#This Row],[Team B]]="","",IF(ResultsTeams[[#This Row],[Match-A]]=ResultsTeams[[#This Row],[Match-B]],ResultsTeams[[#This Row],[Team A]],"")),""),"")</f>
        <v/>
      </c>
      <c r="W691" s="265" t="str">
        <f>IF(ResultsTeams[[#This Row],[Score_OK]],IF(ResultsTeams[[#This Row],[StageCpy]]="Groups",ResultsTeams[[#This Row],[Category]]&amp;"-"&amp;IF(ResultsTeams[[#This Row],[Team B]]="","",IF(ResultsTeams[[#This Row],[Match-A]]=ResultsTeams[[#This Row],[Match-B]],ResultsTeams[[#This Row],[Team B]],"")),""),"")</f>
        <v/>
      </c>
      <c r="X6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TEAM-Tiburones FM</v>
      </c>
      <c r="Z6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6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691" s="264" t="str">
        <f>IF(ResultsTeams[[#This Row],[Category]]="","",VLOOKUP(ResultsTeams[[#This Row],[Stage]],$R$1:$T$8,MATCH(ResultsTeams[[#This Row],[Category]],$S$1:$T$1,0)+1,FALSE))</f>
        <v>Q</v>
      </c>
      <c r="AC6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1" s="264" t="str">
        <f>IF(ResultsTeams[[#This Row],[Type]]="G",ResultsTeams[[#This Row],[Stage]],AD690)</f>
        <v>Last 8</v>
      </c>
      <c r="AE691" s="395" t="str">
        <f>IF(ResultsTeams[[#This Row],[Type]]="G",INDEX(TeamsList[Club Name],MATCH(ResultsTeams[[#This Row],[Team A]],TeamsList[Team Name],0)),AE690)</f>
        <v>Tiburones FM</v>
      </c>
      <c r="AF691" s="395" t="str">
        <f>IF(ResultsTeams[[#This Row],[Type]]="G",INDEX(TeamsList[Club Name],MATCH(ResultsTeams[[#This Row],[Team B]],TeamsList[Team Name],0)),AF690)</f>
        <v>F.lli Bari Reggio Emilia</v>
      </c>
      <c r="AG691" s="265"/>
    </row>
    <row r="692" spans="1:33" x14ac:dyDescent="0.2">
      <c r="A692" s="60"/>
      <c r="B692" s="280"/>
      <c r="C692" s="60"/>
      <c r="D692" s="60"/>
      <c r="E692" s="240" t="s">
        <v>12231</v>
      </c>
      <c r="F692" s="244" t="s">
        <v>8752</v>
      </c>
      <c r="G692" s="244" t="s">
        <v>9915</v>
      </c>
      <c r="H692" s="253">
        <v>3</v>
      </c>
      <c r="I692" s="253">
        <v>3</v>
      </c>
      <c r="J692" s="253"/>
      <c r="K692" s="362"/>
      <c r="L692" s="362"/>
      <c r="M692" s="61"/>
      <c r="N692" s="265" t="b">
        <f>NOT(ISERROR(ResultsTeams[[#This Row],[Goal-A]]+ResultsTeams[[#This Row],[Goal-B]]))</f>
        <v>1</v>
      </c>
      <c r="O692" s="265">
        <f>IF(ResultsTeams[[#This Row],[Type]]="G",SUM(O693:O696),IF(LEFT(ResultsTeams[[#This Row],[Type]],1)="P",IF(ResultsTeams[[#This Row],[Goal-A]]&gt;ResultsTeams[[#This Row],[Goal-B]],1,0),""))</f>
        <v>0</v>
      </c>
      <c r="P692" s="265">
        <f>IF(ResultsTeams[[#This Row],[Type]]="G",SUM(P693:P696),IF(LEFT(ResultsTeams[[#This Row],[Type]],1)="P",IF(ResultsTeams[[#This Row],[Goal-A]]&lt;ResultsTeams[[#This Row],[Goal-B]],1,0),""))</f>
        <v>0</v>
      </c>
      <c r="Q692" s="265">
        <f>IF(ResultsTeams[[#This Row],[Type]]="G",SUM(Q693:Q696),IF(LEFT(ResultsTeams[[#This Row],[Type]],1)="P",VALUE(ResultsTeams[[#This Row],[Score-A]]),""))</f>
        <v>3</v>
      </c>
      <c r="R692" s="265">
        <f>IF(ResultsTeams[[#This Row],[Type]]="G",SUM(R693:R696),IF(LEFT(ResultsTeams[[#This Row],[Type]],1)="P",VALUE(ResultsTeams[[#This Row],[Score-B]]),""))</f>
        <v>3</v>
      </c>
      <c r="S692" s="265" t="str">
        <f ca="1">IF(AND(ResultsTeams[[#This Row],[Category]]&lt;&gt;"",ResultsTeams[[#This Row],[Team A]]&lt;&gt;""),COUNTIF(INDIRECT("TeamsList[Club Name]"),ResultsTeams[[#This Row],[Team A]]),"")</f>
        <v/>
      </c>
      <c r="T692" s="265" t="str">
        <f ca="1">IF(AND(ResultsTeams[[#This Row],[Category]]&lt;&gt;"",ResultsTeams[[#This Row],[Team B]]&lt;&gt;""),COUNTIF(INDIRECT("TeamsList[Club Name]"),ResultsTeams[[#This Row],[Team B]]),"")</f>
        <v/>
      </c>
      <c r="U6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2" s="265" t="str">
        <f>IF(ResultsTeams[[#This Row],[Score_OK]],IF(ResultsTeams[[#This Row],[StageCpy]]="Groups",ResultsTeams[[#This Row],[Category]]&amp;"-"&amp;IF(ResultsTeams[[#This Row],[Team B]]="","",IF(ResultsTeams[[#This Row],[Match-A]]=ResultsTeams[[#This Row],[Match-B]],ResultsTeams[[#This Row],[Team A]],"")),""),"")</f>
        <v/>
      </c>
      <c r="W692" s="265" t="str">
        <f>IF(ResultsTeams[[#This Row],[Score_OK]],IF(ResultsTeams[[#This Row],[StageCpy]]="Groups",ResultsTeams[[#This Row],[Category]]&amp;"-"&amp;IF(ResultsTeams[[#This Row],[Team B]]="","",IF(ResultsTeams[[#This Row],[Match-A]]=ResultsTeams[[#This Row],[Match-B]],ResultsTeams[[#This Row],[Team B]],"")),""),"")</f>
        <v/>
      </c>
      <c r="X6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2" s="264" t="str">
        <f>IF(ResultsTeams[[#This Row],[Category]]="","",VLOOKUP(ResultsTeams[[#This Row],[Stage]],$R$1:$T$8,MATCH(ResultsTeams[[#This Row],[Category]],$S$1:$T$1,0)+1,FALSE))</f>
        <v/>
      </c>
      <c r="AC6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2" s="264" t="str">
        <f>IF(ResultsTeams[[#This Row],[Type]]="G",ResultsTeams[[#This Row],[Stage]],AD691)</f>
        <v>Last 8</v>
      </c>
      <c r="AE692" s="395" t="str">
        <f>IF(ResultsTeams[[#This Row],[Type]]="G",INDEX(TeamsList[Club Name],MATCH(ResultsTeams[[#This Row],[Team A]],TeamsList[Team Name],0)),AE691)</f>
        <v>Tiburones FM</v>
      </c>
      <c r="AF692" s="395" t="str">
        <f>IF(ResultsTeams[[#This Row],[Type]]="G",INDEX(TeamsList[Club Name],MATCH(ResultsTeams[[#This Row],[Team B]],TeamsList[Team Name],0)),AF691)</f>
        <v>F.lli Bari Reggio Emilia</v>
      </c>
      <c r="AG692" s="265"/>
    </row>
    <row r="693" spans="1:33" x14ac:dyDescent="0.2">
      <c r="A693" s="62"/>
      <c r="B693" s="280"/>
      <c r="C693" s="62"/>
      <c r="D693" s="62"/>
      <c r="E693" s="241" t="s">
        <v>12234</v>
      </c>
      <c r="F693" s="246" t="s">
        <v>8629</v>
      </c>
      <c r="G693" s="246" t="s">
        <v>8610</v>
      </c>
      <c r="H693" s="254">
        <v>3</v>
      </c>
      <c r="I693" s="254">
        <v>5</v>
      </c>
      <c r="J693" s="254"/>
      <c r="K693" s="363"/>
      <c r="L693" s="363"/>
      <c r="M693" s="63"/>
      <c r="N693" s="265" t="b">
        <f>NOT(ISERROR(ResultsTeams[[#This Row],[Goal-A]]+ResultsTeams[[#This Row],[Goal-B]]))</f>
        <v>1</v>
      </c>
      <c r="O693" s="265">
        <f>IF(ResultsTeams[[#This Row],[Type]]="G",SUM(O694:O697),IF(LEFT(ResultsTeams[[#This Row],[Type]],1)="P",IF(ResultsTeams[[#This Row],[Goal-A]]&gt;ResultsTeams[[#This Row],[Goal-B]],1,0),""))</f>
        <v>0</v>
      </c>
      <c r="P693" s="265">
        <f>IF(ResultsTeams[[#This Row],[Type]]="G",SUM(P694:P697),IF(LEFT(ResultsTeams[[#This Row],[Type]],1)="P",IF(ResultsTeams[[#This Row],[Goal-A]]&lt;ResultsTeams[[#This Row],[Goal-B]],1,0),""))</f>
        <v>1</v>
      </c>
      <c r="Q693" s="265">
        <f>IF(ResultsTeams[[#This Row],[Type]]="G",SUM(Q694:Q697),IF(LEFT(ResultsTeams[[#This Row],[Type]],1)="P",VALUE(ResultsTeams[[#This Row],[Score-A]]),""))</f>
        <v>3</v>
      </c>
      <c r="R693" s="265">
        <f>IF(ResultsTeams[[#This Row],[Type]]="G",SUM(R694:R697),IF(LEFT(ResultsTeams[[#This Row],[Type]],1)="P",VALUE(ResultsTeams[[#This Row],[Score-B]]),""))</f>
        <v>5</v>
      </c>
      <c r="S693" s="265" t="str">
        <f ca="1">IF(AND(ResultsTeams[[#This Row],[Category]]&lt;&gt;"",ResultsTeams[[#This Row],[Team A]]&lt;&gt;""),COUNTIF(INDIRECT("TeamsList[Club Name]"),ResultsTeams[[#This Row],[Team A]]),"")</f>
        <v/>
      </c>
      <c r="T693" s="265" t="str">
        <f ca="1">IF(AND(ResultsTeams[[#This Row],[Category]]&lt;&gt;"",ResultsTeams[[#This Row],[Team B]]&lt;&gt;""),COUNTIF(INDIRECT("TeamsList[Club Name]"),ResultsTeams[[#This Row],[Team B]]),"")</f>
        <v/>
      </c>
      <c r="U6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3" s="265" t="str">
        <f>IF(ResultsTeams[[#This Row],[Score_OK]],IF(ResultsTeams[[#This Row],[StageCpy]]="Groups",ResultsTeams[[#This Row],[Category]]&amp;"-"&amp;IF(ResultsTeams[[#This Row],[Team B]]="","",IF(ResultsTeams[[#This Row],[Match-A]]=ResultsTeams[[#This Row],[Match-B]],ResultsTeams[[#This Row],[Team A]],"")),""),"")</f>
        <v/>
      </c>
      <c r="W693" s="265" t="str">
        <f>IF(ResultsTeams[[#This Row],[Score_OK]],IF(ResultsTeams[[#This Row],[StageCpy]]="Groups",ResultsTeams[[#This Row],[Category]]&amp;"-"&amp;IF(ResultsTeams[[#This Row],[Team B]]="","",IF(ResultsTeams[[#This Row],[Match-A]]=ResultsTeams[[#This Row],[Match-B]],ResultsTeams[[#This Row],[Team B]],"")),""),"")</f>
        <v/>
      </c>
      <c r="X6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3" s="264" t="str">
        <f>IF(ResultsTeams[[#This Row],[Category]]="","",VLOOKUP(ResultsTeams[[#This Row],[Stage]],$R$1:$T$8,MATCH(ResultsTeams[[#This Row],[Category]],$S$1:$T$1,0)+1,FALSE))</f>
        <v/>
      </c>
      <c r="AC6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3" s="264" t="str">
        <f>IF(ResultsTeams[[#This Row],[Type]]="G",ResultsTeams[[#This Row],[Stage]],AD692)</f>
        <v>Last 8</v>
      </c>
      <c r="AE693" s="395" t="str">
        <f>IF(ResultsTeams[[#This Row],[Type]]="G",INDEX(TeamsList[Club Name],MATCH(ResultsTeams[[#This Row],[Team A]],TeamsList[Team Name],0)),AE692)</f>
        <v>Tiburones FM</v>
      </c>
      <c r="AF693" s="395" t="str">
        <f>IF(ResultsTeams[[#This Row],[Type]]="G",INDEX(TeamsList[Club Name],MATCH(ResultsTeams[[#This Row],[Team B]],TeamsList[Team Name],0)),AF692)</f>
        <v>F.lli Bari Reggio Emilia</v>
      </c>
      <c r="AG693" s="265"/>
    </row>
    <row r="694" spans="1:33" x14ac:dyDescent="0.2">
      <c r="A694" s="62"/>
      <c r="B694" s="280"/>
      <c r="C694" s="62"/>
      <c r="D694" s="62"/>
      <c r="E694" s="241" t="s">
        <v>12237</v>
      </c>
      <c r="F694" s="246" t="s">
        <v>8628</v>
      </c>
      <c r="G694" s="246" t="s">
        <v>13</v>
      </c>
      <c r="H694" s="254">
        <v>1</v>
      </c>
      <c r="I694" s="254">
        <v>1</v>
      </c>
      <c r="J694" s="254"/>
      <c r="K694" s="363"/>
      <c r="L694" s="363"/>
      <c r="M694" s="63"/>
      <c r="N694" s="265" t="b">
        <f>NOT(ISERROR(ResultsTeams[[#This Row],[Goal-A]]+ResultsTeams[[#This Row],[Goal-B]]))</f>
        <v>1</v>
      </c>
      <c r="O694" s="265">
        <f>IF(ResultsTeams[[#This Row],[Type]]="G",SUM(O695:O698),IF(LEFT(ResultsTeams[[#This Row],[Type]],1)="P",IF(ResultsTeams[[#This Row],[Goal-A]]&gt;ResultsTeams[[#This Row],[Goal-B]],1,0),""))</f>
        <v>0</v>
      </c>
      <c r="P694" s="265">
        <f>IF(ResultsTeams[[#This Row],[Type]]="G",SUM(P695:P698),IF(LEFT(ResultsTeams[[#This Row],[Type]],1)="P",IF(ResultsTeams[[#This Row],[Goal-A]]&lt;ResultsTeams[[#This Row],[Goal-B]],1,0),""))</f>
        <v>0</v>
      </c>
      <c r="Q694" s="265">
        <f>IF(ResultsTeams[[#This Row],[Type]]="G",SUM(Q695:Q698),IF(LEFT(ResultsTeams[[#This Row],[Type]],1)="P",VALUE(ResultsTeams[[#This Row],[Score-A]]),""))</f>
        <v>1</v>
      </c>
      <c r="R694" s="265">
        <f>IF(ResultsTeams[[#This Row],[Type]]="G",SUM(R695:R698),IF(LEFT(ResultsTeams[[#This Row],[Type]],1)="P",VALUE(ResultsTeams[[#This Row],[Score-B]]),""))</f>
        <v>1</v>
      </c>
      <c r="S694" s="265" t="str">
        <f ca="1">IF(AND(ResultsTeams[[#This Row],[Category]]&lt;&gt;"",ResultsTeams[[#This Row],[Team A]]&lt;&gt;""),COUNTIF(INDIRECT("TeamsList[Club Name]"),ResultsTeams[[#This Row],[Team A]]),"")</f>
        <v/>
      </c>
      <c r="T694" s="265" t="str">
        <f ca="1">IF(AND(ResultsTeams[[#This Row],[Category]]&lt;&gt;"",ResultsTeams[[#This Row],[Team B]]&lt;&gt;""),COUNTIF(INDIRECT("TeamsList[Club Name]"),ResultsTeams[[#This Row],[Team B]]),"")</f>
        <v/>
      </c>
      <c r="U6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4" s="265" t="str">
        <f>IF(ResultsTeams[[#This Row],[Score_OK]],IF(ResultsTeams[[#This Row],[StageCpy]]="Groups",ResultsTeams[[#This Row],[Category]]&amp;"-"&amp;IF(ResultsTeams[[#This Row],[Team B]]="","",IF(ResultsTeams[[#This Row],[Match-A]]=ResultsTeams[[#This Row],[Match-B]],ResultsTeams[[#This Row],[Team A]],"")),""),"")</f>
        <v/>
      </c>
      <c r="W694" s="265" t="str">
        <f>IF(ResultsTeams[[#This Row],[Score_OK]],IF(ResultsTeams[[#This Row],[StageCpy]]="Groups",ResultsTeams[[#This Row],[Category]]&amp;"-"&amp;IF(ResultsTeams[[#This Row],[Team B]]="","",IF(ResultsTeams[[#This Row],[Match-A]]=ResultsTeams[[#This Row],[Match-B]],ResultsTeams[[#This Row],[Team B]],"")),""),"")</f>
        <v/>
      </c>
      <c r="X6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4" s="264" t="str">
        <f>IF(ResultsTeams[[#This Row],[Category]]="","",VLOOKUP(ResultsTeams[[#This Row],[Stage]],$R$1:$T$8,MATCH(ResultsTeams[[#This Row],[Category]],$S$1:$T$1,0)+1,FALSE))</f>
        <v/>
      </c>
      <c r="AC6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4" s="264" t="str">
        <f>IF(ResultsTeams[[#This Row],[Type]]="G",ResultsTeams[[#This Row],[Stage]],AD693)</f>
        <v>Last 8</v>
      </c>
      <c r="AE694" s="395" t="str">
        <f>IF(ResultsTeams[[#This Row],[Type]]="G",INDEX(TeamsList[Club Name],MATCH(ResultsTeams[[#This Row],[Team A]],TeamsList[Team Name],0)),AE693)</f>
        <v>Tiburones FM</v>
      </c>
      <c r="AF694" s="395" t="str">
        <f>IF(ResultsTeams[[#This Row],[Type]]="G",INDEX(TeamsList[Club Name],MATCH(ResultsTeams[[#This Row],[Team B]],TeamsList[Team Name],0)),AF693)</f>
        <v>F.lli Bari Reggio Emilia</v>
      </c>
      <c r="AG694" s="265"/>
    </row>
    <row r="695" spans="1:33" x14ac:dyDescent="0.2">
      <c r="A695" s="62"/>
      <c r="B695" s="280"/>
      <c r="C695" s="62"/>
      <c r="D695" s="62"/>
      <c r="E695" s="241" t="s">
        <v>12240</v>
      </c>
      <c r="F695" s="246" t="s">
        <v>8600</v>
      </c>
      <c r="G695" s="246" t="s">
        <v>10080</v>
      </c>
      <c r="H695" s="254">
        <v>0</v>
      </c>
      <c r="I695" s="254">
        <v>3</v>
      </c>
      <c r="J695" s="254"/>
      <c r="K695" s="363"/>
      <c r="L695" s="363"/>
      <c r="M695" s="63"/>
      <c r="N695" s="265" t="b">
        <f>NOT(ISERROR(ResultsTeams[[#This Row],[Goal-A]]+ResultsTeams[[#This Row],[Goal-B]]))</f>
        <v>1</v>
      </c>
      <c r="O695" s="265">
        <f>IF(ResultsTeams[[#This Row],[Type]]="G",SUM(O696:O699),IF(LEFT(ResultsTeams[[#This Row],[Type]],1)="P",IF(ResultsTeams[[#This Row],[Goal-A]]&gt;ResultsTeams[[#This Row],[Goal-B]],1,0),""))</f>
        <v>0</v>
      </c>
      <c r="P695" s="265">
        <f>IF(ResultsTeams[[#This Row],[Type]]="G",SUM(P696:P699),IF(LEFT(ResultsTeams[[#This Row],[Type]],1)="P",IF(ResultsTeams[[#This Row],[Goal-A]]&lt;ResultsTeams[[#This Row],[Goal-B]],1,0),""))</f>
        <v>1</v>
      </c>
      <c r="Q695" s="265">
        <f>IF(ResultsTeams[[#This Row],[Type]]="G",SUM(Q696:Q699),IF(LEFT(ResultsTeams[[#This Row],[Type]],1)="P",VALUE(ResultsTeams[[#This Row],[Score-A]]),""))</f>
        <v>0</v>
      </c>
      <c r="R695" s="265">
        <f>IF(ResultsTeams[[#This Row],[Type]]="G",SUM(R696:R699),IF(LEFT(ResultsTeams[[#This Row],[Type]],1)="P",VALUE(ResultsTeams[[#This Row],[Score-B]]),""))</f>
        <v>3</v>
      </c>
      <c r="S695" s="265" t="str">
        <f ca="1">IF(AND(ResultsTeams[[#This Row],[Category]]&lt;&gt;"",ResultsTeams[[#This Row],[Team A]]&lt;&gt;""),COUNTIF(INDIRECT("TeamsList[Club Name]"),ResultsTeams[[#This Row],[Team A]]),"")</f>
        <v/>
      </c>
      <c r="T695" s="265" t="str">
        <f ca="1">IF(AND(ResultsTeams[[#This Row],[Category]]&lt;&gt;"",ResultsTeams[[#This Row],[Team B]]&lt;&gt;""),COUNTIF(INDIRECT("TeamsList[Club Name]"),ResultsTeams[[#This Row],[Team B]]),"")</f>
        <v/>
      </c>
      <c r="U6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5" s="265" t="str">
        <f>IF(ResultsTeams[[#This Row],[Score_OK]],IF(ResultsTeams[[#This Row],[StageCpy]]="Groups",ResultsTeams[[#This Row],[Category]]&amp;"-"&amp;IF(ResultsTeams[[#This Row],[Team B]]="","",IF(ResultsTeams[[#This Row],[Match-A]]=ResultsTeams[[#This Row],[Match-B]],ResultsTeams[[#This Row],[Team A]],"")),""),"")</f>
        <v/>
      </c>
      <c r="W695" s="265" t="str">
        <f>IF(ResultsTeams[[#This Row],[Score_OK]],IF(ResultsTeams[[#This Row],[StageCpy]]="Groups",ResultsTeams[[#This Row],[Category]]&amp;"-"&amp;IF(ResultsTeams[[#This Row],[Team B]]="","",IF(ResultsTeams[[#This Row],[Match-A]]=ResultsTeams[[#This Row],[Match-B]],ResultsTeams[[#This Row],[Team B]],"")),""),"")</f>
        <v/>
      </c>
      <c r="X6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5" s="264" t="str">
        <f>IF(ResultsTeams[[#This Row],[Category]]="","",VLOOKUP(ResultsTeams[[#This Row],[Stage]],$R$1:$T$8,MATCH(ResultsTeams[[#This Row],[Category]],$S$1:$T$1,0)+1,FALSE))</f>
        <v/>
      </c>
      <c r="AC6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5" s="264" t="str">
        <f>IF(ResultsTeams[[#This Row],[Type]]="G",ResultsTeams[[#This Row],[Stage]],AD694)</f>
        <v>Last 8</v>
      </c>
      <c r="AE695" s="395" t="str">
        <f>IF(ResultsTeams[[#This Row],[Type]]="G",INDEX(TeamsList[Club Name],MATCH(ResultsTeams[[#This Row],[Team A]],TeamsList[Team Name],0)),AE694)</f>
        <v>Tiburones FM</v>
      </c>
      <c r="AF695" s="395" t="str">
        <f>IF(ResultsTeams[[#This Row],[Type]]="G",INDEX(TeamsList[Club Name],MATCH(ResultsTeams[[#This Row],[Team B]],TeamsList[Team Name],0)),AF694)</f>
        <v>F.lli Bari Reggio Emilia</v>
      </c>
      <c r="AG695" s="265"/>
    </row>
    <row r="696" spans="1:33" x14ac:dyDescent="0.2">
      <c r="A696" s="62"/>
      <c r="B696" s="62"/>
      <c r="C696" s="62"/>
      <c r="D696" s="62"/>
      <c r="E696" s="241" t="s">
        <v>12243</v>
      </c>
      <c r="F696" s="247"/>
      <c r="G696" s="247" t="s">
        <v>9526</v>
      </c>
      <c r="H696" s="254"/>
      <c r="I696" s="254" t="s">
        <v>12243</v>
      </c>
      <c r="J696" s="260"/>
      <c r="K696" s="364"/>
      <c r="L696" s="364"/>
      <c r="M696" s="63"/>
      <c r="N696" s="265" t="b">
        <f>NOT(ISERROR(ResultsTeams[[#This Row],[Goal-A]]+ResultsTeams[[#This Row],[Goal-B]]))</f>
        <v>0</v>
      </c>
      <c r="O696" s="265" t="str">
        <f>IF(ResultsTeams[[#This Row],[Type]]="G",SUM(O697:O700),IF(LEFT(ResultsTeams[[#This Row],[Type]],1)="P",IF(ResultsTeams[[#This Row],[Goal-A]]&gt;ResultsTeams[[#This Row],[Goal-B]],1,0),""))</f>
        <v/>
      </c>
      <c r="P696" s="265" t="str">
        <f>IF(ResultsTeams[[#This Row],[Type]]="G",SUM(P697:P700),IF(LEFT(ResultsTeams[[#This Row],[Type]],1)="P",IF(ResultsTeams[[#This Row],[Goal-A]]&lt;ResultsTeams[[#This Row],[Goal-B]],1,0),""))</f>
        <v/>
      </c>
      <c r="Q696" s="265" t="str">
        <f>IF(ResultsTeams[[#This Row],[Type]]="G",SUM(Q697:Q700),IF(LEFT(ResultsTeams[[#This Row],[Type]],1)="P",VALUE(ResultsTeams[[#This Row],[Score-A]]),""))</f>
        <v/>
      </c>
      <c r="R696" s="265" t="str">
        <f>IF(ResultsTeams[[#This Row],[Type]]="G",SUM(R697:R700),IF(LEFT(ResultsTeams[[#This Row],[Type]],1)="P",VALUE(ResultsTeams[[#This Row],[Score-B]]),""))</f>
        <v/>
      </c>
      <c r="S696" s="265" t="str">
        <f ca="1">IF(AND(ResultsTeams[[#This Row],[Category]]&lt;&gt;"",ResultsTeams[[#This Row],[Team A]]&lt;&gt;""),COUNTIF(INDIRECT("TeamsList[Club Name]"),ResultsTeams[[#This Row],[Team A]]),"")</f>
        <v/>
      </c>
      <c r="T696" s="265" t="str">
        <f ca="1">IF(AND(ResultsTeams[[#This Row],[Category]]&lt;&gt;"",ResultsTeams[[#This Row],[Team B]]&lt;&gt;""),COUNTIF(INDIRECT("TeamsList[Club Name]"),ResultsTeams[[#This Row],[Team B]]),"")</f>
        <v/>
      </c>
      <c r="U6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6" s="265" t="str">
        <f>IF(ResultsTeams[[#This Row],[Score_OK]],IF(ResultsTeams[[#This Row],[StageCpy]]="Groups",ResultsTeams[[#This Row],[Category]]&amp;"-"&amp;IF(ResultsTeams[[#This Row],[Team B]]="","",IF(ResultsTeams[[#This Row],[Match-A]]=ResultsTeams[[#This Row],[Match-B]],ResultsTeams[[#This Row],[Team A]],"")),""),"")</f>
        <v/>
      </c>
      <c r="W696" s="265" t="str">
        <f>IF(ResultsTeams[[#This Row],[Score_OK]],IF(ResultsTeams[[#This Row],[StageCpy]]="Groups",ResultsTeams[[#This Row],[Category]]&amp;"-"&amp;IF(ResultsTeams[[#This Row],[Team B]]="","",IF(ResultsTeams[[#This Row],[Match-A]]=ResultsTeams[[#This Row],[Match-B]],ResultsTeams[[#This Row],[Team B]],"")),""),"")</f>
        <v/>
      </c>
      <c r="X6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6" s="264" t="str">
        <f>IF(ResultsTeams[[#This Row],[Category]]="","",VLOOKUP(ResultsTeams[[#This Row],[Stage]],$R$1:$T$8,MATCH(ResultsTeams[[#This Row],[Category]],$S$1:$T$1,0)+1,FALSE))</f>
        <v/>
      </c>
      <c r="AC6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6" s="264" t="str">
        <f>IF(ResultsTeams[[#This Row],[Type]]="G",ResultsTeams[[#This Row],[Stage]],AD695)</f>
        <v>Last 8</v>
      </c>
      <c r="AE696" s="395" t="str">
        <f>IF(ResultsTeams[[#This Row],[Type]]="G",INDEX(TeamsList[Club Name],MATCH(ResultsTeams[[#This Row],[Team A]],TeamsList[Team Name],0)),AE695)</f>
        <v>Tiburones FM</v>
      </c>
      <c r="AF696" s="395" t="str">
        <f>IF(ResultsTeams[[#This Row],[Type]]="G",INDEX(TeamsList[Club Name],MATCH(ResultsTeams[[#This Row],[Team B]],TeamsList[Team Name],0)),AF695)</f>
        <v>F.lli Bari Reggio Emilia</v>
      </c>
      <c r="AG696" s="265"/>
    </row>
    <row r="697" spans="1:33" ht="12" thickBot="1" x14ac:dyDescent="0.25">
      <c r="A697" s="83"/>
      <c r="B697" s="83"/>
      <c r="C697" s="83"/>
      <c r="D697" s="83"/>
      <c r="E697" s="268" t="s">
        <v>12244</v>
      </c>
      <c r="F697" s="262"/>
      <c r="G697" s="262"/>
      <c r="H697" s="324"/>
      <c r="I697" s="324"/>
      <c r="J697" s="263"/>
      <c r="K697" s="365"/>
      <c r="L697" s="365"/>
      <c r="M697" s="84"/>
      <c r="N697" s="265" t="b">
        <f>NOT(ISERROR(ResultsTeams[[#This Row],[Goal-A]]+ResultsTeams[[#This Row],[Goal-B]]))</f>
        <v>0</v>
      </c>
      <c r="O697" s="265" t="str">
        <f>IF(ResultsTeams[[#This Row],[Type]]="G",SUM(O698:O701),IF(LEFT(ResultsTeams[[#This Row],[Type]],1)="P",IF(ResultsTeams[[#This Row],[Goal-A]]&gt;ResultsTeams[[#This Row],[Goal-B]],1,0),""))</f>
        <v/>
      </c>
      <c r="P697" s="265" t="str">
        <f>IF(ResultsTeams[[#This Row],[Type]]="G",SUM(P698:P701),IF(LEFT(ResultsTeams[[#This Row],[Type]],1)="P",IF(ResultsTeams[[#This Row],[Goal-A]]&lt;ResultsTeams[[#This Row],[Goal-B]],1,0),""))</f>
        <v/>
      </c>
      <c r="Q697" s="265" t="str">
        <f>IF(ResultsTeams[[#This Row],[Type]]="G",SUM(Q698:Q701),IF(LEFT(ResultsTeams[[#This Row],[Type]],1)="P",VALUE(ResultsTeams[[#This Row],[Score-A]]),""))</f>
        <v/>
      </c>
      <c r="R697" s="265" t="str">
        <f>IF(ResultsTeams[[#This Row],[Type]]="G",SUM(R698:R701),IF(LEFT(ResultsTeams[[#This Row],[Type]],1)="P",VALUE(ResultsTeams[[#This Row],[Score-B]]),""))</f>
        <v/>
      </c>
      <c r="S697" s="265" t="str">
        <f ca="1">IF(AND(ResultsTeams[[#This Row],[Category]]&lt;&gt;"",ResultsTeams[[#This Row],[Team A]]&lt;&gt;""),COUNTIF(INDIRECT("TeamsList[Club Name]"),ResultsTeams[[#This Row],[Team A]]),"")</f>
        <v/>
      </c>
      <c r="T697" s="265" t="str">
        <f ca="1">IF(AND(ResultsTeams[[#This Row],[Category]]&lt;&gt;"",ResultsTeams[[#This Row],[Team B]]&lt;&gt;""),COUNTIF(INDIRECT("TeamsList[Club Name]"),ResultsTeams[[#This Row],[Team B]]),"")</f>
        <v/>
      </c>
      <c r="U6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7" s="265" t="str">
        <f>IF(ResultsTeams[[#This Row],[Score_OK]],IF(ResultsTeams[[#This Row],[StageCpy]]="Groups",ResultsTeams[[#This Row],[Category]]&amp;"-"&amp;IF(ResultsTeams[[#This Row],[Team B]]="","",IF(ResultsTeams[[#This Row],[Match-A]]=ResultsTeams[[#This Row],[Match-B]],ResultsTeams[[#This Row],[Team A]],"")),""),"")</f>
        <v/>
      </c>
      <c r="W697" s="265" t="str">
        <f>IF(ResultsTeams[[#This Row],[Score_OK]],IF(ResultsTeams[[#This Row],[StageCpy]]="Groups",ResultsTeams[[#This Row],[Category]]&amp;"-"&amp;IF(ResultsTeams[[#This Row],[Team B]]="","",IF(ResultsTeams[[#This Row],[Match-A]]=ResultsTeams[[#This Row],[Match-B]],ResultsTeams[[#This Row],[Team B]],"")),""),"")</f>
        <v/>
      </c>
      <c r="X6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7" s="264" t="str">
        <f>IF(ResultsTeams[[#This Row],[Category]]="","",VLOOKUP(ResultsTeams[[#This Row],[Stage]],$R$1:$T$8,MATCH(ResultsTeams[[#This Row],[Category]],$S$1:$T$1,0)+1,FALSE))</f>
        <v/>
      </c>
      <c r="AC6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7" s="264" t="str">
        <f>IF(ResultsTeams[[#This Row],[Type]]="G",ResultsTeams[[#This Row],[Stage]],AD696)</f>
        <v>Last 8</v>
      </c>
      <c r="AE697" s="395" t="str">
        <f>IF(ResultsTeams[[#This Row],[Type]]="G",INDEX(TeamsList[Club Name],MATCH(ResultsTeams[[#This Row],[Team A]],TeamsList[Team Name],0)),AE696)</f>
        <v>Tiburones FM</v>
      </c>
      <c r="AF697" s="395" t="str">
        <f>IF(ResultsTeams[[#This Row],[Type]]="G",INDEX(TeamsList[Club Name],MATCH(ResultsTeams[[#This Row],[Team B]],TeamsList[Team Name],0)),AF696)</f>
        <v>F.lli Bari Reggio Emilia</v>
      </c>
      <c r="AG697" s="265"/>
    </row>
    <row r="698" spans="1:33" ht="12" thickBot="1" x14ac:dyDescent="0.25">
      <c r="A698" s="261" t="s">
        <v>12263</v>
      </c>
      <c r="B698" s="270" t="s">
        <v>12212</v>
      </c>
      <c r="C698" s="270"/>
      <c r="D698" s="270"/>
      <c r="E698" s="272" t="s">
        <v>12228</v>
      </c>
      <c r="F698" s="273" t="s">
        <v>251</v>
      </c>
      <c r="G698" s="273" t="s">
        <v>796</v>
      </c>
      <c r="H698" s="275">
        <v>1</v>
      </c>
      <c r="I698" s="275">
        <v>3</v>
      </c>
      <c r="J698" s="275"/>
      <c r="K698" s="366"/>
      <c r="L698" s="366"/>
      <c r="M698" s="274"/>
      <c r="N698" s="265" t="b">
        <f>NOT(ISERROR(ResultsTeams[[#This Row],[Goal-A]]+ResultsTeams[[#This Row],[Goal-B]]))</f>
        <v>1</v>
      </c>
      <c r="O698" s="265">
        <f>IF(ResultsTeams[[#This Row],[Type]]="G",SUM(O699:O702),IF(LEFT(ResultsTeams[[#This Row],[Type]],1)="P",IF(ResultsTeams[[#This Row],[Goal-A]]&gt;ResultsTeams[[#This Row],[Goal-B]],1,0),""))</f>
        <v>1</v>
      </c>
      <c r="P698" s="265">
        <f>IF(ResultsTeams[[#This Row],[Type]]="G",SUM(P699:P702),IF(LEFT(ResultsTeams[[#This Row],[Type]],1)="P",IF(ResultsTeams[[#This Row],[Goal-A]]&lt;ResultsTeams[[#This Row],[Goal-B]],1,0),""))</f>
        <v>3</v>
      </c>
      <c r="Q698" s="265">
        <f>IF(ResultsTeams[[#This Row],[Type]]="G",SUM(Q699:Q702),IF(LEFT(ResultsTeams[[#This Row],[Type]],1)="P",VALUE(ResultsTeams[[#This Row],[Score-A]]),""))</f>
        <v>5</v>
      </c>
      <c r="R698" s="265">
        <f>IF(ResultsTeams[[#This Row],[Type]]="G",SUM(R699:R702),IF(LEFT(ResultsTeams[[#This Row],[Type]],1)="P",VALUE(ResultsTeams[[#This Row],[Score-B]]),""))</f>
        <v>8</v>
      </c>
      <c r="S698" s="265">
        <f ca="1">IF(AND(ResultsTeams[[#This Row],[Category]]&lt;&gt;"",ResultsTeams[[#This Row],[Team A]]&lt;&gt;""),COUNTIF(INDIRECT("TeamsList[Club Name]"),ResultsTeams[[#This Row],[Team A]]),"")</f>
        <v>1</v>
      </c>
      <c r="T698" s="265">
        <f ca="1">IF(AND(ResultsTeams[[#This Row],[Category]]&lt;&gt;"",ResultsTeams[[#This Row],[Team B]]&lt;&gt;""),COUNTIF(INDIRECT("TeamsList[Club Name]"),ResultsTeams[[#This Row],[Team B]]),"")</f>
        <v>1</v>
      </c>
      <c r="U6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8" s="265" t="str">
        <f>IF(ResultsTeams[[#This Row],[Score_OK]],IF(ResultsTeams[[#This Row],[StageCpy]]="Groups",ResultsTeams[[#This Row],[Category]]&amp;"-"&amp;IF(ResultsTeams[[#This Row],[Team B]]="","",IF(ResultsTeams[[#This Row],[Match-A]]=ResultsTeams[[#This Row],[Match-B]],ResultsTeams[[#This Row],[Team A]],"")),""),"")</f>
        <v/>
      </c>
      <c r="W698" s="265" t="str">
        <f>IF(ResultsTeams[[#This Row],[Score_OK]],IF(ResultsTeams[[#This Row],[StageCpy]]="Groups",ResultsTeams[[#This Row],[Category]]&amp;"-"&amp;IF(ResultsTeams[[#This Row],[Team B]]="","",IF(ResultsTeams[[#This Row],[Match-A]]=ResultsTeams[[#This Row],[Match-B]],ResultsTeams[[#This Row],[Team B]],"")),""),"")</f>
        <v/>
      </c>
      <c r="X6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CONSOLATION-MVV Rijnmond</v>
      </c>
      <c r="Z698"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698"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698" s="264" t="e">
        <f>IF(ResultsTeams[[#This Row],[Category]]="","",VLOOKUP(ResultsTeams[[#This Row],[Stage]],$R$1:$T$8,MATCH(ResultsTeams[[#This Row],[Category]],$S$1:$T$1,0)+1,FALSE))</f>
        <v>#N/A</v>
      </c>
      <c r="AC698"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698" s="264" t="str">
        <f>IF(ResultsTeams[[#This Row],[Type]]="G",ResultsTeams[[#This Row],[Stage]],AD697)</f>
        <v>Last 8</v>
      </c>
      <c r="AE698" s="395" t="str">
        <f>IF(ResultsTeams[[#This Row],[Type]]="G",INDEX(TeamsList[Club Name],MATCH(ResultsTeams[[#This Row],[Team A]],TeamsList[Team Name],0)),AE697)</f>
        <v>MVV Rijnmond</v>
      </c>
      <c r="AF698" s="395" t="str">
        <f>IF(ResultsTeams[[#This Row],[Type]]="G",INDEX(TeamsList[Club Name],MATCH(ResultsTeams[[#This Row],[Team B]],TeamsList[Team Name],0)),AF697)</f>
        <v>Valletta Lions TFC</v>
      </c>
      <c r="AG698" s="265"/>
    </row>
    <row r="699" spans="1:33" x14ac:dyDescent="0.2">
      <c r="A699" s="60"/>
      <c r="B699" s="280"/>
      <c r="C699" s="60"/>
      <c r="D699" s="60"/>
      <c r="E699" s="240" t="s">
        <v>12231</v>
      </c>
      <c r="F699" s="244" t="s">
        <v>11916</v>
      </c>
      <c r="G699" s="244" t="s">
        <v>11908</v>
      </c>
      <c r="H699" s="253">
        <v>3</v>
      </c>
      <c r="I699" s="253">
        <v>1</v>
      </c>
      <c r="J699" s="253"/>
      <c r="K699" s="362"/>
      <c r="L699" s="362"/>
      <c r="M699" s="245"/>
      <c r="N699" s="265" t="b">
        <f>NOT(ISERROR(ResultsTeams[[#This Row],[Goal-A]]+ResultsTeams[[#This Row],[Goal-B]]))</f>
        <v>1</v>
      </c>
      <c r="O699" s="265">
        <f>IF(ResultsTeams[[#This Row],[Type]]="G",SUM(O700:O703),IF(LEFT(ResultsTeams[[#This Row],[Type]],1)="P",IF(ResultsTeams[[#This Row],[Goal-A]]&gt;ResultsTeams[[#This Row],[Goal-B]],1,0),""))</f>
        <v>1</v>
      </c>
      <c r="P699" s="265">
        <f>IF(ResultsTeams[[#This Row],[Type]]="G",SUM(P700:P703),IF(LEFT(ResultsTeams[[#This Row],[Type]],1)="P",IF(ResultsTeams[[#This Row],[Goal-A]]&lt;ResultsTeams[[#This Row],[Goal-B]],1,0),""))</f>
        <v>0</v>
      </c>
      <c r="Q699" s="265">
        <f>IF(ResultsTeams[[#This Row],[Type]]="G",SUM(Q700:Q703),IF(LEFT(ResultsTeams[[#This Row],[Type]],1)="P",VALUE(ResultsTeams[[#This Row],[Score-A]]),""))</f>
        <v>3</v>
      </c>
      <c r="R699" s="265">
        <f>IF(ResultsTeams[[#This Row],[Type]]="G",SUM(R700:R703),IF(LEFT(ResultsTeams[[#This Row],[Type]],1)="P",VALUE(ResultsTeams[[#This Row],[Score-B]]),""))</f>
        <v>1</v>
      </c>
      <c r="S699" s="265" t="str">
        <f ca="1">IF(AND(ResultsTeams[[#This Row],[Category]]&lt;&gt;"",ResultsTeams[[#This Row],[Team A]]&lt;&gt;""),COUNTIF(INDIRECT("TeamsList[Club Name]"),ResultsTeams[[#This Row],[Team A]]),"")</f>
        <v/>
      </c>
      <c r="T699" s="265" t="str">
        <f ca="1">IF(AND(ResultsTeams[[#This Row],[Category]]&lt;&gt;"",ResultsTeams[[#This Row],[Team B]]&lt;&gt;""),COUNTIF(INDIRECT("TeamsList[Club Name]"),ResultsTeams[[#This Row],[Team B]]),"")</f>
        <v/>
      </c>
      <c r="U6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9" s="265" t="str">
        <f>IF(ResultsTeams[[#This Row],[Score_OK]],IF(ResultsTeams[[#This Row],[StageCpy]]="Groups",ResultsTeams[[#This Row],[Category]]&amp;"-"&amp;IF(ResultsTeams[[#This Row],[Team B]]="","",IF(ResultsTeams[[#This Row],[Match-A]]=ResultsTeams[[#This Row],[Match-B]],ResultsTeams[[#This Row],[Team A]],"")),""),"")</f>
        <v/>
      </c>
      <c r="W699" s="265" t="str">
        <f>IF(ResultsTeams[[#This Row],[Score_OK]],IF(ResultsTeams[[#This Row],[StageCpy]]="Groups",ResultsTeams[[#This Row],[Category]]&amp;"-"&amp;IF(ResultsTeams[[#This Row],[Team B]]="","",IF(ResultsTeams[[#This Row],[Match-A]]=ResultsTeams[[#This Row],[Match-B]],ResultsTeams[[#This Row],[Team B]],"")),""),"")</f>
        <v/>
      </c>
      <c r="X6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9" s="264" t="str">
        <f>IF(ResultsTeams[[#This Row],[Category]]="","",VLOOKUP(ResultsTeams[[#This Row],[Stage]],$R$1:$T$8,MATCH(ResultsTeams[[#This Row],[Category]],$S$1:$T$1,0)+1,FALSE))</f>
        <v/>
      </c>
      <c r="AC6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9" s="264" t="str">
        <f>IF(ResultsTeams[[#This Row],[Type]]="G",ResultsTeams[[#This Row],[Stage]],AD698)</f>
        <v>Last 8</v>
      </c>
      <c r="AE699" s="395" t="str">
        <f>IF(ResultsTeams[[#This Row],[Type]]="G",INDEX(TeamsList[Club Name],MATCH(ResultsTeams[[#This Row],[Team A]],TeamsList[Team Name],0)),AE698)</f>
        <v>MVV Rijnmond</v>
      </c>
      <c r="AF699" s="395" t="str">
        <f>IF(ResultsTeams[[#This Row],[Type]]="G",INDEX(TeamsList[Club Name],MATCH(ResultsTeams[[#This Row],[Team B]],TeamsList[Team Name],0)),AF698)</f>
        <v>Valletta Lions TFC</v>
      </c>
      <c r="AG699" s="265"/>
    </row>
    <row r="700" spans="1:33" x14ac:dyDescent="0.2">
      <c r="A700" s="62"/>
      <c r="B700" s="280"/>
      <c r="C700" s="62"/>
      <c r="D700" s="62"/>
      <c r="E700" s="241" t="s">
        <v>12234</v>
      </c>
      <c r="F700" s="246" t="s">
        <v>10462</v>
      </c>
      <c r="G700" s="246" t="s">
        <v>11444</v>
      </c>
      <c r="H700" s="254">
        <v>0</v>
      </c>
      <c r="I700" s="254">
        <v>2</v>
      </c>
      <c r="J700" s="254"/>
      <c r="K700" s="363"/>
      <c r="L700" s="363"/>
      <c r="M700" s="247"/>
      <c r="N700" s="265" t="b">
        <f>NOT(ISERROR(ResultsTeams[[#This Row],[Goal-A]]+ResultsTeams[[#This Row],[Goal-B]]))</f>
        <v>1</v>
      </c>
      <c r="O700" s="265">
        <f>IF(ResultsTeams[[#This Row],[Type]]="G",SUM(O701:O704),IF(LEFT(ResultsTeams[[#This Row],[Type]],1)="P",IF(ResultsTeams[[#This Row],[Goal-A]]&gt;ResultsTeams[[#This Row],[Goal-B]],1,0),""))</f>
        <v>0</v>
      </c>
      <c r="P700" s="265">
        <f>IF(ResultsTeams[[#This Row],[Type]]="G",SUM(P701:P704),IF(LEFT(ResultsTeams[[#This Row],[Type]],1)="P",IF(ResultsTeams[[#This Row],[Goal-A]]&lt;ResultsTeams[[#This Row],[Goal-B]],1,0),""))</f>
        <v>1</v>
      </c>
      <c r="Q700" s="265">
        <f>IF(ResultsTeams[[#This Row],[Type]]="G",SUM(Q701:Q704),IF(LEFT(ResultsTeams[[#This Row],[Type]],1)="P",VALUE(ResultsTeams[[#This Row],[Score-A]]),""))</f>
        <v>0</v>
      </c>
      <c r="R700" s="265">
        <f>IF(ResultsTeams[[#This Row],[Type]]="G",SUM(R701:R704),IF(LEFT(ResultsTeams[[#This Row],[Type]],1)="P",VALUE(ResultsTeams[[#This Row],[Score-B]]),""))</f>
        <v>2</v>
      </c>
      <c r="S700" s="265" t="str">
        <f ca="1">IF(AND(ResultsTeams[[#This Row],[Category]]&lt;&gt;"",ResultsTeams[[#This Row],[Team A]]&lt;&gt;""),COUNTIF(INDIRECT("TeamsList[Club Name]"),ResultsTeams[[#This Row],[Team A]]),"")</f>
        <v/>
      </c>
      <c r="T700" s="265" t="str">
        <f ca="1">IF(AND(ResultsTeams[[#This Row],[Category]]&lt;&gt;"",ResultsTeams[[#This Row],[Team B]]&lt;&gt;""),COUNTIF(INDIRECT("TeamsList[Club Name]"),ResultsTeams[[#This Row],[Team B]]),"")</f>
        <v/>
      </c>
      <c r="U7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0" s="265" t="str">
        <f>IF(ResultsTeams[[#This Row],[Score_OK]],IF(ResultsTeams[[#This Row],[StageCpy]]="Groups",ResultsTeams[[#This Row],[Category]]&amp;"-"&amp;IF(ResultsTeams[[#This Row],[Team B]]="","",IF(ResultsTeams[[#This Row],[Match-A]]=ResultsTeams[[#This Row],[Match-B]],ResultsTeams[[#This Row],[Team A]],"")),""),"")</f>
        <v/>
      </c>
      <c r="W700" s="265" t="str">
        <f>IF(ResultsTeams[[#This Row],[Score_OK]],IF(ResultsTeams[[#This Row],[StageCpy]]="Groups",ResultsTeams[[#This Row],[Category]]&amp;"-"&amp;IF(ResultsTeams[[#This Row],[Team B]]="","",IF(ResultsTeams[[#This Row],[Match-A]]=ResultsTeams[[#This Row],[Match-B]],ResultsTeams[[#This Row],[Team B]],"")),""),"")</f>
        <v/>
      </c>
      <c r="X7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0" s="264" t="str">
        <f>IF(ResultsTeams[[#This Row],[Category]]="","",VLOOKUP(ResultsTeams[[#This Row],[Stage]],$R$1:$T$8,MATCH(ResultsTeams[[#This Row],[Category]],$S$1:$T$1,0)+1,FALSE))</f>
        <v/>
      </c>
      <c r="AC7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0" s="264" t="str">
        <f>IF(ResultsTeams[[#This Row],[Type]]="G",ResultsTeams[[#This Row],[Stage]],AD699)</f>
        <v>Last 8</v>
      </c>
      <c r="AE700" s="395" t="str">
        <f>IF(ResultsTeams[[#This Row],[Type]]="G",INDEX(TeamsList[Club Name],MATCH(ResultsTeams[[#This Row],[Team A]],TeamsList[Team Name],0)),AE699)</f>
        <v>MVV Rijnmond</v>
      </c>
      <c r="AF700" s="395" t="str">
        <f>IF(ResultsTeams[[#This Row],[Type]]="G",INDEX(TeamsList[Club Name],MATCH(ResultsTeams[[#This Row],[Team B]],TeamsList[Team Name],0)),AF699)</f>
        <v>Valletta Lions TFC</v>
      </c>
      <c r="AG700" s="265"/>
    </row>
    <row r="701" spans="1:33" x14ac:dyDescent="0.2">
      <c r="A701" s="62"/>
      <c r="B701" s="280"/>
      <c r="C701" s="62"/>
      <c r="D701" s="62"/>
      <c r="E701" s="241" t="s">
        <v>12237</v>
      </c>
      <c r="F701" s="246" t="s">
        <v>11923</v>
      </c>
      <c r="G701" s="246" t="s">
        <v>10448</v>
      </c>
      <c r="H701" s="254">
        <v>0</v>
      </c>
      <c r="I701" s="254">
        <v>2</v>
      </c>
      <c r="J701" s="254"/>
      <c r="K701" s="363"/>
      <c r="L701" s="363"/>
      <c r="M701" s="247"/>
      <c r="N701" s="265" t="b">
        <f>NOT(ISERROR(ResultsTeams[[#This Row],[Goal-A]]+ResultsTeams[[#This Row],[Goal-B]]))</f>
        <v>1</v>
      </c>
      <c r="O701" s="265">
        <f>IF(ResultsTeams[[#This Row],[Type]]="G",SUM(O702:O705),IF(LEFT(ResultsTeams[[#This Row],[Type]],1)="P",IF(ResultsTeams[[#This Row],[Goal-A]]&gt;ResultsTeams[[#This Row],[Goal-B]],1,0),""))</f>
        <v>0</v>
      </c>
      <c r="P701" s="265">
        <f>IF(ResultsTeams[[#This Row],[Type]]="G",SUM(P702:P705),IF(LEFT(ResultsTeams[[#This Row],[Type]],1)="P",IF(ResultsTeams[[#This Row],[Goal-A]]&lt;ResultsTeams[[#This Row],[Goal-B]],1,0),""))</f>
        <v>1</v>
      </c>
      <c r="Q701" s="265">
        <f>IF(ResultsTeams[[#This Row],[Type]]="G",SUM(Q702:Q705),IF(LEFT(ResultsTeams[[#This Row],[Type]],1)="P",VALUE(ResultsTeams[[#This Row],[Score-A]]),""))</f>
        <v>0</v>
      </c>
      <c r="R701" s="265">
        <f>IF(ResultsTeams[[#This Row],[Type]]="G",SUM(R702:R705),IF(LEFT(ResultsTeams[[#This Row],[Type]],1)="P",VALUE(ResultsTeams[[#This Row],[Score-B]]),""))</f>
        <v>2</v>
      </c>
      <c r="S701" s="265" t="str">
        <f ca="1">IF(AND(ResultsTeams[[#This Row],[Category]]&lt;&gt;"",ResultsTeams[[#This Row],[Team A]]&lt;&gt;""),COUNTIF(INDIRECT("TeamsList[Club Name]"),ResultsTeams[[#This Row],[Team A]]),"")</f>
        <v/>
      </c>
      <c r="T701" s="265" t="str">
        <f ca="1">IF(AND(ResultsTeams[[#This Row],[Category]]&lt;&gt;"",ResultsTeams[[#This Row],[Team B]]&lt;&gt;""),COUNTIF(INDIRECT("TeamsList[Club Name]"),ResultsTeams[[#This Row],[Team B]]),"")</f>
        <v/>
      </c>
      <c r="U7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1" s="265" t="str">
        <f>IF(ResultsTeams[[#This Row],[Score_OK]],IF(ResultsTeams[[#This Row],[StageCpy]]="Groups",ResultsTeams[[#This Row],[Category]]&amp;"-"&amp;IF(ResultsTeams[[#This Row],[Team B]]="","",IF(ResultsTeams[[#This Row],[Match-A]]=ResultsTeams[[#This Row],[Match-B]],ResultsTeams[[#This Row],[Team A]],"")),""),"")</f>
        <v/>
      </c>
      <c r="W701" s="265" t="str">
        <f>IF(ResultsTeams[[#This Row],[Score_OK]],IF(ResultsTeams[[#This Row],[StageCpy]]="Groups",ResultsTeams[[#This Row],[Category]]&amp;"-"&amp;IF(ResultsTeams[[#This Row],[Team B]]="","",IF(ResultsTeams[[#This Row],[Match-A]]=ResultsTeams[[#This Row],[Match-B]],ResultsTeams[[#This Row],[Team B]],"")),""),"")</f>
        <v/>
      </c>
      <c r="X7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1" s="264" t="str">
        <f>IF(ResultsTeams[[#This Row],[Category]]="","",VLOOKUP(ResultsTeams[[#This Row],[Stage]],$R$1:$T$8,MATCH(ResultsTeams[[#This Row],[Category]],$S$1:$T$1,0)+1,FALSE))</f>
        <v/>
      </c>
      <c r="AC7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1" s="264" t="str">
        <f>IF(ResultsTeams[[#This Row],[Type]]="G",ResultsTeams[[#This Row],[Stage]],AD700)</f>
        <v>Last 8</v>
      </c>
      <c r="AE701" s="395" t="str">
        <f>IF(ResultsTeams[[#This Row],[Type]]="G",INDEX(TeamsList[Club Name],MATCH(ResultsTeams[[#This Row],[Team A]],TeamsList[Team Name],0)),AE700)</f>
        <v>MVV Rijnmond</v>
      </c>
      <c r="AF701" s="395" t="str">
        <f>IF(ResultsTeams[[#This Row],[Type]]="G",INDEX(TeamsList[Club Name],MATCH(ResultsTeams[[#This Row],[Team B]],TeamsList[Team Name],0)),AF700)</f>
        <v>Valletta Lions TFC</v>
      </c>
      <c r="AG701" s="265"/>
    </row>
    <row r="702" spans="1:33" x14ac:dyDescent="0.2">
      <c r="A702" s="62"/>
      <c r="B702" s="280"/>
      <c r="C702" s="62"/>
      <c r="D702" s="62"/>
      <c r="E702" s="241" t="s">
        <v>12240</v>
      </c>
      <c r="F702" s="246" t="s">
        <v>11920</v>
      </c>
      <c r="G702" s="246" t="s">
        <v>10441</v>
      </c>
      <c r="H702" s="254">
        <v>2</v>
      </c>
      <c r="I702" s="254">
        <v>3</v>
      </c>
      <c r="J702" s="254"/>
      <c r="K702" s="363"/>
      <c r="L702" s="363"/>
      <c r="M702" s="247"/>
      <c r="N702" s="265" t="b">
        <f>NOT(ISERROR(ResultsTeams[[#This Row],[Goal-A]]+ResultsTeams[[#This Row],[Goal-B]]))</f>
        <v>1</v>
      </c>
      <c r="O702" s="265">
        <f>IF(ResultsTeams[[#This Row],[Type]]="G",SUM(O703:O706),IF(LEFT(ResultsTeams[[#This Row],[Type]],1)="P",IF(ResultsTeams[[#This Row],[Goal-A]]&gt;ResultsTeams[[#This Row],[Goal-B]],1,0),""))</f>
        <v>0</v>
      </c>
      <c r="P702" s="265">
        <f>IF(ResultsTeams[[#This Row],[Type]]="G",SUM(P703:P706),IF(LEFT(ResultsTeams[[#This Row],[Type]],1)="P",IF(ResultsTeams[[#This Row],[Goal-A]]&lt;ResultsTeams[[#This Row],[Goal-B]],1,0),""))</f>
        <v>1</v>
      </c>
      <c r="Q702" s="265">
        <f>IF(ResultsTeams[[#This Row],[Type]]="G",SUM(Q703:Q706),IF(LEFT(ResultsTeams[[#This Row],[Type]],1)="P",VALUE(ResultsTeams[[#This Row],[Score-A]]),""))</f>
        <v>2</v>
      </c>
      <c r="R702" s="265">
        <f>IF(ResultsTeams[[#This Row],[Type]]="G",SUM(R703:R706),IF(LEFT(ResultsTeams[[#This Row],[Type]],1)="P",VALUE(ResultsTeams[[#This Row],[Score-B]]),""))</f>
        <v>3</v>
      </c>
      <c r="S702" s="265" t="str">
        <f ca="1">IF(AND(ResultsTeams[[#This Row],[Category]]&lt;&gt;"",ResultsTeams[[#This Row],[Team A]]&lt;&gt;""),COUNTIF(INDIRECT("TeamsList[Club Name]"),ResultsTeams[[#This Row],[Team A]]),"")</f>
        <v/>
      </c>
      <c r="T702" s="265" t="str">
        <f ca="1">IF(AND(ResultsTeams[[#This Row],[Category]]&lt;&gt;"",ResultsTeams[[#This Row],[Team B]]&lt;&gt;""),COUNTIF(INDIRECT("TeamsList[Club Name]"),ResultsTeams[[#This Row],[Team B]]),"")</f>
        <v/>
      </c>
      <c r="U7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2" s="265" t="str">
        <f>IF(ResultsTeams[[#This Row],[Score_OK]],IF(ResultsTeams[[#This Row],[StageCpy]]="Groups",ResultsTeams[[#This Row],[Category]]&amp;"-"&amp;IF(ResultsTeams[[#This Row],[Team B]]="","",IF(ResultsTeams[[#This Row],[Match-A]]=ResultsTeams[[#This Row],[Match-B]],ResultsTeams[[#This Row],[Team A]],"")),""),"")</f>
        <v/>
      </c>
      <c r="W702" s="265" t="str">
        <f>IF(ResultsTeams[[#This Row],[Score_OK]],IF(ResultsTeams[[#This Row],[StageCpy]]="Groups",ResultsTeams[[#This Row],[Category]]&amp;"-"&amp;IF(ResultsTeams[[#This Row],[Team B]]="","",IF(ResultsTeams[[#This Row],[Match-A]]=ResultsTeams[[#This Row],[Match-B]],ResultsTeams[[#This Row],[Team B]],"")),""),"")</f>
        <v/>
      </c>
      <c r="X7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2" s="264" t="str">
        <f>IF(ResultsTeams[[#This Row],[Category]]="","",VLOOKUP(ResultsTeams[[#This Row],[Stage]],$R$1:$T$8,MATCH(ResultsTeams[[#This Row],[Category]],$S$1:$T$1,0)+1,FALSE))</f>
        <v/>
      </c>
      <c r="AC7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2" s="264" t="str">
        <f>IF(ResultsTeams[[#This Row],[Type]]="G",ResultsTeams[[#This Row],[Stage]],AD701)</f>
        <v>Last 8</v>
      </c>
      <c r="AE702" s="395" t="str">
        <f>IF(ResultsTeams[[#This Row],[Type]]="G",INDEX(TeamsList[Club Name],MATCH(ResultsTeams[[#This Row],[Team A]],TeamsList[Team Name],0)),AE701)</f>
        <v>MVV Rijnmond</v>
      </c>
      <c r="AF702" s="395" t="str">
        <f>IF(ResultsTeams[[#This Row],[Type]]="G",INDEX(TeamsList[Club Name],MATCH(ResultsTeams[[#This Row],[Team B]],TeamsList[Team Name],0)),AF701)</f>
        <v>Valletta Lions TFC</v>
      </c>
      <c r="AG702" s="265"/>
    </row>
    <row r="703" spans="1:33" x14ac:dyDescent="0.2">
      <c r="A703" s="62"/>
      <c r="B703" s="62"/>
      <c r="C703" s="62"/>
      <c r="D703" s="62"/>
      <c r="E703" s="241" t="s">
        <v>12243</v>
      </c>
      <c r="F703" s="247"/>
      <c r="G703" s="247"/>
      <c r="H703" s="254"/>
      <c r="I703" s="254"/>
      <c r="J703" s="260"/>
      <c r="K703" s="364"/>
      <c r="L703" s="364"/>
      <c r="M703" s="247"/>
      <c r="N703" s="265" t="b">
        <f>NOT(ISERROR(ResultsTeams[[#This Row],[Goal-A]]+ResultsTeams[[#This Row],[Goal-B]]))</f>
        <v>0</v>
      </c>
      <c r="O703" s="265" t="str">
        <f>IF(ResultsTeams[[#This Row],[Type]]="G",SUM(O704:O707),IF(LEFT(ResultsTeams[[#This Row],[Type]],1)="P",IF(ResultsTeams[[#This Row],[Goal-A]]&gt;ResultsTeams[[#This Row],[Goal-B]],1,0),""))</f>
        <v/>
      </c>
      <c r="P703" s="265" t="str">
        <f>IF(ResultsTeams[[#This Row],[Type]]="G",SUM(P704:P707),IF(LEFT(ResultsTeams[[#This Row],[Type]],1)="P",IF(ResultsTeams[[#This Row],[Goal-A]]&lt;ResultsTeams[[#This Row],[Goal-B]],1,0),""))</f>
        <v/>
      </c>
      <c r="Q703" s="265" t="str">
        <f>IF(ResultsTeams[[#This Row],[Type]]="G",SUM(Q704:Q707),IF(LEFT(ResultsTeams[[#This Row],[Type]],1)="P",VALUE(ResultsTeams[[#This Row],[Score-A]]),""))</f>
        <v/>
      </c>
      <c r="R703" s="265" t="str">
        <f>IF(ResultsTeams[[#This Row],[Type]]="G",SUM(R704:R707),IF(LEFT(ResultsTeams[[#This Row],[Type]],1)="P",VALUE(ResultsTeams[[#This Row],[Score-B]]),""))</f>
        <v/>
      </c>
      <c r="S703" s="265" t="str">
        <f ca="1">IF(AND(ResultsTeams[[#This Row],[Category]]&lt;&gt;"",ResultsTeams[[#This Row],[Team A]]&lt;&gt;""),COUNTIF(INDIRECT("TeamsList[Club Name]"),ResultsTeams[[#This Row],[Team A]]),"")</f>
        <v/>
      </c>
      <c r="T703" s="265" t="str">
        <f ca="1">IF(AND(ResultsTeams[[#This Row],[Category]]&lt;&gt;"",ResultsTeams[[#This Row],[Team B]]&lt;&gt;""),COUNTIF(INDIRECT("TeamsList[Club Name]"),ResultsTeams[[#This Row],[Team B]]),"")</f>
        <v/>
      </c>
      <c r="U7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3" s="265" t="str">
        <f>IF(ResultsTeams[[#This Row],[Score_OK]],IF(ResultsTeams[[#This Row],[StageCpy]]="Groups",ResultsTeams[[#This Row],[Category]]&amp;"-"&amp;IF(ResultsTeams[[#This Row],[Team B]]="","",IF(ResultsTeams[[#This Row],[Match-A]]=ResultsTeams[[#This Row],[Match-B]],ResultsTeams[[#This Row],[Team A]],"")),""),"")</f>
        <v/>
      </c>
      <c r="W703" s="265" t="str">
        <f>IF(ResultsTeams[[#This Row],[Score_OK]],IF(ResultsTeams[[#This Row],[StageCpy]]="Groups",ResultsTeams[[#This Row],[Category]]&amp;"-"&amp;IF(ResultsTeams[[#This Row],[Team B]]="","",IF(ResultsTeams[[#This Row],[Match-A]]=ResultsTeams[[#This Row],[Match-B]],ResultsTeams[[#This Row],[Team B]],"")),""),"")</f>
        <v/>
      </c>
      <c r="X7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3" s="264" t="str">
        <f>IF(ResultsTeams[[#This Row],[Category]]="","",VLOOKUP(ResultsTeams[[#This Row],[Stage]],$R$1:$T$8,MATCH(ResultsTeams[[#This Row],[Category]],$S$1:$T$1,0)+1,FALSE))</f>
        <v/>
      </c>
      <c r="AC7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3" s="264" t="str">
        <f>IF(ResultsTeams[[#This Row],[Type]]="G",ResultsTeams[[#This Row],[Stage]],AD702)</f>
        <v>Last 8</v>
      </c>
      <c r="AE703" s="395" t="str">
        <f>IF(ResultsTeams[[#This Row],[Type]]="G",INDEX(TeamsList[Club Name],MATCH(ResultsTeams[[#This Row],[Team A]],TeamsList[Team Name],0)),AE702)</f>
        <v>MVV Rijnmond</v>
      </c>
      <c r="AF703" s="395" t="str">
        <f>IF(ResultsTeams[[#This Row],[Type]]="G",INDEX(TeamsList[Club Name],MATCH(ResultsTeams[[#This Row],[Team B]],TeamsList[Team Name],0)),AF702)</f>
        <v>Valletta Lions TFC</v>
      </c>
      <c r="AG703" s="265"/>
    </row>
    <row r="704" spans="1:33" ht="12" thickBot="1" x14ac:dyDescent="0.25">
      <c r="A704" s="83"/>
      <c r="B704" s="83"/>
      <c r="C704" s="83"/>
      <c r="D704" s="83"/>
      <c r="E704" s="268" t="s">
        <v>12244</v>
      </c>
      <c r="F704" s="262"/>
      <c r="G704" s="262"/>
      <c r="H704" s="324"/>
      <c r="I704" s="324"/>
      <c r="J704" s="263"/>
      <c r="K704" s="365"/>
      <c r="L704" s="365"/>
      <c r="M704" s="262"/>
      <c r="N704" s="265" t="b">
        <f>NOT(ISERROR(ResultsTeams[[#This Row],[Goal-A]]+ResultsTeams[[#This Row],[Goal-B]]))</f>
        <v>0</v>
      </c>
      <c r="O704" s="265" t="str">
        <f>IF(ResultsTeams[[#This Row],[Type]]="G",SUM(O705:O708),IF(LEFT(ResultsTeams[[#This Row],[Type]],1)="P",IF(ResultsTeams[[#This Row],[Goal-A]]&gt;ResultsTeams[[#This Row],[Goal-B]],1,0),""))</f>
        <v/>
      </c>
      <c r="P704" s="265" t="str">
        <f>IF(ResultsTeams[[#This Row],[Type]]="G",SUM(P705:P708),IF(LEFT(ResultsTeams[[#This Row],[Type]],1)="P",IF(ResultsTeams[[#This Row],[Goal-A]]&lt;ResultsTeams[[#This Row],[Goal-B]],1,0),""))</f>
        <v/>
      </c>
      <c r="Q704" s="265" t="str">
        <f>IF(ResultsTeams[[#This Row],[Type]]="G",SUM(Q705:Q708),IF(LEFT(ResultsTeams[[#This Row],[Type]],1)="P",VALUE(ResultsTeams[[#This Row],[Score-A]]),""))</f>
        <v/>
      </c>
      <c r="R704" s="265" t="str">
        <f>IF(ResultsTeams[[#This Row],[Type]]="G",SUM(R705:R708),IF(LEFT(ResultsTeams[[#This Row],[Type]],1)="P",VALUE(ResultsTeams[[#This Row],[Score-B]]),""))</f>
        <v/>
      </c>
      <c r="S704" s="265" t="str">
        <f ca="1">IF(AND(ResultsTeams[[#This Row],[Category]]&lt;&gt;"",ResultsTeams[[#This Row],[Team A]]&lt;&gt;""),COUNTIF(INDIRECT("TeamsList[Club Name]"),ResultsTeams[[#This Row],[Team A]]),"")</f>
        <v/>
      </c>
      <c r="T704" s="265" t="str">
        <f ca="1">IF(AND(ResultsTeams[[#This Row],[Category]]&lt;&gt;"",ResultsTeams[[#This Row],[Team B]]&lt;&gt;""),COUNTIF(INDIRECT("TeamsList[Club Name]"),ResultsTeams[[#This Row],[Team B]]),"")</f>
        <v/>
      </c>
      <c r="U7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4" s="265" t="str">
        <f>IF(ResultsTeams[[#This Row],[Score_OK]],IF(ResultsTeams[[#This Row],[StageCpy]]="Groups",ResultsTeams[[#This Row],[Category]]&amp;"-"&amp;IF(ResultsTeams[[#This Row],[Team B]]="","",IF(ResultsTeams[[#This Row],[Match-A]]=ResultsTeams[[#This Row],[Match-B]],ResultsTeams[[#This Row],[Team A]],"")),""),"")</f>
        <v/>
      </c>
      <c r="W704" s="265" t="str">
        <f>IF(ResultsTeams[[#This Row],[Score_OK]],IF(ResultsTeams[[#This Row],[StageCpy]]="Groups",ResultsTeams[[#This Row],[Category]]&amp;"-"&amp;IF(ResultsTeams[[#This Row],[Team B]]="","",IF(ResultsTeams[[#This Row],[Match-A]]=ResultsTeams[[#This Row],[Match-B]],ResultsTeams[[#This Row],[Team B]],"")),""),"")</f>
        <v/>
      </c>
      <c r="X7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4" s="264" t="str">
        <f>IF(ResultsTeams[[#This Row],[Category]]="","",VLOOKUP(ResultsTeams[[#This Row],[Stage]],$R$1:$T$8,MATCH(ResultsTeams[[#This Row],[Category]],$S$1:$T$1,0)+1,FALSE))</f>
        <v/>
      </c>
      <c r="AC7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4" s="264" t="str">
        <f>IF(ResultsTeams[[#This Row],[Type]]="G",ResultsTeams[[#This Row],[Stage]],AD703)</f>
        <v>Last 8</v>
      </c>
      <c r="AE704" s="395" t="str">
        <f>IF(ResultsTeams[[#This Row],[Type]]="G",INDEX(TeamsList[Club Name],MATCH(ResultsTeams[[#This Row],[Team A]],TeamsList[Team Name],0)),AE703)</f>
        <v>MVV Rijnmond</v>
      </c>
      <c r="AF704" s="395" t="str">
        <f>IF(ResultsTeams[[#This Row],[Type]]="G",INDEX(TeamsList[Club Name],MATCH(ResultsTeams[[#This Row],[Team B]],TeamsList[Team Name],0)),AF703)</f>
        <v>Valletta Lions TFC</v>
      </c>
      <c r="AG704" s="265"/>
    </row>
    <row r="705" spans="1:33" ht="12" thickBot="1" x14ac:dyDescent="0.25">
      <c r="A705" s="261" t="s">
        <v>12263</v>
      </c>
      <c r="B705" s="270" t="s">
        <v>12212</v>
      </c>
      <c r="C705" s="270"/>
      <c r="D705" s="270"/>
      <c r="E705" s="272" t="s">
        <v>12228</v>
      </c>
      <c r="F705" s="273" t="s">
        <v>792</v>
      </c>
      <c r="G705" s="273" t="s">
        <v>14593</v>
      </c>
      <c r="H705" s="275">
        <v>1</v>
      </c>
      <c r="I705" s="275">
        <v>2</v>
      </c>
      <c r="J705" s="275"/>
      <c r="K705" s="366"/>
      <c r="L705" s="366"/>
      <c r="M705" s="274"/>
      <c r="N705" s="265" t="b">
        <f>NOT(ISERROR(ResultsTeams[[#This Row],[Goal-A]]+ResultsTeams[[#This Row],[Goal-B]]))</f>
        <v>1</v>
      </c>
      <c r="O705" s="265">
        <f>IF(ResultsTeams[[#This Row],[Type]]="G",SUM(O706:O709),IF(LEFT(ResultsTeams[[#This Row],[Type]],1)="P",IF(ResultsTeams[[#This Row],[Goal-A]]&gt;ResultsTeams[[#This Row],[Goal-B]],1,0),""))</f>
        <v>1</v>
      </c>
      <c r="P705" s="265">
        <f>IF(ResultsTeams[[#This Row],[Type]]="G",SUM(P706:P709),IF(LEFT(ResultsTeams[[#This Row],[Type]],1)="P",IF(ResultsTeams[[#This Row],[Goal-A]]&lt;ResultsTeams[[#This Row],[Goal-B]],1,0),""))</f>
        <v>2</v>
      </c>
      <c r="Q705" s="265">
        <f>IF(ResultsTeams[[#This Row],[Type]]="G",SUM(Q706:Q709),IF(LEFT(ResultsTeams[[#This Row],[Type]],1)="P",VALUE(ResultsTeams[[#This Row],[Score-A]]),""))</f>
        <v>5</v>
      </c>
      <c r="R705" s="265">
        <f>IF(ResultsTeams[[#This Row],[Type]]="G",SUM(R706:R709),IF(LEFT(ResultsTeams[[#This Row],[Type]],1)="P",VALUE(ResultsTeams[[#This Row],[Score-B]]),""))</f>
        <v>8</v>
      </c>
      <c r="S705" s="265">
        <f ca="1">IF(AND(ResultsTeams[[#This Row],[Category]]&lt;&gt;"",ResultsTeams[[#This Row],[Team A]]&lt;&gt;""),COUNTIF(INDIRECT("TeamsList[Club Name]"),ResultsTeams[[#This Row],[Team A]]),"")</f>
        <v>1</v>
      </c>
      <c r="T705" s="265">
        <f ca="1">IF(AND(ResultsTeams[[#This Row],[Category]]&lt;&gt;"",ResultsTeams[[#This Row],[Team B]]&lt;&gt;""),COUNTIF(INDIRECT("TeamsList[Club Name]"),ResultsTeams[[#This Row],[Team B]]),"")</f>
        <v>0</v>
      </c>
      <c r="U7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5" s="265" t="str">
        <f>IF(ResultsTeams[[#This Row],[Score_OK]],IF(ResultsTeams[[#This Row],[StageCpy]]="Groups",ResultsTeams[[#This Row],[Category]]&amp;"-"&amp;IF(ResultsTeams[[#This Row],[Team B]]="","",IF(ResultsTeams[[#This Row],[Match-A]]=ResultsTeams[[#This Row],[Match-B]],ResultsTeams[[#This Row],[Team A]],"")),""),"")</f>
        <v/>
      </c>
      <c r="W705" s="265" t="str">
        <f>IF(ResultsTeams[[#This Row],[Score_OK]],IF(ResultsTeams[[#This Row],[StageCpy]]="Groups",ResultsTeams[[#This Row],[Category]]&amp;"-"&amp;IF(ResultsTeams[[#This Row],[Team B]]="","",IF(ResultsTeams[[#This Row],[Match-A]]=ResultsTeams[[#This Row],[Match-B]],ResultsTeams[[#This Row],[Team B]],"")),""),"")</f>
        <v/>
      </c>
      <c r="X7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CONSOLATION-H'Attard SC</v>
      </c>
      <c r="Z705"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705"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705" s="264" t="e">
        <f>IF(ResultsTeams[[#This Row],[Category]]="","",VLOOKUP(ResultsTeams[[#This Row],[Stage]],$R$1:$T$8,MATCH(ResultsTeams[[#This Row],[Category]],$S$1:$T$1,0)+1,FALSE))</f>
        <v>#N/A</v>
      </c>
      <c r="AC705"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705" s="264" t="str">
        <f>IF(ResultsTeams[[#This Row],[Type]]="G",ResultsTeams[[#This Row],[Stage]],AD704)</f>
        <v>Last 8</v>
      </c>
      <c r="AE705" s="395" t="str">
        <f>IF(ResultsTeams[[#This Row],[Type]]="G",INDEX(TeamsList[Club Name],MATCH(ResultsTeams[[#This Row],[Team A]],TeamsList[Team Name],0)),AE704)</f>
        <v>H'Attard SC</v>
      </c>
      <c r="AF705" s="395" t="str">
        <f>IF(ResultsTeams[[#This Row],[Type]]="G",INDEX(TeamsList[Club Name],MATCH(ResultsTeams[[#This Row],[Team B]],TeamsList[Team Name],0)),AF704)</f>
        <v>Avenir Subbuteo Hennuyer</v>
      </c>
      <c r="AG705" s="265"/>
    </row>
    <row r="706" spans="1:33" x14ac:dyDescent="0.2">
      <c r="A706" s="60"/>
      <c r="B706" s="280"/>
      <c r="C706" s="60"/>
      <c r="D706" s="60"/>
      <c r="E706" s="240" t="s">
        <v>12231</v>
      </c>
      <c r="F706" s="244" t="s">
        <v>10440</v>
      </c>
      <c r="G706" s="244" t="s">
        <v>8161</v>
      </c>
      <c r="H706" s="253">
        <v>0</v>
      </c>
      <c r="I706" s="253">
        <v>3</v>
      </c>
      <c r="J706" s="253"/>
      <c r="K706" s="362"/>
      <c r="L706" s="362"/>
      <c r="M706" s="245"/>
      <c r="N706" s="265" t="b">
        <f>NOT(ISERROR(ResultsTeams[[#This Row],[Goal-A]]+ResultsTeams[[#This Row],[Goal-B]]))</f>
        <v>1</v>
      </c>
      <c r="O706" s="265">
        <f>IF(ResultsTeams[[#This Row],[Type]]="G",SUM(O707:O710),IF(LEFT(ResultsTeams[[#This Row],[Type]],1)="P",IF(ResultsTeams[[#This Row],[Goal-A]]&gt;ResultsTeams[[#This Row],[Goal-B]],1,0),""))</f>
        <v>0</v>
      </c>
      <c r="P706" s="265">
        <f>IF(ResultsTeams[[#This Row],[Type]]="G",SUM(P707:P710),IF(LEFT(ResultsTeams[[#This Row],[Type]],1)="P",IF(ResultsTeams[[#This Row],[Goal-A]]&lt;ResultsTeams[[#This Row],[Goal-B]],1,0),""))</f>
        <v>1</v>
      </c>
      <c r="Q706" s="265">
        <f>IF(ResultsTeams[[#This Row],[Type]]="G",SUM(Q707:Q710),IF(LEFT(ResultsTeams[[#This Row],[Type]],1)="P",VALUE(ResultsTeams[[#This Row],[Score-A]]),""))</f>
        <v>0</v>
      </c>
      <c r="R706" s="265">
        <f>IF(ResultsTeams[[#This Row],[Type]]="G",SUM(R707:R710),IF(LEFT(ResultsTeams[[#This Row],[Type]],1)="P",VALUE(ResultsTeams[[#This Row],[Score-B]]),""))</f>
        <v>3</v>
      </c>
      <c r="S706" s="265" t="str">
        <f ca="1">IF(AND(ResultsTeams[[#This Row],[Category]]&lt;&gt;"",ResultsTeams[[#This Row],[Team A]]&lt;&gt;""),COUNTIF(INDIRECT("TeamsList[Club Name]"),ResultsTeams[[#This Row],[Team A]]),"")</f>
        <v/>
      </c>
      <c r="T706" s="265" t="str">
        <f ca="1">IF(AND(ResultsTeams[[#This Row],[Category]]&lt;&gt;"",ResultsTeams[[#This Row],[Team B]]&lt;&gt;""),COUNTIF(INDIRECT("TeamsList[Club Name]"),ResultsTeams[[#This Row],[Team B]]),"")</f>
        <v/>
      </c>
      <c r="U7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6" s="265" t="str">
        <f>IF(ResultsTeams[[#This Row],[Score_OK]],IF(ResultsTeams[[#This Row],[StageCpy]]="Groups",ResultsTeams[[#This Row],[Category]]&amp;"-"&amp;IF(ResultsTeams[[#This Row],[Team B]]="","",IF(ResultsTeams[[#This Row],[Match-A]]=ResultsTeams[[#This Row],[Match-B]],ResultsTeams[[#This Row],[Team A]],"")),""),"")</f>
        <v/>
      </c>
      <c r="W706" s="265" t="str">
        <f>IF(ResultsTeams[[#This Row],[Score_OK]],IF(ResultsTeams[[#This Row],[StageCpy]]="Groups",ResultsTeams[[#This Row],[Category]]&amp;"-"&amp;IF(ResultsTeams[[#This Row],[Team B]]="","",IF(ResultsTeams[[#This Row],[Match-A]]=ResultsTeams[[#This Row],[Match-B]],ResultsTeams[[#This Row],[Team B]],"")),""),"")</f>
        <v/>
      </c>
      <c r="X7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6" s="264" t="str">
        <f>IF(ResultsTeams[[#This Row],[Category]]="","",VLOOKUP(ResultsTeams[[#This Row],[Stage]],$R$1:$T$8,MATCH(ResultsTeams[[#This Row],[Category]],$S$1:$T$1,0)+1,FALSE))</f>
        <v/>
      </c>
      <c r="AC7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6" s="264" t="str">
        <f>IF(ResultsTeams[[#This Row],[Type]]="G",ResultsTeams[[#This Row],[Stage]],AD705)</f>
        <v>Last 8</v>
      </c>
      <c r="AE706" s="395" t="str">
        <f>IF(ResultsTeams[[#This Row],[Type]]="G",INDEX(TeamsList[Club Name],MATCH(ResultsTeams[[#This Row],[Team A]],TeamsList[Team Name],0)),AE705)</f>
        <v>H'Attard SC</v>
      </c>
      <c r="AF706" s="395" t="str">
        <f>IF(ResultsTeams[[#This Row],[Type]]="G",INDEX(TeamsList[Club Name],MATCH(ResultsTeams[[#This Row],[Team B]],TeamsList[Team Name],0)),AF705)</f>
        <v>Avenir Subbuteo Hennuyer</v>
      </c>
      <c r="AG706" s="265"/>
    </row>
    <row r="707" spans="1:33" x14ac:dyDescent="0.2">
      <c r="A707" s="62"/>
      <c r="B707" s="280"/>
      <c r="C707" s="62"/>
      <c r="D707" s="62"/>
      <c r="E707" s="241" t="s">
        <v>12234</v>
      </c>
      <c r="F707" s="246" t="s">
        <v>10449</v>
      </c>
      <c r="G707" s="246" t="s">
        <v>8722</v>
      </c>
      <c r="H707" s="254">
        <v>1</v>
      </c>
      <c r="I707" s="254">
        <v>3</v>
      </c>
      <c r="J707" s="254"/>
      <c r="K707" s="363"/>
      <c r="L707" s="363"/>
      <c r="M707" s="247"/>
      <c r="N707" s="265" t="b">
        <f>NOT(ISERROR(ResultsTeams[[#This Row],[Goal-A]]+ResultsTeams[[#This Row],[Goal-B]]))</f>
        <v>1</v>
      </c>
      <c r="O707" s="265">
        <f>IF(ResultsTeams[[#This Row],[Type]]="G",SUM(O708:O711),IF(LEFT(ResultsTeams[[#This Row],[Type]],1)="P",IF(ResultsTeams[[#This Row],[Goal-A]]&gt;ResultsTeams[[#This Row],[Goal-B]],1,0),""))</f>
        <v>0</v>
      </c>
      <c r="P707" s="265">
        <f>IF(ResultsTeams[[#This Row],[Type]]="G",SUM(P708:P711),IF(LEFT(ResultsTeams[[#This Row],[Type]],1)="P",IF(ResultsTeams[[#This Row],[Goal-A]]&lt;ResultsTeams[[#This Row],[Goal-B]],1,0),""))</f>
        <v>1</v>
      </c>
      <c r="Q707" s="265">
        <f>IF(ResultsTeams[[#This Row],[Type]]="G",SUM(Q708:Q711),IF(LEFT(ResultsTeams[[#This Row],[Type]],1)="P",VALUE(ResultsTeams[[#This Row],[Score-A]]),""))</f>
        <v>1</v>
      </c>
      <c r="R707" s="265">
        <f>IF(ResultsTeams[[#This Row],[Type]]="G",SUM(R708:R711),IF(LEFT(ResultsTeams[[#This Row],[Type]],1)="P",VALUE(ResultsTeams[[#This Row],[Score-B]]),""))</f>
        <v>3</v>
      </c>
      <c r="S707" s="265" t="str">
        <f ca="1">IF(AND(ResultsTeams[[#This Row],[Category]]&lt;&gt;"",ResultsTeams[[#This Row],[Team A]]&lt;&gt;""),COUNTIF(INDIRECT("TeamsList[Club Name]"),ResultsTeams[[#This Row],[Team A]]),"")</f>
        <v/>
      </c>
      <c r="T707" s="265" t="str">
        <f ca="1">IF(AND(ResultsTeams[[#This Row],[Category]]&lt;&gt;"",ResultsTeams[[#This Row],[Team B]]&lt;&gt;""),COUNTIF(INDIRECT("TeamsList[Club Name]"),ResultsTeams[[#This Row],[Team B]]),"")</f>
        <v/>
      </c>
      <c r="U7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7" s="265" t="str">
        <f>IF(ResultsTeams[[#This Row],[Score_OK]],IF(ResultsTeams[[#This Row],[StageCpy]]="Groups",ResultsTeams[[#This Row],[Category]]&amp;"-"&amp;IF(ResultsTeams[[#This Row],[Team B]]="","",IF(ResultsTeams[[#This Row],[Match-A]]=ResultsTeams[[#This Row],[Match-B]],ResultsTeams[[#This Row],[Team A]],"")),""),"")</f>
        <v/>
      </c>
      <c r="W707" s="265" t="str">
        <f>IF(ResultsTeams[[#This Row],[Score_OK]],IF(ResultsTeams[[#This Row],[StageCpy]]="Groups",ResultsTeams[[#This Row],[Category]]&amp;"-"&amp;IF(ResultsTeams[[#This Row],[Team B]]="","",IF(ResultsTeams[[#This Row],[Match-A]]=ResultsTeams[[#This Row],[Match-B]],ResultsTeams[[#This Row],[Team B]],"")),""),"")</f>
        <v/>
      </c>
      <c r="X7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7" s="264" t="str">
        <f>IF(ResultsTeams[[#This Row],[Category]]="","",VLOOKUP(ResultsTeams[[#This Row],[Stage]],$R$1:$T$8,MATCH(ResultsTeams[[#This Row],[Category]],$S$1:$T$1,0)+1,FALSE))</f>
        <v/>
      </c>
      <c r="AC7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7" s="264" t="str">
        <f>IF(ResultsTeams[[#This Row],[Type]]="G",ResultsTeams[[#This Row],[Stage]],AD706)</f>
        <v>Last 8</v>
      </c>
      <c r="AE707" s="395" t="str">
        <f>IF(ResultsTeams[[#This Row],[Type]]="G",INDEX(TeamsList[Club Name],MATCH(ResultsTeams[[#This Row],[Team A]],TeamsList[Team Name],0)),AE706)</f>
        <v>H'Attard SC</v>
      </c>
      <c r="AF707" s="395" t="str">
        <f>IF(ResultsTeams[[#This Row],[Type]]="G",INDEX(TeamsList[Club Name],MATCH(ResultsTeams[[#This Row],[Team B]],TeamsList[Team Name],0)),AF706)</f>
        <v>Avenir Subbuteo Hennuyer</v>
      </c>
      <c r="AG707" s="265"/>
    </row>
    <row r="708" spans="1:33" x14ac:dyDescent="0.2">
      <c r="A708" s="62"/>
      <c r="B708" s="280"/>
      <c r="C708" s="62"/>
      <c r="D708" s="62"/>
      <c r="E708" s="241" t="s">
        <v>12237</v>
      </c>
      <c r="F708" s="246" t="s">
        <v>10446</v>
      </c>
      <c r="G708" s="246" t="s">
        <v>8721</v>
      </c>
      <c r="H708" s="254">
        <v>2</v>
      </c>
      <c r="I708" s="254">
        <v>0</v>
      </c>
      <c r="J708" s="254"/>
      <c r="K708" s="363"/>
      <c r="L708" s="363"/>
      <c r="M708" s="247"/>
      <c r="N708" s="265" t="b">
        <f>NOT(ISERROR(ResultsTeams[[#This Row],[Goal-A]]+ResultsTeams[[#This Row],[Goal-B]]))</f>
        <v>1</v>
      </c>
      <c r="O708" s="265">
        <f>IF(ResultsTeams[[#This Row],[Type]]="G",SUM(O709:O712),IF(LEFT(ResultsTeams[[#This Row],[Type]],1)="P",IF(ResultsTeams[[#This Row],[Goal-A]]&gt;ResultsTeams[[#This Row],[Goal-B]],1,0),""))</f>
        <v>1</v>
      </c>
      <c r="P708" s="265">
        <f>IF(ResultsTeams[[#This Row],[Type]]="G",SUM(P709:P712),IF(LEFT(ResultsTeams[[#This Row],[Type]],1)="P",IF(ResultsTeams[[#This Row],[Goal-A]]&lt;ResultsTeams[[#This Row],[Goal-B]],1,0),""))</f>
        <v>0</v>
      </c>
      <c r="Q708" s="265">
        <f>IF(ResultsTeams[[#This Row],[Type]]="G",SUM(Q709:Q712),IF(LEFT(ResultsTeams[[#This Row],[Type]],1)="P",VALUE(ResultsTeams[[#This Row],[Score-A]]),""))</f>
        <v>2</v>
      </c>
      <c r="R708" s="265">
        <f>IF(ResultsTeams[[#This Row],[Type]]="G",SUM(R709:R712),IF(LEFT(ResultsTeams[[#This Row],[Type]],1)="P",VALUE(ResultsTeams[[#This Row],[Score-B]]),""))</f>
        <v>0</v>
      </c>
      <c r="S708" s="265" t="str">
        <f ca="1">IF(AND(ResultsTeams[[#This Row],[Category]]&lt;&gt;"",ResultsTeams[[#This Row],[Team A]]&lt;&gt;""),COUNTIF(INDIRECT("TeamsList[Club Name]"),ResultsTeams[[#This Row],[Team A]]),"")</f>
        <v/>
      </c>
      <c r="T708" s="265" t="str">
        <f ca="1">IF(AND(ResultsTeams[[#This Row],[Category]]&lt;&gt;"",ResultsTeams[[#This Row],[Team B]]&lt;&gt;""),COUNTIF(INDIRECT("TeamsList[Club Name]"),ResultsTeams[[#This Row],[Team B]]),"")</f>
        <v/>
      </c>
      <c r="U7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8" s="265" t="str">
        <f>IF(ResultsTeams[[#This Row],[Score_OK]],IF(ResultsTeams[[#This Row],[StageCpy]]="Groups",ResultsTeams[[#This Row],[Category]]&amp;"-"&amp;IF(ResultsTeams[[#This Row],[Team B]]="","",IF(ResultsTeams[[#This Row],[Match-A]]=ResultsTeams[[#This Row],[Match-B]],ResultsTeams[[#This Row],[Team A]],"")),""),"")</f>
        <v/>
      </c>
      <c r="W708" s="265" t="str">
        <f>IF(ResultsTeams[[#This Row],[Score_OK]],IF(ResultsTeams[[#This Row],[StageCpy]]="Groups",ResultsTeams[[#This Row],[Category]]&amp;"-"&amp;IF(ResultsTeams[[#This Row],[Team B]]="","",IF(ResultsTeams[[#This Row],[Match-A]]=ResultsTeams[[#This Row],[Match-B]],ResultsTeams[[#This Row],[Team B]],"")),""),"")</f>
        <v/>
      </c>
      <c r="X7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8" s="264" t="str">
        <f>IF(ResultsTeams[[#This Row],[Category]]="","",VLOOKUP(ResultsTeams[[#This Row],[Stage]],$R$1:$T$8,MATCH(ResultsTeams[[#This Row],[Category]],$S$1:$T$1,0)+1,FALSE))</f>
        <v/>
      </c>
      <c r="AC7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8" s="264" t="str">
        <f>IF(ResultsTeams[[#This Row],[Type]]="G",ResultsTeams[[#This Row],[Stage]],AD707)</f>
        <v>Last 8</v>
      </c>
      <c r="AE708" s="395" t="str">
        <f>IF(ResultsTeams[[#This Row],[Type]]="G",INDEX(TeamsList[Club Name],MATCH(ResultsTeams[[#This Row],[Team A]],TeamsList[Team Name],0)),AE707)</f>
        <v>H'Attard SC</v>
      </c>
      <c r="AF708" s="395" t="str">
        <f>IF(ResultsTeams[[#This Row],[Type]]="G",INDEX(TeamsList[Club Name],MATCH(ResultsTeams[[#This Row],[Team B]],TeamsList[Team Name],0)),AF707)</f>
        <v>Avenir Subbuteo Hennuyer</v>
      </c>
      <c r="AG708" s="265"/>
    </row>
    <row r="709" spans="1:33" x14ac:dyDescent="0.2">
      <c r="A709" s="62"/>
      <c r="B709" s="280"/>
      <c r="C709" s="62"/>
      <c r="D709" s="62"/>
      <c r="E709" s="241" t="s">
        <v>12240</v>
      </c>
      <c r="F709" s="246" t="s">
        <v>10447</v>
      </c>
      <c r="G709" s="246" t="s">
        <v>8162</v>
      </c>
      <c r="H709" s="254">
        <v>2</v>
      </c>
      <c r="I709" s="254">
        <v>2</v>
      </c>
      <c r="J709" s="254"/>
      <c r="K709" s="363"/>
      <c r="L709" s="363"/>
      <c r="M709" s="247"/>
      <c r="N709" s="265" t="b">
        <f>NOT(ISERROR(ResultsTeams[[#This Row],[Goal-A]]+ResultsTeams[[#This Row],[Goal-B]]))</f>
        <v>1</v>
      </c>
      <c r="O709" s="265">
        <f>IF(ResultsTeams[[#This Row],[Type]]="G",SUM(O710:O713),IF(LEFT(ResultsTeams[[#This Row],[Type]],1)="P",IF(ResultsTeams[[#This Row],[Goal-A]]&gt;ResultsTeams[[#This Row],[Goal-B]],1,0),""))</f>
        <v>0</v>
      </c>
      <c r="P709" s="265">
        <f>IF(ResultsTeams[[#This Row],[Type]]="G",SUM(P710:P713),IF(LEFT(ResultsTeams[[#This Row],[Type]],1)="P",IF(ResultsTeams[[#This Row],[Goal-A]]&lt;ResultsTeams[[#This Row],[Goal-B]],1,0),""))</f>
        <v>0</v>
      </c>
      <c r="Q709" s="265">
        <f>IF(ResultsTeams[[#This Row],[Type]]="G",SUM(Q710:Q713),IF(LEFT(ResultsTeams[[#This Row],[Type]],1)="P",VALUE(ResultsTeams[[#This Row],[Score-A]]),""))</f>
        <v>2</v>
      </c>
      <c r="R709" s="265">
        <f>IF(ResultsTeams[[#This Row],[Type]]="G",SUM(R710:R713),IF(LEFT(ResultsTeams[[#This Row],[Type]],1)="P",VALUE(ResultsTeams[[#This Row],[Score-B]]),""))</f>
        <v>2</v>
      </c>
      <c r="S709" s="265" t="str">
        <f ca="1">IF(AND(ResultsTeams[[#This Row],[Category]]&lt;&gt;"",ResultsTeams[[#This Row],[Team A]]&lt;&gt;""),COUNTIF(INDIRECT("TeamsList[Club Name]"),ResultsTeams[[#This Row],[Team A]]),"")</f>
        <v/>
      </c>
      <c r="T709" s="265" t="str">
        <f ca="1">IF(AND(ResultsTeams[[#This Row],[Category]]&lt;&gt;"",ResultsTeams[[#This Row],[Team B]]&lt;&gt;""),COUNTIF(INDIRECT("TeamsList[Club Name]"),ResultsTeams[[#This Row],[Team B]]),"")</f>
        <v/>
      </c>
      <c r="U7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9" s="265" t="str">
        <f>IF(ResultsTeams[[#This Row],[Score_OK]],IF(ResultsTeams[[#This Row],[StageCpy]]="Groups",ResultsTeams[[#This Row],[Category]]&amp;"-"&amp;IF(ResultsTeams[[#This Row],[Team B]]="","",IF(ResultsTeams[[#This Row],[Match-A]]=ResultsTeams[[#This Row],[Match-B]],ResultsTeams[[#This Row],[Team A]],"")),""),"")</f>
        <v/>
      </c>
      <c r="W709" s="265" t="str">
        <f>IF(ResultsTeams[[#This Row],[Score_OK]],IF(ResultsTeams[[#This Row],[StageCpy]]="Groups",ResultsTeams[[#This Row],[Category]]&amp;"-"&amp;IF(ResultsTeams[[#This Row],[Team B]]="","",IF(ResultsTeams[[#This Row],[Match-A]]=ResultsTeams[[#This Row],[Match-B]],ResultsTeams[[#This Row],[Team B]],"")),""),"")</f>
        <v/>
      </c>
      <c r="X7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9" s="264" t="str">
        <f>IF(ResultsTeams[[#This Row],[Category]]="","",VLOOKUP(ResultsTeams[[#This Row],[Stage]],$R$1:$T$8,MATCH(ResultsTeams[[#This Row],[Category]],$S$1:$T$1,0)+1,FALSE))</f>
        <v/>
      </c>
      <c r="AC7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9" s="264" t="str">
        <f>IF(ResultsTeams[[#This Row],[Type]]="G",ResultsTeams[[#This Row],[Stage]],AD708)</f>
        <v>Last 8</v>
      </c>
      <c r="AE709" s="395" t="str">
        <f>IF(ResultsTeams[[#This Row],[Type]]="G",INDEX(TeamsList[Club Name],MATCH(ResultsTeams[[#This Row],[Team A]],TeamsList[Team Name],0)),AE708)</f>
        <v>H'Attard SC</v>
      </c>
      <c r="AF709" s="395" t="str">
        <f>IF(ResultsTeams[[#This Row],[Type]]="G",INDEX(TeamsList[Club Name],MATCH(ResultsTeams[[#This Row],[Team B]],TeamsList[Team Name],0)),AF708)</f>
        <v>Avenir Subbuteo Hennuyer</v>
      </c>
      <c r="AG709" s="265"/>
    </row>
    <row r="710" spans="1:33" x14ac:dyDescent="0.2">
      <c r="A710" s="62"/>
      <c r="B710" s="62"/>
      <c r="C710" s="62"/>
      <c r="D710" s="62"/>
      <c r="E710" s="241" t="s">
        <v>12243</v>
      </c>
      <c r="F710" s="247"/>
      <c r="G710" s="247"/>
      <c r="H710" s="254"/>
      <c r="I710" s="254"/>
      <c r="J710" s="260"/>
      <c r="K710" s="364"/>
      <c r="L710" s="364"/>
      <c r="M710" s="247"/>
      <c r="N710" s="265" t="b">
        <f>NOT(ISERROR(ResultsTeams[[#This Row],[Goal-A]]+ResultsTeams[[#This Row],[Goal-B]]))</f>
        <v>0</v>
      </c>
      <c r="O710" s="265" t="str">
        <f>IF(ResultsTeams[[#This Row],[Type]]="G",SUM(O711:O714),IF(LEFT(ResultsTeams[[#This Row],[Type]],1)="P",IF(ResultsTeams[[#This Row],[Goal-A]]&gt;ResultsTeams[[#This Row],[Goal-B]],1,0),""))</f>
        <v/>
      </c>
      <c r="P710" s="265" t="str">
        <f>IF(ResultsTeams[[#This Row],[Type]]="G",SUM(P711:P714),IF(LEFT(ResultsTeams[[#This Row],[Type]],1)="P",IF(ResultsTeams[[#This Row],[Goal-A]]&lt;ResultsTeams[[#This Row],[Goal-B]],1,0),""))</f>
        <v/>
      </c>
      <c r="Q710" s="265" t="str">
        <f>IF(ResultsTeams[[#This Row],[Type]]="G",SUM(Q711:Q714),IF(LEFT(ResultsTeams[[#This Row],[Type]],1)="P",VALUE(ResultsTeams[[#This Row],[Score-A]]),""))</f>
        <v/>
      </c>
      <c r="R710" s="265" t="str">
        <f>IF(ResultsTeams[[#This Row],[Type]]="G",SUM(R711:R714),IF(LEFT(ResultsTeams[[#This Row],[Type]],1)="P",VALUE(ResultsTeams[[#This Row],[Score-B]]),""))</f>
        <v/>
      </c>
      <c r="S710" s="265" t="str">
        <f ca="1">IF(AND(ResultsTeams[[#This Row],[Category]]&lt;&gt;"",ResultsTeams[[#This Row],[Team A]]&lt;&gt;""),COUNTIF(INDIRECT("TeamsList[Club Name]"),ResultsTeams[[#This Row],[Team A]]),"")</f>
        <v/>
      </c>
      <c r="T710" s="265" t="str">
        <f ca="1">IF(AND(ResultsTeams[[#This Row],[Category]]&lt;&gt;"",ResultsTeams[[#This Row],[Team B]]&lt;&gt;""),COUNTIF(INDIRECT("TeamsList[Club Name]"),ResultsTeams[[#This Row],[Team B]]),"")</f>
        <v/>
      </c>
      <c r="U7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0" s="265" t="str">
        <f>IF(ResultsTeams[[#This Row],[Score_OK]],IF(ResultsTeams[[#This Row],[StageCpy]]="Groups",ResultsTeams[[#This Row],[Category]]&amp;"-"&amp;IF(ResultsTeams[[#This Row],[Team B]]="","",IF(ResultsTeams[[#This Row],[Match-A]]=ResultsTeams[[#This Row],[Match-B]],ResultsTeams[[#This Row],[Team A]],"")),""),"")</f>
        <v/>
      </c>
      <c r="W710" s="265" t="str">
        <f>IF(ResultsTeams[[#This Row],[Score_OK]],IF(ResultsTeams[[#This Row],[StageCpy]]="Groups",ResultsTeams[[#This Row],[Category]]&amp;"-"&amp;IF(ResultsTeams[[#This Row],[Team B]]="","",IF(ResultsTeams[[#This Row],[Match-A]]=ResultsTeams[[#This Row],[Match-B]],ResultsTeams[[#This Row],[Team B]],"")),""),"")</f>
        <v/>
      </c>
      <c r="X7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0" s="264" t="str">
        <f>IF(ResultsTeams[[#This Row],[Category]]="","",VLOOKUP(ResultsTeams[[#This Row],[Stage]],$R$1:$T$8,MATCH(ResultsTeams[[#This Row],[Category]],$S$1:$T$1,0)+1,FALSE))</f>
        <v/>
      </c>
      <c r="AC7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0" s="264" t="str">
        <f>IF(ResultsTeams[[#This Row],[Type]]="G",ResultsTeams[[#This Row],[Stage]],AD709)</f>
        <v>Last 8</v>
      </c>
      <c r="AE710" s="395" t="str">
        <f>IF(ResultsTeams[[#This Row],[Type]]="G",INDEX(TeamsList[Club Name],MATCH(ResultsTeams[[#This Row],[Team A]],TeamsList[Team Name],0)),AE709)</f>
        <v>H'Attard SC</v>
      </c>
      <c r="AF710" s="395" t="str">
        <f>IF(ResultsTeams[[#This Row],[Type]]="G",INDEX(TeamsList[Club Name],MATCH(ResultsTeams[[#This Row],[Team B]],TeamsList[Team Name],0)),AF709)</f>
        <v>Avenir Subbuteo Hennuyer</v>
      </c>
      <c r="AG710" s="265"/>
    </row>
    <row r="711" spans="1:33" ht="12" thickBot="1" x14ac:dyDescent="0.25">
      <c r="A711" s="83"/>
      <c r="B711" s="83"/>
      <c r="C711" s="83"/>
      <c r="D711" s="83"/>
      <c r="E711" s="268" t="s">
        <v>12244</v>
      </c>
      <c r="F711" s="262"/>
      <c r="G711" s="262"/>
      <c r="H711" s="324"/>
      <c r="I711" s="324"/>
      <c r="J711" s="263"/>
      <c r="K711" s="365"/>
      <c r="L711" s="365"/>
      <c r="M711" s="262"/>
      <c r="N711" s="265" t="b">
        <f>NOT(ISERROR(ResultsTeams[[#This Row],[Goal-A]]+ResultsTeams[[#This Row],[Goal-B]]))</f>
        <v>0</v>
      </c>
      <c r="O711" s="265" t="str">
        <f>IF(ResultsTeams[[#This Row],[Type]]="G",SUM(O712:O715),IF(LEFT(ResultsTeams[[#This Row],[Type]],1)="P",IF(ResultsTeams[[#This Row],[Goal-A]]&gt;ResultsTeams[[#This Row],[Goal-B]],1,0),""))</f>
        <v/>
      </c>
      <c r="P711" s="265" t="str">
        <f>IF(ResultsTeams[[#This Row],[Type]]="G",SUM(P712:P715),IF(LEFT(ResultsTeams[[#This Row],[Type]],1)="P",IF(ResultsTeams[[#This Row],[Goal-A]]&lt;ResultsTeams[[#This Row],[Goal-B]],1,0),""))</f>
        <v/>
      </c>
      <c r="Q711" s="265" t="str">
        <f>IF(ResultsTeams[[#This Row],[Type]]="G",SUM(Q712:Q715),IF(LEFT(ResultsTeams[[#This Row],[Type]],1)="P",VALUE(ResultsTeams[[#This Row],[Score-A]]),""))</f>
        <v/>
      </c>
      <c r="R711" s="265" t="str">
        <f>IF(ResultsTeams[[#This Row],[Type]]="G",SUM(R712:R715),IF(LEFT(ResultsTeams[[#This Row],[Type]],1)="P",VALUE(ResultsTeams[[#This Row],[Score-B]]),""))</f>
        <v/>
      </c>
      <c r="S711" s="265" t="str">
        <f ca="1">IF(AND(ResultsTeams[[#This Row],[Category]]&lt;&gt;"",ResultsTeams[[#This Row],[Team A]]&lt;&gt;""),COUNTIF(INDIRECT("TeamsList[Club Name]"),ResultsTeams[[#This Row],[Team A]]),"")</f>
        <v/>
      </c>
      <c r="T711" s="265" t="str">
        <f ca="1">IF(AND(ResultsTeams[[#This Row],[Category]]&lt;&gt;"",ResultsTeams[[#This Row],[Team B]]&lt;&gt;""),COUNTIF(INDIRECT("TeamsList[Club Name]"),ResultsTeams[[#This Row],[Team B]]),"")</f>
        <v/>
      </c>
      <c r="U7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1" s="265" t="str">
        <f>IF(ResultsTeams[[#This Row],[Score_OK]],IF(ResultsTeams[[#This Row],[StageCpy]]="Groups",ResultsTeams[[#This Row],[Category]]&amp;"-"&amp;IF(ResultsTeams[[#This Row],[Team B]]="","",IF(ResultsTeams[[#This Row],[Match-A]]=ResultsTeams[[#This Row],[Match-B]],ResultsTeams[[#This Row],[Team A]],"")),""),"")</f>
        <v/>
      </c>
      <c r="W711" s="265" t="str">
        <f>IF(ResultsTeams[[#This Row],[Score_OK]],IF(ResultsTeams[[#This Row],[StageCpy]]="Groups",ResultsTeams[[#This Row],[Category]]&amp;"-"&amp;IF(ResultsTeams[[#This Row],[Team B]]="","",IF(ResultsTeams[[#This Row],[Match-A]]=ResultsTeams[[#This Row],[Match-B]],ResultsTeams[[#This Row],[Team B]],"")),""),"")</f>
        <v/>
      </c>
      <c r="X7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1" s="264" t="str">
        <f>IF(ResultsTeams[[#This Row],[Category]]="","",VLOOKUP(ResultsTeams[[#This Row],[Stage]],$R$1:$T$8,MATCH(ResultsTeams[[#This Row],[Category]],$S$1:$T$1,0)+1,FALSE))</f>
        <v/>
      </c>
      <c r="AC7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1" s="264" t="str">
        <f>IF(ResultsTeams[[#This Row],[Type]]="G",ResultsTeams[[#This Row],[Stage]],AD710)</f>
        <v>Last 8</v>
      </c>
      <c r="AE711" s="395" t="str">
        <f>IF(ResultsTeams[[#This Row],[Type]]="G",INDEX(TeamsList[Club Name],MATCH(ResultsTeams[[#This Row],[Team A]],TeamsList[Team Name],0)),AE710)</f>
        <v>H'Attard SC</v>
      </c>
      <c r="AF711" s="395" t="str">
        <f>IF(ResultsTeams[[#This Row],[Type]]="G",INDEX(TeamsList[Club Name],MATCH(ResultsTeams[[#This Row],[Team B]],TeamsList[Team Name],0)),AF710)</f>
        <v>Avenir Subbuteo Hennuyer</v>
      </c>
      <c r="AG711" s="265"/>
    </row>
    <row r="712" spans="1:33" ht="12" thickBot="1" x14ac:dyDescent="0.25">
      <c r="A712" s="261" t="s">
        <v>12263</v>
      </c>
      <c r="B712" s="270" t="s">
        <v>12212</v>
      </c>
      <c r="C712" s="270"/>
      <c r="D712" s="270"/>
      <c r="E712" s="272" t="s">
        <v>12228</v>
      </c>
      <c r="F712" s="273" t="s">
        <v>69</v>
      </c>
      <c r="G712" s="273" t="s">
        <v>343</v>
      </c>
      <c r="H712" s="275">
        <v>3</v>
      </c>
      <c r="I712" s="275">
        <v>0</v>
      </c>
      <c r="J712" s="275"/>
      <c r="K712" s="366"/>
      <c r="L712" s="366"/>
      <c r="M712" s="274"/>
      <c r="N712" s="265" t="b">
        <f>NOT(ISERROR(ResultsTeams[[#This Row],[Goal-A]]+ResultsTeams[[#This Row],[Goal-B]]))</f>
        <v>1</v>
      </c>
      <c r="O712" s="265">
        <f>IF(ResultsTeams[[#This Row],[Type]]="G",SUM(O713:O716),IF(LEFT(ResultsTeams[[#This Row],[Type]],1)="P",IF(ResultsTeams[[#This Row],[Goal-A]]&gt;ResultsTeams[[#This Row],[Goal-B]],1,0),""))</f>
        <v>3</v>
      </c>
      <c r="P712" s="265">
        <f>IF(ResultsTeams[[#This Row],[Type]]="G",SUM(P713:P716),IF(LEFT(ResultsTeams[[#This Row],[Type]],1)="P",IF(ResultsTeams[[#This Row],[Goal-A]]&lt;ResultsTeams[[#This Row],[Goal-B]],1,0),""))</f>
        <v>0</v>
      </c>
      <c r="Q712" s="265">
        <f>IF(ResultsTeams[[#This Row],[Type]]="G",SUM(Q713:Q716),IF(LEFT(ResultsTeams[[#This Row],[Type]],1)="P",VALUE(ResultsTeams[[#This Row],[Score-A]]),""))</f>
        <v>15</v>
      </c>
      <c r="R712" s="265">
        <f>IF(ResultsTeams[[#This Row],[Type]]="G",SUM(R713:R716),IF(LEFT(ResultsTeams[[#This Row],[Type]],1)="P",VALUE(ResultsTeams[[#This Row],[Score-B]]),""))</f>
        <v>10</v>
      </c>
      <c r="S712" s="265">
        <f ca="1">IF(AND(ResultsTeams[[#This Row],[Category]]&lt;&gt;"",ResultsTeams[[#This Row],[Team A]]&lt;&gt;""),COUNTIF(INDIRECT("TeamsList[Club Name]"),ResultsTeams[[#This Row],[Team A]]),"")</f>
        <v>1</v>
      </c>
      <c r="T712" s="265">
        <f ca="1">IF(AND(ResultsTeams[[#This Row],[Category]]&lt;&gt;"",ResultsTeams[[#This Row],[Team B]]&lt;&gt;""),COUNTIF(INDIRECT("TeamsList[Club Name]"),ResultsTeams[[#This Row],[Team B]]),"")</f>
        <v>1</v>
      </c>
      <c r="U7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2" s="265" t="str">
        <f>IF(ResultsTeams[[#This Row],[Score_OK]],IF(ResultsTeams[[#This Row],[StageCpy]]="Groups",ResultsTeams[[#This Row],[Category]]&amp;"-"&amp;IF(ResultsTeams[[#This Row],[Team B]]="","",IF(ResultsTeams[[#This Row],[Match-A]]=ResultsTeams[[#This Row],[Match-B]],ResultsTeams[[#This Row],[Team A]],"")),""),"")</f>
        <v/>
      </c>
      <c r="W712" s="265" t="str">
        <f>IF(ResultsTeams[[#This Row],[Score_OK]],IF(ResultsTeams[[#This Row],[StageCpy]]="Groups",ResultsTeams[[#This Row],[Category]]&amp;"-"&amp;IF(ResultsTeams[[#This Row],[Team B]]="","",IF(ResultsTeams[[#This Row],[Match-A]]=ResultsTeams[[#This Row],[Match-B]],ResultsTeams[[#This Row],[Team B]],"")),""),"")</f>
        <v/>
      </c>
      <c r="X7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CONSOLATION-US Huy</v>
      </c>
      <c r="Z712"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712"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712" s="264" t="e">
        <f>IF(ResultsTeams[[#This Row],[Category]]="","",VLOOKUP(ResultsTeams[[#This Row],[Stage]],$R$1:$T$8,MATCH(ResultsTeams[[#This Row],[Category]],$S$1:$T$1,0)+1,FALSE))</f>
        <v>#N/A</v>
      </c>
      <c r="AC712"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712" s="264" t="str">
        <f>IF(ResultsTeams[[#This Row],[Type]]="G",ResultsTeams[[#This Row],[Stage]],AD711)</f>
        <v>Last 8</v>
      </c>
      <c r="AE712" s="395" t="str">
        <f>IF(ResultsTeams[[#This Row],[Type]]="G",INDEX(TeamsList[Club Name],MATCH(ResultsTeams[[#This Row],[Team A]],TeamsList[Team Name],0)),AE711)</f>
        <v>JSC Rochefort</v>
      </c>
      <c r="AF712" s="395" t="str">
        <f>IF(ResultsTeams[[#This Row],[Type]]="G",INDEX(TeamsList[Club Name],MATCH(ResultsTeams[[#This Row],[Team B]],TeamsList[Team Name],0)),AF711)</f>
        <v>US Huy</v>
      </c>
      <c r="AG712" s="265"/>
    </row>
    <row r="713" spans="1:33" x14ac:dyDescent="0.2">
      <c r="A713" s="60"/>
      <c r="B713" s="280"/>
      <c r="C713" s="60"/>
      <c r="D713" s="60"/>
      <c r="E713" s="240" t="s">
        <v>12231</v>
      </c>
      <c r="F713" s="244" t="s">
        <v>8192</v>
      </c>
      <c r="G713" s="244" t="s">
        <v>8100</v>
      </c>
      <c r="H713" s="253">
        <v>4</v>
      </c>
      <c r="I713" s="253">
        <v>4</v>
      </c>
      <c r="J713" s="253"/>
      <c r="K713" s="362"/>
      <c r="L713" s="362"/>
      <c r="M713" s="245"/>
      <c r="N713" s="265" t="b">
        <f>NOT(ISERROR(ResultsTeams[[#This Row],[Goal-A]]+ResultsTeams[[#This Row],[Goal-B]]))</f>
        <v>1</v>
      </c>
      <c r="O713" s="265">
        <f>IF(ResultsTeams[[#This Row],[Type]]="G",SUM(O714:O717),IF(LEFT(ResultsTeams[[#This Row],[Type]],1)="P",IF(ResultsTeams[[#This Row],[Goal-A]]&gt;ResultsTeams[[#This Row],[Goal-B]],1,0),""))</f>
        <v>0</v>
      </c>
      <c r="P713" s="265">
        <f>IF(ResultsTeams[[#This Row],[Type]]="G",SUM(P714:P717),IF(LEFT(ResultsTeams[[#This Row],[Type]],1)="P",IF(ResultsTeams[[#This Row],[Goal-A]]&lt;ResultsTeams[[#This Row],[Goal-B]],1,0),""))</f>
        <v>0</v>
      </c>
      <c r="Q713" s="265">
        <f>IF(ResultsTeams[[#This Row],[Type]]="G",SUM(Q714:Q717),IF(LEFT(ResultsTeams[[#This Row],[Type]],1)="P",VALUE(ResultsTeams[[#This Row],[Score-A]]),""))</f>
        <v>4</v>
      </c>
      <c r="R713" s="265">
        <f>IF(ResultsTeams[[#This Row],[Type]]="G",SUM(R714:R717),IF(LEFT(ResultsTeams[[#This Row],[Type]],1)="P",VALUE(ResultsTeams[[#This Row],[Score-B]]),""))</f>
        <v>4</v>
      </c>
      <c r="S713" s="265" t="str">
        <f ca="1">IF(AND(ResultsTeams[[#This Row],[Category]]&lt;&gt;"",ResultsTeams[[#This Row],[Team A]]&lt;&gt;""),COUNTIF(INDIRECT("TeamsList[Club Name]"),ResultsTeams[[#This Row],[Team A]]),"")</f>
        <v/>
      </c>
      <c r="T713" s="265" t="str">
        <f ca="1">IF(AND(ResultsTeams[[#This Row],[Category]]&lt;&gt;"",ResultsTeams[[#This Row],[Team B]]&lt;&gt;""),COUNTIF(INDIRECT("TeamsList[Club Name]"),ResultsTeams[[#This Row],[Team B]]),"")</f>
        <v/>
      </c>
      <c r="U7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3" s="265" t="str">
        <f>IF(ResultsTeams[[#This Row],[Score_OK]],IF(ResultsTeams[[#This Row],[StageCpy]]="Groups",ResultsTeams[[#This Row],[Category]]&amp;"-"&amp;IF(ResultsTeams[[#This Row],[Team B]]="","",IF(ResultsTeams[[#This Row],[Match-A]]=ResultsTeams[[#This Row],[Match-B]],ResultsTeams[[#This Row],[Team A]],"")),""),"")</f>
        <v/>
      </c>
      <c r="W713" s="265" t="str">
        <f>IF(ResultsTeams[[#This Row],[Score_OK]],IF(ResultsTeams[[#This Row],[StageCpy]]="Groups",ResultsTeams[[#This Row],[Category]]&amp;"-"&amp;IF(ResultsTeams[[#This Row],[Team B]]="","",IF(ResultsTeams[[#This Row],[Match-A]]=ResultsTeams[[#This Row],[Match-B]],ResultsTeams[[#This Row],[Team B]],"")),""),"")</f>
        <v/>
      </c>
      <c r="X7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3" s="264" t="str">
        <f>IF(ResultsTeams[[#This Row],[Category]]="","",VLOOKUP(ResultsTeams[[#This Row],[Stage]],$R$1:$T$8,MATCH(ResultsTeams[[#This Row],[Category]],$S$1:$T$1,0)+1,FALSE))</f>
        <v/>
      </c>
      <c r="AC7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3" s="264" t="str">
        <f>IF(ResultsTeams[[#This Row],[Type]]="G",ResultsTeams[[#This Row],[Stage]],AD712)</f>
        <v>Last 8</v>
      </c>
      <c r="AE713" s="395" t="str">
        <f>IF(ResultsTeams[[#This Row],[Type]]="G",INDEX(TeamsList[Club Name],MATCH(ResultsTeams[[#This Row],[Team A]],TeamsList[Team Name],0)),AE712)</f>
        <v>JSC Rochefort</v>
      </c>
      <c r="AF713" s="395" t="str">
        <f>IF(ResultsTeams[[#This Row],[Type]]="G",INDEX(TeamsList[Club Name],MATCH(ResultsTeams[[#This Row],[Team B]],TeamsList[Team Name],0)),AF712)</f>
        <v>US Huy</v>
      </c>
      <c r="AG713" s="265"/>
    </row>
    <row r="714" spans="1:33" x14ac:dyDescent="0.2">
      <c r="A714" s="62"/>
      <c r="B714" s="280"/>
      <c r="C714" s="62"/>
      <c r="D714" s="62"/>
      <c r="E714" s="241" t="s">
        <v>12234</v>
      </c>
      <c r="F714" s="246" t="s">
        <v>8072</v>
      </c>
      <c r="G714" s="246" t="s">
        <v>8131</v>
      </c>
      <c r="H714" s="254">
        <v>3</v>
      </c>
      <c r="I714" s="254">
        <v>2</v>
      </c>
      <c r="J714" s="254"/>
      <c r="K714" s="363"/>
      <c r="L714" s="363"/>
      <c r="M714" s="247"/>
      <c r="N714" s="265" t="b">
        <f>NOT(ISERROR(ResultsTeams[[#This Row],[Goal-A]]+ResultsTeams[[#This Row],[Goal-B]]))</f>
        <v>1</v>
      </c>
      <c r="O714" s="265">
        <f>IF(ResultsTeams[[#This Row],[Type]]="G",SUM(O715:O718),IF(LEFT(ResultsTeams[[#This Row],[Type]],1)="P",IF(ResultsTeams[[#This Row],[Goal-A]]&gt;ResultsTeams[[#This Row],[Goal-B]],1,0),""))</f>
        <v>1</v>
      </c>
      <c r="P714" s="265">
        <f>IF(ResultsTeams[[#This Row],[Type]]="G",SUM(P715:P718),IF(LEFT(ResultsTeams[[#This Row],[Type]],1)="P",IF(ResultsTeams[[#This Row],[Goal-A]]&lt;ResultsTeams[[#This Row],[Goal-B]],1,0),""))</f>
        <v>0</v>
      </c>
      <c r="Q714" s="265">
        <f>IF(ResultsTeams[[#This Row],[Type]]="G",SUM(Q715:Q718),IF(LEFT(ResultsTeams[[#This Row],[Type]],1)="P",VALUE(ResultsTeams[[#This Row],[Score-A]]),""))</f>
        <v>3</v>
      </c>
      <c r="R714" s="265">
        <f>IF(ResultsTeams[[#This Row],[Type]]="G",SUM(R715:R718),IF(LEFT(ResultsTeams[[#This Row],[Type]],1)="P",VALUE(ResultsTeams[[#This Row],[Score-B]]),""))</f>
        <v>2</v>
      </c>
      <c r="S714" s="265" t="str">
        <f ca="1">IF(AND(ResultsTeams[[#This Row],[Category]]&lt;&gt;"",ResultsTeams[[#This Row],[Team A]]&lt;&gt;""),COUNTIF(INDIRECT("TeamsList[Club Name]"),ResultsTeams[[#This Row],[Team A]]),"")</f>
        <v/>
      </c>
      <c r="T714" s="265" t="str">
        <f ca="1">IF(AND(ResultsTeams[[#This Row],[Category]]&lt;&gt;"",ResultsTeams[[#This Row],[Team B]]&lt;&gt;""),COUNTIF(INDIRECT("TeamsList[Club Name]"),ResultsTeams[[#This Row],[Team B]]),"")</f>
        <v/>
      </c>
      <c r="U7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4" s="265" t="str">
        <f>IF(ResultsTeams[[#This Row],[Score_OK]],IF(ResultsTeams[[#This Row],[StageCpy]]="Groups",ResultsTeams[[#This Row],[Category]]&amp;"-"&amp;IF(ResultsTeams[[#This Row],[Team B]]="","",IF(ResultsTeams[[#This Row],[Match-A]]=ResultsTeams[[#This Row],[Match-B]],ResultsTeams[[#This Row],[Team A]],"")),""),"")</f>
        <v/>
      </c>
      <c r="W714" s="265" t="str">
        <f>IF(ResultsTeams[[#This Row],[Score_OK]],IF(ResultsTeams[[#This Row],[StageCpy]]="Groups",ResultsTeams[[#This Row],[Category]]&amp;"-"&amp;IF(ResultsTeams[[#This Row],[Team B]]="","",IF(ResultsTeams[[#This Row],[Match-A]]=ResultsTeams[[#This Row],[Match-B]],ResultsTeams[[#This Row],[Team B]],"")),""),"")</f>
        <v/>
      </c>
      <c r="X7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4" s="264" t="str">
        <f>IF(ResultsTeams[[#This Row],[Category]]="","",VLOOKUP(ResultsTeams[[#This Row],[Stage]],$R$1:$T$8,MATCH(ResultsTeams[[#This Row],[Category]],$S$1:$T$1,0)+1,FALSE))</f>
        <v/>
      </c>
      <c r="AC7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4" s="264" t="str">
        <f>IF(ResultsTeams[[#This Row],[Type]]="G",ResultsTeams[[#This Row],[Stage]],AD713)</f>
        <v>Last 8</v>
      </c>
      <c r="AE714" s="395" t="str">
        <f>IF(ResultsTeams[[#This Row],[Type]]="G",INDEX(TeamsList[Club Name],MATCH(ResultsTeams[[#This Row],[Team A]],TeamsList[Team Name],0)),AE713)</f>
        <v>JSC Rochefort</v>
      </c>
      <c r="AF714" s="395" t="str">
        <f>IF(ResultsTeams[[#This Row],[Type]]="G",INDEX(TeamsList[Club Name],MATCH(ResultsTeams[[#This Row],[Team B]],TeamsList[Team Name],0)),AF713)</f>
        <v>US Huy</v>
      </c>
      <c r="AG714" s="265"/>
    </row>
    <row r="715" spans="1:33" x14ac:dyDescent="0.2">
      <c r="A715" s="62"/>
      <c r="B715" s="280"/>
      <c r="C715" s="62"/>
      <c r="D715" s="62"/>
      <c r="E715" s="241" t="s">
        <v>12237</v>
      </c>
      <c r="F715" s="246" t="s">
        <v>8087</v>
      </c>
      <c r="G715" s="246" t="s">
        <v>8152</v>
      </c>
      <c r="H715" s="254">
        <v>3</v>
      </c>
      <c r="I715" s="254">
        <v>1</v>
      </c>
      <c r="J715" s="254"/>
      <c r="K715" s="363"/>
      <c r="L715" s="363"/>
      <c r="M715" s="247"/>
      <c r="N715" s="265" t="b">
        <f>NOT(ISERROR(ResultsTeams[[#This Row],[Goal-A]]+ResultsTeams[[#This Row],[Goal-B]]))</f>
        <v>1</v>
      </c>
      <c r="O715" s="265">
        <f>IF(ResultsTeams[[#This Row],[Type]]="G",SUM(O716:O719),IF(LEFT(ResultsTeams[[#This Row],[Type]],1)="P",IF(ResultsTeams[[#This Row],[Goal-A]]&gt;ResultsTeams[[#This Row],[Goal-B]],1,0),""))</f>
        <v>1</v>
      </c>
      <c r="P715" s="265">
        <f>IF(ResultsTeams[[#This Row],[Type]]="G",SUM(P716:P719),IF(LEFT(ResultsTeams[[#This Row],[Type]],1)="P",IF(ResultsTeams[[#This Row],[Goal-A]]&lt;ResultsTeams[[#This Row],[Goal-B]],1,0),""))</f>
        <v>0</v>
      </c>
      <c r="Q715" s="265">
        <f>IF(ResultsTeams[[#This Row],[Type]]="G",SUM(Q716:Q719),IF(LEFT(ResultsTeams[[#This Row],[Type]],1)="P",VALUE(ResultsTeams[[#This Row],[Score-A]]),""))</f>
        <v>3</v>
      </c>
      <c r="R715" s="265">
        <f>IF(ResultsTeams[[#This Row],[Type]]="G",SUM(R716:R719),IF(LEFT(ResultsTeams[[#This Row],[Type]],1)="P",VALUE(ResultsTeams[[#This Row],[Score-B]]),""))</f>
        <v>1</v>
      </c>
      <c r="S715" s="265" t="str">
        <f ca="1">IF(AND(ResultsTeams[[#This Row],[Category]]&lt;&gt;"",ResultsTeams[[#This Row],[Team A]]&lt;&gt;""),COUNTIF(INDIRECT("TeamsList[Club Name]"),ResultsTeams[[#This Row],[Team A]]),"")</f>
        <v/>
      </c>
      <c r="T715" s="265" t="str">
        <f ca="1">IF(AND(ResultsTeams[[#This Row],[Category]]&lt;&gt;"",ResultsTeams[[#This Row],[Team B]]&lt;&gt;""),COUNTIF(INDIRECT("TeamsList[Club Name]"),ResultsTeams[[#This Row],[Team B]]),"")</f>
        <v/>
      </c>
      <c r="U7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5" s="265" t="str">
        <f>IF(ResultsTeams[[#This Row],[Score_OK]],IF(ResultsTeams[[#This Row],[StageCpy]]="Groups",ResultsTeams[[#This Row],[Category]]&amp;"-"&amp;IF(ResultsTeams[[#This Row],[Team B]]="","",IF(ResultsTeams[[#This Row],[Match-A]]=ResultsTeams[[#This Row],[Match-B]],ResultsTeams[[#This Row],[Team A]],"")),""),"")</f>
        <v/>
      </c>
      <c r="W715" s="265" t="str">
        <f>IF(ResultsTeams[[#This Row],[Score_OK]],IF(ResultsTeams[[#This Row],[StageCpy]]="Groups",ResultsTeams[[#This Row],[Category]]&amp;"-"&amp;IF(ResultsTeams[[#This Row],[Team B]]="","",IF(ResultsTeams[[#This Row],[Match-A]]=ResultsTeams[[#This Row],[Match-B]],ResultsTeams[[#This Row],[Team B]],"")),""),"")</f>
        <v/>
      </c>
      <c r="X7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5" s="264" t="str">
        <f>IF(ResultsTeams[[#This Row],[Category]]="","",VLOOKUP(ResultsTeams[[#This Row],[Stage]],$R$1:$T$8,MATCH(ResultsTeams[[#This Row],[Category]],$S$1:$T$1,0)+1,FALSE))</f>
        <v/>
      </c>
      <c r="AC7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5" s="264" t="str">
        <f>IF(ResultsTeams[[#This Row],[Type]]="G",ResultsTeams[[#This Row],[Stage]],AD714)</f>
        <v>Last 8</v>
      </c>
      <c r="AE715" s="395" t="str">
        <f>IF(ResultsTeams[[#This Row],[Type]]="G",INDEX(TeamsList[Club Name],MATCH(ResultsTeams[[#This Row],[Team A]],TeamsList[Team Name],0)),AE714)</f>
        <v>JSC Rochefort</v>
      </c>
      <c r="AF715" s="395" t="str">
        <f>IF(ResultsTeams[[#This Row],[Type]]="G",INDEX(TeamsList[Club Name],MATCH(ResultsTeams[[#This Row],[Team B]],TeamsList[Team Name],0)),AF714)</f>
        <v>US Huy</v>
      </c>
      <c r="AG715" s="265"/>
    </row>
    <row r="716" spans="1:33" x14ac:dyDescent="0.2">
      <c r="A716" s="62"/>
      <c r="B716" s="280"/>
      <c r="C716" s="62"/>
      <c r="D716" s="62"/>
      <c r="E716" s="241" t="s">
        <v>12240</v>
      </c>
      <c r="F716" s="246" t="s">
        <v>8092</v>
      </c>
      <c r="G716" s="246" t="s">
        <v>12756</v>
      </c>
      <c r="H716" s="254">
        <v>5</v>
      </c>
      <c r="I716" s="254">
        <v>3</v>
      </c>
      <c r="J716" s="254"/>
      <c r="K716" s="363"/>
      <c r="L716" s="363"/>
      <c r="M716" s="247"/>
      <c r="N716" s="265" t="b">
        <f>NOT(ISERROR(ResultsTeams[[#This Row],[Goal-A]]+ResultsTeams[[#This Row],[Goal-B]]))</f>
        <v>1</v>
      </c>
      <c r="O716" s="265">
        <f>IF(ResultsTeams[[#This Row],[Type]]="G",SUM(O717:O720),IF(LEFT(ResultsTeams[[#This Row],[Type]],1)="P",IF(ResultsTeams[[#This Row],[Goal-A]]&gt;ResultsTeams[[#This Row],[Goal-B]],1,0),""))</f>
        <v>1</v>
      </c>
      <c r="P716" s="265">
        <f>IF(ResultsTeams[[#This Row],[Type]]="G",SUM(P717:P720),IF(LEFT(ResultsTeams[[#This Row],[Type]],1)="P",IF(ResultsTeams[[#This Row],[Goal-A]]&lt;ResultsTeams[[#This Row],[Goal-B]],1,0),""))</f>
        <v>0</v>
      </c>
      <c r="Q716" s="265">
        <f>IF(ResultsTeams[[#This Row],[Type]]="G",SUM(Q717:Q720),IF(LEFT(ResultsTeams[[#This Row],[Type]],1)="P",VALUE(ResultsTeams[[#This Row],[Score-A]]),""))</f>
        <v>5</v>
      </c>
      <c r="R716" s="265">
        <f>IF(ResultsTeams[[#This Row],[Type]]="G",SUM(R717:R720),IF(LEFT(ResultsTeams[[#This Row],[Type]],1)="P",VALUE(ResultsTeams[[#This Row],[Score-B]]),""))</f>
        <v>3</v>
      </c>
      <c r="S716" s="265" t="str">
        <f ca="1">IF(AND(ResultsTeams[[#This Row],[Category]]&lt;&gt;"",ResultsTeams[[#This Row],[Team A]]&lt;&gt;""),COUNTIF(INDIRECT("TeamsList[Club Name]"),ResultsTeams[[#This Row],[Team A]]),"")</f>
        <v/>
      </c>
      <c r="T716" s="265" t="str">
        <f ca="1">IF(AND(ResultsTeams[[#This Row],[Category]]&lt;&gt;"",ResultsTeams[[#This Row],[Team B]]&lt;&gt;""),COUNTIF(INDIRECT("TeamsList[Club Name]"),ResultsTeams[[#This Row],[Team B]]),"")</f>
        <v/>
      </c>
      <c r="U7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6" s="265" t="str">
        <f>IF(ResultsTeams[[#This Row],[Score_OK]],IF(ResultsTeams[[#This Row],[StageCpy]]="Groups",ResultsTeams[[#This Row],[Category]]&amp;"-"&amp;IF(ResultsTeams[[#This Row],[Team B]]="","",IF(ResultsTeams[[#This Row],[Match-A]]=ResultsTeams[[#This Row],[Match-B]],ResultsTeams[[#This Row],[Team A]],"")),""),"")</f>
        <v/>
      </c>
      <c r="W716" s="265" t="str">
        <f>IF(ResultsTeams[[#This Row],[Score_OK]],IF(ResultsTeams[[#This Row],[StageCpy]]="Groups",ResultsTeams[[#This Row],[Category]]&amp;"-"&amp;IF(ResultsTeams[[#This Row],[Team B]]="","",IF(ResultsTeams[[#This Row],[Match-A]]=ResultsTeams[[#This Row],[Match-B]],ResultsTeams[[#This Row],[Team B]],"")),""),"")</f>
        <v/>
      </c>
      <c r="X7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6" s="264" t="str">
        <f>IF(ResultsTeams[[#This Row],[Category]]="","",VLOOKUP(ResultsTeams[[#This Row],[Stage]],$R$1:$T$8,MATCH(ResultsTeams[[#This Row],[Category]],$S$1:$T$1,0)+1,FALSE))</f>
        <v/>
      </c>
      <c r="AC7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6" s="264" t="str">
        <f>IF(ResultsTeams[[#This Row],[Type]]="G",ResultsTeams[[#This Row],[Stage]],AD715)</f>
        <v>Last 8</v>
      </c>
      <c r="AE716" s="395" t="str">
        <f>IF(ResultsTeams[[#This Row],[Type]]="G",INDEX(TeamsList[Club Name],MATCH(ResultsTeams[[#This Row],[Team A]],TeamsList[Team Name],0)),AE715)</f>
        <v>JSC Rochefort</v>
      </c>
      <c r="AF716" s="395" t="str">
        <f>IF(ResultsTeams[[#This Row],[Type]]="G",INDEX(TeamsList[Club Name],MATCH(ResultsTeams[[#This Row],[Team B]],TeamsList[Team Name],0)),AF715)</f>
        <v>US Huy</v>
      </c>
      <c r="AG716" s="265"/>
    </row>
    <row r="717" spans="1:33" x14ac:dyDescent="0.2">
      <c r="A717" s="62"/>
      <c r="B717" s="62"/>
      <c r="C717" s="62"/>
      <c r="D717" s="62"/>
      <c r="E717" s="241" t="s">
        <v>12243</v>
      </c>
      <c r="F717" s="247"/>
      <c r="G717" s="247"/>
      <c r="H717" s="254"/>
      <c r="I717" s="254"/>
      <c r="J717" s="260"/>
      <c r="K717" s="364"/>
      <c r="L717" s="364"/>
      <c r="M717" s="63"/>
      <c r="N717" s="265" t="b">
        <f>NOT(ISERROR(ResultsTeams[[#This Row],[Goal-A]]+ResultsTeams[[#This Row],[Goal-B]]))</f>
        <v>0</v>
      </c>
      <c r="O717" s="265" t="str">
        <f>IF(ResultsTeams[[#This Row],[Type]]="G",SUM(O718:O721),IF(LEFT(ResultsTeams[[#This Row],[Type]],1)="P",IF(ResultsTeams[[#This Row],[Goal-A]]&gt;ResultsTeams[[#This Row],[Goal-B]],1,0),""))</f>
        <v/>
      </c>
      <c r="P717" s="265" t="str">
        <f>IF(ResultsTeams[[#This Row],[Type]]="G",SUM(P718:P721),IF(LEFT(ResultsTeams[[#This Row],[Type]],1)="P",IF(ResultsTeams[[#This Row],[Goal-A]]&lt;ResultsTeams[[#This Row],[Goal-B]],1,0),""))</f>
        <v/>
      </c>
      <c r="Q717" s="265" t="str">
        <f>IF(ResultsTeams[[#This Row],[Type]]="G",SUM(Q718:Q721),IF(LEFT(ResultsTeams[[#This Row],[Type]],1)="P",VALUE(ResultsTeams[[#This Row],[Score-A]]),""))</f>
        <v/>
      </c>
      <c r="R717" s="265" t="str">
        <f>IF(ResultsTeams[[#This Row],[Type]]="G",SUM(R718:R721),IF(LEFT(ResultsTeams[[#This Row],[Type]],1)="P",VALUE(ResultsTeams[[#This Row],[Score-B]]),""))</f>
        <v/>
      </c>
      <c r="S717" s="265" t="str">
        <f ca="1">IF(AND(ResultsTeams[[#This Row],[Category]]&lt;&gt;"",ResultsTeams[[#This Row],[Team A]]&lt;&gt;""),COUNTIF(INDIRECT("TeamsList[Club Name]"),ResultsTeams[[#This Row],[Team A]]),"")</f>
        <v/>
      </c>
      <c r="T717" s="265" t="str">
        <f ca="1">IF(AND(ResultsTeams[[#This Row],[Category]]&lt;&gt;"",ResultsTeams[[#This Row],[Team B]]&lt;&gt;""),COUNTIF(INDIRECT("TeamsList[Club Name]"),ResultsTeams[[#This Row],[Team B]]),"")</f>
        <v/>
      </c>
      <c r="U7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7" s="265" t="str">
        <f>IF(ResultsTeams[[#This Row],[Score_OK]],IF(ResultsTeams[[#This Row],[StageCpy]]="Groups",ResultsTeams[[#This Row],[Category]]&amp;"-"&amp;IF(ResultsTeams[[#This Row],[Team B]]="","",IF(ResultsTeams[[#This Row],[Match-A]]=ResultsTeams[[#This Row],[Match-B]],ResultsTeams[[#This Row],[Team A]],"")),""),"")</f>
        <v/>
      </c>
      <c r="W717" s="265" t="str">
        <f>IF(ResultsTeams[[#This Row],[Score_OK]],IF(ResultsTeams[[#This Row],[StageCpy]]="Groups",ResultsTeams[[#This Row],[Category]]&amp;"-"&amp;IF(ResultsTeams[[#This Row],[Team B]]="","",IF(ResultsTeams[[#This Row],[Match-A]]=ResultsTeams[[#This Row],[Match-B]],ResultsTeams[[#This Row],[Team B]],"")),""),"")</f>
        <v/>
      </c>
      <c r="X7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7" s="264" t="str">
        <f>IF(ResultsTeams[[#This Row],[Category]]="","",VLOOKUP(ResultsTeams[[#This Row],[Stage]],$R$1:$T$8,MATCH(ResultsTeams[[#This Row],[Category]],$S$1:$T$1,0)+1,FALSE))</f>
        <v/>
      </c>
      <c r="AC7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7" s="264" t="str">
        <f>IF(ResultsTeams[[#This Row],[Type]]="G",ResultsTeams[[#This Row],[Stage]],AD716)</f>
        <v>Last 8</v>
      </c>
      <c r="AE717" s="395" t="str">
        <f>IF(ResultsTeams[[#This Row],[Type]]="G",INDEX(TeamsList[Club Name],MATCH(ResultsTeams[[#This Row],[Team A]],TeamsList[Team Name],0)),AE716)</f>
        <v>JSC Rochefort</v>
      </c>
      <c r="AF717" s="395" t="str">
        <f>IF(ResultsTeams[[#This Row],[Type]]="G",INDEX(TeamsList[Club Name],MATCH(ResultsTeams[[#This Row],[Team B]],TeamsList[Team Name],0)),AF716)</f>
        <v>US Huy</v>
      </c>
      <c r="AG717" s="265"/>
    </row>
    <row r="718" spans="1:33" ht="12" thickBot="1" x14ac:dyDescent="0.25">
      <c r="A718" s="83"/>
      <c r="B718" s="83"/>
      <c r="C718" s="83"/>
      <c r="D718" s="83"/>
      <c r="E718" s="268" t="s">
        <v>12244</v>
      </c>
      <c r="F718" s="262"/>
      <c r="G718" s="262"/>
      <c r="H718" s="324"/>
      <c r="I718" s="324"/>
      <c r="J718" s="263"/>
      <c r="K718" s="365"/>
      <c r="L718" s="365"/>
      <c r="M718" s="84"/>
      <c r="N718" s="265" t="b">
        <f>NOT(ISERROR(ResultsTeams[[#This Row],[Goal-A]]+ResultsTeams[[#This Row],[Goal-B]]))</f>
        <v>0</v>
      </c>
      <c r="O718" s="265" t="str">
        <f>IF(ResultsTeams[[#This Row],[Type]]="G",SUM(O719:O722),IF(LEFT(ResultsTeams[[#This Row],[Type]],1)="P",IF(ResultsTeams[[#This Row],[Goal-A]]&gt;ResultsTeams[[#This Row],[Goal-B]],1,0),""))</f>
        <v/>
      </c>
      <c r="P718" s="265" t="str">
        <f>IF(ResultsTeams[[#This Row],[Type]]="G",SUM(P719:P722),IF(LEFT(ResultsTeams[[#This Row],[Type]],1)="P",IF(ResultsTeams[[#This Row],[Goal-A]]&lt;ResultsTeams[[#This Row],[Goal-B]],1,0),""))</f>
        <v/>
      </c>
      <c r="Q718" s="265" t="str">
        <f>IF(ResultsTeams[[#This Row],[Type]]="G",SUM(Q719:Q722),IF(LEFT(ResultsTeams[[#This Row],[Type]],1)="P",VALUE(ResultsTeams[[#This Row],[Score-A]]),""))</f>
        <v/>
      </c>
      <c r="R718" s="265" t="str">
        <f>IF(ResultsTeams[[#This Row],[Type]]="G",SUM(R719:R722),IF(LEFT(ResultsTeams[[#This Row],[Type]],1)="P",VALUE(ResultsTeams[[#This Row],[Score-B]]),""))</f>
        <v/>
      </c>
      <c r="S718" s="265" t="str">
        <f ca="1">IF(AND(ResultsTeams[[#This Row],[Category]]&lt;&gt;"",ResultsTeams[[#This Row],[Team A]]&lt;&gt;""),COUNTIF(INDIRECT("TeamsList[Club Name]"),ResultsTeams[[#This Row],[Team A]]),"")</f>
        <v/>
      </c>
      <c r="T718" s="265" t="str">
        <f ca="1">IF(AND(ResultsTeams[[#This Row],[Category]]&lt;&gt;"",ResultsTeams[[#This Row],[Team B]]&lt;&gt;""),COUNTIF(INDIRECT("TeamsList[Club Name]"),ResultsTeams[[#This Row],[Team B]]),"")</f>
        <v/>
      </c>
      <c r="U7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8" s="265" t="str">
        <f>IF(ResultsTeams[[#This Row],[Score_OK]],IF(ResultsTeams[[#This Row],[StageCpy]]="Groups",ResultsTeams[[#This Row],[Category]]&amp;"-"&amp;IF(ResultsTeams[[#This Row],[Team B]]="","",IF(ResultsTeams[[#This Row],[Match-A]]=ResultsTeams[[#This Row],[Match-B]],ResultsTeams[[#This Row],[Team A]],"")),""),"")</f>
        <v/>
      </c>
      <c r="W718" s="265" t="str">
        <f>IF(ResultsTeams[[#This Row],[Score_OK]],IF(ResultsTeams[[#This Row],[StageCpy]]="Groups",ResultsTeams[[#This Row],[Category]]&amp;"-"&amp;IF(ResultsTeams[[#This Row],[Team B]]="","",IF(ResultsTeams[[#This Row],[Match-A]]=ResultsTeams[[#This Row],[Match-B]],ResultsTeams[[#This Row],[Team B]],"")),""),"")</f>
        <v/>
      </c>
      <c r="X7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8" s="264" t="str">
        <f>IF(ResultsTeams[[#This Row],[Category]]="","",VLOOKUP(ResultsTeams[[#This Row],[Stage]],$R$1:$T$8,MATCH(ResultsTeams[[#This Row],[Category]],$S$1:$T$1,0)+1,FALSE))</f>
        <v/>
      </c>
      <c r="AC7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8" s="264" t="str">
        <f>IF(ResultsTeams[[#This Row],[Type]]="G",ResultsTeams[[#This Row],[Stage]],AD717)</f>
        <v>Last 8</v>
      </c>
      <c r="AE718" s="395" t="str">
        <f>IF(ResultsTeams[[#This Row],[Type]]="G",INDEX(TeamsList[Club Name],MATCH(ResultsTeams[[#This Row],[Team A]],TeamsList[Team Name],0)),AE717)</f>
        <v>JSC Rochefort</v>
      </c>
      <c r="AF718" s="395" t="str">
        <f>IF(ResultsTeams[[#This Row],[Type]]="G",INDEX(TeamsList[Club Name],MATCH(ResultsTeams[[#This Row],[Team B]],TeamsList[Team Name],0)),AF717)</f>
        <v>US Huy</v>
      </c>
      <c r="AG718" s="265"/>
    </row>
    <row r="719" spans="1:33" ht="12" thickBot="1" x14ac:dyDescent="0.25">
      <c r="A719" s="261" t="s">
        <v>12263</v>
      </c>
      <c r="B719" s="270" t="s">
        <v>12212</v>
      </c>
      <c r="C719" s="270"/>
      <c r="D719" s="270"/>
      <c r="E719" s="272" t="s">
        <v>12228</v>
      </c>
      <c r="F719" s="273" t="s">
        <v>340</v>
      </c>
      <c r="G719" s="273" t="s">
        <v>14587</v>
      </c>
      <c r="H719" s="275">
        <v>3</v>
      </c>
      <c r="I719" s="275">
        <v>0</v>
      </c>
      <c r="J719" s="275"/>
      <c r="K719" s="366"/>
      <c r="L719" s="366"/>
      <c r="M719" s="271"/>
      <c r="N719" s="265" t="b">
        <f>NOT(ISERROR(ResultsTeams[[#This Row],[Goal-A]]+ResultsTeams[[#This Row],[Goal-B]]))</f>
        <v>1</v>
      </c>
      <c r="O719" s="265">
        <f>IF(ResultsTeams[[#This Row],[Type]]="G",SUM(O720:O723),IF(LEFT(ResultsTeams[[#This Row],[Type]],1)="P",IF(ResultsTeams[[#This Row],[Goal-A]]&gt;ResultsTeams[[#This Row],[Goal-B]],1,0),""))</f>
        <v>3</v>
      </c>
      <c r="P719" s="265">
        <f>IF(ResultsTeams[[#This Row],[Type]]="G",SUM(P720:P723),IF(LEFT(ResultsTeams[[#This Row],[Type]],1)="P",IF(ResultsTeams[[#This Row],[Goal-A]]&lt;ResultsTeams[[#This Row],[Goal-B]],1,0),""))</f>
        <v>0</v>
      </c>
      <c r="Q719" s="265">
        <f>IF(ResultsTeams[[#This Row],[Type]]="G",SUM(Q720:Q723),IF(LEFT(ResultsTeams[[#This Row],[Type]],1)="P",VALUE(ResultsTeams[[#This Row],[Score-A]]),""))</f>
        <v>12</v>
      </c>
      <c r="R719" s="265">
        <f>IF(ResultsTeams[[#This Row],[Type]]="G",SUM(R720:R723),IF(LEFT(ResultsTeams[[#This Row],[Type]],1)="P",VALUE(ResultsTeams[[#This Row],[Score-B]]),""))</f>
        <v>4</v>
      </c>
      <c r="S719" s="265">
        <f ca="1">IF(AND(ResultsTeams[[#This Row],[Category]]&lt;&gt;"",ResultsTeams[[#This Row],[Team A]]&lt;&gt;""),COUNTIF(INDIRECT("TeamsList[Club Name]"),ResultsTeams[[#This Row],[Team A]]),"")</f>
        <v>2</v>
      </c>
      <c r="T719" s="265">
        <f ca="1">IF(AND(ResultsTeams[[#This Row],[Category]]&lt;&gt;"",ResultsTeams[[#This Row],[Team B]]&lt;&gt;""),COUNTIF(INDIRECT("TeamsList[Club Name]"),ResultsTeams[[#This Row],[Team B]]),"")</f>
        <v>0</v>
      </c>
      <c r="U7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9" s="265" t="str">
        <f>IF(ResultsTeams[[#This Row],[Score_OK]],IF(ResultsTeams[[#This Row],[StageCpy]]="Groups",ResultsTeams[[#This Row],[Category]]&amp;"-"&amp;IF(ResultsTeams[[#This Row],[Team B]]="","",IF(ResultsTeams[[#This Row],[Match-A]]=ResultsTeams[[#This Row],[Match-B]],ResultsTeams[[#This Row],[Team A]],"")),""),"")</f>
        <v/>
      </c>
      <c r="W719" s="265" t="str">
        <f>IF(ResultsTeams[[#This Row],[Score_OK]],IF(ResultsTeams[[#This Row],[StageCpy]]="Groups",ResultsTeams[[#This Row],[Category]]&amp;"-"&amp;IF(ResultsTeams[[#This Row],[Team B]]="","",IF(ResultsTeams[[#This Row],[Match-A]]=ResultsTeams[[#This Row],[Match-B]],ResultsTeams[[#This Row],[Team B]],"")),""),"")</f>
        <v/>
      </c>
      <c r="X7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CONSOLATION-Avenir Subbuteo Hennuyer 3</v>
      </c>
      <c r="Z719"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719"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719" s="264" t="e">
        <f>IF(ResultsTeams[[#This Row],[Category]]="","",VLOOKUP(ResultsTeams[[#This Row],[Stage]],$R$1:$T$8,MATCH(ResultsTeams[[#This Row],[Category]],$S$1:$T$1,0)+1,FALSE))</f>
        <v>#N/A</v>
      </c>
      <c r="AC719"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719" s="264" t="str">
        <f>IF(ResultsTeams[[#This Row],[Type]]="G",ResultsTeams[[#This Row],[Stage]],AD718)</f>
        <v>Last 8</v>
      </c>
      <c r="AE719" s="395" t="str">
        <f>IF(ResultsTeams[[#This Row],[Type]]="G",INDEX(TeamsList[Club Name],MATCH(ResultsTeams[[#This Row],[Team A]],TeamsList[Team Name],0)),AE718)</f>
        <v>Wamme SC</v>
      </c>
      <c r="AF719" s="395" t="str">
        <f>IF(ResultsTeams[[#This Row],[Type]]="G",INDEX(TeamsList[Club Name],MATCH(ResultsTeams[[#This Row],[Team B]],TeamsList[Team Name],0)),AF718)</f>
        <v>Avenir Subbuteo Hennuyer</v>
      </c>
      <c r="AG719" s="265"/>
    </row>
    <row r="720" spans="1:33" x14ac:dyDescent="0.2">
      <c r="A720" s="60"/>
      <c r="B720" s="280"/>
      <c r="C720" s="60"/>
      <c r="D720" s="60"/>
      <c r="E720" s="240" t="s">
        <v>12231</v>
      </c>
      <c r="F720" s="244" t="s">
        <v>8193</v>
      </c>
      <c r="G720" s="244" t="s">
        <v>8589</v>
      </c>
      <c r="H720" s="253">
        <v>3</v>
      </c>
      <c r="I720" s="253">
        <v>1</v>
      </c>
      <c r="J720" s="253"/>
      <c r="K720" s="362"/>
      <c r="L720" s="362"/>
      <c r="M720" s="61"/>
      <c r="N720" s="265" t="b">
        <f>NOT(ISERROR(ResultsTeams[[#This Row],[Goal-A]]+ResultsTeams[[#This Row],[Goal-B]]))</f>
        <v>1</v>
      </c>
      <c r="O720" s="265">
        <f>IF(ResultsTeams[[#This Row],[Type]]="G",SUM(O721:O724),IF(LEFT(ResultsTeams[[#This Row],[Type]],1)="P",IF(ResultsTeams[[#This Row],[Goal-A]]&gt;ResultsTeams[[#This Row],[Goal-B]],1,0),""))</f>
        <v>1</v>
      </c>
      <c r="P720" s="265">
        <f>IF(ResultsTeams[[#This Row],[Type]]="G",SUM(P721:P724),IF(LEFT(ResultsTeams[[#This Row],[Type]],1)="P",IF(ResultsTeams[[#This Row],[Goal-A]]&lt;ResultsTeams[[#This Row],[Goal-B]],1,0),""))</f>
        <v>0</v>
      </c>
      <c r="Q720" s="265">
        <f>IF(ResultsTeams[[#This Row],[Type]]="G",SUM(Q721:Q724),IF(LEFT(ResultsTeams[[#This Row],[Type]],1)="P",VALUE(ResultsTeams[[#This Row],[Score-A]]),""))</f>
        <v>3</v>
      </c>
      <c r="R720" s="265">
        <f>IF(ResultsTeams[[#This Row],[Type]]="G",SUM(R721:R724),IF(LEFT(ResultsTeams[[#This Row],[Type]],1)="P",VALUE(ResultsTeams[[#This Row],[Score-B]]),""))</f>
        <v>1</v>
      </c>
      <c r="S720" s="265" t="str">
        <f ca="1">IF(AND(ResultsTeams[[#This Row],[Category]]&lt;&gt;"",ResultsTeams[[#This Row],[Team A]]&lt;&gt;""),COUNTIF(INDIRECT("TeamsList[Club Name]"),ResultsTeams[[#This Row],[Team A]]),"")</f>
        <v/>
      </c>
      <c r="T720" s="265" t="str">
        <f ca="1">IF(AND(ResultsTeams[[#This Row],[Category]]&lt;&gt;"",ResultsTeams[[#This Row],[Team B]]&lt;&gt;""),COUNTIF(INDIRECT("TeamsList[Club Name]"),ResultsTeams[[#This Row],[Team B]]),"")</f>
        <v/>
      </c>
      <c r="U7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0" s="265" t="str">
        <f>IF(ResultsTeams[[#This Row],[Score_OK]],IF(ResultsTeams[[#This Row],[StageCpy]]="Groups",ResultsTeams[[#This Row],[Category]]&amp;"-"&amp;IF(ResultsTeams[[#This Row],[Team B]]="","",IF(ResultsTeams[[#This Row],[Match-A]]=ResultsTeams[[#This Row],[Match-B]],ResultsTeams[[#This Row],[Team A]],"")),""),"")</f>
        <v/>
      </c>
      <c r="W720" s="265" t="str">
        <f>IF(ResultsTeams[[#This Row],[Score_OK]],IF(ResultsTeams[[#This Row],[StageCpy]]="Groups",ResultsTeams[[#This Row],[Category]]&amp;"-"&amp;IF(ResultsTeams[[#This Row],[Team B]]="","",IF(ResultsTeams[[#This Row],[Match-A]]=ResultsTeams[[#This Row],[Match-B]],ResultsTeams[[#This Row],[Team B]],"")),""),"")</f>
        <v/>
      </c>
      <c r="X7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0" s="264" t="str">
        <f>IF(ResultsTeams[[#This Row],[Category]]="","",VLOOKUP(ResultsTeams[[#This Row],[Stage]],$R$1:$T$8,MATCH(ResultsTeams[[#This Row],[Category]],$S$1:$T$1,0)+1,FALSE))</f>
        <v/>
      </c>
      <c r="AC7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0" s="264" t="str">
        <f>IF(ResultsTeams[[#This Row],[Type]]="G",ResultsTeams[[#This Row],[Stage]],AD719)</f>
        <v>Last 8</v>
      </c>
      <c r="AE720" s="395" t="str">
        <f>IF(ResultsTeams[[#This Row],[Type]]="G",INDEX(TeamsList[Club Name],MATCH(ResultsTeams[[#This Row],[Team A]],TeamsList[Team Name],0)),AE719)</f>
        <v>Wamme SC</v>
      </c>
      <c r="AF720" s="395" t="str">
        <f>IF(ResultsTeams[[#This Row],[Type]]="G",INDEX(TeamsList[Club Name],MATCH(ResultsTeams[[#This Row],[Team B]],TeamsList[Team Name],0)),AF719)</f>
        <v>Avenir Subbuteo Hennuyer</v>
      </c>
      <c r="AG720" s="265"/>
    </row>
    <row r="721" spans="1:33" x14ac:dyDescent="0.2">
      <c r="A721" s="62"/>
      <c r="B721" s="280"/>
      <c r="C721" s="62"/>
      <c r="D721" s="62"/>
      <c r="E721" s="241" t="s">
        <v>12234</v>
      </c>
      <c r="F721" s="246" t="s">
        <v>8194</v>
      </c>
      <c r="G721" s="246" t="s">
        <v>8151</v>
      </c>
      <c r="H721" s="254">
        <v>3</v>
      </c>
      <c r="I721" s="254">
        <v>1</v>
      </c>
      <c r="J721" s="254"/>
      <c r="K721" s="363"/>
      <c r="L721" s="363"/>
      <c r="M721" s="63"/>
      <c r="N721" s="265" t="b">
        <f>NOT(ISERROR(ResultsTeams[[#This Row],[Goal-A]]+ResultsTeams[[#This Row],[Goal-B]]))</f>
        <v>1</v>
      </c>
      <c r="O721" s="265">
        <f>IF(ResultsTeams[[#This Row],[Type]]="G",SUM(O722:O725),IF(LEFT(ResultsTeams[[#This Row],[Type]],1)="P",IF(ResultsTeams[[#This Row],[Goal-A]]&gt;ResultsTeams[[#This Row],[Goal-B]],1,0),""))</f>
        <v>1</v>
      </c>
      <c r="P721" s="265">
        <f>IF(ResultsTeams[[#This Row],[Type]]="G",SUM(P722:P725),IF(LEFT(ResultsTeams[[#This Row],[Type]],1)="P",IF(ResultsTeams[[#This Row],[Goal-A]]&lt;ResultsTeams[[#This Row],[Goal-B]],1,0),""))</f>
        <v>0</v>
      </c>
      <c r="Q721" s="265">
        <f>IF(ResultsTeams[[#This Row],[Type]]="G",SUM(Q722:Q725),IF(LEFT(ResultsTeams[[#This Row],[Type]],1)="P",VALUE(ResultsTeams[[#This Row],[Score-A]]),""))</f>
        <v>3</v>
      </c>
      <c r="R721" s="265">
        <f>IF(ResultsTeams[[#This Row],[Type]]="G",SUM(R722:R725),IF(LEFT(ResultsTeams[[#This Row],[Type]],1)="P",VALUE(ResultsTeams[[#This Row],[Score-B]]),""))</f>
        <v>1</v>
      </c>
      <c r="S721" s="265" t="str">
        <f ca="1">IF(AND(ResultsTeams[[#This Row],[Category]]&lt;&gt;"",ResultsTeams[[#This Row],[Team A]]&lt;&gt;""),COUNTIF(INDIRECT("TeamsList[Club Name]"),ResultsTeams[[#This Row],[Team A]]),"")</f>
        <v/>
      </c>
      <c r="T721" s="265" t="str">
        <f ca="1">IF(AND(ResultsTeams[[#This Row],[Category]]&lt;&gt;"",ResultsTeams[[#This Row],[Team B]]&lt;&gt;""),COUNTIF(INDIRECT("TeamsList[Club Name]"),ResultsTeams[[#This Row],[Team B]]),"")</f>
        <v/>
      </c>
      <c r="U7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1" s="265" t="str">
        <f>IF(ResultsTeams[[#This Row],[Score_OK]],IF(ResultsTeams[[#This Row],[StageCpy]]="Groups",ResultsTeams[[#This Row],[Category]]&amp;"-"&amp;IF(ResultsTeams[[#This Row],[Team B]]="","",IF(ResultsTeams[[#This Row],[Match-A]]=ResultsTeams[[#This Row],[Match-B]],ResultsTeams[[#This Row],[Team A]],"")),""),"")</f>
        <v/>
      </c>
      <c r="W721" s="265" t="str">
        <f>IF(ResultsTeams[[#This Row],[Score_OK]],IF(ResultsTeams[[#This Row],[StageCpy]]="Groups",ResultsTeams[[#This Row],[Category]]&amp;"-"&amp;IF(ResultsTeams[[#This Row],[Team B]]="","",IF(ResultsTeams[[#This Row],[Match-A]]=ResultsTeams[[#This Row],[Match-B]],ResultsTeams[[#This Row],[Team B]],"")),""),"")</f>
        <v/>
      </c>
      <c r="X7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1" s="264" t="str">
        <f>IF(ResultsTeams[[#This Row],[Category]]="","",VLOOKUP(ResultsTeams[[#This Row],[Stage]],$R$1:$T$8,MATCH(ResultsTeams[[#This Row],[Category]],$S$1:$T$1,0)+1,FALSE))</f>
        <v/>
      </c>
      <c r="AC7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1" s="264" t="str">
        <f>IF(ResultsTeams[[#This Row],[Type]]="G",ResultsTeams[[#This Row],[Stage]],AD720)</f>
        <v>Last 8</v>
      </c>
      <c r="AE721" s="395" t="str">
        <f>IF(ResultsTeams[[#This Row],[Type]]="G",INDEX(TeamsList[Club Name],MATCH(ResultsTeams[[#This Row],[Team A]],TeamsList[Team Name],0)),AE720)</f>
        <v>Wamme SC</v>
      </c>
      <c r="AF721" s="395" t="str">
        <f>IF(ResultsTeams[[#This Row],[Type]]="G",INDEX(TeamsList[Club Name],MATCH(ResultsTeams[[#This Row],[Team B]],TeamsList[Team Name],0)),AF720)</f>
        <v>Avenir Subbuteo Hennuyer</v>
      </c>
      <c r="AG721" s="265"/>
    </row>
    <row r="722" spans="1:33" x14ac:dyDescent="0.2">
      <c r="A722" s="62"/>
      <c r="B722" s="280"/>
      <c r="C722" s="62"/>
      <c r="D722" s="62"/>
      <c r="E722" s="241" t="s">
        <v>12237</v>
      </c>
      <c r="F722" s="246" t="s">
        <v>8166</v>
      </c>
      <c r="G722" s="246" t="s">
        <v>8146</v>
      </c>
      <c r="H722" s="254">
        <v>4</v>
      </c>
      <c r="I722" s="254">
        <v>0</v>
      </c>
      <c r="J722" s="254"/>
      <c r="K722" s="363"/>
      <c r="L722" s="363"/>
      <c r="M722" s="63"/>
      <c r="N722" s="265" t="b">
        <f>NOT(ISERROR(ResultsTeams[[#This Row],[Goal-A]]+ResultsTeams[[#This Row],[Goal-B]]))</f>
        <v>1</v>
      </c>
      <c r="O722" s="265">
        <f>IF(ResultsTeams[[#This Row],[Type]]="G",SUM(O723:O726),IF(LEFT(ResultsTeams[[#This Row],[Type]],1)="P",IF(ResultsTeams[[#This Row],[Goal-A]]&gt;ResultsTeams[[#This Row],[Goal-B]],1,0),""))</f>
        <v>1</v>
      </c>
      <c r="P722" s="265">
        <f>IF(ResultsTeams[[#This Row],[Type]]="G",SUM(P723:P726),IF(LEFT(ResultsTeams[[#This Row],[Type]],1)="P",IF(ResultsTeams[[#This Row],[Goal-A]]&lt;ResultsTeams[[#This Row],[Goal-B]],1,0),""))</f>
        <v>0</v>
      </c>
      <c r="Q722" s="265">
        <f>IF(ResultsTeams[[#This Row],[Type]]="G",SUM(Q723:Q726),IF(LEFT(ResultsTeams[[#This Row],[Type]],1)="P",VALUE(ResultsTeams[[#This Row],[Score-A]]),""))</f>
        <v>4</v>
      </c>
      <c r="R722" s="265">
        <f>IF(ResultsTeams[[#This Row],[Type]]="G",SUM(R723:R726),IF(LEFT(ResultsTeams[[#This Row],[Type]],1)="P",VALUE(ResultsTeams[[#This Row],[Score-B]]),""))</f>
        <v>0</v>
      </c>
      <c r="S722" s="265" t="str">
        <f ca="1">IF(AND(ResultsTeams[[#This Row],[Category]]&lt;&gt;"",ResultsTeams[[#This Row],[Team A]]&lt;&gt;""),COUNTIF(INDIRECT("TeamsList[Club Name]"),ResultsTeams[[#This Row],[Team A]]),"")</f>
        <v/>
      </c>
      <c r="T722" s="265" t="str">
        <f ca="1">IF(AND(ResultsTeams[[#This Row],[Category]]&lt;&gt;"",ResultsTeams[[#This Row],[Team B]]&lt;&gt;""),COUNTIF(INDIRECT("TeamsList[Club Name]"),ResultsTeams[[#This Row],[Team B]]),"")</f>
        <v/>
      </c>
      <c r="U7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2" s="265" t="str">
        <f>IF(ResultsTeams[[#This Row],[Score_OK]],IF(ResultsTeams[[#This Row],[StageCpy]]="Groups",ResultsTeams[[#This Row],[Category]]&amp;"-"&amp;IF(ResultsTeams[[#This Row],[Team B]]="","",IF(ResultsTeams[[#This Row],[Match-A]]=ResultsTeams[[#This Row],[Match-B]],ResultsTeams[[#This Row],[Team A]],"")),""),"")</f>
        <v/>
      </c>
      <c r="W722" s="265" t="str">
        <f>IF(ResultsTeams[[#This Row],[Score_OK]],IF(ResultsTeams[[#This Row],[StageCpy]]="Groups",ResultsTeams[[#This Row],[Category]]&amp;"-"&amp;IF(ResultsTeams[[#This Row],[Team B]]="","",IF(ResultsTeams[[#This Row],[Match-A]]=ResultsTeams[[#This Row],[Match-B]],ResultsTeams[[#This Row],[Team B]],"")),""),"")</f>
        <v/>
      </c>
      <c r="X7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2" s="264" t="str">
        <f>IF(ResultsTeams[[#This Row],[Category]]="","",VLOOKUP(ResultsTeams[[#This Row],[Stage]],$R$1:$T$8,MATCH(ResultsTeams[[#This Row],[Category]],$S$1:$T$1,0)+1,FALSE))</f>
        <v/>
      </c>
      <c r="AC7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2" s="264" t="str">
        <f>IF(ResultsTeams[[#This Row],[Type]]="G",ResultsTeams[[#This Row],[Stage]],AD721)</f>
        <v>Last 8</v>
      </c>
      <c r="AE722" s="395" t="str">
        <f>IF(ResultsTeams[[#This Row],[Type]]="G",INDEX(TeamsList[Club Name],MATCH(ResultsTeams[[#This Row],[Team A]],TeamsList[Team Name],0)),AE721)</f>
        <v>Wamme SC</v>
      </c>
      <c r="AF722" s="395" t="str">
        <f>IF(ResultsTeams[[#This Row],[Type]]="G",INDEX(TeamsList[Club Name],MATCH(ResultsTeams[[#This Row],[Team B]],TeamsList[Team Name],0)),AF721)</f>
        <v>Avenir Subbuteo Hennuyer</v>
      </c>
      <c r="AG722" s="265"/>
    </row>
    <row r="723" spans="1:33" x14ac:dyDescent="0.2">
      <c r="A723" s="62"/>
      <c r="B723" s="280"/>
      <c r="C723" s="62"/>
      <c r="D723" s="62"/>
      <c r="E723" s="241" t="s">
        <v>12240</v>
      </c>
      <c r="F723" s="246" t="s">
        <v>8173</v>
      </c>
      <c r="G723" s="246" t="s">
        <v>8713</v>
      </c>
      <c r="H723" s="254">
        <v>2</v>
      </c>
      <c r="I723" s="254">
        <v>2</v>
      </c>
      <c r="J723" s="254"/>
      <c r="K723" s="363"/>
      <c r="L723" s="363"/>
      <c r="M723" s="63"/>
      <c r="N723" s="265" t="b">
        <f>NOT(ISERROR(ResultsTeams[[#This Row],[Goal-A]]+ResultsTeams[[#This Row],[Goal-B]]))</f>
        <v>1</v>
      </c>
      <c r="O723" s="265">
        <f>IF(ResultsTeams[[#This Row],[Type]]="G",SUM(O724:O727),IF(LEFT(ResultsTeams[[#This Row],[Type]],1)="P",IF(ResultsTeams[[#This Row],[Goal-A]]&gt;ResultsTeams[[#This Row],[Goal-B]],1,0),""))</f>
        <v>0</v>
      </c>
      <c r="P723" s="265">
        <f>IF(ResultsTeams[[#This Row],[Type]]="G",SUM(P724:P727),IF(LEFT(ResultsTeams[[#This Row],[Type]],1)="P",IF(ResultsTeams[[#This Row],[Goal-A]]&lt;ResultsTeams[[#This Row],[Goal-B]],1,0),""))</f>
        <v>0</v>
      </c>
      <c r="Q723" s="265">
        <f>IF(ResultsTeams[[#This Row],[Type]]="G",SUM(Q724:Q727),IF(LEFT(ResultsTeams[[#This Row],[Type]],1)="P",VALUE(ResultsTeams[[#This Row],[Score-A]]),""))</f>
        <v>2</v>
      </c>
      <c r="R723" s="265">
        <f>IF(ResultsTeams[[#This Row],[Type]]="G",SUM(R724:R727),IF(LEFT(ResultsTeams[[#This Row],[Type]],1)="P",VALUE(ResultsTeams[[#This Row],[Score-B]]),""))</f>
        <v>2</v>
      </c>
      <c r="S723" s="265" t="str">
        <f ca="1">IF(AND(ResultsTeams[[#This Row],[Category]]&lt;&gt;"",ResultsTeams[[#This Row],[Team A]]&lt;&gt;""),COUNTIF(INDIRECT("TeamsList[Club Name]"),ResultsTeams[[#This Row],[Team A]]),"")</f>
        <v/>
      </c>
      <c r="T723" s="265" t="str">
        <f ca="1">IF(AND(ResultsTeams[[#This Row],[Category]]&lt;&gt;"",ResultsTeams[[#This Row],[Team B]]&lt;&gt;""),COUNTIF(INDIRECT("TeamsList[Club Name]"),ResultsTeams[[#This Row],[Team B]]),"")</f>
        <v/>
      </c>
      <c r="U7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3" s="265" t="str">
        <f>IF(ResultsTeams[[#This Row],[Score_OK]],IF(ResultsTeams[[#This Row],[StageCpy]]="Groups",ResultsTeams[[#This Row],[Category]]&amp;"-"&amp;IF(ResultsTeams[[#This Row],[Team B]]="","",IF(ResultsTeams[[#This Row],[Match-A]]=ResultsTeams[[#This Row],[Match-B]],ResultsTeams[[#This Row],[Team A]],"")),""),"")</f>
        <v/>
      </c>
      <c r="W723" s="265" t="str">
        <f>IF(ResultsTeams[[#This Row],[Score_OK]],IF(ResultsTeams[[#This Row],[StageCpy]]="Groups",ResultsTeams[[#This Row],[Category]]&amp;"-"&amp;IF(ResultsTeams[[#This Row],[Team B]]="","",IF(ResultsTeams[[#This Row],[Match-A]]=ResultsTeams[[#This Row],[Match-B]],ResultsTeams[[#This Row],[Team B]],"")),""),"")</f>
        <v/>
      </c>
      <c r="X7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3" s="264" t="str">
        <f>IF(ResultsTeams[[#This Row],[Category]]="","",VLOOKUP(ResultsTeams[[#This Row],[Stage]],$R$1:$T$8,MATCH(ResultsTeams[[#This Row],[Category]],$S$1:$T$1,0)+1,FALSE))</f>
        <v/>
      </c>
      <c r="AC7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3" s="264" t="str">
        <f>IF(ResultsTeams[[#This Row],[Type]]="G",ResultsTeams[[#This Row],[Stage]],AD722)</f>
        <v>Last 8</v>
      </c>
      <c r="AE723" s="395" t="str">
        <f>IF(ResultsTeams[[#This Row],[Type]]="G",INDEX(TeamsList[Club Name],MATCH(ResultsTeams[[#This Row],[Team A]],TeamsList[Team Name],0)),AE722)</f>
        <v>Wamme SC</v>
      </c>
      <c r="AF723" s="395" t="str">
        <f>IF(ResultsTeams[[#This Row],[Type]]="G",INDEX(TeamsList[Club Name],MATCH(ResultsTeams[[#This Row],[Team B]],TeamsList[Team Name],0)),AF722)</f>
        <v>Avenir Subbuteo Hennuyer</v>
      </c>
      <c r="AG723" s="265"/>
    </row>
    <row r="724" spans="1:33" x14ac:dyDescent="0.2">
      <c r="A724" s="62"/>
      <c r="B724" s="62"/>
      <c r="C724" s="62"/>
      <c r="D724" s="62"/>
      <c r="E724" s="241" t="s">
        <v>12243</v>
      </c>
      <c r="F724" s="247"/>
      <c r="G724" s="247"/>
      <c r="H724" s="254"/>
      <c r="I724" s="254"/>
      <c r="J724" s="260"/>
      <c r="K724" s="364"/>
      <c r="L724" s="364"/>
      <c r="M724" s="63"/>
      <c r="N724" s="265" t="b">
        <f>NOT(ISERROR(ResultsTeams[[#This Row],[Goal-A]]+ResultsTeams[[#This Row],[Goal-B]]))</f>
        <v>0</v>
      </c>
      <c r="O724" s="265" t="str">
        <f>IF(ResultsTeams[[#This Row],[Type]]="G",SUM(O725:O728),IF(LEFT(ResultsTeams[[#This Row],[Type]],1)="P",IF(ResultsTeams[[#This Row],[Goal-A]]&gt;ResultsTeams[[#This Row],[Goal-B]],1,0),""))</f>
        <v/>
      </c>
      <c r="P724" s="265" t="str">
        <f>IF(ResultsTeams[[#This Row],[Type]]="G",SUM(P725:P728),IF(LEFT(ResultsTeams[[#This Row],[Type]],1)="P",IF(ResultsTeams[[#This Row],[Goal-A]]&lt;ResultsTeams[[#This Row],[Goal-B]],1,0),""))</f>
        <v/>
      </c>
      <c r="Q724" s="265" t="str">
        <f>IF(ResultsTeams[[#This Row],[Type]]="G",SUM(Q725:Q728),IF(LEFT(ResultsTeams[[#This Row],[Type]],1)="P",VALUE(ResultsTeams[[#This Row],[Score-A]]),""))</f>
        <v/>
      </c>
      <c r="R724" s="265" t="str">
        <f>IF(ResultsTeams[[#This Row],[Type]]="G",SUM(R725:R728),IF(LEFT(ResultsTeams[[#This Row],[Type]],1)="P",VALUE(ResultsTeams[[#This Row],[Score-B]]),""))</f>
        <v/>
      </c>
      <c r="S724" s="265" t="str">
        <f ca="1">IF(AND(ResultsTeams[[#This Row],[Category]]&lt;&gt;"",ResultsTeams[[#This Row],[Team A]]&lt;&gt;""),COUNTIF(INDIRECT("TeamsList[Club Name]"),ResultsTeams[[#This Row],[Team A]]),"")</f>
        <v/>
      </c>
      <c r="T724" s="265" t="str">
        <f ca="1">IF(AND(ResultsTeams[[#This Row],[Category]]&lt;&gt;"",ResultsTeams[[#This Row],[Team B]]&lt;&gt;""),COUNTIF(INDIRECT("TeamsList[Club Name]"),ResultsTeams[[#This Row],[Team B]]),"")</f>
        <v/>
      </c>
      <c r="U7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4" s="265" t="str">
        <f>IF(ResultsTeams[[#This Row],[Score_OK]],IF(ResultsTeams[[#This Row],[StageCpy]]="Groups",ResultsTeams[[#This Row],[Category]]&amp;"-"&amp;IF(ResultsTeams[[#This Row],[Team B]]="","",IF(ResultsTeams[[#This Row],[Match-A]]=ResultsTeams[[#This Row],[Match-B]],ResultsTeams[[#This Row],[Team A]],"")),""),"")</f>
        <v/>
      </c>
      <c r="W724" s="265" t="str">
        <f>IF(ResultsTeams[[#This Row],[Score_OK]],IF(ResultsTeams[[#This Row],[StageCpy]]="Groups",ResultsTeams[[#This Row],[Category]]&amp;"-"&amp;IF(ResultsTeams[[#This Row],[Team B]]="","",IF(ResultsTeams[[#This Row],[Match-A]]=ResultsTeams[[#This Row],[Match-B]],ResultsTeams[[#This Row],[Team B]],"")),""),"")</f>
        <v/>
      </c>
      <c r="X7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4" s="264" t="str">
        <f>IF(ResultsTeams[[#This Row],[Category]]="","",VLOOKUP(ResultsTeams[[#This Row],[Stage]],$R$1:$T$8,MATCH(ResultsTeams[[#This Row],[Category]],$S$1:$T$1,0)+1,FALSE))</f>
        <v/>
      </c>
      <c r="AC7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4" s="264" t="str">
        <f>IF(ResultsTeams[[#This Row],[Type]]="G",ResultsTeams[[#This Row],[Stage]],AD723)</f>
        <v>Last 8</v>
      </c>
      <c r="AE724" s="395" t="str">
        <f>IF(ResultsTeams[[#This Row],[Type]]="G",INDEX(TeamsList[Club Name],MATCH(ResultsTeams[[#This Row],[Team A]],TeamsList[Team Name],0)),AE723)</f>
        <v>Wamme SC</v>
      </c>
      <c r="AF724" s="395" t="str">
        <f>IF(ResultsTeams[[#This Row],[Type]]="G",INDEX(TeamsList[Club Name],MATCH(ResultsTeams[[#This Row],[Team B]],TeamsList[Team Name],0)),AF723)</f>
        <v>Avenir Subbuteo Hennuyer</v>
      </c>
      <c r="AG724" s="265"/>
    </row>
    <row r="725" spans="1:33" ht="12" thickBot="1" x14ac:dyDescent="0.25">
      <c r="A725" s="83"/>
      <c r="B725" s="83"/>
      <c r="C725" s="83"/>
      <c r="D725" s="83"/>
      <c r="E725" s="268" t="s">
        <v>12244</v>
      </c>
      <c r="F725" s="262"/>
      <c r="G725" s="262"/>
      <c r="H725" s="324"/>
      <c r="I725" s="324"/>
      <c r="J725" s="263"/>
      <c r="K725" s="365"/>
      <c r="L725" s="365"/>
      <c r="M725" s="84"/>
      <c r="N725" s="265" t="b">
        <f>NOT(ISERROR(ResultsTeams[[#This Row],[Goal-A]]+ResultsTeams[[#This Row],[Goal-B]]))</f>
        <v>0</v>
      </c>
      <c r="O725" s="265" t="str">
        <f>IF(ResultsTeams[[#This Row],[Type]]="G",SUM(O726:O729),IF(LEFT(ResultsTeams[[#This Row],[Type]],1)="P",IF(ResultsTeams[[#This Row],[Goal-A]]&gt;ResultsTeams[[#This Row],[Goal-B]],1,0),""))</f>
        <v/>
      </c>
      <c r="P725" s="265" t="str">
        <f>IF(ResultsTeams[[#This Row],[Type]]="G",SUM(P726:P729),IF(LEFT(ResultsTeams[[#This Row],[Type]],1)="P",IF(ResultsTeams[[#This Row],[Goal-A]]&lt;ResultsTeams[[#This Row],[Goal-B]],1,0),""))</f>
        <v/>
      </c>
      <c r="Q725" s="265" t="str">
        <f>IF(ResultsTeams[[#This Row],[Type]]="G",SUM(Q726:Q729),IF(LEFT(ResultsTeams[[#This Row],[Type]],1)="P",VALUE(ResultsTeams[[#This Row],[Score-A]]),""))</f>
        <v/>
      </c>
      <c r="R725" s="265" t="str">
        <f>IF(ResultsTeams[[#This Row],[Type]]="G",SUM(R726:R729),IF(LEFT(ResultsTeams[[#This Row],[Type]],1)="P",VALUE(ResultsTeams[[#This Row],[Score-B]]),""))</f>
        <v/>
      </c>
      <c r="S725" s="265" t="str">
        <f ca="1">IF(AND(ResultsTeams[[#This Row],[Category]]&lt;&gt;"",ResultsTeams[[#This Row],[Team A]]&lt;&gt;""),COUNTIF(INDIRECT("TeamsList[Club Name]"),ResultsTeams[[#This Row],[Team A]]),"")</f>
        <v/>
      </c>
      <c r="T725" s="265" t="str">
        <f ca="1">IF(AND(ResultsTeams[[#This Row],[Category]]&lt;&gt;"",ResultsTeams[[#This Row],[Team B]]&lt;&gt;""),COUNTIF(INDIRECT("TeamsList[Club Name]"),ResultsTeams[[#This Row],[Team B]]),"")</f>
        <v/>
      </c>
      <c r="U7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5" s="265" t="str">
        <f>IF(ResultsTeams[[#This Row],[Score_OK]],IF(ResultsTeams[[#This Row],[StageCpy]]="Groups",ResultsTeams[[#This Row],[Category]]&amp;"-"&amp;IF(ResultsTeams[[#This Row],[Team B]]="","",IF(ResultsTeams[[#This Row],[Match-A]]=ResultsTeams[[#This Row],[Match-B]],ResultsTeams[[#This Row],[Team A]],"")),""),"")</f>
        <v/>
      </c>
      <c r="W725" s="265" t="str">
        <f>IF(ResultsTeams[[#This Row],[Score_OK]],IF(ResultsTeams[[#This Row],[StageCpy]]="Groups",ResultsTeams[[#This Row],[Category]]&amp;"-"&amp;IF(ResultsTeams[[#This Row],[Team B]]="","",IF(ResultsTeams[[#This Row],[Match-A]]=ResultsTeams[[#This Row],[Match-B]],ResultsTeams[[#This Row],[Team B]],"")),""),"")</f>
        <v/>
      </c>
      <c r="X7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5" s="264" t="str">
        <f>IF(ResultsTeams[[#This Row],[Category]]="","",VLOOKUP(ResultsTeams[[#This Row],[Stage]],$R$1:$T$8,MATCH(ResultsTeams[[#This Row],[Category]],$S$1:$T$1,0)+1,FALSE))</f>
        <v/>
      </c>
      <c r="AC7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5" s="264" t="str">
        <f>IF(ResultsTeams[[#This Row],[Type]]="G",ResultsTeams[[#This Row],[Stage]],AD724)</f>
        <v>Last 8</v>
      </c>
      <c r="AE725" s="395" t="str">
        <f>IF(ResultsTeams[[#This Row],[Type]]="G",INDEX(TeamsList[Club Name],MATCH(ResultsTeams[[#This Row],[Team A]],TeamsList[Team Name],0)),AE724)</f>
        <v>Wamme SC</v>
      </c>
      <c r="AF725" s="395" t="str">
        <f>IF(ResultsTeams[[#This Row],[Type]]="G",INDEX(TeamsList[Club Name],MATCH(ResultsTeams[[#This Row],[Team B]],TeamsList[Team Name],0)),AF724)</f>
        <v>Avenir Subbuteo Hennuyer</v>
      </c>
      <c r="AG725" s="265"/>
    </row>
    <row r="726" spans="1:33" ht="12" thickBot="1" x14ac:dyDescent="0.25">
      <c r="A726" s="261" t="s">
        <v>12693</v>
      </c>
      <c r="B726" s="270" t="s">
        <v>12220</v>
      </c>
      <c r="C726" s="270"/>
      <c r="D726" s="270"/>
      <c r="E726" s="272" t="s">
        <v>12228</v>
      </c>
      <c r="F726" s="273" t="s">
        <v>789</v>
      </c>
      <c r="G726" s="273" t="s">
        <v>201</v>
      </c>
      <c r="H726" s="275">
        <v>1</v>
      </c>
      <c r="I726" s="275">
        <v>2</v>
      </c>
      <c r="J726" s="275"/>
      <c r="K726" s="366"/>
      <c r="L726" s="366"/>
      <c r="M726" s="274"/>
      <c r="N726" s="265" t="b">
        <f>NOT(ISERROR(ResultsTeams[[#This Row],[Goal-A]]+ResultsTeams[[#This Row],[Goal-B]]))</f>
        <v>1</v>
      </c>
      <c r="O726" s="265">
        <f>IF(ResultsTeams[[#This Row],[Type]]="G",SUM(O727:O730),IF(LEFT(ResultsTeams[[#This Row],[Type]],1)="P",IF(ResultsTeams[[#This Row],[Goal-A]]&gt;ResultsTeams[[#This Row],[Goal-B]],1,0),""))</f>
        <v>1</v>
      </c>
      <c r="P726" s="265">
        <f>IF(ResultsTeams[[#This Row],[Type]]="G",SUM(P727:P730),IF(LEFT(ResultsTeams[[#This Row],[Type]],1)="P",IF(ResultsTeams[[#This Row],[Goal-A]]&lt;ResultsTeams[[#This Row],[Goal-B]],1,0),""))</f>
        <v>2</v>
      </c>
      <c r="Q726" s="265">
        <f>IF(ResultsTeams[[#This Row],[Type]]="G",SUM(Q727:Q730),IF(LEFT(ResultsTeams[[#This Row],[Type]],1)="P",VALUE(ResultsTeams[[#This Row],[Score-A]]),""))</f>
        <v>12</v>
      </c>
      <c r="R726" s="265">
        <f>IF(ResultsTeams[[#This Row],[Type]]="G",SUM(R727:R730),IF(LEFT(ResultsTeams[[#This Row],[Type]],1)="P",VALUE(ResultsTeams[[#This Row],[Score-B]]),""))</f>
        <v>12</v>
      </c>
      <c r="S726" s="265">
        <f ca="1">IF(AND(ResultsTeams[[#This Row],[Category]]&lt;&gt;"",ResultsTeams[[#This Row],[Team A]]&lt;&gt;""),COUNTIF(INDIRECT("TeamsList[Club Name]"),ResultsTeams[[#This Row],[Team A]]),"")</f>
        <v>1</v>
      </c>
      <c r="T726" s="265">
        <f ca="1">IF(AND(ResultsTeams[[#This Row],[Category]]&lt;&gt;"",ResultsTeams[[#This Row],[Team B]]&lt;&gt;""),COUNTIF(INDIRECT("TeamsList[Club Name]"),ResultsTeams[[#This Row],[Team B]]),"")</f>
        <v>1</v>
      </c>
      <c r="U7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6" s="265" t="str">
        <f>IF(ResultsTeams[[#This Row],[Score_OK]],IF(ResultsTeams[[#This Row],[StageCpy]]="Groups",ResultsTeams[[#This Row],[Category]]&amp;"-"&amp;IF(ResultsTeams[[#This Row],[Team B]]="","",IF(ResultsTeams[[#This Row],[Match-A]]=ResultsTeams[[#This Row],[Match-B]],ResultsTeams[[#This Row],[Team A]],"")),""),"")</f>
        <v/>
      </c>
      <c r="W726" s="265" t="str">
        <f>IF(ResultsTeams[[#This Row],[Score_OK]],IF(ResultsTeams[[#This Row],[StageCpy]]="Groups",ResultsTeams[[#This Row],[Category]]&amp;"-"&amp;IF(ResultsTeams[[#This Row],[Team B]]="","",IF(ResultsTeams[[#This Row],[Match-A]]=ResultsTeams[[#This Row],[Match-B]],ResultsTeams[[#This Row],[Team B]],"")),""),"")</f>
        <v/>
      </c>
      <c r="X7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TEAM-Valletta SC</v>
      </c>
      <c r="Z7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S</v>
      </c>
      <c r="AA7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S</v>
      </c>
      <c r="AB726" s="264" t="str">
        <f>IF(ResultsTeams[[#This Row],[Category]]="","",VLOOKUP(ResultsTeams[[#This Row],[Stage]],$R$1:$T$8,MATCH(ResultsTeams[[#This Row],[Category]],$S$1:$T$1,0)+1,FALSE))</f>
        <v>S</v>
      </c>
      <c r="AC7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6" s="264" t="str">
        <f>IF(ResultsTeams[[#This Row],[Type]]="G",ResultsTeams[[#This Row],[Stage]],AD725)</f>
        <v>Semifinals</v>
      </c>
      <c r="AE726" s="395" t="str">
        <f>IF(ResultsTeams[[#This Row],[Type]]="G",INDEX(TeamsList[Club Name],MATCH(ResultsTeams[[#This Row],[Team A]],TeamsList[Team Name],0)),AE725)</f>
        <v>Valletta SC</v>
      </c>
      <c r="AF726" s="395" t="str">
        <f>IF(ResultsTeams[[#This Row],[Type]]="G",INDEX(TeamsList[Club Name],MATCH(ResultsTeams[[#This Row],[Team B]],TeamsList[Team Name],0)),AF725)</f>
        <v>CCT Eagles Napoli</v>
      </c>
      <c r="AG726" s="265"/>
    </row>
    <row r="727" spans="1:33" x14ac:dyDescent="0.2">
      <c r="A727" s="60"/>
      <c r="B727" s="280"/>
      <c r="C727" s="60"/>
      <c r="D727" s="60"/>
      <c r="E727" s="240" t="s">
        <v>12231</v>
      </c>
      <c r="F727" s="244" t="s">
        <v>9787</v>
      </c>
      <c r="G727" s="244" t="s">
        <v>10089</v>
      </c>
      <c r="H727" s="253">
        <v>4</v>
      </c>
      <c r="I727" s="253">
        <v>4</v>
      </c>
      <c r="J727" s="253"/>
      <c r="K727" s="362"/>
      <c r="L727" s="362"/>
      <c r="M727" s="245"/>
      <c r="N727" s="265" t="b">
        <f>NOT(ISERROR(ResultsTeams[[#This Row],[Goal-A]]+ResultsTeams[[#This Row],[Goal-B]]))</f>
        <v>1</v>
      </c>
      <c r="O727" s="265">
        <f>IF(ResultsTeams[[#This Row],[Type]]="G",SUM(O728:O731),IF(LEFT(ResultsTeams[[#This Row],[Type]],1)="P",IF(ResultsTeams[[#This Row],[Goal-A]]&gt;ResultsTeams[[#This Row],[Goal-B]],1,0),""))</f>
        <v>0</v>
      </c>
      <c r="P727" s="265">
        <f>IF(ResultsTeams[[#This Row],[Type]]="G",SUM(P728:P731),IF(LEFT(ResultsTeams[[#This Row],[Type]],1)="P",IF(ResultsTeams[[#This Row],[Goal-A]]&lt;ResultsTeams[[#This Row],[Goal-B]],1,0),""))</f>
        <v>0</v>
      </c>
      <c r="Q727" s="265">
        <f>IF(ResultsTeams[[#This Row],[Type]]="G",SUM(Q728:Q731),IF(LEFT(ResultsTeams[[#This Row],[Type]],1)="P",VALUE(ResultsTeams[[#This Row],[Score-A]]),""))</f>
        <v>4</v>
      </c>
      <c r="R727" s="265">
        <f>IF(ResultsTeams[[#This Row],[Type]]="G",SUM(R728:R731),IF(LEFT(ResultsTeams[[#This Row],[Type]],1)="P",VALUE(ResultsTeams[[#This Row],[Score-B]]),""))</f>
        <v>4</v>
      </c>
      <c r="S727" s="265" t="str">
        <f ca="1">IF(AND(ResultsTeams[[#This Row],[Category]]&lt;&gt;"",ResultsTeams[[#This Row],[Team A]]&lt;&gt;""),COUNTIF(INDIRECT("TeamsList[Club Name]"),ResultsTeams[[#This Row],[Team A]]),"")</f>
        <v/>
      </c>
      <c r="T727" s="265" t="str">
        <f ca="1">IF(AND(ResultsTeams[[#This Row],[Category]]&lt;&gt;"",ResultsTeams[[#This Row],[Team B]]&lt;&gt;""),COUNTIF(INDIRECT("TeamsList[Club Name]"),ResultsTeams[[#This Row],[Team B]]),"")</f>
        <v/>
      </c>
      <c r="U7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7" s="265" t="str">
        <f>IF(ResultsTeams[[#This Row],[Score_OK]],IF(ResultsTeams[[#This Row],[StageCpy]]="Groups",ResultsTeams[[#This Row],[Category]]&amp;"-"&amp;IF(ResultsTeams[[#This Row],[Team B]]="","",IF(ResultsTeams[[#This Row],[Match-A]]=ResultsTeams[[#This Row],[Match-B]],ResultsTeams[[#This Row],[Team A]],"")),""),"")</f>
        <v/>
      </c>
      <c r="W727" s="265" t="str">
        <f>IF(ResultsTeams[[#This Row],[Score_OK]],IF(ResultsTeams[[#This Row],[StageCpy]]="Groups",ResultsTeams[[#This Row],[Category]]&amp;"-"&amp;IF(ResultsTeams[[#This Row],[Team B]]="","",IF(ResultsTeams[[#This Row],[Match-A]]=ResultsTeams[[#This Row],[Match-B]],ResultsTeams[[#This Row],[Team B]],"")),""),"")</f>
        <v/>
      </c>
      <c r="X7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7" s="264" t="str">
        <f>IF(ResultsTeams[[#This Row],[Category]]="","",VLOOKUP(ResultsTeams[[#This Row],[Stage]],$R$1:$T$8,MATCH(ResultsTeams[[#This Row],[Category]],$S$1:$T$1,0)+1,FALSE))</f>
        <v/>
      </c>
      <c r="AC7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7" s="264" t="str">
        <f>IF(ResultsTeams[[#This Row],[Type]]="G",ResultsTeams[[#This Row],[Stage]],AD726)</f>
        <v>Semifinals</v>
      </c>
      <c r="AE727" s="395" t="str">
        <f>IF(ResultsTeams[[#This Row],[Type]]="G",INDEX(TeamsList[Club Name],MATCH(ResultsTeams[[#This Row],[Team A]],TeamsList[Team Name],0)),AE726)</f>
        <v>Valletta SC</v>
      </c>
      <c r="AF727" s="395" t="str">
        <f>IF(ResultsTeams[[#This Row],[Type]]="G",INDEX(TeamsList[Club Name],MATCH(ResultsTeams[[#This Row],[Team B]],TeamsList[Team Name],0)),AF726)</f>
        <v>CCT Eagles Napoli</v>
      </c>
      <c r="AG727" s="265"/>
    </row>
    <row r="728" spans="1:33" x14ac:dyDescent="0.2">
      <c r="A728" s="62"/>
      <c r="B728" s="280"/>
      <c r="C728" s="62"/>
      <c r="D728" s="62"/>
      <c r="E728" s="241" t="s">
        <v>12234</v>
      </c>
      <c r="F728" s="246" t="s">
        <v>10426</v>
      </c>
      <c r="G728" s="246" t="s">
        <v>8089</v>
      </c>
      <c r="H728" s="254">
        <v>3</v>
      </c>
      <c r="I728" s="254">
        <v>4</v>
      </c>
      <c r="J728" s="254"/>
      <c r="K728" s="363"/>
      <c r="L728" s="363"/>
      <c r="M728" s="247"/>
      <c r="N728" s="265" t="b">
        <f>NOT(ISERROR(ResultsTeams[[#This Row],[Goal-A]]+ResultsTeams[[#This Row],[Goal-B]]))</f>
        <v>1</v>
      </c>
      <c r="O728" s="265">
        <f>IF(ResultsTeams[[#This Row],[Type]]="G",SUM(O729:O732),IF(LEFT(ResultsTeams[[#This Row],[Type]],1)="P",IF(ResultsTeams[[#This Row],[Goal-A]]&gt;ResultsTeams[[#This Row],[Goal-B]],1,0),""))</f>
        <v>0</v>
      </c>
      <c r="P728" s="265">
        <f>IF(ResultsTeams[[#This Row],[Type]]="G",SUM(P729:P732),IF(LEFT(ResultsTeams[[#This Row],[Type]],1)="P",IF(ResultsTeams[[#This Row],[Goal-A]]&lt;ResultsTeams[[#This Row],[Goal-B]],1,0),""))</f>
        <v>1</v>
      </c>
      <c r="Q728" s="265">
        <f>IF(ResultsTeams[[#This Row],[Type]]="G",SUM(Q729:Q732),IF(LEFT(ResultsTeams[[#This Row],[Type]],1)="P",VALUE(ResultsTeams[[#This Row],[Score-A]]),""))</f>
        <v>3</v>
      </c>
      <c r="R728" s="265">
        <f>IF(ResultsTeams[[#This Row],[Type]]="G",SUM(R729:R732),IF(LEFT(ResultsTeams[[#This Row],[Type]],1)="P",VALUE(ResultsTeams[[#This Row],[Score-B]]),""))</f>
        <v>4</v>
      </c>
      <c r="S728" s="265" t="str">
        <f ca="1">IF(AND(ResultsTeams[[#This Row],[Category]]&lt;&gt;"",ResultsTeams[[#This Row],[Team A]]&lt;&gt;""),COUNTIF(INDIRECT("TeamsList[Club Name]"),ResultsTeams[[#This Row],[Team A]]),"")</f>
        <v/>
      </c>
      <c r="T728" s="265" t="str">
        <f ca="1">IF(AND(ResultsTeams[[#This Row],[Category]]&lt;&gt;"",ResultsTeams[[#This Row],[Team B]]&lt;&gt;""),COUNTIF(INDIRECT("TeamsList[Club Name]"),ResultsTeams[[#This Row],[Team B]]),"")</f>
        <v/>
      </c>
      <c r="U7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8" s="265" t="str">
        <f>IF(ResultsTeams[[#This Row],[Score_OK]],IF(ResultsTeams[[#This Row],[StageCpy]]="Groups",ResultsTeams[[#This Row],[Category]]&amp;"-"&amp;IF(ResultsTeams[[#This Row],[Team B]]="","",IF(ResultsTeams[[#This Row],[Match-A]]=ResultsTeams[[#This Row],[Match-B]],ResultsTeams[[#This Row],[Team A]],"")),""),"")</f>
        <v/>
      </c>
      <c r="W728" s="265" t="str">
        <f>IF(ResultsTeams[[#This Row],[Score_OK]],IF(ResultsTeams[[#This Row],[StageCpy]]="Groups",ResultsTeams[[#This Row],[Category]]&amp;"-"&amp;IF(ResultsTeams[[#This Row],[Team B]]="","",IF(ResultsTeams[[#This Row],[Match-A]]=ResultsTeams[[#This Row],[Match-B]],ResultsTeams[[#This Row],[Team B]],"")),""),"")</f>
        <v/>
      </c>
      <c r="X7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8" s="264" t="str">
        <f>IF(ResultsTeams[[#This Row],[Category]]="","",VLOOKUP(ResultsTeams[[#This Row],[Stage]],$R$1:$T$8,MATCH(ResultsTeams[[#This Row],[Category]],$S$1:$T$1,0)+1,FALSE))</f>
        <v/>
      </c>
      <c r="AC7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8" s="264" t="str">
        <f>IF(ResultsTeams[[#This Row],[Type]]="G",ResultsTeams[[#This Row],[Stage]],AD727)</f>
        <v>Semifinals</v>
      </c>
      <c r="AE728" s="395" t="str">
        <f>IF(ResultsTeams[[#This Row],[Type]]="G",INDEX(TeamsList[Club Name],MATCH(ResultsTeams[[#This Row],[Team A]],TeamsList[Team Name],0)),AE727)</f>
        <v>Valletta SC</v>
      </c>
      <c r="AF728" s="395" t="str">
        <f>IF(ResultsTeams[[#This Row],[Type]]="G",INDEX(TeamsList[Club Name],MATCH(ResultsTeams[[#This Row],[Team B]],TeamsList[Team Name],0)),AF727)</f>
        <v>CCT Eagles Napoli</v>
      </c>
      <c r="AG728" s="265"/>
    </row>
    <row r="729" spans="1:33" x14ac:dyDescent="0.2">
      <c r="A729" s="62"/>
      <c r="B729" s="280"/>
      <c r="C729" s="62"/>
      <c r="D729" s="62"/>
      <c r="E729" s="241" t="s">
        <v>12237</v>
      </c>
      <c r="F729" s="246" t="s">
        <v>8129</v>
      </c>
      <c r="G729" s="246" t="s">
        <v>9827</v>
      </c>
      <c r="H729" s="254">
        <v>1</v>
      </c>
      <c r="I729" s="254">
        <v>3</v>
      </c>
      <c r="J729" s="254"/>
      <c r="K729" s="363"/>
      <c r="L729" s="363"/>
      <c r="M729" s="247"/>
      <c r="N729" s="265" t="b">
        <f>NOT(ISERROR(ResultsTeams[[#This Row],[Goal-A]]+ResultsTeams[[#This Row],[Goal-B]]))</f>
        <v>1</v>
      </c>
      <c r="O729" s="265">
        <f>IF(ResultsTeams[[#This Row],[Type]]="G",SUM(O730:O733),IF(LEFT(ResultsTeams[[#This Row],[Type]],1)="P",IF(ResultsTeams[[#This Row],[Goal-A]]&gt;ResultsTeams[[#This Row],[Goal-B]],1,0),""))</f>
        <v>0</v>
      </c>
      <c r="P729" s="265">
        <f>IF(ResultsTeams[[#This Row],[Type]]="G",SUM(P730:P733),IF(LEFT(ResultsTeams[[#This Row],[Type]],1)="P",IF(ResultsTeams[[#This Row],[Goal-A]]&lt;ResultsTeams[[#This Row],[Goal-B]],1,0),""))</f>
        <v>1</v>
      </c>
      <c r="Q729" s="265">
        <f>IF(ResultsTeams[[#This Row],[Type]]="G",SUM(Q730:Q733),IF(LEFT(ResultsTeams[[#This Row],[Type]],1)="P",VALUE(ResultsTeams[[#This Row],[Score-A]]),""))</f>
        <v>1</v>
      </c>
      <c r="R729" s="265">
        <f>IF(ResultsTeams[[#This Row],[Type]]="G",SUM(R730:R733),IF(LEFT(ResultsTeams[[#This Row],[Type]],1)="P",VALUE(ResultsTeams[[#This Row],[Score-B]]),""))</f>
        <v>3</v>
      </c>
      <c r="S729" s="265" t="str">
        <f ca="1">IF(AND(ResultsTeams[[#This Row],[Category]]&lt;&gt;"",ResultsTeams[[#This Row],[Team A]]&lt;&gt;""),COUNTIF(INDIRECT("TeamsList[Club Name]"),ResultsTeams[[#This Row],[Team A]]),"")</f>
        <v/>
      </c>
      <c r="T729" s="265" t="str">
        <f ca="1">IF(AND(ResultsTeams[[#This Row],[Category]]&lt;&gt;"",ResultsTeams[[#This Row],[Team B]]&lt;&gt;""),COUNTIF(INDIRECT("TeamsList[Club Name]"),ResultsTeams[[#This Row],[Team B]]),"")</f>
        <v/>
      </c>
      <c r="U7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9" s="265" t="str">
        <f>IF(ResultsTeams[[#This Row],[Score_OK]],IF(ResultsTeams[[#This Row],[StageCpy]]="Groups",ResultsTeams[[#This Row],[Category]]&amp;"-"&amp;IF(ResultsTeams[[#This Row],[Team B]]="","",IF(ResultsTeams[[#This Row],[Match-A]]=ResultsTeams[[#This Row],[Match-B]],ResultsTeams[[#This Row],[Team A]],"")),""),"")</f>
        <v/>
      </c>
      <c r="W729" s="265" t="str">
        <f>IF(ResultsTeams[[#This Row],[Score_OK]],IF(ResultsTeams[[#This Row],[StageCpy]]="Groups",ResultsTeams[[#This Row],[Category]]&amp;"-"&amp;IF(ResultsTeams[[#This Row],[Team B]]="","",IF(ResultsTeams[[#This Row],[Match-A]]=ResultsTeams[[#This Row],[Match-B]],ResultsTeams[[#This Row],[Team B]],"")),""),"")</f>
        <v/>
      </c>
      <c r="X7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9" s="264" t="str">
        <f>IF(ResultsTeams[[#This Row],[Category]]="","",VLOOKUP(ResultsTeams[[#This Row],[Stage]],$R$1:$T$8,MATCH(ResultsTeams[[#This Row],[Category]],$S$1:$T$1,0)+1,FALSE))</f>
        <v/>
      </c>
      <c r="AC7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9" s="264" t="str">
        <f>IF(ResultsTeams[[#This Row],[Type]]="G",ResultsTeams[[#This Row],[Stage]],AD728)</f>
        <v>Semifinals</v>
      </c>
      <c r="AE729" s="395" t="str">
        <f>IF(ResultsTeams[[#This Row],[Type]]="G",INDEX(TeamsList[Club Name],MATCH(ResultsTeams[[#This Row],[Team A]],TeamsList[Team Name],0)),AE728)</f>
        <v>Valletta SC</v>
      </c>
      <c r="AF729" s="395" t="str">
        <f>IF(ResultsTeams[[#This Row],[Type]]="G",INDEX(TeamsList[Club Name],MATCH(ResultsTeams[[#This Row],[Team B]],TeamsList[Team Name],0)),AF728)</f>
        <v>CCT Eagles Napoli</v>
      </c>
      <c r="AG729" s="265"/>
    </row>
    <row r="730" spans="1:33" x14ac:dyDescent="0.2">
      <c r="A730" s="62"/>
      <c r="B730" s="280"/>
      <c r="C730" s="62"/>
      <c r="D730" s="62"/>
      <c r="E730" s="241" t="s">
        <v>12240</v>
      </c>
      <c r="F730" s="246" t="s">
        <v>10415</v>
      </c>
      <c r="G730" s="246" t="s">
        <v>10281</v>
      </c>
      <c r="H730" s="254">
        <v>4</v>
      </c>
      <c r="I730" s="254">
        <v>1</v>
      </c>
      <c r="J730" s="254"/>
      <c r="K730" s="363"/>
      <c r="L730" s="363"/>
      <c r="M730" s="247"/>
      <c r="N730" s="265" t="b">
        <f>NOT(ISERROR(ResultsTeams[[#This Row],[Goal-A]]+ResultsTeams[[#This Row],[Goal-B]]))</f>
        <v>1</v>
      </c>
      <c r="O730" s="265">
        <f>IF(ResultsTeams[[#This Row],[Type]]="G",SUM(O731:O734),IF(LEFT(ResultsTeams[[#This Row],[Type]],1)="P",IF(ResultsTeams[[#This Row],[Goal-A]]&gt;ResultsTeams[[#This Row],[Goal-B]],1,0),""))</f>
        <v>1</v>
      </c>
      <c r="P730" s="265">
        <f>IF(ResultsTeams[[#This Row],[Type]]="G",SUM(P731:P734),IF(LEFT(ResultsTeams[[#This Row],[Type]],1)="P",IF(ResultsTeams[[#This Row],[Goal-A]]&lt;ResultsTeams[[#This Row],[Goal-B]],1,0),""))</f>
        <v>0</v>
      </c>
      <c r="Q730" s="265">
        <f>IF(ResultsTeams[[#This Row],[Type]]="G",SUM(Q731:Q734),IF(LEFT(ResultsTeams[[#This Row],[Type]],1)="P",VALUE(ResultsTeams[[#This Row],[Score-A]]),""))</f>
        <v>4</v>
      </c>
      <c r="R730" s="265">
        <f>IF(ResultsTeams[[#This Row],[Type]]="G",SUM(R731:R734),IF(LEFT(ResultsTeams[[#This Row],[Type]],1)="P",VALUE(ResultsTeams[[#This Row],[Score-B]]),""))</f>
        <v>1</v>
      </c>
      <c r="S730" s="265" t="str">
        <f ca="1">IF(AND(ResultsTeams[[#This Row],[Category]]&lt;&gt;"",ResultsTeams[[#This Row],[Team A]]&lt;&gt;""),COUNTIF(INDIRECT("TeamsList[Club Name]"),ResultsTeams[[#This Row],[Team A]]),"")</f>
        <v/>
      </c>
      <c r="T730" s="265" t="str">
        <f ca="1">IF(AND(ResultsTeams[[#This Row],[Category]]&lt;&gt;"",ResultsTeams[[#This Row],[Team B]]&lt;&gt;""),COUNTIF(INDIRECT("TeamsList[Club Name]"),ResultsTeams[[#This Row],[Team B]]),"")</f>
        <v/>
      </c>
      <c r="U7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0" s="265" t="str">
        <f>IF(ResultsTeams[[#This Row],[Score_OK]],IF(ResultsTeams[[#This Row],[StageCpy]]="Groups",ResultsTeams[[#This Row],[Category]]&amp;"-"&amp;IF(ResultsTeams[[#This Row],[Team B]]="","",IF(ResultsTeams[[#This Row],[Match-A]]=ResultsTeams[[#This Row],[Match-B]],ResultsTeams[[#This Row],[Team A]],"")),""),"")</f>
        <v/>
      </c>
      <c r="W730" s="265" t="str">
        <f>IF(ResultsTeams[[#This Row],[Score_OK]],IF(ResultsTeams[[#This Row],[StageCpy]]="Groups",ResultsTeams[[#This Row],[Category]]&amp;"-"&amp;IF(ResultsTeams[[#This Row],[Team B]]="","",IF(ResultsTeams[[#This Row],[Match-A]]=ResultsTeams[[#This Row],[Match-B]],ResultsTeams[[#This Row],[Team B]],"")),""),"")</f>
        <v/>
      </c>
      <c r="X7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0" s="264" t="str">
        <f>IF(ResultsTeams[[#This Row],[Category]]="","",VLOOKUP(ResultsTeams[[#This Row],[Stage]],$R$1:$T$8,MATCH(ResultsTeams[[#This Row],[Category]],$S$1:$T$1,0)+1,FALSE))</f>
        <v/>
      </c>
      <c r="AC7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0" s="264" t="str">
        <f>IF(ResultsTeams[[#This Row],[Type]]="G",ResultsTeams[[#This Row],[Stage]],AD729)</f>
        <v>Semifinals</v>
      </c>
      <c r="AE730" s="395" t="str">
        <f>IF(ResultsTeams[[#This Row],[Type]]="G",INDEX(TeamsList[Club Name],MATCH(ResultsTeams[[#This Row],[Team A]],TeamsList[Team Name],0)),AE729)</f>
        <v>Valletta SC</v>
      </c>
      <c r="AF730" s="395" t="str">
        <f>IF(ResultsTeams[[#This Row],[Type]]="G",INDEX(TeamsList[Club Name],MATCH(ResultsTeams[[#This Row],[Team B]],TeamsList[Team Name],0)),AF729)</f>
        <v>CCT Eagles Napoli</v>
      </c>
      <c r="AG730" s="265"/>
    </row>
    <row r="731" spans="1:33" x14ac:dyDescent="0.2">
      <c r="A731" s="62"/>
      <c r="B731" s="62"/>
      <c r="C731" s="62"/>
      <c r="D731" s="62"/>
      <c r="E731" s="241" t="s">
        <v>12243</v>
      </c>
      <c r="F731" s="247"/>
      <c r="G731" s="247"/>
      <c r="H731" s="254"/>
      <c r="I731" s="254"/>
      <c r="J731" s="260"/>
      <c r="K731" s="364"/>
      <c r="L731" s="364"/>
      <c r="M731" s="247"/>
      <c r="N731" s="265" t="b">
        <f>NOT(ISERROR(ResultsTeams[[#This Row],[Goal-A]]+ResultsTeams[[#This Row],[Goal-B]]))</f>
        <v>0</v>
      </c>
      <c r="O731" s="265" t="str">
        <f>IF(ResultsTeams[[#This Row],[Type]]="G",SUM(O732:O735),IF(LEFT(ResultsTeams[[#This Row],[Type]],1)="P",IF(ResultsTeams[[#This Row],[Goal-A]]&gt;ResultsTeams[[#This Row],[Goal-B]],1,0),""))</f>
        <v/>
      </c>
      <c r="P731" s="265" t="str">
        <f>IF(ResultsTeams[[#This Row],[Type]]="G",SUM(P732:P735),IF(LEFT(ResultsTeams[[#This Row],[Type]],1)="P",IF(ResultsTeams[[#This Row],[Goal-A]]&lt;ResultsTeams[[#This Row],[Goal-B]],1,0),""))</f>
        <v/>
      </c>
      <c r="Q731" s="265" t="str">
        <f>IF(ResultsTeams[[#This Row],[Type]]="G",SUM(Q732:Q735),IF(LEFT(ResultsTeams[[#This Row],[Type]],1)="P",VALUE(ResultsTeams[[#This Row],[Score-A]]),""))</f>
        <v/>
      </c>
      <c r="R731" s="265" t="str">
        <f>IF(ResultsTeams[[#This Row],[Type]]="G",SUM(R732:R735),IF(LEFT(ResultsTeams[[#This Row],[Type]],1)="P",VALUE(ResultsTeams[[#This Row],[Score-B]]),""))</f>
        <v/>
      </c>
      <c r="S731" s="265" t="str">
        <f ca="1">IF(AND(ResultsTeams[[#This Row],[Category]]&lt;&gt;"",ResultsTeams[[#This Row],[Team A]]&lt;&gt;""),COUNTIF(INDIRECT("TeamsList[Club Name]"),ResultsTeams[[#This Row],[Team A]]),"")</f>
        <v/>
      </c>
      <c r="T731" s="265" t="str">
        <f ca="1">IF(AND(ResultsTeams[[#This Row],[Category]]&lt;&gt;"",ResultsTeams[[#This Row],[Team B]]&lt;&gt;""),COUNTIF(INDIRECT("TeamsList[Club Name]"),ResultsTeams[[#This Row],[Team B]]),"")</f>
        <v/>
      </c>
      <c r="U7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1" s="265" t="str">
        <f>IF(ResultsTeams[[#This Row],[Score_OK]],IF(ResultsTeams[[#This Row],[StageCpy]]="Groups",ResultsTeams[[#This Row],[Category]]&amp;"-"&amp;IF(ResultsTeams[[#This Row],[Team B]]="","",IF(ResultsTeams[[#This Row],[Match-A]]=ResultsTeams[[#This Row],[Match-B]],ResultsTeams[[#This Row],[Team A]],"")),""),"")</f>
        <v/>
      </c>
      <c r="W731" s="265" t="str">
        <f>IF(ResultsTeams[[#This Row],[Score_OK]],IF(ResultsTeams[[#This Row],[StageCpy]]="Groups",ResultsTeams[[#This Row],[Category]]&amp;"-"&amp;IF(ResultsTeams[[#This Row],[Team B]]="","",IF(ResultsTeams[[#This Row],[Match-A]]=ResultsTeams[[#This Row],[Match-B]],ResultsTeams[[#This Row],[Team B]],"")),""),"")</f>
        <v/>
      </c>
      <c r="X7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1" s="264" t="str">
        <f>IF(ResultsTeams[[#This Row],[Category]]="","",VLOOKUP(ResultsTeams[[#This Row],[Stage]],$R$1:$T$8,MATCH(ResultsTeams[[#This Row],[Category]],$S$1:$T$1,0)+1,FALSE))</f>
        <v/>
      </c>
      <c r="AC7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1" s="264" t="str">
        <f>IF(ResultsTeams[[#This Row],[Type]]="G",ResultsTeams[[#This Row],[Stage]],AD730)</f>
        <v>Semifinals</v>
      </c>
      <c r="AE731" s="395" t="str">
        <f>IF(ResultsTeams[[#This Row],[Type]]="G",INDEX(TeamsList[Club Name],MATCH(ResultsTeams[[#This Row],[Team A]],TeamsList[Team Name],0)),AE730)</f>
        <v>Valletta SC</v>
      </c>
      <c r="AF731" s="395" t="str">
        <f>IF(ResultsTeams[[#This Row],[Type]]="G",INDEX(TeamsList[Club Name],MATCH(ResultsTeams[[#This Row],[Team B]],TeamsList[Team Name],0)),AF730)</f>
        <v>CCT Eagles Napoli</v>
      </c>
      <c r="AG731" s="265"/>
    </row>
    <row r="732" spans="1:33" ht="12" thickBot="1" x14ac:dyDescent="0.25">
      <c r="A732" s="83"/>
      <c r="B732" s="83"/>
      <c r="C732" s="83"/>
      <c r="D732" s="83"/>
      <c r="E732" s="268" t="s">
        <v>12244</v>
      </c>
      <c r="F732" s="262"/>
      <c r="G732" s="262"/>
      <c r="H732" s="324"/>
      <c r="I732" s="324"/>
      <c r="J732" s="263"/>
      <c r="K732" s="365"/>
      <c r="L732" s="365"/>
      <c r="M732" s="262"/>
      <c r="N732" s="265" t="b">
        <f>NOT(ISERROR(ResultsTeams[[#This Row],[Goal-A]]+ResultsTeams[[#This Row],[Goal-B]]))</f>
        <v>0</v>
      </c>
      <c r="O732" s="265" t="str">
        <f>IF(ResultsTeams[[#This Row],[Type]]="G",SUM(O733:O736),IF(LEFT(ResultsTeams[[#This Row],[Type]],1)="P",IF(ResultsTeams[[#This Row],[Goal-A]]&gt;ResultsTeams[[#This Row],[Goal-B]],1,0),""))</f>
        <v/>
      </c>
      <c r="P732" s="265" t="str">
        <f>IF(ResultsTeams[[#This Row],[Type]]="G",SUM(P733:P736),IF(LEFT(ResultsTeams[[#This Row],[Type]],1)="P",IF(ResultsTeams[[#This Row],[Goal-A]]&lt;ResultsTeams[[#This Row],[Goal-B]],1,0),""))</f>
        <v/>
      </c>
      <c r="Q732" s="265" t="str">
        <f>IF(ResultsTeams[[#This Row],[Type]]="G",SUM(Q733:Q736),IF(LEFT(ResultsTeams[[#This Row],[Type]],1)="P",VALUE(ResultsTeams[[#This Row],[Score-A]]),""))</f>
        <v/>
      </c>
      <c r="R732" s="265" t="str">
        <f>IF(ResultsTeams[[#This Row],[Type]]="G",SUM(R733:R736),IF(LEFT(ResultsTeams[[#This Row],[Type]],1)="P",VALUE(ResultsTeams[[#This Row],[Score-B]]),""))</f>
        <v/>
      </c>
      <c r="S732" s="265" t="str">
        <f ca="1">IF(AND(ResultsTeams[[#This Row],[Category]]&lt;&gt;"",ResultsTeams[[#This Row],[Team A]]&lt;&gt;""),COUNTIF(INDIRECT("TeamsList[Club Name]"),ResultsTeams[[#This Row],[Team A]]),"")</f>
        <v/>
      </c>
      <c r="T732" s="265" t="str">
        <f ca="1">IF(AND(ResultsTeams[[#This Row],[Category]]&lt;&gt;"",ResultsTeams[[#This Row],[Team B]]&lt;&gt;""),COUNTIF(INDIRECT("TeamsList[Club Name]"),ResultsTeams[[#This Row],[Team B]]),"")</f>
        <v/>
      </c>
      <c r="U7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2" s="265" t="str">
        <f>IF(ResultsTeams[[#This Row],[Score_OK]],IF(ResultsTeams[[#This Row],[StageCpy]]="Groups",ResultsTeams[[#This Row],[Category]]&amp;"-"&amp;IF(ResultsTeams[[#This Row],[Team B]]="","",IF(ResultsTeams[[#This Row],[Match-A]]=ResultsTeams[[#This Row],[Match-B]],ResultsTeams[[#This Row],[Team A]],"")),""),"")</f>
        <v/>
      </c>
      <c r="W732" s="265" t="str">
        <f>IF(ResultsTeams[[#This Row],[Score_OK]],IF(ResultsTeams[[#This Row],[StageCpy]]="Groups",ResultsTeams[[#This Row],[Category]]&amp;"-"&amp;IF(ResultsTeams[[#This Row],[Team B]]="","",IF(ResultsTeams[[#This Row],[Match-A]]=ResultsTeams[[#This Row],[Match-B]],ResultsTeams[[#This Row],[Team B]],"")),""),"")</f>
        <v/>
      </c>
      <c r="X7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2" s="264" t="str">
        <f>IF(ResultsTeams[[#This Row],[Category]]="","",VLOOKUP(ResultsTeams[[#This Row],[Stage]],$R$1:$T$8,MATCH(ResultsTeams[[#This Row],[Category]],$S$1:$T$1,0)+1,FALSE))</f>
        <v/>
      </c>
      <c r="AC7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2" s="264" t="str">
        <f>IF(ResultsTeams[[#This Row],[Type]]="G",ResultsTeams[[#This Row],[Stage]],AD731)</f>
        <v>Semifinals</v>
      </c>
      <c r="AE732" s="395" t="str">
        <f>IF(ResultsTeams[[#This Row],[Type]]="G",INDEX(TeamsList[Club Name],MATCH(ResultsTeams[[#This Row],[Team A]],TeamsList[Team Name],0)),AE731)</f>
        <v>Valletta SC</v>
      </c>
      <c r="AF732" s="395" t="str">
        <f>IF(ResultsTeams[[#This Row],[Type]]="G",INDEX(TeamsList[Club Name],MATCH(ResultsTeams[[#This Row],[Team B]],TeamsList[Team Name],0)),AF731)</f>
        <v>CCT Eagles Napoli</v>
      </c>
      <c r="AG732" s="265"/>
    </row>
    <row r="733" spans="1:33" ht="12" thickBot="1" x14ac:dyDescent="0.25">
      <c r="A733" s="261" t="s">
        <v>12693</v>
      </c>
      <c r="B733" s="270" t="s">
        <v>12220</v>
      </c>
      <c r="C733" s="270"/>
      <c r="D733" s="270"/>
      <c r="E733" s="272" t="s">
        <v>12228</v>
      </c>
      <c r="F733" s="273" t="s">
        <v>794</v>
      </c>
      <c r="G733" s="273" t="s">
        <v>12558</v>
      </c>
      <c r="H733" s="275">
        <v>1</v>
      </c>
      <c r="I733" s="275">
        <v>2</v>
      </c>
      <c r="J733" s="275"/>
      <c r="K733" s="366"/>
      <c r="L733" s="366"/>
      <c r="M733" s="274"/>
      <c r="N733" s="265" t="b">
        <f>NOT(ISERROR(ResultsTeams[[#This Row],[Goal-A]]+ResultsTeams[[#This Row],[Goal-B]]))</f>
        <v>1</v>
      </c>
      <c r="O733" s="265">
        <f>IF(ResultsTeams[[#This Row],[Type]]="G",SUM(O734:O737),IF(LEFT(ResultsTeams[[#This Row],[Type]],1)="P",IF(ResultsTeams[[#This Row],[Goal-A]]&gt;ResultsTeams[[#This Row],[Goal-B]],1,0),""))</f>
        <v>1</v>
      </c>
      <c r="P733" s="265">
        <f>IF(ResultsTeams[[#This Row],[Type]]="G",SUM(P734:P737),IF(LEFT(ResultsTeams[[#This Row],[Type]],1)="P",IF(ResultsTeams[[#This Row],[Goal-A]]&lt;ResultsTeams[[#This Row],[Goal-B]],1,0),""))</f>
        <v>2</v>
      </c>
      <c r="Q733" s="265">
        <f>IF(ResultsTeams[[#This Row],[Type]]="G",SUM(Q734:Q737),IF(LEFT(ResultsTeams[[#This Row],[Type]],1)="P",VALUE(ResultsTeams[[#This Row],[Score-A]]),""))</f>
        <v>9</v>
      </c>
      <c r="R733" s="265">
        <f>IF(ResultsTeams[[#This Row],[Type]]="G",SUM(R734:R737),IF(LEFT(ResultsTeams[[#This Row],[Type]],1)="P",VALUE(ResultsTeams[[#This Row],[Score-B]]),""))</f>
        <v>15</v>
      </c>
      <c r="S733" s="265">
        <f ca="1">IF(AND(ResultsTeams[[#This Row],[Category]]&lt;&gt;"",ResultsTeams[[#This Row],[Team A]]&lt;&gt;""),COUNTIF(INDIRECT("TeamsList[Club Name]"),ResultsTeams[[#This Row],[Team A]]),"")</f>
        <v>1</v>
      </c>
      <c r="T733" s="265">
        <f ca="1">IF(AND(ResultsTeams[[#This Row],[Category]]&lt;&gt;"",ResultsTeams[[#This Row],[Team B]]&lt;&gt;""),COUNTIF(INDIRECT("TeamsList[Club Name]"),ResultsTeams[[#This Row],[Team B]]),"")</f>
        <v>1</v>
      </c>
      <c r="U7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3" s="265" t="str">
        <f>IF(ResultsTeams[[#This Row],[Score_OK]],IF(ResultsTeams[[#This Row],[StageCpy]]="Groups",ResultsTeams[[#This Row],[Category]]&amp;"-"&amp;IF(ResultsTeams[[#This Row],[Team B]]="","",IF(ResultsTeams[[#This Row],[Match-A]]=ResultsTeams[[#This Row],[Match-B]],ResultsTeams[[#This Row],[Team A]],"")),""),"")</f>
        <v/>
      </c>
      <c r="W733" s="265" t="str">
        <f>IF(ResultsTeams[[#This Row],[Score_OK]],IF(ResultsTeams[[#This Row],[StageCpy]]="Groups",ResultsTeams[[#This Row],[Category]]&amp;"-"&amp;IF(ResultsTeams[[#This Row],[Team B]]="","",IF(ResultsTeams[[#This Row],[Match-A]]=ResultsTeams[[#This Row],[Match-B]],ResultsTeams[[#This Row],[Team B]],"")),""),"")</f>
        <v/>
      </c>
      <c r="X7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TEAM-Bormla SC</v>
      </c>
      <c r="Z7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S</v>
      </c>
      <c r="AA7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S</v>
      </c>
      <c r="AB733" s="264" t="str">
        <f>IF(ResultsTeams[[#This Row],[Category]]="","",VLOOKUP(ResultsTeams[[#This Row],[Stage]],$R$1:$T$8,MATCH(ResultsTeams[[#This Row],[Category]],$S$1:$T$1,0)+1,FALSE))</f>
        <v>S</v>
      </c>
      <c r="AC7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3" s="264" t="str">
        <f>IF(ResultsTeams[[#This Row],[Type]]="G",ResultsTeams[[#This Row],[Stage]],AD732)</f>
        <v>Semifinals</v>
      </c>
      <c r="AE733" s="395" t="str">
        <f>IF(ResultsTeams[[#This Row],[Type]]="G",INDEX(TeamsList[Club Name],MATCH(ResultsTeams[[#This Row],[Team A]],TeamsList[Team Name],0)),AE732)</f>
        <v>Bormla SC</v>
      </c>
      <c r="AF733" s="395" t="str">
        <f>IF(ResultsTeams[[#This Row],[Type]]="G",INDEX(TeamsList[Club Name],MATCH(ResultsTeams[[#This Row],[Team B]],TeamsList[Team Name],0)),AF732)</f>
        <v>F.lli Bari Reggio Emilia</v>
      </c>
      <c r="AG733" s="265"/>
    </row>
    <row r="734" spans="1:33" x14ac:dyDescent="0.2">
      <c r="A734" s="60"/>
      <c r="B734" s="280"/>
      <c r="C734" s="60"/>
      <c r="D734" s="60"/>
      <c r="E734" s="240" t="s">
        <v>12231</v>
      </c>
      <c r="F734" s="244" t="s">
        <v>8062</v>
      </c>
      <c r="G734" s="244" t="s">
        <v>9915</v>
      </c>
      <c r="H734" s="253">
        <v>2</v>
      </c>
      <c r="I734" s="253">
        <v>1</v>
      </c>
      <c r="J734" s="253"/>
      <c r="K734" s="362"/>
      <c r="L734" s="362"/>
      <c r="M734" s="245"/>
      <c r="N734" s="265" t="b">
        <f>NOT(ISERROR(ResultsTeams[[#This Row],[Goal-A]]+ResultsTeams[[#This Row],[Goal-B]]))</f>
        <v>1</v>
      </c>
      <c r="O734" s="265">
        <f>IF(ResultsTeams[[#This Row],[Type]]="G",SUM(O735:O738),IF(LEFT(ResultsTeams[[#This Row],[Type]],1)="P",IF(ResultsTeams[[#This Row],[Goal-A]]&gt;ResultsTeams[[#This Row],[Goal-B]],1,0),""))</f>
        <v>1</v>
      </c>
      <c r="P734" s="265">
        <f>IF(ResultsTeams[[#This Row],[Type]]="G",SUM(P735:P738),IF(LEFT(ResultsTeams[[#This Row],[Type]],1)="P",IF(ResultsTeams[[#This Row],[Goal-A]]&lt;ResultsTeams[[#This Row],[Goal-B]],1,0),""))</f>
        <v>0</v>
      </c>
      <c r="Q734" s="265">
        <f>IF(ResultsTeams[[#This Row],[Type]]="G",SUM(Q735:Q738),IF(LEFT(ResultsTeams[[#This Row],[Type]],1)="P",VALUE(ResultsTeams[[#This Row],[Score-A]]),""))</f>
        <v>2</v>
      </c>
      <c r="R734" s="265">
        <f>IF(ResultsTeams[[#This Row],[Type]]="G",SUM(R735:R738),IF(LEFT(ResultsTeams[[#This Row],[Type]],1)="P",VALUE(ResultsTeams[[#This Row],[Score-B]]),""))</f>
        <v>1</v>
      </c>
      <c r="S734" s="265" t="str">
        <f ca="1">IF(AND(ResultsTeams[[#This Row],[Category]]&lt;&gt;"",ResultsTeams[[#This Row],[Team A]]&lt;&gt;""),COUNTIF(INDIRECT("TeamsList[Club Name]"),ResultsTeams[[#This Row],[Team A]]),"")</f>
        <v/>
      </c>
      <c r="T734" s="265" t="str">
        <f ca="1">IF(AND(ResultsTeams[[#This Row],[Category]]&lt;&gt;"",ResultsTeams[[#This Row],[Team B]]&lt;&gt;""),COUNTIF(INDIRECT("TeamsList[Club Name]"),ResultsTeams[[#This Row],[Team B]]),"")</f>
        <v/>
      </c>
      <c r="U7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4" s="265" t="str">
        <f>IF(ResultsTeams[[#This Row],[Score_OK]],IF(ResultsTeams[[#This Row],[StageCpy]]="Groups",ResultsTeams[[#This Row],[Category]]&amp;"-"&amp;IF(ResultsTeams[[#This Row],[Team B]]="","",IF(ResultsTeams[[#This Row],[Match-A]]=ResultsTeams[[#This Row],[Match-B]],ResultsTeams[[#This Row],[Team A]],"")),""),"")</f>
        <v/>
      </c>
      <c r="W734" s="265" t="str">
        <f>IF(ResultsTeams[[#This Row],[Score_OK]],IF(ResultsTeams[[#This Row],[StageCpy]]="Groups",ResultsTeams[[#This Row],[Category]]&amp;"-"&amp;IF(ResultsTeams[[#This Row],[Team B]]="","",IF(ResultsTeams[[#This Row],[Match-A]]=ResultsTeams[[#This Row],[Match-B]],ResultsTeams[[#This Row],[Team B]],"")),""),"")</f>
        <v/>
      </c>
      <c r="X7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4" s="264" t="str">
        <f>IF(ResultsTeams[[#This Row],[Category]]="","",VLOOKUP(ResultsTeams[[#This Row],[Stage]],$R$1:$T$8,MATCH(ResultsTeams[[#This Row],[Category]],$S$1:$T$1,0)+1,FALSE))</f>
        <v/>
      </c>
      <c r="AC7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4" s="264" t="str">
        <f>IF(ResultsTeams[[#This Row],[Type]]="G",ResultsTeams[[#This Row],[Stage]],AD733)</f>
        <v>Semifinals</v>
      </c>
      <c r="AE734" s="395" t="str">
        <f>IF(ResultsTeams[[#This Row],[Type]]="G",INDEX(TeamsList[Club Name],MATCH(ResultsTeams[[#This Row],[Team A]],TeamsList[Team Name],0)),AE733)</f>
        <v>Bormla SC</v>
      </c>
      <c r="AF734" s="395" t="str">
        <f>IF(ResultsTeams[[#This Row],[Type]]="G",INDEX(TeamsList[Club Name],MATCH(ResultsTeams[[#This Row],[Team B]],TeamsList[Team Name],0)),AF733)</f>
        <v>F.lli Bari Reggio Emilia</v>
      </c>
      <c r="AG734" s="265"/>
    </row>
    <row r="735" spans="1:33" x14ac:dyDescent="0.2">
      <c r="A735" s="62"/>
      <c r="B735" s="280"/>
      <c r="C735" s="62"/>
      <c r="D735" s="62"/>
      <c r="E735" s="241" t="s">
        <v>12234</v>
      </c>
      <c r="F735" s="246" t="s">
        <v>10431</v>
      </c>
      <c r="G735" s="246" t="s">
        <v>13</v>
      </c>
      <c r="H735" s="254">
        <v>1</v>
      </c>
      <c r="I735" s="254">
        <v>3</v>
      </c>
      <c r="J735" s="254"/>
      <c r="K735" s="363"/>
      <c r="L735" s="363"/>
      <c r="M735" s="247"/>
      <c r="N735" s="265" t="b">
        <f>NOT(ISERROR(ResultsTeams[[#This Row],[Goal-A]]+ResultsTeams[[#This Row],[Goal-B]]))</f>
        <v>1</v>
      </c>
      <c r="O735" s="265">
        <f>IF(ResultsTeams[[#This Row],[Type]]="G",SUM(O736:O739),IF(LEFT(ResultsTeams[[#This Row],[Type]],1)="P",IF(ResultsTeams[[#This Row],[Goal-A]]&gt;ResultsTeams[[#This Row],[Goal-B]],1,0),""))</f>
        <v>0</v>
      </c>
      <c r="P735" s="265">
        <f>IF(ResultsTeams[[#This Row],[Type]]="G",SUM(P736:P739),IF(LEFT(ResultsTeams[[#This Row],[Type]],1)="P",IF(ResultsTeams[[#This Row],[Goal-A]]&lt;ResultsTeams[[#This Row],[Goal-B]],1,0),""))</f>
        <v>1</v>
      </c>
      <c r="Q735" s="265">
        <f>IF(ResultsTeams[[#This Row],[Type]]="G",SUM(Q736:Q739),IF(LEFT(ResultsTeams[[#This Row],[Type]],1)="P",VALUE(ResultsTeams[[#This Row],[Score-A]]),""))</f>
        <v>1</v>
      </c>
      <c r="R735" s="265">
        <f>IF(ResultsTeams[[#This Row],[Type]]="G",SUM(R736:R739),IF(LEFT(ResultsTeams[[#This Row],[Type]],1)="P",VALUE(ResultsTeams[[#This Row],[Score-B]]),""))</f>
        <v>3</v>
      </c>
      <c r="S735" s="265" t="str">
        <f ca="1">IF(AND(ResultsTeams[[#This Row],[Category]]&lt;&gt;"",ResultsTeams[[#This Row],[Team A]]&lt;&gt;""),COUNTIF(INDIRECT("TeamsList[Club Name]"),ResultsTeams[[#This Row],[Team A]]),"")</f>
        <v/>
      </c>
      <c r="T735" s="265" t="str">
        <f ca="1">IF(AND(ResultsTeams[[#This Row],[Category]]&lt;&gt;"",ResultsTeams[[#This Row],[Team B]]&lt;&gt;""),COUNTIF(INDIRECT("TeamsList[Club Name]"),ResultsTeams[[#This Row],[Team B]]),"")</f>
        <v/>
      </c>
      <c r="U7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5" s="265" t="str">
        <f>IF(ResultsTeams[[#This Row],[Score_OK]],IF(ResultsTeams[[#This Row],[StageCpy]]="Groups",ResultsTeams[[#This Row],[Category]]&amp;"-"&amp;IF(ResultsTeams[[#This Row],[Team B]]="","",IF(ResultsTeams[[#This Row],[Match-A]]=ResultsTeams[[#This Row],[Match-B]],ResultsTeams[[#This Row],[Team A]],"")),""),"")</f>
        <v/>
      </c>
      <c r="W735" s="265" t="str">
        <f>IF(ResultsTeams[[#This Row],[Score_OK]],IF(ResultsTeams[[#This Row],[StageCpy]]="Groups",ResultsTeams[[#This Row],[Category]]&amp;"-"&amp;IF(ResultsTeams[[#This Row],[Team B]]="","",IF(ResultsTeams[[#This Row],[Match-A]]=ResultsTeams[[#This Row],[Match-B]],ResultsTeams[[#This Row],[Team B]],"")),""),"")</f>
        <v/>
      </c>
      <c r="X7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5" s="264" t="str">
        <f>IF(ResultsTeams[[#This Row],[Category]]="","",VLOOKUP(ResultsTeams[[#This Row],[Stage]],$R$1:$T$8,MATCH(ResultsTeams[[#This Row],[Category]],$S$1:$T$1,0)+1,FALSE))</f>
        <v/>
      </c>
      <c r="AC7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5" s="264" t="str">
        <f>IF(ResultsTeams[[#This Row],[Type]]="G",ResultsTeams[[#This Row],[Stage]],AD734)</f>
        <v>Semifinals</v>
      </c>
      <c r="AE735" s="395" t="str">
        <f>IF(ResultsTeams[[#This Row],[Type]]="G",INDEX(TeamsList[Club Name],MATCH(ResultsTeams[[#This Row],[Team A]],TeamsList[Team Name],0)),AE734)</f>
        <v>Bormla SC</v>
      </c>
      <c r="AF735" s="395" t="str">
        <f>IF(ResultsTeams[[#This Row],[Type]]="G",INDEX(TeamsList[Club Name],MATCH(ResultsTeams[[#This Row],[Team B]],TeamsList[Team Name],0)),AF734)</f>
        <v>F.lli Bari Reggio Emilia</v>
      </c>
      <c r="AG735" s="265"/>
    </row>
    <row r="736" spans="1:33" x14ac:dyDescent="0.2">
      <c r="A736" s="62"/>
      <c r="B736" s="280"/>
      <c r="C736" s="62"/>
      <c r="D736" s="62"/>
      <c r="E736" s="241" t="s">
        <v>12237</v>
      </c>
      <c r="F736" s="246" t="s">
        <v>8097</v>
      </c>
      <c r="G736" s="246" t="s">
        <v>9526</v>
      </c>
      <c r="H736" s="254">
        <v>4</v>
      </c>
      <c r="I736" s="254">
        <v>4</v>
      </c>
      <c r="J736" s="254"/>
      <c r="K736" s="363"/>
      <c r="L736" s="363"/>
      <c r="M736" s="247"/>
      <c r="N736" s="265" t="b">
        <f>NOT(ISERROR(ResultsTeams[[#This Row],[Goal-A]]+ResultsTeams[[#This Row],[Goal-B]]))</f>
        <v>1</v>
      </c>
      <c r="O736" s="265">
        <f>IF(ResultsTeams[[#This Row],[Type]]="G",SUM(O737:O740),IF(LEFT(ResultsTeams[[#This Row],[Type]],1)="P",IF(ResultsTeams[[#This Row],[Goal-A]]&gt;ResultsTeams[[#This Row],[Goal-B]],1,0),""))</f>
        <v>0</v>
      </c>
      <c r="P736" s="265">
        <f>IF(ResultsTeams[[#This Row],[Type]]="G",SUM(P737:P740),IF(LEFT(ResultsTeams[[#This Row],[Type]],1)="P",IF(ResultsTeams[[#This Row],[Goal-A]]&lt;ResultsTeams[[#This Row],[Goal-B]],1,0),""))</f>
        <v>0</v>
      </c>
      <c r="Q736" s="265">
        <f>IF(ResultsTeams[[#This Row],[Type]]="G",SUM(Q737:Q740),IF(LEFT(ResultsTeams[[#This Row],[Type]],1)="P",VALUE(ResultsTeams[[#This Row],[Score-A]]),""))</f>
        <v>4</v>
      </c>
      <c r="R736" s="265">
        <f>IF(ResultsTeams[[#This Row],[Type]]="G",SUM(R737:R740),IF(LEFT(ResultsTeams[[#This Row],[Type]],1)="P",VALUE(ResultsTeams[[#This Row],[Score-B]]),""))</f>
        <v>4</v>
      </c>
      <c r="S736" s="265" t="str">
        <f ca="1">IF(AND(ResultsTeams[[#This Row],[Category]]&lt;&gt;"",ResultsTeams[[#This Row],[Team A]]&lt;&gt;""),COUNTIF(INDIRECT("TeamsList[Club Name]"),ResultsTeams[[#This Row],[Team A]]),"")</f>
        <v/>
      </c>
      <c r="T736" s="265" t="str">
        <f ca="1">IF(AND(ResultsTeams[[#This Row],[Category]]&lt;&gt;"",ResultsTeams[[#This Row],[Team B]]&lt;&gt;""),COUNTIF(INDIRECT("TeamsList[Club Name]"),ResultsTeams[[#This Row],[Team B]]),"")</f>
        <v/>
      </c>
      <c r="U7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6" s="265" t="str">
        <f>IF(ResultsTeams[[#This Row],[Score_OK]],IF(ResultsTeams[[#This Row],[StageCpy]]="Groups",ResultsTeams[[#This Row],[Category]]&amp;"-"&amp;IF(ResultsTeams[[#This Row],[Team B]]="","",IF(ResultsTeams[[#This Row],[Match-A]]=ResultsTeams[[#This Row],[Match-B]],ResultsTeams[[#This Row],[Team A]],"")),""),"")</f>
        <v/>
      </c>
      <c r="W736" s="265" t="str">
        <f>IF(ResultsTeams[[#This Row],[Score_OK]],IF(ResultsTeams[[#This Row],[StageCpy]]="Groups",ResultsTeams[[#This Row],[Category]]&amp;"-"&amp;IF(ResultsTeams[[#This Row],[Team B]]="","",IF(ResultsTeams[[#This Row],[Match-A]]=ResultsTeams[[#This Row],[Match-B]],ResultsTeams[[#This Row],[Team B]],"")),""),"")</f>
        <v/>
      </c>
      <c r="X7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6" s="264" t="str">
        <f>IF(ResultsTeams[[#This Row],[Category]]="","",VLOOKUP(ResultsTeams[[#This Row],[Stage]],$R$1:$T$8,MATCH(ResultsTeams[[#This Row],[Category]],$S$1:$T$1,0)+1,FALSE))</f>
        <v/>
      </c>
      <c r="AC7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6" s="264" t="str">
        <f>IF(ResultsTeams[[#This Row],[Type]]="G",ResultsTeams[[#This Row],[Stage]],AD735)</f>
        <v>Semifinals</v>
      </c>
      <c r="AE736" s="395" t="str">
        <f>IF(ResultsTeams[[#This Row],[Type]]="G",INDEX(TeamsList[Club Name],MATCH(ResultsTeams[[#This Row],[Team A]],TeamsList[Team Name],0)),AE735)</f>
        <v>Bormla SC</v>
      </c>
      <c r="AF736" s="395" t="str">
        <f>IF(ResultsTeams[[#This Row],[Type]]="G",INDEX(TeamsList[Club Name],MATCH(ResultsTeams[[#This Row],[Team B]],TeamsList[Team Name],0)),AF735)</f>
        <v>F.lli Bari Reggio Emilia</v>
      </c>
      <c r="AG736" s="265"/>
    </row>
    <row r="737" spans="1:33" x14ac:dyDescent="0.2">
      <c r="A737" s="62"/>
      <c r="B737" s="280"/>
      <c r="C737" s="62"/>
      <c r="D737" s="62"/>
      <c r="E737" s="241" t="s">
        <v>12240</v>
      </c>
      <c r="F737" s="246" t="s">
        <v>10414</v>
      </c>
      <c r="G737" s="246" t="s">
        <v>8610</v>
      </c>
      <c r="H737" s="254">
        <v>2</v>
      </c>
      <c r="I737" s="254">
        <v>7</v>
      </c>
      <c r="J737" s="254"/>
      <c r="K737" s="363"/>
      <c r="L737" s="363"/>
      <c r="M737" s="247"/>
      <c r="N737" s="265" t="b">
        <f>NOT(ISERROR(ResultsTeams[[#This Row],[Goal-A]]+ResultsTeams[[#This Row],[Goal-B]]))</f>
        <v>1</v>
      </c>
      <c r="O737" s="265">
        <f>IF(ResultsTeams[[#This Row],[Type]]="G",SUM(O738:O741),IF(LEFT(ResultsTeams[[#This Row],[Type]],1)="P",IF(ResultsTeams[[#This Row],[Goal-A]]&gt;ResultsTeams[[#This Row],[Goal-B]],1,0),""))</f>
        <v>0</v>
      </c>
      <c r="P737" s="265">
        <f>IF(ResultsTeams[[#This Row],[Type]]="G",SUM(P738:P741),IF(LEFT(ResultsTeams[[#This Row],[Type]],1)="P",IF(ResultsTeams[[#This Row],[Goal-A]]&lt;ResultsTeams[[#This Row],[Goal-B]],1,0),""))</f>
        <v>1</v>
      </c>
      <c r="Q737" s="265">
        <f>IF(ResultsTeams[[#This Row],[Type]]="G",SUM(Q738:Q741),IF(LEFT(ResultsTeams[[#This Row],[Type]],1)="P",VALUE(ResultsTeams[[#This Row],[Score-A]]),""))</f>
        <v>2</v>
      </c>
      <c r="R737" s="265">
        <f>IF(ResultsTeams[[#This Row],[Type]]="G",SUM(R738:R741),IF(LEFT(ResultsTeams[[#This Row],[Type]],1)="P",VALUE(ResultsTeams[[#This Row],[Score-B]]),""))</f>
        <v>7</v>
      </c>
      <c r="S737" s="265" t="str">
        <f ca="1">IF(AND(ResultsTeams[[#This Row],[Category]]&lt;&gt;"",ResultsTeams[[#This Row],[Team A]]&lt;&gt;""),COUNTIF(INDIRECT("TeamsList[Club Name]"),ResultsTeams[[#This Row],[Team A]]),"")</f>
        <v/>
      </c>
      <c r="T737" s="265" t="str">
        <f ca="1">IF(AND(ResultsTeams[[#This Row],[Category]]&lt;&gt;"",ResultsTeams[[#This Row],[Team B]]&lt;&gt;""),COUNTIF(INDIRECT("TeamsList[Club Name]"),ResultsTeams[[#This Row],[Team B]]),"")</f>
        <v/>
      </c>
      <c r="U7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7" s="265" t="str">
        <f>IF(ResultsTeams[[#This Row],[Score_OK]],IF(ResultsTeams[[#This Row],[StageCpy]]="Groups",ResultsTeams[[#This Row],[Category]]&amp;"-"&amp;IF(ResultsTeams[[#This Row],[Team B]]="","",IF(ResultsTeams[[#This Row],[Match-A]]=ResultsTeams[[#This Row],[Match-B]],ResultsTeams[[#This Row],[Team A]],"")),""),"")</f>
        <v/>
      </c>
      <c r="W737" s="265" t="str">
        <f>IF(ResultsTeams[[#This Row],[Score_OK]],IF(ResultsTeams[[#This Row],[StageCpy]]="Groups",ResultsTeams[[#This Row],[Category]]&amp;"-"&amp;IF(ResultsTeams[[#This Row],[Team B]]="","",IF(ResultsTeams[[#This Row],[Match-A]]=ResultsTeams[[#This Row],[Match-B]],ResultsTeams[[#This Row],[Team B]],"")),""),"")</f>
        <v/>
      </c>
      <c r="X7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7" s="264" t="str">
        <f>IF(ResultsTeams[[#This Row],[Category]]="","",VLOOKUP(ResultsTeams[[#This Row],[Stage]],$R$1:$T$8,MATCH(ResultsTeams[[#This Row],[Category]],$S$1:$T$1,0)+1,FALSE))</f>
        <v/>
      </c>
      <c r="AC7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7" s="264" t="str">
        <f>IF(ResultsTeams[[#This Row],[Type]]="G",ResultsTeams[[#This Row],[Stage]],AD736)</f>
        <v>Semifinals</v>
      </c>
      <c r="AE737" s="395" t="str">
        <f>IF(ResultsTeams[[#This Row],[Type]]="G",INDEX(TeamsList[Club Name],MATCH(ResultsTeams[[#This Row],[Team A]],TeamsList[Team Name],0)),AE736)</f>
        <v>Bormla SC</v>
      </c>
      <c r="AF737" s="395" t="str">
        <f>IF(ResultsTeams[[#This Row],[Type]]="G",INDEX(TeamsList[Club Name],MATCH(ResultsTeams[[#This Row],[Team B]],TeamsList[Team Name],0)),AF736)</f>
        <v>F.lli Bari Reggio Emilia</v>
      </c>
      <c r="AG737" s="265"/>
    </row>
    <row r="738" spans="1:33" x14ac:dyDescent="0.2">
      <c r="A738" s="62"/>
      <c r="B738" s="62"/>
      <c r="C738" s="62"/>
      <c r="D738" s="62"/>
      <c r="E738" s="241" t="s">
        <v>12243</v>
      </c>
      <c r="F738" s="247"/>
      <c r="G738" s="247"/>
      <c r="H738" s="254"/>
      <c r="I738" s="254"/>
      <c r="J738" s="260"/>
      <c r="K738" s="364"/>
      <c r="L738" s="364"/>
      <c r="M738" s="247"/>
      <c r="N738" s="265" t="b">
        <f>NOT(ISERROR(ResultsTeams[[#This Row],[Goal-A]]+ResultsTeams[[#This Row],[Goal-B]]))</f>
        <v>0</v>
      </c>
      <c r="O738" s="265" t="str">
        <f>IF(ResultsTeams[[#This Row],[Type]]="G",SUM(O739:O742),IF(LEFT(ResultsTeams[[#This Row],[Type]],1)="P",IF(ResultsTeams[[#This Row],[Goal-A]]&gt;ResultsTeams[[#This Row],[Goal-B]],1,0),""))</f>
        <v/>
      </c>
      <c r="P738" s="265" t="str">
        <f>IF(ResultsTeams[[#This Row],[Type]]="G",SUM(P739:P742),IF(LEFT(ResultsTeams[[#This Row],[Type]],1)="P",IF(ResultsTeams[[#This Row],[Goal-A]]&lt;ResultsTeams[[#This Row],[Goal-B]],1,0),""))</f>
        <v/>
      </c>
      <c r="Q738" s="265" t="str">
        <f>IF(ResultsTeams[[#This Row],[Type]]="G",SUM(Q739:Q742),IF(LEFT(ResultsTeams[[#This Row],[Type]],1)="P",VALUE(ResultsTeams[[#This Row],[Score-A]]),""))</f>
        <v/>
      </c>
      <c r="R738" s="265" t="str">
        <f>IF(ResultsTeams[[#This Row],[Type]]="G",SUM(R739:R742),IF(LEFT(ResultsTeams[[#This Row],[Type]],1)="P",VALUE(ResultsTeams[[#This Row],[Score-B]]),""))</f>
        <v/>
      </c>
      <c r="S738" s="265" t="str">
        <f ca="1">IF(AND(ResultsTeams[[#This Row],[Category]]&lt;&gt;"",ResultsTeams[[#This Row],[Team A]]&lt;&gt;""),COUNTIF(INDIRECT("TeamsList[Club Name]"),ResultsTeams[[#This Row],[Team A]]),"")</f>
        <v/>
      </c>
      <c r="T738" s="265" t="str">
        <f ca="1">IF(AND(ResultsTeams[[#This Row],[Category]]&lt;&gt;"",ResultsTeams[[#This Row],[Team B]]&lt;&gt;""),COUNTIF(INDIRECT("TeamsList[Club Name]"),ResultsTeams[[#This Row],[Team B]]),"")</f>
        <v/>
      </c>
      <c r="U7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8" s="265" t="str">
        <f>IF(ResultsTeams[[#This Row],[Score_OK]],IF(ResultsTeams[[#This Row],[StageCpy]]="Groups",ResultsTeams[[#This Row],[Category]]&amp;"-"&amp;IF(ResultsTeams[[#This Row],[Team B]]="","",IF(ResultsTeams[[#This Row],[Match-A]]=ResultsTeams[[#This Row],[Match-B]],ResultsTeams[[#This Row],[Team A]],"")),""),"")</f>
        <v/>
      </c>
      <c r="W738" s="265" t="str">
        <f>IF(ResultsTeams[[#This Row],[Score_OK]],IF(ResultsTeams[[#This Row],[StageCpy]]="Groups",ResultsTeams[[#This Row],[Category]]&amp;"-"&amp;IF(ResultsTeams[[#This Row],[Team B]]="","",IF(ResultsTeams[[#This Row],[Match-A]]=ResultsTeams[[#This Row],[Match-B]],ResultsTeams[[#This Row],[Team B]],"")),""),"")</f>
        <v/>
      </c>
      <c r="X7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8" s="264" t="str">
        <f>IF(ResultsTeams[[#This Row],[Category]]="","",VLOOKUP(ResultsTeams[[#This Row],[Stage]],$R$1:$T$8,MATCH(ResultsTeams[[#This Row],[Category]],$S$1:$T$1,0)+1,FALSE))</f>
        <v/>
      </c>
      <c r="AC7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8" s="264" t="str">
        <f>IF(ResultsTeams[[#This Row],[Type]]="G",ResultsTeams[[#This Row],[Stage]],AD737)</f>
        <v>Semifinals</v>
      </c>
      <c r="AE738" s="395" t="str">
        <f>IF(ResultsTeams[[#This Row],[Type]]="G",INDEX(TeamsList[Club Name],MATCH(ResultsTeams[[#This Row],[Team A]],TeamsList[Team Name],0)),AE737)</f>
        <v>Bormla SC</v>
      </c>
      <c r="AF738" s="395" t="str">
        <f>IF(ResultsTeams[[#This Row],[Type]]="G",INDEX(TeamsList[Club Name],MATCH(ResultsTeams[[#This Row],[Team B]],TeamsList[Team Name],0)),AF737)</f>
        <v>F.lli Bari Reggio Emilia</v>
      </c>
      <c r="AG738" s="265"/>
    </row>
    <row r="739" spans="1:33" ht="12" thickBot="1" x14ac:dyDescent="0.25">
      <c r="A739" s="83"/>
      <c r="B739" s="83"/>
      <c r="C739" s="83"/>
      <c r="D739" s="83"/>
      <c r="E739" s="268" t="s">
        <v>12244</v>
      </c>
      <c r="F739" s="262"/>
      <c r="G739" s="262"/>
      <c r="H739" s="324"/>
      <c r="I739" s="324"/>
      <c r="J739" s="263"/>
      <c r="K739" s="365"/>
      <c r="L739" s="365"/>
      <c r="M739" s="262"/>
      <c r="N739" s="265" t="b">
        <f>NOT(ISERROR(ResultsTeams[[#This Row],[Goal-A]]+ResultsTeams[[#This Row],[Goal-B]]))</f>
        <v>0</v>
      </c>
      <c r="O739" s="265" t="str">
        <f>IF(ResultsTeams[[#This Row],[Type]]="G",SUM(O740:O743),IF(LEFT(ResultsTeams[[#This Row],[Type]],1)="P",IF(ResultsTeams[[#This Row],[Goal-A]]&gt;ResultsTeams[[#This Row],[Goal-B]],1,0),""))</f>
        <v/>
      </c>
      <c r="P739" s="265" t="str">
        <f>IF(ResultsTeams[[#This Row],[Type]]="G",SUM(P740:P743),IF(LEFT(ResultsTeams[[#This Row],[Type]],1)="P",IF(ResultsTeams[[#This Row],[Goal-A]]&lt;ResultsTeams[[#This Row],[Goal-B]],1,0),""))</f>
        <v/>
      </c>
      <c r="Q739" s="265" t="str">
        <f>IF(ResultsTeams[[#This Row],[Type]]="G",SUM(Q740:Q743),IF(LEFT(ResultsTeams[[#This Row],[Type]],1)="P",VALUE(ResultsTeams[[#This Row],[Score-A]]),""))</f>
        <v/>
      </c>
      <c r="R739" s="265" t="str">
        <f>IF(ResultsTeams[[#This Row],[Type]]="G",SUM(R740:R743),IF(LEFT(ResultsTeams[[#This Row],[Type]],1)="P",VALUE(ResultsTeams[[#This Row],[Score-B]]),""))</f>
        <v/>
      </c>
      <c r="S739" s="265" t="str">
        <f ca="1">IF(AND(ResultsTeams[[#This Row],[Category]]&lt;&gt;"",ResultsTeams[[#This Row],[Team A]]&lt;&gt;""),COUNTIF(INDIRECT("TeamsList[Club Name]"),ResultsTeams[[#This Row],[Team A]]),"")</f>
        <v/>
      </c>
      <c r="T739" s="265" t="str">
        <f ca="1">IF(AND(ResultsTeams[[#This Row],[Category]]&lt;&gt;"",ResultsTeams[[#This Row],[Team B]]&lt;&gt;""),COUNTIF(INDIRECT("TeamsList[Club Name]"),ResultsTeams[[#This Row],[Team B]]),"")</f>
        <v/>
      </c>
      <c r="U7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9" s="265" t="str">
        <f>IF(ResultsTeams[[#This Row],[Score_OK]],IF(ResultsTeams[[#This Row],[StageCpy]]="Groups",ResultsTeams[[#This Row],[Category]]&amp;"-"&amp;IF(ResultsTeams[[#This Row],[Team B]]="","",IF(ResultsTeams[[#This Row],[Match-A]]=ResultsTeams[[#This Row],[Match-B]],ResultsTeams[[#This Row],[Team A]],"")),""),"")</f>
        <v/>
      </c>
      <c r="W739" s="265" t="str">
        <f>IF(ResultsTeams[[#This Row],[Score_OK]],IF(ResultsTeams[[#This Row],[StageCpy]]="Groups",ResultsTeams[[#This Row],[Category]]&amp;"-"&amp;IF(ResultsTeams[[#This Row],[Team B]]="","",IF(ResultsTeams[[#This Row],[Match-A]]=ResultsTeams[[#This Row],[Match-B]],ResultsTeams[[#This Row],[Team B]],"")),""),"")</f>
        <v/>
      </c>
      <c r="X7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9" s="264" t="str">
        <f>IF(ResultsTeams[[#This Row],[Category]]="","",VLOOKUP(ResultsTeams[[#This Row],[Stage]],$R$1:$T$8,MATCH(ResultsTeams[[#This Row],[Category]],$S$1:$T$1,0)+1,FALSE))</f>
        <v/>
      </c>
      <c r="AC7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9" s="264" t="str">
        <f>IF(ResultsTeams[[#This Row],[Type]]="G",ResultsTeams[[#This Row],[Stage]],AD738)</f>
        <v>Semifinals</v>
      </c>
      <c r="AE739" s="395" t="str">
        <f>IF(ResultsTeams[[#This Row],[Type]]="G",INDEX(TeamsList[Club Name],MATCH(ResultsTeams[[#This Row],[Team A]],TeamsList[Team Name],0)),AE738)</f>
        <v>Bormla SC</v>
      </c>
      <c r="AF739" s="395" t="str">
        <f>IF(ResultsTeams[[#This Row],[Type]]="G",INDEX(TeamsList[Club Name],MATCH(ResultsTeams[[#This Row],[Team B]],TeamsList[Team Name],0)),AF738)</f>
        <v>F.lli Bari Reggio Emilia</v>
      </c>
      <c r="AG739" s="265"/>
    </row>
    <row r="740" spans="1:33" ht="12" thickBot="1" x14ac:dyDescent="0.25">
      <c r="A740" s="261" t="s">
        <v>12263</v>
      </c>
      <c r="B740" s="270" t="s">
        <v>12220</v>
      </c>
      <c r="C740" s="270"/>
      <c r="D740" s="270"/>
      <c r="E740" s="272" t="s">
        <v>12228</v>
      </c>
      <c r="F740" s="273" t="s">
        <v>796</v>
      </c>
      <c r="G740" s="273" t="s">
        <v>14593</v>
      </c>
      <c r="H740" s="275">
        <v>2</v>
      </c>
      <c r="I740" s="275">
        <v>2</v>
      </c>
      <c r="J740" s="275"/>
      <c r="K740" s="366"/>
      <c r="L740" s="366"/>
      <c r="M740" s="274"/>
      <c r="N740" s="265" t="b">
        <f>NOT(ISERROR(ResultsTeams[[#This Row],[Goal-A]]+ResultsTeams[[#This Row],[Goal-B]]))</f>
        <v>1</v>
      </c>
      <c r="O740" s="265">
        <f>IF(ResultsTeams[[#This Row],[Type]]="G",SUM(O741:O744),IF(LEFT(ResultsTeams[[#This Row],[Type]],1)="P",IF(ResultsTeams[[#This Row],[Goal-A]]&gt;ResultsTeams[[#This Row],[Goal-B]],1,0),""))</f>
        <v>2</v>
      </c>
      <c r="P740" s="265">
        <f>IF(ResultsTeams[[#This Row],[Type]]="G",SUM(P741:P744),IF(LEFT(ResultsTeams[[#This Row],[Type]],1)="P",IF(ResultsTeams[[#This Row],[Goal-A]]&lt;ResultsTeams[[#This Row],[Goal-B]],1,0),""))</f>
        <v>2</v>
      </c>
      <c r="Q740" s="265">
        <f>IF(ResultsTeams[[#This Row],[Type]]="G",SUM(Q741:Q744),IF(LEFT(ResultsTeams[[#This Row],[Type]],1)="P",VALUE(ResultsTeams[[#This Row],[Score-A]]),""))</f>
        <v>11</v>
      </c>
      <c r="R740" s="265">
        <f>IF(ResultsTeams[[#This Row],[Type]]="G",SUM(R741:R744),IF(LEFT(ResultsTeams[[#This Row],[Type]],1)="P",VALUE(ResultsTeams[[#This Row],[Score-B]]),""))</f>
        <v>7</v>
      </c>
      <c r="S740" s="265">
        <f ca="1">IF(AND(ResultsTeams[[#This Row],[Category]]&lt;&gt;"",ResultsTeams[[#This Row],[Team A]]&lt;&gt;""),COUNTIF(INDIRECT("TeamsList[Club Name]"),ResultsTeams[[#This Row],[Team A]]),"")</f>
        <v>1</v>
      </c>
      <c r="T740" s="265">
        <f ca="1">IF(AND(ResultsTeams[[#This Row],[Category]]&lt;&gt;"",ResultsTeams[[#This Row],[Team B]]&lt;&gt;""),COUNTIF(INDIRECT("TeamsList[Club Name]"),ResultsTeams[[#This Row],[Team B]]),"")</f>
        <v>0</v>
      </c>
      <c r="U7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0" s="265" t="str">
        <f>IF(ResultsTeams[[#This Row],[Score_OK]],IF(ResultsTeams[[#This Row],[StageCpy]]="Groups",ResultsTeams[[#This Row],[Category]]&amp;"-"&amp;IF(ResultsTeams[[#This Row],[Team B]]="","",IF(ResultsTeams[[#This Row],[Match-A]]=ResultsTeams[[#This Row],[Match-B]],ResultsTeams[[#This Row],[Team A]],"")),""),"")</f>
        <v/>
      </c>
      <c r="W740" s="265" t="str">
        <f>IF(ResultsTeams[[#This Row],[Score_OK]],IF(ResultsTeams[[#This Row],[StageCpy]]="Groups",ResultsTeams[[#This Row],[Category]]&amp;"-"&amp;IF(ResultsTeams[[#This Row],[Team B]]="","",IF(ResultsTeams[[#This Row],[Match-A]]=ResultsTeams[[#This Row],[Match-B]],ResultsTeams[[#This Row],[Team B]],"")),""),"")</f>
        <v/>
      </c>
      <c r="X7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CONSOLATION-Avenir Subbuteo Hennuyer 4</v>
      </c>
      <c r="Z740"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740"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740" s="264" t="e">
        <f>IF(ResultsTeams[[#This Row],[Category]]="","",VLOOKUP(ResultsTeams[[#This Row],[Stage]],$R$1:$T$8,MATCH(ResultsTeams[[#This Row],[Category]],$S$1:$T$1,0)+1,FALSE))</f>
        <v>#N/A</v>
      </c>
      <c r="AC740"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740" s="264" t="str">
        <f>IF(ResultsTeams[[#This Row],[Type]]="G",ResultsTeams[[#This Row],[Stage]],AD739)</f>
        <v>Semifinals</v>
      </c>
      <c r="AE740" s="395" t="str">
        <f>IF(ResultsTeams[[#This Row],[Type]]="G",INDEX(TeamsList[Club Name],MATCH(ResultsTeams[[#This Row],[Team A]],TeamsList[Team Name],0)),AE739)</f>
        <v>Valletta Lions TFC</v>
      </c>
      <c r="AF740" s="395" t="str">
        <f>IF(ResultsTeams[[#This Row],[Type]]="G",INDEX(TeamsList[Club Name],MATCH(ResultsTeams[[#This Row],[Team B]],TeamsList[Team Name],0)),AF739)</f>
        <v>Avenir Subbuteo Hennuyer</v>
      </c>
      <c r="AG740" s="265"/>
    </row>
    <row r="741" spans="1:33" x14ac:dyDescent="0.2">
      <c r="A741" s="60"/>
      <c r="B741" s="280"/>
      <c r="C741" s="60"/>
      <c r="D741" s="60"/>
      <c r="E741" s="240" t="s">
        <v>12231</v>
      </c>
      <c r="F741" s="244" t="s">
        <v>10448</v>
      </c>
      <c r="G741" s="244" t="s">
        <v>8161</v>
      </c>
      <c r="H741" s="253">
        <v>6</v>
      </c>
      <c r="I741" s="253">
        <v>1</v>
      </c>
      <c r="J741" s="253"/>
      <c r="K741" s="362"/>
      <c r="L741" s="362"/>
      <c r="M741" s="245"/>
      <c r="N741" s="265" t="b">
        <f>NOT(ISERROR(ResultsTeams[[#This Row],[Goal-A]]+ResultsTeams[[#This Row],[Goal-B]]))</f>
        <v>1</v>
      </c>
      <c r="O741" s="265">
        <f>IF(ResultsTeams[[#This Row],[Type]]="G",SUM(O742:O745),IF(LEFT(ResultsTeams[[#This Row],[Type]],1)="P",IF(ResultsTeams[[#This Row],[Goal-A]]&gt;ResultsTeams[[#This Row],[Goal-B]],1,0),""))</f>
        <v>1</v>
      </c>
      <c r="P741" s="265">
        <f>IF(ResultsTeams[[#This Row],[Type]]="G",SUM(P742:P745),IF(LEFT(ResultsTeams[[#This Row],[Type]],1)="P",IF(ResultsTeams[[#This Row],[Goal-A]]&lt;ResultsTeams[[#This Row],[Goal-B]],1,0),""))</f>
        <v>0</v>
      </c>
      <c r="Q741" s="265">
        <f>IF(ResultsTeams[[#This Row],[Type]]="G",SUM(Q742:Q745),IF(LEFT(ResultsTeams[[#This Row],[Type]],1)="P",VALUE(ResultsTeams[[#This Row],[Score-A]]),""))</f>
        <v>6</v>
      </c>
      <c r="R741" s="265">
        <f>IF(ResultsTeams[[#This Row],[Type]]="G",SUM(R742:R745),IF(LEFT(ResultsTeams[[#This Row],[Type]],1)="P",VALUE(ResultsTeams[[#This Row],[Score-B]]),""))</f>
        <v>1</v>
      </c>
      <c r="S741" s="265" t="str">
        <f ca="1">IF(AND(ResultsTeams[[#This Row],[Category]]&lt;&gt;"",ResultsTeams[[#This Row],[Team A]]&lt;&gt;""),COUNTIF(INDIRECT("TeamsList[Club Name]"),ResultsTeams[[#This Row],[Team A]]),"")</f>
        <v/>
      </c>
      <c r="T741" s="265" t="str">
        <f ca="1">IF(AND(ResultsTeams[[#This Row],[Category]]&lt;&gt;"",ResultsTeams[[#This Row],[Team B]]&lt;&gt;""),COUNTIF(INDIRECT("TeamsList[Club Name]"),ResultsTeams[[#This Row],[Team B]]),"")</f>
        <v/>
      </c>
      <c r="U7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1" s="265" t="str">
        <f>IF(ResultsTeams[[#This Row],[Score_OK]],IF(ResultsTeams[[#This Row],[StageCpy]]="Groups",ResultsTeams[[#This Row],[Category]]&amp;"-"&amp;IF(ResultsTeams[[#This Row],[Team B]]="","",IF(ResultsTeams[[#This Row],[Match-A]]=ResultsTeams[[#This Row],[Match-B]],ResultsTeams[[#This Row],[Team A]],"")),""),"")</f>
        <v/>
      </c>
      <c r="W741" s="265" t="str">
        <f>IF(ResultsTeams[[#This Row],[Score_OK]],IF(ResultsTeams[[#This Row],[StageCpy]]="Groups",ResultsTeams[[#This Row],[Category]]&amp;"-"&amp;IF(ResultsTeams[[#This Row],[Team B]]="","",IF(ResultsTeams[[#This Row],[Match-A]]=ResultsTeams[[#This Row],[Match-B]],ResultsTeams[[#This Row],[Team B]],"")),""),"")</f>
        <v/>
      </c>
      <c r="X7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1" s="264" t="str">
        <f>IF(ResultsTeams[[#This Row],[Category]]="","",VLOOKUP(ResultsTeams[[#This Row],[Stage]],$R$1:$T$8,MATCH(ResultsTeams[[#This Row],[Category]],$S$1:$T$1,0)+1,FALSE))</f>
        <v/>
      </c>
      <c r="AC7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1" s="264" t="str">
        <f>IF(ResultsTeams[[#This Row],[Type]]="G",ResultsTeams[[#This Row],[Stage]],AD740)</f>
        <v>Semifinals</v>
      </c>
      <c r="AE741" s="395" t="str">
        <f>IF(ResultsTeams[[#This Row],[Type]]="G",INDEX(TeamsList[Club Name],MATCH(ResultsTeams[[#This Row],[Team A]],TeamsList[Team Name],0)),AE740)</f>
        <v>Valletta Lions TFC</v>
      </c>
      <c r="AF741" s="395" t="str">
        <f>IF(ResultsTeams[[#This Row],[Type]]="G",INDEX(TeamsList[Club Name],MATCH(ResultsTeams[[#This Row],[Team B]],TeamsList[Team Name],0)),AF740)</f>
        <v>Avenir Subbuteo Hennuyer</v>
      </c>
      <c r="AG741" s="265"/>
    </row>
    <row r="742" spans="1:33" x14ac:dyDescent="0.2">
      <c r="A742" s="62"/>
      <c r="B742" s="280"/>
      <c r="C742" s="62"/>
      <c r="D742" s="62"/>
      <c r="E742" s="241" t="s">
        <v>12234</v>
      </c>
      <c r="F742" s="246" t="s">
        <v>11908</v>
      </c>
      <c r="G742" s="246" t="s">
        <v>8722</v>
      </c>
      <c r="H742" s="254">
        <v>0</v>
      </c>
      <c r="I742" s="254">
        <v>2</v>
      </c>
      <c r="J742" s="254"/>
      <c r="K742" s="363"/>
      <c r="L742" s="363"/>
      <c r="M742" s="247"/>
      <c r="N742" s="265" t="b">
        <f>NOT(ISERROR(ResultsTeams[[#This Row],[Goal-A]]+ResultsTeams[[#This Row],[Goal-B]]))</f>
        <v>1</v>
      </c>
      <c r="O742" s="265">
        <f>IF(ResultsTeams[[#This Row],[Type]]="G",SUM(O743:O746),IF(LEFT(ResultsTeams[[#This Row],[Type]],1)="P",IF(ResultsTeams[[#This Row],[Goal-A]]&gt;ResultsTeams[[#This Row],[Goal-B]],1,0),""))</f>
        <v>0</v>
      </c>
      <c r="P742" s="265">
        <f>IF(ResultsTeams[[#This Row],[Type]]="G",SUM(P743:P746),IF(LEFT(ResultsTeams[[#This Row],[Type]],1)="P",IF(ResultsTeams[[#This Row],[Goal-A]]&lt;ResultsTeams[[#This Row],[Goal-B]],1,0),""))</f>
        <v>1</v>
      </c>
      <c r="Q742" s="265">
        <f>IF(ResultsTeams[[#This Row],[Type]]="G",SUM(Q743:Q746),IF(LEFT(ResultsTeams[[#This Row],[Type]],1)="P",VALUE(ResultsTeams[[#This Row],[Score-A]]),""))</f>
        <v>0</v>
      </c>
      <c r="R742" s="265">
        <f>IF(ResultsTeams[[#This Row],[Type]]="G",SUM(R743:R746),IF(LEFT(ResultsTeams[[#This Row],[Type]],1)="P",VALUE(ResultsTeams[[#This Row],[Score-B]]),""))</f>
        <v>2</v>
      </c>
      <c r="S742" s="265" t="str">
        <f ca="1">IF(AND(ResultsTeams[[#This Row],[Category]]&lt;&gt;"",ResultsTeams[[#This Row],[Team A]]&lt;&gt;""),COUNTIF(INDIRECT("TeamsList[Club Name]"),ResultsTeams[[#This Row],[Team A]]),"")</f>
        <v/>
      </c>
      <c r="T742" s="265" t="str">
        <f ca="1">IF(AND(ResultsTeams[[#This Row],[Category]]&lt;&gt;"",ResultsTeams[[#This Row],[Team B]]&lt;&gt;""),COUNTIF(INDIRECT("TeamsList[Club Name]"),ResultsTeams[[#This Row],[Team B]]),"")</f>
        <v/>
      </c>
      <c r="U7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2" s="265" t="str">
        <f>IF(ResultsTeams[[#This Row],[Score_OK]],IF(ResultsTeams[[#This Row],[StageCpy]]="Groups",ResultsTeams[[#This Row],[Category]]&amp;"-"&amp;IF(ResultsTeams[[#This Row],[Team B]]="","",IF(ResultsTeams[[#This Row],[Match-A]]=ResultsTeams[[#This Row],[Match-B]],ResultsTeams[[#This Row],[Team A]],"")),""),"")</f>
        <v/>
      </c>
      <c r="W742" s="265" t="str">
        <f>IF(ResultsTeams[[#This Row],[Score_OK]],IF(ResultsTeams[[#This Row],[StageCpy]]="Groups",ResultsTeams[[#This Row],[Category]]&amp;"-"&amp;IF(ResultsTeams[[#This Row],[Team B]]="","",IF(ResultsTeams[[#This Row],[Match-A]]=ResultsTeams[[#This Row],[Match-B]],ResultsTeams[[#This Row],[Team B]],"")),""),"")</f>
        <v/>
      </c>
      <c r="X7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2" s="264" t="str">
        <f>IF(ResultsTeams[[#This Row],[Category]]="","",VLOOKUP(ResultsTeams[[#This Row],[Stage]],$R$1:$T$8,MATCH(ResultsTeams[[#This Row],[Category]],$S$1:$T$1,0)+1,FALSE))</f>
        <v/>
      </c>
      <c r="AC7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2" s="264" t="str">
        <f>IF(ResultsTeams[[#This Row],[Type]]="G",ResultsTeams[[#This Row],[Stage]],AD741)</f>
        <v>Semifinals</v>
      </c>
      <c r="AE742" s="395" t="str">
        <f>IF(ResultsTeams[[#This Row],[Type]]="G",INDEX(TeamsList[Club Name],MATCH(ResultsTeams[[#This Row],[Team A]],TeamsList[Team Name],0)),AE741)</f>
        <v>Valletta Lions TFC</v>
      </c>
      <c r="AF742" s="395" t="str">
        <f>IF(ResultsTeams[[#This Row],[Type]]="G",INDEX(TeamsList[Club Name],MATCH(ResultsTeams[[#This Row],[Team B]],TeamsList[Team Name],0)),AF741)</f>
        <v>Avenir Subbuteo Hennuyer</v>
      </c>
      <c r="AG742" s="265"/>
    </row>
    <row r="743" spans="1:33" x14ac:dyDescent="0.2">
      <c r="A743" s="62"/>
      <c r="B743" s="280"/>
      <c r="C743" s="62"/>
      <c r="D743" s="62"/>
      <c r="E743" s="241" t="s">
        <v>12237</v>
      </c>
      <c r="F743" s="246" t="s">
        <v>10441</v>
      </c>
      <c r="G743" s="246" t="s">
        <v>8721</v>
      </c>
      <c r="H743" s="254">
        <v>3</v>
      </c>
      <c r="I743" s="254">
        <v>0</v>
      </c>
      <c r="J743" s="254"/>
      <c r="K743" s="363"/>
      <c r="L743" s="363"/>
      <c r="M743" s="247"/>
      <c r="N743" s="265" t="b">
        <f>NOT(ISERROR(ResultsTeams[[#This Row],[Goal-A]]+ResultsTeams[[#This Row],[Goal-B]]))</f>
        <v>1</v>
      </c>
      <c r="O743" s="265">
        <f>IF(ResultsTeams[[#This Row],[Type]]="G",SUM(O744:O747),IF(LEFT(ResultsTeams[[#This Row],[Type]],1)="P",IF(ResultsTeams[[#This Row],[Goal-A]]&gt;ResultsTeams[[#This Row],[Goal-B]],1,0),""))</f>
        <v>1</v>
      </c>
      <c r="P743" s="265">
        <f>IF(ResultsTeams[[#This Row],[Type]]="G",SUM(P744:P747),IF(LEFT(ResultsTeams[[#This Row],[Type]],1)="P",IF(ResultsTeams[[#This Row],[Goal-A]]&lt;ResultsTeams[[#This Row],[Goal-B]],1,0),""))</f>
        <v>0</v>
      </c>
      <c r="Q743" s="265">
        <f>IF(ResultsTeams[[#This Row],[Type]]="G",SUM(Q744:Q747),IF(LEFT(ResultsTeams[[#This Row],[Type]],1)="P",VALUE(ResultsTeams[[#This Row],[Score-A]]),""))</f>
        <v>3</v>
      </c>
      <c r="R743" s="265">
        <f>IF(ResultsTeams[[#This Row],[Type]]="G",SUM(R744:R747),IF(LEFT(ResultsTeams[[#This Row],[Type]],1)="P",VALUE(ResultsTeams[[#This Row],[Score-B]]),""))</f>
        <v>0</v>
      </c>
      <c r="S743" s="265" t="str">
        <f ca="1">IF(AND(ResultsTeams[[#This Row],[Category]]&lt;&gt;"",ResultsTeams[[#This Row],[Team A]]&lt;&gt;""),COUNTIF(INDIRECT("TeamsList[Club Name]"),ResultsTeams[[#This Row],[Team A]]),"")</f>
        <v/>
      </c>
      <c r="T743" s="265" t="str">
        <f ca="1">IF(AND(ResultsTeams[[#This Row],[Category]]&lt;&gt;"",ResultsTeams[[#This Row],[Team B]]&lt;&gt;""),COUNTIF(INDIRECT("TeamsList[Club Name]"),ResultsTeams[[#This Row],[Team B]]),"")</f>
        <v/>
      </c>
      <c r="U7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3" s="265" t="str">
        <f>IF(ResultsTeams[[#This Row],[Score_OK]],IF(ResultsTeams[[#This Row],[StageCpy]]="Groups",ResultsTeams[[#This Row],[Category]]&amp;"-"&amp;IF(ResultsTeams[[#This Row],[Team B]]="","",IF(ResultsTeams[[#This Row],[Match-A]]=ResultsTeams[[#This Row],[Match-B]],ResultsTeams[[#This Row],[Team A]],"")),""),"")</f>
        <v/>
      </c>
      <c r="W743" s="265" t="str">
        <f>IF(ResultsTeams[[#This Row],[Score_OK]],IF(ResultsTeams[[#This Row],[StageCpy]]="Groups",ResultsTeams[[#This Row],[Category]]&amp;"-"&amp;IF(ResultsTeams[[#This Row],[Team B]]="","",IF(ResultsTeams[[#This Row],[Match-A]]=ResultsTeams[[#This Row],[Match-B]],ResultsTeams[[#This Row],[Team B]],"")),""),"")</f>
        <v/>
      </c>
      <c r="X7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3" s="264" t="str">
        <f>IF(ResultsTeams[[#This Row],[Category]]="","",VLOOKUP(ResultsTeams[[#This Row],[Stage]],$R$1:$T$8,MATCH(ResultsTeams[[#This Row],[Category]],$S$1:$T$1,0)+1,FALSE))</f>
        <v/>
      </c>
      <c r="AC7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3" s="264" t="str">
        <f>IF(ResultsTeams[[#This Row],[Type]]="G",ResultsTeams[[#This Row],[Stage]],AD742)</f>
        <v>Semifinals</v>
      </c>
      <c r="AE743" s="395" t="str">
        <f>IF(ResultsTeams[[#This Row],[Type]]="G",INDEX(TeamsList[Club Name],MATCH(ResultsTeams[[#This Row],[Team A]],TeamsList[Team Name],0)),AE742)</f>
        <v>Valletta Lions TFC</v>
      </c>
      <c r="AF743" s="395" t="str">
        <f>IF(ResultsTeams[[#This Row],[Type]]="G",INDEX(TeamsList[Club Name],MATCH(ResultsTeams[[#This Row],[Team B]],TeamsList[Team Name],0)),AF742)</f>
        <v>Avenir Subbuteo Hennuyer</v>
      </c>
      <c r="AG743" s="265"/>
    </row>
    <row r="744" spans="1:33" x14ac:dyDescent="0.2">
      <c r="A744" s="62"/>
      <c r="B744" s="280"/>
      <c r="C744" s="62"/>
      <c r="D744" s="62"/>
      <c r="E744" s="241" t="s">
        <v>12240</v>
      </c>
      <c r="F744" s="246" t="s">
        <v>11444</v>
      </c>
      <c r="G744" s="246" t="s">
        <v>8162</v>
      </c>
      <c r="H744" s="254">
        <v>2</v>
      </c>
      <c r="I744" s="254">
        <v>4</v>
      </c>
      <c r="J744" s="254"/>
      <c r="K744" s="363"/>
      <c r="L744" s="363"/>
      <c r="M744" s="247"/>
      <c r="N744" s="265" t="b">
        <f>NOT(ISERROR(ResultsTeams[[#This Row],[Goal-A]]+ResultsTeams[[#This Row],[Goal-B]]))</f>
        <v>1</v>
      </c>
      <c r="O744" s="265">
        <f>IF(ResultsTeams[[#This Row],[Type]]="G",SUM(O745:O748),IF(LEFT(ResultsTeams[[#This Row],[Type]],1)="P",IF(ResultsTeams[[#This Row],[Goal-A]]&gt;ResultsTeams[[#This Row],[Goal-B]],1,0),""))</f>
        <v>0</v>
      </c>
      <c r="P744" s="265">
        <f>IF(ResultsTeams[[#This Row],[Type]]="G",SUM(P745:P748),IF(LEFT(ResultsTeams[[#This Row],[Type]],1)="P",IF(ResultsTeams[[#This Row],[Goal-A]]&lt;ResultsTeams[[#This Row],[Goal-B]],1,0),""))</f>
        <v>1</v>
      </c>
      <c r="Q744" s="265">
        <f>IF(ResultsTeams[[#This Row],[Type]]="G",SUM(Q745:Q748),IF(LEFT(ResultsTeams[[#This Row],[Type]],1)="P",VALUE(ResultsTeams[[#This Row],[Score-A]]),""))</f>
        <v>2</v>
      </c>
      <c r="R744" s="265">
        <f>IF(ResultsTeams[[#This Row],[Type]]="G",SUM(R745:R748),IF(LEFT(ResultsTeams[[#This Row],[Type]],1)="P",VALUE(ResultsTeams[[#This Row],[Score-B]]),""))</f>
        <v>4</v>
      </c>
      <c r="S744" s="265" t="str">
        <f ca="1">IF(AND(ResultsTeams[[#This Row],[Category]]&lt;&gt;"",ResultsTeams[[#This Row],[Team A]]&lt;&gt;""),COUNTIF(INDIRECT("TeamsList[Club Name]"),ResultsTeams[[#This Row],[Team A]]),"")</f>
        <v/>
      </c>
      <c r="T744" s="265" t="str">
        <f ca="1">IF(AND(ResultsTeams[[#This Row],[Category]]&lt;&gt;"",ResultsTeams[[#This Row],[Team B]]&lt;&gt;""),COUNTIF(INDIRECT("TeamsList[Club Name]"),ResultsTeams[[#This Row],[Team B]]),"")</f>
        <v/>
      </c>
      <c r="U7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4" s="265" t="str">
        <f>IF(ResultsTeams[[#This Row],[Score_OK]],IF(ResultsTeams[[#This Row],[StageCpy]]="Groups",ResultsTeams[[#This Row],[Category]]&amp;"-"&amp;IF(ResultsTeams[[#This Row],[Team B]]="","",IF(ResultsTeams[[#This Row],[Match-A]]=ResultsTeams[[#This Row],[Match-B]],ResultsTeams[[#This Row],[Team A]],"")),""),"")</f>
        <v/>
      </c>
      <c r="W744" s="265" t="str">
        <f>IF(ResultsTeams[[#This Row],[Score_OK]],IF(ResultsTeams[[#This Row],[StageCpy]]="Groups",ResultsTeams[[#This Row],[Category]]&amp;"-"&amp;IF(ResultsTeams[[#This Row],[Team B]]="","",IF(ResultsTeams[[#This Row],[Match-A]]=ResultsTeams[[#This Row],[Match-B]],ResultsTeams[[#This Row],[Team B]],"")),""),"")</f>
        <v/>
      </c>
      <c r="X7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4" s="264" t="str">
        <f>IF(ResultsTeams[[#This Row],[Category]]="","",VLOOKUP(ResultsTeams[[#This Row],[Stage]],$R$1:$T$8,MATCH(ResultsTeams[[#This Row],[Category]],$S$1:$T$1,0)+1,FALSE))</f>
        <v/>
      </c>
      <c r="AC7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4" s="264" t="str">
        <f>IF(ResultsTeams[[#This Row],[Type]]="G",ResultsTeams[[#This Row],[Stage]],AD743)</f>
        <v>Semifinals</v>
      </c>
      <c r="AE744" s="395" t="str">
        <f>IF(ResultsTeams[[#This Row],[Type]]="G",INDEX(TeamsList[Club Name],MATCH(ResultsTeams[[#This Row],[Team A]],TeamsList[Team Name],0)),AE743)</f>
        <v>Valletta Lions TFC</v>
      </c>
      <c r="AF744" s="395" t="str">
        <f>IF(ResultsTeams[[#This Row],[Type]]="G",INDEX(TeamsList[Club Name],MATCH(ResultsTeams[[#This Row],[Team B]],TeamsList[Team Name],0)),AF743)</f>
        <v>Avenir Subbuteo Hennuyer</v>
      </c>
      <c r="AG744" s="265"/>
    </row>
    <row r="745" spans="1:33" x14ac:dyDescent="0.2">
      <c r="A745" s="62"/>
      <c r="B745" s="62"/>
      <c r="C745" s="62"/>
      <c r="D745" s="62"/>
      <c r="E745" s="241" t="s">
        <v>12243</v>
      </c>
      <c r="F745" s="247"/>
      <c r="G745" s="247"/>
      <c r="H745" s="254"/>
      <c r="I745" s="254"/>
      <c r="J745" s="260"/>
      <c r="K745" s="364"/>
      <c r="L745" s="364"/>
      <c r="M745" s="63"/>
      <c r="N745" s="265" t="b">
        <f>NOT(ISERROR(ResultsTeams[[#This Row],[Goal-A]]+ResultsTeams[[#This Row],[Goal-B]]))</f>
        <v>0</v>
      </c>
      <c r="O745" s="265" t="str">
        <f>IF(ResultsTeams[[#This Row],[Type]]="G",SUM(O746:O749),IF(LEFT(ResultsTeams[[#This Row],[Type]],1)="P",IF(ResultsTeams[[#This Row],[Goal-A]]&gt;ResultsTeams[[#This Row],[Goal-B]],1,0),""))</f>
        <v/>
      </c>
      <c r="P745" s="265" t="str">
        <f>IF(ResultsTeams[[#This Row],[Type]]="G",SUM(P746:P749),IF(LEFT(ResultsTeams[[#This Row],[Type]],1)="P",IF(ResultsTeams[[#This Row],[Goal-A]]&lt;ResultsTeams[[#This Row],[Goal-B]],1,0),""))</f>
        <v/>
      </c>
      <c r="Q745" s="265" t="str">
        <f>IF(ResultsTeams[[#This Row],[Type]]="G",SUM(Q746:Q749),IF(LEFT(ResultsTeams[[#This Row],[Type]],1)="P",VALUE(ResultsTeams[[#This Row],[Score-A]]),""))</f>
        <v/>
      </c>
      <c r="R745" s="265" t="str">
        <f>IF(ResultsTeams[[#This Row],[Type]]="G",SUM(R746:R749),IF(LEFT(ResultsTeams[[#This Row],[Type]],1)="P",VALUE(ResultsTeams[[#This Row],[Score-B]]),""))</f>
        <v/>
      </c>
      <c r="S745" s="265" t="str">
        <f ca="1">IF(AND(ResultsTeams[[#This Row],[Category]]&lt;&gt;"",ResultsTeams[[#This Row],[Team A]]&lt;&gt;""),COUNTIF(INDIRECT("TeamsList[Club Name]"),ResultsTeams[[#This Row],[Team A]]),"")</f>
        <v/>
      </c>
      <c r="T745" s="265" t="str">
        <f ca="1">IF(AND(ResultsTeams[[#This Row],[Category]]&lt;&gt;"",ResultsTeams[[#This Row],[Team B]]&lt;&gt;""),COUNTIF(INDIRECT("TeamsList[Club Name]"),ResultsTeams[[#This Row],[Team B]]),"")</f>
        <v/>
      </c>
      <c r="U7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5" s="265" t="str">
        <f>IF(ResultsTeams[[#This Row],[Score_OK]],IF(ResultsTeams[[#This Row],[StageCpy]]="Groups",ResultsTeams[[#This Row],[Category]]&amp;"-"&amp;IF(ResultsTeams[[#This Row],[Team B]]="","",IF(ResultsTeams[[#This Row],[Match-A]]=ResultsTeams[[#This Row],[Match-B]],ResultsTeams[[#This Row],[Team A]],"")),""),"")</f>
        <v/>
      </c>
      <c r="W745" s="265" t="str">
        <f>IF(ResultsTeams[[#This Row],[Score_OK]],IF(ResultsTeams[[#This Row],[StageCpy]]="Groups",ResultsTeams[[#This Row],[Category]]&amp;"-"&amp;IF(ResultsTeams[[#This Row],[Team B]]="","",IF(ResultsTeams[[#This Row],[Match-A]]=ResultsTeams[[#This Row],[Match-B]],ResultsTeams[[#This Row],[Team B]],"")),""),"")</f>
        <v/>
      </c>
      <c r="X7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5" s="264" t="str">
        <f>IF(ResultsTeams[[#This Row],[Category]]="","",VLOOKUP(ResultsTeams[[#This Row],[Stage]],$R$1:$T$8,MATCH(ResultsTeams[[#This Row],[Category]],$S$1:$T$1,0)+1,FALSE))</f>
        <v/>
      </c>
      <c r="AC7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5" s="264" t="str">
        <f>IF(ResultsTeams[[#This Row],[Type]]="G",ResultsTeams[[#This Row],[Stage]],AD744)</f>
        <v>Semifinals</v>
      </c>
      <c r="AE745" s="395" t="str">
        <f>IF(ResultsTeams[[#This Row],[Type]]="G",INDEX(TeamsList[Club Name],MATCH(ResultsTeams[[#This Row],[Team A]],TeamsList[Team Name],0)),AE744)</f>
        <v>Valletta Lions TFC</v>
      </c>
      <c r="AF745" s="395" t="str">
        <f>IF(ResultsTeams[[#This Row],[Type]]="G",INDEX(TeamsList[Club Name],MATCH(ResultsTeams[[#This Row],[Team B]],TeamsList[Team Name],0)),AF744)</f>
        <v>Avenir Subbuteo Hennuyer</v>
      </c>
      <c r="AG745" s="265"/>
    </row>
    <row r="746" spans="1:33" ht="12" thickBot="1" x14ac:dyDescent="0.25">
      <c r="A746" s="83"/>
      <c r="B746" s="83"/>
      <c r="C746" s="83"/>
      <c r="D746" s="83"/>
      <c r="E746" s="268" t="s">
        <v>12244</v>
      </c>
      <c r="F746" s="262"/>
      <c r="G746" s="262"/>
      <c r="H746" s="324"/>
      <c r="I746" s="324"/>
      <c r="J746" s="263"/>
      <c r="K746" s="365"/>
      <c r="L746" s="365"/>
      <c r="M746" s="84"/>
      <c r="N746" s="265" t="b">
        <f>NOT(ISERROR(ResultsTeams[[#This Row],[Goal-A]]+ResultsTeams[[#This Row],[Goal-B]]))</f>
        <v>0</v>
      </c>
      <c r="O746" s="265" t="str">
        <f>IF(ResultsTeams[[#This Row],[Type]]="G",SUM(O747:O750),IF(LEFT(ResultsTeams[[#This Row],[Type]],1)="P",IF(ResultsTeams[[#This Row],[Goal-A]]&gt;ResultsTeams[[#This Row],[Goal-B]],1,0),""))</f>
        <v/>
      </c>
      <c r="P746" s="265" t="str">
        <f>IF(ResultsTeams[[#This Row],[Type]]="G",SUM(P747:P750),IF(LEFT(ResultsTeams[[#This Row],[Type]],1)="P",IF(ResultsTeams[[#This Row],[Goal-A]]&lt;ResultsTeams[[#This Row],[Goal-B]],1,0),""))</f>
        <v/>
      </c>
      <c r="Q746" s="265" t="str">
        <f>IF(ResultsTeams[[#This Row],[Type]]="G",SUM(Q747:Q750),IF(LEFT(ResultsTeams[[#This Row],[Type]],1)="P",VALUE(ResultsTeams[[#This Row],[Score-A]]),""))</f>
        <v/>
      </c>
      <c r="R746" s="265" t="str">
        <f>IF(ResultsTeams[[#This Row],[Type]]="G",SUM(R747:R750),IF(LEFT(ResultsTeams[[#This Row],[Type]],1)="P",VALUE(ResultsTeams[[#This Row],[Score-B]]),""))</f>
        <v/>
      </c>
      <c r="S746" s="265" t="str">
        <f ca="1">IF(AND(ResultsTeams[[#This Row],[Category]]&lt;&gt;"",ResultsTeams[[#This Row],[Team A]]&lt;&gt;""),COUNTIF(INDIRECT("TeamsList[Club Name]"),ResultsTeams[[#This Row],[Team A]]),"")</f>
        <v/>
      </c>
      <c r="T746" s="265" t="str">
        <f ca="1">IF(AND(ResultsTeams[[#This Row],[Category]]&lt;&gt;"",ResultsTeams[[#This Row],[Team B]]&lt;&gt;""),COUNTIF(INDIRECT("TeamsList[Club Name]"),ResultsTeams[[#This Row],[Team B]]),"")</f>
        <v/>
      </c>
      <c r="U7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6" s="265" t="str">
        <f>IF(ResultsTeams[[#This Row],[Score_OK]],IF(ResultsTeams[[#This Row],[StageCpy]]="Groups",ResultsTeams[[#This Row],[Category]]&amp;"-"&amp;IF(ResultsTeams[[#This Row],[Team B]]="","",IF(ResultsTeams[[#This Row],[Match-A]]=ResultsTeams[[#This Row],[Match-B]],ResultsTeams[[#This Row],[Team A]],"")),""),"")</f>
        <v/>
      </c>
      <c r="W746" s="265" t="str">
        <f>IF(ResultsTeams[[#This Row],[Score_OK]],IF(ResultsTeams[[#This Row],[StageCpy]]="Groups",ResultsTeams[[#This Row],[Category]]&amp;"-"&amp;IF(ResultsTeams[[#This Row],[Team B]]="","",IF(ResultsTeams[[#This Row],[Match-A]]=ResultsTeams[[#This Row],[Match-B]],ResultsTeams[[#This Row],[Team B]],"")),""),"")</f>
        <v/>
      </c>
      <c r="X7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6" s="264" t="str">
        <f>IF(ResultsTeams[[#This Row],[Category]]="","",VLOOKUP(ResultsTeams[[#This Row],[Stage]],$R$1:$T$8,MATCH(ResultsTeams[[#This Row],[Category]],$S$1:$T$1,0)+1,FALSE))</f>
        <v/>
      </c>
      <c r="AC7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6" s="264" t="str">
        <f>IF(ResultsTeams[[#This Row],[Type]]="G",ResultsTeams[[#This Row],[Stage]],AD745)</f>
        <v>Semifinals</v>
      </c>
      <c r="AE746" s="395" t="str">
        <f>IF(ResultsTeams[[#This Row],[Type]]="G",INDEX(TeamsList[Club Name],MATCH(ResultsTeams[[#This Row],[Team A]],TeamsList[Team Name],0)),AE745)</f>
        <v>Valletta Lions TFC</v>
      </c>
      <c r="AF746" s="395" t="str">
        <f>IF(ResultsTeams[[#This Row],[Type]]="G",INDEX(TeamsList[Club Name],MATCH(ResultsTeams[[#This Row],[Team B]],TeamsList[Team Name],0)),AF745)</f>
        <v>Avenir Subbuteo Hennuyer</v>
      </c>
      <c r="AG746" s="265"/>
    </row>
    <row r="747" spans="1:33" ht="12" thickBot="1" x14ac:dyDescent="0.25">
      <c r="A747" s="261" t="s">
        <v>12263</v>
      </c>
      <c r="B747" s="270" t="s">
        <v>12220</v>
      </c>
      <c r="C747" s="270"/>
      <c r="D747" s="270"/>
      <c r="E747" s="272" t="s">
        <v>12228</v>
      </c>
      <c r="F747" s="273" t="s">
        <v>69</v>
      </c>
      <c r="G747" s="273" t="s">
        <v>340</v>
      </c>
      <c r="H747" s="275">
        <v>1</v>
      </c>
      <c r="I747" s="275">
        <v>3</v>
      </c>
      <c r="J747" s="275"/>
      <c r="K747" s="366"/>
      <c r="L747" s="366"/>
      <c r="M747" s="271"/>
      <c r="N747" s="265" t="b">
        <f>NOT(ISERROR(ResultsTeams[[#This Row],[Goal-A]]+ResultsTeams[[#This Row],[Goal-B]]))</f>
        <v>1</v>
      </c>
      <c r="O747" s="265">
        <f>IF(ResultsTeams[[#This Row],[Type]]="G",SUM(O748:O751),IF(LEFT(ResultsTeams[[#This Row],[Type]],1)="P",IF(ResultsTeams[[#This Row],[Goal-A]]&gt;ResultsTeams[[#This Row],[Goal-B]],1,0),""))</f>
        <v>1</v>
      </c>
      <c r="P747" s="265">
        <f>IF(ResultsTeams[[#This Row],[Type]]="G",SUM(P748:P751),IF(LEFT(ResultsTeams[[#This Row],[Type]],1)="P",IF(ResultsTeams[[#This Row],[Goal-A]]&lt;ResultsTeams[[#This Row],[Goal-B]],1,0),""))</f>
        <v>3</v>
      </c>
      <c r="Q747" s="265">
        <f>IF(ResultsTeams[[#This Row],[Type]]="G",SUM(Q748:Q751),IF(LEFT(ResultsTeams[[#This Row],[Type]],1)="P",VALUE(ResultsTeams[[#This Row],[Score-A]]),""))</f>
        <v>5</v>
      </c>
      <c r="R747" s="265">
        <f>IF(ResultsTeams[[#This Row],[Type]]="G",SUM(R748:R751),IF(LEFT(ResultsTeams[[#This Row],[Type]],1)="P",VALUE(ResultsTeams[[#This Row],[Score-B]]),""))</f>
        <v>10</v>
      </c>
      <c r="S747" s="265">
        <f ca="1">IF(AND(ResultsTeams[[#This Row],[Category]]&lt;&gt;"",ResultsTeams[[#This Row],[Team A]]&lt;&gt;""),COUNTIF(INDIRECT("TeamsList[Club Name]"),ResultsTeams[[#This Row],[Team A]]),"")</f>
        <v>1</v>
      </c>
      <c r="T747" s="265">
        <f ca="1">IF(AND(ResultsTeams[[#This Row],[Category]]&lt;&gt;"",ResultsTeams[[#This Row],[Team B]]&lt;&gt;""),COUNTIF(INDIRECT("TeamsList[Club Name]"),ResultsTeams[[#This Row],[Team B]]),"")</f>
        <v>2</v>
      </c>
      <c r="U7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7" s="265" t="str">
        <f>IF(ResultsTeams[[#This Row],[Score_OK]],IF(ResultsTeams[[#This Row],[StageCpy]]="Groups",ResultsTeams[[#This Row],[Category]]&amp;"-"&amp;IF(ResultsTeams[[#This Row],[Team B]]="","",IF(ResultsTeams[[#This Row],[Match-A]]=ResultsTeams[[#This Row],[Match-B]],ResultsTeams[[#This Row],[Team A]],"")),""),"")</f>
        <v/>
      </c>
      <c r="W747" s="265" t="str">
        <f>IF(ResultsTeams[[#This Row],[Score_OK]],IF(ResultsTeams[[#This Row],[StageCpy]]="Groups",ResultsTeams[[#This Row],[Category]]&amp;"-"&amp;IF(ResultsTeams[[#This Row],[Team B]]="","",IF(ResultsTeams[[#This Row],[Match-A]]=ResultsTeams[[#This Row],[Match-B]],ResultsTeams[[#This Row],[Team B]],"")),""),"")</f>
        <v/>
      </c>
      <c r="X7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CONSOLATION-JSC Rochefort</v>
      </c>
      <c r="Z747"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747"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747" s="264" t="e">
        <f>IF(ResultsTeams[[#This Row],[Category]]="","",VLOOKUP(ResultsTeams[[#This Row],[Stage]],$R$1:$T$8,MATCH(ResultsTeams[[#This Row],[Category]],$S$1:$T$1,0)+1,FALSE))</f>
        <v>#N/A</v>
      </c>
      <c r="AC747"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747" s="264" t="str">
        <f>IF(ResultsTeams[[#This Row],[Type]]="G",ResultsTeams[[#This Row],[Stage]],AD746)</f>
        <v>Semifinals</v>
      </c>
      <c r="AE747" s="395" t="str">
        <f>IF(ResultsTeams[[#This Row],[Type]]="G",INDEX(TeamsList[Club Name],MATCH(ResultsTeams[[#This Row],[Team A]],TeamsList[Team Name],0)),AE746)</f>
        <v>JSC Rochefort</v>
      </c>
      <c r="AF747" s="395" t="str">
        <f>IF(ResultsTeams[[#This Row],[Type]]="G",INDEX(TeamsList[Club Name],MATCH(ResultsTeams[[#This Row],[Team B]],TeamsList[Team Name],0)),AF746)</f>
        <v>Wamme SC</v>
      </c>
      <c r="AG747" s="265"/>
    </row>
    <row r="748" spans="1:33" x14ac:dyDescent="0.2">
      <c r="A748" s="60"/>
      <c r="B748" s="280"/>
      <c r="C748" s="60"/>
      <c r="D748" s="60"/>
      <c r="E748" s="240" t="s">
        <v>12231</v>
      </c>
      <c r="F748" s="244" t="s">
        <v>8092</v>
      </c>
      <c r="G748" s="244" t="s">
        <v>8166</v>
      </c>
      <c r="H748" s="253">
        <v>3</v>
      </c>
      <c r="I748" s="253">
        <v>1</v>
      </c>
      <c r="J748" s="253"/>
      <c r="K748" s="362"/>
      <c r="L748" s="362"/>
      <c r="M748" s="61"/>
      <c r="N748" s="265" t="b">
        <f>NOT(ISERROR(ResultsTeams[[#This Row],[Goal-A]]+ResultsTeams[[#This Row],[Goal-B]]))</f>
        <v>1</v>
      </c>
      <c r="O748" s="265">
        <f>IF(ResultsTeams[[#This Row],[Type]]="G",SUM(O749:O752),IF(LEFT(ResultsTeams[[#This Row],[Type]],1)="P",IF(ResultsTeams[[#This Row],[Goal-A]]&gt;ResultsTeams[[#This Row],[Goal-B]],1,0),""))</f>
        <v>1</v>
      </c>
      <c r="P748" s="265">
        <f>IF(ResultsTeams[[#This Row],[Type]]="G",SUM(P749:P752),IF(LEFT(ResultsTeams[[#This Row],[Type]],1)="P",IF(ResultsTeams[[#This Row],[Goal-A]]&lt;ResultsTeams[[#This Row],[Goal-B]],1,0),""))</f>
        <v>0</v>
      </c>
      <c r="Q748" s="265">
        <f>IF(ResultsTeams[[#This Row],[Type]]="G",SUM(Q749:Q752),IF(LEFT(ResultsTeams[[#This Row],[Type]],1)="P",VALUE(ResultsTeams[[#This Row],[Score-A]]),""))</f>
        <v>3</v>
      </c>
      <c r="R748" s="265">
        <f>IF(ResultsTeams[[#This Row],[Type]]="G",SUM(R749:R752),IF(LEFT(ResultsTeams[[#This Row],[Type]],1)="P",VALUE(ResultsTeams[[#This Row],[Score-B]]),""))</f>
        <v>1</v>
      </c>
      <c r="S748" s="265" t="str">
        <f ca="1">IF(AND(ResultsTeams[[#This Row],[Category]]&lt;&gt;"",ResultsTeams[[#This Row],[Team A]]&lt;&gt;""),COUNTIF(INDIRECT("TeamsList[Club Name]"),ResultsTeams[[#This Row],[Team A]]),"")</f>
        <v/>
      </c>
      <c r="T748" s="265" t="str">
        <f ca="1">IF(AND(ResultsTeams[[#This Row],[Category]]&lt;&gt;"",ResultsTeams[[#This Row],[Team B]]&lt;&gt;""),COUNTIF(INDIRECT("TeamsList[Club Name]"),ResultsTeams[[#This Row],[Team B]]),"")</f>
        <v/>
      </c>
      <c r="U7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8" s="265" t="str">
        <f>IF(ResultsTeams[[#This Row],[Score_OK]],IF(ResultsTeams[[#This Row],[StageCpy]]="Groups",ResultsTeams[[#This Row],[Category]]&amp;"-"&amp;IF(ResultsTeams[[#This Row],[Team B]]="","",IF(ResultsTeams[[#This Row],[Match-A]]=ResultsTeams[[#This Row],[Match-B]],ResultsTeams[[#This Row],[Team A]],"")),""),"")</f>
        <v/>
      </c>
      <c r="W748" s="265" t="str">
        <f>IF(ResultsTeams[[#This Row],[Score_OK]],IF(ResultsTeams[[#This Row],[StageCpy]]="Groups",ResultsTeams[[#This Row],[Category]]&amp;"-"&amp;IF(ResultsTeams[[#This Row],[Team B]]="","",IF(ResultsTeams[[#This Row],[Match-A]]=ResultsTeams[[#This Row],[Match-B]],ResultsTeams[[#This Row],[Team B]],"")),""),"")</f>
        <v/>
      </c>
      <c r="X7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8" s="264" t="str">
        <f>IF(ResultsTeams[[#This Row],[Category]]="","",VLOOKUP(ResultsTeams[[#This Row],[Stage]],$R$1:$T$8,MATCH(ResultsTeams[[#This Row],[Category]],$S$1:$T$1,0)+1,FALSE))</f>
        <v/>
      </c>
      <c r="AC7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8" s="264" t="str">
        <f>IF(ResultsTeams[[#This Row],[Type]]="G",ResultsTeams[[#This Row],[Stage]],AD747)</f>
        <v>Semifinals</v>
      </c>
      <c r="AE748" s="395" t="str">
        <f>IF(ResultsTeams[[#This Row],[Type]]="G",INDEX(TeamsList[Club Name],MATCH(ResultsTeams[[#This Row],[Team A]],TeamsList[Team Name],0)),AE747)</f>
        <v>JSC Rochefort</v>
      </c>
      <c r="AF748" s="395" t="str">
        <f>IF(ResultsTeams[[#This Row],[Type]]="G",INDEX(TeamsList[Club Name],MATCH(ResultsTeams[[#This Row],[Team B]],TeamsList[Team Name],0)),AF747)</f>
        <v>Wamme SC</v>
      </c>
      <c r="AG748" s="265"/>
    </row>
    <row r="749" spans="1:33" x14ac:dyDescent="0.2">
      <c r="A749" s="62"/>
      <c r="B749" s="280"/>
      <c r="C749" s="62"/>
      <c r="D749" s="62"/>
      <c r="E749" s="241" t="s">
        <v>12234</v>
      </c>
      <c r="F749" s="246" t="s">
        <v>8072</v>
      </c>
      <c r="G749" s="246" t="s">
        <v>8168</v>
      </c>
      <c r="H749" s="254">
        <v>1</v>
      </c>
      <c r="I749" s="254">
        <v>3</v>
      </c>
      <c r="J749" s="254"/>
      <c r="K749" s="363"/>
      <c r="L749" s="363"/>
      <c r="M749" s="63"/>
      <c r="N749" s="265" t="b">
        <f>NOT(ISERROR(ResultsTeams[[#This Row],[Goal-A]]+ResultsTeams[[#This Row],[Goal-B]]))</f>
        <v>1</v>
      </c>
      <c r="O749" s="265">
        <f>IF(ResultsTeams[[#This Row],[Type]]="G",SUM(O750:O753),IF(LEFT(ResultsTeams[[#This Row],[Type]],1)="P",IF(ResultsTeams[[#This Row],[Goal-A]]&gt;ResultsTeams[[#This Row],[Goal-B]],1,0),""))</f>
        <v>0</v>
      </c>
      <c r="P749" s="265">
        <f>IF(ResultsTeams[[#This Row],[Type]]="G",SUM(P750:P753),IF(LEFT(ResultsTeams[[#This Row],[Type]],1)="P",IF(ResultsTeams[[#This Row],[Goal-A]]&lt;ResultsTeams[[#This Row],[Goal-B]],1,0),""))</f>
        <v>1</v>
      </c>
      <c r="Q749" s="265">
        <f>IF(ResultsTeams[[#This Row],[Type]]="G",SUM(Q750:Q753),IF(LEFT(ResultsTeams[[#This Row],[Type]],1)="P",VALUE(ResultsTeams[[#This Row],[Score-A]]),""))</f>
        <v>1</v>
      </c>
      <c r="R749" s="265">
        <f>IF(ResultsTeams[[#This Row],[Type]]="G",SUM(R750:R753),IF(LEFT(ResultsTeams[[#This Row],[Type]],1)="P",VALUE(ResultsTeams[[#This Row],[Score-B]]),""))</f>
        <v>3</v>
      </c>
      <c r="S749" s="265" t="str">
        <f ca="1">IF(AND(ResultsTeams[[#This Row],[Category]]&lt;&gt;"",ResultsTeams[[#This Row],[Team A]]&lt;&gt;""),COUNTIF(INDIRECT("TeamsList[Club Name]"),ResultsTeams[[#This Row],[Team A]]),"")</f>
        <v/>
      </c>
      <c r="T749" s="265" t="str">
        <f ca="1">IF(AND(ResultsTeams[[#This Row],[Category]]&lt;&gt;"",ResultsTeams[[#This Row],[Team B]]&lt;&gt;""),COUNTIF(INDIRECT("TeamsList[Club Name]"),ResultsTeams[[#This Row],[Team B]]),"")</f>
        <v/>
      </c>
      <c r="U7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9" s="265" t="str">
        <f>IF(ResultsTeams[[#This Row],[Score_OK]],IF(ResultsTeams[[#This Row],[StageCpy]]="Groups",ResultsTeams[[#This Row],[Category]]&amp;"-"&amp;IF(ResultsTeams[[#This Row],[Team B]]="","",IF(ResultsTeams[[#This Row],[Match-A]]=ResultsTeams[[#This Row],[Match-B]],ResultsTeams[[#This Row],[Team A]],"")),""),"")</f>
        <v/>
      </c>
      <c r="W749" s="265" t="str">
        <f>IF(ResultsTeams[[#This Row],[Score_OK]],IF(ResultsTeams[[#This Row],[StageCpy]]="Groups",ResultsTeams[[#This Row],[Category]]&amp;"-"&amp;IF(ResultsTeams[[#This Row],[Team B]]="","",IF(ResultsTeams[[#This Row],[Match-A]]=ResultsTeams[[#This Row],[Match-B]],ResultsTeams[[#This Row],[Team B]],"")),""),"")</f>
        <v/>
      </c>
      <c r="X7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9" s="264" t="str">
        <f>IF(ResultsTeams[[#This Row],[Category]]="","",VLOOKUP(ResultsTeams[[#This Row],[Stage]],$R$1:$T$8,MATCH(ResultsTeams[[#This Row],[Category]],$S$1:$T$1,0)+1,FALSE))</f>
        <v/>
      </c>
      <c r="AC7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9" s="264" t="str">
        <f>IF(ResultsTeams[[#This Row],[Type]]="G",ResultsTeams[[#This Row],[Stage]],AD748)</f>
        <v>Semifinals</v>
      </c>
      <c r="AE749" s="395" t="str">
        <f>IF(ResultsTeams[[#This Row],[Type]]="G",INDEX(TeamsList[Club Name],MATCH(ResultsTeams[[#This Row],[Team A]],TeamsList[Team Name],0)),AE748)</f>
        <v>JSC Rochefort</v>
      </c>
      <c r="AF749" s="395" t="str">
        <f>IF(ResultsTeams[[#This Row],[Type]]="G",INDEX(TeamsList[Club Name],MATCH(ResultsTeams[[#This Row],[Team B]],TeamsList[Team Name],0)),AF748)</f>
        <v>Wamme SC</v>
      </c>
      <c r="AG749" s="265"/>
    </row>
    <row r="750" spans="1:33" x14ac:dyDescent="0.2">
      <c r="A750" s="62"/>
      <c r="B750" s="280"/>
      <c r="C750" s="62"/>
      <c r="D750" s="62"/>
      <c r="E750" s="241" t="s">
        <v>12237</v>
      </c>
      <c r="F750" s="246" t="s">
        <v>8117</v>
      </c>
      <c r="G750" s="246" t="s">
        <v>8194</v>
      </c>
      <c r="H750" s="254">
        <v>0</v>
      </c>
      <c r="I750" s="254">
        <v>2</v>
      </c>
      <c r="J750" s="254"/>
      <c r="K750" s="363"/>
      <c r="L750" s="363"/>
      <c r="M750" s="63"/>
      <c r="N750" s="265" t="b">
        <f>NOT(ISERROR(ResultsTeams[[#This Row],[Goal-A]]+ResultsTeams[[#This Row],[Goal-B]]))</f>
        <v>1</v>
      </c>
      <c r="O750" s="265">
        <f>IF(ResultsTeams[[#This Row],[Type]]="G",SUM(O751:O754),IF(LEFT(ResultsTeams[[#This Row],[Type]],1)="P",IF(ResultsTeams[[#This Row],[Goal-A]]&gt;ResultsTeams[[#This Row],[Goal-B]],1,0),""))</f>
        <v>0</v>
      </c>
      <c r="P750" s="265">
        <f>IF(ResultsTeams[[#This Row],[Type]]="G",SUM(P751:P754),IF(LEFT(ResultsTeams[[#This Row],[Type]],1)="P",IF(ResultsTeams[[#This Row],[Goal-A]]&lt;ResultsTeams[[#This Row],[Goal-B]],1,0),""))</f>
        <v>1</v>
      </c>
      <c r="Q750" s="265">
        <f>IF(ResultsTeams[[#This Row],[Type]]="G",SUM(Q751:Q754),IF(LEFT(ResultsTeams[[#This Row],[Type]],1)="P",VALUE(ResultsTeams[[#This Row],[Score-A]]),""))</f>
        <v>0</v>
      </c>
      <c r="R750" s="265">
        <f>IF(ResultsTeams[[#This Row],[Type]]="G",SUM(R751:R754),IF(LEFT(ResultsTeams[[#This Row],[Type]],1)="P",VALUE(ResultsTeams[[#This Row],[Score-B]]),""))</f>
        <v>2</v>
      </c>
      <c r="S750" s="265" t="str">
        <f ca="1">IF(AND(ResultsTeams[[#This Row],[Category]]&lt;&gt;"",ResultsTeams[[#This Row],[Team A]]&lt;&gt;""),COUNTIF(INDIRECT("TeamsList[Club Name]"),ResultsTeams[[#This Row],[Team A]]),"")</f>
        <v/>
      </c>
      <c r="T750" s="265" t="str">
        <f ca="1">IF(AND(ResultsTeams[[#This Row],[Category]]&lt;&gt;"",ResultsTeams[[#This Row],[Team B]]&lt;&gt;""),COUNTIF(INDIRECT("TeamsList[Club Name]"),ResultsTeams[[#This Row],[Team B]]),"")</f>
        <v/>
      </c>
      <c r="U7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0" s="265" t="str">
        <f>IF(ResultsTeams[[#This Row],[Score_OK]],IF(ResultsTeams[[#This Row],[StageCpy]]="Groups",ResultsTeams[[#This Row],[Category]]&amp;"-"&amp;IF(ResultsTeams[[#This Row],[Team B]]="","",IF(ResultsTeams[[#This Row],[Match-A]]=ResultsTeams[[#This Row],[Match-B]],ResultsTeams[[#This Row],[Team A]],"")),""),"")</f>
        <v/>
      </c>
      <c r="W750" s="265" t="str">
        <f>IF(ResultsTeams[[#This Row],[Score_OK]],IF(ResultsTeams[[#This Row],[StageCpy]]="Groups",ResultsTeams[[#This Row],[Category]]&amp;"-"&amp;IF(ResultsTeams[[#This Row],[Team B]]="","",IF(ResultsTeams[[#This Row],[Match-A]]=ResultsTeams[[#This Row],[Match-B]],ResultsTeams[[#This Row],[Team B]],"")),""),"")</f>
        <v/>
      </c>
      <c r="X7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0" s="264" t="str">
        <f>IF(ResultsTeams[[#This Row],[Category]]="","",VLOOKUP(ResultsTeams[[#This Row],[Stage]],$R$1:$T$8,MATCH(ResultsTeams[[#This Row],[Category]],$S$1:$T$1,0)+1,FALSE))</f>
        <v/>
      </c>
      <c r="AC7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0" s="264" t="str">
        <f>IF(ResultsTeams[[#This Row],[Type]]="G",ResultsTeams[[#This Row],[Stage]],AD749)</f>
        <v>Semifinals</v>
      </c>
      <c r="AE750" s="395" t="str">
        <f>IF(ResultsTeams[[#This Row],[Type]]="G",INDEX(TeamsList[Club Name],MATCH(ResultsTeams[[#This Row],[Team A]],TeamsList[Team Name],0)),AE749)</f>
        <v>JSC Rochefort</v>
      </c>
      <c r="AF750" s="395" t="str">
        <f>IF(ResultsTeams[[#This Row],[Type]]="G",INDEX(TeamsList[Club Name],MATCH(ResultsTeams[[#This Row],[Team B]],TeamsList[Team Name],0)),AF749)</f>
        <v>Wamme SC</v>
      </c>
      <c r="AG750" s="265"/>
    </row>
    <row r="751" spans="1:33" x14ac:dyDescent="0.2">
      <c r="A751" s="62"/>
      <c r="B751" s="280"/>
      <c r="C751" s="62"/>
      <c r="D751" s="62"/>
      <c r="E751" s="241" t="s">
        <v>12240</v>
      </c>
      <c r="F751" s="246" t="s">
        <v>8192</v>
      </c>
      <c r="G751" s="246" t="s">
        <v>8173</v>
      </c>
      <c r="H751" s="254">
        <v>1</v>
      </c>
      <c r="I751" s="254">
        <v>4</v>
      </c>
      <c r="J751" s="254"/>
      <c r="K751" s="363"/>
      <c r="L751" s="363"/>
      <c r="M751" s="63"/>
      <c r="N751" s="265" t="b">
        <f>NOT(ISERROR(ResultsTeams[[#This Row],[Goal-A]]+ResultsTeams[[#This Row],[Goal-B]]))</f>
        <v>1</v>
      </c>
      <c r="O751" s="265">
        <f>IF(ResultsTeams[[#This Row],[Type]]="G",SUM(O752:O755),IF(LEFT(ResultsTeams[[#This Row],[Type]],1)="P",IF(ResultsTeams[[#This Row],[Goal-A]]&gt;ResultsTeams[[#This Row],[Goal-B]],1,0),""))</f>
        <v>0</v>
      </c>
      <c r="P751" s="265">
        <f>IF(ResultsTeams[[#This Row],[Type]]="G",SUM(P752:P755),IF(LEFT(ResultsTeams[[#This Row],[Type]],1)="P",IF(ResultsTeams[[#This Row],[Goal-A]]&lt;ResultsTeams[[#This Row],[Goal-B]],1,0),""))</f>
        <v>1</v>
      </c>
      <c r="Q751" s="265">
        <f>IF(ResultsTeams[[#This Row],[Type]]="G",SUM(Q752:Q755),IF(LEFT(ResultsTeams[[#This Row],[Type]],1)="P",VALUE(ResultsTeams[[#This Row],[Score-A]]),""))</f>
        <v>1</v>
      </c>
      <c r="R751" s="265">
        <f>IF(ResultsTeams[[#This Row],[Type]]="G",SUM(R752:R755),IF(LEFT(ResultsTeams[[#This Row],[Type]],1)="P",VALUE(ResultsTeams[[#This Row],[Score-B]]),""))</f>
        <v>4</v>
      </c>
      <c r="S751" s="265" t="str">
        <f ca="1">IF(AND(ResultsTeams[[#This Row],[Category]]&lt;&gt;"",ResultsTeams[[#This Row],[Team A]]&lt;&gt;""),COUNTIF(INDIRECT("TeamsList[Club Name]"),ResultsTeams[[#This Row],[Team A]]),"")</f>
        <v/>
      </c>
      <c r="T751" s="265" t="str">
        <f ca="1">IF(AND(ResultsTeams[[#This Row],[Category]]&lt;&gt;"",ResultsTeams[[#This Row],[Team B]]&lt;&gt;""),COUNTIF(INDIRECT("TeamsList[Club Name]"),ResultsTeams[[#This Row],[Team B]]),"")</f>
        <v/>
      </c>
      <c r="U7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1" s="265" t="str">
        <f>IF(ResultsTeams[[#This Row],[Score_OK]],IF(ResultsTeams[[#This Row],[StageCpy]]="Groups",ResultsTeams[[#This Row],[Category]]&amp;"-"&amp;IF(ResultsTeams[[#This Row],[Team B]]="","",IF(ResultsTeams[[#This Row],[Match-A]]=ResultsTeams[[#This Row],[Match-B]],ResultsTeams[[#This Row],[Team A]],"")),""),"")</f>
        <v/>
      </c>
      <c r="W751" s="265" t="str">
        <f>IF(ResultsTeams[[#This Row],[Score_OK]],IF(ResultsTeams[[#This Row],[StageCpy]]="Groups",ResultsTeams[[#This Row],[Category]]&amp;"-"&amp;IF(ResultsTeams[[#This Row],[Team B]]="","",IF(ResultsTeams[[#This Row],[Match-A]]=ResultsTeams[[#This Row],[Match-B]],ResultsTeams[[#This Row],[Team B]],"")),""),"")</f>
        <v/>
      </c>
      <c r="X7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1" s="264" t="str">
        <f>IF(ResultsTeams[[#This Row],[Category]]="","",VLOOKUP(ResultsTeams[[#This Row],[Stage]],$R$1:$T$8,MATCH(ResultsTeams[[#This Row],[Category]],$S$1:$T$1,0)+1,FALSE))</f>
        <v/>
      </c>
      <c r="AC7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1" s="264" t="str">
        <f>IF(ResultsTeams[[#This Row],[Type]]="G",ResultsTeams[[#This Row],[Stage]],AD750)</f>
        <v>Semifinals</v>
      </c>
      <c r="AE751" s="395" t="str">
        <f>IF(ResultsTeams[[#This Row],[Type]]="G",INDEX(TeamsList[Club Name],MATCH(ResultsTeams[[#This Row],[Team A]],TeamsList[Team Name],0)),AE750)</f>
        <v>JSC Rochefort</v>
      </c>
      <c r="AF751" s="395" t="str">
        <f>IF(ResultsTeams[[#This Row],[Type]]="G",INDEX(TeamsList[Club Name],MATCH(ResultsTeams[[#This Row],[Team B]],TeamsList[Team Name],0)),AF750)</f>
        <v>Wamme SC</v>
      </c>
      <c r="AG751" s="265"/>
    </row>
    <row r="752" spans="1:33" x14ac:dyDescent="0.2">
      <c r="A752" s="62"/>
      <c r="B752" s="62"/>
      <c r="C752" s="62"/>
      <c r="D752" s="62"/>
      <c r="E752" s="241" t="s">
        <v>12243</v>
      </c>
      <c r="F752" s="247"/>
      <c r="G752" s="247"/>
      <c r="H752" s="254"/>
      <c r="I752" s="254"/>
      <c r="J752" s="260"/>
      <c r="K752" s="364"/>
      <c r="L752" s="364"/>
      <c r="M752" s="63"/>
      <c r="N752" s="265" t="b">
        <f>NOT(ISERROR(ResultsTeams[[#This Row],[Goal-A]]+ResultsTeams[[#This Row],[Goal-B]]))</f>
        <v>0</v>
      </c>
      <c r="O752" s="265" t="str">
        <f>IF(ResultsTeams[[#This Row],[Type]]="G",SUM(O753:O756),IF(LEFT(ResultsTeams[[#This Row],[Type]],1)="P",IF(ResultsTeams[[#This Row],[Goal-A]]&gt;ResultsTeams[[#This Row],[Goal-B]],1,0),""))</f>
        <v/>
      </c>
      <c r="P752" s="265" t="str">
        <f>IF(ResultsTeams[[#This Row],[Type]]="G",SUM(P753:P756),IF(LEFT(ResultsTeams[[#This Row],[Type]],1)="P",IF(ResultsTeams[[#This Row],[Goal-A]]&lt;ResultsTeams[[#This Row],[Goal-B]],1,0),""))</f>
        <v/>
      </c>
      <c r="Q752" s="265" t="str">
        <f>IF(ResultsTeams[[#This Row],[Type]]="G",SUM(Q753:Q756),IF(LEFT(ResultsTeams[[#This Row],[Type]],1)="P",VALUE(ResultsTeams[[#This Row],[Score-A]]),""))</f>
        <v/>
      </c>
      <c r="R752" s="265" t="str">
        <f>IF(ResultsTeams[[#This Row],[Type]]="G",SUM(R753:R756),IF(LEFT(ResultsTeams[[#This Row],[Type]],1)="P",VALUE(ResultsTeams[[#This Row],[Score-B]]),""))</f>
        <v/>
      </c>
      <c r="S752" s="265" t="str">
        <f ca="1">IF(AND(ResultsTeams[[#This Row],[Category]]&lt;&gt;"",ResultsTeams[[#This Row],[Team A]]&lt;&gt;""),COUNTIF(INDIRECT("TeamsList[Club Name]"),ResultsTeams[[#This Row],[Team A]]),"")</f>
        <v/>
      </c>
      <c r="T752" s="265" t="str">
        <f ca="1">IF(AND(ResultsTeams[[#This Row],[Category]]&lt;&gt;"",ResultsTeams[[#This Row],[Team B]]&lt;&gt;""),COUNTIF(INDIRECT("TeamsList[Club Name]"),ResultsTeams[[#This Row],[Team B]]),"")</f>
        <v/>
      </c>
      <c r="U7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2" s="265" t="str">
        <f>IF(ResultsTeams[[#This Row],[Score_OK]],IF(ResultsTeams[[#This Row],[StageCpy]]="Groups",ResultsTeams[[#This Row],[Category]]&amp;"-"&amp;IF(ResultsTeams[[#This Row],[Team B]]="","",IF(ResultsTeams[[#This Row],[Match-A]]=ResultsTeams[[#This Row],[Match-B]],ResultsTeams[[#This Row],[Team A]],"")),""),"")</f>
        <v/>
      </c>
      <c r="W752" s="265" t="str">
        <f>IF(ResultsTeams[[#This Row],[Score_OK]],IF(ResultsTeams[[#This Row],[StageCpy]]="Groups",ResultsTeams[[#This Row],[Category]]&amp;"-"&amp;IF(ResultsTeams[[#This Row],[Team B]]="","",IF(ResultsTeams[[#This Row],[Match-A]]=ResultsTeams[[#This Row],[Match-B]],ResultsTeams[[#This Row],[Team B]],"")),""),"")</f>
        <v/>
      </c>
      <c r="X7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2" s="264" t="str">
        <f>IF(ResultsTeams[[#This Row],[Category]]="","",VLOOKUP(ResultsTeams[[#This Row],[Stage]],$R$1:$T$8,MATCH(ResultsTeams[[#This Row],[Category]],$S$1:$T$1,0)+1,FALSE))</f>
        <v/>
      </c>
      <c r="AC7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2" s="264" t="str">
        <f>IF(ResultsTeams[[#This Row],[Type]]="G",ResultsTeams[[#This Row],[Stage]],AD751)</f>
        <v>Semifinals</v>
      </c>
      <c r="AE752" s="395" t="str">
        <f>IF(ResultsTeams[[#This Row],[Type]]="G",INDEX(TeamsList[Club Name],MATCH(ResultsTeams[[#This Row],[Team A]],TeamsList[Team Name],0)),AE751)</f>
        <v>JSC Rochefort</v>
      </c>
      <c r="AF752" s="395" t="str">
        <f>IF(ResultsTeams[[#This Row],[Type]]="G",INDEX(TeamsList[Club Name],MATCH(ResultsTeams[[#This Row],[Team B]],TeamsList[Team Name],0)),AF751)</f>
        <v>Wamme SC</v>
      </c>
      <c r="AG752" s="265"/>
    </row>
    <row r="753" spans="1:33" ht="12" thickBot="1" x14ac:dyDescent="0.25">
      <c r="A753" s="83"/>
      <c r="B753" s="83"/>
      <c r="C753" s="83"/>
      <c r="D753" s="83"/>
      <c r="E753" s="268" t="s">
        <v>12244</v>
      </c>
      <c r="F753" s="262"/>
      <c r="G753" s="262"/>
      <c r="H753" s="324"/>
      <c r="I753" s="324"/>
      <c r="J753" s="263"/>
      <c r="K753" s="365"/>
      <c r="L753" s="365"/>
      <c r="M753" s="84"/>
      <c r="N753" s="265" t="b">
        <f>NOT(ISERROR(ResultsTeams[[#This Row],[Goal-A]]+ResultsTeams[[#This Row],[Goal-B]]))</f>
        <v>0</v>
      </c>
      <c r="O753" s="265" t="str">
        <f>IF(ResultsTeams[[#This Row],[Type]]="G",SUM(O754:O757),IF(LEFT(ResultsTeams[[#This Row],[Type]],1)="P",IF(ResultsTeams[[#This Row],[Goal-A]]&gt;ResultsTeams[[#This Row],[Goal-B]],1,0),""))</f>
        <v/>
      </c>
      <c r="P753" s="265" t="str">
        <f>IF(ResultsTeams[[#This Row],[Type]]="G",SUM(P754:P757),IF(LEFT(ResultsTeams[[#This Row],[Type]],1)="P",IF(ResultsTeams[[#This Row],[Goal-A]]&lt;ResultsTeams[[#This Row],[Goal-B]],1,0),""))</f>
        <v/>
      </c>
      <c r="Q753" s="265" t="str">
        <f>IF(ResultsTeams[[#This Row],[Type]]="G",SUM(Q754:Q757),IF(LEFT(ResultsTeams[[#This Row],[Type]],1)="P",VALUE(ResultsTeams[[#This Row],[Score-A]]),""))</f>
        <v/>
      </c>
      <c r="R753" s="265" t="str">
        <f>IF(ResultsTeams[[#This Row],[Type]]="G",SUM(R754:R757),IF(LEFT(ResultsTeams[[#This Row],[Type]],1)="P",VALUE(ResultsTeams[[#This Row],[Score-B]]),""))</f>
        <v/>
      </c>
      <c r="S753" s="265" t="str">
        <f ca="1">IF(AND(ResultsTeams[[#This Row],[Category]]&lt;&gt;"",ResultsTeams[[#This Row],[Team A]]&lt;&gt;""),COUNTIF(INDIRECT("TeamsList[Club Name]"),ResultsTeams[[#This Row],[Team A]]),"")</f>
        <v/>
      </c>
      <c r="T753" s="265" t="str">
        <f ca="1">IF(AND(ResultsTeams[[#This Row],[Category]]&lt;&gt;"",ResultsTeams[[#This Row],[Team B]]&lt;&gt;""),COUNTIF(INDIRECT("TeamsList[Club Name]"),ResultsTeams[[#This Row],[Team B]]),"")</f>
        <v/>
      </c>
      <c r="U7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3" s="265" t="str">
        <f>IF(ResultsTeams[[#This Row],[Score_OK]],IF(ResultsTeams[[#This Row],[StageCpy]]="Groups",ResultsTeams[[#This Row],[Category]]&amp;"-"&amp;IF(ResultsTeams[[#This Row],[Team B]]="","",IF(ResultsTeams[[#This Row],[Match-A]]=ResultsTeams[[#This Row],[Match-B]],ResultsTeams[[#This Row],[Team A]],"")),""),"")</f>
        <v/>
      </c>
      <c r="W753" s="265" t="str">
        <f>IF(ResultsTeams[[#This Row],[Score_OK]],IF(ResultsTeams[[#This Row],[StageCpy]]="Groups",ResultsTeams[[#This Row],[Category]]&amp;"-"&amp;IF(ResultsTeams[[#This Row],[Team B]]="","",IF(ResultsTeams[[#This Row],[Match-A]]=ResultsTeams[[#This Row],[Match-B]],ResultsTeams[[#This Row],[Team B]],"")),""),"")</f>
        <v/>
      </c>
      <c r="X7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3" s="264" t="str">
        <f>IF(ResultsTeams[[#This Row],[Category]]="","",VLOOKUP(ResultsTeams[[#This Row],[Stage]],$R$1:$T$8,MATCH(ResultsTeams[[#This Row],[Category]],$S$1:$T$1,0)+1,FALSE))</f>
        <v/>
      </c>
      <c r="AC7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3" s="264" t="str">
        <f>IF(ResultsTeams[[#This Row],[Type]]="G",ResultsTeams[[#This Row],[Stage]],AD752)</f>
        <v>Semifinals</v>
      </c>
      <c r="AE753" s="395" t="str">
        <f>IF(ResultsTeams[[#This Row],[Type]]="G",INDEX(TeamsList[Club Name],MATCH(ResultsTeams[[#This Row],[Team A]],TeamsList[Team Name],0)),AE752)</f>
        <v>JSC Rochefort</v>
      </c>
      <c r="AF753" s="395" t="str">
        <f>IF(ResultsTeams[[#This Row],[Type]]="G",INDEX(TeamsList[Club Name],MATCH(ResultsTeams[[#This Row],[Team B]],TeamsList[Team Name],0)),AF752)</f>
        <v>Wamme SC</v>
      </c>
      <c r="AG753" s="265"/>
    </row>
    <row r="754" spans="1:33" ht="12" thickBot="1" x14ac:dyDescent="0.25">
      <c r="A754" s="261" t="s">
        <v>12693</v>
      </c>
      <c r="B754" s="270" t="s">
        <v>12221</v>
      </c>
      <c r="C754" s="270"/>
      <c r="D754" s="270"/>
      <c r="E754" s="272" t="s">
        <v>12228</v>
      </c>
      <c r="F754" s="273" t="s">
        <v>201</v>
      </c>
      <c r="G754" s="273" t="s">
        <v>12558</v>
      </c>
      <c r="H754" s="275">
        <v>0</v>
      </c>
      <c r="I754" s="275">
        <v>2</v>
      </c>
      <c r="J754" s="275"/>
      <c r="K754" s="366"/>
      <c r="L754" s="366"/>
      <c r="M754" s="274"/>
      <c r="N754" s="265" t="b">
        <f>NOT(ISERROR(ResultsTeams[[#This Row],[Goal-A]]+ResultsTeams[[#This Row],[Goal-B]]))</f>
        <v>1</v>
      </c>
      <c r="O754" s="265">
        <f>IF(ResultsTeams[[#This Row],[Type]]="G",SUM(O755:O758),IF(LEFT(ResultsTeams[[#This Row],[Type]],1)="P",IF(ResultsTeams[[#This Row],[Goal-A]]&gt;ResultsTeams[[#This Row],[Goal-B]],1,0),""))</f>
        <v>0</v>
      </c>
      <c r="P754" s="265">
        <f>IF(ResultsTeams[[#This Row],[Type]]="G",SUM(P755:P758),IF(LEFT(ResultsTeams[[#This Row],[Type]],1)="P",IF(ResultsTeams[[#This Row],[Goal-A]]&lt;ResultsTeams[[#This Row],[Goal-B]],1,0),""))</f>
        <v>2</v>
      </c>
      <c r="Q754" s="265">
        <f>IF(ResultsTeams[[#This Row],[Type]]="G",SUM(Q755:Q758),IF(LEFT(ResultsTeams[[#This Row],[Type]],1)="P",VALUE(ResultsTeams[[#This Row],[Score-A]]),""))</f>
        <v>8</v>
      </c>
      <c r="R754" s="265">
        <f>IF(ResultsTeams[[#This Row],[Type]]="G",SUM(R755:R758),IF(LEFT(ResultsTeams[[#This Row],[Type]],1)="P",VALUE(ResultsTeams[[#This Row],[Score-B]]),""))</f>
        <v>11</v>
      </c>
      <c r="S754" s="265">
        <f ca="1">IF(AND(ResultsTeams[[#This Row],[Category]]&lt;&gt;"",ResultsTeams[[#This Row],[Team A]]&lt;&gt;""),COUNTIF(INDIRECT("TeamsList[Club Name]"),ResultsTeams[[#This Row],[Team A]]),"")</f>
        <v>1</v>
      </c>
      <c r="T754" s="265">
        <f ca="1">IF(AND(ResultsTeams[[#This Row],[Category]]&lt;&gt;"",ResultsTeams[[#This Row],[Team B]]&lt;&gt;""),COUNTIF(INDIRECT("TeamsList[Club Name]"),ResultsTeams[[#This Row],[Team B]]),"")</f>
        <v>1</v>
      </c>
      <c r="U7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4" s="265" t="str">
        <f>IF(ResultsTeams[[#This Row],[Score_OK]],IF(ResultsTeams[[#This Row],[StageCpy]]="Groups",ResultsTeams[[#This Row],[Category]]&amp;"-"&amp;IF(ResultsTeams[[#This Row],[Team B]]="","",IF(ResultsTeams[[#This Row],[Match-A]]=ResultsTeams[[#This Row],[Match-B]],ResultsTeams[[#This Row],[Team A]],"")),""),"")</f>
        <v/>
      </c>
      <c r="W754" s="265" t="str">
        <f>IF(ResultsTeams[[#This Row],[Score_OK]],IF(ResultsTeams[[#This Row],[StageCpy]]="Groups",ResultsTeams[[#This Row],[Category]]&amp;"-"&amp;IF(ResultsTeams[[#This Row],[Team B]]="","",IF(ResultsTeams[[#This Row],[Match-A]]=ResultsTeams[[#This Row],[Match-B]],ResultsTeams[[#This Row],[Team B]],"")),""),"")</f>
        <v/>
      </c>
      <c r="X7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TEAM-CCT Eagles Napoli</v>
      </c>
      <c r="Z7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R</v>
      </c>
      <c r="AA7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R</v>
      </c>
      <c r="AB754" s="264" t="str">
        <f>IF(ResultsTeams[[#This Row],[Category]]="","",VLOOKUP(ResultsTeams[[#This Row],[Stage]],$R$1:$T$8,MATCH(ResultsTeams[[#This Row],[Category]],$S$1:$T$1,0)+1,FALSE))</f>
        <v>R</v>
      </c>
      <c r="AC754" s="264" t="str">
        <f>IF(AND(ResultsTeams[[#This Row],[Type]]="G",ResultsTeams[[#This Row],[Score_OK]]),IF(ResultsTeams[[#This Row],[Level]]="R",ResultsTeams[[#This Row],[Category]]&amp;"-"&amp;IF(ResultsTeams[[#This Row],[LoseInKO]]=ResultsTeams[[#This Row],[Category]]&amp;"-"&amp;ResultsTeams[[#This Row],[Team A]],ResultsTeams[[#This Row],[Team B]],ResultsTeams[[#This Row],[Team A]]),""),"")</f>
        <v>TEAM-F.lli Bari Reggio Emilia</v>
      </c>
      <c r="AD754" s="264" t="str">
        <f>IF(ResultsTeams[[#This Row],[Type]]="G",ResultsTeams[[#This Row],[Stage]],AD753)</f>
        <v>Final</v>
      </c>
      <c r="AE754" s="395" t="str">
        <f>IF(ResultsTeams[[#This Row],[Type]]="G",INDEX(TeamsList[Club Name],MATCH(ResultsTeams[[#This Row],[Team A]],TeamsList[Team Name],0)),AE753)</f>
        <v>CCT Eagles Napoli</v>
      </c>
      <c r="AF754" s="395" t="str">
        <f>IF(ResultsTeams[[#This Row],[Type]]="G",INDEX(TeamsList[Club Name],MATCH(ResultsTeams[[#This Row],[Team B]],TeamsList[Team Name],0)),AF753)</f>
        <v>F.lli Bari Reggio Emilia</v>
      </c>
      <c r="AG754" s="265"/>
    </row>
    <row r="755" spans="1:33" x14ac:dyDescent="0.2">
      <c r="A755" s="60"/>
      <c r="B755" s="280"/>
      <c r="C755" s="60"/>
      <c r="D755" s="60"/>
      <c r="E755" s="240" t="s">
        <v>12231</v>
      </c>
      <c r="F755" s="244" t="s">
        <v>10088</v>
      </c>
      <c r="G755" s="244" t="s">
        <v>9915</v>
      </c>
      <c r="H755" s="253">
        <v>2</v>
      </c>
      <c r="I755" s="253">
        <v>2</v>
      </c>
      <c r="J755" s="253"/>
      <c r="K755" s="362"/>
      <c r="L755" s="362"/>
      <c r="M755" s="245"/>
      <c r="N755" s="265" t="b">
        <f>NOT(ISERROR(ResultsTeams[[#This Row],[Goal-A]]+ResultsTeams[[#This Row],[Goal-B]]))</f>
        <v>1</v>
      </c>
      <c r="O755" s="265">
        <f>IF(ResultsTeams[[#This Row],[Type]]="G",SUM(O756:O759),IF(LEFT(ResultsTeams[[#This Row],[Type]],1)="P",IF(ResultsTeams[[#This Row],[Goal-A]]&gt;ResultsTeams[[#This Row],[Goal-B]],1,0),""))</f>
        <v>0</v>
      </c>
      <c r="P755" s="265">
        <f>IF(ResultsTeams[[#This Row],[Type]]="G",SUM(P756:P759),IF(LEFT(ResultsTeams[[#This Row],[Type]],1)="P",IF(ResultsTeams[[#This Row],[Goal-A]]&lt;ResultsTeams[[#This Row],[Goal-B]],1,0),""))</f>
        <v>0</v>
      </c>
      <c r="Q755" s="265">
        <f>IF(ResultsTeams[[#This Row],[Type]]="G",SUM(Q756:Q759),IF(LEFT(ResultsTeams[[#This Row],[Type]],1)="P",VALUE(ResultsTeams[[#This Row],[Score-A]]),""))</f>
        <v>2</v>
      </c>
      <c r="R755" s="265">
        <f>IF(ResultsTeams[[#This Row],[Type]]="G",SUM(R756:R759),IF(LEFT(ResultsTeams[[#This Row],[Type]],1)="P",VALUE(ResultsTeams[[#This Row],[Score-B]]),""))</f>
        <v>2</v>
      </c>
      <c r="S755" s="265" t="str">
        <f ca="1">IF(AND(ResultsTeams[[#This Row],[Category]]&lt;&gt;"",ResultsTeams[[#This Row],[Team A]]&lt;&gt;""),COUNTIF(INDIRECT("TeamsList[Club Name]"),ResultsTeams[[#This Row],[Team A]]),"")</f>
        <v/>
      </c>
      <c r="T755" s="265" t="str">
        <f ca="1">IF(AND(ResultsTeams[[#This Row],[Category]]&lt;&gt;"",ResultsTeams[[#This Row],[Team B]]&lt;&gt;""),COUNTIF(INDIRECT("TeamsList[Club Name]"),ResultsTeams[[#This Row],[Team B]]),"")</f>
        <v/>
      </c>
      <c r="U7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5" s="265" t="str">
        <f>IF(ResultsTeams[[#This Row],[Score_OK]],IF(ResultsTeams[[#This Row],[StageCpy]]="Groups",ResultsTeams[[#This Row],[Category]]&amp;"-"&amp;IF(ResultsTeams[[#This Row],[Team B]]="","",IF(ResultsTeams[[#This Row],[Match-A]]=ResultsTeams[[#This Row],[Match-B]],ResultsTeams[[#This Row],[Team A]],"")),""),"")</f>
        <v/>
      </c>
      <c r="W755" s="265" t="str">
        <f>IF(ResultsTeams[[#This Row],[Score_OK]],IF(ResultsTeams[[#This Row],[StageCpy]]="Groups",ResultsTeams[[#This Row],[Category]]&amp;"-"&amp;IF(ResultsTeams[[#This Row],[Team B]]="","",IF(ResultsTeams[[#This Row],[Match-A]]=ResultsTeams[[#This Row],[Match-B]],ResultsTeams[[#This Row],[Team B]],"")),""),"")</f>
        <v/>
      </c>
      <c r="X7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5" s="264" t="str">
        <f>IF(ResultsTeams[[#This Row],[Category]]="","",VLOOKUP(ResultsTeams[[#This Row],[Stage]],$R$1:$T$8,MATCH(ResultsTeams[[#This Row],[Category]],$S$1:$T$1,0)+1,FALSE))</f>
        <v/>
      </c>
      <c r="AC7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5" s="264" t="str">
        <f>IF(ResultsTeams[[#This Row],[Type]]="G",ResultsTeams[[#This Row],[Stage]],AD754)</f>
        <v>Final</v>
      </c>
      <c r="AE755" s="395" t="str">
        <f>IF(ResultsTeams[[#This Row],[Type]]="G",INDEX(TeamsList[Club Name],MATCH(ResultsTeams[[#This Row],[Team A]],TeamsList[Team Name],0)),AE754)</f>
        <v>CCT Eagles Napoli</v>
      </c>
      <c r="AF755" s="395" t="str">
        <f>IF(ResultsTeams[[#This Row],[Type]]="G",INDEX(TeamsList[Club Name],MATCH(ResultsTeams[[#This Row],[Team B]],TeamsList[Team Name],0)),AF754)</f>
        <v>F.lli Bari Reggio Emilia</v>
      </c>
      <c r="AG755" s="265"/>
    </row>
    <row r="756" spans="1:33" x14ac:dyDescent="0.2">
      <c r="A756" s="62"/>
      <c r="B756" s="280"/>
      <c r="C756" s="62"/>
      <c r="D756" s="62"/>
      <c r="E756" s="241" t="s">
        <v>12234</v>
      </c>
      <c r="F756" s="246" t="s">
        <v>9827</v>
      </c>
      <c r="G756" s="246" t="s">
        <v>8610</v>
      </c>
      <c r="H756" s="254">
        <v>2</v>
      </c>
      <c r="I756" s="254">
        <v>4</v>
      </c>
      <c r="J756" s="254"/>
      <c r="K756" s="363"/>
      <c r="L756" s="363"/>
      <c r="M756" s="247"/>
      <c r="N756" s="265" t="b">
        <f>NOT(ISERROR(ResultsTeams[[#This Row],[Goal-A]]+ResultsTeams[[#This Row],[Goal-B]]))</f>
        <v>1</v>
      </c>
      <c r="O756" s="265">
        <f>IF(ResultsTeams[[#This Row],[Type]]="G",SUM(O757:O760),IF(LEFT(ResultsTeams[[#This Row],[Type]],1)="P",IF(ResultsTeams[[#This Row],[Goal-A]]&gt;ResultsTeams[[#This Row],[Goal-B]],1,0),""))</f>
        <v>0</v>
      </c>
      <c r="P756" s="265">
        <f>IF(ResultsTeams[[#This Row],[Type]]="G",SUM(P757:P760),IF(LEFT(ResultsTeams[[#This Row],[Type]],1)="P",IF(ResultsTeams[[#This Row],[Goal-A]]&lt;ResultsTeams[[#This Row],[Goal-B]],1,0),""))</f>
        <v>1</v>
      </c>
      <c r="Q756" s="265">
        <f>IF(ResultsTeams[[#This Row],[Type]]="G",SUM(Q757:Q760),IF(LEFT(ResultsTeams[[#This Row],[Type]],1)="P",VALUE(ResultsTeams[[#This Row],[Score-A]]),""))</f>
        <v>2</v>
      </c>
      <c r="R756" s="265">
        <f>IF(ResultsTeams[[#This Row],[Type]]="G",SUM(R757:R760),IF(LEFT(ResultsTeams[[#This Row],[Type]],1)="P",VALUE(ResultsTeams[[#This Row],[Score-B]]),""))</f>
        <v>4</v>
      </c>
      <c r="S756" s="265" t="str">
        <f ca="1">IF(AND(ResultsTeams[[#This Row],[Category]]&lt;&gt;"",ResultsTeams[[#This Row],[Team A]]&lt;&gt;""),COUNTIF(INDIRECT("TeamsList[Club Name]"),ResultsTeams[[#This Row],[Team A]]),"")</f>
        <v/>
      </c>
      <c r="T756" s="265" t="str">
        <f ca="1">IF(AND(ResultsTeams[[#This Row],[Category]]&lt;&gt;"",ResultsTeams[[#This Row],[Team B]]&lt;&gt;""),COUNTIF(INDIRECT("TeamsList[Club Name]"),ResultsTeams[[#This Row],[Team B]]),"")</f>
        <v/>
      </c>
      <c r="U7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6" s="265" t="str">
        <f>IF(ResultsTeams[[#This Row],[Score_OK]],IF(ResultsTeams[[#This Row],[StageCpy]]="Groups",ResultsTeams[[#This Row],[Category]]&amp;"-"&amp;IF(ResultsTeams[[#This Row],[Team B]]="","",IF(ResultsTeams[[#This Row],[Match-A]]=ResultsTeams[[#This Row],[Match-B]],ResultsTeams[[#This Row],[Team A]],"")),""),"")</f>
        <v/>
      </c>
      <c r="W756" s="265" t="str">
        <f>IF(ResultsTeams[[#This Row],[Score_OK]],IF(ResultsTeams[[#This Row],[StageCpy]]="Groups",ResultsTeams[[#This Row],[Category]]&amp;"-"&amp;IF(ResultsTeams[[#This Row],[Team B]]="","",IF(ResultsTeams[[#This Row],[Match-A]]=ResultsTeams[[#This Row],[Match-B]],ResultsTeams[[#This Row],[Team B]],"")),""),"")</f>
        <v/>
      </c>
      <c r="X7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6" s="264" t="str">
        <f>IF(ResultsTeams[[#This Row],[Category]]="","",VLOOKUP(ResultsTeams[[#This Row],[Stage]],$R$1:$T$8,MATCH(ResultsTeams[[#This Row],[Category]],$S$1:$T$1,0)+1,FALSE))</f>
        <v/>
      </c>
      <c r="AC7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6" s="264" t="str">
        <f>IF(ResultsTeams[[#This Row],[Type]]="G",ResultsTeams[[#This Row],[Stage]],AD755)</f>
        <v>Final</v>
      </c>
      <c r="AE756" s="395" t="str">
        <f>IF(ResultsTeams[[#This Row],[Type]]="G",INDEX(TeamsList[Club Name],MATCH(ResultsTeams[[#This Row],[Team A]],TeamsList[Team Name],0)),AE755)</f>
        <v>CCT Eagles Napoli</v>
      </c>
      <c r="AF756" s="395" t="str">
        <f>IF(ResultsTeams[[#This Row],[Type]]="G",INDEX(TeamsList[Club Name],MATCH(ResultsTeams[[#This Row],[Team B]],TeamsList[Team Name],0)),AF755)</f>
        <v>F.lli Bari Reggio Emilia</v>
      </c>
      <c r="AG756" s="265"/>
    </row>
    <row r="757" spans="1:33" x14ac:dyDescent="0.2">
      <c r="A757" s="62"/>
      <c r="B757" s="280"/>
      <c r="C757" s="62"/>
      <c r="D757" s="62"/>
      <c r="E757" s="241" t="s">
        <v>12237</v>
      </c>
      <c r="F757" s="246" t="s">
        <v>8089</v>
      </c>
      <c r="G757" s="246" t="s">
        <v>9526</v>
      </c>
      <c r="H757" s="254">
        <v>3</v>
      </c>
      <c r="I757" s="254">
        <v>4</v>
      </c>
      <c r="J757" s="254"/>
      <c r="K757" s="363"/>
      <c r="L757" s="363"/>
      <c r="M757" s="247"/>
      <c r="N757" s="265" t="b">
        <f>NOT(ISERROR(ResultsTeams[[#This Row],[Goal-A]]+ResultsTeams[[#This Row],[Goal-B]]))</f>
        <v>1</v>
      </c>
      <c r="O757" s="265">
        <f>IF(ResultsTeams[[#This Row],[Type]]="G",SUM(O758:O761),IF(LEFT(ResultsTeams[[#This Row],[Type]],1)="P",IF(ResultsTeams[[#This Row],[Goal-A]]&gt;ResultsTeams[[#This Row],[Goal-B]],1,0),""))</f>
        <v>0</v>
      </c>
      <c r="P757" s="265">
        <f>IF(ResultsTeams[[#This Row],[Type]]="G",SUM(P758:P761),IF(LEFT(ResultsTeams[[#This Row],[Type]],1)="P",IF(ResultsTeams[[#This Row],[Goal-A]]&lt;ResultsTeams[[#This Row],[Goal-B]],1,0),""))</f>
        <v>1</v>
      </c>
      <c r="Q757" s="265">
        <f>IF(ResultsTeams[[#This Row],[Type]]="G",SUM(Q758:Q761),IF(LEFT(ResultsTeams[[#This Row],[Type]],1)="P",VALUE(ResultsTeams[[#This Row],[Score-A]]),""))</f>
        <v>3</v>
      </c>
      <c r="R757" s="265">
        <f>IF(ResultsTeams[[#This Row],[Type]]="G",SUM(R758:R761),IF(LEFT(ResultsTeams[[#This Row],[Type]],1)="P",VALUE(ResultsTeams[[#This Row],[Score-B]]),""))</f>
        <v>4</v>
      </c>
      <c r="S757" s="265" t="str">
        <f ca="1">IF(AND(ResultsTeams[[#This Row],[Category]]&lt;&gt;"",ResultsTeams[[#This Row],[Team A]]&lt;&gt;""),COUNTIF(INDIRECT("TeamsList[Club Name]"),ResultsTeams[[#This Row],[Team A]]),"")</f>
        <v/>
      </c>
      <c r="T757" s="265" t="str">
        <f ca="1">IF(AND(ResultsTeams[[#This Row],[Category]]&lt;&gt;"",ResultsTeams[[#This Row],[Team B]]&lt;&gt;""),COUNTIF(INDIRECT("TeamsList[Club Name]"),ResultsTeams[[#This Row],[Team B]]),"")</f>
        <v/>
      </c>
      <c r="U7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7" s="265" t="str">
        <f>IF(ResultsTeams[[#This Row],[Score_OK]],IF(ResultsTeams[[#This Row],[StageCpy]]="Groups",ResultsTeams[[#This Row],[Category]]&amp;"-"&amp;IF(ResultsTeams[[#This Row],[Team B]]="","",IF(ResultsTeams[[#This Row],[Match-A]]=ResultsTeams[[#This Row],[Match-B]],ResultsTeams[[#This Row],[Team A]],"")),""),"")</f>
        <v/>
      </c>
      <c r="W757" s="265" t="str">
        <f>IF(ResultsTeams[[#This Row],[Score_OK]],IF(ResultsTeams[[#This Row],[StageCpy]]="Groups",ResultsTeams[[#This Row],[Category]]&amp;"-"&amp;IF(ResultsTeams[[#This Row],[Team B]]="","",IF(ResultsTeams[[#This Row],[Match-A]]=ResultsTeams[[#This Row],[Match-B]],ResultsTeams[[#This Row],[Team B]],"")),""),"")</f>
        <v/>
      </c>
      <c r="X7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7" s="264" t="str">
        <f>IF(ResultsTeams[[#This Row],[Category]]="","",VLOOKUP(ResultsTeams[[#This Row],[Stage]],$R$1:$T$8,MATCH(ResultsTeams[[#This Row],[Category]],$S$1:$T$1,0)+1,FALSE))</f>
        <v/>
      </c>
      <c r="AC7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7" s="264" t="str">
        <f>IF(ResultsTeams[[#This Row],[Type]]="G",ResultsTeams[[#This Row],[Stage]],AD756)</f>
        <v>Final</v>
      </c>
      <c r="AE757" s="395" t="str">
        <f>IF(ResultsTeams[[#This Row],[Type]]="G",INDEX(TeamsList[Club Name],MATCH(ResultsTeams[[#This Row],[Team A]],TeamsList[Team Name],0)),AE756)</f>
        <v>CCT Eagles Napoli</v>
      </c>
      <c r="AF757" s="395" t="str">
        <f>IF(ResultsTeams[[#This Row],[Type]]="G",INDEX(TeamsList[Club Name],MATCH(ResultsTeams[[#This Row],[Team B]],TeamsList[Team Name],0)),AF756)</f>
        <v>F.lli Bari Reggio Emilia</v>
      </c>
      <c r="AG757" s="265"/>
    </row>
    <row r="758" spans="1:33" x14ac:dyDescent="0.2">
      <c r="A758" s="62"/>
      <c r="B758" s="280"/>
      <c r="C758" s="62"/>
      <c r="D758" s="62"/>
      <c r="E758" s="241" t="s">
        <v>12240</v>
      </c>
      <c r="F758" s="246" t="s">
        <v>10089</v>
      </c>
      <c r="G758" s="246" t="s">
        <v>13</v>
      </c>
      <c r="H758" s="254">
        <v>1</v>
      </c>
      <c r="I758" s="254">
        <v>1</v>
      </c>
      <c r="J758" s="254"/>
      <c r="K758" s="363"/>
      <c r="L758" s="363"/>
      <c r="M758" s="247"/>
      <c r="N758" s="265" t="b">
        <f>NOT(ISERROR(ResultsTeams[[#This Row],[Goal-A]]+ResultsTeams[[#This Row],[Goal-B]]))</f>
        <v>1</v>
      </c>
      <c r="O758" s="265">
        <f>IF(ResultsTeams[[#This Row],[Type]]="G",SUM(O759:O762),IF(LEFT(ResultsTeams[[#This Row],[Type]],1)="P",IF(ResultsTeams[[#This Row],[Goal-A]]&gt;ResultsTeams[[#This Row],[Goal-B]],1,0),""))</f>
        <v>0</v>
      </c>
      <c r="P758" s="265">
        <f>IF(ResultsTeams[[#This Row],[Type]]="G",SUM(P759:P762),IF(LEFT(ResultsTeams[[#This Row],[Type]],1)="P",IF(ResultsTeams[[#This Row],[Goal-A]]&lt;ResultsTeams[[#This Row],[Goal-B]],1,0),""))</f>
        <v>0</v>
      </c>
      <c r="Q758" s="265">
        <f>IF(ResultsTeams[[#This Row],[Type]]="G",SUM(Q759:Q762),IF(LEFT(ResultsTeams[[#This Row],[Type]],1)="P",VALUE(ResultsTeams[[#This Row],[Score-A]]),""))</f>
        <v>1</v>
      </c>
      <c r="R758" s="265">
        <f>IF(ResultsTeams[[#This Row],[Type]]="G",SUM(R759:R762),IF(LEFT(ResultsTeams[[#This Row],[Type]],1)="P",VALUE(ResultsTeams[[#This Row],[Score-B]]),""))</f>
        <v>1</v>
      </c>
      <c r="S758" s="265" t="str">
        <f ca="1">IF(AND(ResultsTeams[[#This Row],[Category]]&lt;&gt;"",ResultsTeams[[#This Row],[Team A]]&lt;&gt;""),COUNTIF(INDIRECT("TeamsList[Club Name]"),ResultsTeams[[#This Row],[Team A]]),"")</f>
        <v/>
      </c>
      <c r="T758" s="265" t="str">
        <f ca="1">IF(AND(ResultsTeams[[#This Row],[Category]]&lt;&gt;"",ResultsTeams[[#This Row],[Team B]]&lt;&gt;""),COUNTIF(INDIRECT("TeamsList[Club Name]"),ResultsTeams[[#This Row],[Team B]]),"")</f>
        <v/>
      </c>
      <c r="U7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8" s="265" t="str">
        <f>IF(ResultsTeams[[#This Row],[Score_OK]],IF(ResultsTeams[[#This Row],[StageCpy]]="Groups",ResultsTeams[[#This Row],[Category]]&amp;"-"&amp;IF(ResultsTeams[[#This Row],[Team B]]="","",IF(ResultsTeams[[#This Row],[Match-A]]=ResultsTeams[[#This Row],[Match-B]],ResultsTeams[[#This Row],[Team A]],"")),""),"")</f>
        <v/>
      </c>
      <c r="W758" s="265" t="str">
        <f>IF(ResultsTeams[[#This Row],[Score_OK]],IF(ResultsTeams[[#This Row],[StageCpy]]="Groups",ResultsTeams[[#This Row],[Category]]&amp;"-"&amp;IF(ResultsTeams[[#This Row],[Team B]]="","",IF(ResultsTeams[[#This Row],[Match-A]]=ResultsTeams[[#This Row],[Match-B]],ResultsTeams[[#This Row],[Team B]],"")),""),"")</f>
        <v/>
      </c>
      <c r="X7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8" s="264" t="str">
        <f>IF(ResultsTeams[[#This Row],[Category]]="","",VLOOKUP(ResultsTeams[[#This Row],[Stage]],$R$1:$T$8,MATCH(ResultsTeams[[#This Row],[Category]],$S$1:$T$1,0)+1,FALSE))</f>
        <v/>
      </c>
      <c r="AC7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8" s="264" t="str">
        <f>IF(ResultsTeams[[#This Row],[Type]]="G",ResultsTeams[[#This Row],[Stage]],AD757)</f>
        <v>Final</v>
      </c>
      <c r="AE758" s="395" t="str">
        <f>IF(ResultsTeams[[#This Row],[Type]]="G",INDEX(TeamsList[Club Name],MATCH(ResultsTeams[[#This Row],[Team A]],TeamsList[Team Name],0)),AE757)</f>
        <v>CCT Eagles Napoli</v>
      </c>
      <c r="AF758" s="395" t="str">
        <f>IF(ResultsTeams[[#This Row],[Type]]="G",INDEX(TeamsList[Club Name],MATCH(ResultsTeams[[#This Row],[Team B]],TeamsList[Team Name],0)),AF757)</f>
        <v>F.lli Bari Reggio Emilia</v>
      </c>
      <c r="AG758" s="265"/>
    </row>
    <row r="759" spans="1:33" x14ac:dyDescent="0.2">
      <c r="A759" s="62"/>
      <c r="B759" s="62"/>
      <c r="C759" s="62"/>
      <c r="D759" s="62"/>
      <c r="E759" s="241" t="s">
        <v>12243</v>
      </c>
      <c r="F759" s="247"/>
      <c r="G759" s="247" t="s">
        <v>10080</v>
      </c>
      <c r="H759" s="254"/>
      <c r="I759" s="254" t="s">
        <v>12243</v>
      </c>
      <c r="J759" s="260"/>
      <c r="K759" s="364"/>
      <c r="L759" s="364"/>
      <c r="M759" s="247"/>
      <c r="N759" s="265" t="b">
        <f>NOT(ISERROR(ResultsTeams[[#This Row],[Goal-A]]+ResultsTeams[[#This Row],[Goal-B]]))</f>
        <v>0</v>
      </c>
      <c r="O759" s="265" t="str">
        <f>IF(ResultsTeams[[#This Row],[Type]]="G",SUM(O760:O763),IF(LEFT(ResultsTeams[[#This Row],[Type]],1)="P",IF(ResultsTeams[[#This Row],[Goal-A]]&gt;ResultsTeams[[#This Row],[Goal-B]],1,0),""))</f>
        <v/>
      </c>
      <c r="P759" s="265" t="str">
        <f>IF(ResultsTeams[[#This Row],[Type]]="G",SUM(P760:P763),IF(LEFT(ResultsTeams[[#This Row],[Type]],1)="P",IF(ResultsTeams[[#This Row],[Goal-A]]&lt;ResultsTeams[[#This Row],[Goal-B]],1,0),""))</f>
        <v/>
      </c>
      <c r="Q759" s="265" t="str">
        <f>IF(ResultsTeams[[#This Row],[Type]]="G",SUM(Q760:Q763),IF(LEFT(ResultsTeams[[#This Row],[Type]],1)="P",VALUE(ResultsTeams[[#This Row],[Score-A]]),""))</f>
        <v/>
      </c>
      <c r="R759" s="265" t="str">
        <f>IF(ResultsTeams[[#This Row],[Type]]="G",SUM(R760:R763),IF(LEFT(ResultsTeams[[#This Row],[Type]],1)="P",VALUE(ResultsTeams[[#This Row],[Score-B]]),""))</f>
        <v/>
      </c>
      <c r="S759" s="265" t="str">
        <f ca="1">IF(AND(ResultsTeams[[#This Row],[Category]]&lt;&gt;"",ResultsTeams[[#This Row],[Team A]]&lt;&gt;""),COUNTIF(INDIRECT("TeamsList[Club Name]"),ResultsTeams[[#This Row],[Team A]]),"")</f>
        <v/>
      </c>
      <c r="T759" s="265" t="str">
        <f ca="1">IF(AND(ResultsTeams[[#This Row],[Category]]&lt;&gt;"",ResultsTeams[[#This Row],[Team B]]&lt;&gt;""),COUNTIF(INDIRECT("TeamsList[Club Name]"),ResultsTeams[[#This Row],[Team B]]),"")</f>
        <v/>
      </c>
      <c r="U7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9" s="265" t="str">
        <f>IF(ResultsTeams[[#This Row],[Score_OK]],IF(ResultsTeams[[#This Row],[StageCpy]]="Groups",ResultsTeams[[#This Row],[Category]]&amp;"-"&amp;IF(ResultsTeams[[#This Row],[Team B]]="","",IF(ResultsTeams[[#This Row],[Match-A]]=ResultsTeams[[#This Row],[Match-B]],ResultsTeams[[#This Row],[Team A]],"")),""),"")</f>
        <v/>
      </c>
      <c r="W759" s="265" t="str">
        <f>IF(ResultsTeams[[#This Row],[Score_OK]],IF(ResultsTeams[[#This Row],[StageCpy]]="Groups",ResultsTeams[[#This Row],[Category]]&amp;"-"&amp;IF(ResultsTeams[[#This Row],[Team B]]="","",IF(ResultsTeams[[#This Row],[Match-A]]=ResultsTeams[[#This Row],[Match-B]],ResultsTeams[[#This Row],[Team B]],"")),""),"")</f>
        <v/>
      </c>
      <c r="X7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9" s="264" t="str">
        <f>IF(ResultsTeams[[#This Row],[Category]]="","",VLOOKUP(ResultsTeams[[#This Row],[Stage]],$R$1:$T$8,MATCH(ResultsTeams[[#This Row],[Category]],$S$1:$T$1,0)+1,FALSE))</f>
        <v/>
      </c>
      <c r="AC7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9" s="264" t="str">
        <f>IF(ResultsTeams[[#This Row],[Type]]="G",ResultsTeams[[#This Row],[Stage]],AD758)</f>
        <v>Final</v>
      </c>
      <c r="AE759" s="395" t="str">
        <f>IF(ResultsTeams[[#This Row],[Type]]="G",INDEX(TeamsList[Club Name],MATCH(ResultsTeams[[#This Row],[Team A]],TeamsList[Team Name],0)),AE758)</f>
        <v>CCT Eagles Napoli</v>
      </c>
      <c r="AF759" s="395" t="str">
        <f>IF(ResultsTeams[[#This Row],[Type]]="G",INDEX(TeamsList[Club Name],MATCH(ResultsTeams[[#This Row],[Team B]],TeamsList[Team Name],0)),AF758)</f>
        <v>F.lli Bari Reggio Emilia</v>
      </c>
      <c r="AG759" s="265"/>
    </row>
    <row r="760" spans="1:33" ht="12" thickBot="1" x14ac:dyDescent="0.25">
      <c r="A760" s="83"/>
      <c r="B760" s="83"/>
      <c r="C760" s="83"/>
      <c r="D760" s="83"/>
      <c r="E760" s="268" t="s">
        <v>12244</v>
      </c>
      <c r="F760" s="262"/>
      <c r="G760" s="262"/>
      <c r="H760" s="324"/>
      <c r="I760" s="324"/>
      <c r="J760" s="263"/>
      <c r="K760" s="365"/>
      <c r="L760" s="365"/>
      <c r="M760" s="262"/>
      <c r="N760" s="265" t="b">
        <f>NOT(ISERROR(ResultsTeams[[#This Row],[Goal-A]]+ResultsTeams[[#This Row],[Goal-B]]))</f>
        <v>0</v>
      </c>
      <c r="O760" s="265" t="str">
        <f>IF(ResultsTeams[[#This Row],[Type]]="G",SUM(O761:O764),IF(LEFT(ResultsTeams[[#This Row],[Type]],1)="P",IF(ResultsTeams[[#This Row],[Goal-A]]&gt;ResultsTeams[[#This Row],[Goal-B]],1,0),""))</f>
        <v/>
      </c>
      <c r="P760" s="265" t="str">
        <f>IF(ResultsTeams[[#This Row],[Type]]="G",SUM(P761:P764),IF(LEFT(ResultsTeams[[#This Row],[Type]],1)="P",IF(ResultsTeams[[#This Row],[Goal-A]]&lt;ResultsTeams[[#This Row],[Goal-B]],1,0),""))</f>
        <v/>
      </c>
      <c r="Q760" s="265" t="str">
        <f>IF(ResultsTeams[[#This Row],[Type]]="G",SUM(Q761:Q764),IF(LEFT(ResultsTeams[[#This Row],[Type]],1)="P",VALUE(ResultsTeams[[#This Row],[Score-A]]),""))</f>
        <v/>
      </c>
      <c r="R760" s="265" t="str">
        <f>IF(ResultsTeams[[#This Row],[Type]]="G",SUM(R761:R764),IF(LEFT(ResultsTeams[[#This Row],[Type]],1)="P",VALUE(ResultsTeams[[#This Row],[Score-B]]),""))</f>
        <v/>
      </c>
      <c r="S760" s="265" t="str">
        <f ca="1">IF(AND(ResultsTeams[[#This Row],[Category]]&lt;&gt;"",ResultsTeams[[#This Row],[Team A]]&lt;&gt;""),COUNTIF(INDIRECT("TeamsList[Club Name]"),ResultsTeams[[#This Row],[Team A]]),"")</f>
        <v/>
      </c>
      <c r="T760" s="265" t="str">
        <f ca="1">IF(AND(ResultsTeams[[#This Row],[Category]]&lt;&gt;"",ResultsTeams[[#This Row],[Team B]]&lt;&gt;""),COUNTIF(INDIRECT("TeamsList[Club Name]"),ResultsTeams[[#This Row],[Team B]]),"")</f>
        <v/>
      </c>
      <c r="U7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0" s="265" t="str">
        <f>IF(ResultsTeams[[#This Row],[Score_OK]],IF(ResultsTeams[[#This Row],[StageCpy]]="Groups",ResultsTeams[[#This Row],[Category]]&amp;"-"&amp;IF(ResultsTeams[[#This Row],[Team B]]="","",IF(ResultsTeams[[#This Row],[Match-A]]=ResultsTeams[[#This Row],[Match-B]],ResultsTeams[[#This Row],[Team A]],"")),""),"")</f>
        <v/>
      </c>
      <c r="W760" s="265" t="str">
        <f>IF(ResultsTeams[[#This Row],[Score_OK]],IF(ResultsTeams[[#This Row],[StageCpy]]="Groups",ResultsTeams[[#This Row],[Category]]&amp;"-"&amp;IF(ResultsTeams[[#This Row],[Team B]]="","",IF(ResultsTeams[[#This Row],[Match-A]]=ResultsTeams[[#This Row],[Match-B]],ResultsTeams[[#This Row],[Team B]],"")),""),"")</f>
        <v/>
      </c>
      <c r="X7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0" s="264" t="str">
        <f>IF(ResultsTeams[[#This Row],[Category]]="","",VLOOKUP(ResultsTeams[[#This Row],[Stage]],$R$1:$T$8,MATCH(ResultsTeams[[#This Row],[Category]],$S$1:$T$1,0)+1,FALSE))</f>
        <v/>
      </c>
      <c r="AC7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0" s="264" t="str">
        <f>IF(ResultsTeams[[#This Row],[Type]]="G",ResultsTeams[[#This Row],[Stage]],AD759)</f>
        <v>Final</v>
      </c>
      <c r="AE760" s="395" t="str">
        <f>IF(ResultsTeams[[#This Row],[Type]]="G",INDEX(TeamsList[Club Name],MATCH(ResultsTeams[[#This Row],[Team A]],TeamsList[Team Name],0)),AE759)</f>
        <v>CCT Eagles Napoli</v>
      </c>
      <c r="AF760" s="395" t="str">
        <f>IF(ResultsTeams[[#This Row],[Type]]="G",INDEX(TeamsList[Club Name],MATCH(ResultsTeams[[#This Row],[Team B]],TeamsList[Team Name],0)),AF759)</f>
        <v>F.lli Bari Reggio Emilia</v>
      </c>
      <c r="AG760" s="265"/>
    </row>
    <row r="761" spans="1:33" ht="12" thickBot="1" x14ac:dyDescent="0.25">
      <c r="A761" s="261" t="s">
        <v>12263</v>
      </c>
      <c r="B761" s="270" t="s">
        <v>12221</v>
      </c>
      <c r="C761" s="270"/>
      <c r="D761" s="270"/>
      <c r="E761" s="272" t="s">
        <v>12228</v>
      </c>
      <c r="F761" s="273" t="s">
        <v>340</v>
      </c>
      <c r="G761" s="273" t="s">
        <v>796</v>
      </c>
      <c r="H761" s="275">
        <v>2</v>
      </c>
      <c r="I761" s="275">
        <v>1</v>
      </c>
      <c r="J761" s="275"/>
      <c r="K761" s="366"/>
      <c r="L761" s="366"/>
      <c r="M761" s="274"/>
      <c r="N761" s="265" t="b">
        <f>NOT(ISERROR(ResultsTeams[[#This Row],[Goal-A]]+ResultsTeams[[#This Row],[Goal-B]]))</f>
        <v>1</v>
      </c>
      <c r="O761" s="265">
        <f>IF(ResultsTeams[[#This Row],[Type]]="G",SUM(O762:O765),IF(LEFT(ResultsTeams[[#This Row],[Type]],1)="P",IF(ResultsTeams[[#This Row],[Goal-A]]&gt;ResultsTeams[[#This Row],[Goal-B]],1,0),""))</f>
        <v>2</v>
      </c>
      <c r="P761" s="265">
        <f>IF(ResultsTeams[[#This Row],[Type]]="G",SUM(P762:P765),IF(LEFT(ResultsTeams[[#This Row],[Type]],1)="P",IF(ResultsTeams[[#This Row],[Goal-A]]&lt;ResultsTeams[[#This Row],[Goal-B]],1,0),""))</f>
        <v>1</v>
      </c>
      <c r="Q761" s="265">
        <f>IF(ResultsTeams[[#This Row],[Type]]="G",SUM(Q762:Q765),IF(LEFT(ResultsTeams[[#This Row],[Type]],1)="P",VALUE(ResultsTeams[[#This Row],[Score-A]]),""))</f>
        <v>9</v>
      </c>
      <c r="R761" s="265">
        <f>IF(ResultsTeams[[#This Row],[Type]]="G",SUM(R762:R765),IF(LEFT(ResultsTeams[[#This Row],[Type]],1)="P",VALUE(ResultsTeams[[#This Row],[Score-B]]),""))</f>
        <v>7</v>
      </c>
      <c r="S761" s="265">
        <f ca="1">IF(AND(ResultsTeams[[#This Row],[Category]]&lt;&gt;"",ResultsTeams[[#This Row],[Team A]]&lt;&gt;""),COUNTIF(INDIRECT("TeamsList[Club Name]"),ResultsTeams[[#This Row],[Team A]]),"")</f>
        <v>2</v>
      </c>
      <c r="T761" s="265">
        <f ca="1">IF(AND(ResultsTeams[[#This Row],[Category]]&lt;&gt;"",ResultsTeams[[#This Row],[Team B]]&lt;&gt;""),COUNTIF(INDIRECT("TeamsList[Club Name]"),ResultsTeams[[#This Row],[Team B]]),"")</f>
        <v>1</v>
      </c>
      <c r="U7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1" s="265" t="str">
        <f>IF(ResultsTeams[[#This Row],[Score_OK]],IF(ResultsTeams[[#This Row],[StageCpy]]="Groups",ResultsTeams[[#This Row],[Category]]&amp;"-"&amp;IF(ResultsTeams[[#This Row],[Team B]]="","",IF(ResultsTeams[[#This Row],[Match-A]]=ResultsTeams[[#This Row],[Match-B]],ResultsTeams[[#This Row],[Team A]],"")),""),"")</f>
        <v/>
      </c>
      <c r="W761" s="265" t="str">
        <f>IF(ResultsTeams[[#This Row],[Score_OK]],IF(ResultsTeams[[#This Row],[StageCpy]]="Groups",ResultsTeams[[#This Row],[Category]]&amp;"-"&amp;IF(ResultsTeams[[#This Row],[Team B]]="","",IF(ResultsTeams[[#This Row],[Match-A]]=ResultsTeams[[#This Row],[Match-B]],ResultsTeams[[#This Row],[Team B]],"")),""),"")</f>
        <v/>
      </c>
      <c r="X7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CONSOLATION-Valletta Lions TFC</v>
      </c>
      <c r="Z761"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761"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761" s="264" t="e">
        <f>IF(ResultsTeams[[#This Row],[Category]]="","",VLOOKUP(ResultsTeams[[#This Row],[Stage]],$R$1:$T$8,MATCH(ResultsTeams[[#This Row],[Category]],$S$1:$T$1,0)+1,FALSE))</f>
        <v>#N/A</v>
      </c>
      <c r="AC761"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761" s="264" t="str">
        <f>IF(ResultsTeams[[#This Row],[Type]]="G",ResultsTeams[[#This Row],[Stage]],AD760)</f>
        <v>Final</v>
      </c>
      <c r="AE761" s="395" t="str">
        <f>IF(ResultsTeams[[#This Row],[Type]]="G",INDEX(TeamsList[Club Name],MATCH(ResultsTeams[[#This Row],[Team A]],TeamsList[Team Name],0)),AE760)</f>
        <v>Wamme SC</v>
      </c>
      <c r="AF761" s="395" t="str">
        <f>IF(ResultsTeams[[#This Row],[Type]]="G",INDEX(TeamsList[Club Name],MATCH(ResultsTeams[[#This Row],[Team B]],TeamsList[Team Name],0)),AF760)</f>
        <v>Valletta Lions TFC</v>
      </c>
      <c r="AG761" s="265"/>
    </row>
    <row r="762" spans="1:33" x14ac:dyDescent="0.2">
      <c r="A762" s="60"/>
      <c r="B762" s="280"/>
      <c r="C762" s="60"/>
      <c r="D762" s="60"/>
      <c r="E762" s="240" t="s">
        <v>12231</v>
      </c>
      <c r="F762" s="244" t="s">
        <v>8194</v>
      </c>
      <c r="G762" s="244" t="s">
        <v>11444</v>
      </c>
      <c r="H762" s="253">
        <v>3</v>
      </c>
      <c r="I762" s="253">
        <v>0</v>
      </c>
      <c r="J762" s="253"/>
      <c r="K762" s="362"/>
      <c r="L762" s="362"/>
      <c r="M762" s="245"/>
      <c r="N762" s="265" t="b">
        <f>NOT(ISERROR(ResultsTeams[[#This Row],[Goal-A]]+ResultsTeams[[#This Row],[Goal-B]]))</f>
        <v>1</v>
      </c>
      <c r="O762" s="265">
        <f>IF(ResultsTeams[[#This Row],[Type]]="G",SUM(O763:O766),IF(LEFT(ResultsTeams[[#This Row],[Type]],1)="P",IF(ResultsTeams[[#This Row],[Goal-A]]&gt;ResultsTeams[[#This Row],[Goal-B]],1,0),""))</f>
        <v>1</v>
      </c>
      <c r="P762" s="265">
        <f>IF(ResultsTeams[[#This Row],[Type]]="G",SUM(P763:P766),IF(LEFT(ResultsTeams[[#This Row],[Type]],1)="P",IF(ResultsTeams[[#This Row],[Goal-A]]&lt;ResultsTeams[[#This Row],[Goal-B]],1,0),""))</f>
        <v>0</v>
      </c>
      <c r="Q762" s="265">
        <f>IF(ResultsTeams[[#This Row],[Type]]="G",SUM(Q763:Q766),IF(LEFT(ResultsTeams[[#This Row],[Type]],1)="P",VALUE(ResultsTeams[[#This Row],[Score-A]]),""))</f>
        <v>3</v>
      </c>
      <c r="R762" s="265">
        <f>IF(ResultsTeams[[#This Row],[Type]]="G",SUM(R763:R766),IF(LEFT(ResultsTeams[[#This Row],[Type]],1)="P",VALUE(ResultsTeams[[#This Row],[Score-B]]),""))</f>
        <v>0</v>
      </c>
      <c r="S762" s="265" t="str">
        <f ca="1">IF(AND(ResultsTeams[[#This Row],[Category]]&lt;&gt;"",ResultsTeams[[#This Row],[Team A]]&lt;&gt;""),COUNTIF(INDIRECT("TeamsList[Club Name]"),ResultsTeams[[#This Row],[Team A]]),"")</f>
        <v/>
      </c>
      <c r="T762" s="265" t="str">
        <f ca="1">IF(AND(ResultsTeams[[#This Row],[Category]]&lt;&gt;"",ResultsTeams[[#This Row],[Team B]]&lt;&gt;""),COUNTIF(INDIRECT("TeamsList[Club Name]"),ResultsTeams[[#This Row],[Team B]]),"")</f>
        <v/>
      </c>
      <c r="U7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2" s="265" t="str">
        <f>IF(ResultsTeams[[#This Row],[Score_OK]],IF(ResultsTeams[[#This Row],[StageCpy]]="Groups",ResultsTeams[[#This Row],[Category]]&amp;"-"&amp;IF(ResultsTeams[[#This Row],[Team B]]="","",IF(ResultsTeams[[#This Row],[Match-A]]=ResultsTeams[[#This Row],[Match-B]],ResultsTeams[[#This Row],[Team A]],"")),""),"")</f>
        <v/>
      </c>
      <c r="W762" s="265" t="str">
        <f>IF(ResultsTeams[[#This Row],[Score_OK]],IF(ResultsTeams[[#This Row],[StageCpy]]="Groups",ResultsTeams[[#This Row],[Category]]&amp;"-"&amp;IF(ResultsTeams[[#This Row],[Team B]]="","",IF(ResultsTeams[[#This Row],[Match-A]]=ResultsTeams[[#This Row],[Match-B]],ResultsTeams[[#This Row],[Team B]],"")),""),"")</f>
        <v/>
      </c>
      <c r="X7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2" s="264" t="str">
        <f>IF(ResultsTeams[[#This Row],[Category]]="","",VLOOKUP(ResultsTeams[[#This Row],[Stage]],$R$1:$T$8,MATCH(ResultsTeams[[#This Row],[Category]],$S$1:$T$1,0)+1,FALSE))</f>
        <v/>
      </c>
      <c r="AC7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2" s="264" t="str">
        <f>IF(ResultsTeams[[#This Row],[Type]]="G",ResultsTeams[[#This Row],[Stage]],AD761)</f>
        <v>Final</v>
      </c>
      <c r="AE762" s="395" t="str">
        <f>IF(ResultsTeams[[#This Row],[Type]]="G",INDEX(TeamsList[Club Name],MATCH(ResultsTeams[[#This Row],[Team A]],TeamsList[Team Name],0)),AE761)</f>
        <v>Wamme SC</v>
      </c>
      <c r="AF762" s="395" t="str">
        <f>IF(ResultsTeams[[#This Row],[Type]]="G",INDEX(TeamsList[Club Name],MATCH(ResultsTeams[[#This Row],[Team B]],TeamsList[Team Name],0)),AF761)</f>
        <v>Valletta Lions TFC</v>
      </c>
      <c r="AG762" s="265"/>
    </row>
    <row r="763" spans="1:33" x14ac:dyDescent="0.2">
      <c r="A763" s="62"/>
      <c r="B763" s="280"/>
      <c r="C763" s="62"/>
      <c r="D763" s="62"/>
      <c r="E763" s="241" t="s">
        <v>12234</v>
      </c>
      <c r="F763" s="246" t="s">
        <v>8168</v>
      </c>
      <c r="G763" s="246" t="s">
        <v>11908</v>
      </c>
      <c r="H763" s="254">
        <v>2</v>
      </c>
      <c r="I763" s="254">
        <v>0</v>
      </c>
      <c r="J763" s="254"/>
      <c r="K763" s="363"/>
      <c r="L763" s="363"/>
      <c r="M763" s="247"/>
      <c r="N763" s="265" t="b">
        <f>NOT(ISERROR(ResultsTeams[[#This Row],[Goal-A]]+ResultsTeams[[#This Row],[Goal-B]]))</f>
        <v>1</v>
      </c>
      <c r="O763" s="265">
        <f>IF(ResultsTeams[[#This Row],[Type]]="G",SUM(O764:O767),IF(LEFT(ResultsTeams[[#This Row],[Type]],1)="P",IF(ResultsTeams[[#This Row],[Goal-A]]&gt;ResultsTeams[[#This Row],[Goal-B]],1,0),""))</f>
        <v>1</v>
      </c>
      <c r="P763" s="265">
        <f>IF(ResultsTeams[[#This Row],[Type]]="G",SUM(P764:P767),IF(LEFT(ResultsTeams[[#This Row],[Type]],1)="P",IF(ResultsTeams[[#This Row],[Goal-A]]&lt;ResultsTeams[[#This Row],[Goal-B]],1,0),""))</f>
        <v>0</v>
      </c>
      <c r="Q763" s="265">
        <f>IF(ResultsTeams[[#This Row],[Type]]="G",SUM(Q764:Q767),IF(LEFT(ResultsTeams[[#This Row],[Type]],1)="P",VALUE(ResultsTeams[[#This Row],[Score-A]]),""))</f>
        <v>2</v>
      </c>
      <c r="R763" s="265">
        <f>IF(ResultsTeams[[#This Row],[Type]]="G",SUM(R764:R767),IF(LEFT(ResultsTeams[[#This Row],[Type]],1)="P",VALUE(ResultsTeams[[#This Row],[Score-B]]),""))</f>
        <v>0</v>
      </c>
      <c r="S763" s="265" t="str">
        <f ca="1">IF(AND(ResultsTeams[[#This Row],[Category]]&lt;&gt;"",ResultsTeams[[#This Row],[Team A]]&lt;&gt;""),COUNTIF(INDIRECT("TeamsList[Club Name]"),ResultsTeams[[#This Row],[Team A]]),"")</f>
        <v/>
      </c>
      <c r="T763" s="265" t="str">
        <f ca="1">IF(AND(ResultsTeams[[#This Row],[Category]]&lt;&gt;"",ResultsTeams[[#This Row],[Team B]]&lt;&gt;""),COUNTIF(INDIRECT("TeamsList[Club Name]"),ResultsTeams[[#This Row],[Team B]]),"")</f>
        <v/>
      </c>
      <c r="U7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3" s="265" t="str">
        <f>IF(ResultsTeams[[#This Row],[Score_OK]],IF(ResultsTeams[[#This Row],[StageCpy]]="Groups",ResultsTeams[[#This Row],[Category]]&amp;"-"&amp;IF(ResultsTeams[[#This Row],[Team B]]="","",IF(ResultsTeams[[#This Row],[Match-A]]=ResultsTeams[[#This Row],[Match-B]],ResultsTeams[[#This Row],[Team A]],"")),""),"")</f>
        <v/>
      </c>
      <c r="W763" s="265" t="str">
        <f>IF(ResultsTeams[[#This Row],[Score_OK]],IF(ResultsTeams[[#This Row],[StageCpy]]="Groups",ResultsTeams[[#This Row],[Category]]&amp;"-"&amp;IF(ResultsTeams[[#This Row],[Team B]]="","",IF(ResultsTeams[[#This Row],[Match-A]]=ResultsTeams[[#This Row],[Match-B]],ResultsTeams[[#This Row],[Team B]],"")),""),"")</f>
        <v/>
      </c>
      <c r="X7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3" s="264" t="str">
        <f>IF(ResultsTeams[[#This Row],[Category]]="","",VLOOKUP(ResultsTeams[[#This Row],[Stage]],$R$1:$T$8,MATCH(ResultsTeams[[#This Row],[Category]],$S$1:$T$1,0)+1,FALSE))</f>
        <v/>
      </c>
      <c r="AC7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3" s="264" t="str">
        <f>IF(ResultsTeams[[#This Row],[Type]]="G",ResultsTeams[[#This Row],[Stage]],AD762)</f>
        <v>Final</v>
      </c>
      <c r="AE763" s="395" t="str">
        <f>IF(ResultsTeams[[#This Row],[Type]]="G",INDEX(TeamsList[Club Name],MATCH(ResultsTeams[[#This Row],[Team A]],TeamsList[Team Name],0)),AE762)</f>
        <v>Wamme SC</v>
      </c>
      <c r="AF763" s="395" t="str">
        <f>IF(ResultsTeams[[#This Row],[Type]]="G",INDEX(TeamsList[Club Name],MATCH(ResultsTeams[[#This Row],[Team B]],TeamsList[Team Name],0)),AF762)</f>
        <v>Valletta Lions TFC</v>
      </c>
      <c r="AG763" s="265"/>
    </row>
    <row r="764" spans="1:33" x14ac:dyDescent="0.2">
      <c r="A764" s="62"/>
      <c r="B764" s="280"/>
      <c r="C764" s="62"/>
      <c r="D764" s="62"/>
      <c r="E764" s="241" t="s">
        <v>12237</v>
      </c>
      <c r="F764" s="246" t="s">
        <v>8173</v>
      </c>
      <c r="G764" s="246" t="s">
        <v>10441</v>
      </c>
      <c r="H764" s="254">
        <v>2</v>
      </c>
      <c r="I764" s="254">
        <v>5</v>
      </c>
      <c r="J764" s="254"/>
      <c r="K764" s="363"/>
      <c r="L764" s="363"/>
      <c r="M764" s="247"/>
      <c r="N764" s="265" t="b">
        <f>NOT(ISERROR(ResultsTeams[[#This Row],[Goal-A]]+ResultsTeams[[#This Row],[Goal-B]]))</f>
        <v>1</v>
      </c>
      <c r="O764" s="265">
        <f>IF(ResultsTeams[[#This Row],[Type]]="G",SUM(O765:O768),IF(LEFT(ResultsTeams[[#This Row],[Type]],1)="P",IF(ResultsTeams[[#This Row],[Goal-A]]&gt;ResultsTeams[[#This Row],[Goal-B]],1,0),""))</f>
        <v>0</v>
      </c>
      <c r="P764" s="265">
        <f>IF(ResultsTeams[[#This Row],[Type]]="G",SUM(P765:P768),IF(LEFT(ResultsTeams[[#This Row],[Type]],1)="P",IF(ResultsTeams[[#This Row],[Goal-A]]&lt;ResultsTeams[[#This Row],[Goal-B]],1,0),""))</f>
        <v>1</v>
      </c>
      <c r="Q764" s="265">
        <f>IF(ResultsTeams[[#This Row],[Type]]="G",SUM(Q765:Q768),IF(LEFT(ResultsTeams[[#This Row],[Type]],1)="P",VALUE(ResultsTeams[[#This Row],[Score-A]]),""))</f>
        <v>2</v>
      </c>
      <c r="R764" s="265">
        <f>IF(ResultsTeams[[#This Row],[Type]]="G",SUM(R765:R768),IF(LEFT(ResultsTeams[[#This Row],[Type]],1)="P",VALUE(ResultsTeams[[#This Row],[Score-B]]),""))</f>
        <v>5</v>
      </c>
      <c r="S764" s="265" t="str">
        <f ca="1">IF(AND(ResultsTeams[[#This Row],[Category]]&lt;&gt;"",ResultsTeams[[#This Row],[Team A]]&lt;&gt;""),COUNTIF(INDIRECT("TeamsList[Club Name]"),ResultsTeams[[#This Row],[Team A]]),"")</f>
        <v/>
      </c>
      <c r="T764" s="265" t="str">
        <f ca="1">IF(AND(ResultsTeams[[#This Row],[Category]]&lt;&gt;"",ResultsTeams[[#This Row],[Team B]]&lt;&gt;""),COUNTIF(INDIRECT("TeamsList[Club Name]"),ResultsTeams[[#This Row],[Team B]]),"")</f>
        <v/>
      </c>
      <c r="U7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4" s="265" t="str">
        <f>IF(ResultsTeams[[#This Row],[Score_OK]],IF(ResultsTeams[[#This Row],[StageCpy]]="Groups",ResultsTeams[[#This Row],[Category]]&amp;"-"&amp;IF(ResultsTeams[[#This Row],[Team B]]="","",IF(ResultsTeams[[#This Row],[Match-A]]=ResultsTeams[[#This Row],[Match-B]],ResultsTeams[[#This Row],[Team A]],"")),""),"")</f>
        <v/>
      </c>
      <c r="W764" s="265" t="str">
        <f>IF(ResultsTeams[[#This Row],[Score_OK]],IF(ResultsTeams[[#This Row],[StageCpy]]="Groups",ResultsTeams[[#This Row],[Category]]&amp;"-"&amp;IF(ResultsTeams[[#This Row],[Team B]]="","",IF(ResultsTeams[[#This Row],[Match-A]]=ResultsTeams[[#This Row],[Match-B]],ResultsTeams[[#This Row],[Team B]],"")),""),"")</f>
        <v/>
      </c>
      <c r="X7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4" s="264" t="str">
        <f>IF(ResultsTeams[[#This Row],[Category]]="","",VLOOKUP(ResultsTeams[[#This Row],[Stage]],$R$1:$T$8,MATCH(ResultsTeams[[#This Row],[Category]],$S$1:$T$1,0)+1,FALSE))</f>
        <v/>
      </c>
      <c r="AC7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4" s="264" t="str">
        <f>IF(ResultsTeams[[#This Row],[Type]]="G",ResultsTeams[[#This Row],[Stage]],AD763)</f>
        <v>Final</v>
      </c>
      <c r="AE764" s="395" t="str">
        <f>IF(ResultsTeams[[#This Row],[Type]]="G",INDEX(TeamsList[Club Name],MATCH(ResultsTeams[[#This Row],[Team A]],TeamsList[Team Name],0)),AE763)</f>
        <v>Wamme SC</v>
      </c>
      <c r="AF764" s="395" t="str">
        <f>IF(ResultsTeams[[#This Row],[Type]]="G",INDEX(TeamsList[Club Name],MATCH(ResultsTeams[[#This Row],[Team B]],TeamsList[Team Name],0)),AF763)</f>
        <v>Valletta Lions TFC</v>
      </c>
      <c r="AG764" s="265"/>
    </row>
    <row r="765" spans="1:33" x14ac:dyDescent="0.2">
      <c r="A765" s="62"/>
      <c r="B765" s="280"/>
      <c r="C765" s="62"/>
      <c r="D765" s="62"/>
      <c r="E765" s="241" t="s">
        <v>12240</v>
      </c>
      <c r="F765" s="246" t="s">
        <v>8166</v>
      </c>
      <c r="G765" s="246" t="s">
        <v>10448</v>
      </c>
      <c r="H765" s="254">
        <v>2</v>
      </c>
      <c r="I765" s="254">
        <v>2</v>
      </c>
      <c r="J765" s="254"/>
      <c r="K765" s="363"/>
      <c r="L765" s="363"/>
      <c r="M765" s="247"/>
      <c r="N765" s="265" t="b">
        <f>NOT(ISERROR(ResultsTeams[[#This Row],[Goal-A]]+ResultsTeams[[#This Row],[Goal-B]]))</f>
        <v>1</v>
      </c>
      <c r="O765" s="265">
        <f>IF(ResultsTeams[[#This Row],[Type]]="G",SUM(O766:O769),IF(LEFT(ResultsTeams[[#This Row],[Type]],1)="P",IF(ResultsTeams[[#This Row],[Goal-A]]&gt;ResultsTeams[[#This Row],[Goal-B]],1,0),""))</f>
        <v>0</v>
      </c>
      <c r="P765" s="265">
        <f>IF(ResultsTeams[[#This Row],[Type]]="G",SUM(P766:P769),IF(LEFT(ResultsTeams[[#This Row],[Type]],1)="P",IF(ResultsTeams[[#This Row],[Goal-A]]&lt;ResultsTeams[[#This Row],[Goal-B]],1,0),""))</f>
        <v>0</v>
      </c>
      <c r="Q765" s="265">
        <f>IF(ResultsTeams[[#This Row],[Type]]="G",SUM(Q766:Q769),IF(LEFT(ResultsTeams[[#This Row],[Type]],1)="P",VALUE(ResultsTeams[[#This Row],[Score-A]]),""))</f>
        <v>2</v>
      </c>
      <c r="R765" s="265">
        <f>IF(ResultsTeams[[#This Row],[Type]]="G",SUM(R766:R769),IF(LEFT(ResultsTeams[[#This Row],[Type]],1)="P",VALUE(ResultsTeams[[#This Row],[Score-B]]),""))</f>
        <v>2</v>
      </c>
      <c r="S765" s="265" t="str">
        <f ca="1">IF(AND(ResultsTeams[[#This Row],[Category]]&lt;&gt;"",ResultsTeams[[#This Row],[Team A]]&lt;&gt;""),COUNTIF(INDIRECT("TeamsList[Club Name]"),ResultsTeams[[#This Row],[Team A]]),"")</f>
        <v/>
      </c>
      <c r="T765" s="265" t="str">
        <f ca="1">IF(AND(ResultsTeams[[#This Row],[Category]]&lt;&gt;"",ResultsTeams[[#This Row],[Team B]]&lt;&gt;""),COUNTIF(INDIRECT("TeamsList[Club Name]"),ResultsTeams[[#This Row],[Team B]]),"")</f>
        <v/>
      </c>
      <c r="U7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5" s="265" t="str">
        <f>IF(ResultsTeams[[#This Row],[Score_OK]],IF(ResultsTeams[[#This Row],[StageCpy]]="Groups",ResultsTeams[[#This Row],[Category]]&amp;"-"&amp;IF(ResultsTeams[[#This Row],[Team B]]="","",IF(ResultsTeams[[#This Row],[Match-A]]=ResultsTeams[[#This Row],[Match-B]],ResultsTeams[[#This Row],[Team A]],"")),""),"")</f>
        <v/>
      </c>
      <c r="W765" s="265" t="str">
        <f>IF(ResultsTeams[[#This Row],[Score_OK]],IF(ResultsTeams[[#This Row],[StageCpy]]="Groups",ResultsTeams[[#This Row],[Category]]&amp;"-"&amp;IF(ResultsTeams[[#This Row],[Team B]]="","",IF(ResultsTeams[[#This Row],[Match-A]]=ResultsTeams[[#This Row],[Match-B]],ResultsTeams[[#This Row],[Team B]],"")),""),"")</f>
        <v/>
      </c>
      <c r="X7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5" s="264" t="str">
        <f>IF(ResultsTeams[[#This Row],[Category]]="","",VLOOKUP(ResultsTeams[[#This Row],[Stage]],$R$1:$T$8,MATCH(ResultsTeams[[#This Row],[Category]],$S$1:$T$1,0)+1,FALSE))</f>
        <v/>
      </c>
      <c r="AC7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5" s="264" t="str">
        <f>IF(ResultsTeams[[#This Row],[Type]]="G",ResultsTeams[[#This Row],[Stage]],AD764)</f>
        <v>Final</v>
      </c>
      <c r="AE765" s="395" t="str">
        <f>IF(ResultsTeams[[#This Row],[Type]]="G",INDEX(TeamsList[Club Name],MATCH(ResultsTeams[[#This Row],[Team A]],TeamsList[Team Name],0)),AE764)</f>
        <v>Wamme SC</v>
      </c>
      <c r="AF765" s="395" t="str">
        <f>IF(ResultsTeams[[#This Row],[Type]]="G",INDEX(TeamsList[Club Name],MATCH(ResultsTeams[[#This Row],[Team B]],TeamsList[Team Name],0)),AF764)</f>
        <v>Valletta Lions TFC</v>
      </c>
      <c r="AG765" s="265"/>
    </row>
    <row r="766" spans="1:33" x14ac:dyDescent="0.2">
      <c r="A766" s="62"/>
      <c r="B766" s="62"/>
      <c r="C766" s="62"/>
      <c r="D766" s="62"/>
      <c r="E766" s="241" t="s">
        <v>12243</v>
      </c>
      <c r="F766" s="247"/>
      <c r="G766" s="247"/>
      <c r="H766" s="254"/>
      <c r="I766" s="254"/>
      <c r="J766" s="260"/>
      <c r="K766" s="364"/>
      <c r="L766" s="364"/>
      <c r="M766" s="247"/>
      <c r="N766" s="265" t="b">
        <f>NOT(ISERROR(ResultsTeams[[#This Row],[Goal-A]]+ResultsTeams[[#This Row],[Goal-B]]))</f>
        <v>0</v>
      </c>
      <c r="O766" s="265" t="str">
        <f>IF(ResultsTeams[[#This Row],[Type]]="G",SUM(O767:O770),IF(LEFT(ResultsTeams[[#This Row],[Type]],1)="P",IF(ResultsTeams[[#This Row],[Goal-A]]&gt;ResultsTeams[[#This Row],[Goal-B]],1,0),""))</f>
        <v/>
      </c>
      <c r="P766" s="265" t="str">
        <f>IF(ResultsTeams[[#This Row],[Type]]="G",SUM(P767:P770),IF(LEFT(ResultsTeams[[#This Row],[Type]],1)="P",IF(ResultsTeams[[#This Row],[Goal-A]]&lt;ResultsTeams[[#This Row],[Goal-B]],1,0),""))</f>
        <v/>
      </c>
      <c r="Q766" s="265" t="str">
        <f>IF(ResultsTeams[[#This Row],[Type]]="G",SUM(Q767:Q770),IF(LEFT(ResultsTeams[[#This Row],[Type]],1)="P",VALUE(ResultsTeams[[#This Row],[Score-A]]),""))</f>
        <v/>
      </c>
      <c r="R766" s="265" t="str">
        <f>IF(ResultsTeams[[#This Row],[Type]]="G",SUM(R767:R770),IF(LEFT(ResultsTeams[[#This Row],[Type]],1)="P",VALUE(ResultsTeams[[#This Row],[Score-B]]),""))</f>
        <v/>
      </c>
      <c r="S766" s="265" t="str">
        <f ca="1">IF(AND(ResultsTeams[[#This Row],[Category]]&lt;&gt;"",ResultsTeams[[#This Row],[Team A]]&lt;&gt;""),COUNTIF(INDIRECT("TeamsList[Club Name]"),ResultsTeams[[#This Row],[Team A]]),"")</f>
        <v/>
      </c>
      <c r="T766" s="265" t="str">
        <f ca="1">IF(AND(ResultsTeams[[#This Row],[Category]]&lt;&gt;"",ResultsTeams[[#This Row],[Team B]]&lt;&gt;""),COUNTIF(INDIRECT("TeamsList[Club Name]"),ResultsTeams[[#This Row],[Team B]]),"")</f>
        <v/>
      </c>
      <c r="U7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6" s="265" t="str">
        <f>IF(ResultsTeams[[#This Row],[Score_OK]],IF(ResultsTeams[[#This Row],[StageCpy]]="Groups",ResultsTeams[[#This Row],[Category]]&amp;"-"&amp;IF(ResultsTeams[[#This Row],[Team B]]="","",IF(ResultsTeams[[#This Row],[Match-A]]=ResultsTeams[[#This Row],[Match-B]],ResultsTeams[[#This Row],[Team A]],"")),""),"")</f>
        <v/>
      </c>
      <c r="W766" s="265" t="str">
        <f>IF(ResultsTeams[[#This Row],[Score_OK]],IF(ResultsTeams[[#This Row],[StageCpy]]="Groups",ResultsTeams[[#This Row],[Category]]&amp;"-"&amp;IF(ResultsTeams[[#This Row],[Team B]]="","",IF(ResultsTeams[[#This Row],[Match-A]]=ResultsTeams[[#This Row],[Match-B]],ResultsTeams[[#This Row],[Team B]],"")),""),"")</f>
        <v/>
      </c>
      <c r="X7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6" s="264" t="str">
        <f>IF(ResultsTeams[[#This Row],[Category]]="","",VLOOKUP(ResultsTeams[[#This Row],[Stage]],$R$1:$T$8,MATCH(ResultsTeams[[#This Row],[Category]],$S$1:$T$1,0)+1,FALSE))</f>
        <v/>
      </c>
      <c r="AC7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6" s="264" t="str">
        <f>IF(ResultsTeams[[#This Row],[Type]]="G",ResultsTeams[[#This Row],[Stage]],AD765)</f>
        <v>Final</v>
      </c>
      <c r="AE766" s="395" t="str">
        <f>IF(ResultsTeams[[#This Row],[Type]]="G",INDEX(TeamsList[Club Name],MATCH(ResultsTeams[[#This Row],[Team A]],TeamsList[Team Name],0)),AE765)</f>
        <v>Wamme SC</v>
      </c>
      <c r="AF766" s="395" t="str">
        <f>IF(ResultsTeams[[#This Row],[Type]]="G",INDEX(TeamsList[Club Name],MATCH(ResultsTeams[[#This Row],[Team B]],TeamsList[Team Name],0)),AF765)</f>
        <v>Valletta Lions TFC</v>
      </c>
      <c r="AG766" s="265"/>
    </row>
    <row r="767" spans="1:33" ht="12" thickBot="1" x14ac:dyDescent="0.25">
      <c r="A767" s="83"/>
      <c r="B767" s="83"/>
      <c r="C767" s="83"/>
      <c r="D767" s="83"/>
      <c r="E767" s="268" t="s">
        <v>12244</v>
      </c>
      <c r="F767" s="262"/>
      <c r="G767" s="262"/>
      <c r="H767" s="324"/>
      <c r="I767" s="324"/>
      <c r="J767" s="263"/>
      <c r="K767" s="365"/>
      <c r="L767" s="365"/>
      <c r="M767" s="262"/>
      <c r="N767" s="265" t="b">
        <f>NOT(ISERROR(ResultsTeams[[#This Row],[Goal-A]]+ResultsTeams[[#This Row],[Goal-B]]))</f>
        <v>0</v>
      </c>
      <c r="O767" s="265" t="str">
        <f>IF(ResultsTeams[[#This Row],[Type]]="G",SUM(O768:O771),IF(LEFT(ResultsTeams[[#This Row],[Type]],1)="P",IF(ResultsTeams[[#This Row],[Goal-A]]&gt;ResultsTeams[[#This Row],[Goal-B]],1,0),""))</f>
        <v/>
      </c>
      <c r="P767" s="265" t="str">
        <f>IF(ResultsTeams[[#This Row],[Type]]="G",SUM(P768:P771),IF(LEFT(ResultsTeams[[#This Row],[Type]],1)="P",IF(ResultsTeams[[#This Row],[Goal-A]]&lt;ResultsTeams[[#This Row],[Goal-B]],1,0),""))</f>
        <v/>
      </c>
      <c r="Q767" s="265" t="str">
        <f>IF(ResultsTeams[[#This Row],[Type]]="G",SUM(Q768:Q771),IF(LEFT(ResultsTeams[[#This Row],[Type]],1)="P",VALUE(ResultsTeams[[#This Row],[Score-A]]),""))</f>
        <v/>
      </c>
      <c r="R767" s="265" t="str">
        <f>IF(ResultsTeams[[#This Row],[Type]]="G",SUM(R768:R771),IF(LEFT(ResultsTeams[[#This Row],[Type]],1)="P",VALUE(ResultsTeams[[#This Row],[Score-B]]),""))</f>
        <v/>
      </c>
      <c r="S767" s="265" t="str">
        <f ca="1">IF(AND(ResultsTeams[[#This Row],[Category]]&lt;&gt;"",ResultsTeams[[#This Row],[Team A]]&lt;&gt;""),COUNTIF(INDIRECT("TeamsList[Club Name]"),ResultsTeams[[#This Row],[Team A]]),"")</f>
        <v/>
      </c>
      <c r="T767" s="265" t="str">
        <f ca="1">IF(AND(ResultsTeams[[#This Row],[Category]]&lt;&gt;"",ResultsTeams[[#This Row],[Team B]]&lt;&gt;""),COUNTIF(INDIRECT("TeamsList[Club Name]"),ResultsTeams[[#This Row],[Team B]]),"")</f>
        <v/>
      </c>
      <c r="U7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7" s="265" t="str">
        <f>IF(ResultsTeams[[#This Row],[Score_OK]],IF(ResultsTeams[[#This Row],[StageCpy]]="Groups",ResultsTeams[[#This Row],[Category]]&amp;"-"&amp;IF(ResultsTeams[[#This Row],[Team B]]="","",IF(ResultsTeams[[#This Row],[Match-A]]=ResultsTeams[[#This Row],[Match-B]],ResultsTeams[[#This Row],[Team A]],"")),""),"")</f>
        <v/>
      </c>
      <c r="W767" s="265" t="str">
        <f>IF(ResultsTeams[[#This Row],[Score_OK]],IF(ResultsTeams[[#This Row],[StageCpy]]="Groups",ResultsTeams[[#This Row],[Category]]&amp;"-"&amp;IF(ResultsTeams[[#This Row],[Team B]]="","",IF(ResultsTeams[[#This Row],[Match-A]]=ResultsTeams[[#This Row],[Match-B]],ResultsTeams[[#This Row],[Team B]],"")),""),"")</f>
        <v/>
      </c>
      <c r="X7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7" s="264" t="str">
        <f>IF(ResultsTeams[[#This Row],[Category]]="","",VLOOKUP(ResultsTeams[[#This Row],[Stage]],$R$1:$T$8,MATCH(ResultsTeams[[#This Row],[Category]],$S$1:$T$1,0)+1,FALSE))</f>
        <v/>
      </c>
      <c r="AC7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7" s="264" t="str">
        <f>IF(ResultsTeams[[#This Row],[Type]]="G",ResultsTeams[[#This Row],[Stage]],AD766)</f>
        <v>Final</v>
      </c>
      <c r="AE767" s="395" t="str">
        <f>IF(ResultsTeams[[#This Row],[Type]]="G",INDEX(TeamsList[Club Name],MATCH(ResultsTeams[[#This Row],[Team A]],TeamsList[Team Name],0)),AE766)</f>
        <v>Wamme SC</v>
      </c>
      <c r="AF767" s="395" t="str">
        <f>IF(ResultsTeams[[#This Row],[Type]]="G",INDEX(TeamsList[Club Name],MATCH(ResultsTeams[[#This Row],[Team B]],TeamsList[Team Name],0)),AF766)</f>
        <v>Valletta Lions TFC</v>
      </c>
      <c r="AG767" s="265"/>
    </row>
    <row r="768" spans="1:33" ht="12" thickBot="1" x14ac:dyDescent="0.25">
      <c r="A768" s="261"/>
      <c r="B768" s="270"/>
      <c r="C768" s="270"/>
      <c r="D768" s="270"/>
      <c r="E768" s="272" t="s">
        <v>12228</v>
      </c>
      <c r="F768" s="273"/>
      <c r="G768" s="273"/>
      <c r="H768" s="275"/>
      <c r="I768" s="275"/>
      <c r="J768" s="275"/>
      <c r="K768" s="366"/>
      <c r="L768" s="366"/>
      <c r="M768" s="274"/>
      <c r="N768" s="265" t="b">
        <f>NOT(ISERROR(ResultsTeams[[#This Row],[Goal-A]]+ResultsTeams[[#This Row],[Goal-B]]))</f>
        <v>1</v>
      </c>
      <c r="O768" s="265">
        <f>IF(ResultsTeams[[#This Row],[Type]]="G",SUM(O769:O772),IF(LEFT(ResultsTeams[[#This Row],[Type]],1)="P",IF(ResultsTeams[[#This Row],[Goal-A]]&gt;ResultsTeams[[#This Row],[Goal-B]],1,0),""))</f>
        <v>0</v>
      </c>
      <c r="P768" s="265">
        <f>IF(ResultsTeams[[#This Row],[Type]]="G",SUM(P769:P772),IF(LEFT(ResultsTeams[[#This Row],[Type]],1)="P",IF(ResultsTeams[[#This Row],[Goal-A]]&lt;ResultsTeams[[#This Row],[Goal-B]],1,0),""))</f>
        <v>0</v>
      </c>
      <c r="Q768" s="265">
        <f>IF(ResultsTeams[[#This Row],[Type]]="G",SUM(Q769:Q772),IF(LEFT(ResultsTeams[[#This Row],[Type]],1)="P",VALUE(ResultsTeams[[#This Row],[Score-A]]),""))</f>
        <v>0</v>
      </c>
      <c r="R768" s="265">
        <f>IF(ResultsTeams[[#This Row],[Type]]="G",SUM(R769:R772),IF(LEFT(ResultsTeams[[#This Row],[Type]],1)="P",VALUE(ResultsTeams[[#This Row],[Score-B]]),""))</f>
        <v>0</v>
      </c>
      <c r="S768" s="265" t="str">
        <f ca="1">IF(AND(ResultsTeams[[#This Row],[Category]]&lt;&gt;"",ResultsTeams[[#This Row],[Team A]]&lt;&gt;""),COUNTIF(INDIRECT("TeamsList[Club Name]"),ResultsTeams[[#This Row],[Team A]]),"")</f>
        <v/>
      </c>
      <c r="T768" s="265" t="str">
        <f ca="1">IF(AND(ResultsTeams[[#This Row],[Category]]&lt;&gt;"",ResultsTeams[[#This Row],[Team B]]&lt;&gt;""),COUNTIF(INDIRECT("TeamsList[Club Name]"),ResultsTeams[[#This Row],[Team B]]),"")</f>
        <v/>
      </c>
      <c r="U7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8" s="265" t="str">
        <f>IF(ResultsTeams[[#This Row],[Score_OK]],IF(ResultsTeams[[#This Row],[StageCpy]]="Groups",ResultsTeams[[#This Row],[Category]]&amp;"-"&amp;IF(ResultsTeams[[#This Row],[Team B]]="","",IF(ResultsTeams[[#This Row],[Match-A]]=ResultsTeams[[#This Row],[Match-B]],ResultsTeams[[#This Row],[Team A]],"")),""),"")</f>
        <v/>
      </c>
      <c r="W768" s="265" t="str">
        <f>IF(ResultsTeams[[#This Row],[Score_OK]],IF(ResultsTeams[[#This Row],[StageCpy]]="Groups",ResultsTeams[[#This Row],[Category]]&amp;"-"&amp;IF(ResultsTeams[[#This Row],[Team B]]="","",IF(ResultsTeams[[#This Row],[Match-A]]=ResultsTeams[[#This Row],[Match-B]],ResultsTeams[[#This Row],[Team B]],"")),""),"")</f>
        <v/>
      </c>
      <c r="X7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8" s="264" t="str">
        <f>IF(ResultsTeams[[#This Row],[Category]]="","",VLOOKUP(ResultsTeams[[#This Row],[Stage]],$R$1:$T$8,MATCH(ResultsTeams[[#This Row],[Category]],$S$1:$T$1,0)+1,FALSE))</f>
        <v/>
      </c>
      <c r="AC7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8" s="264">
        <f>IF(ResultsTeams[[#This Row],[Type]]="G",ResultsTeams[[#This Row],[Stage]],AD767)</f>
        <v>0</v>
      </c>
      <c r="AE768" s="395" t="e">
        <f>IF(ResultsTeams[[#This Row],[Type]]="G",INDEX(TeamsList[Club Name],MATCH(ResultsTeams[[#This Row],[Team A]],TeamsList[Team Name],0)),AE767)</f>
        <v>#N/A</v>
      </c>
      <c r="AF768" s="395" t="e">
        <f>IF(ResultsTeams[[#This Row],[Type]]="G",INDEX(TeamsList[Club Name],MATCH(ResultsTeams[[#This Row],[Team B]],TeamsList[Team Name],0)),AF767)</f>
        <v>#N/A</v>
      </c>
      <c r="AG768" s="265"/>
    </row>
    <row r="769" spans="1:33" x14ac:dyDescent="0.2">
      <c r="A769" s="60"/>
      <c r="B769" s="280"/>
      <c r="C769" s="60"/>
      <c r="D769" s="60"/>
      <c r="E769" s="240" t="s">
        <v>12231</v>
      </c>
      <c r="F769" s="244"/>
      <c r="G769" s="244"/>
      <c r="H769" s="253"/>
      <c r="I769" s="253"/>
      <c r="J769" s="253"/>
      <c r="K769" s="362"/>
      <c r="L769" s="362"/>
      <c r="M769" s="245"/>
      <c r="N769" s="265" t="b">
        <f>NOT(ISERROR(ResultsTeams[[#This Row],[Goal-A]]+ResultsTeams[[#This Row],[Goal-B]]))</f>
        <v>1</v>
      </c>
      <c r="O769" s="265">
        <f>IF(ResultsTeams[[#This Row],[Type]]="G",SUM(O770:O773),IF(LEFT(ResultsTeams[[#This Row],[Type]],1)="P",IF(ResultsTeams[[#This Row],[Goal-A]]&gt;ResultsTeams[[#This Row],[Goal-B]],1,0),""))</f>
        <v>0</v>
      </c>
      <c r="P769" s="265">
        <f>IF(ResultsTeams[[#This Row],[Type]]="G",SUM(P770:P773),IF(LEFT(ResultsTeams[[#This Row],[Type]],1)="P",IF(ResultsTeams[[#This Row],[Goal-A]]&lt;ResultsTeams[[#This Row],[Goal-B]],1,0),""))</f>
        <v>0</v>
      </c>
      <c r="Q769" s="265">
        <f>IF(ResultsTeams[[#This Row],[Type]]="G",SUM(Q770:Q773),IF(LEFT(ResultsTeams[[#This Row],[Type]],1)="P",VALUE(ResultsTeams[[#This Row],[Score-A]]),""))</f>
        <v>0</v>
      </c>
      <c r="R769" s="265">
        <f>IF(ResultsTeams[[#This Row],[Type]]="G",SUM(R770:R773),IF(LEFT(ResultsTeams[[#This Row],[Type]],1)="P",VALUE(ResultsTeams[[#This Row],[Score-B]]),""))</f>
        <v>0</v>
      </c>
      <c r="S769" s="265" t="str">
        <f ca="1">IF(AND(ResultsTeams[[#This Row],[Category]]&lt;&gt;"",ResultsTeams[[#This Row],[Team A]]&lt;&gt;""),COUNTIF(INDIRECT("TeamsList[Club Name]"),ResultsTeams[[#This Row],[Team A]]),"")</f>
        <v/>
      </c>
      <c r="T769" s="265" t="str">
        <f ca="1">IF(AND(ResultsTeams[[#This Row],[Category]]&lt;&gt;"",ResultsTeams[[#This Row],[Team B]]&lt;&gt;""),COUNTIF(INDIRECT("TeamsList[Club Name]"),ResultsTeams[[#This Row],[Team B]]),"")</f>
        <v/>
      </c>
      <c r="U7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9" s="265" t="str">
        <f>IF(ResultsTeams[[#This Row],[Score_OK]],IF(ResultsTeams[[#This Row],[StageCpy]]="Groups",ResultsTeams[[#This Row],[Category]]&amp;"-"&amp;IF(ResultsTeams[[#This Row],[Team B]]="","",IF(ResultsTeams[[#This Row],[Match-A]]=ResultsTeams[[#This Row],[Match-B]],ResultsTeams[[#This Row],[Team A]],"")),""),"")</f>
        <v/>
      </c>
      <c r="W769" s="265" t="str">
        <f>IF(ResultsTeams[[#This Row],[Score_OK]],IF(ResultsTeams[[#This Row],[StageCpy]]="Groups",ResultsTeams[[#This Row],[Category]]&amp;"-"&amp;IF(ResultsTeams[[#This Row],[Team B]]="","",IF(ResultsTeams[[#This Row],[Match-A]]=ResultsTeams[[#This Row],[Match-B]],ResultsTeams[[#This Row],[Team B]],"")),""),"")</f>
        <v/>
      </c>
      <c r="X7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9" s="264" t="str">
        <f>IF(ResultsTeams[[#This Row],[Category]]="","",VLOOKUP(ResultsTeams[[#This Row],[Stage]],$R$1:$T$8,MATCH(ResultsTeams[[#This Row],[Category]],$S$1:$T$1,0)+1,FALSE))</f>
        <v/>
      </c>
      <c r="AC7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9" s="264">
        <f>IF(ResultsTeams[[#This Row],[Type]]="G",ResultsTeams[[#This Row],[Stage]],AD768)</f>
        <v>0</v>
      </c>
      <c r="AE769" s="395" t="e">
        <f>IF(ResultsTeams[[#This Row],[Type]]="G",INDEX(TeamsList[Club Name],MATCH(ResultsTeams[[#This Row],[Team A]],TeamsList[Team Name],0)),AE768)</f>
        <v>#N/A</v>
      </c>
      <c r="AF769" s="395" t="e">
        <f>IF(ResultsTeams[[#This Row],[Type]]="G",INDEX(TeamsList[Club Name],MATCH(ResultsTeams[[#This Row],[Team B]],TeamsList[Team Name],0)),AF768)</f>
        <v>#N/A</v>
      </c>
      <c r="AG769" s="265"/>
    </row>
    <row r="770" spans="1:33" x14ac:dyDescent="0.2">
      <c r="A770" s="62"/>
      <c r="B770" s="280"/>
      <c r="C770" s="62"/>
      <c r="D770" s="62"/>
      <c r="E770" s="241" t="s">
        <v>12234</v>
      </c>
      <c r="F770" s="246"/>
      <c r="G770" s="246"/>
      <c r="H770" s="254"/>
      <c r="I770" s="254"/>
      <c r="J770" s="254"/>
      <c r="K770" s="363"/>
      <c r="L770" s="363"/>
      <c r="M770" s="247"/>
      <c r="N770" s="265" t="b">
        <f>NOT(ISERROR(ResultsTeams[[#This Row],[Goal-A]]+ResultsTeams[[#This Row],[Goal-B]]))</f>
        <v>1</v>
      </c>
      <c r="O770" s="265">
        <f>IF(ResultsTeams[[#This Row],[Type]]="G",SUM(O771:O774),IF(LEFT(ResultsTeams[[#This Row],[Type]],1)="P",IF(ResultsTeams[[#This Row],[Goal-A]]&gt;ResultsTeams[[#This Row],[Goal-B]],1,0),""))</f>
        <v>0</v>
      </c>
      <c r="P770" s="265">
        <f>IF(ResultsTeams[[#This Row],[Type]]="G",SUM(P771:P774),IF(LEFT(ResultsTeams[[#This Row],[Type]],1)="P",IF(ResultsTeams[[#This Row],[Goal-A]]&lt;ResultsTeams[[#This Row],[Goal-B]],1,0),""))</f>
        <v>0</v>
      </c>
      <c r="Q770" s="265">
        <f>IF(ResultsTeams[[#This Row],[Type]]="G",SUM(Q771:Q774),IF(LEFT(ResultsTeams[[#This Row],[Type]],1)="P",VALUE(ResultsTeams[[#This Row],[Score-A]]),""))</f>
        <v>0</v>
      </c>
      <c r="R770" s="265">
        <f>IF(ResultsTeams[[#This Row],[Type]]="G",SUM(R771:R774),IF(LEFT(ResultsTeams[[#This Row],[Type]],1)="P",VALUE(ResultsTeams[[#This Row],[Score-B]]),""))</f>
        <v>0</v>
      </c>
      <c r="S770" s="265" t="str">
        <f ca="1">IF(AND(ResultsTeams[[#This Row],[Category]]&lt;&gt;"",ResultsTeams[[#This Row],[Team A]]&lt;&gt;""),COUNTIF(INDIRECT("TeamsList[Club Name]"),ResultsTeams[[#This Row],[Team A]]),"")</f>
        <v/>
      </c>
      <c r="T770" s="265" t="str">
        <f ca="1">IF(AND(ResultsTeams[[#This Row],[Category]]&lt;&gt;"",ResultsTeams[[#This Row],[Team B]]&lt;&gt;""),COUNTIF(INDIRECT("TeamsList[Club Name]"),ResultsTeams[[#This Row],[Team B]]),"")</f>
        <v/>
      </c>
      <c r="U7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0" s="265" t="str">
        <f>IF(ResultsTeams[[#This Row],[Score_OK]],IF(ResultsTeams[[#This Row],[StageCpy]]="Groups",ResultsTeams[[#This Row],[Category]]&amp;"-"&amp;IF(ResultsTeams[[#This Row],[Team B]]="","",IF(ResultsTeams[[#This Row],[Match-A]]=ResultsTeams[[#This Row],[Match-B]],ResultsTeams[[#This Row],[Team A]],"")),""),"")</f>
        <v/>
      </c>
      <c r="W770" s="265" t="str">
        <f>IF(ResultsTeams[[#This Row],[Score_OK]],IF(ResultsTeams[[#This Row],[StageCpy]]="Groups",ResultsTeams[[#This Row],[Category]]&amp;"-"&amp;IF(ResultsTeams[[#This Row],[Team B]]="","",IF(ResultsTeams[[#This Row],[Match-A]]=ResultsTeams[[#This Row],[Match-B]],ResultsTeams[[#This Row],[Team B]],"")),""),"")</f>
        <v/>
      </c>
      <c r="X7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0" s="264" t="str">
        <f>IF(ResultsTeams[[#This Row],[Category]]="","",VLOOKUP(ResultsTeams[[#This Row],[Stage]],$R$1:$T$8,MATCH(ResultsTeams[[#This Row],[Category]],$S$1:$T$1,0)+1,FALSE))</f>
        <v/>
      </c>
      <c r="AC7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0" s="264">
        <f>IF(ResultsTeams[[#This Row],[Type]]="G",ResultsTeams[[#This Row],[Stage]],AD769)</f>
        <v>0</v>
      </c>
      <c r="AE770" s="395" t="e">
        <f>IF(ResultsTeams[[#This Row],[Type]]="G",INDEX(TeamsList[Club Name],MATCH(ResultsTeams[[#This Row],[Team A]],TeamsList[Team Name],0)),AE769)</f>
        <v>#N/A</v>
      </c>
      <c r="AF770" s="395" t="e">
        <f>IF(ResultsTeams[[#This Row],[Type]]="G",INDEX(TeamsList[Club Name],MATCH(ResultsTeams[[#This Row],[Team B]],TeamsList[Team Name],0)),AF769)</f>
        <v>#N/A</v>
      </c>
      <c r="AG770" s="265"/>
    </row>
    <row r="771" spans="1:33" x14ac:dyDescent="0.2">
      <c r="A771" s="62"/>
      <c r="B771" s="280"/>
      <c r="C771" s="62"/>
      <c r="D771" s="62"/>
      <c r="E771" s="241" t="s">
        <v>12237</v>
      </c>
      <c r="F771" s="246"/>
      <c r="G771" s="246"/>
      <c r="H771" s="254"/>
      <c r="I771" s="254"/>
      <c r="J771" s="254"/>
      <c r="K771" s="363"/>
      <c r="L771" s="363"/>
      <c r="M771" s="247"/>
      <c r="N771" s="265" t="b">
        <f>NOT(ISERROR(ResultsTeams[[#This Row],[Goal-A]]+ResultsTeams[[#This Row],[Goal-B]]))</f>
        <v>1</v>
      </c>
      <c r="O771" s="265">
        <f>IF(ResultsTeams[[#This Row],[Type]]="G",SUM(O772:O775),IF(LEFT(ResultsTeams[[#This Row],[Type]],1)="P",IF(ResultsTeams[[#This Row],[Goal-A]]&gt;ResultsTeams[[#This Row],[Goal-B]],1,0),""))</f>
        <v>0</v>
      </c>
      <c r="P771" s="265">
        <f>IF(ResultsTeams[[#This Row],[Type]]="G",SUM(P772:P775),IF(LEFT(ResultsTeams[[#This Row],[Type]],1)="P",IF(ResultsTeams[[#This Row],[Goal-A]]&lt;ResultsTeams[[#This Row],[Goal-B]],1,0),""))</f>
        <v>0</v>
      </c>
      <c r="Q771" s="265">
        <f>IF(ResultsTeams[[#This Row],[Type]]="G",SUM(Q772:Q775),IF(LEFT(ResultsTeams[[#This Row],[Type]],1)="P",VALUE(ResultsTeams[[#This Row],[Score-A]]),""))</f>
        <v>0</v>
      </c>
      <c r="R771" s="265">
        <f>IF(ResultsTeams[[#This Row],[Type]]="G",SUM(R772:R775),IF(LEFT(ResultsTeams[[#This Row],[Type]],1)="P",VALUE(ResultsTeams[[#This Row],[Score-B]]),""))</f>
        <v>0</v>
      </c>
      <c r="S771" s="265" t="str">
        <f ca="1">IF(AND(ResultsTeams[[#This Row],[Category]]&lt;&gt;"",ResultsTeams[[#This Row],[Team A]]&lt;&gt;""),COUNTIF(INDIRECT("TeamsList[Club Name]"),ResultsTeams[[#This Row],[Team A]]),"")</f>
        <v/>
      </c>
      <c r="T771" s="265" t="str">
        <f ca="1">IF(AND(ResultsTeams[[#This Row],[Category]]&lt;&gt;"",ResultsTeams[[#This Row],[Team B]]&lt;&gt;""),COUNTIF(INDIRECT("TeamsList[Club Name]"),ResultsTeams[[#This Row],[Team B]]),"")</f>
        <v/>
      </c>
      <c r="U7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1" s="265" t="str">
        <f>IF(ResultsTeams[[#This Row],[Score_OK]],IF(ResultsTeams[[#This Row],[StageCpy]]="Groups",ResultsTeams[[#This Row],[Category]]&amp;"-"&amp;IF(ResultsTeams[[#This Row],[Team B]]="","",IF(ResultsTeams[[#This Row],[Match-A]]=ResultsTeams[[#This Row],[Match-B]],ResultsTeams[[#This Row],[Team A]],"")),""),"")</f>
        <v/>
      </c>
      <c r="W771" s="265" t="str">
        <f>IF(ResultsTeams[[#This Row],[Score_OK]],IF(ResultsTeams[[#This Row],[StageCpy]]="Groups",ResultsTeams[[#This Row],[Category]]&amp;"-"&amp;IF(ResultsTeams[[#This Row],[Team B]]="","",IF(ResultsTeams[[#This Row],[Match-A]]=ResultsTeams[[#This Row],[Match-B]],ResultsTeams[[#This Row],[Team B]],"")),""),"")</f>
        <v/>
      </c>
      <c r="X7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1" s="264" t="str">
        <f>IF(ResultsTeams[[#This Row],[Category]]="","",VLOOKUP(ResultsTeams[[#This Row],[Stage]],$R$1:$T$8,MATCH(ResultsTeams[[#This Row],[Category]],$S$1:$T$1,0)+1,FALSE))</f>
        <v/>
      </c>
      <c r="AC7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1" s="264">
        <f>IF(ResultsTeams[[#This Row],[Type]]="G",ResultsTeams[[#This Row],[Stage]],AD770)</f>
        <v>0</v>
      </c>
      <c r="AE771" s="395" t="e">
        <f>IF(ResultsTeams[[#This Row],[Type]]="G",INDEX(TeamsList[Club Name],MATCH(ResultsTeams[[#This Row],[Team A]],TeamsList[Team Name],0)),AE770)</f>
        <v>#N/A</v>
      </c>
      <c r="AF771" s="395" t="e">
        <f>IF(ResultsTeams[[#This Row],[Type]]="G",INDEX(TeamsList[Club Name],MATCH(ResultsTeams[[#This Row],[Team B]],TeamsList[Team Name],0)),AF770)</f>
        <v>#N/A</v>
      </c>
      <c r="AG771" s="265"/>
    </row>
    <row r="772" spans="1:33" x14ac:dyDescent="0.2">
      <c r="A772" s="62"/>
      <c r="B772" s="280"/>
      <c r="C772" s="62"/>
      <c r="D772" s="62"/>
      <c r="E772" s="241" t="s">
        <v>12240</v>
      </c>
      <c r="F772" s="246"/>
      <c r="G772" s="246"/>
      <c r="H772" s="254"/>
      <c r="I772" s="254"/>
      <c r="J772" s="254"/>
      <c r="K772" s="363"/>
      <c r="L772" s="363"/>
      <c r="M772" s="247"/>
      <c r="N772" s="265" t="b">
        <f>NOT(ISERROR(ResultsTeams[[#This Row],[Goal-A]]+ResultsTeams[[#This Row],[Goal-B]]))</f>
        <v>1</v>
      </c>
      <c r="O772" s="265">
        <f>IF(ResultsTeams[[#This Row],[Type]]="G",SUM(O773:O776),IF(LEFT(ResultsTeams[[#This Row],[Type]],1)="P",IF(ResultsTeams[[#This Row],[Goal-A]]&gt;ResultsTeams[[#This Row],[Goal-B]],1,0),""))</f>
        <v>0</v>
      </c>
      <c r="P772" s="265">
        <f>IF(ResultsTeams[[#This Row],[Type]]="G",SUM(P773:P776),IF(LEFT(ResultsTeams[[#This Row],[Type]],1)="P",IF(ResultsTeams[[#This Row],[Goal-A]]&lt;ResultsTeams[[#This Row],[Goal-B]],1,0),""))</f>
        <v>0</v>
      </c>
      <c r="Q772" s="265">
        <f>IF(ResultsTeams[[#This Row],[Type]]="G",SUM(Q773:Q776),IF(LEFT(ResultsTeams[[#This Row],[Type]],1)="P",VALUE(ResultsTeams[[#This Row],[Score-A]]),""))</f>
        <v>0</v>
      </c>
      <c r="R772" s="265">
        <f>IF(ResultsTeams[[#This Row],[Type]]="G",SUM(R773:R776),IF(LEFT(ResultsTeams[[#This Row],[Type]],1)="P",VALUE(ResultsTeams[[#This Row],[Score-B]]),""))</f>
        <v>0</v>
      </c>
      <c r="S772" s="265" t="str">
        <f ca="1">IF(AND(ResultsTeams[[#This Row],[Category]]&lt;&gt;"",ResultsTeams[[#This Row],[Team A]]&lt;&gt;""),COUNTIF(INDIRECT("TeamsList[Club Name]"),ResultsTeams[[#This Row],[Team A]]),"")</f>
        <v/>
      </c>
      <c r="T772" s="265" t="str">
        <f ca="1">IF(AND(ResultsTeams[[#This Row],[Category]]&lt;&gt;"",ResultsTeams[[#This Row],[Team B]]&lt;&gt;""),COUNTIF(INDIRECT("TeamsList[Club Name]"),ResultsTeams[[#This Row],[Team B]]),"")</f>
        <v/>
      </c>
      <c r="U7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2" s="265" t="str">
        <f>IF(ResultsTeams[[#This Row],[Score_OK]],IF(ResultsTeams[[#This Row],[StageCpy]]="Groups",ResultsTeams[[#This Row],[Category]]&amp;"-"&amp;IF(ResultsTeams[[#This Row],[Team B]]="","",IF(ResultsTeams[[#This Row],[Match-A]]=ResultsTeams[[#This Row],[Match-B]],ResultsTeams[[#This Row],[Team A]],"")),""),"")</f>
        <v/>
      </c>
      <c r="W772" s="265" t="str">
        <f>IF(ResultsTeams[[#This Row],[Score_OK]],IF(ResultsTeams[[#This Row],[StageCpy]]="Groups",ResultsTeams[[#This Row],[Category]]&amp;"-"&amp;IF(ResultsTeams[[#This Row],[Team B]]="","",IF(ResultsTeams[[#This Row],[Match-A]]=ResultsTeams[[#This Row],[Match-B]],ResultsTeams[[#This Row],[Team B]],"")),""),"")</f>
        <v/>
      </c>
      <c r="X7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2" s="264" t="str">
        <f>IF(ResultsTeams[[#This Row],[Category]]="","",VLOOKUP(ResultsTeams[[#This Row],[Stage]],$R$1:$T$8,MATCH(ResultsTeams[[#This Row],[Category]],$S$1:$T$1,0)+1,FALSE))</f>
        <v/>
      </c>
      <c r="AC7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2" s="264">
        <f>IF(ResultsTeams[[#This Row],[Type]]="G",ResultsTeams[[#This Row],[Stage]],AD771)</f>
        <v>0</v>
      </c>
      <c r="AE772" s="395" t="e">
        <f>IF(ResultsTeams[[#This Row],[Type]]="G",INDEX(TeamsList[Club Name],MATCH(ResultsTeams[[#This Row],[Team A]],TeamsList[Team Name],0)),AE771)</f>
        <v>#N/A</v>
      </c>
      <c r="AF772" s="395" t="e">
        <f>IF(ResultsTeams[[#This Row],[Type]]="G",INDEX(TeamsList[Club Name],MATCH(ResultsTeams[[#This Row],[Team B]],TeamsList[Team Name],0)),AF771)</f>
        <v>#N/A</v>
      </c>
      <c r="AG772" s="265"/>
    </row>
    <row r="773" spans="1:33" x14ac:dyDescent="0.2">
      <c r="A773" s="62"/>
      <c r="B773" s="62"/>
      <c r="C773" s="62"/>
      <c r="D773" s="62"/>
      <c r="E773" s="241" t="s">
        <v>12243</v>
      </c>
      <c r="F773" s="247"/>
      <c r="G773" s="247"/>
      <c r="H773" s="254"/>
      <c r="I773" s="254"/>
      <c r="J773" s="260"/>
      <c r="K773" s="364"/>
      <c r="L773" s="364"/>
      <c r="M773" s="63"/>
      <c r="N773" s="265" t="b">
        <f>NOT(ISERROR(ResultsTeams[[#This Row],[Goal-A]]+ResultsTeams[[#This Row],[Goal-B]]))</f>
        <v>0</v>
      </c>
      <c r="O773" s="265" t="str">
        <f>IF(ResultsTeams[[#This Row],[Type]]="G",SUM(O774:O777),IF(LEFT(ResultsTeams[[#This Row],[Type]],1)="P",IF(ResultsTeams[[#This Row],[Goal-A]]&gt;ResultsTeams[[#This Row],[Goal-B]],1,0),""))</f>
        <v/>
      </c>
      <c r="P773" s="265" t="str">
        <f>IF(ResultsTeams[[#This Row],[Type]]="G",SUM(P774:P777),IF(LEFT(ResultsTeams[[#This Row],[Type]],1)="P",IF(ResultsTeams[[#This Row],[Goal-A]]&lt;ResultsTeams[[#This Row],[Goal-B]],1,0),""))</f>
        <v/>
      </c>
      <c r="Q773" s="265" t="str">
        <f>IF(ResultsTeams[[#This Row],[Type]]="G",SUM(Q774:Q777),IF(LEFT(ResultsTeams[[#This Row],[Type]],1)="P",VALUE(ResultsTeams[[#This Row],[Score-A]]),""))</f>
        <v/>
      </c>
      <c r="R773" s="265" t="str">
        <f>IF(ResultsTeams[[#This Row],[Type]]="G",SUM(R774:R777),IF(LEFT(ResultsTeams[[#This Row],[Type]],1)="P",VALUE(ResultsTeams[[#This Row],[Score-B]]),""))</f>
        <v/>
      </c>
      <c r="S773" s="265" t="str">
        <f ca="1">IF(AND(ResultsTeams[[#This Row],[Category]]&lt;&gt;"",ResultsTeams[[#This Row],[Team A]]&lt;&gt;""),COUNTIF(INDIRECT("TeamsList[Club Name]"),ResultsTeams[[#This Row],[Team A]]),"")</f>
        <v/>
      </c>
      <c r="T773" s="265" t="str">
        <f ca="1">IF(AND(ResultsTeams[[#This Row],[Category]]&lt;&gt;"",ResultsTeams[[#This Row],[Team B]]&lt;&gt;""),COUNTIF(INDIRECT("TeamsList[Club Name]"),ResultsTeams[[#This Row],[Team B]]),"")</f>
        <v/>
      </c>
      <c r="U7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3" s="265" t="str">
        <f>IF(ResultsTeams[[#This Row],[Score_OK]],IF(ResultsTeams[[#This Row],[StageCpy]]="Groups",ResultsTeams[[#This Row],[Category]]&amp;"-"&amp;IF(ResultsTeams[[#This Row],[Team B]]="","",IF(ResultsTeams[[#This Row],[Match-A]]=ResultsTeams[[#This Row],[Match-B]],ResultsTeams[[#This Row],[Team A]],"")),""),"")</f>
        <v/>
      </c>
      <c r="W773" s="265" t="str">
        <f>IF(ResultsTeams[[#This Row],[Score_OK]],IF(ResultsTeams[[#This Row],[StageCpy]]="Groups",ResultsTeams[[#This Row],[Category]]&amp;"-"&amp;IF(ResultsTeams[[#This Row],[Team B]]="","",IF(ResultsTeams[[#This Row],[Match-A]]=ResultsTeams[[#This Row],[Match-B]],ResultsTeams[[#This Row],[Team B]],"")),""),"")</f>
        <v/>
      </c>
      <c r="X7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3" s="264" t="str">
        <f>IF(ResultsTeams[[#This Row],[Category]]="","",VLOOKUP(ResultsTeams[[#This Row],[Stage]],$R$1:$T$8,MATCH(ResultsTeams[[#This Row],[Category]],$S$1:$T$1,0)+1,FALSE))</f>
        <v/>
      </c>
      <c r="AC7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3" s="264">
        <f>IF(ResultsTeams[[#This Row],[Type]]="G",ResultsTeams[[#This Row],[Stage]],AD772)</f>
        <v>0</v>
      </c>
      <c r="AE773" s="395" t="e">
        <f>IF(ResultsTeams[[#This Row],[Type]]="G",INDEX(TeamsList[Club Name],MATCH(ResultsTeams[[#This Row],[Team A]],TeamsList[Team Name],0)),AE772)</f>
        <v>#N/A</v>
      </c>
      <c r="AF773" s="395" t="e">
        <f>IF(ResultsTeams[[#This Row],[Type]]="G",INDEX(TeamsList[Club Name],MATCH(ResultsTeams[[#This Row],[Team B]],TeamsList[Team Name],0)),AF772)</f>
        <v>#N/A</v>
      </c>
      <c r="AG773" s="265"/>
    </row>
    <row r="774" spans="1:33" ht="12" thickBot="1" x14ac:dyDescent="0.25">
      <c r="A774" s="83"/>
      <c r="B774" s="83"/>
      <c r="C774" s="83"/>
      <c r="D774" s="83"/>
      <c r="E774" s="268" t="s">
        <v>12244</v>
      </c>
      <c r="F774" s="262"/>
      <c r="G774" s="262"/>
      <c r="H774" s="324"/>
      <c r="I774" s="324"/>
      <c r="J774" s="263"/>
      <c r="K774" s="365"/>
      <c r="L774" s="365"/>
      <c r="M774" s="84"/>
      <c r="N774" s="265" t="b">
        <f>NOT(ISERROR(ResultsTeams[[#This Row],[Goal-A]]+ResultsTeams[[#This Row],[Goal-B]]))</f>
        <v>0</v>
      </c>
      <c r="O774" s="265" t="str">
        <f>IF(ResultsTeams[[#This Row],[Type]]="G",SUM(O775:O778),IF(LEFT(ResultsTeams[[#This Row],[Type]],1)="P",IF(ResultsTeams[[#This Row],[Goal-A]]&gt;ResultsTeams[[#This Row],[Goal-B]],1,0),""))</f>
        <v/>
      </c>
      <c r="P774" s="265" t="str">
        <f>IF(ResultsTeams[[#This Row],[Type]]="G",SUM(P775:P778),IF(LEFT(ResultsTeams[[#This Row],[Type]],1)="P",IF(ResultsTeams[[#This Row],[Goal-A]]&lt;ResultsTeams[[#This Row],[Goal-B]],1,0),""))</f>
        <v/>
      </c>
      <c r="Q774" s="265" t="str">
        <f>IF(ResultsTeams[[#This Row],[Type]]="G",SUM(Q775:Q778),IF(LEFT(ResultsTeams[[#This Row],[Type]],1)="P",VALUE(ResultsTeams[[#This Row],[Score-A]]),""))</f>
        <v/>
      </c>
      <c r="R774" s="265" t="str">
        <f>IF(ResultsTeams[[#This Row],[Type]]="G",SUM(R775:R778),IF(LEFT(ResultsTeams[[#This Row],[Type]],1)="P",VALUE(ResultsTeams[[#This Row],[Score-B]]),""))</f>
        <v/>
      </c>
      <c r="S774" s="265" t="str">
        <f ca="1">IF(AND(ResultsTeams[[#This Row],[Category]]&lt;&gt;"",ResultsTeams[[#This Row],[Team A]]&lt;&gt;""),COUNTIF(INDIRECT("TeamsList[Club Name]"),ResultsTeams[[#This Row],[Team A]]),"")</f>
        <v/>
      </c>
      <c r="T774" s="265" t="str">
        <f ca="1">IF(AND(ResultsTeams[[#This Row],[Category]]&lt;&gt;"",ResultsTeams[[#This Row],[Team B]]&lt;&gt;""),COUNTIF(INDIRECT("TeamsList[Club Name]"),ResultsTeams[[#This Row],[Team B]]),"")</f>
        <v/>
      </c>
      <c r="U7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4" s="265" t="str">
        <f>IF(ResultsTeams[[#This Row],[Score_OK]],IF(ResultsTeams[[#This Row],[StageCpy]]="Groups",ResultsTeams[[#This Row],[Category]]&amp;"-"&amp;IF(ResultsTeams[[#This Row],[Team B]]="","",IF(ResultsTeams[[#This Row],[Match-A]]=ResultsTeams[[#This Row],[Match-B]],ResultsTeams[[#This Row],[Team A]],"")),""),"")</f>
        <v/>
      </c>
      <c r="W774" s="265" t="str">
        <f>IF(ResultsTeams[[#This Row],[Score_OK]],IF(ResultsTeams[[#This Row],[StageCpy]]="Groups",ResultsTeams[[#This Row],[Category]]&amp;"-"&amp;IF(ResultsTeams[[#This Row],[Team B]]="","",IF(ResultsTeams[[#This Row],[Match-A]]=ResultsTeams[[#This Row],[Match-B]],ResultsTeams[[#This Row],[Team B]],"")),""),"")</f>
        <v/>
      </c>
      <c r="X7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4" s="264" t="str">
        <f>IF(ResultsTeams[[#This Row],[Category]]="","",VLOOKUP(ResultsTeams[[#This Row],[Stage]],$R$1:$T$8,MATCH(ResultsTeams[[#This Row],[Category]],$S$1:$T$1,0)+1,FALSE))</f>
        <v/>
      </c>
      <c r="AC7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4" s="264">
        <f>IF(ResultsTeams[[#This Row],[Type]]="G",ResultsTeams[[#This Row],[Stage]],AD773)</f>
        <v>0</v>
      </c>
      <c r="AE774" s="395" t="e">
        <f>IF(ResultsTeams[[#This Row],[Type]]="G",INDEX(TeamsList[Club Name],MATCH(ResultsTeams[[#This Row],[Team A]],TeamsList[Team Name],0)),AE773)</f>
        <v>#N/A</v>
      </c>
      <c r="AF774" s="395" t="e">
        <f>IF(ResultsTeams[[#This Row],[Type]]="G",INDEX(TeamsList[Club Name],MATCH(ResultsTeams[[#This Row],[Team B]],TeamsList[Team Name],0)),AF773)</f>
        <v>#N/A</v>
      </c>
      <c r="AG774" s="265"/>
    </row>
    <row r="775" spans="1:33" ht="12" thickBot="1" x14ac:dyDescent="0.25">
      <c r="A775" s="261"/>
      <c r="B775" s="270"/>
      <c r="C775" s="270"/>
      <c r="D775" s="270"/>
      <c r="E775" s="272" t="s">
        <v>12228</v>
      </c>
      <c r="F775" s="273"/>
      <c r="G775" s="273"/>
      <c r="H775" s="275"/>
      <c r="I775" s="275"/>
      <c r="J775" s="275"/>
      <c r="K775" s="366"/>
      <c r="L775" s="366"/>
      <c r="M775" s="271"/>
      <c r="N775" s="265" t="b">
        <f>NOT(ISERROR(ResultsTeams[[#This Row],[Goal-A]]+ResultsTeams[[#This Row],[Goal-B]]))</f>
        <v>1</v>
      </c>
      <c r="O775" s="265">
        <f>IF(ResultsTeams[[#This Row],[Type]]="G",SUM(O776:O779),IF(LEFT(ResultsTeams[[#This Row],[Type]],1)="P",IF(ResultsTeams[[#This Row],[Goal-A]]&gt;ResultsTeams[[#This Row],[Goal-B]],1,0),""))</f>
        <v>0</v>
      </c>
      <c r="P775" s="265">
        <f>IF(ResultsTeams[[#This Row],[Type]]="G",SUM(P776:P779),IF(LEFT(ResultsTeams[[#This Row],[Type]],1)="P",IF(ResultsTeams[[#This Row],[Goal-A]]&lt;ResultsTeams[[#This Row],[Goal-B]],1,0),""))</f>
        <v>0</v>
      </c>
      <c r="Q775" s="265">
        <f>IF(ResultsTeams[[#This Row],[Type]]="G",SUM(Q776:Q779),IF(LEFT(ResultsTeams[[#This Row],[Type]],1)="P",VALUE(ResultsTeams[[#This Row],[Score-A]]),""))</f>
        <v>0</v>
      </c>
      <c r="R775" s="265">
        <f>IF(ResultsTeams[[#This Row],[Type]]="G",SUM(R776:R779),IF(LEFT(ResultsTeams[[#This Row],[Type]],1)="P",VALUE(ResultsTeams[[#This Row],[Score-B]]),""))</f>
        <v>0</v>
      </c>
      <c r="S775" s="265" t="str">
        <f ca="1">IF(AND(ResultsTeams[[#This Row],[Category]]&lt;&gt;"",ResultsTeams[[#This Row],[Team A]]&lt;&gt;""),COUNTIF(INDIRECT("TeamsList[Club Name]"),ResultsTeams[[#This Row],[Team A]]),"")</f>
        <v/>
      </c>
      <c r="T775" s="265" t="str">
        <f ca="1">IF(AND(ResultsTeams[[#This Row],[Category]]&lt;&gt;"",ResultsTeams[[#This Row],[Team B]]&lt;&gt;""),COUNTIF(INDIRECT("TeamsList[Club Name]"),ResultsTeams[[#This Row],[Team B]]),"")</f>
        <v/>
      </c>
      <c r="U7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5" s="265" t="str">
        <f>IF(ResultsTeams[[#This Row],[Score_OK]],IF(ResultsTeams[[#This Row],[StageCpy]]="Groups",ResultsTeams[[#This Row],[Category]]&amp;"-"&amp;IF(ResultsTeams[[#This Row],[Team B]]="","",IF(ResultsTeams[[#This Row],[Match-A]]=ResultsTeams[[#This Row],[Match-B]],ResultsTeams[[#This Row],[Team A]],"")),""),"")</f>
        <v/>
      </c>
      <c r="W775" s="265" t="str">
        <f>IF(ResultsTeams[[#This Row],[Score_OK]],IF(ResultsTeams[[#This Row],[StageCpy]]="Groups",ResultsTeams[[#This Row],[Category]]&amp;"-"&amp;IF(ResultsTeams[[#This Row],[Team B]]="","",IF(ResultsTeams[[#This Row],[Match-A]]=ResultsTeams[[#This Row],[Match-B]],ResultsTeams[[#This Row],[Team B]],"")),""),"")</f>
        <v/>
      </c>
      <c r="X7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5" s="264" t="str">
        <f>IF(ResultsTeams[[#This Row],[Category]]="","",VLOOKUP(ResultsTeams[[#This Row],[Stage]],$R$1:$T$8,MATCH(ResultsTeams[[#This Row],[Category]],$S$1:$T$1,0)+1,FALSE))</f>
        <v/>
      </c>
      <c r="AC7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5" s="264">
        <f>IF(ResultsTeams[[#This Row],[Type]]="G",ResultsTeams[[#This Row],[Stage]],AD774)</f>
        <v>0</v>
      </c>
      <c r="AE775" s="395" t="e">
        <f>IF(ResultsTeams[[#This Row],[Type]]="G",INDEX(TeamsList[Club Name],MATCH(ResultsTeams[[#This Row],[Team A]],TeamsList[Team Name],0)),AE774)</f>
        <v>#N/A</v>
      </c>
      <c r="AF775" s="395" t="e">
        <f>IF(ResultsTeams[[#This Row],[Type]]="G",INDEX(TeamsList[Club Name],MATCH(ResultsTeams[[#This Row],[Team B]],TeamsList[Team Name],0)),AF774)</f>
        <v>#N/A</v>
      </c>
      <c r="AG775" s="265"/>
    </row>
    <row r="776" spans="1:33" x14ac:dyDescent="0.2">
      <c r="A776" s="60"/>
      <c r="B776" s="280"/>
      <c r="C776" s="60"/>
      <c r="D776" s="60"/>
      <c r="E776" s="240" t="s">
        <v>12231</v>
      </c>
      <c r="F776" s="244"/>
      <c r="G776" s="244"/>
      <c r="H776" s="253"/>
      <c r="I776" s="253"/>
      <c r="J776" s="253"/>
      <c r="K776" s="362"/>
      <c r="L776" s="362"/>
      <c r="M776" s="61"/>
      <c r="N776" s="265" t="b">
        <f>NOT(ISERROR(ResultsTeams[[#This Row],[Goal-A]]+ResultsTeams[[#This Row],[Goal-B]]))</f>
        <v>1</v>
      </c>
      <c r="O776" s="265">
        <f>IF(ResultsTeams[[#This Row],[Type]]="G",SUM(O777:O780),IF(LEFT(ResultsTeams[[#This Row],[Type]],1)="P",IF(ResultsTeams[[#This Row],[Goal-A]]&gt;ResultsTeams[[#This Row],[Goal-B]],1,0),""))</f>
        <v>0</v>
      </c>
      <c r="P776" s="265">
        <f>IF(ResultsTeams[[#This Row],[Type]]="G",SUM(P777:P780),IF(LEFT(ResultsTeams[[#This Row],[Type]],1)="P",IF(ResultsTeams[[#This Row],[Goal-A]]&lt;ResultsTeams[[#This Row],[Goal-B]],1,0),""))</f>
        <v>0</v>
      </c>
      <c r="Q776" s="265">
        <f>IF(ResultsTeams[[#This Row],[Type]]="G",SUM(Q777:Q780),IF(LEFT(ResultsTeams[[#This Row],[Type]],1)="P",VALUE(ResultsTeams[[#This Row],[Score-A]]),""))</f>
        <v>0</v>
      </c>
      <c r="R776" s="265">
        <f>IF(ResultsTeams[[#This Row],[Type]]="G",SUM(R777:R780),IF(LEFT(ResultsTeams[[#This Row],[Type]],1)="P",VALUE(ResultsTeams[[#This Row],[Score-B]]),""))</f>
        <v>0</v>
      </c>
      <c r="S776" s="265" t="str">
        <f ca="1">IF(AND(ResultsTeams[[#This Row],[Category]]&lt;&gt;"",ResultsTeams[[#This Row],[Team A]]&lt;&gt;""),COUNTIF(INDIRECT("TeamsList[Club Name]"),ResultsTeams[[#This Row],[Team A]]),"")</f>
        <v/>
      </c>
      <c r="T776" s="265" t="str">
        <f ca="1">IF(AND(ResultsTeams[[#This Row],[Category]]&lt;&gt;"",ResultsTeams[[#This Row],[Team B]]&lt;&gt;""),COUNTIF(INDIRECT("TeamsList[Club Name]"),ResultsTeams[[#This Row],[Team B]]),"")</f>
        <v/>
      </c>
      <c r="U7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6" s="265" t="str">
        <f>IF(ResultsTeams[[#This Row],[Score_OK]],IF(ResultsTeams[[#This Row],[StageCpy]]="Groups",ResultsTeams[[#This Row],[Category]]&amp;"-"&amp;IF(ResultsTeams[[#This Row],[Team B]]="","",IF(ResultsTeams[[#This Row],[Match-A]]=ResultsTeams[[#This Row],[Match-B]],ResultsTeams[[#This Row],[Team A]],"")),""),"")</f>
        <v/>
      </c>
      <c r="W776" s="265" t="str">
        <f>IF(ResultsTeams[[#This Row],[Score_OK]],IF(ResultsTeams[[#This Row],[StageCpy]]="Groups",ResultsTeams[[#This Row],[Category]]&amp;"-"&amp;IF(ResultsTeams[[#This Row],[Team B]]="","",IF(ResultsTeams[[#This Row],[Match-A]]=ResultsTeams[[#This Row],[Match-B]],ResultsTeams[[#This Row],[Team B]],"")),""),"")</f>
        <v/>
      </c>
      <c r="X7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6" s="264" t="str">
        <f>IF(ResultsTeams[[#This Row],[Category]]="","",VLOOKUP(ResultsTeams[[#This Row],[Stage]],$R$1:$T$8,MATCH(ResultsTeams[[#This Row],[Category]],$S$1:$T$1,0)+1,FALSE))</f>
        <v/>
      </c>
      <c r="AC7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6" s="264">
        <f>IF(ResultsTeams[[#This Row],[Type]]="G",ResultsTeams[[#This Row],[Stage]],AD775)</f>
        <v>0</v>
      </c>
      <c r="AE776" s="395" t="e">
        <f>IF(ResultsTeams[[#This Row],[Type]]="G",INDEX(TeamsList[Club Name],MATCH(ResultsTeams[[#This Row],[Team A]],TeamsList[Team Name],0)),AE775)</f>
        <v>#N/A</v>
      </c>
      <c r="AF776" s="395" t="e">
        <f>IF(ResultsTeams[[#This Row],[Type]]="G",INDEX(TeamsList[Club Name],MATCH(ResultsTeams[[#This Row],[Team B]],TeamsList[Team Name],0)),AF775)</f>
        <v>#N/A</v>
      </c>
      <c r="AG776" s="265"/>
    </row>
    <row r="777" spans="1:33" x14ac:dyDescent="0.2">
      <c r="A777" s="62"/>
      <c r="B777" s="280"/>
      <c r="C777" s="62"/>
      <c r="D777" s="62"/>
      <c r="E777" s="241" t="s">
        <v>12234</v>
      </c>
      <c r="F777" s="246"/>
      <c r="G777" s="246"/>
      <c r="H777" s="254"/>
      <c r="I777" s="254"/>
      <c r="J777" s="254"/>
      <c r="K777" s="363"/>
      <c r="L777" s="363"/>
      <c r="M777" s="63"/>
      <c r="N777" s="265" t="b">
        <f>NOT(ISERROR(ResultsTeams[[#This Row],[Goal-A]]+ResultsTeams[[#This Row],[Goal-B]]))</f>
        <v>1</v>
      </c>
      <c r="O777" s="265">
        <f>IF(ResultsTeams[[#This Row],[Type]]="G",SUM(O778:O781),IF(LEFT(ResultsTeams[[#This Row],[Type]],1)="P",IF(ResultsTeams[[#This Row],[Goal-A]]&gt;ResultsTeams[[#This Row],[Goal-B]],1,0),""))</f>
        <v>0</v>
      </c>
      <c r="P777" s="265">
        <f>IF(ResultsTeams[[#This Row],[Type]]="G",SUM(P778:P781),IF(LEFT(ResultsTeams[[#This Row],[Type]],1)="P",IF(ResultsTeams[[#This Row],[Goal-A]]&lt;ResultsTeams[[#This Row],[Goal-B]],1,0),""))</f>
        <v>0</v>
      </c>
      <c r="Q777" s="265">
        <f>IF(ResultsTeams[[#This Row],[Type]]="G",SUM(Q778:Q781),IF(LEFT(ResultsTeams[[#This Row],[Type]],1)="P",VALUE(ResultsTeams[[#This Row],[Score-A]]),""))</f>
        <v>0</v>
      </c>
      <c r="R777" s="265">
        <f>IF(ResultsTeams[[#This Row],[Type]]="G",SUM(R778:R781),IF(LEFT(ResultsTeams[[#This Row],[Type]],1)="P",VALUE(ResultsTeams[[#This Row],[Score-B]]),""))</f>
        <v>0</v>
      </c>
      <c r="S777" s="265" t="str">
        <f ca="1">IF(AND(ResultsTeams[[#This Row],[Category]]&lt;&gt;"",ResultsTeams[[#This Row],[Team A]]&lt;&gt;""),COUNTIF(INDIRECT("TeamsList[Club Name]"),ResultsTeams[[#This Row],[Team A]]),"")</f>
        <v/>
      </c>
      <c r="T777" s="265" t="str">
        <f ca="1">IF(AND(ResultsTeams[[#This Row],[Category]]&lt;&gt;"",ResultsTeams[[#This Row],[Team B]]&lt;&gt;""),COUNTIF(INDIRECT("TeamsList[Club Name]"),ResultsTeams[[#This Row],[Team B]]),"")</f>
        <v/>
      </c>
      <c r="U7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7" s="265" t="str">
        <f>IF(ResultsTeams[[#This Row],[Score_OK]],IF(ResultsTeams[[#This Row],[StageCpy]]="Groups",ResultsTeams[[#This Row],[Category]]&amp;"-"&amp;IF(ResultsTeams[[#This Row],[Team B]]="","",IF(ResultsTeams[[#This Row],[Match-A]]=ResultsTeams[[#This Row],[Match-B]],ResultsTeams[[#This Row],[Team A]],"")),""),"")</f>
        <v/>
      </c>
      <c r="W777" s="265" t="str">
        <f>IF(ResultsTeams[[#This Row],[Score_OK]],IF(ResultsTeams[[#This Row],[StageCpy]]="Groups",ResultsTeams[[#This Row],[Category]]&amp;"-"&amp;IF(ResultsTeams[[#This Row],[Team B]]="","",IF(ResultsTeams[[#This Row],[Match-A]]=ResultsTeams[[#This Row],[Match-B]],ResultsTeams[[#This Row],[Team B]],"")),""),"")</f>
        <v/>
      </c>
      <c r="X7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7" s="264" t="str">
        <f>IF(ResultsTeams[[#This Row],[Category]]="","",VLOOKUP(ResultsTeams[[#This Row],[Stage]],$R$1:$T$8,MATCH(ResultsTeams[[#This Row],[Category]],$S$1:$T$1,0)+1,FALSE))</f>
        <v/>
      </c>
      <c r="AC7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7" s="264">
        <f>IF(ResultsTeams[[#This Row],[Type]]="G",ResultsTeams[[#This Row],[Stage]],AD776)</f>
        <v>0</v>
      </c>
      <c r="AE777" s="395" t="e">
        <f>IF(ResultsTeams[[#This Row],[Type]]="G",INDEX(TeamsList[Club Name],MATCH(ResultsTeams[[#This Row],[Team A]],TeamsList[Team Name],0)),AE776)</f>
        <v>#N/A</v>
      </c>
      <c r="AF777" s="395" t="e">
        <f>IF(ResultsTeams[[#This Row],[Type]]="G",INDEX(TeamsList[Club Name],MATCH(ResultsTeams[[#This Row],[Team B]],TeamsList[Team Name],0)),AF776)</f>
        <v>#N/A</v>
      </c>
      <c r="AG777" s="265"/>
    </row>
    <row r="778" spans="1:33" x14ac:dyDescent="0.2">
      <c r="A778" s="62"/>
      <c r="B778" s="280"/>
      <c r="C778" s="62"/>
      <c r="D778" s="62"/>
      <c r="E778" s="241" t="s">
        <v>12237</v>
      </c>
      <c r="F778" s="246"/>
      <c r="G778" s="246"/>
      <c r="H778" s="254"/>
      <c r="I778" s="254"/>
      <c r="J778" s="254"/>
      <c r="K778" s="363"/>
      <c r="L778" s="363"/>
      <c r="M778" s="63"/>
      <c r="N778" s="265" t="b">
        <f>NOT(ISERROR(ResultsTeams[[#This Row],[Goal-A]]+ResultsTeams[[#This Row],[Goal-B]]))</f>
        <v>1</v>
      </c>
      <c r="O778" s="265">
        <f>IF(ResultsTeams[[#This Row],[Type]]="G",SUM(O779:O782),IF(LEFT(ResultsTeams[[#This Row],[Type]],1)="P",IF(ResultsTeams[[#This Row],[Goal-A]]&gt;ResultsTeams[[#This Row],[Goal-B]],1,0),""))</f>
        <v>0</v>
      </c>
      <c r="P778" s="265">
        <f>IF(ResultsTeams[[#This Row],[Type]]="G",SUM(P779:P782),IF(LEFT(ResultsTeams[[#This Row],[Type]],1)="P",IF(ResultsTeams[[#This Row],[Goal-A]]&lt;ResultsTeams[[#This Row],[Goal-B]],1,0),""))</f>
        <v>0</v>
      </c>
      <c r="Q778" s="265">
        <f>IF(ResultsTeams[[#This Row],[Type]]="G",SUM(Q779:Q782),IF(LEFT(ResultsTeams[[#This Row],[Type]],1)="P",VALUE(ResultsTeams[[#This Row],[Score-A]]),""))</f>
        <v>0</v>
      </c>
      <c r="R778" s="265">
        <f>IF(ResultsTeams[[#This Row],[Type]]="G",SUM(R779:R782),IF(LEFT(ResultsTeams[[#This Row],[Type]],1)="P",VALUE(ResultsTeams[[#This Row],[Score-B]]),""))</f>
        <v>0</v>
      </c>
      <c r="S778" s="265" t="str">
        <f ca="1">IF(AND(ResultsTeams[[#This Row],[Category]]&lt;&gt;"",ResultsTeams[[#This Row],[Team A]]&lt;&gt;""),COUNTIF(INDIRECT("TeamsList[Club Name]"),ResultsTeams[[#This Row],[Team A]]),"")</f>
        <v/>
      </c>
      <c r="T778" s="265" t="str">
        <f ca="1">IF(AND(ResultsTeams[[#This Row],[Category]]&lt;&gt;"",ResultsTeams[[#This Row],[Team B]]&lt;&gt;""),COUNTIF(INDIRECT("TeamsList[Club Name]"),ResultsTeams[[#This Row],[Team B]]),"")</f>
        <v/>
      </c>
      <c r="U7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8" s="265" t="str">
        <f>IF(ResultsTeams[[#This Row],[Score_OK]],IF(ResultsTeams[[#This Row],[StageCpy]]="Groups",ResultsTeams[[#This Row],[Category]]&amp;"-"&amp;IF(ResultsTeams[[#This Row],[Team B]]="","",IF(ResultsTeams[[#This Row],[Match-A]]=ResultsTeams[[#This Row],[Match-B]],ResultsTeams[[#This Row],[Team A]],"")),""),"")</f>
        <v/>
      </c>
      <c r="W778" s="265" t="str">
        <f>IF(ResultsTeams[[#This Row],[Score_OK]],IF(ResultsTeams[[#This Row],[StageCpy]]="Groups",ResultsTeams[[#This Row],[Category]]&amp;"-"&amp;IF(ResultsTeams[[#This Row],[Team B]]="","",IF(ResultsTeams[[#This Row],[Match-A]]=ResultsTeams[[#This Row],[Match-B]],ResultsTeams[[#This Row],[Team B]],"")),""),"")</f>
        <v/>
      </c>
      <c r="X7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8" s="264" t="str">
        <f>IF(ResultsTeams[[#This Row],[Category]]="","",VLOOKUP(ResultsTeams[[#This Row],[Stage]],$R$1:$T$8,MATCH(ResultsTeams[[#This Row],[Category]],$S$1:$T$1,0)+1,FALSE))</f>
        <v/>
      </c>
      <c r="AC7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8" s="264">
        <f>IF(ResultsTeams[[#This Row],[Type]]="G",ResultsTeams[[#This Row],[Stage]],AD777)</f>
        <v>0</v>
      </c>
      <c r="AE778" s="395" t="e">
        <f>IF(ResultsTeams[[#This Row],[Type]]="G",INDEX(TeamsList[Club Name],MATCH(ResultsTeams[[#This Row],[Team A]],TeamsList[Team Name],0)),AE777)</f>
        <v>#N/A</v>
      </c>
      <c r="AF778" s="395" t="e">
        <f>IF(ResultsTeams[[#This Row],[Type]]="G",INDEX(TeamsList[Club Name],MATCH(ResultsTeams[[#This Row],[Team B]],TeamsList[Team Name],0)),AF777)</f>
        <v>#N/A</v>
      </c>
      <c r="AG778" s="265"/>
    </row>
    <row r="779" spans="1:33" x14ac:dyDescent="0.2">
      <c r="A779" s="62"/>
      <c r="B779" s="280"/>
      <c r="C779" s="62"/>
      <c r="D779" s="62"/>
      <c r="E779" s="241" t="s">
        <v>12240</v>
      </c>
      <c r="F779" s="246"/>
      <c r="G779" s="246"/>
      <c r="H779" s="254"/>
      <c r="I779" s="254"/>
      <c r="J779" s="254"/>
      <c r="K779" s="363"/>
      <c r="L779" s="363"/>
      <c r="M779" s="63"/>
      <c r="N779" s="265" t="b">
        <f>NOT(ISERROR(ResultsTeams[[#This Row],[Goal-A]]+ResultsTeams[[#This Row],[Goal-B]]))</f>
        <v>1</v>
      </c>
      <c r="O779" s="265">
        <f>IF(ResultsTeams[[#This Row],[Type]]="G",SUM(O780:O783),IF(LEFT(ResultsTeams[[#This Row],[Type]],1)="P",IF(ResultsTeams[[#This Row],[Goal-A]]&gt;ResultsTeams[[#This Row],[Goal-B]],1,0),""))</f>
        <v>0</v>
      </c>
      <c r="P779" s="265">
        <f>IF(ResultsTeams[[#This Row],[Type]]="G",SUM(P780:P783),IF(LEFT(ResultsTeams[[#This Row],[Type]],1)="P",IF(ResultsTeams[[#This Row],[Goal-A]]&lt;ResultsTeams[[#This Row],[Goal-B]],1,0),""))</f>
        <v>0</v>
      </c>
      <c r="Q779" s="265">
        <f>IF(ResultsTeams[[#This Row],[Type]]="G",SUM(Q780:Q783),IF(LEFT(ResultsTeams[[#This Row],[Type]],1)="P",VALUE(ResultsTeams[[#This Row],[Score-A]]),""))</f>
        <v>0</v>
      </c>
      <c r="R779" s="265">
        <f>IF(ResultsTeams[[#This Row],[Type]]="G",SUM(R780:R783),IF(LEFT(ResultsTeams[[#This Row],[Type]],1)="P",VALUE(ResultsTeams[[#This Row],[Score-B]]),""))</f>
        <v>0</v>
      </c>
      <c r="S779" s="265" t="str">
        <f ca="1">IF(AND(ResultsTeams[[#This Row],[Category]]&lt;&gt;"",ResultsTeams[[#This Row],[Team A]]&lt;&gt;""),COUNTIF(INDIRECT("TeamsList[Club Name]"),ResultsTeams[[#This Row],[Team A]]),"")</f>
        <v/>
      </c>
      <c r="T779" s="265" t="str">
        <f ca="1">IF(AND(ResultsTeams[[#This Row],[Category]]&lt;&gt;"",ResultsTeams[[#This Row],[Team B]]&lt;&gt;""),COUNTIF(INDIRECT("TeamsList[Club Name]"),ResultsTeams[[#This Row],[Team B]]),"")</f>
        <v/>
      </c>
      <c r="U7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9" s="265" t="str">
        <f>IF(ResultsTeams[[#This Row],[Score_OK]],IF(ResultsTeams[[#This Row],[StageCpy]]="Groups",ResultsTeams[[#This Row],[Category]]&amp;"-"&amp;IF(ResultsTeams[[#This Row],[Team B]]="","",IF(ResultsTeams[[#This Row],[Match-A]]=ResultsTeams[[#This Row],[Match-B]],ResultsTeams[[#This Row],[Team A]],"")),""),"")</f>
        <v/>
      </c>
      <c r="W779" s="265" t="str">
        <f>IF(ResultsTeams[[#This Row],[Score_OK]],IF(ResultsTeams[[#This Row],[StageCpy]]="Groups",ResultsTeams[[#This Row],[Category]]&amp;"-"&amp;IF(ResultsTeams[[#This Row],[Team B]]="","",IF(ResultsTeams[[#This Row],[Match-A]]=ResultsTeams[[#This Row],[Match-B]],ResultsTeams[[#This Row],[Team B]],"")),""),"")</f>
        <v/>
      </c>
      <c r="X7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9" s="264" t="str">
        <f>IF(ResultsTeams[[#This Row],[Category]]="","",VLOOKUP(ResultsTeams[[#This Row],[Stage]],$R$1:$T$8,MATCH(ResultsTeams[[#This Row],[Category]],$S$1:$T$1,0)+1,FALSE))</f>
        <v/>
      </c>
      <c r="AC7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9" s="264">
        <f>IF(ResultsTeams[[#This Row],[Type]]="G",ResultsTeams[[#This Row],[Stage]],AD778)</f>
        <v>0</v>
      </c>
      <c r="AE779" s="395" t="e">
        <f>IF(ResultsTeams[[#This Row],[Type]]="G",INDEX(TeamsList[Club Name],MATCH(ResultsTeams[[#This Row],[Team A]],TeamsList[Team Name],0)),AE778)</f>
        <v>#N/A</v>
      </c>
      <c r="AF779" s="395" t="e">
        <f>IF(ResultsTeams[[#This Row],[Type]]="G",INDEX(TeamsList[Club Name],MATCH(ResultsTeams[[#This Row],[Team B]],TeamsList[Team Name],0)),AF778)</f>
        <v>#N/A</v>
      </c>
      <c r="AG779" s="265"/>
    </row>
    <row r="780" spans="1:33" x14ac:dyDescent="0.2">
      <c r="A780" s="62"/>
      <c r="B780" s="62"/>
      <c r="C780" s="62"/>
      <c r="D780" s="62"/>
      <c r="E780" s="241" t="s">
        <v>12243</v>
      </c>
      <c r="F780" s="247"/>
      <c r="G780" s="247"/>
      <c r="H780" s="254"/>
      <c r="I780" s="254"/>
      <c r="J780" s="260"/>
      <c r="K780" s="364"/>
      <c r="L780" s="364"/>
      <c r="M780" s="63"/>
      <c r="N780" s="265" t="b">
        <f>NOT(ISERROR(ResultsTeams[[#This Row],[Goal-A]]+ResultsTeams[[#This Row],[Goal-B]]))</f>
        <v>0</v>
      </c>
      <c r="O780" s="265" t="str">
        <f>IF(ResultsTeams[[#This Row],[Type]]="G",SUM(O781:O784),IF(LEFT(ResultsTeams[[#This Row],[Type]],1)="P",IF(ResultsTeams[[#This Row],[Goal-A]]&gt;ResultsTeams[[#This Row],[Goal-B]],1,0),""))</f>
        <v/>
      </c>
      <c r="P780" s="265" t="str">
        <f>IF(ResultsTeams[[#This Row],[Type]]="G",SUM(P781:P784),IF(LEFT(ResultsTeams[[#This Row],[Type]],1)="P",IF(ResultsTeams[[#This Row],[Goal-A]]&lt;ResultsTeams[[#This Row],[Goal-B]],1,0),""))</f>
        <v/>
      </c>
      <c r="Q780" s="265" t="str">
        <f>IF(ResultsTeams[[#This Row],[Type]]="G",SUM(Q781:Q784),IF(LEFT(ResultsTeams[[#This Row],[Type]],1)="P",VALUE(ResultsTeams[[#This Row],[Score-A]]),""))</f>
        <v/>
      </c>
      <c r="R780" s="265" t="str">
        <f>IF(ResultsTeams[[#This Row],[Type]]="G",SUM(R781:R784),IF(LEFT(ResultsTeams[[#This Row],[Type]],1)="P",VALUE(ResultsTeams[[#This Row],[Score-B]]),""))</f>
        <v/>
      </c>
      <c r="S780" s="265" t="str">
        <f ca="1">IF(AND(ResultsTeams[[#This Row],[Category]]&lt;&gt;"",ResultsTeams[[#This Row],[Team A]]&lt;&gt;""),COUNTIF(INDIRECT("TeamsList[Club Name]"),ResultsTeams[[#This Row],[Team A]]),"")</f>
        <v/>
      </c>
      <c r="T780" s="265" t="str">
        <f ca="1">IF(AND(ResultsTeams[[#This Row],[Category]]&lt;&gt;"",ResultsTeams[[#This Row],[Team B]]&lt;&gt;""),COUNTIF(INDIRECT("TeamsList[Club Name]"),ResultsTeams[[#This Row],[Team B]]),"")</f>
        <v/>
      </c>
      <c r="U7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0" s="265" t="str">
        <f>IF(ResultsTeams[[#This Row],[Score_OK]],IF(ResultsTeams[[#This Row],[StageCpy]]="Groups",ResultsTeams[[#This Row],[Category]]&amp;"-"&amp;IF(ResultsTeams[[#This Row],[Team B]]="","",IF(ResultsTeams[[#This Row],[Match-A]]=ResultsTeams[[#This Row],[Match-B]],ResultsTeams[[#This Row],[Team A]],"")),""),"")</f>
        <v/>
      </c>
      <c r="W780" s="265" t="str">
        <f>IF(ResultsTeams[[#This Row],[Score_OK]],IF(ResultsTeams[[#This Row],[StageCpy]]="Groups",ResultsTeams[[#This Row],[Category]]&amp;"-"&amp;IF(ResultsTeams[[#This Row],[Team B]]="","",IF(ResultsTeams[[#This Row],[Match-A]]=ResultsTeams[[#This Row],[Match-B]],ResultsTeams[[#This Row],[Team B]],"")),""),"")</f>
        <v/>
      </c>
      <c r="X7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0" s="264" t="str">
        <f>IF(ResultsTeams[[#This Row],[Category]]="","",VLOOKUP(ResultsTeams[[#This Row],[Stage]],$R$1:$T$8,MATCH(ResultsTeams[[#This Row],[Category]],$S$1:$T$1,0)+1,FALSE))</f>
        <v/>
      </c>
      <c r="AC7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0" s="264">
        <f>IF(ResultsTeams[[#This Row],[Type]]="G",ResultsTeams[[#This Row],[Stage]],AD779)</f>
        <v>0</v>
      </c>
      <c r="AE780" s="395" t="e">
        <f>IF(ResultsTeams[[#This Row],[Type]]="G",INDEX(TeamsList[Club Name],MATCH(ResultsTeams[[#This Row],[Team A]],TeamsList[Team Name],0)),AE779)</f>
        <v>#N/A</v>
      </c>
      <c r="AF780" s="395" t="e">
        <f>IF(ResultsTeams[[#This Row],[Type]]="G",INDEX(TeamsList[Club Name],MATCH(ResultsTeams[[#This Row],[Team B]],TeamsList[Team Name],0)),AF779)</f>
        <v>#N/A</v>
      </c>
      <c r="AG780" s="265"/>
    </row>
    <row r="781" spans="1:33" ht="12" thickBot="1" x14ac:dyDescent="0.25">
      <c r="A781" s="83"/>
      <c r="B781" s="83"/>
      <c r="C781" s="83"/>
      <c r="D781" s="83"/>
      <c r="E781" s="268" t="s">
        <v>12244</v>
      </c>
      <c r="F781" s="262"/>
      <c r="G781" s="262"/>
      <c r="H781" s="324"/>
      <c r="I781" s="324"/>
      <c r="J781" s="263"/>
      <c r="K781" s="365"/>
      <c r="L781" s="365"/>
      <c r="M781" s="84"/>
      <c r="N781" s="265" t="b">
        <f>NOT(ISERROR(ResultsTeams[[#This Row],[Goal-A]]+ResultsTeams[[#This Row],[Goal-B]]))</f>
        <v>0</v>
      </c>
      <c r="O781" s="265" t="str">
        <f>IF(ResultsTeams[[#This Row],[Type]]="G",SUM(O782:O785),IF(LEFT(ResultsTeams[[#This Row],[Type]],1)="P",IF(ResultsTeams[[#This Row],[Goal-A]]&gt;ResultsTeams[[#This Row],[Goal-B]],1,0),""))</f>
        <v/>
      </c>
      <c r="P781" s="265" t="str">
        <f>IF(ResultsTeams[[#This Row],[Type]]="G",SUM(P782:P785),IF(LEFT(ResultsTeams[[#This Row],[Type]],1)="P",IF(ResultsTeams[[#This Row],[Goal-A]]&lt;ResultsTeams[[#This Row],[Goal-B]],1,0),""))</f>
        <v/>
      </c>
      <c r="Q781" s="265" t="str">
        <f>IF(ResultsTeams[[#This Row],[Type]]="G",SUM(Q782:Q785),IF(LEFT(ResultsTeams[[#This Row],[Type]],1)="P",VALUE(ResultsTeams[[#This Row],[Score-A]]),""))</f>
        <v/>
      </c>
      <c r="R781" s="265" t="str">
        <f>IF(ResultsTeams[[#This Row],[Type]]="G",SUM(R782:R785),IF(LEFT(ResultsTeams[[#This Row],[Type]],1)="P",VALUE(ResultsTeams[[#This Row],[Score-B]]),""))</f>
        <v/>
      </c>
      <c r="S781" s="265" t="str">
        <f ca="1">IF(AND(ResultsTeams[[#This Row],[Category]]&lt;&gt;"",ResultsTeams[[#This Row],[Team A]]&lt;&gt;""),COUNTIF(INDIRECT("TeamsList[Club Name]"),ResultsTeams[[#This Row],[Team A]]),"")</f>
        <v/>
      </c>
      <c r="T781" s="265" t="str">
        <f ca="1">IF(AND(ResultsTeams[[#This Row],[Category]]&lt;&gt;"",ResultsTeams[[#This Row],[Team B]]&lt;&gt;""),COUNTIF(INDIRECT("TeamsList[Club Name]"),ResultsTeams[[#This Row],[Team B]]),"")</f>
        <v/>
      </c>
      <c r="U7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1" s="265" t="str">
        <f>IF(ResultsTeams[[#This Row],[Score_OK]],IF(ResultsTeams[[#This Row],[StageCpy]]="Groups",ResultsTeams[[#This Row],[Category]]&amp;"-"&amp;IF(ResultsTeams[[#This Row],[Team B]]="","",IF(ResultsTeams[[#This Row],[Match-A]]=ResultsTeams[[#This Row],[Match-B]],ResultsTeams[[#This Row],[Team A]],"")),""),"")</f>
        <v/>
      </c>
      <c r="W781" s="265" t="str">
        <f>IF(ResultsTeams[[#This Row],[Score_OK]],IF(ResultsTeams[[#This Row],[StageCpy]]="Groups",ResultsTeams[[#This Row],[Category]]&amp;"-"&amp;IF(ResultsTeams[[#This Row],[Team B]]="","",IF(ResultsTeams[[#This Row],[Match-A]]=ResultsTeams[[#This Row],[Match-B]],ResultsTeams[[#This Row],[Team B]],"")),""),"")</f>
        <v/>
      </c>
      <c r="X7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1" s="264" t="str">
        <f>IF(ResultsTeams[[#This Row],[Category]]="","",VLOOKUP(ResultsTeams[[#This Row],[Stage]],$R$1:$T$8,MATCH(ResultsTeams[[#This Row],[Category]],$S$1:$T$1,0)+1,FALSE))</f>
        <v/>
      </c>
      <c r="AC7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1" s="264">
        <f>IF(ResultsTeams[[#This Row],[Type]]="G",ResultsTeams[[#This Row],[Stage]],AD780)</f>
        <v>0</v>
      </c>
      <c r="AE781" s="395" t="e">
        <f>IF(ResultsTeams[[#This Row],[Type]]="G",INDEX(TeamsList[Club Name],MATCH(ResultsTeams[[#This Row],[Team A]],TeamsList[Team Name],0)),AE780)</f>
        <v>#N/A</v>
      </c>
      <c r="AF781" s="395" t="e">
        <f>IF(ResultsTeams[[#This Row],[Type]]="G",INDEX(TeamsList[Club Name],MATCH(ResultsTeams[[#This Row],[Team B]],TeamsList[Team Name],0)),AF780)</f>
        <v>#N/A</v>
      </c>
      <c r="AG781" s="265"/>
    </row>
    <row r="782" spans="1:33" ht="12" thickBot="1" x14ac:dyDescent="0.25">
      <c r="A782" s="261"/>
      <c r="B782" s="270"/>
      <c r="C782" s="270"/>
      <c r="D782" s="270"/>
      <c r="E782" s="272" t="s">
        <v>12228</v>
      </c>
      <c r="F782" s="273"/>
      <c r="G782" s="273"/>
      <c r="H782" s="275"/>
      <c r="I782" s="275"/>
      <c r="J782" s="275"/>
      <c r="K782" s="366"/>
      <c r="L782" s="366"/>
      <c r="M782" s="274"/>
      <c r="N782" s="265" t="b">
        <f>NOT(ISERROR(ResultsTeams[[#This Row],[Goal-A]]+ResultsTeams[[#This Row],[Goal-B]]))</f>
        <v>1</v>
      </c>
      <c r="O782" s="265">
        <f>IF(ResultsTeams[[#This Row],[Type]]="G",SUM(O783:O786),IF(LEFT(ResultsTeams[[#This Row],[Type]],1)="P",IF(ResultsTeams[[#This Row],[Goal-A]]&gt;ResultsTeams[[#This Row],[Goal-B]],1,0),""))</f>
        <v>0</v>
      </c>
      <c r="P782" s="265">
        <f>IF(ResultsTeams[[#This Row],[Type]]="G",SUM(P783:P786),IF(LEFT(ResultsTeams[[#This Row],[Type]],1)="P",IF(ResultsTeams[[#This Row],[Goal-A]]&lt;ResultsTeams[[#This Row],[Goal-B]],1,0),""))</f>
        <v>0</v>
      </c>
      <c r="Q782" s="265">
        <f>IF(ResultsTeams[[#This Row],[Type]]="G",SUM(Q783:Q786),IF(LEFT(ResultsTeams[[#This Row],[Type]],1)="P",VALUE(ResultsTeams[[#This Row],[Score-A]]),""))</f>
        <v>0</v>
      </c>
      <c r="R782" s="265">
        <f>IF(ResultsTeams[[#This Row],[Type]]="G",SUM(R783:R786),IF(LEFT(ResultsTeams[[#This Row],[Type]],1)="P",VALUE(ResultsTeams[[#This Row],[Score-B]]),""))</f>
        <v>0</v>
      </c>
      <c r="S782" s="265" t="str">
        <f ca="1">IF(AND(ResultsTeams[[#This Row],[Category]]&lt;&gt;"",ResultsTeams[[#This Row],[Team A]]&lt;&gt;""),COUNTIF(INDIRECT("TeamsList[Club Name]"),ResultsTeams[[#This Row],[Team A]]),"")</f>
        <v/>
      </c>
      <c r="T782" s="265" t="str">
        <f ca="1">IF(AND(ResultsTeams[[#This Row],[Category]]&lt;&gt;"",ResultsTeams[[#This Row],[Team B]]&lt;&gt;""),COUNTIF(INDIRECT("TeamsList[Club Name]"),ResultsTeams[[#This Row],[Team B]]),"")</f>
        <v/>
      </c>
      <c r="U7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2" s="265" t="str">
        <f>IF(ResultsTeams[[#This Row],[Score_OK]],IF(ResultsTeams[[#This Row],[StageCpy]]="Groups",ResultsTeams[[#This Row],[Category]]&amp;"-"&amp;IF(ResultsTeams[[#This Row],[Team B]]="","",IF(ResultsTeams[[#This Row],[Match-A]]=ResultsTeams[[#This Row],[Match-B]],ResultsTeams[[#This Row],[Team A]],"")),""),"")</f>
        <v/>
      </c>
      <c r="W782" s="265" t="str">
        <f>IF(ResultsTeams[[#This Row],[Score_OK]],IF(ResultsTeams[[#This Row],[StageCpy]]="Groups",ResultsTeams[[#This Row],[Category]]&amp;"-"&amp;IF(ResultsTeams[[#This Row],[Team B]]="","",IF(ResultsTeams[[#This Row],[Match-A]]=ResultsTeams[[#This Row],[Match-B]],ResultsTeams[[#This Row],[Team B]],"")),""),"")</f>
        <v/>
      </c>
      <c r="X7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2" s="264" t="str">
        <f>IF(ResultsTeams[[#This Row],[Category]]="","",VLOOKUP(ResultsTeams[[#This Row],[Stage]],$R$1:$T$8,MATCH(ResultsTeams[[#This Row],[Category]],$S$1:$T$1,0)+1,FALSE))</f>
        <v/>
      </c>
      <c r="AC7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2" s="264">
        <f>IF(ResultsTeams[[#This Row],[Type]]="G",ResultsTeams[[#This Row],[Stage]],AD781)</f>
        <v>0</v>
      </c>
      <c r="AE782" s="395" t="e">
        <f>IF(ResultsTeams[[#This Row],[Type]]="G",INDEX(TeamsList[Club Name],MATCH(ResultsTeams[[#This Row],[Team A]],TeamsList[Team Name],0)),AE781)</f>
        <v>#N/A</v>
      </c>
      <c r="AF782" s="395" t="e">
        <f>IF(ResultsTeams[[#This Row],[Type]]="G",INDEX(TeamsList[Club Name],MATCH(ResultsTeams[[#This Row],[Team B]],TeamsList[Team Name],0)),AF781)</f>
        <v>#N/A</v>
      </c>
      <c r="AG782" s="265"/>
    </row>
    <row r="783" spans="1:33" x14ac:dyDescent="0.2">
      <c r="A783" s="60"/>
      <c r="B783" s="280"/>
      <c r="C783" s="60"/>
      <c r="D783" s="60"/>
      <c r="E783" s="240" t="s">
        <v>12231</v>
      </c>
      <c r="F783" s="244"/>
      <c r="G783" s="244"/>
      <c r="H783" s="253"/>
      <c r="I783" s="253"/>
      <c r="J783" s="253"/>
      <c r="K783" s="362"/>
      <c r="L783" s="362"/>
      <c r="M783" s="245"/>
      <c r="N783" s="265" t="b">
        <f>NOT(ISERROR(ResultsTeams[[#This Row],[Goal-A]]+ResultsTeams[[#This Row],[Goal-B]]))</f>
        <v>1</v>
      </c>
      <c r="O783" s="265">
        <f>IF(ResultsTeams[[#This Row],[Type]]="G",SUM(O784:O787),IF(LEFT(ResultsTeams[[#This Row],[Type]],1)="P",IF(ResultsTeams[[#This Row],[Goal-A]]&gt;ResultsTeams[[#This Row],[Goal-B]],1,0),""))</f>
        <v>0</v>
      </c>
      <c r="P783" s="265">
        <f>IF(ResultsTeams[[#This Row],[Type]]="G",SUM(P784:P787),IF(LEFT(ResultsTeams[[#This Row],[Type]],1)="P",IF(ResultsTeams[[#This Row],[Goal-A]]&lt;ResultsTeams[[#This Row],[Goal-B]],1,0),""))</f>
        <v>0</v>
      </c>
      <c r="Q783" s="265">
        <f>IF(ResultsTeams[[#This Row],[Type]]="G",SUM(Q784:Q787),IF(LEFT(ResultsTeams[[#This Row],[Type]],1)="P",VALUE(ResultsTeams[[#This Row],[Score-A]]),""))</f>
        <v>0</v>
      </c>
      <c r="R783" s="265">
        <f>IF(ResultsTeams[[#This Row],[Type]]="G",SUM(R784:R787),IF(LEFT(ResultsTeams[[#This Row],[Type]],1)="P",VALUE(ResultsTeams[[#This Row],[Score-B]]),""))</f>
        <v>0</v>
      </c>
      <c r="S783" s="265" t="str">
        <f ca="1">IF(AND(ResultsTeams[[#This Row],[Category]]&lt;&gt;"",ResultsTeams[[#This Row],[Team A]]&lt;&gt;""),COUNTIF(INDIRECT("TeamsList[Club Name]"),ResultsTeams[[#This Row],[Team A]]),"")</f>
        <v/>
      </c>
      <c r="T783" s="265" t="str">
        <f ca="1">IF(AND(ResultsTeams[[#This Row],[Category]]&lt;&gt;"",ResultsTeams[[#This Row],[Team B]]&lt;&gt;""),COUNTIF(INDIRECT("TeamsList[Club Name]"),ResultsTeams[[#This Row],[Team B]]),"")</f>
        <v/>
      </c>
      <c r="U7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3" s="265" t="str">
        <f>IF(ResultsTeams[[#This Row],[Score_OK]],IF(ResultsTeams[[#This Row],[StageCpy]]="Groups",ResultsTeams[[#This Row],[Category]]&amp;"-"&amp;IF(ResultsTeams[[#This Row],[Team B]]="","",IF(ResultsTeams[[#This Row],[Match-A]]=ResultsTeams[[#This Row],[Match-B]],ResultsTeams[[#This Row],[Team A]],"")),""),"")</f>
        <v/>
      </c>
      <c r="W783" s="265" t="str">
        <f>IF(ResultsTeams[[#This Row],[Score_OK]],IF(ResultsTeams[[#This Row],[StageCpy]]="Groups",ResultsTeams[[#This Row],[Category]]&amp;"-"&amp;IF(ResultsTeams[[#This Row],[Team B]]="","",IF(ResultsTeams[[#This Row],[Match-A]]=ResultsTeams[[#This Row],[Match-B]],ResultsTeams[[#This Row],[Team B]],"")),""),"")</f>
        <v/>
      </c>
      <c r="X7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3" s="264" t="str">
        <f>IF(ResultsTeams[[#This Row],[Category]]="","",VLOOKUP(ResultsTeams[[#This Row],[Stage]],$R$1:$T$8,MATCH(ResultsTeams[[#This Row],[Category]],$S$1:$T$1,0)+1,FALSE))</f>
        <v/>
      </c>
      <c r="AC7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3" s="264">
        <f>IF(ResultsTeams[[#This Row],[Type]]="G",ResultsTeams[[#This Row],[Stage]],AD782)</f>
        <v>0</v>
      </c>
      <c r="AE783" s="395" t="e">
        <f>IF(ResultsTeams[[#This Row],[Type]]="G",INDEX(TeamsList[Club Name],MATCH(ResultsTeams[[#This Row],[Team A]],TeamsList[Team Name],0)),AE782)</f>
        <v>#N/A</v>
      </c>
      <c r="AF783" s="395" t="e">
        <f>IF(ResultsTeams[[#This Row],[Type]]="G",INDEX(TeamsList[Club Name],MATCH(ResultsTeams[[#This Row],[Team B]],TeamsList[Team Name],0)),AF782)</f>
        <v>#N/A</v>
      </c>
      <c r="AG783" s="265"/>
    </row>
    <row r="784" spans="1:33" x14ac:dyDescent="0.2">
      <c r="A784" s="62"/>
      <c r="B784" s="280"/>
      <c r="C784" s="62"/>
      <c r="D784" s="62"/>
      <c r="E784" s="241" t="s">
        <v>12234</v>
      </c>
      <c r="F784" s="246"/>
      <c r="G784" s="246"/>
      <c r="H784" s="254"/>
      <c r="I784" s="254"/>
      <c r="J784" s="254"/>
      <c r="K784" s="363"/>
      <c r="L784" s="363"/>
      <c r="M784" s="247"/>
      <c r="N784" s="265" t="b">
        <f>NOT(ISERROR(ResultsTeams[[#This Row],[Goal-A]]+ResultsTeams[[#This Row],[Goal-B]]))</f>
        <v>1</v>
      </c>
      <c r="O784" s="265">
        <f>IF(ResultsTeams[[#This Row],[Type]]="G",SUM(O785:O788),IF(LEFT(ResultsTeams[[#This Row],[Type]],1)="P",IF(ResultsTeams[[#This Row],[Goal-A]]&gt;ResultsTeams[[#This Row],[Goal-B]],1,0),""))</f>
        <v>0</v>
      </c>
      <c r="P784" s="265">
        <f>IF(ResultsTeams[[#This Row],[Type]]="G",SUM(P785:P788),IF(LEFT(ResultsTeams[[#This Row],[Type]],1)="P",IF(ResultsTeams[[#This Row],[Goal-A]]&lt;ResultsTeams[[#This Row],[Goal-B]],1,0),""))</f>
        <v>0</v>
      </c>
      <c r="Q784" s="265">
        <f>IF(ResultsTeams[[#This Row],[Type]]="G",SUM(Q785:Q788),IF(LEFT(ResultsTeams[[#This Row],[Type]],1)="P",VALUE(ResultsTeams[[#This Row],[Score-A]]),""))</f>
        <v>0</v>
      </c>
      <c r="R784" s="265">
        <f>IF(ResultsTeams[[#This Row],[Type]]="G",SUM(R785:R788),IF(LEFT(ResultsTeams[[#This Row],[Type]],1)="P",VALUE(ResultsTeams[[#This Row],[Score-B]]),""))</f>
        <v>0</v>
      </c>
      <c r="S784" s="265" t="str">
        <f ca="1">IF(AND(ResultsTeams[[#This Row],[Category]]&lt;&gt;"",ResultsTeams[[#This Row],[Team A]]&lt;&gt;""),COUNTIF(INDIRECT("TeamsList[Club Name]"),ResultsTeams[[#This Row],[Team A]]),"")</f>
        <v/>
      </c>
      <c r="T784" s="265" t="str">
        <f ca="1">IF(AND(ResultsTeams[[#This Row],[Category]]&lt;&gt;"",ResultsTeams[[#This Row],[Team B]]&lt;&gt;""),COUNTIF(INDIRECT("TeamsList[Club Name]"),ResultsTeams[[#This Row],[Team B]]),"")</f>
        <v/>
      </c>
      <c r="U7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4" s="265" t="str">
        <f>IF(ResultsTeams[[#This Row],[Score_OK]],IF(ResultsTeams[[#This Row],[StageCpy]]="Groups",ResultsTeams[[#This Row],[Category]]&amp;"-"&amp;IF(ResultsTeams[[#This Row],[Team B]]="","",IF(ResultsTeams[[#This Row],[Match-A]]=ResultsTeams[[#This Row],[Match-B]],ResultsTeams[[#This Row],[Team A]],"")),""),"")</f>
        <v/>
      </c>
      <c r="W784" s="265" t="str">
        <f>IF(ResultsTeams[[#This Row],[Score_OK]],IF(ResultsTeams[[#This Row],[StageCpy]]="Groups",ResultsTeams[[#This Row],[Category]]&amp;"-"&amp;IF(ResultsTeams[[#This Row],[Team B]]="","",IF(ResultsTeams[[#This Row],[Match-A]]=ResultsTeams[[#This Row],[Match-B]],ResultsTeams[[#This Row],[Team B]],"")),""),"")</f>
        <v/>
      </c>
      <c r="X7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4" s="264" t="str">
        <f>IF(ResultsTeams[[#This Row],[Category]]="","",VLOOKUP(ResultsTeams[[#This Row],[Stage]],$R$1:$T$8,MATCH(ResultsTeams[[#This Row],[Category]],$S$1:$T$1,0)+1,FALSE))</f>
        <v/>
      </c>
      <c r="AC7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4" s="264">
        <f>IF(ResultsTeams[[#This Row],[Type]]="G",ResultsTeams[[#This Row],[Stage]],AD783)</f>
        <v>0</v>
      </c>
      <c r="AE784" s="395" t="e">
        <f>IF(ResultsTeams[[#This Row],[Type]]="G",INDEX(TeamsList[Club Name],MATCH(ResultsTeams[[#This Row],[Team A]],TeamsList[Team Name],0)),AE783)</f>
        <v>#N/A</v>
      </c>
      <c r="AF784" s="395" t="e">
        <f>IF(ResultsTeams[[#This Row],[Type]]="G",INDEX(TeamsList[Club Name],MATCH(ResultsTeams[[#This Row],[Team B]],TeamsList[Team Name],0)),AF783)</f>
        <v>#N/A</v>
      </c>
      <c r="AG784" s="265"/>
    </row>
    <row r="785" spans="1:33" x14ac:dyDescent="0.2">
      <c r="A785" s="62"/>
      <c r="B785" s="280"/>
      <c r="C785" s="62"/>
      <c r="D785" s="62"/>
      <c r="E785" s="241" t="s">
        <v>12237</v>
      </c>
      <c r="F785" s="246"/>
      <c r="G785" s="246"/>
      <c r="H785" s="254"/>
      <c r="I785" s="254"/>
      <c r="J785" s="254"/>
      <c r="K785" s="363"/>
      <c r="L785" s="363"/>
      <c r="M785" s="247"/>
      <c r="N785" s="265" t="b">
        <f>NOT(ISERROR(ResultsTeams[[#This Row],[Goal-A]]+ResultsTeams[[#This Row],[Goal-B]]))</f>
        <v>1</v>
      </c>
      <c r="O785" s="265">
        <f>IF(ResultsTeams[[#This Row],[Type]]="G",SUM(O786:O789),IF(LEFT(ResultsTeams[[#This Row],[Type]],1)="P",IF(ResultsTeams[[#This Row],[Goal-A]]&gt;ResultsTeams[[#This Row],[Goal-B]],1,0),""))</f>
        <v>0</v>
      </c>
      <c r="P785" s="265">
        <f>IF(ResultsTeams[[#This Row],[Type]]="G",SUM(P786:P789),IF(LEFT(ResultsTeams[[#This Row],[Type]],1)="P",IF(ResultsTeams[[#This Row],[Goal-A]]&lt;ResultsTeams[[#This Row],[Goal-B]],1,0),""))</f>
        <v>0</v>
      </c>
      <c r="Q785" s="265">
        <f>IF(ResultsTeams[[#This Row],[Type]]="G",SUM(Q786:Q789),IF(LEFT(ResultsTeams[[#This Row],[Type]],1)="P",VALUE(ResultsTeams[[#This Row],[Score-A]]),""))</f>
        <v>0</v>
      </c>
      <c r="R785" s="265">
        <f>IF(ResultsTeams[[#This Row],[Type]]="G",SUM(R786:R789),IF(LEFT(ResultsTeams[[#This Row],[Type]],1)="P",VALUE(ResultsTeams[[#This Row],[Score-B]]),""))</f>
        <v>0</v>
      </c>
      <c r="S785" s="265" t="str">
        <f ca="1">IF(AND(ResultsTeams[[#This Row],[Category]]&lt;&gt;"",ResultsTeams[[#This Row],[Team A]]&lt;&gt;""),COUNTIF(INDIRECT("TeamsList[Club Name]"),ResultsTeams[[#This Row],[Team A]]),"")</f>
        <v/>
      </c>
      <c r="T785" s="265" t="str">
        <f ca="1">IF(AND(ResultsTeams[[#This Row],[Category]]&lt;&gt;"",ResultsTeams[[#This Row],[Team B]]&lt;&gt;""),COUNTIF(INDIRECT("TeamsList[Club Name]"),ResultsTeams[[#This Row],[Team B]]),"")</f>
        <v/>
      </c>
      <c r="U7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5" s="265" t="str">
        <f>IF(ResultsTeams[[#This Row],[Score_OK]],IF(ResultsTeams[[#This Row],[StageCpy]]="Groups",ResultsTeams[[#This Row],[Category]]&amp;"-"&amp;IF(ResultsTeams[[#This Row],[Team B]]="","",IF(ResultsTeams[[#This Row],[Match-A]]=ResultsTeams[[#This Row],[Match-B]],ResultsTeams[[#This Row],[Team A]],"")),""),"")</f>
        <v/>
      </c>
      <c r="W785" s="265" t="str">
        <f>IF(ResultsTeams[[#This Row],[Score_OK]],IF(ResultsTeams[[#This Row],[StageCpy]]="Groups",ResultsTeams[[#This Row],[Category]]&amp;"-"&amp;IF(ResultsTeams[[#This Row],[Team B]]="","",IF(ResultsTeams[[#This Row],[Match-A]]=ResultsTeams[[#This Row],[Match-B]],ResultsTeams[[#This Row],[Team B]],"")),""),"")</f>
        <v/>
      </c>
      <c r="X7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5" s="264" t="str">
        <f>IF(ResultsTeams[[#This Row],[Category]]="","",VLOOKUP(ResultsTeams[[#This Row],[Stage]],$R$1:$T$8,MATCH(ResultsTeams[[#This Row],[Category]],$S$1:$T$1,0)+1,FALSE))</f>
        <v/>
      </c>
      <c r="AC7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5" s="264">
        <f>IF(ResultsTeams[[#This Row],[Type]]="G",ResultsTeams[[#This Row],[Stage]],AD784)</f>
        <v>0</v>
      </c>
      <c r="AE785" s="395" t="e">
        <f>IF(ResultsTeams[[#This Row],[Type]]="G",INDEX(TeamsList[Club Name],MATCH(ResultsTeams[[#This Row],[Team A]],TeamsList[Team Name],0)),AE784)</f>
        <v>#N/A</v>
      </c>
      <c r="AF785" s="395" t="e">
        <f>IF(ResultsTeams[[#This Row],[Type]]="G",INDEX(TeamsList[Club Name],MATCH(ResultsTeams[[#This Row],[Team B]],TeamsList[Team Name],0)),AF784)</f>
        <v>#N/A</v>
      </c>
      <c r="AG785" s="265"/>
    </row>
    <row r="786" spans="1:33" x14ac:dyDescent="0.2">
      <c r="A786" s="62"/>
      <c r="B786" s="280"/>
      <c r="C786" s="62"/>
      <c r="D786" s="62"/>
      <c r="E786" s="241" t="s">
        <v>12240</v>
      </c>
      <c r="F786" s="246"/>
      <c r="G786" s="246"/>
      <c r="H786" s="254"/>
      <c r="I786" s="254"/>
      <c r="J786" s="254"/>
      <c r="K786" s="363"/>
      <c r="L786" s="363"/>
      <c r="M786" s="247"/>
      <c r="N786" s="265" t="b">
        <f>NOT(ISERROR(ResultsTeams[[#This Row],[Goal-A]]+ResultsTeams[[#This Row],[Goal-B]]))</f>
        <v>1</v>
      </c>
      <c r="O786" s="265">
        <f>IF(ResultsTeams[[#This Row],[Type]]="G",SUM(O787:O790),IF(LEFT(ResultsTeams[[#This Row],[Type]],1)="P",IF(ResultsTeams[[#This Row],[Goal-A]]&gt;ResultsTeams[[#This Row],[Goal-B]],1,0),""))</f>
        <v>0</v>
      </c>
      <c r="P786" s="265">
        <f>IF(ResultsTeams[[#This Row],[Type]]="G",SUM(P787:P790),IF(LEFT(ResultsTeams[[#This Row],[Type]],1)="P",IF(ResultsTeams[[#This Row],[Goal-A]]&lt;ResultsTeams[[#This Row],[Goal-B]],1,0),""))</f>
        <v>0</v>
      </c>
      <c r="Q786" s="265">
        <f>IF(ResultsTeams[[#This Row],[Type]]="G",SUM(Q787:Q790),IF(LEFT(ResultsTeams[[#This Row],[Type]],1)="P",VALUE(ResultsTeams[[#This Row],[Score-A]]),""))</f>
        <v>0</v>
      </c>
      <c r="R786" s="265">
        <f>IF(ResultsTeams[[#This Row],[Type]]="G",SUM(R787:R790),IF(LEFT(ResultsTeams[[#This Row],[Type]],1)="P",VALUE(ResultsTeams[[#This Row],[Score-B]]),""))</f>
        <v>0</v>
      </c>
      <c r="S786" s="265" t="str">
        <f ca="1">IF(AND(ResultsTeams[[#This Row],[Category]]&lt;&gt;"",ResultsTeams[[#This Row],[Team A]]&lt;&gt;""),COUNTIF(INDIRECT("TeamsList[Club Name]"),ResultsTeams[[#This Row],[Team A]]),"")</f>
        <v/>
      </c>
      <c r="T786" s="265" t="str">
        <f ca="1">IF(AND(ResultsTeams[[#This Row],[Category]]&lt;&gt;"",ResultsTeams[[#This Row],[Team B]]&lt;&gt;""),COUNTIF(INDIRECT("TeamsList[Club Name]"),ResultsTeams[[#This Row],[Team B]]),"")</f>
        <v/>
      </c>
      <c r="U7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6" s="265" t="str">
        <f>IF(ResultsTeams[[#This Row],[Score_OK]],IF(ResultsTeams[[#This Row],[StageCpy]]="Groups",ResultsTeams[[#This Row],[Category]]&amp;"-"&amp;IF(ResultsTeams[[#This Row],[Team B]]="","",IF(ResultsTeams[[#This Row],[Match-A]]=ResultsTeams[[#This Row],[Match-B]],ResultsTeams[[#This Row],[Team A]],"")),""),"")</f>
        <v/>
      </c>
      <c r="W786" s="265" t="str">
        <f>IF(ResultsTeams[[#This Row],[Score_OK]],IF(ResultsTeams[[#This Row],[StageCpy]]="Groups",ResultsTeams[[#This Row],[Category]]&amp;"-"&amp;IF(ResultsTeams[[#This Row],[Team B]]="","",IF(ResultsTeams[[#This Row],[Match-A]]=ResultsTeams[[#This Row],[Match-B]],ResultsTeams[[#This Row],[Team B]],"")),""),"")</f>
        <v/>
      </c>
      <c r="X7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6" s="264" t="str">
        <f>IF(ResultsTeams[[#This Row],[Category]]="","",VLOOKUP(ResultsTeams[[#This Row],[Stage]],$R$1:$T$8,MATCH(ResultsTeams[[#This Row],[Category]],$S$1:$T$1,0)+1,FALSE))</f>
        <v/>
      </c>
      <c r="AC7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6" s="264">
        <f>IF(ResultsTeams[[#This Row],[Type]]="G",ResultsTeams[[#This Row],[Stage]],AD785)</f>
        <v>0</v>
      </c>
      <c r="AE786" s="395" t="e">
        <f>IF(ResultsTeams[[#This Row],[Type]]="G",INDEX(TeamsList[Club Name],MATCH(ResultsTeams[[#This Row],[Team A]],TeamsList[Team Name],0)),AE785)</f>
        <v>#N/A</v>
      </c>
      <c r="AF786" s="395" t="e">
        <f>IF(ResultsTeams[[#This Row],[Type]]="G",INDEX(TeamsList[Club Name],MATCH(ResultsTeams[[#This Row],[Team B]],TeamsList[Team Name],0)),AF785)</f>
        <v>#N/A</v>
      </c>
      <c r="AG786" s="265"/>
    </row>
    <row r="787" spans="1:33" x14ac:dyDescent="0.2">
      <c r="A787" s="62"/>
      <c r="B787" s="62"/>
      <c r="C787" s="62"/>
      <c r="D787" s="62"/>
      <c r="E787" s="241" t="s">
        <v>12243</v>
      </c>
      <c r="F787" s="247"/>
      <c r="G787" s="247"/>
      <c r="H787" s="254"/>
      <c r="I787" s="254"/>
      <c r="J787" s="260"/>
      <c r="K787" s="364"/>
      <c r="L787" s="364"/>
      <c r="M787" s="247"/>
      <c r="N787" s="265" t="b">
        <f>NOT(ISERROR(ResultsTeams[[#This Row],[Goal-A]]+ResultsTeams[[#This Row],[Goal-B]]))</f>
        <v>0</v>
      </c>
      <c r="O787" s="265" t="str">
        <f>IF(ResultsTeams[[#This Row],[Type]]="G",SUM(O788:O791),IF(LEFT(ResultsTeams[[#This Row],[Type]],1)="P",IF(ResultsTeams[[#This Row],[Goal-A]]&gt;ResultsTeams[[#This Row],[Goal-B]],1,0),""))</f>
        <v/>
      </c>
      <c r="P787" s="265" t="str">
        <f>IF(ResultsTeams[[#This Row],[Type]]="G",SUM(P788:P791),IF(LEFT(ResultsTeams[[#This Row],[Type]],1)="P",IF(ResultsTeams[[#This Row],[Goal-A]]&lt;ResultsTeams[[#This Row],[Goal-B]],1,0),""))</f>
        <v/>
      </c>
      <c r="Q787" s="265" t="str">
        <f>IF(ResultsTeams[[#This Row],[Type]]="G",SUM(Q788:Q791),IF(LEFT(ResultsTeams[[#This Row],[Type]],1)="P",VALUE(ResultsTeams[[#This Row],[Score-A]]),""))</f>
        <v/>
      </c>
      <c r="R787" s="265" t="str">
        <f>IF(ResultsTeams[[#This Row],[Type]]="G",SUM(R788:R791),IF(LEFT(ResultsTeams[[#This Row],[Type]],1)="P",VALUE(ResultsTeams[[#This Row],[Score-B]]),""))</f>
        <v/>
      </c>
      <c r="S787" s="265" t="str">
        <f ca="1">IF(AND(ResultsTeams[[#This Row],[Category]]&lt;&gt;"",ResultsTeams[[#This Row],[Team A]]&lt;&gt;""),COUNTIF(INDIRECT("TeamsList[Club Name]"),ResultsTeams[[#This Row],[Team A]]),"")</f>
        <v/>
      </c>
      <c r="T787" s="265" t="str">
        <f ca="1">IF(AND(ResultsTeams[[#This Row],[Category]]&lt;&gt;"",ResultsTeams[[#This Row],[Team B]]&lt;&gt;""),COUNTIF(INDIRECT("TeamsList[Club Name]"),ResultsTeams[[#This Row],[Team B]]),"")</f>
        <v/>
      </c>
      <c r="U7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7" s="265" t="str">
        <f>IF(ResultsTeams[[#This Row],[Score_OK]],IF(ResultsTeams[[#This Row],[StageCpy]]="Groups",ResultsTeams[[#This Row],[Category]]&amp;"-"&amp;IF(ResultsTeams[[#This Row],[Team B]]="","",IF(ResultsTeams[[#This Row],[Match-A]]=ResultsTeams[[#This Row],[Match-B]],ResultsTeams[[#This Row],[Team A]],"")),""),"")</f>
        <v/>
      </c>
      <c r="W787" s="265" t="str">
        <f>IF(ResultsTeams[[#This Row],[Score_OK]],IF(ResultsTeams[[#This Row],[StageCpy]]="Groups",ResultsTeams[[#This Row],[Category]]&amp;"-"&amp;IF(ResultsTeams[[#This Row],[Team B]]="","",IF(ResultsTeams[[#This Row],[Match-A]]=ResultsTeams[[#This Row],[Match-B]],ResultsTeams[[#This Row],[Team B]],"")),""),"")</f>
        <v/>
      </c>
      <c r="X7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7" s="264" t="str">
        <f>IF(ResultsTeams[[#This Row],[Category]]="","",VLOOKUP(ResultsTeams[[#This Row],[Stage]],$R$1:$T$8,MATCH(ResultsTeams[[#This Row],[Category]],$S$1:$T$1,0)+1,FALSE))</f>
        <v/>
      </c>
      <c r="AC7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7" s="264">
        <f>IF(ResultsTeams[[#This Row],[Type]]="G",ResultsTeams[[#This Row],[Stage]],AD786)</f>
        <v>0</v>
      </c>
      <c r="AE787" s="395" t="e">
        <f>IF(ResultsTeams[[#This Row],[Type]]="G",INDEX(TeamsList[Club Name],MATCH(ResultsTeams[[#This Row],[Team A]],TeamsList[Team Name],0)),AE786)</f>
        <v>#N/A</v>
      </c>
      <c r="AF787" s="395" t="e">
        <f>IF(ResultsTeams[[#This Row],[Type]]="G",INDEX(TeamsList[Club Name],MATCH(ResultsTeams[[#This Row],[Team B]],TeamsList[Team Name],0)),AF786)</f>
        <v>#N/A</v>
      </c>
      <c r="AG787" s="265"/>
    </row>
    <row r="788" spans="1:33" ht="12" thickBot="1" x14ac:dyDescent="0.25">
      <c r="A788" s="83"/>
      <c r="B788" s="83"/>
      <c r="C788" s="83"/>
      <c r="D788" s="83"/>
      <c r="E788" s="268" t="s">
        <v>12244</v>
      </c>
      <c r="F788" s="262"/>
      <c r="G788" s="262"/>
      <c r="H788" s="324"/>
      <c r="I788" s="324"/>
      <c r="J788" s="263"/>
      <c r="K788" s="365"/>
      <c r="L788" s="365"/>
      <c r="M788" s="262"/>
      <c r="N788" s="265" t="b">
        <f>NOT(ISERROR(ResultsTeams[[#This Row],[Goal-A]]+ResultsTeams[[#This Row],[Goal-B]]))</f>
        <v>0</v>
      </c>
      <c r="O788" s="265" t="str">
        <f>IF(ResultsTeams[[#This Row],[Type]]="G",SUM(O789:O792),IF(LEFT(ResultsTeams[[#This Row],[Type]],1)="P",IF(ResultsTeams[[#This Row],[Goal-A]]&gt;ResultsTeams[[#This Row],[Goal-B]],1,0),""))</f>
        <v/>
      </c>
      <c r="P788" s="265" t="str">
        <f>IF(ResultsTeams[[#This Row],[Type]]="G",SUM(P789:P792),IF(LEFT(ResultsTeams[[#This Row],[Type]],1)="P",IF(ResultsTeams[[#This Row],[Goal-A]]&lt;ResultsTeams[[#This Row],[Goal-B]],1,0),""))</f>
        <v/>
      </c>
      <c r="Q788" s="265" t="str">
        <f>IF(ResultsTeams[[#This Row],[Type]]="G",SUM(Q789:Q792),IF(LEFT(ResultsTeams[[#This Row],[Type]],1)="P",VALUE(ResultsTeams[[#This Row],[Score-A]]),""))</f>
        <v/>
      </c>
      <c r="R788" s="265" t="str">
        <f>IF(ResultsTeams[[#This Row],[Type]]="G",SUM(R789:R792),IF(LEFT(ResultsTeams[[#This Row],[Type]],1)="P",VALUE(ResultsTeams[[#This Row],[Score-B]]),""))</f>
        <v/>
      </c>
      <c r="S788" s="265" t="str">
        <f ca="1">IF(AND(ResultsTeams[[#This Row],[Category]]&lt;&gt;"",ResultsTeams[[#This Row],[Team A]]&lt;&gt;""),COUNTIF(INDIRECT("TeamsList[Club Name]"),ResultsTeams[[#This Row],[Team A]]),"")</f>
        <v/>
      </c>
      <c r="T788" s="265" t="str">
        <f ca="1">IF(AND(ResultsTeams[[#This Row],[Category]]&lt;&gt;"",ResultsTeams[[#This Row],[Team B]]&lt;&gt;""),COUNTIF(INDIRECT("TeamsList[Club Name]"),ResultsTeams[[#This Row],[Team B]]),"")</f>
        <v/>
      </c>
      <c r="U7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8" s="265" t="str">
        <f>IF(ResultsTeams[[#This Row],[Score_OK]],IF(ResultsTeams[[#This Row],[StageCpy]]="Groups",ResultsTeams[[#This Row],[Category]]&amp;"-"&amp;IF(ResultsTeams[[#This Row],[Team B]]="","",IF(ResultsTeams[[#This Row],[Match-A]]=ResultsTeams[[#This Row],[Match-B]],ResultsTeams[[#This Row],[Team A]],"")),""),"")</f>
        <v/>
      </c>
      <c r="W788" s="265" t="str">
        <f>IF(ResultsTeams[[#This Row],[Score_OK]],IF(ResultsTeams[[#This Row],[StageCpy]]="Groups",ResultsTeams[[#This Row],[Category]]&amp;"-"&amp;IF(ResultsTeams[[#This Row],[Team B]]="","",IF(ResultsTeams[[#This Row],[Match-A]]=ResultsTeams[[#This Row],[Match-B]],ResultsTeams[[#This Row],[Team B]],"")),""),"")</f>
        <v/>
      </c>
      <c r="X7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8" s="264" t="str">
        <f>IF(ResultsTeams[[#This Row],[Category]]="","",VLOOKUP(ResultsTeams[[#This Row],[Stage]],$R$1:$T$8,MATCH(ResultsTeams[[#This Row],[Category]],$S$1:$T$1,0)+1,FALSE))</f>
        <v/>
      </c>
      <c r="AC7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8" s="264">
        <f>IF(ResultsTeams[[#This Row],[Type]]="G",ResultsTeams[[#This Row],[Stage]],AD787)</f>
        <v>0</v>
      </c>
      <c r="AE788" s="395" t="e">
        <f>IF(ResultsTeams[[#This Row],[Type]]="G",INDEX(TeamsList[Club Name],MATCH(ResultsTeams[[#This Row],[Team A]],TeamsList[Team Name],0)),AE787)</f>
        <v>#N/A</v>
      </c>
      <c r="AF788" s="395" t="e">
        <f>IF(ResultsTeams[[#This Row],[Type]]="G",INDEX(TeamsList[Club Name],MATCH(ResultsTeams[[#This Row],[Team B]],TeamsList[Team Name],0)),AF787)</f>
        <v>#N/A</v>
      </c>
      <c r="AG788" s="265"/>
    </row>
    <row r="789" spans="1:33" ht="12" thickBot="1" x14ac:dyDescent="0.25">
      <c r="A789" s="261"/>
      <c r="B789" s="270"/>
      <c r="C789" s="270"/>
      <c r="D789" s="270"/>
      <c r="E789" s="272" t="s">
        <v>12228</v>
      </c>
      <c r="F789" s="273"/>
      <c r="G789" s="273"/>
      <c r="H789" s="275"/>
      <c r="I789" s="275"/>
      <c r="J789" s="275"/>
      <c r="K789" s="366"/>
      <c r="L789" s="366"/>
      <c r="M789" s="274"/>
      <c r="N789" s="265" t="b">
        <f>NOT(ISERROR(ResultsTeams[[#This Row],[Goal-A]]+ResultsTeams[[#This Row],[Goal-B]]))</f>
        <v>1</v>
      </c>
      <c r="O789" s="265">
        <f>IF(ResultsTeams[[#This Row],[Type]]="G",SUM(O790:O793),IF(LEFT(ResultsTeams[[#This Row],[Type]],1)="P",IF(ResultsTeams[[#This Row],[Goal-A]]&gt;ResultsTeams[[#This Row],[Goal-B]],1,0),""))</f>
        <v>0</v>
      </c>
      <c r="P789" s="265">
        <f>IF(ResultsTeams[[#This Row],[Type]]="G",SUM(P790:P793),IF(LEFT(ResultsTeams[[#This Row],[Type]],1)="P",IF(ResultsTeams[[#This Row],[Goal-A]]&lt;ResultsTeams[[#This Row],[Goal-B]],1,0),""))</f>
        <v>0</v>
      </c>
      <c r="Q789" s="265">
        <f>IF(ResultsTeams[[#This Row],[Type]]="G",SUM(Q790:Q793),IF(LEFT(ResultsTeams[[#This Row],[Type]],1)="P",VALUE(ResultsTeams[[#This Row],[Score-A]]),""))</f>
        <v>0</v>
      </c>
      <c r="R789" s="265">
        <f>IF(ResultsTeams[[#This Row],[Type]]="G",SUM(R790:R793),IF(LEFT(ResultsTeams[[#This Row],[Type]],1)="P",VALUE(ResultsTeams[[#This Row],[Score-B]]),""))</f>
        <v>0</v>
      </c>
      <c r="S789" s="265" t="str">
        <f ca="1">IF(AND(ResultsTeams[[#This Row],[Category]]&lt;&gt;"",ResultsTeams[[#This Row],[Team A]]&lt;&gt;""),COUNTIF(INDIRECT("TeamsList[Club Name]"),ResultsTeams[[#This Row],[Team A]]),"")</f>
        <v/>
      </c>
      <c r="T789" s="265" t="str">
        <f ca="1">IF(AND(ResultsTeams[[#This Row],[Category]]&lt;&gt;"",ResultsTeams[[#This Row],[Team B]]&lt;&gt;""),COUNTIF(INDIRECT("TeamsList[Club Name]"),ResultsTeams[[#This Row],[Team B]]),"")</f>
        <v/>
      </c>
      <c r="U7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9" s="265" t="str">
        <f>IF(ResultsTeams[[#This Row],[Score_OK]],IF(ResultsTeams[[#This Row],[StageCpy]]="Groups",ResultsTeams[[#This Row],[Category]]&amp;"-"&amp;IF(ResultsTeams[[#This Row],[Team B]]="","",IF(ResultsTeams[[#This Row],[Match-A]]=ResultsTeams[[#This Row],[Match-B]],ResultsTeams[[#This Row],[Team A]],"")),""),"")</f>
        <v/>
      </c>
      <c r="W789" s="265" t="str">
        <f>IF(ResultsTeams[[#This Row],[Score_OK]],IF(ResultsTeams[[#This Row],[StageCpy]]="Groups",ResultsTeams[[#This Row],[Category]]&amp;"-"&amp;IF(ResultsTeams[[#This Row],[Team B]]="","",IF(ResultsTeams[[#This Row],[Match-A]]=ResultsTeams[[#This Row],[Match-B]],ResultsTeams[[#This Row],[Team B]],"")),""),"")</f>
        <v/>
      </c>
      <c r="X7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9" s="264" t="str">
        <f>IF(ResultsTeams[[#This Row],[Category]]="","",VLOOKUP(ResultsTeams[[#This Row],[Stage]],$R$1:$T$8,MATCH(ResultsTeams[[#This Row],[Category]],$S$1:$T$1,0)+1,FALSE))</f>
        <v/>
      </c>
      <c r="AC7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9" s="264">
        <f>IF(ResultsTeams[[#This Row],[Type]]="G",ResultsTeams[[#This Row],[Stage]],AD788)</f>
        <v>0</v>
      </c>
      <c r="AE789" s="395" t="e">
        <f>IF(ResultsTeams[[#This Row],[Type]]="G",INDEX(TeamsList[Club Name],MATCH(ResultsTeams[[#This Row],[Team A]],TeamsList[Team Name],0)),AE788)</f>
        <v>#N/A</v>
      </c>
      <c r="AF789" s="395" t="e">
        <f>IF(ResultsTeams[[#This Row],[Type]]="G",INDEX(TeamsList[Club Name],MATCH(ResultsTeams[[#This Row],[Team B]],TeamsList[Team Name],0)),AF788)</f>
        <v>#N/A</v>
      </c>
      <c r="AG789" s="265"/>
    </row>
    <row r="790" spans="1:33" x14ac:dyDescent="0.2">
      <c r="A790" s="60"/>
      <c r="B790" s="280"/>
      <c r="C790" s="60"/>
      <c r="D790" s="60"/>
      <c r="E790" s="240" t="s">
        <v>12231</v>
      </c>
      <c r="F790" s="244"/>
      <c r="G790" s="244"/>
      <c r="H790" s="253"/>
      <c r="I790" s="253"/>
      <c r="J790" s="253"/>
      <c r="K790" s="362"/>
      <c r="L790" s="362"/>
      <c r="M790" s="245"/>
      <c r="N790" s="265" t="b">
        <f>NOT(ISERROR(ResultsTeams[[#This Row],[Goal-A]]+ResultsTeams[[#This Row],[Goal-B]]))</f>
        <v>1</v>
      </c>
      <c r="O790" s="265">
        <f>IF(ResultsTeams[[#This Row],[Type]]="G",SUM(O791:O794),IF(LEFT(ResultsTeams[[#This Row],[Type]],1)="P",IF(ResultsTeams[[#This Row],[Goal-A]]&gt;ResultsTeams[[#This Row],[Goal-B]],1,0),""))</f>
        <v>0</v>
      </c>
      <c r="P790" s="265">
        <f>IF(ResultsTeams[[#This Row],[Type]]="G",SUM(P791:P794),IF(LEFT(ResultsTeams[[#This Row],[Type]],1)="P",IF(ResultsTeams[[#This Row],[Goal-A]]&lt;ResultsTeams[[#This Row],[Goal-B]],1,0),""))</f>
        <v>0</v>
      </c>
      <c r="Q790" s="265">
        <f>IF(ResultsTeams[[#This Row],[Type]]="G",SUM(Q791:Q794),IF(LEFT(ResultsTeams[[#This Row],[Type]],1)="P",VALUE(ResultsTeams[[#This Row],[Score-A]]),""))</f>
        <v>0</v>
      </c>
      <c r="R790" s="265">
        <f>IF(ResultsTeams[[#This Row],[Type]]="G",SUM(R791:R794),IF(LEFT(ResultsTeams[[#This Row],[Type]],1)="P",VALUE(ResultsTeams[[#This Row],[Score-B]]),""))</f>
        <v>0</v>
      </c>
      <c r="S790" s="265" t="str">
        <f ca="1">IF(AND(ResultsTeams[[#This Row],[Category]]&lt;&gt;"",ResultsTeams[[#This Row],[Team A]]&lt;&gt;""),COUNTIF(INDIRECT("TeamsList[Club Name]"),ResultsTeams[[#This Row],[Team A]]),"")</f>
        <v/>
      </c>
      <c r="T790" s="265" t="str">
        <f ca="1">IF(AND(ResultsTeams[[#This Row],[Category]]&lt;&gt;"",ResultsTeams[[#This Row],[Team B]]&lt;&gt;""),COUNTIF(INDIRECT("TeamsList[Club Name]"),ResultsTeams[[#This Row],[Team B]]),"")</f>
        <v/>
      </c>
      <c r="U7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0" s="265" t="str">
        <f>IF(ResultsTeams[[#This Row],[Score_OK]],IF(ResultsTeams[[#This Row],[StageCpy]]="Groups",ResultsTeams[[#This Row],[Category]]&amp;"-"&amp;IF(ResultsTeams[[#This Row],[Team B]]="","",IF(ResultsTeams[[#This Row],[Match-A]]=ResultsTeams[[#This Row],[Match-B]],ResultsTeams[[#This Row],[Team A]],"")),""),"")</f>
        <v/>
      </c>
      <c r="W790" s="265" t="str">
        <f>IF(ResultsTeams[[#This Row],[Score_OK]],IF(ResultsTeams[[#This Row],[StageCpy]]="Groups",ResultsTeams[[#This Row],[Category]]&amp;"-"&amp;IF(ResultsTeams[[#This Row],[Team B]]="","",IF(ResultsTeams[[#This Row],[Match-A]]=ResultsTeams[[#This Row],[Match-B]],ResultsTeams[[#This Row],[Team B]],"")),""),"")</f>
        <v/>
      </c>
      <c r="X7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0" s="264" t="str">
        <f>IF(ResultsTeams[[#This Row],[Category]]="","",VLOOKUP(ResultsTeams[[#This Row],[Stage]],$R$1:$T$8,MATCH(ResultsTeams[[#This Row],[Category]],$S$1:$T$1,0)+1,FALSE))</f>
        <v/>
      </c>
      <c r="AC7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0" s="264">
        <f>IF(ResultsTeams[[#This Row],[Type]]="G",ResultsTeams[[#This Row],[Stage]],AD789)</f>
        <v>0</v>
      </c>
      <c r="AE790" s="395" t="e">
        <f>IF(ResultsTeams[[#This Row],[Type]]="G",INDEX(TeamsList[Club Name],MATCH(ResultsTeams[[#This Row],[Team A]],TeamsList[Team Name],0)),AE789)</f>
        <v>#N/A</v>
      </c>
      <c r="AF790" s="395" t="e">
        <f>IF(ResultsTeams[[#This Row],[Type]]="G",INDEX(TeamsList[Club Name],MATCH(ResultsTeams[[#This Row],[Team B]],TeamsList[Team Name],0)),AF789)</f>
        <v>#N/A</v>
      </c>
      <c r="AG790" s="265"/>
    </row>
    <row r="791" spans="1:33" x14ac:dyDescent="0.2">
      <c r="A791" s="62"/>
      <c r="B791" s="280"/>
      <c r="C791" s="62"/>
      <c r="D791" s="62"/>
      <c r="E791" s="241" t="s">
        <v>12234</v>
      </c>
      <c r="F791" s="246"/>
      <c r="G791" s="246"/>
      <c r="H791" s="254"/>
      <c r="I791" s="254"/>
      <c r="J791" s="254"/>
      <c r="K791" s="363"/>
      <c r="L791" s="363"/>
      <c r="M791" s="247"/>
      <c r="N791" s="265" t="b">
        <f>NOT(ISERROR(ResultsTeams[[#This Row],[Goal-A]]+ResultsTeams[[#This Row],[Goal-B]]))</f>
        <v>1</v>
      </c>
      <c r="O791" s="265">
        <f>IF(ResultsTeams[[#This Row],[Type]]="G",SUM(O792:O795),IF(LEFT(ResultsTeams[[#This Row],[Type]],1)="P",IF(ResultsTeams[[#This Row],[Goal-A]]&gt;ResultsTeams[[#This Row],[Goal-B]],1,0),""))</f>
        <v>0</v>
      </c>
      <c r="P791" s="265">
        <f>IF(ResultsTeams[[#This Row],[Type]]="G",SUM(P792:P795),IF(LEFT(ResultsTeams[[#This Row],[Type]],1)="P",IF(ResultsTeams[[#This Row],[Goal-A]]&lt;ResultsTeams[[#This Row],[Goal-B]],1,0),""))</f>
        <v>0</v>
      </c>
      <c r="Q791" s="265">
        <f>IF(ResultsTeams[[#This Row],[Type]]="G",SUM(Q792:Q795),IF(LEFT(ResultsTeams[[#This Row],[Type]],1)="P",VALUE(ResultsTeams[[#This Row],[Score-A]]),""))</f>
        <v>0</v>
      </c>
      <c r="R791" s="265">
        <f>IF(ResultsTeams[[#This Row],[Type]]="G",SUM(R792:R795),IF(LEFT(ResultsTeams[[#This Row],[Type]],1)="P",VALUE(ResultsTeams[[#This Row],[Score-B]]),""))</f>
        <v>0</v>
      </c>
      <c r="S791" s="265" t="str">
        <f ca="1">IF(AND(ResultsTeams[[#This Row],[Category]]&lt;&gt;"",ResultsTeams[[#This Row],[Team A]]&lt;&gt;""),COUNTIF(INDIRECT("TeamsList[Club Name]"),ResultsTeams[[#This Row],[Team A]]),"")</f>
        <v/>
      </c>
      <c r="T791" s="265" t="str">
        <f ca="1">IF(AND(ResultsTeams[[#This Row],[Category]]&lt;&gt;"",ResultsTeams[[#This Row],[Team B]]&lt;&gt;""),COUNTIF(INDIRECT("TeamsList[Club Name]"),ResultsTeams[[#This Row],[Team B]]),"")</f>
        <v/>
      </c>
      <c r="U7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1" s="265" t="str">
        <f>IF(ResultsTeams[[#This Row],[Score_OK]],IF(ResultsTeams[[#This Row],[StageCpy]]="Groups",ResultsTeams[[#This Row],[Category]]&amp;"-"&amp;IF(ResultsTeams[[#This Row],[Team B]]="","",IF(ResultsTeams[[#This Row],[Match-A]]=ResultsTeams[[#This Row],[Match-B]],ResultsTeams[[#This Row],[Team A]],"")),""),"")</f>
        <v/>
      </c>
      <c r="W791" s="265" t="str">
        <f>IF(ResultsTeams[[#This Row],[Score_OK]],IF(ResultsTeams[[#This Row],[StageCpy]]="Groups",ResultsTeams[[#This Row],[Category]]&amp;"-"&amp;IF(ResultsTeams[[#This Row],[Team B]]="","",IF(ResultsTeams[[#This Row],[Match-A]]=ResultsTeams[[#This Row],[Match-B]],ResultsTeams[[#This Row],[Team B]],"")),""),"")</f>
        <v/>
      </c>
      <c r="X7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1" s="264" t="str">
        <f>IF(ResultsTeams[[#This Row],[Category]]="","",VLOOKUP(ResultsTeams[[#This Row],[Stage]],$R$1:$T$8,MATCH(ResultsTeams[[#This Row],[Category]],$S$1:$T$1,0)+1,FALSE))</f>
        <v/>
      </c>
      <c r="AC7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1" s="264">
        <f>IF(ResultsTeams[[#This Row],[Type]]="G",ResultsTeams[[#This Row],[Stage]],AD790)</f>
        <v>0</v>
      </c>
      <c r="AE791" s="395" t="e">
        <f>IF(ResultsTeams[[#This Row],[Type]]="G",INDEX(TeamsList[Club Name],MATCH(ResultsTeams[[#This Row],[Team A]],TeamsList[Team Name],0)),AE790)</f>
        <v>#N/A</v>
      </c>
      <c r="AF791" s="395" t="e">
        <f>IF(ResultsTeams[[#This Row],[Type]]="G",INDEX(TeamsList[Club Name],MATCH(ResultsTeams[[#This Row],[Team B]],TeamsList[Team Name],0)),AF790)</f>
        <v>#N/A</v>
      </c>
      <c r="AG791" s="265"/>
    </row>
    <row r="792" spans="1:33" x14ac:dyDescent="0.2">
      <c r="A792" s="62"/>
      <c r="B792" s="280"/>
      <c r="C792" s="62"/>
      <c r="D792" s="62"/>
      <c r="E792" s="241" t="s">
        <v>12237</v>
      </c>
      <c r="F792" s="246"/>
      <c r="G792" s="246"/>
      <c r="H792" s="254"/>
      <c r="I792" s="254"/>
      <c r="J792" s="254"/>
      <c r="K792" s="363"/>
      <c r="L792" s="363"/>
      <c r="M792" s="247"/>
      <c r="N792" s="265" t="b">
        <f>NOT(ISERROR(ResultsTeams[[#This Row],[Goal-A]]+ResultsTeams[[#This Row],[Goal-B]]))</f>
        <v>1</v>
      </c>
      <c r="O792" s="265">
        <f>IF(ResultsTeams[[#This Row],[Type]]="G",SUM(O793:O796),IF(LEFT(ResultsTeams[[#This Row],[Type]],1)="P",IF(ResultsTeams[[#This Row],[Goal-A]]&gt;ResultsTeams[[#This Row],[Goal-B]],1,0),""))</f>
        <v>0</v>
      </c>
      <c r="P792" s="265">
        <f>IF(ResultsTeams[[#This Row],[Type]]="G",SUM(P793:P796),IF(LEFT(ResultsTeams[[#This Row],[Type]],1)="P",IF(ResultsTeams[[#This Row],[Goal-A]]&lt;ResultsTeams[[#This Row],[Goal-B]],1,0),""))</f>
        <v>0</v>
      </c>
      <c r="Q792" s="265">
        <f>IF(ResultsTeams[[#This Row],[Type]]="G",SUM(Q793:Q796),IF(LEFT(ResultsTeams[[#This Row],[Type]],1)="P",VALUE(ResultsTeams[[#This Row],[Score-A]]),""))</f>
        <v>0</v>
      </c>
      <c r="R792" s="265">
        <f>IF(ResultsTeams[[#This Row],[Type]]="G",SUM(R793:R796),IF(LEFT(ResultsTeams[[#This Row],[Type]],1)="P",VALUE(ResultsTeams[[#This Row],[Score-B]]),""))</f>
        <v>0</v>
      </c>
      <c r="S792" s="265" t="str">
        <f ca="1">IF(AND(ResultsTeams[[#This Row],[Category]]&lt;&gt;"",ResultsTeams[[#This Row],[Team A]]&lt;&gt;""),COUNTIF(INDIRECT("TeamsList[Club Name]"),ResultsTeams[[#This Row],[Team A]]),"")</f>
        <v/>
      </c>
      <c r="T792" s="265" t="str">
        <f ca="1">IF(AND(ResultsTeams[[#This Row],[Category]]&lt;&gt;"",ResultsTeams[[#This Row],[Team B]]&lt;&gt;""),COUNTIF(INDIRECT("TeamsList[Club Name]"),ResultsTeams[[#This Row],[Team B]]),"")</f>
        <v/>
      </c>
      <c r="U7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2" s="265" t="str">
        <f>IF(ResultsTeams[[#This Row],[Score_OK]],IF(ResultsTeams[[#This Row],[StageCpy]]="Groups",ResultsTeams[[#This Row],[Category]]&amp;"-"&amp;IF(ResultsTeams[[#This Row],[Team B]]="","",IF(ResultsTeams[[#This Row],[Match-A]]=ResultsTeams[[#This Row],[Match-B]],ResultsTeams[[#This Row],[Team A]],"")),""),"")</f>
        <v/>
      </c>
      <c r="W792" s="265" t="str">
        <f>IF(ResultsTeams[[#This Row],[Score_OK]],IF(ResultsTeams[[#This Row],[StageCpy]]="Groups",ResultsTeams[[#This Row],[Category]]&amp;"-"&amp;IF(ResultsTeams[[#This Row],[Team B]]="","",IF(ResultsTeams[[#This Row],[Match-A]]=ResultsTeams[[#This Row],[Match-B]],ResultsTeams[[#This Row],[Team B]],"")),""),"")</f>
        <v/>
      </c>
      <c r="X7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2" s="264" t="str">
        <f>IF(ResultsTeams[[#This Row],[Category]]="","",VLOOKUP(ResultsTeams[[#This Row],[Stage]],$R$1:$T$8,MATCH(ResultsTeams[[#This Row],[Category]],$S$1:$T$1,0)+1,FALSE))</f>
        <v/>
      </c>
      <c r="AC7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2" s="264">
        <f>IF(ResultsTeams[[#This Row],[Type]]="G",ResultsTeams[[#This Row],[Stage]],AD791)</f>
        <v>0</v>
      </c>
      <c r="AE792" s="395" t="e">
        <f>IF(ResultsTeams[[#This Row],[Type]]="G",INDEX(TeamsList[Club Name],MATCH(ResultsTeams[[#This Row],[Team A]],TeamsList[Team Name],0)),AE791)</f>
        <v>#N/A</v>
      </c>
      <c r="AF792" s="395" t="e">
        <f>IF(ResultsTeams[[#This Row],[Type]]="G",INDEX(TeamsList[Club Name],MATCH(ResultsTeams[[#This Row],[Team B]],TeamsList[Team Name],0)),AF791)</f>
        <v>#N/A</v>
      </c>
      <c r="AG792" s="265"/>
    </row>
    <row r="793" spans="1:33" x14ac:dyDescent="0.2">
      <c r="A793" s="62"/>
      <c r="B793" s="280"/>
      <c r="C793" s="62"/>
      <c r="D793" s="62"/>
      <c r="E793" s="241" t="s">
        <v>12240</v>
      </c>
      <c r="F793" s="246"/>
      <c r="G793" s="246"/>
      <c r="H793" s="254"/>
      <c r="I793" s="254"/>
      <c r="J793" s="254"/>
      <c r="K793" s="363"/>
      <c r="L793" s="363"/>
      <c r="M793" s="247"/>
      <c r="N793" s="265" t="b">
        <f>NOT(ISERROR(ResultsTeams[[#This Row],[Goal-A]]+ResultsTeams[[#This Row],[Goal-B]]))</f>
        <v>1</v>
      </c>
      <c r="O793" s="265">
        <f>IF(ResultsTeams[[#This Row],[Type]]="G",SUM(O794:O797),IF(LEFT(ResultsTeams[[#This Row],[Type]],1)="P",IF(ResultsTeams[[#This Row],[Goal-A]]&gt;ResultsTeams[[#This Row],[Goal-B]],1,0),""))</f>
        <v>0</v>
      </c>
      <c r="P793" s="265">
        <f>IF(ResultsTeams[[#This Row],[Type]]="G",SUM(P794:P797),IF(LEFT(ResultsTeams[[#This Row],[Type]],1)="P",IF(ResultsTeams[[#This Row],[Goal-A]]&lt;ResultsTeams[[#This Row],[Goal-B]],1,0),""))</f>
        <v>0</v>
      </c>
      <c r="Q793" s="265">
        <f>IF(ResultsTeams[[#This Row],[Type]]="G",SUM(Q794:Q797),IF(LEFT(ResultsTeams[[#This Row],[Type]],1)="P",VALUE(ResultsTeams[[#This Row],[Score-A]]),""))</f>
        <v>0</v>
      </c>
      <c r="R793" s="265">
        <f>IF(ResultsTeams[[#This Row],[Type]]="G",SUM(R794:R797),IF(LEFT(ResultsTeams[[#This Row],[Type]],1)="P",VALUE(ResultsTeams[[#This Row],[Score-B]]),""))</f>
        <v>0</v>
      </c>
      <c r="S793" s="265" t="str">
        <f ca="1">IF(AND(ResultsTeams[[#This Row],[Category]]&lt;&gt;"",ResultsTeams[[#This Row],[Team A]]&lt;&gt;""),COUNTIF(INDIRECT("TeamsList[Club Name]"),ResultsTeams[[#This Row],[Team A]]),"")</f>
        <v/>
      </c>
      <c r="T793" s="265" t="str">
        <f ca="1">IF(AND(ResultsTeams[[#This Row],[Category]]&lt;&gt;"",ResultsTeams[[#This Row],[Team B]]&lt;&gt;""),COUNTIF(INDIRECT("TeamsList[Club Name]"),ResultsTeams[[#This Row],[Team B]]),"")</f>
        <v/>
      </c>
      <c r="U7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3" s="265" t="str">
        <f>IF(ResultsTeams[[#This Row],[Score_OK]],IF(ResultsTeams[[#This Row],[StageCpy]]="Groups",ResultsTeams[[#This Row],[Category]]&amp;"-"&amp;IF(ResultsTeams[[#This Row],[Team B]]="","",IF(ResultsTeams[[#This Row],[Match-A]]=ResultsTeams[[#This Row],[Match-B]],ResultsTeams[[#This Row],[Team A]],"")),""),"")</f>
        <v/>
      </c>
      <c r="W793" s="265" t="str">
        <f>IF(ResultsTeams[[#This Row],[Score_OK]],IF(ResultsTeams[[#This Row],[StageCpy]]="Groups",ResultsTeams[[#This Row],[Category]]&amp;"-"&amp;IF(ResultsTeams[[#This Row],[Team B]]="","",IF(ResultsTeams[[#This Row],[Match-A]]=ResultsTeams[[#This Row],[Match-B]],ResultsTeams[[#This Row],[Team B]],"")),""),"")</f>
        <v/>
      </c>
      <c r="X7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3" s="264" t="str">
        <f>IF(ResultsTeams[[#This Row],[Category]]="","",VLOOKUP(ResultsTeams[[#This Row],[Stage]],$R$1:$T$8,MATCH(ResultsTeams[[#This Row],[Category]],$S$1:$T$1,0)+1,FALSE))</f>
        <v/>
      </c>
      <c r="AC7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3" s="264">
        <f>IF(ResultsTeams[[#This Row],[Type]]="G",ResultsTeams[[#This Row],[Stage]],AD792)</f>
        <v>0</v>
      </c>
      <c r="AE793" s="395" t="e">
        <f>IF(ResultsTeams[[#This Row],[Type]]="G",INDEX(TeamsList[Club Name],MATCH(ResultsTeams[[#This Row],[Team A]],TeamsList[Team Name],0)),AE792)</f>
        <v>#N/A</v>
      </c>
      <c r="AF793" s="395" t="e">
        <f>IF(ResultsTeams[[#This Row],[Type]]="G",INDEX(TeamsList[Club Name],MATCH(ResultsTeams[[#This Row],[Team B]],TeamsList[Team Name],0)),AF792)</f>
        <v>#N/A</v>
      </c>
      <c r="AG793" s="265"/>
    </row>
    <row r="794" spans="1:33" x14ac:dyDescent="0.2">
      <c r="A794" s="62"/>
      <c r="B794" s="62"/>
      <c r="C794" s="62"/>
      <c r="D794" s="62"/>
      <c r="E794" s="241" t="s">
        <v>12243</v>
      </c>
      <c r="F794" s="247"/>
      <c r="G794" s="247"/>
      <c r="H794" s="254"/>
      <c r="I794" s="254"/>
      <c r="J794" s="260"/>
      <c r="K794" s="364"/>
      <c r="L794" s="364"/>
      <c r="M794" s="247"/>
      <c r="N794" s="265" t="b">
        <f>NOT(ISERROR(ResultsTeams[[#This Row],[Goal-A]]+ResultsTeams[[#This Row],[Goal-B]]))</f>
        <v>0</v>
      </c>
      <c r="O794" s="265" t="str">
        <f>IF(ResultsTeams[[#This Row],[Type]]="G",SUM(O795:O798),IF(LEFT(ResultsTeams[[#This Row],[Type]],1)="P",IF(ResultsTeams[[#This Row],[Goal-A]]&gt;ResultsTeams[[#This Row],[Goal-B]],1,0),""))</f>
        <v/>
      </c>
      <c r="P794" s="265" t="str">
        <f>IF(ResultsTeams[[#This Row],[Type]]="G",SUM(P795:P798),IF(LEFT(ResultsTeams[[#This Row],[Type]],1)="P",IF(ResultsTeams[[#This Row],[Goal-A]]&lt;ResultsTeams[[#This Row],[Goal-B]],1,0),""))</f>
        <v/>
      </c>
      <c r="Q794" s="265" t="str">
        <f>IF(ResultsTeams[[#This Row],[Type]]="G",SUM(Q795:Q798),IF(LEFT(ResultsTeams[[#This Row],[Type]],1)="P",VALUE(ResultsTeams[[#This Row],[Score-A]]),""))</f>
        <v/>
      </c>
      <c r="R794" s="265" t="str">
        <f>IF(ResultsTeams[[#This Row],[Type]]="G",SUM(R795:R798),IF(LEFT(ResultsTeams[[#This Row],[Type]],1)="P",VALUE(ResultsTeams[[#This Row],[Score-B]]),""))</f>
        <v/>
      </c>
      <c r="S794" s="265" t="str">
        <f ca="1">IF(AND(ResultsTeams[[#This Row],[Category]]&lt;&gt;"",ResultsTeams[[#This Row],[Team A]]&lt;&gt;""),COUNTIF(INDIRECT("TeamsList[Club Name]"),ResultsTeams[[#This Row],[Team A]]),"")</f>
        <v/>
      </c>
      <c r="T794" s="265" t="str">
        <f ca="1">IF(AND(ResultsTeams[[#This Row],[Category]]&lt;&gt;"",ResultsTeams[[#This Row],[Team B]]&lt;&gt;""),COUNTIF(INDIRECT("TeamsList[Club Name]"),ResultsTeams[[#This Row],[Team B]]),"")</f>
        <v/>
      </c>
      <c r="U7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4" s="265" t="str">
        <f>IF(ResultsTeams[[#This Row],[Score_OK]],IF(ResultsTeams[[#This Row],[StageCpy]]="Groups",ResultsTeams[[#This Row],[Category]]&amp;"-"&amp;IF(ResultsTeams[[#This Row],[Team B]]="","",IF(ResultsTeams[[#This Row],[Match-A]]=ResultsTeams[[#This Row],[Match-B]],ResultsTeams[[#This Row],[Team A]],"")),""),"")</f>
        <v/>
      </c>
      <c r="W794" s="265" t="str">
        <f>IF(ResultsTeams[[#This Row],[Score_OK]],IF(ResultsTeams[[#This Row],[StageCpy]]="Groups",ResultsTeams[[#This Row],[Category]]&amp;"-"&amp;IF(ResultsTeams[[#This Row],[Team B]]="","",IF(ResultsTeams[[#This Row],[Match-A]]=ResultsTeams[[#This Row],[Match-B]],ResultsTeams[[#This Row],[Team B]],"")),""),"")</f>
        <v/>
      </c>
      <c r="X7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4" s="264" t="str">
        <f>IF(ResultsTeams[[#This Row],[Category]]="","",VLOOKUP(ResultsTeams[[#This Row],[Stage]],$R$1:$T$8,MATCH(ResultsTeams[[#This Row],[Category]],$S$1:$T$1,0)+1,FALSE))</f>
        <v/>
      </c>
      <c r="AC7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4" s="264">
        <f>IF(ResultsTeams[[#This Row],[Type]]="G",ResultsTeams[[#This Row],[Stage]],AD793)</f>
        <v>0</v>
      </c>
      <c r="AE794" s="395" t="e">
        <f>IF(ResultsTeams[[#This Row],[Type]]="G",INDEX(TeamsList[Club Name],MATCH(ResultsTeams[[#This Row],[Team A]],TeamsList[Team Name],0)),AE793)</f>
        <v>#N/A</v>
      </c>
      <c r="AF794" s="395" t="e">
        <f>IF(ResultsTeams[[#This Row],[Type]]="G",INDEX(TeamsList[Club Name],MATCH(ResultsTeams[[#This Row],[Team B]],TeamsList[Team Name],0)),AF793)</f>
        <v>#N/A</v>
      </c>
      <c r="AG794" s="265"/>
    </row>
    <row r="795" spans="1:33" ht="12" thickBot="1" x14ac:dyDescent="0.25">
      <c r="A795" s="83"/>
      <c r="B795" s="83"/>
      <c r="C795" s="83"/>
      <c r="D795" s="83"/>
      <c r="E795" s="268" t="s">
        <v>12244</v>
      </c>
      <c r="F795" s="262"/>
      <c r="G795" s="262"/>
      <c r="H795" s="324"/>
      <c r="I795" s="324"/>
      <c r="J795" s="263"/>
      <c r="K795" s="365"/>
      <c r="L795" s="365"/>
      <c r="M795" s="262"/>
      <c r="N795" s="265" t="b">
        <f>NOT(ISERROR(ResultsTeams[[#This Row],[Goal-A]]+ResultsTeams[[#This Row],[Goal-B]]))</f>
        <v>0</v>
      </c>
      <c r="O795" s="265" t="str">
        <f>IF(ResultsTeams[[#This Row],[Type]]="G",SUM(O796:O799),IF(LEFT(ResultsTeams[[#This Row],[Type]],1)="P",IF(ResultsTeams[[#This Row],[Goal-A]]&gt;ResultsTeams[[#This Row],[Goal-B]],1,0),""))</f>
        <v/>
      </c>
      <c r="P795" s="265" t="str">
        <f>IF(ResultsTeams[[#This Row],[Type]]="G",SUM(P796:P799),IF(LEFT(ResultsTeams[[#This Row],[Type]],1)="P",IF(ResultsTeams[[#This Row],[Goal-A]]&lt;ResultsTeams[[#This Row],[Goal-B]],1,0),""))</f>
        <v/>
      </c>
      <c r="Q795" s="265" t="str">
        <f>IF(ResultsTeams[[#This Row],[Type]]="G",SUM(Q796:Q799),IF(LEFT(ResultsTeams[[#This Row],[Type]],1)="P",VALUE(ResultsTeams[[#This Row],[Score-A]]),""))</f>
        <v/>
      </c>
      <c r="R795" s="265" t="str">
        <f>IF(ResultsTeams[[#This Row],[Type]]="G",SUM(R796:R799),IF(LEFT(ResultsTeams[[#This Row],[Type]],1)="P",VALUE(ResultsTeams[[#This Row],[Score-B]]),""))</f>
        <v/>
      </c>
      <c r="S795" s="265" t="str">
        <f ca="1">IF(AND(ResultsTeams[[#This Row],[Category]]&lt;&gt;"",ResultsTeams[[#This Row],[Team A]]&lt;&gt;""),COUNTIF(INDIRECT("TeamsList[Club Name]"),ResultsTeams[[#This Row],[Team A]]),"")</f>
        <v/>
      </c>
      <c r="T795" s="265" t="str">
        <f ca="1">IF(AND(ResultsTeams[[#This Row],[Category]]&lt;&gt;"",ResultsTeams[[#This Row],[Team B]]&lt;&gt;""),COUNTIF(INDIRECT("TeamsList[Club Name]"),ResultsTeams[[#This Row],[Team B]]),"")</f>
        <v/>
      </c>
      <c r="U7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5" s="265" t="str">
        <f>IF(ResultsTeams[[#This Row],[Score_OK]],IF(ResultsTeams[[#This Row],[StageCpy]]="Groups",ResultsTeams[[#This Row],[Category]]&amp;"-"&amp;IF(ResultsTeams[[#This Row],[Team B]]="","",IF(ResultsTeams[[#This Row],[Match-A]]=ResultsTeams[[#This Row],[Match-B]],ResultsTeams[[#This Row],[Team A]],"")),""),"")</f>
        <v/>
      </c>
      <c r="W795" s="265" t="str">
        <f>IF(ResultsTeams[[#This Row],[Score_OK]],IF(ResultsTeams[[#This Row],[StageCpy]]="Groups",ResultsTeams[[#This Row],[Category]]&amp;"-"&amp;IF(ResultsTeams[[#This Row],[Team B]]="","",IF(ResultsTeams[[#This Row],[Match-A]]=ResultsTeams[[#This Row],[Match-B]],ResultsTeams[[#This Row],[Team B]],"")),""),"")</f>
        <v/>
      </c>
      <c r="X7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5" s="264" t="str">
        <f>IF(ResultsTeams[[#This Row],[Category]]="","",VLOOKUP(ResultsTeams[[#This Row],[Stage]],$R$1:$T$8,MATCH(ResultsTeams[[#This Row],[Category]],$S$1:$T$1,0)+1,FALSE))</f>
        <v/>
      </c>
      <c r="AC7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5" s="264">
        <f>IF(ResultsTeams[[#This Row],[Type]]="G",ResultsTeams[[#This Row],[Stage]],AD794)</f>
        <v>0</v>
      </c>
      <c r="AE795" s="395" t="e">
        <f>IF(ResultsTeams[[#This Row],[Type]]="G",INDEX(TeamsList[Club Name],MATCH(ResultsTeams[[#This Row],[Team A]],TeamsList[Team Name],0)),AE794)</f>
        <v>#N/A</v>
      </c>
      <c r="AF795" s="395" t="e">
        <f>IF(ResultsTeams[[#This Row],[Type]]="G",INDEX(TeamsList[Club Name],MATCH(ResultsTeams[[#This Row],[Team B]],TeamsList[Team Name],0)),AF794)</f>
        <v>#N/A</v>
      </c>
      <c r="AG795" s="265"/>
    </row>
    <row r="796" spans="1:33" ht="12" thickBot="1" x14ac:dyDescent="0.25">
      <c r="A796" s="261"/>
      <c r="B796" s="270"/>
      <c r="C796" s="270"/>
      <c r="D796" s="270"/>
      <c r="E796" s="272" t="s">
        <v>12228</v>
      </c>
      <c r="F796" s="273"/>
      <c r="G796" s="273"/>
      <c r="H796" s="275"/>
      <c r="I796" s="275"/>
      <c r="J796" s="275"/>
      <c r="K796" s="366"/>
      <c r="L796" s="366"/>
      <c r="M796" s="274"/>
      <c r="N796" s="265" t="b">
        <f>NOT(ISERROR(ResultsTeams[[#This Row],[Goal-A]]+ResultsTeams[[#This Row],[Goal-B]]))</f>
        <v>1</v>
      </c>
      <c r="O796" s="265">
        <f>IF(ResultsTeams[[#This Row],[Type]]="G",SUM(O797:O800),IF(LEFT(ResultsTeams[[#This Row],[Type]],1)="P",IF(ResultsTeams[[#This Row],[Goal-A]]&gt;ResultsTeams[[#This Row],[Goal-B]],1,0),""))</f>
        <v>0</v>
      </c>
      <c r="P796" s="265">
        <f>IF(ResultsTeams[[#This Row],[Type]]="G",SUM(P797:P800),IF(LEFT(ResultsTeams[[#This Row],[Type]],1)="P",IF(ResultsTeams[[#This Row],[Goal-A]]&lt;ResultsTeams[[#This Row],[Goal-B]],1,0),""))</f>
        <v>0</v>
      </c>
      <c r="Q796" s="265">
        <f>IF(ResultsTeams[[#This Row],[Type]]="G",SUM(Q797:Q800),IF(LEFT(ResultsTeams[[#This Row],[Type]],1)="P",VALUE(ResultsTeams[[#This Row],[Score-A]]),""))</f>
        <v>0</v>
      </c>
      <c r="R796" s="265">
        <f>IF(ResultsTeams[[#This Row],[Type]]="G",SUM(R797:R800),IF(LEFT(ResultsTeams[[#This Row],[Type]],1)="P",VALUE(ResultsTeams[[#This Row],[Score-B]]),""))</f>
        <v>0</v>
      </c>
      <c r="S796" s="265" t="str">
        <f ca="1">IF(AND(ResultsTeams[[#This Row],[Category]]&lt;&gt;"",ResultsTeams[[#This Row],[Team A]]&lt;&gt;""),COUNTIF(INDIRECT("TeamsList[Club Name]"),ResultsTeams[[#This Row],[Team A]]),"")</f>
        <v/>
      </c>
      <c r="T796" s="265" t="str">
        <f ca="1">IF(AND(ResultsTeams[[#This Row],[Category]]&lt;&gt;"",ResultsTeams[[#This Row],[Team B]]&lt;&gt;""),COUNTIF(INDIRECT("TeamsList[Club Name]"),ResultsTeams[[#This Row],[Team B]]),"")</f>
        <v/>
      </c>
      <c r="U7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6" s="265" t="str">
        <f>IF(ResultsTeams[[#This Row],[Score_OK]],IF(ResultsTeams[[#This Row],[StageCpy]]="Groups",ResultsTeams[[#This Row],[Category]]&amp;"-"&amp;IF(ResultsTeams[[#This Row],[Team B]]="","",IF(ResultsTeams[[#This Row],[Match-A]]=ResultsTeams[[#This Row],[Match-B]],ResultsTeams[[#This Row],[Team A]],"")),""),"")</f>
        <v/>
      </c>
      <c r="W796" s="265" t="str">
        <f>IF(ResultsTeams[[#This Row],[Score_OK]],IF(ResultsTeams[[#This Row],[StageCpy]]="Groups",ResultsTeams[[#This Row],[Category]]&amp;"-"&amp;IF(ResultsTeams[[#This Row],[Team B]]="","",IF(ResultsTeams[[#This Row],[Match-A]]=ResultsTeams[[#This Row],[Match-B]],ResultsTeams[[#This Row],[Team B]],"")),""),"")</f>
        <v/>
      </c>
      <c r="X7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7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6" s="264" t="str">
        <f>IF(ResultsTeams[[#This Row],[Category]]="","",VLOOKUP(ResultsTeams[[#This Row],[Stage]],$R$1:$T$8,MATCH(ResultsTeams[[#This Row],[Category]],$S$1:$T$1,0)+1,FALSE))</f>
        <v/>
      </c>
      <c r="AC7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6" s="264">
        <f>IF(ResultsTeams[[#This Row],[Type]]="G",ResultsTeams[[#This Row],[Stage]],AD795)</f>
        <v>0</v>
      </c>
      <c r="AE796" s="395" t="e">
        <f>IF(ResultsTeams[[#This Row],[Type]]="G",INDEX(TeamsList[Club Name],MATCH(ResultsTeams[[#This Row],[Team A]],TeamsList[Team Name],0)),AE795)</f>
        <v>#N/A</v>
      </c>
      <c r="AF796" s="395" t="e">
        <f>IF(ResultsTeams[[#This Row],[Type]]="G",INDEX(TeamsList[Club Name],MATCH(ResultsTeams[[#This Row],[Team B]],TeamsList[Team Name],0)),AF795)</f>
        <v>#N/A</v>
      </c>
      <c r="AG796" s="265"/>
    </row>
    <row r="797" spans="1:33" x14ac:dyDescent="0.2">
      <c r="A797" s="60"/>
      <c r="B797" s="280"/>
      <c r="C797" s="60"/>
      <c r="D797" s="60"/>
      <c r="E797" s="240" t="s">
        <v>12231</v>
      </c>
      <c r="F797" s="244"/>
      <c r="G797" s="244"/>
      <c r="H797" s="253"/>
      <c r="I797" s="253"/>
      <c r="J797" s="253"/>
      <c r="K797" s="362"/>
      <c r="L797" s="362"/>
      <c r="M797" s="245"/>
      <c r="N797" s="265" t="b">
        <f>NOT(ISERROR(ResultsTeams[[#This Row],[Goal-A]]+ResultsTeams[[#This Row],[Goal-B]]))</f>
        <v>1</v>
      </c>
      <c r="O797" s="265">
        <f>IF(ResultsTeams[[#This Row],[Type]]="G",SUM(O798:O801),IF(LEFT(ResultsTeams[[#This Row],[Type]],1)="P",IF(ResultsTeams[[#This Row],[Goal-A]]&gt;ResultsTeams[[#This Row],[Goal-B]],1,0),""))</f>
        <v>0</v>
      </c>
      <c r="P797" s="265">
        <f>IF(ResultsTeams[[#This Row],[Type]]="G",SUM(P798:P801),IF(LEFT(ResultsTeams[[#This Row],[Type]],1)="P",IF(ResultsTeams[[#This Row],[Goal-A]]&lt;ResultsTeams[[#This Row],[Goal-B]],1,0),""))</f>
        <v>0</v>
      </c>
      <c r="Q797" s="265">
        <f>IF(ResultsTeams[[#This Row],[Type]]="G",SUM(Q798:Q801),IF(LEFT(ResultsTeams[[#This Row],[Type]],1)="P",VALUE(ResultsTeams[[#This Row],[Score-A]]),""))</f>
        <v>0</v>
      </c>
      <c r="R797" s="265">
        <f>IF(ResultsTeams[[#This Row],[Type]]="G",SUM(R798:R801),IF(LEFT(ResultsTeams[[#This Row],[Type]],1)="P",VALUE(ResultsTeams[[#This Row],[Score-B]]),""))</f>
        <v>0</v>
      </c>
      <c r="S797" s="265" t="str">
        <f ca="1">IF(AND(ResultsTeams[[#This Row],[Category]]&lt;&gt;"",ResultsTeams[[#This Row],[Team A]]&lt;&gt;""),COUNTIF(INDIRECT("TeamsList[Club Name]"),ResultsTeams[[#This Row],[Team A]]),"")</f>
        <v/>
      </c>
      <c r="T797" s="265" t="str">
        <f ca="1">IF(AND(ResultsTeams[[#This Row],[Category]]&lt;&gt;"",ResultsTeams[[#This Row],[Team B]]&lt;&gt;""),COUNTIF(INDIRECT("TeamsList[Club Name]"),ResultsTeams[[#This Row],[Team B]]),"")</f>
        <v/>
      </c>
      <c r="U7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7" s="265" t="str">
        <f>IF(ResultsTeams[[#This Row],[Score_OK]],IF(ResultsTeams[[#This Row],[StageCpy]]="Groups",ResultsTeams[[#This Row],[Category]]&amp;"-"&amp;IF(ResultsTeams[[#This Row],[Team B]]="","",IF(ResultsTeams[[#This Row],[Match-A]]=ResultsTeams[[#This Row],[Match-B]],ResultsTeams[[#This Row],[Team A]],"")),""),"")</f>
        <v/>
      </c>
      <c r="W797" s="265" t="str">
        <f>IF(ResultsTeams[[#This Row],[Score_OK]],IF(ResultsTeams[[#This Row],[StageCpy]]="Groups",ResultsTeams[[#This Row],[Category]]&amp;"-"&amp;IF(ResultsTeams[[#This Row],[Team B]]="","",IF(ResultsTeams[[#This Row],[Match-A]]=ResultsTeams[[#This Row],[Match-B]],ResultsTeams[[#This Row],[Team B]],"")),""),"")</f>
        <v/>
      </c>
      <c r="X7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7" s="264" t="str">
        <f>IF(ResultsTeams[[#This Row],[Category]]="","",VLOOKUP(ResultsTeams[[#This Row],[Stage]],$R$1:$T$8,MATCH(ResultsTeams[[#This Row],[Category]],$S$1:$T$1,0)+1,FALSE))</f>
        <v/>
      </c>
      <c r="AC7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7" s="264">
        <f>IF(ResultsTeams[[#This Row],[Type]]="G",ResultsTeams[[#This Row],[Stage]],AD796)</f>
        <v>0</v>
      </c>
      <c r="AE797" s="395" t="e">
        <f>IF(ResultsTeams[[#This Row],[Type]]="G",INDEX(TeamsList[Club Name],MATCH(ResultsTeams[[#This Row],[Team A]],TeamsList[Team Name],0)),AE796)</f>
        <v>#N/A</v>
      </c>
      <c r="AF797" s="395" t="e">
        <f>IF(ResultsTeams[[#This Row],[Type]]="G",INDEX(TeamsList[Club Name],MATCH(ResultsTeams[[#This Row],[Team B]],TeamsList[Team Name],0)),AF796)</f>
        <v>#N/A</v>
      </c>
      <c r="AG797" s="265"/>
    </row>
    <row r="798" spans="1:33" x14ac:dyDescent="0.2">
      <c r="A798" s="62"/>
      <c r="B798" s="280"/>
      <c r="C798" s="62"/>
      <c r="D798" s="62"/>
      <c r="E798" s="241" t="s">
        <v>12234</v>
      </c>
      <c r="F798" s="246"/>
      <c r="G798" s="246"/>
      <c r="H798" s="254"/>
      <c r="I798" s="254"/>
      <c r="J798" s="254"/>
      <c r="K798" s="363"/>
      <c r="L798" s="363"/>
      <c r="M798" s="247"/>
      <c r="N798" s="265" t="b">
        <f>NOT(ISERROR(ResultsTeams[[#This Row],[Goal-A]]+ResultsTeams[[#This Row],[Goal-B]]))</f>
        <v>1</v>
      </c>
      <c r="O798" s="265">
        <f>IF(ResultsTeams[[#This Row],[Type]]="G",SUM(O799:O802),IF(LEFT(ResultsTeams[[#This Row],[Type]],1)="P",IF(ResultsTeams[[#This Row],[Goal-A]]&gt;ResultsTeams[[#This Row],[Goal-B]],1,0),""))</f>
        <v>0</v>
      </c>
      <c r="P798" s="265">
        <f>IF(ResultsTeams[[#This Row],[Type]]="G",SUM(P799:P802),IF(LEFT(ResultsTeams[[#This Row],[Type]],1)="P",IF(ResultsTeams[[#This Row],[Goal-A]]&lt;ResultsTeams[[#This Row],[Goal-B]],1,0),""))</f>
        <v>0</v>
      </c>
      <c r="Q798" s="265">
        <f>IF(ResultsTeams[[#This Row],[Type]]="G",SUM(Q799:Q802),IF(LEFT(ResultsTeams[[#This Row],[Type]],1)="P",VALUE(ResultsTeams[[#This Row],[Score-A]]),""))</f>
        <v>0</v>
      </c>
      <c r="R798" s="265">
        <f>IF(ResultsTeams[[#This Row],[Type]]="G",SUM(R799:R802),IF(LEFT(ResultsTeams[[#This Row],[Type]],1)="P",VALUE(ResultsTeams[[#This Row],[Score-B]]),""))</f>
        <v>0</v>
      </c>
      <c r="S798" s="265" t="str">
        <f ca="1">IF(AND(ResultsTeams[[#This Row],[Category]]&lt;&gt;"",ResultsTeams[[#This Row],[Team A]]&lt;&gt;""),COUNTIF(INDIRECT("TeamsList[Club Name]"),ResultsTeams[[#This Row],[Team A]]),"")</f>
        <v/>
      </c>
      <c r="T798" s="265" t="str">
        <f ca="1">IF(AND(ResultsTeams[[#This Row],[Category]]&lt;&gt;"",ResultsTeams[[#This Row],[Team B]]&lt;&gt;""),COUNTIF(INDIRECT("TeamsList[Club Name]"),ResultsTeams[[#This Row],[Team B]]),"")</f>
        <v/>
      </c>
      <c r="U7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8" s="265" t="str">
        <f>IF(ResultsTeams[[#This Row],[Score_OK]],IF(ResultsTeams[[#This Row],[StageCpy]]="Groups",ResultsTeams[[#This Row],[Category]]&amp;"-"&amp;IF(ResultsTeams[[#This Row],[Team B]]="","",IF(ResultsTeams[[#This Row],[Match-A]]=ResultsTeams[[#This Row],[Match-B]],ResultsTeams[[#This Row],[Team A]],"")),""),"")</f>
        <v/>
      </c>
      <c r="W798" s="265" t="str">
        <f>IF(ResultsTeams[[#This Row],[Score_OK]],IF(ResultsTeams[[#This Row],[StageCpy]]="Groups",ResultsTeams[[#This Row],[Category]]&amp;"-"&amp;IF(ResultsTeams[[#This Row],[Team B]]="","",IF(ResultsTeams[[#This Row],[Match-A]]=ResultsTeams[[#This Row],[Match-B]],ResultsTeams[[#This Row],[Team B]],"")),""),"")</f>
        <v/>
      </c>
      <c r="X7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8" s="264" t="str">
        <f>IF(ResultsTeams[[#This Row],[Category]]="","",VLOOKUP(ResultsTeams[[#This Row],[Stage]],$R$1:$T$8,MATCH(ResultsTeams[[#This Row],[Category]],$S$1:$T$1,0)+1,FALSE))</f>
        <v/>
      </c>
      <c r="AC7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8" s="264">
        <f>IF(ResultsTeams[[#This Row],[Type]]="G",ResultsTeams[[#This Row],[Stage]],AD797)</f>
        <v>0</v>
      </c>
      <c r="AE798" s="395" t="e">
        <f>IF(ResultsTeams[[#This Row],[Type]]="G",INDEX(TeamsList[Club Name],MATCH(ResultsTeams[[#This Row],[Team A]],TeamsList[Team Name],0)),AE797)</f>
        <v>#N/A</v>
      </c>
      <c r="AF798" s="395" t="e">
        <f>IF(ResultsTeams[[#This Row],[Type]]="G",INDEX(TeamsList[Club Name],MATCH(ResultsTeams[[#This Row],[Team B]],TeamsList[Team Name],0)),AF797)</f>
        <v>#N/A</v>
      </c>
      <c r="AG798" s="265"/>
    </row>
    <row r="799" spans="1:33" x14ac:dyDescent="0.2">
      <c r="A799" s="62"/>
      <c r="B799" s="280"/>
      <c r="C799" s="62"/>
      <c r="D799" s="62"/>
      <c r="E799" s="241" t="s">
        <v>12237</v>
      </c>
      <c r="F799" s="246"/>
      <c r="G799" s="246"/>
      <c r="H799" s="254"/>
      <c r="I799" s="254"/>
      <c r="J799" s="254"/>
      <c r="K799" s="363"/>
      <c r="L799" s="363"/>
      <c r="M799" s="247"/>
      <c r="N799" s="265" t="b">
        <f>NOT(ISERROR(ResultsTeams[[#This Row],[Goal-A]]+ResultsTeams[[#This Row],[Goal-B]]))</f>
        <v>1</v>
      </c>
      <c r="O799" s="265">
        <f>IF(ResultsTeams[[#This Row],[Type]]="G",SUM(O800:O803),IF(LEFT(ResultsTeams[[#This Row],[Type]],1)="P",IF(ResultsTeams[[#This Row],[Goal-A]]&gt;ResultsTeams[[#This Row],[Goal-B]],1,0),""))</f>
        <v>0</v>
      </c>
      <c r="P799" s="265">
        <f>IF(ResultsTeams[[#This Row],[Type]]="G",SUM(P800:P803),IF(LEFT(ResultsTeams[[#This Row],[Type]],1)="P",IF(ResultsTeams[[#This Row],[Goal-A]]&lt;ResultsTeams[[#This Row],[Goal-B]],1,0),""))</f>
        <v>0</v>
      </c>
      <c r="Q799" s="265">
        <f>IF(ResultsTeams[[#This Row],[Type]]="G",SUM(Q800:Q803),IF(LEFT(ResultsTeams[[#This Row],[Type]],1)="P",VALUE(ResultsTeams[[#This Row],[Score-A]]),""))</f>
        <v>0</v>
      </c>
      <c r="R799" s="265">
        <f>IF(ResultsTeams[[#This Row],[Type]]="G",SUM(R800:R803),IF(LEFT(ResultsTeams[[#This Row],[Type]],1)="P",VALUE(ResultsTeams[[#This Row],[Score-B]]),""))</f>
        <v>0</v>
      </c>
      <c r="S799" s="265" t="str">
        <f ca="1">IF(AND(ResultsTeams[[#This Row],[Category]]&lt;&gt;"",ResultsTeams[[#This Row],[Team A]]&lt;&gt;""),COUNTIF(INDIRECT("TeamsList[Club Name]"),ResultsTeams[[#This Row],[Team A]]),"")</f>
        <v/>
      </c>
      <c r="T799" s="265" t="str">
        <f ca="1">IF(AND(ResultsTeams[[#This Row],[Category]]&lt;&gt;"",ResultsTeams[[#This Row],[Team B]]&lt;&gt;""),COUNTIF(INDIRECT("TeamsList[Club Name]"),ResultsTeams[[#This Row],[Team B]]),"")</f>
        <v/>
      </c>
      <c r="U7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9" s="265" t="str">
        <f>IF(ResultsTeams[[#This Row],[Score_OK]],IF(ResultsTeams[[#This Row],[StageCpy]]="Groups",ResultsTeams[[#This Row],[Category]]&amp;"-"&amp;IF(ResultsTeams[[#This Row],[Team B]]="","",IF(ResultsTeams[[#This Row],[Match-A]]=ResultsTeams[[#This Row],[Match-B]],ResultsTeams[[#This Row],[Team A]],"")),""),"")</f>
        <v/>
      </c>
      <c r="W799" s="265" t="str">
        <f>IF(ResultsTeams[[#This Row],[Score_OK]],IF(ResultsTeams[[#This Row],[StageCpy]]="Groups",ResultsTeams[[#This Row],[Category]]&amp;"-"&amp;IF(ResultsTeams[[#This Row],[Team B]]="","",IF(ResultsTeams[[#This Row],[Match-A]]=ResultsTeams[[#This Row],[Match-B]],ResultsTeams[[#This Row],[Team B]],"")),""),"")</f>
        <v/>
      </c>
      <c r="X7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9" s="264" t="str">
        <f>IF(ResultsTeams[[#This Row],[Category]]="","",VLOOKUP(ResultsTeams[[#This Row],[Stage]],$R$1:$T$8,MATCH(ResultsTeams[[#This Row],[Category]],$S$1:$T$1,0)+1,FALSE))</f>
        <v/>
      </c>
      <c r="AC7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9" s="264">
        <f>IF(ResultsTeams[[#This Row],[Type]]="G",ResultsTeams[[#This Row],[Stage]],AD798)</f>
        <v>0</v>
      </c>
      <c r="AE799" s="395" t="e">
        <f>IF(ResultsTeams[[#This Row],[Type]]="G",INDEX(TeamsList[Club Name],MATCH(ResultsTeams[[#This Row],[Team A]],TeamsList[Team Name],0)),AE798)</f>
        <v>#N/A</v>
      </c>
      <c r="AF799" s="395" t="e">
        <f>IF(ResultsTeams[[#This Row],[Type]]="G",INDEX(TeamsList[Club Name],MATCH(ResultsTeams[[#This Row],[Team B]],TeamsList[Team Name],0)),AF798)</f>
        <v>#N/A</v>
      </c>
      <c r="AG799" s="265"/>
    </row>
    <row r="800" spans="1:33" x14ac:dyDescent="0.2">
      <c r="A800" s="62"/>
      <c r="B800" s="280"/>
      <c r="C800" s="62"/>
      <c r="D800" s="62"/>
      <c r="E800" s="241" t="s">
        <v>12240</v>
      </c>
      <c r="F800" s="246"/>
      <c r="G800" s="246"/>
      <c r="H800" s="254"/>
      <c r="I800" s="254"/>
      <c r="J800" s="254"/>
      <c r="K800" s="363"/>
      <c r="L800" s="363"/>
      <c r="M800" s="247"/>
      <c r="N800" s="265" t="b">
        <f>NOT(ISERROR(ResultsTeams[[#This Row],[Goal-A]]+ResultsTeams[[#This Row],[Goal-B]]))</f>
        <v>1</v>
      </c>
      <c r="O800" s="265">
        <f>IF(ResultsTeams[[#This Row],[Type]]="G",SUM(O801:O804),IF(LEFT(ResultsTeams[[#This Row],[Type]],1)="P",IF(ResultsTeams[[#This Row],[Goal-A]]&gt;ResultsTeams[[#This Row],[Goal-B]],1,0),""))</f>
        <v>0</v>
      </c>
      <c r="P800" s="265">
        <f>IF(ResultsTeams[[#This Row],[Type]]="G",SUM(P801:P804),IF(LEFT(ResultsTeams[[#This Row],[Type]],1)="P",IF(ResultsTeams[[#This Row],[Goal-A]]&lt;ResultsTeams[[#This Row],[Goal-B]],1,0),""))</f>
        <v>0</v>
      </c>
      <c r="Q800" s="265">
        <f>IF(ResultsTeams[[#This Row],[Type]]="G",SUM(Q801:Q804),IF(LEFT(ResultsTeams[[#This Row],[Type]],1)="P",VALUE(ResultsTeams[[#This Row],[Score-A]]),""))</f>
        <v>0</v>
      </c>
      <c r="R800" s="265">
        <f>IF(ResultsTeams[[#This Row],[Type]]="G",SUM(R801:R804),IF(LEFT(ResultsTeams[[#This Row],[Type]],1)="P",VALUE(ResultsTeams[[#This Row],[Score-B]]),""))</f>
        <v>0</v>
      </c>
      <c r="S800" s="265" t="str">
        <f ca="1">IF(AND(ResultsTeams[[#This Row],[Category]]&lt;&gt;"",ResultsTeams[[#This Row],[Team A]]&lt;&gt;""),COUNTIF(INDIRECT("TeamsList[Club Name]"),ResultsTeams[[#This Row],[Team A]]),"")</f>
        <v/>
      </c>
      <c r="T800" s="265" t="str">
        <f ca="1">IF(AND(ResultsTeams[[#This Row],[Category]]&lt;&gt;"",ResultsTeams[[#This Row],[Team B]]&lt;&gt;""),COUNTIF(INDIRECT("TeamsList[Club Name]"),ResultsTeams[[#This Row],[Team B]]),"")</f>
        <v/>
      </c>
      <c r="U8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0" s="265" t="str">
        <f>IF(ResultsTeams[[#This Row],[Score_OK]],IF(ResultsTeams[[#This Row],[StageCpy]]="Groups",ResultsTeams[[#This Row],[Category]]&amp;"-"&amp;IF(ResultsTeams[[#This Row],[Team B]]="","",IF(ResultsTeams[[#This Row],[Match-A]]=ResultsTeams[[#This Row],[Match-B]],ResultsTeams[[#This Row],[Team A]],"")),""),"")</f>
        <v/>
      </c>
      <c r="W800" s="265" t="str">
        <f>IF(ResultsTeams[[#This Row],[Score_OK]],IF(ResultsTeams[[#This Row],[StageCpy]]="Groups",ResultsTeams[[#This Row],[Category]]&amp;"-"&amp;IF(ResultsTeams[[#This Row],[Team B]]="","",IF(ResultsTeams[[#This Row],[Match-A]]=ResultsTeams[[#This Row],[Match-B]],ResultsTeams[[#This Row],[Team B]],"")),""),"")</f>
        <v/>
      </c>
      <c r="X8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0" s="264" t="str">
        <f>IF(ResultsTeams[[#This Row],[Category]]="","",VLOOKUP(ResultsTeams[[#This Row],[Stage]],$R$1:$T$8,MATCH(ResultsTeams[[#This Row],[Category]],$S$1:$T$1,0)+1,FALSE))</f>
        <v/>
      </c>
      <c r="AC8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0" s="264">
        <f>IF(ResultsTeams[[#This Row],[Type]]="G",ResultsTeams[[#This Row],[Stage]],AD799)</f>
        <v>0</v>
      </c>
      <c r="AE800" s="395" t="e">
        <f>IF(ResultsTeams[[#This Row],[Type]]="G",INDEX(TeamsList[Club Name],MATCH(ResultsTeams[[#This Row],[Team A]],TeamsList[Team Name],0)),AE799)</f>
        <v>#N/A</v>
      </c>
      <c r="AF800" s="395" t="e">
        <f>IF(ResultsTeams[[#This Row],[Type]]="G",INDEX(TeamsList[Club Name],MATCH(ResultsTeams[[#This Row],[Team B]],TeamsList[Team Name],0)),AF799)</f>
        <v>#N/A</v>
      </c>
      <c r="AG800" s="265"/>
    </row>
    <row r="801" spans="1:33" x14ac:dyDescent="0.2">
      <c r="A801" s="62"/>
      <c r="B801" s="62"/>
      <c r="C801" s="62"/>
      <c r="D801" s="62"/>
      <c r="E801" s="241" t="s">
        <v>12243</v>
      </c>
      <c r="F801" s="247"/>
      <c r="G801" s="247"/>
      <c r="H801" s="254"/>
      <c r="I801" s="254"/>
      <c r="J801" s="260"/>
      <c r="K801" s="364"/>
      <c r="L801" s="364"/>
      <c r="M801" s="247"/>
      <c r="N801" s="265" t="b">
        <f>NOT(ISERROR(ResultsTeams[[#This Row],[Goal-A]]+ResultsTeams[[#This Row],[Goal-B]]))</f>
        <v>0</v>
      </c>
      <c r="O801" s="265" t="str">
        <f>IF(ResultsTeams[[#This Row],[Type]]="G",SUM(O802:O805),IF(LEFT(ResultsTeams[[#This Row],[Type]],1)="P",IF(ResultsTeams[[#This Row],[Goal-A]]&gt;ResultsTeams[[#This Row],[Goal-B]],1,0),""))</f>
        <v/>
      </c>
      <c r="P801" s="265" t="str">
        <f>IF(ResultsTeams[[#This Row],[Type]]="G",SUM(P802:P805),IF(LEFT(ResultsTeams[[#This Row],[Type]],1)="P",IF(ResultsTeams[[#This Row],[Goal-A]]&lt;ResultsTeams[[#This Row],[Goal-B]],1,0),""))</f>
        <v/>
      </c>
      <c r="Q801" s="265" t="str">
        <f>IF(ResultsTeams[[#This Row],[Type]]="G",SUM(Q802:Q805),IF(LEFT(ResultsTeams[[#This Row],[Type]],1)="P",VALUE(ResultsTeams[[#This Row],[Score-A]]),""))</f>
        <v/>
      </c>
      <c r="R801" s="265" t="str">
        <f>IF(ResultsTeams[[#This Row],[Type]]="G",SUM(R802:R805),IF(LEFT(ResultsTeams[[#This Row],[Type]],1)="P",VALUE(ResultsTeams[[#This Row],[Score-B]]),""))</f>
        <v/>
      </c>
      <c r="S801" s="265" t="str">
        <f ca="1">IF(AND(ResultsTeams[[#This Row],[Category]]&lt;&gt;"",ResultsTeams[[#This Row],[Team A]]&lt;&gt;""),COUNTIF(INDIRECT("TeamsList[Club Name]"),ResultsTeams[[#This Row],[Team A]]),"")</f>
        <v/>
      </c>
      <c r="T801" s="265" t="str">
        <f ca="1">IF(AND(ResultsTeams[[#This Row],[Category]]&lt;&gt;"",ResultsTeams[[#This Row],[Team B]]&lt;&gt;""),COUNTIF(INDIRECT("TeamsList[Club Name]"),ResultsTeams[[#This Row],[Team B]]),"")</f>
        <v/>
      </c>
      <c r="U8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1" s="265" t="str">
        <f>IF(ResultsTeams[[#This Row],[Score_OK]],IF(ResultsTeams[[#This Row],[StageCpy]]="Groups",ResultsTeams[[#This Row],[Category]]&amp;"-"&amp;IF(ResultsTeams[[#This Row],[Team B]]="","",IF(ResultsTeams[[#This Row],[Match-A]]=ResultsTeams[[#This Row],[Match-B]],ResultsTeams[[#This Row],[Team A]],"")),""),"")</f>
        <v/>
      </c>
      <c r="W801" s="265" t="str">
        <f>IF(ResultsTeams[[#This Row],[Score_OK]],IF(ResultsTeams[[#This Row],[StageCpy]]="Groups",ResultsTeams[[#This Row],[Category]]&amp;"-"&amp;IF(ResultsTeams[[#This Row],[Team B]]="","",IF(ResultsTeams[[#This Row],[Match-A]]=ResultsTeams[[#This Row],[Match-B]],ResultsTeams[[#This Row],[Team B]],"")),""),"")</f>
        <v/>
      </c>
      <c r="X8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1" s="264" t="str">
        <f>IF(ResultsTeams[[#This Row],[Category]]="","",VLOOKUP(ResultsTeams[[#This Row],[Stage]],$R$1:$T$8,MATCH(ResultsTeams[[#This Row],[Category]],$S$1:$T$1,0)+1,FALSE))</f>
        <v/>
      </c>
      <c r="AC8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1" s="264">
        <f>IF(ResultsTeams[[#This Row],[Type]]="G",ResultsTeams[[#This Row],[Stage]],AD800)</f>
        <v>0</v>
      </c>
      <c r="AE801" s="395" t="e">
        <f>IF(ResultsTeams[[#This Row],[Type]]="G",INDEX(TeamsList[Club Name],MATCH(ResultsTeams[[#This Row],[Team A]],TeamsList[Team Name],0)),AE800)</f>
        <v>#N/A</v>
      </c>
      <c r="AF801" s="395" t="e">
        <f>IF(ResultsTeams[[#This Row],[Type]]="G",INDEX(TeamsList[Club Name],MATCH(ResultsTeams[[#This Row],[Team B]],TeamsList[Team Name],0)),AF800)</f>
        <v>#N/A</v>
      </c>
      <c r="AG801" s="265"/>
    </row>
    <row r="802" spans="1:33" ht="12" thickBot="1" x14ac:dyDescent="0.25">
      <c r="A802" s="83"/>
      <c r="B802" s="83"/>
      <c r="C802" s="83"/>
      <c r="D802" s="83"/>
      <c r="E802" s="268" t="s">
        <v>12244</v>
      </c>
      <c r="F802" s="262"/>
      <c r="G802" s="262"/>
      <c r="H802" s="324"/>
      <c r="I802" s="324"/>
      <c r="J802" s="263"/>
      <c r="K802" s="365"/>
      <c r="L802" s="365"/>
      <c r="M802" s="262"/>
      <c r="N802" s="265" t="b">
        <f>NOT(ISERROR(ResultsTeams[[#This Row],[Goal-A]]+ResultsTeams[[#This Row],[Goal-B]]))</f>
        <v>0</v>
      </c>
      <c r="O802" s="265" t="str">
        <f>IF(ResultsTeams[[#This Row],[Type]]="G",SUM(O803:O806),IF(LEFT(ResultsTeams[[#This Row],[Type]],1)="P",IF(ResultsTeams[[#This Row],[Goal-A]]&gt;ResultsTeams[[#This Row],[Goal-B]],1,0),""))</f>
        <v/>
      </c>
      <c r="P802" s="265" t="str">
        <f>IF(ResultsTeams[[#This Row],[Type]]="G",SUM(P803:P806),IF(LEFT(ResultsTeams[[#This Row],[Type]],1)="P",IF(ResultsTeams[[#This Row],[Goal-A]]&lt;ResultsTeams[[#This Row],[Goal-B]],1,0),""))</f>
        <v/>
      </c>
      <c r="Q802" s="265" t="str">
        <f>IF(ResultsTeams[[#This Row],[Type]]="G",SUM(Q803:Q806),IF(LEFT(ResultsTeams[[#This Row],[Type]],1)="P",VALUE(ResultsTeams[[#This Row],[Score-A]]),""))</f>
        <v/>
      </c>
      <c r="R802" s="265" t="str">
        <f>IF(ResultsTeams[[#This Row],[Type]]="G",SUM(R803:R806),IF(LEFT(ResultsTeams[[#This Row],[Type]],1)="P",VALUE(ResultsTeams[[#This Row],[Score-B]]),""))</f>
        <v/>
      </c>
      <c r="S802" s="265" t="str">
        <f ca="1">IF(AND(ResultsTeams[[#This Row],[Category]]&lt;&gt;"",ResultsTeams[[#This Row],[Team A]]&lt;&gt;""),COUNTIF(INDIRECT("TeamsList[Club Name]"),ResultsTeams[[#This Row],[Team A]]),"")</f>
        <v/>
      </c>
      <c r="T802" s="265" t="str">
        <f ca="1">IF(AND(ResultsTeams[[#This Row],[Category]]&lt;&gt;"",ResultsTeams[[#This Row],[Team B]]&lt;&gt;""),COUNTIF(INDIRECT("TeamsList[Club Name]"),ResultsTeams[[#This Row],[Team B]]),"")</f>
        <v/>
      </c>
      <c r="U8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2" s="265" t="str">
        <f>IF(ResultsTeams[[#This Row],[Score_OK]],IF(ResultsTeams[[#This Row],[StageCpy]]="Groups",ResultsTeams[[#This Row],[Category]]&amp;"-"&amp;IF(ResultsTeams[[#This Row],[Team B]]="","",IF(ResultsTeams[[#This Row],[Match-A]]=ResultsTeams[[#This Row],[Match-B]],ResultsTeams[[#This Row],[Team A]],"")),""),"")</f>
        <v/>
      </c>
      <c r="W802" s="265" t="str">
        <f>IF(ResultsTeams[[#This Row],[Score_OK]],IF(ResultsTeams[[#This Row],[StageCpy]]="Groups",ResultsTeams[[#This Row],[Category]]&amp;"-"&amp;IF(ResultsTeams[[#This Row],[Team B]]="","",IF(ResultsTeams[[#This Row],[Match-A]]=ResultsTeams[[#This Row],[Match-B]],ResultsTeams[[#This Row],[Team B]],"")),""),"")</f>
        <v/>
      </c>
      <c r="X8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2" s="264" t="str">
        <f>IF(ResultsTeams[[#This Row],[Category]]="","",VLOOKUP(ResultsTeams[[#This Row],[Stage]],$R$1:$T$8,MATCH(ResultsTeams[[#This Row],[Category]],$S$1:$T$1,0)+1,FALSE))</f>
        <v/>
      </c>
      <c r="AC8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2" s="264">
        <f>IF(ResultsTeams[[#This Row],[Type]]="G",ResultsTeams[[#This Row],[Stage]],AD801)</f>
        <v>0</v>
      </c>
      <c r="AE802" s="395" t="e">
        <f>IF(ResultsTeams[[#This Row],[Type]]="G",INDEX(TeamsList[Club Name],MATCH(ResultsTeams[[#This Row],[Team A]],TeamsList[Team Name],0)),AE801)</f>
        <v>#N/A</v>
      </c>
      <c r="AF802" s="395" t="e">
        <f>IF(ResultsTeams[[#This Row],[Type]]="G",INDEX(TeamsList[Club Name],MATCH(ResultsTeams[[#This Row],[Team B]],TeamsList[Team Name],0)),AF801)</f>
        <v>#N/A</v>
      </c>
      <c r="AG802" s="265"/>
    </row>
    <row r="803" spans="1:33" ht="12" thickBot="1" x14ac:dyDescent="0.25">
      <c r="A803" s="261"/>
      <c r="B803" s="270"/>
      <c r="C803" s="270"/>
      <c r="D803" s="270"/>
      <c r="E803" s="272" t="s">
        <v>12228</v>
      </c>
      <c r="F803" s="273"/>
      <c r="G803" s="273"/>
      <c r="H803" s="275"/>
      <c r="I803" s="275"/>
      <c r="J803" s="275"/>
      <c r="K803" s="366"/>
      <c r="L803" s="366"/>
      <c r="M803" s="274"/>
      <c r="N803" s="265" t="b">
        <f>NOT(ISERROR(ResultsTeams[[#This Row],[Goal-A]]+ResultsTeams[[#This Row],[Goal-B]]))</f>
        <v>1</v>
      </c>
      <c r="O803" s="265">
        <f>IF(ResultsTeams[[#This Row],[Type]]="G",SUM(O804:O807),IF(LEFT(ResultsTeams[[#This Row],[Type]],1)="P",IF(ResultsTeams[[#This Row],[Goal-A]]&gt;ResultsTeams[[#This Row],[Goal-B]],1,0),""))</f>
        <v>0</v>
      </c>
      <c r="P803" s="265">
        <f>IF(ResultsTeams[[#This Row],[Type]]="G",SUM(P804:P807),IF(LEFT(ResultsTeams[[#This Row],[Type]],1)="P",IF(ResultsTeams[[#This Row],[Goal-A]]&lt;ResultsTeams[[#This Row],[Goal-B]],1,0),""))</f>
        <v>0</v>
      </c>
      <c r="Q803" s="265">
        <f>IF(ResultsTeams[[#This Row],[Type]]="G",SUM(Q804:Q807),IF(LEFT(ResultsTeams[[#This Row],[Type]],1)="P",VALUE(ResultsTeams[[#This Row],[Score-A]]),""))</f>
        <v>0</v>
      </c>
      <c r="R803" s="265">
        <f>IF(ResultsTeams[[#This Row],[Type]]="G",SUM(R804:R807),IF(LEFT(ResultsTeams[[#This Row],[Type]],1)="P",VALUE(ResultsTeams[[#This Row],[Score-B]]),""))</f>
        <v>0</v>
      </c>
      <c r="S803" s="265" t="str">
        <f ca="1">IF(AND(ResultsTeams[[#This Row],[Category]]&lt;&gt;"",ResultsTeams[[#This Row],[Team A]]&lt;&gt;""),COUNTIF(INDIRECT("TeamsList[Club Name]"),ResultsTeams[[#This Row],[Team A]]),"")</f>
        <v/>
      </c>
      <c r="T803" s="265" t="str">
        <f ca="1">IF(AND(ResultsTeams[[#This Row],[Category]]&lt;&gt;"",ResultsTeams[[#This Row],[Team B]]&lt;&gt;""),COUNTIF(INDIRECT("TeamsList[Club Name]"),ResultsTeams[[#This Row],[Team B]]),"")</f>
        <v/>
      </c>
      <c r="U8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3" s="265" t="str">
        <f>IF(ResultsTeams[[#This Row],[Score_OK]],IF(ResultsTeams[[#This Row],[StageCpy]]="Groups",ResultsTeams[[#This Row],[Category]]&amp;"-"&amp;IF(ResultsTeams[[#This Row],[Team B]]="","",IF(ResultsTeams[[#This Row],[Match-A]]=ResultsTeams[[#This Row],[Match-B]],ResultsTeams[[#This Row],[Team A]],"")),""),"")</f>
        <v/>
      </c>
      <c r="W803" s="265" t="str">
        <f>IF(ResultsTeams[[#This Row],[Score_OK]],IF(ResultsTeams[[#This Row],[StageCpy]]="Groups",ResultsTeams[[#This Row],[Category]]&amp;"-"&amp;IF(ResultsTeams[[#This Row],[Team B]]="","",IF(ResultsTeams[[#This Row],[Match-A]]=ResultsTeams[[#This Row],[Match-B]],ResultsTeams[[#This Row],[Team B]],"")),""),"")</f>
        <v/>
      </c>
      <c r="X8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3" s="264" t="str">
        <f>IF(ResultsTeams[[#This Row],[Category]]="","",VLOOKUP(ResultsTeams[[#This Row],[Stage]],$R$1:$T$8,MATCH(ResultsTeams[[#This Row],[Category]],$S$1:$T$1,0)+1,FALSE))</f>
        <v/>
      </c>
      <c r="AC8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3" s="264">
        <f>IF(ResultsTeams[[#This Row],[Type]]="G",ResultsTeams[[#This Row],[Stage]],AD802)</f>
        <v>0</v>
      </c>
      <c r="AE803" s="395" t="e">
        <f>IF(ResultsTeams[[#This Row],[Type]]="G",INDEX(TeamsList[Club Name],MATCH(ResultsTeams[[#This Row],[Team A]],TeamsList[Team Name],0)),AE802)</f>
        <v>#N/A</v>
      </c>
      <c r="AF803" s="395" t="e">
        <f>IF(ResultsTeams[[#This Row],[Type]]="G",INDEX(TeamsList[Club Name],MATCH(ResultsTeams[[#This Row],[Team B]],TeamsList[Team Name],0)),AF802)</f>
        <v>#N/A</v>
      </c>
      <c r="AG803" s="265"/>
    </row>
    <row r="804" spans="1:33" x14ac:dyDescent="0.2">
      <c r="A804" s="60"/>
      <c r="B804" s="280"/>
      <c r="C804" s="60"/>
      <c r="D804" s="60"/>
      <c r="E804" s="240" t="s">
        <v>12231</v>
      </c>
      <c r="F804" s="244"/>
      <c r="G804" s="244"/>
      <c r="H804" s="253"/>
      <c r="I804" s="253"/>
      <c r="J804" s="253"/>
      <c r="K804" s="362"/>
      <c r="L804" s="362"/>
      <c r="M804" s="245"/>
      <c r="N804" s="265" t="b">
        <f>NOT(ISERROR(ResultsTeams[[#This Row],[Goal-A]]+ResultsTeams[[#This Row],[Goal-B]]))</f>
        <v>1</v>
      </c>
      <c r="O804" s="265">
        <f>IF(ResultsTeams[[#This Row],[Type]]="G",SUM(O805:O808),IF(LEFT(ResultsTeams[[#This Row],[Type]],1)="P",IF(ResultsTeams[[#This Row],[Goal-A]]&gt;ResultsTeams[[#This Row],[Goal-B]],1,0),""))</f>
        <v>0</v>
      </c>
      <c r="P804" s="265">
        <f>IF(ResultsTeams[[#This Row],[Type]]="G",SUM(P805:P808),IF(LEFT(ResultsTeams[[#This Row],[Type]],1)="P",IF(ResultsTeams[[#This Row],[Goal-A]]&lt;ResultsTeams[[#This Row],[Goal-B]],1,0),""))</f>
        <v>0</v>
      </c>
      <c r="Q804" s="265">
        <f>IF(ResultsTeams[[#This Row],[Type]]="G",SUM(Q805:Q808),IF(LEFT(ResultsTeams[[#This Row],[Type]],1)="P",VALUE(ResultsTeams[[#This Row],[Score-A]]),""))</f>
        <v>0</v>
      </c>
      <c r="R804" s="265">
        <f>IF(ResultsTeams[[#This Row],[Type]]="G",SUM(R805:R808),IF(LEFT(ResultsTeams[[#This Row],[Type]],1)="P",VALUE(ResultsTeams[[#This Row],[Score-B]]),""))</f>
        <v>0</v>
      </c>
      <c r="S804" s="265" t="str">
        <f ca="1">IF(AND(ResultsTeams[[#This Row],[Category]]&lt;&gt;"",ResultsTeams[[#This Row],[Team A]]&lt;&gt;""),COUNTIF(INDIRECT("TeamsList[Club Name]"),ResultsTeams[[#This Row],[Team A]]),"")</f>
        <v/>
      </c>
      <c r="T804" s="265" t="str">
        <f ca="1">IF(AND(ResultsTeams[[#This Row],[Category]]&lt;&gt;"",ResultsTeams[[#This Row],[Team B]]&lt;&gt;""),COUNTIF(INDIRECT("TeamsList[Club Name]"),ResultsTeams[[#This Row],[Team B]]),"")</f>
        <v/>
      </c>
      <c r="U8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4" s="265" t="str">
        <f>IF(ResultsTeams[[#This Row],[Score_OK]],IF(ResultsTeams[[#This Row],[StageCpy]]="Groups",ResultsTeams[[#This Row],[Category]]&amp;"-"&amp;IF(ResultsTeams[[#This Row],[Team B]]="","",IF(ResultsTeams[[#This Row],[Match-A]]=ResultsTeams[[#This Row],[Match-B]],ResultsTeams[[#This Row],[Team A]],"")),""),"")</f>
        <v/>
      </c>
      <c r="W804" s="265" t="str">
        <f>IF(ResultsTeams[[#This Row],[Score_OK]],IF(ResultsTeams[[#This Row],[StageCpy]]="Groups",ResultsTeams[[#This Row],[Category]]&amp;"-"&amp;IF(ResultsTeams[[#This Row],[Team B]]="","",IF(ResultsTeams[[#This Row],[Match-A]]=ResultsTeams[[#This Row],[Match-B]],ResultsTeams[[#This Row],[Team B]],"")),""),"")</f>
        <v/>
      </c>
      <c r="X8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4" s="264" t="str">
        <f>IF(ResultsTeams[[#This Row],[Category]]="","",VLOOKUP(ResultsTeams[[#This Row],[Stage]],$R$1:$T$8,MATCH(ResultsTeams[[#This Row],[Category]],$S$1:$T$1,0)+1,FALSE))</f>
        <v/>
      </c>
      <c r="AC8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4" s="264">
        <f>IF(ResultsTeams[[#This Row],[Type]]="G",ResultsTeams[[#This Row],[Stage]],AD803)</f>
        <v>0</v>
      </c>
      <c r="AE804" s="395" t="e">
        <f>IF(ResultsTeams[[#This Row],[Type]]="G",INDEX(TeamsList[Club Name],MATCH(ResultsTeams[[#This Row],[Team A]],TeamsList[Team Name],0)),AE803)</f>
        <v>#N/A</v>
      </c>
      <c r="AF804" s="395" t="e">
        <f>IF(ResultsTeams[[#This Row],[Type]]="G",INDEX(TeamsList[Club Name],MATCH(ResultsTeams[[#This Row],[Team B]],TeamsList[Team Name],0)),AF803)</f>
        <v>#N/A</v>
      </c>
      <c r="AG804" s="265"/>
    </row>
    <row r="805" spans="1:33" x14ac:dyDescent="0.2">
      <c r="A805" s="62"/>
      <c r="B805" s="280"/>
      <c r="C805" s="62"/>
      <c r="D805" s="62"/>
      <c r="E805" s="241" t="s">
        <v>12234</v>
      </c>
      <c r="F805" s="246"/>
      <c r="G805" s="246"/>
      <c r="H805" s="254"/>
      <c r="I805" s="254"/>
      <c r="J805" s="254"/>
      <c r="K805" s="363"/>
      <c r="L805" s="363"/>
      <c r="M805" s="247"/>
      <c r="N805" s="265" t="b">
        <f>NOT(ISERROR(ResultsTeams[[#This Row],[Goal-A]]+ResultsTeams[[#This Row],[Goal-B]]))</f>
        <v>1</v>
      </c>
      <c r="O805" s="265">
        <f>IF(ResultsTeams[[#This Row],[Type]]="G",SUM(O806:O809),IF(LEFT(ResultsTeams[[#This Row],[Type]],1)="P",IF(ResultsTeams[[#This Row],[Goal-A]]&gt;ResultsTeams[[#This Row],[Goal-B]],1,0),""))</f>
        <v>0</v>
      </c>
      <c r="P805" s="265">
        <f>IF(ResultsTeams[[#This Row],[Type]]="G",SUM(P806:P809),IF(LEFT(ResultsTeams[[#This Row],[Type]],1)="P",IF(ResultsTeams[[#This Row],[Goal-A]]&lt;ResultsTeams[[#This Row],[Goal-B]],1,0),""))</f>
        <v>0</v>
      </c>
      <c r="Q805" s="265">
        <f>IF(ResultsTeams[[#This Row],[Type]]="G",SUM(Q806:Q809),IF(LEFT(ResultsTeams[[#This Row],[Type]],1)="P",VALUE(ResultsTeams[[#This Row],[Score-A]]),""))</f>
        <v>0</v>
      </c>
      <c r="R805" s="265">
        <f>IF(ResultsTeams[[#This Row],[Type]]="G",SUM(R806:R809),IF(LEFT(ResultsTeams[[#This Row],[Type]],1)="P",VALUE(ResultsTeams[[#This Row],[Score-B]]),""))</f>
        <v>0</v>
      </c>
      <c r="S805" s="265" t="str">
        <f ca="1">IF(AND(ResultsTeams[[#This Row],[Category]]&lt;&gt;"",ResultsTeams[[#This Row],[Team A]]&lt;&gt;""),COUNTIF(INDIRECT("TeamsList[Club Name]"),ResultsTeams[[#This Row],[Team A]]),"")</f>
        <v/>
      </c>
      <c r="T805" s="265" t="str">
        <f ca="1">IF(AND(ResultsTeams[[#This Row],[Category]]&lt;&gt;"",ResultsTeams[[#This Row],[Team B]]&lt;&gt;""),COUNTIF(INDIRECT("TeamsList[Club Name]"),ResultsTeams[[#This Row],[Team B]]),"")</f>
        <v/>
      </c>
      <c r="U8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5" s="265" t="str">
        <f>IF(ResultsTeams[[#This Row],[Score_OK]],IF(ResultsTeams[[#This Row],[StageCpy]]="Groups",ResultsTeams[[#This Row],[Category]]&amp;"-"&amp;IF(ResultsTeams[[#This Row],[Team B]]="","",IF(ResultsTeams[[#This Row],[Match-A]]=ResultsTeams[[#This Row],[Match-B]],ResultsTeams[[#This Row],[Team A]],"")),""),"")</f>
        <v/>
      </c>
      <c r="W805" s="265" t="str">
        <f>IF(ResultsTeams[[#This Row],[Score_OK]],IF(ResultsTeams[[#This Row],[StageCpy]]="Groups",ResultsTeams[[#This Row],[Category]]&amp;"-"&amp;IF(ResultsTeams[[#This Row],[Team B]]="","",IF(ResultsTeams[[#This Row],[Match-A]]=ResultsTeams[[#This Row],[Match-B]],ResultsTeams[[#This Row],[Team B]],"")),""),"")</f>
        <v/>
      </c>
      <c r="X8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5" s="264" t="str">
        <f>IF(ResultsTeams[[#This Row],[Category]]="","",VLOOKUP(ResultsTeams[[#This Row],[Stage]],$R$1:$T$8,MATCH(ResultsTeams[[#This Row],[Category]],$S$1:$T$1,0)+1,FALSE))</f>
        <v/>
      </c>
      <c r="AC8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5" s="264">
        <f>IF(ResultsTeams[[#This Row],[Type]]="G",ResultsTeams[[#This Row],[Stage]],AD804)</f>
        <v>0</v>
      </c>
      <c r="AE805" s="395" t="e">
        <f>IF(ResultsTeams[[#This Row],[Type]]="G",INDEX(TeamsList[Club Name],MATCH(ResultsTeams[[#This Row],[Team A]],TeamsList[Team Name],0)),AE804)</f>
        <v>#N/A</v>
      </c>
      <c r="AF805" s="395" t="e">
        <f>IF(ResultsTeams[[#This Row],[Type]]="G",INDEX(TeamsList[Club Name],MATCH(ResultsTeams[[#This Row],[Team B]],TeamsList[Team Name],0)),AF804)</f>
        <v>#N/A</v>
      </c>
      <c r="AG805" s="265"/>
    </row>
    <row r="806" spans="1:33" x14ac:dyDescent="0.2">
      <c r="A806" s="62"/>
      <c r="B806" s="280"/>
      <c r="C806" s="62"/>
      <c r="D806" s="62"/>
      <c r="E806" s="241" t="s">
        <v>12237</v>
      </c>
      <c r="F806" s="246"/>
      <c r="G806" s="246"/>
      <c r="H806" s="254"/>
      <c r="I806" s="254"/>
      <c r="J806" s="254"/>
      <c r="K806" s="363"/>
      <c r="L806" s="363"/>
      <c r="M806" s="247"/>
      <c r="N806" s="265" t="b">
        <f>NOT(ISERROR(ResultsTeams[[#This Row],[Goal-A]]+ResultsTeams[[#This Row],[Goal-B]]))</f>
        <v>1</v>
      </c>
      <c r="O806" s="265">
        <f>IF(ResultsTeams[[#This Row],[Type]]="G",SUM(O807:O810),IF(LEFT(ResultsTeams[[#This Row],[Type]],1)="P",IF(ResultsTeams[[#This Row],[Goal-A]]&gt;ResultsTeams[[#This Row],[Goal-B]],1,0),""))</f>
        <v>0</v>
      </c>
      <c r="P806" s="265">
        <f>IF(ResultsTeams[[#This Row],[Type]]="G",SUM(P807:P810),IF(LEFT(ResultsTeams[[#This Row],[Type]],1)="P",IF(ResultsTeams[[#This Row],[Goal-A]]&lt;ResultsTeams[[#This Row],[Goal-B]],1,0),""))</f>
        <v>0</v>
      </c>
      <c r="Q806" s="265">
        <f>IF(ResultsTeams[[#This Row],[Type]]="G",SUM(Q807:Q810),IF(LEFT(ResultsTeams[[#This Row],[Type]],1)="P",VALUE(ResultsTeams[[#This Row],[Score-A]]),""))</f>
        <v>0</v>
      </c>
      <c r="R806" s="265">
        <f>IF(ResultsTeams[[#This Row],[Type]]="G",SUM(R807:R810),IF(LEFT(ResultsTeams[[#This Row],[Type]],1)="P",VALUE(ResultsTeams[[#This Row],[Score-B]]),""))</f>
        <v>0</v>
      </c>
      <c r="S806" s="265" t="str">
        <f ca="1">IF(AND(ResultsTeams[[#This Row],[Category]]&lt;&gt;"",ResultsTeams[[#This Row],[Team A]]&lt;&gt;""),COUNTIF(INDIRECT("TeamsList[Club Name]"),ResultsTeams[[#This Row],[Team A]]),"")</f>
        <v/>
      </c>
      <c r="T806" s="265" t="str">
        <f ca="1">IF(AND(ResultsTeams[[#This Row],[Category]]&lt;&gt;"",ResultsTeams[[#This Row],[Team B]]&lt;&gt;""),COUNTIF(INDIRECT("TeamsList[Club Name]"),ResultsTeams[[#This Row],[Team B]]),"")</f>
        <v/>
      </c>
      <c r="U8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6" s="265" t="str">
        <f>IF(ResultsTeams[[#This Row],[Score_OK]],IF(ResultsTeams[[#This Row],[StageCpy]]="Groups",ResultsTeams[[#This Row],[Category]]&amp;"-"&amp;IF(ResultsTeams[[#This Row],[Team B]]="","",IF(ResultsTeams[[#This Row],[Match-A]]=ResultsTeams[[#This Row],[Match-B]],ResultsTeams[[#This Row],[Team A]],"")),""),"")</f>
        <v/>
      </c>
      <c r="W806" s="265" t="str">
        <f>IF(ResultsTeams[[#This Row],[Score_OK]],IF(ResultsTeams[[#This Row],[StageCpy]]="Groups",ResultsTeams[[#This Row],[Category]]&amp;"-"&amp;IF(ResultsTeams[[#This Row],[Team B]]="","",IF(ResultsTeams[[#This Row],[Match-A]]=ResultsTeams[[#This Row],[Match-B]],ResultsTeams[[#This Row],[Team B]],"")),""),"")</f>
        <v/>
      </c>
      <c r="X8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6" s="264" t="str">
        <f>IF(ResultsTeams[[#This Row],[Category]]="","",VLOOKUP(ResultsTeams[[#This Row],[Stage]],$R$1:$T$8,MATCH(ResultsTeams[[#This Row],[Category]],$S$1:$T$1,0)+1,FALSE))</f>
        <v/>
      </c>
      <c r="AC8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6" s="264">
        <f>IF(ResultsTeams[[#This Row],[Type]]="G",ResultsTeams[[#This Row],[Stage]],AD805)</f>
        <v>0</v>
      </c>
      <c r="AE806" s="395" t="e">
        <f>IF(ResultsTeams[[#This Row],[Type]]="G",INDEX(TeamsList[Club Name],MATCH(ResultsTeams[[#This Row],[Team A]],TeamsList[Team Name],0)),AE805)</f>
        <v>#N/A</v>
      </c>
      <c r="AF806" s="395" t="e">
        <f>IF(ResultsTeams[[#This Row],[Type]]="G",INDEX(TeamsList[Club Name],MATCH(ResultsTeams[[#This Row],[Team B]],TeamsList[Team Name],0)),AF805)</f>
        <v>#N/A</v>
      </c>
      <c r="AG806" s="265"/>
    </row>
    <row r="807" spans="1:33" x14ac:dyDescent="0.2">
      <c r="A807" s="62"/>
      <c r="B807" s="280"/>
      <c r="C807" s="62"/>
      <c r="D807" s="62"/>
      <c r="E807" s="241" t="s">
        <v>12240</v>
      </c>
      <c r="F807" s="246"/>
      <c r="G807" s="246"/>
      <c r="H807" s="254"/>
      <c r="I807" s="254"/>
      <c r="J807" s="254"/>
      <c r="K807" s="363"/>
      <c r="L807" s="363"/>
      <c r="M807" s="247"/>
      <c r="N807" s="265" t="b">
        <f>NOT(ISERROR(ResultsTeams[[#This Row],[Goal-A]]+ResultsTeams[[#This Row],[Goal-B]]))</f>
        <v>1</v>
      </c>
      <c r="O807" s="265">
        <f>IF(ResultsTeams[[#This Row],[Type]]="G",SUM(O808:O811),IF(LEFT(ResultsTeams[[#This Row],[Type]],1)="P",IF(ResultsTeams[[#This Row],[Goal-A]]&gt;ResultsTeams[[#This Row],[Goal-B]],1,0),""))</f>
        <v>0</v>
      </c>
      <c r="P807" s="265">
        <f>IF(ResultsTeams[[#This Row],[Type]]="G",SUM(P808:P811),IF(LEFT(ResultsTeams[[#This Row],[Type]],1)="P",IF(ResultsTeams[[#This Row],[Goal-A]]&lt;ResultsTeams[[#This Row],[Goal-B]],1,0),""))</f>
        <v>0</v>
      </c>
      <c r="Q807" s="265">
        <f>IF(ResultsTeams[[#This Row],[Type]]="G",SUM(Q808:Q811),IF(LEFT(ResultsTeams[[#This Row],[Type]],1)="P",VALUE(ResultsTeams[[#This Row],[Score-A]]),""))</f>
        <v>0</v>
      </c>
      <c r="R807" s="265">
        <f>IF(ResultsTeams[[#This Row],[Type]]="G",SUM(R808:R811),IF(LEFT(ResultsTeams[[#This Row],[Type]],1)="P",VALUE(ResultsTeams[[#This Row],[Score-B]]),""))</f>
        <v>0</v>
      </c>
      <c r="S807" s="265" t="str">
        <f ca="1">IF(AND(ResultsTeams[[#This Row],[Category]]&lt;&gt;"",ResultsTeams[[#This Row],[Team A]]&lt;&gt;""),COUNTIF(INDIRECT("TeamsList[Club Name]"),ResultsTeams[[#This Row],[Team A]]),"")</f>
        <v/>
      </c>
      <c r="T807" s="265" t="str">
        <f ca="1">IF(AND(ResultsTeams[[#This Row],[Category]]&lt;&gt;"",ResultsTeams[[#This Row],[Team B]]&lt;&gt;""),COUNTIF(INDIRECT("TeamsList[Club Name]"),ResultsTeams[[#This Row],[Team B]]),"")</f>
        <v/>
      </c>
      <c r="U8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7" s="265" t="str">
        <f>IF(ResultsTeams[[#This Row],[Score_OK]],IF(ResultsTeams[[#This Row],[StageCpy]]="Groups",ResultsTeams[[#This Row],[Category]]&amp;"-"&amp;IF(ResultsTeams[[#This Row],[Team B]]="","",IF(ResultsTeams[[#This Row],[Match-A]]=ResultsTeams[[#This Row],[Match-B]],ResultsTeams[[#This Row],[Team A]],"")),""),"")</f>
        <v/>
      </c>
      <c r="W807" s="265" t="str">
        <f>IF(ResultsTeams[[#This Row],[Score_OK]],IF(ResultsTeams[[#This Row],[StageCpy]]="Groups",ResultsTeams[[#This Row],[Category]]&amp;"-"&amp;IF(ResultsTeams[[#This Row],[Team B]]="","",IF(ResultsTeams[[#This Row],[Match-A]]=ResultsTeams[[#This Row],[Match-B]],ResultsTeams[[#This Row],[Team B]],"")),""),"")</f>
        <v/>
      </c>
      <c r="X8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7" s="264" t="str">
        <f>IF(ResultsTeams[[#This Row],[Category]]="","",VLOOKUP(ResultsTeams[[#This Row],[Stage]],$R$1:$T$8,MATCH(ResultsTeams[[#This Row],[Category]],$S$1:$T$1,0)+1,FALSE))</f>
        <v/>
      </c>
      <c r="AC8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7" s="264">
        <f>IF(ResultsTeams[[#This Row],[Type]]="G",ResultsTeams[[#This Row],[Stage]],AD806)</f>
        <v>0</v>
      </c>
      <c r="AE807" s="395" t="e">
        <f>IF(ResultsTeams[[#This Row],[Type]]="G",INDEX(TeamsList[Club Name],MATCH(ResultsTeams[[#This Row],[Team A]],TeamsList[Team Name],0)),AE806)</f>
        <v>#N/A</v>
      </c>
      <c r="AF807" s="395" t="e">
        <f>IF(ResultsTeams[[#This Row],[Type]]="G",INDEX(TeamsList[Club Name],MATCH(ResultsTeams[[#This Row],[Team B]],TeamsList[Team Name],0)),AF806)</f>
        <v>#N/A</v>
      </c>
      <c r="AG807" s="265"/>
    </row>
    <row r="808" spans="1:33" x14ac:dyDescent="0.2">
      <c r="A808" s="62"/>
      <c r="B808" s="62"/>
      <c r="C808" s="62"/>
      <c r="D808" s="62"/>
      <c r="E808" s="241" t="s">
        <v>12243</v>
      </c>
      <c r="F808" s="247"/>
      <c r="G808" s="247"/>
      <c r="H808" s="254"/>
      <c r="I808" s="254"/>
      <c r="J808" s="260"/>
      <c r="K808" s="364"/>
      <c r="L808" s="364"/>
      <c r="M808" s="247"/>
      <c r="N808" s="265" t="b">
        <f>NOT(ISERROR(ResultsTeams[[#This Row],[Goal-A]]+ResultsTeams[[#This Row],[Goal-B]]))</f>
        <v>0</v>
      </c>
      <c r="O808" s="265" t="str">
        <f>IF(ResultsTeams[[#This Row],[Type]]="G",SUM(O809:O812),IF(LEFT(ResultsTeams[[#This Row],[Type]],1)="P",IF(ResultsTeams[[#This Row],[Goal-A]]&gt;ResultsTeams[[#This Row],[Goal-B]],1,0),""))</f>
        <v/>
      </c>
      <c r="P808" s="265" t="str">
        <f>IF(ResultsTeams[[#This Row],[Type]]="G",SUM(P809:P812),IF(LEFT(ResultsTeams[[#This Row],[Type]],1)="P",IF(ResultsTeams[[#This Row],[Goal-A]]&lt;ResultsTeams[[#This Row],[Goal-B]],1,0),""))</f>
        <v/>
      </c>
      <c r="Q808" s="265" t="str">
        <f>IF(ResultsTeams[[#This Row],[Type]]="G",SUM(Q809:Q812),IF(LEFT(ResultsTeams[[#This Row],[Type]],1)="P",VALUE(ResultsTeams[[#This Row],[Score-A]]),""))</f>
        <v/>
      </c>
      <c r="R808" s="265" t="str">
        <f>IF(ResultsTeams[[#This Row],[Type]]="G",SUM(R809:R812),IF(LEFT(ResultsTeams[[#This Row],[Type]],1)="P",VALUE(ResultsTeams[[#This Row],[Score-B]]),""))</f>
        <v/>
      </c>
      <c r="S808" s="265" t="str">
        <f ca="1">IF(AND(ResultsTeams[[#This Row],[Category]]&lt;&gt;"",ResultsTeams[[#This Row],[Team A]]&lt;&gt;""),COUNTIF(INDIRECT("TeamsList[Club Name]"),ResultsTeams[[#This Row],[Team A]]),"")</f>
        <v/>
      </c>
      <c r="T808" s="265" t="str">
        <f ca="1">IF(AND(ResultsTeams[[#This Row],[Category]]&lt;&gt;"",ResultsTeams[[#This Row],[Team B]]&lt;&gt;""),COUNTIF(INDIRECT("TeamsList[Club Name]"),ResultsTeams[[#This Row],[Team B]]),"")</f>
        <v/>
      </c>
      <c r="U8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8" s="265" t="str">
        <f>IF(ResultsTeams[[#This Row],[Score_OK]],IF(ResultsTeams[[#This Row],[StageCpy]]="Groups",ResultsTeams[[#This Row],[Category]]&amp;"-"&amp;IF(ResultsTeams[[#This Row],[Team B]]="","",IF(ResultsTeams[[#This Row],[Match-A]]=ResultsTeams[[#This Row],[Match-B]],ResultsTeams[[#This Row],[Team A]],"")),""),"")</f>
        <v/>
      </c>
      <c r="W808" s="265" t="str">
        <f>IF(ResultsTeams[[#This Row],[Score_OK]],IF(ResultsTeams[[#This Row],[StageCpy]]="Groups",ResultsTeams[[#This Row],[Category]]&amp;"-"&amp;IF(ResultsTeams[[#This Row],[Team B]]="","",IF(ResultsTeams[[#This Row],[Match-A]]=ResultsTeams[[#This Row],[Match-B]],ResultsTeams[[#This Row],[Team B]],"")),""),"")</f>
        <v/>
      </c>
      <c r="X8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8" s="264" t="str">
        <f>IF(ResultsTeams[[#This Row],[Category]]="","",VLOOKUP(ResultsTeams[[#This Row],[Stage]],$R$1:$T$8,MATCH(ResultsTeams[[#This Row],[Category]],$S$1:$T$1,0)+1,FALSE))</f>
        <v/>
      </c>
      <c r="AC8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8" s="264">
        <f>IF(ResultsTeams[[#This Row],[Type]]="G",ResultsTeams[[#This Row],[Stage]],AD807)</f>
        <v>0</v>
      </c>
      <c r="AE808" s="395" t="e">
        <f>IF(ResultsTeams[[#This Row],[Type]]="G",INDEX(TeamsList[Club Name],MATCH(ResultsTeams[[#This Row],[Team A]],TeamsList[Team Name],0)),AE807)</f>
        <v>#N/A</v>
      </c>
      <c r="AF808" s="395" t="e">
        <f>IF(ResultsTeams[[#This Row],[Type]]="G",INDEX(TeamsList[Club Name],MATCH(ResultsTeams[[#This Row],[Team B]],TeamsList[Team Name],0)),AF807)</f>
        <v>#N/A</v>
      </c>
      <c r="AG808" s="265"/>
    </row>
    <row r="809" spans="1:33" ht="12" thickBot="1" x14ac:dyDescent="0.25">
      <c r="A809" s="83"/>
      <c r="B809" s="83"/>
      <c r="C809" s="83"/>
      <c r="D809" s="83"/>
      <c r="E809" s="268" t="s">
        <v>12244</v>
      </c>
      <c r="F809" s="262"/>
      <c r="G809" s="262"/>
      <c r="H809" s="324"/>
      <c r="I809" s="324"/>
      <c r="J809" s="263"/>
      <c r="K809" s="365"/>
      <c r="L809" s="365"/>
      <c r="M809" s="262"/>
      <c r="N809" s="265" t="b">
        <f>NOT(ISERROR(ResultsTeams[[#This Row],[Goal-A]]+ResultsTeams[[#This Row],[Goal-B]]))</f>
        <v>0</v>
      </c>
      <c r="O809" s="265" t="str">
        <f>IF(ResultsTeams[[#This Row],[Type]]="G",SUM(O810:O813),IF(LEFT(ResultsTeams[[#This Row],[Type]],1)="P",IF(ResultsTeams[[#This Row],[Goal-A]]&gt;ResultsTeams[[#This Row],[Goal-B]],1,0),""))</f>
        <v/>
      </c>
      <c r="P809" s="265" t="str">
        <f>IF(ResultsTeams[[#This Row],[Type]]="G",SUM(P810:P813),IF(LEFT(ResultsTeams[[#This Row],[Type]],1)="P",IF(ResultsTeams[[#This Row],[Goal-A]]&lt;ResultsTeams[[#This Row],[Goal-B]],1,0),""))</f>
        <v/>
      </c>
      <c r="Q809" s="265" t="str">
        <f>IF(ResultsTeams[[#This Row],[Type]]="G",SUM(Q810:Q813),IF(LEFT(ResultsTeams[[#This Row],[Type]],1)="P",VALUE(ResultsTeams[[#This Row],[Score-A]]),""))</f>
        <v/>
      </c>
      <c r="R809" s="265" t="str">
        <f>IF(ResultsTeams[[#This Row],[Type]]="G",SUM(R810:R813),IF(LEFT(ResultsTeams[[#This Row],[Type]],1)="P",VALUE(ResultsTeams[[#This Row],[Score-B]]),""))</f>
        <v/>
      </c>
      <c r="S809" s="265" t="str">
        <f ca="1">IF(AND(ResultsTeams[[#This Row],[Category]]&lt;&gt;"",ResultsTeams[[#This Row],[Team A]]&lt;&gt;""),COUNTIF(INDIRECT("TeamsList[Club Name]"),ResultsTeams[[#This Row],[Team A]]),"")</f>
        <v/>
      </c>
      <c r="T809" s="265" t="str">
        <f ca="1">IF(AND(ResultsTeams[[#This Row],[Category]]&lt;&gt;"",ResultsTeams[[#This Row],[Team B]]&lt;&gt;""),COUNTIF(INDIRECT("TeamsList[Club Name]"),ResultsTeams[[#This Row],[Team B]]),"")</f>
        <v/>
      </c>
      <c r="U8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9" s="265" t="str">
        <f>IF(ResultsTeams[[#This Row],[Score_OK]],IF(ResultsTeams[[#This Row],[StageCpy]]="Groups",ResultsTeams[[#This Row],[Category]]&amp;"-"&amp;IF(ResultsTeams[[#This Row],[Team B]]="","",IF(ResultsTeams[[#This Row],[Match-A]]=ResultsTeams[[#This Row],[Match-B]],ResultsTeams[[#This Row],[Team A]],"")),""),"")</f>
        <v/>
      </c>
      <c r="W809" s="265" t="str">
        <f>IF(ResultsTeams[[#This Row],[Score_OK]],IF(ResultsTeams[[#This Row],[StageCpy]]="Groups",ResultsTeams[[#This Row],[Category]]&amp;"-"&amp;IF(ResultsTeams[[#This Row],[Team B]]="","",IF(ResultsTeams[[#This Row],[Match-A]]=ResultsTeams[[#This Row],[Match-B]],ResultsTeams[[#This Row],[Team B]],"")),""),"")</f>
        <v/>
      </c>
      <c r="X8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9" s="264" t="str">
        <f>IF(ResultsTeams[[#This Row],[Category]]="","",VLOOKUP(ResultsTeams[[#This Row],[Stage]],$R$1:$T$8,MATCH(ResultsTeams[[#This Row],[Category]],$S$1:$T$1,0)+1,FALSE))</f>
        <v/>
      </c>
      <c r="AC8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9" s="264">
        <f>IF(ResultsTeams[[#This Row],[Type]]="G",ResultsTeams[[#This Row],[Stage]],AD808)</f>
        <v>0</v>
      </c>
      <c r="AE809" s="395" t="e">
        <f>IF(ResultsTeams[[#This Row],[Type]]="G",INDEX(TeamsList[Club Name],MATCH(ResultsTeams[[#This Row],[Team A]],TeamsList[Team Name],0)),AE808)</f>
        <v>#N/A</v>
      </c>
      <c r="AF809" s="395" t="e">
        <f>IF(ResultsTeams[[#This Row],[Type]]="G",INDEX(TeamsList[Club Name],MATCH(ResultsTeams[[#This Row],[Team B]],TeamsList[Team Name],0)),AF808)</f>
        <v>#N/A</v>
      </c>
      <c r="AG809" s="265"/>
    </row>
    <row r="810" spans="1:33" ht="12" thickBot="1" x14ac:dyDescent="0.25">
      <c r="A810" s="261"/>
      <c r="B810" s="270"/>
      <c r="C810" s="270"/>
      <c r="D810" s="270"/>
      <c r="E810" s="272" t="s">
        <v>12228</v>
      </c>
      <c r="F810" s="273"/>
      <c r="G810" s="273"/>
      <c r="H810" s="275"/>
      <c r="I810" s="275"/>
      <c r="J810" s="275"/>
      <c r="K810" s="366"/>
      <c r="L810" s="366"/>
      <c r="M810" s="274"/>
      <c r="N810" s="265" t="b">
        <f>NOT(ISERROR(ResultsTeams[[#This Row],[Goal-A]]+ResultsTeams[[#This Row],[Goal-B]]))</f>
        <v>1</v>
      </c>
      <c r="O810" s="265">
        <f>IF(ResultsTeams[[#This Row],[Type]]="G",SUM(O811:O814),IF(LEFT(ResultsTeams[[#This Row],[Type]],1)="P",IF(ResultsTeams[[#This Row],[Goal-A]]&gt;ResultsTeams[[#This Row],[Goal-B]],1,0),""))</f>
        <v>0</v>
      </c>
      <c r="P810" s="265">
        <f>IF(ResultsTeams[[#This Row],[Type]]="G",SUM(P811:P814),IF(LEFT(ResultsTeams[[#This Row],[Type]],1)="P",IF(ResultsTeams[[#This Row],[Goal-A]]&lt;ResultsTeams[[#This Row],[Goal-B]],1,0),""))</f>
        <v>0</v>
      </c>
      <c r="Q810" s="265">
        <f>IF(ResultsTeams[[#This Row],[Type]]="G",SUM(Q811:Q814),IF(LEFT(ResultsTeams[[#This Row],[Type]],1)="P",VALUE(ResultsTeams[[#This Row],[Score-A]]),""))</f>
        <v>0</v>
      </c>
      <c r="R810" s="265">
        <f>IF(ResultsTeams[[#This Row],[Type]]="G",SUM(R811:R814),IF(LEFT(ResultsTeams[[#This Row],[Type]],1)="P",VALUE(ResultsTeams[[#This Row],[Score-B]]),""))</f>
        <v>0</v>
      </c>
      <c r="S810" s="265" t="str">
        <f ca="1">IF(AND(ResultsTeams[[#This Row],[Category]]&lt;&gt;"",ResultsTeams[[#This Row],[Team A]]&lt;&gt;""),COUNTIF(INDIRECT("TeamsList[Club Name]"),ResultsTeams[[#This Row],[Team A]]),"")</f>
        <v/>
      </c>
      <c r="T810" s="265" t="str">
        <f ca="1">IF(AND(ResultsTeams[[#This Row],[Category]]&lt;&gt;"",ResultsTeams[[#This Row],[Team B]]&lt;&gt;""),COUNTIF(INDIRECT("TeamsList[Club Name]"),ResultsTeams[[#This Row],[Team B]]),"")</f>
        <v/>
      </c>
      <c r="U8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0" s="265" t="str">
        <f>IF(ResultsTeams[[#This Row],[Score_OK]],IF(ResultsTeams[[#This Row],[StageCpy]]="Groups",ResultsTeams[[#This Row],[Category]]&amp;"-"&amp;IF(ResultsTeams[[#This Row],[Team B]]="","",IF(ResultsTeams[[#This Row],[Match-A]]=ResultsTeams[[#This Row],[Match-B]],ResultsTeams[[#This Row],[Team A]],"")),""),"")</f>
        <v/>
      </c>
      <c r="W810" s="265" t="str">
        <f>IF(ResultsTeams[[#This Row],[Score_OK]],IF(ResultsTeams[[#This Row],[StageCpy]]="Groups",ResultsTeams[[#This Row],[Category]]&amp;"-"&amp;IF(ResultsTeams[[#This Row],[Team B]]="","",IF(ResultsTeams[[#This Row],[Match-A]]=ResultsTeams[[#This Row],[Match-B]],ResultsTeams[[#This Row],[Team B]],"")),""),"")</f>
        <v/>
      </c>
      <c r="X8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0" s="264" t="str">
        <f>IF(ResultsTeams[[#This Row],[Category]]="","",VLOOKUP(ResultsTeams[[#This Row],[Stage]],$R$1:$T$8,MATCH(ResultsTeams[[#This Row],[Category]],$S$1:$T$1,0)+1,FALSE))</f>
        <v/>
      </c>
      <c r="AC8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0" s="264">
        <f>IF(ResultsTeams[[#This Row],[Type]]="G",ResultsTeams[[#This Row],[Stage]],AD809)</f>
        <v>0</v>
      </c>
      <c r="AE810" s="395" t="e">
        <f>IF(ResultsTeams[[#This Row],[Type]]="G",INDEX(TeamsList[Club Name],MATCH(ResultsTeams[[#This Row],[Team A]],TeamsList[Team Name],0)),AE809)</f>
        <v>#N/A</v>
      </c>
      <c r="AF810" s="395" t="e">
        <f>IF(ResultsTeams[[#This Row],[Type]]="G",INDEX(TeamsList[Club Name],MATCH(ResultsTeams[[#This Row],[Team B]],TeamsList[Team Name],0)),AF809)</f>
        <v>#N/A</v>
      </c>
      <c r="AG810" s="265"/>
    </row>
    <row r="811" spans="1:33" x14ac:dyDescent="0.2">
      <c r="A811" s="60"/>
      <c r="B811" s="280"/>
      <c r="C811" s="60"/>
      <c r="D811" s="60"/>
      <c r="E811" s="240" t="s">
        <v>12231</v>
      </c>
      <c r="F811" s="244"/>
      <c r="G811" s="244"/>
      <c r="H811" s="253"/>
      <c r="I811" s="253"/>
      <c r="J811" s="253"/>
      <c r="K811" s="362"/>
      <c r="L811" s="362"/>
      <c r="M811" s="245"/>
      <c r="N811" s="265" t="b">
        <f>NOT(ISERROR(ResultsTeams[[#This Row],[Goal-A]]+ResultsTeams[[#This Row],[Goal-B]]))</f>
        <v>1</v>
      </c>
      <c r="O811" s="265">
        <f>IF(ResultsTeams[[#This Row],[Type]]="G",SUM(O812:O815),IF(LEFT(ResultsTeams[[#This Row],[Type]],1)="P",IF(ResultsTeams[[#This Row],[Goal-A]]&gt;ResultsTeams[[#This Row],[Goal-B]],1,0),""))</f>
        <v>0</v>
      </c>
      <c r="P811" s="265">
        <f>IF(ResultsTeams[[#This Row],[Type]]="G",SUM(P812:P815),IF(LEFT(ResultsTeams[[#This Row],[Type]],1)="P",IF(ResultsTeams[[#This Row],[Goal-A]]&lt;ResultsTeams[[#This Row],[Goal-B]],1,0),""))</f>
        <v>0</v>
      </c>
      <c r="Q811" s="265">
        <f>IF(ResultsTeams[[#This Row],[Type]]="G",SUM(Q812:Q815),IF(LEFT(ResultsTeams[[#This Row],[Type]],1)="P",VALUE(ResultsTeams[[#This Row],[Score-A]]),""))</f>
        <v>0</v>
      </c>
      <c r="R811" s="265">
        <f>IF(ResultsTeams[[#This Row],[Type]]="G",SUM(R812:R815),IF(LEFT(ResultsTeams[[#This Row],[Type]],1)="P",VALUE(ResultsTeams[[#This Row],[Score-B]]),""))</f>
        <v>0</v>
      </c>
      <c r="S811" s="265" t="str">
        <f ca="1">IF(AND(ResultsTeams[[#This Row],[Category]]&lt;&gt;"",ResultsTeams[[#This Row],[Team A]]&lt;&gt;""),COUNTIF(INDIRECT("TeamsList[Club Name]"),ResultsTeams[[#This Row],[Team A]]),"")</f>
        <v/>
      </c>
      <c r="T811" s="265" t="str">
        <f ca="1">IF(AND(ResultsTeams[[#This Row],[Category]]&lt;&gt;"",ResultsTeams[[#This Row],[Team B]]&lt;&gt;""),COUNTIF(INDIRECT("TeamsList[Club Name]"),ResultsTeams[[#This Row],[Team B]]),"")</f>
        <v/>
      </c>
      <c r="U8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1" s="265" t="str">
        <f>IF(ResultsTeams[[#This Row],[Score_OK]],IF(ResultsTeams[[#This Row],[StageCpy]]="Groups",ResultsTeams[[#This Row],[Category]]&amp;"-"&amp;IF(ResultsTeams[[#This Row],[Team B]]="","",IF(ResultsTeams[[#This Row],[Match-A]]=ResultsTeams[[#This Row],[Match-B]],ResultsTeams[[#This Row],[Team A]],"")),""),"")</f>
        <v/>
      </c>
      <c r="W811" s="265" t="str">
        <f>IF(ResultsTeams[[#This Row],[Score_OK]],IF(ResultsTeams[[#This Row],[StageCpy]]="Groups",ResultsTeams[[#This Row],[Category]]&amp;"-"&amp;IF(ResultsTeams[[#This Row],[Team B]]="","",IF(ResultsTeams[[#This Row],[Match-A]]=ResultsTeams[[#This Row],[Match-B]],ResultsTeams[[#This Row],[Team B]],"")),""),"")</f>
        <v/>
      </c>
      <c r="X8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1" s="264" t="str">
        <f>IF(ResultsTeams[[#This Row],[Category]]="","",VLOOKUP(ResultsTeams[[#This Row],[Stage]],$R$1:$T$8,MATCH(ResultsTeams[[#This Row],[Category]],$S$1:$T$1,0)+1,FALSE))</f>
        <v/>
      </c>
      <c r="AC8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1" s="264">
        <f>IF(ResultsTeams[[#This Row],[Type]]="G",ResultsTeams[[#This Row],[Stage]],AD810)</f>
        <v>0</v>
      </c>
      <c r="AE811" s="395" t="e">
        <f>IF(ResultsTeams[[#This Row],[Type]]="G",INDEX(TeamsList[Club Name],MATCH(ResultsTeams[[#This Row],[Team A]],TeamsList[Team Name],0)),AE810)</f>
        <v>#N/A</v>
      </c>
      <c r="AF811" s="395" t="e">
        <f>IF(ResultsTeams[[#This Row],[Type]]="G",INDEX(TeamsList[Club Name],MATCH(ResultsTeams[[#This Row],[Team B]],TeamsList[Team Name],0)),AF810)</f>
        <v>#N/A</v>
      </c>
      <c r="AG811" s="265"/>
    </row>
    <row r="812" spans="1:33" x14ac:dyDescent="0.2">
      <c r="A812" s="62"/>
      <c r="B812" s="280"/>
      <c r="C812" s="62"/>
      <c r="D812" s="62"/>
      <c r="E812" s="241" t="s">
        <v>12234</v>
      </c>
      <c r="F812" s="246"/>
      <c r="G812" s="246"/>
      <c r="H812" s="254"/>
      <c r="I812" s="254"/>
      <c r="J812" s="254"/>
      <c r="K812" s="363"/>
      <c r="L812" s="363"/>
      <c r="M812" s="247"/>
      <c r="N812" s="265" t="b">
        <f>NOT(ISERROR(ResultsTeams[[#This Row],[Goal-A]]+ResultsTeams[[#This Row],[Goal-B]]))</f>
        <v>1</v>
      </c>
      <c r="O812" s="265">
        <f>IF(ResultsTeams[[#This Row],[Type]]="G",SUM(O813:O816),IF(LEFT(ResultsTeams[[#This Row],[Type]],1)="P",IF(ResultsTeams[[#This Row],[Goal-A]]&gt;ResultsTeams[[#This Row],[Goal-B]],1,0),""))</f>
        <v>0</v>
      </c>
      <c r="P812" s="265">
        <f>IF(ResultsTeams[[#This Row],[Type]]="G",SUM(P813:P816),IF(LEFT(ResultsTeams[[#This Row],[Type]],1)="P",IF(ResultsTeams[[#This Row],[Goal-A]]&lt;ResultsTeams[[#This Row],[Goal-B]],1,0),""))</f>
        <v>0</v>
      </c>
      <c r="Q812" s="265">
        <f>IF(ResultsTeams[[#This Row],[Type]]="G",SUM(Q813:Q816),IF(LEFT(ResultsTeams[[#This Row],[Type]],1)="P",VALUE(ResultsTeams[[#This Row],[Score-A]]),""))</f>
        <v>0</v>
      </c>
      <c r="R812" s="265">
        <f>IF(ResultsTeams[[#This Row],[Type]]="G",SUM(R813:R816),IF(LEFT(ResultsTeams[[#This Row],[Type]],1)="P",VALUE(ResultsTeams[[#This Row],[Score-B]]),""))</f>
        <v>0</v>
      </c>
      <c r="S812" s="265" t="str">
        <f ca="1">IF(AND(ResultsTeams[[#This Row],[Category]]&lt;&gt;"",ResultsTeams[[#This Row],[Team A]]&lt;&gt;""),COUNTIF(INDIRECT("TeamsList[Club Name]"),ResultsTeams[[#This Row],[Team A]]),"")</f>
        <v/>
      </c>
      <c r="T812" s="265" t="str">
        <f ca="1">IF(AND(ResultsTeams[[#This Row],[Category]]&lt;&gt;"",ResultsTeams[[#This Row],[Team B]]&lt;&gt;""),COUNTIF(INDIRECT("TeamsList[Club Name]"),ResultsTeams[[#This Row],[Team B]]),"")</f>
        <v/>
      </c>
      <c r="U8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2" s="265" t="str">
        <f>IF(ResultsTeams[[#This Row],[Score_OK]],IF(ResultsTeams[[#This Row],[StageCpy]]="Groups",ResultsTeams[[#This Row],[Category]]&amp;"-"&amp;IF(ResultsTeams[[#This Row],[Team B]]="","",IF(ResultsTeams[[#This Row],[Match-A]]=ResultsTeams[[#This Row],[Match-B]],ResultsTeams[[#This Row],[Team A]],"")),""),"")</f>
        <v/>
      </c>
      <c r="W812" s="265" t="str">
        <f>IF(ResultsTeams[[#This Row],[Score_OK]],IF(ResultsTeams[[#This Row],[StageCpy]]="Groups",ResultsTeams[[#This Row],[Category]]&amp;"-"&amp;IF(ResultsTeams[[#This Row],[Team B]]="","",IF(ResultsTeams[[#This Row],[Match-A]]=ResultsTeams[[#This Row],[Match-B]],ResultsTeams[[#This Row],[Team B]],"")),""),"")</f>
        <v/>
      </c>
      <c r="X8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2" s="264" t="str">
        <f>IF(ResultsTeams[[#This Row],[Category]]="","",VLOOKUP(ResultsTeams[[#This Row],[Stage]],$R$1:$T$8,MATCH(ResultsTeams[[#This Row],[Category]],$S$1:$T$1,0)+1,FALSE))</f>
        <v/>
      </c>
      <c r="AC8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2" s="264">
        <f>IF(ResultsTeams[[#This Row],[Type]]="G",ResultsTeams[[#This Row],[Stage]],AD811)</f>
        <v>0</v>
      </c>
      <c r="AE812" s="395" t="e">
        <f>IF(ResultsTeams[[#This Row],[Type]]="G",INDEX(TeamsList[Club Name],MATCH(ResultsTeams[[#This Row],[Team A]],TeamsList[Team Name],0)),AE811)</f>
        <v>#N/A</v>
      </c>
      <c r="AF812" s="395" t="e">
        <f>IF(ResultsTeams[[#This Row],[Type]]="G",INDEX(TeamsList[Club Name],MATCH(ResultsTeams[[#This Row],[Team B]],TeamsList[Team Name],0)),AF811)</f>
        <v>#N/A</v>
      </c>
      <c r="AG812" s="265"/>
    </row>
    <row r="813" spans="1:33" x14ac:dyDescent="0.2">
      <c r="A813" s="62"/>
      <c r="B813" s="280"/>
      <c r="C813" s="62"/>
      <c r="D813" s="62"/>
      <c r="E813" s="241" t="s">
        <v>12237</v>
      </c>
      <c r="F813" s="246"/>
      <c r="G813" s="246"/>
      <c r="H813" s="254"/>
      <c r="I813" s="254"/>
      <c r="J813" s="254"/>
      <c r="K813" s="363"/>
      <c r="L813" s="363"/>
      <c r="M813" s="247"/>
      <c r="N813" s="265" t="b">
        <f>NOT(ISERROR(ResultsTeams[[#This Row],[Goal-A]]+ResultsTeams[[#This Row],[Goal-B]]))</f>
        <v>1</v>
      </c>
      <c r="O813" s="265">
        <f>IF(ResultsTeams[[#This Row],[Type]]="G",SUM(O814:O817),IF(LEFT(ResultsTeams[[#This Row],[Type]],1)="P",IF(ResultsTeams[[#This Row],[Goal-A]]&gt;ResultsTeams[[#This Row],[Goal-B]],1,0),""))</f>
        <v>0</v>
      </c>
      <c r="P813" s="265">
        <f>IF(ResultsTeams[[#This Row],[Type]]="G",SUM(P814:P817),IF(LEFT(ResultsTeams[[#This Row],[Type]],1)="P",IF(ResultsTeams[[#This Row],[Goal-A]]&lt;ResultsTeams[[#This Row],[Goal-B]],1,0),""))</f>
        <v>0</v>
      </c>
      <c r="Q813" s="265">
        <f>IF(ResultsTeams[[#This Row],[Type]]="G",SUM(Q814:Q817),IF(LEFT(ResultsTeams[[#This Row],[Type]],1)="P",VALUE(ResultsTeams[[#This Row],[Score-A]]),""))</f>
        <v>0</v>
      </c>
      <c r="R813" s="265">
        <f>IF(ResultsTeams[[#This Row],[Type]]="G",SUM(R814:R817),IF(LEFT(ResultsTeams[[#This Row],[Type]],1)="P",VALUE(ResultsTeams[[#This Row],[Score-B]]),""))</f>
        <v>0</v>
      </c>
      <c r="S813" s="265" t="str">
        <f ca="1">IF(AND(ResultsTeams[[#This Row],[Category]]&lt;&gt;"",ResultsTeams[[#This Row],[Team A]]&lt;&gt;""),COUNTIF(INDIRECT("TeamsList[Club Name]"),ResultsTeams[[#This Row],[Team A]]),"")</f>
        <v/>
      </c>
      <c r="T813" s="265" t="str">
        <f ca="1">IF(AND(ResultsTeams[[#This Row],[Category]]&lt;&gt;"",ResultsTeams[[#This Row],[Team B]]&lt;&gt;""),COUNTIF(INDIRECT("TeamsList[Club Name]"),ResultsTeams[[#This Row],[Team B]]),"")</f>
        <v/>
      </c>
      <c r="U8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3" s="265" t="str">
        <f>IF(ResultsTeams[[#This Row],[Score_OK]],IF(ResultsTeams[[#This Row],[StageCpy]]="Groups",ResultsTeams[[#This Row],[Category]]&amp;"-"&amp;IF(ResultsTeams[[#This Row],[Team B]]="","",IF(ResultsTeams[[#This Row],[Match-A]]=ResultsTeams[[#This Row],[Match-B]],ResultsTeams[[#This Row],[Team A]],"")),""),"")</f>
        <v/>
      </c>
      <c r="W813" s="265" t="str">
        <f>IF(ResultsTeams[[#This Row],[Score_OK]],IF(ResultsTeams[[#This Row],[StageCpy]]="Groups",ResultsTeams[[#This Row],[Category]]&amp;"-"&amp;IF(ResultsTeams[[#This Row],[Team B]]="","",IF(ResultsTeams[[#This Row],[Match-A]]=ResultsTeams[[#This Row],[Match-B]],ResultsTeams[[#This Row],[Team B]],"")),""),"")</f>
        <v/>
      </c>
      <c r="X8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3" s="264" t="str">
        <f>IF(ResultsTeams[[#This Row],[Category]]="","",VLOOKUP(ResultsTeams[[#This Row],[Stage]],$R$1:$T$8,MATCH(ResultsTeams[[#This Row],[Category]],$S$1:$T$1,0)+1,FALSE))</f>
        <v/>
      </c>
      <c r="AC8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3" s="264">
        <f>IF(ResultsTeams[[#This Row],[Type]]="G",ResultsTeams[[#This Row],[Stage]],AD812)</f>
        <v>0</v>
      </c>
      <c r="AE813" s="395" t="e">
        <f>IF(ResultsTeams[[#This Row],[Type]]="G",INDEX(TeamsList[Club Name],MATCH(ResultsTeams[[#This Row],[Team A]],TeamsList[Team Name],0)),AE812)</f>
        <v>#N/A</v>
      </c>
      <c r="AF813" s="395" t="e">
        <f>IF(ResultsTeams[[#This Row],[Type]]="G",INDEX(TeamsList[Club Name],MATCH(ResultsTeams[[#This Row],[Team B]],TeamsList[Team Name],0)),AF812)</f>
        <v>#N/A</v>
      </c>
      <c r="AG813" s="265"/>
    </row>
    <row r="814" spans="1:33" x14ac:dyDescent="0.2">
      <c r="A814" s="62"/>
      <c r="B814" s="280"/>
      <c r="C814" s="62"/>
      <c r="D814" s="62"/>
      <c r="E814" s="241" t="s">
        <v>12240</v>
      </c>
      <c r="F814" s="246"/>
      <c r="G814" s="246"/>
      <c r="H814" s="254"/>
      <c r="I814" s="254"/>
      <c r="J814" s="254"/>
      <c r="K814" s="363"/>
      <c r="L814" s="363"/>
      <c r="M814" s="247"/>
      <c r="N814" s="265" t="b">
        <f>NOT(ISERROR(ResultsTeams[[#This Row],[Goal-A]]+ResultsTeams[[#This Row],[Goal-B]]))</f>
        <v>1</v>
      </c>
      <c r="O814" s="265">
        <f>IF(ResultsTeams[[#This Row],[Type]]="G",SUM(O815:O818),IF(LEFT(ResultsTeams[[#This Row],[Type]],1)="P",IF(ResultsTeams[[#This Row],[Goal-A]]&gt;ResultsTeams[[#This Row],[Goal-B]],1,0),""))</f>
        <v>0</v>
      </c>
      <c r="P814" s="265">
        <f>IF(ResultsTeams[[#This Row],[Type]]="G",SUM(P815:P818),IF(LEFT(ResultsTeams[[#This Row],[Type]],1)="P",IF(ResultsTeams[[#This Row],[Goal-A]]&lt;ResultsTeams[[#This Row],[Goal-B]],1,0),""))</f>
        <v>0</v>
      </c>
      <c r="Q814" s="265">
        <f>IF(ResultsTeams[[#This Row],[Type]]="G",SUM(Q815:Q818),IF(LEFT(ResultsTeams[[#This Row],[Type]],1)="P",VALUE(ResultsTeams[[#This Row],[Score-A]]),""))</f>
        <v>0</v>
      </c>
      <c r="R814" s="265">
        <f>IF(ResultsTeams[[#This Row],[Type]]="G",SUM(R815:R818),IF(LEFT(ResultsTeams[[#This Row],[Type]],1)="P",VALUE(ResultsTeams[[#This Row],[Score-B]]),""))</f>
        <v>0</v>
      </c>
      <c r="S814" s="265" t="str">
        <f ca="1">IF(AND(ResultsTeams[[#This Row],[Category]]&lt;&gt;"",ResultsTeams[[#This Row],[Team A]]&lt;&gt;""),COUNTIF(INDIRECT("TeamsList[Club Name]"),ResultsTeams[[#This Row],[Team A]]),"")</f>
        <v/>
      </c>
      <c r="T814" s="265" t="str">
        <f ca="1">IF(AND(ResultsTeams[[#This Row],[Category]]&lt;&gt;"",ResultsTeams[[#This Row],[Team B]]&lt;&gt;""),COUNTIF(INDIRECT("TeamsList[Club Name]"),ResultsTeams[[#This Row],[Team B]]),"")</f>
        <v/>
      </c>
      <c r="U8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4" s="265" t="str">
        <f>IF(ResultsTeams[[#This Row],[Score_OK]],IF(ResultsTeams[[#This Row],[StageCpy]]="Groups",ResultsTeams[[#This Row],[Category]]&amp;"-"&amp;IF(ResultsTeams[[#This Row],[Team B]]="","",IF(ResultsTeams[[#This Row],[Match-A]]=ResultsTeams[[#This Row],[Match-B]],ResultsTeams[[#This Row],[Team A]],"")),""),"")</f>
        <v/>
      </c>
      <c r="W814" s="265" t="str">
        <f>IF(ResultsTeams[[#This Row],[Score_OK]],IF(ResultsTeams[[#This Row],[StageCpy]]="Groups",ResultsTeams[[#This Row],[Category]]&amp;"-"&amp;IF(ResultsTeams[[#This Row],[Team B]]="","",IF(ResultsTeams[[#This Row],[Match-A]]=ResultsTeams[[#This Row],[Match-B]],ResultsTeams[[#This Row],[Team B]],"")),""),"")</f>
        <v/>
      </c>
      <c r="X8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4" s="264" t="str">
        <f>IF(ResultsTeams[[#This Row],[Category]]="","",VLOOKUP(ResultsTeams[[#This Row],[Stage]],$R$1:$T$8,MATCH(ResultsTeams[[#This Row],[Category]],$S$1:$T$1,0)+1,FALSE))</f>
        <v/>
      </c>
      <c r="AC8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4" s="264">
        <f>IF(ResultsTeams[[#This Row],[Type]]="G",ResultsTeams[[#This Row],[Stage]],AD813)</f>
        <v>0</v>
      </c>
      <c r="AE814" s="395" t="e">
        <f>IF(ResultsTeams[[#This Row],[Type]]="G",INDEX(TeamsList[Club Name],MATCH(ResultsTeams[[#This Row],[Team A]],TeamsList[Team Name],0)),AE813)</f>
        <v>#N/A</v>
      </c>
      <c r="AF814" s="395" t="e">
        <f>IF(ResultsTeams[[#This Row],[Type]]="G",INDEX(TeamsList[Club Name],MATCH(ResultsTeams[[#This Row],[Team B]],TeamsList[Team Name],0)),AF813)</f>
        <v>#N/A</v>
      </c>
      <c r="AG814" s="265"/>
    </row>
    <row r="815" spans="1:33" x14ac:dyDescent="0.2">
      <c r="A815" s="62"/>
      <c r="B815" s="62"/>
      <c r="C815" s="62"/>
      <c r="D815" s="62"/>
      <c r="E815" s="241" t="s">
        <v>12243</v>
      </c>
      <c r="F815" s="247"/>
      <c r="G815" s="247"/>
      <c r="H815" s="254"/>
      <c r="I815" s="254"/>
      <c r="J815" s="260"/>
      <c r="K815" s="364"/>
      <c r="L815" s="364"/>
      <c r="M815" s="247"/>
      <c r="N815" s="265" t="b">
        <f>NOT(ISERROR(ResultsTeams[[#This Row],[Goal-A]]+ResultsTeams[[#This Row],[Goal-B]]))</f>
        <v>0</v>
      </c>
      <c r="O815" s="265" t="str">
        <f>IF(ResultsTeams[[#This Row],[Type]]="G",SUM(O816:O819),IF(LEFT(ResultsTeams[[#This Row],[Type]],1)="P",IF(ResultsTeams[[#This Row],[Goal-A]]&gt;ResultsTeams[[#This Row],[Goal-B]],1,0),""))</f>
        <v/>
      </c>
      <c r="P815" s="265" t="str">
        <f>IF(ResultsTeams[[#This Row],[Type]]="G",SUM(P816:P819),IF(LEFT(ResultsTeams[[#This Row],[Type]],1)="P",IF(ResultsTeams[[#This Row],[Goal-A]]&lt;ResultsTeams[[#This Row],[Goal-B]],1,0),""))</f>
        <v/>
      </c>
      <c r="Q815" s="265" t="str">
        <f>IF(ResultsTeams[[#This Row],[Type]]="G",SUM(Q816:Q819),IF(LEFT(ResultsTeams[[#This Row],[Type]],1)="P",VALUE(ResultsTeams[[#This Row],[Score-A]]),""))</f>
        <v/>
      </c>
      <c r="R815" s="265" t="str">
        <f>IF(ResultsTeams[[#This Row],[Type]]="G",SUM(R816:R819),IF(LEFT(ResultsTeams[[#This Row],[Type]],1)="P",VALUE(ResultsTeams[[#This Row],[Score-B]]),""))</f>
        <v/>
      </c>
      <c r="S815" s="265" t="str">
        <f ca="1">IF(AND(ResultsTeams[[#This Row],[Category]]&lt;&gt;"",ResultsTeams[[#This Row],[Team A]]&lt;&gt;""),COUNTIF(INDIRECT("TeamsList[Club Name]"),ResultsTeams[[#This Row],[Team A]]),"")</f>
        <v/>
      </c>
      <c r="T815" s="265" t="str">
        <f ca="1">IF(AND(ResultsTeams[[#This Row],[Category]]&lt;&gt;"",ResultsTeams[[#This Row],[Team B]]&lt;&gt;""),COUNTIF(INDIRECT("TeamsList[Club Name]"),ResultsTeams[[#This Row],[Team B]]),"")</f>
        <v/>
      </c>
      <c r="U8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5" s="265" t="str">
        <f>IF(ResultsTeams[[#This Row],[Score_OK]],IF(ResultsTeams[[#This Row],[StageCpy]]="Groups",ResultsTeams[[#This Row],[Category]]&amp;"-"&amp;IF(ResultsTeams[[#This Row],[Team B]]="","",IF(ResultsTeams[[#This Row],[Match-A]]=ResultsTeams[[#This Row],[Match-B]],ResultsTeams[[#This Row],[Team A]],"")),""),"")</f>
        <v/>
      </c>
      <c r="W815" s="265" t="str">
        <f>IF(ResultsTeams[[#This Row],[Score_OK]],IF(ResultsTeams[[#This Row],[StageCpy]]="Groups",ResultsTeams[[#This Row],[Category]]&amp;"-"&amp;IF(ResultsTeams[[#This Row],[Team B]]="","",IF(ResultsTeams[[#This Row],[Match-A]]=ResultsTeams[[#This Row],[Match-B]],ResultsTeams[[#This Row],[Team B]],"")),""),"")</f>
        <v/>
      </c>
      <c r="X8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5" s="264" t="str">
        <f>IF(ResultsTeams[[#This Row],[Category]]="","",VLOOKUP(ResultsTeams[[#This Row],[Stage]],$R$1:$T$8,MATCH(ResultsTeams[[#This Row],[Category]],$S$1:$T$1,0)+1,FALSE))</f>
        <v/>
      </c>
      <c r="AC8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5" s="264">
        <f>IF(ResultsTeams[[#This Row],[Type]]="G",ResultsTeams[[#This Row],[Stage]],AD814)</f>
        <v>0</v>
      </c>
      <c r="AE815" s="395" t="e">
        <f>IF(ResultsTeams[[#This Row],[Type]]="G",INDEX(TeamsList[Club Name],MATCH(ResultsTeams[[#This Row],[Team A]],TeamsList[Team Name],0)),AE814)</f>
        <v>#N/A</v>
      </c>
      <c r="AF815" s="395" t="e">
        <f>IF(ResultsTeams[[#This Row],[Type]]="G",INDEX(TeamsList[Club Name],MATCH(ResultsTeams[[#This Row],[Team B]],TeamsList[Team Name],0)),AF814)</f>
        <v>#N/A</v>
      </c>
      <c r="AG815" s="265"/>
    </row>
    <row r="816" spans="1:33" ht="12" thickBot="1" x14ac:dyDescent="0.25">
      <c r="A816" s="83"/>
      <c r="B816" s="83"/>
      <c r="C816" s="83"/>
      <c r="D816" s="83"/>
      <c r="E816" s="268" t="s">
        <v>12244</v>
      </c>
      <c r="F816" s="262"/>
      <c r="G816" s="262"/>
      <c r="H816" s="324"/>
      <c r="I816" s="324"/>
      <c r="J816" s="263"/>
      <c r="K816" s="365"/>
      <c r="L816" s="365"/>
      <c r="M816" s="262"/>
      <c r="N816" s="265" t="b">
        <f>NOT(ISERROR(ResultsTeams[[#This Row],[Goal-A]]+ResultsTeams[[#This Row],[Goal-B]]))</f>
        <v>0</v>
      </c>
      <c r="O816" s="265" t="str">
        <f>IF(ResultsTeams[[#This Row],[Type]]="G",SUM(O817:O820),IF(LEFT(ResultsTeams[[#This Row],[Type]],1)="P",IF(ResultsTeams[[#This Row],[Goal-A]]&gt;ResultsTeams[[#This Row],[Goal-B]],1,0),""))</f>
        <v/>
      </c>
      <c r="P816" s="265" t="str">
        <f>IF(ResultsTeams[[#This Row],[Type]]="G",SUM(P817:P820),IF(LEFT(ResultsTeams[[#This Row],[Type]],1)="P",IF(ResultsTeams[[#This Row],[Goal-A]]&lt;ResultsTeams[[#This Row],[Goal-B]],1,0),""))</f>
        <v/>
      </c>
      <c r="Q816" s="265" t="str">
        <f>IF(ResultsTeams[[#This Row],[Type]]="G",SUM(Q817:Q820),IF(LEFT(ResultsTeams[[#This Row],[Type]],1)="P",VALUE(ResultsTeams[[#This Row],[Score-A]]),""))</f>
        <v/>
      </c>
      <c r="R816" s="265" t="str">
        <f>IF(ResultsTeams[[#This Row],[Type]]="G",SUM(R817:R820),IF(LEFT(ResultsTeams[[#This Row],[Type]],1)="P",VALUE(ResultsTeams[[#This Row],[Score-B]]),""))</f>
        <v/>
      </c>
      <c r="S816" s="265" t="str">
        <f ca="1">IF(AND(ResultsTeams[[#This Row],[Category]]&lt;&gt;"",ResultsTeams[[#This Row],[Team A]]&lt;&gt;""),COUNTIF(INDIRECT("TeamsList[Club Name]"),ResultsTeams[[#This Row],[Team A]]),"")</f>
        <v/>
      </c>
      <c r="T816" s="265" t="str">
        <f ca="1">IF(AND(ResultsTeams[[#This Row],[Category]]&lt;&gt;"",ResultsTeams[[#This Row],[Team B]]&lt;&gt;""),COUNTIF(INDIRECT("TeamsList[Club Name]"),ResultsTeams[[#This Row],[Team B]]),"")</f>
        <v/>
      </c>
      <c r="U8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6" s="265" t="str">
        <f>IF(ResultsTeams[[#This Row],[Score_OK]],IF(ResultsTeams[[#This Row],[StageCpy]]="Groups",ResultsTeams[[#This Row],[Category]]&amp;"-"&amp;IF(ResultsTeams[[#This Row],[Team B]]="","",IF(ResultsTeams[[#This Row],[Match-A]]=ResultsTeams[[#This Row],[Match-B]],ResultsTeams[[#This Row],[Team A]],"")),""),"")</f>
        <v/>
      </c>
      <c r="W816" s="265" t="str">
        <f>IF(ResultsTeams[[#This Row],[Score_OK]],IF(ResultsTeams[[#This Row],[StageCpy]]="Groups",ResultsTeams[[#This Row],[Category]]&amp;"-"&amp;IF(ResultsTeams[[#This Row],[Team B]]="","",IF(ResultsTeams[[#This Row],[Match-A]]=ResultsTeams[[#This Row],[Match-B]],ResultsTeams[[#This Row],[Team B]],"")),""),"")</f>
        <v/>
      </c>
      <c r="X8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6" s="264" t="str">
        <f>IF(ResultsTeams[[#This Row],[Category]]="","",VLOOKUP(ResultsTeams[[#This Row],[Stage]],$R$1:$T$8,MATCH(ResultsTeams[[#This Row],[Category]],$S$1:$T$1,0)+1,FALSE))</f>
        <v/>
      </c>
      <c r="AC8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6" s="264">
        <f>IF(ResultsTeams[[#This Row],[Type]]="G",ResultsTeams[[#This Row],[Stage]],AD815)</f>
        <v>0</v>
      </c>
      <c r="AE816" s="395" t="e">
        <f>IF(ResultsTeams[[#This Row],[Type]]="G",INDEX(TeamsList[Club Name],MATCH(ResultsTeams[[#This Row],[Team A]],TeamsList[Team Name],0)),AE815)</f>
        <v>#N/A</v>
      </c>
      <c r="AF816" s="395" t="e">
        <f>IF(ResultsTeams[[#This Row],[Type]]="G",INDEX(TeamsList[Club Name],MATCH(ResultsTeams[[#This Row],[Team B]],TeamsList[Team Name],0)),AF815)</f>
        <v>#N/A</v>
      </c>
      <c r="AG816" s="265"/>
    </row>
    <row r="817" spans="1:33" ht="12" thickBot="1" x14ac:dyDescent="0.25">
      <c r="A817" s="261"/>
      <c r="B817" s="270"/>
      <c r="C817" s="270"/>
      <c r="D817" s="270"/>
      <c r="E817" s="272" t="s">
        <v>12228</v>
      </c>
      <c r="F817" s="273"/>
      <c r="G817" s="273"/>
      <c r="H817" s="275"/>
      <c r="I817" s="275"/>
      <c r="J817" s="275"/>
      <c r="K817" s="366"/>
      <c r="L817" s="366"/>
      <c r="M817" s="274"/>
      <c r="N817" s="265" t="b">
        <f>NOT(ISERROR(ResultsTeams[[#This Row],[Goal-A]]+ResultsTeams[[#This Row],[Goal-B]]))</f>
        <v>1</v>
      </c>
      <c r="O817" s="265">
        <f>IF(ResultsTeams[[#This Row],[Type]]="G",SUM(O818:O821),IF(LEFT(ResultsTeams[[#This Row],[Type]],1)="P",IF(ResultsTeams[[#This Row],[Goal-A]]&gt;ResultsTeams[[#This Row],[Goal-B]],1,0),""))</f>
        <v>0</v>
      </c>
      <c r="P817" s="265">
        <f>IF(ResultsTeams[[#This Row],[Type]]="G",SUM(P818:P821),IF(LEFT(ResultsTeams[[#This Row],[Type]],1)="P",IF(ResultsTeams[[#This Row],[Goal-A]]&lt;ResultsTeams[[#This Row],[Goal-B]],1,0),""))</f>
        <v>0</v>
      </c>
      <c r="Q817" s="265">
        <f>IF(ResultsTeams[[#This Row],[Type]]="G",SUM(Q818:Q821),IF(LEFT(ResultsTeams[[#This Row],[Type]],1)="P",VALUE(ResultsTeams[[#This Row],[Score-A]]),""))</f>
        <v>0</v>
      </c>
      <c r="R817" s="265">
        <f>IF(ResultsTeams[[#This Row],[Type]]="G",SUM(R818:R821),IF(LEFT(ResultsTeams[[#This Row],[Type]],1)="P",VALUE(ResultsTeams[[#This Row],[Score-B]]),""))</f>
        <v>0</v>
      </c>
      <c r="S817" s="265" t="str">
        <f ca="1">IF(AND(ResultsTeams[[#This Row],[Category]]&lt;&gt;"",ResultsTeams[[#This Row],[Team A]]&lt;&gt;""),COUNTIF(INDIRECT("TeamsList[Club Name]"),ResultsTeams[[#This Row],[Team A]]),"")</f>
        <v/>
      </c>
      <c r="T817" s="265" t="str">
        <f ca="1">IF(AND(ResultsTeams[[#This Row],[Category]]&lt;&gt;"",ResultsTeams[[#This Row],[Team B]]&lt;&gt;""),COUNTIF(INDIRECT("TeamsList[Club Name]"),ResultsTeams[[#This Row],[Team B]]),"")</f>
        <v/>
      </c>
      <c r="U8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7" s="265" t="str">
        <f>IF(ResultsTeams[[#This Row],[Score_OK]],IF(ResultsTeams[[#This Row],[StageCpy]]="Groups",ResultsTeams[[#This Row],[Category]]&amp;"-"&amp;IF(ResultsTeams[[#This Row],[Team B]]="","",IF(ResultsTeams[[#This Row],[Match-A]]=ResultsTeams[[#This Row],[Match-B]],ResultsTeams[[#This Row],[Team A]],"")),""),"")</f>
        <v/>
      </c>
      <c r="W817" s="265" t="str">
        <f>IF(ResultsTeams[[#This Row],[Score_OK]],IF(ResultsTeams[[#This Row],[StageCpy]]="Groups",ResultsTeams[[#This Row],[Category]]&amp;"-"&amp;IF(ResultsTeams[[#This Row],[Team B]]="","",IF(ResultsTeams[[#This Row],[Match-A]]=ResultsTeams[[#This Row],[Match-B]],ResultsTeams[[#This Row],[Team B]],"")),""),"")</f>
        <v/>
      </c>
      <c r="X8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7" s="264" t="str">
        <f>IF(ResultsTeams[[#This Row],[Category]]="","",VLOOKUP(ResultsTeams[[#This Row],[Stage]],$R$1:$T$8,MATCH(ResultsTeams[[#This Row],[Category]],$S$1:$T$1,0)+1,FALSE))</f>
        <v/>
      </c>
      <c r="AC8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7" s="264">
        <f>IF(ResultsTeams[[#This Row],[Type]]="G",ResultsTeams[[#This Row],[Stage]],AD816)</f>
        <v>0</v>
      </c>
      <c r="AE817" s="395" t="e">
        <f>IF(ResultsTeams[[#This Row],[Type]]="G",INDEX(TeamsList[Club Name],MATCH(ResultsTeams[[#This Row],[Team A]],TeamsList[Team Name],0)),AE816)</f>
        <v>#N/A</v>
      </c>
      <c r="AF817" s="395" t="e">
        <f>IF(ResultsTeams[[#This Row],[Type]]="G",INDEX(TeamsList[Club Name],MATCH(ResultsTeams[[#This Row],[Team B]],TeamsList[Team Name],0)),AF816)</f>
        <v>#N/A</v>
      </c>
      <c r="AG817" s="265"/>
    </row>
    <row r="818" spans="1:33" x14ac:dyDescent="0.2">
      <c r="A818" s="60"/>
      <c r="B818" s="280"/>
      <c r="C818" s="60"/>
      <c r="D818" s="60"/>
      <c r="E818" s="240" t="s">
        <v>12231</v>
      </c>
      <c r="F818" s="244"/>
      <c r="G818" s="244"/>
      <c r="H818" s="253"/>
      <c r="I818" s="253"/>
      <c r="J818" s="253"/>
      <c r="K818" s="362"/>
      <c r="L818" s="362"/>
      <c r="M818" s="245"/>
      <c r="N818" s="265" t="b">
        <f>NOT(ISERROR(ResultsTeams[[#This Row],[Goal-A]]+ResultsTeams[[#This Row],[Goal-B]]))</f>
        <v>1</v>
      </c>
      <c r="O818" s="265">
        <f>IF(ResultsTeams[[#This Row],[Type]]="G",SUM(O819:O822),IF(LEFT(ResultsTeams[[#This Row],[Type]],1)="P",IF(ResultsTeams[[#This Row],[Goal-A]]&gt;ResultsTeams[[#This Row],[Goal-B]],1,0),""))</f>
        <v>0</v>
      </c>
      <c r="P818" s="265">
        <f>IF(ResultsTeams[[#This Row],[Type]]="G",SUM(P819:P822),IF(LEFT(ResultsTeams[[#This Row],[Type]],1)="P",IF(ResultsTeams[[#This Row],[Goal-A]]&lt;ResultsTeams[[#This Row],[Goal-B]],1,0),""))</f>
        <v>0</v>
      </c>
      <c r="Q818" s="265">
        <f>IF(ResultsTeams[[#This Row],[Type]]="G",SUM(Q819:Q822),IF(LEFT(ResultsTeams[[#This Row],[Type]],1)="P",VALUE(ResultsTeams[[#This Row],[Score-A]]),""))</f>
        <v>0</v>
      </c>
      <c r="R818" s="265">
        <f>IF(ResultsTeams[[#This Row],[Type]]="G",SUM(R819:R822),IF(LEFT(ResultsTeams[[#This Row],[Type]],1)="P",VALUE(ResultsTeams[[#This Row],[Score-B]]),""))</f>
        <v>0</v>
      </c>
      <c r="S818" s="265" t="str">
        <f ca="1">IF(AND(ResultsTeams[[#This Row],[Category]]&lt;&gt;"",ResultsTeams[[#This Row],[Team A]]&lt;&gt;""),COUNTIF(INDIRECT("TeamsList[Club Name]"),ResultsTeams[[#This Row],[Team A]]),"")</f>
        <v/>
      </c>
      <c r="T818" s="265" t="str">
        <f ca="1">IF(AND(ResultsTeams[[#This Row],[Category]]&lt;&gt;"",ResultsTeams[[#This Row],[Team B]]&lt;&gt;""),COUNTIF(INDIRECT("TeamsList[Club Name]"),ResultsTeams[[#This Row],[Team B]]),"")</f>
        <v/>
      </c>
      <c r="U8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8" s="265" t="str">
        <f>IF(ResultsTeams[[#This Row],[Score_OK]],IF(ResultsTeams[[#This Row],[StageCpy]]="Groups",ResultsTeams[[#This Row],[Category]]&amp;"-"&amp;IF(ResultsTeams[[#This Row],[Team B]]="","",IF(ResultsTeams[[#This Row],[Match-A]]=ResultsTeams[[#This Row],[Match-B]],ResultsTeams[[#This Row],[Team A]],"")),""),"")</f>
        <v/>
      </c>
      <c r="W818" s="265" t="str">
        <f>IF(ResultsTeams[[#This Row],[Score_OK]],IF(ResultsTeams[[#This Row],[StageCpy]]="Groups",ResultsTeams[[#This Row],[Category]]&amp;"-"&amp;IF(ResultsTeams[[#This Row],[Team B]]="","",IF(ResultsTeams[[#This Row],[Match-A]]=ResultsTeams[[#This Row],[Match-B]],ResultsTeams[[#This Row],[Team B]],"")),""),"")</f>
        <v/>
      </c>
      <c r="X8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8" s="264" t="str">
        <f>IF(ResultsTeams[[#This Row],[Category]]="","",VLOOKUP(ResultsTeams[[#This Row],[Stage]],$R$1:$T$8,MATCH(ResultsTeams[[#This Row],[Category]],$S$1:$T$1,0)+1,FALSE))</f>
        <v/>
      </c>
      <c r="AC8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8" s="264">
        <f>IF(ResultsTeams[[#This Row],[Type]]="G",ResultsTeams[[#This Row],[Stage]],AD817)</f>
        <v>0</v>
      </c>
      <c r="AE818" s="395" t="e">
        <f>IF(ResultsTeams[[#This Row],[Type]]="G",INDEX(TeamsList[Club Name],MATCH(ResultsTeams[[#This Row],[Team A]],TeamsList[Team Name],0)),AE817)</f>
        <v>#N/A</v>
      </c>
      <c r="AF818" s="395" t="e">
        <f>IF(ResultsTeams[[#This Row],[Type]]="G",INDEX(TeamsList[Club Name],MATCH(ResultsTeams[[#This Row],[Team B]],TeamsList[Team Name],0)),AF817)</f>
        <v>#N/A</v>
      </c>
      <c r="AG818" s="265"/>
    </row>
    <row r="819" spans="1:33" x14ac:dyDescent="0.2">
      <c r="A819" s="62"/>
      <c r="B819" s="280"/>
      <c r="C819" s="62"/>
      <c r="D819" s="62"/>
      <c r="E819" s="241" t="s">
        <v>12234</v>
      </c>
      <c r="F819" s="246"/>
      <c r="G819" s="246"/>
      <c r="H819" s="254"/>
      <c r="I819" s="254"/>
      <c r="J819" s="254"/>
      <c r="K819" s="363"/>
      <c r="L819" s="363"/>
      <c r="M819" s="247"/>
      <c r="N819" s="265" t="b">
        <f>NOT(ISERROR(ResultsTeams[[#This Row],[Goal-A]]+ResultsTeams[[#This Row],[Goal-B]]))</f>
        <v>1</v>
      </c>
      <c r="O819" s="265">
        <f>IF(ResultsTeams[[#This Row],[Type]]="G",SUM(O820:O823),IF(LEFT(ResultsTeams[[#This Row],[Type]],1)="P",IF(ResultsTeams[[#This Row],[Goal-A]]&gt;ResultsTeams[[#This Row],[Goal-B]],1,0),""))</f>
        <v>0</v>
      </c>
      <c r="P819" s="265">
        <f>IF(ResultsTeams[[#This Row],[Type]]="G",SUM(P820:P823),IF(LEFT(ResultsTeams[[#This Row],[Type]],1)="P",IF(ResultsTeams[[#This Row],[Goal-A]]&lt;ResultsTeams[[#This Row],[Goal-B]],1,0),""))</f>
        <v>0</v>
      </c>
      <c r="Q819" s="265">
        <f>IF(ResultsTeams[[#This Row],[Type]]="G",SUM(Q820:Q823),IF(LEFT(ResultsTeams[[#This Row],[Type]],1)="P",VALUE(ResultsTeams[[#This Row],[Score-A]]),""))</f>
        <v>0</v>
      </c>
      <c r="R819" s="265">
        <f>IF(ResultsTeams[[#This Row],[Type]]="G",SUM(R820:R823),IF(LEFT(ResultsTeams[[#This Row],[Type]],1)="P",VALUE(ResultsTeams[[#This Row],[Score-B]]),""))</f>
        <v>0</v>
      </c>
      <c r="S819" s="265" t="str">
        <f ca="1">IF(AND(ResultsTeams[[#This Row],[Category]]&lt;&gt;"",ResultsTeams[[#This Row],[Team A]]&lt;&gt;""),COUNTIF(INDIRECT("TeamsList[Club Name]"),ResultsTeams[[#This Row],[Team A]]),"")</f>
        <v/>
      </c>
      <c r="T819" s="265" t="str">
        <f ca="1">IF(AND(ResultsTeams[[#This Row],[Category]]&lt;&gt;"",ResultsTeams[[#This Row],[Team B]]&lt;&gt;""),COUNTIF(INDIRECT("TeamsList[Club Name]"),ResultsTeams[[#This Row],[Team B]]),"")</f>
        <v/>
      </c>
      <c r="U8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9" s="265" t="str">
        <f>IF(ResultsTeams[[#This Row],[Score_OK]],IF(ResultsTeams[[#This Row],[StageCpy]]="Groups",ResultsTeams[[#This Row],[Category]]&amp;"-"&amp;IF(ResultsTeams[[#This Row],[Team B]]="","",IF(ResultsTeams[[#This Row],[Match-A]]=ResultsTeams[[#This Row],[Match-B]],ResultsTeams[[#This Row],[Team A]],"")),""),"")</f>
        <v/>
      </c>
      <c r="W819" s="265" t="str">
        <f>IF(ResultsTeams[[#This Row],[Score_OK]],IF(ResultsTeams[[#This Row],[StageCpy]]="Groups",ResultsTeams[[#This Row],[Category]]&amp;"-"&amp;IF(ResultsTeams[[#This Row],[Team B]]="","",IF(ResultsTeams[[#This Row],[Match-A]]=ResultsTeams[[#This Row],[Match-B]],ResultsTeams[[#This Row],[Team B]],"")),""),"")</f>
        <v/>
      </c>
      <c r="X8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9" s="264" t="str">
        <f>IF(ResultsTeams[[#This Row],[Category]]="","",VLOOKUP(ResultsTeams[[#This Row],[Stage]],$R$1:$T$8,MATCH(ResultsTeams[[#This Row],[Category]],$S$1:$T$1,0)+1,FALSE))</f>
        <v/>
      </c>
      <c r="AC8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9" s="264">
        <f>IF(ResultsTeams[[#This Row],[Type]]="G",ResultsTeams[[#This Row],[Stage]],AD818)</f>
        <v>0</v>
      </c>
      <c r="AE819" s="395" t="e">
        <f>IF(ResultsTeams[[#This Row],[Type]]="G",INDEX(TeamsList[Club Name],MATCH(ResultsTeams[[#This Row],[Team A]],TeamsList[Team Name],0)),AE818)</f>
        <v>#N/A</v>
      </c>
      <c r="AF819" s="395" t="e">
        <f>IF(ResultsTeams[[#This Row],[Type]]="G",INDEX(TeamsList[Club Name],MATCH(ResultsTeams[[#This Row],[Team B]],TeamsList[Team Name],0)),AF818)</f>
        <v>#N/A</v>
      </c>
      <c r="AG819" s="265"/>
    </row>
    <row r="820" spans="1:33" x14ac:dyDescent="0.2">
      <c r="A820" s="62"/>
      <c r="B820" s="280"/>
      <c r="C820" s="62"/>
      <c r="D820" s="62"/>
      <c r="E820" s="241" t="s">
        <v>12237</v>
      </c>
      <c r="F820" s="246"/>
      <c r="G820" s="246"/>
      <c r="H820" s="254"/>
      <c r="I820" s="254"/>
      <c r="J820" s="254"/>
      <c r="K820" s="363"/>
      <c r="L820" s="363"/>
      <c r="M820" s="247"/>
      <c r="N820" s="265" t="b">
        <f>NOT(ISERROR(ResultsTeams[[#This Row],[Goal-A]]+ResultsTeams[[#This Row],[Goal-B]]))</f>
        <v>1</v>
      </c>
      <c r="O820" s="265">
        <f>IF(ResultsTeams[[#This Row],[Type]]="G",SUM(O821:O824),IF(LEFT(ResultsTeams[[#This Row],[Type]],1)="P",IF(ResultsTeams[[#This Row],[Goal-A]]&gt;ResultsTeams[[#This Row],[Goal-B]],1,0),""))</f>
        <v>0</v>
      </c>
      <c r="P820" s="265">
        <f>IF(ResultsTeams[[#This Row],[Type]]="G",SUM(P821:P824),IF(LEFT(ResultsTeams[[#This Row],[Type]],1)="P",IF(ResultsTeams[[#This Row],[Goal-A]]&lt;ResultsTeams[[#This Row],[Goal-B]],1,0),""))</f>
        <v>0</v>
      </c>
      <c r="Q820" s="265">
        <f>IF(ResultsTeams[[#This Row],[Type]]="G",SUM(Q821:Q824),IF(LEFT(ResultsTeams[[#This Row],[Type]],1)="P",VALUE(ResultsTeams[[#This Row],[Score-A]]),""))</f>
        <v>0</v>
      </c>
      <c r="R820" s="265">
        <f>IF(ResultsTeams[[#This Row],[Type]]="G",SUM(R821:R824),IF(LEFT(ResultsTeams[[#This Row],[Type]],1)="P",VALUE(ResultsTeams[[#This Row],[Score-B]]),""))</f>
        <v>0</v>
      </c>
      <c r="S820" s="265" t="str">
        <f ca="1">IF(AND(ResultsTeams[[#This Row],[Category]]&lt;&gt;"",ResultsTeams[[#This Row],[Team A]]&lt;&gt;""),COUNTIF(INDIRECT("TeamsList[Club Name]"),ResultsTeams[[#This Row],[Team A]]),"")</f>
        <v/>
      </c>
      <c r="T820" s="265" t="str">
        <f ca="1">IF(AND(ResultsTeams[[#This Row],[Category]]&lt;&gt;"",ResultsTeams[[#This Row],[Team B]]&lt;&gt;""),COUNTIF(INDIRECT("TeamsList[Club Name]"),ResultsTeams[[#This Row],[Team B]]),"")</f>
        <v/>
      </c>
      <c r="U8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0" s="265" t="str">
        <f>IF(ResultsTeams[[#This Row],[Score_OK]],IF(ResultsTeams[[#This Row],[StageCpy]]="Groups",ResultsTeams[[#This Row],[Category]]&amp;"-"&amp;IF(ResultsTeams[[#This Row],[Team B]]="","",IF(ResultsTeams[[#This Row],[Match-A]]=ResultsTeams[[#This Row],[Match-B]],ResultsTeams[[#This Row],[Team A]],"")),""),"")</f>
        <v/>
      </c>
      <c r="W820" s="265" t="str">
        <f>IF(ResultsTeams[[#This Row],[Score_OK]],IF(ResultsTeams[[#This Row],[StageCpy]]="Groups",ResultsTeams[[#This Row],[Category]]&amp;"-"&amp;IF(ResultsTeams[[#This Row],[Team B]]="","",IF(ResultsTeams[[#This Row],[Match-A]]=ResultsTeams[[#This Row],[Match-B]],ResultsTeams[[#This Row],[Team B]],"")),""),"")</f>
        <v/>
      </c>
      <c r="X8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0" s="264" t="str">
        <f>IF(ResultsTeams[[#This Row],[Category]]="","",VLOOKUP(ResultsTeams[[#This Row],[Stage]],$R$1:$T$8,MATCH(ResultsTeams[[#This Row],[Category]],$S$1:$T$1,0)+1,FALSE))</f>
        <v/>
      </c>
      <c r="AC8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0" s="264">
        <f>IF(ResultsTeams[[#This Row],[Type]]="G",ResultsTeams[[#This Row],[Stage]],AD819)</f>
        <v>0</v>
      </c>
      <c r="AE820" s="395" t="e">
        <f>IF(ResultsTeams[[#This Row],[Type]]="G",INDEX(TeamsList[Club Name],MATCH(ResultsTeams[[#This Row],[Team A]],TeamsList[Team Name],0)),AE819)</f>
        <v>#N/A</v>
      </c>
      <c r="AF820" s="395" t="e">
        <f>IF(ResultsTeams[[#This Row],[Type]]="G",INDEX(TeamsList[Club Name],MATCH(ResultsTeams[[#This Row],[Team B]],TeamsList[Team Name],0)),AF819)</f>
        <v>#N/A</v>
      </c>
      <c r="AG820" s="265"/>
    </row>
    <row r="821" spans="1:33" x14ac:dyDescent="0.2">
      <c r="A821" s="62"/>
      <c r="B821" s="280"/>
      <c r="C821" s="62"/>
      <c r="D821" s="62"/>
      <c r="E821" s="241" t="s">
        <v>12240</v>
      </c>
      <c r="F821" s="246"/>
      <c r="G821" s="246"/>
      <c r="H821" s="254"/>
      <c r="I821" s="254"/>
      <c r="J821" s="254"/>
      <c r="K821" s="363"/>
      <c r="L821" s="363"/>
      <c r="M821" s="247"/>
      <c r="N821" s="265" t="b">
        <f>NOT(ISERROR(ResultsTeams[[#This Row],[Goal-A]]+ResultsTeams[[#This Row],[Goal-B]]))</f>
        <v>1</v>
      </c>
      <c r="O821" s="265">
        <f>IF(ResultsTeams[[#This Row],[Type]]="G",SUM(O822:O825),IF(LEFT(ResultsTeams[[#This Row],[Type]],1)="P",IF(ResultsTeams[[#This Row],[Goal-A]]&gt;ResultsTeams[[#This Row],[Goal-B]],1,0),""))</f>
        <v>0</v>
      </c>
      <c r="P821" s="265">
        <f>IF(ResultsTeams[[#This Row],[Type]]="G",SUM(P822:P825),IF(LEFT(ResultsTeams[[#This Row],[Type]],1)="P",IF(ResultsTeams[[#This Row],[Goal-A]]&lt;ResultsTeams[[#This Row],[Goal-B]],1,0),""))</f>
        <v>0</v>
      </c>
      <c r="Q821" s="265">
        <f>IF(ResultsTeams[[#This Row],[Type]]="G",SUM(Q822:Q825),IF(LEFT(ResultsTeams[[#This Row],[Type]],1)="P",VALUE(ResultsTeams[[#This Row],[Score-A]]),""))</f>
        <v>0</v>
      </c>
      <c r="R821" s="265">
        <f>IF(ResultsTeams[[#This Row],[Type]]="G",SUM(R822:R825),IF(LEFT(ResultsTeams[[#This Row],[Type]],1)="P",VALUE(ResultsTeams[[#This Row],[Score-B]]),""))</f>
        <v>0</v>
      </c>
      <c r="S821" s="265" t="str">
        <f ca="1">IF(AND(ResultsTeams[[#This Row],[Category]]&lt;&gt;"",ResultsTeams[[#This Row],[Team A]]&lt;&gt;""),COUNTIF(INDIRECT("TeamsList[Club Name]"),ResultsTeams[[#This Row],[Team A]]),"")</f>
        <v/>
      </c>
      <c r="T821" s="265" t="str">
        <f ca="1">IF(AND(ResultsTeams[[#This Row],[Category]]&lt;&gt;"",ResultsTeams[[#This Row],[Team B]]&lt;&gt;""),COUNTIF(INDIRECT("TeamsList[Club Name]"),ResultsTeams[[#This Row],[Team B]]),"")</f>
        <v/>
      </c>
      <c r="U8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1" s="265" t="str">
        <f>IF(ResultsTeams[[#This Row],[Score_OK]],IF(ResultsTeams[[#This Row],[StageCpy]]="Groups",ResultsTeams[[#This Row],[Category]]&amp;"-"&amp;IF(ResultsTeams[[#This Row],[Team B]]="","",IF(ResultsTeams[[#This Row],[Match-A]]=ResultsTeams[[#This Row],[Match-B]],ResultsTeams[[#This Row],[Team A]],"")),""),"")</f>
        <v/>
      </c>
      <c r="W821" s="265" t="str">
        <f>IF(ResultsTeams[[#This Row],[Score_OK]],IF(ResultsTeams[[#This Row],[StageCpy]]="Groups",ResultsTeams[[#This Row],[Category]]&amp;"-"&amp;IF(ResultsTeams[[#This Row],[Team B]]="","",IF(ResultsTeams[[#This Row],[Match-A]]=ResultsTeams[[#This Row],[Match-B]],ResultsTeams[[#This Row],[Team B]],"")),""),"")</f>
        <v/>
      </c>
      <c r="X8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1" s="264" t="str">
        <f>IF(ResultsTeams[[#This Row],[Category]]="","",VLOOKUP(ResultsTeams[[#This Row],[Stage]],$R$1:$T$8,MATCH(ResultsTeams[[#This Row],[Category]],$S$1:$T$1,0)+1,FALSE))</f>
        <v/>
      </c>
      <c r="AC8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1" s="264">
        <f>IF(ResultsTeams[[#This Row],[Type]]="G",ResultsTeams[[#This Row],[Stage]],AD820)</f>
        <v>0</v>
      </c>
      <c r="AE821" s="395" t="e">
        <f>IF(ResultsTeams[[#This Row],[Type]]="G",INDEX(TeamsList[Club Name],MATCH(ResultsTeams[[#This Row],[Team A]],TeamsList[Team Name],0)),AE820)</f>
        <v>#N/A</v>
      </c>
      <c r="AF821" s="395" t="e">
        <f>IF(ResultsTeams[[#This Row],[Type]]="G",INDEX(TeamsList[Club Name],MATCH(ResultsTeams[[#This Row],[Team B]],TeamsList[Team Name],0)),AF820)</f>
        <v>#N/A</v>
      </c>
      <c r="AG821" s="265"/>
    </row>
    <row r="822" spans="1:33" x14ac:dyDescent="0.2">
      <c r="A822" s="62"/>
      <c r="B822" s="62"/>
      <c r="C822" s="62"/>
      <c r="D822" s="62"/>
      <c r="E822" s="241" t="s">
        <v>12243</v>
      </c>
      <c r="F822" s="247"/>
      <c r="G822" s="247"/>
      <c r="H822" s="254"/>
      <c r="I822" s="254"/>
      <c r="J822" s="260"/>
      <c r="K822" s="364"/>
      <c r="L822" s="364"/>
      <c r="M822" s="247"/>
      <c r="N822" s="265" t="b">
        <f>NOT(ISERROR(ResultsTeams[[#This Row],[Goal-A]]+ResultsTeams[[#This Row],[Goal-B]]))</f>
        <v>0</v>
      </c>
      <c r="O822" s="265" t="str">
        <f>IF(ResultsTeams[[#This Row],[Type]]="G",SUM(O823:O826),IF(LEFT(ResultsTeams[[#This Row],[Type]],1)="P",IF(ResultsTeams[[#This Row],[Goal-A]]&gt;ResultsTeams[[#This Row],[Goal-B]],1,0),""))</f>
        <v/>
      </c>
      <c r="P822" s="265" t="str">
        <f>IF(ResultsTeams[[#This Row],[Type]]="G",SUM(P823:P826),IF(LEFT(ResultsTeams[[#This Row],[Type]],1)="P",IF(ResultsTeams[[#This Row],[Goal-A]]&lt;ResultsTeams[[#This Row],[Goal-B]],1,0),""))</f>
        <v/>
      </c>
      <c r="Q822" s="265" t="str">
        <f>IF(ResultsTeams[[#This Row],[Type]]="G",SUM(Q823:Q826),IF(LEFT(ResultsTeams[[#This Row],[Type]],1)="P",VALUE(ResultsTeams[[#This Row],[Score-A]]),""))</f>
        <v/>
      </c>
      <c r="R822" s="265" t="str">
        <f>IF(ResultsTeams[[#This Row],[Type]]="G",SUM(R823:R826),IF(LEFT(ResultsTeams[[#This Row],[Type]],1)="P",VALUE(ResultsTeams[[#This Row],[Score-B]]),""))</f>
        <v/>
      </c>
      <c r="S822" s="265" t="str">
        <f ca="1">IF(AND(ResultsTeams[[#This Row],[Category]]&lt;&gt;"",ResultsTeams[[#This Row],[Team A]]&lt;&gt;""),COUNTIF(INDIRECT("TeamsList[Club Name]"),ResultsTeams[[#This Row],[Team A]]),"")</f>
        <v/>
      </c>
      <c r="T822" s="265" t="str">
        <f ca="1">IF(AND(ResultsTeams[[#This Row],[Category]]&lt;&gt;"",ResultsTeams[[#This Row],[Team B]]&lt;&gt;""),COUNTIF(INDIRECT("TeamsList[Club Name]"),ResultsTeams[[#This Row],[Team B]]),"")</f>
        <v/>
      </c>
      <c r="U8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2" s="265" t="str">
        <f>IF(ResultsTeams[[#This Row],[Score_OK]],IF(ResultsTeams[[#This Row],[StageCpy]]="Groups",ResultsTeams[[#This Row],[Category]]&amp;"-"&amp;IF(ResultsTeams[[#This Row],[Team B]]="","",IF(ResultsTeams[[#This Row],[Match-A]]=ResultsTeams[[#This Row],[Match-B]],ResultsTeams[[#This Row],[Team A]],"")),""),"")</f>
        <v/>
      </c>
      <c r="W822" s="265" t="str">
        <f>IF(ResultsTeams[[#This Row],[Score_OK]],IF(ResultsTeams[[#This Row],[StageCpy]]="Groups",ResultsTeams[[#This Row],[Category]]&amp;"-"&amp;IF(ResultsTeams[[#This Row],[Team B]]="","",IF(ResultsTeams[[#This Row],[Match-A]]=ResultsTeams[[#This Row],[Match-B]],ResultsTeams[[#This Row],[Team B]],"")),""),"")</f>
        <v/>
      </c>
      <c r="X8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2" s="264" t="str">
        <f>IF(ResultsTeams[[#This Row],[Category]]="","",VLOOKUP(ResultsTeams[[#This Row],[Stage]],$R$1:$T$8,MATCH(ResultsTeams[[#This Row],[Category]],$S$1:$T$1,0)+1,FALSE))</f>
        <v/>
      </c>
      <c r="AC8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2" s="264">
        <f>IF(ResultsTeams[[#This Row],[Type]]="G",ResultsTeams[[#This Row],[Stage]],AD821)</f>
        <v>0</v>
      </c>
      <c r="AE822" s="395" t="e">
        <f>IF(ResultsTeams[[#This Row],[Type]]="G",INDEX(TeamsList[Club Name],MATCH(ResultsTeams[[#This Row],[Team A]],TeamsList[Team Name],0)),AE821)</f>
        <v>#N/A</v>
      </c>
      <c r="AF822" s="395" t="e">
        <f>IF(ResultsTeams[[#This Row],[Type]]="G",INDEX(TeamsList[Club Name],MATCH(ResultsTeams[[#This Row],[Team B]],TeamsList[Team Name],0)),AF821)</f>
        <v>#N/A</v>
      </c>
      <c r="AG822" s="265"/>
    </row>
    <row r="823" spans="1:33" ht="12" thickBot="1" x14ac:dyDescent="0.25">
      <c r="A823" s="83"/>
      <c r="B823" s="83"/>
      <c r="C823" s="83"/>
      <c r="D823" s="83"/>
      <c r="E823" s="268" t="s">
        <v>12244</v>
      </c>
      <c r="F823" s="262"/>
      <c r="G823" s="262"/>
      <c r="H823" s="324"/>
      <c r="I823" s="324"/>
      <c r="J823" s="263"/>
      <c r="K823" s="365"/>
      <c r="L823" s="365"/>
      <c r="M823" s="262"/>
      <c r="N823" s="265" t="b">
        <f>NOT(ISERROR(ResultsTeams[[#This Row],[Goal-A]]+ResultsTeams[[#This Row],[Goal-B]]))</f>
        <v>0</v>
      </c>
      <c r="O823" s="265" t="str">
        <f>IF(ResultsTeams[[#This Row],[Type]]="G",SUM(O824:O827),IF(LEFT(ResultsTeams[[#This Row],[Type]],1)="P",IF(ResultsTeams[[#This Row],[Goal-A]]&gt;ResultsTeams[[#This Row],[Goal-B]],1,0),""))</f>
        <v/>
      </c>
      <c r="P823" s="265" t="str">
        <f>IF(ResultsTeams[[#This Row],[Type]]="G",SUM(P824:P827),IF(LEFT(ResultsTeams[[#This Row],[Type]],1)="P",IF(ResultsTeams[[#This Row],[Goal-A]]&lt;ResultsTeams[[#This Row],[Goal-B]],1,0),""))</f>
        <v/>
      </c>
      <c r="Q823" s="265" t="str">
        <f>IF(ResultsTeams[[#This Row],[Type]]="G",SUM(Q824:Q827),IF(LEFT(ResultsTeams[[#This Row],[Type]],1)="P",VALUE(ResultsTeams[[#This Row],[Score-A]]),""))</f>
        <v/>
      </c>
      <c r="R823" s="265" t="str">
        <f>IF(ResultsTeams[[#This Row],[Type]]="G",SUM(R824:R827),IF(LEFT(ResultsTeams[[#This Row],[Type]],1)="P",VALUE(ResultsTeams[[#This Row],[Score-B]]),""))</f>
        <v/>
      </c>
      <c r="S823" s="265" t="str">
        <f ca="1">IF(AND(ResultsTeams[[#This Row],[Category]]&lt;&gt;"",ResultsTeams[[#This Row],[Team A]]&lt;&gt;""),COUNTIF(INDIRECT("TeamsList[Club Name]"),ResultsTeams[[#This Row],[Team A]]),"")</f>
        <v/>
      </c>
      <c r="T823" s="265" t="str">
        <f ca="1">IF(AND(ResultsTeams[[#This Row],[Category]]&lt;&gt;"",ResultsTeams[[#This Row],[Team B]]&lt;&gt;""),COUNTIF(INDIRECT("TeamsList[Club Name]"),ResultsTeams[[#This Row],[Team B]]),"")</f>
        <v/>
      </c>
      <c r="U8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3" s="265" t="str">
        <f>IF(ResultsTeams[[#This Row],[Score_OK]],IF(ResultsTeams[[#This Row],[StageCpy]]="Groups",ResultsTeams[[#This Row],[Category]]&amp;"-"&amp;IF(ResultsTeams[[#This Row],[Team B]]="","",IF(ResultsTeams[[#This Row],[Match-A]]=ResultsTeams[[#This Row],[Match-B]],ResultsTeams[[#This Row],[Team A]],"")),""),"")</f>
        <v/>
      </c>
      <c r="W823" s="265" t="str">
        <f>IF(ResultsTeams[[#This Row],[Score_OK]],IF(ResultsTeams[[#This Row],[StageCpy]]="Groups",ResultsTeams[[#This Row],[Category]]&amp;"-"&amp;IF(ResultsTeams[[#This Row],[Team B]]="","",IF(ResultsTeams[[#This Row],[Match-A]]=ResultsTeams[[#This Row],[Match-B]],ResultsTeams[[#This Row],[Team B]],"")),""),"")</f>
        <v/>
      </c>
      <c r="X8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3" s="264" t="str">
        <f>IF(ResultsTeams[[#This Row],[Category]]="","",VLOOKUP(ResultsTeams[[#This Row],[Stage]],$R$1:$T$8,MATCH(ResultsTeams[[#This Row],[Category]],$S$1:$T$1,0)+1,FALSE))</f>
        <v/>
      </c>
      <c r="AC8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3" s="264">
        <f>IF(ResultsTeams[[#This Row],[Type]]="G",ResultsTeams[[#This Row],[Stage]],AD822)</f>
        <v>0</v>
      </c>
      <c r="AE823" s="395" t="e">
        <f>IF(ResultsTeams[[#This Row],[Type]]="G",INDEX(TeamsList[Club Name],MATCH(ResultsTeams[[#This Row],[Team A]],TeamsList[Team Name],0)),AE822)</f>
        <v>#N/A</v>
      </c>
      <c r="AF823" s="395" t="e">
        <f>IF(ResultsTeams[[#This Row],[Type]]="G",INDEX(TeamsList[Club Name],MATCH(ResultsTeams[[#This Row],[Team B]],TeamsList[Team Name],0)),AF822)</f>
        <v>#N/A</v>
      </c>
      <c r="AG823" s="265"/>
    </row>
    <row r="824" spans="1:33" ht="12" thickBot="1" x14ac:dyDescent="0.25">
      <c r="A824" s="261"/>
      <c r="B824" s="270"/>
      <c r="C824" s="270"/>
      <c r="D824" s="270"/>
      <c r="E824" s="272" t="s">
        <v>12228</v>
      </c>
      <c r="F824" s="273"/>
      <c r="G824" s="273"/>
      <c r="H824" s="275"/>
      <c r="I824" s="275"/>
      <c r="J824" s="275"/>
      <c r="K824" s="366"/>
      <c r="L824" s="366"/>
      <c r="M824" s="274"/>
      <c r="N824" s="265" t="b">
        <f>NOT(ISERROR(ResultsTeams[[#This Row],[Goal-A]]+ResultsTeams[[#This Row],[Goal-B]]))</f>
        <v>1</v>
      </c>
      <c r="O824" s="265">
        <f>IF(ResultsTeams[[#This Row],[Type]]="G",SUM(O825:O828),IF(LEFT(ResultsTeams[[#This Row],[Type]],1)="P",IF(ResultsTeams[[#This Row],[Goal-A]]&gt;ResultsTeams[[#This Row],[Goal-B]],1,0),""))</f>
        <v>0</v>
      </c>
      <c r="P824" s="265">
        <f>IF(ResultsTeams[[#This Row],[Type]]="G",SUM(P825:P828),IF(LEFT(ResultsTeams[[#This Row],[Type]],1)="P",IF(ResultsTeams[[#This Row],[Goal-A]]&lt;ResultsTeams[[#This Row],[Goal-B]],1,0),""))</f>
        <v>0</v>
      </c>
      <c r="Q824" s="265">
        <f>IF(ResultsTeams[[#This Row],[Type]]="G",SUM(Q825:Q828),IF(LEFT(ResultsTeams[[#This Row],[Type]],1)="P",VALUE(ResultsTeams[[#This Row],[Score-A]]),""))</f>
        <v>0</v>
      </c>
      <c r="R824" s="265">
        <f>IF(ResultsTeams[[#This Row],[Type]]="G",SUM(R825:R828),IF(LEFT(ResultsTeams[[#This Row],[Type]],1)="P",VALUE(ResultsTeams[[#This Row],[Score-B]]),""))</f>
        <v>0</v>
      </c>
      <c r="S824" s="265" t="str">
        <f ca="1">IF(AND(ResultsTeams[[#This Row],[Category]]&lt;&gt;"",ResultsTeams[[#This Row],[Team A]]&lt;&gt;""),COUNTIF(INDIRECT("TeamsList[Club Name]"),ResultsTeams[[#This Row],[Team A]]),"")</f>
        <v/>
      </c>
      <c r="T824" s="265" t="str">
        <f ca="1">IF(AND(ResultsTeams[[#This Row],[Category]]&lt;&gt;"",ResultsTeams[[#This Row],[Team B]]&lt;&gt;""),COUNTIF(INDIRECT("TeamsList[Club Name]"),ResultsTeams[[#This Row],[Team B]]),"")</f>
        <v/>
      </c>
      <c r="U8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4" s="265" t="str">
        <f>IF(ResultsTeams[[#This Row],[Score_OK]],IF(ResultsTeams[[#This Row],[StageCpy]]="Groups",ResultsTeams[[#This Row],[Category]]&amp;"-"&amp;IF(ResultsTeams[[#This Row],[Team B]]="","",IF(ResultsTeams[[#This Row],[Match-A]]=ResultsTeams[[#This Row],[Match-B]],ResultsTeams[[#This Row],[Team A]],"")),""),"")</f>
        <v/>
      </c>
      <c r="W824" s="265" t="str">
        <f>IF(ResultsTeams[[#This Row],[Score_OK]],IF(ResultsTeams[[#This Row],[StageCpy]]="Groups",ResultsTeams[[#This Row],[Category]]&amp;"-"&amp;IF(ResultsTeams[[#This Row],[Team B]]="","",IF(ResultsTeams[[#This Row],[Match-A]]=ResultsTeams[[#This Row],[Match-B]],ResultsTeams[[#This Row],[Team B]],"")),""),"")</f>
        <v/>
      </c>
      <c r="X8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4" s="264" t="str">
        <f>IF(ResultsTeams[[#This Row],[Category]]="","",VLOOKUP(ResultsTeams[[#This Row],[Stage]],$R$1:$T$8,MATCH(ResultsTeams[[#This Row],[Category]],$S$1:$T$1,0)+1,FALSE))</f>
        <v/>
      </c>
      <c r="AC8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4" s="264">
        <f>IF(ResultsTeams[[#This Row],[Type]]="G",ResultsTeams[[#This Row],[Stage]],AD823)</f>
        <v>0</v>
      </c>
      <c r="AE824" s="395" t="e">
        <f>IF(ResultsTeams[[#This Row],[Type]]="G",INDEX(TeamsList[Club Name],MATCH(ResultsTeams[[#This Row],[Team A]],TeamsList[Team Name],0)),AE823)</f>
        <v>#N/A</v>
      </c>
      <c r="AF824" s="395" t="e">
        <f>IF(ResultsTeams[[#This Row],[Type]]="G",INDEX(TeamsList[Club Name],MATCH(ResultsTeams[[#This Row],[Team B]],TeamsList[Team Name],0)),AF823)</f>
        <v>#N/A</v>
      </c>
      <c r="AG824" s="265"/>
    </row>
    <row r="825" spans="1:33" x14ac:dyDescent="0.2">
      <c r="A825" s="60"/>
      <c r="B825" s="280"/>
      <c r="C825" s="60"/>
      <c r="D825" s="60"/>
      <c r="E825" s="240" t="s">
        <v>12231</v>
      </c>
      <c r="F825" s="244"/>
      <c r="G825" s="244"/>
      <c r="H825" s="253"/>
      <c r="I825" s="253"/>
      <c r="J825" s="253"/>
      <c r="K825" s="362"/>
      <c r="L825" s="362"/>
      <c r="M825" s="245"/>
      <c r="N825" s="265" t="b">
        <f>NOT(ISERROR(ResultsTeams[[#This Row],[Goal-A]]+ResultsTeams[[#This Row],[Goal-B]]))</f>
        <v>1</v>
      </c>
      <c r="O825" s="265">
        <f>IF(ResultsTeams[[#This Row],[Type]]="G",SUM(O826:O829),IF(LEFT(ResultsTeams[[#This Row],[Type]],1)="P",IF(ResultsTeams[[#This Row],[Goal-A]]&gt;ResultsTeams[[#This Row],[Goal-B]],1,0),""))</f>
        <v>0</v>
      </c>
      <c r="P825" s="265">
        <f>IF(ResultsTeams[[#This Row],[Type]]="G",SUM(P826:P829),IF(LEFT(ResultsTeams[[#This Row],[Type]],1)="P",IF(ResultsTeams[[#This Row],[Goal-A]]&lt;ResultsTeams[[#This Row],[Goal-B]],1,0),""))</f>
        <v>0</v>
      </c>
      <c r="Q825" s="265">
        <f>IF(ResultsTeams[[#This Row],[Type]]="G",SUM(Q826:Q829),IF(LEFT(ResultsTeams[[#This Row],[Type]],1)="P",VALUE(ResultsTeams[[#This Row],[Score-A]]),""))</f>
        <v>0</v>
      </c>
      <c r="R825" s="265">
        <f>IF(ResultsTeams[[#This Row],[Type]]="G",SUM(R826:R829),IF(LEFT(ResultsTeams[[#This Row],[Type]],1)="P",VALUE(ResultsTeams[[#This Row],[Score-B]]),""))</f>
        <v>0</v>
      </c>
      <c r="S825" s="265" t="str">
        <f ca="1">IF(AND(ResultsTeams[[#This Row],[Category]]&lt;&gt;"",ResultsTeams[[#This Row],[Team A]]&lt;&gt;""),COUNTIF(INDIRECT("TeamsList[Club Name]"),ResultsTeams[[#This Row],[Team A]]),"")</f>
        <v/>
      </c>
      <c r="T825" s="265" t="str">
        <f ca="1">IF(AND(ResultsTeams[[#This Row],[Category]]&lt;&gt;"",ResultsTeams[[#This Row],[Team B]]&lt;&gt;""),COUNTIF(INDIRECT("TeamsList[Club Name]"),ResultsTeams[[#This Row],[Team B]]),"")</f>
        <v/>
      </c>
      <c r="U8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5" s="265" t="str">
        <f>IF(ResultsTeams[[#This Row],[Score_OK]],IF(ResultsTeams[[#This Row],[StageCpy]]="Groups",ResultsTeams[[#This Row],[Category]]&amp;"-"&amp;IF(ResultsTeams[[#This Row],[Team B]]="","",IF(ResultsTeams[[#This Row],[Match-A]]=ResultsTeams[[#This Row],[Match-B]],ResultsTeams[[#This Row],[Team A]],"")),""),"")</f>
        <v/>
      </c>
      <c r="W825" s="265" t="str">
        <f>IF(ResultsTeams[[#This Row],[Score_OK]],IF(ResultsTeams[[#This Row],[StageCpy]]="Groups",ResultsTeams[[#This Row],[Category]]&amp;"-"&amp;IF(ResultsTeams[[#This Row],[Team B]]="","",IF(ResultsTeams[[#This Row],[Match-A]]=ResultsTeams[[#This Row],[Match-B]],ResultsTeams[[#This Row],[Team B]],"")),""),"")</f>
        <v/>
      </c>
      <c r="X8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5" s="264" t="str">
        <f>IF(ResultsTeams[[#This Row],[Category]]="","",VLOOKUP(ResultsTeams[[#This Row],[Stage]],$R$1:$T$8,MATCH(ResultsTeams[[#This Row],[Category]],$S$1:$T$1,0)+1,FALSE))</f>
        <v/>
      </c>
      <c r="AC8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5" s="264">
        <f>IF(ResultsTeams[[#This Row],[Type]]="G",ResultsTeams[[#This Row],[Stage]],AD824)</f>
        <v>0</v>
      </c>
      <c r="AE825" s="395" t="e">
        <f>IF(ResultsTeams[[#This Row],[Type]]="G",INDEX(TeamsList[Club Name],MATCH(ResultsTeams[[#This Row],[Team A]],TeamsList[Team Name],0)),AE824)</f>
        <v>#N/A</v>
      </c>
      <c r="AF825" s="395" t="e">
        <f>IF(ResultsTeams[[#This Row],[Type]]="G",INDEX(TeamsList[Club Name],MATCH(ResultsTeams[[#This Row],[Team B]],TeamsList[Team Name],0)),AF824)</f>
        <v>#N/A</v>
      </c>
      <c r="AG825" s="265"/>
    </row>
    <row r="826" spans="1:33" x14ac:dyDescent="0.2">
      <c r="A826" s="62"/>
      <c r="B826" s="280"/>
      <c r="C826" s="62"/>
      <c r="D826" s="62"/>
      <c r="E826" s="241" t="s">
        <v>12234</v>
      </c>
      <c r="F826" s="246"/>
      <c r="G826" s="246"/>
      <c r="H826" s="254"/>
      <c r="I826" s="254"/>
      <c r="J826" s="254"/>
      <c r="K826" s="363"/>
      <c r="L826" s="363"/>
      <c r="M826" s="247"/>
      <c r="N826" s="265" t="b">
        <f>NOT(ISERROR(ResultsTeams[[#This Row],[Goal-A]]+ResultsTeams[[#This Row],[Goal-B]]))</f>
        <v>1</v>
      </c>
      <c r="O826" s="265">
        <f>IF(ResultsTeams[[#This Row],[Type]]="G",SUM(O827:O830),IF(LEFT(ResultsTeams[[#This Row],[Type]],1)="P",IF(ResultsTeams[[#This Row],[Goal-A]]&gt;ResultsTeams[[#This Row],[Goal-B]],1,0),""))</f>
        <v>0</v>
      </c>
      <c r="P826" s="265">
        <f>IF(ResultsTeams[[#This Row],[Type]]="G",SUM(P827:P830),IF(LEFT(ResultsTeams[[#This Row],[Type]],1)="P",IF(ResultsTeams[[#This Row],[Goal-A]]&lt;ResultsTeams[[#This Row],[Goal-B]],1,0),""))</f>
        <v>0</v>
      </c>
      <c r="Q826" s="265">
        <f>IF(ResultsTeams[[#This Row],[Type]]="G",SUM(Q827:Q830),IF(LEFT(ResultsTeams[[#This Row],[Type]],1)="P",VALUE(ResultsTeams[[#This Row],[Score-A]]),""))</f>
        <v>0</v>
      </c>
      <c r="R826" s="265">
        <f>IF(ResultsTeams[[#This Row],[Type]]="G",SUM(R827:R830),IF(LEFT(ResultsTeams[[#This Row],[Type]],1)="P",VALUE(ResultsTeams[[#This Row],[Score-B]]),""))</f>
        <v>0</v>
      </c>
      <c r="S826" s="265" t="str">
        <f ca="1">IF(AND(ResultsTeams[[#This Row],[Category]]&lt;&gt;"",ResultsTeams[[#This Row],[Team A]]&lt;&gt;""),COUNTIF(INDIRECT("TeamsList[Club Name]"),ResultsTeams[[#This Row],[Team A]]),"")</f>
        <v/>
      </c>
      <c r="T826" s="265" t="str">
        <f ca="1">IF(AND(ResultsTeams[[#This Row],[Category]]&lt;&gt;"",ResultsTeams[[#This Row],[Team B]]&lt;&gt;""),COUNTIF(INDIRECT("TeamsList[Club Name]"),ResultsTeams[[#This Row],[Team B]]),"")</f>
        <v/>
      </c>
      <c r="U8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6" s="265" t="str">
        <f>IF(ResultsTeams[[#This Row],[Score_OK]],IF(ResultsTeams[[#This Row],[StageCpy]]="Groups",ResultsTeams[[#This Row],[Category]]&amp;"-"&amp;IF(ResultsTeams[[#This Row],[Team B]]="","",IF(ResultsTeams[[#This Row],[Match-A]]=ResultsTeams[[#This Row],[Match-B]],ResultsTeams[[#This Row],[Team A]],"")),""),"")</f>
        <v/>
      </c>
      <c r="W826" s="265" t="str">
        <f>IF(ResultsTeams[[#This Row],[Score_OK]],IF(ResultsTeams[[#This Row],[StageCpy]]="Groups",ResultsTeams[[#This Row],[Category]]&amp;"-"&amp;IF(ResultsTeams[[#This Row],[Team B]]="","",IF(ResultsTeams[[#This Row],[Match-A]]=ResultsTeams[[#This Row],[Match-B]],ResultsTeams[[#This Row],[Team B]],"")),""),"")</f>
        <v/>
      </c>
      <c r="X8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6" s="264" t="str">
        <f>IF(ResultsTeams[[#This Row],[Category]]="","",VLOOKUP(ResultsTeams[[#This Row],[Stage]],$R$1:$T$8,MATCH(ResultsTeams[[#This Row],[Category]],$S$1:$T$1,0)+1,FALSE))</f>
        <v/>
      </c>
      <c r="AC8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6" s="264">
        <f>IF(ResultsTeams[[#This Row],[Type]]="G",ResultsTeams[[#This Row],[Stage]],AD825)</f>
        <v>0</v>
      </c>
      <c r="AE826" s="395" t="e">
        <f>IF(ResultsTeams[[#This Row],[Type]]="G",INDEX(TeamsList[Club Name],MATCH(ResultsTeams[[#This Row],[Team A]],TeamsList[Team Name],0)),AE825)</f>
        <v>#N/A</v>
      </c>
      <c r="AF826" s="395" t="e">
        <f>IF(ResultsTeams[[#This Row],[Type]]="G",INDEX(TeamsList[Club Name],MATCH(ResultsTeams[[#This Row],[Team B]],TeamsList[Team Name],0)),AF825)</f>
        <v>#N/A</v>
      </c>
      <c r="AG826" s="265"/>
    </row>
    <row r="827" spans="1:33" x14ac:dyDescent="0.2">
      <c r="A827" s="62"/>
      <c r="B827" s="280"/>
      <c r="C827" s="62"/>
      <c r="D827" s="62"/>
      <c r="E827" s="241" t="s">
        <v>12237</v>
      </c>
      <c r="F827" s="246"/>
      <c r="G827" s="246"/>
      <c r="H827" s="254"/>
      <c r="I827" s="254"/>
      <c r="J827" s="254"/>
      <c r="K827" s="363"/>
      <c r="L827" s="363"/>
      <c r="M827" s="247"/>
      <c r="N827" s="265" t="b">
        <f>NOT(ISERROR(ResultsTeams[[#This Row],[Goal-A]]+ResultsTeams[[#This Row],[Goal-B]]))</f>
        <v>1</v>
      </c>
      <c r="O827" s="265">
        <f>IF(ResultsTeams[[#This Row],[Type]]="G",SUM(O828:O831),IF(LEFT(ResultsTeams[[#This Row],[Type]],1)="P",IF(ResultsTeams[[#This Row],[Goal-A]]&gt;ResultsTeams[[#This Row],[Goal-B]],1,0),""))</f>
        <v>0</v>
      </c>
      <c r="P827" s="265">
        <f>IF(ResultsTeams[[#This Row],[Type]]="G",SUM(P828:P831),IF(LEFT(ResultsTeams[[#This Row],[Type]],1)="P",IF(ResultsTeams[[#This Row],[Goal-A]]&lt;ResultsTeams[[#This Row],[Goal-B]],1,0),""))</f>
        <v>0</v>
      </c>
      <c r="Q827" s="265">
        <f>IF(ResultsTeams[[#This Row],[Type]]="G",SUM(Q828:Q831),IF(LEFT(ResultsTeams[[#This Row],[Type]],1)="P",VALUE(ResultsTeams[[#This Row],[Score-A]]),""))</f>
        <v>0</v>
      </c>
      <c r="R827" s="265">
        <f>IF(ResultsTeams[[#This Row],[Type]]="G",SUM(R828:R831),IF(LEFT(ResultsTeams[[#This Row],[Type]],1)="P",VALUE(ResultsTeams[[#This Row],[Score-B]]),""))</f>
        <v>0</v>
      </c>
      <c r="S827" s="265" t="str">
        <f ca="1">IF(AND(ResultsTeams[[#This Row],[Category]]&lt;&gt;"",ResultsTeams[[#This Row],[Team A]]&lt;&gt;""),COUNTIF(INDIRECT("TeamsList[Club Name]"),ResultsTeams[[#This Row],[Team A]]),"")</f>
        <v/>
      </c>
      <c r="T827" s="265" t="str">
        <f ca="1">IF(AND(ResultsTeams[[#This Row],[Category]]&lt;&gt;"",ResultsTeams[[#This Row],[Team B]]&lt;&gt;""),COUNTIF(INDIRECT("TeamsList[Club Name]"),ResultsTeams[[#This Row],[Team B]]),"")</f>
        <v/>
      </c>
      <c r="U8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7" s="265" t="str">
        <f>IF(ResultsTeams[[#This Row],[Score_OK]],IF(ResultsTeams[[#This Row],[StageCpy]]="Groups",ResultsTeams[[#This Row],[Category]]&amp;"-"&amp;IF(ResultsTeams[[#This Row],[Team B]]="","",IF(ResultsTeams[[#This Row],[Match-A]]=ResultsTeams[[#This Row],[Match-B]],ResultsTeams[[#This Row],[Team A]],"")),""),"")</f>
        <v/>
      </c>
      <c r="W827" s="265" t="str">
        <f>IF(ResultsTeams[[#This Row],[Score_OK]],IF(ResultsTeams[[#This Row],[StageCpy]]="Groups",ResultsTeams[[#This Row],[Category]]&amp;"-"&amp;IF(ResultsTeams[[#This Row],[Team B]]="","",IF(ResultsTeams[[#This Row],[Match-A]]=ResultsTeams[[#This Row],[Match-B]],ResultsTeams[[#This Row],[Team B]],"")),""),"")</f>
        <v/>
      </c>
      <c r="X8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7" s="264" t="str">
        <f>IF(ResultsTeams[[#This Row],[Category]]="","",VLOOKUP(ResultsTeams[[#This Row],[Stage]],$R$1:$T$8,MATCH(ResultsTeams[[#This Row],[Category]],$S$1:$T$1,0)+1,FALSE))</f>
        <v/>
      </c>
      <c r="AC8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7" s="264">
        <f>IF(ResultsTeams[[#This Row],[Type]]="G",ResultsTeams[[#This Row],[Stage]],AD826)</f>
        <v>0</v>
      </c>
      <c r="AE827" s="395" t="e">
        <f>IF(ResultsTeams[[#This Row],[Type]]="G",INDEX(TeamsList[Club Name],MATCH(ResultsTeams[[#This Row],[Team A]],TeamsList[Team Name],0)),AE826)</f>
        <v>#N/A</v>
      </c>
      <c r="AF827" s="395" t="e">
        <f>IF(ResultsTeams[[#This Row],[Type]]="G",INDEX(TeamsList[Club Name],MATCH(ResultsTeams[[#This Row],[Team B]],TeamsList[Team Name],0)),AF826)</f>
        <v>#N/A</v>
      </c>
      <c r="AG827" s="265"/>
    </row>
    <row r="828" spans="1:33" x14ac:dyDescent="0.2">
      <c r="A828" s="62"/>
      <c r="B828" s="280"/>
      <c r="C828" s="62"/>
      <c r="D828" s="62"/>
      <c r="E828" s="241" t="s">
        <v>12240</v>
      </c>
      <c r="F828" s="246"/>
      <c r="G828" s="246"/>
      <c r="H828" s="254"/>
      <c r="I828" s="254"/>
      <c r="J828" s="254"/>
      <c r="K828" s="363"/>
      <c r="L828" s="363"/>
      <c r="M828" s="247"/>
      <c r="N828" s="265" t="b">
        <f>NOT(ISERROR(ResultsTeams[[#This Row],[Goal-A]]+ResultsTeams[[#This Row],[Goal-B]]))</f>
        <v>1</v>
      </c>
      <c r="O828" s="265">
        <f>IF(ResultsTeams[[#This Row],[Type]]="G",SUM(O829:O832),IF(LEFT(ResultsTeams[[#This Row],[Type]],1)="P",IF(ResultsTeams[[#This Row],[Goal-A]]&gt;ResultsTeams[[#This Row],[Goal-B]],1,0),""))</f>
        <v>0</v>
      </c>
      <c r="P828" s="265">
        <f>IF(ResultsTeams[[#This Row],[Type]]="G",SUM(P829:P832),IF(LEFT(ResultsTeams[[#This Row],[Type]],1)="P",IF(ResultsTeams[[#This Row],[Goal-A]]&lt;ResultsTeams[[#This Row],[Goal-B]],1,0),""))</f>
        <v>0</v>
      </c>
      <c r="Q828" s="265">
        <f>IF(ResultsTeams[[#This Row],[Type]]="G",SUM(Q829:Q832),IF(LEFT(ResultsTeams[[#This Row],[Type]],1)="P",VALUE(ResultsTeams[[#This Row],[Score-A]]),""))</f>
        <v>0</v>
      </c>
      <c r="R828" s="265">
        <f>IF(ResultsTeams[[#This Row],[Type]]="G",SUM(R829:R832),IF(LEFT(ResultsTeams[[#This Row],[Type]],1)="P",VALUE(ResultsTeams[[#This Row],[Score-B]]),""))</f>
        <v>0</v>
      </c>
      <c r="S828" s="265" t="str">
        <f ca="1">IF(AND(ResultsTeams[[#This Row],[Category]]&lt;&gt;"",ResultsTeams[[#This Row],[Team A]]&lt;&gt;""),COUNTIF(INDIRECT("TeamsList[Club Name]"),ResultsTeams[[#This Row],[Team A]]),"")</f>
        <v/>
      </c>
      <c r="T828" s="265" t="str">
        <f ca="1">IF(AND(ResultsTeams[[#This Row],[Category]]&lt;&gt;"",ResultsTeams[[#This Row],[Team B]]&lt;&gt;""),COUNTIF(INDIRECT("TeamsList[Club Name]"),ResultsTeams[[#This Row],[Team B]]),"")</f>
        <v/>
      </c>
      <c r="U8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8" s="265" t="str">
        <f>IF(ResultsTeams[[#This Row],[Score_OK]],IF(ResultsTeams[[#This Row],[StageCpy]]="Groups",ResultsTeams[[#This Row],[Category]]&amp;"-"&amp;IF(ResultsTeams[[#This Row],[Team B]]="","",IF(ResultsTeams[[#This Row],[Match-A]]=ResultsTeams[[#This Row],[Match-B]],ResultsTeams[[#This Row],[Team A]],"")),""),"")</f>
        <v/>
      </c>
      <c r="W828" s="265" t="str">
        <f>IF(ResultsTeams[[#This Row],[Score_OK]],IF(ResultsTeams[[#This Row],[StageCpy]]="Groups",ResultsTeams[[#This Row],[Category]]&amp;"-"&amp;IF(ResultsTeams[[#This Row],[Team B]]="","",IF(ResultsTeams[[#This Row],[Match-A]]=ResultsTeams[[#This Row],[Match-B]],ResultsTeams[[#This Row],[Team B]],"")),""),"")</f>
        <v/>
      </c>
      <c r="X8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8" s="264" t="str">
        <f>IF(ResultsTeams[[#This Row],[Category]]="","",VLOOKUP(ResultsTeams[[#This Row],[Stage]],$R$1:$T$8,MATCH(ResultsTeams[[#This Row],[Category]],$S$1:$T$1,0)+1,FALSE))</f>
        <v/>
      </c>
      <c r="AC8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8" s="264">
        <f>IF(ResultsTeams[[#This Row],[Type]]="G",ResultsTeams[[#This Row],[Stage]],AD827)</f>
        <v>0</v>
      </c>
      <c r="AE828" s="395" t="e">
        <f>IF(ResultsTeams[[#This Row],[Type]]="G",INDEX(TeamsList[Club Name],MATCH(ResultsTeams[[#This Row],[Team A]],TeamsList[Team Name],0)),AE827)</f>
        <v>#N/A</v>
      </c>
      <c r="AF828" s="395" t="e">
        <f>IF(ResultsTeams[[#This Row],[Type]]="G",INDEX(TeamsList[Club Name],MATCH(ResultsTeams[[#This Row],[Team B]],TeamsList[Team Name],0)),AF827)</f>
        <v>#N/A</v>
      </c>
      <c r="AG828" s="265"/>
    </row>
    <row r="829" spans="1:33" x14ac:dyDescent="0.2">
      <c r="A829" s="62"/>
      <c r="B829" s="62"/>
      <c r="C829" s="62"/>
      <c r="D829" s="62"/>
      <c r="E829" s="241" t="s">
        <v>12243</v>
      </c>
      <c r="F829" s="247"/>
      <c r="G829" s="247"/>
      <c r="H829" s="254"/>
      <c r="I829" s="254"/>
      <c r="J829" s="260"/>
      <c r="K829" s="364"/>
      <c r="L829" s="364"/>
      <c r="M829" s="63"/>
      <c r="N829" s="265" t="b">
        <f>NOT(ISERROR(ResultsTeams[[#This Row],[Goal-A]]+ResultsTeams[[#This Row],[Goal-B]]))</f>
        <v>0</v>
      </c>
      <c r="O829" s="265" t="str">
        <f>IF(ResultsTeams[[#This Row],[Type]]="G",SUM(O830:O833),IF(LEFT(ResultsTeams[[#This Row],[Type]],1)="P",IF(ResultsTeams[[#This Row],[Goal-A]]&gt;ResultsTeams[[#This Row],[Goal-B]],1,0),""))</f>
        <v/>
      </c>
      <c r="P829" s="265" t="str">
        <f>IF(ResultsTeams[[#This Row],[Type]]="G",SUM(P830:P833),IF(LEFT(ResultsTeams[[#This Row],[Type]],1)="P",IF(ResultsTeams[[#This Row],[Goal-A]]&lt;ResultsTeams[[#This Row],[Goal-B]],1,0),""))</f>
        <v/>
      </c>
      <c r="Q829" s="265" t="str">
        <f>IF(ResultsTeams[[#This Row],[Type]]="G",SUM(Q830:Q833),IF(LEFT(ResultsTeams[[#This Row],[Type]],1)="P",VALUE(ResultsTeams[[#This Row],[Score-A]]),""))</f>
        <v/>
      </c>
      <c r="R829" s="265" t="str">
        <f>IF(ResultsTeams[[#This Row],[Type]]="G",SUM(R830:R833),IF(LEFT(ResultsTeams[[#This Row],[Type]],1)="P",VALUE(ResultsTeams[[#This Row],[Score-B]]),""))</f>
        <v/>
      </c>
      <c r="S829" s="265" t="str">
        <f ca="1">IF(AND(ResultsTeams[[#This Row],[Category]]&lt;&gt;"",ResultsTeams[[#This Row],[Team A]]&lt;&gt;""),COUNTIF(INDIRECT("TeamsList[Club Name]"),ResultsTeams[[#This Row],[Team A]]),"")</f>
        <v/>
      </c>
      <c r="T829" s="265" t="str">
        <f ca="1">IF(AND(ResultsTeams[[#This Row],[Category]]&lt;&gt;"",ResultsTeams[[#This Row],[Team B]]&lt;&gt;""),COUNTIF(INDIRECT("TeamsList[Club Name]"),ResultsTeams[[#This Row],[Team B]]),"")</f>
        <v/>
      </c>
      <c r="U8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9" s="265" t="str">
        <f>IF(ResultsTeams[[#This Row],[Score_OK]],IF(ResultsTeams[[#This Row],[StageCpy]]="Groups",ResultsTeams[[#This Row],[Category]]&amp;"-"&amp;IF(ResultsTeams[[#This Row],[Team B]]="","",IF(ResultsTeams[[#This Row],[Match-A]]=ResultsTeams[[#This Row],[Match-B]],ResultsTeams[[#This Row],[Team A]],"")),""),"")</f>
        <v/>
      </c>
      <c r="W829" s="265" t="str">
        <f>IF(ResultsTeams[[#This Row],[Score_OK]],IF(ResultsTeams[[#This Row],[StageCpy]]="Groups",ResultsTeams[[#This Row],[Category]]&amp;"-"&amp;IF(ResultsTeams[[#This Row],[Team B]]="","",IF(ResultsTeams[[#This Row],[Match-A]]=ResultsTeams[[#This Row],[Match-B]],ResultsTeams[[#This Row],[Team B]],"")),""),"")</f>
        <v/>
      </c>
      <c r="X8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9" s="264" t="str">
        <f>IF(ResultsTeams[[#This Row],[Category]]="","",VLOOKUP(ResultsTeams[[#This Row],[Stage]],$R$1:$T$8,MATCH(ResultsTeams[[#This Row],[Category]],$S$1:$T$1,0)+1,FALSE))</f>
        <v/>
      </c>
      <c r="AC8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9" s="264">
        <f>IF(ResultsTeams[[#This Row],[Type]]="G",ResultsTeams[[#This Row],[Stage]],AD828)</f>
        <v>0</v>
      </c>
      <c r="AE829" s="395" t="e">
        <f>IF(ResultsTeams[[#This Row],[Type]]="G",INDEX(TeamsList[Club Name],MATCH(ResultsTeams[[#This Row],[Team A]],TeamsList[Team Name],0)),AE828)</f>
        <v>#N/A</v>
      </c>
      <c r="AF829" s="395" t="e">
        <f>IF(ResultsTeams[[#This Row],[Type]]="G",INDEX(TeamsList[Club Name],MATCH(ResultsTeams[[#This Row],[Team B]],TeamsList[Team Name],0)),AF828)</f>
        <v>#N/A</v>
      </c>
      <c r="AG829" s="265"/>
    </row>
    <row r="830" spans="1:33" ht="12" thickBot="1" x14ac:dyDescent="0.25">
      <c r="A830" s="83"/>
      <c r="B830" s="83"/>
      <c r="C830" s="83"/>
      <c r="D830" s="83"/>
      <c r="E830" s="268" t="s">
        <v>12244</v>
      </c>
      <c r="F830" s="262"/>
      <c r="G830" s="262"/>
      <c r="H830" s="324"/>
      <c r="I830" s="324"/>
      <c r="J830" s="263"/>
      <c r="K830" s="365"/>
      <c r="L830" s="365"/>
      <c r="M830" s="84"/>
      <c r="N830" s="265" t="b">
        <f>NOT(ISERROR(ResultsTeams[[#This Row],[Goal-A]]+ResultsTeams[[#This Row],[Goal-B]]))</f>
        <v>0</v>
      </c>
      <c r="O830" s="265" t="str">
        <f>IF(ResultsTeams[[#This Row],[Type]]="G",SUM(O831:O834),IF(LEFT(ResultsTeams[[#This Row],[Type]],1)="P",IF(ResultsTeams[[#This Row],[Goal-A]]&gt;ResultsTeams[[#This Row],[Goal-B]],1,0),""))</f>
        <v/>
      </c>
      <c r="P830" s="265" t="str">
        <f>IF(ResultsTeams[[#This Row],[Type]]="G",SUM(P831:P834),IF(LEFT(ResultsTeams[[#This Row],[Type]],1)="P",IF(ResultsTeams[[#This Row],[Goal-A]]&lt;ResultsTeams[[#This Row],[Goal-B]],1,0),""))</f>
        <v/>
      </c>
      <c r="Q830" s="265" t="str">
        <f>IF(ResultsTeams[[#This Row],[Type]]="G",SUM(Q831:Q834),IF(LEFT(ResultsTeams[[#This Row],[Type]],1)="P",VALUE(ResultsTeams[[#This Row],[Score-A]]),""))</f>
        <v/>
      </c>
      <c r="R830" s="265" t="str">
        <f>IF(ResultsTeams[[#This Row],[Type]]="G",SUM(R831:R834),IF(LEFT(ResultsTeams[[#This Row],[Type]],1)="P",VALUE(ResultsTeams[[#This Row],[Score-B]]),""))</f>
        <v/>
      </c>
      <c r="S830" s="265" t="str">
        <f ca="1">IF(AND(ResultsTeams[[#This Row],[Category]]&lt;&gt;"",ResultsTeams[[#This Row],[Team A]]&lt;&gt;""),COUNTIF(INDIRECT("TeamsList[Club Name]"),ResultsTeams[[#This Row],[Team A]]),"")</f>
        <v/>
      </c>
      <c r="T830" s="265" t="str">
        <f ca="1">IF(AND(ResultsTeams[[#This Row],[Category]]&lt;&gt;"",ResultsTeams[[#This Row],[Team B]]&lt;&gt;""),COUNTIF(INDIRECT("TeamsList[Club Name]"),ResultsTeams[[#This Row],[Team B]]),"")</f>
        <v/>
      </c>
      <c r="U8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0" s="265" t="str">
        <f>IF(ResultsTeams[[#This Row],[Score_OK]],IF(ResultsTeams[[#This Row],[StageCpy]]="Groups",ResultsTeams[[#This Row],[Category]]&amp;"-"&amp;IF(ResultsTeams[[#This Row],[Team B]]="","",IF(ResultsTeams[[#This Row],[Match-A]]=ResultsTeams[[#This Row],[Match-B]],ResultsTeams[[#This Row],[Team A]],"")),""),"")</f>
        <v/>
      </c>
      <c r="W830" s="265" t="str">
        <f>IF(ResultsTeams[[#This Row],[Score_OK]],IF(ResultsTeams[[#This Row],[StageCpy]]="Groups",ResultsTeams[[#This Row],[Category]]&amp;"-"&amp;IF(ResultsTeams[[#This Row],[Team B]]="","",IF(ResultsTeams[[#This Row],[Match-A]]=ResultsTeams[[#This Row],[Match-B]],ResultsTeams[[#This Row],[Team B]],"")),""),"")</f>
        <v/>
      </c>
      <c r="X8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0" s="264" t="str">
        <f>IF(ResultsTeams[[#This Row],[Category]]="","",VLOOKUP(ResultsTeams[[#This Row],[Stage]],$R$1:$T$8,MATCH(ResultsTeams[[#This Row],[Category]],$S$1:$T$1,0)+1,FALSE))</f>
        <v/>
      </c>
      <c r="AC8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0" s="264">
        <f>IF(ResultsTeams[[#This Row],[Type]]="G",ResultsTeams[[#This Row],[Stage]],AD829)</f>
        <v>0</v>
      </c>
      <c r="AE830" s="395" t="e">
        <f>IF(ResultsTeams[[#This Row],[Type]]="G",INDEX(TeamsList[Club Name],MATCH(ResultsTeams[[#This Row],[Team A]],TeamsList[Team Name],0)),AE829)</f>
        <v>#N/A</v>
      </c>
      <c r="AF830" s="395" t="e">
        <f>IF(ResultsTeams[[#This Row],[Type]]="G",INDEX(TeamsList[Club Name],MATCH(ResultsTeams[[#This Row],[Team B]],TeamsList[Team Name],0)),AF829)</f>
        <v>#N/A</v>
      </c>
      <c r="AG830" s="265"/>
    </row>
    <row r="831" spans="1:33" ht="12" thickBot="1" x14ac:dyDescent="0.25">
      <c r="A831" s="261"/>
      <c r="B831" s="270"/>
      <c r="C831" s="270"/>
      <c r="D831" s="270"/>
      <c r="E831" s="272" t="s">
        <v>12228</v>
      </c>
      <c r="F831" s="273"/>
      <c r="G831" s="273"/>
      <c r="H831" s="275"/>
      <c r="I831" s="275"/>
      <c r="J831" s="275"/>
      <c r="K831" s="366"/>
      <c r="L831" s="366"/>
      <c r="M831" s="271"/>
      <c r="N831" s="265" t="b">
        <f>NOT(ISERROR(ResultsTeams[[#This Row],[Goal-A]]+ResultsTeams[[#This Row],[Goal-B]]))</f>
        <v>1</v>
      </c>
      <c r="O831" s="265">
        <f>IF(ResultsTeams[[#This Row],[Type]]="G",SUM(O832:O835),IF(LEFT(ResultsTeams[[#This Row],[Type]],1)="P",IF(ResultsTeams[[#This Row],[Goal-A]]&gt;ResultsTeams[[#This Row],[Goal-B]],1,0),""))</f>
        <v>0</v>
      </c>
      <c r="P831" s="265">
        <f>IF(ResultsTeams[[#This Row],[Type]]="G",SUM(P832:P835),IF(LEFT(ResultsTeams[[#This Row],[Type]],1)="P",IF(ResultsTeams[[#This Row],[Goal-A]]&lt;ResultsTeams[[#This Row],[Goal-B]],1,0),""))</f>
        <v>0</v>
      </c>
      <c r="Q831" s="265">
        <f>IF(ResultsTeams[[#This Row],[Type]]="G",SUM(Q832:Q835),IF(LEFT(ResultsTeams[[#This Row],[Type]],1)="P",VALUE(ResultsTeams[[#This Row],[Score-A]]),""))</f>
        <v>0</v>
      </c>
      <c r="R831" s="265">
        <f>IF(ResultsTeams[[#This Row],[Type]]="G",SUM(R832:R835),IF(LEFT(ResultsTeams[[#This Row],[Type]],1)="P",VALUE(ResultsTeams[[#This Row],[Score-B]]),""))</f>
        <v>0</v>
      </c>
      <c r="S831" s="265" t="str">
        <f ca="1">IF(AND(ResultsTeams[[#This Row],[Category]]&lt;&gt;"",ResultsTeams[[#This Row],[Team A]]&lt;&gt;""),COUNTIF(INDIRECT("TeamsList[Club Name]"),ResultsTeams[[#This Row],[Team A]]),"")</f>
        <v/>
      </c>
      <c r="T831" s="265" t="str">
        <f ca="1">IF(AND(ResultsTeams[[#This Row],[Category]]&lt;&gt;"",ResultsTeams[[#This Row],[Team B]]&lt;&gt;""),COUNTIF(INDIRECT("TeamsList[Club Name]"),ResultsTeams[[#This Row],[Team B]]),"")</f>
        <v/>
      </c>
      <c r="U8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1" s="265" t="str">
        <f>IF(ResultsTeams[[#This Row],[Score_OK]],IF(ResultsTeams[[#This Row],[StageCpy]]="Groups",ResultsTeams[[#This Row],[Category]]&amp;"-"&amp;IF(ResultsTeams[[#This Row],[Team B]]="","",IF(ResultsTeams[[#This Row],[Match-A]]=ResultsTeams[[#This Row],[Match-B]],ResultsTeams[[#This Row],[Team A]],"")),""),"")</f>
        <v/>
      </c>
      <c r="W831" s="265" t="str">
        <f>IF(ResultsTeams[[#This Row],[Score_OK]],IF(ResultsTeams[[#This Row],[StageCpy]]="Groups",ResultsTeams[[#This Row],[Category]]&amp;"-"&amp;IF(ResultsTeams[[#This Row],[Team B]]="","",IF(ResultsTeams[[#This Row],[Match-A]]=ResultsTeams[[#This Row],[Match-B]],ResultsTeams[[#This Row],[Team B]],"")),""),"")</f>
        <v/>
      </c>
      <c r="X8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1" s="264" t="str">
        <f>IF(ResultsTeams[[#This Row],[Category]]="","",VLOOKUP(ResultsTeams[[#This Row],[Stage]],$R$1:$T$8,MATCH(ResultsTeams[[#This Row],[Category]],$S$1:$T$1,0)+1,FALSE))</f>
        <v/>
      </c>
      <c r="AC8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1" s="264">
        <f>IF(ResultsTeams[[#This Row],[Type]]="G",ResultsTeams[[#This Row],[Stage]],AD830)</f>
        <v>0</v>
      </c>
      <c r="AE831" s="395" t="e">
        <f>IF(ResultsTeams[[#This Row],[Type]]="G",INDEX(TeamsList[Club Name],MATCH(ResultsTeams[[#This Row],[Team A]],TeamsList[Team Name],0)),AE830)</f>
        <v>#N/A</v>
      </c>
      <c r="AF831" s="395" t="e">
        <f>IF(ResultsTeams[[#This Row],[Type]]="G",INDEX(TeamsList[Club Name],MATCH(ResultsTeams[[#This Row],[Team B]],TeamsList[Team Name],0)),AF830)</f>
        <v>#N/A</v>
      </c>
      <c r="AG831" s="265"/>
    </row>
    <row r="832" spans="1:33" x14ac:dyDescent="0.2">
      <c r="A832" s="60"/>
      <c r="B832" s="280"/>
      <c r="C832" s="60"/>
      <c r="D832" s="60"/>
      <c r="E832" s="240" t="s">
        <v>12231</v>
      </c>
      <c r="F832" s="244"/>
      <c r="G832" s="244"/>
      <c r="H832" s="253"/>
      <c r="I832" s="253"/>
      <c r="J832" s="253"/>
      <c r="K832" s="362"/>
      <c r="L832" s="362"/>
      <c r="M832" s="61"/>
      <c r="N832" s="265" t="b">
        <f>NOT(ISERROR(ResultsTeams[[#This Row],[Goal-A]]+ResultsTeams[[#This Row],[Goal-B]]))</f>
        <v>1</v>
      </c>
      <c r="O832" s="265">
        <f>IF(ResultsTeams[[#This Row],[Type]]="G",SUM(O833:O836),IF(LEFT(ResultsTeams[[#This Row],[Type]],1)="P",IF(ResultsTeams[[#This Row],[Goal-A]]&gt;ResultsTeams[[#This Row],[Goal-B]],1,0),""))</f>
        <v>0</v>
      </c>
      <c r="P832" s="265">
        <f>IF(ResultsTeams[[#This Row],[Type]]="G",SUM(P833:P836),IF(LEFT(ResultsTeams[[#This Row],[Type]],1)="P",IF(ResultsTeams[[#This Row],[Goal-A]]&lt;ResultsTeams[[#This Row],[Goal-B]],1,0),""))</f>
        <v>0</v>
      </c>
      <c r="Q832" s="265">
        <f>IF(ResultsTeams[[#This Row],[Type]]="G",SUM(Q833:Q836),IF(LEFT(ResultsTeams[[#This Row],[Type]],1)="P",VALUE(ResultsTeams[[#This Row],[Score-A]]),""))</f>
        <v>0</v>
      </c>
      <c r="R832" s="265">
        <f>IF(ResultsTeams[[#This Row],[Type]]="G",SUM(R833:R836),IF(LEFT(ResultsTeams[[#This Row],[Type]],1)="P",VALUE(ResultsTeams[[#This Row],[Score-B]]),""))</f>
        <v>0</v>
      </c>
      <c r="S832" s="265" t="str">
        <f ca="1">IF(AND(ResultsTeams[[#This Row],[Category]]&lt;&gt;"",ResultsTeams[[#This Row],[Team A]]&lt;&gt;""),COUNTIF(INDIRECT("TeamsList[Club Name]"),ResultsTeams[[#This Row],[Team A]]),"")</f>
        <v/>
      </c>
      <c r="T832" s="265" t="str">
        <f ca="1">IF(AND(ResultsTeams[[#This Row],[Category]]&lt;&gt;"",ResultsTeams[[#This Row],[Team B]]&lt;&gt;""),COUNTIF(INDIRECT("TeamsList[Club Name]"),ResultsTeams[[#This Row],[Team B]]),"")</f>
        <v/>
      </c>
      <c r="U8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2" s="265" t="str">
        <f>IF(ResultsTeams[[#This Row],[Score_OK]],IF(ResultsTeams[[#This Row],[StageCpy]]="Groups",ResultsTeams[[#This Row],[Category]]&amp;"-"&amp;IF(ResultsTeams[[#This Row],[Team B]]="","",IF(ResultsTeams[[#This Row],[Match-A]]=ResultsTeams[[#This Row],[Match-B]],ResultsTeams[[#This Row],[Team A]],"")),""),"")</f>
        <v/>
      </c>
      <c r="W832" s="265" t="str">
        <f>IF(ResultsTeams[[#This Row],[Score_OK]],IF(ResultsTeams[[#This Row],[StageCpy]]="Groups",ResultsTeams[[#This Row],[Category]]&amp;"-"&amp;IF(ResultsTeams[[#This Row],[Team B]]="","",IF(ResultsTeams[[#This Row],[Match-A]]=ResultsTeams[[#This Row],[Match-B]],ResultsTeams[[#This Row],[Team B]],"")),""),"")</f>
        <v/>
      </c>
      <c r="X8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2" s="264" t="str">
        <f>IF(ResultsTeams[[#This Row],[Category]]="","",VLOOKUP(ResultsTeams[[#This Row],[Stage]],$R$1:$T$8,MATCH(ResultsTeams[[#This Row],[Category]],$S$1:$T$1,0)+1,FALSE))</f>
        <v/>
      </c>
      <c r="AC8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2" s="264">
        <f>IF(ResultsTeams[[#This Row],[Type]]="G",ResultsTeams[[#This Row],[Stage]],AD831)</f>
        <v>0</v>
      </c>
      <c r="AE832" s="395" t="e">
        <f>IF(ResultsTeams[[#This Row],[Type]]="G",INDEX(TeamsList[Club Name],MATCH(ResultsTeams[[#This Row],[Team A]],TeamsList[Team Name],0)),AE831)</f>
        <v>#N/A</v>
      </c>
      <c r="AF832" s="395" t="e">
        <f>IF(ResultsTeams[[#This Row],[Type]]="G",INDEX(TeamsList[Club Name],MATCH(ResultsTeams[[#This Row],[Team B]],TeamsList[Team Name],0)),AF831)</f>
        <v>#N/A</v>
      </c>
      <c r="AG832" s="265"/>
    </row>
    <row r="833" spans="1:33" x14ac:dyDescent="0.2">
      <c r="A833" s="62"/>
      <c r="B833" s="280"/>
      <c r="C833" s="62"/>
      <c r="D833" s="62"/>
      <c r="E833" s="241" t="s">
        <v>12234</v>
      </c>
      <c r="F833" s="246"/>
      <c r="G833" s="246"/>
      <c r="H833" s="254"/>
      <c r="I833" s="254"/>
      <c r="J833" s="254"/>
      <c r="K833" s="363"/>
      <c r="L833" s="363"/>
      <c r="M833" s="63"/>
      <c r="N833" s="265" t="b">
        <f>NOT(ISERROR(ResultsTeams[[#This Row],[Goal-A]]+ResultsTeams[[#This Row],[Goal-B]]))</f>
        <v>1</v>
      </c>
      <c r="O833" s="265">
        <f>IF(ResultsTeams[[#This Row],[Type]]="G",SUM(O834:O837),IF(LEFT(ResultsTeams[[#This Row],[Type]],1)="P",IF(ResultsTeams[[#This Row],[Goal-A]]&gt;ResultsTeams[[#This Row],[Goal-B]],1,0),""))</f>
        <v>0</v>
      </c>
      <c r="P833" s="265">
        <f>IF(ResultsTeams[[#This Row],[Type]]="G",SUM(P834:P837),IF(LEFT(ResultsTeams[[#This Row],[Type]],1)="P",IF(ResultsTeams[[#This Row],[Goal-A]]&lt;ResultsTeams[[#This Row],[Goal-B]],1,0),""))</f>
        <v>0</v>
      </c>
      <c r="Q833" s="265">
        <f>IF(ResultsTeams[[#This Row],[Type]]="G",SUM(Q834:Q837),IF(LEFT(ResultsTeams[[#This Row],[Type]],1)="P",VALUE(ResultsTeams[[#This Row],[Score-A]]),""))</f>
        <v>0</v>
      </c>
      <c r="R833" s="265">
        <f>IF(ResultsTeams[[#This Row],[Type]]="G",SUM(R834:R837),IF(LEFT(ResultsTeams[[#This Row],[Type]],1)="P",VALUE(ResultsTeams[[#This Row],[Score-B]]),""))</f>
        <v>0</v>
      </c>
      <c r="S833" s="265" t="str">
        <f ca="1">IF(AND(ResultsTeams[[#This Row],[Category]]&lt;&gt;"",ResultsTeams[[#This Row],[Team A]]&lt;&gt;""),COUNTIF(INDIRECT("TeamsList[Club Name]"),ResultsTeams[[#This Row],[Team A]]),"")</f>
        <v/>
      </c>
      <c r="T833" s="265" t="str">
        <f ca="1">IF(AND(ResultsTeams[[#This Row],[Category]]&lt;&gt;"",ResultsTeams[[#This Row],[Team B]]&lt;&gt;""),COUNTIF(INDIRECT("TeamsList[Club Name]"),ResultsTeams[[#This Row],[Team B]]),"")</f>
        <v/>
      </c>
      <c r="U8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3" s="265" t="str">
        <f>IF(ResultsTeams[[#This Row],[Score_OK]],IF(ResultsTeams[[#This Row],[StageCpy]]="Groups",ResultsTeams[[#This Row],[Category]]&amp;"-"&amp;IF(ResultsTeams[[#This Row],[Team B]]="","",IF(ResultsTeams[[#This Row],[Match-A]]=ResultsTeams[[#This Row],[Match-B]],ResultsTeams[[#This Row],[Team A]],"")),""),"")</f>
        <v/>
      </c>
      <c r="W833" s="265" t="str">
        <f>IF(ResultsTeams[[#This Row],[Score_OK]],IF(ResultsTeams[[#This Row],[StageCpy]]="Groups",ResultsTeams[[#This Row],[Category]]&amp;"-"&amp;IF(ResultsTeams[[#This Row],[Team B]]="","",IF(ResultsTeams[[#This Row],[Match-A]]=ResultsTeams[[#This Row],[Match-B]],ResultsTeams[[#This Row],[Team B]],"")),""),"")</f>
        <v/>
      </c>
      <c r="X8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3" s="264" t="str">
        <f>IF(ResultsTeams[[#This Row],[Category]]="","",VLOOKUP(ResultsTeams[[#This Row],[Stage]],$R$1:$T$8,MATCH(ResultsTeams[[#This Row],[Category]],$S$1:$T$1,0)+1,FALSE))</f>
        <v/>
      </c>
      <c r="AC8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3" s="264">
        <f>IF(ResultsTeams[[#This Row],[Type]]="G",ResultsTeams[[#This Row],[Stage]],AD832)</f>
        <v>0</v>
      </c>
      <c r="AE833" s="395" t="e">
        <f>IF(ResultsTeams[[#This Row],[Type]]="G",INDEX(TeamsList[Club Name],MATCH(ResultsTeams[[#This Row],[Team A]],TeamsList[Team Name],0)),AE832)</f>
        <v>#N/A</v>
      </c>
      <c r="AF833" s="395" t="e">
        <f>IF(ResultsTeams[[#This Row],[Type]]="G",INDEX(TeamsList[Club Name],MATCH(ResultsTeams[[#This Row],[Team B]],TeamsList[Team Name],0)),AF832)</f>
        <v>#N/A</v>
      </c>
      <c r="AG833" s="265"/>
    </row>
    <row r="834" spans="1:33" x14ac:dyDescent="0.2">
      <c r="A834" s="62"/>
      <c r="B834" s="280"/>
      <c r="C834" s="62"/>
      <c r="D834" s="62"/>
      <c r="E834" s="241" t="s">
        <v>12237</v>
      </c>
      <c r="F834" s="246"/>
      <c r="G834" s="246"/>
      <c r="H834" s="254"/>
      <c r="I834" s="254"/>
      <c r="J834" s="254"/>
      <c r="K834" s="363"/>
      <c r="L834" s="363"/>
      <c r="M834" s="63"/>
      <c r="N834" s="265" t="b">
        <f>NOT(ISERROR(ResultsTeams[[#This Row],[Goal-A]]+ResultsTeams[[#This Row],[Goal-B]]))</f>
        <v>1</v>
      </c>
      <c r="O834" s="265">
        <f>IF(ResultsTeams[[#This Row],[Type]]="G",SUM(O835:O838),IF(LEFT(ResultsTeams[[#This Row],[Type]],1)="P",IF(ResultsTeams[[#This Row],[Goal-A]]&gt;ResultsTeams[[#This Row],[Goal-B]],1,0),""))</f>
        <v>0</v>
      </c>
      <c r="P834" s="265">
        <f>IF(ResultsTeams[[#This Row],[Type]]="G",SUM(P835:P838),IF(LEFT(ResultsTeams[[#This Row],[Type]],1)="P",IF(ResultsTeams[[#This Row],[Goal-A]]&lt;ResultsTeams[[#This Row],[Goal-B]],1,0),""))</f>
        <v>0</v>
      </c>
      <c r="Q834" s="265">
        <f>IF(ResultsTeams[[#This Row],[Type]]="G",SUM(Q835:Q838),IF(LEFT(ResultsTeams[[#This Row],[Type]],1)="P",VALUE(ResultsTeams[[#This Row],[Score-A]]),""))</f>
        <v>0</v>
      </c>
      <c r="R834" s="265">
        <f>IF(ResultsTeams[[#This Row],[Type]]="G",SUM(R835:R838),IF(LEFT(ResultsTeams[[#This Row],[Type]],1)="P",VALUE(ResultsTeams[[#This Row],[Score-B]]),""))</f>
        <v>0</v>
      </c>
      <c r="S834" s="265" t="str">
        <f ca="1">IF(AND(ResultsTeams[[#This Row],[Category]]&lt;&gt;"",ResultsTeams[[#This Row],[Team A]]&lt;&gt;""),COUNTIF(INDIRECT("TeamsList[Club Name]"),ResultsTeams[[#This Row],[Team A]]),"")</f>
        <v/>
      </c>
      <c r="T834" s="265" t="str">
        <f ca="1">IF(AND(ResultsTeams[[#This Row],[Category]]&lt;&gt;"",ResultsTeams[[#This Row],[Team B]]&lt;&gt;""),COUNTIF(INDIRECT("TeamsList[Club Name]"),ResultsTeams[[#This Row],[Team B]]),"")</f>
        <v/>
      </c>
      <c r="U8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4" s="265" t="str">
        <f>IF(ResultsTeams[[#This Row],[Score_OK]],IF(ResultsTeams[[#This Row],[StageCpy]]="Groups",ResultsTeams[[#This Row],[Category]]&amp;"-"&amp;IF(ResultsTeams[[#This Row],[Team B]]="","",IF(ResultsTeams[[#This Row],[Match-A]]=ResultsTeams[[#This Row],[Match-B]],ResultsTeams[[#This Row],[Team A]],"")),""),"")</f>
        <v/>
      </c>
      <c r="W834" s="265" t="str">
        <f>IF(ResultsTeams[[#This Row],[Score_OK]],IF(ResultsTeams[[#This Row],[StageCpy]]="Groups",ResultsTeams[[#This Row],[Category]]&amp;"-"&amp;IF(ResultsTeams[[#This Row],[Team B]]="","",IF(ResultsTeams[[#This Row],[Match-A]]=ResultsTeams[[#This Row],[Match-B]],ResultsTeams[[#This Row],[Team B]],"")),""),"")</f>
        <v/>
      </c>
      <c r="X8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4" s="264" t="str">
        <f>IF(ResultsTeams[[#This Row],[Category]]="","",VLOOKUP(ResultsTeams[[#This Row],[Stage]],$R$1:$T$8,MATCH(ResultsTeams[[#This Row],[Category]],$S$1:$T$1,0)+1,FALSE))</f>
        <v/>
      </c>
      <c r="AC8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4" s="264">
        <f>IF(ResultsTeams[[#This Row],[Type]]="G",ResultsTeams[[#This Row],[Stage]],AD833)</f>
        <v>0</v>
      </c>
      <c r="AE834" s="395" t="e">
        <f>IF(ResultsTeams[[#This Row],[Type]]="G",INDEX(TeamsList[Club Name],MATCH(ResultsTeams[[#This Row],[Team A]],TeamsList[Team Name],0)),AE833)</f>
        <v>#N/A</v>
      </c>
      <c r="AF834" s="395" t="e">
        <f>IF(ResultsTeams[[#This Row],[Type]]="G",INDEX(TeamsList[Club Name],MATCH(ResultsTeams[[#This Row],[Team B]],TeamsList[Team Name],0)),AF833)</f>
        <v>#N/A</v>
      </c>
      <c r="AG834" s="265"/>
    </row>
    <row r="835" spans="1:33" x14ac:dyDescent="0.2">
      <c r="A835" s="62"/>
      <c r="B835" s="280"/>
      <c r="C835" s="62"/>
      <c r="D835" s="62"/>
      <c r="E835" s="241" t="s">
        <v>12240</v>
      </c>
      <c r="F835" s="246"/>
      <c r="G835" s="246"/>
      <c r="H835" s="254"/>
      <c r="I835" s="254"/>
      <c r="J835" s="254"/>
      <c r="K835" s="363"/>
      <c r="L835" s="363"/>
      <c r="M835" s="63"/>
      <c r="N835" s="265" t="b">
        <f>NOT(ISERROR(ResultsTeams[[#This Row],[Goal-A]]+ResultsTeams[[#This Row],[Goal-B]]))</f>
        <v>1</v>
      </c>
      <c r="O835" s="265">
        <f>IF(ResultsTeams[[#This Row],[Type]]="G",SUM(O836:O839),IF(LEFT(ResultsTeams[[#This Row],[Type]],1)="P",IF(ResultsTeams[[#This Row],[Goal-A]]&gt;ResultsTeams[[#This Row],[Goal-B]],1,0),""))</f>
        <v>0</v>
      </c>
      <c r="P835" s="265">
        <f>IF(ResultsTeams[[#This Row],[Type]]="G",SUM(P836:P839),IF(LEFT(ResultsTeams[[#This Row],[Type]],1)="P",IF(ResultsTeams[[#This Row],[Goal-A]]&lt;ResultsTeams[[#This Row],[Goal-B]],1,0),""))</f>
        <v>0</v>
      </c>
      <c r="Q835" s="265">
        <f>IF(ResultsTeams[[#This Row],[Type]]="G",SUM(Q836:Q839),IF(LEFT(ResultsTeams[[#This Row],[Type]],1)="P",VALUE(ResultsTeams[[#This Row],[Score-A]]),""))</f>
        <v>0</v>
      </c>
      <c r="R835" s="265">
        <f>IF(ResultsTeams[[#This Row],[Type]]="G",SUM(R836:R839),IF(LEFT(ResultsTeams[[#This Row],[Type]],1)="P",VALUE(ResultsTeams[[#This Row],[Score-B]]),""))</f>
        <v>0</v>
      </c>
      <c r="S835" s="265" t="str">
        <f ca="1">IF(AND(ResultsTeams[[#This Row],[Category]]&lt;&gt;"",ResultsTeams[[#This Row],[Team A]]&lt;&gt;""),COUNTIF(INDIRECT("TeamsList[Club Name]"),ResultsTeams[[#This Row],[Team A]]),"")</f>
        <v/>
      </c>
      <c r="T835" s="265" t="str">
        <f ca="1">IF(AND(ResultsTeams[[#This Row],[Category]]&lt;&gt;"",ResultsTeams[[#This Row],[Team B]]&lt;&gt;""),COUNTIF(INDIRECT("TeamsList[Club Name]"),ResultsTeams[[#This Row],[Team B]]),"")</f>
        <v/>
      </c>
      <c r="U8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5" s="265" t="str">
        <f>IF(ResultsTeams[[#This Row],[Score_OK]],IF(ResultsTeams[[#This Row],[StageCpy]]="Groups",ResultsTeams[[#This Row],[Category]]&amp;"-"&amp;IF(ResultsTeams[[#This Row],[Team B]]="","",IF(ResultsTeams[[#This Row],[Match-A]]=ResultsTeams[[#This Row],[Match-B]],ResultsTeams[[#This Row],[Team A]],"")),""),"")</f>
        <v/>
      </c>
      <c r="W835" s="265" t="str">
        <f>IF(ResultsTeams[[#This Row],[Score_OK]],IF(ResultsTeams[[#This Row],[StageCpy]]="Groups",ResultsTeams[[#This Row],[Category]]&amp;"-"&amp;IF(ResultsTeams[[#This Row],[Team B]]="","",IF(ResultsTeams[[#This Row],[Match-A]]=ResultsTeams[[#This Row],[Match-B]],ResultsTeams[[#This Row],[Team B]],"")),""),"")</f>
        <v/>
      </c>
      <c r="X8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5" s="264" t="str">
        <f>IF(ResultsTeams[[#This Row],[Category]]="","",VLOOKUP(ResultsTeams[[#This Row],[Stage]],$R$1:$T$8,MATCH(ResultsTeams[[#This Row],[Category]],$S$1:$T$1,0)+1,FALSE))</f>
        <v/>
      </c>
      <c r="AC8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5" s="264">
        <f>IF(ResultsTeams[[#This Row],[Type]]="G",ResultsTeams[[#This Row],[Stage]],AD834)</f>
        <v>0</v>
      </c>
      <c r="AE835" s="395" t="e">
        <f>IF(ResultsTeams[[#This Row],[Type]]="G",INDEX(TeamsList[Club Name],MATCH(ResultsTeams[[#This Row],[Team A]],TeamsList[Team Name],0)),AE834)</f>
        <v>#N/A</v>
      </c>
      <c r="AF835" s="395" t="e">
        <f>IF(ResultsTeams[[#This Row],[Type]]="G",INDEX(TeamsList[Club Name],MATCH(ResultsTeams[[#This Row],[Team B]],TeamsList[Team Name],0)),AF834)</f>
        <v>#N/A</v>
      </c>
      <c r="AG835" s="265"/>
    </row>
    <row r="836" spans="1:33" x14ac:dyDescent="0.2">
      <c r="A836" s="62"/>
      <c r="B836" s="62"/>
      <c r="C836" s="62"/>
      <c r="D836" s="62"/>
      <c r="E836" s="241" t="s">
        <v>12243</v>
      </c>
      <c r="F836" s="247"/>
      <c r="G836" s="247"/>
      <c r="H836" s="254"/>
      <c r="I836" s="254"/>
      <c r="J836" s="260"/>
      <c r="K836" s="364"/>
      <c r="L836" s="364"/>
      <c r="M836" s="63"/>
      <c r="N836" s="265" t="b">
        <f>NOT(ISERROR(ResultsTeams[[#This Row],[Goal-A]]+ResultsTeams[[#This Row],[Goal-B]]))</f>
        <v>0</v>
      </c>
      <c r="O836" s="265" t="str">
        <f>IF(ResultsTeams[[#This Row],[Type]]="G",SUM(O837:O840),IF(LEFT(ResultsTeams[[#This Row],[Type]],1)="P",IF(ResultsTeams[[#This Row],[Goal-A]]&gt;ResultsTeams[[#This Row],[Goal-B]],1,0),""))</f>
        <v/>
      </c>
      <c r="P836" s="265" t="str">
        <f>IF(ResultsTeams[[#This Row],[Type]]="G",SUM(P837:P840),IF(LEFT(ResultsTeams[[#This Row],[Type]],1)="P",IF(ResultsTeams[[#This Row],[Goal-A]]&lt;ResultsTeams[[#This Row],[Goal-B]],1,0),""))</f>
        <v/>
      </c>
      <c r="Q836" s="265" t="str">
        <f>IF(ResultsTeams[[#This Row],[Type]]="G",SUM(Q837:Q840),IF(LEFT(ResultsTeams[[#This Row],[Type]],1)="P",VALUE(ResultsTeams[[#This Row],[Score-A]]),""))</f>
        <v/>
      </c>
      <c r="R836" s="265" t="str">
        <f>IF(ResultsTeams[[#This Row],[Type]]="G",SUM(R837:R840),IF(LEFT(ResultsTeams[[#This Row],[Type]],1)="P",VALUE(ResultsTeams[[#This Row],[Score-B]]),""))</f>
        <v/>
      </c>
      <c r="S836" s="265" t="str">
        <f ca="1">IF(AND(ResultsTeams[[#This Row],[Category]]&lt;&gt;"",ResultsTeams[[#This Row],[Team A]]&lt;&gt;""),COUNTIF(INDIRECT("TeamsList[Club Name]"),ResultsTeams[[#This Row],[Team A]]),"")</f>
        <v/>
      </c>
      <c r="T836" s="265" t="str">
        <f ca="1">IF(AND(ResultsTeams[[#This Row],[Category]]&lt;&gt;"",ResultsTeams[[#This Row],[Team B]]&lt;&gt;""),COUNTIF(INDIRECT("TeamsList[Club Name]"),ResultsTeams[[#This Row],[Team B]]),"")</f>
        <v/>
      </c>
      <c r="U8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6" s="265" t="str">
        <f>IF(ResultsTeams[[#This Row],[Score_OK]],IF(ResultsTeams[[#This Row],[StageCpy]]="Groups",ResultsTeams[[#This Row],[Category]]&amp;"-"&amp;IF(ResultsTeams[[#This Row],[Team B]]="","",IF(ResultsTeams[[#This Row],[Match-A]]=ResultsTeams[[#This Row],[Match-B]],ResultsTeams[[#This Row],[Team A]],"")),""),"")</f>
        <v/>
      </c>
      <c r="W836" s="265" t="str">
        <f>IF(ResultsTeams[[#This Row],[Score_OK]],IF(ResultsTeams[[#This Row],[StageCpy]]="Groups",ResultsTeams[[#This Row],[Category]]&amp;"-"&amp;IF(ResultsTeams[[#This Row],[Team B]]="","",IF(ResultsTeams[[#This Row],[Match-A]]=ResultsTeams[[#This Row],[Match-B]],ResultsTeams[[#This Row],[Team B]],"")),""),"")</f>
        <v/>
      </c>
      <c r="X8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6" s="264" t="str">
        <f>IF(ResultsTeams[[#This Row],[Category]]="","",VLOOKUP(ResultsTeams[[#This Row],[Stage]],$R$1:$T$8,MATCH(ResultsTeams[[#This Row],[Category]],$S$1:$T$1,0)+1,FALSE))</f>
        <v/>
      </c>
      <c r="AC8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6" s="264">
        <f>IF(ResultsTeams[[#This Row],[Type]]="G",ResultsTeams[[#This Row],[Stage]],AD835)</f>
        <v>0</v>
      </c>
      <c r="AE836" s="395" t="e">
        <f>IF(ResultsTeams[[#This Row],[Type]]="G",INDEX(TeamsList[Club Name],MATCH(ResultsTeams[[#This Row],[Team A]],TeamsList[Team Name],0)),AE835)</f>
        <v>#N/A</v>
      </c>
      <c r="AF836" s="395" t="e">
        <f>IF(ResultsTeams[[#This Row],[Type]]="G",INDEX(TeamsList[Club Name],MATCH(ResultsTeams[[#This Row],[Team B]],TeamsList[Team Name],0)),AF835)</f>
        <v>#N/A</v>
      </c>
      <c r="AG836" s="265"/>
    </row>
    <row r="837" spans="1:33" ht="12" thickBot="1" x14ac:dyDescent="0.25">
      <c r="A837" s="83"/>
      <c r="B837" s="83"/>
      <c r="C837" s="83"/>
      <c r="D837" s="83"/>
      <c r="E837" s="268" t="s">
        <v>12244</v>
      </c>
      <c r="F837" s="262"/>
      <c r="G837" s="262"/>
      <c r="H837" s="324"/>
      <c r="I837" s="324"/>
      <c r="J837" s="263"/>
      <c r="K837" s="365"/>
      <c r="L837" s="365"/>
      <c r="M837" s="84"/>
      <c r="N837" s="265" t="b">
        <f>NOT(ISERROR(ResultsTeams[[#This Row],[Goal-A]]+ResultsTeams[[#This Row],[Goal-B]]))</f>
        <v>0</v>
      </c>
      <c r="O837" s="265" t="str">
        <f>IF(ResultsTeams[[#This Row],[Type]]="G",SUM(O838:O841),IF(LEFT(ResultsTeams[[#This Row],[Type]],1)="P",IF(ResultsTeams[[#This Row],[Goal-A]]&gt;ResultsTeams[[#This Row],[Goal-B]],1,0),""))</f>
        <v/>
      </c>
      <c r="P837" s="265" t="str">
        <f>IF(ResultsTeams[[#This Row],[Type]]="G",SUM(P838:P841),IF(LEFT(ResultsTeams[[#This Row],[Type]],1)="P",IF(ResultsTeams[[#This Row],[Goal-A]]&lt;ResultsTeams[[#This Row],[Goal-B]],1,0),""))</f>
        <v/>
      </c>
      <c r="Q837" s="265" t="str">
        <f>IF(ResultsTeams[[#This Row],[Type]]="G",SUM(Q838:Q841),IF(LEFT(ResultsTeams[[#This Row],[Type]],1)="P",VALUE(ResultsTeams[[#This Row],[Score-A]]),""))</f>
        <v/>
      </c>
      <c r="R837" s="265" t="str">
        <f>IF(ResultsTeams[[#This Row],[Type]]="G",SUM(R838:R841),IF(LEFT(ResultsTeams[[#This Row],[Type]],1)="P",VALUE(ResultsTeams[[#This Row],[Score-B]]),""))</f>
        <v/>
      </c>
      <c r="S837" s="265" t="str">
        <f ca="1">IF(AND(ResultsTeams[[#This Row],[Category]]&lt;&gt;"",ResultsTeams[[#This Row],[Team A]]&lt;&gt;""),COUNTIF(INDIRECT("TeamsList[Club Name]"),ResultsTeams[[#This Row],[Team A]]),"")</f>
        <v/>
      </c>
      <c r="T837" s="265" t="str">
        <f ca="1">IF(AND(ResultsTeams[[#This Row],[Category]]&lt;&gt;"",ResultsTeams[[#This Row],[Team B]]&lt;&gt;""),COUNTIF(INDIRECT("TeamsList[Club Name]"),ResultsTeams[[#This Row],[Team B]]),"")</f>
        <v/>
      </c>
      <c r="U8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7" s="265" t="str">
        <f>IF(ResultsTeams[[#This Row],[Score_OK]],IF(ResultsTeams[[#This Row],[StageCpy]]="Groups",ResultsTeams[[#This Row],[Category]]&amp;"-"&amp;IF(ResultsTeams[[#This Row],[Team B]]="","",IF(ResultsTeams[[#This Row],[Match-A]]=ResultsTeams[[#This Row],[Match-B]],ResultsTeams[[#This Row],[Team A]],"")),""),"")</f>
        <v/>
      </c>
      <c r="W837" s="265" t="str">
        <f>IF(ResultsTeams[[#This Row],[Score_OK]],IF(ResultsTeams[[#This Row],[StageCpy]]="Groups",ResultsTeams[[#This Row],[Category]]&amp;"-"&amp;IF(ResultsTeams[[#This Row],[Team B]]="","",IF(ResultsTeams[[#This Row],[Match-A]]=ResultsTeams[[#This Row],[Match-B]],ResultsTeams[[#This Row],[Team B]],"")),""),"")</f>
        <v/>
      </c>
      <c r="X8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7" s="264" t="str">
        <f>IF(ResultsTeams[[#This Row],[Category]]="","",VLOOKUP(ResultsTeams[[#This Row],[Stage]],$R$1:$T$8,MATCH(ResultsTeams[[#This Row],[Category]],$S$1:$T$1,0)+1,FALSE))</f>
        <v/>
      </c>
      <c r="AC8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7" s="264">
        <f>IF(ResultsTeams[[#This Row],[Type]]="G",ResultsTeams[[#This Row],[Stage]],AD836)</f>
        <v>0</v>
      </c>
      <c r="AE837" s="395" t="e">
        <f>IF(ResultsTeams[[#This Row],[Type]]="G",INDEX(TeamsList[Club Name],MATCH(ResultsTeams[[#This Row],[Team A]],TeamsList[Team Name],0)),AE836)</f>
        <v>#N/A</v>
      </c>
      <c r="AF837" s="395" t="e">
        <f>IF(ResultsTeams[[#This Row],[Type]]="G",INDEX(TeamsList[Club Name],MATCH(ResultsTeams[[#This Row],[Team B]],TeamsList[Team Name],0)),AF836)</f>
        <v>#N/A</v>
      </c>
      <c r="AG837" s="265"/>
    </row>
    <row r="838" spans="1:33" ht="12" thickBot="1" x14ac:dyDescent="0.25">
      <c r="A838" s="261"/>
      <c r="B838" s="270"/>
      <c r="C838" s="270"/>
      <c r="D838" s="270"/>
      <c r="E838" s="272" t="s">
        <v>12228</v>
      </c>
      <c r="F838" s="273"/>
      <c r="G838" s="273"/>
      <c r="H838" s="275"/>
      <c r="I838" s="275"/>
      <c r="J838" s="275"/>
      <c r="K838" s="366"/>
      <c r="L838" s="366"/>
      <c r="M838" s="274"/>
      <c r="N838" s="265" t="b">
        <f>NOT(ISERROR(ResultsTeams[[#This Row],[Goal-A]]+ResultsTeams[[#This Row],[Goal-B]]))</f>
        <v>1</v>
      </c>
      <c r="O838" s="265">
        <f>IF(ResultsTeams[[#This Row],[Type]]="G",SUM(O839:O842),IF(LEFT(ResultsTeams[[#This Row],[Type]],1)="P",IF(ResultsTeams[[#This Row],[Goal-A]]&gt;ResultsTeams[[#This Row],[Goal-B]],1,0),""))</f>
        <v>0</v>
      </c>
      <c r="P838" s="265">
        <f>IF(ResultsTeams[[#This Row],[Type]]="G",SUM(P839:P842),IF(LEFT(ResultsTeams[[#This Row],[Type]],1)="P",IF(ResultsTeams[[#This Row],[Goal-A]]&lt;ResultsTeams[[#This Row],[Goal-B]],1,0),""))</f>
        <v>0</v>
      </c>
      <c r="Q838" s="265">
        <f>IF(ResultsTeams[[#This Row],[Type]]="G",SUM(Q839:Q842),IF(LEFT(ResultsTeams[[#This Row],[Type]],1)="P",VALUE(ResultsTeams[[#This Row],[Score-A]]),""))</f>
        <v>0</v>
      </c>
      <c r="R838" s="265">
        <f>IF(ResultsTeams[[#This Row],[Type]]="G",SUM(R839:R842),IF(LEFT(ResultsTeams[[#This Row],[Type]],1)="P",VALUE(ResultsTeams[[#This Row],[Score-B]]),""))</f>
        <v>0</v>
      </c>
      <c r="S838" s="265" t="str">
        <f ca="1">IF(AND(ResultsTeams[[#This Row],[Category]]&lt;&gt;"",ResultsTeams[[#This Row],[Team A]]&lt;&gt;""),COUNTIF(INDIRECT("TeamsList[Club Name]"),ResultsTeams[[#This Row],[Team A]]),"")</f>
        <v/>
      </c>
      <c r="T838" s="265" t="str">
        <f ca="1">IF(AND(ResultsTeams[[#This Row],[Category]]&lt;&gt;"",ResultsTeams[[#This Row],[Team B]]&lt;&gt;""),COUNTIF(INDIRECT("TeamsList[Club Name]"),ResultsTeams[[#This Row],[Team B]]),"")</f>
        <v/>
      </c>
      <c r="U8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8" s="265" t="str">
        <f>IF(ResultsTeams[[#This Row],[Score_OK]],IF(ResultsTeams[[#This Row],[StageCpy]]="Groups",ResultsTeams[[#This Row],[Category]]&amp;"-"&amp;IF(ResultsTeams[[#This Row],[Team B]]="","",IF(ResultsTeams[[#This Row],[Match-A]]=ResultsTeams[[#This Row],[Match-B]],ResultsTeams[[#This Row],[Team A]],"")),""),"")</f>
        <v/>
      </c>
      <c r="W838" s="265" t="str">
        <f>IF(ResultsTeams[[#This Row],[Score_OK]],IF(ResultsTeams[[#This Row],[StageCpy]]="Groups",ResultsTeams[[#This Row],[Category]]&amp;"-"&amp;IF(ResultsTeams[[#This Row],[Team B]]="","",IF(ResultsTeams[[#This Row],[Match-A]]=ResultsTeams[[#This Row],[Match-B]],ResultsTeams[[#This Row],[Team B]],"")),""),"")</f>
        <v/>
      </c>
      <c r="X8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8" s="264" t="str">
        <f>IF(ResultsTeams[[#This Row],[Category]]="","",VLOOKUP(ResultsTeams[[#This Row],[Stage]],$R$1:$T$8,MATCH(ResultsTeams[[#This Row],[Category]],$S$1:$T$1,0)+1,FALSE))</f>
        <v/>
      </c>
      <c r="AC8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8" s="264">
        <f>IF(ResultsTeams[[#This Row],[Type]]="G",ResultsTeams[[#This Row],[Stage]],AD837)</f>
        <v>0</v>
      </c>
      <c r="AE838" s="395" t="e">
        <f>IF(ResultsTeams[[#This Row],[Type]]="G",INDEX(TeamsList[Club Name],MATCH(ResultsTeams[[#This Row],[Team A]],TeamsList[Team Name],0)),AE837)</f>
        <v>#N/A</v>
      </c>
      <c r="AF838" s="395" t="e">
        <f>IF(ResultsTeams[[#This Row],[Type]]="G",INDEX(TeamsList[Club Name],MATCH(ResultsTeams[[#This Row],[Team B]],TeamsList[Team Name],0)),AF837)</f>
        <v>#N/A</v>
      </c>
      <c r="AG838" s="265"/>
    </row>
    <row r="839" spans="1:33" x14ac:dyDescent="0.2">
      <c r="A839" s="60"/>
      <c r="B839" s="280"/>
      <c r="C839" s="60"/>
      <c r="D839" s="60"/>
      <c r="E839" s="240" t="s">
        <v>12231</v>
      </c>
      <c r="F839" s="244"/>
      <c r="G839" s="244"/>
      <c r="H839" s="253"/>
      <c r="I839" s="253"/>
      <c r="J839" s="253"/>
      <c r="K839" s="362"/>
      <c r="L839" s="362"/>
      <c r="M839" s="245"/>
      <c r="N839" s="265" t="b">
        <f>NOT(ISERROR(ResultsTeams[[#This Row],[Goal-A]]+ResultsTeams[[#This Row],[Goal-B]]))</f>
        <v>1</v>
      </c>
      <c r="O839" s="265">
        <f>IF(ResultsTeams[[#This Row],[Type]]="G",SUM(O840:O843),IF(LEFT(ResultsTeams[[#This Row],[Type]],1)="P",IF(ResultsTeams[[#This Row],[Goal-A]]&gt;ResultsTeams[[#This Row],[Goal-B]],1,0),""))</f>
        <v>0</v>
      </c>
      <c r="P839" s="265">
        <f>IF(ResultsTeams[[#This Row],[Type]]="G",SUM(P840:P843),IF(LEFT(ResultsTeams[[#This Row],[Type]],1)="P",IF(ResultsTeams[[#This Row],[Goal-A]]&lt;ResultsTeams[[#This Row],[Goal-B]],1,0),""))</f>
        <v>0</v>
      </c>
      <c r="Q839" s="265">
        <f>IF(ResultsTeams[[#This Row],[Type]]="G",SUM(Q840:Q843),IF(LEFT(ResultsTeams[[#This Row],[Type]],1)="P",VALUE(ResultsTeams[[#This Row],[Score-A]]),""))</f>
        <v>0</v>
      </c>
      <c r="R839" s="265">
        <f>IF(ResultsTeams[[#This Row],[Type]]="G",SUM(R840:R843),IF(LEFT(ResultsTeams[[#This Row],[Type]],1)="P",VALUE(ResultsTeams[[#This Row],[Score-B]]),""))</f>
        <v>0</v>
      </c>
      <c r="S839" s="265" t="str">
        <f ca="1">IF(AND(ResultsTeams[[#This Row],[Category]]&lt;&gt;"",ResultsTeams[[#This Row],[Team A]]&lt;&gt;""),COUNTIF(INDIRECT("TeamsList[Club Name]"),ResultsTeams[[#This Row],[Team A]]),"")</f>
        <v/>
      </c>
      <c r="T839" s="265" t="str">
        <f ca="1">IF(AND(ResultsTeams[[#This Row],[Category]]&lt;&gt;"",ResultsTeams[[#This Row],[Team B]]&lt;&gt;""),COUNTIF(INDIRECT("TeamsList[Club Name]"),ResultsTeams[[#This Row],[Team B]]),"")</f>
        <v/>
      </c>
      <c r="U8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9" s="265" t="str">
        <f>IF(ResultsTeams[[#This Row],[Score_OK]],IF(ResultsTeams[[#This Row],[StageCpy]]="Groups",ResultsTeams[[#This Row],[Category]]&amp;"-"&amp;IF(ResultsTeams[[#This Row],[Team B]]="","",IF(ResultsTeams[[#This Row],[Match-A]]=ResultsTeams[[#This Row],[Match-B]],ResultsTeams[[#This Row],[Team A]],"")),""),"")</f>
        <v/>
      </c>
      <c r="W839" s="265" t="str">
        <f>IF(ResultsTeams[[#This Row],[Score_OK]],IF(ResultsTeams[[#This Row],[StageCpy]]="Groups",ResultsTeams[[#This Row],[Category]]&amp;"-"&amp;IF(ResultsTeams[[#This Row],[Team B]]="","",IF(ResultsTeams[[#This Row],[Match-A]]=ResultsTeams[[#This Row],[Match-B]],ResultsTeams[[#This Row],[Team B]],"")),""),"")</f>
        <v/>
      </c>
      <c r="X8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9" s="264" t="str">
        <f>IF(ResultsTeams[[#This Row],[Category]]="","",VLOOKUP(ResultsTeams[[#This Row],[Stage]],$R$1:$T$8,MATCH(ResultsTeams[[#This Row],[Category]],$S$1:$T$1,0)+1,FALSE))</f>
        <v/>
      </c>
      <c r="AC8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9" s="264">
        <f>IF(ResultsTeams[[#This Row],[Type]]="G",ResultsTeams[[#This Row],[Stage]],AD838)</f>
        <v>0</v>
      </c>
      <c r="AE839" s="395" t="e">
        <f>IF(ResultsTeams[[#This Row],[Type]]="G",INDEX(TeamsList[Club Name],MATCH(ResultsTeams[[#This Row],[Team A]],TeamsList[Team Name],0)),AE838)</f>
        <v>#N/A</v>
      </c>
      <c r="AF839" s="395" t="e">
        <f>IF(ResultsTeams[[#This Row],[Type]]="G",INDEX(TeamsList[Club Name],MATCH(ResultsTeams[[#This Row],[Team B]],TeamsList[Team Name],0)),AF838)</f>
        <v>#N/A</v>
      </c>
      <c r="AG839" s="265"/>
    </row>
    <row r="840" spans="1:33" x14ac:dyDescent="0.2">
      <c r="A840" s="62"/>
      <c r="B840" s="280"/>
      <c r="C840" s="62"/>
      <c r="D840" s="62"/>
      <c r="E840" s="241" t="s">
        <v>12234</v>
      </c>
      <c r="F840" s="246"/>
      <c r="G840" s="246"/>
      <c r="H840" s="254"/>
      <c r="I840" s="254"/>
      <c r="J840" s="254"/>
      <c r="K840" s="363"/>
      <c r="L840" s="363"/>
      <c r="M840" s="247"/>
      <c r="N840" s="265" t="b">
        <f>NOT(ISERROR(ResultsTeams[[#This Row],[Goal-A]]+ResultsTeams[[#This Row],[Goal-B]]))</f>
        <v>1</v>
      </c>
      <c r="O840" s="265">
        <f>IF(ResultsTeams[[#This Row],[Type]]="G",SUM(O841:O844),IF(LEFT(ResultsTeams[[#This Row],[Type]],1)="P",IF(ResultsTeams[[#This Row],[Goal-A]]&gt;ResultsTeams[[#This Row],[Goal-B]],1,0),""))</f>
        <v>0</v>
      </c>
      <c r="P840" s="265">
        <f>IF(ResultsTeams[[#This Row],[Type]]="G",SUM(P841:P844),IF(LEFT(ResultsTeams[[#This Row],[Type]],1)="P",IF(ResultsTeams[[#This Row],[Goal-A]]&lt;ResultsTeams[[#This Row],[Goal-B]],1,0),""))</f>
        <v>0</v>
      </c>
      <c r="Q840" s="265">
        <f>IF(ResultsTeams[[#This Row],[Type]]="G",SUM(Q841:Q844),IF(LEFT(ResultsTeams[[#This Row],[Type]],1)="P",VALUE(ResultsTeams[[#This Row],[Score-A]]),""))</f>
        <v>0</v>
      </c>
      <c r="R840" s="265">
        <f>IF(ResultsTeams[[#This Row],[Type]]="G",SUM(R841:R844),IF(LEFT(ResultsTeams[[#This Row],[Type]],1)="P",VALUE(ResultsTeams[[#This Row],[Score-B]]),""))</f>
        <v>0</v>
      </c>
      <c r="S840" s="265" t="str">
        <f ca="1">IF(AND(ResultsTeams[[#This Row],[Category]]&lt;&gt;"",ResultsTeams[[#This Row],[Team A]]&lt;&gt;""),COUNTIF(INDIRECT("TeamsList[Club Name]"),ResultsTeams[[#This Row],[Team A]]),"")</f>
        <v/>
      </c>
      <c r="T840" s="265" t="str">
        <f ca="1">IF(AND(ResultsTeams[[#This Row],[Category]]&lt;&gt;"",ResultsTeams[[#This Row],[Team B]]&lt;&gt;""),COUNTIF(INDIRECT("TeamsList[Club Name]"),ResultsTeams[[#This Row],[Team B]]),"")</f>
        <v/>
      </c>
      <c r="U8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0" s="265" t="str">
        <f>IF(ResultsTeams[[#This Row],[Score_OK]],IF(ResultsTeams[[#This Row],[StageCpy]]="Groups",ResultsTeams[[#This Row],[Category]]&amp;"-"&amp;IF(ResultsTeams[[#This Row],[Team B]]="","",IF(ResultsTeams[[#This Row],[Match-A]]=ResultsTeams[[#This Row],[Match-B]],ResultsTeams[[#This Row],[Team A]],"")),""),"")</f>
        <v/>
      </c>
      <c r="W840" s="265" t="str">
        <f>IF(ResultsTeams[[#This Row],[Score_OK]],IF(ResultsTeams[[#This Row],[StageCpy]]="Groups",ResultsTeams[[#This Row],[Category]]&amp;"-"&amp;IF(ResultsTeams[[#This Row],[Team B]]="","",IF(ResultsTeams[[#This Row],[Match-A]]=ResultsTeams[[#This Row],[Match-B]],ResultsTeams[[#This Row],[Team B]],"")),""),"")</f>
        <v/>
      </c>
      <c r="X8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0" s="264" t="str">
        <f>IF(ResultsTeams[[#This Row],[Category]]="","",VLOOKUP(ResultsTeams[[#This Row],[Stage]],$R$1:$T$8,MATCH(ResultsTeams[[#This Row],[Category]],$S$1:$T$1,0)+1,FALSE))</f>
        <v/>
      </c>
      <c r="AC8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0" s="264">
        <f>IF(ResultsTeams[[#This Row],[Type]]="G",ResultsTeams[[#This Row],[Stage]],AD839)</f>
        <v>0</v>
      </c>
      <c r="AE840" s="395" t="e">
        <f>IF(ResultsTeams[[#This Row],[Type]]="G",INDEX(TeamsList[Club Name],MATCH(ResultsTeams[[#This Row],[Team A]],TeamsList[Team Name],0)),AE839)</f>
        <v>#N/A</v>
      </c>
      <c r="AF840" s="395" t="e">
        <f>IF(ResultsTeams[[#This Row],[Type]]="G",INDEX(TeamsList[Club Name],MATCH(ResultsTeams[[#This Row],[Team B]],TeamsList[Team Name],0)),AF839)</f>
        <v>#N/A</v>
      </c>
      <c r="AG840" s="265"/>
    </row>
    <row r="841" spans="1:33" x14ac:dyDescent="0.2">
      <c r="A841" s="62"/>
      <c r="B841" s="280"/>
      <c r="C841" s="62"/>
      <c r="D841" s="62"/>
      <c r="E841" s="241" t="s">
        <v>12237</v>
      </c>
      <c r="F841" s="246"/>
      <c r="G841" s="246"/>
      <c r="H841" s="254"/>
      <c r="I841" s="254"/>
      <c r="J841" s="254"/>
      <c r="K841" s="363"/>
      <c r="L841" s="363"/>
      <c r="M841" s="247"/>
      <c r="N841" s="265" t="b">
        <f>NOT(ISERROR(ResultsTeams[[#This Row],[Goal-A]]+ResultsTeams[[#This Row],[Goal-B]]))</f>
        <v>1</v>
      </c>
      <c r="O841" s="265">
        <f>IF(ResultsTeams[[#This Row],[Type]]="G",SUM(O842:O845),IF(LEFT(ResultsTeams[[#This Row],[Type]],1)="P",IF(ResultsTeams[[#This Row],[Goal-A]]&gt;ResultsTeams[[#This Row],[Goal-B]],1,0),""))</f>
        <v>0</v>
      </c>
      <c r="P841" s="265">
        <f>IF(ResultsTeams[[#This Row],[Type]]="G",SUM(P842:P845),IF(LEFT(ResultsTeams[[#This Row],[Type]],1)="P",IF(ResultsTeams[[#This Row],[Goal-A]]&lt;ResultsTeams[[#This Row],[Goal-B]],1,0),""))</f>
        <v>0</v>
      </c>
      <c r="Q841" s="265">
        <f>IF(ResultsTeams[[#This Row],[Type]]="G",SUM(Q842:Q845),IF(LEFT(ResultsTeams[[#This Row],[Type]],1)="P",VALUE(ResultsTeams[[#This Row],[Score-A]]),""))</f>
        <v>0</v>
      </c>
      <c r="R841" s="265">
        <f>IF(ResultsTeams[[#This Row],[Type]]="G",SUM(R842:R845),IF(LEFT(ResultsTeams[[#This Row],[Type]],1)="P",VALUE(ResultsTeams[[#This Row],[Score-B]]),""))</f>
        <v>0</v>
      </c>
      <c r="S841" s="265" t="str">
        <f ca="1">IF(AND(ResultsTeams[[#This Row],[Category]]&lt;&gt;"",ResultsTeams[[#This Row],[Team A]]&lt;&gt;""),COUNTIF(INDIRECT("TeamsList[Club Name]"),ResultsTeams[[#This Row],[Team A]]),"")</f>
        <v/>
      </c>
      <c r="T841" s="265" t="str">
        <f ca="1">IF(AND(ResultsTeams[[#This Row],[Category]]&lt;&gt;"",ResultsTeams[[#This Row],[Team B]]&lt;&gt;""),COUNTIF(INDIRECT("TeamsList[Club Name]"),ResultsTeams[[#This Row],[Team B]]),"")</f>
        <v/>
      </c>
      <c r="U8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1" s="265" t="str">
        <f>IF(ResultsTeams[[#This Row],[Score_OK]],IF(ResultsTeams[[#This Row],[StageCpy]]="Groups",ResultsTeams[[#This Row],[Category]]&amp;"-"&amp;IF(ResultsTeams[[#This Row],[Team B]]="","",IF(ResultsTeams[[#This Row],[Match-A]]=ResultsTeams[[#This Row],[Match-B]],ResultsTeams[[#This Row],[Team A]],"")),""),"")</f>
        <v/>
      </c>
      <c r="W841" s="265" t="str">
        <f>IF(ResultsTeams[[#This Row],[Score_OK]],IF(ResultsTeams[[#This Row],[StageCpy]]="Groups",ResultsTeams[[#This Row],[Category]]&amp;"-"&amp;IF(ResultsTeams[[#This Row],[Team B]]="","",IF(ResultsTeams[[#This Row],[Match-A]]=ResultsTeams[[#This Row],[Match-B]],ResultsTeams[[#This Row],[Team B]],"")),""),"")</f>
        <v/>
      </c>
      <c r="X8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1" s="264" t="str">
        <f>IF(ResultsTeams[[#This Row],[Category]]="","",VLOOKUP(ResultsTeams[[#This Row],[Stage]],$R$1:$T$8,MATCH(ResultsTeams[[#This Row],[Category]],$S$1:$T$1,0)+1,FALSE))</f>
        <v/>
      </c>
      <c r="AC8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1" s="264">
        <f>IF(ResultsTeams[[#This Row],[Type]]="G",ResultsTeams[[#This Row],[Stage]],AD840)</f>
        <v>0</v>
      </c>
      <c r="AE841" s="395" t="e">
        <f>IF(ResultsTeams[[#This Row],[Type]]="G",INDEX(TeamsList[Club Name],MATCH(ResultsTeams[[#This Row],[Team A]],TeamsList[Team Name],0)),AE840)</f>
        <v>#N/A</v>
      </c>
      <c r="AF841" s="395" t="e">
        <f>IF(ResultsTeams[[#This Row],[Type]]="G",INDEX(TeamsList[Club Name],MATCH(ResultsTeams[[#This Row],[Team B]],TeamsList[Team Name],0)),AF840)</f>
        <v>#N/A</v>
      </c>
      <c r="AG841" s="265"/>
    </row>
    <row r="842" spans="1:33" x14ac:dyDescent="0.2">
      <c r="A842" s="62"/>
      <c r="B842" s="280"/>
      <c r="C842" s="62"/>
      <c r="D842" s="62"/>
      <c r="E842" s="241" t="s">
        <v>12240</v>
      </c>
      <c r="F842" s="246"/>
      <c r="G842" s="246"/>
      <c r="H842" s="254"/>
      <c r="I842" s="254"/>
      <c r="J842" s="254"/>
      <c r="K842" s="363"/>
      <c r="L842" s="363"/>
      <c r="M842" s="247"/>
      <c r="N842" s="265" t="b">
        <f>NOT(ISERROR(ResultsTeams[[#This Row],[Goal-A]]+ResultsTeams[[#This Row],[Goal-B]]))</f>
        <v>1</v>
      </c>
      <c r="O842" s="265">
        <f>IF(ResultsTeams[[#This Row],[Type]]="G",SUM(O843:O846),IF(LEFT(ResultsTeams[[#This Row],[Type]],1)="P",IF(ResultsTeams[[#This Row],[Goal-A]]&gt;ResultsTeams[[#This Row],[Goal-B]],1,0),""))</f>
        <v>0</v>
      </c>
      <c r="P842" s="265">
        <f>IF(ResultsTeams[[#This Row],[Type]]="G",SUM(P843:P846),IF(LEFT(ResultsTeams[[#This Row],[Type]],1)="P",IF(ResultsTeams[[#This Row],[Goal-A]]&lt;ResultsTeams[[#This Row],[Goal-B]],1,0),""))</f>
        <v>0</v>
      </c>
      <c r="Q842" s="265">
        <f>IF(ResultsTeams[[#This Row],[Type]]="G",SUM(Q843:Q846),IF(LEFT(ResultsTeams[[#This Row],[Type]],1)="P",VALUE(ResultsTeams[[#This Row],[Score-A]]),""))</f>
        <v>0</v>
      </c>
      <c r="R842" s="265">
        <f>IF(ResultsTeams[[#This Row],[Type]]="G",SUM(R843:R846),IF(LEFT(ResultsTeams[[#This Row],[Type]],1)="P",VALUE(ResultsTeams[[#This Row],[Score-B]]),""))</f>
        <v>0</v>
      </c>
      <c r="S842" s="265" t="str">
        <f ca="1">IF(AND(ResultsTeams[[#This Row],[Category]]&lt;&gt;"",ResultsTeams[[#This Row],[Team A]]&lt;&gt;""),COUNTIF(INDIRECT("TeamsList[Club Name]"),ResultsTeams[[#This Row],[Team A]]),"")</f>
        <v/>
      </c>
      <c r="T842" s="265" t="str">
        <f ca="1">IF(AND(ResultsTeams[[#This Row],[Category]]&lt;&gt;"",ResultsTeams[[#This Row],[Team B]]&lt;&gt;""),COUNTIF(INDIRECT("TeamsList[Club Name]"),ResultsTeams[[#This Row],[Team B]]),"")</f>
        <v/>
      </c>
      <c r="U8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2" s="265" t="str">
        <f>IF(ResultsTeams[[#This Row],[Score_OK]],IF(ResultsTeams[[#This Row],[StageCpy]]="Groups",ResultsTeams[[#This Row],[Category]]&amp;"-"&amp;IF(ResultsTeams[[#This Row],[Team B]]="","",IF(ResultsTeams[[#This Row],[Match-A]]=ResultsTeams[[#This Row],[Match-B]],ResultsTeams[[#This Row],[Team A]],"")),""),"")</f>
        <v/>
      </c>
      <c r="W842" s="265" t="str">
        <f>IF(ResultsTeams[[#This Row],[Score_OK]],IF(ResultsTeams[[#This Row],[StageCpy]]="Groups",ResultsTeams[[#This Row],[Category]]&amp;"-"&amp;IF(ResultsTeams[[#This Row],[Team B]]="","",IF(ResultsTeams[[#This Row],[Match-A]]=ResultsTeams[[#This Row],[Match-B]],ResultsTeams[[#This Row],[Team B]],"")),""),"")</f>
        <v/>
      </c>
      <c r="X8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2" s="264" t="str">
        <f>IF(ResultsTeams[[#This Row],[Category]]="","",VLOOKUP(ResultsTeams[[#This Row],[Stage]],$R$1:$T$8,MATCH(ResultsTeams[[#This Row],[Category]],$S$1:$T$1,0)+1,FALSE))</f>
        <v/>
      </c>
      <c r="AC8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2" s="264">
        <f>IF(ResultsTeams[[#This Row],[Type]]="G",ResultsTeams[[#This Row],[Stage]],AD841)</f>
        <v>0</v>
      </c>
      <c r="AE842" s="395" t="e">
        <f>IF(ResultsTeams[[#This Row],[Type]]="G",INDEX(TeamsList[Club Name],MATCH(ResultsTeams[[#This Row],[Team A]],TeamsList[Team Name],0)),AE841)</f>
        <v>#N/A</v>
      </c>
      <c r="AF842" s="395" t="e">
        <f>IF(ResultsTeams[[#This Row],[Type]]="G",INDEX(TeamsList[Club Name],MATCH(ResultsTeams[[#This Row],[Team B]],TeamsList[Team Name],0)),AF841)</f>
        <v>#N/A</v>
      </c>
      <c r="AG842" s="265"/>
    </row>
    <row r="843" spans="1:33" x14ac:dyDescent="0.2">
      <c r="A843" s="62"/>
      <c r="B843" s="62"/>
      <c r="C843" s="62"/>
      <c r="D843" s="62"/>
      <c r="E843" s="241" t="s">
        <v>12243</v>
      </c>
      <c r="F843" s="247"/>
      <c r="G843" s="247"/>
      <c r="H843" s="254"/>
      <c r="I843" s="254"/>
      <c r="J843" s="260"/>
      <c r="K843" s="364"/>
      <c r="L843" s="364"/>
      <c r="M843" s="247"/>
      <c r="N843" s="265" t="b">
        <f>NOT(ISERROR(ResultsTeams[[#This Row],[Goal-A]]+ResultsTeams[[#This Row],[Goal-B]]))</f>
        <v>0</v>
      </c>
      <c r="O843" s="265" t="str">
        <f>IF(ResultsTeams[[#This Row],[Type]]="G",SUM(O844:O847),IF(LEFT(ResultsTeams[[#This Row],[Type]],1)="P",IF(ResultsTeams[[#This Row],[Goal-A]]&gt;ResultsTeams[[#This Row],[Goal-B]],1,0),""))</f>
        <v/>
      </c>
      <c r="P843" s="265" t="str">
        <f>IF(ResultsTeams[[#This Row],[Type]]="G",SUM(P844:P847),IF(LEFT(ResultsTeams[[#This Row],[Type]],1)="P",IF(ResultsTeams[[#This Row],[Goal-A]]&lt;ResultsTeams[[#This Row],[Goal-B]],1,0),""))</f>
        <v/>
      </c>
      <c r="Q843" s="265" t="str">
        <f>IF(ResultsTeams[[#This Row],[Type]]="G",SUM(Q844:Q847),IF(LEFT(ResultsTeams[[#This Row],[Type]],1)="P",VALUE(ResultsTeams[[#This Row],[Score-A]]),""))</f>
        <v/>
      </c>
      <c r="R843" s="265" t="str">
        <f>IF(ResultsTeams[[#This Row],[Type]]="G",SUM(R844:R847),IF(LEFT(ResultsTeams[[#This Row],[Type]],1)="P",VALUE(ResultsTeams[[#This Row],[Score-B]]),""))</f>
        <v/>
      </c>
      <c r="S843" s="265" t="str">
        <f ca="1">IF(AND(ResultsTeams[[#This Row],[Category]]&lt;&gt;"",ResultsTeams[[#This Row],[Team A]]&lt;&gt;""),COUNTIF(INDIRECT("TeamsList[Club Name]"),ResultsTeams[[#This Row],[Team A]]),"")</f>
        <v/>
      </c>
      <c r="T843" s="265" t="str">
        <f ca="1">IF(AND(ResultsTeams[[#This Row],[Category]]&lt;&gt;"",ResultsTeams[[#This Row],[Team B]]&lt;&gt;""),COUNTIF(INDIRECT("TeamsList[Club Name]"),ResultsTeams[[#This Row],[Team B]]),"")</f>
        <v/>
      </c>
      <c r="U8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3" s="265" t="str">
        <f>IF(ResultsTeams[[#This Row],[Score_OK]],IF(ResultsTeams[[#This Row],[StageCpy]]="Groups",ResultsTeams[[#This Row],[Category]]&amp;"-"&amp;IF(ResultsTeams[[#This Row],[Team B]]="","",IF(ResultsTeams[[#This Row],[Match-A]]=ResultsTeams[[#This Row],[Match-B]],ResultsTeams[[#This Row],[Team A]],"")),""),"")</f>
        <v/>
      </c>
      <c r="W843" s="265" t="str">
        <f>IF(ResultsTeams[[#This Row],[Score_OK]],IF(ResultsTeams[[#This Row],[StageCpy]]="Groups",ResultsTeams[[#This Row],[Category]]&amp;"-"&amp;IF(ResultsTeams[[#This Row],[Team B]]="","",IF(ResultsTeams[[#This Row],[Match-A]]=ResultsTeams[[#This Row],[Match-B]],ResultsTeams[[#This Row],[Team B]],"")),""),"")</f>
        <v/>
      </c>
      <c r="X8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3" s="264" t="str">
        <f>IF(ResultsTeams[[#This Row],[Category]]="","",VLOOKUP(ResultsTeams[[#This Row],[Stage]],$R$1:$T$8,MATCH(ResultsTeams[[#This Row],[Category]],$S$1:$T$1,0)+1,FALSE))</f>
        <v/>
      </c>
      <c r="AC8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3" s="264">
        <f>IF(ResultsTeams[[#This Row],[Type]]="G",ResultsTeams[[#This Row],[Stage]],AD842)</f>
        <v>0</v>
      </c>
      <c r="AE843" s="395" t="e">
        <f>IF(ResultsTeams[[#This Row],[Type]]="G",INDEX(TeamsList[Club Name],MATCH(ResultsTeams[[#This Row],[Team A]],TeamsList[Team Name],0)),AE842)</f>
        <v>#N/A</v>
      </c>
      <c r="AF843" s="395" t="e">
        <f>IF(ResultsTeams[[#This Row],[Type]]="G",INDEX(TeamsList[Club Name],MATCH(ResultsTeams[[#This Row],[Team B]],TeamsList[Team Name],0)),AF842)</f>
        <v>#N/A</v>
      </c>
      <c r="AG843" s="265"/>
    </row>
    <row r="844" spans="1:33" ht="12" thickBot="1" x14ac:dyDescent="0.25">
      <c r="A844" s="83"/>
      <c r="B844" s="83"/>
      <c r="C844" s="83"/>
      <c r="D844" s="83"/>
      <c r="E844" s="268" t="s">
        <v>12244</v>
      </c>
      <c r="F844" s="262"/>
      <c r="G844" s="262"/>
      <c r="H844" s="324"/>
      <c r="I844" s="324"/>
      <c r="J844" s="263"/>
      <c r="K844" s="365"/>
      <c r="L844" s="365"/>
      <c r="M844" s="262"/>
      <c r="N844" s="265" t="b">
        <f>NOT(ISERROR(ResultsTeams[[#This Row],[Goal-A]]+ResultsTeams[[#This Row],[Goal-B]]))</f>
        <v>0</v>
      </c>
      <c r="O844" s="265" t="str">
        <f>IF(ResultsTeams[[#This Row],[Type]]="G",SUM(O845:O848),IF(LEFT(ResultsTeams[[#This Row],[Type]],1)="P",IF(ResultsTeams[[#This Row],[Goal-A]]&gt;ResultsTeams[[#This Row],[Goal-B]],1,0),""))</f>
        <v/>
      </c>
      <c r="P844" s="265" t="str">
        <f>IF(ResultsTeams[[#This Row],[Type]]="G",SUM(P845:P848),IF(LEFT(ResultsTeams[[#This Row],[Type]],1)="P",IF(ResultsTeams[[#This Row],[Goal-A]]&lt;ResultsTeams[[#This Row],[Goal-B]],1,0),""))</f>
        <v/>
      </c>
      <c r="Q844" s="265" t="str">
        <f>IF(ResultsTeams[[#This Row],[Type]]="G",SUM(Q845:Q848),IF(LEFT(ResultsTeams[[#This Row],[Type]],1)="P",VALUE(ResultsTeams[[#This Row],[Score-A]]),""))</f>
        <v/>
      </c>
      <c r="R844" s="265" t="str">
        <f>IF(ResultsTeams[[#This Row],[Type]]="G",SUM(R845:R848),IF(LEFT(ResultsTeams[[#This Row],[Type]],1)="P",VALUE(ResultsTeams[[#This Row],[Score-B]]),""))</f>
        <v/>
      </c>
      <c r="S844" s="265" t="str">
        <f ca="1">IF(AND(ResultsTeams[[#This Row],[Category]]&lt;&gt;"",ResultsTeams[[#This Row],[Team A]]&lt;&gt;""),COUNTIF(INDIRECT("TeamsList[Club Name]"),ResultsTeams[[#This Row],[Team A]]),"")</f>
        <v/>
      </c>
      <c r="T844" s="265" t="str">
        <f ca="1">IF(AND(ResultsTeams[[#This Row],[Category]]&lt;&gt;"",ResultsTeams[[#This Row],[Team B]]&lt;&gt;""),COUNTIF(INDIRECT("TeamsList[Club Name]"),ResultsTeams[[#This Row],[Team B]]),"")</f>
        <v/>
      </c>
      <c r="U8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4" s="265" t="str">
        <f>IF(ResultsTeams[[#This Row],[Score_OK]],IF(ResultsTeams[[#This Row],[StageCpy]]="Groups",ResultsTeams[[#This Row],[Category]]&amp;"-"&amp;IF(ResultsTeams[[#This Row],[Team B]]="","",IF(ResultsTeams[[#This Row],[Match-A]]=ResultsTeams[[#This Row],[Match-B]],ResultsTeams[[#This Row],[Team A]],"")),""),"")</f>
        <v/>
      </c>
      <c r="W844" s="265" t="str">
        <f>IF(ResultsTeams[[#This Row],[Score_OK]],IF(ResultsTeams[[#This Row],[StageCpy]]="Groups",ResultsTeams[[#This Row],[Category]]&amp;"-"&amp;IF(ResultsTeams[[#This Row],[Team B]]="","",IF(ResultsTeams[[#This Row],[Match-A]]=ResultsTeams[[#This Row],[Match-B]],ResultsTeams[[#This Row],[Team B]],"")),""),"")</f>
        <v/>
      </c>
      <c r="X8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4" s="264" t="str">
        <f>IF(ResultsTeams[[#This Row],[Category]]="","",VLOOKUP(ResultsTeams[[#This Row],[Stage]],$R$1:$T$8,MATCH(ResultsTeams[[#This Row],[Category]],$S$1:$T$1,0)+1,FALSE))</f>
        <v/>
      </c>
      <c r="AC8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4" s="264">
        <f>IF(ResultsTeams[[#This Row],[Type]]="G",ResultsTeams[[#This Row],[Stage]],AD843)</f>
        <v>0</v>
      </c>
      <c r="AE844" s="395" t="e">
        <f>IF(ResultsTeams[[#This Row],[Type]]="G",INDEX(TeamsList[Club Name],MATCH(ResultsTeams[[#This Row],[Team A]],TeamsList[Team Name],0)),AE843)</f>
        <v>#N/A</v>
      </c>
      <c r="AF844" s="395" t="e">
        <f>IF(ResultsTeams[[#This Row],[Type]]="G",INDEX(TeamsList[Club Name],MATCH(ResultsTeams[[#This Row],[Team B]],TeamsList[Team Name],0)),AF843)</f>
        <v>#N/A</v>
      </c>
      <c r="AG844" s="265"/>
    </row>
    <row r="845" spans="1:33" ht="12" thickBot="1" x14ac:dyDescent="0.25">
      <c r="A845" s="261"/>
      <c r="B845" s="270"/>
      <c r="C845" s="270"/>
      <c r="D845" s="270"/>
      <c r="E845" s="272" t="s">
        <v>12228</v>
      </c>
      <c r="F845" s="273"/>
      <c r="G845" s="273"/>
      <c r="H845" s="275"/>
      <c r="I845" s="275"/>
      <c r="J845" s="275"/>
      <c r="K845" s="366"/>
      <c r="L845" s="366"/>
      <c r="M845" s="274"/>
      <c r="N845" s="265" t="b">
        <f>NOT(ISERROR(ResultsTeams[[#This Row],[Goal-A]]+ResultsTeams[[#This Row],[Goal-B]]))</f>
        <v>1</v>
      </c>
      <c r="O845" s="265">
        <f>IF(ResultsTeams[[#This Row],[Type]]="G",SUM(O846:O849),IF(LEFT(ResultsTeams[[#This Row],[Type]],1)="P",IF(ResultsTeams[[#This Row],[Goal-A]]&gt;ResultsTeams[[#This Row],[Goal-B]],1,0),""))</f>
        <v>0</v>
      </c>
      <c r="P845" s="265">
        <f>IF(ResultsTeams[[#This Row],[Type]]="G",SUM(P846:P849),IF(LEFT(ResultsTeams[[#This Row],[Type]],1)="P",IF(ResultsTeams[[#This Row],[Goal-A]]&lt;ResultsTeams[[#This Row],[Goal-B]],1,0),""))</f>
        <v>0</v>
      </c>
      <c r="Q845" s="265">
        <f>IF(ResultsTeams[[#This Row],[Type]]="G",SUM(Q846:Q849),IF(LEFT(ResultsTeams[[#This Row],[Type]],1)="P",VALUE(ResultsTeams[[#This Row],[Score-A]]),""))</f>
        <v>0</v>
      </c>
      <c r="R845" s="265">
        <f>IF(ResultsTeams[[#This Row],[Type]]="G",SUM(R846:R849),IF(LEFT(ResultsTeams[[#This Row],[Type]],1)="P",VALUE(ResultsTeams[[#This Row],[Score-B]]),""))</f>
        <v>0</v>
      </c>
      <c r="S845" s="265" t="str">
        <f ca="1">IF(AND(ResultsTeams[[#This Row],[Category]]&lt;&gt;"",ResultsTeams[[#This Row],[Team A]]&lt;&gt;""),COUNTIF(INDIRECT("TeamsList[Club Name]"),ResultsTeams[[#This Row],[Team A]]),"")</f>
        <v/>
      </c>
      <c r="T845" s="265" t="str">
        <f ca="1">IF(AND(ResultsTeams[[#This Row],[Category]]&lt;&gt;"",ResultsTeams[[#This Row],[Team B]]&lt;&gt;""),COUNTIF(INDIRECT("TeamsList[Club Name]"),ResultsTeams[[#This Row],[Team B]]),"")</f>
        <v/>
      </c>
      <c r="U8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5" s="265" t="str">
        <f>IF(ResultsTeams[[#This Row],[Score_OK]],IF(ResultsTeams[[#This Row],[StageCpy]]="Groups",ResultsTeams[[#This Row],[Category]]&amp;"-"&amp;IF(ResultsTeams[[#This Row],[Team B]]="","",IF(ResultsTeams[[#This Row],[Match-A]]=ResultsTeams[[#This Row],[Match-B]],ResultsTeams[[#This Row],[Team A]],"")),""),"")</f>
        <v/>
      </c>
      <c r="W845" s="265" t="str">
        <f>IF(ResultsTeams[[#This Row],[Score_OK]],IF(ResultsTeams[[#This Row],[StageCpy]]="Groups",ResultsTeams[[#This Row],[Category]]&amp;"-"&amp;IF(ResultsTeams[[#This Row],[Team B]]="","",IF(ResultsTeams[[#This Row],[Match-A]]=ResultsTeams[[#This Row],[Match-B]],ResultsTeams[[#This Row],[Team B]],"")),""),"")</f>
        <v/>
      </c>
      <c r="X8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5" s="264" t="str">
        <f>IF(ResultsTeams[[#This Row],[Category]]="","",VLOOKUP(ResultsTeams[[#This Row],[Stage]],$R$1:$T$8,MATCH(ResultsTeams[[#This Row],[Category]],$S$1:$T$1,0)+1,FALSE))</f>
        <v/>
      </c>
      <c r="AC8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5" s="264">
        <f>IF(ResultsTeams[[#This Row],[Type]]="G",ResultsTeams[[#This Row],[Stage]],AD844)</f>
        <v>0</v>
      </c>
      <c r="AE845" s="395" t="e">
        <f>IF(ResultsTeams[[#This Row],[Type]]="G",INDEX(TeamsList[Club Name],MATCH(ResultsTeams[[#This Row],[Team A]],TeamsList[Team Name],0)),AE844)</f>
        <v>#N/A</v>
      </c>
      <c r="AF845" s="395" t="e">
        <f>IF(ResultsTeams[[#This Row],[Type]]="G",INDEX(TeamsList[Club Name],MATCH(ResultsTeams[[#This Row],[Team B]],TeamsList[Team Name],0)),AF844)</f>
        <v>#N/A</v>
      </c>
      <c r="AG845" s="265"/>
    </row>
    <row r="846" spans="1:33" x14ac:dyDescent="0.2">
      <c r="A846" s="60"/>
      <c r="B846" s="280"/>
      <c r="C846" s="60"/>
      <c r="D846" s="60"/>
      <c r="E846" s="240" t="s">
        <v>12231</v>
      </c>
      <c r="F846" s="244"/>
      <c r="G846" s="244"/>
      <c r="H846" s="253"/>
      <c r="I846" s="253"/>
      <c r="J846" s="253"/>
      <c r="K846" s="362"/>
      <c r="L846" s="362"/>
      <c r="M846" s="245"/>
      <c r="N846" s="265" t="b">
        <f>NOT(ISERROR(ResultsTeams[[#This Row],[Goal-A]]+ResultsTeams[[#This Row],[Goal-B]]))</f>
        <v>1</v>
      </c>
      <c r="O846" s="265">
        <f>IF(ResultsTeams[[#This Row],[Type]]="G",SUM(O847:O850),IF(LEFT(ResultsTeams[[#This Row],[Type]],1)="P",IF(ResultsTeams[[#This Row],[Goal-A]]&gt;ResultsTeams[[#This Row],[Goal-B]],1,0),""))</f>
        <v>0</v>
      </c>
      <c r="P846" s="265">
        <f>IF(ResultsTeams[[#This Row],[Type]]="G",SUM(P847:P850),IF(LEFT(ResultsTeams[[#This Row],[Type]],1)="P",IF(ResultsTeams[[#This Row],[Goal-A]]&lt;ResultsTeams[[#This Row],[Goal-B]],1,0),""))</f>
        <v>0</v>
      </c>
      <c r="Q846" s="265">
        <f>IF(ResultsTeams[[#This Row],[Type]]="G",SUM(Q847:Q850),IF(LEFT(ResultsTeams[[#This Row],[Type]],1)="P",VALUE(ResultsTeams[[#This Row],[Score-A]]),""))</f>
        <v>0</v>
      </c>
      <c r="R846" s="265">
        <f>IF(ResultsTeams[[#This Row],[Type]]="G",SUM(R847:R850),IF(LEFT(ResultsTeams[[#This Row],[Type]],1)="P",VALUE(ResultsTeams[[#This Row],[Score-B]]),""))</f>
        <v>0</v>
      </c>
      <c r="S846" s="265" t="str">
        <f ca="1">IF(AND(ResultsTeams[[#This Row],[Category]]&lt;&gt;"",ResultsTeams[[#This Row],[Team A]]&lt;&gt;""),COUNTIF(INDIRECT("TeamsList[Club Name]"),ResultsTeams[[#This Row],[Team A]]),"")</f>
        <v/>
      </c>
      <c r="T846" s="265" t="str">
        <f ca="1">IF(AND(ResultsTeams[[#This Row],[Category]]&lt;&gt;"",ResultsTeams[[#This Row],[Team B]]&lt;&gt;""),COUNTIF(INDIRECT("TeamsList[Club Name]"),ResultsTeams[[#This Row],[Team B]]),"")</f>
        <v/>
      </c>
      <c r="U8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6" s="265" t="str">
        <f>IF(ResultsTeams[[#This Row],[Score_OK]],IF(ResultsTeams[[#This Row],[StageCpy]]="Groups",ResultsTeams[[#This Row],[Category]]&amp;"-"&amp;IF(ResultsTeams[[#This Row],[Team B]]="","",IF(ResultsTeams[[#This Row],[Match-A]]=ResultsTeams[[#This Row],[Match-B]],ResultsTeams[[#This Row],[Team A]],"")),""),"")</f>
        <v/>
      </c>
      <c r="W846" s="265" t="str">
        <f>IF(ResultsTeams[[#This Row],[Score_OK]],IF(ResultsTeams[[#This Row],[StageCpy]]="Groups",ResultsTeams[[#This Row],[Category]]&amp;"-"&amp;IF(ResultsTeams[[#This Row],[Team B]]="","",IF(ResultsTeams[[#This Row],[Match-A]]=ResultsTeams[[#This Row],[Match-B]],ResultsTeams[[#This Row],[Team B]],"")),""),"")</f>
        <v/>
      </c>
      <c r="X8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6" s="264" t="str">
        <f>IF(ResultsTeams[[#This Row],[Category]]="","",VLOOKUP(ResultsTeams[[#This Row],[Stage]],$R$1:$T$8,MATCH(ResultsTeams[[#This Row],[Category]],$S$1:$T$1,0)+1,FALSE))</f>
        <v/>
      </c>
      <c r="AC8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6" s="264">
        <f>IF(ResultsTeams[[#This Row],[Type]]="G",ResultsTeams[[#This Row],[Stage]],AD845)</f>
        <v>0</v>
      </c>
      <c r="AE846" s="395" t="e">
        <f>IF(ResultsTeams[[#This Row],[Type]]="G",INDEX(TeamsList[Club Name],MATCH(ResultsTeams[[#This Row],[Team A]],TeamsList[Team Name],0)),AE845)</f>
        <v>#N/A</v>
      </c>
      <c r="AF846" s="395" t="e">
        <f>IF(ResultsTeams[[#This Row],[Type]]="G",INDEX(TeamsList[Club Name],MATCH(ResultsTeams[[#This Row],[Team B]],TeamsList[Team Name],0)),AF845)</f>
        <v>#N/A</v>
      </c>
      <c r="AG846" s="265"/>
    </row>
    <row r="847" spans="1:33" x14ac:dyDescent="0.2">
      <c r="A847" s="62"/>
      <c r="B847" s="280"/>
      <c r="C847" s="62"/>
      <c r="D847" s="62"/>
      <c r="E847" s="241" t="s">
        <v>12234</v>
      </c>
      <c r="F847" s="246"/>
      <c r="G847" s="246"/>
      <c r="H847" s="254"/>
      <c r="I847" s="254"/>
      <c r="J847" s="254"/>
      <c r="K847" s="363"/>
      <c r="L847" s="363"/>
      <c r="M847" s="247"/>
      <c r="N847" s="265" t="b">
        <f>NOT(ISERROR(ResultsTeams[[#This Row],[Goal-A]]+ResultsTeams[[#This Row],[Goal-B]]))</f>
        <v>1</v>
      </c>
      <c r="O847" s="265">
        <f>IF(ResultsTeams[[#This Row],[Type]]="G",SUM(O848:O851),IF(LEFT(ResultsTeams[[#This Row],[Type]],1)="P",IF(ResultsTeams[[#This Row],[Goal-A]]&gt;ResultsTeams[[#This Row],[Goal-B]],1,0),""))</f>
        <v>0</v>
      </c>
      <c r="P847" s="265">
        <f>IF(ResultsTeams[[#This Row],[Type]]="G",SUM(P848:P851),IF(LEFT(ResultsTeams[[#This Row],[Type]],1)="P",IF(ResultsTeams[[#This Row],[Goal-A]]&lt;ResultsTeams[[#This Row],[Goal-B]],1,0),""))</f>
        <v>0</v>
      </c>
      <c r="Q847" s="265">
        <f>IF(ResultsTeams[[#This Row],[Type]]="G",SUM(Q848:Q851),IF(LEFT(ResultsTeams[[#This Row],[Type]],1)="P",VALUE(ResultsTeams[[#This Row],[Score-A]]),""))</f>
        <v>0</v>
      </c>
      <c r="R847" s="265">
        <f>IF(ResultsTeams[[#This Row],[Type]]="G",SUM(R848:R851),IF(LEFT(ResultsTeams[[#This Row],[Type]],1)="P",VALUE(ResultsTeams[[#This Row],[Score-B]]),""))</f>
        <v>0</v>
      </c>
      <c r="S847" s="265" t="str">
        <f ca="1">IF(AND(ResultsTeams[[#This Row],[Category]]&lt;&gt;"",ResultsTeams[[#This Row],[Team A]]&lt;&gt;""),COUNTIF(INDIRECT("TeamsList[Club Name]"),ResultsTeams[[#This Row],[Team A]]),"")</f>
        <v/>
      </c>
      <c r="T847" s="265" t="str">
        <f ca="1">IF(AND(ResultsTeams[[#This Row],[Category]]&lt;&gt;"",ResultsTeams[[#This Row],[Team B]]&lt;&gt;""),COUNTIF(INDIRECT("TeamsList[Club Name]"),ResultsTeams[[#This Row],[Team B]]),"")</f>
        <v/>
      </c>
      <c r="U8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7" s="265" t="str">
        <f>IF(ResultsTeams[[#This Row],[Score_OK]],IF(ResultsTeams[[#This Row],[StageCpy]]="Groups",ResultsTeams[[#This Row],[Category]]&amp;"-"&amp;IF(ResultsTeams[[#This Row],[Team B]]="","",IF(ResultsTeams[[#This Row],[Match-A]]=ResultsTeams[[#This Row],[Match-B]],ResultsTeams[[#This Row],[Team A]],"")),""),"")</f>
        <v/>
      </c>
      <c r="W847" s="265" t="str">
        <f>IF(ResultsTeams[[#This Row],[Score_OK]],IF(ResultsTeams[[#This Row],[StageCpy]]="Groups",ResultsTeams[[#This Row],[Category]]&amp;"-"&amp;IF(ResultsTeams[[#This Row],[Team B]]="","",IF(ResultsTeams[[#This Row],[Match-A]]=ResultsTeams[[#This Row],[Match-B]],ResultsTeams[[#This Row],[Team B]],"")),""),"")</f>
        <v/>
      </c>
      <c r="X8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7" s="264" t="str">
        <f>IF(ResultsTeams[[#This Row],[Category]]="","",VLOOKUP(ResultsTeams[[#This Row],[Stage]],$R$1:$T$8,MATCH(ResultsTeams[[#This Row],[Category]],$S$1:$T$1,0)+1,FALSE))</f>
        <v/>
      </c>
      <c r="AC8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7" s="264">
        <f>IF(ResultsTeams[[#This Row],[Type]]="G",ResultsTeams[[#This Row],[Stage]],AD846)</f>
        <v>0</v>
      </c>
      <c r="AE847" s="395" t="e">
        <f>IF(ResultsTeams[[#This Row],[Type]]="G",INDEX(TeamsList[Club Name],MATCH(ResultsTeams[[#This Row],[Team A]],TeamsList[Team Name],0)),AE846)</f>
        <v>#N/A</v>
      </c>
      <c r="AF847" s="395" t="e">
        <f>IF(ResultsTeams[[#This Row],[Type]]="G",INDEX(TeamsList[Club Name],MATCH(ResultsTeams[[#This Row],[Team B]],TeamsList[Team Name],0)),AF846)</f>
        <v>#N/A</v>
      </c>
      <c r="AG847" s="265"/>
    </row>
    <row r="848" spans="1:33" x14ac:dyDescent="0.2">
      <c r="A848" s="62"/>
      <c r="B848" s="280"/>
      <c r="C848" s="62"/>
      <c r="D848" s="62"/>
      <c r="E848" s="241" t="s">
        <v>12237</v>
      </c>
      <c r="F848" s="246"/>
      <c r="G848" s="246"/>
      <c r="H848" s="254"/>
      <c r="I848" s="254"/>
      <c r="J848" s="254"/>
      <c r="K848" s="363"/>
      <c r="L848" s="363"/>
      <c r="M848" s="247"/>
      <c r="N848" s="265" t="b">
        <f>NOT(ISERROR(ResultsTeams[[#This Row],[Goal-A]]+ResultsTeams[[#This Row],[Goal-B]]))</f>
        <v>1</v>
      </c>
      <c r="O848" s="265">
        <f>IF(ResultsTeams[[#This Row],[Type]]="G",SUM(O849:O852),IF(LEFT(ResultsTeams[[#This Row],[Type]],1)="P",IF(ResultsTeams[[#This Row],[Goal-A]]&gt;ResultsTeams[[#This Row],[Goal-B]],1,0),""))</f>
        <v>0</v>
      </c>
      <c r="P848" s="265">
        <f>IF(ResultsTeams[[#This Row],[Type]]="G",SUM(P849:P852),IF(LEFT(ResultsTeams[[#This Row],[Type]],1)="P",IF(ResultsTeams[[#This Row],[Goal-A]]&lt;ResultsTeams[[#This Row],[Goal-B]],1,0),""))</f>
        <v>0</v>
      </c>
      <c r="Q848" s="265">
        <f>IF(ResultsTeams[[#This Row],[Type]]="G",SUM(Q849:Q852),IF(LEFT(ResultsTeams[[#This Row],[Type]],1)="P",VALUE(ResultsTeams[[#This Row],[Score-A]]),""))</f>
        <v>0</v>
      </c>
      <c r="R848" s="265">
        <f>IF(ResultsTeams[[#This Row],[Type]]="G",SUM(R849:R852),IF(LEFT(ResultsTeams[[#This Row],[Type]],1)="P",VALUE(ResultsTeams[[#This Row],[Score-B]]),""))</f>
        <v>0</v>
      </c>
      <c r="S848" s="265" t="str">
        <f ca="1">IF(AND(ResultsTeams[[#This Row],[Category]]&lt;&gt;"",ResultsTeams[[#This Row],[Team A]]&lt;&gt;""),COUNTIF(INDIRECT("TeamsList[Club Name]"),ResultsTeams[[#This Row],[Team A]]),"")</f>
        <v/>
      </c>
      <c r="T848" s="265" t="str">
        <f ca="1">IF(AND(ResultsTeams[[#This Row],[Category]]&lt;&gt;"",ResultsTeams[[#This Row],[Team B]]&lt;&gt;""),COUNTIF(INDIRECT("TeamsList[Club Name]"),ResultsTeams[[#This Row],[Team B]]),"")</f>
        <v/>
      </c>
      <c r="U8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8" s="265" t="str">
        <f>IF(ResultsTeams[[#This Row],[Score_OK]],IF(ResultsTeams[[#This Row],[StageCpy]]="Groups",ResultsTeams[[#This Row],[Category]]&amp;"-"&amp;IF(ResultsTeams[[#This Row],[Team B]]="","",IF(ResultsTeams[[#This Row],[Match-A]]=ResultsTeams[[#This Row],[Match-B]],ResultsTeams[[#This Row],[Team A]],"")),""),"")</f>
        <v/>
      </c>
      <c r="W848" s="265" t="str">
        <f>IF(ResultsTeams[[#This Row],[Score_OK]],IF(ResultsTeams[[#This Row],[StageCpy]]="Groups",ResultsTeams[[#This Row],[Category]]&amp;"-"&amp;IF(ResultsTeams[[#This Row],[Team B]]="","",IF(ResultsTeams[[#This Row],[Match-A]]=ResultsTeams[[#This Row],[Match-B]],ResultsTeams[[#This Row],[Team B]],"")),""),"")</f>
        <v/>
      </c>
      <c r="X8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8" s="264" t="str">
        <f>IF(ResultsTeams[[#This Row],[Category]]="","",VLOOKUP(ResultsTeams[[#This Row],[Stage]],$R$1:$T$8,MATCH(ResultsTeams[[#This Row],[Category]],$S$1:$T$1,0)+1,FALSE))</f>
        <v/>
      </c>
      <c r="AC8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8" s="264">
        <f>IF(ResultsTeams[[#This Row],[Type]]="G",ResultsTeams[[#This Row],[Stage]],AD847)</f>
        <v>0</v>
      </c>
      <c r="AE848" s="395" t="e">
        <f>IF(ResultsTeams[[#This Row],[Type]]="G",INDEX(TeamsList[Club Name],MATCH(ResultsTeams[[#This Row],[Team A]],TeamsList[Team Name],0)),AE847)</f>
        <v>#N/A</v>
      </c>
      <c r="AF848" s="395" t="e">
        <f>IF(ResultsTeams[[#This Row],[Type]]="G",INDEX(TeamsList[Club Name],MATCH(ResultsTeams[[#This Row],[Team B]],TeamsList[Team Name],0)),AF847)</f>
        <v>#N/A</v>
      </c>
      <c r="AG848" s="265"/>
    </row>
    <row r="849" spans="1:33" x14ac:dyDescent="0.2">
      <c r="A849" s="62"/>
      <c r="B849" s="280"/>
      <c r="C849" s="62"/>
      <c r="D849" s="62"/>
      <c r="E849" s="241" t="s">
        <v>12240</v>
      </c>
      <c r="F849" s="246"/>
      <c r="G849" s="246"/>
      <c r="H849" s="254"/>
      <c r="I849" s="254"/>
      <c r="J849" s="254"/>
      <c r="K849" s="363"/>
      <c r="L849" s="363"/>
      <c r="M849" s="247"/>
      <c r="N849" s="265" t="b">
        <f>NOT(ISERROR(ResultsTeams[[#This Row],[Goal-A]]+ResultsTeams[[#This Row],[Goal-B]]))</f>
        <v>1</v>
      </c>
      <c r="O849" s="265">
        <f>IF(ResultsTeams[[#This Row],[Type]]="G",SUM(O850:O853),IF(LEFT(ResultsTeams[[#This Row],[Type]],1)="P",IF(ResultsTeams[[#This Row],[Goal-A]]&gt;ResultsTeams[[#This Row],[Goal-B]],1,0),""))</f>
        <v>0</v>
      </c>
      <c r="P849" s="265">
        <f>IF(ResultsTeams[[#This Row],[Type]]="G",SUM(P850:P853),IF(LEFT(ResultsTeams[[#This Row],[Type]],1)="P",IF(ResultsTeams[[#This Row],[Goal-A]]&lt;ResultsTeams[[#This Row],[Goal-B]],1,0),""))</f>
        <v>0</v>
      </c>
      <c r="Q849" s="265">
        <f>IF(ResultsTeams[[#This Row],[Type]]="G",SUM(Q850:Q853),IF(LEFT(ResultsTeams[[#This Row],[Type]],1)="P",VALUE(ResultsTeams[[#This Row],[Score-A]]),""))</f>
        <v>0</v>
      </c>
      <c r="R849" s="265">
        <f>IF(ResultsTeams[[#This Row],[Type]]="G",SUM(R850:R853),IF(LEFT(ResultsTeams[[#This Row],[Type]],1)="P",VALUE(ResultsTeams[[#This Row],[Score-B]]),""))</f>
        <v>0</v>
      </c>
      <c r="S849" s="265" t="str">
        <f ca="1">IF(AND(ResultsTeams[[#This Row],[Category]]&lt;&gt;"",ResultsTeams[[#This Row],[Team A]]&lt;&gt;""),COUNTIF(INDIRECT("TeamsList[Club Name]"),ResultsTeams[[#This Row],[Team A]]),"")</f>
        <v/>
      </c>
      <c r="T849" s="265" t="str">
        <f ca="1">IF(AND(ResultsTeams[[#This Row],[Category]]&lt;&gt;"",ResultsTeams[[#This Row],[Team B]]&lt;&gt;""),COUNTIF(INDIRECT("TeamsList[Club Name]"),ResultsTeams[[#This Row],[Team B]]),"")</f>
        <v/>
      </c>
      <c r="U8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9" s="265" t="str">
        <f>IF(ResultsTeams[[#This Row],[Score_OK]],IF(ResultsTeams[[#This Row],[StageCpy]]="Groups",ResultsTeams[[#This Row],[Category]]&amp;"-"&amp;IF(ResultsTeams[[#This Row],[Team B]]="","",IF(ResultsTeams[[#This Row],[Match-A]]=ResultsTeams[[#This Row],[Match-B]],ResultsTeams[[#This Row],[Team A]],"")),""),"")</f>
        <v/>
      </c>
      <c r="W849" s="265" t="str">
        <f>IF(ResultsTeams[[#This Row],[Score_OK]],IF(ResultsTeams[[#This Row],[StageCpy]]="Groups",ResultsTeams[[#This Row],[Category]]&amp;"-"&amp;IF(ResultsTeams[[#This Row],[Team B]]="","",IF(ResultsTeams[[#This Row],[Match-A]]=ResultsTeams[[#This Row],[Match-B]],ResultsTeams[[#This Row],[Team B]],"")),""),"")</f>
        <v/>
      </c>
      <c r="X8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9" s="264" t="str">
        <f>IF(ResultsTeams[[#This Row],[Category]]="","",VLOOKUP(ResultsTeams[[#This Row],[Stage]],$R$1:$T$8,MATCH(ResultsTeams[[#This Row],[Category]],$S$1:$T$1,0)+1,FALSE))</f>
        <v/>
      </c>
      <c r="AC8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9" s="264">
        <f>IF(ResultsTeams[[#This Row],[Type]]="G",ResultsTeams[[#This Row],[Stage]],AD848)</f>
        <v>0</v>
      </c>
      <c r="AE849" s="395" t="e">
        <f>IF(ResultsTeams[[#This Row],[Type]]="G",INDEX(TeamsList[Club Name],MATCH(ResultsTeams[[#This Row],[Team A]],TeamsList[Team Name],0)),AE848)</f>
        <v>#N/A</v>
      </c>
      <c r="AF849" s="395" t="e">
        <f>IF(ResultsTeams[[#This Row],[Type]]="G",INDEX(TeamsList[Club Name],MATCH(ResultsTeams[[#This Row],[Team B]],TeamsList[Team Name],0)),AF848)</f>
        <v>#N/A</v>
      </c>
      <c r="AG849" s="265"/>
    </row>
    <row r="850" spans="1:33" x14ac:dyDescent="0.2">
      <c r="A850" s="62"/>
      <c r="B850" s="62"/>
      <c r="C850" s="62"/>
      <c r="D850" s="62"/>
      <c r="E850" s="241" t="s">
        <v>12243</v>
      </c>
      <c r="F850" s="247"/>
      <c r="G850" s="247"/>
      <c r="H850" s="254"/>
      <c r="I850" s="254"/>
      <c r="J850" s="260"/>
      <c r="K850" s="364"/>
      <c r="L850" s="364"/>
      <c r="M850" s="247"/>
      <c r="N850" s="265" t="b">
        <f>NOT(ISERROR(ResultsTeams[[#This Row],[Goal-A]]+ResultsTeams[[#This Row],[Goal-B]]))</f>
        <v>0</v>
      </c>
      <c r="O850" s="265" t="str">
        <f>IF(ResultsTeams[[#This Row],[Type]]="G",SUM(O851:O854),IF(LEFT(ResultsTeams[[#This Row],[Type]],1)="P",IF(ResultsTeams[[#This Row],[Goal-A]]&gt;ResultsTeams[[#This Row],[Goal-B]],1,0),""))</f>
        <v/>
      </c>
      <c r="P850" s="265" t="str">
        <f>IF(ResultsTeams[[#This Row],[Type]]="G",SUM(P851:P854),IF(LEFT(ResultsTeams[[#This Row],[Type]],1)="P",IF(ResultsTeams[[#This Row],[Goal-A]]&lt;ResultsTeams[[#This Row],[Goal-B]],1,0),""))</f>
        <v/>
      </c>
      <c r="Q850" s="265" t="str">
        <f>IF(ResultsTeams[[#This Row],[Type]]="G",SUM(Q851:Q854),IF(LEFT(ResultsTeams[[#This Row],[Type]],1)="P",VALUE(ResultsTeams[[#This Row],[Score-A]]),""))</f>
        <v/>
      </c>
      <c r="R850" s="265" t="str">
        <f>IF(ResultsTeams[[#This Row],[Type]]="G",SUM(R851:R854),IF(LEFT(ResultsTeams[[#This Row],[Type]],1)="P",VALUE(ResultsTeams[[#This Row],[Score-B]]),""))</f>
        <v/>
      </c>
      <c r="S850" s="265" t="str">
        <f ca="1">IF(AND(ResultsTeams[[#This Row],[Category]]&lt;&gt;"",ResultsTeams[[#This Row],[Team A]]&lt;&gt;""),COUNTIF(INDIRECT("TeamsList[Club Name]"),ResultsTeams[[#This Row],[Team A]]),"")</f>
        <v/>
      </c>
      <c r="T850" s="265" t="str">
        <f ca="1">IF(AND(ResultsTeams[[#This Row],[Category]]&lt;&gt;"",ResultsTeams[[#This Row],[Team B]]&lt;&gt;""),COUNTIF(INDIRECT("TeamsList[Club Name]"),ResultsTeams[[#This Row],[Team B]]),"")</f>
        <v/>
      </c>
      <c r="U8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0" s="265" t="str">
        <f>IF(ResultsTeams[[#This Row],[Score_OK]],IF(ResultsTeams[[#This Row],[StageCpy]]="Groups",ResultsTeams[[#This Row],[Category]]&amp;"-"&amp;IF(ResultsTeams[[#This Row],[Team B]]="","",IF(ResultsTeams[[#This Row],[Match-A]]=ResultsTeams[[#This Row],[Match-B]],ResultsTeams[[#This Row],[Team A]],"")),""),"")</f>
        <v/>
      </c>
      <c r="W850" s="265" t="str">
        <f>IF(ResultsTeams[[#This Row],[Score_OK]],IF(ResultsTeams[[#This Row],[StageCpy]]="Groups",ResultsTeams[[#This Row],[Category]]&amp;"-"&amp;IF(ResultsTeams[[#This Row],[Team B]]="","",IF(ResultsTeams[[#This Row],[Match-A]]=ResultsTeams[[#This Row],[Match-B]],ResultsTeams[[#This Row],[Team B]],"")),""),"")</f>
        <v/>
      </c>
      <c r="X8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0" s="264" t="str">
        <f>IF(ResultsTeams[[#This Row],[Category]]="","",VLOOKUP(ResultsTeams[[#This Row],[Stage]],$R$1:$T$8,MATCH(ResultsTeams[[#This Row],[Category]],$S$1:$T$1,0)+1,FALSE))</f>
        <v/>
      </c>
      <c r="AC8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0" s="264">
        <f>IF(ResultsTeams[[#This Row],[Type]]="G",ResultsTeams[[#This Row],[Stage]],AD849)</f>
        <v>0</v>
      </c>
      <c r="AE850" s="395" t="e">
        <f>IF(ResultsTeams[[#This Row],[Type]]="G",INDEX(TeamsList[Club Name],MATCH(ResultsTeams[[#This Row],[Team A]],TeamsList[Team Name],0)),AE849)</f>
        <v>#N/A</v>
      </c>
      <c r="AF850" s="395" t="e">
        <f>IF(ResultsTeams[[#This Row],[Type]]="G",INDEX(TeamsList[Club Name],MATCH(ResultsTeams[[#This Row],[Team B]],TeamsList[Team Name],0)),AF849)</f>
        <v>#N/A</v>
      </c>
      <c r="AG850" s="265"/>
    </row>
    <row r="851" spans="1:33" ht="12" thickBot="1" x14ac:dyDescent="0.25">
      <c r="A851" s="83"/>
      <c r="B851" s="83"/>
      <c r="C851" s="83"/>
      <c r="D851" s="83"/>
      <c r="E851" s="268" t="s">
        <v>12244</v>
      </c>
      <c r="F851" s="262"/>
      <c r="G851" s="262"/>
      <c r="H851" s="324"/>
      <c r="I851" s="324"/>
      <c r="J851" s="263"/>
      <c r="K851" s="365"/>
      <c r="L851" s="365"/>
      <c r="M851" s="262"/>
      <c r="N851" s="265" t="b">
        <f>NOT(ISERROR(ResultsTeams[[#This Row],[Goal-A]]+ResultsTeams[[#This Row],[Goal-B]]))</f>
        <v>0</v>
      </c>
      <c r="O851" s="265" t="str">
        <f>IF(ResultsTeams[[#This Row],[Type]]="G",SUM(O852:O855),IF(LEFT(ResultsTeams[[#This Row],[Type]],1)="P",IF(ResultsTeams[[#This Row],[Goal-A]]&gt;ResultsTeams[[#This Row],[Goal-B]],1,0),""))</f>
        <v/>
      </c>
      <c r="P851" s="265" t="str">
        <f>IF(ResultsTeams[[#This Row],[Type]]="G",SUM(P852:P855),IF(LEFT(ResultsTeams[[#This Row],[Type]],1)="P",IF(ResultsTeams[[#This Row],[Goal-A]]&lt;ResultsTeams[[#This Row],[Goal-B]],1,0),""))</f>
        <v/>
      </c>
      <c r="Q851" s="265" t="str">
        <f>IF(ResultsTeams[[#This Row],[Type]]="G",SUM(Q852:Q855),IF(LEFT(ResultsTeams[[#This Row],[Type]],1)="P",VALUE(ResultsTeams[[#This Row],[Score-A]]),""))</f>
        <v/>
      </c>
      <c r="R851" s="265" t="str">
        <f>IF(ResultsTeams[[#This Row],[Type]]="G",SUM(R852:R855),IF(LEFT(ResultsTeams[[#This Row],[Type]],1)="P",VALUE(ResultsTeams[[#This Row],[Score-B]]),""))</f>
        <v/>
      </c>
      <c r="S851" s="265" t="str">
        <f ca="1">IF(AND(ResultsTeams[[#This Row],[Category]]&lt;&gt;"",ResultsTeams[[#This Row],[Team A]]&lt;&gt;""),COUNTIF(INDIRECT("TeamsList[Club Name]"),ResultsTeams[[#This Row],[Team A]]),"")</f>
        <v/>
      </c>
      <c r="T851" s="265" t="str">
        <f ca="1">IF(AND(ResultsTeams[[#This Row],[Category]]&lt;&gt;"",ResultsTeams[[#This Row],[Team B]]&lt;&gt;""),COUNTIF(INDIRECT("TeamsList[Club Name]"),ResultsTeams[[#This Row],[Team B]]),"")</f>
        <v/>
      </c>
      <c r="U8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1" s="265" t="str">
        <f>IF(ResultsTeams[[#This Row],[Score_OK]],IF(ResultsTeams[[#This Row],[StageCpy]]="Groups",ResultsTeams[[#This Row],[Category]]&amp;"-"&amp;IF(ResultsTeams[[#This Row],[Team B]]="","",IF(ResultsTeams[[#This Row],[Match-A]]=ResultsTeams[[#This Row],[Match-B]],ResultsTeams[[#This Row],[Team A]],"")),""),"")</f>
        <v/>
      </c>
      <c r="W851" s="265" t="str">
        <f>IF(ResultsTeams[[#This Row],[Score_OK]],IF(ResultsTeams[[#This Row],[StageCpy]]="Groups",ResultsTeams[[#This Row],[Category]]&amp;"-"&amp;IF(ResultsTeams[[#This Row],[Team B]]="","",IF(ResultsTeams[[#This Row],[Match-A]]=ResultsTeams[[#This Row],[Match-B]],ResultsTeams[[#This Row],[Team B]],"")),""),"")</f>
        <v/>
      </c>
      <c r="X8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1" s="264" t="str">
        <f>IF(ResultsTeams[[#This Row],[Category]]="","",VLOOKUP(ResultsTeams[[#This Row],[Stage]],$R$1:$T$8,MATCH(ResultsTeams[[#This Row],[Category]],$S$1:$T$1,0)+1,FALSE))</f>
        <v/>
      </c>
      <c r="AC8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1" s="264">
        <f>IF(ResultsTeams[[#This Row],[Type]]="G",ResultsTeams[[#This Row],[Stage]],AD850)</f>
        <v>0</v>
      </c>
      <c r="AE851" s="395" t="e">
        <f>IF(ResultsTeams[[#This Row],[Type]]="G",INDEX(TeamsList[Club Name],MATCH(ResultsTeams[[#This Row],[Team A]],TeamsList[Team Name],0)),AE850)</f>
        <v>#N/A</v>
      </c>
      <c r="AF851" s="395" t="e">
        <f>IF(ResultsTeams[[#This Row],[Type]]="G",INDEX(TeamsList[Club Name],MATCH(ResultsTeams[[#This Row],[Team B]],TeamsList[Team Name],0)),AF850)</f>
        <v>#N/A</v>
      </c>
      <c r="AG851" s="265"/>
    </row>
    <row r="852" spans="1:33" ht="12" thickBot="1" x14ac:dyDescent="0.25">
      <c r="A852" s="261"/>
      <c r="B852" s="270"/>
      <c r="C852" s="270"/>
      <c r="D852" s="270"/>
      <c r="E852" s="272" t="s">
        <v>12228</v>
      </c>
      <c r="F852" s="273"/>
      <c r="G852" s="273"/>
      <c r="H852" s="275"/>
      <c r="I852" s="275"/>
      <c r="J852" s="275"/>
      <c r="K852" s="366"/>
      <c r="L852" s="366"/>
      <c r="M852" s="274"/>
      <c r="N852" s="265" t="b">
        <f>NOT(ISERROR(ResultsTeams[[#This Row],[Goal-A]]+ResultsTeams[[#This Row],[Goal-B]]))</f>
        <v>1</v>
      </c>
      <c r="O852" s="265">
        <f>IF(ResultsTeams[[#This Row],[Type]]="G",SUM(O853:O856),IF(LEFT(ResultsTeams[[#This Row],[Type]],1)="P",IF(ResultsTeams[[#This Row],[Goal-A]]&gt;ResultsTeams[[#This Row],[Goal-B]],1,0),""))</f>
        <v>0</v>
      </c>
      <c r="P852" s="265">
        <f>IF(ResultsTeams[[#This Row],[Type]]="G",SUM(P853:P856),IF(LEFT(ResultsTeams[[#This Row],[Type]],1)="P",IF(ResultsTeams[[#This Row],[Goal-A]]&lt;ResultsTeams[[#This Row],[Goal-B]],1,0),""))</f>
        <v>0</v>
      </c>
      <c r="Q852" s="265">
        <f>IF(ResultsTeams[[#This Row],[Type]]="G",SUM(Q853:Q856),IF(LEFT(ResultsTeams[[#This Row],[Type]],1)="P",VALUE(ResultsTeams[[#This Row],[Score-A]]),""))</f>
        <v>0</v>
      </c>
      <c r="R852" s="265">
        <f>IF(ResultsTeams[[#This Row],[Type]]="G",SUM(R853:R856),IF(LEFT(ResultsTeams[[#This Row],[Type]],1)="P",VALUE(ResultsTeams[[#This Row],[Score-B]]),""))</f>
        <v>0</v>
      </c>
      <c r="S852" s="265" t="str">
        <f ca="1">IF(AND(ResultsTeams[[#This Row],[Category]]&lt;&gt;"",ResultsTeams[[#This Row],[Team A]]&lt;&gt;""),COUNTIF(INDIRECT("TeamsList[Club Name]"),ResultsTeams[[#This Row],[Team A]]),"")</f>
        <v/>
      </c>
      <c r="T852" s="265" t="str">
        <f ca="1">IF(AND(ResultsTeams[[#This Row],[Category]]&lt;&gt;"",ResultsTeams[[#This Row],[Team B]]&lt;&gt;""),COUNTIF(INDIRECT("TeamsList[Club Name]"),ResultsTeams[[#This Row],[Team B]]),"")</f>
        <v/>
      </c>
      <c r="U8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2" s="265" t="str">
        <f>IF(ResultsTeams[[#This Row],[Score_OK]],IF(ResultsTeams[[#This Row],[StageCpy]]="Groups",ResultsTeams[[#This Row],[Category]]&amp;"-"&amp;IF(ResultsTeams[[#This Row],[Team B]]="","",IF(ResultsTeams[[#This Row],[Match-A]]=ResultsTeams[[#This Row],[Match-B]],ResultsTeams[[#This Row],[Team A]],"")),""),"")</f>
        <v/>
      </c>
      <c r="W852" s="265" t="str">
        <f>IF(ResultsTeams[[#This Row],[Score_OK]],IF(ResultsTeams[[#This Row],[StageCpy]]="Groups",ResultsTeams[[#This Row],[Category]]&amp;"-"&amp;IF(ResultsTeams[[#This Row],[Team B]]="","",IF(ResultsTeams[[#This Row],[Match-A]]=ResultsTeams[[#This Row],[Match-B]],ResultsTeams[[#This Row],[Team B]],"")),""),"")</f>
        <v/>
      </c>
      <c r="X8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2" s="264" t="str">
        <f>IF(ResultsTeams[[#This Row],[Category]]="","",VLOOKUP(ResultsTeams[[#This Row],[Stage]],$R$1:$T$8,MATCH(ResultsTeams[[#This Row],[Category]],$S$1:$T$1,0)+1,FALSE))</f>
        <v/>
      </c>
      <c r="AC8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2" s="264">
        <f>IF(ResultsTeams[[#This Row],[Type]]="G",ResultsTeams[[#This Row],[Stage]],AD851)</f>
        <v>0</v>
      </c>
      <c r="AE852" s="395" t="e">
        <f>IF(ResultsTeams[[#This Row],[Type]]="G",INDEX(TeamsList[Club Name],MATCH(ResultsTeams[[#This Row],[Team A]],TeamsList[Team Name],0)),AE851)</f>
        <v>#N/A</v>
      </c>
      <c r="AF852" s="395" t="e">
        <f>IF(ResultsTeams[[#This Row],[Type]]="G",INDEX(TeamsList[Club Name],MATCH(ResultsTeams[[#This Row],[Team B]],TeamsList[Team Name],0)),AF851)</f>
        <v>#N/A</v>
      </c>
      <c r="AG852" s="265"/>
    </row>
    <row r="853" spans="1:33" x14ac:dyDescent="0.2">
      <c r="A853" s="60"/>
      <c r="B853" s="280"/>
      <c r="C853" s="60"/>
      <c r="D853" s="60"/>
      <c r="E853" s="240" t="s">
        <v>12231</v>
      </c>
      <c r="F853" s="244"/>
      <c r="G853" s="244"/>
      <c r="H853" s="253"/>
      <c r="I853" s="253"/>
      <c r="J853" s="253"/>
      <c r="K853" s="362"/>
      <c r="L853" s="362"/>
      <c r="M853" s="245"/>
      <c r="N853" s="265" t="b">
        <f>NOT(ISERROR(ResultsTeams[[#This Row],[Goal-A]]+ResultsTeams[[#This Row],[Goal-B]]))</f>
        <v>1</v>
      </c>
      <c r="O853" s="265">
        <f>IF(ResultsTeams[[#This Row],[Type]]="G",SUM(O854:O857),IF(LEFT(ResultsTeams[[#This Row],[Type]],1)="P",IF(ResultsTeams[[#This Row],[Goal-A]]&gt;ResultsTeams[[#This Row],[Goal-B]],1,0),""))</f>
        <v>0</v>
      </c>
      <c r="P853" s="265">
        <f>IF(ResultsTeams[[#This Row],[Type]]="G",SUM(P854:P857),IF(LEFT(ResultsTeams[[#This Row],[Type]],1)="P",IF(ResultsTeams[[#This Row],[Goal-A]]&lt;ResultsTeams[[#This Row],[Goal-B]],1,0),""))</f>
        <v>0</v>
      </c>
      <c r="Q853" s="265">
        <f>IF(ResultsTeams[[#This Row],[Type]]="G",SUM(Q854:Q857),IF(LEFT(ResultsTeams[[#This Row],[Type]],1)="P",VALUE(ResultsTeams[[#This Row],[Score-A]]),""))</f>
        <v>0</v>
      </c>
      <c r="R853" s="265">
        <f>IF(ResultsTeams[[#This Row],[Type]]="G",SUM(R854:R857),IF(LEFT(ResultsTeams[[#This Row],[Type]],1)="P",VALUE(ResultsTeams[[#This Row],[Score-B]]),""))</f>
        <v>0</v>
      </c>
      <c r="S853" s="265" t="str">
        <f ca="1">IF(AND(ResultsTeams[[#This Row],[Category]]&lt;&gt;"",ResultsTeams[[#This Row],[Team A]]&lt;&gt;""),COUNTIF(INDIRECT("TeamsList[Club Name]"),ResultsTeams[[#This Row],[Team A]]),"")</f>
        <v/>
      </c>
      <c r="T853" s="265" t="str">
        <f ca="1">IF(AND(ResultsTeams[[#This Row],[Category]]&lt;&gt;"",ResultsTeams[[#This Row],[Team B]]&lt;&gt;""),COUNTIF(INDIRECT("TeamsList[Club Name]"),ResultsTeams[[#This Row],[Team B]]),"")</f>
        <v/>
      </c>
      <c r="U8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3" s="265" t="str">
        <f>IF(ResultsTeams[[#This Row],[Score_OK]],IF(ResultsTeams[[#This Row],[StageCpy]]="Groups",ResultsTeams[[#This Row],[Category]]&amp;"-"&amp;IF(ResultsTeams[[#This Row],[Team B]]="","",IF(ResultsTeams[[#This Row],[Match-A]]=ResultsTeams[[#This Row],[Match-B]],ResultsTeams[[#This Row],[Team A]],"")),""),"")</f>
        <v/>
      </c>
      <c r="W853" s="265" t="str">
        <f>IF(ResultsTeams[[#This Row],[Score_OK]],IF(ResultsTeams[[#This Row],[StageCpy]]="Groups",ResultsTeams[[#This Row],[Category]]&amp;"-"&amp;IF(ResultsTeams[[#This Row],[Team B]]="","",IF(ResultsTeams[[#This Row],[Match-A]]=ResultsTeams[[#This Row],[Match-B]],ResultsTeams[[#This Row],[Team B]],"")),""),"")</f>
        <v/>
      </c>
      <c r="X8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3" s="264" t="str">
        <f>IF(ResultsTeams[[#This Row],[Category]]="","",VLOOKUP(ResultsTeams[[#This Row],[Stage]],$R$1:$T$8,MATCH(ResultsTeams[[#This Row],[Category]],$S$1:$T$1,0)+1,FALSE))</f>
        <v/>
      </c>
      <c r="AC8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3" s="264">
        <f>IF(ResultsTeams[[#This Row],[Type]]="G",ResultsTeams[[#This Row],[Stage]],AD852)</f>
        <v>0</v>
      </c>
      <c r="AE853" s="395" t="e">
        <f>IF(ResultsTeams[[#This Row],[Type]]="G",INDEX(TeamsList[Club Name],MATCH(ResultsTeams[[#This Row],[Team A]],TeamsList[Team Name],0)),AE852)</f>
        <v>#N/A</v>
      </c>
      <c r="AF853" s="395" t="e">
        <f>IF(ResultsTeams[[#This Row],[Type]]="G",INDEX(TeamsList[Club Name],MATCH(ResultsTeams[[#This Row],[Team B]],TeamsList[Team Name],0)),AF852)</f>
        <v>#N/A</v>
      </c>
      <c r="AG853" s="265"/>
    </row>
    <row r="854" spans="1:33" x14ac:dyDescent="0.2">
      <c r="A854" s="62"/>
      <c r="B854" s="280"/>
      <c r="C854" s="62"/>
      <c r="D854" s="62"/>
      <c r="E854" s="241" t="s">
        <v>12234</v>
      </c>
      <c r="F854" s="246"/>
      <c r="G854" s="246"/>
      <c r="H854" s="254"/>
      <c r="I854" s="254"/>
      <c r="J854" s="254"/>
      <c r="K854" s="363"/>
      <c r="L854" s="363"/>
      <c r="M854" s="247"/>
      <c r="N854" s="265" t="b">
        <f>NOT(ISERROR(ResultsTeams[[#This Row],[Goal-A]]+ResultsTeams[[#This Row],[Goal-B]]))</f>
        <v>1</v>
      </c>
      <c r="O854" s="265">
        <f>IF(ResultsTeams[[#This Row],[Type]]="G",SUM(O855:O858),IF(LEFT(ResultsTeams[[#This Row],[Type]],1)="P",IF(ResultsTeams[[#This Row],[Goal-A]]&gt;ResultsTeams[[#This Row],[Goal-B]],1,0),""))</f>
        <v>0</v>
      </c>
      <c r="P854" s="265">
        <f>IF(ResultsTeams[[#This Row],[Type]]="G",SUM(P855:P858),IF(LEFT(ResultsTeams[[#This Row],[Type]],1)="P",IF(ResultsTeams[[#This Row],[Goal-A]]&lt;ResultsTeams[[#This Row],[Goal-B]],1,0),""))</f>
        <v>0</v>
      </c>
      <c r="Q854" s="265">
        <f>IF(ResultsTeams[[#This Row],[Type]]="G",SUM(Q855:Q858),IF(LEFT(ResultsTeams[[#This Row],[Type]],1)="P",VALUE(ResultsTeams[[#This Row],[Score-A]]),""))</f>
        <v>0</v>
      </c>
      <c r="R854" s="265">
        <f>IF(ResultsTeams[[#This Row],[Type]]="G",SUM(R855:R858),IF(LEFT(ResultsTeams[[#This Row],[Type]],1)="P",VALUE(ResultsTeams[[#This Row],[Score-B]]),""))</f>
        <v>0</v>
      </c>
      <c r="S854" s="265" t="str">
        <f ca="1">IF(AND(ResultsTeams[[#This Row],[Category]]&lt;&gt;"",ResultsTeams[[#This Row],[Team A]]&lt;&gt;""),COUNTIF(INDIRECT("TeamsList[Club Name]"),ResultsTeams[[#This Row],[Team A]]),"")</f>
        <v/>
      </c>
      <c r="T854" s="265" t="str">
        <f ca="1">IF(AND(ResultsTeams[[#This Row],[Category]]&lt;&gt;"",ResultsTeams[[#This Row],[Team B]]&lt;&gt;""),COUNTIF(INDIRECT("TeamsList[Club Name]"),ResultsTeams[[#This Row],[Team B]]),"")</f>
        <v/>
      </c>
      <c r="U8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4" s="265" t="str">
        <f>IF(ResultsTeams[[#This Row],[Score_OK]],IF(ResultsTeams[[#This Row],[StageCpy]]="Groups",ResultsTeams[[#This Row],[Category]]&amp;"-"&amp;IF(ResultsTeams[[#This Row],[Team B]]="","",IF(ResultsTeams[[#This Row],[Match-A]]=ResultsTeams[[#This Row],[Match-B]],ResultsTeams[[#This Row],[Team A]],"")),""),"")</f>
        <v/>
      </c>
      <c r="W854" s="265" t="str">
        <f>IF(ResultsTeams[[#This Row],[Score_OK]],IF(ResultsTeams[[#This Row],[StageCpy]]="Groups",ResultsTeams[[#This Row],[Category]]&amp;"-"&amp;IF(ResultsTeams[[#This Row],[Team B]]="","",IF(ResultsTeams[[#This Row],[Match-A]]=ResultsTeams[[#This Row],[Match-B]],ResultsTeams[[#This Row],[Team B]],"")),""),"")</f>
        <v/>
      </c>
      <c r="X8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4" s="264" t="str">
        <f>IF(ResultsTeams[[#This Row],[Category]]="","",VLOOKUP(ResultsTeams[[#This Row],[Stage]],$R$1:$T$8,MATCH(ResultsTeams[[#This Row],[Category]],$S$1:$T$1,0)+1,FALSE))</f>
        <v/>
      </c>
      <c r="AC8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4" s="264">
        <f>IF(ResultsTeams[[#This Row],[Type]]="G",ResultsTeams[[#This Row],[Stage]],AD853)</f>
        <v>0</v>
      </c>
      <c r="AE854" s="395" t="e">
        <f>IF(ResultsTeams[[#This Row],[Type]]="G",INDEX(TeamsList[Club Name],MATCH(ResultsTeams[[#This Row],[Team A]],TeamsList[Team Name],0)),AE853)</f>
        <v>#N/A</v>
      </c>
      <c r="AF854" s="395" t="e">
        <f>IF(ResultsTeams[[#This Row],[Type]]="G",INDEX(TeamsList[Club Name],MATCH(ResultsTeams[[#This Row],[Team B]],TeamsList[Team Name],0)),AF853)</f>
        <v>#N/A</v>
      </c>
      <c r="AG854" s="265"/>
    </row>
    <row r="855" spans="1:33" x14ac:dyDescent="0.2">
      <c r="A855" s="62"/>
      <c r="B855" s="280"/>
      <c r="C855" s="62"/>
      <c r="D855" s="62"/>
      <c r="E855" s="241" t="s">
        <v>12237</v>
      </c>
      <c r="F855" s="246"/>
      <c r="G855" s="246"/>
      <c r="H855" s="254"/>
      <c r="I855" s="254"/>
      <c r="J855" s="254"/>
      <c r="K855" s="363"/>
      <c r="L855" s="363"/>
      <c r="M855" s="247"/>
      <c r="N855" s="265" t="b">
        <f>NOT(ISERROR(ResultsTeams[[#This Row],[Goal-A]]+ResultsTeams[[#This Row],[Goal-B]]))</f>
        <v>1</v>
      </c>
      <c r="O855" s="265">
        <f>IF(ResultsTeams[[#This Row],[Type]]="G",SUM(O856:O859),IF(LEFT(ResultsTeams[[#This Row],[Type]],1)="P",IF(ResultsTeams[[#This Row],[Goal-A]]&gt;ResultsTeams[[#This Row],[Goal-B]],1,0),""))</f>
        <v>0</v>
      </c>
      <c r="P855" s="265">
        <f>IF(ResultsTeams[[#This Row],[Type]]="G",SUM(P856:P859),IF(LEFT(ResultsTeams[[#This Row],[Type]],1)="P",IF(ResultsTeams[[#This Row],[Goal-A]]&lt;ResultsTeams[[#This Row],[Goal-B]],1,0),""))</f>
        <v>0</v>
      </c>
      <c r="Q855" s="265">
        <f>IF(ResultsTeams[[#This Row],[Type]]="G",SUM(Q856:Q859),IF(LEFT(ResultsTeams[[#This Row],[Type]],1)="P",VALUE(ResultsTeams[[#This Row],[Score-A]]),""))</f>
        <v>0</v>
      </c>
      <c r="R855" s="265">
        <f>IF(ResultsTeams[[#This Row],[Type]]="G",SUM(R856:R859),IF(LEFT(ResultsTeams[[#This Row],[Type]],1)="P",VALUE(ResultsTeams[[#This Row],[Score-B]]),""))</f>
        <v>0</v>
      </c>
      <c r="S855" s="265" t="str">
        <f ca="1">IF(AND(ResultsTeams[[#This Row],[Category]]&lt;&gt;"",ResultsTeams[[#This Row],[Team A]]&lt;&gt;""),COUNTIF(INDIRECT("TeamsList[Club Name]"),ResultsTeams[[#This Row],[Team A]]),"")</f>
        <v/>
      </c>
      <c r="T855" s="265" t="str">
        <f ca="1">IF(AND(ResultsTeams[[#This Row],[Category]]&lt;&gt;"",ResultsTeams[[#This Row],[Team B]]&lt;&gt;""),COUNTIF(INDIRECT("TeamsList[Club Name]"),ResultsTeams[[#This Row],[Team B]]),"")</f>
        <v/>
      </c>
      <c r="U8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5" s="265" t="str">
        <f>IF(ResultsTeams[[#This Row],[Score_OK]],IF(ResultsTeams[[#This Row],[StageCpy]]="Groups",ResultsTeams[[#This Row],[Category]]&amp;"-"&amp;IF(ResultsTeams[[#This Row],[Team B]]="","",IF(ResultsTeams[[#This Row],[Match-A]]=ResultsTeams[[#This Row],[Match-B]],ResultsTeams[[#This Row],[Team A]],"")),""),"")</f>
        <v/>
      </c>
      <c r="W855" s="265" t="str">
        <f>IF(ResultsTeams[[#This Row],[Score_OK]],IF(ResultsTeams[[#This Row],[StageCpy]]="Groups",ResultsTeams[[#This Row],[Category]]&amp;"-"&amp;IF(ResultsTeams[[#This Row],[Team B]]="","",IF(ResultsTeams[[#This Row],[Match-A]]=ResultsTeams[[#This Row],[Match-B]],ResultsTeams[[#This Row],[Team B]],"")),""),"")</f>
        <v/>
      </c>
      <c r="X8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5" s="264" t="str">
        <f>IF(ResultsTeams[[#This Row],[Category]]="","",VLOOKUP(ResultsTeams[[#This Row],[Stage]],$R$1:$T$8,MATCH(ResultsTeams[[#This Row],[Category]],$S$1:$T$1,0)+1,FALSE))</f>
        <v/>
      </c>
      <c r="AC8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5" s="264">
        <f>IF(ResultsTeams[[#This Row],[Type]]="G",ResultsTeams[[#This Row],[Stage]],AD854)</f>
        <v>0</v>
      </c>
      <c r="AE855" s="395" t="e">
        <f>IF(ResultsTeams[[#This Row],[Type]]="G",INDEX(TeamsList[Club Name],MATCH(ResultsTeams[[#This Row],[Team A]],TeamsList[Team Name],0)),AE854)</f>
        <v>#N/A</v>
      </c>
      <c r="AF855" s="395" t="e">
        <f>IF(ResultsTeams[[#This Row],[Type]]="G",INDEX(TeamsList[Club Name],MATCH(ResultsTeams[[#This Row],[Team B]],TeamsList[Team Name],0)),AF854)</f>
        <v>#N/A</v>
      </c>
      <c r="AG855" s="265"/>
    </row>
    <row r="856" spans="1:33" x14ac:dyDescent="0.2">
      <c r="A856" s="62"/>
      <c r="B856" s="280"/>
      <c r="C856" s="62"/>
      <c r="D856" s="62"/>
      <c r="E856" s="241" t="s">
        <v>12240</v>
      </c>
      <c r="F856" s="246"/>
      <c r="G856" s="246"/>
      <c r="H856" s="254"/>
      <c r="I856" s="254"/>
      <c r="J856" s="254"/>
      <c r="K856" s="363"/>
      <c r="L856" s="363"/>
      <c r="M856" s="247"/>
      <c r="N856" s="265" t="b">
        <f>NOT(ISERROR(ResultsTeams[[#This Row],[Goal-A]]+ResultsTeams[[#This Row],[Goal-B]]))</f>
        <v>1</v>
      </c>
      <c r="O856" s="265">
        <f>IF(ResultsTeams[[#This Row],[Type]]="G",SUM(O857:O860),IF(LEFT(ResultsTeams[[#This Row],[Type]],1)="P",IF(ResultsTeams[[#This Row],[Goal-A]]&gt;ResultsTeams[[#This Row],[Goal-B]],1,0),""))</f>
        <v>0</v>
      </c>
      <c r="P856" s="265">
        <f>IF(ResultsTeams[[#This Row],[Type]]="G",SUM(P857:P860),IF(LEFT(ResultsTeams[[#This Row],[Type]],1)="P",IF(ResultsTeams[[#This Row],[Goal-A]]&lt;ResultsTeams[[#This Row],[Goal-B]],1,0),""))</f>
        <v>0</v>
      </c>
      <c r="Q856" s="265">
        <f>IF(ResultsTeams[[#This Row],[Type]]="G",SUM(Q857:Q860),IF(LEFT(ResultsTeams[[#This Row],[Type]],1)="P",VALUE(ResultsTeams[[#This Row],[Score-A]]),""))</f>
        <v>0</v>
      </c>
      <c r="R856" s="265">
        <f>IF(ResultsTeams[[#This Row],[Type]]="G",SUM(R857:R860),IF(LEFT(ResultsTeams[[#This Row],[Type]],1)="P",VALUE(ResultsTeams[[#This Row],[Score-B]]),""))</f>
        <v>0</v>
      </c>
      <c r="S856" s="265" t="str">
        <f ca="1">IF(AND(ResultsTeams[[#This Row],[Category]]&lt;&gt;"",ResultsTeams[[#This Row],[Team A]]&lt;&gt;""),COUNTIF(INDIRECT("TeamsList[Club Name]"),ResultsTeams[[#This Row],[Team A]]),"")</f>
        <v/>
      </c>
      <c r="T856" s="265" t="str">
        <f ca="1">IF(AND(ResultsTeams[[#This Row],[Category]]&lt;&gt;"",ResultsTeams[[#This Row],[Team B]]&lt;&gt;""),COUNTIF(INDIRECT("TeamsList[Club Name]"),ResultsTeams[[#This Row],[Team B]]),"")</f>
        <v/>
      </c>
      <c r="U8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6" s="265" t="str">
        <f>IF(ResultsTeams[[#This Row],[Score_OK]],IF(ResultsTeams[[#This Row],[StageCpy]]="Groups",ResultsTeams[[#This Row],[Category]]&amp;"-"&amp;IF(ResultsTeams[[#This Row],[Team B]]="","",IF(ResultsTeams[[#This Row],[Match-A]]=ResultsTeams[[#This Row],[Match-B]],ResultsTeams[[#This Row],[Team A]],"")),""),"")</f>
        <v/>
      </c>
      <c r="W856" s="265" t="str">
        <f>IF(ResultsTeams[[#This Row],[Score_OK]],IF(ResultsTeams[[#This Row],[StageCpy]]="Groups",ResultsTeams[[#This Row],[Category]]&amp;"-"&amp;IF(ResultsTeams[[#This Row],[Team B]]="","",IF(ResultsTeams[[#This Row],[Match-A]]=ResultsTeams[[#This Row],[Match-B]],ResultsTeams[[#This Row],[Team B]],"")),""),"")</f>
        <v/>
      </c>
      <c r="X8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6" s="264" t="str">
        <f>IF(ResultsTeams[[#This Row],[Category]]="","",VLOOKUP(ResultsTeams[[#This Row],[Stage]],$R$1:$T$8,MATCH(ResultsTeams[[#This Row],[Category]],$S$1:$T$1,0)+1,FALSE))</f>
        <v/>
      </c>
      <c r="AC8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6" s="264">
        <f>IF(ResultsTeams[[#This Row],[Type]]="G",ResultsTeams[[#This Row],[Stage]],AD855)</f>
        <v>0</v>
      </c>
      <c r="AE856" s="395" t="e">
        <f>IF(ResultsTeams[[#This Row],[Type]]="G",INDEX(TeamsList[Club Name],MATCH(ResultsTeams[[#This Row],[Team A]],TeamsList[Team Name],0)),AE855)</f>
        <v>#N/A</v>
      </c>
      <c r="AF856" s="395" t="e">
        <f>IF(ResultsTeams[[#This Row],[Type]]="G",INDEX(TeamsList[Club Name],MATCH(ResultsTeams[[#This Row],[Team B]],TeamsList[Team Name],0)),AF855)</f>
        <v>#N/A</v>
      </c>
      <c r="AG856" s="265"/>
    </row>
    <row r="857" spans="1:33" x14ac:dyDescent="0.2">
      <c r="A857" s="62"/>
      <c r="B857" s="62"/>
      <c r="C857" s="62"/>
      <c r="D857" s="62"/>
      <c r="E857" s="241" t="s">
        <v>12243</v>
      </c>
      <c r="F857" s="247"/>
      <c r="G857" s="247"/>
      <c r="H857" s="254"/>
      <c r="I857" s="254"/>
      <c r="J857" s="260"/>
      <c r="K857" s="364"/>
      <c r="L857" s="364"/>
      <c r="M857" s="63"/>
      <c r="N857" s="265" t="b">
        <f>NOT(ISERROR(ResultsTeams[[#This Row],[Goal-A]]+ResultsTeams[[#This Row],[Goal-B]]))</f>
        <v>0</v>
      </c>
      <c r="O857" s="265" t="str">
        <f>IF(ResultsTeams[[#This Row],[Type]]="G",SUM(O858:O861),IF(LEFT(ResultsTeams[[#This Row],[Type]],1)="P",IF(ResultsTeams[[#This Row],[Goal-A]]&gt;ResultsTeams[[#This Row],[Goal-B]],1,0),""))</f>
        <v/>
      </c>
      <c r="P857" s="265" t="str">
        <f>IF(ResultsTeams[[#This Row],[Type]]="G",SUM(P858:P861),IF(LEFT(ResultsTeams[[#This Row],[Type]],1)="P",IF(ResultsTeams[[#This Row],[Goal-A]]&lt;ResultsTeams[[#This Row],[Goal-B]],1,0),""))</f>
        <v/>
      </c>
      <c r="Q857" s="265" t="str">
        <f>IF(ResultsTeams[[#This Row],[Type]]="G",SUM(Q858:Q861),IF(LEFT(ResultsTeams[[#This Row],[Type]],1)="P",VALUE(ResultsTeams[[#This Row],[Score-A]]),""))</f>
        <v/>
      </c>
      <c r="R857" s="265" t="str">
        <f>IF(ResultsTeams[[#This Row],[Type]]="G",SUM(R858:R861),IF(LEFT(ResultsTeams[[#This Row],[Type]],1)="P",VALUE(ResultsTeams[[#This Row],[Score-B]]),""))</f>
        <v/>
      </c>
      <c r="S857" s="265" t="str">
        <f ca="1">IF(AND(ResultsTeams[[#This Row],[Category]]&lt;&gt;"",ResultsTeams[[#This Row],[Team A]]&lt;&gt;""),COUNTIF(INDIRECT("TeamsList[Club Name]"),ResultsTeams[[#This Row],[Team A]]),"")</f>
        <v/>
      </c>
      <c r="T857" s="265" t="str">
        <f ca="1">IF(AND(ResultsTeams[[#This Row],[Category]]&lt;&gt;"",ResultsTeams[[#This Row],[Team B]]&lt;&gt;""),COUNTIF(INDIRECT("TeamsList[Club Name]"),ResultsTeams[[#This Row],[Team B]]),"")</f>
        <v/>
      </c>
      <c r="U8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7" s="265" t="str">
        <f>IF(ResultsTeams[[#This Row],[Score_OK]],IF(ResultsTeams[[#This Row],[StageCpy]]="Groups",ResultsTeams[[#This Row],[Category]]&amp;"-"&amp;IF(ResultsTeams[[#This Row],[Team B]]="","",IF(ResultsTeams[[#This Row],[Match-A]]=ResultsTeams[[#This Row],[Match-B]],ResultsTeams[[#This Row],[Team A]],"")),""),"")</f>
        <v/>
      </c>
      <c r="W857" s="265" t="str">
        <f>IF(ResultsTeams[[#This Row],[Score_OK]],IF(ResultsTeams[[#This Row],[StageCpy]]="Groups",ResultsTeams[[#This Row],[Category]]&amp;"-"&amp;IF(ResultsTeams[[#This Row],[Team B]]="","",IF(ResultsTeams[[#This Row],[Match-A]]=ResultsTeams[[#This Row],[Match-B]],ResultsTeams[[#This Row],[Team B]],"")),""),"")</f>
        <v/>
      </c>
      <c r="X8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7" s="264" t="str">
        <f>IF(ResultsTeams[[#This Row],[Category]]="","",VLOOKUP(ResultsTeams[[#This Row],[Stage]],$R$1:$T$8,MATCH(ResultsTeams[[#This Row],[Category]],$S$1:$T$1,0)+1,FALSE))</f>
        <v/>
      </c>
      <c r="AC8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7" s="264">
        <f>IF(ResultsTeams[[#This Row],[Type]]="G",ResultsTeams[[#This Row],[Stage]],AD856)</f>
        <v>0</v>
      </c>
      <c r="AE857" s="395" t="e">
        <f>IF(ResultsTeams[[#This Row],[Type]]="G",INDEX(TeamsList[Club Name],MATCH(ResultsTeams[[#This Row],[Team A]],TeamsList[Team Name],0)),AE856)</f>
        <v>#N/A</v>
      </c>
      <c r="AF857" s="395" t="e">
        <f>IF(ResultsTeams[[#This Row],[Type]]="G",INDEX(TeamsList[Club Name],MATCH(ResultsTeams[[#This Row],[Team B]],TeamsList[Team Name],0)),AF856)</f>
        <v>#N/A</v>
      </c>
      <c r="AG857" s="265"/>
    </row>
    <row r="858" spans="1:33" ht="12" thickBot="1" x14ac:dyDescent="0.25">
      <c r="A858" s="83"/>
      <c r="B858" s="83"/>
      <c r="C858" s="83"/>
      <c r="D858" s="83"/>
      <c r="E858" s="268" t="s">
        <v>12244</v>
      </c>
      <c r="F858" s="262"/>
      <c r="G858" s="262"/>
      <c r="H858" s="324"/>
      <c r="I858" s="324"/>
      <c r="J858" s="263"/>
      <c r="K858" s="365"/>
      <c r="L858" s="365"/>
      <c r="M858" s="84"/>
      <c r="N858" s="265" t="b">
        <f>NOT(ISERROR(ResultsTeams[[#This Row],[Goal-A]]+ResultsTeams[[#This Row],[Goal-B]]))</f>
        <v>0</v>
      </c>
      <c r="O858" s="265" t="str">
        <f>IF(ResultsTeams[[#This Row],[Type]]="G",SUM(O859:O862),IF(LEFT(ResultsTeams[[#This Row],[Type]],1)="P",IF(ResultsTeams[[#This Row],[Goal-A]]&gt;ResultsTeams[[#This Row],[Goal-B]],1,0),""))</f>
        <v/>
      </c>
      <c r="P858" s="265" t="str">
        <f>IF(ResultsTeams[[#This Row],[Type]]="G",SUM(P859:P862),IF(LEFT(ResultsTeams[[#This Row],[Type]],1)="P",IF(ResultsTeams[[#This Row],[Goal-A]]&lt;ResultsTeams[[#This Row],[Goal-B]],1,0),""))</f>
        <v/>
      </c>
      <c r="Q858" s="265" t="str">
        <f>IF(ResultsTeams[[#This Row],[Type]]="G",SUM(Q859:Q862),IF(LEFT(ResultsTeams[[#This Row],[Type]],1)="P",VALUE(ResultsTeams[[#This Row],[Score-A]]),""))</f>
        <v/>
      </c>
      <c r="R858" s="265" t="str">
        <f>IF(ResultsTeams[[#This Row],[Type]]="G",SUM(R859:R862),IF(LEFT(ResultsTeams[[#This Row],[Type]],1)="P",VALUE(ResultsTeams[[#This Row],[Score-B]]),""))</f>
        <v/>
      </c>
      <c r="S858" s="265" t="str">
        <f ca="1">IF(AND(ResultsTeams[[#This Row],[Category]]&lt;&gt;"",ResultsTeams[[#This Row],[Team A]]&lt;&gt;""),COUNTIF(INDIRECT("TeamsList[Club Name]"),ResultsTeams[[#This Row],[Team A]]),"")</f>
        <v/>
      </c>
      <c r="T858" s="265" t="str">
        <f ca="1">IF(AND(ResultsTeams[[#This Row],[Category]]&lt;&gt;"",ResultsTeams[[#This Row],[Team B]]&lt;&gt;""),COUNTIF(INDIRECT("TeamsList[Club Name]"),ResultsTeams[[#This Row],[Team B]]),"")</f>
        <v/>
      </c>
      <c r="U8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8" s="265" t="str">
        <f>IF(ResultsTeams[[#This Row],[Score_OK]],IF(ResultsTeams[[#This Row],[StageCpy]]="Groups",ResultsTeams[[#This Row],[Category]]&amp;"-"&amp;IF(ResultsTeams[[#This Row],[Team B]]="","",IF(ResultsTeams[[#This Row],[Match-A]]=ResultsTeams[[#This Row],[Match-B]],ResultsTeams[[#This Row],[Team A]],"")),""),"")</f>
        <v/>
      </c>
      <c r="W858" s="265" t="str">
        <f>IF(ResultsTeams[[#This Row],[Score_OK]],IF(ResultsTeams[[#This Row],[StageCpy]]="Groups",ResultsTeams[[#This Row],[Category]]&amp;"-"&amp;IF(ResultsTeams[[#This Row],[Team B]]="","",IF(ResultsTeams[[#This Row],[Match-A]]=ResultsTeams[[#This Row],[Match-B]],ResultsTeams[[#This Row],[Team B]],"")),""),"")</f>
        <v/>
      </c>
      <c r="X8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8" s="264" t="str">
        <f>IF(ResultsTeams[[#This Row],[Category]]="","",VLOOKUP(ResultsTeams[[#This Row],[Stage]],$R$1:$T$8,MATCH(ResultsTeams[[#This Row],[Category]],$S$1:$T$1,0)+1,FALSE))</f>
        <v/>
      </c>
      <c r="AC8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8" s="264">
        <f>IF(ResultsTeams[[#This Row],[Type]]="G",ResultsTeams[[#This Row],[Stage]],AD857)</f>
        <v>0</v>
      </c>
      <c r="AE858" s="395" t="e">
        <f>IF(ResultsTeams[[#This Row],[Type]]="G",INDEX(TeamsList[Club Name],MATCH(ResultsTeams[[#This Row],[Team A]],TeamsList[Team Name],0)),AE857)</f>
        <v>#N/A</v>
      </c>
      <c r="AF858" s="395" t="e">
        <f>IF(ResultsTeams[[#This Row],[Type]]="G",INDEX(TeamsList[Club Name],MATCH(ResultsTeams[[#This Row],[Team B]],TeamsList[Team Name],0)),AF857)</f>
        <v>#N/A</v>
      </c>
      <c r="AG858" s="265"/>
    </row>
    <row r="859" spans="1:33" ht="12" thickBot="1" x14ac:dyDescent="0.25">
      <c r="A859" s="261"/>
      <c r="B859" s="270"/>
      <c r="C859" s="270"/>
      <c r="D859" s="270"/>
      <c r="E859" s="272" t="s">
        <v>12228</v>
      </c>
      <c r="F859" s="273"/>
      <c r="G859" s="273"/>
      <c r="H859" s="275"/>
      <c r="I859" s="275"/>
      <c r="J859" s="275"/>
      <c r="K859" s="366"/>
      <c r="L859" s="366"/>
      <c r="M859" s="271"/>
      <c r="N859" s="265" t="b">
        <f>NOT(ISERROR(ResultsTeams[[#This Row],[Goal-A]]+ResultsTeams[[#This Row],[Goal-B]]))</f>
        <v>1</v>
      </c>
      <c r="O859" s="265">
        <f>IF(ResultsTeams[[#This Row],[Type]]="G",SUM(O860:O863),IF(LEFT(ResultsTeams[[#This Row],[Type]],1)="P",IF(ResultsTeams[[#This Row],[Goal-A]]&gt;ResultsTeams[[#This Row],[Goal-B]],1,0),""))</f>
        <v>0</v>
      </c>
      <c r="P859" s="265">
        <f>IF(ResultsTeams[[#This Row],[Type]]="G",SUM(P860:P863),IF(LEFT(ResultsTeams[[#This Row],[Type]],1)="P",IF(ResultsTeams[[#This Row],[Goal-A]]&lt;ResultsTeams[[#This Row],[Goal-B]],1,0),""))</f>
        <v>0</v>
      </c>
      <c r="Q859" s="265">
        <f>IF(ResultsTeams[[#This Row],[Type]]="G",SUM(Q860:Q863),IF(LEFT(ResultsTeams[[#This Row],[Type]],1)="P",VALUE(ResultsTeams[[#This Row],[Score-A]]),""))</f>
        <v>0</v>
      </c>
      <c r="R859" s="265">
        <f>IF(ResultsTeams[[#This Row],[Type]]="G",SUM(R860:R863),IF(LEFT(ResultsTeams[[#This Row],[Type]],1)="P",VALUE(ResultsTeams[[#This Row],[Score-B]]),""))</f>
        <v>0</v>
      </c>
      <c r="S859" s="265" t="str">
        <f ca="1">IF(AND(ResultsTeams[[#This Row],[Category]]&lt;&gt;"",ResultsTeams[[#This Row],[Team A]]&lt;&gt;""),COUNTIF(INDIRECT("TeamsList[Club Name]"),ResultsTeams[[#This Row],[Team A]]),"")</f>
        <v/>
      </c>
      <c r="T859" s="265" t="str">
        <f ca="1">IF(AND(ResultsTeams[[#This Row],[Category]]&lt;&gt;"",ResultsTeams[[#This Row],[Team B]]&lt;&gt;""),COUNTIF(INDIRECT("TeamsList[Club Name]"),ResultsTeams[[#This Row],[Team B]]),"")</f>
        <v/>
      </c>
      <c r="U8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9" s="265" t="str">
        <f>IF(ResultsTeams[[#This Row],[Score_OK]],IF(ResultsTeams[[#This Row],[StageCpy]]="Groups",ResultsTeams[[#This Row],[Category]]&amp;"-"&amp;IF(ResultsTeams[[#This Row],[Team B]]="","",IF(ResultsTeams[[#This Row],[Match-A]]=ResultsTeams[[#This Row],[Match-B]],ResultsTeams[[#This Row],[Team A]],"")),""),"")</f>
        <v/>
      </c>
      <c r="W859" s="265" t="str">
        <f>IF(ResultsTeams[[#This Row],[Score_OK]],IF(ResultsTeams[[#This Row],[StageCpy]]="Groups",ResultsTeams[[#This Row],[Category]]&amp;"-"&amp;IF(ResultsTeams[[#This Row],[Team B]]="","",IF(ResultsTeams[[#This Row],[Match-A]]=ResultsTeams[[#This Row],[Match-B]],ResultsTeams[[#This Row],[Team B]],"")),""),"")</f>
        <v/>
      </c>
      <c r="X8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9" s="264" t="str">
        <f>IF(ResultsTeams[[#This Row],[Category]]="","",VLOOKUP(ResultsTeams[[#This Row],[Stage]],$R$1:$T$8,MATCH(ResultsTeams[[#This Row],[Category]],$S$1:$T$1,0)+1,FALSE))</f>
        <v/>
      </c>
      <c r="AC8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9" s="264">
        <f>IF(ResultsTeams[[#This Row],[Type]]="G",ResultsTeams[[#This Row],[Stage]],AD858)</f>
        <v>0</v>
      </c>
      <c r="AE859" s="395" t="e">
        <f>IF(ResultsTeams[[#This Row],[Type]]="G",INDEX(TeamsList[Club Name],MATCH(ResultsTeams[[#This Row],[Team A]],TeamsList[Team Name],0)),AE858)</f>
        <v>#N/A</v>
      </c>
      <c r="AF859" s="395" t="e">
        <f>IF(ResultsTeams[[#This Row],[Type]]="G",INDEX(TeamsList[Club Name],MATCH(ResultsTeams[[#This Row],[Team B]],TeamsList[Team Name],0)),AF858)</f>
        <v>#N/A</v>
      </c>
      <c r="AG859" s="265"/>
    </row>
    <row r="860" spans="1:33" x14ac:dyDescent="0.2">
      <c r="A860" s="60"/>
      <c r="B860" s="280"/>
      <c r="C860" s="60"/>
      <c r="D860" s="60"/>
      <c r="E860" s="240" t="s">
        <v>12231</v>
      </c>
      <c r="F860" s="244"/>
      <c r="G860" s="244"/>
      <c r="H860" s="253"/>
      <c r="I860" s="253"/>
      <c r="J860" s="253"/>
      <c r="K860" s="362"/>
      <c r="L860" s="362"/>
      <c r="M860" s="61"/>
      <c r="N860" s="265" t="b">
        <f>NOT(ISERROR(ResultsTeams[[#This Row],[Goal-A]]+ResultsTeams[[#This Row],[Goal-B]]))</f>
        <v>1</v>
      </c>
      <c r="O860" s="265">
        <f>IF(ResultsTeams[[#This Row],[Type]]="G",SUM(O861:O864),IF(LEFT(ResultsTeams[[#This Row],[Type]],1)="P",IF(ResultsTeams[[#This Row],[Goal-A]]&gt;ResultsTeams[[#This Row],[Goal-B]],1,0),""))</f>
        <v>0</v>
      </c>
      <c r="P860" s="265">
        <f>IF(ResultsTeams[[#This Row],[Type]]="G",SUM(P861:P864),IF(LEFT(ResultsTeams[[#This Row],[Type]],1)="P",IF(ResultsTeams[[#This Row],[Goal-A]]&lt;ResultsTeams[[#This Row],[Goal-B]],1,0),""))</f>
        <v>0</v>
      </c>
      <c r="Q860" s="265">
        <f>IF(ResultsTeams[[#This Row],[Type]]="G",SUM(Q861:Q864),IF(LEFT(ResultsTeams[[#This Row],[Type]],1)="P",VALUE(ResultsTeams[[#This Row],[Score-A]]),""))</f>
        <v>0</v>
      </c>
      <c r="R860" s="265">
        <f>IF(ResultsTeams[[#This Row],[Type]]="G",SUM(R861:R864),IF(LEFT(ResultsTeams[[#This Row],[Type]],1)="P",VALUE(ResultsTeams[[#This Row],[Score-B]]),""))</f>
        <v>0</v>
      </c>
      <c r="S860" s="265" t="str">
        <f ca="1">IF(AND(ResultsTeams[[#This Row],[Category]]&lt;&gt;"",ResultsTeams[[#This Row],[Team A]]&lt;&gt;""),COUNTIF(INDIRECT("TeamsList[Club Name]"),ResultsTeams[[#This Row],[Team A]]),"")</f>
        <v/>
      </c>
      <c r="T860" s="265" t="str">
        <f ca="1">IF(AND(ResultsTeams[[#This Row],[Category]]&lt;&gt;"",ResultsTeams[[#This Row],[Team B]]&lt;&gt;""),COUNTIF(INDIRECT("TeamsList[Club Name]"),ResultsTeams[[#This Row],[Team B]]),"")</f>
        <v/>
      </c>
      <c r="U8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0" s="265" t="str">
        <f>IF(ResultsTeams[[#This Row],[Score_OK]],IF(ResultsTeams[[#This Row],[StageCpy]]="Groups",ResultsTeams[[#This Row],[Category]]&amp;"-"&amp;IF(ResultsTeams[[#This Row],[Team B]]="","",IF(ResultsTeams[[#This Row],[Match-A]]=ResultsTeams[[#This Row],[Match-B]],ResultsTeams[[#This Row],[Team A]],"")),""),"")</f>
        <v/>
      </c>
      <c r="W860" s="265" t="str">
        <f>IF(ResultsTeams[[#This Row],[Score_OK]],IF(ResultsTeams[[#This Row],[StageCpy]]="Groups",ResultsTeams[[#This Row],[Category]]&amp;"-"&amp;IF(ResultsTeams[[#This Row],[Team B]]="","",IF(ResultsTeams[[#This Row],[Match-A]]=ResultsTeams[[#This Row],[Match-B]],ResultsTeams[[#This Row],[Team B]],"")),""),"")</f>
        <v/>
      </c>
      <c r="X8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0" s="264" t="str">
        <f>IF(ResultsTeams[[#This Row],[Category]]="","",VLOOKUP(ResultsTeams[[#This Row],[Stage]],$R$1:$T$8,MATCH(ResultsTeams[[#This Row],[Category]],$S$1:$T$1,0)+1,FALSE))</f>
        <v/>
      </c>
      <c r="AC8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0" s="264">
        <f>IF(ResultsTeams[[#This Row],[Type]]="G",ResultsTeams[[#This Row],[Stage]],AD859)</f>
        <v>0</v>
      </c>
      <c r="AE860" s="395" t="e">
        <f>IF(ResultsTeams[[#This Row],[Type]]="G",INDEX(TeamsList[Club Name],MATCH(ResultsTeams[[#This Row],[Team A]],TeamsList[Team Name],0)),AE859)</f>
        <v>#N/A</v>
      </c>
      <c r="AF860" s="395" t="e">
        <f>IF(ResultsTeams[[#This Row],[Type]]="G",INDEX(TeamsList[Club Name],MATCH(ResultsTeams[[#This Row],[Team B]],TeamsList[Team Name],0)),AF859)</f>
        <v>#N/A</v>
      </c>
      <c r="AG860" s="265"/>
    </row>
    <row r="861" spans="1:33" x14ac:dyDescent="0.2">
      <c r="A861" s="62"/>
      <c r="B861" s="280"/>
      <c r="C861" s="62"/>
      <c r="D861" s="62"/>
      <c r="E861" s="241" t="s">
        <v>12234</v>
      </c>
      <c r="F861" s="246"/>
      <c r="G861" s="246"/>
      <c r="H861" s="254"/>
      <c r="I861" s="254"/>
      <c r="J861" s="254"/>
      <c r="K861" s="363"/>
      <c r="L861" s="363"/>
      <c r="M861" s="63"/>
      <c r="N861" s="265" t="b">
        <f>NOT(ISERROR(ResultsTeams[[#This Row],[Goal-A]]+ResultsTeams[[#This Row],[Goal-B]]))</f>
        <v>1</v>
      </c>
      <c r="O861" s="265">
        <f>IF(ResultsTeams[[#This Row],[Type]]="G",SUM(O862:O865),IF(LEFT(ResultsTeams[[#This Row],[Type]],1)="P",IF(ResultsTeams[[#This Row],[Goal-A]]&gt;ResultsTeams[[#This Row],[Goal-B]],1,0),""))</f>
        <v>0</v>
      </c>
      <c r="P861" s="265">
        <f>IF(ResultsTeams[[#This Row],[Type]]="G",SUM(P862:P865),IF(LEFT(ResultsTeams[[#This Row],[Type]],1)="P",IF(ResultsTeams[[#This Row],[Goal-A]]&lt;ResultsTeams[[#This Row],[Goal-B]],1,0),""))</f>
        <v>0</v>
      </c>
      <c r="Q861" s="265">
        <f>IF(ResultsTeams[[#This Row],[Type]]="G",SUM(Q862:Q865),IF(LEFT(ResultsTeams[[#This Row],[Type]],1)="P",VALUE(ResultsTeams[[#This Row],[Score-A]]),""))</f>
        <v>0</v>
      </c>
      <c r="R861" s="265">
        <f>IF(ResultsTeams[[#This Row],[Type]]="G",SUM(R862:R865),IF(LEFT(ResultsTeams[[#This Row],[Type]],1)="P",VALUE(ResultsTeams[[#This Row],[Score-B]]),""))</f>
        <v>0</v>
      </c>
      <c r="S861" s="265" t="str">
        <f ca="1">IF(AND(ResultsTeams[[#This Row],[Category]]&lt;&gt;"",ResultsTeams[[#This Row],[Team A]]&lt;&gt;""),COUNTIF(INDIRECT("TeamsList[Club Name]"),ResultsTeams[[#This Row],[Team A]]),"")</f>
        <v/>
      </c>
      <c r="T861" s="265" t="str">
        <f ca="1">IF(AND(ResultsTeams[[#This Row],[Category]]&lt;&gt;"",ResultsTeams[[#This Row],[Team B]]&lt;&gt;""),COUNTIF(INDIRECT("TeamsList[Club Name]"),ResultsTeams[[#This Row],[Team B]]),"")</f>
        <v/>
      </c>
      <c r="U8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1" s="265" t="str">
        <f>IF(ResultsTeams[[#This Row],[Score_OK]],IF(ResultsTeams[[#This Row],[StageCpy]]="Groups",ResultsTeams[[#This Row],[Category]]&amp;"-"&amp;IF(ResultsTeams[[#This Row],[Team B]]="","",IF(ResultsTeams[[#This Row],[Match-A]]=ResultsTeams[[#This Row],[Match-B]],ResultsTeams[[#This Row],[Team A]],"")),""),"")</f>
        <v/>
      </c>
      <c r="W861" s="265" t="str">
        <f>IF(ResultsTeams[[#This Row],[Score_OK]],IF(ResultsTeams[[#This Row],[StageCpy]]="Groups",ResultsTeams[[#This Row],[Category]]&amp;"-"&amp;IF(ResultsTeams[[#This Row],[Team B]]="","",IF(ResultsTeams[[#This Row],[Match-A]]=ResultsTeams[[#This Row],[Match-B]],ResultsTeams[[#This Row],[Team B]],"")),""),"")</f>
        <v/>
      </c>
      <c r="X8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1" s="264" t="str">
        <f>IF(ResultsTeams[[#This Row],[Category]]="","",VLOOKUP(ResultsTeams[[#This Row],[Stage]],$R$1:$T$8,MATCH(ResultsTeams[[#This Row],[Category]],$S$1:$T$1,0)+1,FALSE))</f>
        <v/>
      </c>
      <c r="AC8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1" s="264">
        <f>IF(ResultsTeams[[#This Row],[Type]]="G",ResultsTeams[[#This Row],[Stage]],AD860)</f>
        <v>0</v>
      </c>
      <c r="AE861" s="395" t="e">
        <f>IF(ResultsTeams[[#This Row],[Type]]="G",INDEX(TeamsList[Club Name],MATCH(ResultsTeams[[#This Row],[Team A]],TeamsList[Team Name],0)),AE860)</f>
        <v>#N/A</v>
      </c>
      <c r="AF861" s="395" t="e">
        <f>IF(ResultsTeams[[#This Row],[Type]]="G",INDEX(TeamsList[Club Name],MATCH(ResultsTeams[[#This Row],[Team B]],TeamsList[Team Name],0)),AF860)</f>
        <v>#N/A</v>
      </c>
      <c r="AG861" s="265"/>
    </row>
    <row r="862" spans="1:33" x14ac:dyDescent="0.2">
      <c r="A862" s="62"/>
      <c r="B862" s="280"/>
      <c r="C862" s="62"/>
      <c r="D862" s="62"/>
      <c r="E862" s="241" t="s">
        <v>12237</v>
      </c>
      <c r="F862" s="246"/>
      <c r="G862" s="246"/>
      <c r="H862" s="254"/>
      <c r="I862" s="254"/>
      <c r="J862" s="254"/>
      <c r="K862" s="363"/>
      <c r="L862" s="363"/>
      <c r="M862" s="63"/>
      <c r="N862" s="265" t="b">
        <f>NOT(ISERROR(ResultsTeams[[#This Row],[Goal-A]]+ResultsTeams[[#This Row],[Goal-B]]))</f>
        <v>1</v>
      </c>
      <c r="O862" s="265">
        <f>IF(ResultsTeams[[#This Row],[Type]]="G",SUM(O863:O866),IF(LEFT(ResultsTeams[[#This Row],[Type]],1)="P",IF(ResultsTeams[[#This Row],[Goal-A]]&gt;ResultsTeams[[#This Row],[Goal-B]],1,0),""))</f>
        <v>0</v>
      </c>
      <c r="P862" s="265">
        <f>IF(ResultsTeams[[#This Row],[Type]]="G",SUM(P863:P866),IF(LEFT(ResultsTeams[[#This Row],[Type]],1)="P",IF(ResultsTeams[[#This Row],[Goal-A]]&lt;ResultsTeams[[#This Row],[Goal-B]],1,0),""))</f>
        <v>0</v>
      </c>
      <c r="Q862" s="265">
        <f>IF(ResultsTeams[[#This Row],[Type]]="G",SUM(Q863:Q866),IF(LEFT(ResultsTeams[[#This Row],[Type]],1)="P",VALUE(ResultsTeams[[#This Row],[Score-A]]),""))</f>
        <v>0</v>
      </c>
      <c r="R862" s="265">
        <f>IF(ResultsTeams[[#This Row],[Type]]="G",SUM(R863:R866),IF(LEFT(ResultsTeams[[#This Row],[Type]],1)="P",VALUE(ResultsTeams[[#This Row],[Score-B]]),""))</f>
        <v>0</v>
      </c>
      <c r="S862" s="265" t="str">
        <f ca="1">IF(AND(ResultsTeams[[#This Row],[Category]]&lt;&gt;"",ResultsTeams[[#This Row],[Team A]]&lt;&gt;""),COUNTIF(INDIRECT("TeamsList[Club Name]"),ResultsTeams[[#This Row],[Team A]]),"")</f>
        <v/>
      </c>
      <c r="T862" s="265" t="str">
        <f ca="1">IF(AND(ResultsTeams[[#This Row],[Category]]&lt;&gt;"",ResultsTeams[[#This Row],[Team B]]&lt;&gt;""),COUNTIF(INDIRECT("TeamsList[Club Name]"),ResultsTeams[[#This Row],[Team B]]),"")</f>
        <v/>
      </c>
      <c r="U8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2" s="265" t="str">
        <f>IF(ResultsTeams[[#This Row],[Score_OK]],IF(ResultsTeams[[#This Row],[StageCpy]]="Groups",ResultsTeams[[#This Row],[Category]]&amp;"-"&amp;IF(ResultsTeams[[#This Row],[Team B]]="","",IF(ResultsTeams[[#This Row],[Match-A]]=ResultsTeams[[#This Row],[Match-B]],ResultsTeams[[#This Row],[Team A]],"")),""),"")</f>
        <v/>
      </c>
      <c r="W862" s="265" t="str">
        <f>IF(ResultsTeams[[#This Row],[Score_OK]],IF(ResultsTeams[[#This Row],[StageCpy]]="Groups",ResultsTeams[[#This Row],[Category]]&amp;"-"&amp;IF(ResultsTeams[[#This Row],[Team B]]="","",IF(ResultsTeams[[#This Row],[Match-A]]=ResultsTeams[[#This Row],[Match-B]],ResultsTeams[[#This Row],[Team B]],"")),""),"")</f>
        <v/>
      </c>
      <c r="X8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2" s="264" t="str">
        <f>IF(ResultsTeams[[#This Row],[Category]]="","",VLOOKUP(ResultsTeams[[#This Row],[Stage]],$R$1:$T$8,MATCH(ResultsTeams[[#This Row],[Category]],$S$1:$T$1,0)+1,FALSE))</f>
        <v/>
      </c>
      <c r="AC8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2" s="264">
        <f>IF(ResultsTeams[[#This Row],[Type]]="G",ResultsTeams[[#This Row],[Stage]],AD861)</f>
        <v>0</v>
      </c>
      <c r="AE862" s="395" t="e">
        <f>IF(ResultsTeams[[#This Row],[Type]]="G",INDEX(TeamsList[Club Name],MATCH(ResultsTeams[[#This Row],[Team A]],TeamsList[Team Name],0)),AE861)</f>
        <v>#N/A</v>
      </c>
      <c r="AF862" s="395" t="e">
        <f>IF(ResultsTeams[[#This Row],[Type]]="G",INDEX(TeamsList[Club Name],MATCH(ResultsTeams[[#This Row],[Team B]],TeamsList[Team Name],0)),AF861)</f>
        <v>#N/A</v>
      </c>
      <c r="AG862" s="265"/>
    </row>
    <row r="863" spans="1:33" x14ac:dyDescent="0.2">
      <c r="A863" s="62"/>
      <c r="B863" s="280"/>
      <c r="C863" s="62"/>
      <c r="D863" s="62"/>
      <c r="E863" s="241" t="s">
        <v>12240</v>
      </c>
      <c r="F863" s="246"/>
      <c r="G863" s="246"/>
      <c r="H863" s="254"/>
      <c r="I863" s="254"/>
      <c r="J863" s="254"/>
      <c r="K863" s="363"/>
      <c r="L863" s="363"/>
      <c r="M863" s="63"/>
      <c r="N863" s="265" t="b">
        <f>NOT(ISERROR(ResultsTeams[[#This Row],[Goal-A]]+ResultsTeams[[#This Row],[Goal-B]]))</f>
        <v>1</v>
      </c>
      <c r="O863" s="265">
        <f>IF(ResultsTeams[[#This Row],[Type]]="G",SUM(O864:O867),IF(LEFT(ResultsTeams[[#This Row],[Type]],1)="P",IF(ResultsTeams[[#This Row],[Goal-A]]&gt;ResultsTeams[[#This Row],[Goal-B]],1,0),""))</f>
        <v>0</v>
      </c>
      <c r="P863" s="265">
        <f>IF(ResultsTeams[[#This Row],[Type]]="G",SUM(P864:P867),IF(LEFT(ResultsTeams[[#This Row],[Type]],1)="P",IF(ResultsTeams[[#This Row],[Goal-A]]&lt;ResultsTeams[[#This Row],[Goal-B]],1,0),""))</f>
        <v>0</v>
      </c>
      <c r="Q863" s="265">
        <f>IF(ResultsTeams[[#This Row],[Type]]="G",SUM(Q864:Q867),IF(LEFT(ResultsTeams[[#This Row],[Type]],1)="P",VALUE(ResultsTeams[[#This Row],[Score-A]]),""))</f>
        <v>0</v>
      </c>
      <c r="R863" s="265">
        <f>IF(ResultsTeams[[#This Row],[Type]]="G",SUM(R864:R867),IF(LEFT(ResultsTeams[[#This Row],[Type]],1)="P",VALUE(ResultsTeams[[#This Row],[Score-B]]),""))</f>
        <v>0</v>
      </c>
      <c r="S863" s="265" t="str">
        <f ca="1">IF(AND(ResultsTeams[[#This Row],[Category]]&lt;&gt;"",ResultsTeams[[#This Row],[Team A]]&lt;&gt;""),COUNTIF(INDIRECT("TeamsList[Club Name]"),ResultsTeams[[#This Row],[Team A]]),"")</f>
        <v/>
      </c>
      <c r="T863" s="265" t="str">
        <f ca="1">IF(AND(ResultsTeams[[#This Row],[Category]]&lt;&gt;"",ResultsTeams[[#This Row],[Team B]]&lt;&gt;""),COUNTIF(INDIRECT("TeamsList[Club Name]"),ResultsTeams[[#This Row],[Team B]]),"")</f>
        <v/>
      </c>
      <c r="U8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3" s="265" t="str">
        <f>IF(ResultsTeams[[#This Row],[Score_OK]],IF(ResultsTeams[[#This Row],[StageCpy]]="Groups",ResultsTeams[[#This Row],[Category]]&amp;"-"&amp;IF(ResultsTeams[[#This Row],[Team B]]="","",IF(ResultsTeams[[#This Row],[Match-A]]=ResultsTeams[[#This Row],[Match-B]],ResultsTeams[[#This Row],[Team A]],"")),""),"")</f>
        <v/>
      </c>
      <c r="W863" s="265" t="str">
        <f>IF(ResultsTeams[[#This Row],[Score_OK]],IF(ResultsTeams[[#This Row],[StageCpy]]="Groups",ResultsTeams[[#This Row],[Category]]&amp;"-"&amp;IF(ResultsTeams[[#This Row],[Team B]]="","",IF(ResultsTeams[[#This Row],[Match-A]]=ResultsTeams[[#This Row],[Match-B]],ResultsTeams[[#This Row],[Team B]],"")),""),"")</f>
        <v/>
      </c>
      <c r="X8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3" s="264" t="str">
        <f>IF(ResultsTeams[[#This Row],[Category]]="","",VLOOKUP(ResultsTeams[[#This Row],[Stage]],$R$1:$T$8,MATCH(ResultsTeams[[#This Row],[Category]],$S$1:$T$1,0)+1,FALSE))</f>
        <v/>
      </c>
      <c r="AC8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3" s="264">
        <f>IF(ResultsTeams[[#This Row],[Type]]="G",ResultsTeams[[#This Row],[Stage]],AD862)</f>
        <v>0</v>
      </c>
      <c r="AE863" s="395" t="e">
        <f>IF(ResultsTeams[[#This Row],[Type]]="G",INDEX(TeamsList[Club Name],MATCH(ResultsTeams[[#This Row],[Team A]],TeamsList[Team Name],0)),AE862)</f>
        <v>#N/A</v>
      </c>
      <c r="AF863" s="395" t="e">
        <f>IF(ResultsTeams[[#This Row],[Type]]="G",INDEX(TeamsList[Club Name],MATCH(ResultsTeams[[#This Row],[Team B]],TeamsList[Team Name],0)),AF862)</f>
        <v>#N/A</v>
      </c>
      <c r="AG863" s="265"/>
    </row>
    <row r="864" spans="1:33" x14ac:dyDescent="0.2">
      <c r="A864" s="62"/>
      <c r="B864" s="62"/>
      <c r="C864" s="62"/>
      <c r="D864" s="62"/>
      <c r="E864" s="241" t="s">
        <v>12243</v>
      </c>
      <c r="F864" s="247"/>
      <c r="G864" s="247"/>
      <c r="H864" s="254"/>
      <c r="I864" s="254"/>
      <c r="J864" s="260"/>
      <c r="K864" s="364"/>
      <c r="L864" s="364"/>
      <c r="M864" s="63"/>
      <c r="N864" s="265" t="b">
        <f>NOT(ISERROR(ResultsTeams[[#This Row],[Goal-A]]+ResultsTeams[[#This Row],[Goal-B]]))</f>
        <v>0</v>
      </c>
      <c r="O864" s="265" t="str">
        <f>IF(ResultsTeams[[#This Row],[Type]]="G",SUM(O865:O868),IF(LEFT(ResultsTeams[[#This Row],[Type]],1)="P",IF(ResultsTeams[[#This Row],[Goal-A]]&gt;ResultsTeams[[#This Row],[Goal-B]],1,0),""))</f>
        <v/>
      </c>
      <c r="P864" s="265" t="str">
        <f>IF(ResultsTeams[[#This Row],[Type]]="G",SUM(P865:P868),IF(LEFT(ResultsTeams[[#This Row],[Type]],1)="P",IF(ResultsTeams[[#This Row],[Goal-A]]&lt;ResultsTeams[[#This Row],[Goal-B]],1,0),""))</f>
        <v/>
      </c>
      <c r="Q864" s="265" t="str">
        <f>IF(ResultsTeams[[#This Row],[Type]]="G",SUM(Q865:Q868),IF(LEFT(ResultsTeams[[#This Row],[Type]],1)="P",VALUE(ResultsTeams[[#This Row],[Score-A]]),""))</f>
        <v/>
      </c>
      <c r="R864" s="265" t="str">
        <f>IF(ResultsTeams[[#This Row],[Type]]="G",SUM(R865:R868),IF(LEFT(ResultsTeams[[#This Row],[Type]],1)="P",VALUE(ResultsTeams[[#This Row],[Score-B]]),""))</f>
        <v/>
      </c>
      <c r="S864" s="265" t="str">
        <f ca="1">IF(AND(ResultsTeams[[#This Row],[Category]]&lt;&gt;"",ResultsTeams[[#This Row],[Team A]]&lt;&gt;""),COUNTIF(INDIRECT("TeamsList[Club Name]"),ResultsTeams[[#This Row],[Team A]]),"")</f>
        <v/>
      </c>
      <c r="T864" s="265" t="str">
        <f ca="1">IF(AND(ResultsTeams[[#This Row],[Category]]&lt;&gt;"",ResultsTeams[[#This Row],[Team B]]&lt;&gt;""),COUNTIF(INDIRECT("TeamsList[Club Name]"),ResultsTeams[[#This Row],[Team B]]),"")</f>
        <v/>
      </c>
      <c r="U8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4" s="265" t="str">
        <f>IF(ResultsTeams[[#This Row],[Score_OK]],IF(ResultsTeams[[#This Row],[StageCpy]]="Groups",ResultsTeams[[#This Row],[Category]]&amp;"-"&amp;IF(ResultsTeams[[#This Row],[Team B]]="","",IF(ResultsTeams[[#This Row],[Match-A]]=ResultsTeams[[#This Row],[Match-B]],ResultsTeams[[#This Row],[Team A]],"")),""),"")</f>
        <v/>
      </c>
      <c r="W864" s="265" t="str">
        <f>IF(ResultsTeams[[#This Row],[Score_OK]],IF(ResultsTeams[[#This Row],[StageCpy]]="Groups",ResultsTeams[[#This Row],[Category]]&amp;"-"&amp;IF(ResultsTeams[[#This Row],[Team B]]="","",IF(ResultsTeams[[#This Row],[Match-A]]=ResultsTeams[[#This Row],[Match-B]],ResultsTeams[[#This Row],[Team B]],"")),""),"")</f>
        <v/>
      </c>
      <c r="X8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4" s="264" t="str">
        <f>IF(ResultsTeams[[#This Row],[Category]]="","",VLOOKUP(ResultsTeams[[#This Row],[Stage]],$R$1:$T$8,MATCH(ResultsTeams[[#This Row],[Category]],$S$1:$T$1,0)+1,FALSE))</f>
        <v/>
      </c>
      <c r="AC8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4" s="264">
        <f>IF(ResultsTeams[[#This Row],[Type]]="G",ResultsTeams[[#This Row],[Stage]],AD863)</f>
        <v>0</v>
      </c>
      <c r="AE864" s="395" t="e">
        <f>IF(ResultsTeams[[#This Row],[Type]]="G",INDEX(TeamsList[Club Name],MATCH(ResultsTeams[[#This Row],[Team A]],TeamsList[Team Name],0)),AE863)</f>
        <v>#N/A</v>
      </c>
      <c r="AF864" s="395" t="e">
        <f>IF(ResultsTeams[[#This Row],[Type]]="G",INDEX(TeamsList[Club Name],MATCH(ResultsTeams[[#This Row],[Team B]],TeamsList[Team Name],0)),AF863)</f>
        <v>#N/A</v>
      </c>
      <c r="AG864" s="265"/>
    </row>
    <row r="865" spans="1:33" ht="12" thickBot="1" x14ac:dyDescent="0.25">
      <c r="A865" s="83"/>
      <c r="B865" s="83"/>
      <c r="C865" s="83"/>
      <c r="D865" s="83"/>
      <c r="E865" s="268" t="s">
        <v>12244</v>
      </c>
      <c r="F865" s="262"/>
      <c r="G865" s="262"/>
      <c r="H865" s="324"/>
      <c r="I865" s="324"/>
      <c r="J865" s="263"/>
      <c r="K865" s="365"/>
      <c r="L865" s="365"/>
      <c r="M865" s="84"/>
      <c r="N865" s="265" t="b">
        <f>NOT(ISERROR(ResultsTeams[[#This Row],[Goal-A]]+ResultsTeams[[#This Row],[Goal-B]]))</f>
        <v>0</v>
      </c>
      <c r="O865" s="265" t="str">
        <f>IF(ResultsTeams[[#This Row],[Type]]="G",SUM(O866:O869),IF(LEFT(ResultsTeams[[#This Row],[Type]],1)="P",IF(ResultsTeams[[#This Row],[Goal-A]]&gt;ResultsTeams[[#This Row],[Goal-B]],1,0),""))</f>
        <v/>
      </c>
      <c r="P865" s="265" t="str">
        <f>IF(ResultsTeams[[#This Row],[Type]]="G",SUM(P866:P869),IF(LEFT(ResultsTeams[[#This Row],[Type]],1)="P",IF(ResultsTeams[[#This Row],[Goal-A]]&lt;ResultsTeams[[#This Row],[Goal-B]],1,0),""))</f>
        <v/>
      </c>
      <c r="Q865" s="265" t="str">
        <f>IF(ResultsTeams[[#This Row],[Type]]="G",SUM(Q866:Q869),IF(LEFT(ResultsTeams[[#This Row],[Type]],1)="P",VALUE(ResultsTeams[[#This Row],[Score-A]]),""))</f>
        <v/>
      </c>
      <c r="R865" s="265" t="str">
        <f>IF(ResultsTeams[[#This Row],[Type]]="G",SUM(R866:R869),IF(LEFT(ResultsTeams[[#This Row],[Type]],1)="P",VALUE(ResultsTeams[[#This Row],[Score-B]]),""))</f>
        <v/>
      </c>
      <c r="S865" s="265" t="str">
        <f ca="1">IF(AND(ResultsTeams[[#This Row],[Category]]&lt;&gt;"",ResultsTeams[[#This Row],[Team A]]&lt;&gt;""),COUNTIF(INDIRECT("TeamsList[Club Name]"),ResultsTeams[[#This Row],[Team A]]),"")</f>
        <v/>
      </c>
      <c r="T865" s="265" t="str">
        <f ca="1">IF(AND(ResultsTeams[[#This Row],[Category]]&lt;&gt;"",ResultsTeams[[#This Row],[Team B]]&lt;&gt;""),COUNTIF(INDIRECT("TeamsList[Club Name]"),ResultsTeams[[#This Row],[Team B]]),"")</f>
        <v/>
      </c>
      <c r="U8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5" s="265" t="str">
        <f>IF(ResultsTeams[[#This Row],[Score_OK]],IF(ResultsTeams[[#This Row],[StageCpy]]="Groups",ResultsTeams[[#This Row],[Category]]&amp;"-"&amp;IF(ResultsTeams[[#This Row],[Team B]]="","",IF(ResultsTeams[[#This Row],[Match-A]]=ResultsTeams[[#This Row],[Match-B]],ResultsTeams[[#This Row],[Team A]],"")),""),"")</f>
        <v/>
      </c>
      <c r="W865" s="265" t="str">
        <f>IF(ResultsTeams[[#This Row],[Score_OK]],IF(ResultsTeams[[#This Row],[StageCpy]]="Groups",ResultsTeams[[#This Row],[Category]]&amp;"-"&amp;IF(ResultsTeams[[#This Row],[Team B]]="","",IF(ResultsTeams[[#This Row],[Match-A]]=ResultsTeams[[#This Row],[Match-B]],ResultsTeams[[#This Row],[Team B]],"")),""),"")</f>
        <v/>
      </c>
      <c r="X8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5" s="264" t="str">
        <f>IF(ResultsTeams[[#This Row],[Category]]="","",VLOOKUP(ResultsTeams[[#This Row],[Stage]],$R$1:$T$8,MATCH(ResultsTeams[[#This Row],[Category]],$S$1:$T$1,0)+1,FALSE))</f>
        <v/>
      </c>
      <c r="AC8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5" s="264">
        <f>IF(ResultsTeams[[#This Row],[Type]]="G",ResultsTeams[[#This Row],[Stage]],AD864)</f>
        <v>0</v>
      </c>
      <c r="AE865" s="395" t="e">
        <f>IF(ResultsTeams[[#This Row],[Type]]="G",INDEX(TeamsList[Club Name],MATCH(ResultsTeams[[#This Row],[Team A]],TeamsList[Team Name],0)),AE864)</f>
        <v>#N/A</v>
      </c>
      <c r="AF865" s="395" t="e">
        <f>IF(ResultsTeams[[#This Row],[Type]]="G",INDEX(TeamsList[Club Name],MATCH(ResultsTeams[[#This Row],[Team B]],TeamsList[Team Name],0)),AF864)</f>
        <v>#N/A</v>
      </c>
      <c r="AG865" s="265"/>
    </row>
    <row r="866" spans="1:33" ht="12" thickBot="1" x14ac:dyDescent="0.25">
      <c r="A866" s="261"/>
      <c r="B866" s="270"/>
      <c r="C866" s="270"/>
      <c r="D866" s="270"/>
      <c r="E866" s="272" t="s">
        <v>12228</v>
      </c>
      <c r="F866" s="273"/>
      <c r="G866" s="273"/>
      <c r="H866" s="275"/>
      <c r="I866" s="275"/>
      <c r="J866" s="275"/>
      <c r="K866" s="366"/>
      <c r="L866" s="366"/>
      <c r="M866" s="274"/>
      <c r="N866" s="265" t="b">
        <f>NOT(ISERROR(ResultsTeams[[#This Row],[Goal-A]]+ResultsTeams[[#This Row],[Goal-B]]))</f>
        <v>1</v>
      </c>
      <c r="O866" s="265">
        <f>IF(ResultsTeams[[#This Row],[Type]]="G",SUM(O867:O870),IF(LEFT(ResultsTeams[[#This Row],[Type]],1)="P",IF(ResultsTeams[[#This Row],[Goal-A]]&gt;ResultsTeams[[#This Row],[Goal-B]],1,0),""))</f>
        <v>0</v>
      </c>
      <c r="P866" s="265">
        <f>IF(ResultsTeams[[#This Row],[Type]]="G",SUM(P867:P870),IF(LEFT(ResultsTeams[[#This Row],[Type]],1)="P",IF(ResultsTeams[[#This Row],[Goal-A]]&lt;ResultsTeams[[#This Row],[Goal-B]],1,0),""))</f>
        <v>0</v>
      </c>
      <c r="Q866" s="265">
        <f>IF(ResultsTeams[[#This Row],[Type]]="G",SUM(Q867:Q870),IF(LEFT(ResultsTeams[[#This Row],[Type]],1)="P",VALUE(ResultsTeams[[#This Row],[Score-A]]),""))</f>
        <v>0</v>
      </c>
      <c r="R866" s="265">
        <f>IF(ResultsTeams[[#This Row],[Type]]="G",SUM(R867:R870),IF(LEFT(ResultsTeams[[#This Row],[Type]],1)="P",VALUE(ResultsTeams[[#This Row],[Score-B]]),""))</f>
        <v>0</v>
      </c>
      <c r="S866" s="265" t="str">
        <f ca="1">IF(AND(ResultsTeams[[#This Row],[Category]]&lt;&gt;"",ResultsTeams[[#This Row],[Team A]]&lt;&gt;""),COUNTIF(INDIRECT("TeamsList[Club Name]"),ResultsTeams[[#This Row],[Team A]]),"")</f>
        <v/>
      </c>
      <c r="T866" s="265" t="str">
        <f ca="1">IF(AND(ResultsTeams[[#This Row],[Category]]&lt;&gt;"",ResultsTeams[[#This Row],[Team B]]&lt;&gt;""),COUNTIF(INDIRECT("TeamsList[Club Name]"),ResultsTeams[[#This Row],[Team B]]),"")</f>
        <v/>
      </c>
      <c r="U8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6" s="265" t="str">
        <f>IF(ResultsTeams[[#This Row],[Score_OK]],IF(ResultsTeams[[#This Row],[StageCpy]]="Groups",ResultsTeams[[#This Row],[Category]]&amp;"-"&amp;IF(ResultsTeams[[#This Row],[Team B]]="","",IF(ResultsTeams[[#This Row],[Match-A]]=ResultsTeams[[#This Row],[Match-B]],ResultsTeams[[#This Row],[Team A]],"")),""),"")</f>
        <v/>
      </c>
      <c r="W866" s="265" t="str">
        <f>IF(ResultsTeams[[#This Row],[Score_OK]],IF(ResultsTeams[[#This Row],[StageCpy]]="Groups",ResultsTeams[[#This Row],[Category]]&amp;"-"&amp;IF(ResultsTeams[[#This Row],[Team B]]="","",IF(ResultsTeams[[#This Row],[Match-A]]=ResultsTeams[[#This Row],[Match-B]],ResultsTeams[[#This Row],[Team B]],"")),""),"")</f>
        <v/>
      </c>
      <c r="X8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6" s="264" t="str">
        <f>IF(ResultsTeams[[#This Row],[Category]]="","",VLOOKUP(ResultsTeams[[#This Row],[Stage]],$R$1:$T$8,MATCH(ResultsTeams[[#This Row],[Category]],$S$1:$T$1,0)+1,FALSE))</f>
        <v/>
      </c>
      <c r="AC8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6" s="264">
        <f>IF(ResultsTeams[[#This Row],[Type]]="G",ResultsTeams[[#This Row],[Stage]],AD865)</f>
        <v>0</v>
      </c>
      <c r="AE866" s="395" t="e">
        <f>IF(ResultsTeams[[#This Row],[Type]]="G",INDEX(TeamsList[Club Name],MATCH(ResultsTeams[[#This Row],[Team A]],TeamsList[Team Name],0)),AE865)</f>
        <v>#N/A</v>
      </c>
      <c r="AF866" s="395" t="e">
        <f>IF(ResultsTeams[[#This Row],[Type]]="G",INDEX(TeamsList[Club Name],MATCH(ResultsTeams[[#This Row],[Team B]],TeamsList[Team Name],0)),AF865)</f>
        <v>#N/A</v>
      </c>
      <c r="AG866" s="265"/>
    </row>
    <row r="867" spans="1:33" x14ac:dyDescent="0.2">
      <c r="A867" s="60"/>
      <c r="B867" s="280"/>
      <c r="C867" s="60"/>
      <c r="D867" s="60"/>
      <c r="E867" s="240" t="s">
        <v>12231</v>
      </c>
      <c r="F867" s="244"/>
      <c r="G867" s="244"/>
      <c r="H867" s="253"/>
      <c r="I867" s="253"/>
      <c r="J867" s="253"/>
      <c r="K867" s="362"/>
      <c r="L867" s="362"/>
      <c r="M867" s="245"/>
      <c r="N867" s="265" t="b">
        <f>NOT(ISERROR(ResultsTeams[[#This Row],[Goal-A]]+ResultsTeams[[#This Row],[Goal-B]]))</f>
        <v>1</v>
      </c>
      <c r="O867" s="265">
        <f>IF(ResultsTeams[[#This Row],[Type]]="G",SUM(O868:O871),IF(LEFT(ResultsTeams[[#This Row],[Type]],1)="P",IF(ResultsTeams[[#This Row],[Goal-A]]&gt;ResultsTeams[[#This Row],[Goal-B]],1,0),""))</f>
        <v>0</v>
      </c>
      <c r="P867" s="265">
        <f>IF(ResultsTeams[[#This Row],[Type]]="G",SUM(P868:P871),IF(LEFT(ResultsTeams[[#This Row],[Type]],1)="P",IF(ResultsTeams[[#This Row],[Goal-A]]&lt;ResultsTeams[[#This Row],[Goal-B]],1,0),""))</f>
        <v>0</v>
      </c>
      <c r="Q867" s="265">
        <f>IF(ResultsTeams[[#This Row],[Type]]="G",SUM(Q868:Q871),IF(LEFT(ResultsTeams[[#This Row],[Type]],1)="P",VALUE(ResultsTeams[[#This Row],[Score-A]]),""))</f>
        <v>0</v>
      </c>
      <c r="R867" s="265">
        <f>IF(ResultsTeams[[#This Row],[Type]]="G",SUM(R868:R871),IF(LEFT(ResultsTeams[[#This Row],[Type]],1)="P",VALUE(ResultsTeams[[#This Row],[Score-B]]),""))</f>
        <v>0</v>
      </c>
      <c r="S867" s="265" t="str">
        <f ca="1">IF(AND(ResultsTeams[[#This Row],[Category]]&lt;&gt;"",ResultsTeams[[#This Row],[Team A]]&lt;&gt;""),COUNTIF(INDIRECT("TeamsList[Club Name]"),ResultsTeams[[#This Row],[Team A]]),"")</f>
        <v/>
      </c>
      <c r="T867" s="265" t="str">
        <f ca="1">IF(AND(ResultsTeams[[#This Row],[Category]]&lt;&gt;"",ResultsTeams[[#This Row],[Team B]]&lt;&gt;""),COUNTIF(INDIRECT("TeamsList[Club Name]"),ResultsTeams[[#This Row],[Team B]]),"")</f>
        <v/>
      </c>
      <c r="U8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7" s="265" t="str">
        <f>IF(ResultsTeams[[#This Row],[Score_OK]],IF(ResultsTeams[[#This Row],[StageCpy]]="Groups",ResultsTeams[[#This Row],[Category]]&amp;"-"&amp;IF(ResultsTeams[[#This Row],[Team B]]="","",IF(ResultsTeams[[#This Row],[Match-A]]=ResultsTeams[[#This Row],[Match-B]],ResultsTeams[[#This Row],[Team A]],"")),""),"")</f>
        <v/>
      </c>
      <c r="W867" s="265" t="str">
        <f>IF(ResultsTeams[[#This Row],[Score_OK]],IF(ResultsTeams[[#This Row],[StageCpy]]="Groups",ResultsTeams[[#This Row],[Category]]&amp;"-"&amp;IF(ResultsTeams[[#This Row],[Team B]]="","",IF(ResultsTeams[[#This Row],[Match-A]]=ResultsTeams[[#This Row],[Match-B]],ResultsTeams[[#This Row],[Team B]],"")),""),"")</f>
        <v/>
      </c>
      <c r="X8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7" s="264" t="str">
        <f>IF(ResultsTeams[[#This Row],[Category]]="","",VLOOKUP(ResultsTeams[[#This Row],[Stage]],$R$1:$T$8,MATCH(ResultsTeams[[#This Row],[Category]],$S$1:$T$1,0)+1,FALSE))</f>
        <v/>
      </c>
      <c r="AC8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7" s="264">
        <f>IF(ResultsTeams[[#This Row],[Type]]="G",ResultsTeams[[#This Row],[Stage]],AD866)</f>
        <v>0</v>
      </c>
      <c r="AE867" s="395" t="e">
        <f>IF(ResultsTeams[[#This Row],[Type]]="G",INDEX(TeamsList[Club Name],MATCH(ResultsTeams[[#This Row],[Team A]],TeamsList[Team Name],0)),AE866)</f>
        <v>#N/A</v>
      </c>
      <c r="AF867" s="395" t="e">
        <f>IF(ResultsTeams[[#This Row],[Type]]="G",INDEX(TeamsList[Club Name],MATCH(ResultsTeams[[#This Row],[Team B]],TeamsList[Team Name],0)),AF866)</f>
        <v>#N/A</v>
      </c>
      <c r="AG867" s="265"/>
    </row>
    <row r="868" spans="1:33" x14ac:dyDescent="0.2">
      <c r="A868" s="62"/>
      <c r="B868" s="280"/>
      <c r="C868" s="62"/>
      <c r="D868" s="62"/>
      <c r="E868" s="241" t="s">
        <v>12234</v>
      </c>
      <c r="F868" s="246"/>
      <c r="G868" s="246"/>
      <c r="H868" s="254"/>
      <c r="I868" s="254"/>
      <c r="J868" s="254"/>
      <c r="K868" s="363"/>
      <c r="L868" s="363"/>
      <c r="M868" s="247"/>
      <c r="N868" s="265" t="b">
        <f>NOT(ISERROR(ResultsTeams[[#This Row],[Goal-A]]+ResultsTeams[[#This Row],[Goal-B]]))</f>
        <v>1</v>
      </c>
      <c r="O868" s="265">
        <f>IF(ResultsTeams[[#This Row],[Type]]="G",SUM(O869:O872),IF(LEFT(ResultsTeams[[#This Row],[Type]],1)="P",IF(ResultsTeams[[#This Row],[Goal-A]]&gt;ResultsTeams[[#This Row],[Goal-B]],1,0),""))</f>
        <v>0</v>
      </c>
      <c r="P868" s="265">
        <f>IF(ResultsTeams[[#This Row],[Type]]="G",SUM(P869:P872),IF(LEFT(ResultsTeams[[#This Row],[Type]],1)="P",IF(ResultsTeams[[#This Row],[Goal-A]]&lt;ResultsTeams[[#This Row],[Goal-B]],1,0),""))</f>
        <v>0</v>
      </c>
      <c r="Q868" s="265">
        <f>IF(ResultsTeams[[#This Row],[Type]]="G",SUM(Q869:Q872),IF(LEFT(ResultsTeams[[#This Row],[Type]],1)="P",VALUE(ResultsTeams[[#This Row],[Score-A]]),""))</f>
        <v>0</v>
      </c>
      <c r="R868" s="265">
        <f>IF(ResultsTeams[[#This Row],[Type]]="G",SUM(R869:R872),IF(LEFT(ResultsTeams[[#This Row],[Type]],1)="P",VALUE(ResultsTeams[[#This Row],[Score-B]]),""))</f>
        <v>0</v>
      </c>
      <c r="S868" s="265" t="str">
        <f ca="1">IF(AND(ResultsTeams[[#This Row],[Category]]&lt;&gt;"",ResultsTeams[[#This Row],[Team A]]&lt;&gt;""),COUNTIF(INDIRECT("TeamsList[Club Name]"),ResultsTeams[[#This Row],[Team A]]),"")</f>
        <v/>
      </c>
      <c r="T868" s="265" t="str">
        <f ca="1">IF(AND(ResultsTeams[[#This Row],[Category]]&lt;&gt;"",ResultsTeams[[#This Row],[Team B]]&lt;&gt;""),COUNTIF(INDIRECT("TeamsList[Club Name]"),ResultsTeams[[#This Row],[Team B]]),"")</f>
        <v/>
      </c>
      <c r="U8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8" s="265" t="str">
        <f>IF(ResultsTeams[[#This Row],[Score_OK]],IF(ResultsTeams[[#This Row],[StageCpy]]="Groups",ResultsTeams[[#This Row],[Category]]&amp;"-"&amp;IF(ResultsTeams[[#This Row],[Team B]]="","",IF(ResultsTeams[[#This Row],[Match-A]]=ResultsTeams[[#This Row],[Match-B]],ResultsTeams[[#This Row],[Team A]],"")),""),"")</f>
        <v/>
      </c>
      <c r="W868" s="265" t="str">
        <f>IF(ResultsTeams[[#This Row],[Score_OK]],IF(ResultsTeams[[#This Row],[StageCpy]]="Groups",ResultsTeams[[#This Row],[Category]]&amp;"-"&amp;IF(ResultsTeams[[#This Row],[Team B]]="","",IF(ResultsTeams[[#This Row],[Match-A]]=ResultsTeams[[#This Row],[Match-B]],ResultsTeams[[#This Row],[Team B]],"")),""),"")</f>
        <v/>
      </c>
      <c r="X8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8" s="264" t="str">
        <f>IF(ResultsTeams[[#This Row],[Category]]="","",VLOOKUP(ResultsTeams[[#This Row],[Stage]],$R$1:$T$8,MATCH(ResultsTeams[[#This Row],[Category]],$S$1:$T$1,0)+1,FALSE))</f>
        <v/>
      </c>
      <c r="AC8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8" s="264">
        <f>IF(ResultsTeams[[#This Row],[Type]]="G",ResultsTeams[[#This Row],[Stage]],AD867)</f>
        <v>0</v>
      </c>
      <c r="AE868" s="395" t="e">
        <f>IF(ResultsTeams[[#This Row],[Type]]="G",INDEX(TeamsList[Club Name],MATCH(ResultsTeams[[#This Row],[Team A]],TeamsList[Team Name],0)),AE867)</f>
        <v>#N/A</v>
      </c>
      <c r="AF868" s="395" t="e">
        <f>IF(ResultsTeams[[#This Row],[Type]]="G",INDEX(TeamsList[Club Name],MATCH(ResultsTeams[[#This Row],[Team B]],TeamsList[Team Name],0)),AF867)</f>
        <v>#N/A</v>
      </c>
      <c r="AG868" s="265"/>
    </row>
    <row r="869" spans="1:33" x14ac:dyDescent="0.2">
      <c r="A869" s="62"/>
      <c r="B869" s="280"/>
      <c r="C869" s="62"/>
      <c r="D869" s="62"/>
      <c r="E869" s="241" t="s">
        <v>12237</v>
      </c>
      <c r="F869" s="246"/>
      <c r="G869" s="246"/>
      <c r="H869" s="254"/>
      <c r="I869" s="254"/>
      <c r="J869" s="254"/>
      <c r="K869" s="363"/>
      <c r="L869" s="363"/>
      <c r="M869" s="247"/>
      <c r="N869" s="265" t="b">
        <f>NOT(ISERROR(ResultsTeams[[#This Row],[Goal-A]]+ResultsTeams[[#This Row],[Goal-B]]))</f>
        <v>1</v>
      </c>
      <c r="O869" s="265">
        <f>IF(ResultsTeams[[#This Row],[Type]]="G",SUM(O870:O873),IF(LEFT(ResultsTeams[[#This Row],[Type]],1)="P",IF(ResultsTeams[[#This Row],[Goal-A]]&gt;ResultsTeams[[#This Row],[Goal-B]],1,0),""))</f>
        <v>0</v>
      </c>
      <c r="P869" s="265">
        <f>IF(ResultsTeams[[#This Row],[Type]]="G",SUM(P870:P873),IF(LEFT(ResultsTeams[[#This Row],[Type]],1)="P",IF(ResultsTeams[[#This Row],[Goal-A]]&lt;ResultsTeams[[#This Row],[Goal-B]],1,0),""))</f>
        <v>0</v>
      </c>
      <c r="Q869" s="265">
        <f>IF(ResultsTeams[[#This Row],[Type]]="G",SUM(Q870:Q873),IF(LEFT(ResultsTeams[[#This Row],[Type]],1)="P",VALUE(ResultsTeams[[#This Row],[Score-A]]),""))</f>
        <v>0</v>
      </c>
      <c r="R869" s="265">
        <f>IF(ResultsTeams[[#This Row],[Type]]="G",SUM(R870:R873),IF(LEFT(ResultsTeams[[#This Row],[Type]],1)="P",VALUE(ResultsTeams[[#This Row],[Score-B]]),""))</f>
        <v>0</v>
      </c>
      <c r="S869" s="265" t="str">
        <f ca="1">IF(AND(ResultsTeams[[#This Row],[Category]]&lt;&gt;"",ResultsTeams[[#This Row],[Team A]]&lt;&gt;""),COUNTIF(INDIRECT("TeamsList[Club Name]"),ResultsTeams[[#This Row],[Team A]]),"")</f>
        <v/>
      </c>
      <c r="T869" s="265" t="str">
        <f ca="1">IF(AND(ResultsTeams[[#This Row],[Category]]&lt;&gt;"",ResultsTeams[[#This Row],[Team B]]&lt;&gt;""),COUNTIF(INDIRECT("TeamsList[Club Name]"),ResultsTeams[[#This Row],[Team B]]),"")</f>
        <v/>
      </c>
      <c r="U8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9" s="265" t="str">
        <f>IF(ResultsTeams[[#This Row],[Score_OK]],IF(ResultsTeams[[#This Row],[StageCpy]]="Groups",ResultsTeams[[#This Row],[Category]]&amp;"-"&amp;IF(ResultsTeams[[#This Row],[Team B]]="","",IF(ResultsTeams[[#This Row],[Match-A]]=ResultsTeams[[#This Row],[Match-B]],ResultsTeams[[#This Row],[Team A]],"")),""),"")</f>
        <v/>
      </c>
      <c r="W869" s="265" t="str">
        <f>IF(ResultsTeams[[#This Row],[Score_OK]],IF(ResultsTeams[[#This Row],[StageCpy]]="Groups",ResultsTeams[[#This Row],[Category]]&amp;"-"&amp;IF(ResultsTeams[[#This Row],[Team B]]="","",IF(ResultsTeams[[#This Row],[Match-A]]=ResultsTeams[[#This Row],[Match-B]],ResultsTeams[[#This Row],[Team B]],"")),""),"")</f>
        <v/>
      </c>
      <c r="X8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9" s="264" t="str">
        <f>IF(ResultsTeams[[#This Row],[Category]]="","",VLOOKUP(ResultsTeams[[#This Row],[Stage]],$R$1:$T$8,MATCH(ResultsTeams[[#This Row],[Category]],$S$1:$T$1,0)+1,FALSE))</f>
        <v/>
      </c>
      <c r="AC8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9" s="264">
        <f>IF(ResultsTeams[[#This Row],[Type]]="G",ResultsTeams[[#This Row],[Stage]],AD868)</f>
        <v>0</v>
      </c>
      <c r="AE869" s="395" t="e">
        <f>IF(ResultsTeams[[#This Row],[Type]]="G",INDEX(TeamsList[Club Name],MATCH(ResultsTeams[[#This Row],[Team A]],TeamsList[Team Name],0)),AE868)</f>
        <v>#N/A</v>
      </c>
      <c r="AF869" s="395" t="e">
        <f>IF(ResultsTeams[[#This Row],[Type]]="G",INDEX(TeamsList[Club Name],MATCH(ResultsTeams[[#This Row],[Team B]],TeamsList[Team Name],0)),AF868)</f>
        <v>#N/A</v>
      </c>
      <c r="AG869" s="265"/>
    </row>
    <row r="870" spans="1:33" x14ac:dyDescent="0.2">
      <c r="A870" s="62"/>
      <c r="B870" s="280"/>
      <c r="C870" s="62"/>
      <c r="D870" s="62"/>
      <c r="E870" s="241" t="s">
        <v>12240</v>
      </c>
      <c r="F870" s="246"/>
      <c r="G870" s="246"/>
      <c r="H870" s="254"/>
      <c r="I870" s="254"/>
      <c r="J870" s="254"/>
      <c r="K870" s="363"/>
      <c r="L870" s="363"/>
      <c r="M870" s="247"/>
      <c r="N870" s="265" t="b">
        <f>NOT(ISERROR(ResultsTeams[[#This Row],[Goal-A]]+ResultsTeams[[#This Row],[Goal-B]]))</f>
        <v>1</v>
      </c>
      <c r="O870" s="265">
        <f>IF(ResultsTeams[[#This Row],[Type]]="G",SUM(O871:O874),IF(LEFT(ResultsTeams[[#This Row],[Type]],1)="P",IF(ResultsTeams[[#This Row],[Goal-A]]&gt;ResultsTeams[[#This Row],[Goal-B]],1,0),""))</f>
        <v>0</v>
      </c>
      <c r="P870" s="265">
        <f>IF(ResultsTeams[[#This Row],[Type]]="G",SUM(P871:P874),IF(LEFT(ResultsTeams[[#This Row],[Type]],1)="P",IF(ResultsTeams[[#This Row],[Goal-A]]&lt;ResultsTeams[[#This Row],[Goal-B]],1,0),""))</f>
        <v>0</v>
      </c>
      <c r="Q870" s="265">
        <f>IF(ResultsTeams[[#This Row],[Type]]="G",SUM(Q871:Q874),IF(LEFT(ResultsTeams[[#This Row],[Type]],1)="P",VALUE(ResultsTeams[[#This Row],[Score-A]]),""))</f>
        <v>0</v>
      </c>
      <c r="R870" s="265">
        <f>IF(ResultsTeams[[#This Row],[Type]]="G",SUM(R871:R874),IF(LEFT(ResultsTeams[[#This Row],[Type]],1)="P",VALUE(ResultsTeams[[#This Row],[Score-B]]),""))</f>
        <v>0</v>
      </c>
      <c r="S870" s="265" t="str">
        <f ca="1">IF(AND(ResultsTeams[[#This Row],[Category]]&lt;&gt;"",ResultsTeams[[#This Row],[Team A]]&lt;&gt;""),COUNTIF(INDIRECT("TeamsList[Club Name]"),ResultsTeams[[#This Row],[Team A]]),"")</f>
        <v/>
      </c>
      <c r="T870" s="265" t="str">
        <f ca="1">IF(AND(ResultsTeams[[#This Row],[Category]]&lt;&gt;"",ResultsTeams[[#This Row],[Team B]]&lt;&gt;""),COUNTIF(INDIRECT("TeamsList[Club Name]"),ResultsTeams[[#This Row],[Team B]]),"")</f>
        <v/>
      </c>
      <c r="U8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0" s="265" t="str">
        <f>IF(ResultsTeams[[#This Row],[Score_OK]],IF(ResultsTeams[[#This Row],[StageCpy]]="Groups",ResultsTeams[[#This Row],[Category]]&amp;"-"&amp;IF(ResultsTeams[[#This Row],[Team B]]="","",IF(ResultsTeams[[#This Row],[Match-A]]=ResultsTeams[[#This Row],[Match-B]],ResultsTeams[[#This Row],[Team A]],"")),""),"")</f>
        <v/>
      </c>
      <c r="W870" s="265" t="str">
        <f>IF(ResultsTeams[[#This Row],[Score_OK]],IF(ResultsTeams[[#This Row],[StageCpy]]="Groups",ResultsTeams[[#This Row],[Category]]&amp;"-"&amp;IF(ResultsTeams[[#This Row],[Team B]]="","",IF(ResultsTeams[[#This Row],[Match-A]]=ResultsTeams[[#This Row],[Match-B]],ResultsTeams[[#This Row],[Team B]],"")),""),"")</f>
        <v/>
      </c>
      <c r="X8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0" s="264" t="str">
        <f>IF(ResultsTeams[[#This Row],[Category]]="","",VLOOKUP(ResultsTeams[[#This Row],[Stage]],$R$1:$T$8,MATCH(ResultsTeams[[#This Row],[Category]],$S$1:$T$1,0)+1,FALSE))</f>
        <v/>
      </c>
      <c r="AC8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0" s="264">
        <f>IF(ResultsTeams[[#This Row],[Type]]="G",ResultsTeams[[#This Row],[Stage]],AD869)</f>
        <v>0</v>
      </c>
      <c r="AE870" s="395" t="e">
        <f>IF(ResultsTeams[[#This Row],[Type]]="G",INDEX(TeamsList[Club Name],MATCH(ResultsTeams[[#This Row],[Team A]],TeamsList[Team Name],0)),AE869)</f>
        <v>#N/A</v>
      </c>
      <c r="AF870" s="395" t="e">
        <f>IF(ResultsTeams[[#This Row],[Type]]="G",INDEX(TeamsList[Club Name],MATCH(ResultsTeams[[#This Row],[Team B]],TeamsList[Team Name],0)),AF869)</f>
        <v>#N/A</v>
      </c>
      <c r="AG870" s="265"/>
    </row>
    <row r="871" spans="1:33" x14ac:dyDescent="0.2">
      <c r="A871" s="62"/>
      <c r="B871" s="62"/>
      <c r="C871" s="62"/>
      <c r="D871" s="62"/>
      <c r="E871" s="241" t="s">
        <v>12243</v>
      </c>
      <c r="F871" s="247"/>
      <c r="G871" s="247"/>
      <c r="H871" s="254"/>
      <c r="I871" s="254"/>
      <c r="J871" s="260"/>
      <c r="K871" s="364"/>
      <c r="L871" s="364"/>
      <c r="M871" s="247"/>
      <c r="N871" s="265" t="b">
        <f>NOT(ISERROR(ResultsTeams[[#This Row],[Goal-A]]+ResultsTeams[[#This Row],[Goal-B]]))</f>
        <v>0</v>
      </c>
      <c r="O871" s="265" t="str">
        <f>IF(ResultsTeams[[#This Row],[Type]]="G",SUM(O872:O875),IF(LEFT(ResultsTeams[[#This Row],[Type]],1)="P",IF(ResultsTeams[[#This Row],[Goal-A]]&gt;ResultsTeams[[#This Row],[Goal-B]],1,0),""))</f>
        <v/>
      </c>
      <c r="P871" s="265" t="str">
        <f>IF(ResultsTeams[[#This Row],[Type]]="G",SUM(P872:P875),IF(LEFT(ResultsTeams[[#This Row],[Type]],1)="P",IF(ResultsTeams[[#This Row],[Goal-A]]&lt;ResultsTeams[[#This Row],[Goal-B]],1,0),""))</f>
        <v/>
      </c>
      <c r="Q871" s="265" t="str">
        <f>IF(ResultsTeams[[#This Row],[Type]]="G",SUM(Q872:Q875),IF(LEFT(ResultsTeams[[#This Row],[Type]],1)="P",VALUE(ResultsTeams[[#This Row],[Score-A]]),""))</f>
        <v/>
      </c>
      <c r="R871" s="265" t="str">
        <f>IF(ResultsTeams[[#This Row],[Type]]="G",SUM(R872:R875),IF(LEFT(ResultsTeams[[#This Row],[Type]],1)="P",VALUE(ResultsTeams[[#This Row],[Score-B]]),""))</f>
        <v/>
      </c>
      <c r="S871" s="265" t="str">
        <f ca="1">IF(AND(ResultsTeams[[#This Row],[Category]]&lt;&gt;"",ResultsTeams[[#This Row],[Team A]]&lt;&gt;""),COUNTIF(INDIRECT("TeamsList[Club Name]"),ResultsTeams[[#This Row],[Team A]]),"")</f>
        <v/>
      </c>
      <c r="T871" s="265" t="str">
        <f ca="1">IF(AND(ResultsTeams[[#This Row],[Category]]&lt;&gt;"",ResultsTeams[[#This Row],[Team B]]&lt;&gt;""),COUNTIF(INDIRECT("TeamsList[Club Name]"),ResultsTeams[[#This Row],[Team B]]),"")</f>
        <v/>
      </c>
      <c r="U8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1" s="265" t="str">
        <f>IF(ResultsTeams[[#This Row],[Score_OK]],IF(ResultsTeams[[#This Row],[StageCpy]]="Groups",ResultsTeams[[#This Row],[Category]]&amp;"-"&amp;IF(ResultsTeams[[#This Row],[Team B]]="","",IF(ResultsTeams[[#This Row],[Match-A]]=ResultsTeams[[#This Row],[Match-B]],ResultsTeams[[#This Row],[Team A]],"")),""),"")</f>
        <v/>
      </c>
      <c r="W871" s="265" t="str">
        <f>IF(ResultsTeams[[#This Row],[Score_OK]],IF(ResultsTeams[[#This Row],[StageCpy]]="Groups",ResultsTeams[[#This Row],[Category]]&amp;"-"&amp;IF(ResultsTeams[[#This Row],[Team B]]="","",IF(ResultsTeams[[#This Row],[Match-A]]=ResultsTeams[[#This Row],[Match-B]],ResultsTeams[[#This Row],[Team B]],"")),""),"")</f>
        <v/>
      </c>
      <c r="X8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1" s="264" t="str">
        <f>IF(ResultsTeams[[#This Row],[Category]]="","",VLOOKUP(ResultsTeams[[#This Row],[Stage]],$R$1:$T$8,MATCH(ResultsTeams[[#This Row],[Category]],$S$1:$T$1,0)+1,FALSE))</f>
        <v/>
      </c>
      <c r="AC8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1" s="264">
        <f>IF(ResultsTeams[[#This Row],[Type]]="G",ResultsTeams[[#This Row],[Stage]],AD870)</f>
        <v>0</v>
      </c>
      <c r="AE871" s="395" t="e">
        <f>IF(ResultsTeams[[#This Row],[Type]]="G",INDEX(TeamsList[Club Name],MATCH(ResultsTeams[[#This Row],[Team A]],TeamsList[Team Name],0)),AE870)</f>
        <v>#N/A</v>
      </c>
      <c r="AF871" s="395" t="e">
        <f>IF(ResultsTeams[[#This Row],[Type]]="G",INDEX(TeamsList[Club Name],MATCH(ResultsTeams[[#This Row],[Team B]],TeamsList[Team Name],0)),AF870)</f>
        <v>#N/A</v>
      </c>
      <c r="AG871" s="265"/>
    </row>
    <row r="872" spans="1:33" ht="12" thickBot="1" x14ac:dyDescent="0.25">
      <c r="A872" s="83"/>
      <c r="B872" s="83"/>
      <c r="C872" s="83"/>
      <c r="D872" s="83"/>
      <c r="E872" s="268" t="s">
        <v>12244</v>
      </c>
      <c r="F872" s="262"/>
      <c r="G872" s="262"/>
      <c r="H872" s="324"/>
      <c r="I872" s="324"/>
      <c r="J872" s="263"/>
      <c r="K872" s="365"/>
      <c r="L872" s="365"/>
      <c r="M872" s="262"/>
      <c r="N872" s="265" t="b">
        <f>NOT(ISERROR(ResultsTeams[[#This Row],[Goal-A]]+ResultsTeams[[#This Row],[Goal-B]]))</f>
        <v>0</v>
      </c>
      <c r="O872" s="265" t="str">
        <f>IF(ResultsTeams[[#This Row],[Type]]="G",SUM(O873:O876),IF(LEFT(ResultsTeams[[#This Row],[Type]],1)="P",IF(ResultsTeams[[#This Row],[Goal-A]]&gt;ResultsTeams[[#This Row],[Goal-B]],1,0),""))</f>
        <v/>
      </c>
      <c r="P872" s="265" t="str">
        <f>IF(ResultsTeams[[#This Row],[Type]]="G",SUM(P873:P876),IF(LEFT(ResultsTeams[[#This Row],[Type]],1)="P",IF(ResultsTeams[[#This Row],[Goal-A]]&lt;ResultsTeams[[#This Row],[Goal-B]],1,0),""))</f>
        <v/>
      </c>
      <c r="Q872" s="265" t="str">
        <f>IF(ResultsTeams[[#This Row],[Type]]="G",SUM(Q873:Q876),IF(LEFT(ResultsTeams[[#This Row],[Type]],1)="P",VALUE(ResultsTeams[[#This Row],[Score-A]]),""))</f>
        <v/>
      </c>
      <c r="R872" s="265" t="str">
        <f>IF(ResultsTeams[[#This Row],[Type]]="G",SUM(R873:R876),IF(LEFT(ResultsTeams[[#This Row],[Type]],1)="P",VALUE(ResultsTeams[[#This Row],[Score-B]]),""))</f>
        <v/>
      </c>
      <c r="S872" s="265" t="str">
        <f ca="1">IF(AND(ResultsTeams[[#This Row],[Category]]&lt;&gt;"",ResultsTeams[[#This Row],[Team A]]&lt;&gt;""),COUNTIF(INDIRECT("TeamsList[Club Name]"),ResultsTeams[[#This Row],[Team A]]),"")</f>
        <v/>
      </c>
      <c r="T872" s="265" t="str">
        <f ca="1">IF(AND(ResultsTeams[[#This Row],[Category]]&lt;&gt;"",ResultsTeams[[#This Row],[Team B]]&lt;&gt;""),COUNTIF(INDIRECT("TeamsList[Club Name]"),ResultsTeams[[#This Row],[Team B]]),"")</f>
        <v/>
      </c>
      <c r="U8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2" s="265" t="str">
        <f>IF(ResultsTeams[[#This Row],[Score_OK]],IF(ResultsTeams[[#This Row],[StageCpy]]="Groups",ResultsTeams[[#This Row],[Category]]&amp;"-"&amp;IF(ResultsTeams[[#This Row],[Team B]]="","",IF(ResultsTeams[[#This Row],[Match-A]]=ResultsTeams[[#This Row],[Match-B]],ResultsTeams[[#This Row],[Team A]],"")),""),"")</f>
        <v/>
      </c>
      <c r="W872" s="265" t="str">
        <f>IF(ResultsTeams[[#This Row],[Score_OK]],IF(ResultsTeams[[#This Row],[StageCpy]]="Groups",ResultsTeams[[#This Row],[Category]]&amp;"-"&amp;IF(ResultsTeams[[#This Row],[Team B]]="","",IF(ResultsTeams[[#This Row],[Match-A]]=ResultsTeams[[#This Row],[Match-B]],ResultsTeams[[#This Row],[Team B]],"")),""),"")</f>
        <v/>
      </c>
      <c r="X8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2" s="264" t="str">
        <f>IF(ResultsTeams[[#This Row],[Category]]="","",VLOOKUP(ResultsTeams[[#This Row],[Stage]],$R$1:$T$8,MATCH(ResultsTeams[[#This Row],[Category]],$S$1:$T$1,0)+1,FALSE))</f>
        <v/>
      </c>
      <c r="AC8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2" s="264">
        <f>IF(ResultsTeams[[#This Row],[Type]]="G",ResultsTeams[[#This Row],[Stage]],AD871)</f>
        <v>0</v>
      </c>
      <c r="AE872" s="395" t="e">
        <f>IF(ResultsTeams[[#This Row],[Type]]="G",INDEX(TeamsList[Club Name],MATCH(ResultsTeams[[#This Row],[Team A]],TeamsList[Team Name],0)),AE871)</f>
        <v>#N/A</v>
      </c>
      <c r="AF872" s="395" t="e">
        <f>IF(ResultsTeams[[#This Row],[Type]]="G",INDEX(TeamsList[Club Name],MATCH(ResultsTeams[[#This Row],[Team B]],TeamsList[Team Name],0)),AF871)</f>
        <v>#N/A</v>
      </c>
      <c r="AG872" s="265"/>
    </row>
    <row r="873" spans="1:33" ht="12" thickBot="1" x14ac:dyDescent="0.25">
      <c r="A873" s="261"/>
      <c r="B873" s="270"/>
      <c r="C873" s="270"/>
      <c r="D873" s="270"/>
      <c r="E873" s="272" t="s">
        <v>12228</v>
      </c>
      <c r="F873" s="273"/>
      <c r="G873" s="273"/>
      <c r="H873" s="275"/>
      <c r="I873" s="275"/>
      <c r="J873" s="275"/>
      <c r="K873" s="366"/>
      <c r="L873" s="366"/>
      <c r="M873" s="274"/>
      <c r="N873" s="265" t="b">
        <f>NOT(ISERROR(ResultsTeams[[#This Row],[Goal-A]]+ResultsTeams[[#This Row],[Goal-B]]))</f>
        <v>1</v>
      </c>
      <c r="O873" s="265">
        <f>IF(ResultsTeams[[#This Row],[Type]]="G",SUM(O874:O877),IF(LEFT(ResultsTeams[[#This Row],[Type]],1)="P",IF(ResultsTeams[[#This Row],[Goal-A]]&gt;ResultsTeams[[#This Row],[Goal-B]],1,0),""))</f>
        <v>0</v>
      </c>
      <c r="P873" s="265">
        <f>IF(ResultsTeams[[#This Row],[Type]]="G",SUM(P874:P877),IF(LEFT(ResultsTeams[[#This Row],[Type]],1)="P",IF(ResultsTeams[[#This Row],[Goal-A]]&lt;ResultsTeams[[#This Row],[Goal-B]],1,0),""))</f>
        <v>0</v>
      </c>
      <c r="Q873" s="265">
        <f>IF(ResultsTeams[[#This Row],[Type]]="G",SUM(Q874:Q877),IF(LEFT(ResultsTeams[[#This Row],[Type]],1)="P",VALUE(ResultsTeams[[#This Row],[Score-A]]),""))</f>
        <v>0</v>
      </c>
      <c r="R873" s="265">
        <f>IF(ResultsTeams[[#This Row],[Type]]="G",SUM(R874:R877),IF(LEFT(ResultsTeams[[#This Row],[Type]],1)="P",VALUE(ResultsTeams[[#This Row],[Score-B]]),""))</f>
        <v>0</v>
      </c>
      <c r="S873" s="265" t="str">
        <f ca="1">IF(AND(ResultsTeams[[#This Row],[Category]]&lt;&gt;"",ResultsTeams[[#This Row],[Team A]]&lt;&gt;""),COUNTIF(INDIRECT("TeamsList[Club Name]"),ResultsTeams[[#This Row],[Team A]]),"")</f>
        <v/>
      </c>
      <c r="T873" s="265" t="str">
        <f ca="1">IF(AND(ResultsTeams[[#This Row],[Category]]&lt;&gt;"",ResultsTeams[[#This Row],[Team B]]&lt;&gt;""),COUNTIF(INDIRECT("TeamsList[Club Name]"),ResultsTeams[[#This Row],[Team B]]),"")</f>
        <v/>
      </c>
      <c r="U8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3" s="265" t="str">
        <f>IF(ResultsTeams[[#This Row],[Score_OK]],IF(ResultsTeams[[#This Row],[StageCpy]]="Groups",ResultsTeams[[#This Row],[Category]]&amp;"-"&amp;IF(ResultsTeams[[#This Row],[Team B]]="","",IF(ResultsTeams[[#This Row],[Match-A]]=ResultsTeams[[#This Row],[Match-B]],ResultsTeams[[#This Row],[Team A]],"")),""),"")</f>
        <v/>
      </c>
      <c r="W873" s="265" t="str">
        <f>IF(ResultsTeams[[#This Row],[Score_OK]],IF(ResultsTeams[[#This Row],[StageCpy]]="Groups",ResultsTeams[[#This Row],[Category]]&amp;"-"&amp;IF(ResultsTeams[[#This Row],[Team B]]="","",IF(ResultsTeams[[#This Row],[Match-A]]=ResultsTeams[[#This Row],[Match-B]],ResultsTeams[[#This Row],[Team B]],"")),""),"")</f>
        <v/>
      </c>
      <c r="X8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3" s="264" t="str">
        <f>IF(ResultsTeams[[#This Row],[Category]]="","",VLOOKUP(ResultsTeams[[#This Row],[Stage]],$R$1:$T$8,MATCH(ResultsTeams[[#This Row],[Category]],$S$1:$T$1,0)+1,FALSE))</f>
        <v/>
      </c>
      <c r="AC8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3" s="264">
        <f>IF(ResultsTeams[[#This Row],[Type]]="G",ResultsTeams[[#This Row],[Stage]],AD872)</f>
        <v>0</v>
      </c>
      <c r="AE873" s="395" t="e">
        <f>IF(ResultsTeams[[#This Row],[Type]]="G",INDEX(TeamsList[Club Name],MATCH(ResultsTeams[[#This Row],[Team A]],TeamsList[Team Name],0)),AE872)</f>
        <v>#N/A</v>
      </c>
      <c r="AF873" s="395" t="e">
        <f>IF(ResultsTeams[[#This Row],[Type]]="G",INDEX(TeamsList[Club Name],MATCH(ResultsTeams[[#This Row],[Team B]],TeamsList[Team Name],0)),AF872)</f>
        <v>#N/A</v>
      </c>
      <c r="AG873" s="265"/>
    </row>
    <row r="874" spans="1:33" x14ac:dyDescent="0.2">
      <c r="A874" s="60"/>
      <c r="B874" s="280"/>
      <c r="C874" s="60"/>
      <c r="D874" s="60"/>
      <c r="E874" s="240" t="s">
        <v>12231</v>
      </c>
      <c r="F874" s="244"/>
      <c r="G874" s="244"/>
      <c r="H874" s="253"/>
      <c r="I874" s="253"/>
      <c r="J874" s="253"/>
      <c r="K874" s="362"/>
      <c r="L874" s="362"/>
      <c r="M874" s="245"/>
      <c r="N874" s="265" t="b">
        <f>NOT(ISERROR(ResultsTeams[[#This Row],[Goal-A]]+ResultsTeams[[#This Row],[Goal-B]]))</f>
        <v>1</v>
      </c>
      <c r="O874" s="265">
        <f>IF(ResultsTeams[[#This Row],[Type]]="G",SUM(O875:O878),IF(LEFT(ResultsTeams[[#This Row],[Type]],1)="P",IF(ResultsTeams[[#This Row],[Goal-A]]&gt;ResultsTeams[[#This Row],[Goal-B]],1,0),""))</f>
        <v>0</v>
      </c>
      <c r="P874" s="265">
        <f>IF(ResultsTeams[[#This Row],[Type]]="G",SUM(P875:P878),IF(LEFT(ResultsTeams[[#This Row],[Type]],1)="P",IF(ResultsTeams[[#This Row],[Goal-A]]&lt;ResultsTeams[[#This Row],[Goal-B]],1,0),""))</f>
        <v>0</v>
      </c>
      <c r="Q874" s="265">
        <f>IF(ResultsTeams[[#This Row],[Type]]="G",SUM(Q875:Q878),IF(LEFT(ResultsTeams[[#This Row],[Type]],1)="P",VALUE(ResultsTeams[[#This Row],[Score-A]]),""))</f>
        <v>0</v>
      </c>
      <c r="R874" s="265">
        <f>IF(ResultsTeams[[#This Row],[Type]]="G",SUM(R875:R878),IF(LEFT(ResultsTeams[[#This Row],[Type]],1)="P",VALUE(ResultsTeams[[#This Row],[Score-B]]),""))</f>
        <v>0</v>
      </c>
      <c r="S874" s="265" t="str">
        <f ca="1">IF(AND(ResultsTeams[[#This Row],[Category]]&lt;&gt;"",ResultsTeams[[#This Row],[Team A]]&lt;&gt;""),COUNTIF(INDIRECT("TeamsList[Club Name]"),ResultsTeams[[#This Row],[Team A]]),"")</f>
        <v/>
      </c>
      <c r="T874" s="265" t="str">
        <f ca="1">IF(AND(ResultsTeams[[#This Row],[Category]]&lt;&gt;"",ResultsTeams[[#This Row],[Team B]]&lt;&gt;""),COUNTIF(INDIRECT("TeamsList[Club Name]"),ResultsTeams[[#This Row],[Team B]]),"")</f>
        <v/>
      </c>
      <c r="U8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4" s="265" t="str">
        <f>IF(ResultsTeams[[#This Row],[Score_OK]],IF(ResultsTeams[[#This Row],[StageCpy]]="Groups",ResultsTeams[[#This Row],[Category]]&amp;"-"&amp;IF(ResultsTeams[[#This Row],[Team B]]="","",IF(ResultsTeams[[#This Row],[Match-A]]=ResultsTeams[[#This Row],[Match-B]],ResultsTeams[[#This Row],[Team A]],"")),""),"")</f>
        <v/>
      </c>
      <c r="W874" s="265" t="str">
        <f>IF(ResultsTeams[[#This Row],[Score_OK]],IF(ResultsTeams[[#This Row],[StageCpy]]="Groups",ResultsTeams[[#This Row],[Category]]&amp;"-"&amp;IF(ResultsTeams[[#This Row],[Team B]]="","",IF(ResultsTeams[[#This Row],[Match-A]]=ResultsTeams[[#This Row],[Match-B]],ResultsTeams[[#This Row],[Team B]],"")),""),"")</f>
        <v/>
      </c>
      <c r="X8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4" s="264" t="str">
        <f>IF(ResultsTeams[[#This Row],[Category]]="","",VLOOKUP(ResultsTeams[[#This Row],[Stage]],$R$1:$T$8,MATCH(ResultsTeams[[#This Row],[Category]],$S$1:$T$1,0)+1,FALSE))</f>
        <v/>
      </c>
      <c r="AC8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4" s="264">
        <f>IF(ResultsTeams[[#This Row],[Type]]="G",ResultsTeams[[#This Row],[Stage]],AD873)</f>
        <v>0</v>
      </c>
      <c r="AE874" s="395" t="e">
        <f>IF(ResultsTeams[[#This Row],[Type]]="G",INDEX(TeamsList[Club Name],MATCH(ResultsTeams[[#This Row],[Team A]],TeamsList[Team Name],0)),AE873)</f>
        <v>#N/A</v>
      </c>
      <c r="AF874" s="395" t="e">
        <f>IF(ResultsTeams[[#This Row],[Type]]="G",INDEX(TeamsList[Club Name],MATCH(ResultsTeams[[#This Row],[Team B]],TeamsList[Team Name],0)),AF873)</f>
        <v>#N/A</v>
      </c>
      <c r="AG874" s="265"/>
    </row>
    <row r="875" spans="1:33" x14ac:dyDescent="0.2">
      <c r="A875" s="62"/>
      <c r="B875" s="280"/>
      <c r="C875" s="62"/>
      <c r="D875" s="62"/>
      <c r="E875" s="241" t="s">
        <v>12234</v>
      </c>
      <c r="F875" s="246"/>
      <c r="G875" s="246"/>
      <c r="H875" s="254"/>
      <c r="I875" s="254"/>
      <c r="J875" s="254"/>
      <c r="K875" s="363"/>
      <c r="L875" s="363"/>
      <c r="M875" s="247"/>
      <c r="N875" s="265" t="b">
        <f>NOT(ISERROR(ResultsTeams[[#This Row],[Goal-A]]+ResultsTeams[[#This Row],[Goal-B]]))</f>
        <v>1</v>
      </c>
      <c r="O875" s="265">
        <f>IF(ResultsTeams[[#This Row],[Type]]="G",SUM(O876:O879),IF(LEFT(ResultsTeams[[#This Row],[Type]],1)="P",IF(ResultsTeams[[#This Row],[Goal-A]]&gt;ResultsTeams[[#This Row],[Goal-B]],1,0),""))</f>
        <v>0</v>
      </c>
      <c r="P875" s="265">
        <f>IF(ResultsTeams[[#This Row],[Type]]="G",SUM(P876:P879),IF(LEFT(ResultsTeams[[#This Row],[Type]],1)="P",IF(ResultsTeams[[#This Row],[Goal-A]]&lt;ResultsTeams[[#This Row],[Goal-B]],1,0),""))</f>
        <v>0</v>
      </c>
      <c r="Q875" s="265">
        <f>IF(ResultsTeams[[#This Row],[Type]]="G",SUM(Q876:Q879),IF(LEFT(ResultsTeams[[#This Row],[Type]],1)="P",VALUE(ResultsTeams[[#This Row],[Score-A]]),""))</f>
        <v>0</v>
      </c>
      <c r="R875" s="265">
        <f>IF(ResultsTeams[[#This Row],[Type]]="G",SUM(R876:R879),IF(LEFT(ResultsTeams[[#This Row],[Type]],1)="P",VALUE(ResultsTeams[[#This Row],[Score-B]]),""))</f>
        <v>0</v>
      </c>
      <c r="S875" s="265" t="str">
        <f ca="1">IF(AND(ResultsTeams[[#This Row],[Category]]&lt;&gt;"",ResultsTeams[[#This Row],[Team A]]&lt;&gt;""),COUNTIF(INDIRECT("TeamsList[Club Name]"),ResultsTeams[[#This Row],[Team A]]),"")</f>
        <v/>
      </c>
      <c r="T875" s="265" t="str">
        <f ca="1">IF(AND(ResultsTeams[[#This Row],[Category]]&lt;&gt;"",ResultsTeams[[#This Row],[Team B]]&lt;&gt;""),COUNTIF(INDIRECT("TeamsList[Club Name]"),ResultsTeams[[#This Row],[Team B]]),"")</f>
        <v/>
      </c>
      <c r="U8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5" s="265" t="str">
        <f>IF(ResultsTeams[[#This Row],[Score_OK]],IF(ResultsTeams[[#This Row],[StageCpy]]="Groups",ResultsTeams[[#This Row],[Category]]&amp;"-"&amp;IF(ResultsTeams[[#This Row],[Team B]]="","",IF(ResultsTeams[[#This Row],[Match-A]]=ResultsTeams[[#This Row],[Match-B]],ResultsTeams[[#This Row],[Team A]],"")),""),"")</f>
        <v/>
      </c>
      <c r="W875" s="265" t="str">
        <f>IF(ResultsTeams[[#This Row],[Score_OK]],IF(ResultsTeams[[#This Row],[StageCpy]]="Groups",ResultsTeams[[#This Row],[Category]]&amp;"-"&amp;IF(ResultsTeams[[#This Row],[Team B]]="","",IF(ResultsTeams[[#This Row],[Match-A]]=ResultsTeams[[#This Row],[Match-B]],ResultsTeams[[#This Row],[Team B]],"")),""),"")</f>
        <v/>
      </c>
      <c r="X8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5" s="264" t="str">
        <f>IF(ResultsTeams[[#This Row],[Category]]="","",VLOOKUP(ResultsTeams[[#This Row],[Stage]],$R$1:$T$8,MATCH(ResultsTeams[[#This Row],[Category]],$S$1:$T$1,0)+1,FALSE))</f>
        <v/>
      </c>
      <c r="AC8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5" s="264">
        <f>IF(ResultsTeams[[#This Row],[Type]]="G",ResultsTeams[[#This Row],[Stage]],AD874)</f>
        <v>0</v>
      </c>
      <c r="AE875" s="395" t="e">
        <f>IF(ResultsTeams[[#This Row],[Type]]="G",INDEX(TeamsList[Club Name],MATCH(ResultsTeams[[#This Row],[Team A]],TeamsList[Team Name],0)),AE874)</f>
        <v>#N/A</v>
      </c>
      <c r="AF875" s="395" t="e">
        <f>IF(ResultsTeams[[#This Row],[Type]]="G",INDEX(TeamsList[Club Name],MATCH(ResultsTeams[[#This Row],[Team B]],TeamsList[Team Name],0)),AF874)</f>
        <v>#N/A</v>
      </c>
      <c r="AG875" s="265"/>
    </row>
    <row r="876" spans="1:33" x14ac:dyDescent="0.2">
      <c r="A876" s="62"/>
      <c r="B876" s="280"/>
      <c r="C876" s="62"/>
      <c r="D876" s="62"/>
      <c r="E876" s="241" t="s">
        <v>12237</v>
      </c>
      <c r="F876" s="246"/>
      <c r="G876" s="246"/>
      <c r="H876" s="254"/>
      <c r="I876" s="254"/>
      <c r="J876" s="254"/>
      <c r="K876" s="363"/>
      <c r="L876" s="363"/>
      <c r="M876" s="247"/>
      <c r="N876" s="265" t="b">
        <f>NOT(ISERROR(ResultsTeams[[#This Row],[Goal-A]]+ResultsTeams[[#This Row],[Goal-B]]))</f>
        <v>1</v>
      </c>
      <c r="O876" s="265">
        <f>IF(ResultsTeams[[#This Row],[Type]]="G",SUM(O877:O880),IF(LEFT(ResultsTeams[[#This Row],[Type]],1)="P",IF(ResultsTeams[[#This Row],[Goal-A]]&gt;ResultsTeams[[#This Row],[Goal-B]],1,0),""))</f>
        <v>0</v>
      </c>
      <c r="P876" s="265">
        <f>IF(ResultsTeams[[#This Row],[Type]]="G",SUM(P877:P880),IF(LEFT(ResultsTeams[[#This Row],[Type]],1)="P",IF(ResultsTeams[[#This Row],[Goal-A]]&lt;ResultsTeams[[#This Row],[Goal-B]],1,0),""))</f>
        <v>0</v>
      </c>
      <c r="Q876" s="265">
        <f>IF(ResultsTeams[[#This Row],[Type]]="G",SUM(Q877:Q880),IF(LEFT(ResultsTeams[[#This Row],[Type]],1)="P",VALUE(ResultsTeams[[#This Row],[Score-A]]),""))</f>
        <v>0</v>
      </c>
      <c r="R876" s="265">
        <f>IF(ResultsTeams[[#This Row],[Type]]="G",SUM(R877:R880),IF(LEFT(ResultsTeams[[#This Row],[Type]],1)="P",VALUE(ResultsTeams[[#This Row],[Score-B]]),""))</f>
        <v>0</v>
      </c>
      <c r="S876" s="265" t="str">
        <f ca="1">IF(AND(ResultsTeams[[#This Row],[Category]]&lt;&gt;"",ResultsTeams[[#This Row],[Team A]]&lt;&gt;""),COUNTIF(INDIRECT("TeamsList[Club Name]"),ResultsTeams[[#This Row],[Team A]]),"")</f>
        <v/>
      </c>
      <c r="T876" s="265" t="str">
        <f ca="1">IF(AND(ResultsTeams[[#This Row],[Category]]&lt;&gt;"",ResultsTeams[[#This Row],[Team B]]&lt;&gt;""),COUNTIF(INDIRECT("TeamsList[Club Name]"),ResultsTeams[[#This Row],[Team B]]),"")</f>
        <v/>
      </c>
      <c r="U8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6" s="265" t="str">
        <f>IF(ResultsTeams[[#This Row],[Score_OK]],IF(ResultsTeams[[#This Row],[StageCpy]]="Groups",ResultsTeams[[#This Row],[Category]]&amp;"-"&amp;IF(ResultsTeams[[#This Row],[Team B]]="","",IF(ResultsTeams[[#This Row],[Match-A]]=ResultsTeams[[#This Row],[Match-B]],ResultsTeams[[#This Row],[Team A]],"")),""),"")</f>
        <v/>
      </c>
      <c r="W876" s="265" t="str">
        <f>IF(ResultsTeams[[#This Row],[Score_OK]],IF(ResultsTeams[[#This Row],[StageCpy]]="Groups",ResultsTeams[[#This Row],[Category]]&amp;"-"&amp;IF(ResultsTeams[[#This Row],[Team B]]="","",IF(ResultsTeams[[#This Row],[Match-A]]=ResultsTeams[[#This Row],[Match-B]],ResultsTeams[[#This Row],[Team B]],"")),""),"")</f>
        <v/>
      </c>
      <c r="X8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6" s="264" t="str">
        <f>IF(ResultsTeams[[#This Row],[Category]]="","",VLOOKUP(ResultsTeams[[#This Row],[Stage]],$R$1:$T$8,MATCH(ResultsTeams[[#This Row],[Category]],$S$1:$T$1,0)+1,FALSE))</f>
        <v/>
      </c>
      <c r="AC8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6" s="264">
        <f>IF(ResultsTeams[[#This Row],[Type]]="G",ResultsTeams[[#This Row],[Stage]],AD875)</f>
        <v>0</v>
      </c>
      <c r="AE876" s="395" t="e">
        <f>IF(ResultsTeams[[#This Row],[Type]]="G",INDEX(TeamsList[Club Name],MATCH(ResultsTeams[[#This Row],[Team A]],TeamsList[Team Name],0)),AE875)</f>
        <v>#N/A</v>
      </c>
      <c r="AF876" s="395" t="e">
        <f>IF(ResultsTeams[[#This Row],[Type]]="G",INDEX(TeamsList[Club Name],MATCH(ResultsTeams[[#This Row],[Team B]],TeamsList[Team Name],0)),AF875)</f>
        <v>#N/A</v>
      </c>
      <c r="AG876" s="265"/>
    </row>
    <row r="877" spans="1:33" x14ac:dyDescent="0.2">
      <c r="A877" s="62"/>
      <c r="B877" s="280"/>
      <c r="C877" s="62"/>
      <c r="D877" s="62"/>
      <c r="E877" s="241" t="s">
        <v>12240</v>
      </c>
      <c r="F877" s="246"/>
      <c r="G877" s="246"/>
      <c r="H877" s="254"/>
      <c r="I877" s="254"/>
      <c r="J877" s="254"/>
      <c r="K877" s="363"/>
      <c r="L877" s="363"/>
      <c r="M877" s="247"/>
      <c r="N877" s="265" t="b">
        <f>NOT(ISERROR(ResultsTeams[[#This Row],[Goal-A]]+ResultsTeams[[#This Row],[Goal-B]]))</f>
        <v>1</v>
      </c>
      <c r="O877" s="265">
        <f>IF(ResultsTeams[[#This Row],[Type]]="G",SUM(O878:O881),IF(LEFT(ResultsTeams[[#This Row],[Type]],1)="P",IF(ResultsTeams[[#This Row],[Goal-A]]&gt;ResultsTeams[[#This Row],[Goal-B]],1,0),""))</f>
        <v>0</v>
      </c>
      <c r="P877" s="265">
        <f>IF(ResultsTeams[[#This Row],[Type]]="G",SUM(P878:P881),IF(LEFT(ResultsTeams[[#This Row],[Type]],1)="P",IF(ResultsTeams[[#This Row],[Goal-A]]&lt;ResultsTeams[[#This Row],[Goal-B]],1,0),""))</f>
        <v>0</v>
      </c>
      <c r="Q877" s="265">
        <f>IF(ResultsTeams[[#This Row],[Type]]="G",SUM(Q878:Q881),IF(LEFT(ResultsTeams[[#This Row],[Type]],1)="P",VALUE(ResultsTeams[[#This Row],[Score-A]]),""))</f>
        <v>0</v>
      </c>
      <c r="R877" s="265">
        <f>IF(ResultsTeams[[#This Row],[Type]]="G",SUM(R878:R881),IF(LEFT(ResultsTeams[[#This Row],[Type]],1)="P",VALUE(ResultsTeams[[#This Row],[Score-B]]),""))</f>
        <v>0</v>
      </c>
      <c r="S877" s="265" t="str">
        <f ca="1">IF(AND(ResultsTeams[[#This Row],[Category]]&lt;&gt;"",ResultsTeams[[#This Row],[Team A]]&lt;&gt;""),COUNTIF(INDIRECT("TeamsList[Club Name]"),ResultsTeams[[#This Row],[Team A]]),"")</f>
        <v/>
      </c>
      <c r="T877" s="265" t="str">
        <f ca="1">IF(AND(ResultsTeams[[#This Row],[Category]]&lt;&gt;"",ResultsTeams[[#This Row],[Team B]]&lt;&gt;""),COUNTIF(INDIRECT("TeamsList[Club Name]"),ResultsTeams[[#This Row],[Team B]]),"")</f>
        <v/>
      </c>
      <c r="U8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7" s="265" t="str">
        <f>IF(ResultsTeams[[#This Row],[Score_OK]],IF(ResultsTeams[[#This Row],[StageCpy]]="Groups",ResultsTeams[[#This Row],[Category]]&amp;"-"&amp;IF(ResultsTeams[[#This Row],[Team B]]="","",IF(ResultsTeams[[#This Row],[Match-A]]=ResultsTeams[[#This Row],[Match-B]],ResultsTeams[[#This Row],[Team A]],"")),""),"")</f>
        <v/>
      </c>
      <c r="W877" s="265" t="str">
        <f>IF(ResultsTeams[[#This Row],[Score_OK]],IF(ResultsTeams[[#This Row],[StageCpy]]="Groups",ResultsTeams[[#This Row],[Category]]&amp;"-"&amp;IF(ResultsTeams[[#This Row],[Team B]]="","",IF(ResultsTeams[[#This Row],[Match-A]]=ResultsTeams[[#This Row],[Match-B]],ResultsTeams[[#This Row],[Team B]],"")),""),"")</f>
        <v/>
      </c>
      <c r="X8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7" s="264" t="str">
        <f>IF(ResultsTeams[[#This Row],[Category]]="","",VLOOKUP(ResultsTeams[[#This Row],[Stage]],$R$1:$T$8,MATCH(ResultsTeams[[#This Row],[Category]],$S$1:$T$1,0)+1,FALSE))</f>
        <v/>
      </c>
      <c r="AC8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7" s="264">
        <f>IF(ResultsTeams[[#This Row],[Type]]="G",ResultsTeams[[#This Row],[Stage]],AD876)</f>
        <v>0</v>
      </c>
      <c r="AE877" s="395" t="e">
        <f>IF(ResultsTeams[[#This Row],[Type]]="G",INDEX(TeamsList[Club Name],MATCH(ResultsTeams[[#This Row],[Team A]],TeamsList[Team Name],0)),AE876)</f>
        <v>#N/A</v>
      </c>
      <c r="AF877" s="395" t="e">
        <f>IF(ResultsTeams[[#This Row],[Type]]="G",INDEX(TeamsList[Club Name],MATCH(ResultsTeams[[#This Row],[Team B]],TeamsList[Team Name],0)),AF876)</f>
        <v>#N/A</v>
      </c>
      <c r="AG877" s="265"/>
    </row>
    <row r="878" spans="1:33" x14ac:dyDescent="0.2">
      <c r="A878" s="62"/>
      <c r="B878" s="62"/>
      <c r="C878" s="62"/>
      <c r="D878" s="62"/>
      <c r="E878" s="241" t="s">
        <v>12243</v>
      </c>
      <c r="F878" s="247"/>
      <c r="G878" s="247"/>
      <c r="H878" s="254"/>
      <c r="I878" s="254"/>
      <c r="J878" s="260"/>
      <c r="K878" s="364"/>
      <c r="L878" s="364"/>
      <c r="M878" s="247"/>
      <c r="N878" s="265" t="b">
        <f>NOT(ISERROR(ResultsTeams[[#This Row],[Goal-A]]+ResultsTeams[[#This Row],[Goal-B]]))</f>
        <v>0</v>
      </c>
      <c r="O878" s="265" t="str">
        <f>IF(ResultsTeams[[#This Row],[Type]]="G",SUM(O879:O882),IF(LEFT(ResultsTeams[[#This Row],[Type]],1)="P",IF(ResultsTeams[[#This Row],[Goal-A]]&gt;ResultsTeams[[#This Row],[Goal-B]],1,0),""))</f>
        <v/>
      </c>
      <c r="P878" s="265" t="str">
        <f>IF(ResultsTeams[[#This Row],[Type]]="G",SUM(P879:P882),IF(LEFT(ResultsTeams[[#This Row],[Type]],1)="P",IF(ResultsTeams[[#This Row],[Goal-A]]&lt;ResultsTeams[[#This Row],[Goal-B]],1,0),""))</f>
        <v/>
      </c>
      <c r="Q878" s="265" t="str">
        <f>IF(ResultsTeams[[#This Row],[Type]]="G",SUM(Q879:Q882),IF(LEFT(ResultsTeams[[#This Row],[Type]],1)="P",VALUE(ResultsTeams[[#This Row],[Score-A]]),""))</f>
        <v/>
      </c>
      <c r="R878" s="265" t="str">
        <f>IF(ResultsTeams[[#This Row],[Type]]="G",SUM(R879:R882),IF(LEFT(ResultsTeams[[#This Row],[Type]],1)="P",VALUE(ResultsTeams[[#This Row],[Score-B]]),""))</f>
        <v/>
      </c>
      <c r="S878" s="265" t="str">
        <f ca="1">IF(AND(ResultsTeams[[#This Row],[Category]]&lt;&gt;"",ResultsTeams[[#This Row],[Team A]]&lt;&gt;""),COUNTIF(INDIRECT("TeamsList[Club Name]"),ResultsTeams[[#This Row],[Team A]]),"")</f>
        <v/>
      </c>
      <c r="T878" s="265" t="str">
        <f ca="1">IF(AND(ResultsTeams[[#This Row],[Category]]&lt;&gt;"",ResultsTeams[[#This Row],[Team B]]&lt;&gt;""),COUNTIF(INDIRECT("TeamsList[Club Name]"),ResultsTeams[[#This Row],[Team B]]),"")</f>
        <v/>
      </c>
      <c r="U8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8" s="265" t="str">
        <f>IF(ResultsTeams[[#This Row],[Score_OK]],IF(ResultsTeams[[#This Row],[StageCpy]]="Groups",ResultsTeams[[#This Row],[Category]]&amp;"-"&amp;IF(ResultsTeams[[#This Row],[Team B]]="","",IF(ResultsTeams[[#This Row],[Match-A]]=ResultsTeams[[#This Row],[Match-B]],ResultsTeams[[#This Row],[Team A]],"")),""),"")</f>
        <v/>
      </c>
      <c r="W878" s="265" t="str">
        <f>IF(ResultsTeams[[#This Row],[Score_OK]],IF(ResultsTeams[[#This Row],[StageCpy]]="Groups",ResultsTeams[[#This Row],[Category]]&amp;"-"&amp;IF(ResultsTeams[[#This Row],[Team B]]="","",IF(ResultsTeams[[#This Row],[Match-A]]=ResultsTeams[[#This Row],[Match-B]],ResultsTeams[[#This Row],[Team B]],"")),""),"")</f>
        <v/>
      </c>
      <c r="X8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8" s="264" t="str">
        <f>IF(ResultsTeams[[#This Row],[Category]]="","",VLOOKUP(ResultsTeams[[#This Row],[Stage]],$R$1:$T$8,MATCH(ResultsTeams[[#This Row],[Category]],$S$1:$T$1,0)+1,FALSE))</f>
        <v/>
      </c>
      <c r="AC8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8" s="264">
        <f>IF(ResultsTeams[[#This Row],[Type]]="G",ResultsTeams[[#This Row],[Stage]],AD877)</f>
        <v>0</v>
      </c>
      <c r="AE878" s="395" t="e">
        <f>IF(ResultsTeams[[#This Row],[Type]]="G",INDEX(TeamsList[Club Name],MATCH(ResultsTeams[[#This Row],[Team A]],TeamsList[Team Name],0)),AE877)</f>
        <v>#N/A</v>
      </c>
      <c r="AF878" s="395" t="e">
        <f>IF(ResultsTeams[[#This Row],[Type]]="G",INDEX(TeamsList[Club Name],MATCH(ResultsTeams[[#This Row],[Team B]],TeamsList[Team Name],0)),AF877)</f>
        <v>#N/A</v>
      </c>
      <c r="AG878" s="265"/>
    </row>
    <row r="879" spans="1:33" ht="12" thickBot="1" x14ac:dyDescent="0.25">
      <c r="A879" s="83"/>
      <c r="B879" s="83"/>
      <c r="C879" s="83"/>
      <c r="D879" s="83"/>
      <c r="E879" s="268" t="s">
        <v>12244</v>
      </c>
      <c r="F879" s="262"/>
      <c r="G879" s="262"/>
      <c r="H879" s="324"/>
      <c r="I879" s="324"/>
      <c r="J879" s="263"/>
      <c r="K879" s="365"/>
      <c r="L879" s="365"/>
      <c r="M879" s="262"/>
      <c r="N879" s="265" t="b">
        <f>NOT(ISERROR(ResultsTeams[[#This Row],[Goal-A]]+ResultsTeams[[#This Row],[Goal-B]]))</f>
        <v>0</v>
      </c>
      <c r="O879" s="265" t="str">
        <f>IF(ResultsTeams[[#This Row],[Type]]="G",SUM(O880:O883),IF(LEFT(ResultsTeams[[#This Row],[Type]],1)="P",IF(ResultsTeams[[#This Row],[Goal-A]]&gt;ResultsTeams[[#This Row],[Goal-B]],1,0),""))</f>
        <v/>
      </c>
      <c r="P879" s="265" t="str">
        <f>IF(ResultsTeams[[#This Row],[Type]]="G",SUM(P880:P883),IF(LEFT(ResultsTeams[[#This Row],[Type]],1)="P",IF(ResultsTeams[[#This Row],[Goal-A]]&lt;ResultsTeams[[#This Row],[Goal-B]],1,0),""))</f>
        <v/>
      </c>
      <c r="Q879" s="265" t="str">
        <f>IF(ResultsTeams[[#This Row],[Type]]="G",SUM(Q880:Q883),IF(LEFT(ResultsTeams[[#This Row],[Type]],1)="P",VALUE(ResultsTeams[[#This Row],[Score-A]]),""))</f>
        <v/>
      </c>
      <c r="R879" s="265" t="str">
        <f>IF(ResultsTeams[[#This Row],[Type]]="G",SUM(R880:R883),IF(LEFT(ResultsTeams[[#This Row],[Type]],1)="P",VALUE(ResultsTeams[[#This Row],[Score-B]]),""))</f>
        <v/>
      </c>
      <c r="S879" s="265" t="str">
        <f ca="1">IF(AND(ResultsTeams[[#This Row],[Category]]&lt;&gt;"",ResultsTeams[[#This Row],[Team A]]&lt;&gt;""),COUNTIF(INDIRECT("TeamsList[Club Name]"),ResultsTeams[[#This Row],[Team A]]),"")</f>
        <v/>
      </c>
      <c r="T879" s="265" t="str">
        <f ca="1">IF(AND(ResultsTeams[[#This Row],[Category]]&lt;&gt;"",ResultsTeams[[#This Row],[Team B]]&lt;&gt;""),COUNTIF(INDIRECT("TeamsList[Club Name]"),ResultsTeams[[#This Row],[Team B]]),"")</f>
        <v/>
      </c>
      <c r="U8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9" s="265" t="str">
        <f>IF(ResultsTeams[[#This Row],[Score_OK]],IF(ResultsTeams[[#This Row],[StageCpy]]="Groups",ResultsTeams[[#This Row],[Category]]&amp;"-"&amp;IF(ResultsTeams[[#This Row],[Team B]]="","",IF(ResultsTeams[[#This Row],[Match-A]]=ResultsTeams[[#This Row],[Match-B]],ResultsTeams[[#This Row],[Team A]],"")),""),"")</f>
        <v/>
      </c>
      <c r="W879" s="265" t="str">
        <f>IF(ResultsTeams[[#This Row],[Score_OK]],IF(ResultsTeams[[#This Row],[StageCpy]]="Groups",ResultsTeams[[#This Row],[Category]]&amp;"-"&amp;IF(ResultsTeams[[#This Row],[Team B]]="","",IF(ResultsTeams[[#This Row],[Match-A]]=ResultsTeams[[#This Row],[Match-B]],ResultsTeams[[#This Row],[Team B]],"")),""),"")</f>
        <v/>
      </c>
      <c r="X8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9" s="264" t="str">
        <f>IF(ResultsTeams[[#This Row],[Category]]="","",VLOOKUP(ResultsTeams[[#This Row],[Stage]],$R$1:$T$8,MATCH(ResultsTeams[[#This Row],[Category]],$S$1:$T$1,0)+1,FALSE))</f>
        <v/>
      </c>
      <c r="AC8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9" s="264">
        <f>IF(ResultsTeams[[#This Row],[Type]]="G",ResultsTeams[[#This Row],[Stage]],AD878)</f>
        <v>0</v>
      </c>
      <c r="AE879" s="395" t="e">
        <f>IF(ResultsTeams[[#This Row],[Type]]="G",INDEX(TeamsList[Club Name],MATCH(ResultsTeams[[#This Row],[Team A]],TeamsList[Team Name],0)),AE878)</f>
        <v>#N/A</v>
      </c>
      <c r="AF879" s="395" t="e">
        <f>IF(ResultsTeams[[#This Row],[Type]]="G",INDEX(TeamsList[Club Name],MATCH(ResultsTeams[[#This Row],[Team B]],TeamsList[Team Name],0)),AF878)</f>
        <v>#N/A</v>
      </c>
      <c r="AG879" s="265"/>
    </row>
    <row r="880" spans="1:33" ht="12" thickBot="1" x14ac:dyDescent="0.25">
      <c r="A880" s="261"/>
      <c r="B880" s="270"/>
      <c r="C880" s="270"/>
      <c r="D880" s="270"/>
      <c r="E880" s="272" t="s">
        <v>12228</v>
      </c>
      <c r="F880" s="273"/>
      <c r="G880" s="273"/>
      <c r="H880" s="275"/>
      <c r="I880" s="275"/>
      <c r="J880" s="275"/>
      <c r="K880" s="366"/>
      <c r="L880" s="366"/>
      <c r="M880" s="274"/>
      <c r="N880" s="265" t="b">
        <f>NOT(ISERROR(ResultsTeams[[#This Row],[Goal-A]]+ResultsTeams[[#This Row],[Goal-B]]))</f>
        <v>1</v>
      </c>
      <c r="O880" s="265">
        <f>IF(ResultsTeams[[#This Row],[Type]]="G",SUM(O881:O884),IF(LEFT(ResultsTeams[[#This Row],[Type]],1)="P",IF(ResultsTeams[[#This Row],[Goal-A]]&gt;ResultsTeams[[#This Row],[Goal-B]],1,0),""))</f>
        <v>0</v>
      </c>
      <c r="P880" s="265">
        <f>IF(ResultsTeams[[#This Row],[Type]]="G",SUM(P881:P884),IF(LEFT(ResultsTeams[[#This Row],[Type]],1)="P",IF(ResultsTeams[[#This Row],[Goal-A]]&lt;ResultsTeams[[#This Row],[Goal-B]],1,0),""))</f>
        <v>0</v>
      </c>
      <c r="Q880" s="265">
        <f>IF(ResultsTeams[[#This Row],[Type]]="G",SUM(Q881:Q884),IF(LEFT(ResultsTeams[[#This Row],[Type]],1)="P",VALUE(ResultsTeams[[#This Row],[Score-A]]),""))</f>
        <v>0</v>
      </c>
      <c r="R880" s="265">
        <f>IF(ResultsTeams[[#This Row],[Type]]="G",SUM(R881:R884),IF(LEFT(ResultsTeams[[#This Row],[Type]],1)="P",VALUE(ResultsTeams[[#This Row],[Score-B]]),""))</f>
        <v>0</v>
      </c>
      <c r="S880" s="265" t="str">
        <f ca="1">IF(AND(ResultsTeams[[#This Row],[Category]]&lt;&gt;"",ResultsTeams[[#This Row],[Team A]]&lt;&gt;""),COUNTIF(INDIRECT("TeamsList[Club Name]"),ResultsTeams[[#This Row],[Team A]]),"")</f>
        <v/>
      </c>
      <c r="T880" s="265" t="str">
        <f ca="1">IF(AND(ResultsTeams[[#This Row],[Category]]&lt;&gt;"",ResultsTeams[[#This Row],[Team B]]&lt;&gt;""),COUNTIF(INDIRECT("TeamsList[Club Name]"),ResultsTeams[[#This Row],[Team B]]),"")</f>
        <v/>
      </c>
      <c r="U8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0" s="265" t="str">
        <f>IF(ResultsTeams[[#This Row],[Score_OK]],IF(ResultsTeams[[#This Row],[StageCpy]]="Groups",ResultsTeams[[#This Row],[Category]]&amp;"-"&amp;IF(ResultsTeams[[#This Row],[Team B]]="","",IF(ResultsTeams[[#This Row],[Match-A]]=ResultsTeams[[#This Row],[Match-B]],ResultsTeams[[#This Row],[Team A]],"")),""),"")</f>
        <v/>
      </c>
      <c r="W880" s="265" t="str">
        <f>IF(ResultsTeams[[#This Row],[Score_OK]],IF(ResultsTeams[[#This Row],[StageCpy]]="Groups",ResultsTeams[[#This Row],[Category]]&amp;"-"&amp;IF(ResultsTeams[[#This Row],[Team B]]="","",IF(ResultsTeams[[#This Row],[Match-A]]=ResultsTeams[[#This Row],[Match-B]],ResultsTeams[[#This Row],[Team B]],"")),""),"")</f>
        <v/>
      </c>
      <c r="X8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0" s="264" t="str">
        <f>IF(ResultsTeams[[#This Row],[Category]]="","",VLOOKUP(ResultsTeams[[#This Row],[Stage]],$R$1:$T$8,MATCH(ResultsTeams[[#This Row],[Category]],$S$1:$T$1,0)+1,FALSE))</f>
        <v/>
      </c>
      <c r="AC8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0" s="264">
        <f>IF(ResultsTeams[[#This Row],[Type]]="G",ResultsTeams[[#This Row],[Stage]],AD879)</f>
        <v>0</v>
      </c>
      <c r="AE880" s="395" t="e">
        <f>IF(ResultsTeams[[#This Row],[Type]]="G",INDEX(TeamsList[Club Name],MATCH(ResultsTeams[[#This Row],[Team A]],TeamsList[Team Name],0)),AE879)</f>
        <v>#N/A</v>
      </c>
      <c r="AF880" s="395" t="e">
        <f>IF(ResultsTeams[[#This Row],[Type]]="G",INDEX(TeamsList[Club Name],MATCH(ResultsTeams[[#This Row],[Team B]],TeamsList[Team Name],0)),AF879)</f>
        <v>#N/A</v>
      </c>
      <c r="AG880" s="265"/>
    </row>
    <row r="881" spans="1:33" x14ac:dyDescent="0.2">
      <c r="A881" s="60"/>
      <c r="B881" s="280"/>
      <c r="C881" s="60"/>
      <c r="D881" s="60"/>
      <c r="E881" s="240" t="s">
        <v>12231</v>
      </c>
      <c r="F881" s="244"/>
      <c r="G881" s="244"/>
      <c r="H881" s="253"/>
      <c r="I881" s="253"/>
      <c r="J881" s="253"/>
      <c r="K881" s="362"/>
      <c r="L881" s="362"/>
      <c r="M881" s="245"/>
      <c r="N881" s="265" t="b">
        <f>NOT(ISERROR(ResultsTeams[[#This Row],[Goal-A]]+ResultsTeams[[#This Row],[Goal-B]]))</f>
        <v>1</v>
      </c>
      <c r="O881" s="265">
        <f>IF(ResultsTeams[[#This Row],[Type]]="G",SUM(O882:O885),IF(LEFT(ResultsTeams[[#This Row],[Type]],1)="P",IF(ResultsTeams[[#This Row],[Goal-A]]&gt;ResultsTeams[[#This Row],[Goal-B]],1,0),""))</f>
        <v>0</v>
      </c>
      <c r="P881" s="265">
        <f>IF(ResultsTeams[[#This Row],[Type]]="G",SUM(P882:P885),IF(LEFT(ResultsTeams[[#This Row],[Type]],1)="P",IF(ResultsTeams[[#This Row],[Goal-A]]&lt;ResultsTeams[[#This Row],[Goal-B]],1,0),""))</f>
        <v>0</v>
      </c>
      <c r="Q881" s="265">
        <f>IF(ResultsTeams[[#This Row],[Type]]="G",SUM(Q882:Q885),IF(LEFT(ResultsTeams[[#This Row],[Type]],1)="P",VALUE(ResultsTeams[[#This Row],[Score-A]]),""))</f>
        <v>0</v>
      </c>
      <c r="R881" s="265">
        <f>IF(ResultsTeams[[#This Row],[Type]]="G",SUM(R882:R885),IF(LEFT(ResultsTeams[[#This Row],[Type]],1)="P",VALUE(ResultsTeams[[#This Row],[Score-B]]),""))</f>
        <v>0</v>
      </c>
      <c r="S881" s="265" t="str">
        <f ca="1">IF(AND(ResultsTeams[[#This Row],[Category]]&lt;&gt;"",ResultsTeams[[#This Row],[Team A]]&lt;&gt;""),COUNTIF(INDIRECT("TeamsList[Club Name]"),ResultsTeams[[#This Row],[Team A]]),"")</f>
        <v/>
      </c>
      <c r="T881" s="265" t="str">
        <f ca="1">IF(AND(ResultsTeams[[#This Row],[Category]]&lt;&gt;"",ResultsTeams[[#This Row],[Team B]]&lt;&gt;""),COUNTIF(INDIRECT("TeamsList[Club Name]"),ResultsTeams[[#This Row],[Team B]]),"")</f>
        <v/>
      </c>
      <c r="U8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1" s="265" t="str">
        <f>IF(ResultsTeams[[#This Row],[Score_OK]],IF(ResultsTeams[[#This Row],[StageCpy]]="Groups",ResultsTeams[[#This Row],[Category]]&amp;"-"&amp;IF(ResultsTeams[[#This Row],[Team B]]="","",IF(ResultsTeams[[#This Row],[Match-A]]=ResultsTeams[[#This Row],[Match-B]],ResultsTeams[[#This Row],[Team A]],"")),""),"")</f>
        <v/>
      </c>
      <c r="W881" s="265" t="str">
        <f>IF(ResultsTeams[[#This Row],[Score_OK]],IF(ResultsTeams[[#This Row],[StageCpy]]="Groups",ResultsTeams[[#This Row],[Category]]&amp;"-"&amp;IF(ResultsTeams[[#This Row],[Team B]]="","",IF(ResultsTeams[[#This Row],[Match-A]]=ResultsTeams[[#This Row],[Match-B]],ResultsTeams[[#This Row],[Team B]],"")),""),"")</f>
        <v/>
      </c>
      <c r="X8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1" s="264" t="str">
        <f>IF(ResultsTeams[[#This Row],[Category]]="","",VLOOKUP(ResultsTeams[[#This Row],[Stage]],$R$1:$T$8,MATCH(ResultsTeams[[#This Row],[Category]],$S$1:$T$1,0)+1,FALSE))</f>
        <v/>
      </c>
      <c r="AC8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1" s="264">
        <f>IF(ResultsTeams[[#This Row],[Type]]="G",ResultsTeams[[#This Row],[Stage]],AD880)</f>
        <v>0</v>
      </c>
      <c r="AE881" s="395" t="e">
        <f>IF(ResultsTeams[[#This Row],[Type]]="G",INDEX(TeamsList[Club Name],MATCH(ResultsTeams[[#This Row],[Team A]],TeamsList[Team Name],0)),AE880)</f>
        <v>#N/A</v>
      </c>
      <c r="AF881" s="395" t="e">
        <f>IF(ResultsTeams[[#This Row],[Type]]="G",INDEX(TeamsList[Club Name],MATCH(ResultsTeams[[#This Row],[Team B]],TeamsList[Team Name],0)),AF880)</f>
        <v>#N/A</v>
      </c>
      <c r="AG881" s="265"/>
    </row>
    <row r="882" spans="1:33" x14ac:dyDescent="0.2">
      <c r="A882" s="62"/>
      <c r="B882" s="280"/>
      <c r="C882" s="62"/>
      <c r="D882" s="62"/>
      <c r="E882" s="241" t="s">
        <v>12234</v>
      </c>
      <c r="F882" s="246"/>
      <c r="G882" s="246"/>
      <c r="H882" s="254"/>
      <c r="I882" s="254"/>
      <c r="J882" s="254"/>
      <c r="K882" s="363"/>
      <c r="L882" s="363"/>
      <c r="M882" s="247"/>
      <c r="N882" s="265" t="b">
        <f>NOT(ISERROR(ResultsTeams[[#This Row],[Goal-A]]+ResultsTeams[[#This Row],[Goal-B]]))</f>
        <v>1</v>
      </c>
      <c r="O882" s="265">
        <f>IF(ResultsTeams[[#This Row],[Type]]="G",SUM(O883:O886),IF(LEFT(ResultsTeams[[#This Row],[Type]],1)="P",IF(ResultsTeams[[#This Row],[Goal-A]]&gt;ResultsTeams[[#This Row],[Goal-B]],1,0),""))</f>
        <v>0</v>
      </c>
      <c r="P882" s="265">
        <f>IF(ResultsTeams[[#This Row],[Type]]="G",SUM(P883:P886),IF(LEFT(ResultsTeams[[#This Row],[Type]],1)="P",IF(ResultsTeams[[#This Row],[Goal-A]]&lt;ResultsTeams[[#This Row],[Goal-B]],1,0),""))</f>
        <v>0</v>
      </c>
      <c r="Q882" s="265">
        <f>IF(ResultsTeams[[#This Row],[Type]]="G",SUM(Q883:Q886),IF(LEFT(ResultsTeams[[#This Row],[Type]],1)="P",VALUE(ResultsTeams[[#This Row],[Score-A]]),""))</f>
        <v>0</v>
      </c>
      <c r="R882" s="265">
        <f>IF(ResultsTeams[[#This Row],[Type]]="G",SUM(R883:R886),IF(LEFT(ResultsTeams[[#This Row],[Type]],1)="P",VALUE(ResultsTeams[[#This Row],[Score-B]]),""))</f>
        <v>0</v>
      </c>
      <c r="S882" s="265" t="str">
        <f ca="1">IF(AND(ResultsTeams[[#This Row],[Category]]&lt;&gt;"",ResultsTeams[[#This Row],[Team A]]&lt;&gt;""),COUNTIF(INDIRECT("TeamsList[Club Name]"),ResultsTeams[[#This Row],[Team A]]),"")</f>
        <v/>
      </c>
      <c r="T882" s="265" t="str">
        <f ca="1">IF(AND(ResultsTeams[[#This Row],[Category]]&lt;&gt;"",ResultsTeams[[#This Row],[Team B]]&lt;&gt;""),COUNTIF(INDIRECT("TeamsList[Club Name]"),ResultsTeams[[#This Row],[Team B]]),"")</f>
        <v/>
      </c>
      <c r="U8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2" s="265" t="str">
        <f>IF(ResultsTeams[[#This Row],[Score_OK]],IF(ResultsTeams[[#This Row],[StageCpy]]="Groups",ResultsTeams[[#This Row],[Category]]&amp;"-"&amp;IF(ResultsTeams[[#This Row],[Team B]]="","",IF(ResultsTeams[[#This Row],[Match-A]]=ResultsTeams[[#This Row],[Match-B]],ResultsTeams[[#This Row],[Team A]],"")),""),"")</f>
        <v/>
      </c>
      <c r="W882" s="265" t="str">
        <f>IF(ResultsTeams[[#This Row],[Score_OK]],IF(ResultsTeams[[#This Row],[StageCpy]]="Groups",ResultsTeams[[#This Row],[Category]]&amp;"-"&amp;IF(ResultsTeams[[#This Row],[Team B]]="","",IF(ResultsTeams[[#This Row],[Match-A]]=ResultsTeams[[#This Row],[Match-B]],ResultsTeams[[#This Row],[Team B]],"")),""),"")</f>
        <v/>
      </c>
      <c r="X8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2" s="264" t="str">
        <f>IF(ResultsTeams[[#This Row],[Category]]="","",VLOOKUP(ResultsTeams[[#This Row],[Stage]],$R$1:$T$8,MATCH(ResultsTeams[[#This Row],[Category]],$S$1:$T$1,0)+1,FALSE))</f>
        <v/>
      </c>
      <c r="AC8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2" s="264">
        <f>IF(ResultsTeams[[#This Row],[Type]]="G",ResultsTeams[[#This Row],[Stage]],AD881)</f>
        <v>0</v>
      </c>
      <c r="AE882" s="395" t="e">
        <f>IF(ResultsTeams[[#This Row],[Type]]="G",INDEX(TeamsList[Club Name],MATCH(ResultsTeams[[#This Row],[Team A]],TeamsList[Team Name],0)),AE881)</f>
        <v>#N/A</v>
      </c>
      <c r="AF882" s="395" t="e">
        <f>IF(ResultsTeams[[#This Row],[Type]]="G",INDEX(TeamsList[Club Name],MATCH(ResultsTeams[[#This Row],[Team B]],TeamsList[Team Name],0)),AF881)</f>
        <v>#N/A</v>
      </c>
      <c r="AG882" s="265"/>
    </row>
    <row r="883" spans="1:33" x14ac:dyDescent="0.2">
      <c r="A883" s="62"/>
      <c r="B883" s="280"/>
      <c r="C883" s="62"/>
      <c r="D883" s="62"/>
      <c r="E883" s="241" t="s">
        <v>12237</v>
      </c>
      <c r="F883" s="246"/>
      <c r="G883" s="246"/>
      <c r="H883" s="254"/>
      <c r="I883" s="254"/>
      <c r="J883" s="254"/>
      <c r="K883" s="363"/>
      <c r="L883" s="363"/>
      <c r="M883" s="247"/>
      <c r="N883" s="265" t="b">
        <f>NOT(ISERROR(ResultsTeams[[#This Row],[Goal-A]]+ResultsTeams[[#This Row],[Goal-B]]))</f>
        <v>1</v>
      </c>
      <c r="O883" s="265">
        <f>IF(ResultsTeams[[#This Row],[Type]]="G",SUM(O884:O887),IF(LEFT(ResultsTeams[[#This Row],[Type]],1)="P",IF(ResultsTeams[[#This Row],[Goal-A]]&gt;ResultsTeams[[#This Row],[Goal-B]],1,0),""))</f>
        <v>0</v>
      </c>
      <c r="P883" s="265">
        <f>IF(ResultsTeams[[#This Row],[Type]]="G",SUM(P884:P887),IF(LEFT(ResultsTeams[[#This Row],[Type]],1)="P",IF(ResultsTeams[[#This Row],[Goal-A]]&lt;ResultsTeams[[#This Row],[Goal-B]],1,0),""))</f>
        <v>0</v>
      </c>
      <c r="Q883" s="265">
        <f>IF(ResultsTeams[[#This Row],[Type]]="G",SUM(Q884:Q887),IF(LEFT(ResultsTeams[[#This Row],[Type]],1)="P",VALUE(ResultsTeams[[#This Row],[Score-A]]),""))</f>
        <v>0</v>
      </c>
      <c r="R883" s="265">
        <f>IF(ResultsTeams[[#This Row],[Type]]="G",SUM(R884:R887),IF(LEFT(ResultsTeams[[#This Row],[Type]],1)="P",VALUE(ResultsTeams[[#This Row],[Score-B]]),""))</f>
        <v>0</v>
      </c>
      <c r="S883" s="265" t="str">
        <f ca="1">IF(AND(ResultsTeams[[#This Row],[Category]]&lt;&gt;"",ResultsTeams[[#This Row],[Team A]]&lt;&gt;""),COUNTIF(INDIRECT("TeamsList[Club Name]"),ResultsTeams[[#This Row],[Team A]]),"")</f>
        <v/>
      </c>
      <c r="T883" s="265" t="str">
        <f ca="1">IF(AND(ResultsTeams[[#This Row],[Category]]&lt;&gt;"",ResultsTeams[[#This Row],[Team B]]&lt;&gt;""),COUNTIF(INDIRECT("TeamsList[Club Name]"),ResultsTeams[[#This Row],[Team B]]),"")</f>
        <v/>
      </c>
      <c r="U8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3" s="265" t="str">
        <f>IF(ResultsTeams[[#This Row],[Score_OK]],IF(ResultsTeams[[#This Row],[StageCpy]]="Groups",ResultsTeams[[#This Row],[Category]]&amp;"-"&amp;IF(ResultsTeams[[#This Row],[Team B]]="","",IF(ResultsTeams[[#This Row],[Match-A]]=ResultsTeams[[#This Row],[Match-B]],ResultsTeams[[#This Row],[Team A]],"")),""),"")</f>
        <v/>
      </c>
      <c r="W883" s="265" t="str">
        <f>IF(ResultsTeams[[#This Row],[Score_OK]],IF(ResultsTeams[[#This Row],[StageCpy]]="Groups",ResultsTeams[[#This Row],[Category]]&amp;"-"&amp;IF(ResultsTeams[[#This Row],[Team B]]="","",IF(ResultsTeams[[#This Row],[Match-A]]=ResultsTeams[[#This Row],[Match-B]],ResultsTeams[[#This Row],[Team B]],"")),""),"")</f>
        <v/>
      </c>
      <c r="X8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3" s="264" t="str">
        <f>IF(ResultsTeams[[#This Row],[Category]]="","",VLOOKUP(ResultsTeams[[#This Row],[Stage]],$R$1:$T$8,MATCH(ResultsTeams[[#This Row],[Category]],$S$1:$T$1,0)+1,FALSE))</f>
        <v/>
      </c>
      <c r="AC8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3" s="264">
        <f>IF(ResultsTeams[[#This Row],[Type]]="G",ResultsTeams[[#This Row],[Stage]],AD882)</f>
        <v>0</v>
      </c>
      <c r="AE883" s="395" t="e">
        <f>IF(ResultsTeams[[#This Row],[Type]]="G",INDEX(TeamsList[Club Name],MATCH(ResultsTeams[[#This Row],[Team A]],TeamsList[Team Name],0)),AE882)</f>
        <v>#N/A</v>
      </c>
      <c r="AF883" s="395" t="e">
        <f>IF(ResultsTeams[[#This Row],[Type]]="G",INDEX(TeamsList[Club Name],MATCH(ResultsTeams[[#This Row],[Team B]],TeamsList[Team Name],0)),AF882)</f>
        <v>#N/A</v>
      </c>
      <c r="AG883" s="265"/>
    </row>
    <row r="884" spans="1:33" x14ac:dyDescent="0.2">
      <c r="A884" s="62"/>
      <c r="B884" s="280"/>
      <c r="C884" s="62"/>
      <c r="D884" s="62"/>
      <c r="E884" s="241" t="s">
        <v>12240</v>
      </c>
      <c r="F884" s="246"/>
      <c r="G884" s="246"/>
      <c r="H884" s="254"/>
      <c r="I884" s="254"/>
      <c r="J884" s="254"/>
      <c r="K884" s="363"/>
      <c r="L884" s="363"/>
      <c r="M884" s="247"/>
      <c r="N884" s="265" t="b">
        <f>NOT(ISERROR(ResultsTeams[[#This Row],[Goal-A]]+ResultsTeams[[#This Row],[Goal-B]]))</f>
        <v>1</v>
      </c>
      <c r="O884" s="265">
        <f>IF(ResultsTeams[[#This Row],[Type]]="G",SUM(O885:O888),IF(LEFT(ResultsTeams[[#This Row],[Type]],1)="P",IF(ResultsTeams[[#This Row],[Goal-A]]&gt;ResultsTeams[[#This Row],[Goal-B]],1,0),""))</f>
        <v>0</v>
      </c>
      <c r="P884" s="265">
        <f>IF(ResultsTeams[[#This Row],[Type]]="G",SUM(P885:P888),IF(LEFT(ResultsTeams[[#This Row],[Type]],1)="P",IF(ResultsTeams[[#This Row],[Goal-A]]&lt;ResultsTeams[[#This Row],[Goal-B]],1,0),""))</f>
        <v>0</v>
      </c>
      <c r="Q884" s="265">
        <f>IF(ResultsTeams[[#This Row],[Type]]="G",SUM(Q885:Q888),IF(LEFT(ResultsTeams[[#This Row],[Type]],1)="P",VALUE(ResultsTeams[[#This Row],[Score-A]]),""))</f>
        <v>0</v>
      </c>
      <c r="R884" s="265">
        <f>IF(ResultsTeams[[#This Row],[Type]]="G",SUM(R885:R888),IF(LEFT(ResultsTeams[[#This Row],[Type]],1)="P",VALUE(ResultsTeams[[#This Row],[Score-B]]),""))</f>
        <v>0</v>
      </c>
      <c r="S884" s="265" t="str">
        <f ca="1">IF(AND(ResultsTeams[[#This Row],[Category]]&lt;&gt;"",ResultsTeams[[#This Row],[Team A]]&lt;&gt;""),COUNTIF(INDIRECT("TeamsList[Club Name]"),ResultsTeams[[#This Row],[Team A]]),"")</f>
        <v/>
      </c>
      <c r="T884" s="265" t="str">
        <f ca="1">IF(AND(ResultsTeams[[#This Row],[Category]]&lt;&gt;"",ResultsTeams[[#This Row],[Team B]]&lt;&gt;""),COUNTIF(INDIRECT("TeamsList[Club Name]"),ResultsTeams[[#This Row],[Team B]]),"")</f>
        <v/>
      </c>
      <c r="U8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4" s="265" t="str">
        <f>IF(ResultsTeams[[#This Row],[Score_OK]],IF(ResultsTeams[[#This Row],[StageCpy]]="Groups",ResultsTeams[[#This Row],[Category]]&amp;"-"&amp;IF(ResultsTeams[[#This Row],[Team B]]="","",IF(ResultsTeams[[#This Row],[Match-A]]=ResultsTeams[[#This Row],[Match-B]],ResultsTeams[[#This Row],[Team A]],"")),""),"")</f>
        <v/>
      </c>
      <c r="W884" s="265" t="str">
        <f>IF(ResultsTeams[[#This Row],[Score_OK]],IF(ResultsTeams[[#This Row],[StageCpy]]="Groups",ResultsTeams[[#This Row],[Category]]&amp;"-"&amp;IF(ResultsTeams[[#This Row],[Team B]]="","",IF(ResultsTeams[[#This Row],[Match-A]]=ResultsTeams[[#This Row],[Match-B]],ResultsTeams[[#This Row],[Team B]],"")),""),"")</f>
        <v/>
      </c>
      <c r="X8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4" s="264" t="str">
        <f>IF(ResultsTeams[[#This Row],[Category]]="","",VLOOKUP(ResultsTeams[[#This Row],[Stage]],$R$1:$T$8,MATCH(ResultsTeams[[#This Row],[Category]],$S$1:$T$1,0)+1,FALSE))</f>
        <v/>
      </c>
      <c r="AC8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4" s="264">
        <f>IF(ResultsTeams[[#This Row],[Type]]="G",ResultsTeams[[#This Row],[Stage]],AD883)</f>
        <v>0</v>
      </c>
      <c r="AE884" s="395" t="e">
        <f>IF(ResultsTeams[[#This Row],[Type]]="G",INDEX(TeamsList[Club Name],MATCH(ResultsTeams[[#This Row],[Team A]],TeamsList[Team Name],0)),AE883)</f>
        <v>#N/A</v>
      </c>
      <c r="AF884" s="395" t="e">
        <f>IF(ResultsTeams[[#This Row],[Type]]="G",INDEX(TeamsList[Club Name],MATCH(ResultsTeams[[#This Row],[Team B]],TeamsList[Team Name],0)),AF883)</f>
        <v>#N/A</v>
      </c>
      <c r="AG884" s="265"/>
    </row>
    <row r="885" spans="1:33" x14ac:dyDescent="0.2">
      <c r="A885" s="62"/>
      <c r="B885" s="62"/>
      <c r="C885" s="62"/>
      <c r="D885" s="62"/>
      <c r="E885" s="241" t="s">
        <v>12243</v>
      </c>
      <c r="F885" s="247"/>
      <c r="G885" s="247"/>
      <c r="H885" s="254"/>
      <c r="I885" s="254"/>
      <c r="J885" s="260"/>
      <c r="K885" s="364"/>
      <c r="L885" s="364"/>
      <c r="M885" s="63"/>
      <c r="N885" s="265" t="b">
        <f>NOT(ISERROR(ResultsTeams[[#This Row],[Goal-A]]+ResultsTeams[[#This Row],[Goal-B]]))</f>
        <v>0</v>
      </c>
      <c r="O885" s="265" t="str">
        <f>IF(ResultsTeams[[#This Row],[Type]]="G",SUM(O886:O889),IF(LEFT(ResultsTeams[[#This Row],[Type]],1)="P",IF(ResultsTeams[[#This Row],[Goal-A]]&gt;ResultsTeams[[#This Row],[Goal-B]],1,0),""))</f>
        <v/>
      </c>
      <c r="P885" s="265" t="str">
        <f>IF(ResultsTeams[[#This Row],[Type]]="G",SUM(P886:P889),IF(LEFT(ResultsTeams[[#This Row],[Type]],1)="P",IF(ResultsTeams[[#This Row],[Goal-A]]&lt;ResultsTeams[[#This Row],[Goal-B]],1,0),""))</f>
        <v/>
      </c>
      <c r="Q885" s="265" t="str">
        <f>IF(ResultsTeams[[#This Row],[Type]]="G",SUM(Q886:Q889),IF(LEFT(ResultsTeams[[#This Row],[Type]],1)="P",VALUE(ResultsTeams[[#This Row],[Score-A]]),""))</f>
        <v/>
      </c>
      <c r="R885" s="265" t="str">
        <f>IF(ResultsTeams[[#This Row],[Type]]="G",SUM(R886:R889),IF(LEFT(ResultsTeams[[#This Row],[Type]],1)="P",VALUE(ResultsTeams[[#This Row],[Score-B]]),""))</f>
        <v/>
      </c>
      <c r="S885" s="265" t="str">
        <f ca="1">IF(AND(ResultsTeams[[#This Row],[Category]]&lt;&gt;"",ResultsTeams[[#This Row],[Team A]]&lt;&gt;""),COUNTIF(INDIRECT("TeamsList[Club Name]"),ResultsTeams[[#This Row],[Team A]]),"")</f>
        <v/>
      </c>
      <c r="T885" s="265" t="str">
        <f ca="1">IF(AND(ResultsTeams[[#This Row],[Category]]&lt;&gt;"",ResultsTeams[[#This Row],[Team B]]&lt;&gt;""),COUNTIF(INDIRECT("TeamsList[Club Name]"),ResultsTeams[[#This Row],[Team B]]),"")</f>
        <v/>
      </c>
      <c r="U8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5" s="265" t="str">
        <f>IF(ResultsTeams[[#This Row],[Score_OK]],IF(ResultsTeams[[#This Row],[StageCpy]]="Groups",ResultsTeams[[#This Row],[Category]]&amp;"-"&amp;IF(ResultsTeams[[#This Row],[Team B]]="","",IF(ResultsTeams[[#This Row],[Match-A]]=ResultsTeams[[#This Row],[Match-B]],ResultsTeams[[#This Row],[Team A]],"")),""),"")</f>
        <v/>
      </c>
      <c r="W885" s="265" t="str">
        <f>IF(ResultsTeams[[#This Row],[Score_OK]],IF(ResultsTeams[[#This Row],[StageCpy]]="Groups",ResultsTeams[[#This Row],[Category]]&amp;"-"&amp;IF(ResultsTeams[[#This Row],[Team B]]="","",IF(ResultsTeams[[#This Row],[Match-A]]=ResultsTeams[[#This Row],[Match-B]],ResultsTeams[[#This Row],[Team B]],"")),""),"")</f>
        <v/>
      </c>
      <c r="X8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5" s="264" t="str">
        <f>IF(ResultsTeams[[#This Row],[Category]]="","",VLOOKUP(ResultsTeams[[#This Row],[Stage]],$R$1:$T$8,MATCH(ResultsTeams[[#This Row],[Category]],$S$1:$T$1,0)+1,FALSE))</f>
        <v/>
      </c>
      <c r="AC8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5" s="264">
        <f>IF(ResultsTeams[[#This Row],[Type]]="G",ResultsTeams[[#This Row],[Stage]],AD884)</f>
        <v>0</v>
      </c>
      <c r="AE885" s="395" t="e">
        <f>IF(ResultsTeams[[#This Row],[Type]]="G",INDEX(TeamsList[Club Name],MATCH(ResultsTeams[[#This Row],[Team A]],TeamsList[Team Name],0)),AE884)</f>
        <v>#N/A</v>
      </c>
      <c r="AF885" s="395" t="e">
        <f>IF(ResultsTeams[[#This Row],[Type]]="G",INDEX(TeamsList[Club Name],MATCH(ResultsTeams[[#This Row],[Team B]],TeamsList[Team Name],0)),AF884)</f>
        <v>#N/A</v>
      </c>
      <c r="AG885" s="265"/>
    </row>
    <row r="886" spans="1:33" ht="12" thickBot="1" x14ac:dyDescent="0.25">
      <c r="A886" s="83"/>
      <c r="B886" s="83"/>
      <c r="C886" s="83"/>
      <c r="D886" s="83"/>
      <c r="E886" s="268" t="s">
        <v>12244</v>
      </c>
      <c r="F886" s="262"/>
      <c r="G886" s="262"/>
      <c r="H886" s="324"/>
      <c r="I886" s="324"/>
      <c r="J886" s="263"/>
      <c r="K886" s="365"/>
      <c r="L886" s="365"/>
      <c r="M886" s="84"/>
      <c r="N886" s="265" t="b">
        <f>NOT(ISERROR(ResultsTeams[[#This Row],[Goal-A]]+ResultsTeams[[#This Row],[Goal-B]]))</f>
        <v>0</v>
      </c>
      <c r="O886" s="265" t="str">
        <f>IF(ResultsTeams[[#This Row],[Type]]="G",SUM(O887:O890),IF(LEFT(ResultsTeams[[#This Row],[Type]],1)="P",IF(ResultsTeams[[#This Row],[Goal-A]]&gt;ResultsTeams[[#This Row],[Goal-B]],1,0),""))</f>
        <v/>
      </c>
      <c r="P886" s="265" t="str">
        <f>IF(ResultsTeams[[#This Row],[Type]]="G",SUM(P887:P890),IF(LEFT(ResultsTeams[[#This Row],[Type]],1)="P",IF(ResultsTeams[[#This Row],[Goal-A]]&lt;ResultsTeams[[#This Row],[Goal-B]],1,0),""))</f>
        <v/>
      </c>
      <c r="Q886" s="265" t="str">
        <f>IF(ResultsTeams[[#This Row],[Type]]="G",SUM(Q887:Q890),IF(LEFT(ResultsTeams[[#This Row],[Type]],1)="P",VALUE(ResultsTeams[[#This Row],[Score-A]]),""))</f>
        <v/>
      </c>
      <c r="R886" s="265" t="str">
        <f>IF(ResultsTeams[[#This Row],[Type]]="G",SUM(R887:R890),IF(LEFT(ResultsTeams[[#This Row],[Type]],1)="P",VALUE(ResultsTeams[[#This Row],[Score-B]]),""))</f>
        <v/>
      </c>
      <c r="S886" s="265" t="str">
        <f ca="1">IF(AND(ResultsTeams[[#This Row],[Category]]&lt;&gt;"",ResultsTeams[[#This Row],[Team A]]&lt;&gt;""),COUNTIF(INDIRECT("TeamsList[Club Name]"),ResultsTeams[[#This Row],[Team A]]),"")</f>
        <v/>
      </c>
      <c r="T886" s="265" t="str">
        <f ca="1">IF(AND(ResultsTeams[[#This Row],[Category]]&lt;&gt;"",ResultsTeams[[#This Row],[Team B]]&lt;&gt;""),COUNTIF(INDIRECT("TeamsList[Club Name]"),ResultsTeams[[#This Row],[Team B]]),"")</f>
        <v/>
      </c>
      <c r="U8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6" s="265" t="str">
        <f>IF(ResultsTeams[[#This Row],[Score_OK]],IF(ResultsTeams[[#This Row],[StageCpy]]="Groups",ResultsTeams[[#This Row],[Category]]&amp;"-"&amp;IF(ResultsTeams[[#This Row],[Team B]]="","",IF(ResultsTeams[[#This Row],[Match-A]]=ResultsTeams[[#This Row],[Match-B]],ResultsTeams[[#This Row],[Team A]],"")),""),"")</f>
        <v/>
      </c>
      <c r="W886" s="265" t="str">
        <f>IF(ResultsTeams[[#This Row],[Score_OK]],IF(ResultsTeams[[#This Row],[StageCpy]]="Groups",ResultsTeams[[#This Row],[Category]]&amp;"-"&amp;IF(ResultsTeams[[#This Row],[Team B]]="","",IF(ResultsTeams[[#This Row],[Match-A]]=ResultsTeams[[#This Row],[Match-B]],ResultsTeams[[#This Row],[Team B]],"")),""),"")</f>
        <v/>
      </c>
      <c r="X8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6" s="264" t="str">
        <f>IF(ResultsTeams[[#This Row],[Category]]="","",VLOOKUP(ResultsTeams[[#This Row],[Stage]],$R$1:$T$8,MATCH(ResultsTeams[[#This Row],[Category]],$S$1:$T$1,0)+1,FALSE))</f>
        <v/>
      </c>
      <c r="AC8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6" s="264">
        <f>IF(ResultsTeams[[#This Row],[Type]]="G",ResultsTeams[[#This Row],[Stage]],AD885)</f>
        <v>0</v>
      </c>
      <c r="AE886" s="395" t="e">
        <f>IF(ResultsTeams[[#This Row],[Type]]="G",INDEX(TeamsList[Club Name],MATCH(ResultsTeams[[#This Row],[Team A]],TeamsList[Team Name],0)),AE885)</f>
        <v>#N/A</v>
      </c>
      <c r="AF886" s="395" t="e">
        <f>IF(ResultsTeams[[#This Row],[Type]]="G",INDEX(TeamsList[Club Name],MATCH(ResultsTeams[[#This Row],[Team B]],TeamsList[Team Name],0)),AF885)</f>
        <v>#N/A</v>
      </c>
      <c r="AG886" s="265"/>
    </row>
    <row r="887" spans="1:33" ht="12" thickBot="1" x14ac:dyDescent="0.25">
      <c r="A887" s="261"/>
      <c r="B887" s="270"/>
      <c r="C887" s="270"/>
      <c r="D887" s="270"/>
      <c r="E887" s="272" t="s">
        <v>12228</v>
      </c>
      <c r="F887" s="273"/>
      <c r="G887" s="273"/>
      <c r="H887" s="275"/>
      <c r="I887" s="275"/>
      <c r="J887" s="275"/>
      <c r="K887" s="366"/>
      <c r="L887" s="366"/>
      <c r="M887" s="271"/>
      <c r="N887" s="265" t="b">
        <f>NOT(ISERROR(ResultsTeams[[#This Row],[Goal-A]]+ResultsTeams[[#This Row],[Goal-B]]))</f>
        <v>1</v>
      </c>
      <c r="O887" s="265">
        <f>IF(ResultsTeams[[#This Row],[Type]]="G",SUM(O888:O891),IF(LEFT(ResultsTeams[[#This Row],[Type]],1)="P",IF(ResultsTeams[[#This Row],[Goal-A]]&gt;ResultsTeams[[#This Row],[Goal-B]],1,0),""))</f>
        <v>0</v>
      </c>
      <c r="P887" s="265">
        <f>IF(ResultsTeams[[#This Row],[Type]]="G",SUM(P888:P891),IF(LEFT(ResultsTeams[[#This Row],[Type]],1)="P",IF(ResultsTeams[[#This Row],[Goal-A]]&lt;ResultsTeams[[#This Row],[Goal-B]],1,0),""))</f>
        <v>0</v>
      </c>
      <c r="Q887" s="265">
        <f>IF(ResultsTeams[[#This Row],[Type]]="G",SUM(Q888:Q891),IF(LEFT(ResultsTeams[[#This Row],[Type]],1)="P",VALUE(ResultsTeams[[#This Row],[Score-A]]),""))</f>
        <v>0</v>
      </c>
      <c r="R887" s="265">
        <f>IF(ResultsTeams[[#This Row],[Type]]="G",SUM(R888:R891),IF(LEFT(ResultsTeams[[#This Row],[Type]],1)="P",VALUE(ResultsTeams[[#This Row],[Score-B]]),""))</f>
        <v>0</v>
      </c>
      <c r="S887" s="265" t="str">
        <f ca="1">IF(AND(ResultsTeams[[#This Row],[Category]]&lt;&gt;"",ResultsTeams[[#This Row],[Team A]]&lt;&gt;""),COUNTIF(INDIRECT("TeamsList[Club Name]"),ResultsTeams[[#This Row],[Team A]]),"")</f>
        <v/>
      </c>
      <c r="T887" s="265" t="str">
        <f ca="1">IF(AND(ResultsTeams[[#This Row],[Category]]&lt;&gt;"",ResultsTeams[[#This Row],[Team B]]&lt;&gt;""),COUNTIF(INDIRECT("TeamsList[Club Name]"),ResultsTeams[[#This Row],[Team B]]),"")</f>
        <v/>
      </c>
      <c r="U8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7" s="265" t="str">
        <f>IF(ResultsTeams[[#This Row],[Score_OK]],IF(ResultsTeams[[#This Row],[StageCpy]]="Groups",ResultsTeams[[#This Row],[Category]]&amp;"-"&amp;IF(ResultsTeams[[#This Row],[Team B]]="","",IF(ResultsTeams[[#This Row],[Match-A]]=ResultsTeams[[#This Row],[Match-B]],ResultsTeams[[#This Row],[Team A]],"")),""),"")</f>
        <v/>
      </c>
      <c r="W887" s="265" t="str">
        <f>IF(ResultsTeams[[#This Row],[Score_OK]],IF(ResultsTeams[[#This Row],[StageCpy]]="Groups",ResultsTeams[[#This Row],[Category]]&amp;"-"&amp;IF(ResultsTeams[[#This Row],[Team B]]="","",IF(ResultsTeams[[#This Row],[Match-A]]=ResultsTeams[[#This Row],[Match-B]],ResultsTeams[[#This Row],[Team B]],"")),""),"")</f>
        <v/>
      </c>
      <c r="X8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7" s="264" t="str">
        <f>IF(ResultsTeams[[#This Row],[Category]]="","",VLOOKUP(ResultsTeams[[#This Row],[Stage]],$R$1:$T$8,MATCH(ResultsTeams[[#This Row],[Category]],$S$1:$T$1,0)+1,FALSE))</f>
        <v/>
      </c>
      <c r="AC8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7" s="264">
        <f>IF(ResultsTeams[[#This Row],[Type]]="G",ResultsTeams[[#This Row],[Stage]],AD886)</f>
        <v>0</v>
      </c>
      <c r="AE887" s="395" t="e">
        <f>IF(ResultsTeams[[#This Row],[Type]]="G",INDEX(TeamsList[Club Name],MATCH(ResultsTeams[[#This Row],[Team A]],TeamsList[Team Name],0)),AE886)</f>
        <v>#N/A</v>
      </c>
      <c r="AF887" s="395" t="e">
        <f>IF(ResultsTeams[[#This Row],[Type]]="G",INDEX(TeamsList[Club Name],MATCH(ResultsTeams[[#This Row],[Team B]],TeamsList[Team Name],0)),AF886)</f>
        <v>#N/A</v>
      </c>
      <c r="AG887" s="265"/>
    </row>
    <row r="888" spans="1:33" x14ac:dyDescent="0.2">
      <c r="A888" s="60"/>
      <c r="B888" s="280"/>
      <c r="C888" s="60"/>
      <c r="D888" s="60"/>
      <c r="E888" s="240" t="s">
        <v>12231</v>
      </c>
      <c r="F888" s="244"/>
      <c r="G888" s="244"/>
      <c r="H888" s="253"/>
      <c r="I888" s="253"/>
      <c r="J888" s="253"/>
      <c r="K888" s="362"/>
      <c r="L888" s="362"/>
      <c r="M888" s="61"/>
      <c r="N888" s="265" t="b">
        <f>NOT(ISERROR(ResultsTeams[[#This Row],[Goal-A]]+ResultsTeams[[#This Row],[Goal-B]]))</f>
        <v>1</v>
      </c>
      <c r="O888" s="265">
        <f>IF(ResultsTeams[[#This Row],[Type]]="G",SUM(O889:O892),IF(LEFT(ResultsTeams[[#This Row],[Type]],1)="P",IF(ResultsTeams[[#This Row],[Goal-A]]&gt;ResultsTeams[[#This Row],[Goal-B]],1,0),""))</f>
        <v>0</v>
      </c>
      <c r="P888" s="265">
        <f>IF(ResultsTeams[[#This Row],[Type]]="G",SUM(P889:P892),IF(LEFT(ResultsTeams[[#This Row],[Type]],1)="P",IF(ResultsTeams[[#This Row],[Goal-A]]&lt;ResultsTeams[[#This Row],[Goal-B]],1,0),""))</f>
        <v>0</v>
      </c>
      <c r="Q888" s="265">
        <f>IF(ResultsTeams[[#This Row],[Type]]="G",SUM(Q889:Q892),IF(LEFT(ResultsTeams[[#This Row],[Type]],1)="P",VALUE(ResultsTeams[[#This Row],[Score-A]]),""))</f>
        <v>0</v>
      </c>
      <c r="R888" s="265">
        <f>IF(ResultsTeams[[#This Row],[Type]]="G",SUM(R889:R892),IF(LEFT(ResultsTeams[[#This Row],[Type]],1)="P",VALUE(ResultsTeams[[#This Row],[Score-B]]),""))</f>
        <v>0</v>
      </c>
      <c r="S888" s="265" t="str">
        <f ca="1">IF(AND(ResultsTeams[[#This Row],[Category]]&lt;&gt;"",ResultsTeams[[#This Row],[Team A]]&lt;&gt;""),COUNTIF(INDIRECT("TeamsList[Club Name]"),ResultsTeams[[#This Row],[Team A]]),"")</f>
        <v/>
      </c>
      <c r="T888" s="265" t="str">
        <f ca="1">IF(AND(ResultsTeams[[#This Row],[Category]]&lt;&gt;"",ResultsTeams[[#This Row],[Team B]]&lt;&gt;""),COUNTIF(INDIRECT("TeamsList[Club Name]"),ResultsTeams[[#This Row],[Team B]]),"")</f>
        <v/>
      </c>
      <c r="U8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8" s="265" t="str">
        <f>IF(ResultsTeams[[#This Row],[Score_OK]],IF(ResultsTeams[[#This Row],[StageCpy]]="Groups",ResultsTeams[[#This Row],[Category]]&amp;"-"&amp;IF(ResultsTeams[[#This Row],[Team B]]="","",IF(ResultsTeams[[#This Row],[Match-A]]=ResultsTeams[[#This Row],[Match-B]],ResultsTeams[[#This Row],[Team A]],"")),""),"")</f>
        <v/>
      </c>
      <c r="W888" s="265" t="str">
        <f>IF(ResultsTeams[[#This Row],[Score_OK]],IF(ResultsTeams[[#This Row],[StageCpy]]="Groups",ResultsTeams[[#This Row],[Category]]&amp;"-"&amp;IF(ResultsTeams[[#This Row],[Team B]]="","",IF(ResultsTeams[[#This Row],[Match-A]]=ResultsTeams[[#This Row],[Match-B]],ResultsTeams[[#This Row],[Team B]],"")),""),"")</f>
        <v/>
      </c>
      <c r="X8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8" s="264" t="str">
        <f>IF(ResultsTeams[[#This Row],[Category]]="","",VLOOKUP(ResultsTeams[[#This Row],[Stage]],$R$1:$T$8,MATCH(ResultsTeams[[#This Row],[Category]],$S$1:$T$1,0)+1,FALSE))</f>
        <v/>
      </c>
      <c r="AC8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8" s="264">
        <f>IF(ResultsTeams[[#This Row],[Type]]="G",ResultsTeams[[#This Row],[Stage]],AD887)</f>
        <v>0</v>
      </c>
      <c r="AE888" s="395" t="e">
        <f>IF(ResultsTeams[[#This Row],[Type]]="G",INDEX(TeamsList[Club Name],MATCH(ResultsTeams[[#This Row],[Team A]],TeamsList[Team Name],0)),AE887)</f>
        <v>#N/A</v>
      </c>
      <c r="AF888" s="395" t="e">
        <f>IF(ResultsTeams[[#This Row],[Type]]="G",INDEX(TeamsList[Club Name],MATCH(ResultsTeams[[#This Row],[Team B]],TeamsList[Team Name],0)),AF887)</f>
        <v>#N/A</v>
      </c>
      <c r="AG888" s="265"/>
    </row>
    <row r="889" spans="1:33" x14ac:dyDescent="0.2">
      <c r="A889" s="62"/>
      <c r="B889" s="280"/>
      <c r="C889" s="62"/>
      <c r="D889" s="62"/>
      <c r="E889" s="241" t="s">
        <v>12234</v>
      </c>
      <c r="F889" s="246"/>
      <c r="G889" s="246"/>
      <c r="H889" s="254"/>
      <c r="I889" s="254"/>
      <c r="J889" s="254"/>
      <c r="K889" s="363"/>
      <c r="L889" s="363"/>
      <c r="M889" s="63"/>
      <c r="N889" s="265" t="b">
        <f>NOT(ISERROR(ResultsTeams[[#This Row],[Goal-A]]+ResultsTeams[[#This Row],[Goal-B]]))</f>
        <v>1</v>
      </c>
      <c r="O889" s="265">
        <f>IF(ResultsTeams[[#This Row],[Type]]="G",SUM(O890:O893),IF(LEFT(ResultsTeams[[#This Row],[Type]],1)="P",IF(ResultsTeams[[#This Row],[Goal-A]]&gt;ResultsTeams[[#This Row],[Goal-B]],1,0),""))</f>
        <v>0</v>
      </c>
      <c r="P889" s="265">
        <f>IF(ResultsTeams[[#This Row],[Type]]="G",SUM(P890:P893),IF(LEFT(ResultsTeams[[#This Row],[Type]],1)="P",IF(ResultsTeams[[#This Row],[Goal-A]]&lt;ResultsTeams[[#This Row],[Goal-B]],1,0),""))</f>
        <v>0</v>
      </c>
      <c r="Q889" s="265">
        <f>IF(ResultsTeams[[#This Row],[Type]]="G",SUM(Q890:Q893),IF(LEFT(ResultsTeams[[#This Row],[Type]],1)="P",VALUE(ResultsTeams[[#This Row],[Score-A]]),""))</f>
        <v>0</v>
      </c>
      <c r="R889" s="265">
        <f>IF(ResultsTeams[[#This Row],[Type]]="G",SUM(R890:R893),IF(LEFT(ResultsTeams[[#This Row],[Type]],1)="P",VALUE(ResultsTeams[[#This Row],[Score-B]]),""))</f>
        <v>0</v>
      </c>
      <c r="S889" s="265" t="str">
        <f ca="1">IF(AND(ResultsTeams[[#This Row],[Category]]&lt;&gt;"",ResultsTeams[[#This Row],[Team A]]&lt;&gt;""),COUNTIF(INDIRECT("TeamsList[Club Name]"),ResultsTeams[[#This Row],[Team A]]),"")</f>
        <v/>
      </c>
      <c r="T889" s="265" t="str">
        <f ca="1">IF(AND(ResultsTeams[[#This Row],[Category]]&lt;&gt;"",ResultsTeams[[#This Row],[Team B]]&lt;&gt;""),COUNTIF(INDIRECT("TeamsList[Club Name]"),ResultsTeams[[#This Row],[Team B]]),"")</f>
        <v/>
      </c>
      <c r="U8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9" s="265" t="str">
        <f>IF(ResultsTeams[[#This Row],[Score_OK]],IF(ResultsTeams[[#This Row],[StageCpy]]="Groups",ResultsTeams[[#This Row],[Category]]&amp;"-"&amp;IF(ResultsTeams[[#This Row],[Team B]]="","",IF(ResultsTeams[[#This Row],[Match-A]]=ResultsTeams[[#This Row],[Match-B]],ResultsTeams[[#This Row],[Team A]],"")),""),"")</f>
        <v/>
      </c>
      <c r="W889" s="265" t="str">
        <f>IF(ResultsTeams[[#This Row],[Score_OK]],IF(ResultsTeams[[#This Row],[StageCpy]]="Groups",ResultsTeams[[#This Row],[Category]]&amp;"-"&amp;IF(ResultsTeams[[#This Row],[Team B]]="","",IF(ResultsTeams[[#This Row],[Match-A]]=ResultsTeams[[#This Row],[Match-B]],ResultsTeams[[#This Row],[Team B]],"")),""),"")</f>
        <v/>
      </c>
      <c r="X8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9" s="264" t="str">
        <f>IF(ResultsTeams[[#This Row],[Category]]="","",VLOOKUP(ResultsTeams[[#This Row],[Stage]],$R$1:$T$8,MATCH(ResultsTeams[[#This Row],[Category]],$S$1:$T$1,0)+1,FALSE))</f>
        <v/>
      </c>
      <c r="AC8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9" s="264">
        <f>IF(ResultsTeams[[#This Row],[Type]]="G",ResultsTeams[[#This Row],[Stage]],AD888)</f>
        <v>0</v>
      </c>
      <c r="AE889" s="395" t="e">
        <f>IF(ResultsTeams[[#This Row],[Type]]="G",INDEX(TeamsList[Club Name],MATCH(ResultsTeams[[#This Row],[Team A]],TeamsList[Team Name],0)),AE888)</f>
        <v>#N/A</v>
      </c>
      <c r="AF889" s="395" t="e">
        <f>IF(ResultsTeams[[#This Row],[Type]]="G",INDEX(TeamsList[Club Name],MATCH(ResultsTeams[[#This Row],[Team B]],TeamsList[Team Name],0)),AF888)</f>
        <v>#N/A</v>
      </c>
      <c r="AG889" s="265"/>
    </row>
    <row r="890" spans="1:33" x14ac:dyDescent="0.2">
      <c r="A890" s="62"/>
      <c r="B890" s="280"/>
      <c r="C890" s="62"/>
      <c r="D890" s="62"/>
      <c r="E890" s="241" t="s">
        <v>12237</v>
      </c>
      <c r="F890" s="246"/>
      <c r="G890" s="246"/>
      <c r="H890" s="254"/>
      <c r="I890" s="254"/>
      <c r="J890" s="254"/>
      <c r="K890" s="363"/>
      <c r="L890" s="363"/>
      <c r="M890" s="63"/>
      <c r="N890" s="265" t="b">
        <f>NOT(ISERROR(ResultsTeams[[#This Row],[Goal-A]]+ResultsTeams[[#This Row],[Goal-B]]))</f>
        <v>1</v>
      </c>
      <c r="O890" s="265">
        <f>IF(ResultsTeams[[#This Row],[Type]]="G",SUM(O891:O894),IF(LEFT(ResultsTeams[[#This Row],[Type]],1)="P",IF(ResultsTeams[[#This Row],[Goal-A]]&gt;ResultsTeams[[#This Row],[Goal-B]],1,0),""))</f>
        <v>0</v>
      </c>
      <c r="P890" s="265">
        <f>IF(ResultsTeams[[#This Row],[Type]]="G",SUM(P891:P894),IF(LEFT(ResultsTeams[[#This Row],[Type]],1)="P",IF(ResultsTeams[[#This Row],[Goal-A]]&lt;ResultsTeams[[#This Row],[Goal-B]],1,0),""))</f>
        <v>0</v>
      </c>
      <c r="Q890" s="265">
        <f>IF(ResultsTeams[[#This Row],[Type]]="G",SUM(Q891:Q894),IF(LEFT(ResultsTeams[[#This Row],[Type]],1)="P",VALUE(ResultsTeams[[#This Row],[Score-A]]),""))</f>
        <v>0</v>
      </c>
      <c r="R890" s="265">
        <f>IF(ResultsTeams[[#This Row],[Type]]="G",SUM(R891:R894),IF(LEFT(ResultsTeams[[#This Row],[Type]],1)="P",VALUE(ResultsTeams[[#This Row],[Score-B]]),""))</f>
        <v>0</v>
      </c>
      <c r="S890" s="265" t="str">
        <f ca="1">IF(AND(ResultsTeams[[#This Row],[Category]]&lt;&gt;"",ResultsTeams[[#This Row],[Team A]]&lt;&gt;""),COUNTIF(INDIRECT("TeamsList[Club Name]"),ResultsTeams[[#This Row],[Team A]]),"")</f>
        <v/>
      </c>
      <c r="T890" s="265" t="str">
        <f ca="1">IF(AND(ResultsTeams[[#This Row],[Category]]&lt;&gt;"",ResultsTeams[[#This Row],[Team B]]&lt;&gt;""),COUNTIF(INDIRECT("TeamsList[Club Name]"),ResultsTeams[[#This Row],[Team B]]),"")</f>
        <v/>
      </c>
      <c r="U8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0" s="265" t="str">
        <f>IF(ResultsTeams[[#This Row],[Score_OK]],IF(ResultsTeams[[#This Row],[StageCpy]]="Groups",ResultsTeams[[#This Row],[Category]]&amp;"-"&amp;IF(ResultsTeams[[#This Row],[Team B]]="","",IF(ResultsTeams[[#This Row],[Match-A]]=ResultsTeams[[#This Row],[Match-B]],ResultsTeams[[#This Row],[Team A]],"")),""),"")</f>
        <v/>
      </c>
      <c r="W890" s="265" t="str">
        <f>IF(ResultsTeams[[#This Row],[Score_OK]],IF(ResultsTeams[[#This Row],[StageCpy]]="Groups",ResultsTeams[[#This Row],[Category]]&amp;"-"&amp;IF(ResultsTeams[[#This Row],[Team B]]="","",IF(ResultsTeams[[#This Row],[Match-A]]=ResultsTeams[[#This Row],[Match-B]],ResultsTeams[[#This Row],[Team B]],"")),""),"")</f>
        <v/>
      </c>
      <c r="X8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0" s="264" t="str">
        <f>IF(ResultsTeams[[#This Row],[Category]]="","",VLOOKUP(ResultsTeams[[#This Row],[Stage]],$R$1:$T$8,MATCH(ResultsTeams[[#This Row],[Category]],$S$1:$T$1,0)+1,FALSE))</f>
        <v/>
      </c>
      <c r="AC8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0" s="264">
        <f>IF(ResultsTeams[[#This Row],[Type]]="G",ResultsTeams[[#This Row],[Stage]],AD889)</f>
        <v>0</v>
      </c>
      <c r="AE890" s="395" t="e">
        <f>IF(ResultsTeams[[#This Row],[Type]]="G",INDEX(TeamsList[Club Name],MATCH(ResultsTeams[[#This Row],[Team A]],TeamsList[Team Name],0)),AE889)</f>
        <v>#N/A</v>
      </c>
      <c r="AF890" s="395" t="e">
        <f>IF(ResultsTeams[[#This Row],[Type]]="G",INDEX(TeamsList[Club Name],MATCH(ResultsTeams[[#This Row],[Team B]],TeamsList[Team Name],0)),AF889)</f>
        <v>#N/A</v>
      </c>
      <c r="AG890" s="265"/>
    </row>
    <row r="891" spans="1:33" x14ac:dyDescent="0.2">
      <c r="A891" s="62"/>
      <c r="B891" s="280"/>
      <c r="C891" s="62"/>
      <c r="D891" s="62"/>
      <c r="E891" s="241" t="s">
        <v>12240</v>
      </c>
      <c r="F891" s="246"/>
      <c r="G891" s="246"/>
      <c r="H891" s="254"/>
      <c r="I891" s="254"/>
      <c r="J891" s="254"/>
      <c r="K891" s="363"/>
      <c r="L891" s="363"/>
      <c r="M891" s="63"/>
      <c r="N891" s="265" t="b">
        <f>NOT(ISERROR(ResultsTeams[[#This Row],[Goal-A]]+ResultsTeams[[#This Row],[Goal-B]]))</f>
        <v>1</v>
      </c>
      <c r="O891" s="265">
        <f>IF(ResultsTeams[[#This Row],[Type]]="G",SUM(O892:O895),IF(LEFT(ResultsTeams[[#This Row],[Type]],1)="P",IF(ResultsTeams[[#This Row],[Goal-A]]&gt;ResultsTeams[[#This Row],[Goal-B]],1,0),""))</f>
        <v>0</v>
      </c>
      <c r="P891" s="265">
        <f>IF(ResultsTeams[[#This Row],[Type]]="G",SUM(P892:P895),IF(LEFT(ResultsTeams[[#This Row],[Type]],1)="P",IF(ResultsTeams[[#This Row],[Goal-A]]&lt;ResultsTeams[[#This Row],[Goal-B]],1,0),""))</f>
        <v>0</v>
      </c>
      <c r="Q891" s="265">
        <f>IF(ResultsTeams[[#This Row],[Type]]="G",SUM(Q892:Q895),IF(LEFT(ResultsTeams[[#This Row],[Type]],1)="P",VALUE(ResultsTeams[[#This Row],[Score-A]]),""))</f>
        <v>0</v>
      </c>
      <c r="R891" s="265">
        <f>IF(ResultsTeams[[#This Row],[Type]]="G",SUM(R892:R895),IF(LEFT(ResultsTeams[[#This Row],[Type]],1)="P",VALUE(ResultsTeams[[#This Row],[Score-B]]),""))</f>
        <v>0</v>
      </c>
      <c r="S891" s="265" t="str">
        <f ca="1">IF(AND(ResultsTeams[[#This Row],[Category]]&lt;&gt;"",ResultsTeams[[#This Row],[Team A]]&lt;&gt;""),COUNTIF(INDIRECT("TeamsList[Club Name]"),ResultsTeams[[#This Row],[Team A]]),"")</f>
        <v/>
      </c>
      <c r="T891" s="265" t="str">
        <f ca="1">IF(AND(ResultsTeams[[#This Row],[Category]]&lt;&gt;"",ResultsTeams[[#This Row],[Team B]]&lt;&gt;""),COUNTIF(INDIRECT("TeamsList[Club Name]"),ResultsTeams[[#This Row],[Team B]]),"")</f>
        <v/>
      </c>
      <c r="U8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1" s="265" t="str">
        <f>IF(ResultsTeams[[#This Row],[Score_OK]],IF(ResultsTeams[[#This Row],[StageCpy]]="Groups",ResultsTeams[[#This Row],[Category]]&amp;"-"&amp;IF(ResultsTeams[[#This Row],[Team B]]="","",IF(ResultsTeams[[#This Row],[Match-A]]=ResultsTeams[[#This Row],[Match-B]],ResultsTeams[[#This Row],[Team A]],"")),""),"")</f>
        <v/>
      </c>
      <c r="W891" s="265" t="str">
        <f>IF(ResultsTeams[[#This Row],[Score_OK]],IF(ResultsTeams[[#This Row],[StageCpy]]="Groups",ResultsTeams[[#This Row],[Category]]&amp;"-"&amp;IF(ResultsTeams[[#This Row],[Team B]]="","",IF(ResultsTeams[[#This Row],[Match-A]]=ResultsTeams[[#This Row],[Match-B]],ResultsTeams[[#This Row],[Team B]],"")),""),"")</f>
        <v/>
      </c>
      <c r="X8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1" s="264" t="str">
        <f>IF(ResultsTeams[[#This Row],[Category]]="","",VLOOKUP(ResultsTeams[[#This Row],[Stage]],$R$1:$T$8,MATCH(ResultsTeams[[#This Row],[Category]],$S$1:$T$1,0)+1,FALSE))</f>
        <v/>
      </c>
      <c r="AC8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1" s="264">
        <f>IF(ResultsTeams[[#This Row],[Type]]="G",ResultsTeams[[#This Row],[Stage]],AD890)</f>
        <v>0</v>
      </c>
      <c r="AE891" s="395" t="e">
        <f>IF(ResultsTeams[[#This Row],[Type]]="G",INDEX(TeamsList[Club Name],MATCH(ResultsTeams[[#This Row],[Team A]],TeamsList[Team Name],0)),AE890)</f>
        <v>#N/A</v>
      </c>
      <c r="AF891" s="395" t="e">
        <f>IF(ResultsTeams[[#This Row],[Type]]="G",INDEX(TeamsList[Club Name],MATCH(ResultsTeams[[#This Row],[Team B]],TeamsList[Team Name],0)),AF890)</f>
        <v>#N/A</v>
      </c>
      <c r="AG891" s="265"/>
    </row>
    <row r="892" spans="1:33" x14ac:dyDescent="0.2">
      <c r="A892" s="62"/>
      <c r="B892" s="62"/>
      <c r="C892" s="62"/>
      <c r="D892" s="62"/>
      <c r="E892" s="241" t="s">
        <v>12243</v>
      </c>
      <c r="F892" s="247"/>
      <c r="G892" s="247"/>
      <c r="H892" s="254"/>
      <c r="I892" s="254"/>
      <c r="J892" s="260"/>
      <c r="K892" s="364"/>
      <c r="L892" s="364"/>
      <c r="M892" s="63"/>
      <c r="N892" s="265" t="b">
        <f>NOT(ISERROR(ResultsTeams[[#This Row],[Goal-A]]+ResultsTeams[[#This Row],[Goal-B]]))</f>
        <v>0</v>
      </c>
      <c r="O892" s="265" t="str">
        <f>IF(ResultsTeams[[#This Row],[Type]]="G",SUM(O893:O896),IF(LEFT(ResultsTeams[[#This Row],[Type]],1)="P",IF(ResultsTeams[[#This Row],[Goal-A]]&gt;ResultsTeams[[#This Row],[Goal-B]],1,0),""))</f>
        <v/>
      </c>
      <c r="P892" s="265" t="str">
        <f>IF(ResultsTeams[[#This Row],[Type]]="G",SUM(P893:P896),IF(LEFT(ResultsTeams[[#This Row],[Type]],1)="P",IF(ResultsTeams[[#This Row],[Goal-A]]&lt;ResultsTeams[[#This Row],[Goal-B]],1,0),""))</f>
        <v/>
      </c>
      <c r="Q892" s="265" t="str">
        <f>IF(ResultsTeams[[#This Row],[Type]]="G",SUM(Q893:Q896),IF(LEFT(ResultsTeams[[#This Row],[Type]],1)="P",VALUE(ResultsTeams[[#This Row],[Score-A]]),""))</f>
        <v/>
      </c>
      <c r="R892" s="265" t="str">
        <f>IF(ResultsTeams[[#This Row],[Type]]="G",SUM(R893:R896),IF(LEFT(ResultsTeams[[#This Row],[Type]],1)="P",VALUE(ResultsTeams[[#This Row],[Score-B]]),""))</f>
        <v/>
      </c>
      <c r="S892" s="265" t="str">
        <f ca="1">IF(AND(ResultsTeams[[#This Row],[Category]]&lt;&gt;"",ResultsTeams[[#This Row],[Team A]]&lt;&gt;""),COUNTIF(INDIRECT("TeamsList[Club Name]"),ResultsTeams[[#This Row],[Team A]]),"")</f>
        <v/>
      </c>
      <c r="T892" s="265" t="str">
        <f ca="1">IF(AND(ResultsTeams[[#This Row],[Category]]&lt;&gt;"",ResultsTeams[[#This Row],[Team B]]&lt;&gt;""),COUNTIF(INDIRECT("TeamsList[Club Name]"),ResultsTeams[[#This Row],[Team B]]),"")</f>
        <v/>
      </c>
      <c r="U8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2" s="265" t="str">
        <f>IF(ResultsTeams[[#This Row],[Score_OK]],IF(ResultsTeams[[#This Row],[StageCpy]]="Groups",ResultsTeams[[#This Row],[Category]]&amp;"-"&amp;IF(ResultsTeams[[#This Row],[Team B]]="","",IF(ResultsTeams[[#This Row],[Match-A]]=ResultsTeams[[#This Row],[Match-B]],ResultsTeams[[#This Row],[Team A]],"")),""),"")</f>
        <v/>
      </c>
      <c r="W892" s="265" t="str">
        <f>IF(ResultsTeams[[#This Row],[Score_OK]],IF(ResultsTeams[[#This Row],[StageCpy]]="Groups",ResultsTeams[[#This Row],[Category]]&amp;"-"&amp;IF(ResultsTeams[[#This Row],[Team B]]="","",IF(ResultsTeams[[#This Row],[Match-A]]=ResultsTeams[[#This Row],[Match-B]],ResultsTeams[[#This Row],[Team B]],"")),""),"")</f>
        <v/>
      </c>
      <c r="X8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2" s="264" t="str">
        <f>IF(ResultsTeams[[#This Row],[Category]]="","",VLOOKUP(ResultsTeams[[#This Row],[Stage]],$R$1:$T$8,MATCH(ResultsTeams[[#This Row],[Category]],$S$1:$T$1,0)+1,FALSE))</f>
        <v/>
      </c>
      <c r="AC8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2" s="264">
        <f>IF(ResultsTeams[[#This Row],[Type]]="G",ResultsTeams[[#This Row],[Stage]],AD891)</f>
        <v>0</v>
      </c>
      <c r="AE892" s="395" t="e">
        <f>IF(ResultsTeams[[#This Row],[Type]]="G",INDEX(TeamsList[Club Name],MATCH(ResultsTeams[[#This Row],[Team A]],TeamsList[Team Name],0)),AE891)</f>
        <v>#N/A</v>
      </c>
      <c r="AF892" s="395" t="e">
        <f>IF(ResultsTeams[[#This Row],[Type]]="G",INDEX(TeamsList[Club Name],MATCH(ResultsTeams[[#This Row],[Team B]],TeamsList[Team Name],0)),AF891)</f>
        <v>#N/A</v>
      </c>
      <c r="AG892" s="265"/>
    </row>
    <row r="893" spans="1:33" ht="12" thickBot="1" x14ac:dyDescent="0.25">
      <c r="A893" s="83"/>
      <c r="B893" s="83"/>
      <c r="C893" s="83"/>
      <c r="D893" s="83"/>
      <c r="E893" s="268" t="s">
        <v>12244</v>
      </c>
      <c r="F893" s="262"/>
      <c r="G893" s="262"/>
      <c r="H893" s="324"/>
      <c r="I893" s="324"/>
      <c r="J893" s="263"/>
      <c r="K893" s="365"/>
      <c r="L893" s="365"/>
      <c r="M893" s="84"/>
      <c r="N893" s="265" t="b">
        <f>NOT(ISERROR(ResultsTeams[[#This Row],[Goal-A]]+ResultsTeams[[#This Row],[Goal-B]]))</f>
        <v>0</v>
      </c>
      <c r="O893" s="265" t="str">
        <f>IF(ResultsTeams[[#This Row],[Type]]="G",SUM(O894:O897),IF(LEFT(ResultsTeams[[#This Row],[Type]],1)="P",IF(ResultsTeams[[#This Row],[Goal-A]]&gt;ResultsTeams[[#This Row],[Goal-B]],1,0),""))</f>
        <v/>
      </c>
      <c r="P893" s="265" t="str">
        <f>IF(ResultsTeams[[#This Row],[Type]]="G",SUM(P894:P897),IF(LEFT(ResultsTeams[[#This Row],[Type]],1)="P",IF(ResultsTeams[[#This Row],[Goal-A]]&lt;ResultsTeams[[#This Row],[Goal-B]],1,0),""))</f>
        <v/>
      </c>
      <c r="Q893" s="265" t="str">
        <f>IF(ResultsTeams[[#This Row],[Type]]="G",SUM(Q894:Q897),IF(LEFT(ResultsTeams[[#This Row],[Type]],1)="P",VALUE(ResultsTeams[[#This Row],[Score-A]]),""))</f>
        <v/>
      </c>
      <c r="R893" s="265" t="str">
        <f>IF(ResultsTeams[[#This Row],[Type]]="G",SUM(R894:R897),IF(LEFT(ResultsTeams[[#This Row],[Type]],1)="P",VALUE(ResultsTeams[[#This Row],[Score-B]]),""))</f>
        <v/>
      </c>
      <c r="S893" s="265" t="str">
        <f ca="1">IF(AND(ResultsTeams[[#This Row],[Category]]&lt;&gt;"",ResultsTeams[[#This Row],[Team A]]&lt;&gt;""),COUNTIF(INDIRECT("TeamsList[Club Name]"),ResultsTeams[[#This Row],[Team A]]),"")</f>
        <v/>
      </c>
      <c r="T893" s="265" t="str">
        <f ca="1">IF(AND(ResultsTeams[[#This Row],[Category]]&lt;&gt;"",ResultsTeams[[#This Row],[Team B]]&lt;&gt;""),COUNTIF(INDIRECT("TeamsList[Club Name]"),ResultsTeams[[#This Row],[Team B]]),"")</f>
        <v/>
      </c>
      <c r="U8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3" s="265" t="str">
        <f>IF(ResultsTeams[[#This Row],[Score_OK]],IF(ResultsTeams[[#This Row],[StageCpy]]="Groups",ResultsTeams[[#This Row],[Category]]&amp;"-"&amp;IF(ResultsTeams[[#This Row],[Team B]]="","",IF(ResultsTeams[[#This Row],[Match-A]]=ResultsTeams[[#This Row],[Match-B]],ResultsTeams[[#This Row],[Team A]],"")),""),"")</f>
        <v/>
      </c>
      <c r="W893" s="265" t="str">
        <f>IF(ResultsTeams[[#This Row],[Score_OK]],IF(ResultsTeams[[#This Row],[StageCpy]]="Groups",ResultsTeams[[#This Row],[Category]]&amp;"-"&amp;IF(ResultsTeams[[#This Row],[Team B]]="","",IF(ResultsTeams[[#This Row],[Match-A]]=ResultsTeams[[#This Row],[Match-B]],ResultsTeams[[#This Row],[Team B]],"")),""),"")</f>
        <v/>
      </c>
      <c r="X8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3" s="264" t="str">
        <f>IF(ResultsTeams[[#This Row],[Category]]="","",VLOOKUP(ResultsTeams[[#This Row],[Stage]],$R$1:$T$8,MATCH(ResultsTeams[[#This Row],[Category]],$S$1:$T$1,0)+1,FALSE))</f>
        <v/>
      </c>
      <c r="AC8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3" s="264">
        <f>IF(ResultsTeams[[#This Row],[Type]]="G",ResultsTeams[[#This Row],[Stage]],AD892)</f>
        <v>0</v>
      </c>
      <c r="AE893" s="395" t="e">
        <f>IF(ResultsTeams[[#This Row],[Type]]="G",INDEX(TeamsList[Club Name],MATCH(ResultsTeams[[#This Row],[Team A]],TeamsList[Team Name],0)),AE892)</f>
        <v>#N/A</v>
      </c>
      <c r="AF893" s="395" t="e">
        <f>IF(ResultsTeams[[#This Row],[Type]]="G",INDEX(TeamsList[Club Name],MATCH(ResultsTeams[[#This Row],[Team B]],TeamsList[Team Name],0)),AF892)</f>
        <v>#N/A</v>
      </c>
      <c r="AG893" s="265"/>
    </row>
    <row r="894" spans="1:33" ht="12" thickBot="1" x14ac:dyDescent="0.25">
      <c r="A894" s="261"/>
      <c r="B894" s="270"/>
      <c r="C894" s="270"/>
      <c r="D894" s="270"/>
      <c r="E894" s="272" t="s">
        <v>12228</v>
      </c>
      <c r="F894" s="273"/>
      <c r="G894" s="273"/>
      <c r="H894" s="275"/>
      <c r="I894" s="275"/>
      <c r="J894" s="275"/>
      <c r="K894" s="366"/>
      <c r="L894" s="366"/>
      <c r="M894" s="274"/>
      <c r="N894" s="265" t="b">
        <f>NOT(ISERROR(ResultsTeams[[#This Row],[Goal-A]]+ResultsTeams[[#This Row],[Goal-B]]))</f>
        <v>1</v>
      </c>
      <c r="O894" s="265">
        <f>IF(ResultsTeams[[#This Row],[Type]]="G",SUM(O895:O898),IF(LEFT(ResultsTeams[[#This Row],[Type]],1)="P",IF(ResultsTeams[[#This Row],[Goal-A]]&gt;ResultsTeams[[#This Row],[Goal-B]],1,0),""))</f>
        <v>0</v>
      </c>
      <c r="P894" s="265">
        <f>IF(ResultsTeams[[#This Row],[Type]]="G",SUM(P895:P898),IF(LEFT(ResultsTeams[[#This Row],[Type]],1)="P",IF(ResultsTeams[[#This Row],[Goal-A]]&lt;ResultsTeams[[#This Row],[Goal-B]],1,0),""))</f>
        <v>0</v>
      </c>
      <c r="Q894" s="265">
        <f>IF(ResultsTeams[[#This Row],[Type]]="G",SUM(Q895:Q898),IF(LEFT(ResultsTeams[[#This Row],[Type]],1)="P",VALUE(ResultsTeams[[#This Row],[Score-A]]),""))</f>
        <v>0</v>
      </c>
      <c r="R894" s="265">
        <f>IF(ResultsTeams[[#This Row],[Type]]="G",SUM(R895:R898),IF(LEFT(ResultsTeams[[#This Row],[Type]],1)="P",VALUE(ResultsTeams[[#This Row],[Score-B]]),""))</f>
        <v>0</v>
      </c>
      <c r="S894" s="265" t="str">
        <f ca="1">IF(AND(ResultsTeams[[#This Row],[Category]]&lt;&gt;"",ResultsTeams[[#This Row],[Team A]]&lt;&gt;""),COUNTIF(INDIRECT("TeamsList[Club Name]"),ResultsTeams[[#This Row],[Team A]]),"")</f>
        <v/>
      </c>
      <c r="T894" s="265" t="str">
        <f ca="1">IF(AND(ResultsTeams[[#This Row],[Category]]&lt;&gt;"",ResultsTeams[[#This Row],[Team B]]&lt;&gt;""),COUNTIF(INDIRECT("TeamsList[Club Name]"),ResultsTeams[[#This Row],[Team B]]),"")</f>
        <v/>
      </c>
      <c r="U8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4" s="265" t="str">
        <f>IF(ResultsTeams[[#This Row],[Score_OK]],IF(ResultsTeams[[#This Row],[StageCpy]]="Groups",ResultsTeams[[#This Row],[Category]]&amp;"-"&amp;IF(ResultsTeams[[#This Row],[Team B]]="","",IF(ResultsTeams[[#This Row],[Match-A]]=ResultsTeams[[#This Row],[Match-B]],ResultsTeams[[#This Row],[Team A]],"")),""),"")</f>
        <v/>
      </c>
      <c r="W894" s="265" t="str">
        <f>IF(ResultsTeams[[#This Row],[Score_OK]],IF(ResultsTeams[[#This Row],[StageCpy]]="Groups",ResultsTeams[[#This Row],[Category]]&amp;"-"&amp;IF(ResultsTeams[[#This Row],[Team B]]="","",IF(ResultsTeams[[#This Row],[Match-A]]=ResultsTeams[[#This Row],[Match-B]],ResultsTeams[[#This Row],[Team B]],"")),""),"")</f>
        <v/>
      </c>
      <c r="X8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8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4" s="264" t="str">
        <f>IF(ResultsTeams[[#This Row],[Category]]="","",VLOOKUP(ResultsTeams[[#This Row],[Stage]],$R$1:$T$8,MATCH(ResultsTeams[[#This Row],[Category]],$S$1:$T$1,0)+1,FALSE))</f>
        <v/>
      </c>
      <c r="AC8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4" s="264">
        <f>IF(ResultsTeams[[#This Row],[Type]]="G",ResultsTeams[[#This Row],[Stage]],AD893)</f>
        <v>0</v>
      </c>
      <c r="AE894" s="395" t="e">
        <f>IF(ResultsTeams[[#This Row],[Type]]="G",INDEX(TeamsList[Club Name],MATCH(ResultsTeams[[#This Row],[Team A]],TeamsList[Team Name],0)),AE893)</f>
        <v>#N/A</v>
      </c>
      <c r="AF894" s="395" t="e">
        <f>IF(ResultsTeams[[#This Row],[Type]]="G",INDEX(TeamsList[Club Name],MATCH(ResultsTeams[[#This Row],[Team B]],TeamsList[Team Name],0)),AF893)</f>
        <v>#N/A</v>
      </c>
      <c r="AG894" s="265"/>
    </row>
    <row r="895" spans="1:33" x14ac:dyDescent="0.2">
      <c r="A895" s="60"/>
      <c r="B895" s="280"/>
      <c r="C895" s="60"/>
      <c r="D895" s="60"/>
      <c r="E895" s="240" t="s">
        <v>12231</v>
      </c>
      <c r="F895" s="244"/>
      <c r="G895" s="244"/>
      <c r="H895" s="253"/>
      <c r="I895" s="253"/>
      <c r="J895" s="253"/>
      <c r="K895" s="362"/>
      <c r="L895" s="362"/>
      <c r="M895" s="245"/>
      <c r="N895" s="265" t="b">
        <f>NOT(ISERROR(ResultsTeams[[#This Row],[Goal-A]]+ResultsTeams[[#This Row],[Goal-B]]))</f>
        <v>1</v>
      </c>
      <c r="O895" s="265">
        <f>IF(ResultsTeams[[#This Row],[Type]]="G",SUM(O896:O899),IF(LEFT(ResultsTeams[[#This Row],[Type]],1)="P",IF(ResultsTeams[[#This Row],[Goal-A]]&gt;ResultsTeams[[#This Row],[Goal-B]],1,0),""))</f>
        <v>0</v>
      </c>
      <c r="P895" s="265">
        <f>IF(ResultsTeams[[#This Row],[Type]]="G",SUM(P896:P899),IF(LEFT(ResultsTeams[[#This Row],[Type]],1)="P",IF(ResultsTeams[[#This Row],[Goal-A]]&lt;ResultsTeams[[#This Row],[Goal-B]],1,0),""))</f>
        <v>0</v>
      </c>
      <c r="Q895" s="265">
        <f>IF(ResultsTeams[[#This Row],[Type]]="G",SUM(Q896:Q899),IF(LEFT(ResultsTeams[[#This Row],[Type]],1)="P",VALUE(ResultsTeams[[#This Row],[Score-A]]),""))</f>
        <v>0</v>
      </c>
      <c r="R895" s="265">
        <f>IF(ResultsTeams[[#This Row],[Type]]="G",SUM(R896:R899),IF(LEFT(ResultsTeams[[#This Row],[Type]],1)="P",VALUE(ResultsTeams[[#This Row],[Score-B]]),""))</f>
        <v>0</v>
      </c>
      <c r="S895" s="265" t="str">
        <f ca="1">IF(AND(ResultsTeams[[#This Row],[Category]]&lt;&gt;"",ResultsTeams[[#This Row],[Team A]]&lt;&gt;""),COUNTIF(INDIRECT("TeamsList[Club Name]"),ResultsTeams[[#This Row],[Team A]]),"")</f>
        <v/>
      </c>
      <c r="T895" s="265" t="str">
        <f ca="1">IF(AND(ResultsTeams[[#This Row],[Category]]&lt;&gt;"",ResultsTeams[[#This Row],[Team B]]&lt;&gt;""),COUNTIF(INDIRECT("TeamsList[Club Name]"),ResultsTeams[[#This Row],[Team B]]),"")</f>
        <v/>
      </c>
      <c r="U8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5" s="265" t="str">
        <f>IF(ResultsTeams[[#This Row],[Score_OK]],IF(ResultsTeams[[#This Row],[StageCpy]]="Groups",ResultsTeams[[#This Row],[Category]]&amp;"-"&amp;IF(ResultsTeams[[#This Row],[Team B]]="","",IF(ResultsTeams[[#This Row],[Match-A]]=ResultsTeams[[#This Row],[Match-B]],ResultsTeams[[#This Row],[Team A]],"")),""),"")</f>
        <v/>
      </c>
      <c r="W895" s="265" t="str">
        <f>IF(ResultsTeams[[#This Row],[Score_OK]],IF(ResultsTeams[[#This Row],[StageCpy]]="Groups",ResultsTeams[[#This Row],[Category]]&amp;"-"&amp;IF(ResultsTeams[[#This Row],[Team B]]="","",IF(ResultsTeams[[#This Row],[Match-A]]=ResultsTeams[[#This Row],[Match-B]],ResultsTeams[[#This Row],[Team B]],"")),""),"")</f>
        <v/>
      </c>
      <c r="X8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5" s="264" t="str">
        <f>IF(ResultsTeams[[#This Row],[Category]]="","",VLOOKUP(ResultsTeams[[#This Row],[Stage]],$R$1:$T$8,MATCH(ResultsTeams[[#This Row],[Category]],$S$1:$T$1,0)+1,FALSE))</f>
        <v/>
      </c>
      <c r="AC8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5" s="264">
        <f>IF(ResultsTeams[[#This Row],[Type]]="G",ResultsTeams[[#This Row],[Stage]],AD894)</f>
        <v>0</v>
      </c>
      <c r="AE895" s="395" t="e">
        <f>IF(ResultsTeams[[#This Row],[Type]]="G",INDEX(TeamsList[Club Name],MATCH(ResultsTeams[[#This Row],[Team A]],TeamsList[Team Name],0)),AE894)</f>
        <v>#N/A</v>
      </c>
      <c r="AF895" s="395" t="e">
        <f>IF(ResultsTeams[[#This Row],[Type]]="G",INDEX(TeamsList[Club Name],MATCH(ResultsTeams[[#This Row],[Team B]],TeamsList[Team Name],0)),AF894)</f>
        <v>#N/A</v>
      </c>
      <c r="AG895" s="265"/>
    </row>
    <row r="896" spans="1:33" x14ac:dyDescent="0.2">
      <c r="A896" s="62"/>
      <c r="B896" s="280"/>
      <c r="C896" s="62"/>
      <c r="D896" s="62"/>
      <c r="E896" s="241" t="s">
        <v>12234</v>
      </c>
      <c r="F896" s="246"/>
      <c r="G896" s="246"/>
      <c r="H896" s="254"/>
      <c r="I896" s="254"/>
      <c r="J896" s="254"/>
      <c r="K896" s="363"/>
      <c r="L896" s="363"/>
      <c r="M896" s="247"/>
      <c r="N896" s="265" t="b">
        <f>NOT(ISERROR(ResultsTeams[[#This Row],[Goal-A]]+ResultsTeams[[#This Row],[Goal-B]]))</f>
        <v>1</v>
      </c>
      <c r="O896" s="265">
        <f>IF(ResultsTeams[[#This Row],[Type]]="G",SUM(O897:O900),IF(LEFT(ResultsTeams[[#This Row],[Type]],1)="P",IF(ResultsTeams[[#This Row],[Goal-A]]&gt;ResultsTeams[[#This Row],[Goal-B]],1,0),""))</f>
        <v>0</v>
      </c>
      <c r="P896" s="265">
        <f>IF(ResultsTeams[[#This Row],[Type]]="G",SUM(P897:P900),IF(LEFT(ResultsTeams[[#This Row],[Type]],1)="P",IF(ResultsTeams[[#This Row],[Goal-A]]&lt;ResultsTeams[[#This Row],[Goal-B]],1,0),""))</f>
        <v>0</v>
      </c>
      <c r="Q896" s="265">
        <f>IF(ResultsTeams[[#This Row],[Type]]="G",SUM(Q897:Q900),IF(LEFT(ResultsTeams[[#This Row],[Type]],1)="P",VALUE(ResultsTeams[[#This Row],[Score-A]]),""))</f>
        <v>0</v>
      </c>
      <c r="R896" s="265">
        <f>IF(ResultsTeams[[#This Row],[Type]]="G",SUM(R897:R900),IF(LEFT(ResultsTeams[[#This Row],[Type]],1)="P",VALUE(ResultsTeams[[#This Row],[Score-B]]),""))</f>
        <v>0</v>
      </c>
      <c r="S896" s="265" t="str">
        <f ca="1">IF(AND(ResultsTeams[[#This Row],[Category]]&lt;&gt;"",ResultsTeams[[#This Row],[Team A]]&lt;&gt;""),COUNTIF(INDIRECT("TeamsList[Club Name]"),ResultsTeams[[#This Row],[Team A]]),"")</f>
        <v/>
      </c>
      <c r="T896" s="265" t="str">
        <f ca="1">IF(AND(ResultsTeams[[#This Row],[Category]]&lt;&gt;"",ResultsTeams[[#This Row],[Team B]]&lt;&gt;""),COUNTIF(INDIRECT("TeamsList[Club Name]"),ResultsTeams[[#This Row],[Team B]]),"")</f>
        <v/>
      </c>
      <c r="U8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6" s="265" t="str">
        <f>IF(ResultsTeams[[#This Row],[Score_OK]],IF(ResultsTeams[[#This Row],[StageCpy]]="Groups",ResultsTeams[[#This Row],[Category]]&amp;"-"&amp;IF(ResultsTeams[[#This Row],[Team B]]="","",IF(ResultsTeams[[#This Row],[Match-A]]=ResultsTeams[[#This Row],[Match-B]],ResultsTeams[[#This Row],[Team A]],"")),""),"")</f>
        <v/>
      </c>
      <c r="W896" s="265" t="str">
        <f>IF(ResultsTeams[[#This Row],[Score_OK]],IF(ResultsTeams[[#This Row],[StageCpy]]="Groups",ResultsTeams[[#This Row],[Category]]&amp;"-"&amp;IF(ResultsTeams[[#This Row],[Team B]]="","",IF(ResultsTeams[[#This Row],[Match-A]]=ResultsTeams[[#This Row],[Match-B]],ResultsTeams[[#This Row],[Team B]],"")),""),"")</f>
        <v/>
      </c>
      <c r="X8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6" s="264" t="str">
        <f>IF(ResultsTeams[[#This Row],[Category]]="","",VLOOKUP(ResultsTeams[[#This Row],[Stage]],$R$1:$T$8,MATCH(ResultsTeams[[#This Row],[Category]],$S$1:$T$1,0)+1,FALSE))</f>
        <v/>
      </c>
      <c r="AC8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6" s="264">
        <f>IF(ResultsTeams[[#This Row],[Type]]="G",ResultsTeams[[#This Row],[Stage]],AD895)</f>
        <v>0</v>
      </c>
      <c r="AE896" s="395" t="e">
        <f>IF(ResultsTeams[[#This Row],[Type]]="G",INDEX(TeamsList[Club Name],MATCH(ResultsTeams[[#This Row],[Team A]],TeamsList[Team Name],0)),AE895)</f>
        <v>#N/A</v>
      </c>
      <c r="AF896" s="395" t="e">
        <f>IF(ResultsTeams[[#This Row],[Type]]="G",INDEX(TeamsList[Club Name],MATCH(ResultsTeams[[#This Row],[Team B]],TeamsList[Team Name],0)),AF895)</f>
        <v>#N/A</v>
      </c>
      <c r="AG896" s="265"/>
    </row>
    <row r="897" spans="1:33" x14ac:dyDescent="0.2">
      <c r="A897" s="62"/>
      <c r="B897" s="280"/>
      <c r="C897" s="62"/>
      <c r="D897" s="62"/>
      <c r="E897" s="241" t="s">
        <v>12237</v>
      </c>
      <c r="F897" s="246"/>
      <c r="G897" s="246"/>
      <c r="H897" s="254"/>
      <c r="I897" s="254"/>
      <c r="J897" s="254"/>
      <c r="K897" s="363"/>
      <c r="L897" s="363"/>
      <c r="M897" s="247"/>
      <c r="N897" s="265" t="b">
        <f>NOT(ISERROR(ResultsTeams[[#This Row],[Goal-A]]+ResultsTeams[[#This Row],[Goal-B]]))</f>
        <v>1</v>
      </c>
      <c r="O897" s="265">
        <f>IF(ResultsTeams[[#This Row],[Type]]="G",SUM(O898:O901),IF(LEFT(ResultsTeams[[#This Row],[Type]],1)="P",IF(ResultsTeams[[#This Row],[Goal-A]]&gt;ResultsTeams[[#This Row],[Goal-B]],1,0),""))</f>
        <v>0</v>
      </c>
      <c r="P897" s="265">
        <f>IF(ResultsTeams[[#This Row],[Type]]="G",SUM(P898:P901),IF(LEFT(ResultsTeams[[#This Row],[Type]],1)="P",IF(ResultsTeams[[#This Row],[Goal-A]]&lt;ResultsTeams[[#This Row],[Goal-B]],1,0),""))</f>
        <v>0</v>
      </c>
      <c r="Q897" s="265">
        <f>IF(ResultsTeams[[#This Row],[Type]]="G",SUM(Q898:Q901),IF(LEFT(ResultsTeams[[#This Row],[Type]],1)="P",VALUE(ResultsTeams[[#This Row],[Score-A]]),""))</f>
        <v>0</v>
      </c>
      <c r="R897" s="265">
        <f>IF(ResultsTeams[[#This Row],[Type]]="G",SUM(R898:R901),IF(LEFT(ResultsTeams[[#This Row],[Type]],1)="P",VALUE(ResultsTeams[[#This Row],[Score-B]]),""))</f>
        <v>0</v>
      </c>
      <c r="S897" s="265" t="str">
        <f ca="1">IF(AND(ResultsTeams[[#This Row],[Category]]&lt;&gt;"",ResultsTeams[[#This Row],[Team A]]&lt;&gt;""),COUNTIF(INDIRECT("TeamsList[Club Name]"),ResultsTeams[[#This Row],[Team A]]),"")</f>
        <v/>
      </c>
      <c r="T897" s="265" t="str">
        <f ca="1">IF(AND(ResultsTeams[[#This Row],[Category]]&lt;&gt;"",ResultsTeams[[#This Row],[Team B]]&lt;&gt;""),COUNTIF(INDIRECT("TeamsList[Club Name]"),ResultsTeams[[#This Row],[Team B]]),"")</f>
        <v/>
      </c>
      <c r="U8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7" s="265" t="str">
        <f>IF(ResultsTeams[[#This Row],[Score_OK]],IF(ResultsTeams[[#This Row],[StageCpy]]="Groups",ResultsTeams[[#This Row],[Category]]&amp;"-"&amp;IF(ResultsTeams[[#This Row],[Team B]]="","",IF(ResultsTeams[[#This Row],[Match-A]]=ResultsTeams[[#This Row],[Match-B]],ResultsTeams[[#This Row],[Team A]],"")),""),"")</f>
        <v/>
      </c>
      <c r="W897" s="265" t="str">
        <f>IF(ResultsTeams[[#This Row],[Score_OK]],IF(ResultsTeams[[#This Row],[StageCpy]]="Groups",ResultsTeams[[#This Row],[Category]]&amp;"-"&amp;IF(ResultsTeams[[#This Row],[Team B]]="","",IF(ResultsTeams[[#This Row],[Match-A]]=ResultsTeams[[#This Row],[Match-B]],ResultsTeams[[#This Row],[Team B]],"")),""),"")</f>
        <v/>
      </c>
      <c r="X8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7" s="264" t="str">
        <f>IF(ResultsTeams[[#This Row],[Category]]="","",VLOOKUP(ResultsTeams[[#This Row],[Stage]],$R$1:$T$8,MATCH(ResultsTeams[[#This Row],[Category]],$S$1:$T$1,0)+1,FALSE))</f>
        <v/>
      </c>
      <c r="AC8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7" s="264">
        <f>IF(ResultsTeams[[#This Row],[Type]]="G",ResultsTeams[[#This Row],[Stage]],AD896)</f>
        <v>0</v>
      </c>
      <c r="AE897" s="395" t="e">
        <f>IF(ResultsTeams[[#This Row],[Type]]="G",INDEX(TeamsList[Club Name],MATCH(ResultsTeams[[#This Row],[Team A]],TeamsList[Team Name],0)),AE896)</f>
        <v>#N/A</v>
      </c>
      <c r="AF897" s="395" t="e">
        <f>IF(ResultsTeams[[#This Row],[Type]]="G",INDEX(TeamsList[Club Name],MATCH(ResultsTeams[[#This Row],[Team B]],TeamsList[Team Name],0)),AF896)</f>
        <v>#N/A</v>
      </c>
      <c r="AG897" s="265"/>
    </row>
    <row r="898" spans="1:33" x14ac:dyDescent="0.2">
      <c r="A898" s="62"/>
      <c r="B898" s="280"/>
      <c r="C898" s="62"/>
      <c r="D898" s="62"/>
      <c r="E898" s="241" t="s">
        <v>12240</v>
      </c>
      <c r="F898" s="246"/>
      <c r="G898" s="246"/>
      <c r="H898" s="254"/>
      <c r="I898" s="254"/>
      <c r="J898" s="254"/>
      <c r="K898" s="363"/>
      <c r="L898" s="363"/>
      <c r="M898" s="247"/>
      <c r="N898" s="265" t="b">
        <f>NOT(ISERROR(ResultsTeams[[#This Row],[Goal-A]]+ResultsTeams[[#This Row],[Goal-B]]))</f>
        <v>1</v>
      </c>
      <c r="O898" s="265">
        <f>IF(ResultsTeams[[#This Row],[Type]]="G",SUM(O899:O902),IF(LEFT(ResultsTeams[[#This Row],[Type]],1)="P",IF(ResultsTeams[[#This Row],[Goal-A]]&gt;ResultsTeams[[#This Row],[Goal-B]],1,0),""))</f>
        <v>0</v>
      </c>
      <c r="P898" s="265">
        <f>IF(ResultsTeams[[#This Row],[Type]]="G",SUM(P899:P902),IF(LEFT(ResultsTeams[[#This Row],[Type]],1)="P",IF(ResultsTeams[[#This Row],[Goal-A]]&lt;ResultsTeams[[#This Row],[Goal-B]],1,0),""))</f>
        <v>0</v>
      </c>
      <c r="Q898" s="265">
        <f>IF(ResultsTeams[[#This Row],[Type]]="G",SUM(Q899:Q902),IF(LEFT(ResultsTeams[[#This Row],[Type]],1)="P",VALUE(ResultsTeams[[#This Row],[Score-A]]),""))</f>
        <v>0</v>
      </c>
      <c r="R898" s="265">
        <f>IF(ResultsTeams[[#This Row],[Type]]="G",SUM(R899:R902),IF(LEFT(ResultsTeams[[#This Row],[Type]],1)="P",VALUE(ResultsTeams[[#This Row],[Score-B]]),""))</f>
        <v>0</v>
      </c>
      <c r="S898" s="265" t="str">
        <f ca="1">IF(AND(ResultsTeams[[#This Row],[Category]]&lt;&gt;"",ResultsTeams[[#This Row],[Team A]]&lt;&gt;""),COUNTIF(INDIRECT("TeamsList[Club Name]"),ResultsTeams[[#This Row],[Team A]]),"")</f>
        <v/>
      </c>
      <c r="T898" s="265" t="str">
        <f ca="1">IF(AND(ResultsTeams[[#This Row],[Category]]&lt;&gt;"",ResultsTeams[[#This Row],[Team B]]&lt;&gt;""),COUNTIF(INDIRECT("TeamsList[Club Name]"),ResultsTeams[[#This Row],[Team B]]),"")</f>
        <v/>
      </c>
      <c r="U8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8" s="265" t="str">
        <f>IF(ResultsTeams[[#This Row],[Score_OK]],IF(ResultsTeams[[#This Row],[StageCpy]]="Groups",ResultsTeams[[#This Row],[Category]]&amp;"-"&amp;IF(ResultsTeams[[#This Row],[Team B]]="","",IF(ResultsTeams[[#This Row],[Match-A]]=ResultsTeams[[#This Row],[Match-B]],ResultsTeams[[#This Row],[Team A]],"")),""),"")</f>
        <v/>
      </c>
      <c r="W898" s="265" t="str">
        <f>IF(ResultsTeams[[#This Row],[Score_OK]],IF(ResultsTeams[[#This Row],[StageCpy]]="Groups",ResultsTeams[[#This Row],[Category]]&amp;"-"&amp;IF(ResultsTeams[[#This Row],[Team B]]="","",IF(ResultsTeams[[#This Row],[Match-A]]=ResultsTeams[[#This Row],[Match-B]],ResultsTeams[[#This Row],[Team B]],"")),""),"")</f>
        <v/>
      </c>
      <c r="X8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8" s="264" t="str">
        <f>IF(ResultsTeams[[#This Row],[Category]]="","",VLOOKUP(ResultsTeams[[#This Row],[Stage]],$R$1:$T$8,MATCH(ResultsTeams[[#This Row],[Category]],$S$1:$T$1,0)+1,FALSE))</f>
        <v/>
      </c>
      <c r="AC8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8" s="264">
        <f>IF(ResultsTeams[[#This Row],[Type]]="G",ResultsTeams[[#This Row],[Stage]],AD897)</f>
        <v>0</v>
      </c>
      <c r="AE898" s="395" t="e">
        <f>IF(ResultsTeams[[#This Row],[Type]]="G",INDEX(TeamsList[Club Name],MATCH(ResultsTeams[[#This Row],[Team A]],TeamsList[Team Name],0)),AE897)</f>
        <v>#N/A</v>
      </c>
      <c r="AF898" s="395" t="e">
        <f>IF(ResultsTeams[[#This Row],[Type]]="G",INDEX(TeamsList[Club Name],MATCH(ResultsTeams[[#This Row],[Team B]],TeamsList[Team Name],0)),AF897)</f>
        <v>#N/A</v>
      </c>
      <c r="AG898" s="265"/>
    </row>
    <row r="899" spans="1:33" x14ac:dyDescent="0.2">
      <c r="A899" s="62"/>
      <c r="B899" s="62"/>
      <c r="C899" s="62"/>
      <c r="D899" s="62"/>
      <c r="E899" s="241" t="s">
        <v>12243</v>
      </c>
      <c r="F899" s="247"/>
      <c r="G899" s="247"/>
      <c r="H899" s="254"/>
      <c r="I899" s="254"/>
      <c r="J899" s="260"/>
      <c r="K899" s="364"/>
      <c r="L899" s="364"/>
      <c r="M899" s="247"/>
      <c r="N899" s="265" t="b">
        <f>NOT(ISERROR(ResultsTeams[[#This Row],[Goal-A]]+ResultsTeams[[#This Row],[Goal-B]]))</f>
        <v>0</v>
      </c>
      <c r="O899" s="265" t="str">
        <f>IF(ResultsTeams[[#This Row],[Type]]="G",SUM(O900:O903),IF(LEFT(ResultsTeams[[#This Row],[Type]],1)="P",IF(ResultsTeams[[#This Row],[Goal-A]]&gt;ResultsTeams[[#This Row],[Goal-B]],1,0),""))</f>
        <v/>
      </c>
      <c r="P899" s="265" t="str">
        <f>IF(ResultsTeams[[#This Row],[Type]]="G",SUM(P900:P903),IF(LEFT(ResultsTeams[[#This Row],[Type]],1)="P",IF(ResultsTeams[[#This Row],[Goal-A]]&lt;ResultsTeams[[#This Row],[Goal-B]],1,0),""))</f>
        <v/>
      </c>
      <c r="Q899" s="265" t="str">
        <f>IF(ResultsTeams[[#This Row],[Type]]="G",SUM(Q900:Q903),IF(LEFT(ResultsTeams[[#This Row],[Type]],1)="P",VALUE(ResultsTeams[[#This Row],[Score-A]]),""))</f>
        <v/>
      </c>
      <c r="R899" s="265" t="str">
        <f>IF(ResultsTeams[[#This Row],[Type]]="G",SUM(R900:R903),IF(LEFT(ResultsTeams[[#This Row],[Type]],1)="P",VALUE(ResultsTeams[[#This Row],[Score-B]]),""))</f>
        <v/>
      </c>
      <c r="S899" s="265" t="str">
        <f ca="1">IF(AND(ResultsTeams[[#This Row],[Category]]&lt;&gt;"",ResultsTeams[[#This Row],[Team A]]&lt;&gt;""),COUNTIF(INDIRECT("TeamsList[Club Name]"),ResultsTeams[[#This Row],[Team A]]),"")</f>
        <v/>
      </c>
      <c r="T899" s="265" t="str">
        <f ca="1">IF(AND(ResultsTeams[[#This Row],[Category]]&lt;&gt;"",ResultsTeams[[#This Row],[Team B]]&lt;&gt;""),COUNTIF(INDIRECT("TeamsList[Club Name]"),ResultsTeams[[#This Row],[Team B]]),"")</f>
        <v/>
      </c>
      <c r="U8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9" s="265" t="str">
        <f>IF(ResultsTeams[[#This Row],[Score_OK]],IF(ResultsTeams[[#This Row],[StageCpy]]="Groups",ResultsTeams[[#This Row],[Category]]&amp;"-"&amp;IF(ResultsTeams[[#This Row],[Team B]]="","",IF(ResultsTeams[[#This Row],[Match-A]]=ResultsTeams[[#This Row],[Match-B]],ResultsTeams[[#This Row],[Team A]],"")),""),"")</f>
        <v/>
      </c>
      <c r="W899" s="265" t="str">
        <f>IF(ResultsTeams[[#This Row],[Score_OK]],IF(ResultsTeams[[#This Row],[StageCpy]]="Groups",ResultsTeams[[#This Row],[Category]]&amp;"-"&amp;IF(ResultsTeams[[#This Row],[Team B]]="","",IF(ResultsTeams[[#This Row],[Match-A]]=ResultsTeams[[#This Row],[Match-B]],ResultsTeams[[#This Row],[Team B]],"")),""),"")</f>
        <v/>
      </c>
      <c r="X8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9" s="264" t="str">
        <f>IF(ResultsTeams[[#This Row],[Category]]="","",VLOOKUP(ResultsTeams[[#This Row],[Stage]],$R$1:$T$8,MATCH(ResultsTeams[[#This Row],[Category]],$S$1:$T$1,0)+1,FALSE))</f>
        <v/>
      </c>
      <c r="AC8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9" s="264">
        <f>IF(ResultsTeams[[#This Row],[Type]]="G",ResultsTeams[[#This Row],[Stage]],AD898)</f>
        <v>0</v>
      </c>
      <c r="AE899" s="395" t="e">
        <f>IF(ResultsTeams[[#This Row],[Type]]="G",INDEX(TeamsList[Club Name],MATCH(ResultsTeams[[#This Row],[Team A]],TeamsList[Team Name],0)),AE898)</f>
        <v>#N/A</v>
      </c>
      <c r="AF899" s="395" t="e">
        <f>IF(ResultsTeams[[#This Row],[Type]]="G",INDEX(TeamsList[Club Name],MATCH(ResultsTeams[[#This Row],[Team B]],TeamsList[Team Name],0)),AF898)</f>
        <v>#N/A</v>
      </c>
      <c r="AG899" s="265"/>
    </row>
    <row r="900" spans="1:33" ht="12" thickBot="1" x14ac:dyDescent="0.25">
      <c r="A900" s="83"/>
      <c r="B900" s="83"/>
      <c r="C900" s="83"/>
      <c r="D900" s="83"/>
      <c r="E900" s="268" t="s">
        <v>12244</v>
      </c>
      <c r="F900" s="262"/>
      <c r="G900" s="262"/>
      <c r="H900" s="324"/>
      <c r="I900" s="324"/>
      <c r="J900" s="263"/>
      <c r="K900" s="365"/>
      <c r="L900" s="365"/>
      <c r="M900" s="262"/>
      <c r="N900" s="265" t="b">
        <f>NOT(ISERROR(ResultsTeams[[#This Row],[Goal-A]]+ResultsTeams[[#This Row],[Goal-B]]))</f>
        <v>0</v>
      </c>
      <c r="O900" s="265" t="str">
        <f>IF(ResultsTeams[[#This Row],[Type]]="G",SUM(O901:O904),IF(LEFT(ResultsTeams[[#This Row],[Type]],1)="P",IF(ResultsTeams[[#This Row],[Goal-A]]&gt;ResultsTeams[[#This Row],[Goal-B]],1,0),""))</f>
        <v/>
      </c>
      <c r="P900" s="265" t="str">
        <f>IF(ResultsTeams[[#This Row],[Type]]="G",SUM(P901:P904),IF(LEFT(ResultsTeams[[#This Row],[Type]],1)="P",IF(ResultsTeams[[#This Row],[Goal-A]]&lt;ResultsTeams[[#This Row],[Goal-B]],1,0),""))</f>
        <v/>
      </c>
      <c r="Q900" s="265" t="str">
        <f>IF(ResultsTeams[[#This Row],[Type]]="G",SUM(Q901:Q904),IF(LEFT(ResultsTeams[[#This Row],[Type]],1)="P",VALUE(ResultsTeams[[#This Row],[Score-A]]),""))</f>
        <v/>
      </c>
      <c r="R900" s="265" t="str">
        <f>IF(ResultsTeams[[#This Row],[Type]]="G",SUM(R901:R904),IF(LEFT(ResultsTeams[[#This Row],[Type]],1)="P",VALUE(ResultsTeams[[#This Row],[Score-B]]),""))</f>
        <v/>
      </c>
      <c r="S900" s="265" t="str">
        <f ca="1">IF(AND(ResultsTeams[[#This Row],[Category]]&lt;&gt;"",ResultsTeams[[#This Row],[Team A]]&lt;&gt;""),COUNTIF(INDIRECT("TeamsList[Club Name]"),ResultsTeams[[#This Row],[Team A]]),"")</f>
        <v/>
      </c>
      <c r="T900" s="265" t="str">
        <f ca="1">IF(AND(ResultsTeams[[#This Row],[Category]]&lt;&gt;"",ResultsTeams[[#This Row],[Team B]]&lt;&gt;""),COUNTIF(INDIRECT("TeamsList[Club Name]"),ResultsTeams[[#This Row],[Team B]]),"")</f>
        <v/>
      </c>
      <c r="U9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0" s="265" t="str">
        <f>IF(ResultsTeams[[#This Row],[Score_OK]],IF(ResultsTeams[[#This Row],[StageCpy]]="Groups",ResultsTeams[[#This Row],[Category]]&amp;"-"&amp;IF(ResultsTeams[[#This Row],[Team B]]="","",IF(ResultsTeams[[#This Row],[Match-A]]=ResultsTeams[[#This Row],[Match-B]],ResultsTeams[[#This Row],[Team A]],"")),""),"")</f>
        <v/>
      </c>
      <c r="W900" s="265" t="str">
        <f>IF(ResultsTeams[[#This Row],[Score_OK]],IF(ResultsTeams[[#This Row],[StageCpy]]="Groups",ResultsTeams[[#This Row],[Category]]&amp;"-"&amp;IF(ResultsTeams[[#This Row],[Team B]]="","",IF(ResultsTeams[[#This Row],[Match-A]]=ResultsTeams[[#This Row],[Match-B]],ResultsTeams[[#This Row],[Team B]],"")),""),"")</f>
        <v/>
      </c>
      <c r="X9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0" s="264" t="str">
        <f>IF(ResultsTeams[[#This Row],[Category]]="","",VLOOKUP(ResultsTeams[[#This Row],[Stage]],$R$1:$T$8,MATCH(ResultsTeams[[#This Row],[Category]],$S$1:$T$1,0)+1,FALSE))</f>
        <v/>
      </c>
      <c r="AC9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0" s="264">
        <f>IF(ResultsTeams[[#This Row],[Type]]="G",ResultsTeams[[#This Row],[Stage]],AD899)</f>
        <v>0</v>
      </c>
      <c r="AE900" s="395" t="e">
        <f>IF(ResultsTeams[[#This Row],[Type]]="G",INDEX(TeamsList[Club Name],MATCH(ResultsTeams[[#This Row],[Team A]],TeamsList[Team Name],0)),AE899)</f>
        <v>#N/A</v>
      </c>
      <c r="AF900" s="395" t="e">
        <f>IF(ResultsTeams[[#This Row],[Type]]="G",INDEX(TeamsList[Club Name],MATCH(ResultsTeams[[#This Row],[Team B]],TeamsList[Team Name],0)),AF899)</f>
        <v>#N/A</v>
      </c>
      <c r="AG900" s="265"/>
    </row>
    <row r="901" spans="1:33" ht="12" thickBot="1" x14ac:dyDescent="0.25">
      <c r="A901" s="261"/>
      <c r="B901" s="270"/>
      <c r="C901" s="270"/>
      <c r="D901" s="270"/>
      <c r="E901" s="272" t="s">
        <v>12228</v>
      </c>
      <c r="F901" s="273"/>
      <c r="G901" s="273"/>
      <c r="H901" s="275"/>
      <c r="I901" s="275"/>
      <c r="J901" s="275"/>
      <c r="K901" s="366"/>
      <c r="L901" s="366"/>
      <c r="M901" s="274"/>
      <c r="N901" s="265" t="b">
        <f>NOT(ISERROR(ResultsTeams[[#This Row],[Goal-A]]+ResultsTeams[[#This Row],[Goal-B]]))</f>
        <v>1</v>
      </c>
      <c r="O901" s="265">
        <f>IF(ResultsTeams[[#This Row],[Type]]="G",SUM(O902:O905),IF(LEFT(ResultsTeams[[#This Row],[Type]],1)="P",IF(ResultsTeams[[#This Row],[Goal-A]]&gt;ResultsTeams[[#This Row],[Goal-B]],1,0),""))</f>
        <v>0</v>
      </c>
      <c r="P901" s="265">
        <f>IF(ResultsTeams[[#This Row],[Type]]="G",SUM(P902:P905),IF(LEFT(ResultsTeams[[#This Row],[Type]],1)="P",IF(ResultsTeams[[#This Row],[Goal-A]]&lt;ResultsTeams[[#This Row],[Goal-B]],1,0),""))</f>
        <v>0</v>
      </c>
      <c r="Q901" s="265">
        <f>IF(ResultsTeams[[#This Row],[Type]]="G",SUM(Q902:Q905),IF(LEFT(ResultsTeams[[#This Row],[Type]],1)="P",VALUE(ResultsTeams[[#This Row],[Score-A]]),""))</f>
        <v>0</v>
      </c>
      <c r="R901" s="265">
        <f>IF(ResultsTeams[[#This Row],[Type]]="G",SUM(R902:R905),IF(LEFT(ResultsTeams[[#This Row],[Type]],1)="P",VALUE(ResultsTeams[[#This Row],[Score-B]]),""))</f>
        <v>0</v>
      </c>
      <c r="S901" s="265" t="str">
        <f ca="1">IF(AND(ResultsTeams[[#This Row],[Category]]&lt;&gt;"",ResultsTeams[[#This Row],[Team A]]&lt;&gt;""),COUNTIF(INDIRECT("TeamsList[Club Name]"),ResultsTeams[[#This Row],[Team A]]),"")</f>
        <v/>
      </c>
      <c r="T901" s="265" t="str">
        <f ca="1">IF(AND(ResultsTeams[[#This Row],[Category]]&lt;&gt;"",ResultsTeams[[#This Row],[Team B]]&lt;&gt;""),COUNTIF(INDIRECT("TeamsList[Club Name]"),ResultsTeams[[#This Row],[Team B]]),"")</f>
        <v/>
      </c>
      <c r="U9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1" s="265" t="str">
        <f>IF(ResultsTeams[[#This Row],[Score_OK]],IF(ResultsTeams[[#This Row],[StageCpy]]="Groups",ResultsTeams[[#This Row],[Category]]&amp;"-"&amp;IF(ResultsTeams[[#This Row],[Team B]]="","",IF(ResultsTeams[[#This Row],[Match-A]]=ResultsTeams[[#This Row],[Match-B]],ResultsTeams[[#This Row],[Team A]],"")),""),"")</f>
        <v/>
      </c>
      <c r="W901" s="265" t="str">
        <f>IF(ResultsTeams[[#This Row],[Score_OK]],IF(ResultsTeams[[#This Row],[StageCpy]]="Groups",ResultsTeams[[#This Row],[Category]]&amp;"-"&amp;IF(ResultsTeams[[#This Row],[Team B]]="","",IF(ResultsTeams[[#This Row],[Match-A]]=ResultsTeams[[#This Row],[Match-B]],ResultsTeams[[#This Row],[Team B]],"")),""),"")</f>
        <v/>
      </c>
      <c r="X9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9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1" s="264" t="str">
        <f>IF(ResultsTeams[[#This Row],[Category]]="","",VLOOKUP(ResultsTeams[[#This Row],[Stage]],$R$1:$T$8,MATCH(ResultsTeams[[#This Row],[Category]],$S$1:$T$1,0)+1,FALSE))</f>
        <v/>
      </c>
      <c r="AC9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1" s="264">
        <f>IF(ResultsTeams[[#This Row],[Type]]="G",ResultsTeams[[#This Row],[Stage]],AD900)</f>
        <v>0</v>
      </c>
      <c r="AE901" s="395" t="e">
        <f>IF(ResultsTeams[[#This Row],[Type]]="G",INDEX(TeamsList[Club Name],MATCH(ResultsTeams[[#This Row],[Team A]],TeamsList[Team Name],0)),AE900)</f>
        <v>#N/A</v>
      </c>
      <c r="AF901" s="395" t="e">
        <f>IF(ResultsTeams[[#This Row],[Type]]="G",INDEX(TeamsList[Club Name],MATCH(ResultsTeams[[#This Row],[Team B]],TeamsList[Team Name],0)),AF900)</f>
        <v>#N/A</v>
      </c>
      <c r="AG901" s="265"/>
    </row>
    <row r="902" spans="1:33" x14ac:dyDescent="0.2">
      <c r="A902" s="60"/>
      <c r="B902" s="280"/>
      <c r="C902" s="60"/>
      <c r="D902" s="60"/>
      <c r="E902" s="240" t="s">
        <v>12231</v>
      </c>
      <c r="F902" s="244"/>
      <c r="G902" s="244"/>
      <c r="H902" s="253"/>
      <c r="I902" s="253"/>
      <c r="J902" s="253"/>
      <c r="K902" s="362"/>
      <c r="L902" s="362"/>
      <c r="M902" s="245"/>
      <c r="N902" s="265" t="b">
        <f>NOT(ISERROR(ResultsTeams[[#This Row],[Goal-A]]+ResultsTeams[[#This Row],[Goal-B]]))</f>
        <v>1</v>
      </c>
      <c r="O902" s="265">
        <f>IF(ResultsTeams[[#This Row],[Type]]="G",SUM(O903:O906),IF(LEFT(ResultsTeams[[#This Row],[Type]],1)="P",IF(ResultsTeams[[#This Row],[Goal-A]]&gt;ResultsTeams[[#This Row],[Goal-B]],1,0),""))</f>
        <v>0</v>
      </c>
      <c r="P902" s="265">
        <f>IF(ResultsTeams[[#This Row],[Type]]="G",SUM(P903:P906),IF(LEFT(ResultsTeams[[#This Row],[Type]],1)="P",IF(ResultsTeams[[#This Row],[Goal-A]]&lt;ResultsTeams[[#This Row],[Goal-B]],1,0),""))</f>
        <v>0</v>
      </c>
      <c r="Q902" s="265">
        <f>IF(ResultsTeams[[#This Row],[Type]]="G",SUM(Q903:Q906),IF(LEFT(ResultsTeams[[#This Row],[Type]],1)="P",VALUE(ResultsTeams[[#This Row],[Score-A]]),""))</f>
        <v>0</v>
      </c>
      <c r="R902" s="265">
        <f>IF(ResultsTeams[[#This Row],[Type]]="G",SUM(R903:R906),IF(LEFT(ResultsTeams[[#This Row],[Type]],1)="P",VALUE(ResultsTeams[[#This Row],[Score-B]]),""))</f>
        <v>0</v>
      </c>
      <c r="S902" s="265" t="str">
        <f ca="1">IF(AND(ResultsTeams[[#This Row],[Category]]&lt;&gt;"",ResultsTeams[[#This Row],[Team A]]&lt;&gt;""),COUNTIF(INDIRECT("TeamsList[Club Name]"),ResultsTeams[[#This Row],[Team A]]),"")</f>
        <v/>
      </c>
      <c r="T902" s="265" t="str">
        <f ca="1">IF(AND(ResultsTeams[[#This Row],[Category]]&lt;&gt;"",ResultsTeams[[#This Row],[Team B]]&lt;&gt;""),COUNTIF(INDIRECT("TeamsList[Club Name]"),ResultsTeams[[#This Row],[Team B]]),"")</f>
        <v/>
      </c>
      <c r="U9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2" s="265" t="str">
        <f>IF(ResultsTeams[[#This Row],[Score_OK]],IF(ResultsTeams[[#This Row],[StageCpy]]="Groups",ResultsTeams[[#This Row],[Category]]&amp;"-"&amp;IF(ResultsTeams[[#This Row],[Team B]]="","",IF(ResultsTeams[[#This Row],[Match-A]]=ResultsTeams[[#This Row],[Match-B]],ResultsTeams[[#This Row],[Team A]],"")),""),"")</f>
        <v/>
      </c>
      <c r="W902" s="265" t="str">
        <f>IF(ResultsTeams[[#This Row],[Score_OK]],IF(ResultsTeams[[#This Row],[StageCpy]]="Groups",ResultsTeams[[#This Row],[Category]]&amp;"-"&amp;IF(ResultsTeams[[#This Row],[Team B]]="","",IF(ResultsTeams[[#This Row],[Match-A]]=ResultsTeams[[#This Row],[Match-B]],ResultsTeams[[#This Row],[Team B]],"")),""),"")</f>
        <v/>
      </c>
      <c r="X9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2" s="264" t="str">
        <f>IF(ResultsTeams[[#This Row],[Category]]="","",VLOOKUP(ResultsTeams[[#This Row],[Stage]],$R$1:$T$8,MATCH(ResultsTeams[[#This Row],[Category]],$S$1:$T$1,0)+1,FALSE))</f>
        <v/>
      </c>
      <c r="AC9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2" s="264">
        <f>IF(ResultsTeams[[#This Row],[Type]]="G",ResultsTeams[[#This Row],[Stage]],AD901)</f>
        <v>0</v>
      </c>
      <c r="AE902" s="395" t="e">
        <f>IF(ResultsTeams[[#This Row],[Type]]="G",INDEX(TeamsList[Club Name],MATCH(ResultsTeams[[#This Row],[Team A]],TeamsList[Team Name],0)),AE901)</f>
        <v>#N/A</v>
      </c>
      <c r="AF902" s="395" t="e">
        <f>IF(ResultsTeams[[#This Row],[Type]]="G",INDEX(TeamsList[Club Name],MATCH(ResultsTeams[[#This Row],[Team B]],TeamsList[Team Name],0)),AF901)</f>
        <v>#N/A</v>
      </c>
      <c r="AG902" s="265"/>
    </row>
    <row r="903" spans="1:33" x14ac:dyDescent="0.2">
      <c r="A903" s="62"/>
      <c r="B903" s="280"/>
      <c r="C903" s="62"/>
      <c r="D903" s="62"/>
      <c r="E903" s="241" t="s">
        <v>12234</v>
      </c>
      <c r="F903" s="246"/>
      <c r="G903" s="246"/>
      <c r="H903" s="254"/>
      <c r="I903" s="254"/>
      <c r="J903" s="254"/>
      <c r="K903" s="363"/>
      <c r="L903" s="363"/>
      <c r="M903" s="247"/>
      <c r="N903" s="265" t="b">
        <f>NOT(ISERROR(ResultsTeams[[#This Row],[Goal-A]]+ResultsTeams[[#This Row],[Goal-B]]))</f>
        <v>1</v>
      </c>
      <c r="O903" s="265">
        <f>IF(ResultsTeams[[#This Row],[Type]]="G",SUM(O904:O907),IF(LEFT(ResultsTeams[[#This Row],[Type]],1)="P",IF(ResultsTeams[[#This Row],[Goal-A]]&gt;ResultsTeams[[#This Row],[Goal-B]],1,0),""))</f>
        <v>0</v>
      </c>
      <c r="P903" s="265">
        <f>IF(ResultsTeams[[#This Row],[Type]]="G",SUM(P904:P907),IF(LEFT(ResultsTeams[[#This Row],[Type]],1)="P",IF(ResultsTeams[[#This Row],[Goal-A]]&lt;ResultsTeams[[#This Row],[Goal-B]],1,0),""))</f>
        <v>0</v>
      </c>
      <c r="Q903" s="265">
        <f>IF(ResultsTeams[[#This Row],[Type]]="G",SUM(Q904:Q907),IF(LEFT(ResultsTeams[[#This Row],[Type]],1)="P",VALUE(ResultsTeams[[#This Row],[Score-A]]),""))</f>
        <v>0</v>
      </c>
      <c r="R903" s="265">
        <f>IF(ResultsTeams[[#This Row],[Type]]="G",SUM(R904:R907),IF(LEFT(ResultsTeams[[#This Row],[Type]],1)="P",VALUE(ResultsTeams[[#This Row],[Score-B]]),""))</f>
        <v>0</v>
      </c>
      <c r="S903" s="265" t="str">
        <f ca="1">IF(AND(ResultsTeams[[#This Row],[Category]]&lt;&gt;"",ResultsTeams[[#This Row],[Team A]]&lt;&gt;""),COUNTIF(INDIRECT("TeamsList[Club Name]"),ResultsTeams[[#This Row],[Team A]]),"")</f>
        <v/>
      </c>
      <c r="T903" s="265" t="str">
        <f ca="1">IF(AND(ResultsTeams[[#This Row],[Category]]&lt;&gt;"",ResultsTeams[[#This Row],[Team B]]&lt;&gt;""),COUNTIF(INDIRECT("TeamsList[Club Name]"),ResultsTeams[[#This Row],[Team B]]),"")</f>
        <v/>
      </c>
      <c r="U9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3" s="265" t="str">
        <f>IF(ResultsTeams[[#This Row],[Score_OK]],IF(ResultsTeams[[#This Row],[StageCpy]]="Groups",ResultsTeams[[#This Row],[Category]]&amp;"-"&amp;IF(ResultsTeams[[#This Row],[Team B]]="","",IF(ResultsTeams[[#This Row],[Match-A]]=ResultsTeams[[#This Row],[Match-B]],ResultsTeams[[#This Row],[Team A]],"")),""),"")</f>
        <v/>
      </c>
      <c r="W903" s="265" t="str">
        <f>IF(ResultsTeams[[#This Row],[Score_OK]],IF(ResultsTeams[[#This Row],[StageCpy]]="Groups",ResultsTeams[[#This Row],[Category]]&amp;"-"&amp;IF(ResultsTeams[[#This Row],[Team B]]="","",IF(ResultsTeams[[#This Row],[Match-A]]=ResultsTeams[[#This Row],[Match-B]],ResultsTeams[[#This Row],[Team B]],"")),""),"")</f>
        <v/>
      </c>
      <c r="X9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3" s="264" t="str">
        <f>IF(ResultsTeams[[#This Row],[Category]]="","",VLOOKUP(ResultsTeams[[#This Row],[Stage]],$R$1:$T$8,MATCH(ResultsTeams[[#This Row],[Category]],$S$1:$T$1,0)+1,FALSE))</f>
        <v/>
      </c>
      <c r="AC9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3" s="264">
        <f>IF(ResultsTeams[[#This Row],[Type]]="G",ResultsTeams[[#This Row],[Stage]],AD902)</f>
        <v>0</v>
      </c>
      <c r="AE903" s="395" t="e">
        <f>IF(ResultsTeams[[#This Row],[Type]]="G",INDEX(TeamsList[Club Name],MATCH(ResultsTeams[[#This Row],[Team A]],TeamsList[Team Name],0)),AE902)</f>
        <v>#N/A</v>
      </c>
      <c r="AF903" s="395" t="e">
        <f>IF(ResultsTeams[[#This Row],[Type]]="G",INDEX(TeamsList[Club Name],MATCH(ResultsTeams[[#This Row],[Team B]],TeamsList[Team Name],0)),AF902)</f>
        <v>#N/A</v>
      </c>
      <c r="AG903" s="265"/>
    </row>
    <row r="904" spans="1:33" x14ac:dyDescent="0.2">
      <c r="A904" s="62"/>
      <c r="B904" s="280"/>
      <c r="C904" s="62"/>
      <c r="D904" s="62"/>
      <c r="E904" s="241" t="s">
        <v>12237</v>
      </c>
      <c r="F904" s="246"/>
      <c r="G904" s="246"/>
      <c r="H904" s="254"/>
      <c r="I904" s="254"/>
      <c r="J904" s="254"/>
      <c r="K904" s="363"/>
      <c r="L904" s="363"/>
      <c r="M904" s="247"/>
      <c r="N904" s="265" t="b">
        <f>NOT(ISERROR(ResultsTeams[[#This Row],[Goal-A]]+ResultsTeams[[#This Row],[Goal-B]]))</f>
        <v>1</v>
      </c>
      <c r="O904" s="265">
        <f>IF(ResultsTeams[[#This Row],[Type]]="G",SUM(O905:O908),IF(LEFT(ResultsTeams[[#This Row],[Type]],1)="P",IF(ResultsTeams[[#This Row],[Goal-A]]&gt;ResultsTeams[[#This Row],[Goal-B]],1,0),""))</f>
        <v>0</v>
      </c>
      <c r="P904" s="265">
        <f>IF(ResultsTeams[[#This Row],[Type]]="G",SUM(P905:P908),IF(LEFT(ResultsTeams[[#This Row],[Type]],1)="P",IF(ResultsTeams[[#This Row],[Goal-A]]&lt;ResultsTeams[[#This Row],[Goal-B]],1,0),""))</f>
        <v>0</v>
      </c>
      <c r="Q904" s="265">
        <f>IF(ResultsTeams[[#This Row],[Type]]="G",SUM(Q905:Q908),IF(LEFT(ResultsTeams[[#This Row],[Type]],1)="P",VALUE(ResultsTeams[[#This Row],[Score-A]]),""))</f>
        <v>0</v>
      </c>
      <c r="R904" s="265">
        <f>IF(ResultsTeams[[#This Row],[Type]]="G",SUM(R905:R908),IF(LEFT(ResultsTeams[[#This Row],[Type]],1)="P",VALUE(ResultsTeams[[#This Row],[Score-B]]),""))</f>
        <v>0</v>
      </c>
      <c r="S904" s="265" t="str">
        <f ca="1">IF(AND(ResultsTeams[[#This Row],[Category]]&lt;&gt;"",ResultsTeams[[#This Row],[Team A]]&lt;&gt;""),COUNTIF(INDIRECT("TeamsList[Club Name]"),ResultsTeams[[#This Row],[Team A]]),"")</f>
        <v/>
      </c>
      <c r="T904" s="265" t="str">
        <f ca="1">IF(AND(ResultsTeams[[#This Row],[Category]]&lt;&gt;"",ResultsTeams[[#This Row],[Team B]]&lt;&gt;""),COUNTIF(INDIRECT("TeamsList[Club Name]"),ResultsTeams[[#This Row],[Team B]]),"")</f>
        <v/>
      </c>
      <c r="U9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4" s="265" t="str">
        <f>IF(ResultsTeams[[#This Row],[Score_OK]],IF(ResultsTeams[[#This Row],[StageCpy]]="Groups",ResultsTeams[[#This Row],[Category]]&amp;"-"&amp;IF(ResultsTeams[[#This Row],[Team B]]="","",IF(ResultsTeams[[#This Row],[Match-A]]=ResultsTeams[[#This Row],[Match-B]],ResultsTeams[[#This Row],[Team A]],"")),""),"")</f>
        <v/>
      </c>
      <c r="W904" s="265" t="str">
        <f>IF(ResultsTeams[[#This Row],[Score_OK]],IF(ResultsTeams[[#This Row],[StageCpy]]="Groups",ResultsTeams[[#This Row],[Category]]&amp;"-"&amp;IF(ResultsTeams[[#This Row],[Team B]]="","",IF(ResultsTeams[[#This Row],[Match-A]]=ResultsTeams[[#This Row],[Match-B]],ResultsTeams[[#This Row],[Team B]],"")),""),"")</f>
        <v/>
      </c>
      <c r="X9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4" s="264" t="str">
        <f>IF(ResultsTeams[[#This Row],[Category]]="","",VLOOKUP(ResultsTeams[[#This Row],[Stage]],$R$1:$T$8,MATCH(ResultsTeams[[#This Row],[Category]],$S$1:$T$1,0)+1,FALSE))</f>
        <v/>
      </c>
      <c r="AC9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4" s="264">
        <f>IF(ResultsTeams[[#This Row],[Type]]="G",ResultsTeams[[#This Row],[Stage]],AD903)</f>
        <v>0</v>
      </c>
      <c r="AE904" s="395" t="e">
        <f>IF(ResultsTeams[[#This Row],[Type]]="G",INDEX(TeamsList[Club Name],MATCH(ResultsTeams[[#This Row],[Team A]],TeamsList[Team Name],0)),AE903)</f>
        <v>#N/A</v>
      </c>
      <c r="AF904" s="395" t="e">
        <f>IF(ResultsTeams[[#This Row],[Type]]="G",INDEX(TeamsList[Club Name],MATCH(ResultsTeams[[#This Row],[Team B]],TeamsList[Team Name],0)),AF903)</f>
        <v>#N/A</v>
      </c>
      <c r="AG904" s="265"/>
    </row>
    <row r="905" spans="1:33" x14ac:dyDescent="0.2">
      <c r="A905" s="62"/>
      <c r="B905" s="280"/>
      <c r="C905" s="62"/>
      <c r="D905" s="62"/>
      <c r="E905" s="241" t="s">
        <v>12240</v>
      </c>
      <c r="F905" s="246"/>
      <c r="G905" s="246"/>
      <c r="H905" s="254"/>
      <c r="I905" s="254"/>
      <c r="J905" s="254"/>
      <c r="K905" s="363"/>
      <c r="L905" s="363"/>
      <c r="M905" s="247"/>
      <c r="N905" s="265" t="b">
        <f>NOT(ISERROR(ResultsTeams[[#This Row],[Goal-A]]+ResultsTeams[[#This Row],[Goal-B]]))</f>
        <v>1</v>
      </c>
      <c r="O905" s="265">
        <f>IF(ResultsTeams[[#This Row],[Type]]="G",SUM(O906:O909),IF(LEFT(ResultsTeams[[#This Row],[Type]],1)="P",IF(ResultsTeams[[#This Row],[Goal-A]]&gt;ResultsTeams[[#This Row],[Goal-B]],1,0),""))</f>
        <v>0</v>
      </c>
      <c r="P905" s="265">
        <f>IF(ResultsTeams[[#This Row],[Type]]="G",SUM(P906:P909),IF(LEFT(ResultsTeams[[#This Row],[Type]],1)="P",IF(ResultsTeams[[#This Row],[Goal-A]]&lt;ResultsTeams[[#This Row],[Goal-B]],1,0),""))</f>
        <v>0</v>
      </c>
      <c r="Q905" s="265">
        <f>IF(ResultsTeams[[#This Row],[Type]]="G",SUM(Q906:Q909),IF(LEFT(ResultsTeams[[#This Row],[Type]],1)="P",VALUE(ResultsTeams[[#This Row],[Score-A]]),""))</f>
        <v>0</v>
      </c>
      <c r="R905" s="265">
        <f>IF(ResultsTeams[[#This Row],[Type]]="G",SUM(R906:R909),IF(LEFT(ResultsTeams[[#This Row],[Type]],1)="P",VALUE(ResultsTeams[[#This Row],[Score-B]]),""))</f>
        <v>0</v>
      </c>
      <c r="S905" s="265" t="str">
        <f ca="1">IF(AND(ResultsTeams[[#This Row],[Category]]&lt;&gt;"",ResultsTeams[[#This Row],[Team A]]&lt;&gt;""),COUNTIF(INDIRECT("TeamsList[Club Name]"),ResultsTeams[[#This Row],[Team A]]),"")</f>
        <v/>
      </c>
      <c r="T905" s="265" t="str">
        <f ca="1">IF(AND(ResultsTeams[[#This Row],[Category]]&lt;&gt;"",ResultsTeams[[#This Row],[Team B]]&lt;&gt;""),COUNTIF(INDIRECT("TeamsList[Club Name]"),ResultsTeams[[#This Row],[Team B]]),"")</f>
        <v/>
      </c>
      <c r="U9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5" s="265" t="str">
        <f>IF(ResultsTeams[[#This Row],[Score_OK]],IF(ResultsTeams[[#This Row],[StageCpy]]="Groups",ResultsTeams[[#This Row],[Category]]&amp;"-"&amp;IF(ResultsTeams[[#This Row],[Team B]]="","",IF(ResultsTeams[[#This Row],[Match-A]]=ResultsTeams[[#This Row],[Match-B]],ResultsTeams[[#This Row],[Team A]],"")),""),"")</f>
        <v/>
      </c>
      <c r="W905" s="265" t="str">
        <f>IF(ResultsTeams[[#This Row],[Score_OK]],IF(ResultsTeams[[#This Row],[StageCpy]]="Groups",ResultsTeams[[#This Row],[Category]]&amp;"-"&amp;IF(ResultsTeams[[#This Row],[Team B]]="","",IF(ResultsTeams[[#This Row],[Match-A]]=ResultsTeams[[#This Row],[Match-B]],ResultsTeams[[#This Row],[Team B]],"")),""),"")</f>
        <v/>
      </c>
      <c r="X9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5" s="264" t="str">
        <f>IF(ResultsTeams[[#This Row],[Category]]="","",VLOOKUP(ResultsTeams[[#This Row],[Stage]],$R$1:$T$8,MATCH(ResultsTeams[[#This Row],[Category]],$S$1:$T$1,0)+1,FALSE))</f>
        <v/>
      </c>
      <c r="AC9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5" s="264">
        <f>IF(ResultsTeams[[#This Row],[Type]]="G",ResultsTeams[[#This Row],[Stage]],AD904)</f>
        <v>0</v>
      </c>
      <c r="AE905" s="395" t="e">
        <f>IF(ResultsTeams[[#This Row],[Type]]="G",INDEX(TeamsList[Club Name],MATCH(ResultsTeams[[#This Row],[Team A]],TeamsList[Team Name],0)),AE904)</f>
        <v>#N/A</v>
      </c>
      <c r="AF905" s="395" t="e">
        <f>IF(ResultsTeams[[#This Row],[Type]]="G",INDEX(TeamsList[Club Name],MATCH(ResultsTeams[[#This Row],[Team B]],TeamsList[Team Name],0)),AF904)</f>
        <v>#N/A</v>
      </c>
      <c r="AG905" s="265"/>
    </row>
    <row r="906" spans="1:33" x14ac:dyDescent="0.2">
      <c r="A906" s="62"/>
      <c r="B906" s="62"/>
      <c r="C906" s="62"/>
      <c r="D906" s="62"/>
      <c r="E906" s="241" t="s">
        <v>12243</v>
      </c>
      <c r="F906" s="247"/>
      <c r="G906" s="247"/>
      <c r="H906" s="254"/>
      <c r="I906" s="254"/>
      <c r="J906" s="260"/>
      <c r="K906" s="364"/>
      <c r="L906" s="364"/>
      <c r="M906" s="247"/>
      <c r="N906" s="265" t="b">
        <f>NOT(ISERROR(ResultsTeams[[#This Row],[Goal-A]]+ResultsTeams[[#This Row],[Goal-B]]))</f>
        <v>0</v>
      </c>
      <c r="O906" s="265" t="str">
        <f>IF(ResultsTeams[[#This Row],[Type]]="G",SUM(O907:O910),IF(LEFT(ResultsTeams[[#This Row],[Type]],1)="P",IF(ResultsTeams[[#This Row],[Goal-A]]&gt;ResultsTeams[[#This Row],[Goal-B]],1,0),""))</f>
        <v/>
      </c>
      <c r="P906" s="265" t="str">
        <f>IF(ResultsTeams[[#This Row],[Type]]="G",SUM(P907:P910),IF(LEFT(ResultsTeams[[#This Row],[Type]],1)="P",IF(ResultsTeams[[#This Row],[Goal-A]]&lt;ResultsTeams[[#This Row],[Goal-B]],1,0),""))</f>
        <v/>
      </c>
      <c r="Q906" s="265" t="str">
        <f>IF(ResultsTeams[[#This Row],[Type]]="G",SUM(Q907:Q910),IF(LEFT(ResultsTeams[[#This Row],[Type]],1)="P",VALUE(ResultsTeams[[#This Row],[Score-A]]),""))</f>
        <v/>
      </c>
      <c r="R906" s="265" t="str">
        <f>IF(ResultsTeams[[#This Row],[Type]]="G",SUM(R907:R910),IF(LEFT(ResultsTeams[[#This Row],[Type]],1)="P",VALUE(ResultsTeams[[#This Row],[Score-B]]),""))</f>
        <v/>
      </c>
      <c r="S906" s="265" t="str">
        <f ca="1">IF(AND(ResultsTeams[[#This Row],[Category]]&lt;&gt;"",ResultsTeams[[#This Row],[Team A]]&lt;&gt;""),COUNTIF(INDIRECT("TeamsList[Club Name]"),ResultsTeams[[#This Row],[Team A]]),"")</f>
        <v/>
      </c>
      <c r="T906" s="265" t="str">
        <f ca="1">IF(AND(ResultsTeams[[#This Row],[Category]]&lt;&gt;"",ResultsTeams[[#This Row],[Team B]]&lt;&gt;""),COUNTIF(INDIRECT("TeamsList[Club Name]"),ResultsTeams[[#This Row],[Team B]]),"")</f>
        <v/>
      </c>
      <c r="U9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6" s="265" t="str">
        <f>IF(ResultsTeams[[#This Row],[Score_OK]],IF(ResultsTeams[[#This Row],[StageCpy]]="Groups",ResultsTeams[[#This Row],[Category]]&amp;"-"&amp;IF(ResultsTeams[[#This Row],[Team B]]="","",IF(ResultsTeams[[#This Row],[Match-A]]=ResultsTeams[[#This Row],[Match-B]],ResultsTeams[[#This Row],[Team A]],"")),""),"")</f>
        <v/>
      </c>
      <c r="W906" s="265" t="str">
        <f>IF(ResultsTeams[[#This Row],[Score_OK]],IF(ResultsTeams[[#This Row],[StageCpy]]="Groups",ResultsTeams[[#This Row],[Category]]&amp;"-"&amp;IF(ResultsTeams[[#This Row],[Team B]]="","",IF(ResultsTeams[[#This Row],[Match-A]]=ResultsTeams[[#This Row],[Match-B]],ResultsTeams[[#This Row],[Team B]],"")),""),"")</f>
        <v/>
      </c>
      <c r="X9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6" s="264" t="str">
        <f>IF(ResultsTeams[[#This Row],[Category]]="","",VLOOKUP(ResultsTeams[[#This Row],[Stage]],$R$1:$T$8,MATCH(ResultsTeams[[#This Row],[Category]],$S$1:$T$1,0)+1,FALSE))</f>
        <v/>
      </c>
      <c r="AC9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6" s="264">
        <f>IF(ResultsTeams[[#This Row],[Type]]="G",ResultsTeams[[#This Row],[Stage]],AD905)</f>
        <v>0</v>
      </c>
      <c r="AE906" s="395" t="e">
        <f>IF(ResultsTeams[[#This Row],[Type]]="G",INDEX(TeamsList[Club Name],MATCH(ResultsTeams[[#This Row],[Team A]],TeamsList[Team Name],0)),AE905)</f>
        <v>#N/A</v>
      </c>
      <c r="AF906" s="395" t="e">
        <f>IF(ResultsTeams[[#This Row],[Type]]="G",INDEX(TeamsList[Club Name],MATCH(ResultsTeams[[#This Row],[Team B]],TeamsList[Team Name],0)),AF905)</f>
        <v>#N/A</v>
      </c>
      <c r="AG906" s="265"/>
    </row>
    <row r="907" spans="1:33" ht="12" thickBot="1" x14ac:dyDescent="0.25">
      <c r="A907" s="83"/>
      <c r="B907" s="83"/>
      <c r="C907" s="83"/>
      <c r="D907" s="83"/>
      <c r="E907" s="268" t="s">
        <v>12244</v>
      </c>
      <c r="F907" s="262"/>
      <c r="G907" s="262"/>
      <c r="H907" s="324"/>
      <c r="I907" s="324"/>
      <c r="J907" s="263"/>
      <c r="K907" s="365"/>
      <c r="L907" s="365"/>
      <c r="M907" s="262"/>
      <c r="N907" s="265" t="b">
        <f>NOT(ISERROR(ResultsTeams[[#This Row],[Goal-A]]+ResultsTeams[[#This Row],[Goal-B]]))</f>
        <v>0</v>
      </c>
      <c r="O907" s="265" t="str">
        <f>IF(ResultsTeams[[#This Row],[Type]]="G",SUM(O908:O911),IF(LEFT(ResultsTeams[[#This Row],[Type]],1)="P",IF(ResultsTeams[[#This Row],[Goal-A]]&gt;ResultsTeams[[#This Row],[Goal-B]],1,0),""))</f>
        <v/>
      </c>
      <c r="P907" s="265" t="str">
        <f>IF(ResultsTeams[[#This Row],[Type]]="G",SUM(P908:P911),IF(LEFT(ResultsTeams[[#This Row],[Type]],1)="P",IF(ResultsTeams[[#This Row],[Goal-A]]&lt;ResultsTeams[[#This Row],[Goal-B]],1,0),""))</f>
        <v/>
      </c>
      <c r="Q907" s="265" t="str">
        <f>IF(ResultsTeams[[#This Row],[Type]]="G",SUM(Q908:Q911),IF(LEFT(ResultsTeams[[#This Row],[Type]],1)="P",VALUE(ResultsTeams[[#This Row],[Score-A]]),""))</f>
        <v/>
      </c>
      <c r="R907" s="265" t="str">
        <f>IF(ResultsTeams[[#This Row],[Type]]="G",SUM(R908:R911),IF(LEFT(ResultsTeams[[#This Row],[Type]],1)="P",VALUE(ResultsTeams[[#This Row],[Score-B]]),""))</f>
        <v/>
      </c>
      <c r="S907" s="265" t="str">
        <f ca="1">IF(AND(ResultsTeams[[#This Row],[Category]]&lt;&gt;"",ResultsTeams[[#This Row],[Team A]]&lt;&gt;""),COUNTIF(INDIRECT("TeamsList[Club Name]"),ResultsTeams[[#This Row],[Team A]]),"")</f>
        <v/>
      </c>
      <c r="T907" s="265" t="str">
        <f ca="1">IF(AND(ResultsTeams[[#This Row],[Category]]&lt;&gt;"",ResultsTeams[[#This Row],[Team B]]&lt;&gt;""),COUNTIF(INDIRECT("TeamsList[Club Name]"),ResultsTeams[[#This Row],[Team B]]),"")</f>
        <v/>
      </c>
      <c r="U9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7" s="265" t="str">
        <f>IF(ResultsTeams[[#This Row],[Score_OK]],IF(ResultsTeams[[#This Row],[StageCpy]]="Groups",ResultsTeams[[#This Row],[Category]]&amp;"-"&amp;IF(ResultsTeams[[#This Row],[Team B]]="","",IF(ResultsTeams[[#This Row],[Match-A]]=ResultsTeams[[#This Row],[Match-B]],ResultsTeams[[#This Row],[Team A]],"")),""),"")</f>
        <v/>
      </c>
      <c r="W907" s="265" t="str">
        <f>IF(ResultsTeams[[#This Row],[Score_OK]],IF(ResultsTeams[[#This Row],[StageCpy]]="Groups",ResultsTeams[[#This Row],[Category]]&amp;"-"&amp;IF(ResultsTeams[[#This Row],[Team B]]="","",IF(ResultsTeams[[#This Row],[Match-A]]=ResultsTeams[[#This Row],[Match-B]],ResultsTeams[[#This Row],[Team B]],"")),""),"")</f>
        <v/>
      </c>
      <c r="X9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7" s="264" t="str">
        <f>IF(ResultsTeams[[#This Row],[Category]]="","",VLOOKUP(ResultsTeams[[#This Row],[Stage]],$R$1:$T$8,MATCH(ResultsTeams[[#This Row],[Category]],$S$1:$T$1,0)+1,FALSE))</f>
        <v/>
      </c>
      <c r="AC9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7" s="264">
        <f>IF(ResultsTeams[[#This Row],[Type]]="G",ResultsTeams[[#This Row],[Stage]],AD906)</f>
        <v>0</v>
      </c>
      <c r="AE907" s="395" t="e">
        <f>IF(ResultsTeams[[#This Row],[Type]]="G",INDEX(TeamsList[Club Name],MATCH(ResultsTeams[[#This Row],[Team A]],TeamsList[Team Name],0)),AE906)</f>
        <v>#N/A</v>
      </c>
      <c r="AF907" s="395" t="e">
        <f>IF(ResultsTeams[[#This Row],[Type]]="G",INDEX(TeamsList[Club Name],MATCH(ResultsTeams[[#This Row],[Team B]],TeamsList[Team Name],0)),AF906)</f>
        <v>#N/A</v>
      </c>
      <c r="AG907" s="265"/>
    </row>
    <row r="908" spans="1:33" ht="12" thickBot="1" x14ac:dyDescent="0.25">
      <c r="A908" s="261"/>
      <c r="B908" s="270"/>
      <c r="C908" s="270"/>
      <c r="D908" s="270"/>
      <c r="E908" s="272" t="s">
        <v>12228</v>
      </c>
      <c r="F908" s="273"/>
      <c r="G908" s="273"/>
      <c r="H908" s="275"/>
      <c r="I908" s="275"/>
      <c r="J908" s="275"/>
      <c r="K908" s="366"/>
      <c r="L908" s="366"/>
      <c r="M908" s="274"/>
      <c r="N908" s="265" t="b">
        <f>NOT(ISERROR(ResultsTeams[[#This Row],[Goal-A]]+ResultsTeams[[#This Row],[Goal-B]]))</f>
        <v>1</v>
      </c>
      <c r="O908" s="265">
        <f>IF(ResultsTeams[[#This Row],[Type]]="G",SUM(O909:O912),IF(LEFT(ResultsTeams[[#This Row],[Type]],1)="P",IF(ResultsTeams[[#This Row],[Goal-A]]&gt;ResultsTeams[[#This Row],[Goal-B]],1,0),""))</f>
        <v>0</v>
      </c>
      <c r="P908" s="265">
        <f>IF(ResultsTeams[[#This Row],[Type]]="G",SUM(P909:P912),IF(LEFT(ResultsTeams[[#This Row],[Type]],1)="P",IF(ResultsTeams[[#This Row],[Goal-A]]&lt;ResultsTeams[[#This Row],[Goal-B]],1,0),""))</f>
        <v>0</v>
      </c>
      <c r="Q908" s="265">
        <f>IF(ResultsTeams[[#This Row],[Type]]="G",SUM(Q909:Q912),IF(LEFT(ResultsTeams[[#This Row],[Type]],1)="P",VALUE(ResultsTeams[[#This Row],[Score-A]]),""))</f>
        <v>0</v>
      </c>
      <c r="R908" s="265">
        <f>IF(ResultsTeams[[#This Row],[Type]]="G",SUM(R909:R912),IF(LEFT(ResultsTeams[[#This Row],[Type]],1)="P",VALUE(ResultsTeams[[#This Row],[Score-B]]),""))</f>
        <v>0</v>
      </c>
      <c r="S908" s="265" t="str">
        <f ca="1">IF(AND(ResultsTeams[[#This Row],[Category]]&lt;&gt;"",ResultsTeams[[#This Row],[Team A]]&lt;&gt;""),COUNTIF(INDIRECT("TeamsList[Club Name]"),ResultsTeams[[#This Row],[Team A]]),"")</f>
        <v/>
      </c>
      <c r="T908" s="265" t="str">
        <f ca="1">IF(AND(ResultsTeams[[#This Row],[Category]]&lt;&gt;"",ResultsTeams[[#This Row],[Team B]]&lt;&gt;""),COUNTIF(INDIRECT("TeamsList[Club Name]"),ResultsTeams[[#This Row],[Team B]]),"")</f>
        <v/>
      </c>
      <c r="U9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8" s="265" t="str">
        <f>IF(ResultsTeams[[#This Row],[Score_OK]],IF(ResultsTeams[[#This Row],[StageCpy]]="Groups",ResultsTeams[[#This Row],[Category]]&amp;"-"&amp;IF(ResultsTeams[[#This Row],[Team B]]="","",IF(ResultsTeams[[#This Row],[Match-A]]=ResultsTeams[[#This Row],[Match-B]],ResultsTeams[[#This Row],[Team A]],"")),""),"")</f>
        <v/>
      </c>
      <c r="W908" s="265" t="str">
        <f>IF(ResultsTeams[[#This Row],[Score_OK]],IF(ResultsTeams[[#This Row],[StageCpy]]="Groups",ResultsTeams[[#This Row],[Category]]&amp;"-"&amp;IF(ResultsTeams[[#This Row],[Team B]]="","",IF(ResultsTeams[[#This Row],[Match-A]]=ResultsTeams[[#This Row],[Match-B]],ResultsTeams[[#This Row],[Team B]],"")),""),"")</f>
        <v/>
      </c>
      <c r="X9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9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8" s="264" t="str">
        <f>IF(ResultsTeams[[#This Row],[Category]]="","",VLOOKUP(ResultsTeams[[#This Row],[Stage]],$R$1:$T$8,MATCH(ResultsTeams[[#This Row],[Category]],$S$1:$T$1,0)+1,FALSE))</f>
        <v/>
      </c>
      <c r="AC9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8" s="264">
        <f>IF(ResultsTeams[[#This Row],[Type]]="G",ResultsTeams[[#This Row],[Stage]],AD907)</f>
        <v>0</v>
      </c>
      <c r="AE908" s="395" t="e">
        <f>IF(ResultsTeams[[#This Row],[Type]]="G",INDEX(TeamsList[Club Name],MATCH(ResultsTeams[[#This Row],[Team A]],TeamsList[Team Name],0)),AE907)</f>
        <v>#N/A</v>
      </c>
      <c r="AF908" s="395" t="e">
        <f>IF(ResultsTeams[[#This Row],[Type]]="G",INDEX(TeamsList[Club Name],MATCH(ResultsTeams[[#This Row],[Team B]],TeamsList[Team Name],0)),AF907)</f>
        <v>#N/A</v>
      </c>
      <c r="AG908" s="265"/>
    </row>
    <row r="909" spans="1:33" x14ac:dyDescent="0.2">
      <c r="A909" s="60"/>
      <c r="B909" s="280"/>
      <c r="C909" s="60"/>
      <c r="D909" s="60"/>
      <c r="E909" s="240" t="s">
        <v>12231</v>
      </c>
      <c r="F909" s="244"/>
      <c r="G909" s="244"/>
      <c r="H909" s="253"/>
      <c r="I909" s="253"/>
      <c r="J909" s="253"/>
      <c r="K909" s="362"/>
      <c r="L909" s="362"/>
      <c r="M909" s="245"/>
      <c r="N909" s="265" t="b">
        <f>NOT(ISERROR(ResultsTeams[[#This Row],[Goal-A]]+ResultsTeams[[#This Row],[Goal-B]]))</f>
        <v>1</v>
      </c>
      <c r="O909" s="265">
        <f>IF(ResultsTeams[[#This Row],[Type]]="G",SUM(O910:O913),IF(LEFT(ResultsTeams[[#This Row],[Type]],1)="P",IF(ResultsTeams[[#This Row],[Goal-A]]&gt;ResultsTeams[[#This Row],[Goal-B]],1,0),""))</f>
        <v>0</v>
      </c>
      <c r="P909" s="265">
        <f>IF(ResultsTeams[[#This Row],[Type]]="G",SUM(P910:P913),IF(LEFT(ResultsTeams[[#This Row],[Type]],1)="P",IF(ResultsTeams[[#This Row],[Goal-A]]&lt;ResultsTeams[[#This Row],[Goal-B]],1,0),""))</f>
        <v>0</v>
      </c>
      <c r="Q909" s="265">
        <f>IF(ResultsTeams[[#This Row],[Type]]="G",SUM(Q910:Q913),IF(LEFT(ResultsTeams[[#This Row],[Type]],1)="P",VALUE(ResultsTeams[[#This Row],[Score-A]]),""))</f>
        <v>0</v>
      </c>
      <c r="R909" s="265">
        <f>IF(ResultsTeams[[#This Row],[Type]]="G",SUM(R910:R913),IF(LEFT(ResultsTeams[[#This Row],[Type]],1)="P",VALUE(ResultsTeams[[#This Row],[Score-B]]),""))</f>
        <v>0</v>
      </c>
      <c r="S909" s="265" t="str">
        <f ca="1">IF(AND(ResultsTeams[[#This Row],[Category]]&lt;&gt;"",ResultsTeams[[#This Row],[Team A]]&lt;&gt;""),COUNTIF(INDIRECT("TeamsList[Club Name]"),ResultsTeams[[#This Row],[Team A]]),"")</f>
        <v/>
      </c>
      <c r="T909" s="265" t="str">
        <f ca="1">IF(AND(ResultsTeams[[#This Row],[Category]]&lt;&gt;"",ResultsTeams[[#This Row],[Team B]]&lt;&gt;""),COUNTIF(INDIRECT("TeamsList[Club Name]"),ResultsTeams[[#This Row],[Team B]]),"")</f>
        <v/>
      </c>
      <c r="U9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9" s="265" t="str">
        <f>IF(ResultsTeams[[#This Row],[Score_OK]],IF(ResultsTeams[[#This Row],[StageCpy]]="Groups",ResultsTeams[[#This Row],[Category]]&amp;"-"&amp;IF(ResultsTeams[[#This Row],[Team B]]="","",IF(ResultsTeams[[#This Row],[Match-A]]=ResultsTeams[[#This Row],[Match-B]],ResultsTeams[[#This Row],[Team A]],"")),""),"")</f>
        <v/>
      </c>
      <c r="W909" s="265" t="str">
        <f>IF(ResultsTeams[[#This Row],[Score_OK]],IF(ResultsTeams[[#This Row],[StageCpy]]="Groups",ResultsTeams[[#This Row],[Category]]&amp;"-"&amp;IF(ResultsTeams[[#This Row],[Team B]]="","",IF(ResultsTeams[[#This Row],[Match-A]]=ResultsTeams[[#This Row],[Match-B]],ResultsTeams[[#This Row],[Team B]],"")),""),"")</f>
        <v/>
      </c>
      <c r="X9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9" s="264" t="str">
        <f>IF(ResultsTeams[[#This Row],[Category]]="","",VLOOKUP(ResultsTeams[[#This Row],[Stage]],$R$1:$T$8,MATCH(ResultsTeams[[#This Row],[Category]],$S$1:$T$1,0)+1,FALSE))</f>
        <v/>
      </c>
      <c r="AC9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9" s="264">
        <f>IF(ResultsTeams[[#This Row],[Type]]="G",ResultsTeams[[#This Row],[Stage]],AD908)</f>
        <v>0</v>
      </c>
      <c r="AE909" s="395" t="e">
        <f>IF(ResultsTeams[[#This Row],[Type]]="G",INDEX(TeamsList[Club Name],MATCH(ResultsTeams[[#This Row],[Team A]],TeamsList[Team Name],0)),AE908)</f>
        <v>#N/A</v>
      </c>
      <c r="AF909" s="395" t="e">
        <f>IF(ResultsTeams[[#This Row],[Type]]="G",INDEX(TeamsList[Club Name],MATCH(ResultsTeams[[#This Row],[Team B]],TeamsList[Team Name],0)),AF908)</f>
        <v>#N/A</v>
      </c>
      <c r="AG909" s="265"/>
    </row>
    <row r="910" spans="1:33" x14ac:dyDescent="0.2">
      <c r="A910" s="62"/>
      <c r="B910" s="280"/>
      <c r="C910" s="62"/>
      <c r="D910" s="62"/>
      <c r="E910" s="241" t="s">
        <v>12234</v>
      </c>
      <c r="F910" s="246"/>
      <c r="G910" s="246"/>
      <c r="H910" s="254"/>
      <c r="I910" s="254"/>
      <c r="J910" s="254"/>
      <c r="K910" s="363"/>
      <c r="L910" s="363"/>
      <c r="M910" s="247"/>
      <c r="N910" s="265" t="b">
        <f>NOT(ISERROR(ResultsTeams[[#This Row],[Goal-A]]+ResultsTeams[[#This Row],[Goal-B]]))</f>
        <v>1</v>
      </c>
      <c r="O910" s="265">
        <f>IF(ResultsTeams[[#This Row],[Type]]="G",SUM(O911:O914),IF(LEFT(ResultsTeams[[#This Row],[Type]],1)="P",IF(ResultsTeams[[#This Row],[Goal-A]]&gt;ResultsTeams[[#This Row],[Goal-B]],1,0),""))</f>
        <v>0</v>
      </c>
      <c r="P910" s="265">
        <f>IF(ResultsTeams[[#This Row],[Type]]="G",SUM(P911:P914),IF(LEFT(ResultsTeams[[#This Row],[Type]],1)="P",IF(ResultsTeams[[#This Row],[Goal-A]]&lt;ResultsTeams[[#This Row],[Goal-B]],1,0),""))</f>
        <v>0</v>
      </c>
      <c r="Q910" s="265">
        <f>IF(ResultsTeams[[#This Row],[Type]]="G",SUM(Q911:Q914),IF(LEFT(ResultsTeams[[#This Row],[Type]],1)="P",VALUE(ResultsTeams[[#This Row],[Score-A]]),""))</f>
        <v>0</v>
      </c>
      <c r="R910" s="265">
        <f>IF(ResultsTeams[[#This Row],[Type]]="G",SUM(R911:R914),IF(LEFT(ResultsTeams[[#This Row],[Type]],1)="P",VALUE(ResultsTeams[[#This Row],[Score-B]]),""))</f>
        <v>0</v>
      </c>
      <c r="S910" s="265" t="str">
        <f ca="1">IF(AND(ResultsTeams[[#This Row],[Category]]&lt;&gt;"",ResultsTeams[[#This Row],[Team A]]&lt;&gt;""),COUNTIF(INDIRECT("TeamsList[Club Name]"),ResultsTeams[[#This Row],[Team A]]),"")</f>
        <v/>
      </c>
      <c r="T910" s="265" t="str">
        <f ca="1">IF(AND(ResultsTeams[[#This Row],[Category]]&lt;&gt;"",ResultsTeams[[#This Row],[Team B]]&lt;&gt;""),COUNTIF(INDIRECT("TeamsList[Club Name]"),ResultsTeams[[#This Row],[Team B]]),"")</f>
        <v/>
      </c>
      <c r="U9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0" s="265" t="str">
        <f>IF(ResultsTeams[[#This Row],[Score_OK]],IF(ResultsTeams[[#This Row],[StageCpy]]="Groups",ResultsTeams[[#This Row],[Category]]&amp;"-"&amp;IF(ResultsTeams[[#This Row],[Team B]]="","",IF(ResultsTeams[[#This Row],[Match-A]]=ResultsTeams[[#This Row],[Match-B]],ResultsTeams[[#This Row],[Team A]],"")),""),"")</f>
        <v/>
      </c>
      <c r="W910" s="265" t="str">
        <f>IF(ResultsTeams[[#This Row],[Score_OK]],IF(ResultsTeams[[#This Row],[StageCpy]]="Groups",ResultsTeams[[#This Row],[Category]]&amp;"-"&amp;IF(ResultsTeams[[#This Row],[Team B]]="","",IF(ResultsTeams[[#This Row],[Match-A]]=ResultsTeams[[#This Row],[Match-B]],ResultsTeams[[#This Row],[Team B]],"")),""),"")</f>
        <v/>
      </c>
      <c r="X9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0" s="264" t="str">
        <f>IF(ResultsTeams[[#This Row],[Category]]="","",VLOOKUP(ResultsTeams[[#This Row],[Stage]],$R$1:$T$8,MATCH(ResultsTeams[[#This Row],[Category]],$S$1:$T$1,0)+1,FALSE))</f>
        <v/>
      </c>
      <c r="AC9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0" s="264">
        <f>IF(ResultsTeams[[#This Row],[Type]]="G",ResultsTeams[[#This Row],[Stage]],AD909)</f>
        <v>0</v>
      </c>
      <c r="AE910" s="395" t="e">
        <f>IF(ResultsTeams[[#This Row],[Type]]="G",INDEX(TeamsList[Club Name],MATCH(ResultsTeams[[#This Row],[Team A]],TeamsList[Team Name],0)),AE909)</f>
        <v>#N/A</v>
      </c>
      <c r="AF910" s="395" t="e">
        <f>IF(ResultsTeams[[#This Row],[Type]]="G",INDEX(TeamsList[Club Name],MATCH(ResultsTeams[[#This Row],[Team B]],TeamsList[Team Name],0)),AF909)</f>
        <v>#N/A</v>
      </c>
      <c r="AG910" s="265"/>
    </row>
    <row r="911" spans="1:33" x14ac:dyDescent="0.2">
      <c r="A911" s="62"/>
      <c r="B911" s="280"/>
      <c r="C911" s="62"/>
      <c r="D911" s="62"/>
      <c r="E911" s="241" t="s">
        <v>12237</v>
      </c>
      <c r="F911" s="246"/>
      <c r="G911" s="246"/>
      <c r="H911" s="254"/>
      <c r="I911" s="254"/>
      <c r="J911" s="254"/>
      <c r="K911" s="363"/>
      <c r="L911" s="363"/>
      <c r="M911" s="247"/>
      <c r="N911" s="265" t="b">
        <f>NOT(ISERROR(ResultsTeams[[#This Row],[Goal-A]]+ResultsTeams[[#This Row],[Goal-B]]))</f>
        <v>1</v>
      </c>
      <c r="O911" s="265">
        <f>IF(ResultsTeams[[#This Row],[Type]]="G",SUM(O912:O915),IF(LEFT(ResultsTeams[[#This Row],[Type]],1)="P",IF(ResultsTeams[[#This Row],[Goal-A]]&gt;ResultsTeams[[#This Row],[Goal-B]],1,0),""))</f>
        <v>0</v>
      </c>
      <c r="P911" s="265">
        <f>IF(ResultsTeams[[#This Row],[Type]]="G",SUM(P912:P915),IF(LEFT(ResultsTeams[[#This Row],[Type]],1)="P",IF(ResultsTeams[[#This Row],[Goal-A]]&lt;ResultsTeams[[#This Row],[Goal-B]],1,0),""))</f>
        <v>0</v>
      </c>
      <c r="Q911" s="265">
        <f>IF(ResultsTeams[[#This Row],[Type]]="G",SUM(Q912:Q915),IF(LEFT(ResultsTeams[[#This Row],[Type]],1)="P",VALUE(ResultsTeams[[#This Row],[Score-A]]),""))</f>
        <v>0</v>
      </c>
      <c r="R911" s="265">
        <f>IF(ResultsTeams[[#This Row],[Type]]="G",SUM(R912:R915),IF(LEFT(ResultsTeams[[#This Row],[Type]],1)="P",VALUE(ResultsTeams[[#This Row],[Score-B]]),""))</f>
        <v>0</v>
      </c>
      <c r="S911" s="265" t="str">
        <f ca="1">IF(AND(ResultsTeams[[#This Row],[Category]]&lt;&gt;"",ResultsTeams[[#This Row],[Team A]]&lt;&gt;""),COUNTIF(INDIRECT("TeamsList[Club Name]"),ResultsTeams[[#This Row],[Team A]]),"")</f>
        <v/>
      </c>
      <c r="T911" s="265" t="str">
        <f ca="1">IF(AND(ResultsTeams[[#This Row],[Category]]&lt;&gt;"",ResultsTeams[[#This Row],[Team B]]&lt;&gt;""),COUNTIF(INDIRECT("TeamsList[Club Name]"),ResultsTeams[[#This Row],[Team B]]),"")</f>
        <v/>
      </c>
      <c r="U9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1" s="265" t="str">
        <f>IF(ResultsTeams[[#This Row],[Score_OK]],IF(ResultsTeams[[#This Row],[StageCpy]]="Groups",ResultsTeams[[#This Row],[Category]]&amp;"-"&amp;IF(ResultsTeams[[#This Row],[Team B]]="","",IF(ResultsTeams[[#This Row],[Match-A]]=ResultsTeams[[#This Row],[Match-B]],ResultsTeams[[#This Row],[Team A]],"")),""),"")</f>
        <v/>
      </c>
      <c r="W911" s="265" t="str">
        <f>IF(ResultsTeams[[#This Row],[Score_OK]],IF(ResultsTeams[[#This Row],[StageCpy]]="Groups",ResultsTeams[[#This Row],[Category]]&amp;"-"&amp;IF(ResultsTeams[[#This Row],[Team B]]="","",IF(ResultsTeams[[#This Row],[Match-A]]=ResultsTeams[[#This Row],[Match-B]],ResultsTeams[[#This Row],[Team B]],"")),""),"")</f>
        <v/>
      </c>
      <c r="X9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1" s="264" t="str">
        <f>IF(ResultsTeams[[#This Row],[Category]]="","",VLOOKUP(ResultsTeams[[#This Row],[Stage]],$R$1:$T$8,MATCH(ResultsTeams[[#This Row],[Category]],$S$1:$T$1,0)+1,FALSE))</f>
        <v/>
      </c>
      <c r="AC9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1" s="264">
        <f>IF(ResultsTeams[[#This Row],[Type]]="G",ResultsTeams[[#This Row],[Stage]],AD910)</f>
        <v>0</v>
      </c>
      <c r="AE911" s="395" t="e">
        <f>IF(ResultsTeams[[#This Row],[Type]]="G",INDEX(TeamsList[Club Name],MATCH(ResultsTeams[[#This Row],[Team A]],TeamsList[Team Name],0)),AE910)</f>
        <v>#N/A</v>
      </c>
      <c r="AF911" s="395" t="e">
        <f>IF(ResultsTeams[[#This Row],[Type]]="G",INDEX(TeamsList[Club Name],MATCH(ResultsTeams[[#This Row],[Team B]],TeamsList[Team Name],0)),AF910)</f>
        <v>#N/A</v>
      </c>
      <c r="AG911" s="265"/>
    </row>
    <row r="912" spans="1:33" x14ac:dyDescent="0.2">
      <c r="A912" s="62"/>
      <c r="B912" s="280"/>
      <c r="C912" s="62"/>
      <c r="D912" s="62"/>
      <c r="E912" s="241" t="s">
        <v>12240</v>
      </c>
      <c r="F912" s="246"/>
      <c r="G912" s="246"/>
      <c r="H912" s="254"/>
      <c r="I912" s="254"/>
      <c r="J912" s="254"/>
      <c r="K912" s="363"/>
      <c r="L912" s="363"/>
      <c r="M912" s="247"/>
      <c r="N912" s="265" t="b">
        <f>NOT(ISERROR(ResultsTeams[[#This Row],[Goal-A]]+ResultsTeams[[#This Row],[Goal-B]]))</f>
        <v>1</v>
      </c>
      <c r="O912" s="265">
        <f>IF(ResultsTeams[[#This Row],[Type]]="G",SUM(O913:O916),IF(LEFT(ResultsTeams[[#This Row],[Type]],1)="P",IF(ResultsTeams[[#This Row],[Goal-A]]&gt;ResultsTeams[[#This Row],[Goal-B]],1,0),""))</f>
        <v>0</v>
      </c>
      <c r="P912" s="265">
        <f>IF(ResultsTeams[[#This Row],[Type]]="G",SUM(P913:P916),IF(LEFT(ResultsTeams[[#This Row],[Type]],1)="P",IF(ResultsTeams[[#This Row],[Goal-A]]&lt;ResultsTeams[[#This Row],[Goal-B]],1,0),""))</f>
        <v>0</v>
      </c>
      <c r="Q912" s="265">
        <f>IF(ResultsTeams[[#This Row],[Type]]="G",SUM(Q913:Q916),IF(LEFT(ResultsTeams[[#This Row],[Type]],1)="P",VALUE(ResultsTeams[[#This Row],[Score-A]]),""))</f>
        <v>0</v>
      </c>
      <c r="R912" s="265">
        <f>IF(ResultsTeams[[#This Row],[Type]]="G",SUM(R913:R916),IF(LEFT(ResultsTeams[[#This Row],[Type]],1)="P",VALUE(ResultsTeams[[#This Row],[Score-B]]),""))</f>
        <v>0</v>
      </c>
      <c r="S912" s="265" t="str">
        <f ca="1">IF(AND(ResultsTeams[[#This Row],[Category]]&lt;&gt;"",ResultsTeams[[#This Row],[Team A]]&lt;&gt;""),COUNTIF(INDIRECT("TeamsList[Club Name]"),ResultsTeams[[#This Row],[Team A]]),"")</f>
        <v/>
      </c>
      <c r="T912" s="265" t="str">
        <f ca="1">IF(AND(ResultsTeams[[#This Row],[Category]]&lt;&gt;"",ResultsTeams[[#This Row],[Team B]]&lt;&gt;""),COUNTIF(INDIRECT("TeamsList[Club Name]"),ResultsTeams[[#This Row],[Team B]]),"")</f>
        <v/>
      </c>
      <c r="U9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2" s="265" t="str">
        <f>IF(ResultsTeams[[#This Row],[Score_OK]],IF(ResultsTeams[[#This Row],[StageCpy]]="Groups",ResultsTeams[[#This Row],[Category]]&amp;"-"&amp;IF(ResultsTeams[[#This Row],[Team B]]="","",IF(ResultsTeams[[#This Row],[Match-A]]=ResultsTeams[[#This Row],[Match-B]],ResultsTeams[[#This Row],[Team A]],"")),""),"")</f>
        <v/>
      </c>
      <c r="W912" s="265" t="str">
        <f>IF(ResultsTeams[[#This Row],[Score_OK]],IF(ResultsTeams[[#This Row],[StageCpy]]="Groups",ResultsTeams[[#This Row],[Category]]&amp;"-"&amp;IF(ResultsTeams[[#This Row],[Team B]]="","",IF(ResultsTeams[[#This Row],[Match-A]]=ResultsTeams[[#This Row],[Match-B]],ResultsTeams[[#This Row],[Team B]],"")),""),"")</f>
        <v/>
      </c>
      <c r="X9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2" s="264" t="str">
        <f>IF(ResultsTeams[[#This Row],[Category]]="","",VLOOKUP(ResultsTeams[[#This Row],[Stage]],$R$1:$T$8,MATCH(ResultsTeams[[#This Row],[Category]],$S$1:$T$1,0)+1,FALSE))</f>
        <v/>
      </c>
      <c r="AC9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2" s="264">
        <f>IF(ResultsTeams[[#This Row],[Type]]="G",ResultsTeams[[#This Row],[Stage]],AD911)</f>
        <v>0</v>
      </c>
      <c r="AE912" s="395" t="e">
        <f>IF(ResultsTeams[[#This Row],[Type]]="G",INDEX(TeamsList[Club Name],MATCH(ResultsTeams[[#This Row],[Team A]],TeamsList[Team Name],0)),AE911)</f>
        <v>#N/A</v>
      </c>
      <c r="AF912" s="395" t="e">
        <f>IF(ResultsTeams[[#This Row],[Type]]="G",INDEX(TeamsList[Club Name],MATCH(ResultsTeams[[#This Row],[Team B]],TeamsList[Team Name],0)),AF911)</f>
        <v>#N/A</v>
      </c>
      <c r="AG912" s="265"/>
    </row>
    <row r="913" spans="1:33" x14ac:dyDescent="0.2">
      <c r="A913" s="62"/>
      <c r="B913" s="62"/>
      <c r="C913" s="62"/>
      <c r="D913" s="62"/>
      <c r="E913" s="241" t="s">
        <v>12243</v>
      </c>
      <c r="F913" s="247"/>
      <c r="G913" s="247"/>
      <c r="H913" s="254"/>
      <c r="I913" s="254"/>
      <c r="J913" s="260"/>
      <c r="K913" s="364"/>
      <c r="L913" s="364"/>
      <c r="M913" s="63"/>
      <c r="N913" s="265" t="b">
        <f>NOT(ISERROR(ResultsTeams[[#This Row],[Goal-A]]+ResultsTeams[[#This Row],[Goal-B]]))</f>
        <v>0</v>
      </c>
      <c r="O913" s="265" t="str">
        <f>IF(ResultsTeams[[#This Row],[Type]]="G",SUM(O914:O917),IF(LEFT(ResultsTeams[[#This Row],[Type]],1)="P",IF(ResultsTeams[[#This Row],[Goal-A]]&gt;ResultsTeams[[#This Row],[Goal-B]],1,0),""))</f>
        <v/>
      </c>
      <c r="P913" s="265" t="str">
        <f>IF(ResultsTeams[[#This Row],[Type]]="G",SUM(P914:P917),IF(LEFT(ResultsTeams[[#This Row],[Type]],1)="P",IF(ResultsTeams[[#This Row],[Goal-A]]&lt;ResultsTeams[[#This Row],[Goal-B]],1,0),""))</f>
        <v/>
      </c>
      <c r="Q913" s="265" t="str">
        <f>IF(ResultsTeams[[#This Row],[Type]]="G",SUM(Q914:Q917),IF(LEFT(ResultsTeams[[#This Row],[Type]],1)="P",VALUE(ResultsTeams[[#This Row],[Score-A]]),""))</f>
        <v/>
      </c>
      <c r="R913" s="265" t="str">
        <f>IF(ResultsTeams[[#This Row],[Type]]="G",SUM(R914:R917),IF(LEFT(ResultsTeams[[#This Row],[Type]],1)="P",VALUE(ResultsTeams[[#This Row],[Score-B]]),""))</f>
        <v/>
      </c>
      <c r="S913" s="265" t="str">
        <f ca="1">IF(AND(ResultsTeams[[#This Row],[Category]]&lt;&gt;"",ResultsTeams[[#This Row],[Team A]]&lt;&gt;""),COUNTIF(INDIRECT("TeamsList[Club Name]"),ResultsTeams[[#This Row],[Team A]]),"")</f>
        <v/>
      </c>
      <c r="T913" s="265" t="str">
        <f ca="1">IF(AND(ResultsTeams[[#This Row],[Category]]&lt;&gt;"",ResultsTeams[[#This Row],[Team B]]&lt;&gt;""),COUNTIF(INDIRECT("TeamsList[Club Name]"),ResultsTeams[[#This Row],[Team B]]),"")</f>
        <v/>
      </c>
      <c r="U9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3" s="265" t="str">
        <f>IF(ResultsTeams[[#This Row],[Score_OK]],IF(ResultsTeams[[#This Row],[StageCpy]]="Groups",ResultsTeams[[#This Row],[Category]]&amp;"-"&amp;IF(ResultsTeams[[#This Row],[Team B]]="","",IF(ResultsTeams[[#This Row],[Match-A]]=ResultsTeams[[#This Row],[Match-B]],ResultsTeams[[#This Row],[Team A]],"")),""),"")</f>
        <v/>
      </c>
      <c r="W913" s="265" t="str">
        <f>IF(ResultsTeams[[#This Row],[Score_OK]],IF(ResultsTeams[[#This Row],[StageCpy]]="Groups",ResultsTeams[[#This Row],[Category]]&amp;"-"&amp;IF(ResultsTeams[[#This Row],[Team B]]="","",IF(ResultsTeams[[#This Row],[Match-A]]=ResultsTeams[[#This Row],[Match-B]],ResultsTeams[[#This Row],[Team B]],"")),""),"")</f>
        <v/>
      </c>
      <c r="X9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3" s="264" t="str">
        <f>IF(ResultsTeams[[#This Row],[Category]]="","",VLOOKUP(ResultsTeams[[#This Row],[Stage]],$R$1:$T$8,MATCH(ResultsTeams[[#This Row],[Category]],$S$1:$T$1,0)+1,FALSE))</f>
        <v/>
      </c>
      <c r="AC9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3" s="264">
        <f>IF(ResultsTeams[[#This Row],[Type]]="G",ResultsTeams[[#This Row],[Stage]],AD912)</f>
        <v>0</v>
      </c>
      <c r="AE913" s="395" t="e">
        <f>IF(ResultsTeams[[#This Row],[Type]]="G",INDEX(TeamsList[Club Name],MATCH(ResultsTeams[[#This Row],[Team A]],TeamsList[Team Name],0)),AE912)</f>
        <v>#N/A</v>
      </c>
      <c r="AF913" s="395" t="e">
        <f>IF(ResultsTeams[[#This Row],[Type]]="G",INDEX(TeamsList[Club Name],MATCH(ResultsTeams[[#This Row],[Team B]],TeamsList[Team Name],0)),AF912)</f>
        <v>#N/A</v>
      </c>
      <c r="AG913" s="265"/>
    </row>
    <row r="914" spans="1:33" ht="12" thickBot="1" x14ac:dyDescent="0.25">
      <c r="A914" s="83"/>
      <c r="B914" s="83"/>
      <c r="C914" s="83"/>
      <c r="D914" s="83"/>
      <c r="E914" s="268" t="s">
        <v>12244</v>
      </c>
      <c r="F914" s="262"/>
      <c r="G914" s="262"/>
      <c r="H914" s="324"/>
      <c r="I914" s="324"/>
      <c r="J914" s="263"/>
      <c r="K914" s="365"/>
      <c r="L914" s="365"/>
      <c r="M914" s="84"/>
      <c r="N914" s="265" t="b">
        <f>NOT(ISERROR(ResultsTeams[[#This Row],[Goal-A]]+ResultsTeams[[#This Row],[Goal-B]]))</f>
        <v>0</v>
      </c>
      <c r="O914" s="265" t="str">
        <f>IF(ResultsTeams[[#This Row],[Type]]="G",SUM(O915:O918),IF(LEFT(ResultsTeams[[#This Row],[Type]],1)="P",IF(ResultsTeams[[#This Row],[Goal-A]]&gt;ResultsTeams[[#This Row],[Goal-B]],1,0),""))</f>
        <v/>
      </c>
      <c r="P914" s="265" t="str">
        <f>IF(ResultsTeams[[#This Row],[Type]]="G",SUM(P915:P918),IF(LEFT(ResultsTeams[[#This Row],[Type]],1)="P",IF(ResultsTeams[[#This Row],[Goal-A]]&lt;ResultsTeams[[#This Row],[Goal-B]],1,0),""))</f>
        <v/>
      </c>
      <c r="Q914" s="265" t="str">
        <f>IF(ResultsTeams[[#This Row],[Type]]="G",SUM(Q915:Q918),IF(LEFT(ResultsTeams[[#This Row],[Type]],1)="P",VALUE(ResultsTeams[[#This Row],[Score-A]]),""))</f>
        <v/>
      </c>
      <c r="R914" s="265" t="str">
        <f>IF(ResultsTeams[[#This Row],[Type]]="G",SUM(R915:R918),IF(LEFT(ResultsTeams[[#This Row],[Type]],1)="P",VALUE(ResultsTeams[[#This Row],[Score-B]]),""))</f>
        <v/>
      </c>
      <c r="S914" s="265" t="str">
        <f ca="1">IF(AND(ResultsTeams[[#This Row],[Category]]&lt;&gt;"",ResultsTeams[[#This Row],[Team A]]&lt;&gt;""),COUNTIF(INDIRECT("TeamsList[Club Name]"),ResultsTeams[[#This Row],[Team A]]),"")</f>
        <v/>
      </c>
      <c r="T914" s="265" t="str">
        <f ca="1">IF(AND(ResultsTeams[[#This Row],[Category]]&lt;&gt;"",ResultsTeams[[#This Row],[Team B]]&lt;&gt;""),COUNTIF(INDIRECT("TeamsList[Club Name]"),ResultsTeams[[#This Row],[Team B]]),"")</f>
        <v/>
      </c>
      <c r="U9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4" s="265" t="str">
        <f>IF(ResultsTeams[[#This Row],[Score_OK]],IF(ResultsTeams[[#This Row],[StageCpy]]="Groups",ResultsTeams[[#This Row],[Category]]&amp;"-"&amp;IF(ResultsTeams[[#This Row],[Team B]]="","",IF(ResultsTeams[[#This Row],[Match-A]]=ResultsTeams[[#This Row],[Match-B]],ResultsTeams[[#This Row],[Team A]],"")),""),"")</f>
        <v/>
      </c>
      <c r="W914" s="265" t="str">
        <f>IF(ResultsTeams[[#This Row],[Score_OK]],IF(ResultsTeams[[#This Row],[StageCpy]]="Groups",ResultsTeams[[#This Row],[Category]]&amp;"-"&amp;IF(ResultsTeams[[#This Row],[Team B]]="","",IF(ResultsTeams[[#This Row],[Match-A]]=ResultsTeams[[#This Row],[Match-B]],ResultsTeams[[#This Row],[Team B]],"")),""),"")</f>
        <v/>
      </c>
      <c r="X9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4" s="264" t="str">
        <f>IF(ResultsTeams[[#This Row],[Category]]="","",VLOOKUP(ResultsTeams[[#This Row],[Stage]],$R$1:$T$8,MATCH(ResultsTeams[[#This Row],[Category]],$S$1:$T$1,0)+1,FALSE))</f>
        <v/>
      </c>
      <c r="AC9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4" s="264">
        <f>IF(ResultsTeams[[#This Row],[Type]]="G",ResultsTeams[[#This Row],[Stage]],AD913)</f>
        <v>0</v>
      </c>
      <c r="AE914" s="395" t="e">
        <f>IF(ResultsTeams[[#This Row],[Type]]="G",INDEX(TeamsList[Club Name],MATCH(ResultsTeams[[#This Row],[Team A]],TeamsList[Team Name],0)),AE913)</f>
        <v>#N/A</v>
      </c>
      <c r="AF914" s="395" t="e">
        <f>IF(ResultsTeams[[#This Row],[Type]]="G",INDEX(TeamsList[Club Name],MATCH(ResultsTeams[[#This Row],[Team B]],TeamsList[Team Name],0)),AF913)</f>
        <v>#N/A</v>
      </c>
      <c r="AG914" s="265"/>
    </row>
    <row r="915" spans="1:33" ht="12" thickBot="1" x14ac:dyDescent="0.25">
      <c r="A915" s="261"/>
      <c r="B915" s="270"/>
      <c r="C915" s="270"/>
      <c r="D915" s="270"/>
      <c r="E915" s="272" t="s">
        <v>12228</v>
      </c>
      <c r="F915" s="273"/>
      <c r="G915" s="273"/>
      <c r="H915" s="275"/>
      <c r="I915" s="275"/>
      <c r="J915" s="275"/>
      <c r="K915" s="366"/>
      <c r="L915" s="366"/>
      <c r="M915" s="271"/>
      <c r="N915" s="265" t="b">
        <f>NOT(ISERROR(ResultsTeams[[#This Row],[Goal-A]]+ResultsTeams[[#This Row],[Goal-B]]))</f>
        <v>1</v>
      </c>
      <c r="O915" s="265">
        <f>IF(ResultsTeams[[#This Row],[Type]]="G",SUM(O916:O919),IF(LEFT(ResultsTeams[[#This Row],[Type]],1)="P",IF(ResultsTeams[[#This Row],[Goal-A]]&gt;ResultsTeams[[#This Row],[Goal-B]],1,0),""))</f>
        <v>0</v>
      </c>
      <c r="P915" s="265">
        <f>IF(ResultsTeams[[#This Row],[Type]]="G",SUM(P916:P919),IF(LEFT(ResultsTeams[[#This Row],[Type]],1)="P",IF(ResultsTeams[[#This Row],[Goal-A]]&lt;ResultsTeams[[#This Row],[Goal-B]],1,0),""))</f>
        <v>0</v>
      </c>
      <c r="Q915" s="265">
        <f>IF(ResultsTeams[[#This Row],[Type]]="G",SUM(Q916:Q919),IF(LEFT(ResultsTeams[[#This Row],[Type]],1)="P",VALUE(ResultsTeams[[#This Row],[Score-A]]),""))</f>
        <v>0</v>
      </c>
      <c r="R915" s="265">
        <f>IF(ResultsTeams[[#This Row],[Type]]="G",SUM(R916:R919),IF(LEFT(ResultsTeams[[#This Row],[Type]],1)="P",VALUE(ResultsTeams[[#This Row],[Score-B]]),""))</f>
        <v>0</v>
      </c>
      <c r="S915" s="265" t="str">
        <f ca="1">IF(AND(ResultsTeams[[#This Row],[Category]]&lt;&gt;"",ResultsTeams[[#This Row],[Team A]]&lt;&gt;""),COUNTIF(INDIRECT("TeamsList[Club Name]"),ResultsTeams[[#This Row],[Team A]]),"")</f>
        <v/>
      </c>
      <c r="T915" s="265" t="str">
        <f ca="1">IF(AND(ResultsTeams[[#This Row],[Category]]&lt;&gt;"",ResultsTeams[[#This Row],[Team B]]&lt;&gt;""),COUNTIF(INDIRECT("TeamsList[Club Name]"),ResultsTeams[[#This Row],[Team B]]),"")</f>
        <v/>
      </c>
      <c r="U9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5" s="265" t="str">
        <f>IF(ResultsTeams[[#This Row],[Score_OK]],IF(ResultsTeams[[#This Row],[StageCpy]]="Groups",ResultsTeams[[#This Row],[Category]]&amp;"-"&amp;IF(ResultsTeams[[#This Row],[Team B]]="","",IF(ResultsTeams[[#This Row],[Match-A]]=ResultsTeams[[#This Row],[Match-B]],ResultsTeams[[#This Row],[Team A]],"")),""),"")</f>
        <v/>
      </c>
      <c r="W915" s="265" t="str">
        <f>IF(ResultsTeams[[#This Row],[Score_OK]],IF(ResultsTeams[[#This Row],[StageCpy]]="Groups",ResultsTeams[[#This Row],[Category]]&amp;"-"&amp;IF(ResultsTeams[[#This Row],[Team B]]="","",IF(ResultsTeams[[#This Row],[Match-A]]=ResultsTeams[[#This Row],[Match-B]],ResultsTeams[[#This Row],[Team B]],"")),""),"")</f>
        <v/>
      </c>
      <c r="X9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-FALSE</v>
      </c>
      <c r="Z9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5" s="264" t="str">
        <f>IF(ResultsTeams[[#This Row],[Category]]="","",VLOOKUP(ResultsTeams[[#This Row],[Stage]],$R$1:$T$8,MATCH(ResultsTeams[[#This Row],[Category]],$S$1:$T$1,0)+1,FALSE))</f>
        <v/>
      </c>
      <c r="AC9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5" s="264">
        <f>IF(ResultsTeams[[#This Row],[Type]]="G",ResultsTeams[[#This Row],[Stage]],AD914)</f>
        <v>0</v>
      </c>
      <c r="AE915" s="395" t="e">
        <f>IF(ResultsTeams[[#This Row],[Type]]="G",INDEX(TeamsList[Club Name],MATCH(ResultsTeams[[#This Row],[Team A]],TeamsList[Team Name],0)),AE914)</f>
        <v>#N/A</v>
      </c>
      <c r="AF915" s="395" t="e">
        <f>IF(ResultsTeams[[#This Row],[Type]]="G",INDEX(TeamsList[Club Name],MATCH(ResultsTeams[[#This Row],[Team B]],TeamsList[Team Name],0)),AF914)</f>
        <v>#N/A</v>
      </c>
      <c r="AG915" s="265"/>
    </row>
    <row r="916" spans="1:33" x14ac:dyDescent="0.2">
      <c r="A916" s="60"/>
      <c r="B916" s="280"/>
      <c r="C916" s="60"/>
      <c r="D916" s="60"/>
      <c r="E916" s="240" t="s">
        <v>12231</v>
      </c>
      <c r="F916" s="244"/>
      <c r="G916" s="244"/>
      <c r="H916" s="253"/>
      <c r="I916" s="253"/>
      <c r="J916" s="253"/>
      <c r="K916" s="362"/>
      <c r="L916" s="362"/>
      <c r="M916" s="61"/>
      <c r="N916" s="265" t="b">
        <f>NOT(ISERROR(ResultsTeams[[#This Row],[Goal-A]]+ResultsTeams[[#This Row],[Goal-B]]))</f>
        <v>1</v>
      </c>
      <c r="O916" s="265">
        <f>IF(ResultsTeams[[#This Row],[Type]]="G",SUM(O917:O920),IF(LEFT(ResultsTeams[[#This Row],[Type]],1)="P",IF(ResultsTeams[[#This Row],[Goal-A]]&gt;ResultsTeams[[#This Row],[Goal-B]],1,0),""))</f>
        <v>0</v>
      </c>
      <c r="P916" s="265">
        <f>IF(ResultsTeams[[#This Row],[Type]]="G",SUM(P917:P920),IF(LEFT(ResultsTeams[[#This Row],[Type]],1)="P",IF(ResultsTeams[[#This Row],[Goal-A]]&lt;ResultsTeams[[#This Row],[Goal-B]],1,0),""))</f>
        <v>0</v>
      </c>
      <c r="Q916" s="265">
        <f>IF(ResultsTeams[[#This Row],[Type]]="G",SUM(Q917:Q920),IF(LEFT(ResultsTeams[[#This Row],[Type]],1)="P",VALUE(ResultsTeams[[#This Row],[Score-A]]),""))</f>
        <v>0</v>
      </c>
      <c r="R916" s="265">
        <f>IF(ResultsTeams[[#This Row],[Type]]="G",SUM(R917:R920),IF(LEFT(ResultsTeams[[#This Row],[Type]],1)="P",VALUE(ResultsTeams[[#This Row],[Score-B]]),""))</f>
        <v>0</v>
      </c>
      <c r="S916" s="265" t="str">
        <f ca="1">IF(AND(ResultsTeams[[#This Row],[Category]]&lt;&gt;"",ResultsTeams[[#This Row],[Team A]]&lt;&gt;""),COUNTIF(INDIRECT("TeamsList[Club Name]"),ResultsTeams[[#This Row],[Team A]]),"")</f>
        <v/>
      </c>
      <c r="T916" s="265" t="str">
        <f ca="1">IF(AND(ResultsTeams[[#This Row],[Category]]&lt;&gt;"",ResultsTeams[[#This Row],[Team B]]&lt;&gt;""),COUNTIF(INDIRECT("TeamsList[Club Name]"),ResultsTeams[[#This Row],[Team B]]),"")</f>
        <v/>
      </c>
      <c r="U9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6" s="265" t="str">
        <f>IF(ResultsTeams[[#This Row],[Score_OK]],IF(ResultsTeams[[#This Row],[StageCpy]]="Groups",ResultsTeams[[#This Row],[Category]]&amp;"-"&amp;IF(ResultsTeams[[#This Row],[Team B]]="","",IF(ResultsTeams[[#This Row],[Match-A]]=ResultsTeams[[#This Row],[Match-B]],ResultsTeams[[#This Row],[Team A]],"")),""),"")</f>
        <v/>
      </c>
      <c r="W916" s="265" t="str">
        <f>IF(ResultsTeams[[#This Row],[Score_OK]],IF(ResultsTeams[[#This Row],[StageCpy]]="Groups",ResultsTeams[[#This Row],[Category]]&amp;"-"&amp;IF(ResultsTeams[[#This Row],[Team B]]="","",IF(ResultsTeams[[#This Row],[Match-A]]=ResultsTeams[[#This Row],[Match-B]],ResultsTeams[[#This Row],[Team B]],"")),""),"")</f>
        <v/>
      </c>
      <c r="X9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6" s="264" t="str">
        <f>IF(ResultsTeams[[#This Row],[Category]]="","",VLOOKUP(ResultsTeams[[#This Row],[Stage]],$R$1:$T$8,MATCH(ResultsTeams[[#This Row],[Category]],$S$1:$T$1,0)+1,FALSE))</f>
        <v/>
      </c>
      <c r="AC9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6" s="264">
        <f>IF(ResultsTeams[[#This Row],[Type]]="G",ResultsTeams[[#This Row],[Stage]],AD915)</f>
        <v>0</v>
      </c>
      <c r="AE916" s="395" t="e">
        <f>IF(ResultsTeams[[#This Row],[Type]]="G",INDEX(TeamsList[Club Name],MATCH(ResultsTeams[[#This Row],[Team A]],TeamsList[Team Name],0)),AE915)</f>
        <v>#N/A</v>
      </c>
      <c r="AF916" s="395" t="e">
        <f>IF(ResultsTeams[[#This Row],[Type]]="G",INDEX(TeamsList[Club Name],MATCH(ResultsTeams[[#This Row],[Team B]],TeamsList[Team Name],0)),AF915)</f>
        <v>#N/A</v>
      </c>
      <c r="AG916" s="265"/>
    </row>
    <row r="917" spans="1:33" x14ac:dyDescent="0.2">
      <c r="A917" s="62"/>
      <c r="B917" s="280"/>
      <c r="C917" s="62"/>
      <c r="D917" s="62"/>
      <c r="E917" s="241" t="s">
        <v>12234</v>
      </c>
      <c r="F917" s="246"/>
      <c r="G917" s="246"/>
      <c r="H917" s="254"/>
      <c r="I917" s="254"/>
      <c r="J917" s="254"/>
      <c r="K917" s="363"/>
      <c r="L917" s="363"/>
      <c r="M917" s="63"/>
      <c r="N917" s="265" t="b">
        <f>NOT(ISERROR(ResultsTeams[[#This Row],[Goal-A]]+ResultsTeams[[#This Row],[Goal-B]]))</f>
        <v>1</v>
      </c>
      <c r="O917" s="265">
        <f>IF(ResultsTeams[[#This Row],[Type]]="G",SUM(O918:O921),IF(LEFT(ResultsTeams[[#This Row],[Type]],1)="P",IF(ResultsTeams[[#This Row],[Goal-A]]&gt;ResultsTeams[[#This Row],[Goal-B]],1,0),""))</f>
        <v>0</v>
      </c>
      <c r="P917" s="265">
        <f>IF(ResultsTeams[[#This Row],[Type]]="G",SUM(P918:P921),IF(LEFT(ResultsTeams[[#This Row],[Type]],1)="P",IF(ResultsTeams[[#This Row],[Goal-A]]&lt;ResultsTeams[[#This Row],[Goal-B]],1,0),""))</f>
        <v>0</v>
      </c>
      <c r="Q917" s="265">
        <f>IF(ResultsTeams[[#This Row],[Type]]="G",SUM(Q918:Q921),IF(LEFT(ResultsTeams[[#This Row],[Type]],1)="P",VALUE(ResultsTeams[[#This Row],[Score-A]]),""))</f>
        <v>0</v>
      </c>
      <c r="R917" s="265">
        <f>IF(ResultsTeams[[#This Row],[Type]]="G",SUM(R918:R921),IF(LEFT(ResultsTeams[[#This Row],[Type]],1)="P",VALUE(ResultsTeams[[#This Row],[Score-B]]),""))</f>
        <v>0</v>
      </c>
      <c r="S917" s="265" t="str">
        <f ca="1">IF(AND(ResultsTeams[[#This Row],[Category]]&lt;&gt;"",ResultsTeams[[#This Row],[Team A]]&lt;&gt;""),COUNTIF(INDIRECT("TeamsList[Club Name]"),ResultsTeams[[#This Row],[Team A]]),"")</f>
        <v/>
      </c>
      <c r="T917" s="265" t="str">
        <f ca="1">IF(AND(ResultsTeams[[#This Row],[Category]]&lt;&gt;"",ResultsTeams[[#This Row],[Team B]]&lt;&gt;""),COUNTIF(INDIRECT("TeamsList[Club Name]"),ResultsTeams[[#This Row],[Team B]]),"")</f>
        <v/>
      </c>
      <c r="U9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7" s="265" t="str">
        <f>IF(ResultsTeams[[#This Row],[Score_OK]],IF(ResultsTeams[[#This Row],[StageCpy]]="Groups",ResultsTeams[[#This Row],[Category]]&amp;"-"&amp;IF(ResultsTeams[[#This Row],[Team B]]="","",IF(ResultsTeams[[#This Row],[Match-A]]=ResultsTeams[[#This Row],[Match-B]],ResultsTeams[[#This Row],[Team A]],"")),""),"")</f>
        <v/>
      </c>
      <c r="W917" s="265" t="str">
        <f>IF(ResultsTeams[[#This Row],[Score_OK]],IF(ResultsTeams[[#This Row],[StageCpy]]="Groups",ResultsTeams[[#This Row],[Category]]&amp;"-"&amp;IF(ResultsTeams[[#This Row],[Team B]]="","",IF(ResultsTeams[[#This Row],[Match-A]]=ResultsTeams[[#This Row],[Match-B]],ResultsTeams[[#This Row],[Team B]],"")),""),"")</f>
        <v/>
      </c>
      <c r="X9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7" s="264" t="str">
        <f>IF(ResultsTeams[[#This Row],[Category]]="","",VLOOKUP(ResultsTeams[[#This Row],[Stage]],$R$1:$T$8,MATCH(ResultsTeams[[#This Row],[Category]],$S$1:$T$1,0)+1,FALSE))</f>
        <v/>
      </c>
      <c r="AC9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7" s="264">
        <f>IF(ResultsTeams[[#This Row],[Type]]="G",ResultsTeams[[#This Row],[Stage]],AD916)</f>
        <v>0</v>
      </c>
      <c r="AE917" s="395" t="e">
        <f>IF(ResultsTeams[[#This Row],[Type]]="G",INDEX(TeamsList[Club Name],MATCH(ResultsTeams[[#This Row],[Team A]],TeamsList[Team Name],0)),AE916)</f>
        <v>#N/A</v>
      </c>
      <c r="AF917" s="395" t="e">
        <f>IF(ResultsTeams[[#This Row],[Type]]="G",INDEX(TeamsList[Club Name],MATCH(ResultsTeams[[#This Row],[Team B]],TeamsList[Team Name],0)),AF916)</f>
        <v>#N/A</v>
      </c>
      <c r="AG917" s="265"/>
    </row>
    <row r="918" spans="1:33" x14ac:dyDescent="0.2">
      <c r="A918" s="62"/>
      <c r="B918" s="280"/>
      <c r="C918" s="62"/>
      <c r="D918" s="62"/>
      <c r="E918" s="241" t="s">
        <v>12237</v>
      </c>
      <c r="F918" s="246"/>
      <c r="G918" s="246"/>
      <c r="H918" s="254"/>
      <c r="I918" s="254"/>
      <c r="J918" s="254"/>
      <c r="K918" s="363"/>
      <c r="L918" s="363"/>
      <c r="M918" s="63"/>
      <c r="N918" s="265" t="b">
        <f>NOT(ISERROR(ResultsTeams[[#This Row],[Goal-A]]+ResultsTeams[[#This Row],[Goal-B]]))</f>
        <v>1</v>
      </c>
      <c r="O918" s="265">
        <f>IF(ResultsTeams[[#This Row],[Type]]="G",SUM(O919:O922),IF(LEFT(ResultsTeams[[#This Row],[Type]],1)="P",IF(ResultsTeams[[#This Row],[Goal-A]]&gt;ResultsTeams[[#This Row],[Goal-B]],1,0),""))</f>
        <v>0</v>
      </c>
      <c r="P918" s="265">
        <f>IF(ResultsTeams[[#This Row],[Type]]="G",SUM(P919:P922),IF(LEFT(ResultsTeams[[#This Row],[Type]],1)="P",IF(ResultsTeams[[#This Row],[Goal-A]]&lt;ResultsTeams[[#This Row],[Goal-B]],1,0),""))</f>
        <v>0</v>
      </c>
      <c r="Q918" s="265">
        <f>IF(ResultsTeams[[#This Row],[Type]]="G",SUM(O919:O922),IF(LEFT(ResultsTeams[[#This Row],[Type]],1)="P",VALUE(ResultsTeams[[#This Row],[Score-A]]),""))</f>
        <v>0</v>
      </c>
      <c r="R918" s="265">
        <f>IF(ResultsTeams[[#This Row],[Type]]="G",SUM(P919:P922),IF(LEFT(ResultsTeams[[#This Row],[Type]],1)="P",VALUE(ResultsTeams[[#This Row],[Score-B]]),""))</f>
        <v>0</v>
      </c>
      <c r="S918" s="265" t="str">
        <f ca="1">IF(AND(ResultsTeams[[#This Row],[Category]]&lt;&gt;"",ResultsTeams[[#This Row],[Team A]]&lt;&gt;""),COUNTIF(INDIRECT("TeamsList[Club Name]"),ResultsTeams[[#This Row],[Team A]]),"")</f>
        <v/>
      </c>
      <c r="T918" s="265" t="str">
        <f ca="1">IF(AND(ResultsTeams[[#This Row],[Category]]&lt;&gt;"",ResultsTeams[[#This Row],[Team B]]&lt;&gt;""),COUNTIF(INDIRECT("TeamsList[Club Name]"),ResultsTeams[[#This Row],[Team B]]),"")</f>
        <v/>
      </c>
      <c r="U9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8" s="265" t="str">
        <f>IF(ResultsTeams[[#This Row],[Score_OK]],IF(ResultsTeams[[#This Row],[StageCpy]]="Groups",ResultsTeams[[#This Row],[Category]]&amp;"-"&amp;IF(ResultsTeams[[#This Row],[Team B]]="","",IF(ResultsTeams[[#This Row],[Match-A]]=ResultsTeams[[#This Row],[Match-B]],ResultsTeams[[#This Row],[Team A]],"")),""),"")</f>
        <v/>
      </c>
      <c r="W918" s="265" t="str">
        <f>IF(ResultsTeams[[#This Row],[Score_OK]],IF(ResultsTeams[[#This Row],[StageCpy]]="Groups",ResultsTeams[[#This Row],[Category]]&amp;"-"&amp;IF(ResultsTeams[[#This Row],[Team B]]="","",IF(ResultsTeams[[#This Row],[Match-A]]=ResultsTeams[[#This Row],[Match-B]],ResultsTeams[[#This Row],[Team B]],"")),""),"")</f>
        <v/>
      </c>
      <c r="X9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8" s="264" t="str">
        <f>IF(ResultsTeams[[#This Row],[Category]]="","",VLOOKUP(ResultsTeams[[#This Row],[Stage]],$R$1:$T$8,MATCH(ResultsTeams[[#This Row],[Category]],$S$1:$T$1,0)+1,FALSE))</f>
        <v/>
      </c>
      <c r="AC9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8" s="264">
        <f>IF(ResultsTeams[[#This Row],[Type]]="G",ResultsTeams[[#This Row],[Stage]],AD917)</f>
        <v>0</v>
      </c>
      <c r="AE918" s="395" t="e">
        <f>IF(ResultsTeams[[#This Row],[Type]]="G",INDEX(TeamsList[Club Name],MATCH(ResultsTeams[[#This Row],[Team A]],TeamsList[Team Name],0)),AE917)</f>
        <v>#N/A</v>
      </c>
      <c r="AF918" s="395" t="e">
        <f>IF(ResultsTeams[[#This Row],[Type]]="G",INDEX(TeamsList[Club Name],MATCH(ResultsTeams[[#This Row],[Team B]],TeamsList[Team Name],0)),AF917)</f>
        <v>#N/A</v>
      </c>
      <c r="AG918" s="265"/>
    </row>
    <row r="919" spans="1:33" x14ac:dyDescent="0.2">
      <c r="A919" s="62"/>
      <c r="B919" s="280"/>
      <c r="C919" s="62"/>
      <c r="D919" s="62"/>
      <c r="E919" s="241" t="s">
        <v>12240</v>
      </c>
      <c r="F919" s="246"/>
      <c r="G919" s="246"/>
      <c r="H919" s="254"/>
      <c r="I919" s="254"/>
      <c r="J919" s="254"/>
      <c r="K919" s="363"/>
      <c r="L919" s="363"/>
      <c r="M919" s="63"/>
      <c r="N919" s="265" t="b">
        <f>NOT(ISERROR(ResultsTeams[[#This Row],[Goal-A]]+ResultsTeams[[#This Row],[Goal-B]]))</f>
        <v>1</v>
      </c>
      <c r="O919" s="265">
        <f>IF(ResultsTeams[[#This Row],[Type]]="G",SUM(O920:O923),IF(LEFT(ResultsTeams[[#This Row],[Type]],1)="P",IF(ResultsTeams[[#This Row],[Goal-A]]&gt;ResultsTeams[[#This Row],[Goal-B]],1,0),""))</f>
        <v>0</v>
      </c>
      <c r="P919" s="265">
        <f>IF(ResultsTeams[[#This Row],[Type]]="G",SUM(P920:P923),IF(LEFT(ResultsTeams[[#This Row],[Type]],1)="P",IF(ResultsTeams[[#This Row],[Goal-A]]&lt;ResultsTeams[[#This Row],[Goal-B]],1,0),""))</f>
        <v>0</v>
      </c>
      <c r="Q919" s="265">
        <f>IF(ResultsTeams[[#This Row],[Type]]="G",SUM(O920:O923),IF(LEFT(ResultsTeams[[#This Row],[Type]],1)="P",VALUE(ResultsTeams[[#This Row],[Score-A]]),""))</f>
        <v>0</v>
      </c>
      <c r="R919" s="265">
        <f>IF(ResultsTeams[[#This Row],[Type]]="G",SUM(P920:P923),IF(LEFT(ResultsTeams[[#This Row],[Type]],1)="P",VALUE(ResultsTeams[[#This Row],[Score-B]]),""))</f>
        <v>0</v>
      </c>
      <c r="S919" s="265" t="str">
        <f ca="1">IF(AND(ResultsTeams[[#This Row],[Category]]&lt;&gt;"",ResultsTeams[[#This Row],[Team A]]&lt;&gt;""),COUNTIF(INDIRECT("TeamsList[Club Name]"),ResultsTeams[[#This Row],[Team A]]),"")</f>
        <v/>
      </c>
      <c r="T919" s="265" t="str">
        <f ca="1">IF(AND(ResultsTeams[[#This Row],[Category]]&lt;&gt;"",ResultsTeams[[#This Row],[Team B]]&lt;&gt;""),COUNTIF(INDIRECT("TeamsList[Club Name]"),ResultsTeams[[#This Row],[Team B]]),"")</f>
        <v/>
      </c>
      <c r="U9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9" s="265" t="str">
        <f>IF(ResultsTeams[[#This Row],[Score_OK]],IF(ResultsTeams[[#This Row],[StageCpy]]="Groups",ResultsTeams[[#This Row],[Category]]&amp;"-"&amp;IF(ResultsTeams[[#This Row],[Team B]]="","",IF(ResultsTeams[[#This Row],[Match-A]]=ResultsTeams[[#This Row],[Match-B]],ResultsTeams[[#This Row],[Team A]],"")),""),"")</f>
        <v/>
      </c>
      <c r="W919" s="265" t="str">
        <f>IF(ResultsTeams[[#This Row],[Score_OK]],IF(ResultsTeams[[#This Row],[StageCpy]]="Groups",ResultsTeams[[#This Row],[Category]]&amp;"-"&amp;IF(ResultsTeams[[#This Row],[Team B]]="","",IF(ResultsTeams[[#This Row],[Match-A]]=ResultsTeams[[#This Row],[Match-B]],ResultsTeams[[#This Row],[Team B]],"")),""),"")</f>
        <v/>
      </c>
      <c r="X9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9" s="264" t="str">
        <f>IF(ResultsTeams[[#This Row],[Category]]="","",VLOOKUP(ResultsTeams[[#This Row],[Stage]],$R$1:$T$8,MATCH(ResultsTeams[[#This Row],[Category]],$S$1:$T$1,0)+1,FALSE))</f>
        <v/>
      </c>
      <c r="AC9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9" s="264">
        <f>IF(ResultsTeams[[#This Row],[Type]]="G",ResultsTeams[[#This Row],[Stage]],AD918)</f>
        <v>0</v>
      </c>
      <c r="AE919" s="395" t="e">
        <f>IF(ResultsTeams[[#This Row],[Type]]="G",INDEX(TeamsList[Club Name],MATCH(ResultsTeams[[#This Row],[Team A]],TeamsList[Team Name],0)),AE918)</f>
        <v>#N/A</v>
      </c>
      <c r="AF919" s="395" t="e">
        <f>IF(ResultsTeams[[#This Row],[Type]]="G",INDEX(TeamsList[Club Name],MATCH(ResultsTeams[[#This Row],[Team B]],TeamsList[Team Name],0)),AF918)</f>
        <v>#N/A</v>
      </c>
      <c r="AG919" s="265"/>
    </row>
    <row r="920" spans="1:33" x14ac:dyDescent="0.2">
      <c r="A920" s="62"/>
      <c r="B920" s="62"/>
      <c r="C920" s="62"/>
      <c r="D920" s="62"/>
      <c r="E920" s="241" t="s">
        <v>12243</v>
      </c>
      <c r="F920" s="247"/>
      <c r="G920" s="247"/>
      <c r="H920" s="254"/>
      <c r="I920" s="254"/>
      <c r="J920" s="260"/>
      <c r="K920" s="364"/>
      <c r="L920" s="364"/>
      <c r="M920" s="63"/>
      <c r="N920" s="265" t="b">
        <f>NOT(ISERROR(ResultsTeams[[#This Row],[Goal-A]]+ResultsTeams[[#This Row],[Goal-B]]))</f>
        <v>0</v>
      </c>
      <c r="O920" s="265" t="str">
        <f>IF(ResultsTeams[[#This Row],[Type]]="G",SUM(O921:O924),IF(LEFT(ResultsTeams[[#This Row],[Type]],1)="P",IF(ResultsTeams[[#This Row],[Goal-A]]&gt;ResultsTeams[[#This Row],[Goal-B]],1,0),""))</f>
        <v/>
      </c>
      <c r="P920" s="265" t="str">
        <f>IF(ResultsTeams[[#This Row],[Type]]="G",SUM(P921:P924),IF(LEFT(ResultsTeams[[#This Row],[Type]],1)="P",IF(ResultsTeams[[#This Row],[Goal-A]]&lt;ResultsTeams[[#This Row],[Goal-B]],1,0),""))</f>
        <v/>
      </c>
      <c r="Q920" s="265" t="str">
        <f>IF(ResultsTeams[[#This Row],[Type]]="G",SUM(O921:O924),IF(LEFT(ResultsTeams[[#This Row],[Type]],1)="P",VALUE(ResultsTeams[[#This Row],[Score-A]]),""))</f>
        <v/>
      </c>
      <c r="R920" s="265" t="str">
        <f>IF(ResultsTeams[[#This Row],[Type]]="G",SUM(P921:P924),IF(LEFT(ResultsTeams[[#This Row],[Type]],1)="P",VALUE(ResultsTeams[[#This Row],[Score-B]]),""))</f>
        <v/>
      </c>
      <c r="S920" s="265" t="str">
        <f ca="1">IF(AND(ResultsTeams[[#This Row],[Category]]&lt;&gt;"",ResultsTeams[[#This Row],[Team A]]&lt;&gt;""),COUNTIF(INDIRECT("TeamsList[Club Name]"),ResultsTeams[[#This Row],[Team A]]),"")</f>
        <v/>
      </c>
      <c r="T920" s="265" t="str">
        <f ca="1">IF(AND(ResultsTeams[[#This Row],[Category]]&lt;&gt;"",ResultsTeams[[#This Row],[Team B]]&lt;&gt;""),COUNTIF(INDIRECT("TeamsList[Club Name]"),ResultsTeams[[#This Row],[Team B]]),"")</f>
        <v/>
      </c>
      <c r="U9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20" s="265" t="str">
        <f>IF(ResultsTeams[[#This Row],[Score_OK]],IF(ResultsTeams[[#This Row],[StageCpy]]="Groups",ResultsTeams[[#This Row],[Category]]&amp;"-"&amp;IF(ResultsTeams[[#This Row],[Team B]]="","",IF(ResultsTeams[[#This Row],[Match-A]]=ResultsTeams[[#This Row],[Match-B]],ResultsTeams[[#This Row],[Team A]],"")),""),"")</f>
        <v/>
      </c>
      <c r="W920" s="265" t="str">
        <f>IF(ResultsTeams[[#This Row],[Score_OK]],IF(ResultsTeams[[#This Row],[StageCpy]]="Groups",ResultsTeams[[#This Row],[Category]]&amp;"-"&amp;IF(ResultsTeams[[#This Row],[Team B]]="","",IF(ResultsTeams[[#This Row],[Match-A]]=ResultsTeams[[#This Row],[Match-B]],ResultsTeams[[#This Row],[Team B]],"")),""),"")</f>
        <v/>
      </c>
      <c r="X9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0" s="264" t="str">
        <f>IF(ResultsTeams[[#This Row],[Category]]="","",VLOOKUP(ResultsTeams[[#This Row],[Stage]],$R$1:$T$8,MATCH(ResultsTeams[[#This Row],[Category]],$S$1:$T$1,0)+1,FALSE))</f>
        <v/>
      </c>
      <c r="AC9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0" s="264">
        <f>IF(ResultsTeams[[#This Row],[Type]]="G",ResultsTeams[[#This Row],[Stage]],AD919)</f>
        <v>0</v>
      </c>
      <c r="AE920" s="395" t="e">
        <f>IF(ResultsTeams[[#This Row],[Type]]="G",INDEX(TeamsList[Club Name],MATCH(ResultsTeams[[#This Row],[Team A]],TeamsList[Team Name],0)),AE919)</f>
        <v>#N/A</v>
      </c>
      <c r="AF920" s="395" t="e">
        <f>IF(ResultsTeams[[#This Row],[Type]]="G",INDEX(TeamsList[Club Name],MATCH(ResultsTeams[[#This Row],[Team B]],TeamsList[Team Name],0)),AF919)</f>
        <v>#N/A</v>
      </c>
      <c r="AG920" s="265"/>
    </row>
    <row r="921" spans="1:33" x14ac:dyDescent="0.2">
      <c r="A921" s="62"/>
      <c r="B921" s="62"/>
      <c r="C921" s="62"/>
      <c r="D921" s="62"/>
      <c r="E921" s="241" t="s">
        <v>12244</v>
      </c>
      <c r="F921" s="262"/>
      <c r="G921" s="262"/>
      <c r="H921" s="254"/>
      <c r="I921" s="254"/>
      <c r="J921" s="260"/>
      <c r="K921" s="364"/>
      <c r="L921" s="364"/>
      <c r="M921" s="63"/>
      <c r="N921" s="265" t="b">
        <f>NOT(ISERROR(ResultsTeams[[#This Row],[Goal-A]]+ResultsTeams[[#This Row],[Goal-B]]))</f>
        <v>0</v>
      </c>
      <c r="O921" s="265" t="str">
        <f>IF(ResultsTeams[[#This Row],[Type]]="G",SUM(O922:O925),IF(LEFT(ResultsTeams[[#This Row],[Type]],1)="P",IF(ResultsTeams[[#This Row],[Goal-A]]&gt;ResultsTeams[[#This Row],[Goal-B]],1,0),""))</f>
        <v/>
      </c>
      <c r="P921" s="265" t="str">
        <f>IF(ResultsTeams[[#This Row],[Type]]="G",SUM(P922:P925),IF(LEFT(ResultsTeams[[#This Row],[Type]],1)="P",IF(ResultsTeams[[#This Row],[Goal-A]]&lt;ResultsTeams[[#This Row],[Goal-B]],1,0),""))</f>
        <v/>
      </c>
      <c r="Q921" s="265" t="str">
        <f>IF(ResultsTeams[[#This Row],[Type]]="G",SUM(O922:O925),IF(LEFT(ResultsTeams[[#This Row],[Type]],1)="P",VALUE(ResultsTeams[[#This Row],[Score-A]]),""))</f>
        <v/>
      </c>
      <c r="R921" s="265" t="str">
        <f>IF(ResultsTeams[[#This Row],[Type]]="G",SUM(P922:P925),IF(LEFT(ResultsTeams[[#This Row],[Type]],1)="P",VALUE(ResultsTeams[[#This Row],[Score-B]]),""))</f>
        <v/>
      </c>
      <c r="S921" s="265" t="str">
        <f ca="1">IF(AND(ResultsTeams[[#This Row],[Category]]&lt;&gt;"",ResultsTeams[[#This Row],[Team A]]&lt;&gt;""),COUNTIF(INDIRECT("TeamsList[Club Name]"),ResultsTeams[[#This Row],[Team A]]),"")</f>
        <v/>
      </c>
      <c r="T921" s="265" t="str">
        <f ca="1">IF(AND(ResultsTeams[[#This Row],[Category]]&lt;&gt;"",ResultsTeams[[#This Row],[Team B]]&lt;&gt;""),COUNTIF(INDIRECT("TeamsList[Club Name]"),ResultsTeams[[#This Row],[Team B]]),"")</f>
        <v/>
      </c>
      <c r="U9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21" s="265" t="str">
        <f>IF(ResultsTeams[[#This Row],[Score_OK]],IF(ResultsTeams[[#This Row],[StageCpy]]="Groups",ResultsTeams[[#This Row],[Category]]&amp;"-"&amp;IF(ResultsTeams[[#This Row],[Team B]]="","",IF(ResultsTeams[[#This Row],[Match-A]]=ResultsTeams[[#This Row],[Match-B]],ResultsTeams[[#This Row],[Team A]],"")),""),"")</f>
        <v/>
      </c>
      <c r="W921" s="265" t="str">
        <f>IF(ResultsTeams[[#This Row],[Score_OK]],IF(ResultsTeams[[#This Row],[StageCpy]]="Groups",ResultsTeams[[#This Row],[Category]]&amp;"-"&amp;IF(ResultsTeams[[#This Row],[Team B]]="","",IF(ResultsTeams[[#This Row],[Match-A]]=ResultsTeams[[#This Row],[Match-B]],ResultsTeams[[#This Row],[Team B]],"")),""),"")</f>
        <v/>
      </c>
      <c r="X9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1" s="264" t="str">
        <f>IF(ResultsTeams[[#This Row],[Category]]="","",VLOOKUP(ResultsTeams[[#This Row],[Stage]],$R$1:$T$8,MATCH(ResultsTeams[[#This Row],[Category]],$S$1:$T$1,0)+1,FALSE))</f>
        <v/>
      </c>
      <c r="AC9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1" s="264">
        <f>IF(ResultsTeams[[#This Row],[Type]]="G",ResultsTeams[[#This Row],[Stage]],AD920)</f>
        <v>0</v>
      </c>
      <c r="AE921" s="395" t="e">
        <f>IF(ResultsTeams[[#This Row],[Type]]="G",INDEX(TeamsList[Club Name],MATCH(ResultsTeams[[#This Row],[Team A]],TeamsList[Team Name],0)),AE920)</f>
        <v>#N/A</v>
      </c>
      <c r="AF921" s="395" t="e">
        <f>IF(ResultsTeams[[#This Row],[Type]]="G",INDEX(TeamsList[Club Name],MATCH(ResultsTeams[[#This Row],[Team B]],TeamsList[Team Name],0)),AF920)</f>
        <v>#N/A</v>
      </c>
      <c r="AG921" s="265"/>
    </row>
    <row r="922" spans="1:33" x14ac:dyDescent="0.2"/>
  </sheetData>
  <sheetProtection formatColumns="0" formatRows="0" selectLockedCells="1"/>
  <mergeCells count="8">
    <mergeCell ref="A7:M7"/>
    <mergeCell ref="A24:M24"/>
    <mergeCell ref="A1:M1"/>
    <mergeCell ref="A2:M2"/>
    <mergeCell ref="A3:M3"/>
    <mergeCell ref="A4:M4"/>
    <mergeCell ref="A5:M5"/>
    <mergeCell ref="A6:M6"/>
  </mergeCells>
  <phoneticPr fontId="29" type="noConversion"/>
  <conditionalFormatting sqref="A26:A921">
    <cfRule type="expression" dxfId="42" priority="61">
      <formula>MATCH(A26,INDIRECT("Categories_Teams"),0)</formula>
    </cfRule>
    <cfRule type="expression" dxfId="41" priority="60">
      <formula>AND(A26&lt;&gt;"",ISERROR(MATCH(A26,INDIRECT("Categories_Teams[Categories_Teams]"),0)))</formula>
    </cfRule>
  </conditionalFormatting>
  <conditionalFormatting sqref="F26:F921">
    <cfRule type="expression" dxfId="40" priority="2">
      <formula>OR(AND($E26="G",OR($O26&gt;$P26,AND($O26=$P26,$K26&gt;$L26))),AND(LEFT($E26)="P",$Q26&gt;$R26))</formula>
    </cfRule>
  </conditionalFormatting>
  <conditionalFormatting sqref="F176">
    <cfRule type="expression" dxfId="39" priority="12">
      <formula>OR(AND($E176="G",OR($O176&lt;$P176,AND($O176=$P176,$K176&lt;$L176))),AND(LEFT($E176)="P",$Q176&lt;$R176))</formula>
    </cfRule>
  </conditionalFormatting>
  <conditionalFormatting sqref="F190">
    <cfRule type="expression" dxfId="38" priority="11">
      <formula>OR(AND($E190="G",OR($O190&lt;$P190,AND($O190=$P190,$K190&lt;$L190))),AND(LEFT($E190)="P",$Q190&lt;$R190))</formula>
    </cfRule>
  </conditionalFormatting>
  <conditionalFormatting sqref="F220">
    <cfRule type="expression" dxfId="37" priority="10">
      <formula>OR(AND($E220="G",OR($O220&lt;$P220,AND($O220=$P220,$K220&lt;$L220))),AND(LEFT($E220)="P",$Q220&lt;$R220))</formula>
    </cfRule>
  </conditionalFormatting>
  <conditionalFormatting sqref="F232">
    <cfRule type="expression" dxfId="36" priority="9">
      <formula>OR(AND($E232="G",OR($O232&lt;$P232,AND($O232=$P232,$K232&lt;$L232))),AND(LEFT($E232)="P",$Q232&lt;$R232))</formula>
    </cfRule>
  </conditionalFormatting>
  <conditionalFormatting sqref="F342:F343">
    <cfRule type="expression" dxfId="35" priority="6">
      <formula>OR(AND($E342="G",OR($O342&lt;$P342,AND($O342=$P342,$K342&lt;$L342))),AND(LEFT($E342)="P",$Q342&lt;$R342))</formula>
    </cfRule>
  </conditionalFormatting>
  <conditionalFormatting sqref="F357">
    <cfRule type="expression" dxfId="34" priority="1">
      <formula>OR(AND($E357="G",OR($O357&lt;$P357,AND($O357=$P357,$K357&lt;$L357))),AND(LEFT($E357)="P",$Q357&lt;$R357))</formula>
    </cfRule>
  </conditionalFormatting>
  <conditionalFormatting sqref="F456:F457">
    <cfRule type="expression" dxfId="33" priority="16">
      <formula>OR(AND($E456="G",OR($O456&lt;$P456,AND($O456=$P456,$K456&lt;$L456))),AND(LEFT($E456)="P",$Q456&lt;$R456))</formula>
    </cfRule>
  </conditionalFormatting>
  <conditionalFormatting sqref="F26:G921">
    <cfRule type="expression" dxfId="32" priority="62">
      <formula>AND(F26&lt;&gt;"",LEFT($E26,1)&lt;&gt;"G",IFERROR(INDEX(INDIRECT("Players[Club Name]"),MATCH(F26,INDIRECT("Players[Player Name]"),0))&lt;&gt;AE26,TRUE))</formula>
    </cfRule>
  </conditionalFormatting>
  <conditionalFormatting sqref="G26:G921">
    <cfRule type="expression" dxfId="31" priority="26">
      <formula>OR(AND($E26="G",OR($O26&lt;$P26,AND($O26=$P26,$K26&lt;$L26))),AND(LEFT($E26)="P",$Q26&lt;$R26))</formula>
    </cfRule>
  </conditionalFormatting>
  <conditionalFormatting sqref="G83">
    <cfRule type="expression" dxfId="30" priority="14">
      <formula>OR(AND($E83="G",OR($O83&gt;$P83,AND($O83=$P83,$K83&gt;$L83))),AND(LEFT($E83)="P",$Q83&gt;$R83))</formula>
    </cfRule>
  </conditionalFormatting>
  <conditionalFormatting sqref="G105">
    <cfRule type="expression" dxfId="29" priority="13">
      <formula>OR(AND($E105="G",OR($O105&gt;$P105,AND($O105=$P105,$K105&gt;$L105))),AND(LEFT($E105)="P",$Q105&gt;$R105))</formula>
    </cfRule>
  </conditionalFormatting>
  <conditionalFormatting sqref="G352">
    <cfRule type="expression" dxfId="28" priority="3">
      <formula>OR(AND($E352="G",OR($O352&gt;$P352,AND($O352=$P352,$K352&gt;$L352))),AND(LEFT($E352)="P",$Q352&gt;$R352))</formula>
    </cfRule>
  </conditionalFormatting>
  <conditionalFormatting sqref="G470:G471">
    <cfRule type="expression" dxfId="27" priority="25">
      <formula>OR(AND($E470="G",OR($O470&gt;$P470,AND($O470=$P470,$K470&gt;$L470))),AND(LEFT($E470)="P",$Q470&gt;$R470))</formula>
    </cfRule>
  </conditionalFormatting>
  <conditionalFormatting sqref="G476">
    <cfRule type="expression" dxfId="26" priority="37">
      <formula>OR(AND($E476="G",OR($O476&gt;$P476,AND($O476=$P476,$K476&gt;$L476))),AND(LEFT($E476)="P",$Q476&gt;$R476))</formula>
    </cfRule>
  </conditionalFormatting>
  <conditionalFormatting sqref="G478">
    <cfRule type="expression" dxfId="25" priority="29">
      <formula>OR(AND($E478="G",OR($O478&gt;$P478,AND($O478=$P478,$K478&gt;$L478))),AND(LEFT($E478)="P",$Q478&gt;$R478))</formula>
    </cfRule>
  </conditionalFormatting>
  <conditionalFormatting sqref="G497">
    <cfRule type="expression" dxfId="24" priority="44">
      <formula>OR(AND($E497="G",OR($O497&gt;$P497,AND($O497=$P497,$K497&gt;$L497))),AND(LEFT($E497)="P",$Q497&gt;$R497))</formula>
    </cfRule>
  </conditionalFormatting>
  <conditionalFormatting sqref="G499">
    <cfRule type="expression" dxfId="23" priority="41">
      <formula>OR(AND($E499="G",OR($O499&gt;$P499,AND($O499=$P499,$K499&gt;$L499))),AND(LEFT($E499)="P",$Q499&gt;$R499))</formula>
    </cfRule>
  </conditionalFormatting>
  <conditionalFormatting sqref="H26:I921">
    <cfRule type="expression" dxfId="22" priority="65">
      <formula>ISERROR(Q26)</formula>
    </cfRule>
  </conditionalFormatting>
  <conditionalFormatting sqref="H34:I37">
    <cfRule type="expression" dxfId="21" priority="71">
      <formula>AND($A34&lt;&gt;"",$Y34=$A34&amp;"-"&amp;"FAUX")</formula>
    </cfRule>
  </conditionalFormatting>
  <conditionalFormatting sqref="H8:K8">
    <cfRule type="expression" dxfId="20" priority="1255">
      <formula>AND($A8&lt;&gt;"",$B8&lt;&gt;"",$B8&lt;&gt;"Groups",$G8&lt;&gt;"",$H8&lt;&gt;"",$H8=$G8,$L8=$M8)</formula>
    </cfRule>
  </conditionalFormatting>
  <conditionalFormatting sqref="H25:L33 J34:L37 H38:L921">
    <cfRule type="expression" dxfId="19" priority="1259">
      <formula>AND($A25&lt;&gt;"",$Y25=$A25&amp;"-"&amp;"FAUX")</formula>
    </cfRule>
  </conditionalFormatting>
  <conditionalFormatting sqref="J14:L15">
    <cfRule type="expression" dxfId="18" priority="1133">
      <formula>$X14="Groups"</formula>
    </cfRule>
  </conditionalFormatting>
  <conditionalFormatting sqref="J22:L23">
    <cfRule type="expression" dxfId="17" priority="1134">
      <formula>$X22="Groups"</formula>
    </cfRule>
  </conditionalFormatting>
  <conditionalFormatting sqref="J26:L921">
    <cfRule type="expression" dxfId="16" priority="1254">
      <formula>$AD26="Groups"</formula>
    </cfRule>
  </conditionalFormatting>
  <conditionalFormatting sqref="AJ26:AJ348">
    <cfRule type="expression" dxfId="15" priority="103">
      <formula>AND(AH26="",AI26&lt;&gt;"",AJ26&lt;&gt;"",ISERROR(MATCH(INDEX(INDIRECT("TeamsList[Club Name]"),MATCH(AJ26,INDIRECT("TeamsList[Team Name]"),0)),INDIRECT("TeamsList[Club Name]"),0)))</formula>
    </cfRule>
  </conditionalFormatting>
  <conditionalFormatting sqref="BI9:BI15">
    <cfRule type="expression" dxfId="14" priority="66">
      <formula>OR(AND(AP9=TRUE,AP9&lt;&gt;"",AK9=""),AND(AS9=TRUE,AS9&lt;&gt;"",AL9=""))</formula>
    </cfRule>
  </conditionalFormatting>
  <conditionalFormatting sqref="BI27:BI61">
    <cfRule type="expression" dxfId="13" priority="92">
      <formula>OR(AND(AP27=TRUE,AP27&lt;&gt;"",AK27=""),AND(AS27=TRUE,AS27&lt;&gt;"",AL27=""))</formula>
    </cfRule>
  </conditionalFormatting>
  <conditionalFormatting sqref="BI63:BI97">
    <cfRule type="expression" dxfId="12" priority="79">
      <formula>OR(AND(AP63=TRUE,AP63&lt;&gt;"",AK63=""),AND(AS63=TRUE,AS63&lt;&gt;"",AL63=""))</formula>
    </cfRule>
  </conditionalFormatting>
  <conditionalFormatting sqref="BI99:BI133">
    <cfRule type="expression" dxfId="11" priority="78">
      <formula>OR(AND(AP99=TRUE,AP99&lt;&gt;"",AK99=""),AND(AS99=TRUE,AS99&lt;&gt;"",AL99=""))</formula>
    </cfRule>
  </conditionalFormatting>
  <conditionalFormatting sqref="BI135:BI169">
    <cfRule type="expression" dxfId="10" priority="77">
      <formula>OR(AND(AP135=TRUE,AP135&lt;&gt;"",AK135=""),AND(AS135=TRUE,AS135&lt;&gt;"",AL135=""))</formula>
    </cfRule>
  </conditionalFormatting>
  <conditionalFormatting sqref="BI171:BI205">
    <cfRule type="expression" dxfId="9" priority="76">
      <formula>OR(AND(AP171=TRUE,AP171&lt;&gt;"",AK171=""),AND(AS171=TRUE,AS171&lt;&gt;"",AL171=""))</formula>
    </cfRule>
  </conditionalFormatting>
  <conditionalFormatting sqref="BI207:BI241">
    <cfRule type="expression" dxfId="8" priority="75">
      <formula>OR(AND(AP207=TRUE,AP207&lt;&gt;"",AK207=""),AND(AS207=TRUE,AS207&lt;&gt;"",AL207=""))</formula>
    </cfRule>
  </conditionalFormatting>
  <conditionalFormatting sqref="BI243:BI277">
    <cfRule type="expression" dxfId="7" priority="74">
      <formula>OR(AND(AP243=TRUE,AP243&lt;&gt;"",AK243=""),AND(AS243=TRUE,AS243&lt;&gt;"",AL243=""))</formula>
    </cfRule>
  </conditionalFormatting>
  <conditionalFormatting sqref="BI279:BI313">
    <cfRule type="expression" dxfId="6" priority="73">
      <formula>OR(AND(AP279=TRUE,AP279&lt;&gt;"",AK279=""),AND(AS279=TRUE,AS279&lt;&gt;"",AL279=""))</formula>
    </cfRule>
  </conditionalFormatting>
  <conditionalFormatting sqref="BI315:BI348">
    <cfRule type="expression" dxfId="5" priority="72">
      <formula>OR(AND(AP315=TRUE,AP315&lt;&gt;"",AK315=""),AND(AS315=TRUE,AS315&lt;&gt;"",AL315=""))</formula>
    </cfRule>
  </conditionalFormatting>
  <dataValidations count="12">
    <dataValidation type="list" allowBlank="1" showInputMessage="1" showErrorMessage="1" sqref="B983066:B983961 B917530:B918425 B851994:B852889 B786458:B787353 B720922:B721817 B655386:B656281 B589850:B590745 B524314:B525209 B458778:B459673 B393242:B394137 B327706:B328601 B262170:B263065 B196634:B197529 B131098:B131993 B65562:B66457" xr:uid="{00000000-0002-0000-0A00-000000000000}">
      <formula1>$Q$13:$Q$20</formula1>
    </dataValidation>
    <dataValidation type="list" allowBlank="1" showInputMessage="1" showErrorMessage="1" sqref="A983066:A983961 A917530:A918425 A851994:A852889 A786458:A787353 A720922:A721817 A655386:A656281 A589850:A590745 A524314:A525209 A458778:A459673 A393242:A394137 A327706:A328601 A262170:A263065 A196634:A197529 A131098:A131993 A65562:A66457" xr:uid="{00000000-0002-0000-0A00-000001000000}">
      <formula1>$Q$4:$Q$11</formula1>
    </dataValidation>
    <dataValidation type="list" allowBlank="1" showInputMessage="1" showErrorMessage="1" sqref="J26:J30 J726:J730 J880:J884 J33:J37 J733:J737 J740:J744 J761:J765 J40:J44 J446:J450 J453:J457 J460:J464 J558:J562 J565:J569 J334:J338 J341:J345 J572:J576 J593:J597 J600:J604 J670:J674 J614:J618 J621:J625 J628:J632 J649:J653 J656:J660 J663:J667 J635:J639 J677:J681 J684:J688 J705:J709 J481:J485 J488:J492 J502:J506 J509:J513 J516:J520 J537:J541 J544:J548 J551:J555 J768:J772 J782:J786 J789:J793 J796:J800 J887:J891 J54:J58 J61:J65 J68:J72 J47:J51 J89:J93 J96:J100 J103:J107 J75:J79 J817:J821 J824:J828 J831:J835 J803:J807 J810:J814 J859:J863 J866:J870 J82:J86 J110:J114 J117:J121 J124:J128 J145:J149 J152:J156 J159:J163 J131:J135 J138:J142 J166:J170 J173:J177 J180:J184 J201:J205 J208:J212 J215:J219 J187:J191 J194:J198 J222:J226 J229:J233 J236:J240 J257:J261 J264:J268 J271:J275 J243:J247 J250:J254 J278:J282 J285:J289 J292:J296 J313:J317 J320:J324 J327:J331 J299:J303 J306:J310 J348:J352 J369:J373 J376:J380 J383:J387 J355:J359 J362:J366 J390:J394 J397:J401 J404:J408 J425:J429 J432:J436 J439:J443 J411:J415 J418:J422 J495:J499 J467:J471 J474:J478 J523:J527 J530:J534 J607:J611 J579:J583 J586:J590 J642:J646 J712:J716 J719:J723 J691:J695 J698:J702 J775:J779 J747:J751 J754:J758 J838:J842 J845:J849 J852:J856 J873:J877 J908:J912 J915:J919 J894:J898 J901:J905" xr:uid="{00000000-0002-0000-0A00-000003000000}">
      <formula1>"x,X"</formula1>
    </dataValidation>
    <dataValidation type="list" allowBlank="1" showInputMessage="1" showErrorMessage="1" sqref="H31:I32 H38:I39 H696:I697 H752:I753 H360:I361 H640:I641 H661:I662 H717:I718 H773:I774 H738:I739 H682:I683 H80:I81 H101:I102 H808:I809 H829:I830 H136:I137 H157:I158 H192:I193 H213:I214 H248:I249 H269:I270 H304:I305 H325:I326 H381:I382 H416:I417 H437:I438 H472:I473 H493:I494 H528:I529 H794:I795 H52:I53 H234:I235 H290:I291 H346:I347 H549:I550 H584:I585 H605:I606 H570:I571 H731:I732 H857:I858 H45:I46 H66:I67 H59:I60 H73:I74 H878:I879 H94:I95 H108:I109 H787:I788 H801:I802 H892:I893 H122:I123 H115:I116 H871:I872 H129:I130 H87:I88 H150:I151 H178:I179 H164:I165 H143:I144 H171:I172 H185:I186 H227:I228 H241:I242 H206:I207 H262:I263 H220:I221 H199:I200 H276:I277 H255:I256 H283:I284 H297:I298 H318:I319 H332:I333 H339:I340 H353:I354 H311:I312 H374:I375 H402:I403 H388:I389 H367:I368 H395:I396 H409:I410 H430:I431 H458:I459 H451:I452 H444:I445 H465:I466 H423:I424 H486:I487 H514:I515 H500:I501 H479:I480 H507:I508 H521:I522 H563:I564 H577:I578 H542:I543 H598:I599 H556:I557 H535:I536 H626:I627 H612:I613 H591:I592 H619:I620 H633:I634 H675:I676 H654:I655 H668:I669 H647:I648 H689:I690 H710:I711 H724:I725 H703:I704 H745:I746 H766:I767 H780:I781 H759:I760 H822:I823 H836:I837 H815:I816 H864:I865 H885:I886 H850:I851 H843:I844 H906:I907 H920:I921 H899:I900 H913:I914" xr:uid="{00000000-0002-0000-0A00-000004000000}">
      <formula1>"S1,S2,S3,S4"</formula1>
    </dataValidation>
    <dataValidation type="list" allowBlank="1" showInputMessage="1" showErrorMessage="1" sqref="B26:B921" xr:uid="{DE76AE4B-C7A5-4937-B330-3CC93C6FBFBD}">
      <formula1>INDIRECT("Stages")</formula1>
    </dataValidation>
    <dataValidation type="whole" operator="greaterThanOrEqual" allowBlank="1" showInputMessage="1" showErrorMessage="1" sqref="K873:L877 H873:I877 K894:L894 K880:L884 H40:I40 H47:I47 K33:L33 K40:L40 K54:L54 K887:L891 H61:I61 H54:I54 H68:I68 H75:I75 K61:L61 K68:L68 K82:L82 K47:L47 K89:L93 H89:I93 K96:L100 K103:L107 H96:I100 H103:I107 K782:L782 K75:L75 H789:I789 H782:I782 H796:I796 H803:I803 K789:L789 K796:L796 K810:L810 K817:L821 H817:I821 H880:I884 K824:L828 H887:I891 K859:L859 H866:I866 K110:L110 H82:I82 H117:I117 H110:I110 H124:I124 H131:I131 K117:L117 K124:L124 K138:L138 K145:L149 H145:I149 K152:L156 K159:L163 H152:I156 H159:I163 K131:L131 K166:L166 H138:I138 H173:I173 H166:I166 H180:I180 H187:I187 K173:L173 K180:L180 K194:L194 K201:L205 H201:I205 K208:L212 K215:L219 H208:I212 H215:I219 K187:L187 K222:L222 H194:I194 H229:I229 H222:I222 H236:I236 H243:I243 K229:L229 K236:L236 K250:L250 K257:L261 H257:I261 K264:L268 K271:L275 H264:I268 H271:I275 K243:L243 K278:L278 H250:I250 H285:I285 H278:I278 H292:I292 H299:I299 K285:L285 K292:L292 K306:L306 K313:L317 H313:I317 K320:L324 K327:L331 H320:I324 H327:I331 K299:L299 K334:L334 H306:I306 H341:I341 H334:I334 H348:I348 H355:I355 K341:L341 K348:L348 K362:L362 K369:L373 H369:I373 K376:L380 K383:L387 H376:I380 H383:I387 K355:L355 K390:L390 H362:I362 H397:I397 H390:I390 H404:I404 H411:I411 K397:L397 K404:L404 K418:L418 K425:L429 H425:I429 K432:L436 K439:L443 H432:I436 H439:I443 K411:L411 K446:L446 H418:I418 H453:I453 H446:I446 H460:I460 H467:I467 K453:L453 K460:L460 K474:L474 K481:L485 H481:I485 K488:L492 K495:L499 H488:I492 H495:I499 K467:L467 K502:L502 H474:I474 H509:I509 H502:I502 H516:I516 H523:I523 K509:L509 K516:L516 K530:L530 K537:L541 H537:I541 K544:L548 K551:L555 H544:I548 H551:I555 K523:L523 K558:L558 H530:I530 H565:I565 H558:I558 H572:I572 H579:I579 K565:L565 K572:L572 K586:L586 K593:L597 H593:I597 K600:L604 K607:L611 H600:I604 H607:I611 K579:L579 K614:L614 H586:I586 H621:I621 H614:I614 H628:I628 H635:I635 K621:L621 K628:L628 K642:L642 K670:L670 K649:L653 H649:I653 K656:L660 K663:L667 H656:I660 H663:I667 H677:I677 K635:L635 H670:I670 H684:I684 H691:I691 K677:L677 K684:L684 K698:L698 K705:L709 H642:I642 H705:I709 K712:L716 K719:L723 H712:I716 H719:I723 K691:L691 K726:L726 H698:I698 H733:I733 H726:I726 H740:I740 H747:I747 K733:L733 K740:L740 K754:L754 K761:L765 H761:I765 K768:L772 K775:L779 H768:I772 H775:I779 K747:L747 K831:L835 H754:I754 H824:I828 H831:I835 K803:L803 H810:I810 K838:L838 H845:I845 H838:I838 H852:I852 H859:I859 K845:L845 K852:L852 K866:L866 K901:L905 H901:I905 K908:L912 K915:L919 H908:I912 H915:I919 H894:I894" xr:uid="{327C7385-B762-4BA8-914B-702D2456C22F}">
      <formula1>0</formula1>
    </dataValidation>
    <dataValidation type="list" errorStyle="information" allowBlank="1" showInputMessage="1" showErrorMessage="1" error="Only TEAM category will be taken into account for WR points" sqref="AI8 AI26 AI206 AI278 AI35 AI44 AI287 AI296 AI134 AI170 AI179 AI305 AI53 AI62 AI71 AI80 AI89 AI98 AI107 AI116 AI125 AI143 AI152 AI161 AI188 AI197 AI215 AI224 AI233 AI242 AI251 AI260 AI269 AI314 AI323 AI332 AI341" xr:uid="{A9AAB4B1-4EEA-429D-8D03-D42B39770FDE}">
      <formula1>INDIRECT("Categories_Teams")</formula1>
    </dataValidation>
    <dataValidation type="whole" operator="greaterThanOrEqual" allowBlank="1" showInputMessage="1" showErrorMessage="1" error="Score must be a positive or null integer" sqref="H26:I30 H895:I898 H41:I44 H48:I51 H55:I58 H62:I65 H69:I72 H76:I79 H83:I86 H111:I114 H118:I121 H125:I128 H132:I135 H139:I142 H167:I170 H174:I177 H181:I184 H188:I191 H195:I198 H223:I226 H230:I233 H237:I240 H244:I247 H251:I254 H279:I282 H286:I289 H293:I296 H300:I303 H307:I310 H335:I338 H342:I345 H349:I352 H356:I359 H363:I366 H391:I394 H398:I401 H405:I408 H412:I415 H419:I422 H447:I450 H454:I457 H461:I464 H468:I471 H475:I478 H503:I506 H510:I513 H517:I520 H524:I527 H531:I534 H559:I562 H566:I569 H573:I576 H580:I583 H587:I590 H615:I618 H622:I625 H629:I632 H636:I639 H643:I646 H671:I674 H678:I681 H685:I688 H692:I695 H699:I702 H727:I730 H734:I737 H741:I744 H748:I751 H755:I758 H783:I786 H790:I793 H797:I800 H804:I807 H811:I814 H839:I842 H846:I849 H853:I856 H860:I863 H867:I870 H33:I37" xr:uid="{51511B41-9B95-4E12-9981-670E921F87BA}">
      <formula1>0</formula1>
    </dataValidation>
    <dataValidation type="whole" operator="greaterThanOrEqual" allowBlank="1" showInputMessage="1" showErrorMessage="1" error="Shoot must be a positive or null integer" sqref="K26:L30 K34:L37 K41:L44 K48:L51 K55:L58 K62:L65 K69:L72 K76:L79 K83:L86 K111:L114 K118:L121 K125:L128 K132:L135 K139:L142 K167:L170 K174:L177 K181:L184 K188:L191 K195:L198 K223:L226 K230:L233 K237:L240 K244:L247 K251:L254 K279:L282 K286:L289 K293:L296 K300:L303 K307:L310 K335:L338 K342:L345 K349:L352 K356:L359 K363:L366 K391:L394 K398:L401 K405:L408 K412:L415 K419:L422 K447:L450 K454:L457 K461:L464 K468:L471 K475:L478 K503:L506 K510:L513 K517:L520 K524:L527 K531:L534 K559:L562 K566:L569 K573:L576 K580:L583 K587:L590 K615:L618 K622:L625 K629:L632 K636:L639 K643:L646 K671:L674 K678:L681 K685:L688 K692:L695 K699:L702 K727:L730 K734:L737 K741:L744 K748:L751 K755:L758 K783:L786 K790:L793 K797:L800 K804:L807 K811:L814 K839:L842 K846:L849 K853:L856 K860:L863 K867:L870 K895:L898" xr:uid="{DD6F6E00-277F-495D-96A5-F78C6DB81568}">
      <formula1>0</formula1>
    </dataValidation>
    <dataValidation type="list" errorStyle="information" allowBlank="1" showInputMessage="1" showErrorMessage="1" error="Only TEAM category will be taken into account for WR points" sqref="A26:A921" xr:uid="{4E556EEC-640D-4F01-B0BD-9F7D9916118E}">
      <formula1>INDIRECT("Team_Event_Values[Team Event Values]")</formula1>
    </dataValidation>
    <dataValidation type="list" allowBlank="1" showInputMessage="1" showErrorMessage="1" sqref="F26:G26 F915:G915 F40:G40 F47:G47 F54:G54 F61:G61 F68:G68 F75:G75 F82:G82 F89:G89 F96:G96 F103:G103 F110:G110 F117:G117 F124:G124 F131:G131 F138:G138 F145:G145 F152:G152 F159:G159 F166:G166 F173:G173 F180:G180 F187:G187 F194:G194 F201:G201 F208:G208 F215:G215 F222:G222 F229:G229 F236:G236 F243:G243 F250:G250 F257:G257 F264:G264 F271:G271 F278:G278 F285:G285 F292:G292 F299:G299 F306:G306 F313:G313 F320:G320 F327:G327 F334:G334 F341:G341 F348:G348 F355:G355 F362:G362 F369:G369 F376:G376 F383:G383 F390:G390 F397:G397 F404:G404 F411:G411 F418:G418 F425:G425 F432:G432 F439:G439 F446:G446 F453:G453 F460:G460 F467:G467 F474:G474 F481:G481 F488:G488 F495:G495 F502:G502 F509:G509 F516:G516 F523:G523 F530:G530 F537:G537 F544:G544 F551:G551 F558:G558 F565:G565 F572:G572 F579:G579 F586:G586 F593:G593 F600:G600 F607:G607 F614:G614 F621:G621 F628:G628 F635:G635 F642:G642 F649:G649 F656:G656 F663:G663 F670:G670 F677:G677 F684:G684 F691:G691 F698:G698 F705:G705 F712:G712 F719:G719 F726:G726 F733:G733 F740:G740 F747:G747 F754:G754 F761:G761 F768:G768 F775:G775 F782:G782 F789:G789 F796:G796 F803:G803 F810:G810 F817:G817 F824:G824 F831:G831 F838:G838 F845:G845 F852:G852 F859:G859 F866:G866 F873:G873 F880:G880 F887:G887 F894:G894 F901:G901 F908:G908 F33:G33" xr:uid="{435E18F9-9EA5-4141-8C1A-0D12FB6C48F8}">
      <formula1>OFFSET(INDIRECT("TeamsList[Team Name]"),0,0,COUNTA(INDIRECT("TeamsList[Club Name]")))</formula1>
    </dataValidation>
    <dataValidation type="list" allowBlank="1" showInputMessage="1" sqref="AJ27:AJ33 AJ36:AJ42 AJ45:AJ51 AJ54:AJ60 AJ63:AJ69 AJ72:AJ78 AJ81:AJ87 AJ90:AJ96 AJ99:AJ105 AJ108:AJ114 AJ117:AJ123 AJ126:AJ132 AJ135:AJ141 AJ144:AJ150 AJ153:AJ159 AJ162:AJ168 AJ171:AJ177 AJ180:AJ186 AJ189:AJ195 AJ198:AJ204 AJ207:AJ213 AJ216:AJ222 AJ225:AJ231 AJ234:AJ240 AJ243:AJ249 AJ252:AJ258 AJ261:AJ267 AJ270:AJ276 AJ279:AJ285 AJ288:AJ294 AJ297:AJ303 AJ306:AJ312 AJ315:AJ321 AJ324:AJ330 AJ333:AJ339 AJ342:AJ348" xr:uid="{1D53592D-E4DC-4662-BF0A-C90B7E4EBDED}">
      <formula1>OFFSET(INDIRECT("TeamsList[Team Name]"),0,0,COUNTA(INDIRECT("TeamsList[Team Name]"))-COUNTIF(INDIRECT("TeamsList[Team Name]"),""))</formula1>
    </dataValidation>
  </dataValidations>
  <printOptions horizontalCentered="1" verticalCentered="1"/>
  <pageMargins left="0.39370078740157483" right="0.39370078740157483" top="0.78740157480314965" bottom="0.43307086614173229" header="0.11811023622047245" footer="0.31496062992125984"/>
  <pageSetup paperSize="9" scale="71" fitToHeight="31" orientation="landscape" r:id="rId1"/>
  <headerFooter alignWithMargins="0">
    <oddHeader>&amp;L&amp;D&amp;C&amp;"Arial,Normal"&amp;16FISTF Event Results
(Team event)</oddHeader>
    <oddFooter>&amp;C&amp;10Page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xr:uid="{8502DF45-6C4B-40EC-BFDD-F0FFF5E67683}">
          <x14:formula1>
            <xm:f>OFFSET(PlayersByClub!$B:$B,MATCH(AE26,PlayersByClub!$A:$A,0)-1,0,COUNTIF(PlayersByClub!$A:$A,AE26),)</xm:f>
          </x14:formula1>
          <xm:sqref>F27:G32 F916:G921 F909:G914 F902:G907 F895:G900 F888:G893 F881:G886 F874:G879 F867:G872 F860:G865 F853:G858 F846:G851 F839:G844 F832:G837 F825:G830 F818:G823 F811:G816 F804:G809 F797:G802 F790:G795 F783:G788 F776:G781 F769:G774 F762:G767 F755:G760 F748:G753 F741:G746 F734:G739 F727:G732 F720:G725 F713:G718 F706:G711 F699:G704 F692:G697 F685:G690 F678:G683 F671:G676 F664:G669 F657:G662 F650:G655 F643:G648 F636:G641 F629:G634 F622:G627 F615:G620 F608:G613 F601:G606 F594:G599 F587:G592 F580:G585 F573:G578 F566:G571 F559:G564 F552:G557 F545:G550 F538:G543 F531:G536 F524:G529 F517:G522 F510:G515 F503:G508 F496:G501 F489:G494 F482:G487 F475:G480 F230:G235 F461:G466 F468:G473 F447:G452 F440:G445 F433:G438 F426:G431 F419:G424 F412:G417 F405:G410 F398:G403 F391:G396 F384:G389 F377:G382 F370:G375 F363:G368 F349:G354 F335:G340 F342:G347 F216:G221 F328:G333 F321:G326 F314:G319 F307:G312 F300:G305 F293:G298 F286:G291 F279:G284 F272:G277 F265:G270 F258:G263 F251:G256 F244:G249 F237:G242 F174:G179 F223:G228 F188:G193 F209:G214 F202:G207 F195:G200 F104:G109 F181:G186 F83:G88 F167:G172 F160:G165 F153:G158 F146:G151 F139:G144 F132:G137 F125:G130 F118:G123 F111:G116 F454:G459 F97:G102 F90:G95 F34:G39 F76:G81 F69:G74 F62:G67 F55:G60 F48:G53 F41:G46 F356:G361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N3995"/>
  <sheetViews>
    <sheetView showGridLines="0" workbookViewId="0">
      <selection activeCell="F3420" sqref="F3420"/>
    </sheetView>
  </sheetViews>
  <sheetFormatPr defaultColWidth="11.42578125" defaultRowHeight="15" x14ac:dyDescent="0.25"/>
  <cols>
    <col min="1" max="1" width="40.5703125" bestFit="1" customWidth="1"/>
    <col min="2" max="2" width="27" bestFit="1" customWidth="1"/>
    <col min="3" max="3" width="25.85546875" bestFit="1" customWidth="1"/>
    <col min="4" max="4" width="12.85546875" bestFit="1" customWidth="1"/>
    <col min="5" max="5" width="11.140625" bestFit="1" customWidth="1"/>
    <col min="6" max="6" width="47.28515625" bestFit="1" customWidth="1"/>
    <col min="7" max="7" width="9.28515625" bestFit="1" customWidth="1"/>
    <col min="8" max="8" width="11.140625" bestFit="1" customWidth="1"/>
    <col min="9" max="12" width="4.28515625" bestFit="1" customWidth="1"/>
    <col min="13" max="13" width="40.5703125" bestFit="1" customWidth="1"/>
    <col min="14" max="14" width="10.28515625" customWidth="1"/>
    <col min="15" max="15" width="10.28515625" bestFit="1" customWidth="1"/>
    <col min="16" max="16" width="45.5703125" bestFit="1" customWidth="1"/>
    <col min="17" max="17" width="13.140625" bestFit="1" customWidth="1"/>
    <col min="18" max="18" width="12.42578125" bestFit="1" customWidth="1"/>
    <col min="19" max="19" width="16.140625" customWidth="1"/>
  </cols>
  <sheetData>
    <row r="1" spans="1:14" x14ac:dyDescent="0.25">
      <c r="A1" t="s">
        <v>7937</v>
      </c>
      <c r="B1" t="s">
        <v>885</v>
      </c>
      <c r="C1" t="s">
        <v>886</v>
      </c>
      <c r="D1" t="s">
        <v>12</v>
      </c>
      <c r="E1" t="s">
        <v>887</v>
      </c>
      <c r="F1" t="s">
        <v>270</v>
      </c>
      <c r="G1" t="s">
        <v>8</v>
      </c>
      <c r="H1" t="s">
        <v>13223</v>
      </c>
      <c r="I1" t="s">
        <v>13184</v>
      </c>
      <c r="J1" t="s">
        <v>13185</v>
      </c>
      <c r="K1" t="s">
        <v>14230</v>
      </c>
      <c r="L1" t="s">
        <v>14231</v>
      </c>
      <c r="M1" t="s">
        <v>273</v>
      </c>
      <c r="N1" t="s">
        <v>12352</v>
      </c>
    </row>
    <row r="2" spans="1:14" hidden="1" x14ac:dyDescent="0.25">
      <c r="A2" t="s">
        <v>13566</v>
      </c>
      <c r="B2" t="s">
        <v>13567</v>
      </c>
      <c r="C2" t="s">
        <v>1616</v>
      </c>
      <c r="D2" t="s">
        <v>13568</v>
      </c>
      <c r="E2" s="28" t="s">
        <v>890</v>
      </c>
      <c r="F2" t="s">
        <v>662</v>
      </c>
      <c r="G2" t="s">
        <v>15</v>
      </c>
      <c r="M2" s="28" t="s">
        <v>613</v>
      </c>
      <c r="N2" t="s">
        <v>313</v>
      </c>
    </row>
    <row r="3" spans="1:14" hidden="1" x14ac:dyDescent="0.25">
      <c r="A3" t="s">
        <v>14232</v>
      </c>
      <c r="B3" t="s">
        <v>14233</v>
      </c>
      <c r="C3" t="s">
        <v>4857</v>
      </c>
      <c r="D3" t="s">
        <v>14234</v>
      </c>
      <c r="E3" s="28" t="s">
        <v>896</v>
      </c>
      <c r="F3" t="s">
        <v>730</v>
      </c>
      <c r="G3" t="s">
        <v>15</v>
      </c>
      <c r="M3" s="28" t="s">
        <v>613</v>
      </c>
      <c r="N3" t="s">
        <v>313</v>
      </c>
    </row>
    <row r="4" spans="1:14" hidden="1" x14ac:dyDescent="0.25">
      <c r="A4" t="s">
        <v>8235</v>
      </c>
      <c r="B4" t="s">
        <v>1712</v>
      </c>
      <c r="C4" t="s">
        <v>1713</v>
      </c>
      <c r="D4" t="s">
        <v>1714</v>
      </c>
      <c r="E4" s="28" t="s">
        <v>896</v>
      </c>
      <c r="F4" t="s">
        <v>1678</v>
      </c>
      <c r="G4" t="s">
        <v>43</v>
      </c>
      <c r="M4" s="28" t="s">
        <v>14205</v>
      </c>
    </row>
    <row r="5" spans="1:14" hidden="1" x14ac:dyDescent="0.25">
      <c r="A5" t="s">
        <v>10769</v>
      </c>
      <c r="B5" t="s">
        <v>7254</v>
      </c>
      <c r="C5" t="s">
        <v>7255</v>
      </c>
      <c r="D5" t="s">
        <v>11687</v>
      </c>
      <c r="E5" s="28" t="s">
        <v>890</v>
      </c>
      <c r="F5" t="s">
        <v>7253</v>
      </c>
      <c r="G5" t="s">
        <v>7872</v>
      </c>
      <c r="M5" s="28" t="s">
        <v>11680</v>
      </c>
      <c r="N5" t="s">
        <v>11680</v>
      </c>
    </row>
    <row r="6" spans="1:14" hidden="1" x14ac:dyDescent="0.25">
      <c r="A6" t="s">
        <v>10672</v>
      </c>
      <c r="B6" t="s">
        <v>7024</v>
      </c>
      <c r="C6" t="s">
        <v>7025</v>
      </c>
      <c r="D6" t="s">
        <v>7026</v>
      </c>
      <c r="E6" s="28" t="s">
        <v>890</v>
      </c>
      <c r="F6" t="s">
        <v>6895</v>
      </c>
      <c r="G6" t="s">
        <v>6896</v>
      </c>
      <c r="M6" s="28" t="s">
        <v>6897</v>
      </c>
      <c r="N6" t="s">
        <v>279</v>
      </c>
    </row>
    <row r="7" spans="1:14" hidden="1" x14ac:dyDescent="0.25">
      <c r="A7" t="s">
        <v>11012</v>
      </c>
      <c r="B7" t="s">
        <v>1832</v>
      </c>
      <c r="C7" t="s">
        <v>1442</v>
      </c>
      <c r="D7" t="s">
        <v>11013</v>
      </c>
      <c r="E7" s="28" t="s">
        <v>890</v>
      </c>
      <c r="F7" t="s">
        <v>6584</v>
      </c>
      <c r="G7" t="s">
        <v>84</v>
      </c>
      <c r="M7" s="28" t="s">
        <v>14223</v>
      </c>
      <c r="N7" t="s">
        <v>313</v>
      </c>
    </row>
    <row r="8" spans="1:14" hidden="1" x14ac:dyDescent="0.25">
      <c r="A8" t="s">
        <v>10450</v>
      </c>
      <c r="B8" t="s">
        <v>6487</v>
      </c>
      <c r="C8" t="s">
        <v>6488</v>
      </c>
      <c r="D8" t="s">
        <v>6489</v>
      </c>
      <c r="E8" s="28" t="s">
        <v>890</v>
      </c>
      <c r="F8" t="s">
        <v>331</v>
      </c>
      <c r="G8" t="s">
        <v>21</v>
      </c>
      <c r="M8" s="28" t="s">
        <v>791</v>
      </c>
      <c r="N8" t="s">
        <v>313</v>
      </c>
    </row>
    <row r="9" spans="1:14" hidden="1" x14ac:dyDescent="0.25">
      <c r="A9" t="s">
        <v>11250</v>
      </c>
      <c r="B9" t="s">
        <v>11251</v>
      </c>
      <c r="C9" t="s">
        <v>1143</v>
      </c>
      <c r="D9" t="s">
        <v>11252</v>
      </c>
      <c r="E9" s="28" t="s">
        <v>890</v>
      </c>
      <c r="F9" t="s">
        <v>11222</v>
      </c>
      <c r="G9" t="s">
        <v>84</v>
      </c>
      <c r="M9" s="28" t="s">
        <v>14223</v>
      </c>
      <c r="N9" t="s">
        <v>313</v>
      </c>
    </row>
    <row r="10" spans="1:14" hidden="1" x14ac:dyDescent="0.25">
      <c r="A10" t="s">
        <v>10483</v>
      </c>
      <c r="B10" t="s">
        <v>6627</v>
      </c>
      <c r="C10" t="s">
        <v>906</v>
      </c>
      <c r="D10" t="s">
        <v>6630</v>
      </c>
      <c r="E10" s="28" t="s">
        <v>890</v>
      </c>
      <c r="F10" t="s">
        <v>6631</v>
      </c>
      <c r="G10" t="s">
        <v>137</v>
      </c>
      <c r="M10" s="28" t="s">
        <v>805</v>
      </c>
      <c r="N10" t="s">
        <v>313</v>
      </c>
    </row>
    <row r="11" spans="1:14" hidden="1" x14ac:dyDescent="0.25">
      <c r="A11" t="s">
        <v>10482</v>
      </c>
      <c r="B11" t="s">
        <v>6627</v>
      </c>
      <c r="C11" t="s">
        <v>6628</v>
      </c>
      <c r="D11" t="s">
        <v>6629</v>
      </c>
      <c r="E11" s="28" t="s">
        <v>890</v>
      </c>
      <c r="F11" t="s">
        <v>12661</v>
      </c>
      <c r="G11" t="s">
        <v>137</v>
      </c>
      <c r="M11" s="28" t="s">
        <v>805</v>
      </c>
      <c r="N11" t="s">
        <v>313</v>
      </c>
    </row>
    <row r="12" spans="1:14" hidden="1" x14ac:dyDescent="0.25">
      <c r="A12" t="s">
        <v>8460</v>
      </c>
      <c r="B12" t="s">
        <v>2268</v>
      </c>
      <c r="C12" t="s">
        <v>1468</v>
      </c>
      <c r="D12" t="s">
        <v>2269</v>
      </c>
      <c r="E12" s="28" t="s">
        <v>890</v>
      </c>
      <c r="F12" t="s">
        <v>408</v>
      </c>
      <c r="G12" t="s">
        <v>65</v>
      </c>
      <c r="M12" s="28" t="s">
        <v>14209</v>
      </c>
    </row>
    <row r="13" spans="1:14" hidden="1" x14ac:dyDescent="0.25">
      <c r="A13" t="s">
        <v>14235</v>
      </c>
      <c r="B13" t="s">
        <v>11992</v>
      </c>
      <c r="C13" t="s">
        <v>6814</v>
      </c>
      <c r="D13" t="s">
        <v>11993</v>
      </c>
      <c r="E13" s="28" t="s">
        <v>1177</v>
      </c>
      <c r="F13" t="s">
        <v>813</v>
      </c>
      <c r="G13" t="s">
        <v>137</v>
      </c>
      <c r="M13" s="28" t="s">
        <v>805</v>
      </c>
      <c r="N13" t="s">
        <v>313</v>
      </c>
    </row>
    <row r="14" spans="1:14" hidden="1" x14ac:dyDescent="0.25">
      <c r="A14" t="s">
        <v>8663</v>
      </c>
      <c r="B14" t="s">
        <v>2768</v>
      </c>
      <c r="C14" t="s">
        <v>2769</v>
      </c>
      <c r="D14" t="s">
        <v>2770</v>
      </c>
      <c r="E14" s="28" t="s">
        <v>890</v>
      </c>
      <c r="F14" t="s">
        <v>158</v>
      </c>
      <c r="G14" t="s">
        <v>74</v>
      </c>
      <c r="M14" s="28" t="s">
        <v>507</v>
      </c>
      <c r="N14" t="s">
        <v>313</v>
      </c>
    </row>
    <row r="15" spans="1:14" hidden="1" x14ac:dyDescent="0.25">
      <c r="A15" t="s">
        <v>13281</v>
      </c>
      <c r="B15" t="s">
        <v>13282</v>
      </c>
      <c r="C15" t="s">
        <v>12472</v>
      </c>
      <c r="D15" t="s">
        <v>13283</v>
      </c>
      <c r="E15" s="28" t="s">
        <v>1023</v>
      </c>
      <c r="F15" t="s">
        <v>158</v>
      </c>
      <c r="G15" t="s">
        <v>74</v>
      </c>
      <c r="M15" s="28" t="s">
        <v>507</v>
      </c>
      <c r="N15" t="s">
        <v>313</v>
      </c>
    </row>
    <row r="16" spans="1:14" hidden="1" x14ac:dyDescent="0.25">
      <c r="A16" t="s">
        <v>10768</v>
      </c>
      <c r="B16" t="s">
        <v>7251</v>
      </c>
      <c r="C16" t="s">
        <v>7252</v>
      </c>
      <c r="D16" t="s">
        <v>11686</v>
      </c>
      <c r="E16" s="28" t="s">
        <v>890</v>
      </c>
      <c r="F16" t="s">
        <v>7253</v>
      </c>
      <c r="G16" t="s">
        <v>7872</v>
      </c>
      <c r="M16" s="28" t="s">
        <v>11680</v>
      </c>
      <c r="N16" t="s">
        <v>11680</v>
      </c>
    </row>
    <row r="17" spans="1:14" hidden="1" x14ac:dyDescent="0.25">
      <c r="A17" t="s">
        <v>11931</v>
      </c>
      <c r="B17" t="s">
        <v>6535</v>
      </c>
      <c r="C17" t="s">
        <v>6534</v>
      </c>
      <c r="D17" t="s">
        <v>6536</v>
      </c>
      <c r="E17" s="28" t="s">
        <v>896</v>
      </c>
      <c r="F17" t="s">
        <v>99</v>
      </c>
      <c r="G17" t="s">
        <v>129</v>
      </c>
      <c r="M17" s="28" t="s">
        <v>802</v>
      </c>
      <c r="N17" t="s">
        <v>313</v>
      </c>
    </row>
    <row r="18" spans="1:14" hidden="1" x14ac:dyDescent="0.25">
      <c r="A18" t="s">
        <v>8760</v>
      </c>
      <c r="B18" t="s">
        <v>2995</v>
      </c>
      <c r="C18" t="s">
        <v>2996</v>
      </c>
      <c r="D18" t="s">
        <v>2997</v>
      </c>
      <c r="E18" s="28" t="s">
        <v>890</v>
      </c>
      <c r="F18" t="s">
        <v>891</v>
      </c>
      <c r="G18" t="s">
        <v>88</v>
      </c>
      <c r="M18" s="28" t="s">
        <v>549</v>
      </c>
      <c r="N18" t="s">
        <v>313</v>
      </c>
    </row>
    <row r="19" spans="1:14" hidden="1" x14ac:dyDescent="0.25">
      <c r="A19" t="s">
        <v>10484</v>
      </c>
      <c r="B19" t="s">
        <v>6632</v>
      </c>
      <c r="C19" t="s">
        <v>1332</v>
      </c>
      <c r="D19" t="s">
        <v>6633</v>
      </c>
      <c r="E19" s="28" t="s">
        <v>890</v>
      </c>
      <c r="F19" t="s">
        <v>806</v>
      </c>
      <c r="G19" t="s">
        <v>137</v>
      </c>
      <c r="M19" s="28" t="s">
        <v>805</v>
      </c>
      <c r="N19" t="s">
        <v>313</v>
      </c>
    </row>
    <row r="20" spans="1:14" hidden="1" x14ac:dyDescent="0.25">
      <c r="A20" t="s">
        <v>10485</v>
      </c>
      <c r="B20" t="s">
        <v>6632</v>
      </c>
      <c r="C20" t="s">
        <v>1703</v>
      </c>
      <c r="D20" t="s">
        <v>6635</v>
      </c>
      <c r="E20" s="28" t="s">
        <v>896</v>
      </c>
      <c r="F20" t="s">
        <v>891</v>
      </c>
      <c r="G20" t="s">
        <v>137</v>
      </c>
      <c r="M20" s="28" t="s">
        <v>805</v>
      </c>
      <c r="N20" t="s">
        <v>313</v>
      </c>
    </row>
    <row r="21" spans="1:14" hidden="1" x14ac:dyDescent="0.25">
      <c r="A21" t="s">
        <v>10557</v>
      </c>
      <c r="B21" t="s">
        <v>6632</v>
      </c>
      <c r="C21" t="s">
        <v>6671</v>
      </c>
      <c r="D21" t="s">
        <v>6775</v>
      </c>
      <c r="E21" s="28" t="s">
        <v>896</v>
      </c>
      <c r="F21" t="s">
        <v>6644</v>
      </c>
      <c r="G21" t="s">
        <v>137</v>
      </c>
      <c r="M21" s="28" t="s">
        <v>805</v>
      </c>
      <c r="N21" t="s">
        <v>313</v>
      </c>
    </row>
    <row r="22" spans="1:14" hidden="1" x14ac:dyDescent="0.25">
      <c r="A22" t="s">
        <v>8761</v>
      </c>
      <c r="B22" t="s">
        <v>2998</v>
      </c>
      <c r="C22" t="s">
        <v>2111</v>
      </c>
      <c r="D22" t="s">
        <v>2999</v>
      </c>
      <c r="E22" s="28" t="s">
        <v>896</v>
      </c>
      <c r="F22" t="s">
        <v>891</v>
      </c>
      <c r="G22" t="s">
        <v>88</v>
      </c>
      <c r="M22" s="28" t="s">
        <v>549</v>
      </c>
      <c r="N22" t="s">
        <v>313</v>
      </c>
    </row>
    <row r="23" spans="1:14" hidden="1" x14ac:dyDescent="0.25">
      <c r="A23" t="s">
        <v>8762</v>
      </c>
      <c r="B23" t="s">
        <v>3000</v>
      </c>
      <c r="C23" t="s">
        <v>3001</v>
      </c>
      <c r="D23" t="s">
        <v>3002</v>
      </c>
      <c r="E23" s="28" t="s">
        <v>890</v>
      </c>
      <c r="F23" t="s">
        <v>566</v>
      </c>
      <c r="G23" t="s">
        <v>88</v>
      </c>
      <c r="M23" s="28" t="s">
        <v>549</v>
      </c>
      <c r="N23" t="s">
        <v>313</v>
      </c>
    </row>
    <row r="24" spans="1:14" hidden="1" x14ac:dyDescent="0.25">
      <c r="A24" t="s">
        <v>8763</v>
      </c>
      <c r="B24" t="s">
        <v>3003</v>
      </c>
      <c r="C24" t="s">
        <v>2159</v>
      </c>
      <c r="D24" t="s">
        <v>3004</v>
      </c>
      <c r="E24" s="28" t="s">
        <v>896</v>
      </c>
      <c r="F24" t="s">
        <v>891</v>
      </c>
      <c r="G24" t="s">
        <v>88</v>
      </c>
      <c r="M24" s="28" t="s">
        <v>549</v>
      </c>
      <c r="N24" t="s">
        <v>313</v>
      </c>
    </row>
    <row r="25" spans="1:14" hidden="1" x14ac:dyDescent="0.25">
      <c r="A25" t="s">
        <v>8764</v>
      </c>
      <c r="B25" t="s">
        <v>3005</v>
      </c>
      <c r="C25" t="s">
        <v>1172</v>
      </c>
      <c r="D25" t="s">
        <v>3006</v>
      </c>
      <c r="E25" s="28" t="s">
        <v>890</v>
      </c>
      <c r="F25" t="s">
        <v>556</v>
      </c>
      <c r="G25" t="s">
        <v>88</v>
      </c>
      <c r="M25" s="28" t="s">
        <v>549</v>
      </c>
      <c r="N25" t="s">
        <v>313</v>
      </c>
    </row>
    <row r="26" spans="1:14" hidden="1" x14ac:dyDescent="0.25">
      <c r="A26" t="s">
        <v>13569</v>
      </c>
      <c r="B26" t="s">
        <v>13570</v>
      </c>
      <c r="C26" t="s">
        <v>2522</v>
      </c>
      <c r="D26" t="s">
        <v>13571</v>
      </c>
      <c r="E26" s="28" t="s">
        <v>896</v>
      </c>
      <c r="F26" t="s">
        <v>105</v>
      </c>
      <c r="G26" t="s">
        <v>11</v>
      </c>
      <c r="M26" s="28" t="s">
        <v>413</v>
      </c>
      <c r="N26" t="s">
        <v>313</v>
      </c>
    </row>
    <row r="27" spans="1:14" hidden="1" x14ac:dyDescent="0.25">
      <c r="A27" t="s">
        <v>13404</v>
      </c>
      <c r="B27" t="s">
        <v>13405</v>
      </c>
      <c r="C27" t="s">
        <v>4606</v>
      </c>
      <c r="D27" t="s">
        <v>13406</v>
      </c>
      <c r="E27" s="28" t="s">
        <v>896</v>
      </c>
      <c r="F27" t="s">
        <v>13208</v>
      </c>
      <c r="G27" t="s">
        <v>15</v>
      </c>
      <c r="M27" s="28" t="s">
        <v>613</v>
      </c>
      <c r="N27" t="s">
        <v>313</v>
      </c>
    </row>
    <row r="28" spans="1:14" hidden="1" x14ac:dyDescent="0.25">
      <c r="A28" t="s">
        <v>14236</v>
      </c>
      <c r="B28" t="s">
        <v>14237</v>
      </c>
      <c r="C28" t="s">
        <v>14238</v>
      </c>
      <c r="D28" t="s">
        <v>14239</v>
      </c>
      <c r="E28" s="28" t="s">
        <v>896</v>
      </c>
      <c r="F28" t="s">
        <v>504</v>
      </c>
      <c r="G28" t="s">
        <v>11</v>
      </c>
      <c r="M28" s="28" t="s">
        <v>413</v>
      </c>
      <c r="N28" t="s">
        <v>313</v>
      </c>
    </row>
    <row r="29" spans="1:14" hidden="1" x14ac:dyDescent="0.25">
      <c r="A29" t="s">
        <v>8226</v>
      </c>
      <c r="B29" t="s">
        <v>1688</v>
      </c>
      <c r="C29" t="s">
        <v>1639</v>
      </c>
      <c r="D29" t="s">
        <v>1689</v>
      </c>
      <c r="E29" s="28" t="s">
        <v>890</v>
      </c>
      <c r="F29" t="s">
        <v>891</v>
      </c>
      <c r="G29" t="s">
        <v>43</v>
      </c>
      <c r="M29" s="28" t="s">
        <v>14205</v>
      </c>
    </row>
    <row r="30" spans="1:14" hidden="1" x14ac:dyDescent="0.25">
      <c r="A30" t="s">
        <v>8765</v>
      </c>
      <c r="B30" t="s">
        <v>3007</v>
      </c>
      <c r="C30" t="s">
        <v>1103</v>
      </c>
      <c r="D30" t="s">
        <v>3008</v>
      </c>
      <c r="E30" s="28" t="s">
        <v>890</v>
      </c>
      <c r="F30" t="s">
        <v>594</v>
      </c>
      <c r="G30" t="s">
        <v>88</v>
      </c>
      <c r="M30" s="28" t="s">
        <v>549</v>
      </c>
      <c r="N30" t="s">
        <v>313</v>
      </c>
    </row>
    <row r="31" spans="1:14" hidden="1" x14ac:dyDescent="0.25">
      <c r="A31" t="s">
        <v>8766</v>
      </c>
      <c r="B31" t="s">
        <v>3007</v>
      </c>
      <c r="C31" t="s">
        <v>3009</v>
      </c>
      <c r="D31" t="s">
        <v>3010</v>
      </c>
      <c r="E31" s="28" t="s">
        <v>896</v>
      </c>
      <c r="F31" t="s">
        <v>891</v>
      </c>
      <c r="G31" t="s">
        <v>88</v>
      </c>
      <c r="M31" s="28" t="s">
        <v>549</v>
      </c>
      <c r="N31" t="s">
        <v>313</v>
      </c>
    </row>
    <row r="32" spans="1:14" hidden="1" x14ac:dyDescent="0.25">
      <c r="A32" t="s">
        <v>10667</v>
      </c>
      <c r="B32" t="s">
        <v>2348</v>
      </c>
      <c r="C32" t="s">
        <v>7012</v>
      </c>
      <c r="D32" t="s">
        <v>7013</v>
      </c>
      <c r="E32" s="28" t="s">
        <v>890</v>
      </c>
      <c r="F32" t="s">
        <v>6901</v>
      </c>
      <c r="G32" t="s">
        <v>6896</v>
      </c>
      <c r="M32" s="28" t="s">
        <v>6897</v>
      </c>
      <c r="N32" t="s">
        <v>279</v>
      </c>
    </row>
    <row r="33" spans="1:14" hidden="1" x14ac:dyDescent="0.25">
      <c r="A33" t="s">
        <v>10688</v>
      </c>
      <c r="B33" t="s">
        <v>2348</v>
      </c>
      <c r="C33" t="s">
        <v>6915</v>
      </c>
      <c r="D33" t="s">
        <v>7061</v>
      </c>
      <c r="E33" s="28" t="s">
        <v>890</v>
      </c>
      <c r="F33" t="s">
        <v>7062</v>
      </c>
      <c r="G33" t="s">
        <v>6896</v>
      </c>
      <c r="M33" s="28" t="s">
        <v>6897</v>
      </c>
      <c r="N33" t="s">
        <v>279</v>
      </c>
    </row>
    <row r="34" spans="1:14" hidden="1" x14ac:dyDescent="0.25">
      <c r="A34" t="s">
        <v>10370</v>
      </c>
      <c r="B34" t="s">
        <v>6295</v>
      </c>
      <c r="C34" t="s">
        <v>2919</v>
      </c>
      <c r="D34" t="s">
        <v>6296</v>
      </c>
      <c r="E34" s="28" t="s">
        <v>896</v>
      </c>
      <c r="F34" t="s">
        <v>702</v>
      </c>
      <c r="G34" t="s">
        <v>15</v>
      </c>
      <c r="M34" s="28" t="s">
        <v>613</v>
      </c>
      <c r="N34" t="s">
        <v>313</v>
      </c>
    </row>
    <row r="35" spans="1:14" hidden="1" x14ac:dyDescent="0.25">
      <c r="A35" t="s">
        <v>10371</v>
      </c>
      <c r="B35" t="s">
        <v>6295</v>
      </c>
      <c r="C35" t="s">
        <v>4549</v>
      </c>
      <c r="D35" t="s">
        <v>6297</v>
      </c>
      <c r="E35" s="28" t="s">
        <v>1023</v>
      </c>
      <c r="F35" t="s">
        <v>702</v>
      </c>
      <c r="G35" t="s">
        <v>15</v>
      </c>
      <c r="M35" s="28" t="s">
        <v>613</v>
      </c>
      <c r="N35" t="s">
        <v>313</v>
      </c>
    </row>
    <row r="36" spans="1:14" hidden="1" x14ac:dyDescent="0.25">
      <c r="A36" t="s">
        <v>9495</v>
      </c>
      <c r="B36" t="s">
        <v>4486</v>
      </c>
      <c r="C36" t="s">
        <v>3563</v>
      </c>
      <c r="D36" t="s">
        <v>4487</v>
      </c>
      <c r="E36" s="28" t="s">
        <v>890</v>
      </c>
      <c r="F36" t="s">
        <v>891</v>
      </c>
      <c r="G36" t="s">
        <v>88</v>
      </c>
      <c r="M36" s="28" t="s">
        <v>549</v>
      </c>
      <c r="N36" t="s">
        <v>313</v>
      </c>
    </row>
    <row r="37" spans="1:14" hidden="1" x14ac:dyDescent="0.25">
      <c r="A37" t="s">
        <v>13061</v>
      </c>
      <c r="B37" t="s">
        <v>12612</v>
      </c>
      <c r="C37" t="s">
        <v>13062</v>
      </c>
      <c r="D37" t="s">
        <v>12613</v>
      </c>
      <c r="E37" s="28" t="s">
        <v>890</v>
      </c>
      <c r="F37" t="s">
        <v>11563</v>
      </c>
      <c r="G37" t="s">
        <v>110</v>
      </c>
      <c r="M37" s="28" t="s">
        <v>13563</v>
      </c>
      <c r="N37" t="s">
        <v>279</v>
      </c>
    </row>
    <row r="38" spans="1:14" hidden="1" x14ac:dyDescent="0.25">
      <c r="A38" t="s">
        <v>8767</v>
      </c>
      <c r="B38" t="s">
        <v>3011</v>
      </c>
      <c r="C38" t="s">
        <v>3012</v>
      </c>
      <c r="D38" t="s">
        <v>3013</v>
      </c>
      <c r="E38" s="28" t="s">
        <v>890</v>
      </c>
      <c r="F38" t="s">
        <v>891</v>
      </c>
      <c r="G38" t="s">
        <v>88</v>
      </c>
      <c r="M38" s="28" t="s">
        <v>549</v>
      </c>
      <c r="N38" t="s">
        <v>313</v>
      </c>
    </row>
    <row r="39" spans="1:14" hidden="1" x14ac:dyDescent="0.25">
      <c r="A39" t="s">
        <v>8768</v>
      </c>
      <c r="B39" t="s">
        <v>3014</v>
      </c>
      <c r="C39" t="s">
        <v>3015</v>
      </c>
      <c r="D39" t="s">
        <v>3016</v>
      </c>
      <c r="E39" s="28" t="s">
        <v>890</v>
      </c>
      <c r="F39" t="s">
        <v>891</v>
      </c>
      <c r="G39" t="s">
        <v>88</v>
      </c>
      <c r="M39" s="28" t="s">
        <v>549</v>
      </c>
      <c r="N39" t="s">
        <v>313</v>
      </c>
    </row>
    <row r="40" spans="1:14" hidden="1" x14ac:dyDescent="0.25">
      <c r="A40" t="s">
        <v>10561</v>
      </c>
      <c r="B40" t="s">
        <v>6781</v>
      </c>
      <c r="C40" t="s">
        <v>996</v>
      </c>
      <c r="D40" t="s">
        <v>6782</v>
      </c>
      <c r="E40" s="28" t="s">
        <v>930</v>
      </c>
      <c r="F40" t="s">
        <v>813</v>
      </c>
      <c r="G40" t="s">
        <v>137</v>
      </c>
      <c r="M40" s="28" t="s">
        <v>805</v>
      </c>
      <c r="N40" t="s">
        <v>313</v>
      </c>
    </row>
    <row r="41" spans="1:14" hidden="1" x14ac:dyDescent="0.25">
      <c r="A41" t="s">
        <v>10792</v>
      </c>
      <c r="B41" t="s">
        <v>7313</v>
      </c>
      <c r="C41" t="s">
        <v>1061</v>
      </c>
      <c r="D41" t="s">
        <v>7314</v>
      </c>
      <c r="E41" s="28" t="s">
        <v>896</v>
      </c>
      <c r="F41" t="s">
        <v>4635</v>
      </c>
      <c r="G41" t="s">
        <v>157</v>
      </c>
      <c r="M41" s="28" t="s">
        <v>840</v>
      </c>
      <c r="N41" t="s">
        <v>382</v>
      </c>
    </row>
    <row r="42" spans="1:14" hidden="1" x14ac:dyDescent="0.25">
      <c r="A42" t="s">
        <v>10369</v>
      </c>
      <c r="B42" t="s">
        <v>6293</v>
      </c>
      <c r="C42" t="s">
        <v>4789</v>
      </c>
      <c r="D42" t="s">
        <v>6294</v>
      </c>
      <c r="E42" s="28" t="s">
        <v>896</v>
      </c>
      <c r="F42" t="s">
        <v>644</v>
      </c>
      <c r="G42" t="s">
        <v>15</v>
      </c>
      <c r="M42" s="28" t="s">
        <v>613</v>
      </c>
      <c r="N42" t="s">
        <v>313</v>
      </c>
    </row>
    <row r="43" spans="1:14" hidden="1" x14ac:dyDescent="0.25">
      <c r="A43" t="s">
        <v>13572</v>
      </c>
      <c r="B43" t="s">
        <v>6293</v>
      </c>
      <c r="C43" t="s">
        <v>4977</v>
      </c>
      <c r="D43" t="s">
        <v>13573</v>
      </c>
      <c r="E43" s="28" t="s">
        <v>1177</v>
      </c>
      <c r="F43" t="s">
        <v>746</v>
      </c>
      <c r="G43" t="s">
        <v>15</v>
      </c>
      <c r="M43" s="28" t="s">
        <v>613</v>
      </c>
      <c r="N43" t="s">
        <v>313</v>
      </c>
    </row>
    <row r="44" spans="1:14" hidden="1" x14ac:dyDescent="0.25">
      <c r="A44" t="s">
        <v>8579</v>
      </c>
      <c r="B44" t="s">
        <v>1222</v>
      </c>
      <c r="C44" t="s">
        <v>1204</v>
      </c>
      <c r="D44" t="s">
        <v>2558</v>
      </c>
      <c r="E44" s="28" t="s">
        <v>896</v>
      </c>
      <c r="F44" t="s">
        <v>891</v>
      </c>
      <c r="G44" t="s">
        <v>11</v>
      </c>
      <c r="M44" s="28" t="s">
        <v>413</v>
      </c>
      <c r="N44" t="s">
        <v>313</v>
      </c>
    </row>
    <row r="45" spans="1:14" hidden="1" x14ac:dyDescent="0.25">
      <c r="A45" t="s">
        <v>8769</v>
      </c>
      <c r="B45" t="s">
        <v>3017</v>
      </c>
      <c r="C45" t="s">
        <v>3018</v>
      </c>
      <c r="D45" t="s">
        <v>3019</v>
      </c>
      <c r="E45" s="28" t="s">
        <v>890</v>
      </c>
      <c r="F45" t="s">
        <v>891</v>
      </c>
      <c r="G45" t="s">
        <v>88</v>
      </c>
      <c r="M45" s="28" t="s">
        <v>549</v>
      </c>
      <c r="N45" t="s">
        <v>313</v>
      </c>
    </row>
    <row r="46" spans="1:14" hidden="1" x14ac:dyDescent="0.25">
      <c r="A46" t="s">
        <v>8770</v>
      </c>
      <c r="B46" t="s">
        <v>3020</v>
      </c>
      <c r="C46" t="s">
        <v>3021</v>
      </c>
      <c r="D46" t="s">
        <v>3022</v>
      </c>
      <c r="E46" s="28" t="s">
        <v>890</v>
      </c>
      <c r="F46" t="s">
        <v>579</v>
      </c>
      <c r="G46" t="s">
        <v>88</v>
      </c>
      <c r="M46" s="28" t="s">
        <v>549</v>
      </c>
      <c r="N46" t="s">
        <v>313</v>
      </c>
    </row>
    <row r="47" spans="1:14" hidden="1" x14ac:dyDescent="0.25">
      <c r="A47" t="s">
        <v>12466</v>
      </c>
      <c r="B47" t="s">
        <v>12467</v>
      </c>
      <c r="C47" t="s">
        <v>2651</v>
      </c>
      <c r="D47" t="s">
        <v>12468</v>
      </c>
      <c r="E47" s="28" t="s">
        <v>930</v>
      </c>
      <c r="F47" t="s">
        <v>170</v>
      </c>
      <c r="G47" t="s">
        <v>74</v>
      </c>
      <c r="M47" s="28" t="s">
        <v>507</v>
      </c>
      <c r="N47" t="s">
        <v>313</v>
      </c>
    </row>
    <row r="48" spans="1:14" hidden="1" x14ac:dyDescent="0.25">
      <c r="A48" t="s">
        <v>10743</v>
      </c>
      <c r="B48" t="s">
        <v>7189</v>
      </c>
      <c r="C48" t="s">
        <v>7141</v>
      </c>
      <c r="D48" t="s">
        <v>7190</v>
      </c>
      <c r="E48" s="28" t="s">
        <v>890</v>
      </c>
      <c r="F48" t="s">
        <v>7062</v>
      </c>
      <c r="G48" t="s">
        <v>6896</v>
      </c>
      <c r="M48" s="28" t="s">
        <v>6897</v>
      </c>
      <c r="N48" t="s">
        <v>279</v>
      </c>
    </row>
    <row r="49" spans="1:14" hidden="1" x14ac:dyDescent="0.25">
      <c r="A49" t="s">
        <v>10368</v>
      </c>
      <c r="B49" t="s">
        <v>6291</v>
      </c>
      <c r="C49" t="s">
        <v>4440</v>
      </c>
      <c r="D49" t="s">
        <v>6292</v>
      </c>
      <c r="E49" s="28" t="s">
        <v>896</v>
      </c>
      <c r="F49" t="s">
        <v>4601</v>
      </c>
      <c r="G49" t="s">
        <v>15</v>
      </c>
      <c r="M49" s="28" t="s">
        <v>613</v>
      </c>
      <c r="N49" t="s">
        <v>313</v>
      </c>
    </row>
    <row r="50" spans="1:14" hidden="1" x14ac:dyDescent="0.25">
      <c r="A50" t="s">
        <v>8771</v>
      </c>
      <c r="B50" t="s">
        <v>2670</v>
      </c>
      <c r="C50" t="s">
        <v>1718</v>
      </c>
      <c r="D50" t="s">
        <v>3023</v>
      </c>
      <c r="E50" s="28" t="s">
        <v>896</v>
      </c>
      <c r="F50" t="s">
        <v>891</v>
      </c>
      <c r="G50" t="s">
        <v>88</v>
      </c>
      <c r="M50" s="28" t="s">
        <v>549</v>
      </c>
      <c r="N50" t="s">
        <v>313</v>
      </c>
    </row>
    <row r="51" spans="1:14" hidden="1" x14ac:dyDescent="0.25">
      <c r="A51" t="s">
        <v>8772</v>
      </c>
      <c r="B51" t="s">
        <v>3024</v>
      </c>
      <c r="C51" t="s">
        <v>3025</v>
      </c>
      <c r="D51" t="s">
        <v>3026</v>
      </c>
      <c r="E51" s="28" t="s">
        <v>890</v>
      </c>
      <c r="F51" t="s">
        <v>579</v>
      </c>
      <c r="G51" t="s">
        <v>88</v>
      </c>
      <c r="M51" s="28" t="s">
        <v>549</v>
      </c>
      <c r="N51" t="s">
        <v>313</v>
      </c>
    </row>
    <row r="52" spans="1:14" hidden="1" x14ac:dyDescent="0.25">
      <c r="A52" t="s">
        <v>11871</v>
      </c>
      <c r="B52" t="s">
        <v>11872</v>
      </c>
      <c r="C52" t="s">
        <v>4781</v>
      </c>
      <c r="D52" t="s">
        <v>11873</v>
      </c>
      <c r="E52" s="28" t="s">
        <v>896</v>
      </c>
      <c r="F52" t="s">
        <v>11870</v>
      </c>
      <c r="G52" t="s">
        <v>15</v>
      </c>
      <c r="M52" s="28" t="s">
        <v>613</v>
      </c>
      <c r="N52" t="s">
        <v>313</v>
      </c>
    </row>
    <row r="53" spans="1:14" hidden="1" x14ac:dyDescent="0.25">
      <c r="A53" t="s">
        <v>13574</v>
      </c>
      <c r="B53" t="s">
        <v>13575</v>
      </c>
      <c r="C53" t="s">
        <v>6554</v>
      </c>
      <c r="D53" t="s">
        <v>13576</v>
      </c>
      <c r="E53" s="28" t="s">
        <v>896</v>
      </c>
      <c r="F53" t="s">
        <v>10901</v>
      </c>
      <c r="G53" t="s">
        <v>11</v>
      </c>
      <c r="M53" s="28" t="s">
        <v>413</v>
      </c>
      <c r="N53" t="s">
        <v>313</v>
      </c>
    </row>
    <row r="54" spans="1:14" hidden="1" x14ac:dyDescent="0.25">
      <c r="A54" t="s">
        <v>10367</v>
      </c>
      <c r="B54" t="s">
        <v>6289</v>
      </c>
      <c r="C54" t="s">
        <v>2468</v>
      </c>
      <c r="D54" t="s">
        <v>6290</v>
      </c>
      <c r="E54" s="28" t="s">
        <v>890</v>
      </c>
      <c r="F54" t="s">
        <v>4586</v>
      </c>
      <c r="G54" t="s">
        <v>15</v>
      </c>
      <c r="M54" s="28" t="s">
        <v>613</v>
      </c>
      <c r="N54" t="s">
        <v>313</v>
      </c>
    </row>
    <row r="55" spans="1:14" hidden="1" x14ac:dyDescent="0.25">
      <c r="A55" t="s">
        <v>10553</v>
      </c>
      <c r="B55" t="s">
        <v>6766</v>
      </c>
      <c r="C55" t="s">
        <v>1530</v>
      </c>
      <c r="D55" t="s">
        <v>6767</v>
      </c>
      <c r="E55" s="28" t="s">
        <v>890</v>
      </c>
      <c r="F55" t="s">
        <v>891</v>
      </c>
      <c r="G55" t="s">
        <v>137</v>
      </c>
      <c r="M55" s="28" t="s">
        <v>805</v>
      </c>
      <c r="N55" t="s">
        <v>313</v>
      </c>
    </row>
    <row r="56" spans="1:14" hidden="1" x14ac:dyDescent="0.25">
      <c r="A56" t="s">
        <v>10565</v>
      </c>
      <c r="B56" t="s">
        <v>6766</v>
      </c>
      <c r="C56" t="s">
        <v>1424</v>
      </c>
      <c r="D56" t="s">
        <v>6787</v>
      </c>
      <c r="E56" s="28" t="s">
        <v>930</v>
      </c>
      <c r="F56" t="s">
        <v>813</v>
      </c>
      <c r="G56" t="s">
        <v>137</v>
      </c>
      <c r="M56" s="28" t="s">
        <v>805</v>
      </c>
      <c r="N56" t="s">
        <v>313</v>
      </c>
    </row>
    <row r="57" spans="1:14" hidden="1" x14ac:dyDescent="0.25">
      <c r="A57" t="s">
        <v>8666</v>
      </c>
      <c r="B57" t="s">
        <v>2776</v>
      </c>
      <c r="C57" t="s">
        <v>2777</v>
      </c>
      <c r="D57" t="s">
        <v>2778</v>
      </c>
      <c r="E57" s="28" t="s">
        <v>890</v>
      </c>
      <c r="F57" t="s">
        <v>519</v>
      </c>
      <c r="G57" t="s">
        <v>74</v>
      </c>
      <c r="M57" s="28" t="s">
        <v>507</v>
      </c>
      <c r="N57" t="s">
        <v>313</v>
      </c>
    </row>
    <row r="58" spans="1:14" hidden="1" x14ac:dyDescent="0.25">
      <c r="A58" t="s">
        <v>8649</v>
      </c>
      <c r="B58" t="s">
        <v>2733</v>
      </c>
      <c r="C58" t="s">
        <v>2662</v>
      </c>
      <c r="D58" t="s">
        <v>2734</v>
      </c>
      <c r="E58" s="28" t="s">
        <v>890</v>
      </c>
      <c r="F58" t="s">
        <v>158</v>
      </c>
      <c r="G58" t="s">
        <v>74</v>
      </c>
      <c r="M58" s="28" t="s">
        <v>507</v>
      </c>
      <c r="N58" t="s">
        <v>313</v>
      </c>
    </row>
    <row r="59" spans="1:14" hidden="1" x14ac:dyDescent="0.25">
      <c r="A59" t="s">
        <v>8743</v>
      </c>
      <c r="B59" t="s">
        <v>2958</v>
      </c>
      <c r="C59" t="s">
        <v>2959</v>
      </c>
      <c r="D59" t="s">
        <v>2960</v>
      </c>
      <c r="E59" s="28" t="s">
        <v>890</v>
      </c>
      <c r="F59" t="s">
        <v>543</v>
      </c>
      <c r="G59" t="s">
        <v>86</v>
      </c>
      <c r="M59" s="28" t="s">
        <v>546</v>
      </c>
      <c r="N59" t="s">
        <v>313</v>
      </c>
    </row>
    <row r="60" spans="1:14" hidden="1" x14ac:dyDescent="0.25">
      <c r="A60" t="s">
        <v>12003</v>
      </c>
      <c r="B60" t="s">
        <v>6755</v>
      </c>
      <c r="C60" t="s">
        <v>1045</v>
      </c>
      <c r="D60" t="s">
        <v>12004</v>
      </c>
      <c r="E60" s="28" t="s">
        <v>1177</v>
      </c>
      <c r="F60" t="s">
        <v>813</v>
      </c>
      <c r="G60" t="s">
        <v>137</v>
      </c>
      <c r="M60" s="28" t="s">
        <v>805</v>
      </c>
      <c r="N60" t="s">
        <v>313</v>
      </c>
    </row>
    <row r="61" spans="1:14" hidden="1" x14ac:dyDescent="0.25">
      <c r="A61" t="s">
        <v>11983</v>
      </c>
      <c r="B61" t="s">
        <v>6755</v>
      </c>
      <c r="C61" t="s">
        <v>1738</v>
      </c>
      <c r="D61" t="s">
        <v>11984</v>
      </c>
      <c r="E61" s="28" t="s">
        <v>1023</v>
      </c>
      <c r="F61" t="s">
        <v>813</v>
      </c>
      <c r="G61" t="s">
        <v>137</v>
      </c>
      <c r="M61" s="28" t="s">
        <v>805</v>
      </c>
      <c r="N61" t="s">
        <v>313</v>
      </c>
    </row>
    <row r="62" spans="1:14" hidden="1" x14ac:dyDescent="0.25">
      <c r="A62" t="s">
        <v>10547</v>
      </c>
      <c r="B62" t="s">
        <v>6755</v>
      </c>
      <c r="C62" t="s">
        <v>6671</v>
      </c>
      <c r="D62" t="s">
        <v>6756</v>
      </c>
      <c r="E62" s="28" t="s">
        <v>890</v>
      </c>
      <c r="F62" t="s">
        <v>6631</v>
      </c>
      <c r="G62" t="s">
        <v>137</v>
      </c>
      <c r="M62" s="28" t="s">
        <v>805</v>
      </c>
      <c r="N62" t="s">
        <v>313</v>
      </c>
    </row>
    <row r="63" spans="1:14" hidden="1" x14ac:dyDescent="0.25">
      <c r="A63" t="s">
        <v>10366</v>
      </c>
      <c r="B63" t="s">
        <v>6287</v>
      </c>
      <c r="C63" t="s">
        <v>4871</v>
      </c>
      <c r="D63" t="s">
        <v>6288</v>
      </c>
      <c r="E63" s="28" t="s">
        <v>896</v>
      </c>
      <c r="F63" t="s">
        <v>4638</v>
      </c>
      <c r="G63" t="s">
        <v>15</v>
      </c>
      <c r="M63" s="28" t="s">
        <v>613</v>
      </c>
      <c r="N63" t="s">
        <v>313</v>
      </c>
    </row>
    <row r="64" spans="1:14" hidden="1" x14ac:dyDescent="0.25">
      <c r="A64" t="s">
        <v>12601</v>
      </c>
      <c r="B64" t="s">
        <v>12602</v>
      </c>
      <c r="C64" t="s">
        <v>12603</v>
      </c>
      <c r="D64" t="s">
        <v>12604</v>
      </c>
      <c r="E64" s="28" t="s">
        <v>890</v>
      </c>
      <c r="F64" t="s">
        <v>783</v>
      </c>
      <c r="G64" t="s">
        <v>110</v>
      </c>
      <c r="M64" s="28" t="s">
        <v>13563</v>
      </c>
      <c r="N64" t="s">
        <v>279</v>
      </c>
    </row>
    <row r="65" spans="1:14" hidden="1" x14ac:dyDescent="0.25">
      <c r="A65" t="s">
        <v>10543</v>
      </c>
      <c r="B65" t="s">
        <v>6636</v>
      </c>
      <c r="C65" t="s">
        <v>1332</v>
      </c>
      <c r="D65" t="s">
        <v>6749</v>
      </c>
      <c r="E65" s="28" t="s">
        <v>930</v>
      </c>
      <c r="F65" t="s">
        <v>891</v>
      </c>
      <c r="G65" t="s">
        <v>137</v>
      </c>
      <c r="M65" s="28" t="s">
        <v>805</v>
      </c>
      <c r="N65" t="s">
        <v>313</v>
      </c>
    </row>
    <row r="66" spans="1:14" hidden="1" x14ac:dyDescent="0.25">
      <c r="A66" t="s">
        <v>10486</v>
      </c>
      <c r="B66" t="s">
        <v>6636</v>
      </c>
      <c r="C66" t="s">
        <v>2783</v>
      </c>
      <c r="D66" t="s">
        <v>6637</v>
      </c>
      <c r="E66" s="28" t="s">
        <v>896</v>
      </c>
      <c r="F66" t="s">
        <v>806</v>
      </c>
      <c r="G66" t="s">
        <v>137</v>
      </c>
      <c r="M66" s="28" t="s">
        <v>805</v>
      </c>
      <c r="N66" t="s">
        <v>313</v>
      </c>
    </row>
    <row r="67" spans="1:14" hidden="1" x14ac:dyDescent="0.25">
      <c r="A67" t="s">
        <v>10544</v>
      </c>
      <c r="B67" t="s">
        <v>6636</v>
      </c>
      <c r="C67" t="s">
        <v>1885</v>
      </c>
      <c r="D67" t="s">
        <v>6750</v>
      </c>
      <c r="E67" s="28" t="s">
        <v>1023</v>
      </c>
      <c r="F67" t="s">
        <v>6634</v>
      </c>
      <c r="G67" t="s">
        <v>137</v>
      </c>
      <c r="M67" s="28" t="s">
        <v>805</v>
      </c>
      <c r="N67" t="s">
        <v>313</v>
      </c>
    </row>
    <row r="68" spans="1:14" hidden="1" x14ac:dyDescent="0.25">
      <c r="A68" t="s">
        <v>12005</v>
      </c>
      <c r="B68" t="s">
        <v>6636</v>
      </c>
      <c r="C68" t="s">
        <v>996</v>
      </c>
      <c r="D68" t="s">
        <v>12006</v>
      </c>
      <c r="E68" s="28" t="s">
        <v>1023</v>
      </c>
      <c r="F68" t="s">
        <v>813</v>
      </c>
      <c r="G68" t="s">
        <v>137</v>
      </c>
      <c r="M68" s="28" t="s">
        <v>805</v>
      </c>
      <c r="N68" t="s">
        <v>313</v>
      </c>
    </row>
    <row r="69" spans="1:14" hidden="1" x14ac:dyDescent="0.25">
      <c r="A69" t="s">
        <v>10365</v>
      </c>
      <c r="B69" t="s">
        <v>6284</v>
      </c>
      <c r="C69" t="s">
        <v>6285</v>
      </c>
      <c r="D69" t="s">
        <v>6286</v>
      </c>
      <c r="E69" s="28" t="s">
        <v>896</v>
      </c>
      <c r="F69" t="s">
        <v>4909</v>
      </c>
      <c r="G69" t="s">
        <v>15</v>
      </c>
      <c r="M69" s="28" t="s">
        <v>613</v>
      </c>
      <c r="N69" t="s">
        <v>313</v>
      </c>
    </row>
    <row r="70" spans="1:14" hidden="1" x14ac:dyDescent="0.25">
      <c r="A70" t="s">
        <v>10364</v>
      </c>
      <c r="B70" t="s">
        <v>6282</v>
      </c>
      <c r="C70" t="s">
        <v>4557</v>
      </c>
      <c r="D70" t="s">
        <v>6283</v>
      </c>
      <c r="E70" s="28" t="s">
        <v>890</v>
      </c>
      <c r="F70" t="s">
        <v>620</v>
      </c>
      <c r="G70" t="s">
        <v>15</v>
      </c>
      <c r="M70" s="28" t="s">
        <v>613</v>
      </c>
      <c r="N70" t="s">
        <v>313</v>
      </c>
    </row>
    <row r="71" spans="1:14" hidden="1" x14ac:dyDescent="0.25">
      <c r="A71" t="s">
        <v>8696</v>
      </c>
      <c r="B71" t="s">
        <v>2851</v>
      </c>
      <c r="C71" t="s">
        <v>2852</v>
      </c>
      <c r="D71" t="s">
        <v>2853</v>
      </c>
      <c r="E71" s="28" t="s">
        <v>890</v>
      </c>
      <c r="F71" t="s">
        <v>179</v>
      </c>
      <c r="G71" t="s">
        <v>81</v>
      </c>
      <c r="M71" s="28" t="s">
        <v>530</v>
      </c>
      <c r="N71" t="s">
        <v>313</v>
      </c>
    </row>
    <row r="72" spans="1:14" hidden="1" x14ac:dyDescent="0.25">
      <c r="A72" t="s">
        <v>10793</v>
      </c>
      <c r="B72" t="s">
        <v>7315</v>
      </c>
      <c r="C72" t="s">
        <v>7316</v>
      </c>
      <c r="D72" t="s">
        <v>7317</v>
      </c>
      <c r="E72" s="28" t="s">
        <v>896</v>
      </c>
      <c r="F72" t="s">
        <v>869</v>
      </c>
      <c r="G72" t="s">
        <v>157</v>
      </c>
      <c r="M72" s="28" t="s">
        <v>840</v>
      </c>
      <c r="N72" t="s">
        <v>382</v>
      </c>
    </row>
    <row r="73" spans="1:14" hidden="1" x14ac:dyDescent="0.25">
      <c r="A73" t="s">
        <v>8773</v>
      </c>
      <c r="B73" t="s">
        <v>3027</v>
      </c>
      <c r="C73" t="s">
        <v>3028</v>
      </c>
      <c r="D73" t="s">
        <v>3029</v>
      </c>
      <c r="E73" s="28" t="s">
        <v>930</v>
      </c>
      <c r="F73" t="s">
        <v>891</v>
      </c>
      <c r="G73" t="s">
        <v>88</v>
      </c>
      <c r="M73" s="28" t="s">
        <v>549</v>
      </c>
      <c r="N73" t="s">
        <v>313</v>
      </c>
    </row>
    <row r="74" spans="1:14" hidden="1" x14ac:dyDescent="0.25">
      <c r="A74" t="s">
        <v>10363</v>
      </c>
      <c r="B74" t="s">
        <v>6279</v>
      </c>
      <c r="C74" t="s">
        <v>6280</v>
      </c>
      <c r="D74" t="s">
        <v>6281</v>
      </c>
      <c r="E74" s="28" t="s">
        <v>896</v>
      </c>
      <c r="F74" t="s">
        <v>727</v>
      </c>
      <c r="G74" t="s">
        <v>15</v>
      </c>
      <c r="M74" s="28" t="s">
        <v>613</v>
      </c>
      <c r="N74" t="s">
        <v>313</v>
      </c>
    </row>
    <row r="75" spans="1:14" hidden="1" x14ac:dyDescent="0.25">
      <c r="A75" t="s">
        <v>8072</v>
      </c>
      <c r="B75" t="s">
        <v>1292</v>
      </c>
      <c r="C75" t="s">
        <v>1293</v>
      </c>
      <c r="D75" t="s">
        <v>1294</v>
      </c>
      <c r="E75" s="28" t="s">
        <v>890</v>
      </c>
      <c r="F75" t="s">
        <v>69</v>
      </c>
      <c r="G75" t="s">
        <v>38</v>
      </c>
      <c r="M75" s="28"/>
    </row>
    <row r="76" spans="1:14" hidden="1" x14ac:dyDescent="0.25">
      <c r="A76" t="s">
        <v>10362</v>
      </c>
      <c r="B76" t="s">
        <v>6277</v>
      </c>
      <c r="C76" t="s">
        <v>4440</v>
      </c>
      <c r="D76" t="s">
        <v>6278</v>
      </c>
      <c r="E76" s="28" t="s">
        <v>896</v>
      </c>
      <c r="F76" t="s">
        <v>197</v>
      </c>
      <c r="G76" t="s">
        <v>15</v>
      </c>
      <c r="M76" s="28" t="s">
        <v>613</v>
      </c>
      <c r="N76" t="s">
        <v>313</v>
      </c>
    </row>
    <row r="77" spans="1:14" hidden="1" x14ac:dyDescent="0.25">
      <c r="A77" t="s">
        <v>8477</v>
      </c>
      <c r="B77" t="s">
        <v>2305</v>
      </c>
      <c r="C77" t="s">
        <v>2306</v>
      </c>
      <c r="D77" t="s">
        <v>2307</v>
      </c>
      <c r="E77" s="28" t="s">
        <v>890</v>
      </c>
      <c r="F77" t="s">
        <v>408</v>
      </c>
      <c r="G77" t="s">
        <v>65</v>
      </c>
      <c r="M77" s="28" t="s">
        <v>14209</v>
      </c>
    </row>
    <row r="78" spans="1:14" hidden="1" x14ac:dyDescent="0.25">
      <c r="A78" t="s">
        <v>8688</v>
      </c>
      <c r="B78" t="s">
        <v>2828</v>
      </c>
      <c r="C78" t="s">
        <v>1676</v>
      </c>
      <c r="D78" t="s">
        <v>2829</v>
      </c>
      <c r="E78" s="28" t="s">
        <v>890</v>
      </c>
      <c r="F78" t="s">
        <v>523</v>
      </c>
      <c r="G78" t="s">
        <v>74</v>
      </c>
      <c r="M78" s="28" t="s">
        <v>507</v>
      </c>
      <c r="N78" t="s">
        <v>313</v>
      </c>
    </row>
    <row r="79" spans="1:14" hidden="1" x14ac:dyDescent="0.25">
      <c r="A79" t="s">
        <v>8774</v>
      </c>
      <c r="B79" t="s">
        <v>3030</v>
      </c>
      <c r="C79" t="s">
        <v>3031</v>
      </c>
      <c r="D79" t="s">
        <v>3032</v>
      </c>
      <c r="E79" s="28" t="s">
        <v>890</v>
      </c>
      <c r="F79" t="s">
        <v>891</v>
      </c>
      <c r="G79" t="s">
        <v>88</v>
      </c>
      <c r="M79" s="28" t="s">
        <v>549</v>
      </c>
      <c r="N79" t="s">
        <v>313</v>
      </c>
    </row>
    <row r="80" spans="1:14" hidden="1" x14ac:dyDescent="0.25">
      <c r="A80" t="s">
        <v>8375</v>
      </c>
      <c r="B80" t="s">
        <v>2063</v>
      </c>
      <c r="C80" t="s">
        <v>1099</v>
      </c>
      <c r="D80" t="s">
        <v>2064</v>
      </c>
      <c r="E80" s="28" t="s">
        <v>896</v>
      </c>
      <c r="F80" t="s">
        <v>14095</v>
      </c>
      <c r="G80" t="s">
        <v>60</v>
      </c>
      <c r="M80" s="28" t="s">
        <v>14207</v>
      </c>
    </row>
    <row r="81" spans="1:14" hidden="1" x14ac:dyDescent="0.25">
      <c r="A81" t="s">
        <v>8475</v>
      </c>
      <c r="B81" t="s">
        <v>2302</v>
      </c>
      <c r="C81" t="s">
        <v>1194</v>
      </c>
      <c r="D81" t="s">
        <v>2303</v>
      </c>
      <c r="E81" s="28" t="s">
        <v>890</v>
      </c>
      <c r="F81" t="s">
        <v>408</v>
      </c>
      <c r="G81" t="s">
        <v>65</v>
      </c>
      <c r="M81" s="28" t="s">
        <v>14209</v>
      </c>
    </row>
    <row r="82" spans="1:14" hidden="1" x14ac:dyDescent="0.25">
      <c r="A82" t="s">
        <v>8239</v>
      </c>
      <c r="B82" t="s">
        <v>1724</v>
      </c>
      <c r="C82" t="s">
        <v>1725</v>
      </c>
      <c r="D82" t="s">
        <v>1726</v>
      </c>
      <c r="E82" s="28" t="s">
        <v>890</v>
      </c>
      <c r="F82" t="s">
        <v>891</v>
      </c>
      <c r="G82" t="s">
        <v>43</v>
      </c>
      <c r="M82" s="28" t="s">
        <v>14205</v>
      </c>
    </row>
    <row r="83" spans="1:14" hidden="1" x14ac:dyDescent="0.25">
      <c r="A83" t="s">
        <v>12642</v>
      </c>
      <c r="B83" t="s">
        <v>12643</v>
      </c>
      <c r="C83" t="s">
        <v>4440</v>
      </c>
      <c r="D83" t="s">
        <v>12644</v>
      </c>
      <c r="E83" s="28" t="s">
        <v>896</v>
      </c>
      <c r="F83" t="s">
        <v>831</v>
      </c>
      <c r="G83" t="s">
        <v>145</v>
      </c>
      <c r="M83" s="28" t="s">
        <v>13222</v>
      </c>
      <c r="N83" t="s">
        <v>313</v>
      </c>
    </row>
    <row r="84" spans="1:14" hidden="1" x14ac:dyDescent="0.25">
      <c r="A84" t="s">
        <v>8376</v>
      </c>
      <c r="B84" t="s">
        <v>2065</v>
      </c>
      <c r="C84" t="s">
        <v>2066</v>
      </c>
      <c r="D84" t="s">
        <v>2067</v>
      </c>
      <c r="E84" s="28" t="s">
        <v>890</v>
      </c>
      <c r="F84" t="s">
        <v>400</v>
      </c>
      <c r="G84" t="s">
        <v>60</v>
      </c>
      <c r="M84" s="28" t="s">
        <v>14207</v>
      </c>
    </row>
    <row r="85" spans="1:14" hidden="1" x14ac:dyDescent="0.25">
      <c r="A85" t="s">
        <v>8775</v>
      </c>
      <c r="B85" t="s">
        <v>3033</v>
      </c>
      <c r="C85" t="s">
        <v>3034</v>
      </c>
      <c r="D85" t="s">
        <v>3035</v>
      </c>
      <c r="E85" s="28" t="s">
        <v>890</v>
      </c>
      <c r="F85" t="s">
        <v>891</v>
      </c>
      <c r="G85" t="s">
        <v>88</v>
      </c>
      <c r="M85" s="28" t="s">
        <v>549</v>
      </c>
      <c r="N85" t="s">
        <v>313</v>
      </c>
    </row>
    <row r="86" spans="1:14" hidden="1" x14ac:dyDescent="0.25">
      <c r="A86" t="s">
        <v>8776</v>
      </c>
      <c r="B86" t="s">
        <v>3033</v>
      </c>
      <c r="C86" t="s">
        <v>3036</v>
      </c>
      <c r="D86" t="s">
        <v>3037</v>
      </c>
      <c r="E86" s="28" t="s">
        <v>896</v>
      </c>
      <c r="F86" t="s">
        <v>891</v>
      </c>
      <c r="G86" t="s">
        <v>88</v>
      </c>
      <c r="M86" s="28" t="s">
        <v>549</v>
      </c>
      <c r="N86" t="s">
        <v>313</v>
      </c>
    </row>
    <row r="87" spans="1:14" hidden="1" x14ac:dyDescent="0.25">
      <c r="A87" t="s">
        <v>8777</v>
      </c>
      <c r="B87" t="s">
        <v>3038</v>
      </c>
      <c r="C87" t="s">
        <v>1103</v>
      </c>
      <c r="D87" t="s">
        <v>3039</v>
      </c>
      <c r="E87" s="28" t="s">
        <v>896</v>
      </c>
      <c r="F87" t="s">
        <v>328</v>
      </c>
      <c r="G87" t="s">
        <v>88</v>
      </c>
      <c r="M87" s="28" t="s">
        <v>549</v>
      </c>
      <c r="N87" t="s">
        <v>313</v>
      </c>
    </row>
    <row r="88" spans="1:14" hidden="1" x14ac:dyDescent="0.25">
      <c r="A88" t="s">
        <v>8778</v>
      </c>
      <c r="B88" t="s">
        <v>3038</v>
      </c>
      <c r="C88" t="s">
        <v>3034</v>
      </c>
      <c r="D88" t="s">
        <v>3040</v>
      </c>
      <c r="E88" s="28" t="s">
        <v>896</v>
      </c>
      <c r="F88" t="s">
        <v>552</v>
      </c>
      <c r="G88" t="s">
        <v>88</v>
      </c>
      <c r="M88" s="28" t="s">
        <v>549</v>
      </c>
      <c r="N88" t="s">
        <v>313</v>
      </c>
    </row>
    <row r="89" spans="1:14" hidden="1" x14ac:dyDescent="0.25">
      <c r="A89" t="s">
        <v>8779</v>
      </c>
      <c r="B89" t="s">
        <v>3041</v>
      </c>
      <c r="C89" t="s">
        <v>2133</v>
      </c>
      <c r="D89" t="s">
        <v>3042</v>
      </c>
      <c r="E89" s="28" t="s">
        <v>890</v>
      </c>
      <c r="F89" t="s">
        <v>564</v>
      </c>
      <c r="G89" t="s">
        <v>88</v>
      </c>
      <c r="M89" s="28" t="s">
        <v>549</v>
      </c>
      <c r="N89" t="s">
        <v>313</v>
      </c>
    </row>
    <row r="90" spans="1:14" hidden="1" x14ac:dyDescent="0.25">
      <c r="A90" t="s">
        <v>13577</v>
      </c>
      <c r="B90" t="s">
        <v>12860</v>
      </c>
      <c r="C90" t="s">
        <v>4936</v>
      </c>
      <c r="D90" t="s">
        <v>13578</v>
      </c>
      <c r="E90" s="28" t="s">
        <v>930</v>
      </c>
      <c r="F90" t="s">
        <v>676</v>
      </c>
      <c r="G90" t="s">
        <v>15</v>
      </c>
      <c r="M90" s="28" t="s">
        <v>613</v>
      </c>
      <c r="N90" t="s">
        <v>313</v>
      </c>
    </row>
    <row r="91" spans="1:14" hidden="1" x14ac:dyDescent="0.25">
      <c r="A91" t="s">
        <v>12859</v>
      </c>
      <c r="B91" t="s">
        <v>12860</v>
      </c>
      <c r="C91" t="s">
        <v>1180</v>
      </c>
      <c r="D91" t="s">
        <v>12861</v>
      </c>
      <c r="E91" s="28" t="s">
        <v>896</v>
      </c>
      <c r="F91" t="s">
        <v>676</v>
      </c>
      <c r="G91" t="s">
        <v>15</v>
      </c>
      <c r="M91" s="28" t="s">
        <v>613</v>
      </c>
      <c r="N91" t="s">
        <v>313</v>
      </c>
    </row>
    <row r="92" spans="1:14" hidden="1" x14ac:dyDescent="0.25">
      <c r="A92" t="s">
        <v>13339</v>
      </c>
      <c r="B92" t="s">
        <v>13340</v>
      </c>
      <c r="C92" t="s">
        <v>4440</v>
      </c>
      <c r="D92" t="s">
        <v>13341</v>
      </c>
      <c r="E92" s="28" t="s">
        <v>896</v>
      </c>
      <c r="F92" t="s">
        <v>241</v>
      </c>
      <c r="G92" t="s">
        <v>15</v>
      </c>
      <c r="M92" s="28" t="s">
        <v>613</v>
      </c>
      <c r="N92" t="s">
        <v>313</v>
      </c>
    </row>
    <row r="93" spans="1:14" hidden="1" x14ac:dyDescent="0.25">
      <c r="A93" t="s">
        <v>10361</v>
      </c>
      <c r="B93" t="s">
        <v>6275</v>
      </c>
      <c r="C93" t="s">
        <v>4719</v>
      </c>
      <c r="D93" t="s">
        <v>6276</v>
      </c>
      <c r="E93" s="28" t="s">
        <v>890</v>
      </c>
      <c r="F93" t="s">
        <v>4675</v>
      </c>
      <c r="G93" t="s">
        <v>15</v>
      </c>
      <c r="M93" s="28" t="s">
        <v>613</v>
      </c>
      <c r="N93" t="s">
        <v>313</v>
      </c>
    </row>
    <row r="94" spans="1:14" hidden="1" x14ac:dyDescent="0.25">
      <c r="A94" t="s">
        <v>14607</v>
      </c>
      <c r="B94" t="s">
        <v>1499</v>
      </c>
      <c r="C94" t="s">
        <v>1179</v>
      </c>
      <c r="D94" t="s">
        <v>14610</v>
      </c>
      <c r="E94" s="28" t="s">
        <v>890</v>
      </c>
      <c r="F94" t="s">
        <v>535</v>
      </c>
      <c r="G94" t="s">
        <v>38</v>
      </c>
      <c r="M94" s="28"/>
    </row>
    <row r="95" spans="1:14" hidden="1" x14ac:dyDescent="0.25">
      <c r="A95" t="s">
        <v>9502</v>
      </c>
      <c r="B95" t="s">
        <v>4500</v>
      </c>
      <c r="C95" t="s">
        <v>4501</v>
      </c>
      <c r="D95" t="s">
        <v>4502</v>
      </c>
      <c r="E95" s="28" t="s">
        <v>890</v>
      </c>
      <c r="F95" t="s">
        <v>891</v>
      </c>
      <c r="G95" t="s">
        <v>88</v>
      </c>
      <c r="M95" s="28" t="s">
        <v>549</v>
      </c>
      <c r="N95" t="s">
        <v>313</v>
      </c>
    </row>
    <row r="96" spans="1:14" hidden="1" x14ac:dyDescent="0.25">
      <c r="A96" t="s">
        <v>8780</v>
      </c>
      <c r="B96" t="s">
        <v>3043</v>
      </c>
      <c r="C96" t="s">
        <v>3044</v>
      </c>
      <c r="D96" t="s">
        <v>3045</v>
      </c>
      <c r="E96" s="28" t="s">
        <v>896</v>
      </c>
      <c r="F96" t="s">
        <v>891</v>
      </c>
      <c r="G96" t="s">
        <v>88</v>
      </c>
      <c r="M96" s="28" t="s">
        <v>549</v>
      </c>
      <c r="N96" t="s">
        <v>313</v>
      </c>
    </row>
    <row r="97" spans="1:14" hidden="1" x14ac:dyDescent="0.25">
      <c r="A97" t="s">
        <v>8338</v>
      </c>
      <c r="B97" t="s">
        <v>1977</v>
      </c>
      <c r="C97" t="s">
        <v>1978</v>
      </c>
      <c r="D97" t="s">
        <v>1979</v>
      </c>
      <c r="E97" s="28" t="s">
        <v>890</v>
      </c>
      <c r="F97" t="s">
        <v>1903</v>
      </c>
      <c r="G97" t="s">
        <v>43</v>
      </c>
      <c r="M97" s="28" t="s">
        <v>14205</v>
      </c>
    </row>
    <row r="98" spans="1:14" hidden="1" x14ac:dyDescent="0.25">
      <c r="A98" t="s">
        <v>8405</v>
      </c>
      <c r="B98" t="s">
        <v>2138</v>
      </c>
      <c r="C98" t="s">
        <v>2139</v>
      </c>
      <c r="D98" t="s">
        <v>2140</v>
      </c>
      <c r="E98" s="28" t="s">
        <v>896</v>
      </c>
      <c r="F98" t="s">
        <v>398</v>
      </c>
      <c r="G98" t="s">
        <v>60</v>
      </c>
      <c r="M98" s="28" t="s">
        <v>14207</v>
      </c>
    </row>
    <row r="99" spans="1:14" hidden="1" x14ac:dyDescent="0.25">
      <c r="A99" t="s">
        <v>8781</v>
      </c>
      <c r="B99" t="s">
        <v>3046</v>
      </c>
      <c r="C99" t="s">
        <v>1103</v>
      </c>
      <c r="D99" t="s">
        <v>3047</v>
      </c>
      <c r="E99" s="28" t="s">
        <v>890</v>
      </c>
      <c r="F99" t="s">
        <v>891</v>
      </c>
      <c r="G99" t="s">
        <v>88</v>
      </c>
      <c r="M99" s="28" t="s">
        <v>549</v>
      </c>
      <c r="N99" t="s">
        <v>313</v>
      </c>
    </row>
    <row r="100" spans="1:14" hidden="1" x14ac:dyDescent="0.25">
      <c r="A100" t="s">
        <v>8782</v>
      </c>
      <c r="B100" t="s">
        <v>3046</v>
      </c>
      <c r="C100" t="s">
        <v>3048</v>
      </c>
      <c r="D100" t="s">
        <v>3049</v>
      </c>
      <c r="E100" s="28" t="s">
        <v>930</v>
      </c>
      <c r="F100" t="s">
        <v>891</v>
      </c>
      <c r="G100" t="s">
        <v>88</v>
      </c>
      <c r="M100" s="28" t="s">
        <v>549</v>
      </c>
      <c r="N100" t="s">
        <v>313</v>
      </c>
    </row>
    <row r="101" spans="1:14" hidden="1" x14ac:dyDescent="0.25">
      <c r="A101" t="s">
        <v>8783</v>
      </c>
      <c r="B101" t="s">
        <v>3046</v>
      </c>
      <c r="C101" t="s">
        <v>3051</v>
      </c>
      <c r="D101" t="s">
        <v>3052</v>
      </c>
      <c r="E101" s="28" t="s">
        <v>890</v>
      </c>
      <c r="F101" t="s">
        <v>891</v>
      </c>
      <c r="G101" t="s">
        <v>88</v>
      </c>
      <c r="M101" s="28" t="s">
        <v>549</v>
      </c>
      <c r="N101" t="s">
        <v>313</v>
      </c>
    </row>
    <row r="102" spans="1:14" hidden="1" x14ac:dyDescent="0.25">
      <c r="A102" t="s">
        <v>10794</v>
      </c>
      <c r="B102" t="s">
        <v>7318</v>
      </c>
      <c r="C102" t="s">
        <v>1143</v>
      </c>
      <c r="D102" t="s">
        <v>7319</v>
      </c>
      <c r="E102" s="28" t="s">
        <v>890</v>
      </c>
      <c r="F102" t="s">
        <v>263</v>
      </c>
      <c r="G102" t="s">
        <v>157</v>
      </c>
      <c r="M102" s="28" t="s">
        <v>840</v>
      </c>
      <c r="N102" t="s">
        <v>382</v>
      </c>
    </row>
    <row r="103" spans="1:14" hidden="1" x14ac:dyDescent="0.25">
      <c r="A103" t="s">
        <v>12480</v>
      </c>
      <c r="B103" t="s">
        <v>12461</v>
      </c>
      <c r="C103" t="s">
        <v>1121</v>
      </c>
      <c r="D103" t="s">
        <v>12481</v>
      </c>
      <c r="E103" s="28" t="s">
        <v>1177</v>
      </c>
      <c r="F103" t="s">
        <v>516</v>
      </c>
      <c r="G103" t="s">
        <v>74</v>
      </c>
      <c r="M103" s="28" t="s">
        <v>507</v>
      </c>
      <c r="N103" t="s">
        <v>313</v>
      </c>
    </row>
    <row r="104" spans="1:14" hidden="1" x14ac:dyDescent="0.25">
      <c r="A104" t="s">
        <v>12460</v>
      </c>
      <c r="B104" t="s">
        <v>12461</v>
      </c>
      <c r="C104" t="s">
        <v>2730</v>
      </c>
      <c r="D104" t="s">
        <v>12462</v>
      </c>
      <c r="E104" s="28" t="s">
        <v>930</v>
      </c>
      <c r="F104" t="s">
        <v>170</v>
      </c>
      <c r="G104" t="s">
        <v>74</v>
      </c>
      <c r="M104" s="28" t="s">
        <v>507</v>
      </c>
      <c r="N104" t="s">
        <v>313</v>
      </c>
    </row>
    <row r="105" spans="1:14" hidden="1" x14ac:dyDescent="0.25">
      <c r="A105" t="s">
        <v>8329</v>
      </c>
      <c r="B105" t="s">
        <v>1951</v>
      </c>
      <c r="C105" t="s">
        <v>1854</v>
      </c>
      <c r="D105" t="s">
        <v>1952</v>
      </c>
      <c r="E105" s="28" t="s">
        <v>890</v>
      </c>
      <c r="F105" t="s">
        <v>891</v>
      </c>
      <c r="G105" t="s">
        <v>43</v>
      </c>
      <c r="M105" s="28" t="s">
        <v>14205</v>
      </c>
    </row>
    <row r="106" spans="1:14" hidden="1" x14ac:dyDescent="0.25">
      <c r="A106" t="s">
        <v>8784</v>
      </c>
      <c r="B106" t="s">
        <v>3053</v>
      </c>
      <c r="C106" t="s">
        <v>2095</v>
      </c>
      <c r="D106" t="s">
        <v>3054</v>
      </c>
      <c r="E106" s="28" t="s">
        <v>896</v>
      </c>
      <c r="F106" t="s">
        <v>609</v>
      </c>
      <c r="G106" t="s">
        <v>88</v>
      </c>
      <c r="M106" s="28" t="s">
        <v>549</v>
      </c>
      <c r="N106" t="s">
        <v>313</v>
      </c>
    </row>
    <row r="107" spans="1:14" hidden="1" x14ac:dyDescent="0.25">
      <c r="A107" t="s">
        <v>8785</v>
      </c>
      <c r="B107" t="s">
        <v>3053</v>
      </c>
      <c r="C107" t="s">
        <v>2144</v>
      </c>
      <c r="D107" t="s">
        <v>3055</v>
      </c>
      <c r="E107" s="28" t="s">
        <v>930</v>
      </c>
      <c r="F107" t="s">
        <v>609</v>
      </c>
      <c r="G107" t="s">
        <v>88</v>
      </c>
      <c r="M107" s="28" t="s">
        <v>549</v>
      </c>
      <c r="N107" t="s">
        <v>313</v>
      </c>
    </row>
    <row r="108" spans="1:14" hidden="1" x14ac:dyDescent="0.25">
      <c r="A108" t="s">
        <v>8786</v>
      </c>
      <c r="B108" t="s">
        <v>3056</v>
      </c>
      <c r="C108" t="s">
        <v>3057</v>
      </c>
      <c r="D108" t="s">
        <v>3058</v>
      </c>
      <c r="E108" s="28" t="s">
        <v>896</v>
      </c>
      <c r="F108" t="s">
        <v>891</v>
      </c>
      <c r="G108" t="s">
        <v>88</v>
      </c>
      <c r="M108" s="28" t="s">
        <v>549</v>
      </c>
      <c r="N108" t="s">
        <v>313</v>
      </c>
    </row>
    <row r="109" spans="1:14" hidden="1" x14ac:dyDescent="0.25">
      <c r="A109" t="s">
        <v>10360</v>
      </c>
      <c r="B109" t="s">
        <v>6273</v>
      </c>
      <c r="C109" t="s">
        <v>2619</v>
      </c>
      <c r="D109" t="s">
        <v>6274</v>
      </c>
      <c r="E109" s="28" t="s">
        <v>890</v>
      </c>
      <c r="F109" t="s">
        <v>197</v>
      </c>
      <c r="G109" t="s">
        <v>15</v>
      </c>
      <c r="M109" s="28" t="s">
        <v>613</v>
      </c>
      <c r="N109" t="s">
        <v>313</v>
      </c>
    </row>
    <row r="110" spans="1:14" hidden="1" x14ac:dyDescent="0.25">
      <c r="A110" t="s">
        <v>8787</v>
      </c>
      <c r="B110" t="s">
        <v>3059</v>
      </c>
      <c r="C110" t="s">
        <v>3021</v>
      </c>
      <c r="D110" t="s">
        <v>3060</v>
      </c>
      <c r="E110" s="28" t="s">
        <v>896</v>
      </c>
      <c r="F110" t="s">
        <v>891</v>
      </c>
      <c r="G110" t="s">
        <v>88</v>
      </c>
      <c r="M110" s="28" t="s">
        <v>549</v>
      </c>
      <c r="N110" t="s">
        <v>313</v>
      </c>
    </row>
    <row r="111" spans="1:14" hidden="1" x14ac:dyDescent="0.25">
      <c r="A111" t="s">
        <v>8788</v>
      </c>
      <c r="B111" t="s">
        <v>3059</v>
      </c>
      <c r="C111" t="s">
        <v>3061</v>
      </c>
      <c r="D111" t="s">
        <v>3062</v>
      </c>
      <c r="E111" s="28" t="s">
        <v>930</v>
      </c>
      <c r="F111" t="s">
        <v>891</v>
      </c>
      <c r="G111" t="s">
        <v>88</v>
      </c>
      <c r="M111" s="28" t="s">
        <v>549</v>
      </c>
      <c r="N111" t="s">
        <v>313</v>
      </c>
    </row>
    <row r="112" spans="1:14" hidden="1" x14ac:dyDescent="0.25">
      <c r="A112" t="s">
        <v>8789</v>
      </c>
      <c r="B112" t="s">
        <v>3059</v>
      </c>
      <c r="C112" t="s">
        <v>2133</v>
      </c>
      <c r="D112" t="s">
        <v>3063</v>
      </c>
      <c r="E112" s="28" t="s">
        <v>930</v>
      </c>
      <c r="F112" t="s">
        <v>891</v>
      </c>
      <c r="G112" t="s">
        <v>88</v>
      </c>
      <c r="M112" s="28" t="s">
        <v>549</v>
      </c>
      <c r="N112" t="s">
        <v>313</v>
      </c>
    </row>
    <row r="113" spans="1:14" hidden="1" x14ac:dyDescent="0.25">
      <c r="A113" t="s">
        <v>8790</v>
      </c>
      <c r="B113" t="s">
        <v>3064</v>
      </c>
      <c r="C113" t="s">
        <v>3065</v>
      </c>
      <c r="D113" t="s">
        <v>3066</v>
      </c>
      <c r="E113" s="28" t="s">
        <v>896</v>
      </c>
      <c r="F113" t="s">
        <v>891</v>
      </c>
      <c r="G113" t="s">
        <v>88</v>
      </c>
      <c r="M113" s="28" t="s">
        <v>549</v>
      </c>
      <c r="N113" t="s">
        <v>313</v>
      </c>
    </row>
    <row r="114" spans="1:14" hidden="1" x14ac:dyDescent="0.25">
      <c r="A114" t="s">
        <v>8791</v>
      </c>
      <c r="B114" t="s">
        <v>3067</v>
      </c>
      <c r="C114" t="s">
        <v>3068</v>
      </c>
      <c r="D114" t="s">
        <v>3069</v>
      </c>
      <c r="E114" s="28" t="s">
        <v>896</v>
      </c>
      <c r="F114" t="s">
        <v>891</v>
      </c>
      <c r="G114" t="s">
        <v>88</v>
      </c>
      <c r="M114" s="28" t="s">
        <v>549</v>
      </c>
      <c r="N114" t="s">
        <v>313</v>
      </c>
    </row>
    <row r="115" spans="1:14" hidden="1" x14ac:dyDescent="0.25">
      <c r="A115" t="s">
        <v>8792</v>
      </c>
      <c r="B115" t="s">
        <v>3067</v>
      </c>
      <c r="C115" t="s">
        <v>2108</v>
      </c>
      <c r="D115" t="s">
        <v>3070</v>
      </c>
      <c r="E115" s="28" t="s">
        <v>890</v>
      </c>
      <c r="F115" t="s">
        <v>891</v>
      </c>
      <c r="G115" t="s">
        <v>88</v>
      </c>
      <c r="M115" s="28" t="s">
        <v>549</v>
      </c>
      <c r="N115" t="s">
        <v>313</v>
      </c>
    </row>
    <row r="116" spans="1:14" hidden="1" x14ac:dyDescent="0.25">
      <c r="A116" t="s">
        <v>10414</v>
      </c>
      <c r="B116" t="s">
        <v>6412</v>
      </c>
      <c r="C116" t="s">
        <v>6413</v>
      </c>
      <c r="D116" t="s">
        <v>6414</v>
      </c>
      <c r="E116" s="28" t="s">
        <v>896</v>
      </c>
      <c r="F116" t="s">
        <v>794</v>
      </c>
      <c r="G116" t="s">
        <v>21</v>
      </c>
      <c r="M116" s="28" t="s">
        <v>791</v>
      </c>
      <c r="N116" t="s">
        <v>313</v>
      </c>
    </row>
    <row r="117" spans="1:14" hidden="1" x14ac:dyDescent="0.25">
      <c r="A117" t="s">
        <v>8793</v>
      </c>
      <c r="B117" t="s">
        <v>3071</v>
      </c>
      <c r="C117" t="s">
        <v>1153</v>
      </c>
      <c r="D117" t="s">
        <v>3072</v>
      </c>
      <c r="E117" s="28" t="s">
        <v>896</v>
      </c>
      <c r="F117" t="s">
        <v>891</v>
      </c>
      <c r="G117" t="s">
        <v>88</v>
      </c>
      <c r="M117" s="28" t="s">
        <v>549</v>
      </c>
      <c r="N117" t="s">
        <v>313</v>
      </c>
    </row>
    <row r="118" spans="1:14" hidden="1" x14ac:dyDescent="0.25">
      <c r="A118" t="s">
        <v>8794</v>
      </c>
      <c r="B118" t="s">
        <v>3071</v>
      </c>
      <c r="C118" t="s">
        <v>3044</v>
      </c>
      <c r="D118" t="s">
        <v>3073</v>
      </c>
      <c r="E118" s="28" t="s">
        <v>890</v>
      </c>
      <c r="F118" t="s">
        <v>891</v>
      </c>
      <c r="G118" t="s">
        <v>88</v>
      </c>
      <c r="M118" s="28" t="s">
        <v>549</v>
      </c>
      <c r="N118" t="s">
        <v>313</v>
      </c>
    </row>
    <row r="119" spans="1:14" hidden="1" x14ac:dyDescent="0.25">
      <c r="A119" t="s">
        <v>8609</v>
      </c>
      <c r="B119" t="s">
        <v>2622</v>
      </c>
      <c r="C119" t="s">
        <v>2623</v>
      </c>
      <c r="D119" t="s">
        <v>2624</v>
      </c>
      <c r="E119" s="28" t="s">
        <v>890</v>
      </c>
      <c r="F119" t="s">
        <v>2625</v>
      </c>
      <c r="G119" t="s">
        <v>74</v>
      </c>
      <c r="M119" s="28" t="s">
        <v>507</v>
      </c>
      <c r="N119" t="s">
        <v>313</v>
      </c>
    </row>
    <row r="120" spans="1:14" hidden="1" x14ac:dyDescent="0.25">
      <c r="A120" t="s">
        <v>10556</v>
      </c>
      <c r="B120" t="s">
        <v>6772</v>
      </c>
      <c r="C120" t="s">
        <v>1885</v>
      </c>
      <c r="D120" t="s">
        <v>6773</v>
      </c>
      <c r="E120" s="28" t="s">
        <v>896</v>
      </c>
      <c r="F120" t="s">
        <v>12661</v>
      </c>
      <c r="G120" t="s">
        <v>137</v>
      </c>
      <c r="M120" s="28" t="s">
        <v>805</v>
      </c>
      <c r="N120" t="s">
        <v>313</v>
      </c>
    </row>
    <row r="121" spans="1:14" hidden="1" x14ac:dyDescent="0.25">
      <c r="A121" t="s">
        <v>10359</v>
      </c>
      <c r="B121" t="s">
        <v>6271</v>
      </c>
      <c r="C121" t="s">
        <v>4557</v>
      </c>
      <c r="D121" t="s">
        <v>6272</v>
      </c>
      <c r="E121" s="28" t="s">
        <v>896</v>
      </c>
      <c r="F121" t="s">
        <v>644</v>
      </c>
      <c r="G121" t="s">
        <v>15</v>
      </c>
      <c r="M121" s="28" t="s">
        <v>613</v>
      </c>
      <c r="N121" t="s">
        <v>313</v>
      </c>
    </row>
    <row r="122" spans="1:14" hidden="1" x14ac:dyDescent="0.25">
      <c r="A122" t="s">
        <v>8795</v>
      </c>
      <c r="B122" t="s">
        <v>3074</v>
      </c>
      <c r="C122" t="s">
        <v>1103</v>
      </c>
      <c r="D122" t="s">
        <v>3075</v>
      </c>
      <c r="E122" s="28" t="s">
        <v>896</v>
      </c>
      <c r="F122" t="s">
        <v>891</v>
      </c>
      <c r="G122" t="s">
        <v>88</v>
      </c>
      <c r="M122" s="28" t="s">
        <v>549</v>
      </c>
      <c r="N122" t="s">
        <v>313</v>
      </c>
    </row>
    <row r="123" spans="1:14" hidden="1" x14ac:dyDescent="0.25">
      <c r="A123" t="s">
        <v>10594</v>
      </c>
      <c r="B123" t="s">
        <v>6831</v>
      </c>
      <c r="C123" t="s">
        <v>6832</v>
      </c>
      <c r="D123" t="s">
        <v>11685</v>
      </c>
      <c r="E123" s="28" t="s">
        <v>890</v>
      </c>
      <c r="F123" t="s">
        <v>556</v>
      </c>
      <c r="G123" t="s">
        <v>7818</v>
      </c>
      <c r="M123" s="28" t="s">
        <v>11680</v>
      </c>
      <c r="N123" t="s">
        <v>11680</v>
      </c>
    </row>
    <row r="124" spans="1:14" hidden="1" x14ac:dyDescent="0.25">
      <c r="A124" t="s">
        <v>12482</v>
      </c>
      <c r="B124" t="s">
        <v>12483</v>
      </c>
      <c r="C124" t="s">
        <v>1365</v>
      </c>
      <c r="D124" t="s">
        <v>11688</v>
      </c>
      <c r="E124" s="28" t="s">
        <v>896</v>
      </c>
      <c r="F124" t="s">
        <v>891</v>
      </c>
      <c r="G124" t="s">
        <v>81</v>
      </c>
      <c r="M124" s="28" t="s">
        <v>530</v>
      </c>
      <c r="N124" t="s">
        <v>313</v>
      </c>
    </row>
    <row r="125" spans="1:14" hidden="1" x14ac:dyDescent="0.25">
      <c r="A125" t="s">
        <v>10358</v>
      </c>
      <c r="B125" t="s">
        <v>6269</v>
      </c>
      <c r="C125" t="s">
        <v>4857</v>
      </c>
      <c r="D125" t="s">
        <v>6270</v>
      </c>
      <c r="E125" s="28" t="s">
        <v>896</v>
      </c>
      <c r="F125" t="s">
        <v>676</v>
      </c>
      <c r="G125" t="s">
        <v>15</v>
      </c>
      <c r="M125" s="28" t="s">
        <v>613</v>
      </c>
      <c r="N125" t="s">
        <v>313</v>
      </c>
    </row>
    <row r="126" spans="1:14" hidden="1" x14ac:dyDescent="0.25">
      <c r="A126" t="s">
        <v>11476</v>
      </c>
      <c r="B126" t="s">
        <v>11474</v>
      </c>
      <c r="C126" t="s">
        <v>11477</v>
      </c>
      <c r="D126" t="s">
        <v>11478</v>
      </c>
      <c r="E126" s="28" t="s">
        <v>1023</v>
      </c>
      <c r="F126" t="s">
        <v>6490</v>
      </c>
      <c r="G126" t="s">
        <v>125</v>
      </c>
      <c r="M126" s="28" t="s">
        <v>6491</v>
      </c>
      <c r="N126" t="s">
        <v>313</v>
      </c>
    </row>
    <row r="127" spans="1:14" hidden="1" x14ac:dyDescent="0.25">
      <c r="A127" t="s">
        <v>11473</v>
      </c>
      <c r="B127" t="s">
        <v>11474</v>
      </c>
      <c r="C127" t="s">
        <v>1381</v>
      </c>
      <c r="D127" t="s">
        <v>11475</v>
      </c>
      <c r="E127" s="28" t="s">
        <v>896</v>
      </c>
      <c r="F127" t="s">
        <v>6490</v>
      </c>
      <c r="G127" t="s">
        <v>125</v>
      </c>
      <c r="M127" s="28" t="s">
        <v>6491</v>
      </c>
      <c r="N127" t="s">
        <v>313</v>
      </c>
    </row>
    <row r="128" spans="1:14" hidden="1" x14ac:dyDescent="0.25">
      <c r="A128" t="s">
        <v>8796</v>
      </c>
      <c r="B128" t="s">
        <v>3076</v>
      </c>
      <c r="C128" t="s">
        <v>3025</v>
      </c>
      <c r="D128" t="s">
        <v>3077</v>
      </c>
      <c r="E128" s="28" t="s">
        <v>896</v>
      </c>
      <c r="F128" t="s">
        <v>891</v>
      </c>
      <c r="G128" t="s">
        <v>88</v>
      </c>
      <c r="M128" s="28" t="s">
        <v>549</v>
      </c>
      <c r="N128" t="s">
        <v>313</v>
      </c>
    </row>
    <row r="129" spans="1:14" hidden="1" x14ac:dyDescent="0.25">
      <c r="A129" t="s">
        <v>8797</v>
      </c>
      <c r="B129" t="s">
        <v>3078</v>
      </c>
      <c r="C129" t="s">
        <v>3021</v>
      </c>
      <c r="D129" t="s">
        <v>3079</v>
      </c>
      <c r="E129" s="28" t="s">
        <v>890</v>
      </c>
      <c r="F129" t="s">
        <v>588</v>
      </c>
      <c r="G129" t="s">
        <v>88</v>
      </c>
      <c r="M129" s="28" t="s">
        <v>549</v>
      </c>
      <c r="N129" t="s">
        <v>313</v>
      </c>
    </row>
    <row r="130" spans="1:14" hidden="1" x14ac:dyDescent="0.25">
      <c r="A130" t="s">
        <v>8798</v>
      </c>
      <c r="B130" t="s">
        <v>3080</v>
      </c>
      <c r="C130" t="s">
        <v>2095</v>
      </c>
      <c r="D130" t="s">
        <v>3081</v>
      </c>
      <c r="E130" s="28" t="s">
        <v>890</v>
      </c>
      <c r="F130" t="s">
        <v>891</v>
      </c>
      <c r="G130" t="s">
        <v>88</v>
      </c>
      <c r="M130" s="28" t="s">
        <v>549</v>
      </c>
      <c r="N130" t="s">
        <v>313</v>
      </c>
    </row>
    <row r="131" spans="1:14" hidden="1" x14ac:dyDescent="0.25">
      <c r="A131" t="s">
        <v>8799</v>
      </c>
      <c r="B131" t="s">
        <v>3082</v>
      </c>
      <c r="C131" t="s">
        <v>3083</v>
      </c>
      <c r="D131" t="s">
        <v>3084</v>
      </c>
      <c r="E131" s="28" t="s">
        <v>896</v>
      </c>
      <c r="F131" t="s">
        <v>891</v>
      </c>
      <c r="G131" t="s">
        <v>88</v>
      </c>
      <c r="M131" s="28" t="s">
        <v>549</v>
      </c>
      <c r="N131" t="s">
        <v>313</v>
      </c>
    </row>
    <row r="132" spans="1:14" hidden="1" x14ac:dyDescent="0.25">
      <c r="A132" t="s">
        <v>8800</v>
      </c>
      <c r="B132" t="s">
        <v>3082</v>
      </c>
      <c r="C132" t="s">
        <v>3085</v>
      </c>
      <c r="D132" t="s">
        <v>3086</v>
      </c>
      <c r="E132" s="28" t="s">
        <v>890</v>
      </c>
      <c r="F132" t="s">
        <v>588</v>
      </c>
      <c r="G132" t="s">
        <v>88</v>
      </c>
      <c r="M132" s="28" t="s">
        <v>549</v>
      </c>
      <c r="N132" t="s">
        <v>313</v>
      </c>
    </row>
    <row r="133" spans="1:14" hidden="1" x14ac:dyDescent="0.25">
      <c r="A133" t="s">
        <v>8801</v>
      </c>
      <c r="B133" t="s">
        <v>3082</v>
      </c>
      <c r="C133" t="s">
        <v>3087</v>
      </c>
      <c r="D133" t="s">
        <v>3088</v>
      </c>
      <c r="E133" s="28" t="s">
        <v>896</v>
      </c>
      <c r="F133" t="s">
        <v>556</v>
      </c>
      <c r="G133" t="s">
        <v>88</v>
      </c>
      <c r="M133" s="28" t="s">
        <v>549</v>
      </c>
      <c r="N133" t="s">
        <v>313</v>
      </c>
    </row>
    <row r="134" spans="1:14" hidden="1" x14ac:dyDescent="0.25">
      <c r="A134" t="s">
        <v>8802</v>
      </c>
      <c r="B134" t="s">
        <v>3089</v>
      </c>
      <c r="C134" t="s">
        <v>3044</v>
      </c>
      <c r="D134" t="s">
        <v>3090</v>
      </c>
      <c r="E134" s="28" t="s">
        <v>890</v>
      </c>
      <c r="F134" t="s">
        <v>554</v>
      </c>
      <c r="G134" t="s">
        <v>88</v>
      </c>
      <c r="M134" s="28" t="s">
        <v>549</v>
      </c>
      <c r="N134" t="s">
        <v>313</v>
      </c>
    </row>
    <row r="135" spans="1:14" hidden="1" x14ac:dyDescent="0.25">
      <c r="A135" t="s">
        <v>13579</v>
      </c>
      <c r="B135" t="s">
        <v>13580</v>
      </c>
      <c r="C135" t="s">
        <v>2582</v>
      </c>
      <c r="D135" t="s">
        <v>13581</v>
      </c>
      <c r="E135" s="28" t="s">
        <v>890</v>
      </c>
      <c r="F135" t="s">
        <v>690</v>
      </c>
      <c r="G135" t="s">
        <v>15</v>
      </c>
      <c r="M135" s="28" t="s">
        <v>613</v>
      </c>
      <c r="N135" t="s">
        <v>313</v>
      </c>
    </row>
    <row r="136" spans="1:14" hidden="1" x14ac:dyDescent="0.25">
      <c r="A136" t="s">
        <v>10665</v>
      </c>
      <c r="B136" t="s">
        <v>7006</v>
      </c>
      <c r="C136" t="s">
        <v>7007</v>
      </c>
      <c r="D136" t="s">
        <v>7008</v>
      </c>
      <c r="E136" s="28" t="s">
        <v>890</v>
      </c>
      <c r="F136" t="s">
        <v>334</v>
      </c>
      <c r="G136" t="s">
        <v>6896</v>
      </c>
      <c r="M136" s="28" t="s">
        <v>6897</v>
      </c>
      <c r="N136" t="s">
        <v>279</v>
      </c>
    </row>
    <row r="137" spans="1:14" hidden="1" x14ac:dyDescent="0.25">
      <c r="A137" t="s">
        <v>10745</v>
      </c>
      <c r="B137" t="s">
        <v>1162</v>
      </c>
      <c r="C137" t="s">
        <v>7194</v>
      </c>
      <c r="D137" t="s">
        <v>7195</v>
      </c>
      <c r="E137" s="28" t="s">
        <v>1023</v>
      </c>
      <c r="F137" t="s">
        <v>297</v>
      </c>
      <c r="G137" t="s">
        <v>6896</v>
      </c>
      <c r="M137" s="28" t="s">
        <v>6897</v>
      </c>
      <c r="N137" t="s">
        <v>279</v>
      </c>
    </row>
    <row r="138" spans="1:14" hidden="1" x14ac:dyDescent="0.25">
      <c r="A138" t="s">
        <v>8243</v>
      </c>
      <c r="B138" t="s">
        <v>1735</v>
      </c>
      <c r="C138" t="s">
        <v>941</v>
      </c>
      <c r="D138" t="s">
        <v>1736</v>
      </c>
      <c r="E138" s="28" t="s">
        <v>890</v>
      </c>
      <c r="F138" t="s">
        <v>891</v>
      </c>
      <c r="G138" t="s">
        <v>43</v>
      </c>
      <c r="M138" s="28" t="s">
        <v>14205</v>
      </c>
    </row>
    <row r="139" spans="1:14" hidden="1" x14ac:dyDescent="0.25">
      <c r="A139" t="s">
        <v>10357</v>
      </c>
      <c r="B139" t="s">
        <v>6267</v>
      </c>
      <c r="C139" t="s">
        <v>4557</v>
      </c>
      <c r="D139" t="s">
        <v>6268</v>
      </c>
      <c r="E139" s="28" t="s">
        <v>896</v>
      </c>
      <c r="F139" t="s">
        <v>4610</v>
      </c>
      <c r="G139" t="s">
        <v>15</v>
      </c>
      <c r="M139" s="28" t="s">
        <v>613</v>
      </c>
      <c r="N139" t="s">
        <v>313</v>
      </c>
    </row>
    <row r="140" spans="1:14" hidden="1" x14ac:dyDescent="0.25">
      <c r="A140" t="s">
        <v>11940</v>
      </c>
      <c r="B140" t="s">
        <v>2523</v>
      </c>
      <c r="C140" t="s">
        <v>6547</v>
      </c>
      <c r="D140" t="s">
        <v>6548</v>
      </c>
      <c r="E140" s="28" t="s">
        <v>890</v>
      </c>
      <c r="F140" t="s">
        <v>252</v>
      </c>
      <c r="G140" t="s">
        <v>129</v>
      </c>
      <c r="M140" s="28" t="s">
        <v>802</v>
      </c>
      <c r="N140" t="s">
        <v>313</v>
      </c>
    </row>
    <row r="141" spans="1:14" hidden="1" x14ac:dyDescent="0.25">
      <c r="A141" t="s">
        <v>12484</v>
      </c>
      <c r="B141" t="s">
        <v>12485</v>
      </c>
      <c r="C141" t="s">
        <v>1509</v>
      </c>
      <c r="D141" t="s">
        <v>11689</v>
      </c>
      <c r="E141" s="28" t="s">
        <v>896</v>
      </c>
      <c r="F141" t="s">
        <v>2951</v>
      </c>
      <c r="G141" t="s">
        <v>81</v>
      </c>
      <c r="M141" s="28" t="s">
        <v>530</v>
      </c>
      <c r="N141" t="s">
        <v>313</v>
      </c>
    </row>
    <row r="142" spans="1:14" hidden="1" x14ac:dyDescent="0.25">
      <c r="A142" t="s">
        <v>10795</v>
      </c>
      <c r="B142" t="s">
        <v>2396</v>
      </c>
      <c r="C142" t="s">
        <v>7320</v>
      </c>
      <c r="D142" t="s">
        <v>7321</v>
      </c>
      <c r="E142" s="28" t="s">
        <v>896</v>
      </c>
      <c r="F142" t="s">
        <v>12645</v>
      </c>
      <c r="G142" t="s">
        <v>157</v>
      </c>
      <c r="M142" s="28" t="s">
        <v>840</v>
      </c>
      <c r="N142" t="s">
        <v>382</v>
      </c>
    </row>
    <row r="143" spans="1:14" hidden="1" x14ac:dyDescent="0.25">
      <c r="A143" t="s">
        <v>8513</v>
      </c>
      <c r="B143" t="s">
        <v>2396</v>
      </c>
      <c r="C143" t="s">
        <v>2397</v>
      </c>
      <c r="D143" t="s">
        <v>2398</v>
      </c>
      <c r="E143" s="28" t="s">
        <v>890</v>
      </c>
      <c r="F143" t="s">
        <v>415</v>
      </c>
      <c r="G143" t="s">
        <v>11</v>
      </c>
      <c r="M143" s="28" t="s">
        <v>413</v>
      </c>
      <c r="N143" t="s">
        <v>313</v>
      </c>
    </row>
    <row r="144" spans="1:14" hidden="1" x14ac:dyDescent="0.25">
      <c r="A144" t="s">
        <v>8514</v>
      </c>
      <c r="B144" t="s">
        <v>2396</v>
      </c>
      <c r="C144" t="s">
        <v>1146</v>
      </c>
      <c r="D144" t="s">
        <v>2399</v>
      </c>
      <c r="E144" s="28" t="s">
        <v>896</v>
      </c>
      <c r="F144" t="s">
        <v>415</v>
      </c>
      <c r="G144" t="s">
        <v>11</v>
      </c>
      <c r="M144" s="28" t="s">
        <v>413</v>
      </c>
      <c r="N144" t="s">
        <v>313</v>
      </c>
    </row>
    <row r="145" spans="1:14" hidden="1" x14ac:dyDescent="0.25">
      <c r="A145" t="s">
        <v>10356</v>
      </c>
      <c r="B145" t="s">
        <v>6265</v>
      </c>
      <c r="C145" t="s">
        <v>4535</v>
      </c>
      <c r="D145" t="s">
        <v>6266</v>
      </c>
      <c r="E145" s="28" t="s">
        <v>890</v>
      </c>
      <c r="F145" t="s">
        <v>688</v>
      </c>
      <c r="G145" t="s">
        <v>15</v>
      </c>
      <c r="M145" s="28" t="s">
        <v>613</v>
      </c>
      <c r="N145" t="s">
        <v>313</v>
      </c>
    </row>
    <row r="146" spans="1:14" hidden="1" x14ac:dyDescent="0.25">
      <c r="A146" t="s">
        <v>10355</v>
      </c>
      <c r="B146" t="s">
        <v>6263</v>
      </c>
      <c r="C146" t="s">
        <v>4821</v>
      </c>
      <c r="D146" t="s">
        <v>6264</v>
      </c>
      <c r="E146" s="28" t="s">
        <v>890</v>
      </c>
      <c r="F146" t="s">
        <v>752</v>
      </c>
      <c r="G146" t="s">
        <v>15</v>
      </c>
      <c r="M146" s="28" t="s">
        <v>613</v>
      </c>
      <c r="N146" t="s">
        <v>313</v>
      </c>
    </row>
    <row r="147" spans="1:14" hidden="1" x14ac:dyDescent="0.25">
      <c r="A147" t="s">
        <v>8317</v>
      </c>
      <c r="B147" t="s">
        <v>1920</v>
      </c>
      <c r="C147" t="s">
        <v>1921</v>
      </c>
      <c r="D147" t="s">
        <v>1922</v>
      </c>
      <c r="E147" s="28" t="s">
        <v>896</v>
      </c>
      <c r="F147" t="s">
        <v>891</v>
      </c>
      <c r="G147" t="s">
        <v>43</v>
      </c>
      <c r="M147" s="28" t="s">
        <v>14205</v>
      </c>
    </row>
    <row r="148" spans="1:14" hidden="1" x14ac:dyDescent="0.25">
      <c r="A148" t="s">
        <v>8803</v>
      </c>
      <c r="B148" t="s">
        <v>3091</v>
      </c>
      <c r="C148" t="s">
        <v>3092</v>
      </c>
      <c r="D148" t="s">
        <v>3093</v>
      </c>
      <c r="E148" s="28" t="s">
        <v>890</v>
      </c>
      <c r="F148" t="s">
        <v>554</v>
      </c>
      <c r="G148" t="s">
        <v>88</v>
      </c>
      <c r="M148" s="28" t="s">
        <v>549</v>
      </c>
      <c r="N148" t="s">
        <v>313</v>
      </c>
    </row>
    <row r="149" spans="1:14" hidden="1" x14ac:dyDescent="0.25">
      <c r="A149" t="s">
        <v>8804</v>
      </c>
      <c r="B149" t="s">
        <v>3094</v>
      </c>
      <c r="C149" t="s">
        <v>1060</v>
      </c>
      <c r="D149" t="s">
        <v>3095</v>
      </c>
      <c r="E149" s="28" t="s">
        <v>890</v>
      </c>
      <c r="F149" t="s">
        <v>13206</v>
      </c>
      <c r="G149" t="s">
        <v>88</v>
      </c>
      <c r="M149" s="28" t="s">
        <v>549</v>
      </c>
      <c r="N149" t="s">
        <v>313</v>
      </c>
    </row>
    <row r="150" spans="1:14" hidden="1" x14ac:dyDescent="0.25">
      <c r="A150" t="s">
        <v>8805</v>
      </c>
      <c r="B150" t="s">
        <v>3096</v>
      </c>
      <c r="C150" t="s">
        <v>3034</v>
      </c>
      <c r="D150" t="s">
        <v>3097</v>
      </c>
      <c r="E150" s="28" t="s">
        <v>890</v>
      </c>
      <c r="F150" t="s">
        <v>891</v>
      </c>
      <c r="G150" t="s">
        <v>88</v>
      </c>
      <c r="M150" s="28" t="s">
        <v>549</v>
      </c>
      <c r="N150" t="s">
        <v>313</v>
      </c>
    </row>
    <row r="151" spans="1:14" hidden="1" x14ac:dyDescent="0.25">
      <c r="A151" t="s">
        <v>8806</v>
      </c>
      <c r="B151" t="s">
        <v>3096</v>
      </c>
      <c r="C151" t="s">
        <v>3044</v>
      </c>
      <c r="D151" t="s">
        <v>3098</v>
      </c>
      <c r="E151" s="28" t="s">
        <v>890</v>
      </c>
      <c r="F151" t="s">
        <v>891</v>
      </c>
      <c r="G151" t="s">
        <v>88</v>
      </c>
      <c r="M151" s="28" t="s">
        <v>549</v>
      </c>
      <c r="N151" t="s">
        <v>313</v>
      </c>
    </row>
    <row r="152" spans="1:14" hidden="1" x14ac:dyDescent="0.25">
      <c r="A152" t="s">
        <v>8807</v>
      </c>
      <c r="B152" t="s">
        <v>3096</v>
      </c>
      <c r="C152" t="s">
        <v>3099</v>
      </c>
      <c r="D152" t="s">
        <v>3100</v>
      </c>
      <c r="E152" s="28" t="s">
        <v>896</v>
      </c>
      <c r="F152" t="s">
        <v>891</v>
      </c>
      <c r="G152" t="s">
        <v>88</v>
      </c>
      <c r="M152" s="28" t="s">
        <v>549</v>
      </c>
      <c r="N152" t="s">
        <v>313</v>
      </c>
    </row>
    <row r="153" spans="1:14" hidden="1" x14ac:dyDescent="0.25">
      <c r="A153" t="s">
        <v>8808</v>
      </c>
      <c r="B153" t="s">
        <v>3101</v>
      </c>
      <c r="C153" t="s">
        <v>3102</v>
      </c>
      <c r="D153" t="s">
        <v>3103</v>
      </c>
      <c r="E153" s="28" t="s">
        <v>890</v>
      </c>
      <c r="F153" t="s">
        <v>891</v>
      </c>
      <c r="G153" t="s">
        <v>88</v>
      </c>
      <c r="M153" s="28" t="s">
        <v>549</v>
      </c>
      <c r="N153" t="s">
        <v>313</v>
      </c>
    </row>
    <row r="154" spans="1:14" hidden="1" x14ac:dyDescent="0.25">
      <c r="A154" t="s">
        <v>10647</v>
      </c>
      <c r="B154" t="s">
        <v>6959</v>
      </c>
      <c r="C154" t="s">
        <v>6960</v>
      </c>
      <c r="D154" t="s">
        <v>6961</v>
      </c>
      <c r="E154" s="28" t="s">
        <v>890</v>
      </c>
      <c r="F154" t="s">
        <v>6901</v>
      </c>
      <c r="G154" t="s">
        <v>6896</v>
      </c>
      <c r="M154" s="28" t="s">
        <v>6897</v>
      </c>
      <c r="N154" t="s">
        <v>279</v>
      </c>
    </row>
    <row r="155" spans="1:14" hidden="1" x14ac:dyDescent="0.25">
      <c r="A155" t="s">
        <v>13582</v>
      </c>
      <c r="B155" t="s">
        <v>13583</v>
      </c>
      <c r="C155" t="s">
        <v>1222</v>
      </c>
      <c r="D155" t="s">
        <v>13584</v>
      </c>
      <c r="E155" s="28" t="s">
        <v>890</v>
      </c>
      <c r="F155" t="s">
        <v>13585</v>
      </c>
      <c r="G155" t="s">
        <v>11</v>
      </c>
      <c r="M155" s="28" t="s">
        <v>413</v>
      </c>
      <c r="N155" t="s">
        <v>313</v>
      </c>
    </row>
    <row r="156" spans="1:14" hidden="1" x14ac:dyDescent="0.25">
      <c r="A156" t="s">
        <v>12128</v>
      </c>
      <c r="B156" t="s">
        <v>7180</v>
      </c>
      <c r="C156" t="s">
        <v>6823</v>
      </c>
      <c r="D156" t="s">
        <v>12129</v>
      </c>
      <c r="E156" s="28" t="s">
        <v>890</v>
      </c>
      <c r="F156" t="s">
        <v>99</v>
      </c>
      <c r="G156" t="s">
        <v>162</v>
      </c>
      <c r="M156" s="28" t="s">
        <v>7517</v>
      </c>
      <c r="N156" t="s">
        <v>313</v>
      </c>
    </row>
    <row r="157" spans="1:14" hidden="1" x14ac:dyDescent="0.25">
      <c r="A157" t="s">
        <v>8809</v>
      </c>
      <c r="B157" t="s">
        <v>3104</v>
      </c>
      <c r="C157" t="s">
        <v>1103</v>
      </c>
      <c r="D157" t="s">
        <v>3105</v>
      </c>
      <c r="E157" s="28" t="s">
        <v>896</v>
      </c>
      <c r="F157" t="s">
        <v>891</v>
      </c>
      <c r="G157" t="s">
        <v>88</v>
      </c>
      <c r="M157" s="28" t="s">
        <v>549</v>
      </c>
      <c r="N157" t="s">
        <v>313</v>
      </c>
    </row>
    <row r="158" spans="1:14" hidden="1" x14ac:dyDescent="0.25">
      <c r="A158" t="s">
        <v>13332</v>
      </c>
      <c r="B158" t="s">
        <v>3104</v>
      </c>
      <c r="C158" t="s">
        <v>3057</v>
      </c>
      <c r="D158" t="s">
        <v>13333</v>
      </c>
      <c r="E158" s="28" t="s">
        <v>890</v>
      </c>
      <c r="F158" t="s">
        <v>588</v>
      </c>
      <c r="G158" t="s">
        <v>88</v>
      </c>
      <c r="M158" s="28" t="s">
        <v>549</v>
      </c>
      <c r="N158" t="s">
        <v>313</v>
      </c>
    </row>
    <row r="159" spans="1:14" hidden="1" x14ac:dyDescent="0.25">
      <c r="A159" t="s">
        <v>14442</v>
      </c>
      <c r="B159" t="s">
        <v>14443</v>
      </c>
      <c r="C159" t="s">
        <v>932</v>
      </c>
      <c r="D159" t="s">
        <v>14444</v>
      </c>
      <c r="E159" s="28" t="s">
        <v>890</v>
      </c>
      <c r="F159" t="s">
        <v>891</v>
      </c>
      <c r="G159" t="s">
        <v>43</v>
      </c>
      <c r="M159" s="28" t="s">
        <v>14205</v>
      </c>
    </row>
    <row r="160" spans="1:14" hidden="1" x14ac:dyDescent="0.25">
      <c r="A160" t="s">
        <v>8810</v>
      </c>
      <c r="B160" t="s">
        <v>3106</v>
      </c>
      <c r="C160" t="s">
        <v>3034</v>
      </c>
      <c r="D160" t="s">
        <v>3107</v>
      </c>
      <c r="E160" s="28" t="s">
        <v>890</v>
      </c>
      <c r="F160" t="s">
        <v>891</v>
      </c>
      <c r="G160" t="s">
        <v>88</v>
      </c>
      <c r="M160" s="28" t="s">
        <v>549</v>
      </c>
      <c r="N160" t="s">
        <v>313</v>
      </c>
    </row>
    <row r="161" spans="1:14" hidden="1" x14ac:dyDescent="0.25">
      <c r="A161" t="s">
        <v>10354</v>
      </c>
      <c r="B161" t="s">
        <v>6261</v>
      </c>
      <c r="C161" t="s">
        <v>5259</v>
      </c>
      <c r="D161" t="s">
        <v>6262</v>
      </c>
      <c r="E161" s="28" t="s">
        <v>896</v>
      </c>
      <c r="F161" t="s">
        <v>730</v>
      </c>
      <c r="G161" t="s">
        <v>15</v>
      </c>
      <c r="M161" s="28" t="s">
        <v>613</v>
      </c>
      <c r="N161" t="s">
        <v>313</v>
      </c>
    </row>
    <row r="162" spans="1:14" hidden="1" x14ac:dyDescent="0.25">
      <c r="A162" t="s">
        <v>10445</v>
      </c>
      <c r="B162" t="s">
        <v>6477</v>
      </c>
      <c r="C162" t="s">
        <v>6478</v>
      </c>
      <c r="D162" t="s">
        <v>6479</v>
      </c>
      <c r="E162" s="28" t="s">
        <v>896</v>
      </c>
      <c r="F162" t="s">
        <v>792</v>
      </c>
      <c r="G162" t="s">
        <v>21</v>
      </c>
      <c r="M162" s="28" t="s">
        <v>791</v>
      </c>
      <c r="N162" t="s">
        <v>313</v>
      </c>
    </row>
    <row r="163" spans="1:14" hidden="1" x14ac:dyDescent="0.25">
      <c r="A163" t="s">
        <v>13586</v>
      </c>
      <c r="B163" t="s">
        <v>13587</v>
      </c>
      <c r="C163" t="s">
        <v>1147</v>
      </c>
      <c r="D163" t="s">
        <v>13588</v>
      </c>
      <c r="E163" s="28" t="s">
        <v>890</v>
      </c>
      <c r="F163" t="s">
        <v>11615</v>
      </c>
      <c r="G163" t="s">
        <v>11</v>
      </c>
      <c r="M163" s="28" t="s">
        <v>413</v>
      </c>
      <c r="N163" t="s">
        <v>313</v>
      </c>
    </row>
    <row r="164" spans="1:14" hidden="1" x14ac:dyDescent="0.25">
      <c r="A164" t="s">
        <v>11690</v>
      </c>
      <c r="B164" t="s">
        <v>2895</v>
      </c>
      <c r="C164" t="s">
        <v>1365</v>
      </c>
      <c r="D164" t="s">
        <v>11691</v>
      </c>
      <c r="E164" s="28" t="s">
        <v>896</v>
      </c>
      <c r="F164" t="s">
        <v>14211</v>
      </c>
      <c r="G164" t="s">
        <v>81</v>
      </c>
      <c r="M164" s="28" t="s">
        <v>530</v>
      </c>
      <c r="N164" t="s">
        <v>313</v>
      </c>
    </row>
    <row r="165" spans="1:14" hidden="1" x14ac:dyDescent="0.25">
      <c r="A165" t="s">
        <v>8716</v>
      </c>
      <c r="B165" t="s">
        <v>2895</v>
      </c>
      <c r="C165" t="s">
        <v>1472</v>
      </c>
      <c r="D165" t="s">
        <v>2896</v>
      </c>
      <c r="E165" s="28" t="s">
        <v>930</v>
      </c>
      <c r="F165" t="s">
        <v>14211</v>
      </c>
      <c r="G165" t="s">
        <v>81</v>
      </c>
      <c r="M165" s="28" t="s">
        <v>530</v>
      </c>
      <c r="N165" t="s">
        <v>313</v>
      </c>
    </row>
    <row r="166" spans="1:14" hidden="1" x14ac:dyDescent="0.25">
      <c r="A166" t="s">
        <v>11908</v>
      </c>
      <c r="B166" t="s">
        <v>11909</v>
      </c>
      <c r="C166" t="s">
        <v>1094</v>
      </c>
      <c r="D166" t="s">
        <v>11910</v>
      </c>
      <c r="E166" s="28" t="s">
        <v>896</v>
      </c>
      <c r="F166" t="s">
        <v>796</v>
      </c>
      <c r="G166" t="s">
        <v>21</v>
      </c>
      <c r="M166" s="28" t="s">
        <v>791</v>
      </c>
      <c r="N166" t="s">
        <v>313</v>
      </c>
    </row>
    <row r="167" spans="1:14" hidden="1" x14ac:dyDescent="0.25">
      <c r="A167" t="s">
        <v>8744</v>
      </c>
      <c r="B167" t="s">
        <v>2961</v>
      </c>
      <c r="C167" t="s">
        <v>1187</v>
      </c>
      <c r="D167" t="s">
        <v>2962</v>
      </c>
      <c r="E167" s="28" t="s">
        <v>890</v>
      </c>
      <c r="F167" t="s">
        <v>543</v>
      </c>
      <c r="G167" t="s">
        <v>86</v>
      </c>
      <c r="M167" s="28" t="s">
        <v>546</v>
      </c>
      <c r="N167" t="s">
        <v>313</v>
      </c>
    </row>
    <row r="168" spans="1:14" hidden="1" x14ac:dyDescent="0.25">
      <c r="A168" t="s">
        <v>8745</v>
      </c>
      <c r="B168" t="s">
        <v>2961</v>
      </c>
      <c r="C168" t="s">
        <v>2963</v>
      </c>
      <c r="D168" t="s">
        <v>2964</v>
      </c>
      <c r="E168" s="28" t="s">
        <v>930</v>
      </c>
      <c r="F168" t="s">
        <v>543</v>
      </c>
      <c r="G168" t="s">
        <v>86</v>
      </c>
      <c r="M168" s="28" t="s">
        <v>546</v>
      </c>
      <c r="N168" t="s">
        <v>313</v>
      </c>
    </row>
    <row r="169" spans="1:14" hidden="1" x14ac:dyDescent="0.25">
      <c r="A169" t="s">
        <v>8148</v>
      </c>
      <c r="B169" t="s">
        <v>1493</v>
      </c>
      <c r="C169" t="s">
        <v>1494</v>
      </c>
      <c r="D169" t="s">
        <v>1495</v>
      </c>
      <c r="E169" s="28" t="s">
        <v>890</v>
      </c>
      <c r="F169" t="s">
        <v>328</v>
      </c>
      <c r="G169" t="s">
        <v>38</v>
      </c>
      <c r="M169" s="28"/>
    </row>
    <row r="170" spans="1:14" hidden="1" x14ac:dyDescent="0.25">
      <c r="A170" t="s">
        <v>13589</v>
      </c>
      <c r="B170" t="s">
        <v>13590</v>
      </c>
      <c r="C170" t="s">
        <v>13591</v>
      </c>
      <c r="D170" t="s">
        <v>13592</v>
      </c>
      <c r="E170" s="28" t="s">
        <v>1177</v>
      </c>
      <c r="F170" t="s">
        <v>13348</v>
      </c>
      <c r="G170" t="s">
        <v>15</v>
      </c>
      <c r="M170" s="28" t="s">
        <v>613</v>
      </c>
      <c r="N170" t="s">
        <v>313</v>
      </c>
    </row>
    <row r="171" spans="1:14" hidden="1" x14ac:dyDescent="0.25">
      <c r="A171" t="s">
        <v>13593</v>
      </c>
      <c r="B171" t="s">
        <v>13590</v>
      </c>
      <c r="C171" t="s">
        <v>2184</v>
      </c>
      <c r="D171" t="s">
        <v>13594</v>
      </c>
      <c r="E171" s="28" t="s">
        <v>1177</v>
      </c>
      <c r="F171" t="s">
        <v>13348</v>
      </c>
      <c r="G171" t="s">
        <v>15</v>
      </c>
      <c r="M171" s="28" t="s">
        <v>613</v>
      </c>
      <c r="N171" t="s">
        <v>313</v>
      </c>
    </row>
    <row r="172" spans="1:14" hidden="1" x14ac:dyDescent="0.25">
      <c r="A172" t="s">
        <v>13595</v>
      </c>
      <c r="B172" t="s">
        <v>13590</v>
      </c>
      <c r="C172" t="s">
        <v>4640</v>
      </c>
      <c r="D172" t="s">
        <v>13596</v>
      </c>
      <c r="E172" s="28" t="s">
        <v>896</v>
      </c>
      <c r="F172" t="s">
        <v>13348</v>
      </c>
      <c r="G172" t="s">
        <v>15</v>
      </c>
      <c r="M172" s="28" t="s">
        <v>613</v>
      </c>
      <c r="N172" t="s">
        <v>313</v>
      </c>
    </row>
    <row r="173" spans="1:14" hidden="1" x14ac:dyDescent="0.25">
      <c r="A173" t="s">
        <v>8811</v>
      </c>
      <c r="B173" t="s">
        <v>3108</v>
      </c>
      <c r="C173" t="s">
        <v>2133</v>
      </c>
      <c r="D173" t="s">
        <v>3109</v>
      </c>
      <c r="E173" s="28" t="s">
        <v>890</v>
      </c>
      <c r="F173" t="s">
        <v>891</v>
      </c>
      <c r="G173" t="s">
        <v>88</v>
      </c>
      <c r="M173" s="28" t="s">
        <v>549</v>
      </c>
      <c r="N173" t="s">
        <v>313</v>
      </c>
    </row>
    <row r="174" spans="1:14" hidden="1" x14ac:dyDescent="0.25">
      <c r="A174" t="s">
        <v>8812</v>
      </c>
      <c r="B174" t="s">
        <v>3110</v>
      </c>
      <c r="C174" t="s">
        <v>3111</v>
      </c>
      <c r="D174" t="s">
        <v>3112</v>
      </c>
      <c r="E174" s="28" t="s">
        <v>930</v>
      </c>
      <c r="F174" t="s">
        <v>891</v>
      </c>
      <c r="G174" t="s">
        <v>88</v>
      </c>
      <c r="M174" s="28" t="s">
        <v>549</v>
      </c>
      <c r="N174" t="s">
        <v>313</v>
      </c>
    </row>
    <row r="175" spans="1:14" hidden="1" x14ac:dyDescent="0.25">
      <c r="A175" t="s">
        <v>8813</v>
      </c>
      <c r="B175" t="s">
        <v>3110</v>
      </c>
      <c r="C175" t="s">
        <v>3113</v>
      </c>
      <c r="D175" t="s">
        <v>3114</v>
      </c>
      <c r="E175" s="28" t="s">
        <v>1023</v>
      </c>
      <c r="F175" t="s">
        <v>891</v>
      </c>
      <c r="G175" t="s">
        <v>88</v>
      </c>
      <c r="M175" s="28" t="s">
        <v>549</v>
      </c>
      <c r="N175" t="s">
        <v>313</v>
      </c>
    </row>
    <row r="176" spans="1:14" hidden="1" x14ac:dyDescent="0.25">
      <c r="A176" t="s">
        <v>8814</v>
      </c>
      <c r="B176" t="s">
        <v>3110</v>
      </c>
      <c r="C176" t="s">
        <v>3115</v>
      </c>
      <c r="D176" t="s">
        <v>3116</v>
      </c>
      <c r="E176" s="28" t="s">
        <v>890</v>
      </c>
      <c r="F176" t="s">
        <v>891</v>
      </c>
      <c r="G176" t="s">
        <v>88</v>
      </c>
      <c r="M176" s="28" t="s">
        <v>549</v>
      </c>
      <c r="N176" t="s">
        <v>313</v>
      </c>
    </row>
    <row r="177" spans="1:14" hidden="1" x14ac:dyDescent="0.25">
      <c r="A177" t="s">
        <v>8815</v>
      </c>
      <c r="B177" t="s">
        <v>3110</v>
      </c>
      <c r="C177" t="s">
        <v>3044</v>
      </c>
      <c r="D177" t="s">
        <v>3117</v>
      </c>
      <c r="E177" s="28" t="s">
        <v>890</v>
      </c>
      <c r="F177" t="s">
        <v>891</v>
      </c>
      <c r="G177" t="s">
        <v>88</v>
      </c>
      <c r="M177" s="28" t="s">
        <v>549</v>
      </c>
      <c r="N177" t="s">
        <v>313</v>
      </c>
    </row>
    <row r="178" spans="1:14" hidden="1" x14ac:dyDescent="0.25">
      <c r="A178" t="s">
        <v>8816</v>
      </c>
      <c r="B178" t="s">
        <v>3118</v>
      </c>
      <c r="C178" t="s">
        <v>3025</v>
      </c>
      <c r="D178" t="s">
        <v>3119</v>
      </c>
      <c r="E178" s="28" t="s">
        <v>896</v>
      </c>
      <c r="F178" t="s">
        <v>891</v>
      </c>
      <c r="G178" t="s">
        <v>88</v>
      </c>
      <c r="M178" s="28" t="s">
        <v>549</v>
      </c>
      <c r="N178" t="s">
        <v>313</v>
      </c>
    </row>
    <row r="179" spans="1:14" hidden="1" x14ac:dyDescent="0.25">
      <c r="A179" t="s">
        <v>10639</v>
      </c>
      <c r="B179" t="s">
        <v>6939</v>
      </c>
      <c r="C179" t="s">
        <v>6940</v>
      </c>
      <c r="D179" t="s">
        <v>6941</v>
      </c>
      <c r="E179" s="28" t="s">
        <v>890</v>
      </c>
      <c r="F179" t="s">
        <v>6901</v>
      </c>
      <c r="G179" t="s">
        <v>6896</v>
      </c>
      <c r="M179" s="28" t="s">
        <v>6897</v>
      </c>
      <c r="N179" t="s">
        <v>279</v>
      </c>
    </row>
    <row r="180" spans="1:14" hidden="1" x14ac:dyDescent="0.25">
      <c r="A180" t="s">
        <v>10410</v>
      </c>
      <c r="B180" t="s">
        <v>6402</v>
      </c>
      <c r="C180" t="s">
        <v>6403</v>
      </c>
      <c r="D180" t="s">
        <v>6404</v>
      </c>
      <c r="E180" s="28" t="s">
        <v>896</v>
      </c>
      <c r="F180" t="s">
        <v>6365</v>
      </c>
      <c r="G180" t="s">
        <v>119</v>
      </c>
      <c r="M180" s="28"/>
    </row>
    <row r="181" spans="1:14" hidden="1" x14ac:dyDescent="0.25">
      <c r="A181" t="s">
        <v>10640</v>
      </c>
      <c r="B181" t="s">
        <v>6402</v>
      </c>
      <c r="C181" t="s">
        <v>6942</v>
      </c>
      <c r="D181" t="s">
        <v>6943</v>
      </c>
      <c r="E181" s="28" t="s">
        <v>890</v>
      </c>
      <c r="F181" t="s">
        <v>6901</v>
      </c>
      <c r="G181" t="s">
        <v>6896</v>
      </c>
      <c r="M181" s="28" t="s">
        <v>6897</v>
      </c>
      <c r="N181" t="s">
        <v>279</v>
      </c>
    </row>
    <row r="182" spans="1:14" hidden="1" x14ac:dyDescent="0.25">
      <c r="A182" t="s">
        <v>10353</v>
      </c>
      <c r="B182" t="s">
        <v>6259</v>
      </c>
      <c r="C182" t="s">
        <v>2619</v>
      </c>
      <c r="D182" t="s">
        <v>6260</v>
      </c>
      <c r="E182" s="28" t="s">
        <v>896</v>
      </c>
      <c r="F182" t="s">
        <v>712</v>
      </c>
      <c r="G182" t="s">
        <v>15</v>
      </c>
      <c r="M182" s="28" t="s">
        <v>613</v>
      </c>
      <c r="N182" t="s">
        <v>313</v>
      </c>
    </row>
    <row r="183" spans="1:14" hidden="1" x14ac:dyDescent="0.25">
      <c r="A183" t="s">
        <v>10352</v>
      </c>
      <c r="B183" t="s">
        <v>6257</v>
      </c>
      <c r="C183" t="s">
        <v>2596</v>
      </c>
      <c r="D183" t="s">
        <v>6258</v>
      </c>
      <c r="E183" s="28" t="s">
        <v>896</v>
      </c>
      <c r="F183" t="s">
        <v>231</v>
      </c>
      <c r="G183" t="s">
        <v>15</v>
      </c>
      <c r="M183" s="28" t="s">
        <v>613</v>
      </c>
      <c r="N183" t="s">
        <v>313</v>
      </c>
    </row>
    <row r="184" spans="1:14" hidden="1" x14ac:dyDescent="0.25">
      <c r="A184" t="s">
        <v>12614</v>
      </c>
      <c r="B184" t="s">
        <v>12615</v>
      </c>
      <c r="C184" t="s">
        <v>12616</v>
      </c>
      <c r="D184" t="s">
        <v>12617</v>
      </c>
      <c r="E184" s="28" t="s">
        <v>890</v>
      </c>
      <c r="F184" t="s">
        <v>796</v>
      </c>
      <c r="G184" t="s">
        <v>21</v>
      </c>
      <c r="M184" s="28" t="s">
        <v>791</v>
      </c>
      <c r="N184" t="s">
        <v>313</v>
      </c>
    </row>
    <row r="185" spans="1:14" hidden="1" x14ac:dyDescent="0.25">
      <c r="A185" t="s">
        <v>13107</v>
      </c>
      <c r="B185" t="s">
        <v>13108</v>
      </c>
      <c r="C185" t="s">
        <v>13109</v>
      </c>
      <c r="D185" t="s">
        <v>13110</v>
      </c>
      <c r="E185" s="28" t="s">
        <v>890</v>
      </c>
      <c r="F185" t="s">
        <v>6895</v>
      </c>
      <c r="G185" t="s">
        <v>6896</v>
      </c>
      <c r="M185" s="28" t="s">
        <v>6897</v>
      </c>
      <c r="N185" t="s">
        <v>279</v>
      </c>
    </row>
    <row r="186" spans="1:14" hidden="1" x14ac:dyDescent="0.25">
      <c r="A186" t="s">
        <v>13111</v>
      </c>
      <c r="B186" t="s">
        <v>13108</v>
      </c>
      <c r="C186" t="s">
        <v>13112</v>
      </c>
      <c r="D186" t="s">
        <v>13113</v>
      </c>
      <c r="E186" s="28" t="s">
        <v>1177</v>
      </c>
      <c r="F186" t="s">
        <v>6895</v>
      </c>
      <c r="G186" t="s">
        <v>6896</v>
      </c>
      <c r="M186" s="28" t="s">
        <v>6897</v>
      </c>
      <c r="N186" t="s">
        <v>279</v>
      </c>
    </row>
    <row r="187" spans="1:14" hidden="1" x14ac:dyDescent="0.25">
      <c r="A187" t="s">
        <v>10351</v>
      </c>
      <c r="B187" t="s">
        <v>6254</v>
      </c>
      <c r="C187" t="s">
        <v>999</v>
      </c>
      <c r="D187" t="s">
        <v>6256</v>
      </c>
      <c r="E187" s="28" t="s">
        <v>890</v>
      </c>
      <c r="F187" t="s">
        <v>4675</v>
      </c>
      <c r="G187" t="s">
        <v>15</v>
      </c>
      <c r="M187" s="28" t="s">
        <v>613</v>
      </c>
      <c r="N187" t="s">
        <v>313</v>
      </c>
    </row>
    <row r="188" spans="1:14" hidden="1" x14ac:dyDescent="0.25">
      <c r="A188" t="s">
        <v>10350</v>
      </c>
      <c r="B188" t="s">
        <v>6254</v>
      </c>
      <c r="C188" t="s">
        <v>4726</v>
      </c>
      <c r="D188" t="s">
        <v>6255</v>
      </c>
      <c r="E188" s="28" t="s">
        <v>896</v>
      </c>
      <c r="F188" t="s">
        <v>644</v>
      </c>
      <c r="G188" t="s">
        <v>15</v>
      </c>
      <c r="M188" s="28" t="s">
        <v>613</v>
      </c>
      <c r="N188" t="s">
        <v>313</v>
      </c>
    </row>
    <row r="189" spans="1:14" hidden="1" x14ac:dyDescent="0.25">
      <c r="A189" t="s">
        <v>10349</v>
      </c>
      <c r="B189" t="s">
        <v>6252</v>
      </c>
      <c r="C189" t="s">
        <v>2184</v>
      </c>
      <c r="D189" t="s">
        <v>6253</v>
      </c>
      <c r="E189" s="28" t="s">
        <v>896</v>
      </c>
      <c r="F189" t="s">
        <v>4802</v>
      </c>
      <c r="G189" t="s">
        <v>15</v>
      </c>
      <c r="M189" s="28" t="s">
        <v>613</v>
      </c>
      <c r="N189" t="s">
        <v>313</v>
      </c>
    </row>
    <row r="190" spans="1:14" hidden="1" x14ac:dyDescent="0.25">
      <c r="A190" t="s">
        <v>10348</v>
      </c>
      <c r="B190" t="s">
        <v>6249</v>
      </c>
      <c r="C190" t="s">
        <v>6250</v>
      </c>
      <c r="D190" t="s">
        <v>6251</v>
      </c>
      <c r="E190" s="28" t="s">
        <v>896</v>
      </c>
      <c r="F190" t="s">
        <v>4551</v>
      </c>
      <c r="G190" t="s">
        <v>15</v>
      </c>
      <c r="M190" s="28" t="s">
        <v>613</v>
      </c>
      <c r="N190" t="s">
        <v>313</v>
      </c>
    </row>
    <row r="191" spans="1:14" hidden="1" x14ac:dyDescent="0.25">
      <c r="A191" t="s">
        <v>10347</v>
      </c>
      <c r="B191" t="s">
        <v>6247</v>
      </c>
      <c r="C191" t="s">
        <v>5785</v>
      </c>
      <c r="D191" t="s">
        <v>6248</v>
      </c>
      <c r="E191" s="28" t="s">
        <v>896</v>
      </c>
      <c r="F191" t="s">
        <v>4601</v>
      </c>
      <c r="G191" t="s">
        <v>15</v>
      </c>
      <c r="M191" s="28" t="s">
        <v>613</v>
      </c>
      <c r="N191" t="s">
        <v>313</v>
      </c>
    </row>
    <row r="192" spans="1:14" hidden="1" x14ac:dyDescent="0.25">
      <c r="A192" t="s">
        <v>8583</v>
      </c>
      <c r="B192" t="s">
        <v>2491</v>
      </c>
      <c r="C192" t="s">
        <v>2566</v>
      </c>
      <c r="D192" t="s">
        <v>2567</v>
      </c>
      <c r="E192" s="28" t="s">
        <v>930</v>
      </c>
      <c r="F192" t="s">
        <v>2568</v>
      </c>
      <c r="G192" t="s">
        <v>11</v>
      </c>
      <c r="M192" s="28" t="s">
        <v>413</v>
      </c>
      <c r="N192" t="s">
        <v>313</v>
      </c>
    </row>
    <row r="193" spans="1:14" hidden="1" x14ac:dyDescent="0.25">
      <c r="A193" t="s">
        <v>8552</v>
      </c>
      <c r="B193" t="s">
        <v>2491</v>
      </c>
      <c r="C193" t="s">
        <v>1156</v>
      </c>
      <c r="D193" t="s">
        <v>2492</v>
      </c>
      <c r="E193" s="28" t="s">
        <v>896</v>
      </c>
      <c r="F193" t="s">
        <v>2568</v>
      </c>
      <c r="G193" t="s">
        <v>11</v>
      </c>
      <c r="M193" s="28" t="s">
        <v>413</v>
      </c>
      <c r="N193" t="s">
        <v>313</v>
      </c>
    </row>
    <row r="194" spans="1:14" hidden="1" x14ac:dyDescent="0.25">
      <c r="A194" t="s">
        <v>11225</v>
      </c>
      <c r="B194" t="s">
        <v>11226</v>
      </c>
      <c r="C194" t="s">
        <v>1123</v>
      </c>
      <c r="D194" t="s">
        <v>11227</v>
      </c>
      <c r="E194" s="28" t="s">
        <v>890</v>
      </c>
      <c r="F194" t="s">
        <v>10975</v>
      </c>
      <c r="G194" t="s">
        <v>84</v>
      </c>
      <c r="M194" s="28" t="s">
        <v>14223</v>
      </c>
      <c r="N194" t="s">
        <v>313</v>
      </c>
    </row>
    <row r="195" spans="1:14" hidden="1" x14ac:dyDescent="0.25">
      <c r="A195" t="s">
        <v>12469</v>
      </c>
      <c r="B195" t="s">
        <v>12470</v>
      </c>
      <c r="C195" t="s">
        <v>2638</v>
      </c>
      <c r="D195" t="s">
        <v>12471</v>
      </c>
      <c r="E195" s="28" t="s">
        <v>1023</v>
      </c>
      <c r="F195" t="s">
        <v>170</v>
      </c>
      <c r="G195" t="s">
        <v>74</v>
      </c>
      <c r="M195" s="28" t="s">
        <v>507</v>
      </c>
      <c r="N195" t="s">
        <v>313</v>
      </c>
    </row>
    <row r="196" spans="1:14" hidden="1" x14ac:dyDescent="0.25">
      <c r="A196" t="s">
        <v>13277</v>
      </c>
      <c r="B196" t="s">
        <v>13278</v>
      </c>
      <c r="C196" t="s">
        <v>13279</v>
      </c>
      <c r="D196" t="s">
        <v>13280</v>
      </c>
      <c r="E196" s="28" t="s">
        <v>890</v>
      </c>
      <c r="F196" t="s">
        <v>158</v>
      </c>
      <c r="G196" t="s">
        <v>74</v>
      </c>
      <c r="M196" s="28" t="s">
        <v>507</v>
      </c>
      <c r="N196" t="s">
        <v>313</v>
      </c>
    </row>
    <row r="197" spans="1:14" hidden="1" x14ac:dyDescent="0.25">
      <c r="A197" t="s">
        <v>10346</v>
      </c>
      <c r="B197" t="s">
        <v>6245</v>
      </c>
      <c r="C197" t="s">
        <v>909</v>
      </c>
      <c r="D197" t="s">
        <v>6246</v>
      </c>
      <c r="E197" s="28" t="s">
        <v>896</v>
      </c>
      <c r="F197" t="s">
        <v>764</v>
      </c>
      <c r="G197" t="s">
        <v>15</v>
      </c>
      <c r="M197" s="28" t="s">
        <v>613</v>
      </c>
      <c r="N197" t="s">
        <v>313</v>
      </c>
    </row>
    <row r="198" spans="1:14" hidden="1" x14ac:dyDescent="0.25">
      <c r="A198" t="s">
        <v>13420</v>
      </c>
      <c r="B198" t="s">
        <v>13421</v>
      </c>
      <c r="C198" t="s">
        <v>906</v>
      </c>
      <c r="D198" t="s">
        <v>13422</v>
      </c>
      <c r="E198" s="28" t="s">
        <v>896</v>
      </c>
      <c r="F198" t="s">
        <v>13423</v>
      </c>
      <c r="G198" t="s">
        <v>15</v>
      </c>
      <c r="M198" s="28" t="s">
        <v>613</v>
      </c>
      <c r="N198" t="s">
        <v>313</v>
      </c>
    </row>
    <row r="199" spans="1:14" hidden="1" x14ac:dyDescent="0.25">
      <c r="A199" t="s">
        <v>8279</v>
      </c>
      <c r="B199" t="s">
        <v>1824</v>
      </c>
      <c r="C199" t="s">
        <v>1490</v>
      </c>
      <c r="D199" t="s">
        <v>1825</v>
      </c>
      <c r="E199" s="28" t="s">
        <v>890</v>
      </c>
      <c r="F199" t="s">
        <v>1645</v>
      </c>
      <c r="G199" t="s">
        <v>43</v>
      </c>
      <c r="M199" s="28" t="s">
        <v>14205</v>
      </c>
    </row>
    <row r="200" spans="1:14" hidden="1" x14ac:dyDescent="0.25">
      <c r="A200" t="s">
        <v>10738</v>
      </c>
      <c r="B200" t="s">
        <v>7178</v>
      </c>
      <c r="C200" t="s">
        <v>7002</v>
      </c>
      <c r="D200" t="s">
        <v>7179</v>
      </c>
      <c r="E200" s="28" t="s">
        <v>890</v>
      </c>
      <c r="F200" t="s">
        <v>6901</v>
      </c>
      <c r="G200" t="s">
        <v>6896</v>
      </c>
      <c r="M200" s="28" t="s">
        <v>6897</v>
      </c>
      <c r="N200" t="s">
        <v>279</v>
      </c>
    </row>
    <row r="201" spans="1:14" hidden="1" x14ac:dyDescent="0.25">
      <c r="A201" t="s">
        <v>8817</v>
      </c>
      <c r="B201" t="s">
        <v>3120</v>
      </c>
      <c r="C201" t="s">
        <v>3121</v>
      </c>
      <c r="D201" t="s">
        <v>3122</v>
      </c>
      <c r="E201" s="28" t="s">
        <v>890</v>
      </c>
      <c r="F201" t="s">
        <v>891</v>
      </c>
      <c r="G201" t="s">
        <v>88</v>
      </c>
      <c r="M201" s="28" t="s">
        <v>549</v>
      </c>
      <c r="N201" t="s">
        <v>313</v>
      </c>
    </row>
    <row r="202" spans="1:14" hidden="1" x14ac:dyDescent="0.25">
      <c r="A202" t="s">
        <v>8818</v>
      </c>
      <c r="B202" t="s">
        <v>3123</v>
      </c>
      <c r="C202" t="s">
        <v>3124</v>
      </c>
      <c r="D202" t="s">
        <v>3125</v>
      </c>
      <c r="E202" s="28" t="s">
        <v>896</v>
      </c>
      <c r="F202" t="s">
        <v>891</v>
      </c>
      <c r="G202" t="s">
        <v>88</v>
      </c>
      <c r="M202" s="28" t="s">
        <v>549</v>
      </c>
      <c r="N202" t="s">
        <v>313</v>
      </c>
    </row>
    <row r="203" spans="1:14" hidden="1" x14ac:dyDescent="0.25">
      <c r="A203" t="s">
        <v>8819</v>
      </c>
      <c r="B203" t="s">
        <v>3123</v>
      </c>
      <c r="C203" t="s">
        <v>3126</v>
      </c>
      <c r="D203" t="s">
        <v>3127</v>
      </c>
      <c r="E203" s="28" t="s">
        <v>890</v>
      </c>
      <c r="F203" t="s">
        <v>891</v>
      </c>
      <c r="G203" t="s">
        <v>88</v>
      </c>
      <c r="M203" s="28" t="s">
        <v>549</v>
      </c>
      <c r="N203" t="s">
        <v>313</v>
      </c>
    </row>
    <row r="204" spans="1:14" hidden="1" x14ac:dyDescent="0.25">
      <c r="A204" t="s">
        <v>8820</v>
      </c>
      <c r="B204" t="s">
        <v>3128</v>
      </c>
      <c r="C204" t="s">
        <v>3129</v>
      </c>
      <c r="D204" t="s">
        <v>3130</v>
      </c>
      <c r="E204" s="28" t="s">
        <v>890</v>
      </c>
      <c r="F204" t="s">
        <v>891</v>
      </c>
      <c r="G204" t="s">
        <v>88</v>
      </c>
      <c r="M204" s="28" t="s">
        <v>549</v>
      </c>
      <c r="N204" t="s">
        <v>313</v>
      </c>
    </row>
    <row r="205" spans="1:14" hidden="1" x14ac:dyDescent="0.25">
      <c r="A205" t="s">
        <v>12589</v>
      </c>
      <c r="B205" t="s">
        <v>12590</v>
      </c>
      <c r="C205" t="s">
        <v>2184</v>
      </c>
      <c r="D205" t="s">
        <v>12591</v>
      </c>
      <c r="E205" s="28" t="s">
        <v>896</v>
      </c>
      <c r="F205" t="s">
        <v>231</v>
      </c>
      <c r="G205" t="s">
        <v>15</v>
      </c>
      <c r="M205" s="28" t="s">
        <v>613</v>
      </c>
      <c r="N205" t="s">
        <v>313</v>
      </c>
    </row>
    <row r="206" spans="1:14" hidden="1" x14ac:dyDescent="0.25">
      <c r="A206" t="s">
        <v>7938</v>
      </c>
      <c r="B206" t="s">
        <v>888</v>
      </c>
      <c r="C206" t="s">
        <v>889</v>
      </c>
      <c r="D206" t="s">
        <v>11681</v>
      </c>
      <c r="E206" s="28" t="s">
        <v>890</v>
      </c>
      <c r="F206" t="s">
        <v>891</v>
      </c>
      <c r="G206" t="s">
        <v>892</v>
      </c>
      <c r="M206" s="28" t="s">
        <v>11680</v>
      </c>
      <c r="N206" t="s">
        <v>11680</v>
      </c>
    </row>
    <row r="207" spans="1:14" hidden="1" x14ac:dyDescent="0.25">
      <c r="A207" t="s">
        <v>8347</v>
      </c>
      <c r="B207" t="s">
        <v>2001</v>
      </c>
      <c r="C207" t="s">
        <v>2002</v>
      </c>
      <c r="D207" t="s">
        <v>2003</v>
      </c>
      <c r="E207" s="28" t="s">
        <v>890</v>
      </c>
      <c r="F207" t="s">
        <v>383</v>
      </c>
      <c r="G207" t="s">
        <v>47</v>
      </c>
      <c r="M207" s="28" t="s">
        <v>13542</v>
      </c>
    </row>
    <row r="208" spans="1:14" hidden="1" x14ac:dyDescent="0.25">
      <c r="A208" t="s">
        <v>8622</v>
      </c>
      <c r="B208" t="s">
        <v>2661</v>
      </c>
      <c r="C208" t="s">
        <v>2662</v>
      </c>
      <c r="D208" t="s">
        <v>2663</v>
      </c>
      <c r="E208" s="28" t="s">
        <v>890</v>
      </c>
      <c r="F208" t="s">
        <v>510</v>
      </c>
      <c r="G208" t="s">
        <v>74</v>
      </c>
      <c r="M208" s="28" t="s">
        <v>507</v>
      </c>
      <c r="N208" t="s">
        <v>313</v>
      </c>
    </row>
    <row r="209" spans="1:14" hidden="1" x14ac:dyDescent="0.25">
      <c r="A209" t="s">
        <v>8821</v>
      </c>
      <c r="B209" t="s">
        <v>3131</v>
      </c>
      <c r="C209" t="s">
        <v>2095</v>
      </c>
      <c r="D209" t="s">
        <v>3132</v>
      </c>
      <c r="E209" s="28" t="s">
        <v>896</v>
      </c>
      <c r="F209" t="s">
        <v>891</v>
      </c>
      <c r="G209" t="s">
        <v>88</v>
      </c>
      <c r="M209" s="28" t="s">
        <v>549</v>
      </c>
      <c r="N209" t="s">
        <v>313</v>
      </c>
    </row>
    <row r="210" spans="1:14" hidden="1" x14ac:dyDescent="0.25">
      <c r="A210" t="s">
        <v>8690</v>
      </c>
      <c r="B210" t="s">
        <v>2835</v>
      </c>
      <c r="C210" t="s">
        <v>2836</v>
      </c>
      <c r="D210" t="s">
        <v>2837</v>
      </c>
      <c r="E210" s="28" t="s">
        <v>896</v>
      </c>
      <c r="F210" t="s">
        <v>174</v>
      </c>
      <c r="G210" t="s">
        <v>81</v>
      </c>
      <c r="M210" s="28" t="s">
        <v>530</v>
      </c>
      <c r="N210" t="s">
        <v>313</v>
      </c>
    </row>
    <row r="211" spans="1:14" hidden="1" x14ac:dyDescent="0.25">
      <c r="A211" t="s">
        <v>10345</v>
      </c>
      <c r="B211" t="s">
        <v>6243</v>
      </c>
      <c r="C211" t="s">
        <v>4719</v>
      </c>
      <c r="D211" t="s">
        <v>6244</v>
      </c>
      <c r="E211" s="28" t="s">
        <v>890</v>
      </c>
      <c r="F211" t="s">
        <v>615</v>
      </c>
      <c r="G211" t="s">
        <v>15</v>
      </c>
      <c r="M211" s="28" t="s">
        <v>613</v>
      </c>
      <c r="N211" t="s">
        <v>313</v>
      </c>
    </row>
    <row r="212" spans="1:14" hidden="1" x14ac:dyDescent="0.25">
      <c r="A212" t="s">
        <v>13597</v>
      </c>
      <c r="B212" t="s">
        <v>13598</v>
      </c>
      <c r="C212" t="s">
        <v>1204</v>
      </c>
      <c r="D212" t="s">
        <v>13599</v>
      </c>
      <c r="E212" s="28" t="s">
        <v>890</v>
      </c>
      <c r="F212" t="s">
        <v>13487</v>
      </c>
      <c r="G212" t="s">
        <v>21</v>
      </c>
      <c r="M212" s="28" t="s">
        <v>791</v>
      </c>
      <c r="N212" t="s">
        <v>313</v>
      </c>
    </row>
    <row r="213" spans="1:14" hidden="1" x14ac:dyDescent="0.25">
      <c r="A213" t="s">
        <v>10343</v>
      </c>
      <c r="B213" t="s">
        <v>6240</v>
      </c>
      <c r="C213" t="s">
        <v>5505</v>
      </c>
      <c r="D213" t="s">
        <v>6241</v>
      </c>
      <c r="E213" s="28" t="s">
        <v>890</v>
      </c>
      <c r="F213" t="s">
        <v>648</v>
      </c>
      <c r="G213" t="s">
        <v>15</v>
      </c>
      <c r="M213" s="28" t="s">
        <v>613</v>
      </c>
      <c r="N213" t="s">
        <v>313</v>
      </c>
    </row>
    <row r="214" spans="1:14" hidden="1" x14ac:dyDescent="0.25">
      <c r="A214" t="s">
        <v>10344</v>
      </c>
      <c r="B214" t="s">
        <v>6240</v>
      </c>
      <c r="C214" t="s">
        <v>4640</v>
      </c>
      <c r="D214" t="s">
        <v>6242</v>
      </c>
      <c r="E214" s="28" t="s">
        <v>896</v>
      </c>
      <c r="F214" t="s">
        <v>702</v>
      </c>
      <c r="G214" t="s">
        <v>15</v>
      </c>
      <c r="M214" s="28" t="s">
        <v>613</v>
      </c>
      <c r="N214" t="s">
        <v>313</v>
      </c>
    </row>
    <row r="215" spans="1:14" hidden="1" x14ac:dyDescent="0.25">
      <c r="A215" t="s">
        <v>10342</v>
      </c>
      <c r="B215" t="s">
        <v>6238</v>
      </c>
      <c r="C215" t="s">
        <v>4440</v>
      </c>
      <c r="D215" t="s">
        <v>6239</v>
      </c>
      <c r="E215" s="28" t="s">
        <v>896</v>
      </c>
      <c r="F215" t="s">
        <v>771</v>
      </c>
      <c r="G215" t="s">
        <v>15</v>
      </c>
      <c r="M215" s="28" t="s">
        <v>613</v>
      </c>
      <c r="N215" t="s">
        <v>313</v>
      </c>
    </row>
    <row r="216" spans="1:14" hidden="1" x14ac:dyDescent="0.25">
      <c r="A216" t="s">
        <v>13426</v>
      </c>
      <c r="B216" t="s">
        <v>13427</v>
      </c>
      <c r="C216" t="s">
        <v>5087</v>
      </c>
      <c r="D216" t="s">
        <v>13428</v>
      </c>
      <c r="E216" s="28" t="s">
        <v>890</v>
      </c>
      <c r="F216" t="s">
        <v>14090</v>
      </c>
      <c r="G216" t="s">
        <v>15</v>
      </c>
      <c r="M216" s="28" t="s">
        <v>613</v>
      </c>
      <c r="N216" t="s">
        <v>313</v>
      </c>
    </row>
    <row r="217" spans="1:14" hidden="1" x14ac:dyDescent="0.25">
      <c r="A217" t="s">
        <v>10341</v>
      </c>
      <c r="B217" t="s">
        <v>6236</v>
      </c>
      <c r="C217" t="s">
        <v>999</v>
      </c>
      <c r="D217" t="s">
        <v>6237</v>
      </c>
      <c r="E217" s="28" t="s">
        <v>1177</v>
      </c>
      <c r="F217" t="s">
        <v>746</v>
      </c>
      <c r="G217" t="s">
        <v>15</v>
      </c>
      <c r="M217" s="28" t="s">
        <v>613</v>
      </c>
      <c r="N217" t="s">
        <v>313</v>
      </c>
    </row>
    <row r="218" spans="1:14" hidden="1" x14ac:dyDescent="0.25">
      <c r="A218" t="s">
        <v>8009</v>
      </c>
      <c r="B218" t="s">
        <v>1095</v>
      </c>
      <c r="C218" t="s">
        <v>1096</v>
      </c>
      <c r="D218" t="s">
        <v>1097</v>
      </c>
      <c r="E218" s="28" t="s">
        <v>896</v>
      </c>
      <c r="F218" t="s">
        <v>283</v>
      </c>
      <c r="G218" t="s">
        <v>31</v>
      </c>
      <c r="M218" s="28" t="s">
        <v>278</v>
      </c>
      <c r="N218" t="s">
        <v>279</v>
      </c>
    </row>
    <row r="219" spans="1:14" hidden="1" x14ac:dyDescent="0.25">
      <c r="A219" t="s">
        <v>10436</v>
      </c>
      <c r="B219" t="s">
        <v>6460</v>
      </c>
      <c r="C219" t="s">
        <v>6461</v>
      </c>
      <c r="D219" t="s">
        <v>6462</v>
      </c>
      <c r="E219" s="28" t="s">
        <v>890</v>
      </c>
      <c r="F219" t="s">
        <v>789</v>
      </c>
      <c r="G219" t="s">
        <v>21</v>
      </c>
      <c r="M219" s="28" t="s">
        <v>791</v>
      </c>
      <c r="N219" t="s">
        <v>313</v>
      </c>
    </row>
    <row r="220" spans="1:14" hidden="1" x14ac:dyDescent="0.25">
      <c r="A220" t="s">
        <v>10340</v>
      </c>
      <c r="B220" t="s">
        <v>6233</v>
      </c>
      <c r="C220" t="s">
        <v>6234</v>
      </c>
      <c r="D220" t="s">
        <v>6235</v>
      </c>
      <c r="E220" s="28" t="s">
        <v>890</v>
      </c>
      <c r="F220" t="s">
        <v>755</v>
      </c>
      <c r="G220" t="s">
        <v>15</v>
      </c>
      <c r="M220" s="28" t="s">
        <v>613</v>
      </c>
      <c r="N220" t="s">
        <v>313</v>
      </c>
    </row>
    <row r="221" spans="1:14" hidden="1" x14ac:dyDescent="0.25">
      <c r="A221" t="s">
        <v>14096</v>
      </c>
      <c r="B221" t="s">
        <v>14097</v>
      </c>
      <c r="C221" t="s">
        <v>2329</v>
      </c>
      <c r="D221" t="s">
        <v>14098</v>
      </c>
      <c r="E221" s="28" t="s">
        <v>896</v>
      </c>
      <c r="F221" t="s">
        <v>4943</v>
      </c>
      <c r="G221" t="s">
        <v>15</v>
      </c>
      <c r="M221" s="28" t="s">
        <v>613</v>
      </c>
      <c r="N221" t="s">
        <v>313</v>
      </c>
    </row>
    <row r="222" spans="1:14" hidden="1" x14ac:dyDescent="0.25">
      <c r="A222" t="s">
        <v>8053</v>
      </c>
      <c r="B222" t="s">
        <v>1246</v>
      </c>
      <c r="C222" t="s">
        <v>1247</v>
      </c>
      <c r="D222" t="s">
        <v>1248</v>
      </c>
      <c r="E222" s="28" t="s">
        <v>896</v>
      </c>
      <c r="F222" t="s">
        <v>39</v>
      </c>
      <c r="G222" t="s">
        <v>34</v>
      </c>
      <c r="M222" s="28" t="s">
        <v>12353</v>
      </c>
      <c r="N222" t="s">
        <v>313</v>
      </c>
    </row>
    <row r="223" spans="1:14" hidden="1" x14ac:dyDescent="0.25">
      <c r="A223" t="s">
        <v>10959</v>
      </c>
      <c r="B223" t="s">
        <v>10960</v>
      </c>
      <c r="C223" t="s">
        <v>10961</v>
      </c>
      <c r="D223" t="s">
        <v>10962</v>
      </c>
      <c r="E223" s="28" t="s">
        <v>890</v>
      </c>
      <c r="F223" t="s">
        <v>10963</v>
      </c>
      <c r="G223" t="s">
        <v>84</v>
      </c>
      <c r="M223" s="28" t="s">
        <v>14223</v>
      </c>
      <c r="N223" t="s">
        <v>313</v>
      </c>
    </row>
    <row r="224" spans="1:14" hidden="1" x14ac:dyDescent="0.25">
      <c r="A224" t="s">
        <v>10339</v>
      </c>
      <c r="B224" t="s">
        <v>6231</v>
      </c>
      <c r="C224" t="s">
        <v>2753</v>
      </c>
      <c r="D224" t="s">
        <v>6232</v>
      </c>
      <c r="E224" s="28" t="s">
        <v>896</v>
      </c>
      <c r="F224" t="s">
        <v>648</v>
      </c>
      <c r="G224" t="s">
        <v>15</v>
      </c>
      <c r="M224" s="28" t="s">
        <v>613</v>
      </c>
      <c r="N224" t="s">
        <v>313</v>
      </c>
    </row>
    <row r="225" spans="1:14" hidden="1" x14ac:dyDescent="0.25">
      <c r="A225" t="s">
        <v>8595</v>
      </c>
      <c r="B225" t="s">
        <v>2591</v>
      </c>
      <c r="C225" t="s">
        <v>1312</v>
      </c>
      <c r="D225" t="s">
        <v>2592</v>
      </c>
      <c r="E225" s="28" t="s">
        <v>896</v>
      </c>
      <c r="F225" t="s">
        <v>504</v>
      </c>
      <c r="G225" t="s">
        <v>11</v>
      </c>
      <c r="M225" s="28" t="s">
        <v>413</v>
      </c>
      <c r="N225" t="s">
        <v>313</v>
      </c>
    </row>
    <row r="226" spans="1:14" hidden="1" x14ac:dyDescent="0.25">
      <c r="A226" t="s">
        <v>10796</v>
      </c>
      <c r="B226" t="s">
        <v>7322</v>
      </c>
      <c r="C226" t="s">
        <v>1143</v>
      </c>
      <c r="D226" t="s">
        <v>7323</v>
      </c>
      <c r="E226" s="28" t="s">
        <v>890</v>
      </c>
      <c r="F226" t="s">
        <v>872</v>
      </c>
      <c r="G226" t="s">
        <v>157</v>
      </c>
      <c r="M226" s="28" t="s">
        <v>840</v>
      </c>
      <c r="N226" t="s">
        <v>382</v>
      </c>
    </row>
    <row r="227" spans="1:14" hidden="1" x14ac:dyDescent="0.25">
      <c r="A227" t="s">
        <v>10338</v>
      </c>
      <c r="B227" t="s">
        <v>6229</v>
      </c>
      <c r="C227" t="s">
        <v>4440</v>
      </c>
      <c r="D227" t="s">
        <v>6230</v>
      </c>
      <c r="E227" s="28" t="s">
        <v>890</v>
      </c>
      <c r="F227" t="s">
        <v>718</v>
      </c>
      <c r="G227" t="s">
        <v>15</v>
      </c>
      <c r="M227" s="28" t="s">
        <v>613</v>
      </c>
      <c r="N227" t="s">
        <v>313</v>
      </c>
    </row>
    <row r="228" spans="1:14" hidden="1" x14ac:dyDescent="0.25">
      <c r="A228" t="s">
        <v>10337</v>
      </c>
      <c r="B228" t="s">
        <v>6227</v>
      </c>
      <c r="C228" t="s">
        <v>2582</v>
      </c>
      <c r="D228" t="s">
        <v>6228</v>
      </c>
      <c r="E228" s="28" t="s">
        <v>890</v>
      </c>
      <c r="F228" t="s">
        <v>651</v>
      </c>
      <c r="G228" t="s">
        <v>15</v>
      </c>
      <c r="M228" s="28" t="s">
        <v>613</v>
      </c>
      <c r="N228" t="s">
        <v>313</v>
      </c>
    </row>
    <row r="229" spans="1:14" hidden="1" x14ac:dyDescent="0.25">
      <c r="A229" t="s">
        <v>10336</v>
      </c>
      <c r="B229" t="s">
        <v>6225</v>
      </c>
      <c r="C229" t="s">
        <v>4711</v>
      </c>
      <c r="D229" t="s">
        <v>6226</v>
      </c>
      <c r="E229" s="28" t="s">
        <v>896</v>
      </c>
      <c r="F229" t="s">
        <v>197</v>
      </c>
      <c r="G229" t="s">
        <v>15</v>
      </c>
      <c r="M229" s="28" t="s">
        <v>613</v>
      </c>
      <c r="N229" t="s">
        <v>313</v>
      </c>
    </row>
    <row r="230" spans="1:14" hidden="1" x14ac:dyDescent="0.25">
      <c r="A230" t="s">
        <v>12862</v>
      </c>
      <c r="B230" t="s">
        <v>12863</v>
      </c>
      <c r="C230" t="s">
        <v>4600</v>
      </c>
      <c r="D230" t="s">
        <v>12864</v>
      </c>
      <c r="E230" s="28" t="s">
        <v>890</v>
      </c>
      <c r="F230" t="s">
        <v>4837</v>
      </c>
      <c r="G230" t="s">
        <v>15</v>
      </c>
      <c r="M230" s="28" t="s">
        <v>613</v>
      </c>
      <c r="N230" t="s">
        <v>313</v>
      </c>
    </row>
    <row r="231" spans="1:14" hidden="1" x14ac:dyDescent="0.25">
      <c r="A231" t="s">
        <v>13342</v>
      </c>
      <c r="B231" t="s">
        <v>13343</v>
      </c>
      <c r="C231" t="s">
        <v>2619</v>
      </c>
      <c r="D231" t="s">
        <v>13344</v>
      </c>
      <c r="E231" s="28" t="s">
        <v>1177</v>
      </c>
      <c r="F231" t="s">
        <v>4837</v>
      </c>
      <c r="G231" t="s">
        <v>15</v>
      </c>
      <c r="M231" s="28" t="s">
        <v>613</v>
      </c>
      <c r="N231" t="s">
        <v>313</v>
      </c>
    </row>
    <row r="232" spans="1:14" hidden="1" x14ac:dyDescent="0.25">
      <c r="A232" t="s">
        <v>10335</v>
      </c>
      <c r="B232" t="s">
        <v>6223</v>
      </c>
      <c r="C232" t="s">
        <v>4726</v>
      </c>
      <c r="D232" t="s">
        <v>6224</v>
      </c>
      <c r="E232" s="28" t="s">
        <v>896</v>
      </c>
      <c r="F232" t="s">
        <v>197</v>
      </c>
      <c r="G232" t="s">
        <v>15</v>
      </c>
      <c r="M232" s="28" t="s">
        <v>613</v>
      </c>
      <c r="N232" t="s">
        <v>313</v>
      </c>
    </row>
    <row r="233" spans="1:14" hidden="1" x14ac:dyDescent="0.25">
      <c r="A233" t="s">
        <v>8029</v>
      </c>
      <c r="B233" t="s">
        <v>1152</v>
      </c>
      <c r="C233" t="s">
        <v>1172</v>
      </c>
      <c r="D233" t="s">
        <v>1173</v>
      </c>
      <c r="E233" s="28" t="s">
        <v>1023</v>
      </c>
      <c r="F233" t="s">
        <v>300</v>
      </c>
      <c r="G233" t="s">
        <v>31</v>
      </c>
      <c r="M233" s="28" t="s">
        <v>278</v>
      </c>
      <c r="N233" t="s">
        <v>279</v>
      </c>
    </row>
    <row r="234" spans="1:14" hidden="1" x14ac:dyDescent="0.25">
      <c r="A234" t="s">
        <v>8024</v>
      </c>
      <c r="B234" t="s">
        <v>1152</v>
      </c>
      <c r="C234" t="s">
        <v>1153</v>
      </c>
      <c r="D234" t="s">
        <v>1154</v>
      </c>
      <c r="E234" s="28" t="s">
        <v>890</v>
      </c>
      <c r="F234" t="s">
        <v>300</v>
      </c>
      <c r="G234" t="s">
        <v>31</v>
      </c>
      <c r="M234" s="28" t="s">
        <v>278</v>
      </c>
      <c r="N234" t="s">
        <v>279</v>
      </c>
    </row>
    <row r="235" spans="1:14" hidden="1" x14ac:dyDescent="0.25">
      <c r="A235" t="s">
        <v>10334</v>
      </c>
      <c r="B235" t="s">
        <v>6221</v>
      </c>
      <c r="C235" t="s">
        <v>4600</v>
      </c>
      <c r="D235" t="s">
        <v>6222</v>
      </c>
      <c r="E235" s="28" t="s">
        <v>896</v>
      </c>
      <c r="F235" t="s">
        <v>5176</v>
      </c>
      <c r="G235" t="s">
        <v>15</v>
      </c>
      <c r="M235" s="28" t="s">
        <v>613</v>
      </c>
      <c r="N235" t="s">
        <v>313</v>
      </c>
    </row>
    <row r="236" spans="1:14" hidden="1" x14ac:dyDescent="0.25">
      <c r="A236" t="s">
        <v>8336</v>
      </c>
      <c r="B236" t="s">
        <v>1971</v>
      </c>
      <c r="C236" t="s">
        <v>1972</v>
      </c>
      <c r="D236" t="s">
        <v>1973</v>
      </c>
      <c r="E236" s="28" t="s">
        <v>930</v>
      </c>
      <c r="F236" t="s">
        <v>1903</v>
      </c>
      <c r="G236" t="s">
        <v>43</v>
      </c>
      <c r="M236" s="28" t="s">
        <v>14205</v>
      </c>
    </row>
    <row r="237" spans="1:14" hidden="1" x14ac:dyDescent="0.25">
      <c r="A237" t="s">
        <v>8276</v>
      </c>
      <c r="B237" t="s">
        <v>1815</v>
      </c>
      <c r="C237" t="s">
        <v>1816</v>
      </c>
      <c r="D237" t="s">
        <v>1817</v>
      </c>
      <c r="E237" s="28" t="s">
        <v>890</v>
      </c>
      <c r="F237" t="s">
        <v>1818</v>
      </c>
      <c r="G237" t="s">
        <v>43</v>
      </c>
      <c r="M237" s="28" t="s">
        <v>14205</v>
      </c>
    </row>
    <row r="238" spans="1:14" hidden="1" x14ac:dyDescent="0.25">
      <c r="A238" t="s">
        <v>10332</v>
      </c>
      <c r="B238" t="s">
        <v>6218</v>
      </c>
      <c r="C238" t="s">
        <v>4841</v>
      </c>
      <c r="D238" t="s">
        <v>6219</v>
      </c>
      <c r="E238" s="28" t="s">
        <v>930</v>
      </c>
      <c r="F238" t="s">
        <v>685</v>
      </c>
      <c r="G238" t="s">
        <v>15</v>
      </c>
      <c r="M238" s="28" t="s">
        <v>613</v>
      </c>
      <c r="N238" t="s">
        <v>313</v>
      </c>
    </row>
    <row r="239" spans="1:14" hidden="1" x14ac:dyDescent="0.25">
      <c r="A239" t="s">
        <v>10333</v>
      </c>
      <c r="B239" t="s">
        <v>6218</v>
      </c>
      <c r="C239" t="s">
        <v>4726</v>
      </c>
      <c r="D239" t="s">
        <v>6220</v>
      </c>
      <c r="E239" s="28" t="s">
        <v>890</v>
      </c>
      <c r="F239" t="s">
        <v>685</v>
      </c>
      <c r="G239" t="s">
        <v>15</v>
      </c>
      <c r="M239" s="28" t="s">
        <v>613</v>
      </c>
      <c r="N239" t="s">
        <v>313</v>
      </c>
    </row>
    <row r="240" spans="1:14" hidden="1" x14ac:dyDescent="0.25">
      <c r="A240" t="s">
        <v>10331</v>
      </c>
      <c r="B240" t="s">
        <v>6216</v>
      </c>
      <c r="C240" t="s">
        <v>4726</v>
      </c>
      <c r="D240" t="s">
        <v>6217</v>
      </c>
      <c r="E240" s="28" t="s">
        <v>890</v>
      </c>
      <c r="F240" t="s">
        <v>208</v>
      </c>
      <c r="G240" t="s">
        <v>15</v>
      </c>
      <c r="M240" s="28" t="s">
        <v>613</v>
      </c>
      <c r="N240" t="s">
        <v>313</v>
      </c>
    </row>
    <row r="241" spans="1:14" hidden="1" x14ac:dyDescent="0.25">
      <c r="A241" t="s">
        <v>13600</v>
      </c>
      <c r="B241" t="s">
        <v>13601</v>
      </c>
      <c r="C241" t="s">
        <v>3068</v>
      </c>
      <c r="D241" t="s">
        <v>13602</v>
      </c>
      <c r="E241" s="28"/>
      <c r="F241" t="s">
        <v>400</v>
      </c>
      <c r="G241" t="s">
        <v>60</v>
      </c>
      <c r="M241" s="28" t="s">
        <v>14207</v>
      </c>
    </row>
    <row r="242" spans="1:14" hidden="1" x14ac:dyDescent="0.25">
      <c r="A242" t="s">
        <v>10607</v>
      </c>
      <c r="B242" t="s">
        <v>6212</v>
      </c>
      <c r="C242" t="s">
        <v>6859</v>
      </c>
      <c r="D242" t="s">
        <v>6860</v>
      </c>
      <c r="E242" s="28" t="s">
        <v>890</v>
      </c>
      <c r="F242" t="s">
        <v>831</v>
      </c>
      <c r="G242" t="s">
        <v>145</v>
      </c>
      <c r="M242" s="28" t="s">
        <v>13222</v>
      </c>
      <c r="N242" t="s">
        <v>313</v>
      </c>
    </row>
    <row r="243" spans="1:14" hidden="1" x14ac:dyDescent="0.25">
      <c r="A243" t="s">
        <v>10329</v>
      </c>
      <c r="B243" t="s">
        <v>6212</v>
      </c>
      <c r="C243" t="s">
        <v>3974</v>
      </c>
      <c r="D243" t="s">
        <v>6213</v>
      </c>
      <c r="E243" s="28" t="s">
        <v>896</v>
      </c>
      <c r="F243" t="s">
        <v>773</v>
      </c>
      <c r="G243" t="s">
        <v>15</v>
      </c>
      <c r="M243" s="28" t="s">
        <v>613</v>
      </c>
      <c r="N243" t="s">
        <v>313</v>
      </c>
    </row>
    <row r="244" spans="1:14" hidden="1" x14ac:dyDescent="0.25">
      <c r="A244" t="s">
        <v>10330</v>
      </c>
      <c r="B244" t="s">
        <v>6212</v>
      </c>
      <c r="C244" t="s">
        <v>6214</v>
      </c>
      <c r="D244" t="s">
        <v>6215</v>
      </c>
      <c r="E244" s="28" t="s">
        <v>896</v>
      </c>
      <c r="F244" t="s">
        <v>773</v>
      </c>
      <c r="G244" t="s">
        <v>15</v>
      </c>
      <c r="M244" s="28" t="s">
        <v>613</v>
      </c>
      <c r="N244" t="s">
        <v>313</v>
      </c>
    </row>
    <row r="245" spans="1:14" hidden="1" x14ac:dyDescent="0.25">
      <c r="A245" t="s">
        <v>13</v>
      </c>
      <c r="B245" t="s">
        <v>6212</v>
      </c>
      <c r="C245" t="s">
        <v>5678</v>
      </c>
      <c r="D245" t="s">
        <v>14</v>
      </c>
      <c r="E245" s="28" t="s">
        <v>896</v>
      </c>
      <c r="F245" t="s">
        <v>643</v>
      </c>
      <c r="G245" t="s">
        <v>15</v>
      </c>
      <c r="M245" s="28" t="s">
        <v>613</v>
      </c>
      <c r="N245" t="s">
        <v>313</v>
      </c>
    </row>
    <row r="246" spans="1:14" hidden="1" x14ac:dyDescent="0.25">
      <c r="A246" t="s">
        <v>14611</v>
      </c>
      <c r="B246" t="s">
        <v>14612</v>
      </c>
      <c r="C246" t="s">
        <v>4640</v>
      </c>
      <c r="D246" t="s">
        <v>14613</v>
      </c>
      <c r="E246" s="28" t="s">
        <v>890</v>
      </c>
      <c r="F246" t="s">
        <v>4590</v>
      </c>
      <c r="G246" t="s">
        <v>15</v>
      </c>
      <c r="M246" s="28" t="s">
        <v>613</v>
      </c>
      <c r="N246" t="s">
        <v>313</v>
      </c>
    </row>
    <row r="247" spans="1:14" hidden="1" x14ac:dyDescent="0.25">
      <c r="A247" t="s">
        <v>10886</v>
      </c>
      <c r="B247" t="s">
        <v>7535</v>
      </c>
      <c r="C247" t="s">
        <v>2411</v>
      </c>
      <c r="D247" t="s">
        <v>7536</v>
      </c>
      <c r="E247" s="28" t="s">
        <v>896</v>
      </c>
      <c r="F247" t="s">
        <v>679</v>
      </c>
      <c r="G247" t="s">
        <v>162</v>
      </c>
      <c r="M247" s="28" t="s">
        <v>7517</v>
      </c>
      <c r="N247" t="s">
        <v>313</v>
      </c>
    </row>
    <row r="248" spans="1:14" hidden="1" x14ac:dyDescent="0.25">
      <c r="A248" t="s">
        <v>12084</v>
      </c>
      <c r="B248" t="s">
        <v>7535</v>
      </c>
      <c r="C248" t="s">
        <v>12085</v>
      </c>
      <c r="D248" t="s">
        <v>12086</v>
      </c>
      <c r="E248" s="28" t="s">
        <v>890</v>
      </c>
      <c r="F248" t="s">
        <v>7516</v>
      </c>
      <c r="G248" t="s">
        <v>162</v>
      </c>
      <c r="M248" s="28" t="s">
        <v>7517</v>
      </c>
      <c r="N248" t="s">
        <v>313</v>
      </c>
    </row>
    <row r="249" spans="1:14" hidden="1" x14ac:dyDescent="0.25">
      <c r="A249" t="s">
        <v>8683</v>
      </c>
      <c r="B249" t="s">
        <v>2815</v>
      </c>
      <c r="C249" t="s">
        <v>2816</v>
      </c>
      <c r="D249" t="s">
        <v>2817</v>
      </c>
      <c r="E249" s="28" t="s">
        <v>1177</v>
      </c>
      <c r="F249" t="s">
        <v>2625</v>
      </c>
      <c r="G249" t="s">
        <v>74</v>
      </c>
      <c r="M249" s="28" t="s">
        <v>507</v>
      </c>
      <c r="N249" t="s">
        <v>313</v>
      </c>
    </row>
    <row r="250" spans="1:14" hidden="1" x14ac:dyDescent="0.25">
      <c r="A250" t="s">
        <v>13603</v>
      </c>
      <c r="B250" t="s">
        <v>13604</v>
      </c>
      <c r="C250" t="s">
        <v>13605</v>
      </c>
      <c r="D250" t="s">
        <v>13606</v>
      </c>
      <c r="E250" s="28" t="s">
        <v>896</v>
      </c>
      <c r="F250" t="s">
        <v>504</v>
      </c>
      <c r="G250" t="s">
        <v>11</v>
      </c>
      <c r="M250" s="28" t="s">
        <v>413</v>
      </c>
      <c r="N250" t="s">
        <v>313</v>
      </c>
    </row>
    <row r="251" spans="1:14" hidden="1" x14ac:dyDescent="0.25">
      <c r="A251" t="s">
        <v>10328</v>
      </c>
      <c r="B251" t="s">
        <v>6210</v>
      </c>
      <c r="C251" t="s">
        <v>4857</v>
      </c>
      <c r="D251" t="s">
        <v>6211</v>
      </c>
      <c r="E251" s="28" t="s">
        <v>896</v>
      </c>
      <c r="F251" t="s">
        <v>2641</v>
      </c>
      <c r="G251" t="s">
        <v>15</v>
      </c>
      <c r="M251" s="28" t="s">
        <v>613</v>
      </c>
      <c r="N251" t="s">
        <v>313</v>
      </c>
    </row>
    <row r="252" spans="1:14" x14ac:dyDescent="0.25">
      <c r="A252" t="s">
        <v>11661</v>
      </c>
      <c r="B252" t="s">
        <v>6210</v>
      </c>
      <c r="C252" t="s">
        <v>4640</v>
      </c>
      <c r="D252" t="s">
        <v>11662</v>
      </c>
      <c r="E252" s="28" t="s">
        <v>890</v>
      </c>
      <c r="F252" t="s">
        <v>11495</v>
      </c>
      <c r="G252" t="s">
        <v>74</v>
      </c>
      <c r="M252" s="28" t="s">
        <v>507</v>
      </c>
      <c r="N252" t="s">
        <v>313</v>
      </c>
    </row>
    <row r="253" spans="1:14" x14ac:dyDescent="0.25">
      <c r="A253" t="s">
        <v>13292</v>
      </c>
      <c r="B253" t="s">
        <v>13293</v>
      </c>
      <c r="C253" t="s">
        <v>1978</v>
      </c>
      <c r="D253" t="s">
        <v>13294</v>
      </c>
      <c r="E253" s="28" t="s">
        <v>1177</v>
      </c>
      <c r="F253" t="s">
        <v>11495</v>
      </c>
      <c r="G253" t="s">
        <v>74</v>
      </c>
      <c r="M253" s="28" t="s">
        <v>507</v>
      </c>
      <c r="N253" t="s">
        <v>313</v>
      </c>
    </row>
    <row r="254" spans="1:14" hidden="1" x14ac:dyDescent="0.25">
      <c r="A254" t="s">
        <v>10327</v>
      </c>
      <c r="B254" t="s">
        <v>6208</v>
      </c>
      <c r="C254" t="s">
        <v>4857</v>
      </c>
      <c r="D254" t="s">
        <v>6209</v>
      </c>
      <c r="E254" s="28" t="s">
        <v>896</v>
      </c>
      <c r="F254" t="s">
        <v>13348</v>
      </c>
      <c r="G254" t="s">
        <v>15</v>
      </c>
      <c r="M254" s="28" t="s">
        <v>613</v>
      </c>
      <c r="N254" t="s">
        <v>313</v>
      </c>
    </row>
    <row r="255" spans="1:14" hidden="1" x14ac:dyDescent="0.25">
      <c r="A255" t="s">
        <v>13607</v>
      </c>
      <c r="B255" t="s">
        <v>13608</v>
      </c>
      <c r="C255" t="s">
        <v>4726</v>
      </c>
      <c r="D255" t="s">
        <v>13609</v>
      </c>
      <c r="E255" s="28" t="s">
        <v>896</v>
      </c>
      <c r="F255" t="s">
        <v>702</v>
      </c>
      <c r="G255" t="s">
        <v>15</v>
      </c>
      <c r="M255" s="28" t="s">
        <v>613</v>
      </c>
      <c r="N255" t="s">
        <v>313</v>
      </c>
    </row>
    <row r="256" spans="1:14" hidden="1" x14ac:dyDescent="0.25">
      <c r="A256" t="s">
        <v>9509</v>
      </c>
      <c r="B256" t="s">
        <v>4517</v>
      </c>
      <c r="C256" t="s">
        <v>4518</v>
      </c>
      <c r="D256" t="s">
        <v>4519</v>
      </c>
      <c r="E256" s="28" t="s">
        <v>890</v>
      </c>
      <c r="F256" t="s">
        <v>315</v>
      </c>
      <c r="G256" t="s">
        <v>93</v>
      </c>
      <c r="M256" s="28" t="s">
        <v>14240</v>
      </c>
    </row>
    <row r="257" spans="1:14" hidden="1" x14ac:dyDescent="0.25">
      <c r="A257" t="s">
        <v>9510</v>
      </c>
      <c r="B257" t="s">
        <v>4517</v>
      </c>
      <c r="C257" t="s">
        <v>4520</v>
      </c>
      <c r="D257" t="s">
        <v>4521</v>
      </c>
      <c r="E257" s="28" t="s">
        <v>890</v>
      </c>
      <c r="F257" t="s">
        <v>2186</v>
      </c>
      <c r="G257" t="s">
        <v>93</v>
      </c>
      <c r="M257" s="28" t="s">
        <v>14240</v>
      </c>
    </row>
    <row r="258" spans="1:14" hidden="1" x14ac:dyDescent="0.25">
      <c r="A258" t="s">
        <v>11633</v>
      </c>
      <c r="B258" t="s">
        <v>11634</v>
      </c>
      <c r="C258" t="s">
        <v>2184</v>
      </c>
      <c r="D258" t="s">
        <v>11635</v>
      </c>
      <c r="E258" s="28" t="s">
        <v>890</v>
      </c>
      <c r="F258" t="s">
        <v>819</v>
      </c>
      <c r="G258" t="s">
        <v>11</v>
      </c>
      <c r="M258" s="28" t="s">
        <v>413</v>
      </c>
      <c r="N258" t="s">
        <v>313</v>
      </c>
    </row>
    <row r="259" spans="1:14" hidden="1" x14ac:dyDescent="0.25">
      <c r="A259" t="s">
        <v>10797</v>
      </c>
      <c r="B259" t="s">
        <v>7324</v>
      </c>
      <c r="C259" t="s">
        <v>1132</v>
      </c>
      <c r="D259" t="s">
        <v>7325</v>
      </c>
      <c r="E259" s="28" t="s">
        <v>896</v>
      </c>
      <c r="F259" t="s">
        <v>848</v>
      </c>
      <c r="G259" t="s">
        <v>157</v>
      </c>
      <c r="M259" s="28" t="s">
        <v>840</v>
      </c>
      <c r="N259" t="s">
        <v>382</v>
      </c>
    </row>
    <row r="260" spans="1:14" hidden="1" x14ac:dyDescent="0.25">
      <c r="A260" t="s">
        <v>10326</v>
      </c>
      <c r="B260" t="s">
        <v>6205</v>
      </c>
      <c r="C260" t="s">
        <v>6206</v>
      </c>
      <c r="D260" t="s">
        <v>6207</v>
      </c>
      <c r="E260" s="28" t="s">
        <v>896</v>
      </c>
      <c r="F260" t="s">
        <v>4675</v>
      </c>
      <c r="G260" t="s">
        <v>15</v>
      </c>
      <c r="M260" s="28" t="s">
        <v>613</v>
      </c>
      <c r="N260" t="s">
        <v>313</v>
      </c>
    </row>
    <row r="261" spans="1:14" hidden="1" x14ac:dyDescent="0.25">
      <c r="A261" t="s">
        <v>10415</v>
      </c>
      <c r="B261" t="s">
        <v>6415</v>
      </c>
      <c r="C261" t="s">
        <v>2442</v>
      </c>
      <c r="D261" t="s">
        <v>6416</v>
      </c>
      <c r="E261" s="28" t="s">
        <v>890</v>
      </c>
      <c r="F261" t="s">
        <v>789</v>
      </c>
      <c r="G261" t="s">
        <v>21</v>
      </c>
      <c r="M261" s="28" t="s">
        <v>791</v>
      </c>
      <c r="N261" t="s">
        <v>313</v>
      </c>
    </row>
    <row r="262" spans="1:14" hidden="1" x14ac:dyDescent="0.25">
      <c r="A262" t="s">
        <v>13610</v>
      </c>
      <c r="B262" t="s">
        <v>13611</v>
      </c>
      <c r="C262" t="s">
        <v>909</v>
      </c>
      <c r="D262" t="s">
        <v>13612</v>
      </c>
      <c r="E262" s="28" t="s">
        <v>890</v>
      </c>
      <c r="F262" t="s">
        <v>197</v>
      </c>
      <c r="G262" t="s">
        <v>15</v>
      </c>
      <c r="M262" s="28" t="s">
        <v>613</v>
      </c>
      <c r="N262" t="s">
        <v>313</v>
      </c>
    </row>
    <row r="263" spans="1:14" hidden="1" x14ac:dyDescent="0.25">
      <c r="A263" t="s">
        <v>8822</v>
      </c>
      <c r="B263" t="s">
        <v>3133</v>
      </c>
      <c r="C263" t="s">
        <v>3134</v>
      </c>
      <c r="D263" t="s">
        <v>3135</v>
      </c>
      <c r="E263" s="28" t="s">
        <v>890</v>
      </c>
      <c r="F263" t="s">
        <v>597</v>
      </c>
      <c r="G263" t="s">
        <v>88</v>
      </c>
      <c r="M263" s="28" t="s">
        <v>549</v>
      </c>
      <c r="N263" t="s">
        <v>313</v>
      </c>
    </row>
    <row r="264" spans="1:14" hidden="1" x14ac:dyDescent="0.25">
      <c r="A264" t="s">
        <v>8823</v>
      </c>
      <c r="B264" t="s">
        <v>3133</v>
      </c>
      <c r="C264" t="s">
        <v>3136</v>
      </c>
      <c r="D264" t="s">
        <v>3137</v>
      </c>
      <c r="E264" s="28" t="s">
        <v>930</v>
      </c>
      <c r="F264" t="s">
        <v>597</v>
      </c>
      <c r="G264" t="s">
        <v>88</v>
      </c>
      <c r="M264" s="28" t="s">
        <v>549</v>
      </c>
      <c r="N264" t="s">
        <v>313</v>
      </c>
    </row>
    <row r="265" spans="1:14" hidden="1" x14ac:dyDescent="0.25">
      <c r="A265" t="s">
        <v>10416</v>
      </c>
      <c r="B265" t="s">
        <v>6417</v>
      </c>
      <c r="C265" t="s">
        <v>6418</v>
      </c>
      <c r="D265" t="s">
        <v>6419</v>
      </c>
      <c r="E265" s="28" t="s">
        <v>890</v>
      </c>
      <c r="F265" t="s">
        <v>13473</v>
      </c>
      <c r="G265" t="s">
        <v>21</v>
      </c>
      <c r="M265" s="28" t="s">
        <v>791</v>
      </c>
      <c r="N265" t="s">
        <v>313</v>
      </c>
    </row>
    <row r="266" spans="1:14" hidden="1" x14ac:dyDescent="0.25">
      <c r="A266" t="s">
        <v>11053</v>
      </c>
      <c r="B266" t="s">
        <v>11054</v>
      </c>
      <c r="C266" t="s">
        <v>1492</v>
      </c>
      <c r="D266" t="s">
        <v>11055</v>
      </c>
      <c r="E266" s="28" t="s">
        <v>896</v>
      </c>
      <c r="F266" t="s">
        <v>181</v>
      </c>
      <c r="G266" t="s">
        <v>84</v>
      </c>
      <c r="M266" s="28" t="s">
        <v>14223</v>
      </c>
      <c r="N266" t="s">
        <v>313</v>
      </c>
    </row>
    <row r="267" spans="1:14" hidden="1" x14ac:dyDescent="0.25">
      <c r="A267" t="s">
        <v>11056</v>
      </c>
      <c r="B267" t="s">
        <v>11054</v>
      </c>
      <c r="C267" t="s">
        <v>11057</v>
      </c>
      <c r="D267" t="s">
        <v>11058</v>
      </c>
      <c r="E267" s="28" t="s">
        <v>896</v>
      </c>
      <c r="F267" t="s">
        <v>181</v>
      </c>
      <c r="G267" t="s">
        <v>84</v>
      </c>
      <c r="M267" s="28" t="s">
        <v>14223</v>
      </c>
      <c r="N267" t="s">
        <v>313</v>
      </c>
    </row>
    <row r="268" spans="1:14" hidden="1" x14ac:dyDescent="0.25">
      <c r="A268" t="s">
        <v>10324</v>
      </c>
      <c r="B268" t="s">
        <v>1515</v>
      </c>
      <c r="C268" t="s">
        <v>1084</v>
      </c>
      <c r="D268" t="s">
        <v>6203</v>
      </c>
      <c r="E268" s="28" t="s">
        <v>896</v>
      </c>
      <c r="F268" t="s">
        <v>4909</v>
      </c>
      <c r="G268" t="s">
        <v>15</v>
      </c>
      <c r="M268" s="28" t="s">
        <v>613</v>
      </c>
      <c r="N268" t="s">
        <v>313</v>
      </c>
    </row>
    <row r="269" spans="1:14" hidden="1" x14ac:dyDescent="0.25">
      <c r="A269" t="s">
        <v>10325</v>
      </c>
      <c r="B269" t="s">
        <v>1515</v>
      </c>
      <c r="C269" t="s">
        <v>1076</v>
      </c>
      <c r="D269" t="s">
        <v>6204</v>
      </c>
      <c r="E269" s="28" t="s">
        <v>896</v>
      </c>
      <c r="F269" t="s">
        <v>676</v>
      </c>
      <c r="G269" t="s">
        <v>15</v>
      </c>
      <c r="M269" s="28" t="s">
        <v>613</v>
      </c>
      <c r="N269" t="s">
        <v>313</v>
      </c>
    </row>
    <row r="270" spans="1:14" hidden="1" x14ac:dyDescent="0.25">
      <c r="A270" t="s">
        <v>8712</v>
      </c>
      <c r="B270" t="s">
        <v>2886</v>
      </c>
      <c r="C270" t="s">
        <v>1352</v>
      </c>
      <c r="D270" t="s">
        <v>2887</v>
      </c>
      <c r="E270" s="28" t="s">
        <v>890</v>
      </c>
      <c r="F270" t="s">
        <v>174</v>
      </c>
      <c r="G270" t="s">
        <v>81</v>
      </c>
      <c r="M270" s="28" t="s">
        <v>530</v>
      </c>
      <c r="N270" t="s">
        <v>313</v>
      </c>
    </row>
    <row r="271" spans="1:14" hidden="1" x14ac:dyDescent="0.25">
      <c r="A271" t="s">
        <v>10798</v>
      </c>
      <c r="B271" t="s">
        <v>7326</v>
      </c>
      <c r="C271" t="s">
        <v>1490</v>
      </c>
      <c r="D271" t="s">
        <v>7327</v>
      </c>
      <c r="E271" s="28" t="s">
        <v>896</v>
      </c>
      <c r="F271" t="s">
        <v>841</v>
      </c>
      <c r="G271" t="s">
        <v>157</v>
      </c>
      <c r="M271" s="28" t="s">
        <v>840</v>
      </c>
      <c r="N271" t="s">
        <v>382</v>
      </c>
    </row>
    <row r="272" spans="1:14" hidden="1" x14ac:dyDescent="0.25">
      <c r="A272" t="s">
        <v>10799</v>
      </c>
      <c r="B272" t="s">
        <v>7326</v>
      </c>
      <c r="C272" t="s">
        <v>7328</v>
      </c>
      <c r="D272" t="s">
        <v>7329</v>
      </c>
      <c r="E272" s="28" t="s">
        <v>896</v>
      </c>
      <c r="F272" t="s">
        <v>841</v>
      </c>
      <c r="G272" t="s">
        <v>157</v>
      </c>
      <c r="M272" s="28" t="s">
        <v>840</v>
      </c>
      <c r="N272" t="s">
        <v>382</v>
      </c>
    </row>
    <row r="273" spans="1:14" hidden="1" x14ac:dyDescent="0.25">
      <c r="A273" t="s">
        <v>12514</v>
      </c>
      <c r="B273" t="s">
        <v>12515</v>
      </c>
      <c r="C273" t="s">
        <v>3034</v>
      </c>
      <c r="D273" t="s">
        <v>12516</v>
      </c>
      <c r="E273" s="28" t="s">
        <v>890</v>
      </c>
      <c r="F273" t="s">
        <v>891</v>
      </c>
      <c r="G273" t="s">
        <v>88</v>
      </c>
      <c r="M273" s="28" t="s">
        <v>549</v>
      </c>
      <c r="N273" t="s">
        <v>313</v>
      </c>
    </row>
    <row r="274" spans="1:14" hidden="1" x14ac:dyDescent="0.25">
      <c r="A274" t="s">
        <v>10323</v>
      </c>
      <c r="B274" t="s">
        <v>6201</v>
      </c>
      <c r="C274" t="s">
        <v>1084</v>
      </c>
      <c r="D274" t="s">
        <v>6202</v>
      </c>
      <c r="E274" s="28" t="s">
        <v>896</v>
      </c>
      <c r="F274" t="s">
        <v>617</v>
      </c>
      <c r="G274" t="s">
        <v>15</v>
      </c>
      <c r="M274" s="28" t="s">
        <v>613</v>
      </c>
      <c r="N274" t="s">
        <v>313</v>
      </c>
    </row>
    <row r="275" spans="1:14" hidden="1" x14ac:dyDescent="0.25">
      <c r="A275" t="s">
        <v>8001</v>
      </c>
      <c r="B275" t="s">
        <v>1063</v>
      </c>
      <c r="C275" t="s">
        <v>1064</v>
      </c>
      <c r="D275" t="s">
        <v>1065</v>
      </c>
      <c r="E275" s="28" t="s">
        <v>890</v>
      </c>
      <c r="F275" t="s">
        <v>275</v>
      </c>
      <c r="G275" t="s">
        <v>31</v>
      </c>
      <c r="M275" s="28" t="s">
        <v>278</v>
      </c>
      <c r="N275" t="s">
        <v>279</v>
      </c>
    </row>
    <row r="276" spans="1:14" hidden="1" x14ac:dyDescent="0.25">
      <c r="A276" t="s">
        <v>10322</v>
      </c>
      <c r="B276" t="s">
        <v>6199</v>
      </c>
      <c r="C276" t="s">
        <v>5388</v>
      </c>
      <c r="D276" t="s">
        <v>6200</v>
      </c>
      <c r="E276" s="28" t="s">
        <v>896</v>
      </c>
      <c r="F276" t="s">
        <v>730</v>
      </c>
      <c r="G276" t="s">
        <v>15</v>
      </c>
      <c r="M276" s="28" t="s">
        <v>613</v>
      </c>
      <c r="N276" t="s">
        <v>313</v>
      </c>
    </row>
    <row r="277" spans="1:14" hidden="1" x14ac:dyDescent="0.25">
      <c r="A277" t="s">
        <v>10320</v>
      </c>
      <c r="B277" t="s">
        <v>6195</v>
      </c>
      <c r="C277" t="s">
        <v>2582</v>
      </c>
      <c r="D277" t="s">
        <v>6196</v>
      </c>
      <c r="E277" s="28" t="s">
        <v>890</v>
      </c>
      <c r="F277" t="s">
        <v>227</v>
      </c>
      <c r="G277" t="s">
        <v>15</v>
      </c>
      <c r="M277" s="28" t="s">
        <v>613</v>
      </c>
      <c r="N277" t="s">
        <v>313</v>
      </c>
    </row>
    <row r="278" spans="1:14" hidden="1" x14ac:dyDescent="0.25">
      <c r="A278" t="s">
        <v>10321</v>
      </c>
      <c r="B278" t="s">
        <v>6195</v>
      </c>
      <c r="C278" t="s">
        <v>6197</v>
      </c>
      <c r="D278" t="s">
        <v>6198</v>
      </c>
      <c r="E278" s="28" t="s">
        <v>896</v>
      </c>
      <c r="F278" t="s">
        <v>227</v>
      </c>
      <c r="G278" t="s">
        <v>15</v>
      </c>
      <c r="M278" s="28" t="s">
        <v>613</v>
      </c>
      <c r="N278" t="s">
        <v>313</v>
      </c>
    </row>
    <row r="279" spans="1:14" hidden="1" x14ac:dyDescent="0.25">
      <c r="A279" t="s">
        <v>11137</v>
      </c>
      <c r="B279" t="s">
        <v>11138</v>
      </c>
      <c r="C279" t="s">
        <v>11139</v>
      </c>
      <c r="D279" t="s">
        <v>11140</v>
      </c>
      <c r="E279" s="28" t="s">
        <v>896</v>
      </c>
      <c r="F279" t="s">
        <v>11526</v>
      </c>
      <c r="G279" t="s">
        <v>84</v>
      </c>
      <c r="M279" s="28" t="s">
        <v>14223</v>
      </c>
      <c r="N279" t="s">
        <v>313</v>
      </c>
    </row>
    <row r="280" spans="1:14" hidden="1" x14ac:dyDescent="0.25">
      <c r="A280" t="s">
        <v>10761</v>
      </c>
      <c r="B280" t="s">
        <v>7232</v>
      </c>
      <c r="C280" t="s">
        <v>7233</v>
      </c>
      <c r="D280" t="s">
        <v>7234</v>
      </c>
      <c r="E280" s="28" t="s">
        <v>930</v>
      </c>
      <c r="F280" t="s">
        <v>7062</v>
      </c>
      <c r="G280" t="s">
        <v>6896</v>
      </c>
      <c r="M280" s="28" t="s">
        <v>6897</v>
      </c>
      <c r="N280" t="s">
        <v>279</v>
      </c>
    </row>
    <row r="281" spans="1:14" hidden="1" x14ac:dyDescent="0.25">
      <c r="A281" t="s">
        <v>8339</v>
      </c>
      <c r="B281" t="s">
        <v>1980</v>
      </c>
      <c r="C281" t="s">
        <v>1981</v>
      </c>
      <c r="D281" t="s">
        <v>1982</v>
      </c>
      <c r="E281" s="28" t="s">
        <v>896</v>
      </c>
      <c r="F281" t="s">
        <v>828</v>
      </c>
      <c r="G281" t="s">
        <v>47</v>
      </c>
      <c r="M281" s="28" t="s">
        <v>13542</v>
      </c>
    </row>
    <row r="282" spans="1:14" hidden="1" x14ac:dyDescent="0.25">
      <c r="A282" t="s">
        <v>10608</v>
      </c>
      <c r="B282" t="s">
        <v>1980</v>
      </c>
      <c r="C282" t="s">
        <v>1269</v>
      </c>
      <c r="D282" t="s">
        <v>6861</v>
      </c>
      <c r="E282" s="28" t="s">
        <v>896</v>
      </c>
      <c r="F282" t="s">
        <v>2424</v>
      </c>
      <c r="G282" t="s">
        <v>145</v>
      </c>
      <c r="M282" s="28" t="s">
        <v>13222</v>
      </c>
      <c r="N282" t="s">
        <v>313</v>
      </c>
    </row>
    <row r="283" spans="1:14" hidden="1" x14ac:dyDescent="0.25">
      <c r="A283" t="s">
        <v>10319</v>
      </c>
      <c r="B283" t="s">
        <v>6193</v>
      </c>
      <c r="C283" t="s">
        <v>4655</v>
      </c>
      <c r="D283" t="s">
        <v>6194</v>
      </c>
      <c r="E283" s="28" t="s">
        <v>890</v>
      </c>
      <c r="F283" t="s">
        <v>4635</v>
      </c>
      <c r="G283" t="s">
        <v>15</v>
      </c>
      <c r="M283" s="28" t="s">
        <v>613</v>
      </c>
      <c r="N283" t="s">
        <v>313</v>
      </c>
    </row>
    <row r="284" spans="1:14" hidden="1" x14ac:dyDescent="0.25">
      <c r="A284" t="s">
        <v>10318</v>
      </c>
      <c r="B284" t="s">
        <v>6191</v>
      </c>
      <c r="C284" t="s">
        <v>5208</v>
      </c>
      <c r="D284" t="s">
        <v>6192</v>
      </c>
      <c r="E284" s="28" t="s">
        <v>890</v>
      </c>
      <c r="F284" t="s">
        <v>4635</v>
      </c>
      <c r="G284" t="s">
        <v>15</v>
      </c>
      <c r="M284" s="28" t="s">
        <v>613</v>
      </c>
      <c r="N284" t="s">
        <v>313</v>
      </c>
    </row>
    <row r="285" spans="1:14" hidden="1" x14ac:dyDescent="0.25">
      <c r="A285" t="s">
        <v>11692</v>
      </c>
      <c r="B285" t="s">
        <v>11693</v>
      </c>
      <c r="C285" t="s">
        <v>1428</v>
      </c>
      <c r="D285" t="s">
        <v>11694</v>
      </c>
      <c r="E285" s="28" t="s">
        <v>896</v>
      </c>
      <c r="F285" t="s">
        <v>10904</v>
      </c>
      <c r="G285" t="s">
        <v>81</v>
      </c>
      <c r="M285" s="28" t="s">
        <v>530</v>
      </c>
      <c r="N285" t="s">
        <v>313</v>
      </c>
    </row>
    <row r="286" spans="1:14" hidden="1" x14ac:dyDescent="0.25">
      <c r="A286" t="s">
        <v>10317</v>
      </c>
      <c r="B286" t="s">
        <v>6189</v>
      </c>
      <c r="C286" t="s">
        <v>4808</v>
      </c>
      <c r="D286" t="s">
        <v>6190</v>
      </c>
      <c r="E286" s="28" t="s">
        <v>890</v>
      </c>
      <c r="F286" t="s">
        <v>5107</v>
      </c>
      <c r="G286" t="s">
        <v>15</v>
      </c>
      <c r="M286" s="28" t="s">
        <v>613</v>
      </c>
      <c r="N286" t="s">
        <v>313</v>
      </c>
    </row>
    <row r="287" spans="1:14" hidden="1" x14ac:dyDescent="0.25">
      <c r="A287" t="s">
        <v>8483</v>
      </c>
      <c r="B287" t="s">
        <v>2323</v>
      </c>
      <c r="C287" t="s">
        <v>2324</v>
      </c>
      <c r="D287" t="s">
        <v>2325</v>
      </c>
      <c r="E287" s="28" t="s">
        <v>890</v>
      </c>
      <c r="F287" t="s">
        <v>408</v>
      </c>
      <c r="G287" t="s">
        <v>65</v>
      </c>
      <c r="M287" s="28" t="s">
        <v>14209</v>
      </c>
    </row>
    <row r="288" spans="1:14" hidden="1" x14ac:dyDescent="0.25">
      <c r="A288" t="s">
        <v>11116</v>
      </c>
      <c r="B288" t="s">
        <v>11117</v>
      </c>
      <c r="C288" t="s">
        <v>11057</v>
      </c>
      <c r="D288" t="s">
        <v>11118</v>
      </c>
      <c r="E288" s="28" t="s">
        <v>896</v>
      </c>
      <c r="F288" t="s">
        <v>11119</v>
      </c>
      <c r="G288" t="s">
        <v>84</v>
      </c>
      <c r="M288" s="28" t="s">
        <v>14223</v>
      </c>
      <c r="N288" t="s">
        <v>313</v>
      </c>
    </row>
    <row r="289" spans="1:14" hidden="1" x14ac:dyDescent="0.25">
      <c r="A289" t="s">
        <v>8073</v>
      </c>
      <c r="B289" t="s">
        <v>1295</v>
      </c>
      <c r="C289" t="s">
        <v>1296</v>
      </c>
      <c r="D289" t="s">
        <v>1297</v>
      </c>
      <c r="E289" s="28" t="s">
        <v>890</v>
      </c>
      <c r="F289" t="s">
        <v>69</v>
      </c>
      <c r="G289" t="s">
        <v>38</v>
      </c>
      <c r="M289" s="28"/>
    </row>
    <row r="290" spans="1:14" hidden="1" x14ac:dyDescent="0.25">
      <c r="A290" t="s">
        <v>10316</v>
      </c>
      <c r="B290" t="s">
        <v>6186</v>
      </c>
      <c r="C290" t="s">
        <v>6187</v>
      </c>
      <c r="D290" t="s">
        <v>6188</v>
      </c>
      <c r="E290" s="28" t="s">
        <v>896</v>
      </c>
      <c r="F290" t="s">
        <v>208</v>
      </c>
      <c r="G290" t="s">
        <v>15</v>
      </c>
      <c r="M290" s="28" t="s">
        <v>613</v>
      </c>
      <c r="N290" t="s">
        <v>313</v>
      </c>
    </row>
    <row r="291" spans="1:14" hidden="1" x14ac:dyDescent="0.25">
      <c r="A291" t="s">
        <v>12115</v>
      </c>
      <c r="B291" t="s">
        <v>12116</v>
      </c>
      <c r="C291" t="s">
        <v>1132</v>
      </c>
      <c r="D291" t="s">
        <v>12117</v>
      </c>
      <c r="E291" s="28" t="s">
        <v>890</v>
      </c>
      <c r="F291" t="s">
        <v>13265</v>
      </c>
      <c r="G291" t="s">
        <v>162</v>
      </c>
      <c r="M291" s="28" t="s">
        <v>7517</v>
      </c>
      <c r="N291" t="s">
        <v>313</v>
      </c>
    </row>
    <row r="292" spans="1:14" hidden="1" x14ac:dyDescent="0.25">
      <c r="A292" t="s">
        <v>11926</v>
      </c>
      <c r="B292" t="s">
        <v>6524</v>
      </c>
      <c r="C292" t="s">
        <v>6523</v>
      </c>
      <c r="D292" t="s">
        <v>6525</v>
      </c>
      <c r="E292" s="28" t="s">
        <v>896</v>
      </c>
      <c r="F292" t="s">
        <v>819</v>
      </c>
      <c r="G292" t="s">
        <v>129</v>
      </c>
      <c r="M292" s="28" t="s">
        <v>802</v>
      </c>
      <c r="N292" t="s">
        <v>313</v>
      </c>
    </row>
    <row r="293" spans="1:14" hidden="1" x14ac:dyDescent="0.25">
      <c r="A293" t="s">
        <v>8824</v>
      </c>
      <c r="B293" t="s">
        <v>3138</v>
      </c>
      <c r="C293" t="s">
        <v>3031</v>
      </c>
      <c r="D293" t="s">
        <v>3139</v>
      </c>
      <c r="E293" s="28" t="s">
        <v>896</v>
      </c>
      <c r="F293" t="s">
        <v>891</v>
      </c>
      <c r="G293" t="s">
        <v>88</v>
      </c>
      <c r="M293" s="28" t="s">
        <v>549</v>
      </c>
      <c r="N293" t="s">
        <v>313</v>
      </c>
    </row>
    <row r="294" spans="1:14" hidden="1" x14ac:dyDescent="0.25">
      <c r="A294" t="s">
        <v>8825</v>
      </c>
      <c r="B294" t="s">
        <v>3138</v>
      </c>
      <c r="C294" t="s">
        <v>3036</v>
      </c>
      <c r="D294" t="s">
        <v>3140</v>
      </c>
      <c r="E294" s="28" t="s">
        <v>890</v>
      </c>
      <c r="F294" t="s">
        <v>891</v>
      </c>
      <c r="G294" t="s">
        <v>88</v>
      </c>
      <c r="M294" s="28" t="s">
        <v>549</v>
      </c>
      <c r="N294" t="s">
        <v>313</v>
      </c>
    </row>
    <row r="295" spans="1:14" hidden="1" x14ac:dyDescent="0.25">
      <c r="A295" t="s">
        <v>11186</v>
      </c>
      <c r="B295" t="s">
        <v>11187</v>
      </c>
      <c r="C295" t="s">
        <v>1227</v>
      </c>
      <c r="D295" t="s">
        <v>11188</v>
      </c>
      <c r="E295" s="28" t="s">
        <v>890</v>
      </c>
      <c r="F295" t="s">
        <v>182</v>
      </c>
      <c r="G295" t="s">
        <v>84</v>
      </c>
      <c r="M295" s="28" t="s">
        <v>14223</v>
      </c>
      <c r="N295" t="s">
        <v>313</v>
      </c>
    </row>
    <row r="296" spans="1:14" hidden="1" x14ac:dyDescent="0.25">
      <c r="A296" t="s">
        <v>8826</v>
      </c>
      <c r="B296" t="s">
        <v>3141</v>
      </c>
      <c r="C296" t="s">
        <v>3044</v>
      </c>
      <c r="D296" t="s">
        <v>3142</v>
      </c>
      <c r="E296" s="28" t="s">
        <v>890</v>
      </c>
      <c r="F296" t="s">
        <v>891</v>
      </c>
      <c r="G296" t="s">
        <v>88</v>
      </c>
      <c r="M296" s="28" t="s">
        <v>549</v>
      </c>
      <c r="N296" t="s">
        <v>313</v>
      </c>
    </row>
    <row r="297" spans="1:14" hidden="1" x14ac:dyDescent="0.25">
      <c r="A297" t="s">
        <v>12071</v>
      </c>
      <c r="B297" t="s">
        <v>7510</v>
      </c>
      <c r="C297" t="s">
        <v>1132</v>
      </c>
      <c r="D297" t="s">
        <v>7511</v>
      </c>
      <c r="E297" s="28" t="s">
        <v>930</v>
      </c>
      <c r="F297" t="s">
        <v>881</v>
      </c>
      <c r="G297" t="s">
        <v>157</v>
      </c>
      <c r="M297" s="28" t="s">
        <v>840</v>
      </c>
      <c r="N297" t="s">
        <v>382</v>
      </c>
    </row>
    <row r="298" spans="1:14" hidden="1" x14ac:dyDescent="0.25">
      <c r="A298" t="s">
        <v>12078</v>
      </c>
      <c r="B298" t="s">
        <v>7510</v>
      </c>
      <c r="C298" t="s">
        <v>1135</v>
      </c>
      <c r="D298" t="s">
        <v>12079</v>
      </c>
      <c r="E298" s="28" t="s">
        <v>1023</v>
      </c>
      <c r="F298" t="s">
        <v>263</v>
      </c>
      <c r="G298" t="s">
        <v>157</v>
      </c>
      <c r="M298" s="28" t="s">
        <v>840</v>
      </c>
      <c r="N298" t="s">
        <v>382</v>
      </c>
    </row>
    <row r="299" spans="1:14" hidden="1" x14ac:dyDescent="0.25">
      <c r="A299" t="s">
        <v>8316</v>
      </c>
      <c r="B299" t="s">
        <v>1916</v>
      </c>
      <c r="C299" t="s">
        <v>1917</v>
      </c>
      <c r="D299" t="s">
        <v>1918</v>
      </c>
      <c r="E299" s="28" t="s">
        <v>890</v>
      </c>
      <c r="F299" t="s">
        <v>1919</v>
      </c>
      <c r="G299" t="s">
        <v>43</v>
      </c>
      <c r="M299" s="28" t="s">
        <v>14205</v>
      </c>
    </row>
    <row r="300" spans="1:14" hidden="1" x14ac:dyDescent="0.25">
      <c r="A300" t="s">
        <v>10315</v>
      </c>
      <c r="B300" t="s">
        <v>6184</v>
      </c>
      <c r="C300" t="s">
        <v>1616</v>
      </c>
      <c r="D300" t="s">
        <v>6185</v>
      </c>
      <c r="E300" s="28" t="s">
        <v>896</v>
      </c>
      <c r="F300" t="s">
        <v>4635</v>
      </c>
      <c r="G300" t="s">
        <v>15</v>
      </c>
      <c r="M300" s="28" t="s">
        <v>613</v>
      </c>
      <c r="N300" t="s">
        <v>313</v>
      </c>
    </row>
    <row r="301" spans="1:14" hidden="1" x14ac:dyDescent="0.25">
      <c r="A301" t="s">
        <v>8515</v>
      </c>
      <c r="B301" t="s">
        <v>2400</v>
      </c>
      <c r="C301" t="s">
        <v>2401</v>
      </c>
      <c r="D301" t="s">
        <v>2402</v>
      </c>
      <c r="E301" s="28" t="s">
        <v>890</v>
      </c>
      <c r="F301" t="s">
        <v>13265</v>
      </c>
      <c r="G301" t="s">
        <v>11</v>
      </c>
      <c r="M301" s="28" t="s">
        <v>413</v>
      </c>
      <c r="N301" t="s">
        <v>313</v>
      </c>
    </row>
    <row r="302" spans="1:14" hidden="1" x14ac:dyDescent="0.25">
      <c r="A302" t="s">
        <v>13238</v>
      </c>
      <c r="B302" t="s">
        <v>2400</v>
      </c>
      <c r="C302" t="s">
        <v>13239</v>
      </c>
      <c r="D302" t="s">
        <v>13240</v>
      </c>
      <c r="E302" s="28" t="s">
        <v>930</v>
      </c>
      <c r="F302" t="s">
        <v>13265</v>
      </c>
      <c r="G302" t="s">
        <v>11</v>
      </c>
      <c r="M302" s="28" t="s">
        <v>413</v>
      </c>
      <c r="N302" t="s">
        <v>313</v>
      </c>
    </row>
    <row r="303" spans="1:14" hidden="1" x14ac:dyDescent="0.25">
      <c r="A303" t="s">
        <v>13114</v>
      </c>
      <c r="B303" t="s">
        <v>2400</v>
      </c>
      <c r="C303" t="s">
        <v>1179</v>
      </c>
      <c r="D303" t="s">
        <v>12100</v>
      </c>
      <c r="E303" s="28" t="s">
        <v>896</v>
      </c>
      <c r="F303" t="s">
        <v>13265</v>
      </c>
      <c r="G303" t="s">
        <v>162</v>
      </c>
      <c r="M303" s="28" t="s">
        <v>7517</v>
      </c>
      <c r="N303" t="s">
        <v>313</v>
      </c>
    </row>
    <row r="304" spans="1:14" hidden="1" x14ac:dyDescent="0.25">
      <c r="A304" t="s">
        <v>10314</v>
      </c>
      <c r="B304" t="s">
        <v>6182</v>
      </c>
      <c r="C304" t="s">
        <v>4704</v>
      </c>
      <c r="D304" t="s">
        <v>6183</v>
      </c>
      <c r="E304" s="28" t="s">
        <v>896</v>
      </c>
      <c r="F304" t="s">
        <v>752</v>
      </c>
      <c r="G304" t="s">
        <v>15</v>
      </c>
      <c r="M304" s="28" t="s">
        <v>613</v>
      </c>
      <c r="N304" t="s">
        <v>313</v>
      </c>
    </row>
    <row r="305" spans="1:14" hidden="1" x14ac:dyDescent="0.25">
      <c r="A305" t="s">
        <v>7957</v>
      </c>
      <c r="B305" t="s">
        <v>946</v>
      </c>
      <c r="C305" t="s">
        <v>947</v>
      </c>
      <c r="D305" t="s">
        <v>948</v>
      </c>
      <c r="E305" s="28" t="s">
        <v>896</v>
      </c>
      <c r="F305" t="s">
        <v>32</v>
      </c>
      <c r="G305" t="s">
        <v>28</v>
      </c>
      <c r="M305" s="28" t="s">
        <v>14241</v>
      </c>
      <c r="N305" t="s">
        <v>14206</v>
      </c>
    </row>
    <row r="306" spans="1:14" hidden="1" x14ac:dyDescent="0.25">
      <c r="A306" t="s">
        <v>10313</v>
      </c>
      <c r="B306" t="s">
        <v>6180</v>
      </c>
      <c r="C306" t="s">
        <v>1616</v>
      </c>
      <c r="D306" t="s">
        <v>6181</v>
      </c>
      <c r="E306" s="28" t="s">
        <v>896</v>
      </c>
      <c r="F306" t="s">
        <v>2598</v>
      </c>
      <c r="G306" t="s">
        <v>15</v>
      </c>
      <c r="M306" s="28" t="s">
        <v>613</v>
      </c>
      <c r="N306" t="s">
        <v>313</v>
      </c>
    </row>
    <row r="307" spans="1:14" hidden="1" x14ac:dyDescent="0.25">
      <c r="A307" t="s">
        <v>10312</v>
      </c>
      <c r="B307" t="s">
        <v>6178</v>
      </c>
      <c r="C307" t="s">
        <v>4556</v>
      </c>
      <c r="D307" t="s">
        <v>6179</v>
      </c>
      <c r="E307" s="28" t="s">
        <v>896</v>
      </c>
      <c r="F307" t="s">
        <v>4596</v>
      </c>
      <c r="G307" t="s">
        <v>15</v>
      </c>
      <c r="M307" s="28" t="s">
        <v>613</v>
      </c>
      <c r="N307" t="s">
        <v>313</v>
      </c>
    </row>
    <row r="308" spans="1:14" hidden="1" x14ac:dyDescent="0.25">
      <c r="A308" t="s">
        <v>8652</v>
      </c>
      <c r="B308" t="s">
        <v>2740</v>
      </c>
      <c r="C308" t="s">
        <v>1885</v>
      </c>
      <c r="D308" t="s">
        <v>2741</v>
      </c>
      <c r="E308" s="28" t="s">
        <v>896</v>
      </c>
      <c r="F308" t="s">
        <v>11665</v>
      </c>
      <c r="G308" t="s">
        <v>74</v>
      </c>
      <c r="M308" s="28" t="s">
        <v>507</v>
      </c>
      <c r="N308" t="s">
        <v>313</v>
      </c>
    </row>
    <row r="309" spans="1:14" hidden="1" x14ac:dyDescent="0.25">
      <c r="A309" t="s">
        <v>14099</v>
      </c>
      <c r="B309" t="s">
        <v>14100</v>
      </c>
      <c r="C309" t="s">
        <v>4658</v>
      </c>
      <c r="D309" t="s">
        <v>14101</v>
      </c>
      <c r="E309" s="28" t="s">
        <v>890</v>
      </c>
      <c r="F309" t="s">
        <v>12558</v>
      </c>
      <c r="G309" t="s">
        <v>15</v>
      </c>
      <c r="M309" s="28" t="s">
        <v>613</v>
      </c>
      <c r="N309" t="s">
        <v>313</v>
      </c>
    </row>
    <row r="310" spans="1:14" hidden="1" x14ac:dyDescent="0.25">
      <c r="A310" t="s">
        <v>10311</v>
      </c>
      <c r="B310" t="s">
        <v>6175</v>
      </c>
      <c r="C310" t="s">
        <v>6176</v>
      </c>
      <c r="D310" t="s">
        <v>6177</v>
      </c>
      <c r="E310" s="28" t="s">
        <v>896</v>
      </c>
      <c r="F310" t="s">
        <v>4610</v>
      </c>
      <c r="G310" t="s">
        <v>15</v>
      </c>
      <c r="M310" s="28" t="s">
        <v>613</v>
      </c>
      <c r="N310" t="s">
        <v>313</v>
      </c>
    </row>
    <row r="311" spans="1:14" hidden="1" x14ac:dyDescent="0.25">
      <c r="A311" t="s">
        <v>14102</v>
      </c>
      <c r="B311" t="s">
        <v>14103</v>
      </c>
      <c r="C311" t="s">
        <v>1224</v>
      </c>
      <c r="D311" t="s">
        <v>14104</v>
      </c>
      <c r="E311" s="28" t="s">
        <v>890</v>
      </c>
      <c r="F311" t="s">
        <v>883</v>
      </c>
      <c r="G311" t="s">
        <v>157</v>
      </c>
      <c r="M311" s="28" t="s">
        <v>840</v>
      </c>
      <c r="N311" t="s">
        <v>382</v>
      </c>
    </row>
    <row r="312" spans="1:14" hidden="1" x14ac:dyDescent="0.25">
      <c r="A312" t="s">
        <v>8668</v>
      </c>
      <c r="B312" t="s">
        <v>2605</v>
      </c>
      <c r="C312" t="s">
        <v>2687</v>
      </c>
      <c r="D312" t="s">
        <v>2782</v>
      </c>
      <c r="E312" s="28" t="s">
        <v>1023</v>
      </c>
      <c r="F312" t="s">
        <v>172</v>
      </c>
      <c r="G312" t="s">
        <v>74</v>
      </c>
      <c r="M312" s="28" t="s">
        <v>507</v>
      </c>
      <c r="N312" t="s">
        <v>313</v>
      </c>
    </row>
    <row r="313" spans="1:14" hidden="1" x14ac:dyDescent="0.25">
      <c r="A313" t="s">
        <v>8601</v>
      </c>
      <c r="B313" t="s">
        <v>2605</v>
      </c>
      <c r="C313" t="s">
        <v>2606</v>
      </c>
      <c r="D313" t="s">
        <v>2607</v>
      </c>
      <c r="E313" s="28" t="s">
        <v>890</v>
      </c>
      <c r="F313" t="s">
        <v>172</v>
      </c>
      <c r="G313" t="s">
        <v>74</v>
      </c>
      <c r="M313" s="28" t="s">
        <v>507</v>
      </c>
      <c r="N313" t="s">
        <v>313</v>
      </c>
    </row>
    <row r="314" spans="1:14" hidden="1" x14ac:dyDescent="0.25">
      <c r="A314" t="s">
        <v>8656</v>
      </c>
      <c r="B314" t="s">
        <v>2605</v>
      </c>
      <c r="C314" t="s">
        <v>2750</v>
      </c>
      <c r="D314" t="s">
        <v>2751</v>
      </c>
      <c r="E314" s="28" t="s">
        <v>930</v>
      </c>
      <c r="F314" t="s">
        <v>172</v>
      </c>
      <c r="G314" t="s">
        <v>74</v>
      </c>
      <c r="M314" s="28" t="s">
        <v>507</v>
      </c>
      <c r="N314" t="s">
        <v>313</v>
      </c>
    </row>
    <row r="315" spans="1:14" hidden="1" x14ac:dyDescent="0.25">
      <c r="A315" t="s">
        <v>8516</v>
      </c>
      <c r="B315" t="s">
        <v>2403</v>
      </c>
      <c r="C315" t="s">
        <v>2404</v>
      </c>
      <c r="D315" t="s">
        <v>2405</v>
      </c>
      <c r="E315" s="28" t="s">
        <v>890</v>
      </c>
      <c r="F315" t="s">
        <v>510</v>
      </c>
      <c r="G315" t="s">
        <v>11</v>
      </c>
      <c r="M315" s="28" t="s">
        <v>413</v>
      </c>
      <c r="N315" t="s">
        <v>313</v>
      </c>
    </row>
    <row r="316" spans="1:14" hidden="1" x14ac:dyDescent="0.25">
      <c r="A316" t="s">
        <v>10604</v>
      </c>
      <c r="B316" t="s">
        <v>2403</v>
      </c>
      <c r="C316" t="s">
        <v>1094</v>
      </c>
      <c r="D316" t="s">
        <v>6855</v>
      </c>
      <c r="E316" s="28" t="s">
        <v>896</v>
      </c>
      <c r="F316" t="s">
        <v>2424</v>
      </c>
      <c r="G316" t="s">
        <v>145</v>
      </c>
      <c r="M316" s="28" t="s">
        <v>13222</v>
      </c>
      <c r="N316" t="s">
        <v>313</v>
      </c>
    </row>
    <row r="317" spans="1:14" hidden="1" x14ac:dyDescent="0.25">
      <c r="A317" t="s">
        <v>14105</v>
      </c>
      <c r="B317" t="s">
        <v>11990</v>
      </c>
      <c r="C317" t="s">
        <v>1710</v>
      </c>
      <c r="D317" t="s">
        <v>14106</v>
      </c>
      <c r="E317" s="28" t="s">
        <v>1177</v>
      </c>
      <c r="F317" t="s">
        <v>12661</v>
      </c>
      <c r="G317" t="s">
        <v>137</v>
      </c>
      <c r="M317" s="28" t="s">
        <v>805</v>
      </c>
      <c r="N317" t="s">
        <v>313</v>
      </c>
    </row>
    <row r="318" spans="1:14" hidden="1" x14ac:dyDescent="0.25">
      <c r="A318" t="s">
        <v>11989</v>
      </c>
      <c r="B318" t="s">
        <v>11990</v>
      </c>
      <c r="C318" t="s">
        <v>1045</v>
      </c>
      <c r="D318" t="s">
        <v>11991</v>
      </c>
      <c r="E318" s="28" t="s">
        <v>1177</v>
      </c>
      <c r="F318" t="s">
        <v>813</v>
      </c>
      <c r="G318" t="s">
        <v>137</v>
      </c>
      <c r="M318" s="28" t="s">
        <v>805</v>
      </c>
      <c r="N318" t="s">
        <v>313</v>
      </c>
    </row>
    <row r="319" spans="1:14" hidden="1" x14ac:dyDescent="0.25">
      <c r="A319" t="s">
        <v>8438</v>
      </c>
      <c r="B319" t="s">
        <v>2219</v>
      </c>
      <c r="C319" t="s">
        <v>2220</v>
      </c>
      <c r="D319" t="s">
        <v>2221</v>
      </c>
      <c r="E319" s="28" t="s">
        <v>890</v>
      </c>
      <c r="F319" t="s">
        <v>408</v>
      </c>
      <c r="G319" t="s">
        <v>65</v>
      </c>
      <c r="M319" s="28" t="s">
        <v>14209</v>
      </c>
    </row>
    <row r="320" spans="1:14" hidden="1" x14ac:dyDescent="0.25">
      <c r="A320" t="s">
        <v>10310</v>
      </c>
      <c r="B320" t="s">
        <v>6173</v>
      </c>
      <c r="C320" t="s">
        <v>4553</v>
      </c>
      <c r="D320" t="s">
        <v>6174</v>
      </c>
      <c r="E320" s="28" t="s">
        <v>896</v>
      </c>
      <c r="F320" t="s">
        <v>688</v>
      </c>
      <c r="G320" t="s">
        <v>15</v>
      </c>
      <c r="M320" s="28" t="s">
        <v>613</v>
      </c>
      <c r="N320" t="s">
        <v>313</v>
      </c>
    </row>
    <row r="321" spans="1:14" hidden="1" x14ac:dyDescent="0.25">
      <c r="A321" t="s">
        <v>10309</v>
      </c>
      <c r="B321" t="s">
        <v>6171</v>
      </c>
      <c r="C321" t="s">
        <v>1121</v>
      </c>
      <c r="D321" t="s">
        <v>6172</v>
      </c>
      <c r="E321" s="28" t="s">
        <v>896</v>
      </c>
      <c r="F321" t="s">
        <v>662</v>
      </c>
      <c r="G321" t="s">
        <v>15</v>
      </c>
      <c r="M321" s="28" t="s">
        <v>613</v>
      </c>
      <c r="N321" t="s">
        <v>313</v>
      </c>
    </row>
    <row r="322" spans="1:14" hidden="1" x14ac:dyDescent="0.25">
      <c r="A322" t="s">
        <v>10308</v>
      </c>
      <c r="B322" t="s">
        <v>6168</v>
      </c>
      <c r="C322" t="s">
        <v>6169</v>
      </c>
      <c r="D322" t="s">
        <v>6170</v>
      </c>
      <c r="E322" s="28" t="s">
        <v>896</v>
      </c>
      <c r="F322" t="s">
        <v>718</v>
      </c>
      <c r="G322" t="s">
        <v>15</v>
      </c>
      <c r="M322" s="28" t="s">
        <v>613</v>
      </c>
      <c r="N322" t="s">
        <v>313</v>
      </c>
    </row>
    <row r="323" spans="1:14" hidden="1" x14ac:dyDescent="0.25">
      <c r="A323" t="s">
        <v>10307</v>
      </c>
      <c r="B323" t="s">
        <v>6166</v>
      </c>
      <c r="C323" t="s">
        <v>4668</v>
      </c>
      <c r="D323" t="s">
        <v>6167</v>
      </c>
      <c r="E323" s="28" t="s">
        <v>890</v>
      </c>
      <c r="F323" t="s">
        <v>4596</v>
      </c>
      <c r="G323" t="s">
        <v>15</v>
      </c>
      <c r="M323" s="28" t="s">
        <v>613</v>
      </c>
      <c r="N323" t="s">
        <v>313</v>
      </c>
    </row>
    <row r="324" spans="1:14" hidden="1" x14ac:dyDescent="0.25">
      <c r="A324" t="s">
        <v>10463</v>
      </c>
      <c r="B324" t="s">
        <v>6574</v>
      </c>
      <c r="C324" t="s">
        <v>2216</v>
      </c>
      <c r="D324" t="s">
        <v>6575</v>
      </c>
      <c r="E324" s="28" t="s">
        <v>890</v>
      </c>
      <c r="F324" t="s">
        <v>6576</v>
      </c>
      <c r="G324" t="s">
        <v>131</v>
      </c>
      <c r="M324" s="28" t="s">
        <v>14242</v>
      </c>
    </row>
    <row r="325" spans="1:14" hidden="1" x14ac:dyDescent="0.25">
      <c r="A325" t="s">
        <v>10465</v>
      </c>
      <c r="B325" t="s">
        <v>6574</v>
      </c>
      <c r="C325" t="s">
        <v>6579</v>
      </c>
      <c r="D325" t="s">
        <v>6580</v>
      </c>
      <c r="E325" s="28" t="s">
        <v>896</v>
      </c>
      <c r="F325" t="s">
        <v>99</v>
      </c>
      <c r="G325" t="s">
        <v>131</v>
      </c>
      <c r="M325" s="28" t="s">
        <v>14242</v>
      </c>
    </row>
    <row r="326" spans="1:14" hidden="1" x14ac:dyDescent="0.25">
      <c r="A326" t="s">
        <v>8054</v>
      </c>
      <c r="B326" t="s">
        <v>1249</v>
      </c>
      <c r="C326" t="s">
        <v>1060</v>
      </c>
      <c r="D326" t="s">
        <v>1250</v>
      </c>
      <c r="E326" s="28" t="s">
        <v>896</v>
      </c>
      <c r="F326" t="s">
        <v>315</v>
      </c>
      <c r="G326" t="s">
        <v>34</v>
      </c>
      <c r="M326" s="28" t="s">
        <v>12353</v>
      </c>
      <c r="N326" t="s">
        <v>313</v>
      </c>
    </row>
    <row r="327" spans="1:14" hidden="1" x14ac:dyDescent="0.25">
      <c r="A327" t="s">
        <v>10306</v>
      </c>
      <c r="B327" t="s">
        <v>6164</v>
      </c>
      <c r="C327" t="s">
        <v>4821</v>
      </c>
      <c r="D327" t="s">
        <v>6165</v>
      </c>
      <c r="E327" s="28" t="s">
        <v>1023</v>
      </c>
      <c r="F327" t="s">
        <v>718</v>
      </c>
      <c r="G327" t="s">
        <v>15</v>
      </c>
      <c r="M327" s="28" t="s">
        <v>613</v>
      </c>
      <c r="N327" t="s">
        <v>313</v>
      </c>
    </row>
    <row r="328" spans="1:14" hidden="1" x14ac:dyDescent="0.25">
      <c r="A328" t="s">
        <v>8746</v>
      </c>
      <c r="B328" t="s">
        <v>2965</v>
      </c>
      <c r="C328" t="s">
        <v>1156</v>
      </c>
      <c r="D328" t="s">
        <v>2966</v>
      </c>
      <c r="E328" s="28" t="s">
        <v>896</v>
      </c>
      <c r="F328" t="s">
        <v>543</v>
      </c>
      <c r="G328" t="s">
        <v>86</v>
      </c>
      <c r="M328" s="28" t="s">
        <v>546</v>
      </c>
      <c r="N328" t="s">
        <v>313</v>
      </c>
    </row>
    <row r="329" spans="1:14" hidden="1" x14ac:dyDescent="0.25">
      <c r="A329" t="s">
        <v>10305</v>
      </c>
      <c r="B329" t="s">
        <v>6162</v>
      </c>
      <c r="C329" t="s">
        <v>4857</v>
      </c>
      <c r="D329" t="s">
        <v>6163</v>
      </c>
      <c r="E329" s="28" t="s">
        <v>896</v>
      </c>
      <c r="F329" t="s">
        <v>727</v>
      </c>
      <c r="G329" t="s">
        <v>15</v>
      </c>
      <c r="M329" s="28" t="s">
        <v>613</v>
      </c>
      <c r="N329" t="s">
        <v>313</v>
      </c>
    </row>
    <row r="330" spans="1:14" hidden="1" x14ac:dyDescent="0.25">
      <c r="A330" t="s">
        <v>11672</v>
      </c>
      <c r="B330" t="s">
        <v>11673</v>
      </c>
      <c r="C330" t="s">
        <v>11674</v>
      </c>
      <c r="D330" t="s">
        <v>11675</v>
      </c>
      <c r="E330" s="28" t="s">
        <v>1023</v>
      </c>
      <c r="F330" t="s">
        <v>523</v>
      </c>
      <c r="G330" t="s">
        <v>74</v>
      </c>
      <c r="M330" s="28" t="s">
        <v>507</v>
      </c>
      <c r="N330" t="s">
        <v>313</v>
      </c>
    </row>
    <row r="331" spans="1:14" hidden="1" x14ac:dyDescent="0.25">
      <c r="A331" t="s">
        <v>14243</v>
      </c>
      <c r="B331" t="s">
        <v>2530</v>
      </c>
      <c r="C331" t="s">
        <v>5404</v>
      </c>
      <c r="D331" t="s">
        <v>13613</v>
      </c>
      <c r="E331" s="28" t="s">
        <v>1023</v>
      </c>
      <c r="F331" t="s">
        <v>13197</v>
      </c>
      <c r="G331" t="s">
        <v>81</v>
      </c>
      <c r="M331" s="28" t="s">
        <v>530</v>
      </c>
      <c r="N331" t="s">
        <v>313</v>
      </c>
    </row>
    <row r="332" spans="1:14" hidden="1" x14ac:dyDescent="0.25">
      <c r="A332" t="s">
        <v>14244</v>
      </c>
      <c r="B332" t="s">
        <v>2530</v>
      </c>
      <c r="C332" t="s">
        <v>1099</v>
      </c>
      <c r="D332" t="s">
        <v>13614</v>
      </c>
      <c r="E332" s="28" t="s">
        <v>1177</v>
      </c>
      <c r="F332" t="s">
        <v>13197</v>
      </c>
      <c r="G332" t="s">
        <v>81</v>
      </c>
      <c r="M332" s="28" t="s">
        <v>530</v>
      </c>
      <c r="N332" t="s">
        <v>313</v>
      </c>
    </row>
    <row r="333" spans="1:14" hidden="1" x14ac:dyDescent="0.25">
      <c r="A333" t="s">
        <v>13615</v>
      </c>
      <c r="B333" t="s">
        <v>6160</v>
      </c>
      <c r="C333" t="s">
        <v>13616</v>
      </c>
      <c r="D333" t="s">
        <v>6161</v>
      </c>
      <c r="E333" s="28" t="s">
        <v>890</v>
      </c>
      <c r="F333" t="s">
        <v>4596</v>
      </c>
      <c r="G333" t="s">
        <v>15</v>
      </c>
      <c r="M333" s="28" t="s">
        <v>613</v>
      </c>
      <c r="N333" t="s">
        <v>313</v>
      </c>
    </row>
    <row r="334" spans="1:14" hidden="1" x14ac:dyDescent="0.25">
      <c r="A334" t="s">
        <v>13617</v>
      </c>
      <c r="B334" t="s">
        <v>13618</v>
      </c>
      <c r="C334" t="s">
        <v>909</v>
      </c>
      <c r="D334" t="s">
        <v>13619</v>
      </c>
      <c r="E334" s="28" t="s">
        <v>896</v>
      </c>
      <c r="F334" t="s">
        <v>659</v>
      </c>
      <c r="G334" t="s">
        <v>15</v>
      </c>
      <c r="M334" s="28" t="s">
        <v>613</v>
      </c>
      <c r="N334" t="s">
        <v>313</v>
      </c>
    </row>
    <row r="335" spans="1:14" hidden="1" x14ac:dyDescent="0.25">
      <c r="A335" t="s">
        <v>10776</v>
      </c>
      <c r="B335" t="s">
        <v>7271</v>
      </c>
      <c r="C335" t="s">
        <v>1549</v>
      </c>
      <c r="D335" t="s">
        <v>7272</v>
      </c>
      <c r="E335" s="28" t="s">
        <v>896</v>
      </c>
      <c r="F335" t="s">
        <v>823</v>
      </c>
      <c r="G335" t="s">
        <v>152</v>
      </c>
      <c r="M335" s="28"/>
    </row>
    <row r="336" spans="1:14" hidden="1" x14ac:dyDescent="0.25">
      <c r="A336" t="s">
        <v>10603</v>
      </c>
      <c r="B336" t="s">
        <v>6853</v>
      </c>
      <c r="C336" t="s">
        <v>2419</v>
      </c>
      <c r="D336" t="s">
        <v>6854</v>
      </c>
      <c r="E336" s="28" t="s">
        <v>896</v>
      </c>
      <c r="F336" t="s">
        <v>831</v>
      </c>
      <c r="G336" t="s">
        <v>145</v>
      </c>
      <c r="M336" s="28" t="s">
        <v>13222</v>
      </c>
      <c r="N336" t="s">
        <v>313</v>
      </c>
    </row>
    <row r="337" spans="1:14" hidden="1" x14ac:dyDescent="0.25">
      <c r="A337" t="s">
        <v>10303</v>
      </c>
      <c r="B337" t="s">
        <v>6157</v>
      </c>
      <c r="C337" t="s">
        <v>1086</v>
      </c>
      <c r="D337" t="s">
        <v>6158</v>
      </c>
      <c r="E337" s="28" t="s">
        <v>890</v>
      </c>
      <c r="F337" t="s">
        <v>625</v>
      </c>
      <c r="G337" t="s">
        <v>15</v>
      </c>
      <c r="M337" s="28" t="s">
        <v>613</v>
      </c>
      <c r="N337" t="s">
        <v>313</v>
      </c>
    </row>
    <row r="338" spans="1:14" hidden="1" x14ac:dyDescent="0.25">
      <c r="A338" t="s">
        <v>10304</v>
      </c>
      <c r="B338" t="s">
        <v>6157</v>
      </c>
      <c r="C338" t="s">
        <v>4536</v>
      </c>
      <c r="D338" t="s">
        <v>6159</v>
      </c>
      <c r="E338" s="28" t="s">
        <v>890</v>
      </c>
      <c r="F338" t="s">
        <v>631</v>
      </c>
      <c r="G338" t="s">
        <v>15</v>
      </c>
      <c r="M338" s="28" t="s">
        <v>613</v>
      </c>
      <c r="N338" t="s">
        <v>313</v>
      </c>
    </row>
    <row r="339" spans="1:14" hidden="1" x14ac:dyDescent="0.25">
      <c r="A339" t="s">
        <v>8074</v>
      </c>
      <c r="B339" t="s">
        <v>1298</v>
      </c>
      <c r="C339" t="s">
        <v>1299</v>
      </c>
      <c r="D339" t="s">
        <v>1300</v>
      </c>
      <c r="E339" s="28" t="s">
        <v>890</v>
      </c>
      <c r="F339" t="s">
        <v>328</v>
      </c>
      <c r="G339" t="s">
        <v>38</v>
      </c>
      <c r="M339" s="28"/>
    </row>
    <row r="340" spans="1:14" hidden="1" x14ac:dyDescent="0.25">
      <c r="A340" t="s">
        <v>7939</v>
      </c>
      <c r="B340" t="s">
        <v>893</v>
      </c>
      <c r="C340" t="s">
        <v>894</v>
      </c>
      <c r="D340" t="s">
        <v>895</v>
      </c>
      <c r="E340" s="28" t="s">
        <v>896</v>
      </c>
      <c r="F340" t="s">
        <v>897</v>
      </c>
      <c r="G340" t="s">
        <v>28</v>
      </c>
      <c r="M340" s="28" t="s">
        <v>14241</v>
      </c>
      <c r="N340" t="s">
        <v>14206</v>
      </c>
    </row>
    <row r="341" spans="1:14" hidden="1" x14ac:dyDescent="0.25">
      <c r="A341" t="s">
        <v>7967</v>
      </c>
      <c r="B341" t="s">
        <v>893</v>
      </c>
      <c r="C341" t="s">
        <v>974</v>
      </c>
      <c r="D341" t="s">
        <v>975</v>
      </c>
      <c r="E341" s="28" t="s">
        <v>890</v>
      </c>
      <c r="F341" t="s">
        <v>897</v>
      </c>
      <c r="G341" t="s">
        <v>28</v>
      </c>
      <c r="M341" s="28" t="s">
        <v>14241</v>
      </c>
      <c r="N341" t="s">
        <v>14206</v>
      </c>
    </row>
    <row r="342" spans="1:14" hidden="1" x14ac:dyDescent="0.25">
      <c r="A342" t="s">
        <v>10302</v>
      </c>
      <c r="B342" t="s">
        <v>6155</v>
      </c>
      <c r="C342" t="s">
        <v>926</v>
      </c>
      <c r="D342" t="s">
        <v>6156</v>
      </c>
      <c r="E342" s="28" t="s">
        <v>890</v>
      </c>
      <c r="F342" t="s">
        <v>4590</v>
      </c>
      <c r="G342" t="s">
        <v>15</v>
      </c>
      <c r="M342" s="28" t="s">
        <v>613</v>
      </c>
      <c r="N342" t="s">
        <v>313</v>
      </c>
    </row>
    <row r="343" spans="1:14" hidden="1" x14ac:dyDescent="0.25">
      <c r="A343" t="s">
        <v>10612</v>
      </c>
      <c r="B343" t="s">
        <v>6868</v>
      </c>
      <c r="C343" t="s">
        <v>2066</v>
      </c>
      <c r="D343" t="s">
        <v>6869</v>
      </c>
      <c r="E343" s="28" t="s">
        <v>896</v>
      </c>
      <c r="F343" t="s">
        <v>2424</v>
      </c>
      <c r="G343" t="s">
        <v>145</v>
      </c>
      <c r="M343" s="28" t="s">
        <v>13222</v>
      </c>
      <c r="N343" t="s">
        <v>313</v>
      </c>
    </row>
    <row r="344" spans="1:14" hidden="1" x14ac:dyDescent="0.25">
      <c r="A344" t="s">
        <v>8019</v>
      </c>
      <c r="B344" t="s">
        <v>1137</v>
      </c>
      <c r="C344" t="s">
        <v>1138</v>
      </c>
      <c r="D344" t="s">
        <v>1139</v>
      </c>
      <c r="E344" s="28" t="s">
        <v>896</v>
      </c>
      <c r="F344" t="s">
        <v>14202</v>
      </c>
      <c r="G344" t="s">
        <v>31</v>
      </c>
      <c r="M344" s="28" t="s">
        <v>278</v>
      </c>
      <c r="N344" t="s">
        <v>279</v>
      </c>
    </row>
    <row r="345" spans="1:14" hidden="1" x14ac:dyDescent="0.25">
      <c r="A345" t="s">
        <v>8241</v>
      </c>
      <c r="B345" t="s">
        <v>1729</v>
      </c>
      <c r="C345" t="s">
        <v>1730</v>
      </c>
      <c r="D345" t="s">
        <v>1731</v>
      </c>
      <c r="E345" s="28" t="s">
        <v>890</v>
      </c>
      <c r="F345" t="s">
        <v>891</v>
      </c>
      <c r="G345" t="s">
        <v>43</v>
      </c>
      <c r="M345" s="28" t="s">
        <v>14205</v>
      </c>
    </row>
    <row r="346" spans="1:14" hidden="1" x14ac:dyDescent="0.25">
      <c r="A346" t="s">
        <v>10787</v>
      </c>
      <c r="B346" t="s">
        <v>7299</v>
      </c>
      <c r="C346" t="s">
        <v>2125</v>
      </c>
      <c r="D346" t="s">
        <v>7300</v>
      </c>
      <c r="E346" s="28" t="s">
        <v>890</v>
      </c>
      <c r="F346" t="s">
        <v>7301</v>
      </c>
      <c r="G346" t="s">
        <v>7297</v>
      </c>
      <c r="M346" s="28" t="s">
        <v>14245</v>
      </c>
    </row>
    <row r="347" spans="1:14" hidden="1" x14ac:dyDescent="0.25">
      <c r="A347" t="s">
        <v>10301</v>
      </c>
      <c r="B347" t="s">
        <v>6151</v>
      </c>
      <c r="C347" t="s">
        <v>4440</v>
      </c>
      <c r="D347" t="s">
        <v>6154</v>
      </c>
      <c r="E347" s="28" t="s">
        <v>890</v>
      </c>
      <c r="F347" t="s">
        <v>771</v>
      </c>
      <c r="G347" t="s">
        <v>15</v>
      </c>
      <c r="M347" s="28" t="s">
        <v>613</v>
      </c>
      <c r="N347" t="s">
        <v>313</v>
      </c>
    </row>
    <row r="348" spans="1:14" hidden="1" x14ac:dyDescent="0.25">
      <c r="A348" t="s">
        <v>10300</v>
      </c>
      <c r="B348" t="s">
        <v>6151</v>
      </c>
      <c r="C348" t="s">
        <v>5875</v>
      </c>
      <c r="D348" t="s">
        <v>6153</v>
      </c>
      <c r="E348" s="28" t="s">
        <v>896</v>
      </c>
      <c r="F348" t="s">
        <v>727</v>
      </c>
      <c r="G348" t="s">
        <v>15</v>
      </c>
      <c r="M348" s="28" t="s">
        <v>613</v>
      </c>
      <c r="N348" t="s">
        <v>313</v>
      </c>
    </row>
    <row r="349" spans="1:14" hidden="1" x14ac:dyDescent="0.25">
      <c r="A349" t="s">
        <v>10618</v>
      </c>
      <c r="B349" t="s">
        <v>6151</v>
      </c>
      <c r="C349" t="s">
        <v>2184</v>
      </c>
      <c r="D349" t="s">
        <v>6880</v>
      </c>
      <c r="E349" s="28" t="s">
        <v>890</v>
      </c>
      <c r="F349" t="s">
        <v>13505</v>
      </c>
      <c r="G349" t="s">
        <v>145</v>
      </c>
      <c r="M349" s="28" t="s">
        <v>13222</v>
      </c>
      <c r="N349" t="s">
        <v>313</v>
      </c>
    </row>
    <row r="350" spans="1:14" hidden="1" x14ac:dyDescent="0.25">
      <c r="A350" t="s">
        <v>10299</v>
      </c>
      <c r="B350" t="s">
        <v>6151</v>
      </c>
      <c r="C350" t="s">
        <v>4784</v>
      </c>
      <c r="D350" t="s">
        <v>6152</v>
      </c>
      <c r="E350" s="28" t="s">
        <v>896</v>
      </c>
      <c r="F350" t="s">
        <v>4685</v>
      </c>
      <c r="G350" t="s">
        <v>15</v>
      </c>
      <c r="M350" s="28" t="s">
        <v>613</v>
      </c>
      <c r="N350" t="s">
        <v>313</v>
      </c>
    </row>
    <row r="351" spans="1:14" hidden="1" x14ac:dyDescent="0.25">
      <c r="A351" t="s">
        <v>8334</v>
      </c>
      <c r="B351" t="s">
        <v>1962</v>
      </c>
      <c r="C351" t="s">
        <v>1963</v>
      </c>
      <c r="D351" t="s">
        <v>1964</v>
      </c>
      <c r="E351" s="28" t="s">
        <v>896</v>
      </c>
      <c r="F351" t="s">
        <v>1965</v>
      </c>
      <c r="G351" t="s">
        <v>43</v>
      </c>
      <c r="M351" s="28" t="s">
        <v>14205</v>
      </c>
    </row>
    <row r="352" spans="1:14" hidden="1" x14ac:dyDescent="0.25">
      <c r="A352" t="s">
        <v>10297</v>
      </c>
      <c r="B352" t="s">
        <v>6148</v>
      </c>
      <c r="C352" t="s">
        <v>1128</v>
      </c>
      <c r="D352" t="s">
        <v>6149</v>
      </c>
      <c r="E352" s="28" t="s">
        <v>890</v>
      </c>
      <c r="F352" t="s">
        <v>241</v>
      </c>
      <c r="G352" t="s">
        <v>15</v>
      </c>
      <c r="M352" s="28" t="s">
        <v>613</v>
      </c>
      <c r="N352" t="s">
        <v>313</v>
      </c>
    </row>
    <row r="353" spans="1:14" hidden="1" x14ac:dyDescent="0.25">
      <c r="A353" t="s">
        <v>10298</v>
      </c>
      <c r="B353" t="s">
        <v>6148</v>
      </c>
      <c r="C353" t="s">
        <v>4784</v>
      </c>
      <c r="D353" t="s">
        <v>6150</v>
      </c>
      <c r="E353" s="28" t="s">
        <v>896</v>
      </c>
      <c r="F353" t="s">
        <v>4586</v>
      </c>
      <c r="G353" t="s">
        <v>15</v>
      </c>
      <c r="M353" s="28" t="s">
        <v>613</v>
      </c>
      <c r="N353" t="s">
        <v>313</v>
      </c>
    </row>
    <row r="354" spans="1:14" hidden="1" x14ac:dyDescent="0.25">
      <c r="A354" t="s">
        <v>11014</v>
      </c>
      <c r="B354" t="s">
        <v>6146</v>
      </c>
      <c r="C354" t="s">
        <v>1616</v>
      </c>
      <c r="D354" t="s">
        <v>11015</v>
      </c>
      <c r="E354" s="28" t="s">
        <v>890</v>
      </c>
      <c r="F354" t="s">
        <v>6584</v>
      </c>
      <c r="G354" t="s">
        <v>84</v>
      </c>
      <c r="M354" s="28" t="s">
        <v>14223</v>
      </c>
      <c r="N354" t="s">
        <v>313</v>
      </c>
    </row>
    <row r="355" spans="1:14" hidden="1" x14ac:dyDescent="0.25">
      <c r="A355" t="s">
        <v>10296</v>
      </c>
      <c r="B355" t="s">
        <v>6146</v>
      </c>
      <c r="C355" t="s">
        <v>4784</v>
      </c>
      <c r="D355" t="s">
        <v>6147</v>
      </c>
      <c r="E355" s="28" t="s">
        <v>896</v>
      </c>
      <c r="F355" t="s">
        <v>631</v>
      </c>
      <c r="G355" t="s">
        <v>15</v>
      </c>
      <c r="M355" s="28" t="s">
        <v>613</v>
      </c>
      <c r="N355" t="s">
        <v>313</v>
      </c>
    </row>
    <row r="356" spans="1:14" hidden="1" x14ac:dyDescent="0.25">
      <c r="A356" t="s">
        <v>10295</v>
      </c>
      <c r="B356" t="s">
        <v>6144</v>
      </c>
      <c r="C356" t="s">
        <v>999</v>
      </c>
      <c r="D356" t="s">
        <v>6145</v>
      </c>
      <c r="E356" s="28" t="s">
        <v>890</v>
      </c>
      <c r="F356" t="s">
        <v>4638</v>
      </c>
      <c r="G356" t="s">
        <v>15</v>
      </c>
      <c r="M356" s="28" t="s">
        <v>613</v>
      </c>
      <c r="N356" t="s">
        <v>313</v>
      </c>
    </row>
    <row r="357" spans="1:14" hidden="1" x14ac:dyDescent="0.25">
      <c r="A357" t="s">
        <v>10294</v>
      </c>
      <c r="B357" t="s">
        <v>6142</v>
      </c>
      <c r="C357" t="s">
        <v>926</v>
      </c>
      <c r="D357" t="s">
        <v>6143</v>
      </c>
      <c r="E357" s="28" t="s">
        <v>890</v>
      </c>
      <c r="F357" t="s">
        <v>705</v>
      </c>
      <c r="G357" t="s">
        <v>15</v>
      </c>
      <c r="M357" s="28" t="s">
        <v>613</v>
      </c>
      <c r="N357" t="s">
        <v>313</v>
      </c>
    </row>
    <row r="358" spans="1:14" hidden="1" x14ac:dyDescent="0.25">
      <c r="A358" t="s">
        <v>11941</v>
      </c>
      <c r="B358" t="s">
        <v>6550</v>
      </c>
      <c r="C358" t="s">
        <v>6549</v>
      </c>
      <c r="D358" t="s">
        <v>6551</v>
      </c>
      <c r="E358" s="28" t="s">
        <v>890</v>
      </c>
      <c r="F358" t="s">
        <v>819</v>
      </c>
      <c r="G358" t="s">
        <v>129</v>
      </c>
      <c r="M358" s="28" t="s">
        <v>802</v>
      </c>
      <c r="N358" t="s">
        <v>313</v>
      </c>
    </row>
    <row r="359" spans="1:14" hidden="1" x14ac:dyDescent="0.25">
      <c r="A359" t="s">
        <v>10293</v>
      </c>
      <c r="B359" t="s">
        <v>6139</v>
      </c>
      <c r="C359" t="s">
        <v>2582</v>
      </c>
      <c r="D359" t="s">
        <v>6141</v>
      </c>
      <c r="E359" s="28" t="s">
        <v>890</v>
      </c>
      <c r="F359" t="s">
        <v>746</v>
      </c>
      <c r="G359" t="s">
        <v>15</v>
      </c>
      <c r="M359" s="28" t="s">
        <v>613</v>
      </c>
      <c r="N359" t="s">
        <v>313</v>
      </c>
    </row>
    <row r="360" spans="1:14" hidden="1" x14ac:dyDescent="0.25">
      <c r="A360" t="s">
        <v>10292</v>
      </c>
      <c r="B360" t="s">
        <v>6139</v>
      </c>
      <c r="C360" t="s">
        <v>6114</v>
      </c>
      <c r="D360" t="s">
        <v>6140</v>
      </c>
      <c r="E360" s="28" t="s">
        <v>1023</v>
      </c>
      <c r="F360" t="s">
        <v>746</v>
      </c>
      <c r="G360" t="s">
        <v>15</v>
      </c>
      <c r="M360" s="28" t="s">
        <v>613</v>
      </c>
      <c r="N360" t="s">
        <v>313</v>
      </c>
    </row>
    <row r="361" spans="1:14" hidden="1" x14ac:dyDescent="0.25">
      <c r="A361" t="s">
        <v>11452</v>
      </c>
      <c r="B361" t="s">
        <v>11453</v>
      </c>
      <c r="C361" t="s">
        <v>2335</v>
      </c>
      <c r="D361" t="s">
        <v>11454</v>
      </c>
      <c r="E361" s="28" t="s">
        <v>896</v>
      </c>
      <c r="F361" t="s">
        <v>11451</v>
      </c>
      <c r="G361" t="s">
        <v>125</v>
      </c>
      <c r="M361" s="28" t="s">
        <v>6491</v>
      </c>
      <c r="N361" t="s">
        <v>313</v>
      </c>
    </row>
    <row r="362" spans="1:14" hidden="1" x14ac:dyDescent="0.25">
      <c r="A362" t="s">
        <v>14246</v>
      </c>
      <c r="B362" t="s">
        <v>14247</v>
      </c>
      <c r="C362" t="s">
        <v>1509</v>
      </c>
      <c r="D362" t="s">
        <v>13620</v>
      </c>
      <c r="E362" s="28" t="s">
        <v>896</v>
      </c>
      <c r="F362" t="s">
        <v>10904</v>
      </c>
      <c r="G362" t="s">
        <v>81</v>
      </c>
      <c r="M362" s="28" t="s">
        <v>530</v>
      </c>
      <c r="N362" t="s">
        <v>313</v>
      </c>
    </row>
    <row r="363" spans="1:14" hidden="1" x14ac:dyDescent="0.25">
      <c r="A363" t="s">
        <v>10291</v>
      </c>
      <c r="B363" t="s">
        <v>6137</v>
      </c>
      <c r="C363" t="s">
        <v>4557</v>
      </c>
      <c r="D363" t="s">
        <v>6138</v>
      </c>
      <c r="E363" s="28" t="s">
        <v>896</v>
      </c>
      <c r="F363" t="s">
        <v>615</v>
      </c>
      <c r="G363" t="s">
        <v>15</v>
      </c>
      <c r="M363" s="28" t="s">
        <v>613</v>
      </c>
      <c r="N363" t="s">
        <v>313</v>
      </c>
    </row>
    <row r="364" spans="1:14" hidden="1" x14ac:dyDescent="0.25">
      <c r="A364" t="s">
        <v>10290</v>
      </c>
      <c r="B364" t="s">
        <v>6134</v>
      </c>
      <c r="C364" t="s">
        <v>4792</v>
      </c>
      <c r="D364" t="s">
        <v>6136</v>
      </c>
      <c r="E364" s="28" t="s">
        <v>896</v>
      </c>
      <c r="F364" t="s">
        <v>4551</v>
      </c>
      <c r="G364" t="s">
        <v>15</v>
      </c>
      <c r="M364" s="28" t="s">
        <v>613</v>
      </c>
      <c r="N364" t="s">
        <v>313</v>
      </c>
    </row>
    <row r="365" spans="1:14" hidden="1" x14ac:dyDescent="0.25">
      <c r="A365" t="s">
        <v>10289</v>
      </c>
      <c r="B365" t="s">
        <v>6134</v>
      </c>
      <c r="C365" t="s">
        <v>5191</v>
      </c>
      <c r="D365" t="s">
        <v>6135</v>
      </c>
      <c r="E365" s="28" t="s">
        <v>1023</v>
      </c>
      <c r="F365" t="s">
        <v>4551</v>
      </c>
      <c r="G365" t="s">
        <v>15</v>
      </c>
      <c r="M365" s="28" t="s">
        <v>613</v>
      </c>
      <c r="N365" t="s">
        <v>313</v>
      </c>
    </row>
    <row r="366" spans="1:14" hidden="1" x14ac:dyDescent="0.25">
      <c r="A366" t="s">
        <v>12517</v>
      </c>
      <c r="B366" t="s">
        <v>12518</v>
      </c>
      <c r="C366" t="s">
        <v>3201</v>
      </c>
      <c r="D366" t="s">
        <v>12519</v>
      </c>
      <c r="E366" s="28" t="s">
        <v>890</v>
      </c>
      <c r="F366" t="s">
        <v>891</v>
      </c>
      <c r="G366" t="s">
        <v>88</v>
      </c>
      <c r="M366" s="28" t="s">
        <v>549</v>
      </c>
      <c r="N366" t="s">
        <v>313</v>
      </c>
    </row>
    <row r="367" spans="1:14" hidden="1" x14ac:dyDescent="0.25">
      <c r="A367" t="s">
        <v>10765</v>
      </c>
      <c r="B367" t="s">
        <v>7244</v>
      </c>
      <c r="C367" t="s">
        <v>7245</v>
      </c>
      <c r="D367" t="s">
        <v>7246</v>
      </c>
      <c r="E367" s="28" t="s">
        <v>890</v>
      </c>
      <c r="F367" t="s">
        <v>7062</v>
      </c>
      <c r="G367" t="s">
        <v>6896</v>
      </c>
      <c r="M367" s="28" t="s">
        <v>6897</v>
      </c>
      <c r="N367" t="s">
        <v>279</v>
      </c>
    </row>
    <row r="368" spans="1:14" hidden="1" x14ac:dyDescent="0.25">
      <c r="A368" t="s">
        <v>10742</v>
      </c>
      <c r="B368" t="s">
        <v>7186</v>
      </c>
      <c r="C368" t="s">
        <v>7187</v>
      </c>
      <c r="D368" t="s">
        <v>7188</v>
      </c>
      <c r="E368" s="28" t="s">
        <v>890</v>
      </c>
      <c r="F368" t="s">
        <v>7062</v>
      </c>
      <c r="G368" t="s">
        <v>6896</v>
      </c>
      <c r="M368" s="28" t="s">
        <v>6897</v>
      </c>
      <c r="N368" t="s">
        <v>279</v>
      </c>
    </row>
    <row r="369" spans="1:14" hidden="1" x14ac:dyDescent="0.25">
      <c r="A369" t="s">
        <v>10764</v>
      </c>
      <c r="B369" t="s">
        <v>7241</v>
      </c>
      <c r="C369" t="s">
        <v>7242</v>
      </c>
      <c r="D369" t="s">
        <v>7243</v>
      </c>
      <c r="E369" s="28" t="s">
        <v>896</v>
      </c>
      <c r="F369" t="s">
        <v>7062</v>
      </c>
      <c r="G369" t="s">
        <v>6896</v>
      </c>
      <c r="M369" s="28" t="s">
        <v>6897</v>
      </c>
      <c r="N369" t="s">
        <v>279</v>
      </c>
    </row>
    <row r="370" spans="1:14" hidden="1" x14ac:dyDescent="0.25">
      <c r="A370" t="s">
        <v>10763</v>
      </c>
      <c r="B370" t="s">
        <v>7238</v>
      </c>
      <c r="C370" t="s">
        <v>7239</v>
      </c>
      <c r="D370" t="s">
        <v>7240</v>
      </c>
      <c r="E370" s="28" t="s">
        <v>890</v>
      </c>
      <c r="F370" t="s">
        <v>7062</v>
      </c>
      <c r="G370" t="s">
        <v>6896</v>
      </c>
      <c r="M370" s="28" t="s">
        <v>6897</v>
      </c>
      <c r="N370" t="s">
        <v>279</v>
      </c>
    </row>
    <row r="371" spans="1:14" hidden="1" x14ac:dyDescent="0.25">
      <c r="A371" t="s">
        <v>10731</v>
      </c>
      <c r="B371" t="s">
        <v>7160</v>
      </c>
      <c r="C371" t="s">
        <v>7161</v>
      </c>
      <c r="D371" t="s">
        <v>7162</v>
      </c>
      <c r="E371" s="28" t="s">
        <v>890</v>
      </c>
      <c r="F371" t="s">
        <v>6901</v>
      </c>
      <c r="G371" t="s">
        <v>6896</v>
      </c>
      <c r="M371" s="28" t="s">
        <v>6897</v>
      </c>
      <c r="N371" t="s">
        <v>279</v>
      </c>
    </row>
    <row r="372" spans="1:14" hidden="1" x14ac:dyDescent="0.25">
      <c r="A372" t="s">
        <v>10694</v>
      </c>
      <c r="B372" t="s">
        <v>7075</v>
      </c>
      <c r="C372" t="s">
        <v>7076</v>
      </c>
      <c r="D372" t="s">
        <v>7077</v>
      </c>
      <c r="E372" s="28" t="s">
        <v>896</v>
      </c>
      <c r="F372" t="s">
        <v>6895</v>
      </c>
      <c r="G372" t="s">
        <v>6896</v>
      </c>
      <c r="M372" s="28" t="s">
        <v>6897</v>
      </c>
      <c r="N372" t="s">
        <v>279</v>
      </c>
    </row>
    <row r="373" spans="1:14" hidden="1" x14ac:dyDescent="0.25">
      <c r="A373" t="s">
        <v>13621</v>
      </c>
      <c r="B373" t="s">
        <v>13622</v>
      </c>
      <c r="C373" t="s">
        <v>13623</v>
      </c>
      <c r="D373" t="s">
        <v>13624</v>
      </c>
      <c r="E373" s="28" t="s">
        <v>896</v>
      </c>
      <c r="F373" t="s">
        <v>891</v>
      </c>
      <c r="G373" t="s">
        <v>11</v>
      </c>
      <c r="M373" s="28" t="s">
        <v>413</v>
      </c>
      <c r="N373" t="s">
        <v>313</v>
      </c>
    </row>
    <row r="374" spans="1:14" hidden="1" x14ac:dyDescent="0.25">
      <c r="A374" t="s">
        <v>10717</v>
      </c>
      <c r="B374" t="s">
        <v>7124</v>
      </c>
      <c r="C374" t="s">
        <v>7125</v>
      </c>
      <c r="D374" t="s">
        <v>7126</v>
      </c>
      <c r="E374" s="28" t="s">
        <v>890</v>
      </c>
      <c r="F374" t="s">
        <v>6901</v>
      </c>
      <c r="G374" t="s">
        <v>6896</v>
      </c>
      <c r="M374" s="28" t="s">
        <v>6897</v>
      </c>
      <c r="N374" t="s">
        <v>279</v>
      </c>
    </row>
    <row r="375" spans="1:14" hidden="1" x14ac:dyDescent="0.25">
      <c r="A375" t="s">
        <v>10748</v>
      </c>
      <c r="B375" t="s">
        <v>7199</v>
      </c>
      <c r="C375" t="s">
        <v>7202</v>
      </c>
      <c r="D375" t="s">
        <v>7203</v>
      </c>
      <c r="E375" s="28" t="s">
        <v>1023</v>
      </c>
      <c r="F375" t="s">
        <v>6901</v>
      </c>
      <c r="G375" t="s">
        <v>6896</v>
      </c>
      <c r="M375" s="28" t="s">
        <v>6897</v>
      </c>
      <c r="N375" t="s">
        <v>279</v>
      </c>
    </row>
    <row r="376" spans="1:14" hidden="1" x14ac:dyDescent="0.25">
      <c r="A376" t="s">
        <v>10747</v>
      </c>
      <c r="B376" t="s">
        <v>7199</v>
      </c>
      <c r="C376" t="s">
        <v>7200</v>
      </c>
      <c r="D376" t="s">
        <v>7201</v>
      </c>
      <c r="E376" s="28" t="s">
        <v>930</v>
      </c>
      <c r="F376" t="s">
        <v>6901</v>
      </c>
      <c r="G376" t="s">
        <v>6896</v>
      </c>
      <c r="M376" s="28" t="s">
        <v>6897</v>
      </c>
      <c r="N376" t="s">
        <v>279</v>
      </c>
    </row>
    <row r="377" spans="1:14" hidden="1" x14ac:dyDescent="0.25">
      <c r="A377" t="s">
        <v>10737</v>
      </c>
      <c r="B377" t="s">
        <v>7175</v>
      </c>
      <c r="C377" t="s">
        <v>7176</v>
      </c>
      <c r="D377" t="s">
        <v>7177</v>
      </c>
      <c r="E377" s="28" t="s">
        <v>890</v>
      </c>
      <c r="F377" t="s">
        <v>6901</v>
      </c>
      <c r="G377" t="s">
        <v>6896</v>
      </c>
      <c r="M377" s="28" t="s">
        <v>6897</v>
      </c>
      <c r="N377" t="s">
        <v>279</v>
      </c>
    </row>
    <row r="378" spans="1:14" hidden="1" x14ac:dyDescent="0.25">
      <c r="A378" t="s">
        <v>10758</v>
      </c>
      <c r="B378" t="s">
        <v>7225</v>
      </c>
      <c r="C378" t="s">
        <v>7226</v>
      </c>
      <c r="D378" t="s">
        <v>7227</v>
      </c>
      <c r="E378" s="28" t="s">
        <v>890</v>
      </c>
      <c r="F378" t="s">
        <v>6895</v>
      </c>
      <c r="G378" t="s">
        <v>6896</v>
      </c>
      <c r="M378" s="28" t="s">
        <v>6897</v>
      </c>
      <c r="N378" t="s">
        <v>279</v>
      </c>
    </row>
    <row r="379" spans="1:14" hidden="1" x14ac:dyDescent="0.25">
      <c r="A379" t="s">
        <v>10692</v>
      </c>
      <c r="B379" t="s">
        <v>7070</v>
      </c>
      <c r="C379" t="s">
        <v>7071</v>
      </c>
      <c r="D379" t="s">
        <v>7072</v>
      </c>
      <c r="E379" s="28" t="s">
        <v>896</v>
      </c>
      <c r="F379" t="s">
        <v>6895</v>
      </c>
      <c r="G379" t="s">
        <v>6896</v>
      </c>
      <c r="M379" s="28" t="s">
        <v>6897</v>
      </c>
      <c r="N379" t="s">
        <v>279</v>
      </c>
    </row>
    <row r="380" spans="1:14" hidden="1" x14ac:dyDescent="0.25">
      <c r="A380" t="s">
        <v>10693</v>
      </c>
      <c r="B380" t="s">
        <v>7070</v>
      </c>
      <c r="C380" t="s">
        <v>7073</v>
      </c>
      <c r="D380" t="s">
        <v>7074</v>
      </c>
      <c r="E380" s="28" t="s">
        <v>896</v>
      </c>
      <c r="F380" t="s">
        <v>6895</v>
      </c>
      <c r="G380" t="s">
        <v>6896</v>
      </c>
      <c r="M380" s="28" t="s">
        <v>6897</v>
      </c>
      <c r="N380" t="s">
        <v>279</v>
      </c>
    </row>
    <row r="381" spans="1:14" hidden="1" x14ac:dyDescent="0.25">
      <c r="A381" t="s">
        <v>10702</v>
      </c>
      <c r="B381" t="s">
        <v>7094</v>
      </c>
      <c r="C381" t="s">
        <v>7095</v>
      </c>
      <c r="D381" t="s">
        <v>7096</v>
      </c>
      <c r="E381" s="28" t="s">
        <v>890</v>
      </c>
      <c r="F381" t="s">
        <v>6901</v>
      </c>
      <c r="G381" t="s">
        <v>6896</v>
      </c>
      <c r="M381" s="28" t="s">
        <v>6897</v>
      </c>
      <c r="N381" t="s">
        <v>279</v>
      </c>
    </row>
    <row r="382" spans="1:14" hidden="1" x14ac:dyDescent="0.25">
      <c r="A382" t="s">
        <v>12109</v>
      </c>
      <c r="B382" t="s">
        <v>12110</v>
      </c>
      <c r="C382" t="s">
        <v>2461</v>
      </c>
      <c r="D382" t="s">
        <v>12111</v>
      </c>
      <c r="E382" s="28" t="s">
        <v>890</v>
      </c>
      <c r="F382" t="s">
        <v>2415</v>
      </c>
      <c r="G382" t="s">
        <v>162</v>
      </c>
      <c r="M382" s="28" t="s">
        <v>7517</v>
      </c>
      <c r="N382" t="s">
        <v>313</v>
      </c>
    </row>
    <row r="383" spans="1:14" hidden="1" x14ac:dyDescent="0.25">
      <c r="A383" t="s">
        <v>10288</v>
      </c>
      <c r="B383" t="s">
        <v>6132</v>
      </c>
      <c r="C383" t="s">
        <v>4753</v>
      </c>
      <c r="D383" t="s">
        <v>6133</v>
      </c>
      <c r="E383" s="28" t="s">
        <v>896</v>
      </c>
      <c r="F383" t="s">
        <v>4635</v>
      </c>
      <c r="G383" t="s">
        <v>15</v>
      </c>
      <c r="M383" s="28" t="s">
        <v>613</v>
      </c>
      <c r="N383" t="s">
        <v>313</v>
      </c>
    </row>
    <row r="384" spans="1:14" hidden="1" x14ac:dyDescent="0.25">
      <c r="A384" t="s">
        <v>10287</v>
      </c>
      <c r="B384" t="s">
        <v>6129</v>
      </c>
      <c r="C384" t="s">
        <v>4764</v>
      </c>
      <c r="D384" t="s">
        <v>6131</v>
      </c>
      <c r="E384" s="28" t="s">
        <v>1023</v>
      </c>
      <c r="F384" t="s">
        <v>225</v>
      </c>
      <c r="G384" t="s">
        <v>15</v>
      </c>
      <c r="M384" s="28" t="s">
        <v>613</v>
      </c>
      <c r="N384" t="s">
        <v>313</v>
      </c>
    </row>
    <row r="385" spans="1:14" hidden="1" x14ac:dyDescent="0.25">
      <c r="A385" t="s">
        <v>10286</v>
      </c>
      <c r="B385" t="s">
        <v>6129</v>
      </c>
      <c r="C385" t="s">
        <v>2582</v>
      </c>
      <c r="D385" t="s">
        <v>6130</v>
      </c>
      <c r="E385" s="28" t="s">
        <v>896</v>
      </c>
      <c r="F385" t="s">
        <v>225</v>
      </c>
      <c r="G385" t="s">
        <v>15</v>
      </c>
      <c r="M385" s="28" t="s">
        <v>613</v>
      </c>
      <c r="N385" t="s">
        <v>313</v>
      </c>
    </row>
    <row r="386" spans="1:14" hidden="1" x14ac:dyDescent="0.25">
      <c r="A386" t="s">
        <v>8827</v>
      </c>
      <c r="B386" t="s">
        <v>3143</v>
      </c>
      <c r="C386" t="s">
        <v>3144</v>
      </c>
      <c r="D386" t="s">
        <v>3145</v>
      </c>
      <c r="E386" s="28" t="s">
        <v>890</v>
      </c>
      <c r="F386" t="s">
        <v>891</v>
      </c>
      <c r="G386" t="s">
        <v>88</v>
      </c>
      <c r="M386" s="28" t="s">
        <v>549</v>
      </c>
      <c r="N386" t="s">
        <v>313</v>
      </c>
    </row>
    <row r="387" spans="1:14" hidden="1" x14ac:dyDescent="0.25">
      <c r="A387" t="s">
        <v>8828</v>
      </c>
      <c r="B387" t="s">
        <v>3146</v>
      </c>
      <c r="C387" t="s">
        <v>3034</v>
      </c>
      <c r="D387" t="s">
        <v>3147</v>
      </c>
      <c r="E387" s="28" t="s">
        <v>890</v>
      </c>
      <c r="F387" t="s">
        <v>571</v>
      </c>
      <c r="G387" t="s">
        <v>88</v>
      </c>
      <c r="M387" s="28" t="s">
        <v>549</v>
      </c>
      <c r="N387" t="s">
        <v>313</v>
      </c>
    </row>
    <row r="388" spans="1:14" hidden="1" x14ac:dyDescent="0.25">
      <c r="A388" t="s">
        <v>8728</v>
      </c>
      <c r="B388" t="s">
        <v>2923</v>
      </c>
      <c r="C388" t="s">
        <v>2924</v>
      </c>
      <c r="D388" t="s">
        <v>2925</v>
      </c>
      <c r="E388" s="28" t="s">
        <v>890</v>
      </c>
      <c r="F388" t="s">
        <v>13197</v>
      </c>
      <c r="G388" t="s">
        <v>81</v>
      </c>
      <c r="M388" s="28" t="s">
        <v>530</v>
      </c>
      <c r="N388" t="s">
        <v>313</v>
      </c>
    </row>
    <row r="389" spans="1:14" hidden="1" x14ac:dyDescent="0.25">
      <c r="A389" t="s">
        <v>8543</v>
      </c>
      <c r="B389" t="s">
        <v>2470</v>
      </c>
      <c r="C389" t="s">
        <v>1179</v>
      </c>
      <c r="D389" t="s">
        <v>2471</v>
      </c>
      <c r="E389" s="28" t="s">
        <v>896</v>
      </c>
      <c r="F389" t="s">
        <v>891</v>
      </c>
      <c r="G389" t="s">
        <v>11</v>
      </c>
      <c r="M389" s="28" t="s">
        <v>413</v>
      </c>
      <c r="N389" t="s">
        <v>313</v>
      </c>
    </row>
    <row r="390" spans="1:14" hidden="1" x14ac:dyDescent="0.25">
      <c r="A390" t="s">
        <v>11695</v>
      </c>
      <c r="B390" t="s">
        <v>11696</v>
      </c>
      <c r="C390" t="s">
        <v>11697</v>
      </c>
      <c r="D390" t="s">
        <v>11698</v>
      </c>
      <c r="E390" s="28" t="s">
        <v>890</v>
      </c>
      <c r="F390" t="s">
        <v>13197</v>
      </c>
      <c r="G390" t="s">
        <v>81</v>
      </c>
      <c r="M390" s="28" t="s">
        <v>530</v>
      </c>
      <c r="N390" t="s">
        <v>313</v>
      </c>
    </row>
    <row r="391" spans="1:14" hidden="1" x14ac:dyDescent="0.25">
      <c r="A391" t="s">
        <v>12825</v>
      </c>
      <c r="B391" t="s">
        <v>12826</v>
      </c>
      <c r="C391" t="s">
        <v>2731</v>
      </c>
      <c r="D391" t="s">
        <v>12731</v>
      </c>
      <c r="E391" s="28" t="s">
        <v>1177</v>
      </c>
      <c r="F391" t="s">
        <v>516</v>
      </c>
      <c r="G391" t="s">
        <v>74</v>
      </c>
      <c r="M391" s="28" t="s">
        <v>507</v>
      </c>
      <c r="N391" t="s">
        <v>313</v>
      </c>
    </row>
    <row r="392" spans="1:14" hidden="1" x14ac:dyDescent="0.25">
      <c r="A392" t="s">
        <v>8055</v>
      </c>
      <c r="B392" t="s">
        <v>1251</v>
      </c>
      <c r="C392" t="s">
        <v>1224</v>
      </c>
      <c r="D392" t="s">
        <v>1252</v>
      </c>
      <c r="E392" s="28" t="s">
        <v>890</v>
      </c>
      <c r="F392" t="s">
        <v>315</v>
      </c>
      <c r="G392" t="s">
        <v>34</v>
      </c>
      <c r="M392" s="28" t="s">
        <v>12353</v>
      </c>
      <c r="N392" t="s">
        <v>313</v>
      </c>
    </row>
    <row r="393" spans="1:14" hidden="1" x14ac:dyDescent="0.25">
      <c r="A393" t="s">
        <v>10285</v>
      </c>
      <c r="B393" t="s">
        <v>6127</v>
      </c>
      <c r="C393" t="s">
        <v>2184</v>
      </c>
      <c r="D393" t="s">
        <v>6128</v>
      </c>
      <c r="E393" s="28" t="s">
        <v>890</v>
      </c>
      <c r="F393" t="s">
        <v>662</v>
      </c>
      <c r="G393" t="s">
        <v>15</v>
      </c>
      <c r="M393" s="28" t="s">
        <v>613</v>
      </c>
      <c r="N393" t="s">
        <v>313</v>
      </c>
    </row>
    <row r="394" spans="1:14" hidden="1" x14ac:dyDescent="0.25">
      <c r="A394" t="s">
        <v>10284</v>
      </c>
      <c r="B394" t="s">
        <v>6125</v>
      </c>
      <c r="C394" t="s">
        <v>1718</v>
      </c>
      <c r="D394" t="s">
        <v>6126</v>
      </c>
      <c r="E394" s="28" t="s">
        <v>896</v>
      </c>
      <c r="F394" t="s">
        <v>763</v>
      </c>
      <c r="G394" t="s">
        <v>15</v>
      </c>
      <c r="M394" s="28" t="s">
        <v>613</v>
      </c>
      <c r="N394" t="s">
        <v>313</v>
      </c>
    </row>
    <row r="395" spans="1:14" hidden="1" x14ac:dyDescent="0.25">
      <c r="A395" t="s">
        <v>11414</v>
      </c>
      <c r="B395" t="s">
        <v>11415</v>
      </c>
      <c r="C395" t="s">
        <v>11416</v>
      </c>
      <c r="D395" t="s">
        <v>13317</v>
      </c>
      <c r="E395" s="28" t="s">
        <v>890</v>
      </c>
      <c r="F395" t="s">
        <v>1106</v>
      </c>
      <c r="G395" t="s">
        <v>84</v>
      </c>
      <c r="M395" s="28" t="s">
        <v>14223</v>
      </c>
      <c r="N395" t="s">
        <v>313</v>
      </c>
    </row>
    <row r="396" spans="1:14" hidden="1" x14ac:dyDescent="0.25">
      <c r="A396" t="s">
        <v>11059</v>
      </c>
      <c r="B396" t="s">
        <v>11060</v>
      </c>
      <c r="C396" t="s">
        <v>2014</v>
      </c>
      <c r="D396" t="s">
        <v>11061</v>
      </c>
      <c r="E396" s="28" t="s">
        <v>890</v>
      </c>
      <c r="F396" t="s">
        <v>181</v>
      </c>
      <c r="G396" t="s">
        <v>84</v>
      </c>
      <c r="M396" s="28" t="s">
        <v>14223</v>
      </c>
      <c r="N396" t="s">
        <v>313</v>
      </c>
    </row>
    <row r="397" spans="1:14" hidden="1" x14ac:dyDescent="0.25">
      <c r="A397" t="s">
        <v>12816</v>
      </c>
      <c r="B397" t="s">
        <v>11621</v>
      </c>
      <c r="C397" t="s">
        <v>1105</v>
      </c>
      <c r="D397" t="s">
        <v>11622</v>
      </c>
      <c r="E397" s="28" t="s">
        <v>890</v>
      </c>
      <c r="F397" t="s">
        <v>2568</v>
      </c>
      <c r="G397" t="s">
        <v>11</v>
      </c>
      <c r="M397" s="28" t="s">
        <v>413</v>
      </c>
      <c r="N397" t="s">
        <v>313</v>
      </c>
    </row>
    <row r="398" spans="1:14" hidden="1" x14ac:dyDescent="0.25">
      <c r="A398" t="s">
        <v>10283</v>
      </c>
      <c r="B398" t="s">
        <v>6123</v>
      </c>
      <c r="C398" t="s">
        <v>4835</v>
      </c>
      <c r="D398" t="s">
        <v>6124</v>
      </c>
      <c r="E398" s="28" t="s">
        <v>890</v>
      </c>
      <c r="F398" t="s">
        <v>620</v>
      </c>
      <c r="G398" t="s">
        <v>15</v>
      </c>
      <c r="M398" s="28" t="s">
        <v>613</v>
      </c>
      <c r="N398" t="s">
        <v>313</v>
      </c>
    </row>
    <row r="399" spans="1:14" hidden="1" x14ac:dyDescent="0.25">
      <c r="A399" t="s">
        <v>11239</v>
      </c>
      <c r="B399" t="s">
        <v>11240</v>
      </c>
      <c r="C399" t="s">
        <v>11241</v>
      </c>
      <c r="D399" t="s">
        <v>11242</v>
      </c>
      <c r="E399" s="28" t="s">
        <v>890</v>
      </c>
      <c r="F399" t="s">
        <v>6584</v>
      </c>
      <c r="G399" t="s">
        <v>84</v>
      </c>
      <c r="M399" s="28" t="s">
        <v>14223</v>
      </c>
      <c r="N399" t="s">
        <v>313</v>
      </c>
    </row>
    <row r="400" spans="1:14" hidden="1" x14ac:dyDescent="0.25">
      <c r="A400" t="s">
        <v>8829</v>
      </c>
      <c r="B400" t="s">
        <v>3148</v>
      </c>
      <c r="C400" t="s">
        <v>3149</v>
      </c>
      <c r="D400" t="s">
        <v>3150</v>
      </c>
      <c r="E400" s="28" t="s">
        <v>890</v>
      </c>
      <c r="F400" t="s">
        <v>554</v>
      </c>
      <c r="G400" t="s">
        <v>88</v>
      </c>
      <c r="M400" s="28" t="s">
        <v>549</v>
      </c>
      <c r="N400" t="s">
        <v>313</v>
      </c>
    </row>
    <row r="401" spans="1:14" hidden="1" x14ac:dyDescent="0.25">
      <c r="A401" t="s">
        <v>11788</v>
      </c>
      <c r="B401" t="s">
        <v>3148</v>
      </c>
      <c r="C401" t="s">
        <v>1490</v>
      </c>
      <c r="D401" t="s">
        <v>3152</v>
      </c>
      <c r="E401" s="28" t="s">
        <v>1177</v>
      </c>
      <c r="F401" t="s">
        <v>891</v>
      </c>
      <c r="G401" t="s">
        <v>88</v>
      </c>
      <c r="M401" s="28" t="s">
        <v>549</v>
      </c>
      <c r="N401" t="s">
        <v>313</v>
      </c>
    </row>
    <row r="402" spans="1:14" hidden="1" x14ac:dyDescent="0.25">
      <c r="A402" t="s">
        <v>8830</v>
      </c>
      <c r="B402" t="s">
        <v>3148</v>
      </c>
      <c r="C402" t="s">
        <v>1172</v>
      </c>
      <c r="D402" t="s">
        <v>3151</v>
      </c>
      <c r="E402" s="28" t="s">
        <v>1177</v>
      </c>
      <c r="F402" t="s">
        <v>554</v>
      </c>
      <c r="G402" t="s">
        <v>88</v>
      </c>
      <c r="M402" s="28" t="s">
        <v>549</v>
      </c>
      <c r="N402" t="s">
        <v>313</v>
      </c>
    </row>
    <row r="403" spans="1:14" hidden="1" x14ac:dyDescent="0.25">
      <c r="A403" t="s">
        <v>8506</v>
      </c>
      <c r="B403" t="s">
        <v>2380</v>
      </c>
      <c r="C403" t="s">
        <v>2220</v>
      </c>
      <c r="D403" t="s">
        <v>2381</v>
      </c>
      <c r="E403" s="28" t="s">
        <v>890</v>
      </c>
      <c r="F403" t="s">
        <v>408</v>
      </c>
      <c r="G403" t="s">
        <v>65</v>
      </c>
      <c r="M403" s="28" t="s">
        <v>14209</v>
      </c>
    </row>
    <row r="404" spans="1:14" hidden="1" x14ac:dyDescent="0.25">
      <c r="A404" t="s">
        <v>12490</v>
      </c>
      <c r="B404" t="s">
        <v>12491</v>
      </c>
      <c r="C404" t="s">
        <v>12492</v>
      </c>
      <c r="D404" t="s">
        <v>12493</v>
      </c>
      <c r="E404" s="28" t="s">
        <v>896</v>
      </c>
      <c r="F404" t="s">
        <v>2951</v>
      </c>
      <c r="G404" t="s">
        <v>81</v>
      </c>
      <c r="M404" s="28" t="s">
        <v>530</v>
      </c>
      <c r="N404" t="s">
        <v>313</v>
      </c>
    </row>
    <row r="405" spans="1:14" hidden="1" x14ac:dyDescent="0.25">
      <c r="A405" t="s">
        <v>10282</v>
      </c>
      <c r="B405" t="s">
        <v>6120</v>
      </c>
      <c r="C405" t="s">
        <v>4440</v>
      </c>
      <c r="D405" t="s">
        <v>6122</v>
      </c>
      <c r="E405" s="28" t="s">
        <v>890</v>
      </c>
      <c r="F405" t="s">
        <v>201</v>
      </c>
      <c r="G405" t="s">
        <v>15</v>
      </c>
      <c r="M405" s="28" t="s">
        <v>613</v>
      </c>
      <c r="N405" t="s">
        <v>313</v>
      </c>
    </row>
    <row r="406" spans="1:14" hidden="1" x14ac:dyDescent="0.25">
      <c r="A406" t="s">
        <v>10281</v>
      </c>
      <c r="B406" t="s">
        <v>6120</v>
      </c>
      <c r="C406" t="s">
        <v>4640</v>
      </c>
      <c r="D406" t="s">
        <v>6121</v>
      </c>
      <c r="E406" s="28" t="s">
        <v>896</v>
      </c>
      <c r="F406" t="s">
        <v>201</v>
      </c>
      <c r="G406" t="s">
        <v>15</v>
      </c>
      <c r="M406" s="28" t="s">
        <v>613</v>
      </c>
      <c r="N406" t="s">
        <v>313</v>
      </c>
    </row>
    <row r="407" spans="1:14" hidden="1" x14ac:dyDescent="0.25">
      <c r="A407" t="s">
        <v>10451</v>
      </c>
      <c r="B407" t="s">
        <v>6492</v>
      </c>
      <c r="C407" t="s">
        <v>6493</v>
      </c>
      <c r="D407" t="s">
        <v>6494</v>
      </c>
      <c r="E407" s="28" t="s">
        <v>896</v>
      </c>
      <c r="F407" t="s">
        <v>891</v>
      </c>
      <c r="G407" t="s">
        <v>125</v>
      </c>
      <c r="M407" s="28" t="s">
        <v>6491</v>
      </c>
      <c r="N407" t="s">
        <v>313</v>
      </c>
    </row>
    <row r="408" spans="1:14" hidden="1" x14ac:dyDescent="0.25">
      <c r="A408" t="s">
        <v>8145</v>
      </c>
      <c r="B408" t="s">
        <v>1485</v>
      </c>
      <c r="C408" t="s">
        <v>1302</v>
      </c>
      <c r="D408" t="s">
        <v>1486</v>
      </c>
      <c r="E408" s="28" t="s">
        <v>890</v>
      </c>
      <c r="F408" t="s">
        <v>2427</v>
      </c>
      <c r="G408" t="s">
        <v>38</v>
      </c>
      <c r="M408" s="28"/>
    </row>
    <row r="409" spans="1:14" hidden="1" x14ac:dyDescent="0.25">
      <c r="A409" t="s">
        <v>8735</v>
      </c>
      <c r="B409" t="s">
        <v>2926</v>
      </c>
      <c r="C409" t="s">
        <v>1552</v>
      </c>
      <c r="D409" t="s">
        <v>2938</v>
      </c>
      <c r="E409" s="28" t="s">
        <v>890</v>
      </c>
      <c r="F409" t="s">
        <v>13197</v>
      </c>
      <c r="G409" t="s">
        <v>81</v>
      </c>
      <c r="M409" s="28" t="s">
        <v>530</v>
      </c>
      <c r="N409" t="s">
        <v>313</v>
      </c>
    </row>
    <row r="410" spans="1:14" hidden="1" x14ac:dyDescent="0.25">
      <c r="A410" t="s">
        <v>8729</v>
      </c>
      <c r="B410" t="s">
        <v>2926</v>
      </c>
      <c r="C410" t="s">
        <v>1440</v>
      </c>
      <c r="D410" t="s">
        <v>2927</v>
      </c>
      <c r="E410" s="28" t="s">
        <v>930</v>
      </c>
      <c r="F410" t="s">
        <v>13197</v>
      </c>
      <c r="G410" t="s">
        <v>81</v>
      </c>
      <c r="M410" s="28" t="s">
        <v>530</v>
      </c>
      <c r="N410" t="s">
        <v>313</v>
      </c>
    </row>
    <row r="411" spans="1:14" hidden="1" x14ac:dyDescent="0.25">
      <c r="A411" t="s">
        <v>10280</v>
      </c>
      <c r="B411" t="s">
        <v>6118</v>
      </c>
      <c r="C411" t="s">
        <v>4553</v>
      </c>
      <c r="D411" t="s">
        <v>6119</v>
      </c>
      <c r="E411" s="28" t="s">
        <v>890</v>
      </c>
      <c r="F411" t="s">
        <v>4635</v>
      </c>
      <c r="G411" t="s">
        <v>15</v>
      </c>
      <c r="M411" s="28" t="s">
        <v>613</v>
      </c>
      <c r="N411" t="s">
        <v>313</v>
      </c>
    </row>
    <row r="412" spans="1:14" hidden="1" x14ac:dyDescent="0.25">
      <c r="A412" t="s">
        <v>10279</v>
      </c>
      <c r="B412" t="s">
        <v>6116</v>
      </c>
      <c r="C412" t="s">
        <v>1854</v>
      </c>
      <c r="D412" t="s">
        <v>6117</v>
      </c>
      <c r="E412" s="28" t="s">
        <v>890</v>
      </c>
      <c r="F412" t="s">
        <v>625</v>
      </c>
      <c r="G412" t="s">
        <v>15</v>
      </c>
      <c r="M412" s="28" t="s">
        <v>613</v>
      </c>
      <c r="N412" t="s">
        <v>313</v>
      </c>
    </row>
    <row r="413" spans="1:14" hidden="1" x14ac:dyDescent="0.25">
      <c r="A413" t="s">
        <v>13625</v>
      </c>
      <c r="B413" t="s">
        <v>13626</v>
      </c>
      <c r="C413" t="s">
        <v>1816</v>
      </c>
      <c r="D413" t="s">
        <v>13627</v>
      </c>
      <c r="E413" s="28" t="s">
        <v>896</v>
      </c>
      <c r="F413" t="s">
        <v>4590</v>
      </c>
      <c r="G413" t="s">
        <v>15</v>
      </c>
      <c r="M413" s="28" t="s">
        <v>613</v>
      </c>
      <c r="N413" t="s">
        <v>313</v>
      </c>
    </row>
    <row r="414" spans="1:14" hidden="1" x14ac:dyDescent="0.25">
      <c r="A414" t="s">
        <v>8747</v>
      </c>
      <c r="B414" t="s">
        <v>2967</v>
      </c>
      <c r="C414" t="s">
        <v>2968</v>
      </c>
      <c r="D414" t="s">
        <v>2969</v>
      </c>
      <c r="E414" s="28" t="s">
        <v>896</v>
      </c>
      <c r="F414" t="s">
        <v>170</v>
      </c>
      <c r="G414" t="s">
        <v>86</v>
      </c>
      <c r="M414" s="28" t="s">
        <v>546</v>
      </c>
      <c r="N414" t="s">
        <v>313</v>
      </c>
    </row>
    <row r="415" spans="1:14" hidden="1" x14ac:dyDescent="0.25">
      <c r="A415" t="s">
        <v>10277</v>
      </c>
      <c r="B415" t="s">
        <v>6112</v>
      </c>
      <c r="C415" t="s">
        <v>2184</v>
      </c>
      <c r="D415" t="s">
        <v>6113</v>
      </c>
      <c r="E415" s="28" t="s">
        <v>890</v>
      </c>
      <c r="F415" t="s">
        <v>208</v>
      </c>
      <c r="G415" t="s">
        <v>15</v>
      </c>
      <c r="M415" s="28" t="s">
        <v>613</v>
      </c>
      <c r="N415" t="s">
        <v>313</v>
      </c>
    </row>
    <row r="416" spans="1:14" hidden="1" x14ac:dyDescent="0.25">
      <c r="A416" t="s">
        <v>10278</v>
      </c>
      <c r="B416" t="s">
        <v>6112</v>
      </c>
      <c r="C416" t="s">
        <v>6114</v>
      </c>
      <c r="D416" t="s">
        <v>6115</v>
      </c>
      <c r="E416" s="28" t="s">
        <v>1023</v>
      </c>
      <c r="F416" t="s">
        <v>208</v>
      </c>
      <c r="G416" t="s">
        <v>15</v>
      </c>
      <c r="M416" s="28" t="s">
        <v>613</v>
      </c>
      <c r="N416" t="s">
        <v>313</v>
      </c>
    </row>
    <row r="417" spans="1:14" hidden="1" x14ac:dyDescent="0.25">
      <c r="A417" t="s">
        <v>14107</v>
      </c>
      <c r="B417" t="s">
        <v>14108</v>
      </c>
      <c r="C417" t="s">
        <v>14109</v>
      </c>
      <c r="D417" t="s">
        <v>14110</v>
      </c>
      <c r="E417" s="28" t="s">
        <v>890</v>
      </c>
      <c r="F417" t="s">
        <v>869</v>
      </c>
      <c r="G417" t="s">
        <v>157</v>
      </c>
      <c r="M417" s="28" t="s">
        <v>840</v>
      </c>
      <c r="N417" t="s">
        <v>382</v>
      </c>
    </row>
    <row r="418" spans="1:14" hidden="1" x14ac:dyDescent="0.25">
      <c r="A418" t="s">
        <v>14248</v>
      </c>
      <c r="B418" t="s">
        <v>14249</v>
      </c>
      <c r="C418" t="s">
        <v>11699</v>
      </c>
      <c r="D418" t="s">
        <v>11700</v>
      </c>
      <c r="E418" s="28" t="s">
        <v>1177</v>
      </c>
      <c r="F418" t="s">
        <v>10904</v>
      </c>
      <c r="G418" t="s">
        <v>81</v>
      </c>
      <c r="M418" s="28" t="s">
        <v>530</v>
      </c>
      <c r="N418" t="s">
        <v>313</v>
      </c>
    </row>
    <row r="419" spans="1:14" hidden="1" x14ac:dyDescent="0.25">
      <c r="A419" t="s">
        <v>14250</v>
      </c>
      <c r="B419" t="s">
        <v>14249</v>
      </c>
      <c r="C419" t="s">
        <v>1477</v>
      </c>
      <c r="D419" t="s">
        <v>11701</v>
      </c>
      <c r="E419" s="28" t="s">
        <v>890</v>
      </c>
      <c r="F419" t="s">
        <v>10904</v>
      </c>
      <c r="G419" t="s">
        <v>81</v>
      </c>
      <c r="M419" s="28" t="s">
        <v>530</v>
      </c>
      <c r="N419" t="s">
        <v>313</v>
      </c>
    </row>
    <row r="420" spans="1:14" hidden="1" x14ac:dyDescent="0.25">
      <c r="A420" t="s">
        <v>10276</v>
      </c>
      <c r="B420" t="s">
        <v>6110</v>
      </c>
      <c r="C420" t="s">
        <v>2184</v>
      </c>
      <c r="D420" t="s">
        <v>6111</v>
      </c>
      <c r="E420" s="28" t="s">
        <v>890</v>
      </c>
      <c r="F420" t="s">
        <v>5107</v>
      </c>
      <c r="G420" t="s">
        <v>15</v>
      </c>
      <c r="M420" s="28" t="s">
        <v>613</v>
      </c>
      <c r="N420" t="s">
        <v>313</v>
      </c>
    </row>
    <row r="421" spans="1:14" hidden="1" x14ac:dyDescent="0.25">
      <c r="A421" t="s">
        <v>10275</v>
      </c>
      <c r="B421" t="s">
        <v>6108</v>
      </c>
      <c r="C421" t="s">
        <v>4549</v>
      </c>
      <c r="D421" t="s">
        <v>6109</v>
      </c>
      <c r="E421" s="28" t="s">
        <v>896</v>
      </c>
      <c r="F421" t="s">
        <v>644</v>
      </c>
      <c r="G421" t="s">
        <v>15</v>
      </c>
      <c r="M421" s="28" t="s">
        <v>613</v>
      </c>
      <c r="N421" t="s">
        <v>313</v>
      </c>
    </row>
    <row r="422" spans="1:14" hidden="1" x14ac:dyDescent="0.25">
      <c r="A422" t="s">
        <v>8181</v>
      </c>
      <c r="B422" t="s">
        <v>1573</v>
      </c>
      <c r="C422" t="s">
        <v>1574</v>
      </c>
      <c r="D422" t="s">
        <v>1575</v>
      </c>
      <c r="E422" s="28" t="s">
        <v>896</v>
      </c>
      <c r="F422" t="s">
        <v>340</v>
      </c>
      <c r="G422" t="s">
        <v>38</v>
      </c>
      <c r="M422" s="28"/>
    </row>
    <row r="423" spans="1:14" hidden="1" x14ac:dyDescent="0.25">
      <c r="A423" t="s">
        <v>10274</v>
      </c>
      <c r="B423" t="s">
        <v>6105</v>
      </c>
      <c r="C423" t="s">
        <v>6106</v>
      </c>
      <c r="D423" t="s">
        <v>6107</v>
      </c>
      <c r="E423" s="28" t="s">
        <v>896</v>
      </c>
      <c r="F423" t="s">
        <v>4555</v>
      </c>
      <c r="G423" t="s">
        <v>15</v>
      </c>
      <c r="M423" s="28" t="s">
        <v>613</v>
      </c>
      <c r="N423" t="s">
        <v>313</v>
      </c>
    </row>
    <row r="424" spans="1:14" hidden="1" x14ac:dyDescent="0.25">
      <c r="A424" t="s">
        <v>8734</v>
      </c>
      <c r="B424" t="s">
        <v>2935</v>
      </c>
      <c r="C424" t="s">
        <v>2936</v>
      </c>
      <c r="D424" t="s">
        <v>2937</v>
      </c>
      <c r="E424" s="28" t="s">
        <v>890</v>
      </c>
      <c r="F424" t="s">
        <v>13197</v>
      </c>
      <c r="G424" t="s">
        <v>81</v>
      </c>
      <c r="M424" s="28" t="s">
        <v>530</v>
      </c>
      <c r="N424" t="s">
        <v>313</v>
      </c>
    </row>
    <row r="425" spans="1:14" hidden="1" x14ac:dyDescent="0.25">
      <c r="A425" t="s">
        <v>10417</v>
      </c>
      <c r="B425" t="s">
        <v>6420</v>
      </c>
      <c r="C425" t="s">
        <v>1070</v>
      </c>
      <c r="D425" t="s">
        <v>6421</v>
      </c>
      <c r="E425" s="28" t="s">
        <v>896</v>
      </c>
      <c r="F425" t="s">
        <v>796</v>
      </c>
      <c r="G425" t="s">
        <v>21</v>
      </c>
      <c r="M425" s="28" t="s">
        <v>791</v>
      </c>
      <c r="N425" t="s">
        <v>313</v>
      </c>
    </row>
    <row r="426" spans="1:14" hidden="1" x14ac:dyDescent="0.25">
      <c r="A426" t="s">
        <v>10439</v>
      </c>
      <c r="B426" t="s">
        <v>6420</v>
      </c>
      <c r="C426" t="s">
        <v>1264</v>
      </c>
      <c r="D426" t="s">
        <v>6466</v>
      </c>
      <c r="E426" s="28" t="s">
        <v>890</v>
      </c>
      <c r="F426" t="s">
        <v>796</v>
      </c>
      <c r="G426" t="s">
        <v>21</v>
      </c>
      <c r="M426" s="28" t="s">
        <v>791</v>
      </c>
      <c r="N426" t="s">
        <v>313</v>
      </c>
    </row>
    <row r="427" spans="1:14" hidden="1" x14ac:dyDescent="0.25">
      <c r="A427" t="s">
        <v>10437</v>
      </c>
      <c r="B427" t="s">
        <v>6420</v>
      </c>
      <c r="C427" t="s">
        <v>6390</v>
      </c>
      <c r="D427" t="s">
        <v>6463</v>
      </c>
      <c r="E427" s="28" t="s">
        <v>890</v>
      </c>
      <c r="F427" t="s">
        <v>4648</v>
      </c>
      <c r="G427" t="s">
        <v>21</v>
      </c>
      <c r="M427" s="28" t="s">
        <v>791</v>
      </c>
      <c r="N427" t="s">
        <v>313</v>
      </c>
    </row>
    <row r="428" spans="1:14" hidden="1" x14ac:dyDescent="0.25">
      <c r="A428" t="s">
        <v>10444</v>
      </c>
      <c r="B428" t="s">
        <v>6420</v>
      </c>
      <c r="C428" t="s">
        <v>1168</v>
      </c>
      <c r="D428" t="s">
        <v>6476</v>
      </c>
      <c r="E428" s="28" t="s">
        <v>1023</v>
      </c>
      <c r="F428" t="s">
        <v>796</v>
      </c>
      <c r="G428" t="s">
        <v>21</v>
      </c>
      <c r="M428" s="28" t="s">
        <v>791</v>
      </c>
      <c r="N428" t="s">
        <v>313</v>
      </c>
    </row>
    <row r="429" spans="1:14" hidden="1" x14ac:dyDescent="0.25">
      <c r="A429" t="s">
        <v>10438</v>
      </c>
      <c r="B429" t="s">
        <v>6420</v>
      </c>
      <c r="C429" t="s">
        <v>6464</v>
      </c>
      <c r="D429" t="s">
        <v>6465</v>
      </c>
      <c r="E429" s="28" t="s">
        <v>930</v>
      </c>
      <c r="F429" t="s">
        <v>796</v>
      </c>
      <c r="G429" t="s">
        <v>21</v>
      </c>
      <c r="M429" s="28" t="s">
        <v>791</v>
      </c>
      <c r="N429" t="s">
        <v>313</v>
      </c>
    </row>
    <row r="430" spans="1:14" hidden="1" x14ac:dyDescent="0.25">
      <c r="A430" t="s">
        <v>14445</v>
      </c>
      <c r="B430" t="s">
        <v>14446</v>
      </c>
      <c r="C430" t="s">
        <v>1514</v>
      </c>
      <c r="D430" t="s">
        <v>14447</v>
      </c>
      <c r="E430" s="28" t="s">
        <v>890</v>
      </c>
      <c r="F430" t="s">
        <v>328</v>
      </c>
      <c r="G430" t="s">
        <v>38</v>
      </c>
      <c r="M430" s="28"/>
    </row>
    <row r="431" spans="1:14" hidden="1" x14ac:dyDescent="0.25">
      <c r="A431" t="s">
        <v>10643</v>
      </c>
      <c r="B431" t="s">
        <v>6950</v>
      </c>
      <c r="C431" t="s">
        <v>6951</v>
      </c>
      <c r="D431" t="s">
        <v>6952</v>
      </c>
      <c r="E431" s="28" t="s">
        <v>890</v>
      </c>
      <c r="F431" t="s">
        <v>6901</v>
      </c>
      <c r="G431" t="s">
        <v>6896</v>
      </c>
      <c r="M431" s="28" t="s">
        <v>6897</v>
      </c>
      <c r="N431" t="s">
        <v>279</v>
      </c>
    </row>
    <row r="432" spans="1:14" hidden="1" x14ac:dyDescent="0.25">
      <c r="A432" t="s">
        <v>14251</v>
      </c>
      <c r="B432" t="s">
        <v>6950</v>
      </c>
      <c r="C432" t="s">
        <v>2826</v>
      </c>
      <c r="D432" t="s">
        <v>14252</v>
      </c>
      <c r="E432" s="28" t="s">
        <v>1023</v>
      </c>
      <c r="F432" t="s">
        <v>891</v>
      </c>
      <c r="G432" t="s">
        <v>11</v>
      </c>
      <c r="M432" s="28" t="s">
        <v>413</v>
      </c>
      <c r="N432" t="s">
        <v>313</v>
      </c>
    </row>
    <row r="433" spans="1:14" hidden="1" x14ac:dyDescent="0.25">
      <c r="A433" t="s">
        <v>8533</v>
      </c>
      <c r="B433" t="s">
        <v>2444</v>
      </c>
      <c r="C433" t="s">
        <v>1119</v>
      </c>
      <c r="D433" t="s">
        <v>2445</v>
      </c>
      <c r="E433" s="28" t="s">
        <v>896</v>
      </c>
      <c r="F433" t="s">
        <v>105</v>
      </c>
      <c r="G433" t="s">
        <v>11</v>
      </c>
      <c r="M433" s="28" t="s">
        <v>413</v>
      </c>
      <c r="N433" t="s">
        <v>313</v>
      </c>
    </row>
    <row r="434" spans="1:14" hidden="1" x14ac:dyDescent="0.25">
      <c r="A434" t="s">
        <v>8658</v>
      </c>
      <c r="B434" t="s">
        <v>2755</v>
      </c>
      <c r="C434" t="s">
        <v>2648</v>
      </c>
      <c r="D434" t="s">
        <v>2756</v>
      </c>
      <c r="E434" s="28" t="s">
        <v>896</v>
      </c>
      <c r="F434" t="s">
        <v>158</v>
      </c>
      <c r="G434" t="s">
        <v>74</v>
      </c>
      <c r="M434" s="28" t="s">
        <v>507</v>
      </c>
      <c r="N434" t="s">
        <v>313</v>
      </c>
    </row>
    <row r="435" spans="1:14" hidden="1" x14ac:dyDescent="0.25">
      <c r="A435" t="s">
        <v>10418</v>
      </c>
      <c r="B435" t="s">
        <v>6422</v>
      </c>
      <c r="C435" t="s">
        <v>4764</v>
      </c>
      <c r="D435" t="s">
        <v>6423</v>
      </c>
      <c r="E435" s="28" t="s">
        <v>890</v>
      </c>
      <c r="F435" t="s">
        <v>789</v>
      </c>
      <c r="G435" t="s">
        <v>21</v>
      </c>
      <c r="M435" s="28" t="s">
        <v>791</v>
      </c>
      <c r="N435" t="s">
        <v>313</v>
      </c>
    </row>
    <row r="436" spans="1:14" hidden="1" x14ac:dyDescent="0.25">
      <c r="A436" t="s">
        <v>10419</v>
      </c>
      <c r="B436" t="s">
        <v>6424</v>
      </c>
      <c r="C436" t="s">
        <v>6064</v>
      </c>
      <c r="D436" t="s">
        <v>6425</v>
      </c>
      <c r="E436" s="28" t="s">
        <v>890</v>
      </c>
      <c r="F436" t="s">
        <v>789</v>
      </c>
      <c r="G436" t="s">
        <v>21</v>
      </c>
      <c r="M436" s="28" t="s">
        <v>791</v>
      </c>
      <c r="N436" t="s">
        <v>313</v>
      </c>
    </row>
    <row r="437" spans="1:14" hidden="1" x14ac:dyDescent="0.25">
      <c r="A437" t="s">
        <v>8208</v>
      </c>
      <c r="B437" t="s">
        <v>1636</v>
      </c>
      <c r="C437" t="s">
        <v>1616</v>
      </c>
      <c r="D437" t="s">
        <v>1637</v>
      </c>
      <c r="E437" s="28" t="s">
        <v>890</v>
      </c>
      <c r="F437" t="s">
        <v>891</v>
      </c>
      <c r="G437" t="s">
        <v>43</v>
      </c>
      <c r="M437" s="28" t="s">
        <v>14205</v>
      </c>
    </row>
    <row r="438" spans="1:14" hidden="1" x14ac:dyDescent="0.25">
      <c r="A438" t="s">
        <v>10273</v>
      </c>
      <c r="B438" t="s">
        <v>6103</v>
      </c>
      <c r="C438" t="s">
        <v>4603</v>
      </c>
      <c r="D438" t="s">
        <v>6104</v>
      </c>
      <c r="E438" s="28" t="s">
        <v>890</v>
      </c>
      <c r="F438" t="s">
        <v>231</v>
      </c>
      <c r="G438" t="s">
        <v>15</v>
      </c>
      <c r="M438" s="28" t="s">
        <v>613</v>
      </c>
      <c r="N438" t="s">
        <v>313</v>
      </c>
    </row>
    <row r="439" spans="1:14" hidden="1" x14ac:dyDescent="0.25">
      <c r="A439" t="s">
        <v>10272</v>
      </c>
      <c r="B439" t="s">
        <v>6101</v>
      </c>
      <c r="C439" t="s">
        <v>4553</v>
      </c>
      <c r="D439" t="s">
        <v>6102</v>
      </c>
      <c r="E439" s="28" t="s">
        <v>930</v>
      </c>
      <c r="F439" t="s">
        <v>620</v>
      </c>
      <c r="G439" t="s">
        <v>15</v>
      </c>
      <c r="M439" s="28" t="s">
        <v>613</v>
      </c>
      <c r="N439" t="s">
        <v>313</v>
      </c>
    </row>
    <row r="440" spans="1:14" hidden="1" x14ac:dyDescent="0.25">
      <c r="A440" t="s">
        <v>14253</v>
      </c>
      <c r="B440" t="s">
        <v>14254</v>
      </c>
      <c r="C440" t="s">
        <v>11702</v>
      </c>
      <c r="D440" t="s">
        <v>11703</v>
      </c>
      <c r="E440" s="28" t="s">
        <v>1177</v>
      </c>
      <c r="F440" t="s">
        <v>14215</v>
      </c>
      <c r="G440" t="s">
        <v>81</v>
      </c>
      <c r="M440" s="28" t="s">
        <v>530</v>
      </c>
      <c r="N440" t="s">
        <v>313</v>
      </c>
    </row>
    <row r="441" spans="1:14" hidden="1" x14ac:dyDescent="0.25">
      <c r="A441" t="s">
        <v>10271</v>
      </c>
      <c r="B441" t="s">
        <v>6099</v>
      </c>
      <c r="C441" t="s">
        <v>2184</v>
      </c>
      <c r="D441" t="s">
        <v>6100</v>
      </c>
      <c r="E441" s="28" t="s">
        <v>896</v>
      </c>
      <c r="F441" t="s">
        <v>195</v>
      </c>
      <c r="G441" t="s">
        <v>15</v>
      </c>
      <c r="M441" s="28" t="s">
        <v>613</v>
      </c>
      <c r="N441" t="s">
        <v>313</v>
      </c>
    </row>
    <row r="442" spans="1:14" hidden="1" x14ac:dyDescent="0.25">
      <c r="A442" t="s">
        <v>10270</v>
      </c>
      <c r="B442" t="s">
        <v>6097</v>
      </c>
      <c r="C442" t="s">
        <v>2619</v>
      </c>
      <c r="D442" t="s">
        <v>6098</v>
      </c>
      <c r="E442" s="28" t="s">
        <v>890</v>
      </c>
      <c r="F442" t="s">
        <v>708</v>
      </c>
      <c r="G442" t="s">
        <v>15</v>
      </c>
      <c r="M442" s="28" t="s">
        <v>613</v>
      </c>
      <c r="N442" t="s">
        <v>313</v>
      </c>
    </row>
    <row r="443" spans="1:14" hidden="1" x14ac:dyDescent="0.25">
      <c r="A443" t="s">
        <v>12753</v>
      </c>
      <c r="B443" t="s">
        <v>12754</v>
      </c>
      <c r="C443" t="s">
        <v>4600</v>
      </c>
      <c r="D443" t="s">
        <v>12755</v>
      </c>
      <c r="E443" s="28"/>
      <c r="F443" t="s">
        <v>702</v>
      </c>
      <c r="G443" t="s">
        <v>15</v>
      </c>
      <c r="M443" s="28" t="s">
        <v>613</v>
      </c>
      <c r="N443" t="s">
        <v>313</v>
      </c>
    </row>
    <row r="444" spans="1:14" hidden="1" x14ac:dyDescent="0.25">
      <c r="A444" t="s">
        <v>10573</v>
      </c>
      <c r="B444" t="s">
        <v>6802</v>
      </c>
      <c r="C444" t="s">
        <v>932</v>
      </c>
      <c r="D444" t="s">
        <v>6803</v>
      </c>
      <c r="E444" s="28" t="s">
        <v>890</v>
      </c>
      <c r="F444" t="s">
        <v>806</v>
      </c>
      <c r="G444" t="s">
        <v>137</v>
      </c>
      <c r="M444" s="28" t="s">
        <v>805</v>
      </c>
      <c r="N444" t="s">
        <v>313</v>
      </c>
    </row>
    <row r="445" spans="1:14" hidden="1" x14ac:dyDescent="0.25">
      <c r="A445" t="s">
        <v>12069</v>
      </c>
      <c r="B445" t="s">
        <v>7506</v>
      </c>
      <c r="C445" t="s">
        <v>7505</v>
      </c>
      <c r="D445" t="s">
        <v>7507</v>
      </c>
      <c r="E445" s="28" t="s">
        <v>1023</v>
      </c>
      <c r="F445" t="s">
        <v>881</v>
      </c>
      <c r="G445" t="s">
        <v>157</v>
      </c>
      <c r="M445" s="28" t="s">
        <v>840</v>
      </c>
      <c r="N445" t="s">
        <v>382</v>
      </c>
    </row>
    <row r="446" spans="1:14" hidden="1" x14ac:dyDescent="0.25">
      <c r="A446" t="s">
        <v>14111</v>
      </c>
      <c r="B446" t="s">
        <v>14112</v>
      </c>
      <c r="C446" t="s">
        <v>4730</v>
      </c>
      <c r="D446" t="s">
        <v>14113</v>
      </c>
      <c r="E446" s="28" t="s">
        <v>1177</v>
      </c>
      <c r="F446" t="s">
        <v>225</v>
      </c>
      <c r="G446" t="s">
        <v>15</v>
      </c>
      <c r="M446" s="28" t="s">
        <v>613</v>
      </c>
      <c r="N446" t="s">
        <v>313</v>
      </c>
    </row>
    <row r="447" spans="1:14" hidden="1" x14ac:dyDescent="0.25">
      <c r="A447" t="s">
        <v>8154</v>
      </c>
      <c r="B447" t="s">
        <v>1301</v>
      </c>
      <c r="C447" t="s">
        <v>1160</v>
      </c>
      <c r="D447" t="s">
        <v>1511</v>
      </c>
      <c r="E447" s="28" t="s">
        <v>930</v>
      </c>
      <c r="F447" t="s">
        <v>324</v>
      </c>
      <c r="G447" t="s">
        <v>38</v>
      </c>
      <c r="M447" s="28"/>
    </row>
    <row r="448" spans="1:14" hidden="1" x14ac:dyDescent="0.25">
      <c r="A448" t="s">
        <v>8075</v>
      </c>
      <c r="B448" t="s">
        <v>1301</v>
      </c>
      <c r="C448" t="s">
        <v>1302</v>
      </c>
      <c r="D448" t="s">
        <v>1303</v>
      </c>
      <c r="E448" s="28" t="s">
        <v>890</v>
      </c>
      <c r="F448" t="s">
        <v>324</v>
      </c>
      <c r="G448" t="s">
        <v>38</v>
      </c>
      <c r="M448" s="28"/>
    </row>
    <row r="449" spans="1:14" hidden="1" x14ac:dyDescent="0.25">
      <c r="A449" t="s">
        <v>8076</v>
      </c>
      <c r="B449" t="s">
        <v>1301</v>
      </c>
      <c r="C449" t="s">
        <v>1304</v>
      </c>
      <c r="D449" t="s">
        <v>1305</v>
      </c>
      <c r="E449" s="28" t="s">
        <v>890</v>
      </c>
      <c r="F449" t="s">
        <v>324</v>
      </c>
      <c r="G449" t="s">
        <v>38</v>
      </c>
      <c r="M449" s="28"/>
    </row>
    <row r="450" spans="1:14" hidden="1" x14ac:dyDescent="0.25">
      <c r="A450" t="s">
        <v>8195</v>
      </c>
      <c r="B450" t="s">
        <v>1306</v>
      </c>
      <c r="C450" t="s">
        <v>1269</v>
      </c>
      <c r="D450" t="s">
        <v>1607</v>
      </c>
      <c r="E450" s="28" t="s">
        <v>890</v>
      </c>
      <c r="F450" t="s">
        <v>340</v>
      </c>
      <c r="G450" t="s">
        <v>38</v>
      </c>
      <c r="M450" s="28"/>
    </row>
    <row r="451" spans="1:14" hidden="1" x14ac:dyDescent="0.25">
      <c r="A451" t="s">
        <v>8077</v>
      </c>
      <c r="B451" t="s">
        <v>1306</v>
      </c>
      <c r="C451" t="s">
        <v>1156</v>
      </c>
      <c r="D451" t="s">
        <v>1307</v>
      </c>
      <c r="E451" s="28" t="s">
        <v>896</v>
      </c>
      <c r="F451" t="s">
        <v>340</v>
      </c>
      <c r="G451" t="s">
        <v>38</v>
      </c>
      <c r="M451" s="28"/>
    </row>
    <row r="452" spans="1:14" hidden="1" x14ac:dyDescent="0.25">
      <c r="A452" t="s">
        <v>8831</v>
      </c>
      <c r="B452" t="s">
        <v>3153</v>
      </c>
      <c r="C452" t="s">
        <v>1266</v>
      </c>
      <c r="D452" t="s">
        <v>3154</v>
      </c>
      <c r="E452" s="28" t="s">
        <v>890</v>
      </c>
      <c r="F452" t="s">
        <v>891</v>
      </c>
      <c r="G452" t="s">
        <v>88</v>
      </c>
      <c r="M452" s="28" t="s">
        <v>549</v>
      </c>
      <c r="N452" t="s">
        <v>313</v>
      </c>
    </row>
    <row r="453" spans="1:14" hidden="1" x14ac:dyDescent="0.25">
      <c r="A453" t="s">
        <v>11798</v>
      </c>
      <c r="B453" t="s">
        <v>11799</v>
      </c>
      <c r="C453" t="s">
        <v>3770</v>
      </c>
      <c r="D453" t="s">
        <v>11800</v>
      </c>
      <c r="E453" s="28" t="s">
        <v>890</v>
      </c>
      <c r="F453" t="s">
        <v>577</v>
      </c>
      <c r="G453" t="s">
        <v>88</v>
      </c>
      <c r="M453" s="28" t="s">
        <v>549</v>
      </c>
      <c r="N453" t="s">
        <v>313</v>
      </c>
    </row>
    <row r="454" spans="1:14" hidden="1" x14ac:dyDescent="0.25">
      <c r="A454" t="s">
        <v>12090</v>
      </c>
      <c r="B454" t="s">
        <v>12091</v>
      </c>
      <c r="C454" t="s">
        <v>1161</v>
      </c>
      <c r="D454" t="s">
        <v>12092</v>
      </c>
      <c r="E454" s="28" t="s">
        <v>896</v>
      </c>
      <c r="F454" t="s">
        <v>415</v>
      </c>
      <c r="G454" t="s">
        <v>162</v>
      </c>
      <c r="M454" s="28" t="s">
        <v>7517</v>
      </c>
      <c r="N454" t="s">
        <v>313</v>
      </c>
    </row>
    <row r="455" spans="1:14" hidden="1" x14ac:dyDescent="0.25">
      <c r="A455" t="s">
        <v>8517</v>
      </c>
      <c r="B455" t="s">
        <v>2406</v>
      </c>
      <c r="C455" t="s">
        <v>2029</v>
      </c>
      <c r="D455" t="s">
        <v>2407</v>
      </c>
      <c r="E455" s="28" t="s">
        <v>896</v>
      </c>
      <c r="F455" t="s">
        <v>14210</v>
      </c>
      <c r="G455" t="s">
        <v>11</v>
      </c>
      <c r="M455" s="28" t="s">
        <v>413</v>
      </c>
      <c r="N455" t="s">
        <v>313</v>
      </c>
    </row>
    <row r="456" spans="1:14" hidden="1" x14ac:dyDescent="0.25">
      <c r="A456" t="s">
        <v>11947</v>
      </c>
      <c r="B456" t="s">
        <v>6563</v>
      </c>
      <c r="C456" t="s">
        <v>1099</v>
      </c>
      <c r="D456" t="s">
        <v>6564</v>
      </c>
      <c r="E456" s="28" t="s">
        <v>896</v>
      </c>
      <c r="F456" t="s">
        <v>799</v>
      </c>
      <c r="G456" t="s">
        <v>129</v>
      </c>
      <c r="M456" s="28" t="s">
        <v>802</v>
      </c>
      <c r="N456" t="s">
        <v>313</v>
      </c>
    </row>
    <row r="457" spans="1:14" hidden="1" x14ac:dyDescent="0.25">
      <c r="A457" t="s">
        <v>7977</v>
      </c>
      <c r="B457" t="s">
        <v>998</v>
      </c>
      <c r="C457" t="s">
        <v>999</v>
      </c>
      <c r="D457" t="s">
        <v>1000</v>
      </c>
      <c r="E457" s="28" t="s">
        <v>896</v>
      </c>
      <c r="F457" t="s">
        <v>897</v>
      </c>
      <c r="G457" t="s">
        <v>28</v>
      </c>
      <c r="M457" s="28" t="s">
        <v>14241</v>
      </c>
      <c r="N457" t="s">
        <v>14206</v>
      </c>
    </row>
    <row r="458" spans="1:14" hidden="1" x14ac:dyDescent="0.25">
      <c r="A458" t="s">
        <v>10269</v>
      </c>
      <c r="B458" t="s">
        <v>6095</v>
      </c>
      <c r="C458" t="s">
        <v>4557</v>
      </c>
      <c r="D458" t="s">
        <v>6096</v>
      </c>
      <c r="E458" s="28" t="s">
        <v>896</v>
      </c>
      <c r="F458" t="s">
        <v>727</v>
      </c>
      <c r="G458" t="s">
        <v>15</v>
      </c>
      <c r="M458" s="28" t="s">
        <v>613</v>
      </c>
      <c r="N458" t="s">
        <v>313</v>
      </c>
    </row>
    <row r="459" spans="1:14" hidden="1" x14ac:dyDescent="0.25">
      <c r="A459" t="s">
        <v>8078</v>
      </c>
      <c r="B459" t="s">
        <v>1308</v>
      </c>
      <c r="C459" t="s">
        <v>1309</v>
      </c>
      <c r="D459" t="s">
        <v>1310</v>
      </c>
      <c r="E459" s="28" t="s">
        <v>890</v>
      </c>
      <c r="F459" t="s">
        <v>57</v>
      </c>
      <c r="G459" t="s">
        <v>38</v>
      </c>
      <c r="M459" s="28"/>
    </row>
    <row r="460" spans="1:14" hidden="1" x14ac:dyDescent="0.25">
      <c r="A460" t="s">
        <v>8157</v>
      </c>
      <c r="B460" t="s">
        <v>1308</v>
      </c>
      <c r="C460" t="s">
        <v>1519</v>
      </c>
      <c r="D460" t="s">
        <v>1520</v>
      </c>
      <c r="E460" s="28" t="s">
        <v>930</v>
      </c>
      <c r="F460" t="s">
        <v>331</v>
      </c>
      <c r="G460" t="s">
        <v>38</v>
      </c>
      <c r="M460" s="28"/>
    </row>
    <row r="461" spans="1:14" hidden="1" x14ac:dyDescent="0.25">
      <c r="A461" t="s">
        <v>11373</v>
      </c>
      <c r="B461" t="s">
        <v>11374</v>
      </c>
      <c r="C461" t="s">
        <v>2297</v>
      </c>
      <c r="D461" t="s">
        <v>11375</v>
      </c>
      <c r="E461" s="28" t="s">
        <v>890</v>
      </c>
      <c r="F461" t="s">
        <v>10963</v>
      </c>
      <c r="G461" t="s">
        <v>84</v>
      </c>
      <c r="M461" s="28" t="s">
        <v>14223</v>
      </c>
      <c r="N461" t="s">
        <v>313</v>
      </c>
    </row>
    <row r="462" spans="1:14" hidden="1" x14ac:dyDescent="0.25">
      <c r="A462" t="s">
        <v>8518</v>
      </c>
      <c r="B462" t="s">
        <v>2408</v>
      </c>
      <c r="C462" t="s">
        <v>1119</v>
      </c>
      <c r="D462" t="s">
        <v>2409</v>
      </c>
      <c r="E462" s="28" t="s">
        <v>896</v>
      </c>
      <c r="F462" t="s">
        <v>105</v>
      </c>
      <c r="G462" t="s">
        <v>11</v>
      </c>
      <c r="M462" s="28" t="s">
        <v>413</v>
      </c>
      <c r="N462" t="s">
        <v>313</v>
      </c>
    </row>
    <row r="463" spans="1:14" hidden="1" x14ac:dyDescent="0.25">
      <c r="A463" t="s">
        <v>13085</v>
      </c>
      <c r="B463" t="s">
        <v>2408</v>
      </c>
      <c r="C463" t="s">
        <v>13086</v>
      </c>
      <c r="D463" t="s">
        <v>13087</v>
      </c>
      <c r="E463" s="28"/>
      <c r="F463" t="s">
        <v>13088</v>
      </c>
      <c r="G463" t="s">
        <v>129</v>
      </c>
      <c r="M463" s="28" t="s">
        <v>802</v>
      </c>
      <c r="N463" t="s">
        <v>313</v>
      </c>
    </row>
    <row r="464" spans="1:14" hidden="1" x14ac:dyDescent="0.25">
      <c r="A464" t="s">
        <v>11949</v>
      </c>
      <c r="B464" t="s">
        <v>2408</v>
      </c>
      <c r="C464" t="s">
        <v>6567</v>
      </c>
      <c r="D464" t="s">
        <v>6568</v>
      </c>
      <c r="E464" s="28" t="s">
        <v>890</v>
      </c>
      <c r="F464" t="s">
        <v>799</v>
      </c>
      <c r="G464" t="s">
        <v>129</v>
      </c>
      <c r="M464" s="28" t="s">
        <v>802</v>
      </c>
      <c r="N464" t="s">
        <v>313</v>
      </c>
    </row>
    <row r="465" spans="1:14" hidden="1" x14ac:dyDescent="0.25">
      <c r="A465" t="s">
        <v>8079</v>
      </c>
      <c r="B465" t="s">
        <v>1311</v>
      </c>
      <c r="C465" t="s">
        <v>1312</v>
      </c>
      <c r="D465" t="s">
        <v>1313</v>
      </c>
      <c r="E465" s="28" t="s">
        <v>890</v>
      </c>
      <c r="F465" t="s">
        <v>331</v>
      </c>
      <c r="G465" t="s">
        <v>38</v>
      </c>
      <c r="M465" s="28"/>
    </row>
    <row r="466" spans="1:14" hidden="1" x14ac:dyDescent="0.25">
      <c r="A466" t="s">
        <v>12866</v>
      </c>
      <c r="B466" t="s">
        <v>12867</v>
      </c>
      <c r="C466" t="s">
        <v>4857</v>
      </c>
      <c r="D466" t="s">
        <v>12868</v>
      </c>
      <c r="E466" s="28" t="s">
        <v>890</v>
      </c>
      <c r="F466" t="s">
        <v>227</v>
      </c>
      <c r="G466" t="s">
        <v>15</v>
      </c>
      <c r="M466" s="28" t="s">
        <v>613</v>
      </c>
      <c r="N466" t="s">
        <v>313</v>
      </c>
    </row>
    <row r="467" spans="1:14" hidden="1" x14ac:dyDescent="0.25">
      <c r="A467" t="s">
        <v>12869</v>
      </c>
      <c r="B467" t="s">
        <v>12867</v>
      </c>
      <c r="C467" t="s">
        <v>1180</v>
      </c>
      <c r="D467" t="s">
        <v>12870</v>
      </c>
      <c r="E467" s="28" t="s">
        <v>1177</v>
      </c>
      <c r="F467" t="s">
        <v>227</v>
      </c>
      <c r="G467" t="s">
        <v>15</v>
      </c>
      <c r="M467" s="28" t="s">
        <v>613</v>
      </c>
      <c r="N467" t="s">
        <v>313</v>
      </c>
    </row>
    <row r="468" spans="1:14" hidden="1" x14ac:dyDescent="0.25">
      <c r="A468" t="s">
        <v>8341</v>
      </c>
      <c r="B468" t="s">
        <v>1986</v>
      </c>
      <c r="C468" t="s">
        <v>1185</v>
      </c>
      <c r="D468" t="s">
        <v>1987</v>
      </c>
      <c r="E468" s="28" t="s">
        <v>890</v>
      </c>
      <c r="F468" t="s">
        <v>379</v>
      </c>
      <c r="G468" t="s">
        <v>47</v>
      </c>
      <c r="M468" s="28" t="s">
        <v>13542</v>
      </c>
    </row>
    <row r="469" spans="1:14" hidden="1" x14ac:dyDescent="0.25">
      <c r="A469" t="s">
        <v>10468</v>
      </c>
      <c r="B469" t="s">
        <v>6587</v>
      </c>
      <c r="C469" t="s">
        <v>6588</v>
      </c>
      <c r="D469" t="s">
        <v>6589</v>
      </c>
      <c r="E469" s="28" t="s">
        <v>890</v>
      </c>
      <c r="F469" t="s">
        <v>14614</v>
      </c>
      <c r="G469" t="s">
        <v>131</v>
      </c>
      <c r="M469" s="28" t="s">
        <v>14242</v>
      </c>
    </row>
    <row r="470" spans="1:14" hidden="1" x14ac:dyDescent="0.25">
      <c r="A470" t="s">
        <v>8012</v>
      </c>
      <c r="B470" t="s">
        <v>1107</v>
      </c>
      <c r="C470" t="s">
        <v>1109</v>
      </c>
      <c r="D470" t="s">
        <v>1110</v>
      </c>
      <c r="E470" s="28" t="s">
        <v>890</v>
      </c>
      <c r="F470" t="s">
        <v>283</v>
      </c>
      <c r="G470" t="s">
        <v>31</v>
      </c>
      <c r="M470" s="28" t="s">
        <v>278</v>
      </c>
      <c r="N470" t="s">
        <v>279</v>
      </c>
    </row>
    <row r="471" spans="1:14" hidden="1" x14ac:dyDescent="0.25">
      <c r="A471" t="s">
        <v>13628</v>
      </c>
      <c r="B471" t="s">
        <v>13629</v>
      </c>
      <c r="C471" t="s">
        <v>5589</v>
      </c>
      <c r="D471" t="s">
        <v>13630</v>
      </c>
      <c r="E471" s="28" t="s">
        <v>896</v>
      </c>
      <c r="F471" t="s">
        <v>13208</v>
      </c>
      <c r="G471" t="s">
        <v>15</v>
      </c>
      <c r="M471" s="28" t="s">
        <v>613</v>
      </c>
      <c r="N471" t="s">
        <v>313</v>
      </c>
    </row>
    <row r="472" spans="1:14" hidden="1" x14ac:dyDescent="0.25">
      <c r="A472" t="s">
        <v>11062</v>
      </c>
      <c r="B472" t="s">
        <v>11063</v>
      </c>
      <c r="C472" t="s">
        <v>7525</v>
      </c>
      <c r="D472" t="s">
        <v>11064</v>
      </c>
      <c r="E472" s="28" t="s">
        <v>890</v>
      </c>
      <c r="F472" t="s">
        <v>10975</v>
      </c>
      <c r="G472" t="s">
        <v>84</v>
      </c>
      <c r="M472" s="28" t="s">
        <v>14223</v>
      </c>
      <c r="N472" t="s">
        <v>313</v>
      </c>
    </row>
    <row r="473" spans="1:14" hidden="1" x14ac:dyDescent="0.25">
      <c r="A473" t="s">
        <v>10268</v>
      </c>
      <c r="B473" t="s">
        <v>6093</v>
      </c>
      <c r="C473" t="s">
        <v>4553</v>
      </c>
      <c r="D473" t="s">
        <v>6094</v>
      </c>
      <c r="E473" s="28" t="s">
        <v>896</v>
      </c>
      <c r="F473" t="s">
        <v>662</v>
      </c>
      <c r="G473" t="s">
        <v>15</v>
      </c>
      <c r="M473" s="28" t="s">
        <v>613</v>
      </c>
      <c r="N473" t="s">
        <v>313</v>
      </c>
    </row>
    <row r="474" spans="1:14" hidden="1" x14ac:dyDescent="0.25">
      <c r="A474" t="s">
        <v>10729</v>
      </c>
      <c r="B474" t="s">
        <v>7155</v>
      </c>
      <c r="C474" t="s">
        <v>6430</v>
      </c>
      <c r="D474" t="s">
        <v>7156</v>
      </c>
      <c r="E474" s="28" t="s">
        <v>896</v>
      </c>
      <c r="F474" t="s">
        <v>6895</v>
      </c>
      <c r="G474" t="s">
        <v>6896</v>
      </c>
      <c r="M474" s="28" t="s">
        <v>6897</v>
      </c>
      <c r="N474" t="s">
        <v>279</v>
      </c>
    </row>
    <row r="475" spans="1:14" hidden="1" x14ac:dyDescent="0.25">
      <c r="A475" t="s">
        <v>8575</v>
      </c>
      <c r="B475" t="s">
        <v>2548</v>
      </c>
      <c r="C475" t="s">
        <v>2549</v>
      </c>
      <c r="D475" t="s">
        <v>2550</v>
      </c>
      <c r="E475" s="28" t="s">
        <v>896</v>
      </c>
      <c r="F475" t="s">
        <v>2568</v>
      </c>
      <c r="G475" t="s">
        <v>11</v>
      </c>
      <c r="M475" s="28" t="s">
        <v>413</v>
      </c>
      <c r="N475" t="s">
        <v>313</v>
      </c>
    </row>
    <row r="476" spans="1:14" hidden="1" x14ac:dyDescent="0.25">
      <c r="A476" t="s">
        <v>12487</v>
      </c>
      <c r="B476" t="s">
        <v>12488</v>
      </c>
      <c r="C476" t="s">
        <v>2651</v>
      </c>
      <c r="D476" t="s">
        <v>12489</v>
      </c>
      <c r="E476" s="28" t="s">
        <v>1177</v>
      </c>
      <c r="F476" t="s">
        <v>14215</v>
      </c>
      <c r="G476" t="s">
        <v>81</v>
      </c>
      <c r="M476" s="28" t="s">
        <v>530</v>
      </c>
      <c r="N476" t="s">
        <v>313</v>
      </c>
    </row>
    <row r="477" spans="1:14" hidden="1" x14ac:dyDescent="0.25">
      <c r="A477" t="s">
        <v>8023</v>
      </c>
      <c r="B477" t="s">
        <v>1149</v>
      </c>
      <c r="C477" t="s">
        <v>1150</v>
      </c>
      <c r="D477" t="s">
        <v>1151</v>
      </c>
      <c r="E477" s="28" t="s">
        <v>890</v>
      </c>
      <c r="F477" t="s">
        <v>294</v>
      </c>
      <c r="G477" t="s">
        <v>31</v>
      </c>
      <c r="M477" s="28" t="s">
        <v>278</v>
      </c>
      <c r="N477" t="s">
        <v>279</v>
      </c>
    </row>
    <row r="478" spans="1:14" hidden="1" x14ac:dyDescent="0.25">
      <c r="A478" t="s">
        <v>10267</v>
      </c>
      <c r="B478" t="s">
        <v>6091</v>
      </c>
      <c r="C478" t="s">
        <v>4603</v>
      </c>
      <c r="D478" t="s">
        <v>6092</v>
      </c>
      <c r="E478" s="28" t="s">
        <v>896</v>
      </c>
      <c r="F478" t="s">
        <v>5176</v>
      </c>
      <c r="G478" t="s">
        <v>15</v>
      </c>
      <c r="M478" s="28" t="s">
        <v>613</v>
      </c>
      <c r="N478" t="s">
        <v>313</v>
      </c>
    </row>
    <row r="479" spans="1:14" hidden="1" x14ac:dyDescent="0.25">
      <c r="A479" t="s">
        <v>8832</v>
      </c>
      <c r="B479" t="s">
        <v>3155</v>
      </c>
      <c r="C479" t="s">
        <v>3034</v>
      </c>
      <c r="D479" t="s">
        <v>3156</v>
      </c>
      <c r="E479" s="28" t="s">
        <v>890</v>
      </c>
      <c r="F479" t="s">
        <v>564</v>
      </c>
      <c r="G479" t="s">
        <v>88</v>
      </c>
      <c r="M479" s="28" t="s">
        <v>549</v>
      </c>
      <c r="N479" t="s">
        <v>313</v>
      </c>
    </row>
    <row r="480" spans="1:14" hidden="1" x14ac:dyDescent="0.25">
      <c r="A480" t="s">
        <v>12871</v>
      </c>
      <c r="B480" t="s">
        <v>12872</v>
      </c>
      <c r="C480" t="s">
        <v>2184</v>
      </c>
      <c r="D480" t="s">
        <v>12873</v>
      </c>
      <c r="E480" s="28" t="s">
        <v>896</v>
      </c>
      <c r="F480" t="s">
        <v>13217</v>
      </c>
      <c r="G480" t="s">
        <v>15</v>
      </c>
      <c r="M480" s="28" t="s">
        <v>613</v>
      </c>
      <c r="N480" t="s">
        <v>313</v>
      </c>
    </row>
    <row r="481" spans="1:14" hidden="1" x14ac:dyDescent="0.25">
      <c r="A481" t="s">
        <v>8563</v>
      </c>
      <c r="B481" t="s">
        <v>2517</v>
      </c>
      <c r="C481" t="s">
        <v>1342</v>
      </c>
      <c r="D481" t="s">
        <v>2518</v>
      </c>
      <c r="E481" s="28" t="s">
        <v>896</v>
      </c>
      <c r="F481" t="s">
        <v>891</v>
      </c>
      <c r="G481" t="s">
        <v>11</v>
      </c>
      <c r="M481" s="28" t="s">
        <v>413</v>
      </c>
      <c r="N481" t="s">
        <v>313</v>
      </c>
    </row>
    <row r="482" spans="1:14" hidden="1" x14ac:dyDescent="0.25">
      <c r="A482" t="s">
        <v>10266</v>
      </c>
      <c r="B482" t="s">
        <v>6089</v>
      </c>
      <c r="C482" t="s">
        <v>2184</v>
      </c>
      <c r="D482" t="s">
        <v>6090</v>
      </c>
      <c r="E482" s="28" t="s">
        <v>890</v>
      </c>
      <c r="F482" t="s">
        <v>625</v>
      </c>
      <c r="G482" t="s">
        <v>15</v>
      </c>
      <c r="M482" s="28" t="s">
        <v>613</v>
      </c>
      <c r="N482" t="s">
        <v>313</v>
      </c>
    </row>
    <row r="483" spans="1:14" hidden="1" x14ac:dyDescent="0.25">
      <c r="A483" t="s">
        <v>7970</v>
      </c>
      <c r="B483" t="s">
        <v>906</v>
      </c>
      <c r="C483" t="s">
        <v>980</v>
      </c>
      <c r="D483" t="s">
        <v>982</v>
      </c>
      <c r="E483" s="28" t="s">
        <v>890</v>
      </c>
      <c r="F483" t="s">
        <v>897</v>
      </c>
      <c r="G483" t="s">
        <v>28</v>
      </c>
      <c r="M483" s="28" t="s">
        <v>14241</v>
      </c>
      <c r="N483" t="s">
        <v>14206</v>
      </c>
    </row>
    <row r="484" spans="1:14" hidden="1" x14ac:dyDescent="0.25">
      <c r="A484" t="s">
        <v>8499</v>
      </c>
      <c r="B484" t="s">
        <v>2361</v>
      </c>
      <c r="C484" t="s">
        <v>2362</v>
      </c>
      <c r="D484" t="s">
        <v>2363</v>
      </c>
      <c r="E484" s="28" t="s">
        <v>896</v>
      </c>
      <c r="F484" t="s">
        <v>408</v>
      </c>
      <c r="G484" t="s">
        <v>65</v>
      </c>
      <c r="M484" s="28" t="s">
        <v>14209</v>
      </c>
    </row>
    <row r="485" spans="1:14" hidden="1" x14ac:dyDescent="0.25">
      <c r="A485" t="s">
        <v>12072</v>
      </c>
      <c r="B485" t="s">
        <v>7512</v>
      </c>
      <c r="C485" t="s">
        <v>1227</v>
      </c>
      <c r="D485" t="s">
        <v>7513</v>
      </c>
      <c r="E485" s="28" t="s">
        <v>896</v>
      </c>
      <c r="F485" t="s">
        <v>263</v>
      </c>
      <c r="G485" t="s">
        <v>157</v>
      </c>
      <c r="M485" s="28" t="s">
        <v>840</v>
      </c>
      <c r="N485" t="s">
        <v>382</v>
      </c>
    </row>
    <row r="486" spans="1:14" hidden="1" x14ac:dyDescent="0.25">
      <c r="A486" t="s">
        <v>13418</v>
      </c>
      <c r="B486" t="s">
        <v>7512</v>
      </c>
      <c r="C486" t="s">
        <v>1483</v>
      </c>
      <c r="D486" t="s">
        <v>13419</v>
      </c>
      <c r="E486" s="28" t="s">
        <v>890</v>
      </c>
      <c r="F486" t="s">
        <v>13562</v>
      </c>
      <c r="G486" t="s">
        <v>15</v>
      </c>
      <c r="M486" s="28" t="s">
        <v>613</v>
      </c>
      <c r="N486" t="s">
        <v>313</v>
      </c>
    </row>
    <row r="487" spans="1:14" hidden="1" x14ac:dyDescent="0.25">
      <c r="A487" t="s">
        <v>12583</v>
      </c>
      <c r="B487" t="s">
        <v>12584</v>
      </c>
      <c r="C487" t="s">
        <v>5727</v>
      </c>
      <c r="D487" t="s">
        <v>12585</v>
      </c>
      <c r="E487" s="28" t="s">
        <v>890</v>
      </c>
      <c r="F487" t="s">
        <v>12554</v>
      </c>
      <c r="G487" t="s">
        <v>15</v>
      </c>
      <c r="M487" s="28" t="s">
        <v>613</v>
      </c>
      <c r="N487" t="s">
        <v>313</v>
      </c>
    </row>
    <row r="488" spans="1:14" hidden="1" x14ac:dyDescent="0.25">
      <c r="A488" t="s">
        <v>8439</v>
      </c>
      <c r="B488" t="s">
        <v>2222</v>
      </c>
      <c r="C488" t="s">
        <v>2216</v>
      </c>
      <c r="D488" t="s">
        <v>2223</v>
      </c>
      <c r="E488" s="28" t="s">
        <v>890</v>
      </c>
      <c r="F488" t="s">
        <v>408</v>
      </c>
      <c r="G488" t="s">
        <v>65</v>
      </c>
      <c r="M488" s="28" t="s">
        <v>14209</v>
      </c>
    </row>
    <row r="489" spans="1:14" hidden="1" x14ac:dyDescent="0.25">
      <c r="A489" t="s">
        <v>7973</v>
      </c>
      <c r="B489" t="s">
        <v>989</v>
      </c>
      <c r="C489" t="s">
        <v>932</v>
      </c>
      <c r="D489" t="s">
        <v>990</v>
      </c>
      <c r="E489" s="28" t="s">
        <v>890</v>
      </c>
      <c r="F489" t="s">
        <v>897</v>
      </c>
      <c r="G489" t="s">
        <v>28</v>
      </c>
      <c r="M489" s="28" t="s">
        <v>14241</v>
      </c>
      <c r="N489" t="s">
        <v>14206</v>
      </c>
    </row>
    <row r="490" spans="1:14" hidden="1" x14ac:dyDescent="0.25">
      <c r="A490" t="s">
        <v>10733</v>
      </c>
      <c r="B490" t="s">
        <v>7166</v>
      </c>
      <c r="C490" t="s">
        <v>7167</v>
      </c>
      <c r="D490" t="s">
        <v>7168</v>
      </c>
      <c r="E490" s="28" t="s">
        <v>930</v>
      </c>
      <c r="F490" t="s">
        <v>6895</v>
      </c>
      <c r="G490" t="s">
        <v>6896</v>
      </c>
      <c r="M490" s="28" t="s">
        <v>6897</v>
      </c>
      <c r="N490" t="s">
        <v>279</v>
      </c>
    </row>
    <row r="491" spans="1:14" hidden="1" x14ac:dyDescent="0.25">
      <c r="A491" t="s">
        <v>12874</v>
      </c>
      <c r="B491" t="s">
        <v>6086</v>
      </c>
      <c r="C491" t="s">
        <v>4845</v>
      </c>
      <c r="D491" t="s">
        <v>12875</v>
      </c>
      <c r="E491" s="28" t="s">
        <v>1177</v>
      </c>
      <c r="F491" t="s">
        <v>214</v>
      </c>
      <c r="G491" t="s">
        <v>15</v>
      </c>
      <c r="M491" s="28" t="s">
        <v>613</v>
      </c>
      <c r="N491" t="s">
        <v>313</v>
      </c>
    </row>
    <row r="492" spans="1:14" hidden="1" x14ac:dyDescent="0.25">
      <c r="A492" t="s">
        <v>10265</v>
      </c>
      <c r="B492" t="s">
        <v>6086</v>
      </c>
      <c r="C492" t="s">
        <v>2515</v>
      </c>
      <c r="D492" t="s">
        <v>6088</v>
      </c>
      <c r="E492" s="28" t="s">
        <v>890</v>
      </c>
      <c r="F492" t="s">
        <v>214</v>
      </c>
      <c r="G492" t="s">
        <v>15</v>
      </c>
      <c r="M492" s="28" t="s">
        <v>613</v>
      </c>
      <c r="N492" t="s">
        <v>313</v>
      </c>
    </row>
    <row r="493" spans="1:14" hidden="1" x14ac:dyDescent="0.25">
      <c r="A493" t="s">
        <v>12876</v>
      </c>
      <c r="B493" t="s">
        <v>6086</v>
      </c>
      <c r="C493" t="s">
        <v>2919</v>
      </c>
      <c r="D493" t="s">
        <v>12877</v>
      </c>
      <c r="E493" s="28" t="s">
        <v>1177</v>
      </c>
      <c r="F493" t="s">
        <v>214</v>
      </c>
      <c r="G493" t="s">
        <v>15</v>
      </c>
      <c r="M493" s="28" t="s">
        <v>613</v>
      </c>
      <c r="N493" t="s">
        <v>313</v>
      </c>
    </row>
    <row r="494" spans="1:14" hidden="1" x14ac:dyDescent="0.25">
      <c r="A494" t="s">
        <v>10264</v>
      </c>
      <c r="B494" t="s">
        <v>6086</v>
      </c>
      <c r="C494" t="s">
        <v>4726</v>
      </c>
      <c r="D494" t="s">
        <v>6087</v>
      </c>
      <c r="E494" s="28" t="s">
        <v>890</v>
      </c>
      <c r="F494" t="s">
        <v>214</v>
      </c>
      <c r="G494" t="s">
        <v>15</v>
      </c>
      <c r="M494" s="28" t="s">
        <v>613</v>
      </c>
      <c r="N494" t="s">
        <v>313</v>
      </c>
    </row>
    <row r="495" spans="1:14" hidden="1" x14ac:dyDescent="0.25">
      <c r="A495" t="s">
        <v>8571</v>
      </c>
      <c r="B495" t="s">
        <v>2540</v>
      </c>
      <c r="C495" t="s">
        <v>1132</v>
      </c>
      <c r="D495" t="s">
        <v>2541</v>
      </c>
      <c r="E495" s="28" t="s">
        <v>896</v>
      </c>
      <c r="F495" t="s">
        <v>415</v>
      </c>
      <c r="G495" t="s">
        <v>11</v>
      </c>
      <c r="M495" s="28" t="s">
        <v>413</v>
      </c>
      <c r="N495" t="s">
        <v>313</v>
      </c>
    </row>
    <row r="496" spans="1:14" hidden="1" x14ac:dyDescent="0.25">
      <c r="A496" t="s">
        <v>10601</v>
      </c>
      <c r="B496" t="s">
        <v>6837</v>
      </c>
      <c r="C496" t="s">
        <v>1519</v>
      </c>
      <c r="D496" t="s">
        <v>6850</v>
      </c>
      <c r="E496" s="28" t="s">
        <v>896</v>
      </c>
      <c r="F496" t="s">
        <v>831</v>
      </c>
      <c r="G496" t="s">
        <v>145</v>
      </c>
      <c r="M496" s="28" t="s">
        <v>13222</v>
      </c>
      <c r="N496" t="s">
        <v>313</v>
      </c>
    </row>
    <row r="497" spans="1:14" hidden="1" x14ac:dyDescent="0.25">
      <c r="A497" t="s">
        <v>8364</v>
      </c>
      <c r="B497" t="s">
        <v>2019</v>
      </c>
      <c r="C497" t="s">
        <v>1099</v>
      </c>
      <c r="D497" t="s">
        <v>2040</v>
      </c>
      <c r="E497" s="28" t="s">
        <v>896</v>
      </c>
      <c r="F497" t="s">
        <v>389</v>
      </c>
      <c r="G497" t="s">
        <v>47</v>
      </c>
      <c r="M497" s="28" t="s">
        <v>13542</v>
      </c>
    </row>
    <row r="498" spans="1:14" hidden="1" x14ac:dyDescent="0.25">
      <c r="A498" t="s">
        <v>8355</v>
      </c>
      <c r="B498" t="s">
        <v>2019</v>
      </c>
      <c r="C498" t="s">
        <v>2020</v>
      </c>
      <c r="D498" t="s">
        <v>2021</v>
      </c>
      <c r="E498" s="28" t="s">
        <v>896</v>
      </c>
      <c r="F498" t="s">
        <v>389</v>
      </c>
      <c r="G498" t="s">
        <v>47</v>
      </c>
      <c r="M498" s="28" t="s">
        <v>13542</v>
      </c>
    </row>
    <row r="499" spans="1:14" hidden="1" x14ac:dyDescent="0.25">
      <c r="A499" t="s">
        <v>8062</v>
      </c>
      <c r="B499" t="s">
        <v>1268</v>
      </c>
      <c r="C499" t="s">
        <v>1269</v>
      </c>
      <c r="D499" t="s">
        <v>1270</v>
      </c>
      <c r="E499" s="28" t="s">
        <v>896</v>
      </c>
      <c r="F499" t="s">
        <v>794</v>
      </c>
      <c r="G499" t="s">
        <v>34</v>
      </c>
      <c r="M499" s="28" t="s">
        <v>12353</v>
      </c>
      <c r="N499" t="s">
        <v>313</v>
      </c>
    </row>
    <row r="500" spans="1:14" hidden="1" x14ac:dyDescent="0.25">
      <c r="A500" t="s">
        <v>8063</v>
      </c>
      <c r="B500" t="s">
        <v>1268</v>
      </c>
      <c r="C500" t="s">
        <v>1060</v>
      </c>
      <c r="D500" t="s">
        <v>1271</v>
      </c>
      <c r="E500" s="28" t="s">
        <v>896</v>
      </c>
      <c r="F500" t="s">
        <v>315</v>
      </c>
      <c r="G500" t="s">
        <v>34</v>
      </c>
      <c r="M500" s="28" t="s">
        <v>12353</v>
      </c>
      <c r="N500" t="s">
        <v>313</v>
      </c>
    </row>
    <row r="501" spans="1:14" hidden="1" x14ac:dyDescent="0.25">
      <c r="A501" t="s">
        <v>13631</v>
      </c>
      <c r="B501" t="s">
        <v>13632</v>
      </c>
      <c r="C501" t="s">
        <v>4606</v>
      </c>
      <c r="D501" t="s">
        <v>13633</v>
      </c>
      <c r="E501" s="28" t="s">
        <v>896</v>
      </c>
      <c r="F501" t="s">
        <v>676</v>
      </c>
      <c r="G501" t="s">
        <v>15</v>
      </c>
      <c r="M501" s="28" t="s">
        <v>613</v>
      </c>
      <c r="N501" t="s">
        <v>313</v>
      </c>
    </row>
    <row r="502" spans="1:14" hidden="1" x14ac:dyDescent="0.25">
      <c r="A502" t="s">
        <v>10964</v>
      </c>
      <c r="B502" t="s">
        <v>10965</v>
      </c>
      <c r="C502" t="s">
        <v>1222</v>
      </c>
      <c r="D502" t="s">
        <v>10966</v>
      </c>
      <c r="E502" s="28" t="s">
        <v>890</v>
      </c>
      <c r="F502" t="s">
        <v>6584</v>
      </c>
      <c r="G502" t="s">
        <v>84</v>
      </c>
      <c r="M502" s="28" t="s">
        <v>14223</v>
      </c>
      <c r="N502" t="s">
        <v>313</v>
      </c>
    </row>
    <row r="503" spans="1:14" hidden="1" x14ac:dyDescent="0.25">
      <c r="A503" t="s">
        <v>10967</v>
      </c>
      <c r="B503" t="s">
        <v>10965</v>
      </c>
      <c r="C503" t="s">
        <v>10968</v>
      </c>
      <c r="D503" t="s">
        <v>10969</v>
      </c>
      <c r="E503" s="28" t="s">
        <v>896</v>
      </c>
      <c r="F503" t="s">
        <v>10963</v>
      </c>
      <c r="G503" t="s">
        <v>84</v>
      </c>
      <c r="M503" s="28" t="s">
        <v>14223</v>
      </c>
      <c r="N503" t="s">
        <v>313</v>
      </c>
    </row>
    <row r="504" spans="1:14" hidden="1" x14ac:dyDescent="0.25">
      <c r="A504" t="s">
        <v>10970</v>
      </c>
      <c r="B504" t="s">
        <v>10965</v>
      </c>
      <c r="C504" t="s">
        <v>1178</v>
      </c>
      <c r="D504" t="s">
        <v>10971</v>
      </c>
      <c r="E504" s="28" t="s">
        <v>890</v>
      </c>
      <c r="F504" t="s">
        <v>10963</v>
      </c>
      <c r="G504" t="s">
        <v>84</v>
      </c>
      <c r="M504" s="28" t="s">
        <v>14223</v>
      </c>
      <c r="N504" t="s">
        <v>313</v>
      </c>
    </row>
    <row r="505" spans="1:14" hidden="1" x14ac:dyDescent="0.25">
      <c r="A505" t="s">
        <v>11417</v>
      </c>
      <c r="B505" t="s">
        <v>11418</v>
      </c>
      <c r="C505" t="s">
        <v>11419</v>
      </c>
      <c r="D505" t="s">
        <v>11420</v>
      </c>
      <c r="E505" s="28" t="s">
        <v>896</v>
      </c>
      <c r="F505" t="s">
        <v>6584</v>
      </c>
      <c r="G505" t="s">
        <v>84</v>
      </c>
      <c r="M505" s="28" t="s">
        <v>14223</v>
      </c>
      <c r="N505" t="s">
        <v>313</v>
      </c>
    </row>
    <row r="506" spans="1:14" hidden="1" x14ac:dyDescent="0.25">
      <c r="A506" t="s">
        <v>10263</v>
      </c>
      <c r="B506" t="s">
        <v>6084</v>
      </c>
      <c r="C506" t="s">
        <v>4676</v>
      </c>
      <c r="D506" t="s">
        <v>6085</v>
      </c>
      <c r="E506" s="28" t="s">
        <v>896</v>
      </c>
      <c r="F506" t="s">
        <v>625</v>
      </c>
      <c r="G506" t="s">
        <v>15</v>
      </c>
      <c r="M506" s="28" t="s">
        <v>613</v>
      </c>
      <c r="N506" t="s">
        <v>313</v>
      </c>
    </row>
    <row r="507" spans="1:14" hidden="1" x14ac:dyDescent="0.25">
      <c r="A507" t="s">
        <v>10602</v>
      </c>
      <c r="B507" t="s">
        <v>6851</v>
      </c>
      <c r="C507" t="s">
        <v>1981</v>
      </c>
      <c r="D507" t="s">
        <v>6852</v>
      </c>
      <c r="E507" s="28" t="s">
        <v>896</v>
      </c>
      <c r="F507" t="s">
        <v>831</v>
      </c>
      <c r="G507" t="s">
        <v>145</v>
      </c>
      <c r="M507" s="28" t="s">
        <v>13222</v>
      </c>
      <c r="N507" t="s">
        <v>313</v>
      </c>
    </row>
    <row r="508" spans="1:14" hidden="1" x14ac:dyDescent="0.25">
      <c r="A508" t="s">
        <v>8544</v>
      </c>
      <c r="B508" t="s">
        <v>2472</v>
      </c>
      <c r="C508" t="s">
        <v>1043</v>
      </c>
      <c r="D508" t="s">
        <v>2473</v>
      </c>
      <c r="E508" s="28" t="s">
        <v>890</v>
      </c>
      <c r="F508" t="s">
        <v>13265</v>
      </c>
      <c r="G508" t="s">
        <v>11</v>
      </c>
      <c r="M508" s="28" t="s">
        <v>413</v>
      </c>
      <c r="N508" t="s">
        <v>313</v>
      </c>
    </row>
    <row r="509" spans="1:14" hidden="1" x14ac:dyDescent="0.25">
      <c r="A509" t="s">
        <v>10262</v>
      </c>
      <c r="B509" t="s">
        <v>6081</v>
      </c>
      <c r="C509" t="s">
        <v>6082</v>
      </c>
      <c r="D509" t="s">
        <v>6083</v>
      </c>
      <c r="E509" s="28" t="s">
        <v>890</v>
      </c>
      <c r="F509" t="s">
        <v>214</v>
      </c>
      <c r="G509" t="s">
        <v>15</v>
      </c>
      <c r="M509" s="28" t="s">
        <v>613</v>
      </c>
      <c r="N509" t="s">
        <v>313</v>
      </c>
    </row>
    <row r="510" spans="1:14" hidden="1" x14ac:dyDescent="0.25">
      <c r="A510" t="s">
        <v>10261</v>
      </c>
      <c r="B510" t="s">
        <v>6079</v>
      </c>
      <c r="C510" t="s">
        <v>4726</v>
      </c>
      <c r="D510" t="s">
        <v>6080</v>
      </c>
      <c r="E510" s="28" t="s">
        <v>896</v>
      </c>
      <c r="F510" t="s">
        <v>225</v>
      </c>
      <c r="G510" t="s">
        <v>15</v>
      </c>
      <c r="M510" s="28" t="s">
        <v>613</v>
      </c>
      <c r="N510" t="s">
        <v>313</v>
      </c>
    </row>
    <row r="511" spans="1:14" hidden="1" x14ac:dyDescent="0.25">
      <c r="A511" t="s">
        <v>10260</v>
      </c>
      <c r="B511" t="s">
        <v>6077</v>
      </c>
      <c r="C511" t="s">
        <v>4536</v>
      </c>
      <c r="D511" t="s">
        <v>6078</v>
      </c>
      <c r="E511" s="28" t="s">
        <v>890</v>
      </c>
      <c r="F511" t="s">
        <v>727</v>
      </c>
      <c r="G511" t="s">
        <v>15</v>
      </c>
      <c r="M511" s="28" t="s">
        <v>613</v>
      </c>
      <c r="N511" t="s">
        <v>313</v>
      </c>
    </row>
    <row r="512" spans="1:14" hidden="1" x14ac:dyDescent="0.25">
      <c r="A512" t="s">
        <v>10800</v>
      </c>
      <c r="B512" t="s">
        <v>7330</v>
      </c>
      <c r="C512" t="s">
        <v>2051</v>
      </c>
      <c r="D512" t="s">
        <v>7331</v>
      </c>
      <c r="E512" s="28" t="s">
        <v>896</v>
      </c>
      <c r="F512" t="s">
        <v>268</v>
      </c>
      <c r="G512" t="s">
        <v>157</v>
      </c>
      <c r="M512" s="28" t="s">
        <v>840</v>
      </c>
      <c r="N512" t="s">
        <v>382</v>
      </c>
    </row>
    <row r="513" spans="1:14" hidden="1" x14ac:dyDescent="0.25">
      <c r="A513" t="s">
        <v>10259</v>
      </c>
      <c r="B513" t="s">
        <v>6075</v>
      </c>
      <c r="C513" t="s">
        <v>4553</v>
      </c>
      <c r="D513" t="s">
        <v>6076</v>
      </c>
      <c r="E513" s="28" t="s">
        <v>890</v>
      </c>
      <c r="F513" t="s">
        <v>201</v>
      </c>
      <c r="G513" t="s">
        <v>15</v>
      </c>
      <c r="M513" s="28" t="s">
        <v>613</v>
      </c>
      <c r="N513" t="s">
        <v>313</v>
      </c>
    </row>
    <row r="514" spans="1:14" hidden="1" x14ac:dyDescent="0.25">
      <c r="A514" t="s">
        <v>10258</v>
      </c>
      <c r="B514" t="s">
        <v>6072</v>
      </c>
      <c r="C514" t="s">
        <v>6073</v>
      </c>
      <c r="D514" t="s">
        <v>6074</v>
      </c>
      <c r="E514" s="28" t="s">
        <v>890</v>
      </c>
      <c r="F514" t="s">
        <v>702</v>
      </c>
      <c r="G514" t="s">
        <v>15</v>
      </c>
      <c r="M514" s="28" t="s">
        <v>613</v>
      </c>
      <c r="N514" t="s">
        <v>313</v>
      </c>
    </row>
    <row r="515" spans="1:14" hidden="1" x14ac:dyDescent="0.25">
      <c r="A515" t="s">
        <v>10257</v>
      </c>
      <c r="B515" t="s">
        <v>6070</v>
      </c>
      <c r="C515" t="s">
        <v>4726</v>
      </c>
      <c r="D515" t="s">
        <v>6071</v>
      </c>
      <c r="E515" s="28" t="s">
        <v>896</v>
      </c>
      <c r="F515" t="s">
        <v>4610</v>
      </c>
      <c r="G515" t="s">
        <v>15</v>
      </c>
      <c r="M515" s="28" t="s">
        <v>613</v>
      </c>
      <c r="N515" t="s">
        <v>313</v>
      </c>
    </row>
    <row r="516" spans="1:14" hidden="1" x14ac:dyDescent="0.25">
      <c r="A516" t="s">
        <v>10256</v>
      </c>
      <c r="B516" t="s">
        <v>6068</v>
      </c>
      <c r="C516" t="s">
        <v>4557</v>
      </c>
      <c r="D516" t="s">
        <v>6069</v>
      </c>
      <c r="E516" s="28" t="s">
        <v>890</v>
      </c>
      <c r="F516" t="s">
        <v>221</v>
      </c>
      <c r="G516" t="s">
        <v>15</v>
      </c>
      <c r="M516" s="28" t="s">
        <v>613</v>
      </c>
      <c r="N516" t="s">
        <v>313</v>
      </c>
    </row>
    <row r="517" spans="1:14" hidden="1" x14ac:dyDescent="0.25">
      <c r="A517" t="s">
        <v>10255</v>
      </c>
      <c r="B517" t="s">
        <v>6066</v>
      </c>
      <c r="C517" t="s">
        <v>1180</v>
      </c>
      <c r="D517" t="s">
        <v>6067</v>
      </c>
      <c r="E517" s="28" t="s">
        <v>896</v>
      </c>
      <c r="F517" t="s">
        <v>690</v>
      </c>
      <c r="G517" t="s">
        <v>15</v>
      </c>
      <c r="M517" s="28" t="s">
        <v>613</v>
      </c>
      <c r="N517" t="s">
        <v>313</v>
      </c>
    </row>
    <row r="518" spans="1:14" hidden="1" x14ac:dyDescent="0.25">
      <c r="A518" t="s">
        <v>12576</v>
      </c>
      <c r="B518" t="s">
        <v>12577</v>
      </c>
      <c r="C518" t="s">
        <v>12578</v>
      </c>
      <c r="D518" t="s">
        <v>12579</v>
      </c>
      <c r="E518" s="28" t="s">
        <v>890</v>
      </c>
      <c r="F518" t="s">
        <v>662</v>
      </c>
      <c r="G518" t="s">
        <v>15</v>
      </c>
      <c r="M518" s="28" t="s">
        <v>613</v>
      </c>
      <c r="N518" t="s">
        <v>313</v>
      </c>
    </row>
    <row r="519" spans="1:14" hidden="1" x14ac:dyDescent="0.25">
      <c r="A519" t="s">
        <v>12878</v>
      </c>
      <c r="B519" t="s">
        <v>12879</v>
      </c>
      <c r="C519" t="s">
        <v>12880</v>
      </c>
      <c r="D519" t="s">
        <v>12881</v>
      </c>
      <c r="E519" s="28" t="s">
        <v>890</v>
      </c>
      <c r="F519" t="s">
        <v>231</v>
      </c>
      <c r="G519" t="s">
        <v>15</v>
      </c>
      <c r="M519" s="28" t="s">
        <v>613</v>
      </c>
      <c r="N519" t="s">
        <v>313</v>
      </c>
    </row>
    <row r="520" spans="1:14" hidden="1" x14ac:dyDescent="0.25">
      <c r="A520" t="s">
        <v>14255</v>
      </c>
      <c r="B520" t="s">
        <v>14256</v>
      </c>
      <c r="C520" t="s">
        <v>1187</v>
      </c>
      <c r="D520" t="s">
        <v>13634</v>
      </c>
      <c r="E520" s="28" t="s">
        <v>896</v>
      </c>
      <c r="F520" t="s">
        <v>13635</v>
      </c>
      <c r="G520" t="s">
        <v>81</v>
      </c>
      <c r="M520" s="28" t="s">
        <v>530</v>
      </c>
      <c r="N520" t="s">
        <v>313</v>
      </c>
    </row>
    <row r="521" spans="1:14" hidden="1" x14ac:dyDescent="0.25">
      <c r="A521" t="s">
        <v>10254</v>
      </c>
      <c r="B521" t="s">
        <v>6063</v>
      </c>
      <c r="C521" t="s">
        <v>6064</v>
      </c>
      <c r="D521" t="s">
        <v>6065</v>
      </c>
      <c r="E521" s="28" t="s">
        <v>890</v>
      </c>
      <c r="F521" t="s">
        <v>5176</v>
      </c>
      <c r="G521" t="s">
        <v>15</v>
      </c>
      <c r="M521" s="28" t="s">
        <v>613</v>
      </c>
      <c r="N521" t="s">
        <v>313</v>
      </c>
    </row>
    <row r="522" spans="1:14" hidden="1" x14ac:dyDescent="0.25">
      <c r="A522" t="s">
        <v>10253</v>
      </c>
      <c r="B522" t="s">
        <v>6061</v>
      </c>
      <c r="C522" t="s">
        <v>5259</v>
      </c>
      <c r="D522" t="s">
        <v>6062</v>
      </c>
      <c r="E522" s="28" t="s">
        <v>896</v>
      </c>
      <c r="F522" t="s">
        <v>644</v>
      </c>
      <c r="G522" t="s">
        <v>15</v>
      </c>
      <c r="M522" s="28" t="s">
        <v>613</v>
      </c>
      <c r="N522" t="s">
        <v>313</v>
      </c>
    </row>
    <row r="523" spans="1:14" hidden="1" x14ac:dyDescent="0.25">
      <c r="A523" t="s">
        <v>10252</v>
      </c>
      <c r="B523" t="s">
        <v>6059</v>
      </c>
      <c r="C523" t="s">
        <v>4818</v>
      </c>
      <c r="D523" t="s">
        <v>6060</v>
      </c>
      <c r="E523" s="28" t="s">
        <v>890</v>
      </c>
      <c r="F523" t="s">
        <v>4679</v>
      </c>
      <c r="G523" t="s">
        <v>15</v>
      </c>
      <c r="M523" s="28" t="s">
        <v>613</v>
      </c>
      <c r="N523" t="s">
        <v>313</v>
      </c>
    </row>
    <row r="524" spans="1:14" hidden="1" x14ac:dyDescent="0.25">
      <c r="A524" t="s">
        <v>10251</v>
      </c>
      <c r="B524" t="s">
        <v>6058</v>
      </c>
      <c r="C524" t="s">
        <v>4726</v>
      </c>
      <c r="D524" t="s">
        <v>12568</v>
      </c>
      <c r="E524" s="28" t="s">
        <v>896</v>
      </c>
      <c r="F524" t="s">
        <v>702</v>
      </c>
      <c r="G524" t="s">
        <v>15</v>
      </c>
      <c r="M524" s="28" t="s">
        <v>613</v>
      </c>
      <c r="N524" t="s">
        <v>313</v>
      </c>
    </row>
    <row r="525" spans="1:14" hidden="1" x14ac:dyDescent="0.25">
      <c r="A525" t="s">
        <v>10250</v>
      </c>
      <c r="B525" t="s">
        <v>6056</v>
      </c>
      <c r="C525" t="s">
        <v>1269</v>
      </c>
      <c r="D525" t="s">
        <v>6057</v>
      </c>
      <c r="E525" s="28" t="s">
        <v>896</v>
      </c>
      <c r="F525" t="s">
        <v>4638</v>
      </c>
      <c r="G525" t="s">
        <v>15</v>
      </c>
      <c r="M525" s="28" t="s">
        <v>613</v>
      </c>
      <c r="N525" t="s">
        <v>313</v>
      </c>
    </row>
    <row r="526" spans="1:14" hidden="1" x14ac:dyDescent="0.25">
      <c r="A526" t="s">
        <v>10249</v>
      </c>
      <c r="B526" t="s">
        <v>6054</v>
      </c>
      <c r="C526" t="s">
        <v>899</v>
      </c>
      <c r="D526" t="s">
        <v>6055</v>
      </c>
      <c r="E526" s="28" t="s">
        <v>896</v>
      </c>
      <c r="F526" t="s">
        <v>721</v>
      </c>
      <c r="G526" t="s">
        <v>15</v>
      </c>
      <c r="M526" s="28" t="s">
        <v>613</v>
      </c>
      <c r="N526" t="s">
        <v>313</v>
      </c>
    </row>
    <row r="527" spans="1:14" hidden="1" x14ac:dyDescent="0.25">
      <c r="A527" t="s">
        <v>10248</v>
      </c>
      <c r="B527" t="s">
        <v>6051</v>
      </c>
      <c r="C527" t="s">
        <v>6052</v>
      </c>
      <c r="D527" t="s">
        <v>6053</v>
      </c>
      <c r="E527" s="28" t="s">
        <v>890</v>
      </c>
      <c r="F527" t="s">
        <v>195</v>
      </c>
      <c r="G527" t="s">
        <v>15</v>
      </c>
      <c r="M527" s="28" t="s">
        <v>613</v>
      </c>
      <c r="N527" t="s">
        <v>313</v>
      </c>
    </row>
    <row r="528" spans="1:14" hidden="1" x14ac:dyDescent="0.25">
      <c r="A528" t="s">
        <v>10442</v>
      </c>
      <c r="B528" t="s">
        <v>6426</v>
      </c>
      <c r="C528" t="s">
        <v>6472</v>
      </c>
      <c r="D528" t="s">
        <v>6473</v>
      </c>
      <c r="E528" s="28" t="s">
        <v>896</v>
      </c>
      <c r="F528" t="s">
        <v>479</v>
      </c>
      <c r="G528" t="s">
        <v>21</v>
      </c>
      <c r="M528" s="28" t="s">
        <v>791</v>
      </c>
      <c r="N528" t="s">
        <v>313</v>
      </c>
    </row>
    <row r="529" spans="1:14" hidden="1" x14ac:dyDescent="0.25">
      <c r="A529" t="s">
        <v>10443</v>
      </c>
      <c r="B529" t="s">
        <v>6426</v>
      </c>
      <c r="C529" t="s">
        <v>6474</v>
      </c>
      <c r="D529" t="s">
        <v>6475</v>
      </c>
      <c r="E529" s="28" t="s">
        <v>890</v>
      </c>
      <c r="F529" t="s">
        <v>479</v>
      </c>
      <c r="G529" t="s">
        <v>21</v>
      </c>
      <c r="M529" s="28" t="s">
        <v>791</v>
      </c>
      <c r="N529" t="s">
        <v>313</v>
      </c>
    </row>
    <row r="530" spans="1:14" hidden="1" x14ac:dyDescent="0.25">
      <c r="A530" t="s">
        <v>10420</v>
      </c>
      <c r="B530" t="s">
        <v>6426</v>
      </c>
      <c r="C530" t="s">
        <v>2502</v>
      </c>
      <c r="D530" t="s">
        <v>6427</v>
      </c>
      <c r="E530" s="28" t="s">
        <v>890</v>
      </c>
      <c r="F530" t="s">
        <v>794</v>
      </c>
      <c r="G530" t="s">
        <v>21</v>
      </c>
      <c r="M530" s="28" t="s">
        <v>791</v>
      </c>
      <c r="N530" t="s">
        <v>313</v>
      </c>
    </row>
    <row r="531" spans="1:14" hidden="1" x14ac:dyDescent="0.25">
      <c r="A531" t="s">
        <v>10421</v>
      </c>
      <c r="B531" t="s">
        <v>6426</v>
      </c>
      <c r="C531" t="s">
        <v>2753</v>
      </c>
      <c r="D531" t="s">
        <v>6428</v>
      </c>
      <c r="E531" s="28" t="s">
        <v>896</v>
      </c>
      <c r="F531" t="s">
        <v>13206</v>
      </c>
      <c r="G531" t="s">
        <v>21</v>
      </c>
      <c r="M531" s="28" t="s">
        <v>791</v>
      </c>
      <c r="N531" t="s">
        <v>313</v>
      </c>
    </row>
    <row r="532" spans="1:14" hidden="1" x14ac:dyDescent="0.25">
      <c r="A532" t="s">
        <v>10422</v>
      </c>
      <c r="B532" t="s">
        <v>6426</v>
      </c>
      <c r="C532" t="s">
        <v>974</v>
      </c>
      <c r="D532" t="s">
        <v>6429</v>
      </c>
      <c r="E532" s="28" t="s">
        <v>890</v>
      </c>
      <c r="F532" t="s">
        <v>794</v>
      </c>
      <c r="G532" t="s">
        <v>21</v>
      </c>
      <c r="M532" s="28" t="s">
        <v>791</v>
      </c>
      <c r="N532" t="s">
        <v>313</v>
      </c>
    </row>
    <row r="533" spans="1:14" hidden="1" x14ac:dyDescent="0.25">
      <c r="A533" t="s">
        <v>10246</v>
      </c>
      <c r="B533" t="s">
        <v>6047</v>
      </c>
      <c r="C533" t="s">
        <v>5633</v>
      </c>
      <c r="D533" t="s">
        <v>6048</v>
      </c>
      <c r="E533" s="28" t="s">
        <v>896</v>
      </c>
      <c r="F533" t="s">
        <v>4909</v>
      </c>
      <c r="G533" t="s">
        <v>15</v>
      </c>
      <c r="M533" s="28" t="s">
        <v>613</v>
      </c>
      <c r="N533" t="s">
        <v>313</v>
      </c>
    </row>
    <row r="534" spans="1:14" hidden="1" x14ac:dyDescent="0.25">
      <c r="A534" t="s">
        <v>10247</v>
      </c>
      <c r="B534" t="s">
        <v>6047</v>
      </c>
      <c r="C534" t="s">
        <v>6049</v>
      </c>
      <c r="D534" t="s">
        <v>6050</v>
      </c>
      <c r="E534" s="28" t="s">
        <v>896</v>
      </c>
      <c r="F534" t="s">
        <v>4909</v>
      </c>
      <c r="G534" t="s">
        <v>15</v>
      </c>
      <c r="M534" s="28" t="s">
        <v>613</v>
      </c>
      <c r="N534" t="s">
        <v>313</v>
      </c>
    </row>
    <row r="535" spans="1:14" hidden="1" x14ac:dyDescent="0.25">
      <c r="A535" t="s">
        <v>10609</v>
      </c>
      <c r="B535" t="s">
        <v>6862</v>
      </c>
      <c r="C535" t="s">
        <v>1179</v>
      </c>
      <c r="D535" t="s">
        <v>6863</v>
      </c>
      <c r="E535" s="28" t="s">
        <v>890</v>
      </c>
      <c r="F535" t="s">
        <v>836</v>
      </c>
      <c r="G535" t="s">
        <v>145</v>
      </c>
      <c r="M535" s="28" t="s">
        <v>13222</v>
      </c>
      <c r="N535" t="s">
        <v>313</v>
      </c>
    </row>
    <row r="536" spans="1:14" hidden="1" x14ac:dyDescent="0.25">
      <c r="A536" t="s">
        <v>10487</v>
      </c>
      <c r="B536" t="s">
        <v>6639</v>
      </c>
      <c r="C536" t="s">
        <v>932</v>
      </c>
      <c r="D536" t="s">
        <v>6640</v>
      </c>
      <c r="E536" s="28" t="s">
        <v>890</v>
      </c>
      <c r="F536" t="s">
        <v>6631</v>
      </c>
      <c r="G536" t="s">
        <v>137</v>
      </c>
      <c r="M536" s="28" t="s">
        <v>805</v>
      </c>
      <c r="N536" t="s">
        <v>313</v>
      </c>
    </row>
    <row r="537" spans="1:14" hidden="1" x14ac:dyDescent="0.25">
      <c r="A537" t="s">
        <v>13052</v>
      </c>
      <c r="B537" t="s">
        <v>13053</v>
      </c>
      <c r="C537" t="s">
        <v>4600</v>
      </c>
      <c r="D537" t="s">
        <v>13054</v>
      </c>
      <c r="E537" s="28" t="s">
        <v>896</v>
      </c>
      <c r="F537" t="s">
        <v>12554</v>
      </c>
      <c r="G537" t="s">
        <v>15</v>
      </c>
      <c r="M537" s="28" t="s">
        <v>613</v>
      </c>
      <c r="N537" t="s">
        <v>313</v>
      </c>
    </row>
    <row r="538" spans="1:14" hidden="1" x14ac:dyDescent="0.25">
      <c r="A538" t="s">
        <v>8621</v>
      </c>
      <c r="B538" t="s">
        <v>2659</v>
      </c>
      <c r="C538" t="s">
        <v>1700</v>
      </c>
      <c r="D538" t="s">
        <v>2660</v>
      </c>
      <c r="E538" s="28" t="s">
        <v>896</v>
      </c>
      <c r="F538" t="s">
        <v>2427</v>
      </c>
      <c r="G538" t="s">
        <v>74</v>
      </c>
      <c r="M538" s="28" t="s">
        <v>507</v>
      </c>
      <c r="N538" t="s">
        <v>313</v>
      </c>
    </row>
    <row r="539" spans="1:14" hidden="1" x14ac:dyDescent="0.25">
      <c r="A539" t="s">
        <v>10244</v>
      </c>
      <c r="B539" t="s">
        <v>6043</v>
      </c>
      <c r="C539" t="s">
        <v>1224</v>
      </c>
      <c r="D539" t="s">
        <v>6044</v>
      </c>
      <c r="E539" s="28" t="s">
        <v>896</v>
      </c>
      <c r="F539" t="s">
        <v>727</v>
      </c>
      <c r="G539" t="s">
        <v>15</v>
      </c>
      <c r="M539" s="28" t="s">
        <v>613</v>
      </c>
      <c r="N539" t="s">
        <v>313</v>
      </c>
    </row>
    <row r="540" spans="1:14" hidden="1" x14ac:dyDescent="0.25">
      <c r="A540" t="s">
        <v>10245</v>
      </c>
      <c r="B540" t="s">
        <v>6043</v>
      </c>
      <c r="C540" t="s">
        <v>6045</v>
      </c>
      <c r="D540" t="s">
        <v>6046</v>
      </c>
      <c r="E540" s="28" t="s">
        <v>890</v>
      </c>
      <c r="F540" t="s">
        <v>727</v>
      </c>
      <c r="G540" t="s">
        <v>15</v>
      </c>
      <c r="M540" s="28" t="s">
        <v>613</v>
      </c>
      <c r="N540" t="s">
        <v>313</v>
      </c>
    </row>
    <row r="541" spans="1:14" hidden="1" x14ac:dyDescent="0.25">
      <c r="A541" t="s">
        <v>10243</v>
      </c>
      <c r="B541" t="s">
        <v>6040</v>
      </c>
      <c r="C541" t="s">
        <v>6041</v>
      </c>
      <c r="D541" t="s">
        <v>6042</v>
      </c>
      <c r="E541" s="28" t="s">
        <v>896</v>
      </c>
      <c r="F541" t="s">
        <v>654</v>
      </c>
      <c r="G541" t="s">
        <v>15</v>
      </c>
      <c r="M541" s="28" t="s">
        <v>613</v>
      </c>
      <c r="N541" t="s">
        <v>313</v>
      </c>
    </row>
    <row r="542" spans="1:14" hidden="1" x14ac:dyDescent="0.25">
      <c r="A542" t="s">
        <v>8748</v>
      </c>
      <c r="B542" t="s">
        <v>2970</v>
      </c>
      <c r="C542" t="s">
        <v>1193</v>
      </c>
      <c r="D542" t="s">
        <v>2971</v>
      </c>
      <c r="E542" s="28" t="s">
        <v>896</v>
      </c>
      <c r="F542" t="s">
        <v>543</v>
      </c>
      <c r="G542" t="s">
        <v>86</v>
      </c>
      <c r="M542" s="28" t="s">
        <v>546</v>
      </c>
      <c r="N542" t="s">
        <v>313</v>
      </c>
    </row>
    <row r="543" spans="1:14" hidden="1" x14ac:dyDescent="0.25">
      <c r="A543" t="s">
        <v>8636</v>
      </c>
      <c r="B543" t="s">
        <v>2696</v>
      </c>
      <c r="C543" t="s">
        <v>1741</v>
      </c>
      <c r="D543" t="s">
        <v>2697</v>
      </c>
      <c r="E543" s="28" t="s">
        <v>890</v>
      </c>
      <c r="F543" t="s">
        <v>11665</v>
      </c>
      <c r="G543" t="s">
        <v>74</v>
      </c>
      <c r="M543" s="28" t="s">
        <v>507</v>
      </c>
      <c r="N543" t="s">
        <v>313</v>
      </c>
    </row>
    <row r="544" spans="1:14" hidden="1" x14ac:dyDescent="0.25">
      <c r="A544" t="s">
        <v>8228</v>
      </c>
      <c r="B544" t="s">
        <v>1693</v>
      </c>
      <c r="C544" t="s">
        <v>1694</v>
      </c>
      <c r="D544" t="s">
        <v>1695</v>
      </c>
      <c r="E544" s="28" t="s">
        <v>890</v>
      </c>
      <c r="F544" t="s">
        <v>891</v>
      </c>
      <c r="G544" t="s">
        <v>43</v>
      </c>
      <c r="M544" s="28" t="s">
        <v>14205</v>
      </c>
    </row>
    <row r="545" spans="1:14" hidden="1" x14ac:dyDescent="0.25">
      <c r="A545" t="s">
        <v>13636</v>
      </c>
      <c r="B545" t="s">
        <v>13637</v>
      </c>
      <c r="C545" t="s">
        <v>4789</v>
      </c>
      <c r="D545" t="s">
        <v>13638</v>
      </c>
      <c r="E545" s="28" t="s">
        <v>1177</v>
      </c>
      <c r="F545" t="s">
        <v>764</v>
      </c>
      <c r="G545" t="s">
        <v>15</v>
      </c>
      <c r="M545" s="28" t="s">
        <v>613</v>
      </c>
      <c r="N545" t="s">
        <v>313</v>
      </c>
    </row>
    <row r="546" spans="1:14" hidden="1" x14ac:dyDescent="0.25">
      <c r="A546" t="s">
        <v>12883</v>
      </c>
      <c r="B546" t="s">
        <v>12884</v>
      </c>
      <c r="C546" t="s">
        <v>4600</v>
      </c>
      <c r="D546" t="s">
        <v>12885</v>
      </c>
      <c r="E546" s="28" t="s">
        <v>896</v>
      </c>
      <c r="F546" t="s">
        <v>13217</v>
      </c>
      <c r="G546" t="s">
        <v>15</v>
      </c>
      <c r="M546" s="28" t="s">
        <v>613</v>
      </c>
      <c r="N546" t="s">
        <v>313</v>
      </c>
    </row>
    <row r="547" spans="1:14" hidden="1" x14ac:dyDescent="0.25">
      <c r="A547" t="s">
        <v>10242</v>
      </c>
      <c r="B547" t="s">
        <v>6039</v>
      </c>
      <c r="C547" t="s">
        <v>2582</v>
      </c>
      <c r="D547" t="s">
        <v>18</v>
      </c>
      <c r="E547" s="28" t="s">
        <v>890</v>
      </c>
      <c r="F547" t="s">
        <v>620</v>
      </c>
      <c r="G547" t="s">
        <v>15</v>
      </c>
      <c r="M547" s="28" t="s">
        <v>613</v>
      </c>
      <c r="N547" t="s">
        <v>313</v>
      </c>
    </row>
    <row r="548" spans="1:14" hidden="1" x14ac:dyDescent="0.25">
      <c r="A548" t="s">
        <v>10241</v>
      </c>
      <c r="B548" t="s">
        <v>6037</v>
      </c>
      <c r="C548" t="s">
        <v>4440</v>
      </c>
      <c r="D548" t="s">
        <v>6038</v>
      </c>
      <c r="E548" s="28" t="s">
        <v>896</v>
      </c>
      <c r="F548" t="s">
        <v>4635</v>
      </c>
      <c r="G548" t="s">
        <v>15</v>
      </c>
      <c r="M548" s="28" t="s">
        <v>613</v>
      </c>
      <c r="N548" t="s">
        <v>313</v>
      </c>
    </row>
    <row r="549" spans="1:14" hidden="1" x14ac:dyDescent="0.25">
      <c r="A549" t="s">
        <v>10240</v>
      </c>
      <c r="B549" t="s">
        <v>6035</v>
      </c>
      <c r="C549" t="s">
        <v>5589</v>
      </c>
      <c r="D549" t="s">
        <v>6036</v>
      </c>
      <c r="E549" s="28" t="s">
        <v>890</v>
      </c>
      <c r="F549" t="s">
        <v>2850</v>
      </c>
      <c r="G549" t="s">
        <v>15</v>
      </c>
      <c r="M549" s="28" t="s">
        <v>613</v>
      </c>
      <c r="N549" t="s">
        <v>313</v>
      </c>
    </row>
    <row r="550" spans="1:14" hidden="1" x14ac:dyDescent="0.25">
      <c r="A550" t="s">
        <v>10239</v>
      </c>
      <c r="B550" t="s">
        <v>6033</v>
      </c>
      <c r="C550" t="s">
        <v>2619</v>
      </c>
      <c r="D550" t="s">
        <v>6034</v>
      </c>
      <c r="E550" s="28" t="s">
        <v>1177</v>
      </c>
      <c r="F550" t="s">
        <v>746</v>
      </c>
      <c r="G550" t="s">
        <v>15</v>
      </c>
      <c r="M550" s="28" t="s">
        <v>613</v>
      </c>
      <c r="N550" t="s">
        <v>313</v>
      </c>
    </row>
    <row r="551" spans="1:14" hidden="1" x14ac:dyDescent="0.25">
      <c r="A551" t="s">
        <v>10238</v>
      </c>
      <c r="B551" t="s">
        <v>6031</v>
      </c>
      <c r="C551" t="s">
        <v>4726</v>
      </c>
      <c r="D551" t="s">
        <v>6032</v>
      </c>
      <c r="E551" s="28" t="s">
        <v>890</v>
      </c>
      <c r="F551" t="s">
        <v>625</v>
      </c>
      <c r="G551" t="s">
        <v>15</v>
      </c>
      <c r="M551" s="28" t="s">
        <v>613</v>
      </c>
      <c r="N551" t="s">
        <v>313</v>
      </c>
    </row>
    <row r="552" spans="1:14" hidden="1" x14ac:dyDescent="0.25">
      <c r="A552" t="s">
        <v>10237</v>
      </c>
      <c r="B552" t="s">
        <v>6029</v>
      </c>
      <c r="C552" t="s">
        <v>5267</v>
      </c>
      <c r="D552" t="s">
        <v>6030</v>
      </c>
      <c r="E552" s="28" t="s">
        <v>890</v>
      </c>
      <c r="F552" t="s">
        <v>688</v>
      </c>
      <c r="G552" t="s">
        <v>15</v>
      </c>
      <c r="M552" s="28" t="s">
        <v>613</v>
      </c>
      <c r="N552" t="s">
        <v>313</v>
      </c>
    </row>
    <row r="553" spans="1:14" hidden="1" x14ac:dyDescent="0.25">
      <c r="A553" t="s">
        <v>8619</v>
      </c>
      <c r="B553" t="s">
        <v>2653</v>
      </c>
      <c r="C553" t="s">
        <v>2654</v>
      </c>
      <c r="D553" t="s">
        <v>2655</v>
      </c>
      <c r="E553" s="28" t="s">
        <v>896</v>
      </c>
      <c r="F553" t="s">
        <v>510</v>
      </c>
      <c r="G553" t="s">
        <v>74</v>
      </c>
      <c r="M553" s="28" t="s">
        <v>507</v>
      </c>
      <c r="N553" t="s">
        <v>313</v>
      </c>
    </row>
    <row r="554" spans="1:14" hidden="1" x14ac:dyDescent="0.25">
      <c r="A554" t="s">
        <v>14257</v>
      </c>
      <c r="B554" t="s">
        <v>14258</v>
      </c>
      <c r="C554" t="s">
        <v>2157</v>
      </c>
      <c r="D554" t="s">
        <v>11704</v>
      </c>
      <c r="E554" s="28" t="s">
        <v>896</v>
      </c>
      <c r="F554" t="s">
        <v>891</v>
      </c>
      <c r="G554" t="s">
        <v>81</v>
      </c>
      <c r="M554" s="28" t="s">
        <v>530</v>
      </c>
      <c r="N554" t="s">
        <v>313</v>
      </c>
    </row>
    <row r="555" spans="1:14" hidden="1" x14ac:dyDescent="0.25">
      <c r="A555" t="s">
        <v>13639</v>
      </c>
      <c r="B555" t="s">
        <v>13640</v>
      </c>
      <c r="C555" t="s">
        <v>4753</v>
      </c>
      <c r="D555" t="s">
        <v>13641</v>
      </c>
      <c r="E555" s="28" t="s">
        <v>896</v>
      </c>
      <c r="F555" t="s">
        <v>730</v>
      </c>
      <c r="G555" t="s">
        <v>15</v>
      </c>
      <c r="M555" s="28" t="s">
        <v>613</v>
      </c>
      <c r="N555" t="s">
        <v>313</v>
      </c>
    </row>
    <row r="556" spans="1:14" hidden="1" x14ac:dyDescent="0.25">
      <c r="A556" t="s">
        <v>9505</v>
      </c>
      <c r="B556" t="s">
        <v>4506</v>
      </c>
      <c r="C556" t="s">
        <v>1121</v>
      </c>
      <c r="D556" t="s">
        <v>4507</v>
      </c>
      <c r="E556" s="28" t="s">
        <v>896</v>
      </c>
      <c r="F556" t="s">
        <v>4508</v>
      </c>
      <c r="G556" t="s">
        <v>90</v>
      </c>
      <c r="M556" s="28"/>
    </row>
    <row r="557" spans="1:14" hidden="1" x14ac:dyDescent="0.25">
      <c r="A557" t="s">
        <v>9506</v>
      </c>
      <c r="B557" t="s">
        <v>4506</v>
      </c>
      <c r="C557" t="s">
        <v>4509</v>
      </c>
      <c r="D557" t="s">
        <v>4510</v>
      </c>
      <c r="E557" s="28" t="s">
        <v>930</v>
      </c>
      <c r="F557" t="s">
        <v>4508</v>
      </c>
      <c r="G557" t="s">
        <v>90</v>
      </c>
      <c r="M557" s="28"/>
    </row>
    <row r="558" spans="1:14" hidden="1" x14ac:dyDescent="0.25">
      <c r="A558" t="s">
        <v>10546</v>
      </c>
      <c r="B558" t="s">
        <v>6027</v>
      </c>
      <c r="C558" t="s">
        <v>6753</v>
      </c>
      <c r="D558" t="s">
        <v>6754</v>
      </c>
      <c r="E558" s="28" t="s">
        <v>890</v>
      </c>
      <c r="F558" t="s">
        <v>891</v>
      </c>
      <c r="G558" t="s">
        <v>137</v>
      </c>
      <c r="M558" s="28" t="s">
        <v>805</v>
      </c>
      <c r="N558" t="s">
        <v>313</v>
      </c>
    </row>
    <row r="559" spans="1:14" hidden="1" x14ac:dyDescent="0.25">
      <c r="A559" t="s">
        <v>10236</v>
      </c>
      <c r="B559" t="s">
        <v>6027</v>
      </c>
      <c r="C559" t="s">
        <v>4606</v>
      </c>
      <c r="D559" t="s">
        <v>6028</v>
      </c>
      <c r="E559" s="28" t="s">
        <v>890</v>
      </c>
      <c r="F559" t="s">
        <v>730</v>
      </c>
      <c r="G559" t="s">
        <v>15</v>
      </c>
      <c r="M559" s="28" t="s">
        <v>613</v>
      </c>
      <c r="N559" t="s">
        <v>313</v>
      </c>
    </row>
    <row r="560" spans="1:14" hidden="1" x14ac:dyDescent="0.25">
      <c r="A560" t="s">
        <v>10235</v>
      </c>
      <c r="B560" t="s">
        <v>6025</v>
      </c>
      <c r="C560" t="s">
        <v>4440</v>
      </c>
      <c r="D560" t="s">
        <v>6026</v>
      </c>
      <c r="E560" s="28" t="s">
        <v>890</v>
      </c>
      <c r="F560" t="s">
        <v>755</v>
      </c>
      <c r="G560" t="s">
        <v>15</v>
      </c>
      <c r="M560" s="28" t="s">
        <v>613</v>
      </c>
      <c r="N560" t="s">
        <v>313</v>
      </c>
    </row>
    <row r="561" spans="1:14" hidden="1" x14ac:dyDescent="0.25">
      <c r="A561" t="s">
        <v>10779</v>
      </c>
      <c r="B561" t="s">
        <v>7278</v>
      </c>
      <c r="C561" t="s">
        <v>4726</v>
      </c>
      <c r="D561" t="s">
        <v>7279</v>
      </c>
      <c r="E561" s="28" t="s">
        <v>896</v>
      </c>
      <c r="F561" t="s">
        <v>7258</v>
      </c>
      <c r="G561" t="s">
        <v>152</v>
      </c>
      <c r="M561" s="28"/>
    </row>
    <row r="562" spans="1:14" hidden="1" x14ac:dyDescent="0.25">
      <c r="A562" t="s">
        <v>10488</v>
      </c>
      <c r="B562" t="s">
        <v>6641</v>
      </c>
      <c r="C562" t="s">
        <v>4916</v>
      </c>
      <c r="D562" t="s">
        <v>6642</v>
      </c>
      <c r="E562" s="28" t="s">
        <v>890</v>
      </c>
      <c r="F562" t="s">
        <v>813</v>
      </c>
      <c r="G562" t="s">
        <v>137</v>
      </c>
      <c r="M562" s="28" t="s">
        <v>805</v>
      </c>
      <c r="N562" t="s">
        <v>313</v>
      </c>
    </row>
    <row r="563" spans="1:14" hidden="1" x14ac:dyDescent="0.25">
      <c r="A563" t="s">
        <v>10234</v>
      </c>
      <c r="B563" t="s">
        <v>6023</v>
      </c>
      <c r="C563" t="s">
        <v>4748</v>
      </c>
      <c r="D563" t="s">
        <v>6024</v>
      </c>
      <c r="E563" s="28" t="s">
        <v>896</v>
      </c>
      <c r="F563" t="s">
        <v>197</v>
      </c>
      <c r="G563" t="s">
        <v>15</v>
      </c>
      <c r="M563" s="28" t="s">
        <v>613</v>
      </c>
      <c r="N563" t="s">
        <v>313</v>
      </c>
    </row>
    <row r="564" spans="1:14" hidden="1" x14ac:dyDescent="0.25">
      <c r="A564" t="s">
        <v>10233</v>
      </c>
      <c r="B564" t="s">
        <v>6021</v>
      </c>
      <c r="C564" t="s">
        <v>4808</v>
      </c>
      <c r="D564" t="s">
        <v>6022</v>
      </c>
      <c r="E564" s="28" t="s">
        <v>1177</v>
      </c>
      <c r="F564" t="s">
        <v>746</v>
      </c>
      <c r="G564" t="s">
        <v>15</v>
      </c>
      <c r="M564" s="28" t="s">
        <v>613</v>
      </c>
      <c r="N564" t="s">
        <v>313</v>
      </c>
    </row>
    <row r="565" spans="1:14" hidden="1" x14ac:dyDescent="0.25">
      <c r="A565" t="s">
        <v>8676</v>
      </c>
      <c r="B565" t="s">
        <v>12822</v>
      </c>
      <c r="C565" t="s">
        <v>12824</v>
      </c>
      <c r="D565" t="s">
        <v>2800</v>
      </c>
      <c r="E565" s="28" t="s">
        <v>896</v>
      </c>
      <c r="F565" t="s">
        <v>158</v>
      </c>
      <c r="G565" t="s">
        <v>74</v>
      </c>
      <c r="M565" s="28" t="s">
        <v>507</v>
      </c>
      <c r="N565" t="s">
        <v>313</v>
      </c>
    </row>
    <row r="566" spans="1:14" hidden="1" x14ac:dyDescent="0.25">
      <c r="A566" t="s">
        <v>8675</v>
      </c>
      <c r="B566" t="s">
        <v>12822</v>
      </c>
      <c r="C566" t="s">
        <v>12823</v>
      </c>
      <c r="D566" t="s">
        <v>2799</v>
      </c>
      <c r="E566" s="28" t="s">
        <v>890</v>
      </c>
      <c r="F566" t="s">
        <v>158</v>
      </c>
      <c r="G566" t="s">
        <v>74</v>
      </c>
      <c r="M566" s="28" t="s">
        <v>507</v>
      </c>
      <c r="N566" t="s">
        <v>313</v>
      </c>
    </row>
    <row r="567" spans="1:14" hidden="1" x14ac:dyDescent="0.25">
      <c r="A567" t="s">
        <v>10232</v>
      </c>
      <c r="B567" t="s">
        <v>6019</v>
      </c>
      <c r="C567" t="s">
        <v>941</v>
      </c>
      <c r="D567" t="s">
        <v>6020</v>
      </c>
      <c r="E567" s="28" t="s">
        <v>890</v>
      </c>
      <c r="F567" t="s">
        <v>721</v>
      </c>
      <c r="G567" t="s">
        <v>15</v>
      </c>
      <c r="M567" s="28" t="s">
        <v>613</v>
      </c>
      <c r="N567" t="s">
        <v>313</v>
      </c>
    </row>
    <row r="568" spans="1:14" hidden="1" x14ac:dyDescent="0.25">
      <c r="A568" t="s">
        <v>8578</v>
      </c>
      <c r="B568" t="s">
        <v>2556</v>
      </c>
      <c r="C568" t="s">
        <v>2520</v>
      </c>
      <c r="D568" t="s">
        <v>2557</v>
      </c>
      <c r="E568" s="28" t="s">
        <v>896</v>
      </c>
      <c r="F568" t="s">
        <v>488</v>
      </c>
      <c r="G568" t="s">
        <v>11</v>
      </c>
      <c r="M568" s="28" t="s">
        <v>413</v>
      </c>
      <c r="N568" t="s">
        <v>313</v>
      </c>
    </row>
    <row r="569" spans="1:14" hidden="1" x14ac:dyDescent="0.25">
      <c r="A569" t="s">
        <v>13642</v>
      </c>
      <c r="B569" t="s">
        <v>6800</v>
      </c>
      <c r="C569" t="s">
        <v>6776</v>
      </c>
      <c r="D569" t="s">
        <v>13488</v>
      </c>
      <c r="E569" s="28" t="s">
        <v>896</v>
      </c>
      <c r="F569" t="s">
        <v>415</v>
      </c>
      <c r="G569" t="s">
        <v>137</v>
      </c>
      <c r="M569" s="28" t="s">
        <v>805</v>
      </c>
      <c r="N569" t="s">
        <v>313</v>
      </c>
    </row>
    <row r="570" spans="1:14" hidden="1" x14ac:dyDescent="0.25">
      <c r="A570" t="s">
        <v>14259</v>
      </c>
      <c r="B570" t="s">
        <v>14260</v>
      </c>
      <c r="C570" t="s">
        <v>1105</v>
      </c>
      <c r="D570" t="s">
        <v>13643</v>
      </c>
      <c r="E570" s="28" t="s">
        <v>1023</v>
      </c>
      <c r="F570" t="s">
        <v>13197</v>
      </c>
      <c r="G570" t="s">
        <v>81</v>
      </c>
      <c r="M570" s="28" t="s">
        <v>530</v>
      </c>
      <c r="N570" t="s">
        <v>313</v>
      </c>
    </row>
    <row r="571" spans="1:14" hidden="1" x14ac:dyDescent="0.25">
      <c r="A571" t="s">
        <v>8323</v>
      </c>
      <c r="B571" t="s">
        <v>1935</v>
      </c>
      <c r="C571" t="s">
        <v>1936</v>
      </c>
      <c r="D571" t="s">
        <v>1937</v>
      </c>
      <c r="E571" s="28" t="s">
        <v>890</v>
      </c>
      <c r="F571" t="s">
        <v>1872</v>
      </c>
      <c r="G571" t="s">
        <v>43</v>
      </c>
      <c r="M571" s="28" t="s">
        <v>14205</v>
      </c>
    </row>
    <row r="572" spans="1:14" hidden="1" x14ac:dyDescent="0.25">
      <c r="A572" t="s">
        <v>12426</v>
      </c>
      <c r="B572" t="s">
        <v>12427</v>
      </c>
      <c r="C572" t="s">
        <v>12428</v>
      </c>
      <c r="D572" t="s">
        <v>12429</v>
      </c>
      <c r="E572" s="28" t="s">
        <v>896</v>
      </c>
      <c r="F572" t="s">
        <v>1919</v>
      </c>
      <c r="G572" t="s">
        <v>43</v>
      </c>
      <c r="M572" s="28" t="s">
        <v>14205</v>
      </c>
    </row>
    <row r="573" spans="1:14" hidden="1" x14ac:dyDescent="0.25">
      <c r="A573" t="s">
        <v>14615</v>
      </c>
      <c r="B573" t="s">
        <v>14616</v>
      </c>
      <c r="C573" t="s">
        <v>894</v>
      </c>
      <c r="D573" t="s">
        <v>14617</v>
      </c>
      <c r="E573" s="28" t="s">
        <v>896</v>
      </c>
      <c r="F573" t="s">
        <v>623</v>
      </c>
      <c r="G573" t="s">
        <v>15</v>
      </c>
      <c r="M573" s="28" t="s">
        <v>613</v>
      </c>
      <c r="N573" t="s">
        <v>313</v>
      </c>
    </row>
    <row r="574" spans="1:14" hidden="1" x14ac:dyDescent="0.25">
      <c r="A574" t="s">
        <v>14618</v>
      </c>
      <c r="B574" t="s">
        <v>14616</v>
      </c>
      <c r="C574" t="s">
        <v>4936</v>
      </c>
      <c r="D574" t="s">
        <v>14619</v>
      </c>
      <c r="E574" s="28" t="s">
        <v>1177</v>
      </c>
      <c r="F574" t="s">
        <v>623</v>
      </c>
      <c r="G574" t="s">
        <v>15</v>
      </c>
      <c r="M574" s="28" t="s">
        <v>613</v>
      </c>
      <c r="N574" t="s">
        <v>313</v>
      </c>
    </row>
    <row r="575" spans="1:14" hidden="1" x14ac:dyDescent="0.25">
      <c r="A575" t="s">
        <v>7956</v>
      </c>
      <c r="B575" t="s">
        <v>943</v>
      </c>
      <c r="C575" t="s">
        <v>944</v>
      </c>
      <c r="D575" t="s">
        <v>945</v>
      </c>
      <c r="E575" s="28" t="s">
        <v>896</v>
      </c>
      <c r="F575" t="s">
        <v>32</v>
      </c>
      <c r="G575" t="s">
        <v>28</v>
      </c>
      <c r="M575" s="28" t="s">
        <v>14241</v>
      </c>
      <c r="N575" t="s">
        <v>14206</v>
      </c>
    </row>
    <row r="576" spans="1:14" hidden="1" x14ac:dyDescent="0.25">
      <c r="A576" t="s">
        <v>10231</v>
      </c>
      <c r="B576" t="s">
        <v>6017</v>
      </c>
      <c r="C576" t="s">
        <v>4606</v>
      </c>
      <c r="D576" t="s">
        <v>6018</v>
      </c>
      <c r="E576" s="28" t="s">
        <v>896</v>
      </c>
      <c r="F576" t="s">
        <v>4635</v>
      </c>
      <c r="G576" t="s">
        <v>15</v>
      </c>
      <c r="M576" s="28" t="s">
        <v>613</v>
      </c>
      <c r="N576" t="s">
        <v>313</v>
      </c>
    </row>
    <row r="577" spans="1:14" hidden="1" x14ac:dyDescent="0.25">
      <c r="A577" t="s">
        <v>10230</v>
      </c>
      <c r="B577" t="s">
        <v>6015</v>
      </c>
      <c r="C577" t="s">
        <v>909</v>
      </c>
      <c r="D577" t="s">
        <v>6016</v>
      </c>
      <c r="E577" s="28" t="s">
        <v>896</v>
      </c>
      <c r="F577" t="s">
        <v>662</v>
      </c>
      <c r="G577" t="s">
        <v>15</v>
      </c>
      <c r="M577" s="28" t="s">
        <v>613</v>
      </c>
      <c r="N577" t="s">
        <v>313</v>
      </c>
    </row>
    <row r="578" spans="1:14" hidden="1" x14ac:dyDescent="0.25">
      <c r="A578" t="s">
        <v>10229</v>
      </c>
      <c r="B578" t="s">
        <v>6013</v>
      </c>
      <c r="C578" t="s">
        <v>4553</v>
      </c>
      <c r="D578" t="s">
        <v>6014</v>
      </c>
      <c r="E578" s="28" t="s">
        <v>890</v>
      </c>
      <c r="F578" t="s">
        <v>14114</v>
      </c>
      <c r="G578" t="s">
        <v>15</v>
      </c>
      <c r="M578" s="28" t="s">
        <v>613</v>
      </c>
      <c r="N578" t="s">
        <v>313</v>
      </c>
    </row>
    <row r="579" spans="1:14" hidden="1" x14ac:dyDescent="0.25">
      <c r="A579" t="s">
        <v>10489</v>
      </c>
      <c r="B579" t="s">
        <v>1856</v>
      </c>
      <c r="C579" t="s">
        <v>1052</v>
      </c>
      <c r="D579" t="s">
        <v>6643</v>
      </c>
      <c r="E579" s="28" t="s">
        <v>890</v>
      </c>
      <c r="F579" t="s">
        <v>6644</v>
      </c>
      <c r="G579" t="s">
        <v>137</v>
      </c>
      <c r="M579" s="28" t="s">
        <v>805</v>
      </c>
      <c r="N579" t="s">
        <v>313</v>
      </c>
    </row>
    <row r="580" spans="1:14" hidden="1" x14ac:dyDescent="0.25">
      <c r="A580" t="s">
        <v>8294</v>
      </c>
      <c r="B580" t="s">
        <v>1856</v>
      </c>
      <c r="C580" t="s">
        <v>1691</v>
      </c>
      <c r="D580" t="s">
        <v>1857</v>
      </c>
      <c r="E580" s="28" t="s">
        <v>890</v>
      </c>
      <c r="F580" t="s">
        <v>360</v>
      </c>
      <c r="G580" t="s">
        <v>43</v>
      </c>
      <c r="M580" s="28" t="s">
        <v>14205</v>
      </c>
    </row>
    <row r="581" spans="1:14" hidden="1" x14ac:dyDescent="0.25">
      <c r="A581" t="s">
        <v>10801</v>
      </c>
      <c r="B581" t="s">
        <v>7332</v>
      </c>
      <c r="C581" t="s">
        <v>1901</v>
      </c>
      <c r="D581" t="s">
        <v>7333</v>
      </c>
      <c r="E581" s="28" t="s">
        <v>896</v>
      </c>
      <c r="F581" t="s">
        <v>875</v>
      </c>
      <c r="G581" t="s">
        <v>157</v>
      </c>
      <c r="M581" s="28" t="s">
        <v>840</v>
      </c>
      <c r="N581" t="s">
        <v>382</v>
      </c>
    </row>
    <row r="582" spans="1:14" hidden="1" x14ac:dyDescent="0.25">
      <c r="A582" t="s">
        <v>12851</v>
      </c>
      <c r="B582" t="s">
        <v>12852</v>
      </c>
      <c r="C582" t="s">
        <v>12853</v>
      </c>
      <c r="D582" t="s">
        <v>12854</v>
      </c>
      <c r="E582" s="28" t="s">
        <v>890</v>
      </c>
      <c r="F582" t="s">
        <v>891</v>
      </c>
      <c r="G582" t="s">
        <v>88</v>
      </c>
      <c r="M582" s="28" t="s">
        <v>549</v>
      </c>
      <c r="N582" t="s">
        <v>313</v>
      </c>
    </row>
    <row r="583" spans="1:14" hidden="1" x14ac:dyDescent="0.25">
      <c r="A583" t="s">
        <v>12886</v>
      </c>
      <c r="B583" t="s">
        <v>12887</v>
      </c>
      <c r="C583" t="s">
        <v>4536</v>
      </c>
      <c r="D583" t="s">
        <v>12888</v>
      </c>
      <c r="E583" s="28" t="s">
        <v>890</v>
      </c>
      <c r="F583" t="s">
        <v>12865</v>
      </c>
      <c r="G583" t="s">
        <v>15</v>
      </c>
      <c r="M583" s="28" t="s">
        <v>613</v>
      </c>
      <c r="N583" t="s">
        <v>313</v>
      </c>
    </row>
    <row r="584" spans="1:14" hidden="1" x14ac:dyDescent="0.25">
      <c r="A584" t="s">
        <v>10228</v>
      </c>
      <c r="B584" t="s">
        <v>6011</v>
      </c>
      <c r="C584" t="s">
        <v>4557</v>
      </c>
      <c r="D584" t="s">
        <v>6012</v>
      </c>
      <c r="E584" s="28" t="s">
        <v>896</v>
      </c>
      <c r="F584" t="s">
        <v>688</v>
      </c>
      <c r="G584" t="s">
        <v>15</v>
      </c>
      <c r="M584" s="28" t="s">
        <v>613</v>
      </c>
      <c r="N584" t="s">
        <v>313</v>
      </c>
    </row>
    <row r="585" spans="1:14" hidden="1" x14ac:dyDescent="0.25">
      <c r="A585" t="s">
        <v>8611</v>
      </c>
      <c r="B585" t="s">
        <v>2629</v>
      </c>
      <c r="C585" t="s">
        <v>1676</v>
      </c>
      <c r="D585" t="s">
        <v>2630</v>
      </c>
      <c r="E585" s="28" t="s">
        <v>896</v>
      </c>
      <c r="F585" t="s">
        <v>172</v>
      </c>
      <c r="G585" t="s">
        <v>74</v>
      </c>
      <c r="M585" s="28" t="s">
        <v>507</v>
      </c>
      <c r="N585" t="s">
        <v>313</v>
      </c>
    </row>
    <row r="586" spans="1:14" hidden="1" x14ac:dyDescent="0.25">
      <c r="A586" t="s">
        <v>10227</v>
      </c>
      <c r="B586" t="s">
        <v>6009</v>
      </c>
      <c r="C586" t="s">
        <v>4781</v>
      </c>
      <c r="D586" t="s">
        <v>6010</v>
      </c>
      <c r="E586" s="28" t="s">
        <v>896</v>
      </c>
      <c r="F586" t="s">
        <v>208</v>
      </c>
      <c r="G586" t="s">
        <v>15</v>
      </c>
      <c r="M586" s="28" t="s">
        <v>613</v>
      </c>
      <c r="N586" t="s">
        <v>313</v>
      </c>
    </row>
    <row r="587" spans="1:14" hidden="1" x14ac:dyDescent="0.25">
      <c r="A587" t="s">
        <v>8199</v>
      </c>
      <c r="B587" t="s">
        <v>1314</v>
      </c>
      <c r="C587" t="s">
        <v>1616</v>
      </c>
      <c r="D587" t="s">
        <v>1617</v>
      </c>
      <c r="E587" s="28" t="s">
        <v>1177</v>
      </c>
      <c r="F587" t="s">
        <v>57</v>
      </c>
      <c r="G587" t="s">
        <v>38</v>
      </c>
      <c r="M587" s="28"/>
    </row>
    <row r="588" spans="1:14" hidden="1" x14ac:dyDescent="0.25">
      <c r="A588" t="s">
        <v>8080</v>
      </c>
      <c r="B588" t="s">
        <v>1314</v>
      </c>
      <c r="C588" t="s">
        <v>1315</v>
      </c>
      <c r="D588" t="s">
        <v>1316</v>
      </c>
      <c r="E588" s="28" t="s">
        <v>890</v>
      </c>
      <c r="F588" t="s">
        <v>57</v>
      </c>
      <c r="G588" t="s">
        <v>38</v>
      </c>
      <c r="M588" s="28"/>
    </row>
    <row r="589" spans="1:14" hidden="1" x14ac:dyDescent="0.25">
      <c r="A589" t="s">
        <v>10226</v>
      </c>
      <c r="B589" t="s">
        <v>6007</v>
      </c>
      <c r="C589" t="s">
        <v>1084</v>
      </c>
      <c r="D589" t="s">
        <v>6008</v>
      </c>
      <c r="E589" s="28" t="s">
        <v>896</v>
      </c>
      <c r="F589" t="s">
        <v>4648</v>
      </c>
      <c r="G589" t="s">
        <v>15</v>
      </c>
      <c r="M589" s="28" t="s">
        <v>613</v>
      </c>
      <c r="N589" t="s">
        <v>313</v>
      </c>
    </row>
    <row r="590" spans="1:14" hidden="1" x14ac:dyDescent="0.25">
      <c r="A590" t="s">
        <v>8833</v>
      </c>
      <c r="B590" t="s">
        <v>3157</v>
      </c>
      <c r="C590" t="s">
        <v>3158</v>
      </c>
      <c r="D590" t="s">
        <v>3159</v>
      </c>
      <c r="E590" s="28" t="s">
        <v>890</v>
      </c>
      <c r="F590" t="s">
        <v>891</v>
      </c>
      <c r="G590" t="s">
        <v>88</v>
      </c>
      <c r="M590" s="28" t="s">
        <v>549</v>
      </c>
      <c r="N590" t="s">
        <v>313</v>
      </c>
    </row>
    <row r="591" spans="1:14" hidden="1" x14ac:dyDescent="0.25">
      <c r="A591" t="s">
        <v>10225</v>
      </c>
      <c r="B591" t="s">
        <v>6005</v>
      </c>
      <c r="C591" t="s">
        <v>4440</v>
      </c>
      <c r="D591" t="s">
        <v>6006</v>
      </c>
      <c r="E591" s="28" t="s">
        <v>896</v>
      </c>
      <c r="F591" t="s">
        <v>654</v>
      </c>
      <c r="G591" t="s">
        <v>15</v>
      </c>
      <c r="M591" s="28" t="s">
        <v>613</v>
      </c>
      <c r="N591" t="s">
        <v>313</v>
      </c>
    </row>
    <row r="592" spans="1:14" hidden="1" x14ac:dyDescent="0.25">
      <c r="A592" t="s">
        <v>8629</v>
      </c>
      <c r="B592" t="s">
        <v>2677</v>
      </c>
      <c r="C592" t="s">
        <v>2678</v>
      </c>
      <c r="D592" t="s">
        <v>2679</v>
      </c>
      <c r="E592" s="28" t="s">
        <v>890</v>
      </c>
      <c r="F592" t="s">
        <v>170</v>
      </c>
      <c r="G592" t="s">
        <v>74</v>
      </c>
      <c r="M592" s="28" t="s">
        <v>507</v>
      </c>
      <c r="N592" t="s">
        <v>313</v>
      </c>
    </row>
    <row r="593" spans="1:14" hidden="1" x14ac:dyDescent="0.25">
      <c r="A593" t="s">
        <v>10224</v>
      </c>
      <c r="B593" t="s">
        <v>6003</v>
      </c>
      <c r="C593" t="s">
        <v>4668</v>
      </c>
      <c r="D593" t="s">
        <v>6004</v>
      </c>
      <c r="E593" s="28" t="s">
        <v>896</v>
      </c>
      <c r="F593" t="s">
        <v>4685</v>
      </c>
      <c r="G593" t="s">
        <v>15</v>
      </c>
      <c r="M593" s="28" t="s">
        <v>613</v>
      </c>
      <c r="N593" t="s">
        <v>313</v>
      </c>
    </row>
    <row r="594" spans="1:14" hidden="1" x14ac:dyDescent="0.25">
      <c r="A594" t="s">
        <v>14448</v>
      </c>
      <c r="B594" t="s">
        <v>14449</v>
      </c>
      <c r="C594" t="s">
        <v>14450</v>
      </c>
      <c r="D594" t="s">
        <v>14451</v>
      </c>
      <c r="E594" s="28" t="s">
        <v>1177</v>
      </c>
      <c r="F594" t="s">
        <v>708</v>
      </c>
      <c r="G594" t="s">
        <v>15</v>
      </c>
      <c r="M594" s="28" t="s">
        <v>613</v>
      </c>
      <c r="N594" t="s">
        <v>313</v>
      </c>
    </row>
    <row r="595" spans="1:14" hidden="1" x14ac:dyDescent="0.25">
      <c r="A595" t="s">
        <v>8302</v>
      </c>
      <c r="B595" t="s">
        <v>1876</v>
      </c>
      <c r="C595" t="s">
        <v>1877</v>
      </c>
      <c r="D595" t="s">
        <v>1878</v>
      </c>
      <c r="E595" s="28" t="s">
        <v>890</v>
      </c>
      <c r="F595" t="s">
        <v>891</v>
      </c>
      <c r="G595" t="s">
        <v>43</v>
      </c>
      <c r="M595" s="28" t="s">
        <v>14205</v>
      </c>
    </row>
    <row r="596" spans="1:14" hidden="1" x14ac:dyDescent="0.25">
      <c r="A596" t="s">
        <v>8626</v>
      </c>
      <c r="B596" t="s">
        <v>2672</v>
      </c>
      <c r="C596" t="s">
        <v>2673</v>
      </c>
      <c r="D596" t="s">
        <v>2674</v>
      </c>
      <c r="E596" s="28" t="s">
        <v>896</v>
      </c>
      <c r="F596" t="s">
        <v>165</v>
      </c>
      <c r="G596" t="s">
        <v>74</v>
      </c>
      <c r="M596" s="28" t="s">
        <v>507</v>
      </c>
      <c r="N596" t="s">
        <v>313</v>
      </c>
    </row>
    <row r="597" spans="1:14" hidden="1" x14ac:dyDescent="0.25">
      <c r="A597" t="s">
        <v>10223</v>
      </c>
      <c r="B597" t="s">
        <v>6001</v>
      </c>
      <c r="C597" t="s">
        <v>974</v>
      </c>
      <c r="D597" t="s">
        <v>6002</v>
      </c>
      <c r="E597" s="28" t="s">
        <v>896</v>
      </c>
      <c r="F597" t="s">
        <v>623</v>
      </c>
      <c r="G597" t="s">
        <v>15</v>
      </c>
      <c r="M597" s="28" t="s">
        <v>613</v>
      </c>
      <c r="N597" t="s">
        <v>313</v>
      </c>
    </row>
    <row r="598" spans="1:14" hidden="1" x14ac:dyDescent="0.25">
      <c r="A598" t="s">
        <v>8657</v>
      </c>
      <c r="B598" t="s">
        <v>2752</v>
      </c>
      <c r="C598" t="s">
        <v>2753</v>
      </c>
      <c r="D598" t="s">
        <v>2754</v>
      </c>
      <c r="E598" s="28" t="s">
        <v>890</v>
      </c>
      <c r="F598" t="s">
        <v>513</v>
      </c>
      <c r="G598" t="s">
        <v>74</v>
      </c>
      <c r="M598" s="28" t="s">
        <v>507</v>
      </c>
      <c r="N598" t="s">
        <v>313</v>
      </c>
    </row>
    <row r="599" spans="1:14" hidden="1" x14ac:dyDescent="0.25">
      <c r="A599" t="s">
        <v>10490</v>
      </c>
      <c r="B599" t="s">
        <v>6645</v>
      </c>
      <c r="C599" t="s">
        <v>2783</v>
      </c>
      <c r="D599" t="s">
        <v>6646</v>
      </c>
      <c r="E599" s="28" t="s">
        <v>896</v>
      </c>
      <c r="F599" t="s">
        <v>806</v>
      </c>
      <c r="G599" t="s">
        <v>137</v>
      </c>
      <c r="M599" s="28" t="s">
        <v>805</v>
      </c>
      <c r="N599" t="s">
        <v>313</v>
      </c>
    </row>
    <row r="600" spans="1:14" hidden="1" x14ac:dyDescent="0.25">
      <c r="A600" t="s">
        <v>10222</v>
      </c>
      <c r="B600" t="s">
        <v>5998</v>
      </c>
      <c r="C600" t="s">
        <v>5999</v>
      </c>
      <c r="D600" t="s">
        <v>6000</v>
      </c>
      <c r="E600" s="28" t="s">
        <v>896</v>
      </c>
      <c r="F600" t="s">
        <v>13217</v>
      </c>
      <c r="G600" t="s">
        <v>15</v>
      </c>
      <c r="M600" s="28" t="s">
        <v>613</v>
      </c>
      <c r="N600" t="s">
        <v>313</v>
      </c>
    </row>
    <row r="601" spans="1:14" hidden="1" x14ac:dyDescent="0.25">
      <c r="A601" t="s">
        <v>10221</v>
      </c>
      <c r="B601" t="s">
        <v>5819</v>
      </c>
      <c r="C601" t="s">
        <v>2582</v>
      </c>
      <c r="D601" t="s">
        <v>5997</v>
      </c>
      <c r="E601" s="28" t="s">
        <v>890</v>
      </c>
      <c r="F601" t="s">
        <v>14114</v>
      </c>
      <c r="G601" t="s">
        <v>15</v>
      </c>
      <c r="M601" s="28" t="s">
        <v>613</v>
      </c>
      <c r="N601" t="s">
        <v>313</v>
      </c>
    </row>
    <row r="602" spans="1:14" hidden="1" x14ac:dyDescent="0.25">
      <c r="A602" t="s">
        <v>10220</v>
      </c>
      <c r="B602" t="s">
        <v>5995</v>
      </c>
      <c r="C602" t="s">
        <v>4535</v>
      </c>
      <c r="D602" t="s">
        <v>5996</v>
      </c>
      <c r="E602" s="28" t="s">
        <v>896</v>
      </c>
      <c r="F602" t="s">
        <v>208</v>
      </c>
      <c r="G602" t="s">
        <v>15</v>
      </c>
      <c r="M602" s="28" t="s">
        <v>613</v>
      </c>
      <c r="N602" t="s">
        <v>313</v>
      </c>
    </row>
    <row r="603" spans="1:14" hidden="1" x14ac:dyDescent="0.25">
      <c r="A603" t="s">
        <v>10219</v>
      </c>
      <c r="B603" t="s">
        <v>5992</v>
      </c>
      <c r="C603" t="s">
        <v>5993</v>
      </c>
      <c r="D603" t="s">
        <v>5994</v>
      </c>
      <c r="E603" s="28" t="s">
        <v>890</v>
      </c>
      <c r="F603" t="s">
        <v>651</v>
      </c>
      <c r="G603" t="s">
        <v>15</v>
      </c>
      <c r="M603" s="28" t="s">
        <v>613</v>
      </c>
      <c r="N603" t="s">
        <v>313</v>
      </c>
    </row>
    <row r="604" spans="1:14" hidden="1" x14ac:dyDescent="0.25">
      <c r="A604" t="s">
        <v>10217</v>
      </c>
      <c r="B604" t="s">
        <v>5987</v>
      </c>
      <c r="C604" t="s">
        <v>5988</v>
      </c>
      <c r="D604" t="s">
        <v>5989</v>
      </c>
      <c r="E604" s="28" t="s">
        <v>890</v>
      </c>
      <c r="F604" t="s">
        <v>4685</v>
      </c>
      <c r="G604" t="s">
        <v>15</v>
      </c>
      <c r="M604" s="28" t="s">
        <v>613</v>
      </c>
      <c r="N604" t="s">
        <v>313</v>
      </c>
    </row>
    <row r="605" spans="1:14" hidden="1" x14ac:dyDescent="0.25">
      <c r="A605" t="s">
        <v>10218</v>
      </c>
      <c r="B605" t="s">
        <v>5987</v>
      </c>
      <c r="C605" t="s">
        <v>5990</v>
      </c>
      <c r="D605" t="s">
        <v>5991</v>
      </c>
      <c r="E605" s="28" t="s">
        <v>1023</v>
      </c>
      <c r="F605" t="s">
        <v>4685</v>
      </c>
      <c r="G605" t="s">
        <v>15</v>
      </c>
      <c r="M605" s="28" t="s">
        <v>613</v>
      </c>
      <c r="N605" t="s">
        <v>313</v>
      </c>
    </row>
    <row r="606" spans="1:14" hidden="1" x14ac:dyDescent="0.25">
      <c r="A606" t="s">
        <v>13644</v>
      </c>
      <c r="B606" t="s">
        <v>13645</v>
      </c>
      <c r="C606" t="s">
        <v>4777</v>
      </c>
      <c r="D606" t="s">
        <v>13646</v>
      </c>
      <c r="E606" s="28" t="s">
        <v>896</v>
      </c>
      <c r="F606" t="s">
        <v>659</v>
      </c>
      <c r="G606" t="s">
        <v>15</v>
      </c>
      <c r="M606" s="28" t="s">
        <v>613</v>
      </c>
      <c r="N606" t="s">
        <v>313</v>
      </c>
    </row>
    <row r="607" spans="1:14" hidden="1" x14ac:dyDescent="0.25">
      <c r="A607" t="s">
        <v>10216</v>
      </c>
      <c r="B607" t="s">
        <v>5985</v>
      </c>
      <c r="C607" t="s">
        <v>894</v>
      </c>
      <c r="D607" t="s">
        <v>5986</v>
      </c>
      <c r="E607" s="28" t="s">
        <v>896</v>
      </c>
      <c r="F607" t="s">
        <v>221</v>
      </c>
      <c r="G607" t="s">
        <v>15</v>
      </c>
      <c r="M607" s="28" t="s">
        <v>613</v>
      </c>
      <c r="N607" t="s">
        <v>313</v>
      </c>
    </row>
    <row r="608" spans="1:14" hidden="1" x14ac:dyDescent="0.25">
      <c r="A608" t="s">
        <v>10215</v>
      </c>
      <c r="B608" t="s">
        <v>5980</v>
      </c>
      <c r="C608" t="s">
        <v>2184</v>
      </c>
      <c r="D608" t="s">
        <v>5984</v>
      </c>
      <c r="E608" s="28" t="s">
        <v>896</v>
      </c>
      <c r="F608" t="s">
        <v>4648</v>
      </c>
      <c r="G608" t="s">
        <v>15</v>
      </c>
      <c r="M608" s="28" t="s">
        <v>613</v>
      </c>
      <c r="N608" t="s">
        <v>313</v>
      </c>
    </row>
    <row r="609" spans="1:14" hidden="1" x14ac:dyDescent="0.25">
      <c r="A609" t="s">
        <v>10214</v>
      </c>
      <c r="B609" t="s">
        <v>5980</v>
      </c>
      <c r="C609" t="s">
        <v>5281</v>
      </c>
      <c r="D609" t="s">
        <v>5983</v>
      </c>
      <c r="E609" s="28" t="s">
        <v>896</v>
      </c>
      <c r="F609" t="s">
        <v>718</v>
      </c>
      <c r="G609" t="s">
        <v>15</v>
      </c>
      <c r="M609" s="28" t="s">
        <v>613</v>
      </c>
      <c r="N609" t="s">
        <v>313</v>
      </c>
    </row>
    <row r="610" spans="1:14" hidden="1" x14ac:dyDescent="0.25">
      <c r="A610" t="s">
        <v>10213</v>
      </c>
      <c r="B610" t="s">
        <v>5980</v>
      </c>
      <c r="C610" t="s">
        <v>5981</v>
      </c>
      <c r="D610" t="s">
        <v>5982</v>
      </c>
      <c r="E610" s="28" t="s">
        <v>890</v>
      </c>
      <c r="F610" t="s">
        <v>4648</v>
      </c>
      <c r="G610" t="s">
        <v>15</v>
      </c>
      <c r="M610" s="28" t="s">
        <v>613</v>
      </c>
      <c r="N610" t="s">
        <v>313</v>
      </c>
    </row>
    <row r="611" spans="1:14" hidden="1" x14ac:dyDescent="0.25">
      <c r="A611" t="s">
        <v>10212</v>
      </c>
      <c r="B611" t="s">
        <v>5978</v>
      </c>
      <c r="C611" t="s">
        <v>5875</v>
      </c>
      <c r="D611" t="s">
        <v>5979</v>
      </c>
      <c r="E611" s="28" t="s">
        <v>896</v>
      </c>
      <c r="F611" t="s">
        <v>197</v>
      </c>
      <c r="G611" t="s">
        <v>15</v>
      </c>
      <c r="M611" s="28" t="s">
        <v>613</v>
      </c>
      <c r="N611" t="s">
        <v>313</v>
      </c>
    </row>
    <row r="612" spans="1:14" hidden="1" x14ac:dyDescent="0.25">
      <c r="A612" t="s">
        <v>8606</v>
      </c>
      <c r="B612" t="s">
        <v>2616</v>
      </c>
      <c r="C612" t="s">
        <v>1710</v>
      </c>
      <c r="D612" t="s">
        <v>2617</v>
      </c>
      <c r="E612" s="28" t="s">
        <v>890</v>
      </c>
      <c r="F612" t="s">
        <v>510</v>
      </c>
      <c r="G612" t="s">
        <v>74</v>
      </c>
      <c r="M612" s="28" t="s">
        <v>507</v>
      </c>
      <c r="N612" t="s">
        <v>313</v>
      </c>
    </row>
    <row r="613" spans="1:14" hidden="1" x14ac:dyDescent="0.25">
      <c r="A613" t="s">
        <v>10949</v>
      </c>
      <c r="B613" t="s">
        <v>10950</v>
      </c>
      <c r="C613" t="s">
        <v>1459</v>
      </c>
      <c r="D613" t="s">
        <v>10951</v>
      </c>
      <c r="E613" s="28" t="s">
        <v>896</v>
      </c>
      <c r="F613" t="s">
        <v>179</v>
      </c>
      <c r="G613" t="s">
        <v>81</v>
      </c>
      <c r="M613" s="28" t="s">
        <v>530</v>
      </c>
      <c r="N613" t="s">
        <v>313</v>
      </c>
    </row>
    <row r="614" spans="1:14" hidden="1" x14ac:dyDescent="0.25">
      <c r="A614" t="s">
        <v>10211</v>
      </c>
      <c r="B614" t="s">
        <v>5976</v>
      </c>
      <c r="C614" t="s">
        <v>4606</v>
      </c>
      <c r="D614" t="s">
        <v>5977</v>
      </c>
      <c r="E614" s="28" t="s">
        <v>890</v>
      </c>
      <c r="F614" t="s">
        <v>4938</v>
      </c>
      <c r="G614" t="s">
        <v>15</v>
      </c>
      <c r="M614" s="28" t="s">
        <v>613</v>
      </c>
      <c r="N614" t="s">
        <v>313</v>
      </c>
    </row>
    <row r="615" spans="1:14" hidden="1" x14ac:dyDescent="0.25">
      <c r="A615" t="s">
        <v>10210</v>
      </c>
      <c r="B615" t="s">
        <v>5974</v>
      </c>
      <c r="C615" t="s">
        <v>4808</v>
      </c>
      <c r="D615" t="s">
        <v>5975</v>
      </c>
      <c r="E615" s="28" t="s">
        <v>1177</v>
      </c>
      <c r="F615" t="s">
        <v>746</v>
      </c>
      <c r="G615" t="s">
        <v>15</v>
      </c>
      <c r="M615" s="28" t="s">
        <v>613</v>
      </c>
      <c r="N615" t="s">
        <v>313</v>
      </c>
    </row>
    <row r="616" spans="1:14" hidden="1" x14ac:dyDescent="0.25">
      <c r="A616" t="s">
        <v>8233</v>
      </c>
      <c r="B616" t="s">
        <v>1707</v>
      </c>
      <c r="C616" t="s">
        <v>947</v>
      </c>
      <c r="D616" t="s">
        <v>1708</v>
      </c>
      <c r="E616" s="28" t="s">
        <v>896</v>
      </c>
      <c r="F616" t="s">
        <v>1678</v>
      </c>
      <c r="G616" t="s">
        <v>43</v>
      </c>
      <c r="M616" s="28" t="s">
        <v>14205</v>
      </c>
    </row>
    <row r="617" spans="1:14" hidden="1" x14ac:dyDescent="0.25">
      <c r="A617" t="s">
        <v>10209</v>
      </c>
      <c r="B617" t="s">
        <v>5972</v>
      </c>
      <c r="C617" t="s">
        <v>4553</v>
      </c>
      <c r="D617" t="s">
        <v>5973</v>
      </c>
      <c r="E617" s="28" t="s">
        <v>896</v>
      </c>
      <c r="F617" t="s">
        <v>648</v>
      </c>
      <c r="G617" t="s">
        <v>15</v>
      </c>
      <c r="M617" s="28" t="s">
        <v>613</v>
      </c>
      <c r="N617" t="s">
        <v>313</v>
      </c>
    </row>
    <row r="618" spans="1:14" hidden="1" x14ac:dyDescent="0.25">
      <c r="A618" t="s">
        <v>10208</v>
      </c>
      <c r="B618" t="s">
        <v>5970</v>
      </c>
      <c r="C618" t="s">
        <v>5193</v>
      </c>
      <c r="D618" t="s">
        <v>5971</v>
      </c>
      <c r="E618" s="28" t="s">
        <v>890</v>
      </c>
      <c r="F618" t="s">
        <v>219</v>
      </c>
      <c r="G618" t="s">
        <v>15</v>
      </c>
      <c r="M618" s="28" t="s">
        <v>613</v>
      </c>
      <c r="N618" t="s">
        <v>313</v>
      </c>
    </row>
    <row r="619" spans="1:14" hidden="1" x14ac:dyDescent="0.25">
      <c r="A619" t="s">
        <v>10207</v>
      </c>
      <c r="B619" t="s">
        <v>5968</v>
      </c>
      <c r="C619" t="s">
        <v>1574</v>
      </c>
      <c r="D619" t="s">
        <v>5969</v>
      </c>
      <c r="E619" s="28" t="s">
        <v>896</v>
      </c>
      <c r="F619" t="s">
        <v>4610</v>
      </c>
      <c r="G619" t="s">
        <v>15</v>
      </c>
      <c r="M619" s="28" t="s">
        <v>613</v>
      </c>
      <c r="N619" t="s">
        <v>313</v>
      </c>
    </row>
    <row r="620" spans="1:14" hidden="1" x14ac:dyDescent="0.25">
      <c r="A620" t="s">
        <v>8283</v>
      </c>
      <c r="B620" t="s">
        <v>1831</v>
      </c>
      <c r="C620" t="s">
        <v>1832</v>
      </c>
      <c r="D620" t="s">
        <v>1833</v>
      </c>
      <c r="E620" s="28" t="s">
        <v>890</v>
      </c>
      <c r="F620" t="s">
        <v>349</v>
      </c>
      <c r="G620" t="s">
        <v>43</v>
      </c>
      <c r="M620" s="28" t="s">
        <v>14205</v>
      </c>
    </row>
    <row r="621" spans="1:14" hidden="1" x14ac:dyDescent="0.25">
      <c r="A621" t="s">
        <v>10205</v>
      </c>
      <c r="B621" t="s">
        <v>5963</v>
      </c>
      <c r="C621" t="s">
        <v>5589</v>
      </c>
      <c r="D621" t="s">
        <v>5966</v>
      </c>
      <c r="E621" s="28" t="s">
        <v>890</v>
      </c>
      <c r="F621" t="s">
        <v>221</v>
      </c>
      <c r="G621" t="s">
        <v>15</v>
      </c>
      <c r="M621" s="28" t="s">
        <v>613</v>
      </c>
      <c r="N621" t="s">
        <v>313</v>
      </c>
    </row>
    <row r="622" spans="1:14" hidden="1" x14ac:dyDescent="0.25">
      <c r="A622" t="s">
        <v>10204</v>
      </c>
      <c r="B622" t="s">
        <v>5963</v>
      </c>
      <c r="C622" t="s">
        <v>5964</v>
      </c>
      <c r="D622" t="s">
        <v>5965</v>
      </c>
      <c r="E622" s="28" t="s">
        <v>896</v>
      </c>
      <c r="F622" t="s">
        <v>688</v>
      </c>
      <c r="G622" t="s">
        <v>15</v>
      </c>
      <c r="M622" s="28" t="s">
        <v>613</v>
      </c>
      <c r="N622" t="s">
        <v>313</v>
      </c>
    </row>
    <row r="623" spans="1:14" hidden="1" x14ac:dyDescent="0.25">
      <c r="A623" t="s">
        <v>10206</v>
      </c>
      <c r="B623" t="s">
        <v>5963</v>
      </c>
      <c r="C623" t="s">
        <v>4676</v>
      </c>
      <c r="D623" t="s">
        <v>5967</v>
      </c>
      <c r="E623" s="28" t="s">
        <v>890</v>
      </c>
      <c r="F623" t="s">
        <v>221</v>
      </c>
      <c r="G623" t="s">
        <v>15</v>
      </c>
      <c r="M623" s="28" t="s">
        <v>613</v>
      </c>
      <c r="N623" t="s">
        <v>313</v>
      </c>
    </row>
    <row r="624" spans="1:14" hidden="1" x14ac:dyDescent="0.25">
      <c r="A624" t="s">
        <v>11862</v>
      </c>
      <c r="B624" t="s">
        <v>5963</v>
      </c>
      <c r="C624" t="s">
        <v>5907</v>
      </c>
      <c r="D624" t="s">
        <v>11863</v>
      </c>
      <c r="E624" s="28" t="s">
        <v>1177</v>
      </c>
      <c r="F624" t="s">
        <v>221</v>
      </c>
      <c r="G624" t="s">
        <v>15</v>
      </c>
      <c r="M624" s="28" t="s">
        <v>613</v>
      </c>
      <c r="N624" t="s">
        <v>313</v>
      </c>
    </row>
    <row r="625" spans="1:14" hidden="1" x14ac:dyDescent="0.25">
      <c r="A625" t="s">
        <v>8081</v>
      </c>
      <c r="B625" t="s">
        <v>1317</v>
      </c>
      <c r="C625" t="s">
        <v>1318</v>
      </c>
      <c r="D625" t="s">
        <v>1319</v>
      </c>
      <c r="E625" s="28" t="s">
        <v>896</v>
      </c>
      <c r="F625" t="s">
        <v>326</v>
      </c>
      <c r="G625" t="s">
        <v>38</v>
      </c>
      <c r="M625" s="28"/>
    </row>
    <row r="626" spans="1:14" hidden="1" x14ac:dyDescent="0.25">
      <c r="A626" t="s">
        <v>10203</v>
      </c>
      <c r="B626" t="s">
        <v>5960</v>
      </c>
      <c r="C626" t="s">
        <v>5961</v>
      </c>
      <c r="D626" t="s">
        <v>5962</v>
      </c>
      <c r="E626" s="28" t="s">
        <v>896</v>
      </c>
      <c r="F626" t="s">
        <v>197</v>
      </c>
      <c r="G626" t="s">
        <v>15</v>
      </c>
      <c r="M626" s="28" t="s">
        <v>613</v>
      </c>
      <c r="N626" t="s">
        <v>313</v>
      </c>
    </row>
    <row r="627" spans="1:14" hidden="1" x14ac:dyDescent="0.25">
      <c r="A627" t="s">
        <v>8834</v>
      </c>
      <c r="B627" t="s">
        <v>3160</v>
      </c>
      <c r="C627" t="s">
        <v>3161</v>
      </c>
      <c r="D627" t="s">
        <v>3162</v>
      </c>
      <c r="E627" s="28" t="s">
        <v>896</v>
      </c>
      <c r="F627" t="s">
        <v>891</v>
      </c>
      <c r="G627" t="s">
        <v>88</v>
      </c>
      <c r="M627" s="28" t="s">
        <v>549</v>
      </c>
      <c r="N627" t="s">
        <v>313</v>
      </c>
    </row>
    <row r="628" spans="1:14" hidden="1" x14ac:dyDescent="0.25">
      <c r="A628" t="s">
        <v>11827</v>
      </c>
      <c r="B628" t="s">
        <v>11828</v>
      </c>
      <c r="C628" t="s">
        <v>3134</v>
      </c>
      <c r="D628" t="s">
        <v>11829</v>
      </c>
      <c r="E628" s="28" t="s">
        <v>896</v>
      </c>
      <c r="F628" t="s">
        <v>597</v>
      </c>
      <c r="G628" t="s">
        <v>88</v>
      </c>
      <c r="M628" s="28" t="s">
        <v>549</v>
      </c>
      <c r="N628" t="s">
        <v>313</v>
      </c>
    </row>
    <row r="629" spans="1:14" hidden="1" x14ac:dyDescent="0.25">
      <c r="A629" t="s">
        <v>11830</v>
      </c>
      <c r="B629" t="s">
        <v>11828</v>
      </c>
      <c r="C629" t="s">
        <v>3021</v>
      </c>
      <c r="D629" t="s">
        <v>11831</v>
      </c>
      <c r="E629" s="28" t="s">
        <v>1023</v>
      </c>
      <c r="F629" t="s">
        <v>891</v>
      </c>
      <c r="G629" t="s">
        <v>88</v>
      </c>
      <c r="M629" s="28" t="s">
        <v>549</v>
      </c>
      <c r="N629" t="s">
        <v>313</v>
      </c>
    </row>
    <row r="630" spans="1:14" hidden="1" x14ac:dyDescent="0.25">
      <c r="A630" t="s">
        <v>8835</v>
      </c>
      <c r="B630" t="s">
        <v>3163</v>
      </c>
      <c r="C630" t="s">
        <v>3164</v>
      </c>
      <c r="D630" t="s">
        <v>3165</v>
      </c>
      <c r="E630" s="28" t="s">
        <v>896</v>
      </c>
      <c r="F630" t="s">
        <v>556</v>
      </c>
      <c r="G630" t="s">
        <v>88</v>
      </c>
      <c r="M630" s="28" t="s">
        <v>549</v>
      </c>
      <c r="N630" t="s">
        <v>313</v>
      </c>
    </row>
    <row r="631" spans="1:14" hidden="1" x14ac:dyDescent="0.25">
      <c r="A631" t="s">
        <v>8836</v>
      </c>
      <c r="B631" t="s">
        <v>3166</v>
      </c>
      <c r="C631" t="s">
        <v>3167</v>
      </c>
      <c r="D631" t="s">
        <v>3168</v>
      </c>
      <c r="E631" s="28" t="s">
        <v>890</v>
      </c>
      <c r="F631" t="s">
        <v>891</v>
      </c>
      <c r="G631" t="s">
        <v>88</v>
      </c>
      <c r="M631" s="28" t="s">
        <v>549</v>
      </c>
      <c r="N631" t="s">
        <v>313</v>
      </c>
    </row>
    <row r="632" spans="1:14" hidden="1" x14ac:dyDescent="0.25">
      <c r="A632" t="s">
        <v>8837</v>
      </c>
      <c r="B632" t="s">
        <v>3166</v>
      </c>
      <c r="C632" t="s">
        <v>3169</v>
      </c>
      <c r="D632" t="s">
        <v>3170</v>
      </c>
      <c r="E632" s="28" t="s">
        <v>930</v>
      </c>
      <c r="F632" t="s">
        <v>891</v>
      </c>
      <c r="G632" t="s">
        <v>88</v>
      </c>
      <c r="M632" s="28" t="s">
        <v>549</v>
      </c>
      <c r="N632" t="s">
        <v>313</v>
      </c>
    </row>
    <row r="633" spans="1:14" hidden="1" x14ac:dyDescent="0.25">
      <c r="A633" t="s">
        <v>13647</v>
      </c>
      <c r="B633" t="s">
        <v>13648</v>
      </c>
      <c r="C633" t="s">
        <v>13649</v>
      </c>
      <c r="D633" t="s">
        <v>13650</v>
      </c>
      <c r="E633" s="28" t="s">
        <v>890</v>
      </c>
      <c r="F633" t="s">
        <v>2480</v>
      </c>
      <c r="G633" t="s">
        <v>11</v>
      </c>
      <c r="M633" s="28" t="s">
        <v>413</v>
      </c>
      <c r="N633" t="s">
        <v>313</v>
      </c>
    </row>
    <row r="634" spans="1:14" hidden="1" x14ac:dyDescent="0.25">
      <c r="A634" t="s">
        <v>10736</v>
      </c>
      <c r="B634" t="s">
        <v>7097</v>
      </c>
      <c r="C634" t="s">
        <v>7173</v>
      </c>
      <c r="D634" t="s">
        <v>7174</v>
      </c>
      <c r="E634" s="28" t="s">
        <v>930</v>
      </c>
      <c r="F634" t="s">
        <v>6895</v>
      </c>
      <c r="G634" t="s">
        <v>6896</v>
      </c>
      <c r="M634" s="28" t="s">
        <v>6897</v>
      </c>
      <c r="N634" t="s">
        <v>279</v>
      </c>
    </row>
    <row r="635" spans="1:14" hidden="1" x14ac:dyDescent="0.25">
      <c r="A635" t="s">
        <v>10703</v>
      </c>
      <c r="B635" t="s">
        <v>7097</v>
      </c>
      <c r="C635" t="s">
        <v>7098</v>
      </c>
      <c r="D635" t="s">
        <v>7099</v>
      </c>
      <c r="E635" s="28" t="s">
        <v>896</v>
      </c>
      <c r="F635" t="s">
        <v>6901</v>
      </c>
      <c r="G635" t="s">
        <v>6896</v>
      </c>
      <c r="M635" s="28" t="s">
        <v>6897</v>
      </c>
      <c r="N635" t="s">
        <v>279</v>
      </c>
    </row>
    <row r="636" spans="1:14" hidden="1" x14ac:dyDescent="0.25">
      <c r="A636" t="s">
        <v>10651</v>
      </c>
      <c r="B636" t="s">
        <v>6970</v>
      </c>
      <c r="C636" t="s">
        <v>6971</v>
      </c>
      <c r="D636" t="s">
        <v>6972</v>
      </c>
      <c r="E636" s="28" t="s">
        <v>890</v>
      </c>
      <c r="F636" t="s">
        <v>6901</v>
      </c>
      <c r="G636" t="s">
        <v>6896</v>
      </c>
      <c r="M636" s="28" t="s">
        <v>6897</v>
      </c>
      <c r="N636" t="s">
        <v>279</v>
      </c>
    </row>
    <row r="637" spans="1:14" hidden="1" x14ac:dyDescent="0.25">
      <c r="A637" t="s">
        <v>8838</v>
      </c>
      <c r="B637" t="s">
        <v>3171</v>
      </c>
      <c r="C637" t="s">
        <v>3036</v>
      </c>
      <c r="D637" t="s">
        <v>3172</v>
      </c>
      <c r="E637" s="28" t="s">
        <v>930</v>
      </c>
      <c r="F637" t="s">
        <v>891</v>
      </c>
      <c r="G637" t="s">
        <v>88</v>
      </c>
      <c r="M637" s="28" t="s">
        <v>549</v>
      </c>
      <c r="N637" t="s">
        <v>313</v>
      </c>
    </row>
    <row r="638" spans="1:14" hidden="1" x14ac:dyDescent="0.25">
      <c r="A638" t="s">
        <v>8839</v>
      </c>
      <c r="B638" t="s">
        <v>3171</v>
      </c>
      <c r="C638" t="s">
        <v>3021</v>
      </c>
      <c r="D638" t="s">
        <v>3173</v>
      </c>
      <c r="E638" s="28" t="s">
        <v>890</v>
      </c>
      <c r="F638" t="s">
        <v>11562</v>
      </c>
      <c r="G638" t="s">
        <v>88</v>
      </c>
      <c r="M638" s="28" t="s">
        <v>549</v>
      </c>
      <c r="N638" t="s">
        <v>313</v>
      </c>
    </row>
    <row r="639" spans="1:14" hidden="1" x14ac:dyDescent="0.25">
      <c r="A639" t="s">
        <v>8840</v>
      </c>
      <c r="B639" t="s">
        <v>3171</v>
      </c>
      <c r="C639" t="s">
        <v>3174</v>
      </c>
      <c r="D639" t="s">
        <v>3175</v>
      </c>
      <c r="E639" s="28" t="s">
        <v>896</v>
      </c>
      <c r="F639" t="s">
        <v>11562</v>
      </c>
      <c r="G639" t="s">
        <v>88</v>
      </c>
      <c r="M639" s="28" t="s">
        <v>549</v>
      </c>
      <c r="N639" t="s">
        <v>313</v>
      </c>
    </row>
    <row r="640" spans="1:14" hidden="1" x14ac:dyDescent="0.25">
      <c r="A640" t="s">
        <v>8841</v>
      </c>
      <c r="B640" t="s">
        <v>3171</v>
      </c>
      <c r="C640" t="s">
        <v>3176</v>
      </c>
      <c r="D640" t="s">
        <v>3177</v>
      </c>
      <c r="E640" s="28" t="s">
        <v>1023</v>
      </c>
      <c r="F640" t="s">
        <v>11562</v>
      </c>
      <c r="G640" t="s">
        <v>88</v>
      </c>
      <c r="M640" s="28" t="s">
        <v>549</v>
      </c>
      <c r="N640" t="s">
        <v>313</v>
      </c>
    </row>
    <row r="641" spans="1:14" hidden="1" x14ac:dyDescent="0.25">
      <c r="A641" t="s">
        <v>8842</v>
      </c>
      <c r="B641" t="s">
        <v>3178</v>
      </c>
      <c r="C641" t="s">
        <v>3099</v>
      </c>
      <c r="D641" t="s">
        <v>3179</v>
      </c>
      <c r="E641" s="28" t="s">
        <v>890</v>
      </c>
      <c r="F641" t="s">
        <v>550</v>
      </c>
      <c r="G641" t="s">
        <v>88</v>
      </c>
      <c r="M641" s="28" t="s">
        <v>549</v>
      </c>
      <c r="N641" t="s">
        <v>313</v>
      </c>
    </row>
    <row r="642" spans="1:14" hidden="1" x14ac:dyDescent="0.25">
      <c r="A642" t="s">
        <v>13248</v>
      </c>
      <c r="B642" t="s">
        <v>13249</v>
      </c>
      <c r="C642" t="s">
        <v>13250</v>
      </c>
      <c r="D642" t="s">
        <v>13251</v>
      </c>
      <c r="E642" s="28" t="s">
        <v>1177</v>
      </c>
      <c r="F642" t="s">
        <v>415</v>
      </c>
      <c r="G642" t="s">
        <v>11</v>
      </c>
      <c r="M642" s="28" t="s">
        <v>413</v>
      </c>
      <c r="N642" t="s">
        <v>313</v>
      </c>
    </row>
    <row r="643" spans="1:14" hidden="1" x14ac:dyDescent="0.25">
      <c r="A643" t="s">
        <v>12106</v>
      </c>
      <c r="B643" t="s">
        <v>12107</v>
      </c>
      <c r="C643" t="s">
        <v>2125</v>
      </c>
      <c r="D643" t="s">
        <v>12108</v>
      </c>
      <c r="E643" s="28" t="s">
        <v>896</v>
      </c>
      <c r="F643" t="s">
        <v>7516</v>
      </c>
      <c r="G643" t="s">
        <v>162</v>
      </c>
      <c r="M643" s="28" t="s">
        <v>7517</v>
      </c>
      <c r="N643" t="s">
        <v>313</v>
      </c>
    </row>
    <row r="644" spans="1:14" hidden="1" x14ac:dyDescent="0.25">
      <c r="A644" t="s">
        <v>8843</v>
      </c>
      <c r="B644" t="s">
        <v>3180</v>
      </c>
      <c r="C644" t="s">
        <v>3021</v>
      </c>
      <c r="D644" t="s">
        <v>3181</v>
      </c>
      <c r="E644" s="28" t="s">
        <v>930</v>
      </c>
      <c r="F644" t="s">
        <v>891</v>
      </c>
      <c r="G644" t="s">
        <v>88</v>
      </c>
      <c r="M644" s="28" t="s">
        <v>549</v>
      </c>
      <c r="N644" t="s">
        <v>313</v>
      </c>
    </row>
    <row r="645" spans="1:14" hidden="1" x14ac:dyDescent="0.25">
      <c r="A645" t="s">
        <v>8844</v>
      </c>
      <c r="B645" t="s">
        <v>3182</v>
      </c>
      <c r="C645" t="s">
        <v>3183</v>
      </c>
      <c r="D645" t="s">
        <v>3184</v>
      </c>
      <c r="E645" s="28" t="s">
        <v>890</v>
      </c>
      <c r="F645" t="s">
        <v>891</v>
      </c>
      <c r="G645" t="s">
        <v>88</v>
      </c>
      <c r="M645" s="28" t="s">
        <v>549</v>
      </c>
      <c r="N645" t="s">
        <v>313</v>
      </c>
    </row>
    <row r="646" spans="1:14" hidden="1" x14ac:dyDescent="0.25">
      <c r="A646" t="s">
        <v>8845</v>
      </c>
      <c r="B646" t="s">
        <v>3185</v>
      </c>
      <c r="C646" t="s">
        <v>3025</v>
      </c>
      <c r="D646" t="s">
        <v>3186</v>
      </c>
      <c r="E646" s="28" t="s">
        <v>890</v>
      </c>
      <c r="F646" t="s">
        <v>891</v>
      </c>
      <c r="G646" t="s">
        <v>88</v>
      </c>
      <c r="M646" s="28" t="s">
        <v>549</v>
      </c>
      <c r="N646" t="s">
        <v>313</v>
      </c>
    </row>
    <row r="647" spans="1:14" hidden="1" x14ac:dyDescent="0.25">
      <c r="A647" t="s">
        <v>8846</v>
      </c>
      <c r="B647" t="s">
        <v>3187</v>
      </c>
      <c r="C647" t="s">
        <v>3044</v>
      </c>
      <c r="D647" t="s">
        <v>3188</v>
      </c>
      <c r="E647" s="28" t="s">
        <v>890</v>
      </c>
      <c r="F647" t="s">
        <v>577</v>
      </c>
      <c r="G647" t="s">
        <v>88</v>
      </c>
      <c r="M647" s="28" t="s">
        <v>549</v>
      </c>
      <c r="N647" t="s">
        <v>313</v>
      </c>
    </row>
    <row r="648" spans="1:14" hidden="1" x14ac:dyDescent="0.25">
      <c r="A648" t="s">
        <v>8847</v>
      </c>
      <c r="B648" t="s">
        <v>3187</v>
      </c>
      <c r="C648" t="s">
        <v>3025</v>
      </c>
      <c r="D648" t="s">
        <v>3189</v>
      </c>
      <c r="E648" s="28" t="s">
        <v>896</v>
      </c>
      <c r="F648" t="s">
        <v>577</v>
      </c>
      <c r="G648" t="s">
        <v>88</v>
      </c>
      <c r="M648" s="28" t="s">
        <v>549</v>
      </c>
      <c r="N648" t="s">
        <v>313</v>
      </c>
    </row>
    <row r="649" spans="1:14" hidden="1" x14ac:dyDescent="0.25">
      <c r="A649" t="s">
        <v>8848</v>
      </c>
      <c r="B649" t="s">
        <v>3190</v>
      </c>
      <c r="C649" t="s">
        <v>2105</v>
      </c>
      <c r="D649" t="s">
        <v>3191</v>
      </c>
      <c r="E649" s="28" t="s">
        <v>1177</v>
      </c>
      <c r="F649" t="s">
        <v>891</v>
      </c>
      <c r="G649" t="s">
        <v>88</v>
      </c>
      <c r="M649" s="28" t="s">
        <v>549</v>
      </c>
      <c r="N649" t="s">
        <v>313</v>
      </c>
    </row>
    <row r="650" spans="1:14" hidden="1" x14ac:dyDescent="0.25">
      <c r="A650" t="s">
        <v>10802</v>
      </c>
      <c r="B650" t="s">
        <v>6413</v>
      </c>
      <c r="C650" t="s">
        <v>1222</v>
      </c>
      <c r="D650" t="s">
        <v>7334</v>
      </c>
      <c r="E650" s="28" t="s">
        <v>890</v>
      </c>
      <c r="F650" t="s">
        <v>878</v>
      </c>
      <c r="G650" t="s">
        <v>157</v>
      </c>
      <c r="M650" s="28" t="s">
        <v>840</v>
      </c>
      <c r="N650" t="s">
        <v>382</v>
      </c>
    </row>
    <row r="651" spans="1:14" hidden="1" x14ac:dyDescent="0.25">
      <c r="A651" t="s">
        <v>8849</v>
      </c>
      <c r="B651" t="s">
        <v>3192</v>
      </c>
      <c r="C651" t="s">
        <v>3193</v>
      </c>
      <c r="D651" t="s">
        <v>3194</v>
      </c>
      <c r="E651" s="28" t="s">
        <v>896</v>
      </c>
      <c r="F651" t="s">
        <v>891</v>
      </c>
      <c r="G651" t="s">
        <v>88</v>
      </c>
      <c r="M651" s="28" t="s">
        <v>549</v>
      </c>
      <c r="N651" t="s">
        <v>313</v>
      </c>
    </row>
    <row r="652" spans="1:14" hidden="1" x14ac:dyDescent="0.25">
      <c r="A652" t="s">
        <v>8850</v>
      </c>
      <c r="B652" t="s">
        <v>3192</v>
      </c>
      <c r="C652" t="s">
        <v>3036</v>
      </c>
      <c r="D652" t="s">
        <v>3195</v>
      </c>
      <c r="E652" s="28" t="s">
        <v>930</v>
      </c>
      <c r="F652" t="s">
        <v>891</v>
      </c>
      <c r="G652" t="s">
        <v>88</v>
      </c>
      <c r="M652" s="28" t="s">
        <v>549</v>
      </c>
      <c r="N652" t="s">
        <v>313</v>
      </c>
    </row>
    <row r="653" spans="1:14" hidden="1" x14ac:dyDescent="0.25">
      <c r="A653" t="s">
        <v>8851</v>
      </c>
      <c r="B653" t="s">
        <v>3196</v>
      </c>
      <c r="C653" t="s">
        <v>3167</v>
      </c>
      <c r="D653" t="s">
        <v>3197</v>
      </c>
      <c r="E653" s="28" t="s">
        <v>896</v>
      </c>
      <c r="F653" t="s">
        <v>547</v>
      </c>
      <c r="G653" t="s">
        <v>88</v>
      </c>
      <c r="M653" s="28" t="s">
        <v>549</v>
      </c>
      <c r="N653" t="s">
        <v>313</v>
      </c>
    </row>
    <row r="654" spans="1:14" hidden="1" x14ac:dyDescent="0.25">
      <c r="A654" t="s">
        <v>8852</v>
      </c>
      <c r="B654" t="s">
        <v>3198</v>
      </c>
      <c r="C654" t="s">
        <v>3009</v>
      </c>
      <c r="D654" t="s">
        <v>3199</v>
      </c>
      <c r="E654" s="28" t="s">
        <v>890</v>
      </c>
      <c r="F654" t="s">
        <v>588</v>
      </c>
      <c r="G654" t="s">
        <v>88</v>
      </c>
      <c r="M654" s="28" t="s">
        <v>549</v>
      </c>
      <c r="N654" t="s">
        <v>313</v>
      </c>
    </row>
    <row r="655" spans="1:14" hidden="1" x14ac:dyDescent="0.25">
      <c r="A655" t="s">
        <v>11407</v>
      </c>
      <c r="B655" t="s">
        <v>11408</v>
      </c>
      <c r="C655" t="s">
        <v>11409</v>
      </c>
      <c r="D655" t="s">
        <v>11410</v>
      </c>
      <c r="E655" s="28" t="s">
        <v>890</v>
      </c>
      <c r="F655" t="s">
        <v>2957</v>
      </c>
      <c r="G655" t="s">
        <v>84</v>
      </c>
      <c r="M655" s="28" t="s">
        <v>14223</v>
      </c>
      <c r="N655" t="s">
        <v>313</v>
      </c>
    </row>
    <row r="656" spans="1:14" hidden="1" x14ac:dyDescent="0.25">
      <c r="A656" t="s">
        <v>8853</v>
      </c>
      <c r="B656" t="s">
        <v>3200</v>
      </c>
      <c r="C656" t="s">
        <v>3201</v>
      </c>
      <c r="D656" t="s">
        <v>3202</v>
      </c>
      <c r="E656" s="28" t="s">
        <v>1177</v>
      </c>
      <c r="F656" t="s">
        <v>554</v>
      </c>
      <c r="G656" t="s">
        <v>88</v>
      </c>
      <c r="M656" s="28" t="s">
        <v>549</v>
      </c>
      <c r="N656" t="s">
        <v>313</v>
      </c>
    </row>
    <row r="657" spans="1:14" hidden="1" x14ac:dyDescent="0.25">
      <c r="A657" t="s">
        <v>12857</v>
      </c>
      <c r="B657" t="s">
        <v>3200</v>
      </c>
      <c r="C657" t="s">
        <v>3765</v>
      </c>
      <c r="D657" t="s">
        <v>12858</v>
      </c>
      <c r="E657" s="28" t="s">
        <v>890</v>
      </c>
      <c r="F657" t="s">
        <v>554</v>
      </c>
      <c r="G657" t="s">
        <v>88</v>
      </c>
      <c r="M657" s="28" t="s">
        <v>549</v>
      </c>
      <c r="N657" t="s">
        <v>313</v>
      </c>
    </row>
    <row r="658" spans="1:14" hidden="1" x14ac:dyDescent="0.25">
      <c r="A658" t="s">
        <v>8854</v>
      </c>
      <c r="B658" t="s">
        <v>3203</v>
      </c>
      <c r="C658" t="s">
        <v>3036</v>
      </c>
      <c r="D658" t="s">
        <v>3204</v>
      </c>
      <c r="E658" s="28" t="s">
        <v>890</v>
      </c>
      <c r="F658" t="s">
        <v>891</v>
      </c>
      <c r="G658" t="s">
        <v>88</v>
      </c>
      <c r="M658" s="28" t="s">
        <v>549</v>
      </c>
      <c r="N658" t="s">
        <v>313</v>
      </c>
    </row>
    <row r="659" spans="1:14" hidden="1" x14ac:dyDescent="0.25">
      <c r="A659" t="s">
        <v>8855</v>
      </c>
      <c r="B659" t="s">
        <v>3205</v>
      </c>
      <c r="C659" t="s">
        <v>3206</v>
      </c>
      <c r="D659" t="s">
        <v>3207</v>
      </c>
      <c r="E659" s="28" t="s">
        <v>896</v>
      </c>
      <c r="F659" t="s">
        <v>891</v>
      </c>
      <c r="G659" t="s">
        <v>88</v>
      </c>
      <c r="M659" s="28" t="s">
        <v>549</v>
      </c>
      <c r="N659" t="s">
        <v>313</v>
      </c>
    </row>
    <row r="660" spans="1:14" hidden="1" x14ac:dyDescent="0.25">
      <c r="A660" t="s">
        <v>8856</v>
      </c>
      <c r="B660" t="s">
        <v>3208</v>
      </c>
      <c r="C660" t="s">
        <v>3209</v>
      </c>
      <c r="D660" t="s">
        <v>3210</v>
      </c>
      <c r="E660" s="28" t="s">
        <v>896</v>
      </c>
      <c r="F660" t="s">
        <v>891</v>
      </c>
      <c r="G660" t="s">
        <v>88</v>
      </c>
      <c r="M660" s="28" t="s">
        <v>549</v>
      </c>
      <c r="N660" t="s">
        <v>313</v>
      </c>
    </row>
    <row r="661" spans="1:14" hidden="1" x14ac:dyDescent="0.25">
      <c r="A661" t="s">
        <v>8857</v>
      </c>
      <c r="B661" t="s">
        <v>3208</v>
      </c>
      <c r="C661" t="s">
        <v>1266</v>
      </c>
      <c r="D661" t="s">
        <v>3211</v>
      </c>
      <c r="E661" s="28" t="s">
        <v>896</v>
      </c>
      <c r="F661" t="s">
        <v>891</v>
      </c>
      <c r="G661" t="s">
        <v>88</v>
      </c>
      <c r="M661" s="28" t="s">
        <v>549</v>
      </c>
      <c r="N661" t="s">
        <v>313</v>
      </c>
    </row>
    <row r="662" spans="1:14" hidden="1" x14ac:dyDescent="0.25">
      <c r="A662" t="s">
        <v>14261</v>
      </c>
      <c r="B662" t="s">
        <v>14262</v>
      </c>
      <c r="C662" t="s">
        <v>1052</v>
      </c>
      <c r="D662" t="s">
        <v>11705</v>
      </c>
      <c r="E662" s="28" t="s">
        <v>890</v>
      </c>
      <c r="F662" t="s">
        <v>10904</v>
      </c>
      <c r="G662" t="s">
        <v>81</v>
      </c>
      <c r="M662" s="28" t="s">
        <v>530</v>
      </c>
      <c r="N662" t="s">
        <v>313</v>
      </c>
    </row>
    <row r="663" spans="1:14" hidden="1" x14ac:dyDescent="0.25">
      <c r="A663" t="s">
        <v>10755</v>
      </c>
      <c r="B663" t="s">
        <v>6926</v>
      </c>
      <c r="C663" t="s">
        <v>1104</v>
      </c>
      <c r="D663" t="s">
        <v>7218</v>
      </c>
      <c r="E663" s="28" t="s">
        <v>896</v>
      </c>
      <c r="F663" t="s">
        <v>7062</v>
      </c>
      <c r="G663" t="s">
        <v>6896</v>
      </c>
      <c r="M663" s="28" t="s">
        <v>6897</v>
      </c>
      <c r="N663" t="s">
        <v>279</v>
      </c>
    </row>
    <row r="664" spans="1:14" hidden="1" x14ac:dyDescent="0.25">
      <c r="A664" t="s">
        <v>10634</v>
      </c>
      <c r="B664" t="s">
        <v>6926</v>
      </c>
      <c r="C664" t="s">
        <v>2329</v>
      </c>
      <c r="D664" t="s">
        <v>6927</v>
      </c>
      <c r="E664" s="28" t="s">
        <v>890</v>
      </c>
      <c r="F664" t="s">
        <v>6901</v>
      </c>
      <c r="G664" t="s">
        <v>6896</v>
      </c>
      <c r="M664" s="28" t="s">
        <v>6897</v>
      </c>
      <c r="N664" t="s">
        <v>279</v>
      </c>
    </row>
    <row r="665" spans="1:14" hidden="1" x14ac:dyDescent="0.25">
      <c r="A665" t="s">
        <v>10754</v>
      </c>
      <c r="B665" t="s">
        <v>7216</v>
      </c>
      <c r="C665" t="s">
        <v>7216</v>
      </c>
      <c r="D665" t="s">
        <v>7217</v>
      </c>
      <c r="E665" s="28" t="s">
        <v>890</v>
      </c>
      <c r="F665" t="s">
        <v>7062</v>
      </c>
      <c r="G665" t="s">
        <v>6896</v>
      </c>
      <c r="M665" s="28" t="s">
        <v>6897</v>
      </c>
      <c r="N665" t="s">
        <v>279</v>
      </c>
    </row>
    <row r="666" spans="1:14" hidden="1" x14ac:dyDescent="0.25">
      <c r="A666" t="s">
        <v>10202</v>
      </c>
      <c r="B666" t="s">
        <v>5958</v>
      </c>
      <c r="C666" t="s">
        <v>4719</v>
      </c>
      <c r="D666" t="s">
        <v>5959</v>
      </c>
      <c r="E666" s="28" t="s">
        <v>896</v>
      </c>
      <c r="F666" t="s">
        <v>208</v>
      </c>
      <c r="G666" t="s">
        <v>15</v>
      </c>
      <c r="M666" s="28" t="s">
        <v>613</v>
      </c>
      <c r="N666" t="s">
        <v>313</v>
      </c>
    </row>
    <row r="667" spans="1:14" hidden="1" x14ac:dyDescent="0.25">
      <c r="A667" t="s">
        <v>10441</v>
      </c>
      <c r="B667" t="s">
        <v>6470</v>
      </c>
      <c r="C667" t="s">
        <v>1194</v>
      </c>
      <c r="D667" t="s">
        <v>6471</v>
      </c>
      <c r="E667" s="28" t="s">
        <v>896</v>
      </c>
      <c r="F667" t="s">
        <v>796</v>
      </c>
      <c r="G667" t="s">
        <v>21</v>
      </c>
      <c r="M667" s="28" t="s">
        <v>791</v>
      </c>
      <c r="N667" t="s">
        <v>313</v>
      </c>
    </row>
    <row r="668" spans="1:14" hidden="1" x14ac:dyDescent="0.25">
      <c r="A668" t="s">
        <v>14620</v>
      </c>
      <c r="B668" t="s">
        <v>14621</v>
      </c>
      <c r="C668" t="s">
        <v>4553</v>
      </c>
      <c r="D668" t="s">
        <v>14622</v>
      </c>
      <c r="E668" s="28" t="s">
        <v>890</v>
      </c>
      <c r="F668" t="s">
        <v>4590</v>
      </c>
      <c r="G668" t="s">
        <v>15</v>
      </c>
      <c r="M668" s="28" t="s">
        <v>613</v>
      </c>
      <c r="N668" t="s">
        <v>313</v>
      </c>
    </row>
    <row r="669" spans="1:14" hidden="1" x14ac:dyDescent="0.25">
      <c r="A669" t="s">
        <v>10201</v>
      </c>
      <c r="B669" t="s">
        <v>5956</v>
      </c>
      <c r="C669" t="s">
        <v>4592</v>
      </c>
      <c r="D669" t="s">
        <v>5957</v>
      </c>
      <c r="E669" s="28" t="s">
        <v>890</v>
      </c>
      <c r="F669" t="s">
        <v>5107</v>
      </c>
      <c r="G669" t="s">
        <v>15</v>
      </c>
      <c r="M669" s="28" t="s">
        <v>613</v>
      </c>
      <c r="N669" t="s">
        <v>313</v>
      </c>
    </row>
    <row r="670" spans="1:14" hidden="1" x14ac:dyDescent="0.25">
      <c r="A670" t="s">
        <v>11864</v>
      </c>
      <c r="B670" t="s">
        <v>11865</v>
      </c>
      <c r="C670" t="s">
        <v>999</v>
      </c>
      <c r="D670" t="s">
        <v>11866</v>
      </c>
      <c r="E670" s="28" t="s">
        <v>890</v>
      </c>
      <c r="F670" t="s">
        <v>221</v>
      </c>
      <c r="G670" t="s">
        <v>15</v>
      </c>
      <c r="M670" s="28" t="s">
        <v>613</v>
      </c>
      <c r="N670" t="s">
        <v>313</v>
      </c>
    </row>
    <row r="671" spans="1:14" hidden="1" x14ac:dyDescent="0.25">
      <c r="A671" t="s">
        <v>14263</v>
      </c>
      <c r="B671" t="s">
        <v>14264</v>
      </c>
      <c r="C671" t="s">
        <v>1045</v>
      </c>
      <c r="D671" t="s">
        <v>11706</v>
      </c>
      <c r="E671" s="28" t="s">
        <v>1177</v>
      </c>
      <c r="F671" t="s">
        <v>14215</v>
      </c>
      <c r="G671" t="s">
        <v>81</v>
      </c>
      <c r="M671" s="28" t="s">
        <v>530</v>
      </c>
      <c r="N671" t="s">
        <v>313</v>
      </c>
    </row>
    <row r="672" spans="1:14" hidden="1" x14ac:dyDescent="0.25">
      <c r="A672" t="s">
        <v>14265</v>
      </c>
      <c r="B672" t="s">
        <v>14264</v>
      </c>
      <c r="C672" t="s">
        <v>4570</v>
      </c>
      <c r="D672" t="s">
        <v>11707</v>
      </c>
      <c r="E672" s="28" t="s">
        <v>890</v>
      </c>
      <c r="F672" t="s">
        <v>14215</v>
      </c>
      <c r="G672" t="s">
        <v>81</v>
      </c>
      <c r="M672" s="28" t="s">
        <v>530</v>
      </c>
      <c r="N672" t="s">
        <v>313</v>
      </c>
    </row>
    <row r="673" spans="1:14" hidden="1" x14ac:dyDescent="0.25">
      <c r="A673" t="s">
        <v>13034</v>
      </c>
      <c r="B673" t="s">
        <v>13035</v>
      </c>
      <c r="C673" t="s">
        <v>926</v>
      </c>
      <c r="D673" t="s">
        <v>13036</v>
      </c>
      <c r="E673" s="28" t="s">
        <v>890</v>
      </c>
      <c r="F673" t="s">
        <v>13562</v>
      </c>
      <c r="G673" t="s">
        <v>15</v>
      </c>
      <c r="M673" s="28" t="s">
        <v>613</v>
      </c>
      <c r="N673" t="s">
        <v>313</v>
      </c>
    </row>
    <row r="674" spans="1:14" hidden="1" x14ac:dyDescent="0.25">
      <c r="A674" t="s">
        <v>10200</v>
      </c>
      <c r="B674" t="s">
        <v>5954</v>
      </c>
      <c r="C674" t="s">
        <v>4606</v>
      </c>
      <c r="D674" t="s">
        <v>5955</v>
      </c>
      <c r="E674" s="28" t="s">
        <v>896</v>
      </c>
      <c r="F674" t="s">
        <v>4635</v>
      </c>
      <c r="G674" t="s">
        <v>15</v>
      </c>
      <c r="M674" s="28" t="s">
        <v>613</v>
      </c>
      <c r="N674" t="s">
        <v>313</v>
      </c>
    </row>
    <row r="675" spans="1:14" hidden="1" x14ac:dyDescent="0.25">
      <c r="A675" t="s">
        <v>8370</v>
      </c>
      <c r="B675" t="s">
        <v>2053</v>
      </c>
      <c r="C675" t="s">
        <v>2051</v>
      </c>
      <c r="D675" t="s">
        <v>2054</v>
      </c>
      <c r="E675" s="28" t="s">
        <v>890</v>
      </c>
      <c r="F675" t="s">
        <v>395</v>
      </c>
      <c r="G675" t="s">
        <v>47</v>
      </c>
      <c r="M675" s="28" t="s">
        <v>13542</v>
      </c>
    </row>
    <row r="676" spans="1:14" hidden="1" x14ac:dyDescent="0.25">
      <c r="A676" t="s">
        <v>10199</v>
      </c>
      <c r="B676" t="s">
        <v>5952</v>
      </c>
      <c r="C676" t="s">
        <v>1121</v>
      </c>
      <c r="D676" t="s">
        <v>5953</v>
      </c>
      <c r="E676" s="28" t="s">
        <v>896</v>
      </c>
      <c r="F676" t="s">
        <v>679</v>
      </c>
      <c r="G676" t="s">
        <v>15</v>
      </c>
      <c r="M676" s="28" t="s">
        <v>613</v>
      </c>
      <c r="N676" t="s">
        <v>313</v>
      </c>
    </row>
    <row r="677" spans="1:14" hidden="1" x14ac:dyDescent="0.25">
      <c r="A677" t="s">
        <v>13651</v>
      </c>
      <c r="B677" t="s">
        <v>5952</v>
      </c>
      <c r="C677" t="s">
        <v>4821</v>
      </c>
      <c r="D677" t="s">
        <v>13652</v>
      </c>
      <c r="E677" s="28" t="s">
        <v>930</v>
      </c>
      <c r="F677" t="s">
        <v>679</v>
      </c>
      <c r="G677" t="s">
        <v>15</v>
      </c>
      <c r="M677" s="28" t="s">
        <v>613</v>
      </c>
      <c r="N677" t="s">
        <v>313</v>
      </c>
    </row>
    <row r="678" spans="1:14" hidden="1" x14ac:dyDescent="0.25">
      <c r="A678" t="s">
        <v>8858</v>
      </c>
      <c r="B678" t="s">
        <v>3212</v>
      </c>
      <c r="C678" t="s">
        <v>3201</v>
      </c>
      <c r="D678" t="s">
        <v>3213</v>
      </c>
      <c r="E678" s="28" t="s">
        <v>896</v>
      </c>
      <c r="F678" t="s">
        <v>891</v>
      </c>
      <c r="G678" t="s">
        <v>88</v>
      </c>
      <c r="M678" s="28" t="s">
        <v>549</v>
      </c>
      <c r="N678" t="s">
        <v>313</v>
      </c>
    </row>
    <row r="679" spans="1:14" hidden="1" x14ac:dyDescent="0.25">
      <c r="A679" t="s">
        <v>8859</v>
      </c>
      <c r="B679" t="s">
        <v>3212</v>
      </c>
      <c r="C679" t="s">
        <v>3214</v>
      </c>
      <c r="D679" t="s">
        <v>3215</v>
      </c>
      <c r="E679" s="28" t="s">
        <v>1177</v>
      </c>
      <c r="F679" t="s">
        <v>554</v>
      </c>
      <c r="G679" t="s">
        <v>88</v>
      </c>
      <c r="M679" s="28" t="s">
        <v>549</v>
      </c>
      <c r="N679" t="s">
        <v>313</v>
      </c>
    </row>
    <row r="680" spans="1:14" hidden="1" x14ac:dyDescent="0.25">
      <c r="A680" t="s">
        <v>12750</v>
      </c>
      <c r="B680" t="s">
        <v>12751</v>
      </c>
      <c r="C680" t="s">
        <v>4808</v>
      </c>
      <c r="D680" t="s">
        <v>12752</v>
      </c>
      <c r="E680" s="28" t="s">
        <v>890</v>
      </c>
      <c r="F680" t="s">
        <v>2850</v>
      </c>
      <c r="G680" t="s">
        <v>15</v>
      </c>
      <c r="M680" s="28" t="s">
        <v>613</v>
      </c>
      <c r="N680" t="s">
        <v>313</v>
      </c>
    </row>
    <row r="681" spans="1:14" hidden="1" x14ac:dyDescent="0.25">
      <c r="A681" t="s">
        <v>8860</v>
      </c>
      <c r="B681" t="s">
        <v>3216</v>
      </c>
      <c r="C681" t="s">
        <v>3217</v>
      </c>
      <c r="D681" t="s">
        <v>3218</v>
      </c>
      <c r="E681" s="28" t="s">
        <v>890</v>
      </c>
      <c r="F681" t="s">
        <v>577</v>
      </c>
      <c r="G681" t="s">
        <v>88</v>
      </c>
      <c r="M681" s="28" t="s">
        <v>549</v>
      </c>
      <c r="N681" t="s">
        <v>313</v>
      </c>
    </row>
    <row r="682" spans="1:14" hidden="1" x14ac:dyDescent="0.25">
      <c r="A682" t="s">
        <v>10687</v>
      </c>
      <c r="B682" t="s">
        <v>7058</v>
      </c>
      <c r="C682" t="s">
        <v>4570</v>
      </c>
      <c r="D682" t="s">
        <v>7060</v>
      </c>
      <c r="E682" s="28" t="s">
        <v>890</v>
      </c>
      <c r="F682" t="s">
        <v>4508</v>
      </c>
      <c r="G682" t="s">
        <v>6896</v>
      </c>
      <c r="M682" s="28" t="s">
        <v>6897</v>
      </c>
      <c r="N682" t="s">
        <v>279</v>
      </c>
    </row>
    <row r="683" spans="1:14" hidden="1" x14ac:dyDescent="0.25">
      <c r="A683" t="s">
        <v>10686</v>
      </c>
      <c r="B683" t="s">
        <v>7058</v>
      </c>
      <c r="C683" t="s">
        <v>1227</v>
      </c>
      <c r="D683" t="s">
        <v>7059</v>
      </c>
      <c r="E683" s="28" t="s">
        <v>896</v>
      </c>
      <c r="F683" t="s">
        <v>4508</v>
      </c>
      <c r="G683" t="s">
        <v>6896</v>
      </c>
      <c r="M683" s="28" t="s">
        <v>6897</v>
      </c>
      <c r="N683" t="s">
        <v>279</v>
      </c>
    </row>
    <row r="684" spans="1:14" hidden="1" x14ac:dyDescent="0.25">
      <c r="A684" t="s">
        <v>8861</v>
      </c>
      <c r="B684" t="s">
        <v>3219</v>
      </c>
      <c r="C684" t="s">
        <v>3061</v>
      </c>
      <c r="D684" t="s">
        <v>3220</v>
      </c>
      <c r="E684" s="28" t="s">
        <v>896</v>
      </c>
      <c r="F684" t="s">
        <v>891</v>
      </c>
      <c r="G684" t="s">
        <v>88</v>
      </c>
      <c r="M684" s="28" t="s">
        <v>549</v>
      </c>
      <c r="N684" t="s">
        <v>313</v>
      </c>
    </row>
    <row r="685" spans="1:14" hidden="1" x14ac:dyDescent="0.25">
      <c r="A685" t="s">
        <v>10606</v>
      </c>
      <c r="B685" t="s">
        <v>6857</v>
      </c>
      <c r="C685" t="s">
        <v>1126</v>
      </c>
      <c r="D685" t="s">
        <v>6858</v>
      </c>
      <c r="E685" s="28" t="s">
        <v>890</v>
      </c>
      <c r="F685" t="s">
        <v>13505</v>
      </c>
      <c r="G685" t="s">
        <v>145</v>
      </c>
      <c r="M685" s="28" t="s">
        <v>13222</v>
      </c>
      <c r="N685" t="s">
        <v>313</v>
      </c>
    </row>
    <row r="686" spans="1:14" hidden="1" x14ac:dyDescent="0.25">
      <c r="A686" t="s">
        <v>8862</v>
      </c>
      <c r="B686" t="s">
        <v>3221</v>
      </c>
      <c r="C686" t="s">
        <v>3222</v>
      </c>
      <c r="D686" t="s">
        <v>3223</v>
      </c>
      <c r="E686" s="28" t="s">
        <v>896</v>
      </c>
      <c r="F686" t="s">
        <v>891</v>
      </c>
      <c r="G686" t="s">
        <v>88</v>
      </c>
      <c r="M686" s="28" t="s">
        <v>549</v>
      </c>
      <c r="N686" t="s">
        <v>313</v>
      </c>
    </row>
    <row r="687" spans="1:14" hidden="1" x14ac:dyDescent="0.25">
      <c r="A687" t="s">
        <v>8863</v>
      </c>
      <c r="B687" t="s">
        <v>3221</v>
      </c>
      <c r="C687" t="s">
        <v>1153</v>
      </c>
      <c r="D687" t="s">
        <v>3224</v>
      </c>
      <c r="E687" s="28" t="s">
        <v>890</v>
      </c>
      <c r="F687" t="s">
        <v>891</v>
      </c>
      <c r="G687" t="s">
        <v>88</v>
      </c>
      <c r="M687" s="28" t="s">
        <v>549</v>
      </c>
      <c r="N687" t="s">
        <v>313</v>
      </c>
    </row>
    <row r="688" spans="1:14" hidden="1" x14ac:dyDescent="0.25">
      <c r="A688" t="s">
        <v>13653</v>
      </c>
      <c r="B688" t="s">
        <v>13654</v>
      </c>
      <c r="C688" t="s">
        <v>13655</v>
      </c>
      <c r="D688" t="s">
        <v>13656</v>
      </c>
      <c r="E688" s="28"/>
      <c r="F688" t="s">
        <v>891</v>
      </c>
      <c r="G688" t="s">
        <v>60</v>
      </c>
      <c r="M688" s="28" t="s">
        <v>14207</v>
      </c>
    </row>
    <row r="689" spans="1:14" hidden="1" x14ac:dyDescent="0.25">
      <c r="A689" t="s">
        <v>8547</v>
      </c>
      <c r="B689" t="s">
        <v>950</v>
      </c>
      <c r="C689" t="s">
        <v>1193</v>
      </c>
      <c r="D689" t="s">
        <v>2481</v>
      </c>
      <c r="E689" s="28" t="s">
        <v>896</v>
      </c>
      <c r="F689" t="s">
        <v>415</v>
      </c>
      <c r="G689" t="s">
        <v>11</v>
      </c>
      <c r="M689" s="28" t="s">
        <v>413</v>
      </c>
      <c r="N689" t="s">
        <v>313</v>
      </c>
    </row>
    <row r="690" spans="1:14" hidden="1" x14ac:dyDescent="0.25">
      <c r="A690" t="s">
        <v>8864</v>
      </c>
      <c r="B690" t="s">
        <v>3225</v>
      </c>
      <c r="C690" t="s">
        <v>3226</v>
      </c>
      <c r="D690" t="s">
        <v>3227</v>
      </c>
      <c r="E690" s="28" t="s">
        <v>890</v>
      </c>
      <c r="F690" t="s">
        <v>13206</v>
      </c>
      <c r="G690" t="s">
        <v>88</v>
      </c>
      <c r="M690" s="28" t="s">
        <v>549</v>
      </c>
      <c r="N690" t="s">
        <v>313</v>
      </c>
    </row>
    <row r="691" spans="1:14" hidden="1" x14ac:dyDescent="0.25">
      <c r="A691" t="s">
        <v>8865</v>
      </c>
      <c r="B691" t="s">
        <v>3228</v>
      </c>
      <c r="C691" t="s">
        <v>2095</v>
      </c>
      <c r="D691" t="s">
        <v>3229</v>
      </c>
      <c r="E691" s="28" t="s">
        <v>890</v>
      </c>
      <c r="F691" t="s">
        <v>891</v>
      </c>
      <c r="G691" t="s">
        <v>88</v>
      </c>
      <c r="M691" s="28" t="s">
        <v>549</v>
      </c>
      <c r="N691" t="s">
        <v>313</v>
      </c>
    </row>
    <row r="692" spans="1:14" hidden="1" x14ac:dyDescent="0.25">
      <c r="A692" t="s">
        <v>8866</v>
      </c>
      <c r="B692" t="s">
        <v>3230</v>
      </c>
      <c r="C692" t="s">
        <v>1172</v>
      </c>
      <c r="D692" t="s">
        <v>3231</v>
      </c>
      <c r="E692" s="28" t="s">
        <v>890</v>
      </c>
      <c r="F692" t="s">
        <v>891</v>
      </c>
      <c r="G692" t="s">
        <v>88</v>
      </c>
      <c r="M692" s="28" t="s">
        <v>549</v>
      </c>
      <c r="N692" t="s">
        <v>313</v>
      </c>
    </row>
    <row r="693" spans="1:14" hidden="1" x14ac:dyDescent="0.25">
      <c r="A693" t="s">
        <v>10683</v>
      </c>
      <c r="B693" t="s">
        <v>7050</v>
      </c>
      <c r="C693" t="s">
        <v>7051</v>
      </c>
      <c r="D693" t="s">
        <v>7052</v>
      </c>
      <c r="E693" s="28" t="s">
        <v>896</v>
      </c>
      <c r="F693" t="s">
        <v>6895</v>
      </c>
      <c r="G693" t="s">
        <v>6896</v>
      </c>
      <c r="M693" s="28" t="s">
        <v>6897</v>
      </c>
      <c r="N693" t="s">
        <v>279</v>
      </c>
    </row>
    <row r="694" spans="1:14" hidden="1" x14ac:dyDescent="0.25">
      <c r="A694" t="s">
        <v>10684</v>
      </c>
      <c r="B694" t="s">
        <v>7050</v>
      </c>
      <c r="C694" t="s">
        <v>7053</v>
      </c>
      <c r="D694" t="s">
        <v>7054</v>
      </c>
      <c r="E694" s="28" t="s">
        <v>890</v>
      </c>
      <c r="F694" t="s">
        <v>6895</v>
      </c>
      <c r="G694" t="s">
        <v>6896</v>
      </c>
      <c r="M694" s="28" t="s">
        <v>6897</v>
      </c>
      <c r="N694" t="s">
        <v>279</v>
      </c>
    </row>
    <row r="695" spans="1:14" hidden="1" x14ac:dyDescent="0.25">
      <c r="A695" t="s">
        <v>11786</v>
      </c>
      <c r="B695" t="s">
        <v>11787</v>
      </c>
      <c r="C695" t="s">
        <v>1103</v>
      </c>
      <c r="D695" t="s">
        <v>3416</v>
      </c>
      <c r="E695" s="28" t="s">
        <v>890</v>
      </c>
      <c r="F695" t="s">
        <v>566</v>
      </c>
      <c r="G695" t="s">
        <v>88</v>
      </c>
      <c r="M695" s="28" t="s">
        <v>549</v>
      </c>
      <c r="N695" t="s">
        <v>313</v>
      </c>
    </row>
    <row r="696" spans="1:14" hidden="1" x14ac:dyDescent="0.25">
      <c r="A696" t="s">
        <v>10198</v>
      </c>
      <c r="B696" t="s">
        <v>5950</v>
      </c>
      <c r="C696" t="s">
        <v>2582</v>
      </c>
      <c r="D696" t="s">
        <v>5951</v>
      </c>
      <c r="E696" s="28" t="s">
        <v>890</v>
      </c>
      <c r="F696" t="s">
        <v>241</v>
      </c>
      <c r="G696" t="s">
        <v>15</v>
      </c>
      <c r="M696" s="28" t="s">
        <v>613</v>
      </c>
      <c r="N696" t="s">
        <v>313</v>
      </c>
    </row>
    <row r="697" spans="1:14" hidden="1" x14ac:dyDescent="0.25">
      <c r="A697" t="s">
        <v>10197</v>
      </c>
      <c r="B697" t="s">
        <v>5948</v>
      </c>
      <c r="C697" t="s">
        <v>4792</v>
      </c>
      <c r="D697" t="s">
        <v>5949</v>
      </c>
      <c r="E697" s="28" t="s">
        <v>896</v>
      </c>
      <c r="F697" t="s">
        <v>4635</v>
      </c>
      <c r="G697" t="s">
        <v>15</v>
      </c>
      <c r="M697" s="28" t="s">
        <v>613</v>
      </c>
      <c r="N697" t="s">
        <v>313</v>
      </c>
    </row>
    <row r="698" spans="1:14" hidden="1" x14ac:dyDescent="0.25">
      <c r="A698" t="s">
        <v>10196</v>
      </c>
      <c r="B698" t="s">
        <v>5945</v>
      </c>
      <c r="C698" t="s">
        <v>5946</v>
      </c>
      <c r="D698" t="s">
        <v>5947</v>
      </c>
      <c r="E698" s="28" t="s">
        <v>896</v>
      </c>
      <c r="F698" t="s">
        <v>702</v>
      </c>
      <c r="G698" t="s">
        <v>15</v>
      </c>
      <c r="M698" s="28" t="s">
        <v>613</v>
      </c>
      <c r="N698" t="s">
        <v>313</v>
      </c>
    </row>
    <row r="699" spans="1:14" hidden="1" x14ac:dyDescent="0.25">
      <c r="A699" t="s">
        <v>10195</v>
      </c>
      <c r="B699" t="s">
        <v>5943</v>
      </c>
      <c r="C699" t="s">
        <v>4640</v>
      </c>
      <c r="D699" t="s">
        <v>5944</v>
      </c>
      <c r="E699" s="28" t="s">
        <v>896</v>
      </c>
      <c r="F699" t="s">
        <v>212</v>
      </c>
      <c r="G699" t="s">
        <v>15</v>
      </c>
      <c r="M699" s="28" t="s">
        <v>613</v>
      </c>
      <c r="N699" t="s">
        <v>313</v>
      </c>
    </row>
    <row r="700" spans="1:14" hidden="1" x14ac:dyDescent="0.25">
      <c r="A700" t="s">
        <v>10194</v>
      </c>
      <c r="B700" t="s">
        <v>5940</v>
      </c>
      <c r="C700" t="s">
        <v>4440</v>
      </c>
      <c r="D700" t="s">
        <v>5942</v>
      </c>
      <c r="E700" s="28" t="s">
        <v>1023</v>
      </c>
      <c r="F700" t="s">
        <v>4590</v>
      </c>
      <c r="G700" t="s">
        <v>15</v>
      </c>
      <c r="M700" s="28" t="s">
        <v>613</v>
      </c>
      <c r="N700" t="s">
        <v>313</v>
      </c>
    </row>
    <row r="701" spans="1:14" hidden="1" x14ac:dyDescent="0.25">
      <c r="A701" t="s">
        <v>10193</v>
      </c>
      <c r="B701" t="s">
        <v>5940</v>
      </c>
      <c r="C701" t="s">
        <v>4704</v>
      </c>
      <c r="D701" t="s">
        <v>5941</v>
      </c>
      <c r="E701" s="28" t="s">
        <v>1023</v>
      </c>
      <c r="F701" t="s">
        <v>4590</v>
      </c>
      <c r="G701" t="s">
        <v>15</v>
      </c>
      <c r="M701" s="28" t="s">
        <v>613</v>
      </c>
      <c r="N701" t="s">
        <v>313</v>
      </c>
    </row>
    <row r="702" spans="1:14" hidden="1" x14ac:dyDescent="0.25">
      <c r="A702" t="s">
        <v>10191</v>
      </c>
      <c r="B702" t="s">
        <v>5937</v>
      </c>
      <c r="C702" t="s">
        <v>909</v>
      </c>
      <c r="D702" t="s">
        <v>5938</v>
      </c>
      <c r="E702" s="28" t="s">
        <v>896</v>
      </c>
      <c r="F702" t="s">
        <v>4555</v>
      </c>
      <c r="G702" t="s">
        <v>15</v>
      </c>
      <c r="M702" s="28" t="s">
        <v>613</v>
      </c>
      <c r="N702" t="s">
        <v>313</v>
      </c>
    </row>
    <row r="703" spans="1:14" hidden="1" x14ac:dyDescent="0.25">
      <c r="A703" t="s">
        <v>10192</v>
      </c>
      <c r="B703" t="s">
        <v>5937</v>
      </c>
      <c r="C703" t="s">
        <v>4821</v>
      </c>
      <c r="D703" t="s">
        <v>5939</v>
      </c>
      <c r="E703" s="28" t="s">
        <v>890</v>
      </c>
      <c r="F703" t="s">
        <v>4555</v>
      </c>
      <c r="G703" t="s">
        <v>15</v>
      </c>
      <c r="M703" s="28" t="s">
        <v>613</v>
      </c>
      <c r="N703" t="s">
        <v>313</v>
      </c>
    </row>
    <row r="704" spans="1:14" hidden="1" x14ac:dyDescent="0.25">
      <c r="A704" t="s">
        <v>10189</v>
      </c>
      <c r="B704" t="s">
        <v>5934</v>
      </c>
      <c r="C704" t="s">
        <v>4440</v>
      </c>
      <c r="D704" t="s">
        <v>5935</v>
      </c>
      <c r="E704" s="28" t="s">
        <v>890</v>
      </c>
      <c r="F704" t="s">
        <v>227</v>
      </c>
      <c r="G704" t="s">
        <v>15</v>
      </c>
      <c r="M704" s="28" t="s">
        <v>613</v>
      </c>
      <c r="N704" t="s">
        <v>313</v>
      </c>
    </row>
    <row r="705" spans="1:14" hidden="1" x14ac:dyDescent="0.25">
      <c r="A705" t="s">
        <v>10190</v>
      </c>
      <c r="B705" t="s">
        <v>5934</v>
      </c>
      <c r="C705" t="s">
        <v>4719</v>
      </c>
      <c r="D705" t="s">
        <v>5936</v>
      </c>
      <c r="E705" s="28" t="s">
        <v>890</v>
      </c>
      <c r="F705" t="s">
        <v>227</v>
      </c>
      <c r="G705" t="s">
        <v>15</v>
      </c>
      <c r="M705" s="28" t="s">
        <v>613</v>
      </c>
      <c r="N705" t="s">
        <v>313</v>
      </c>
    </row>
    <row r="706" spans="1:14" hidden="1" x14ac:dyDescent="0.25">
      <c r="A706" t="s">
        <v>10188</v>
      </c>
      <c r="B706" t="s">
        <v>5932</v>
      </c>
      <c r="C706" t="s">
        <v>1086</v>
      </c>
      <c r="D706" t="s">
        <v>5933</v>
      </c>
      <c r="E706" s="28" t="s">
        <v>896</v>
      </c>
      <c r="F706" t="s">
        <v>743</v>
      </c>
      <c r="G706" t="s">
        <v>15</v>
      </c>
      <c r="M706" s="28" t="s">
        <v>613</v>
      </c>
      <c r="N706" t="s">
        <v>313</v>
      </c>
    </row>
    <row r="707" spans="1:14" hidden="1" x14ac:dyDescent="0.25">
      <c r="A707" t="s">
        <v>8236</v>
      </c>
      <c r="B707" t="s">
        <v>1715</v>
      </c>
      <c r="C707" t="s">
        <v>1716</v>
      </c>
      <c r="D707" t="s">
        <v>1717</v>
      </c>
      <c r="E707" s="28" t="s">
        <v>896</v>
      </c>
      <c r="F707" t="s">
        <v>1678</v>
      </c>
      <c r="G707" t="s">
        <v>43</v>
      </c>
      <c r="M707" s="28" t="s">
        <v>14205</v>
      </c>
    </row>
    <row r="708" spans="1:14" hidden="1" x14ac:dyDescent="0.25">
      <c r="A708" t="s">
        <v>14452</v>
      </c>
      <c r="B708" t="s">
        <v>14453</v>
      </c>
      <c r="C708" t="s">
        <v>4570</v>
      </c>
      <c r="D708" t="s">
        <v>14454</v>
      </c>
      <c r="E708" s="28" t="s">
        <v>896</v>
      </c>
      <c r="F708" t="s">
        <v>764</v>
      </c>
      <c r="G708" t="s">
        <v>15</v>
      </c>
      <c r="M708" s="28" t="s">
        <v>613</v>
      </c>
      <c r="N708" t="s">
        <v>313</v>
      </c>
    </row>
    <row r="709" spans="1:14" hidden="1" x14ac:dyDescent="0.25">
      <c r="A709" t="s">
        <v>10187</v>
      </c>
      <c r="B709" t="s">
        <v>5930</v>
      </c>
      <c r="C709" t="s">
        <v>974</v>
      </c>
      <c r="D709" t="s">
        <v>5931</v>
      </c>
      <c r="E709" s="28" t="s">
        <v>896</v>
      </c>
      <c r="F709" t="s">
        <v>4601</v>
      </c>
      <c r="G709" t="s">
        <v>15</v>
      </c>
      <c r="M709" s="28" t="s">
        <v>613</v>
      </c>
      <c r="N709" t="s">
        <v>313</v>
      </c>
    </row>
    <row r="710" spans="1:14" hidden="1" x14ac:dyDescent="0.25">
      <c r="A710" t="s">
        <v>10186</v>
      </c>
      <c r="B710" t="s">
        <v>5928</v>
      </c>
      <c r="C710" t="s">
        <v>4606</v>
      </c>
      <c r="D710" t="s">
        <v>5929</v>
      </c>
      <c r="E710" s="28" t="s">
        <v>896</v>
      </c>
      <c r="F710" t="s">
        <v>638</v>
      </c>
      <c r="G710" t="s">
        <v>15</v>
      </c>
      <c r="M710" s="28" t="s">
        <v>613</v>
      </c>
      <c r="N710" t="s">
        <v>313</v>
      </c>
    </row>
    <row r="711" spans="1:14" hidden="1" x14ac:dyDescent="0.25">
      <c r="A711" t="s">
        <v>10185</v>
      </c>
      <c r="B711" t="s">
        <v>5926</v>
      </c>
      <c r="C711" t="s">
        <v>4535</v>
      </c>
      <c r="D711" t="s">
        <v>5927</v>
      </c>
      <c r="E711" s="28" t="s">
        <v>896</v>
      </c>
      <c r="F711" t="s">
        <v>4586</v>
      </c>
      <c r="G711" t="s">
        <v>15</v>
      </c>
      <c r="M711" s="28" t="s">
        <v>613</v>
      </c>
      <c r="N711" t="s">
        <v>313</v>
      </c>
    </row>
    <row r="712" spans="1:14" hidden="1" x14ac:dyDescent="0.25">
      <c r="A712" t="s">
        <v>10184</v>
      </c>
      <c r="B712" t="s">
        <v>5923</v>
      </c>
      <c r="C712" t="s">
        <v>4789</v>
      </c>
      <c r="D712" t="s">
        <v>5925</v>
      </c>
      <c r="E712" s="28" t="s">
        <v>896</v>
      </c>
      <c r="F712" t="s">
        <v>5176</v>
      </c>
      <c r="G712" t="s">
        <v>15</v>
      </c>
      <c r="M712" s="28" t="s">
        <v>613</v>
      </c>
      <c r="N712" t="s">
        <v>313</v>
      </c>
    </row>
    <row r="713" spans="1:14" hidden="1" x14ac:dyDescent="0.25">
      <c r="A713" t="s">
        <v>10183</v>
      </c>
      <c r="B713" t="s">
        <v>5923</v>
      </c>
      <c r="C713" t="s">
        <v>4845</v>
      </c>
      <c r="D713" t="s">
        <v>5924</v>
      </c>
      <c r="E713" s="28" t="s">
        <v>896</v>
      </c>
      <c r="F713" t="s">
        <v>651</v>
      </c>
      <c r="G713" t="s">
        <v>15</v>
      </c>
      <c r="M713" s="28" t="s">
        <v>613</v>
      </c>
      <c r="N713" t="s">
        <v>313</v>
      </c>
    </row>
    <row r="714" spans="1:14" hidden="1" x14ac:dyDescent="0.25">
      <c r="A714" t="s">
        <v>10182</v>
      </c>
      <c r="B714" t="s">
        <v>5921</v>
      </c>
      <c r="C714" t="s">
        <v>4726</v>
      </c>
      <c r="D714" t="s">
        <v>5922</v>
      </c>
      <c r="E714" s="28" t="s">
        <v>890</v>
      </c>
      <c r="F714" t="s">
        <v>651</v>
      </c>
      <c r="G714" t="s">
        <v>15</v>
      </c>
      <c r="M714" s="28" t="s">
        <v>613</v>
      </c>
      <c r="N714" t="s">
        <v>313</v>
      </c>
    </row>
    <row r="715" spans="1:14" hidden="1" x14ac:dyDescent="0.25">
      <c r="A715" t="s">
        <v>10181</v>
      </c>
      <c r="B715" t="s">
        <v>5919</v>
      </c>
      <c r="C715" t="s">
        <v>2582</v>
      </c>
      <c r="D715" t="s">
        <v>5920</v>
      </c>
      <c r="E715" s="28" t="s">
        <v>896</v>
      </c>
      <c r="F715" t="s">
        <v>4943</v>
      </c>
      <c r="G715" t="s">
        <v>15</v>
      </c>
      <c r="M715" s="28" t="s">
        <v>613</v>
      </c>
      <c r="N715" t="s">
        <v>313</v>
      </c>
    </row>
    <row r="716" spans="1:14" hidden="1" x14ac:dyDescent="0.25">
      <c r="A716" t="s">
        <v>13345</v>
      </c>
      <c r="B716" t="s">
        <v>13346</v>
      </c>
      <c r="C716" t="s">
        <v>2772</v>
      </c>
      <c r="D716" t="s">
        <v>13347</v>
      </c>
      <c r="E716" s="28" t="s">
        <v>896</v>
      </c>
      <c r="F716" t="s">
        <v>13348</v>
      </c>
      <c r="G716" t="s">
        <v>15</v>
      </c>
      <c r="M716" s="28" t="s">
        <v>613</v>
      </c>
      <c r="N716" t="s">
        <v>313</v>
      </c>
    </row>
    <row r="717" spans="1:14" hidden="1" x14ac:dyDescent="0.25">
      <c r="A717" t="s">
        <v>12430</v>
      </c>
      <c r="B717" t="s">
        <v>2410</v>
      </c>
      <c r="C717" t="s">
        <v>1104</v>
      </c>
      <c r="D717" t="s">
        <v>12431</v>
      </c>
      <c r="E717" s="28" t="s">
        <v>890</v>
      </c>
      <c r="F717" t="s">
        <v>891</v>
      </c>
      <c r="G717" t="s">
        <v>11</v>
      </c>
      <c r="M717" s="28" t="s">
        <v>413</v>
      </c>
      <c r="N717" t="s">
        <v>313</v>
      </c>
    </row>
    <row r="718" spans="1:14" hidden="1" x14ac:dyDescent="0.25">
      <c r="A718" t="s">
        <v>8519</v>
      </c>
      <c r="B718" t="s">
        <v>2410</v>
      </c>
      <c r="C718" t="s">
        <v>2411</v>
      </c>
      <c r="D718" t="s">
        <v>2412</v>
      </c>
      <c r="E718" s="28" t="s">
        <v>896</v>
      </c>
      <c r="F718" t="s">
        <v>510</v>
      </c>
      <c r="G718" t="s">
        <v>11</v>
      </c>
      <c r="M718" s="28" t="s">
        <v>413</v>
      </c>
      <c r="N718" t="s">
        <v>313</v>
      </c>
    </row>
    <row r="719" spans="1:14" hidden="1" x14ac:dyDescent="0.25">
      <c r="A719" t="s">
        <v>12710</v>
      </c>
      <c r="B719" t="s">
        <v>12711</v>
      </c>
      <c r="C719" t="s">
        <v>12712</v>
      </c>
      <c r="D719" t="s">
        <v>12713</v>
      </c>
      <c r="E719" s="28" t="s">
        <v>896</v>
      </c>
      <c r="F719" t="s">
        <v>12817</v>
      </c>
      <c r="G719" t="s">
        <v>11</v>
      </c>
      <c r="M719" s="28" t="s">
        <v>413</v>
      </c>
      <c r="N719" t="s">
        <v>313</v>
      </c>
    </row>
    <row r="720" spans="1:14" hidden="1" x14ac:dyDescent="0.25">
      <c r="A720" t="s">
        <v>8356</v>
      </c>
      <c r="B720" t="s">
        <v>2022</v>
      </c>
      <c r="C720" t="s">
        <v>2023</v>
      </c>
      <c r="D720" t="s">
        <v>2024</v>
      </c>
      <c r="E720" s="28" t="s">
        <v>890</v>
      </c>
      <c r="F720" t="s">
        <v>389</v>
      </c>
      <c r="G720" t="s">
        <v>47</v>
      </c>
      <c r="M720" s="28" t="s">
        <v>13542</v>
      </c>
    </row>
    <row r="721" spans="1:14" hidden="1" x14ac:dyDescent="0.25">
      <c r="A721" t="s">
        <v>11934</v>
      </c>
      <c r="B721" t="s">
        <v>6540</v>
      </c>
      <c r="C721" t="s">
        <v>1269</v>
      </c>
      <c r="D721" t="s">
        <v>6541</v>
      </c>
      <c r="E721" s="28" t="s">
        <v>896</v>
      </c>
      <c r="F721" t="s">
        <v>6542</v>
      </c>
      <c r="G721" t="s">
        <v>129</v>
      </c>
      <c r="M721" s="28" t="s">
        <v>802</v>
      </c>
      <c r="N721" t="s">
        <v>313</v>
      </c>
    </row>
    <row r="722" spans="1:14" hidden="1" x14ac:dyDescent="0.25">
      <c r="A722" t="s">
        <v>8614</v>
      </c>
      <c r="B722" t="s">
        <v>2637</v>
      </c>
      <c r="C722" t="s">
        <v>2638</v>
      </c>
      <c r="D722" t="s">
        <v>2639</v>
      </c>
      <c r="E722" s="28" t="s">
        <v>896</v>
      </c>
      <c r="F722" t="s">
        <v>172</v>
      </c>
      <c r="G722" t="s">
        <v>74</v>
      </c>
      <c r="M722" s="28" t="s">
        <v>507</v>
      </c>
      <c r="N722" t="s">
        <v>313</v>
      </c>
    </row>
    <row r="723" spans="1:14" hidden="1" x14ac:dyDescent="0.25">
      <c r="A723" t="s">
        <v>8462</v>
      </c>
      <c r="B723" t="s">
        <v>2273</v>
      </c>
      <c r="C723" t="s">
        <v>1158</v>
      </c>
      <c r="D723" t="s">
        <v>2274</v>
      </c>
      <c r="E723" s="28" t="s">
        <v>890</v>
      </c>
      <c r="F723" t="s">
        <v>408</v>
      </c>
      <c r="G723" t="s">
        <v>65</v>
      </c>
      <c r="M723" s="28" t="s">
        <v>14209</v>
      </c>
    </row>
    <row r="724" spans="1:14" hidden="1" x14ac:dyDescent="0.25">
      <c r="A724" t="s">
        <v>8650</v>
      </c>
      <c r="B724" t="s">
        <v>2736</v>
      </c>
      <c r="C724" t="s">
        <v>909</v>
      </c>
      <c r="D724" t="s">
        <v>2737</v>
      </c>
      <c r="E724" s="28" t="s">
        <v>896</v>
      </c>
      <c r="F724" t="s">
        <v>523</v>
      </c>
      <c r="G724" t="s">
        <v>74</v>
      </c>
      <c r="M724" s="28" t="s">
        <v>507</v>
      </c>
      <c r="N724" t="s">
        <v>313</v>
      </c>
    </row>
    <row r="725" spans="1:14" hidden="1" x14ac:dyDescent="0.25">
      <c r="A725" t="s">
        <v>8013</v>
      </c>
      <c r="B725" t="s">
        <v>1111</v>
      </c>
      <c r="C725" t="s">
        <v>894</v>
      </c>
      <c r="D725" t="s">
        <v>1112</v>
      </c>
      <c r="E725" s="28" t="s">
        <v>890</v>
      </c>
      <c r="F725" t="s">
        <v>300</v>
      </c>
      <c r="G725" t="s">
        <v>31</v>
      </c>
      <c r="M725" s="28" t="s">
        <v>278</v>
      </c>
      <c r="N725" t="s">
        <v>279</v>
      </c>
    </row>
    <row r="726" spans="1:14" hidden="1" x14ac:dyDescent="0.25">
      <c r="A726" t="s">
        <v>10180</v>
      </c>
      <c r="B726" t="s">
        <v>5917</v>
      </c>
      <c r="C726" t="s">
        <v>1978</v>
      </c>
      <c r="D726" t="s">
        <v>5918</v>
      </c>
      <c r="E726" s="28" t="s">
        <v>890</v>
      </c>
      <c r="F726" t="s">
        <v>623</v>
      </c>
      <c r="G726" t="s">
        <v>15</v>
      </c>
      <c r="M726" s="28" t="s">
        <v>613</v>
      </c>
      <c r="N726" t="s">
        <v>313</v>
      </c>
    </row>
    <row r="727" spans="1:14" hidden="1" x14ac:dyDescent="0.25">
      <c r="A727" t="s">
        <v>10803</v>
      </c>
      <c r="B727" t="s">
        <v>7335</v>
      </c>
      <c r="C727" t="s">
        <v>7336</v>
      </c>
      <c r="D727" t="s">
        <v>7337</v>
      </c>
      <c r="E727" s="28" t="s">
        <v>930</v>
      </c>
      <c r="F727" t="s">
        <v>263</v>
      </c>
      <c r="G727" t="s">
        <v>157</v>
      </c>
      <c r="M727" s="28" t="s">
        <v>840</v>
      </c>
      <c r="N727" t="s">
        <v>382</v>
      </c>
    </row>
    <row r="728" spans="1:14" hidden="1" x14ac:dyDescent="0.25">
      <c r="A728" t="s">
        <v>10179</v>
      </c>
      <c r="B728" t="s">
        <v>5915</v>
      </c>
      <c r="C728" t="s">
        <v>2582</v>
      </c>
      <c r="D728" t="s">
        <v>5916</v>
      </c>
      <c r="E728" s="28" t="s">
        <v>890</v>
      </c>
      <c r="F728" t="s">
        <v>631</v>
      </c>
      <c r="G728" t="s">
        <v>15</v>
      </c>
      <c r="M728" s="28" t="s">
        <v>613</v>
      </c>
      <c r="N728" t="s">
        <v>313</v>
      </c>
    </row>
    <row r="729" spans="1:14" hidden="1" x14ac:dyDescent="0.25">
      <c r="A729" t="s">
        <v>10178</v>
      </c>
      <c r="B729" t="s">
        <v>5913</v>
      </c>
      <c r="C729" t="s">
        <v>4730</v>
      </c>
      <c r="D729" t="s">
        <v>5914</v>
      </c>
      <c r="E729" s="28" t="s">
        <v>890</v>
      </c>
      <c r="F729" t="s">
        <v>625</v>
      </c>
      <c r="G729" t="s">
        <v>15</v>
      </c>
      <c r="M729" s="28" t="s">
        <v>613</v>
      </c>
      <c r="N729" t="s">
        <v>313</v>
      </c>
    </row>
    <row r="730" spans="1:14" hidden="1" x14ac:dyDescent="0.25">
      <c r="A730" t="s">
        <v>10177</v>
      </c>
      <c r="B730" t="s">
        <v>5911</v>
      </c>
      <c r="C730" t="s">
        <v>4603</v>
      </c>
      <c r="D730" t="s">
        <v>5912</v>
      </c>
      <c r="E730" s="28" t="s">
        <v>896</v>
      </c>
      <c r="F730" t="s">
        <v>197</v>
      </c>
      <c r="G730" t="s">
        <v>15</v>
      </c>
      <c r="M730" s="28" t="s">
        <v>613</v>
      </c>
      <c r="N730" t="s">
        <v>313</v>
      </c>
    </row>
    <row r="731" spans="1:14" hidden="1" x14ac:dyDescent="0.25">
      <c r="A731" t="s">
        <v>10176</v>
      </c>
      <c r="B731" t="s">
        <v>5909</v>
      </c>
      <c r="C731" t="s">
        <v>2184</v>
      </c>
      <c r="D731" t="s">
        <v>5910</v>
      </c>
      <c r="E731" s="28" t="s">
        <v>896</v>
      </c>
      <c r="F731" t="s">
        <v>4635</v>
      </c>
      <c r="G731" t="s">
        <v>15</v>
      </c>
      <c r="M731" s="28" t="s">
        <v>613</v>
      </c>
      <c r="N731" t="s">
        <v>313</v>
      </c>
    </row>
    <row r="732" spans="1:14" hidden="1" x14ac:dyDescent="0.25">
      <c r="A732" t="s">
        <v>10804</v>
      </c>
      <c r="B732" t="s">
        <v>7338</v>
      </c>
      <c r="C732" t="s">
        <v>7339</v>
      </c>
      <c r="D732" t="s">
        <v>7340</v>
      </c>
      <c r="E732" s="28" t="s">
        <v>890</v>
      </c>
      <c r="F732" t="s">
        <v>263</v>
      </c>
      <c r="G732" t="s">
        <v>157</v>
      </c>
      <c r="M732" s="28" t="s">
        <v>840</v>
      </c>
      <c r="N732" t="s">
        <v>382</v>
      </c>
    </row>
    <row r="733" spans="1:14" hidden="1" x14ac:dyDescent="0.25">
      <c r="A733" t="s">
        <v>8617</v>
      </c>
      <c r="B733" t="s">
        <v>2647</v>
      </c>
      <c r="C733" t="s">
        <v>2648</v>
      </c>
      <c r="D733" t="s">
        <v>2649</v>
      </c>
      <c r="E733" s="28" t="s">
        <v>896</v>
      </c>
      <c r="F733" t="s">
        <v>170</v>
      </c>
      <c r="G733" t="s">
        <v>74</v>
      </c>
      <c r="M733" s="28" t="s">
        <v>507</v>
      </c>
      <c r="N733" t="s">
        <v>313</v>
      </c>
    </row>
    <row r="734" spans="1:14" hidden="1" x14ac:dyDescent="0.25">
      <c r="A734" t="s">
        <v>8545</v>
      </c>
      <c r="B734" t="s">
        <v>2475</v>
      </c>
      <c r="C734" t="s">
        <v>1981</v>
      </c>
      <c r="D734" t="s">
        <v>2476</v>
      </c>
      <c r="E734" s="28" t="s">
        <v>896</v>
      </c>
      <c r="F734" t="s">
        <v>415</v>
      </c>
      <c r="G734" t="s">
        <v>11</v>
      </c>
      <c r="M734" s="28" t="s">
        <v>413</v>
      </c>
      <c r="N734" t="s">
        <v>313</v>
      </c>
    </row>
    <row r="735" spans="1:14" hidden="1" x14ac:dyDescent="0.25">
      <c r="A735" t="s">
        <v>10174</v>
      </c>
      <c r="B735" t="s">
        <v>5905</v>
      </c>
      <c r="C735" t="s">
        <v>4553</v>
      </c>
      <c r="D735" t="s">
        <v>5906</v>
      </c>
      <c r="E735" s="28" t="s">
        <v>890</v>
      </c>
      <c r="F735" t="s">
        <v>676</v>
      </c>
      <c r="G735" t="s">
        <v>15</v>
      </c>
      <c r="M735" s="28" t="s">
        <v>613</v>
      </c>
      <c r="N735" t="s">
        <v>313</v>
      </c>
    </row>
    <row r="736" spans="1:14" hidden="1" x14ac:dyDescent="0.25">
      <c r="A736" t="s">
        <v>10175</v>
      </c>
      <c r="B736" t="s">
        <v>5905</v>
      </c>
      <c r="C736" t="s">
        <v>5907</v>
      </c>
      <c r="D736" t="s">
        <v>5908</v>
      </c>
      <c r="E736" s="28" t="s">
        <v>1023</v>
      </c>
      <c r="F736" t="s">
        <v>676</v>
      </c>
      <c r="G736" t="s">
        <v>15</v>
      </c>
      <c r="M736" s="28" t="s">
        <v>613</v>
      </c>
      <c r="N736" t="s">
        <v>313</v>
      </c>
    </row>
    <row r="737" spans="1:14" hidden="1" x14ac:dyDescent="0.25">
      <c r="A737" t="s">
        <v>10173</v>
      </c>
      <c r="B737" t="s">
        <v>5903</v>
      </c>
      <c r="C737" t="s">
        <v>926</v>
      </c>
      <c r="D737" t="s">
        <v>5904</v>
      </c>
      <c r="E737" s="28" t="s">
        <v>896</v>
      </c>
      <c r="F737" t="s">
        <v>2598</v>
      </c>
      <c r="G737" t="s">
        <v>15</v>
      </c>
      <c r="M737" s="28" t="s">
        <v>613</v>
      </c>
      <c r="N737" t="s">
        <v>313</v>
      </c>
    </row>
    <row r="738" spans="1:14" hidden="1" x14ac:dyDescent="0.25">
      <c r="A738" t="s">
        <v>10172</v>
      </c>
      <c r="B738" t="s">
        <v>5900</v>
      </c>
      <c r="C738" t="s">
        <v>5901</v>
      </c>
      <c r="D738" t="s">
        <v>5902</v>
      </c>
      <c r="E738" s="28" t="s">
        <v>896</v>
      </c>
      <c r="F738" t="s">
        <v>2850</v>
      </c>
      <c r="G738" t="s">
        <v>15</v>
      </c>
      <c r="M738" s="28" t="s">
        <v>613</v>
      </c>
      <c r="N738" t="s">
        <v>313</v>
      </c>
    </row>
    <row r="739" spans="1:14" hidden="1" x14ac:dyDescent="0.25">
      <c r="A739" t="s">
        <v>13262</v>
      </c>
      <c r="B739" t="s">
        <v>13263</v>
      </c>
      <c r="C739" t="s">
        <v>1179</v>
      </c>
      <c r="D739" t="s">
        <v>13264</v>
      </c>
      <c r="E739" s="28" t="s">
        <v>896</v>
      </c>
      <c r="F739" t="s">
        <v>415</v>
      </c>
      <c r="G739" t="s">
        <v>11</v>
      </c>
      <c r="M739" s="28" t="s">
        <v>413</v>
      </c>
      <c r="N739" t="s">
        <v>313</v>
      </c>
    </row>
    <row r="740" spans="1:14" hidden="1" x14ac:dyDescent="0.25">
      <c r="A740" t="s">
        <v>8020</v>
      </c>
      <c r="B740" t="s">
        <v>1140</v>
      </c>
      <c r="C740" t="s">
        <v>1070</v>
      </c>
      <c r="D740" t="s">
        <v>1141</v>
      </c>
      <c r="E740" s="28" t="s">
        <v>890</v>
      </c>
      <c r="F740" t="s">
        <v>13194</v>
      </c>
      <c r="G740" t="s">
        <v>31</v>
      </c>
      <c r="M740" s="28" t="s">
        <v>278</v>
      </c>
      <c r="N740" t="s">
        <v>279</v>
      </c>
    </row>
    <row r="741" spans="1:14" hidden="1" x14ac:dyDescent="0.25">
      <c r="A741" t="s">
        <v>12020</v>
      </c>
      <c r="B741" t="s">
        <v>1140</v>
      </c>
      <c r="C741" t="s">
        <v>12021</v>
      </c>
      <c r="D741" t="s">
        <v>12022</v>
      </c>
      <c r="E741" s="28" t="s">
        <v>890</v>
      </c>
      <c r="F741" t="s">
        <v>799</v>
      </c>
      <c r="G741" t="s">
        <v>98</v>
      </c>
      <c r="M741" s="28" t="s">
        <v>820</v>
      </c>
      <c r="N741" t="s">
        <v>313</v>
      </c>
    </row>
    <row r="742" spans="1:14" hidden="1" x14ac:dyDescent="0.25">
      <c r="A742" t="s">
        <v>13657</v>
      </c>
      <c r="B742" t="s">
        <v>1140</v>
      </c>
      <c r="C742" t="s">
        <v>1175</v>
      </c>
      <c r="D742" t="s">
        <v>13658</v>
      </c>
      <c r="E742" s="28" t="s">
        <v>890</v>
      </c>
      <c r="F742" t="s">
        <v>799</v>
      </c>
      <c r="G742" t="s">
        <v>98</v>
      </c>
      <c r="M742" s="28" t="s">
        <v>820</v>
      </c>
      <c r="N742" t="s">
        <v>313</v>
      </c>
    </row>
    <row r="743" spans="1:14" hidden="1" x14ac:dyDescent="0.25">
      <c r="A743" t="s">
        <v>8277</v>
      </c>
      <c r="B743" t="s">
        <v>1819</v>
      </c>
      <c r="C743" t="s">
        <v>1805</v>
      </c>
      <c r="D743" t="s">
        <v>1820</v>
      </c>
      <c r="E743" s="28" t="s">
        <v>890</v>
      </c>
      <c r="F743" t="s">
        <v>349</v>
      </c>
      <c r="G743" t="s">
        <v>43</v>
      </c>
      <c r="M743" s="28" t="s">
        <v>14205</v>
      </c>
    </row>
    <row r="744" spans="1:14" hidden="1" x14ac:dyDescent="0.25">
      <c r="A744" t="s">
        <v>8377</v>
      </c>
      <c r="B744" t="s">
        <v>2068</v>
      </c>
      <c r="C744" t="s">
        <v>2063</v>
      </c>
      <c r="D744" t="s">
        <v>2069</v>
      </c>
      <c r="E744" s="28" t="s">
        <v>890</v>
      </c>
      <c r="F744" t="s">
        <v>398</v>
      </c>
      <c r="G744" t="s">
        <v>60</v>
      </c>
      <c r="M744" s="28" t="s">
        <v>14207</v>
      </c>
    </row>
    <row r="745" spans="1:14" hidden="1" x14ac:dyDescent="0.25">
      <c r="A745" t="s">
        <v>10423</v>
      </c>
      <c r="B745" t="s">
        <v>5899</v>
      </c>
      <c r="C745" t="s">
        <v>6430</v>
      </c>
      <c r="D745" t="s">
        <v>6431</v>
      </c>
      <c r="E745" s="28" t="s">
        <v>890</v>
      </c>
      <c r="F745" t="s">
        <v>789</v>
      </c>
      <c r="G745" t="s">
        <v>21</v>
      </c>
      <c r="M745" s="28" t="s">
        <v>791</v>
      </c>
      <c r="N745" t="s">
        <v>313</v>
      </c>
    </row>
    <row r="746" spans="1:14" hidden="1" x14ac:dyDescent="0.25">
      <c r="A746" t="s">
        <v>10448</v>
      </c>
      <c r="B746" t="s">
        <v>5899</v>
      </c>
      <c r="C746" t="s">
        <v>6483</v>
      </c>
      <c r="D746" t="s">
        <v>6484</v>
      </c>
      <c r="E746" s="28" t="s">
        <v>890</v>
      </c>
      <c r="F746" t="s">
        <v>796</v>
      </c>
      <c r="G746" t="s">
        <v>21</v>
      </c>
      <c r="M746" s="28" t="s">
        <v>791</v>
      </c>
      <c r="N746" t="s">
        <v>313</v>
      </c>
    </row>
    <row r="747" spans="1:14" hidden="1" x14ac:dyDescent="0.25">
      <c r="A747" t="s">
        <v>10805</v>
      </c>
      <c r="B747" t="s">
        <v>7341</v>
      </c>
      <c r="C747" t="s">
        <v>4640</v>
      </c>
      <c r="D747" t="s">
        <v>7342</v>
      </c>
      <c r="E747" s="28" t="s">
        <v>896</v>
      </c>
      <c r="F747" t="s">
        <v>259</v>
      </c>
      <c r="G747" t="s">
        <v>157</v>
      </c>
      <c r="M747" s="28" t="s">
        <v>840</v>
      </c>
      <c r="N747" t="s">
        <v>382</v>
      </c>
    </row>
    <row r="748" spans="1:14" hidden="1" x14ac:dyDescent="0.25">
      <c r="A748" t="s">
        <v>10171</v>
      </c>
      <c r="B748" t="s">
        <v>5896</v>
      </c>
      <c r="C748" t="s">
        <v>2582</v>
      </c>
      <c r="D748" t="s">
        <v>5898</v>
      </c>
      <c r="E748" s="28" t="s">
        <v>896</v>
      </c>
      <c r="F748" t="s">
        <v>231</v>
      </c>
      <c r="G748" t="s">
        <v>15</v>
      </c>
      <c r="M748" s="28" t="s">
        <v>613</v>
      </c>
      <c r="N748" t="s">
        <v>313</v>
      </c>
    </row>
    <row r="749" spans="1:14" hidden="1" x14ac:dyDescent="0.25">
      <c r="A749" t="s">
        <v>10170</v>
      </c>
      <c r="B749" t="s">
        <v>5896</v>
      </c>
      <c r="C749" t="s">
        <v>1076</v>
      </c>
      <c r="D749" t="s">
        <v>5897</v>
      </c>
      <c r="E749" s="28" t="s">
        <v>896</v>
      </c>
      <c r="F749" t="s">
        <v>204</v>
      </c>
      <c r="G749" t="s">
        <v>15</v>
      </c>
      <c r="M749" s="28" t="s">
        <v>613</v>
      </c>
      <c r="N749" t="s">
        <v>313</v>
      </c>
    </row>
    <row r="750" spans="1:14" hidden="1" x14ac:dyDescent="0.25">
      <c r="A750" t="s">
        <v>13093</v>
      </c>
      <c r="B750" t="s">
        <v>13094</v>
      </c>
      <c r="C750" t="s">
        <v>13095</v>
      </c>
      <c r="D750" t="s">
        <v>13096</v>
      </c>
      <c r="E750" s="28" t="s">
        <v>896</v>
      </c>
      <c r="F750" t="s">
        <v>252</v>
      </c>
      <c r="G750" t="s">
        <v>129</v>
      </c>
      <c r="M750" s="28" t="s">
        <v>802</v>
      </c>
      <c r="N750" t="s">
        <v>313</v>
      </c>
    </row>
    <row r="751" spans="1:14" hidden="1" x14ac:dyDescent="0.25">
      <c r="A751" t="s">
        <v>13659</v>
      </c>
      <c r="B751" t="s">
        <v>13660</v>
      </c>
      <c r="C751" t="s">
        <v>1134</v>
      </c>
      <c r="D751" t="s">
        <v>13661</v>
      </c>
      <c r="E751" s="28" t="s">
        <v>896</v>
      </c>
      <c r="F751" t="s">
        <v>105</v>
      </c>
      <c r="G751" t="s">
        <v>11</v>
      </c>
      <c r="M751" s="28" t="s">
        <v>413</v>
      </c>
      <c r="N751" t="s">
        <v>313</v>
      </c>
    </row>
    <row r="752" spans="1:14" hidden="1" x14ac:dyDescent="0.25">
      <c r="A752" t="s">
        <v>14266</v>
      </c>
      <c r="B752" t="s">
        <v>14267</v>
      </c>
      <c r="C752" t="s">
        <v>1269</v>
      </c>
      <c r="D752" t="s">
        <v>14268</v>
      </c>
      <c r="E752" s="28" t="s">
        <v>896</v>
      </c>
      <c r="F752" t="s">
        <v>113</v>
      </c>
      <c r="G752" t="s">
        <v>11</v>
      </c>
      <c r="M752" s="28" t="s">
        <v>413</v>
      </c>
      <c r="N752" t="s">
        <v>313</v>
      </c>
    </row>
    <row r="753" spans="1:14" hidden="1" x14ac:dyDescent="0.25">
      <c r="A753" t="s">
        <v>12889</v>
      </c>
      <c r="B753" t="s">
        <v>12890</v>
      </c>
      <c r="C753" t="s">
        <v>4764</v>
      </c>
      <c r="D753" t="s">
        <v>12891</v>
      </c>
      <c r="E753" s="28" t="s">
        <v>890</v>
      </c>
      <c r="F753" t="s">
        <v>4679</v>
      </c>
      <c r="G753" t="s">
        <v>15</v>
      </c>
      <c r="M753" s="28" t="s">
        <v>613</v>
      </c>
      <c r="N753" t="s">
        <v>313</v>
      </c>
    </row>
    <row r="754" spans="1:14" hidden="1" x14ac:dyDescent="0.25">
      <c r="A754" t="s">
        <v>12892</v>
      </c>
      <c r="B754" t="s">
        <v>12890</v>
      </c>
      <c r="C754" t="s">
        <v>6114</v>
      </c>
      <c r="D754" t="s">
        <v>12893</v>
      </c>
      <c r="E754" s="28" t="s">
        <v>1177</v>
      </c>
      <c r="F754" t="s">
        <v>4679</v>
      </c>
      <c r="G754" t="s">
        <v>15</v>
      </c>
      <c r="M754" s="28" t="s">
        <v>613</v>
      </c>
      <c r="N754" t="s">
        <v>313</v>
      </c>
    </row>
    <row r="755" spans="1:14" hidden="1" x14ac:dyDescent="0.25">
      <c r="A755" t="s">
        <v>14269</v>
      </c>
      <c r="B755" t="s">
        <v>14270</v>
      </c>
      <c r="C755" t="s">
        <v>2921</v>
      </c>
      <c r="D755" t="s">
        <v>2922</v>
      </c>
      <c r="E755" s="28" t="s">
        <v>930</v>
      </c>
      <c r="F755" t="s">
        <v>532</v>
      </c>
      <c r="G755" t="s">
        <v>81</v>
      </c>
      <c r="M755" s="28" t="s">
        <v>530</v>
      </c>
      <c r="N755" t="s">
        <v>313</v>
      </c>
    </row>
    <row r="756" spans="1:14" hidden="1" x14ac:dyDescent="0.25">
      <c r="A756" t="s">
        <v>10169</v>
      </c>
      <c r="B756" t="s">
        <v>5894</v>
      </c>
      <c r="C756" t="s">
        <v>4726</v>
      </c>
      <c r="D756" t="s">
        <v>5895</v>
      </c>
      <c r="E756" s="28" t="s">
        <v>890</v>
      </c>
      <c r="F756" t="s">
        <v>4586</v>
      </c>
      <c r="G756" t="s">
        <v>15</v>
      </c>
      <c r="M756" s="28" t="s">
        <v>613</v>
      </c>
      <c r="N756" t="s">
        <v>313</v>
      </c>
    </row>
    <row r="757" spans="1:14" hidden="1" x14ac:dyDescent="0.25">
      <c r="A757" t="s">
        <v>8541</v>
      </c>
      <c r="B757" t="s">
        <v>2465</v>
      </c>
      <c r="C757" t="s">
        <v>1143</v>
      </c>
      <c r="D757" t="s">
        <v>2466</v>
      </c>
      <c r="E757" s="28" t="s">
        <v>890</v>
      </c>
      <c r="F757" t="s">
        <v>479</v>
      </c>
      <c r="G757" t="s">
        <v>11</v>
      </c>
      <c r="M757" s="28" t="s">
        <v>413</v>
      </c>
      <c r="N757" t="s">
        <v>313</v>
      </c>
    </row>
    <row r="758" spans="1:14" hidden="1" x14ac:dyDescent="0.25">
      <c r="A758" t="s">
        <v>10168</v>
      </c>
      <c r="B758" t="s">
        <v>5892</v>
      </c>
      <c r="C758" t="s">
        <v>1969</v>
      </c>
      <c r="D758" t="s">
        <v>5893</v>
      </c>
      <c r="E758" s="28" t="s">
        <v>890</v>
      </c>
      <c r="F758" t="s">
        <v>4621</v>
      </c>
      <c r="G758" t="s">
        <v>15</v>
      </c>
      <c r="M758" s="28" t="s">
        <v>613</v>
      </c>
      <c r="N758" t="s">
        <v>313</v>
      </c>
    </row>
    <row r="759" spans="1:14" hidden="1" x14ac:dyDescent="0.25">
      <c r="A759" t="s">
        <v>12894</v>
      </c>
      <c r="B759" t="s">
        <v>12895</v>
      </c>
      <c r="C759" t="s">
        <v>12896</v>
      </c>
      <c r="D759" t="s">
        <v>12897</v>
      </c>
      <c r="E759" s="28" t="s">
        <v>896</v>
      </c>
      <c r="F759" t="s">
        <v>643</v>
      </c>
      <c r="G759" t="s">
        <v>15</v>
      </c>
      <c r="M759" s="28" t="s">
        <v>613</v>
      </c>
      <c r="N759" t="s">
        <v>313</v>
      </c>
    </row>
    <row r="760" spans="1:14" hidden="1" x14ac:dyDescent="0.25">
      <c r="A760" t="s">
        <v>10166</v>
      </c>
      <c r="B760" t="s">
        <v>5888</v>
      </c>
      <c r="C760" t="s">
        <v>5889</v>
      </c>
      <c r="D760" t="s">
        <v>5890</v>
      </c>
      <c r="E760" s="28" t="s">
        <v>890</v>
      </c>
      <c r="F760" t="s">
        <v>4675</v>
      </c>
      <c r="G760" t="s">
        <v>15</v>
      </c>
      <c r="M760" s="28" t="s">
        <v>613</v>
      </c>
      <c r="N760" t="s">
        <v>313</v>
      </c>
    </row>
    <row r="761" spans="1:14" hidden="1" x14ac:dyDescent="0.25">
      <c r="A761" t="s">
        <v>10167</v>
      </c>
      <c r="B761" t="s">
        <v>5888</v>
      </c>
      <c r="C761" t="s">
        <v>4726</v>
      </c>
      <c r="D761" t="s">
        <v>5891</v>
      </c>
      <c r="E761" s="28" t="s">
        <v>890</v>
      </c>
      <c r="F761" t="s">
        <v>4675</v>
      </c>
      <c r="G761" t="s">
        <v>15</v>
      </c>
      <c r="M761" s="28" t="s">
        <v>613</v>
      </c>
      <c r="N761" t="s">
        <v>313</v>
      </c>
    </row>
    <row r="762" spans="1:14" hidden="1" x14ac:dyDescent="0.25">
      <c r="A762" t="s">
        <v>10600</v>
      </c>
      <c r="B762" t="s">
        <v>6846</v>
      </c>
      <c r="C762" t="s">
        <v>6526</v>
      </c>
      <c r="D762" t="s">
        <v>6847</v>
      </c>
      <c r="E762" s="28" t="s">
        <v>890</v>
      </c>
      <c r="F762" t="s">
        <v>831</v>
      </c>
      <c r="G762" t="s">
        <v>145</v>
      </c>
      <c r="M762" s="28" t="s">
        <v>13222</v>
      </c>
      <c r="N762" t="s">
        <v>313</v>
      </c>
    </row>
    <row r="763" spans="1:14" hidden="1" x14ac:dyDescent="0.25">
      <c r="A763" t="s">
        <v>10165</v>
      </c>
      <c r="B763" t="s">
        <v>5886</v>
      </c>
      <c r="C763" t="s">
        <v>2753</v>
      </c>
      <c r="D763" t="s">
        <v>5887</v>
      </c>
      <c r="E763" s="28" t="s">
        <v>896</v>
      </c>
      <c r="F763" t="s">
        <v>225</v>
      </c>
      <c r="G763" t="s">
        <v>15</v>
      </c>
      <c r="M763" s="28" t="s">
        <v>613</v>
      </c>
      <c r="N763" t="s">
        <v>313</v>
      </c>
    </row>
    <row r="764" spans="1:14" hidden="1" x14ac:dyDescent="0.25">
      <c r="A764" t="s">
        <v>10559</v>
      </c>
      <c r="B764" t="s">
        <v>6778</v>
      </c>
      <c r="C764" t="s">
        <v>1530</v>
      </c>
      <c r="D764" t="s">
        <v>6779</v>
      </c>
      <c r="E764" s="28" t="s">
        <v>930</v>
      </c>
      <c r="F764" t="s">
        <v>891</v>
      </c>
      <c r="G764" t="s">
        <v>137</v>
      </c>
      <c r="M764" s="28" t="s">
        <v>805</v>
      </c>
      <c r="N764" t="s">
        <v>313</v>
      </c>
    </row>
    <row r="765" spans="1:14" hidden="1" x14ac:dyDescent="0.25">
      <c r="A765" t="s">
        <v>14115</v>
      </c>
      <c r="B765" t="s">
        <v>14116</v>
      </c>
      <c r="C765" t="s">
        <v>14117</v>
      </c>
      <c r="D765" t="s">
        <v>14118</v>
      </c>
      <c r="E765" s="28" t="s">
        <v>896</v>
      </c>
      <c r="F765" t="s">
        <v>14119</v>
      </c>
      <c r="G765" t="s">
        <v>15</v>
      </c>
      <c r="M765" s="28" t="s">
        <v>613</v>
      </c>
      <c r="N765" t="s">
        <v>313</v>
      </c>
    </row>
    <row r="766" spans="1:14" hidden="1" x14ac:dyDescent="0.25">
      <c r="A766" t="s">
        <v>10163</v>
      </c>
      <c r="B766" t="s">
        <v>5883</v>
      </c>
      <c r="C766" t="s">
        <v>1121</v>
      </c>
      <c r="D766" t="s">
        <v>5884</v>
      </c>
      <c r="E766" s="28" t="s">
        <v>896</v>
      </c>
      <c r="F766" t="s">
        <v>214</v>
      </c>
      <c r="G766" t="s">
        <v>15</v>
      </c>
      <c r="M766" s="28" t="s">
        <v>613</v>
      </c>
      <c r="N766" t="s">
        <v>313</v>
      </c>
    </row>
    <row r="767" spans="1:14" hidden="1" x14ac:dyDescent="0.25">
      <c r="A767" t="s">
        <v>10164</v>
      </c>
      <c r="B767" t="s">
        <v>5883</v>
      </c>
      <c r="C767" t="s">
        <v>4668</v>
      </c>
      <c r="D767" t="s">
        <v>5885</v>
      </c>
      <c r="E767" s="28" t="s">
        <v>896</v>
      </c>
      <c r="F767" t="s">
        <v>780</v>
      </c>
      <c r="G767" t="s">
        <v>15</v>
      </c>
      <c r="M767" s="28" t="s">
        <v>613</v>
      </c>
      <c r="N767" t="s">
        <v>313</v>
      </c>
    </row>
    <row r="768" spans="1:14" hidden="1" x14ac:dyDescent="0.25">
      <c r="A768" t="s">
        <v>10162</v>
      </c>
      <c r="B768" t="s">
        <v>5881</v>
      </c>
      <c r="C768" t="s">
        <v>4676</v>
      </c>
      <c r="D768" t="s">
        <v>5882</v>
      </c>
      <c r="E768" s="28" t="s">
        <v>890</v>
      </c>
      <c r="F768" t="s">
        <v>4679</v>
      </c>
      <c r="G768" t="s">
        <v>15</v>
      </c>
      <c r="M768" s="28" t="s">
        <v>613</v>
      </c>
      <c r="N768" t="s">
        <v>313</v>
      </c>
    </row>
    <row r="769" spans="1:14" hidden="1" x14ac:dyDescent="0.25">
      <c r="A769" t="s">
        <v>10160</v>
      </c>
      <c r="B769" t="s">
        <v>5877</v>
      </c>
      <c r="C769" t="s">
        <v>4730</v>
      </c>
      <c r="D769" t="s">
        <v>5879</v>
      </c>
      <c r="E769" s="28" t="s">
        <v>930</v>
      </c>
      <c r="F769" t="s">
        <v>4670</v>
      </c>
      <c r="G769" t="s">
        <v>15</v>
      </c>
      <c r="M769" s="28" t="s">
        <v>613</v>
      </c>
      <c r="N769" t="s">
        <v>313</v>
      </c>
    </row>
    <row r="770" spans="1:14" hidden="1" x14ac:dyDescent="0.25">
      <c r="A770" t="s">
        <v>10159</v>
      </c>
      <c r="B770" t="s">
        <v>5877</v>
      </c>
      <c r="C770" t="s">
        <v>1086</v>
      </c>
      <c r="D770" t="s">
        <v>5878</v>
      </c>
      <c r="E770" s="28" t="s">
        <v>896</v>
      </c>
      <c r="F770" t="s">
        <v>688</v>
      </c>
      <c r="G770" t="s">
        <v>15</v>
      </c>
      <c r="M770" s="28" t="s">
        <v>613</v>
      </c>
      <c r="N770" t="s">
        <v>313</v>
      </c>
    </row>
    <row r="771" spans="1:14" hidden="1" x14ac:dyDescent="0.25">
      <c r="A771" t="s">
        <v>10161</v>
      </c>
      <c r="B771" t="s">
        <v>5877</v>
      </c>
      <c r="C771" t="s">
        <v>4719</v>
      </c>
      <c r="D771" t="s">
        <v>5880</v>
      </c>
      <c r="E771" s="28" t="s">
        <v>890</v>
      </c>
      <c r="F771" t="s">
        <v>4670</v>
      </c>
      <c r="G771" t="s">
        <v>15</v>
      </c>
      <c r="M771" s="28" t="s">
        <v>613</v>
      </c>
      <c r="N771" t="s">
        <v>313</v>
      </c>
    </row>
    <row r="772" spans="1:14" hidden="1" x14ac:dyDescent="0.25">
      <c r="A772" t="s">
        <v>8320</v>
      </c>
      <c r="B772" t="s">
        <v>1928</v>
      </c>
      <c r="C772" t="s">
        <v>1929</v>
      </c>
      <c r="D772" t="s">
        <v>1930</v>
      </c>
      <c r="E772" s="28" t="s">
        <v>896</v>
      </c>
      <c r="F772" t="s">
        <v>360</v>
      </c>
      <c r="G772" t="s">
        <v>43</v>
      </c>
      <c r="M772" s="28" t="s">
        <v>14205</v>
      </c>
    </row>
    <row r="773" spans="1:14" hidden="1" x14ac:dyDescent="0.25">
      <c r="A773" t="s">
        <v>10572</v>
      </c>
      <c r="B773" t="s">
        <v>1133</v>
      </c>
      <c r="C773" t="s">
        <v>6800</v>
      </c>
      <c r="D773" t="s">
        <v>6801</v>
      </c>
      <c r="E773" s="28" t="s">
        <v>930</v>
      </c>
      <c r="F773" t="s">
        <v>813</v>
      </c>
      <c r="G773" t="s">
        <v>137</v>
      </c>
      <c r="M773" s="28" t="s">
        <v>805</v>
      </c>
      <c r="N773" t="s">
        <v>313</v>
      </c>
    </row>
    <row r="774" spans="1:14" hidden="1" x14ac:dyDescent="0.25">
      <c r="A774" t="s">
        <v>8280</v>
      </c>
      <c r="B774" t="s">
        <v>1133</v>
      </c>
      <c r="C774" t="s">
        <v>1694</v>
      </c>
      <c r="D774" t="s">
        <v>1826</v>
      </c>
      <c r="E774" s="28" t="s">
        <v>890</v>
      </c>
      <c r="F774" t="s">
        <v>349</v>
      </c>
      <c r="G774" t="s">
        <v>43</v>
      </c>
      <c r="M774" s="28" t="s">
        <v>14205</v>
      </c>
    </row>
    <row r="775" spans="1:14" hidden="1" x14ac:dyDescent="0.25">
      <c r="A775" t="s">
        <v>8272</v>
      </c>
      <c r="B775" t="s">
        <v>1133</v>
      </c>
      <c r="C775" t="s">
        <v>909</v>
      </c>
      <c r="D775" t="s">
        <v>1807</v>
      </c>
      <c r="E775" s="28" t="s">
        <v>890</v>
      </c>
      <c r="F775" t="s">
        <v>1641</v>
      </c>
      <c r="G775" t="s">
        <v>43</v>
      </c>
      <c r="M775" s="28" t="s">
        <v>14205</v>
      </c>
    </row>
    <row r="776" spans="1:14" hidden="1" x14ac:dyDescent="0.25">
      <c r="A776" t="s">
        <v>8287</v>
      </c>
      <c r="B776" t="s">
        <v>1838</v>
      </c>
      <c r="C776" t="s">
        <v>1639</v>
      </c>
      <c r="D776" t="s">
        <v>1839</v>
      </c>
      <c r="E776" s="28" t="s">
        <v>890</v>
      </c>
      <c r="F776" t="s">
        <v>349</v>
      </c>
      <c r="G776" t="s">
        <v>43</v>
      </c>
      <c r="M776" s="28" t="s">
        <v>14205</v>
      </c>
    </row>
    <row r="777" spans="1:14" hidden="1" x14ac:dyDescent="0.25">
      <c r="A777" t="s">
        <v>8301</v>
      </c>
      <c r="B777" t="s">
        <v>1873</v>
      </c>
      <c r="C777" t="s">
        <v>1874</v>
      </c>
      <c r="D777" t="s">
        <v>1875</v>
      </c>
      <c r="E777" s="28" t="s">
        <v>890</v>
      </c>
      <c r="F777" t="s">
        <v>891</v>
      </c>
      <c r="G777" t="s">
        <v>43</v>
      </c>
      <c r="M777" s="28" t="s">
        <v>14205</v>
      </c>
    </row>
    <row r="778" spans="1:14" hidden="1" x14ac:dyDescent="0.25">
      <c r="A778" t="s">
        <v>10158</v>
      </c>
      <c r="B778" t="s">
        <v>5875</v>
      </c>
      <c r="C778" t="s">
        <v>1084</v>
      </c>
      <c r="D778" t="s">
        <v>5876</v>
      </c>
      <c r="E778" s="28" t="s">
        <v>896</v>
      </c>
      <c r="F778" t="s">
        <v>2850</v>
      </c>
      <c r="G778" t="s">
        <v>15</v>
      </c>
      <c r="M778" s="28" t="s">
        <v>613</v>
      </c>
      <c r="N778" t="s">
        <v>313</v>
      </c>
    </row>
    <row r="779" spans="1:14" hidden="1" x14ac:dyDescent="0.25">
      <c r="A779" t="s">
        <v>10157</v>
      </c>
      <c r="B779" t="s">
        <v>5873</v>
      </c>
      <c r="C779" t="s">
        <v>5439</v>
      </c>
      <c r="D779" t="s">
        <v>5874</v>
      </c>
      <c r="E779" s="28" t="s">
        <v>890</v>
      </c>
      <c r="F779" t="s">
        <v>648</v>
      </c>
      <c r="G779" t="s">
        <v>15</v>
      </c>
      <c r="M779" s="28" t="s">
        <v>613</v>
      </c>
      <c r="N779" t="s">
        <v>313</v>
      </c>
    </row>
    <row r="780" spans="1:14" hidden="1" x14ac:dyDescent="0.25">
      <c r="A780" t="s">
        <v>10156</v>
      </c>
      <c r="B780" t="s">
        <v>5871</v>
      </c>
      <c r="C780" t="s">
        <v>4640</v>
      </c>
      <c r="D780" t="s">
        <v>5872</v>
      </c>
      <c r="E780" s="28" t="s">
        <v>896</v>
      </c>
      <c r="F780" t="s">
        <v>195</v>
      </c>
      <c r="G780" t="s">
        <v>15</v>
      </c>
      <c r="M780" s="28" t="s">
        <v>613</v>
      </c>
      <c r="N780" t="s">
        <v>313</v>
      </c>
    </row>
    <row r="781" spans="1:14" hidden="1" x14ac:dyDescent="0.25">
      <c r="A781" t="s">
        <v>8285</v>
      </c>
      <c r="B781" t="s">
        <v>1625</v>
      </c>
      <c r="C781" t="s">
        <v>906</v>
      </c>
      <c r="D781" t="s">
        <v>1836</v>
      </c>
      <c r="E781" s="28" t="s">
        <v>890</v>
      </c>
      <c r="F781" t="s">
        <v>1627</v>
      </c>
      <c r="G781" t="s">
        <v>43</v>
      </c>
      <c r="M781" s="28" t="s">
        <v>14205</v>
      </c>
    </row>
    <row r="782" spans="1:14" hidden="1" x14ac:dyDescent="0.25">
      <c r="A782" t="s">
        <v>8286</v>
      </c>
      <c r="B782" t="s">
        <v>1625</v>
      </c>
      <c r="C782" t="s">
        <v>1123</v>
      </c>
      <c r="D782" t="s">
        <v>1837</v>
      </c>
      <c r="E782" s="28" t="s">
        <v>890</v>
      </c>
      <c r="F782" t="s">
        <v>1627</v>
      </c>
      <c r="G782" t="s">
        <v>43</v>
      </c>
      <c r="M782" s="28" t="s">
        <v>14205</v>
      </c>
    </row>
    <row r="783" spans="1:14" hidden="1" x14ac:dyDescent="0.25">
      <c r="A783" t="s">
        <v>8204</v>
      </c>
      <c r="B783" t="s">
        <v>1625</v>
      </c>
      <c r="C783" t="s">
        <v>1027</v>
      </c>
      <c r="D783" t="s">
        <v>1626</v>
      </c>
      <c r="E783" s="28" t="s">
        <v>896</v>
      </c>
      <c r="F783" t="s">
        <v>1627</v>
      </c>
      <c r="G783" t="s">
        <v>43</v>
      </c>
      <c r="M783" s="28" t="s">
        <v>14205</v>
      </c>
    </row>
    <row r="784" spans="1:14" hidden="1" x14ac:dyDescent="0.25">
      <c r="A784" t="s">
        <v>8298</v>
      </c>
      <c r="B784" t="s">
        <v>1843</v>
      </c>
      <c r="C784" t="s">
        <v>1865</v>
      </c>
      <c r="D784" t="s">
        <v>1866</v>
      </c>
      <c r="E784" s="28" t="s">
        <v>930</v>
      </c>
      <c r="F784" t="s">
        <v>349</v>
      </c>
      <c r="G784" t="s">
        <v>43</v>
      </c>
      <c r="M784" s="28" t="s">
        <v>14205</v>
      </c>
    </row>
    <row r="785" spans="1:14" hidden="1" x14ac:dyDescent="0.25">
      <c r="A785" t="s">
        <v>8289</v>
      </c>
      <c r="B785" t="s">
        <v>1843</v>
      </c>
      <c r="C785" t="s">
        <v>1844</v>
      </c>
      <c r="D785" t="s">
        <v>1845</v>
      </c>
      <c r="E785" s="28" t="s">
        <v>890</v>
      </c>
      <c r="F785" t="s">
        <v>349</v>
      </c>
      <c r="G785" t="s">
        <v>43</v>
      </c>
      <c r="M785" s="28" t="s">
        <v>14205</v>
      </c>
    </row>
    <row r="786" spans="1:14" hidden="1" x14ac:dyDescent="0.25">
      <c r="A786" t="s">
        <v>10155</v>
      </c>
      <c r="B786" t="s">
        <v>5869</v>
      </c>
      <c r="C786" t="s">
        <v>4557</v>
      </c>
      <c r="D786" t="s">
        <v>5870</v>
      </c>
      <c r="E786" s="28" t="s">
        <v>896</v>
      </c>
      <c r="F786" t="s">
        <v>197</v>
      </c>
      <c r="G786" t="s">
        <v>15</v>
      </c>
      <c r="M786" s="28" t="s">
        <v>613</v>
      </c>
      <c r="N786" t="s">
        <v>313</v>
      </c>
    </row>
    <row r="787" spans="1:14" hidden="1" x14ac:dyDescent="0.25">
      <c r="A787" t="s">
        <v>8031</v>
      </c>
      <c r="B787" t="s">
        <v>1186</v>
      </c>
      <c r="C787" t="s">
        <v>1187</v>
      </c>
      <c r="D787" t="s">
        <v>1188</v>
      </c>
      <c r="E787" s="28" t="s">
        <v>890</v>
      </c>
      <c r="F787" t="s">
        <v>280</v>
      </c>
      <c r="G787" t="s">
        <v>31</v>
      </c>
      <c r="M787" s="28" t="s">
        <v>278</v>
      </c>
      <c r="N787" t="s">
        <v>279</v>
      </c>
    </row>
    <row r="788" spans="1:14" hidden="1" x14ac:dyDescent="0.25">
      <c r="A788" t="s">
        <v>10925</v>
      </c>
      <c r="B788" t="s">
        <v>10926</v>
      </c>
      <c r="C788" t="s">
        <v>1128</v>
      </c>
      <c r="D788" t="s">
        <v>10927</v>
      </c>
      <c r="E788" s="28" t="s">
        <v>896</v>
      </c>
      <c r="F788" t="s">
        <v>891</v>
      </c>
      <c r="G788" t="s">
        <v>11</v>
      </c>
      <c r="M788" s="28" t="s">
        <v>413</v>
      </c>
      <c r="N788" t="s">
        <v>313</v>
      </c>
    </row>
    <row r="789" spans="1:14" hidden="1" x14ac:dyDescent="0.25">
      <c r="A789" t="s">
        <v>10806</v>
      </c>
      <c r="B789" t="s">
        <v>7343</v>
      </c>
      <c r="C789" t="s">
        <v>1123</v>
      </c>
      <c r="D789" t="s">
        <v>7344</v>
      </c>
      <c r="E789" s="28" t="s">
        <v>890</v>
      </c>
      <c r="F789" t="s">
        <v>4635</v>
      </c>
      <c r="G789" t="s">
        <v>157</v>
      </c>
      <c r="M789" s="28" t="s">
        <v>840</v>
      </c>
      <c r="N789" t="s">
        <v>382</v>
      </c>
    </row>
    <row r="790" spans="1:14" hidden="1" x14ac:dyDescent="0.25">
      <c r="A790" t="s">
        <v>8200</v>
      </c>
      <c r="B790" t="s">
        <v>1618</v>
      </c>
      <c r="C790" t="s">
        <v>1600</v>
      </c>
      <c r="D790" t="s">
        <v>1619</v>
      </c>
      <c r="E790" s="28" t="s">
        <v>890</v>
      </c>
      <c r="F790" t="s">
        <v>644</v>
      </c>
      <c r="G790" t="s">
        <v>38</v>
      </c>
      <c r="M790" s="28"/>
    </row>
    <row r="791" spans="1:14" hidden="1" x14ac:dyDescent="0.25">
      <c r="A791" t="s">
        <v>10154</v>
      </c>
      <c r="B791" t="s">
        <v>5867</v>
      </c>
      <c r="C791" t="s">
        <v>1969</v>
      </c>
      <c r="D791" t="s">
        <v>5868</v>
      </c>
      <c r="E791" s="28" t="s">
        <v>896</v>
      </c>
      <c r="F791" t="s">
        <v>727</v>
      </c>
      <c r="G791" t="s">
        <v>15</v>
      </c>
      <c r="M791" s="28" t="s">
        <v>613</v>
      </c>
      <c r="N791" t="s">
        <v>313</v>
      </c>
    </row>
    <row r="792" spans="1:14" hidden="1" x14ac:dyDescent="0.25">
      <c r="A792" t="s">
        <v>8016</v>
      </c>
      <c r="B792" t="s">
        <v>1120</v>
      </c>
      <c r="C792" t="s">
        <v>1121</v>
      </c>
      <c r="D792" t="s">
        <v>1122</v>
      </c>
      <c r="E792" s="28" t="s">
        <v>896</v>
      </c>
      <c r="F792" t="s">
        <v>300</v>
      </c>
      <c r="G792" t="s">
        <v>31</v>
      </c>
      <c r="M792" s="28" t="s">
        <v>278</v>
      </c>
      <c r="N792" t="s">
        <v>279</v>
      </c>
    </row>
    <row r="793" spans="1:14" hidden="1" x14ac:dyDescent="0.25">
      <c r="A793" t="s">
        <v>8030</v>
      </c>
      <c r="B793" t="s">
        <v>1120</v>
      </c>
      <c r="C793" t="s">
        <v>909</v>
      </c>
      <c r="D793" t="s">
        <v>1182</v>
      </c>
      <c r="E793" s="28" t="s">
        <v>890</v>
      </c>
      <c r="F793" t="s">
        <v>300</v>
      </c>
      <c r="G793" t="s">
        <v>31</v>
      </c>
      <c r="M793" s="28" t="s">
        <v>278</v>
      </c>
      <c r="N793" t="s">
        <v>279</v>
      </c>
    </row>
    <row r="794" spans="1:14" hidden="1" x14ac:dyDescent="0.25">
      <c r="A794" t="s">
        <v>19</v>
      </c>
      <c r="B794" t="s">
        <v>5865</v>
      </c>
      <c r="C794" t="s">
        <v>4640</v>
      </c>
      <c r="D794" t="s">
        <v>20</v>
      </c>
      <c r="E794" s="28" t="s">
        <v>896</v>
      </c>
      <c r="F794" t="s">
        <v>13474</v>
      </c>
      <c r="G794" t="s">
        <v>21</v>
      </c>
      <c r="M794" s="28" t="s">
        <v>791</v>
      </c>
      <c r="N794" t="s">
        <v>313</v>
      </c>
    </row>
    <row r="795" spans="1:14" hidden="1" x14ac:dyDescent="0.25">
      <c r="A795" t="s">
        <v>10153</v>
      </c>
      <c r="B795" t="s">
        <v>5865</v>
      </c>
      <c r="C795" t="s">
        <v>974</v>
      </c>
      <c r="D795" t="s">
        <v>5866</v>
      </c>
      <c r="E795" s="28" t="s">
        <v>896</v>
      </c>
      <c r="F795" t="s">
        <v>4610</v>
      </c>
      <c r="G795" t="s">
        <v>15</v>
      </c>
      <c r="M795" s="28" t="s">
        <v>613</v>
      </c>
      <c r="N795" t="s">
        <v>313</v>
      </c>
    </row>
    <row r="796" spans="1:14" hidden="1" x14ac:dyDescent="0.25">
      <c r="A796" t="s">
        <v>8265</v>
      </c>
      <c r="B796" t="s">
        <v>1786</v>
      </c>
      <c r="C796" t="s">
        <v>1787</v>
      </c>
      <c r="D796" t="s">
        <v>1788</v>
      </c>
      <c r="E796" s="28" t="s">
        <v>890</v>
      </c>
      <c r="F796" t="s">
        <v>1645</v>
      </c>
      <c r="G796" t="s">
        <v>43</v>
      </c>
      <c r="M796" s="28" t="s">
        <v>14205</v>
      </c>
    </row>
    <row r="797" spans="1:14" hidden="1" x14ac:dyDescent="0.25">
      <c r="A797" t="s">
        <v>10152</v>
      </c>
      <c r="B797" t="s">
        <v>5863</v>
      </c>
      <c r="C797" t="s">
        <v>5114</v>
      </c>
      <c r="D797" t="s">
        <v>5864</v>
      </c>
      <c r="E797" s="28" t="s">
        <v>890</v>
      </c>
      <c r="F797" t="s">
        <v>662</v>
      </c>
      <c r="G797" t="s">
        <v>15</v>
      </c>
      <c r="M797" s="28" t="s">
        <v>613</v>
      </c>
      <c r="N797" t="s">
        <v>313</v>
      </c>
    </row>
    <row r="798" spans="1:14" hidden="1" x14ac:dyDescent="0.25">
      <c r="A798" t="s">
        <v>10150</v>
      </c>
      <c r="B798" t="s">
        <v>5860</v>
      </c>
      <c r="C798" t="s">
        <v>4570</v>
      </c>
      <c r="D798" t="s">
        <v>5861</v>
      </c>
      <c r="E798" s="28" t="s">
        <v>896</v>
      </c>
      <c r="F798" t="s">
        <v>13562</v>
      </c>
      <c r="G798" t="s">
        <v>15</v>
      </c>
      <c r="M798" s="28" t="s">
        <v>613</v>
      </c>
      <c r="N798" t="s">
        <v>313</v>
      </c>
    </row>
    <row r="799" spans="1:14" hidden="1" x14ac:dyDescent="0.25">
      <c r="A799" t="s">
        <v>10151</v>
      </c>
      <c r="B799" t="s">
        <v>5860</v>
      </c>
      <c r="C799" t="s">
        <v>2919</v>
      </c>
      <c r="D799" t="s">
        <v>5862</v>
      </c>
      <c r="E799" s="28" t="s">
        <v>930</v>
      </c>
      <c r="F799" t="s">
        <v>13562</v>
      </c>
      <c r="G799" t="s">
        <v>15</v>
      </c>
      <c r="M799" s="28" t="s">
        <v>613</v>
      </c>
      <c r="N799" t="s">
        <v>313</v>
      </c>
    </row>
    <row r="800" spans="1:14" hidden="1" x14ac:dyDescent="0.25">
      <c r="A800" t="s">
        <v>13662</v>
      </c>
      <c r="B800" t="s">
        <v>13663</v>
      </c>
      <c r="C800" t="s">
        <v>5633</v>
      </c>
      <c r="D800" t="s">
        <v>13664</v>
      </c>
      <c r="E800" s="28" t="s">
        <v>896</v>
      </c>
      <c r="F800" t="s">
        <v>13348</v>
      </c>
      <c r="G800" t="s">
        <v>15</v>
      </c>
      <c r="M800" s="28" t="s">
        <v>613</v>
      </c>
      <c r="N800" t="s">
        <v>313</v>
      </c>
    </row>
    <row r="801" spans="1:14" hidden="1" x14ac:dyDescent="0.25">
      <c r="A801" t="s">
        <v>10149</v>
      </c>
      <c r="B801" t="s">
        <v>5858</v>
      </c>
      <c r="C801" t="s">
        <v>4600</v>
      </c>
      <c r="D801" t="s">
        <v>5859</v>
      </c>
      <c r="E801" s="28" t="s">
        <v>896</v>
      </c>
      <c r="F801" t="s">
        <v>644</v>
      </c>
      <c r="G801" t="s">
        <v>15</v>
      </c>
      <c r="M801" s="28" t="s">
        <v>613</v>
      </c>
      <c r="N801" t="s">
        <v>313</v>
      </c>
    </row>
    <row r="802" spans="1:14" hidden="1" x14ac:dyDescent="0.25">
      <c r="A802" t="s">
        <v>10148</v>
      </c>
      <c r="B802" t="s">
        <v>5856</v>
      </c>
      <c r="C802" t="s">
        <v>2542</v>
      </c>
      <c r="D802" t="s">
        <v>5857</v>
      </c>
      <c r="E802" s="28" t="s">
        <v>896</v>
      </c>
      <c r="F802" t="s">
        <v>216</v>
      </c>
      <c r="G802" t="s">
        <v>15</v>
      </c>
      <c r="M802" s="28" t="s">
        <v>613</v>
      </c>
      <c r="N802" t="s">
        <v>313</v>
      </c>
    </row>
    <row r="803" spans="1:14" hidden="1" x14ac:dyDescent="0.25">
      <c r="A803" t="s">
        <v>13665</v>
      </c>
      <c r="B803" t="s">
        <v>13666</v>
      </c>
      <c r="C803" t="s">
        <v>4726</v>
      </c>
      <c r="D803" t="s">
        <v>13667</v>
      </c>
      <c r="E803" s="28" t="s">
        <v>896</v>
      </c>
      <c r="F803" t="s">
        <v>4685</v>
      </c>
      <c r="G803" t="s">
        <v>15</v>
      </c>
      <c r="M803" s="28" t="s">
        <v>613</v>
      </c>
      <c r="N803" t="s">
        <v>313</v>
      </c>
    </row>
    <row r="804" spans="1:14" hidden="1" x14ac:dyDescent="0.25">
      <c r="A804" t="s">
        <v>10147</v>
      </c>
      <c r="B804" t="s">
        <v>5854</v>
      </c>
      <c r="C804" t="s">
        <v>1121</v>
      </c>
      <c r="D804" t="s">
        <v>5855</v>
      </c>
      <c r="E804" s="28" t="s">
        <v>896</v>
      </c>
      <c r="F804" t="s">
        <v>225</v>
      </c>
      <c r="G804" t="s">
        <v>15</v>
      </c>
      <c r="M804" s="28" t="s">
        <v>613</v>
      </c>
      <c r="N804" t="s">
        <v>313</v>
      </c>
    </row>
    <row r="805" spans="1:14" hidden="1" x14ac:dyDescent="0.25">
      <c r="A805" t="s">
        <v>13668</v>
      </c>
      <c r="B805" t="s">
        <v>13669</v>
      </c>
      <c r="C805" t="s">
        <v>2515</v>
      </c>
      <c r="D805" t="s">
        <v>13670</v>
      </c>
      <c r="E805" s="28" t="s">
        <v>890</v>
      </c>
      <c r="F805" t="s">
        <v>13348</v>
      </c>
      <c r="G805" t="s">
        <v>15</v>
      </c>
      <c r="M805" s="28" t="s">
        <v>613</v>
      </c>
      <c r="N805" t="s">
        <v>313</v>
      </c>
    </row>
    <row r="806" spans="1:14" hidden="1" x14ac:dyDescent="0.25">
      <c r="A806" t="s">
        <v>13671</v>
      </c>
      <c r="B806" t="s">
        <v>13669</v>
      </c>
      <c r="C806" t="s">
        <v>1084</v>
      </c>
      <c r="D806" t="s">
        <v>13672</v>
      </c>
      <c r="E806" s="28" t="s">
        <v>930</v>
      </c>
      <c r="F806" t="s">
        <v>13348</v>
      </c>
      <c r="G806" t="s">
        <v>15</v>
      </c>
      <c r="M806" s="28" t="s">
        <v>613</v>
      </c>
      <c r="N806" t="s">
        <v>313</v>
      </c>
    </row>
    <row r="807" spans="1:14" hidden="1" x14ac:dyDescent="0.25">
      <c r="A807" t="s">
        <v>11979</v>
      </c>
      <c r="B807" t="s">
        <v>11980</v>
      </c>
      <c r="C807" t="s">
        <v>11981</v>
      </c>
      <c r="D807" t="s">
        <v>11982</v>
      </c>
      <c r="E807" s="28" t="s">
        <v>1023</v>
      </c>
      <c r="F807" t="s">
        <v>813</v>
      </c>
      <c r="G807" t="s">
        <v>137</v>
      </c>
      <c r="M807" s="28" t="s">
        <v>805</v>
      </c>
      <c r="N807" t="s">
        <v>313</v>
      </c>
    </row>
    <row r="808" spans="1:14" hidden="1" x14ac:dyDescent="0.25">
      <c r="A808" t="s">
        <v>9508</v>
      </c>
      <c r="B808" t="s">
        <v>4514</v>
      </c>
      <c r="C808" t="s">
        <v>4515</v>
      </c>
      <c r="D808" t="s">
        <v>4516</v>
      </c>
      <c r="E808" s="28" t="s">
        <v>890</v>
      </c>
      <c r="F808" t="s">
        <v>2186</v>
      </c>
      <c r="G808" t="s">
        <v>93</v>
      </c>
      <c r="M808" s="28" t="s">
        <v>14240</v>
      </c>
    </row>
    <row r="809" spans="1:14" hidden="1" x14ac:dyDescent="0.25">
      <c r="A809" t="s">
        <v>10146</v>
      </c>
      <c r="B809" t="s">
        <v>5852</v>
      </c>
      <c r="C809" t="s">
        <v>4808</v>
      </c>
      <c r="D809" t="s">
        <v>5853</v>
      </c>
      <c r="E809" s="28" t="s">
        <v>890</v>
      </c>
      <c r="F809" t="s">
        <v>4679</v>
      </c>
      <c r="G809" t="s">
        <v>15</v>
      </c>
      <c r="M809" s="28" t="s">
        <v>613</v>
      </c>
      <c r="N809" t="s">
        <v>313</v>
      </c>
    </row>
    <row r="810" spans="1:14" hidden="1" x14ac:dyDescent="0.25">
      <c r="A810" t="s">
        <v>10145</v>
      </c>
      <c r="B810" t="s">
        <v>5850</v>
      </c>
      <c r="C810" t="s">
        <v>4582</v>
      </c>
      <c r="D810" t="s">
        <v>5851</v>
      </c>
      <c r="E810" s="28" t="s">
        <v>896</v>
      </c>
      <c r="F810" t="s">
        <v>676</v>
      </c>
      <c r="G810" t="s">
        <v>15</v>
      </c>
      <c r="M810" s="28" t="s">
        <v>613</v>
      </c>
      <c r="N810" t="s">
        <v>313</v>
      </c>
    </row>
    <row r="811" spans="1:14" hidden="1" x14ac:dyDescent="0.25">
      <c r="A811" t="s">
        <v>10144</v>
      </c>
      <c r="B811" t="s">
        <v>5848</v>
      </c>
      <c r="C811" t="s">
        <v>4440</v>
      </c>
      <c r="D811" t="s">
        <v>5849</v>
      </c>
      <c r="E811" s="28" t="s">
        <v>890</v>
      </c>
      <c r="F811" t="s">
        <v>221</v>
      </c>
      <c r="G811" t="s">
        <v>15</v>
      </c>
      <c r="M811" s="28" t="s">
        <v>613</v>
      </c>
      <c r="N811" t="s">
        <v>313</v>
      </c>
    </row>
    <row r="812" spans="1:14" hidden="1" x14ac:dyDescent="0.25">
      <c r="A812" t="s">
        <v>7962</v>
      </c>
      <c r="B812" t="s">
        <v>960</v>
      </c>
      <c r="C812" t="s">
        <v>961</v>
      </c>
      <c r="D812" t="s">
        <v>962</v>
      </c>
      <c r="E812" s="28" t="s">
        <v>890</v>
      </c>
      <c r="F812" t="s">
        <v>32</v>
      </c>
      <c r="G812" t="s">
        <v>28</v>
      </c>
      <c r="M812" s="28" t="s">
        <v>14241</v>
      </c>
      <c r="N812" t="s">
        <v>14206</v>
      </c>
    </row>
    <row r="813" spans="1:14" hidden="1" x14ac:dyDescent="0.25">
      <c r="A813" t="s">
        <v>11659</v>
      </c>
      <c r="B813" t="s">
        <v>2784</v>
      </c>
      <c r="C813" t="s">
        <v>11660</v>
      </c>
      <c r="D813" t="s">
        <v>2785</v>
      </c>
      <c r="E813" s="28" t="s">
        <v>896</v>
      </c>
      <c r="F813" t="s">
        <v>170</v>
      </c>
      <c r="G813" t="s">
        <v>74</v>
      </c>
      <c r="M813" s="28" t="s">
        <v>507</v>
      </c>
      <c r="N813" t="s">
        <v>313</v>
      </c>
    </row>
    <row r="814" spans="1:14" hidden="1" x14ac:dyDescent="0.25">
      <c r="A814" t="s">
        <v>11943</v>
      </c>
      <c r="B814" t="s">
        <v>6555</v>
      </c>
      <c r="C814" t="s">
        <v>6554</v>
      </c>
      <c r="D814" t="s">
        <v>6556</v>
      </c>
      <c r="E814" s="28" t="s">
        <v>890</v>
      </c>
      <c r="F814" t="s">
        <v>99</v>
      </c>
      <c r="G814" t="s">
        <v>129</v>
      </c>
      <c r="M814" s="28" t="s">
        <v>802</v>
      </c>
      <c r="N814" t="s">
        <v>313</v>
      </c>
    </row>
    <row r="815" spans="1:14" hidden="1" x14ac:dyDescent="0.25">
      <c r="A815" t="s">
        <v>10143</v>
      </c>
      <c r="B815" t="s">
        <v>5846</v>
      </c>
      <c r="C815" t="s">
        <v>5193</v>
      </c>
      <c r="D815" t="s">
        <v>5847</v>
      </c>
      <c r="E815" s="28" t="s">
        <v>896</v>
      </c>
      <c r="F815" t="s">
        <v>685</v>
      </c>
      <c r="G815" t="s">
        <v>15</v>
      </c>
      <c r="M815" s="28" t="s">
        <v>613</v>
      </c>
      <c r="N815" t="s">
        <v>313</v>
      </c>
    </row>
    <row r="816" spans="1:14" hidden="1" x14ac:dyDescent="0.25">
      <c r="A816" t="s">
        <v>10142</v>
      </c>
      <c r="B816" t="s">
        <v>5844</v>
      </c>
      <c r="C816" t="s">
        <v>1574</v>
      </c>
      <c r="D816" t="s">
        <v>5845</v>
      </c>
      <c r="E816" s="28" t="s">
        <v>896</v>
      </c>
      <c r="F816" t="s">
        <v>617</v>
      </c>
      <c r="G816" t="s">
        <v>15</v>
      </c>
      <c r="M816" s="28" t="s">
        <v>613</v>
      </c>
      <c r="N816" t="s">
        <v>313</v>
      </c>
    </row>
    <row r="817" spans="1:14" hidden="1" x14ac:dyDescent="0.25">
      <c r="A817" t="s">
        <v>10141</v>
      </c>
      <c r="B817" t="s">
        <v>5842</v>
      </c>
      <c r="C817" t="s">
        <v>4549</v>
      </c>
      <c r="D817" t="s">
        <v>5843</v>
      </c>
      <c r="E817" s="28" t="s">
        <v>896</v>
      </c>
      <c r="F817" t="s">
        <v>4943</v>
      </c>
      <c r="G817" t="s">
        <v>15</v>
      </c>
      <c r="M817" s="28" t="s">
        <v>613</v>
      </c>
      <c r="N817" t="s">
        <v>313</v>
      </c>
    </row>
    <row r="818" spans="1:14" hidden="1" x14ac:dyDescent="0.25">
      <c r="A818" t="s">
        <v>10140</v>
      </c>
      <c r="B818" t="s">
        <v>5840</v>
      </c>
      <c r="C818" t="s">
        <v>1483</v>
      </c>
      <c r="D818" t="s">
        <v>5841</v>
      </c>
      <c r="E818" s="28" t="s">
        <v>896</v>
      </c>
      <c r="F818" t="s">
        <v>4909</v>
      </c>
      <c r="G818" t="s">
        <v>15</v>
      </c>
      <c r="M818" s="28" t="s">
        <v>613</v>
      </c>
      <c r="N818" t="s">
        <v>313</v>
      </c>
    </row>
    <row r="819" spans="1:14" hidden="1" x14ac:dyDescent="0.25">
      <c r="A819" t="s">
        <v>8532</v>
      </c>
      <c r="B819" t="s">
        <v>2441</v>
      </c>
      <c r="C819" t="s">
        <v>2442</v>
      </c>
      <c r="D819" t="s">
        <v>2443</v>
      </c>
      <c r="E819" s="28" t="s">
        <v>890</v>
      </c>
      <c r="F819" t="s">
        <v>14210</v>
      </c>
      <c r="G819" t="s">
        <v>11</v>
      </c>
      <c r="M819" s="28" t="s">
        <v>413</v>
      </c>
      <c r="N819" t="s">
        <v>313</v>
      </c>
    </row>
    <row r="820" spans="1:14" hidden="1" x14ac:dyDescent="0.25">
      <c r="A820" t="s">
        <v>10139</v>
      </c>
      <c r="B820" t="s">
        <v>5837</v>
      </c>
      <c r="C820" t="s">
        <v>5838</v>
      </c>
      <c r="D820" t="s">
        <v>5839</v>
      </c>
      <c r="E820" s="28" t="s">
        <v>890</v>
      </c>
      <c r="F820" t="s">
        <v>4621</v>
      </c>
      <c r="G820" t="s">
        <v>15</v>
      </c>
      <c r="M820" s="28" t="s">
        <v>613</v>
      </c>
      <c r="N820" t="s">
        <v>313</v>
      </c>
    </row>
    <row r="821" spans="1:14" hidden="1" x14ac:dyDescent="0.25">
      <c r="A821" t="s">
        <v>10137</v>
      </c>
      <c r="B821" t="s">
        <v>5834</v>
      </c>
      <c r="C821" t="s">
        <v>1722</v>
      </c>
      <c r="D821" t="s">
        <v>5835</v>
      </c>
      <c r="E821" s="28" t="s">
        <v>890</v>
      </c>
      <c r="F821" t="s">
        <v>708</v>
      </c>
      <c r="G821" t="s">
        <v>15</v>
      </c>
      <c r="M821" s="28" t="s">
        <v>613</v>
      </c>
      <c r="N821" t="s">
        <v>313</v>
      </c>
    </row>
    <row r="822" spans="1:14" hidden="1" x14ac:dyDescent="0.25">
      <c r="A822" t="s">
        <v>10138</v>
      </c>
      <c r="B822" t="s">
        <v>5834</v>
      </c>
      <c r="C822" t="s">
        <v>4603</v>
      </c>
      <c r="D822" t="s">
        <v>5836</v>
      </c>
      <c r="E822" s="28" t="s">
        <v>896</v>
      </c>
      <c r="F822" t="s">
        <v>662</v>
      </c>
      <c r="G822" t="s">
        <v>15</v>
      </c>
      <c r="M822" s="28" t="s">
        <v>613</v>
      </c>
      <c r="N822" t="s">
        <v>313</v>
      </c>
    </row>
    <row r="823" spans="1:14" hidden="1" x14ac:dyDescent="0.25">
      <c r="A823" t="s">
        <v>14455</v>
      </c>
      <c r="B823" t="s">
        <v>5834</v>
      </c>
      <c r="C823" t="s">
        <v>4655</v>
      </c>
      <c r="D823" t="s">
        <v>14456</v>
      </c>
      <c r="E823" s="28" t="s">
        <v>1177</v>
      </c>
      <c r="F823" t="s">
        <v>708</v>
      </c>
      <c r="G823" t="s">
        <v>15</v>
      </c>
      <c r="M823" s="28" t="s">
        <v>613</v>
      </c>
      <c r="N823" t="s">
        <v>313</v>
      </c>
    </row>
    <row r="824" spans="1:14" hidden="1" x14ac:dyDescent="0.25">
      <c r="A824" t="s">
        <v>8162</v>
      </c>
      <c r="B824" t="s">
        <v>1531</v>
      </c>
      <c r="C824" t="s">
        <v>1383</v>
      </c>
      <c r="D824" t="s">
        <v>1532</v>
      </c>
      <c r="E824" s="28" t="s">
        <v>1023</v>
      </c>
      <c r="F824" t="s">
        <v>328</v>
      </c>
      <c r="G824" t="s">
        <v>38</v>
      </c>
      <c r="M824" s="28"/>
    </row>
    <row r="825" spans="1:14" hidden="1" x14ac:dyDescent="0.25">
      <c r="A825" t="s">
        <v>8324</v>
      </c>
      <c r="B825" t="s">
        <v>1938</v>
      </c>
      <c r="C825" t="s">
        <v>1939</v>
      </c>
      <c r="D825" t="s">
        <v>1940</v>
      </c>
      <c r="E825" s="28" t="s">
        <v>896</v>
      </c>
      <c r="F825" t="s">
        <v>1872</v>
      </c>
      <c r="G825" t="s">
        <v>43</v>
      </c>
      <c r="M825" s="28" t="s">
        <v>14205</v>
      </c>
    </row>
    <row r="826" spans="1:14" hidden="1" x14ac:dyDescent="0.25">
      <c r="A826" t="s">
        <v>10132</v>
      </c>
      <c r="B826" t="s">
        <v>5824</v>
      </c>
      <c r="C826" t="s">
        <v>4841</v>
      </c>
      <c r="D826" t="s">
        <v>5825</v>
      </c>
      <c r="E826" s="28" t="s">
        <v>930</v>
      </c>
      <c r="F826" t="s">
        <v>4586</v>
      </c>
      <c r="G826" t="s">
        <v>15</v>
      </c>
      <c r="M826" s="28" t="s">
        <v>613</v>
      </c>
      <c r="N826" t="s">
        <v>313</v>
      </c>
    </row>
    <row r="827" spans="1:14" hidden="1" x14ac:dyDescent="0.25">
      <c r="A827" t="s">
        <v>8225</v>
      </c>
      <c r="B827" t="s">
        <v>1686</v>
      </c>
      <c r="C827" t="s">
        <v>1490</v>
      </c>
      <c r="D827" t="s">
        <v>1687</v>
      </c>
      <c r="E827" s="28" t="s">
        <v>896</v>
      </c>
      <c r="F827" t="s">
        <v>1678</v>
      </c>
      <c r="G827" t="s">
        <v>43</v>
      </c>
      <c r="M827" s="28" t="s">
        <v>14205</v>
      </c>
    </row>
    <row r="828" spans="1:14" hidden="1" x14ac:dyDescent="0.25">
      <c r="A828" t="s">
        <v>8258</v>
      </c>
      <c r="B828" t="s">
        <v>1686</v>
      </c>
      <c r="C828" t="s">
        <v>1771</v>
      </c>
      <c r="D828" t="s">
        <v>1772</v>
      </c>
      <c r="E828" s="28" t="s">
        <v>890</v>
      </c>
      <c r="F828" t="s">
        <v>891</v>
      </c>
      <c r="G828" t="s">
        <v>43</v>
      </c>
      <c r="M828" s="28" t="s">
        <v>14205</v>
      </c>
    </row>
    <row r="829" spans="1:14" hidden="1" x14ac:dyDescent="0.25">
      <c r="A829" t="s">
        <v>8311</v>
      </c>
      <c r="B829" t="s">
        <v>1900</v>
      </c>
      <c r="C829" t="s">
        <v>1901</v>
      </c>
      <c r="D829" t="s">
        <v>1902</v>
      </c>
      <c r="E829" s="28" t="s">
        <v>890</v>
      </c>
      <c r="F829" t="s">
        <v>1903</v>
      </c>
      <c r="G829" t="s">
        <v>43</v>
      </c>
      <c r="M829" s="28" t="s">
        <v>14205</v>
      </c>
    </row>
    <row r="830" spans="1:14" hidden="1" x14ac:dyDescent="0.25">
      <c r="A830" t="s">
        <v>10728</v>
      </c>
      <c r="B830" t="s">
        <v>7152</v>
      </c>
      <c r="C830" t="s">
        <v>7153</v>
      </c>
      <c r="D830" t="s">
        <v>7154</v>
      </c>
      <c r="E830" s="28" t="s">
        <v>930</v>
      </c>
      <c r="F830" t="s">
        <v>6901</v>
      </c>
      <c r="G830" t="s">
        <v>6896</v>
      </c>
      <c r="M830" s="28" t="s">
        <v>6897</v>
      </c>
      <c r="N830" t="s">
        <v>279</v>
      </c>
    </row>
    <row r="831" spans="1:14" hidden="1" x14ac:dyDescent="0.25">
      <c r="A831" t="s">
        <v>8492</v>
      </c>
      <c r="B831" t="s">
        <v>2345</v>
      </c>
      <c r="C831" t="s">
        <v>2348</v>
      </c>
      <c r="D831" t="s">
        <v>2349</v>
      </c>
      <c r="E831" s="28" t="s">
        <v>930</v>
      </c>
      <c r="F831" t="s">
        <v>408</v>
      </c>
      <c r="G831" t="s">
        <v>65</v>
      </c>
      <c r="M831" s="28" t="s">
        <v>14209</v>
      </c>
    </row>
    <row r="832" spans="1:14" hidden="1" x14ac:dyDescent="0.25">
      <c r="A832" t="s">
        <v>8504</v>
      </c>
      <c r="B832" t="s">
        <v>2345</v>
      </c>
      <c r="C832" t="s">
        <v>2375</v>
      </c>
      <c r="D832" t="s">
        <v>2376</v>
      </c>
      <c r="E832" s="28" t="s">
        <v>890</v>
      </c>
      <c r="F832" t="s">
        <v>408</v>
      </c>
      <c r="G832" t="s">
        <v>65</v>
      </c>
      <c r="M832" s="28" t="s">
        <v>14209</v>
      </c>
    </row>
    <row r="833" spans="1:14" hidden="1" x14ac:dyDescent="0.25">
      <c r="A833" t="s">
        <v>8491</v>
      </c>
      <c r="B833" t="s">
        <v>2345</v>
      </c>
      <c r="C833" t="s">
        <v>2346</v>
      </c>
      <c r="D833" t="s">
        <v>2347</v>
      </c>
      <c r="E833" s="28" t="s">
        <v>930</v>
      </c>
      <c r="F833" t="s">
        <v>408</v>
      </c>
      <c r="G833" t="s">
        <v>65</v>
      </c>
      <c r="M833" s="28" t="s">
        <v>14209</v>
      </c>
    </row>
    <row r="834" spans="1:14" hidden="1" x14ac:dyDescent="0.25">
      <c r="A834" t="s">
        <v>8493</v>
      </c>
      <c r="B834" t="s">
        <v>2345</v>
      </c>
      <c r="C834" t="s">
        <v>2350</v>
      </c>
      <c r="D834" t="s">
        <v>2351</v>
      </c>
      <c r="E834" s="28" t="s">
        <v>930</v>
      </c>
      <c r="F834" t="s">
        <v>408</v>
      </c>
      <c r="G834" t="s">
        <v>65</v>
      </c>
      <c r="M834" s="28" t="s">
        <v>14209</v>
      </c>
    </row>
    <row r="835" spans="1:14" hidden="1" x14ac:dyDescent="0.25">
      <c r="A835" t="s">
        <v>8511</v>
      </c>
      <c r="B835" t="s">
        <v>2345</v>
      </c>
      <c r="C835" t="s">
        <v>2392</v>
      </c>
      <c r="D835" t="s">
        <v>2393</v>
      </c>
      <c r="E835" s="28" t="s">
        <v>930</v>
      </c>
      <c r="F835" t="s">
        <v>408</v>
      </c>
      <c r="G835" t="s">
        <v>65</v>
      </c>
      <c r="M835" s="28" t="s">
        <v>14209</v>
      </c>
    </row>
    <row r="836" spans="1:14" hidden="1" x14ac:dyDescent="0.25">
      <c r="A836" t="s">
        <v>10884</v>
      </c>
      <c r="B836" t="s">
        <v>7531</v>
      </c>
      <c r="C836" t="s">
        <v>2435</v>
      </c>
      <c r="D836" t="s">
        <v>7532</v>
      </c>
      <c r="E836" s="28" t="s">
        <v>890</v>
      </c>
      <c r="F836" t="s">
        <v>7516</v>
      </c>
      <c r="G836" t="s">
        <v>162</v>
      </c>
      <c r="M836" s="28" t="s">
        <v>7517</v>
      </c>
      <c r="N836" t="s">
        <v>313</v>
      </c>
    </row>
    <row r="837" spans="1:14" hidden="1" x14ac:dyDescent="0.25">
      <c r="A837" t="s">
        <v>13673</v>
      </c>
      <c r="B837" t="s">
        <v>13674</v>
      </c>
      <c r="C837" t="s">
        <v>4835</v>
      </c>
      <c r="D837" t="s">
        <v>13675</v>
      </c>
      <c r="E837" s="28" t="s">
        <v>896</v>
      </c>
      <c r="F837" t="s">
        <v>4685</v>
      </c>
      <c r="G837" t="s">
        <v>15</v>
      </c>
      <c r="M837" s="28" t="s">
        <v>613</v>
      </c>
      <c r="N837" t="s">
        <v>313</v>
      </c>
    </row>
    <row r="838" spans="1:14" hidden="1" x14ac:dyDescent="0.25">
      <c r="A838" t="s">
        <v>8150</v>
      </c>
      <c r="B838" t="s">
        <v>1500</v>
      </c>
      <c r="C838" t="s">
        <v>1501</v>
      </c>
      <c r="D838" t="s">
        <v>1502</v>
      </c>
      <c r="E838" s="28" t="s">
        <v>890</v>
      </c>
      <c r="F838" t="s">
        <v>78</v>
      </c>
      <c r="G838" t="s">
        <v>38</v>
      </c>
      <c r="M838" s="28"/>
    </row>
    <row r="839" spans="1:14" hidden="1" x14ac:dyDescent="0.25">
      <c r="A839" t="s">
        <v>11273</v>
      </c>
      <c r="B839" t="s">
        <v>11274</v>
      </c>
      <c r="C839" t="s">
        <v>4936</v>
      </c>
      <c r="D839" t="s">
        <v>11275</v>
      </c>
      <c r="E839" s="28" t="s">
        <v>890</v>
      </c>
      <c r="F839" t="s">
        <v>6584</v>
      </c>
      <c r="G839" t="s">
        <v>84</v>
      </c>
      <c r="M839" s="28" t="s">
        <v>14223</v>
      </c>
      <c r="N839" t="s">
        <v>313</v>
      </c>
    </row>
    <row r="840" spans="1:14" hidden="1" x14ac:dyDescent="0.25">
      <c r="A840" t="s">
        <v>14457</v>
      </c>
      <c r="B840" t="s">
        <v>14458</v>
      </c>
      <c r="C840" t="s">
        <v>4606</v>
      </c>
      <c r="D840" t="s">
        <v>14459</v>
      </c>
      <c r="E840" s="28" t="s">
        <v>890</v>
      </c>
      <c r="F840" t="s">
        <v>891</v>
      </c>
      <c r="G840" t="s">
        <v>43</v>
      </c>
      <c r="M840" s="28" t="s">
        <v>14205</v>
      </c>
    </row>
    <row r="841" spans="1:14" hidden="1" x14ac:dyDescent="0.25">
      <c r="A841" t="s">
        <v>12898</v>
      </c>
      <c r="B841" t="s">
        <v>12899</v>
      </c>
      <c r="C841" t="s">
        <v>4936</v>
      </c>
      <c r="D841" t="s">
        <v>12900</v>
      </c>
      <c r="E841" s="28" t="s">
        <v>896</v>
      </c>
      <c r="F841" t="s">
        <v>676</v>
      </c>
      <c r="G841" t="s">
        <v>15</v>
      </c>
      <c r="M841" s="28" t="s">
        <v>613</v>
      </c>
      <c r="N841" t="s">
        <v>313</v>
      </c>
    </row>
    <row r="842" spans="1:14" hidden="1" x14ac:dyDescent="0.25">
      <c r="A842" t="s">
        <v>8520</v>
      </c>
      <c r="B842" t="s">
        <v>2413</v>
      </c>
      <c r="C842" t="s">
        <v>1043</v>
      </c>
      <c r="D842" t="s">
        <v>2414</v>
      </c>
      <c r="E842" s="28" t="s">
        <v>896</v>
      </c>
      <c r="F842" t="s">
        <v>14210</v>
      </c>
      <c r="G842" t="s">
        <v>11</v>
      </c>
      <c r="M842" s="28" t="s">
        <v>413</v>
      </c>
      <c r="N842" t="s">
        <v>313</v>
      </c>
    </row>
    <row r="843" spans="1:14" hidden="1" x14ac:dyDescent="0.25">
      <c r="A843" t="s">
        <v>12030</v>
      </c>
      <c r="B843" t="s">
        <v>12031</v>
      </c>
      <c r="C843" t="s">
        <v>2489</v>
      </c>
      <c r="D843" t="s">
        <v>12032</v>
      </c>
      <c r="E843" s="28" t="s">
        <v>890</v>
      </c>
      <c r="F843" t="s">
        <v>836</v>
      </c>
      <c r="G843" t="s">
        <v>145</v>
      </c>
      <c r="M843" s="28" t="s">
        <v>13222</v>
      </c>
      <c r="N843" t="s">
        <v>313</v>
      </c>
    </row>
    <row r="844" spans="1:14" hidden="1" x14ac:dyDescent="0.25">
      <c r="A844" t="s">
        <v>8867</v>
      </c>
      <c r="B844" t="s">
        <v>3232</v>
      </c>
      <c r="C844" t="s">
        <v>3233</v>
      </c>
      <c r="D844" t="s">
        <v>3234</v>
      </c>
      <c r="E844" s="28" t="s">
        <v>890</v>
      </c>
      <c r="F844" t="s">
        <v>891</v>
      </c>
      <c r="G844" t="s">
        <v>88</v>
      </c>
      <c r="M844" s="28" t="s">
        <v>549</v>
      </c>
      <c r="N844" t="s">
        <v>313</v>
      </c>
    </row>
    <row r="845" spans="1:14" hidden="1" x14ac:dyDescent="0.25">
      <c r="A845" t="s">
        <v>14271</v>
      </c>
      <c r="B845" t="s">
        <v>14272</v>
      </c>
      <c r="C845" t="s">
        <v>11602</v>
      </c>
      <c r="D845" t="s">
        <v>13676</v>
      </c>
      <c r="E845" s="28" t="s">
        <v>890</v>
      </c>
      <c r="F845" t="s">
        <v>14217</v>
      </c>
      <c r="G845" t="s">
        <v>81</v>
      </c>
      <c r="M845" s="28" t="s">
        <v>530</v>
      </c>
      <c r="N845" t="s">
        <v>313</v>
      </c>
    </row>
    <row r="846" spans="1:14" hidden="1" x14ac:dyDescent="0.25">
      <c r="A846" t="s">
        <v>10131</v>
      </c>
      <c r="B846" t="s">
        <v>5822</v>
      </c>
      <c r="C846" t="s">
        <v>4821</v>
      </c>
      <c r="D846" t="s">
        <v>5823</v>
      </c>
      <c r="E846" s="28" t="s">
        <v>890</v>
      </c>
      <c r="F846" t="s">
        <v>755</v>
      </c>
      <c r="G846" t="s">
        <v>15</v>
      </c>
      <c r="M846" s="28" t="s">
        <v>613</v>
      </c>
      <c r="N846" t="s">
        <v>313</v>
      </c>
    </row>
    <row r="847" spans="1:14" hidden="1" x14ac:dyDescent="0.25">
      <c r="A847" t="s">
        <v>10136</v>
      </c>
      <c r="B847" t="s">
        <v>5832</v>
      </c>
      <c r="C847" t="s">
        <v>4553</v>
      </c>
      <c r="D847" t="s">
        <v>5833</v>
      </c>
      <c r="E847" s="28" t="s">
        <v>896</v>
      </c>
      <c r="F847" t="s">
        <v>4635</v>
      </c>
      <c r="G847" t="s">
        <v>15</v>
      </c>
      <c r="M847" s="28" t="s">
        <v>613</v>
      </c>
      <c r="N847" t="s">
        <v>313</v>
      </c>
    </row>
    <row r="848" spans="1:14" hidden="1" x14ac:dyDescent="0.25">
      <c r="A848" t="s">
        <v>13677</v>
      </c>
      <c r="B848" t="s">
        <v>5832</v>
      </c>
      <c r="C848" t="s">
        <v>941</v>
      </c>
      <c r="D848" t="s">
        <v>13678</v>
      </c>
      <c r="E848" s="28" t="s">
        <v>896</v>
      </c>
      <c r="F848" t="s">
        <v>750</v>
      </c>
      <c r="G848" t="s">
        <v>15</v>
      </c>
      <c r="M848" s="28" t="s">
        <v>613</v>
      </c>
      <c r="N848" t="s">
        <v>313</v>
      </c>
    </row>
    <row r="849" spans="1:14" hidden="1" x14ac:dyDescent="0.25">
      <c r="A849" t="s">
        <v>14460</v>
      </c>
      <c r="B849" t="s">
        <v>14461</v>
      </c>
      <c r="C849" t="s">
        <v>14462</v>
      </c>
      <c r="D849" t="s">
        <v>14463</v>
      </c>
      <c r="E849" s="28" t="s">
        <v>896</v>
      </c>
      <c r="F849" t="s">
        <v>676</v>
      </c>
      <c r="G849" t="s">
        <v>15</v>
      </c>
      <c r="M849" s="28" t="s">
        <v>613</v>
      </c>
      <c r="N849" t="s">
        <v>313</v>
      </c>
    </row>
    <row r="850" spans="1:14" hidden="1" x14ac:dyDescent="0.25">
      <c r="A850" t="s">
        <v>10931</v>
      </c>
      <c r="B850" t="s">
        <v>10932</v>
      </c>
      <c r="C850" t="s">
        <v>7406</v>
      </c>
      <c r="D850" t="s">
        <v>10933</v>
      </c>
      <c r="E850" s="28" t="s">
        <v>896</v>
      </c>
      <c r="F850" t="s">
        <v>891</v>
      </c>
      <c r="G850" t="s">
        <v>11</v>
      </c>
      <c r="M850" s="28" t="s">
        <v>413</v>
      </c>
      <c r="N850" t="s">
        <v>313</v>
      </c>
    </row>
    <row r="851" spans="1:14" hidden="1" x14ac:dyDescent="0.25">
      <c r="A851" t="s">
        <v>10135</v>
      </c>
      <c r="B851" t="s">
        <v>5830</v>
      </c>
      <c r="C851" t="s">
        <v>974</v>
      </c>
      <c r="D851" t="s">
        <v>5831</v>
      </c>
      <c r="E851" s="28" t="s">
        <v>890</v>
      </c>
      <c r="F851" t="s">
        <v>648</v>
      </c>
      <c r="G851" t="s">
        <v>15</v>
      </c>
      <c r="M851" s="28" t="s">
        <v>613</v>
      </c>
      <c r="N851" t="s">
        <v>313</v>
      </c>
    </row>
    <row r="852" spans="1:14" hidden="1" x14ac:dyDescent="0.25">
      <c r="A852" t="s">
        <v>11942</v>
      </c>
      <c r="B852" t="s">
        <v>6552</v>
      </c>
      <c r="C852" t="s">
        <v>1061</v>
      </c>
      <c r="D852" t="s">
        <v>6553</v>
      </c>
      <c r="E852" s="28" t="s">
        <v>890</v>
      </c>
      <c r="F852" t="s">
        <v>252</v>
      </c>
      <c r="G852" t="s">
        <v>129</v>
      </c>
      <c r="M852" s="28" t="s">
        <v>802</v>
      </c>
      <c r="N852" t="s">
        <v>313</v>
      </c>
    </row>
    <row r="853" spans="1:14" hidden="1" x14ac:dyDescent="0.25">
      <c r="A853" t="s">
        <v>8152</v>
      </c>
      <c r="B853" t="s">
        <v>1506</v>
      </c>
      <c r="C853" t="s">
        <v>1444</v>
      </c>
      <c r="D853" t="s">
        <v>1507</v>
      </c>
      <c r="E853" s="28" t="s">
        <v>890</v>
      </c>
      <c r="F853" t="s">
        <v>343</v>
      </c>
      <c r="G853" t="s">
        <v>38</v>
      </c>
      <c r="M853" s="28"/>
    </row>
    <row r="854" spans="1:14" hidden="1" x14ac:dyDescent="0.25">
      <c r="A854" t="s">
        <v>14464</v>
      </c>
      <c r="B854" t="s">
        <v>14465</v>
      </c>
      <c r="C854" t="s">
        <v>1453</v>
      </c>
      <c r="D854" t="s">
        <v>14466</v>
      </c>
      <c r="E854" s="28" t="s">
        <v>896</v>
      </c>
      <c r="F854" t="s">
        <v>324</v>
      </c>
      <c r="G854" t="s">
        <v>38</v>
      </c>
      <c r="M854" s="28"/>
    </row>
    <row r="855" spans="1:14" hidden="1" x14ac:dyDescent="0.25">
      <c r="A855" t="s">
        <v>10646</v>
      </c>
      <c r="B855" t="s">
        <v>6953</v>
      </c>
      <c r="C855" t="s">
        <v>6957</v>
      </c>
      <c r="D855" t="s">
        <v>6958</v>
      </c>
      <c r="E855" s="28" t="s">
        <v>890</v>
      </c>
      <c r="F855" t="s">
        <v>6901</v>
      </c>
      <c r="G855" t="s">
        <v>6896</v>
      </c>
      <c r="M855" s="28" t="s">
        <v>6897</v>
      </c>
      <c r="N855" t="s">
        <v>279</v>
      </c>
    </row>
    <row r="856" spans="1:14" hidden="1" x14ac:dyDescent="0.25">
      <c r="A856" t="s">
        <v>10644</v>
      </c>
      <c r="B856" t="s">
        <v>6953</v>
      </c>
      <c r="C856" t="s">
        <v>6912</v>
      </c>
      <c r="D856" t="s">
        <v>6954</v>
      </c>
      <c r="E856" s="28" t="s">
        <v>890</v>
      </c>
      <c r="F856" t="s">
        <v>6901</v>
      </c>
      <c r="G856" t="s">
        <v>6896</v>
      </c>
      <c r="M856" s="28" t="s">
        <v>6897</v>
      </c>
      <c r="N856" t="s">
        <v>279</v>
      </c>
    </row>
    <row r="857" spans="1:14" hidden="1" x14ac:dyDescent="0.25">
      <c r="A857" t="s">
        <v>10134</v>
      </c>
      <c r="B857" t="s">
        <v>5828</v>
      </c>
      <c r="C857" t="s">
        <v>4640</v>
      </c>
      <c r="D857" t="s">
        <v>5829</v>
      </c>
      <c r="E857" s="28" t="s">
        <v>890</v>
      </c>
      <c r="F857" t="s">
        <v>730</v>
      </c>
      <c r="G857" t="s">
        <v>15</v>
      </c>
      <c r="M857" s="28" t="s">
        <v>613</v>
      </c>
      <c r="N857" t="s">
        <v>313</v>
      </c>
    </row>
    <row r="858" spans="1:14" hidden="1" x14ac:dyDescent="0.25">
      <c r="A858" t="s">
        <v>10807</v>
      </c>
      <c r="B858" t="s">
        <v>7345</v>
      </c>
      <c r="C858" t="s">
        <v>2992</v>
      </c>
      <c r="D858" t="s">
        <v>7346</v>
      </c>
      <c r="E858" s="28" t="s">
        <v>896</v>
      </c>
      <c r="F858" t="s">
        <v>259</v>
      </c>
      <c r="G858" t="s">
        <v>157</v>
      </c>
      <c r="M858" s="28" t="s">
        <v>840</v>
      </c>
      <c r="N858" t="s">
        <v>382</v>
      </c>
    </row>
    <row r="859" spans="1:14" hidden="1" x14ac:dyDescent="0.25">
      <c r="A859" t="s">
        <v>10808</v>
      </c>
      <c r="B859" t="s">
        <v>7345</v>
      </c>
      <c r="C859" t="s">
        <v>2009</v>
      </c>
      <c r="D859" t="s">
        <v>7347</v>
      </c>
      <c r="E859" s="28" t="s">
        <v>890</v>
      </c>
      <c r="F859" t="s">
        <v>259</v>
      </c>
      <c r="G859" t="s">
        <v>157</v>
      </c>
      <c r="M859" s="28" t="s">
        <v>840</v>
      </c>
      <c r="N859" t="s">
        <v>382</v>
      </c>
    </row>
    <row r="860" spans="1:14" hidden="1" x14ac:dyDescent="0.25">
      <c r="A860" t="s">
        <v>14467</v>
      </c>
      <c r="B860" t="s">
        <v>14468</v>
      </c>
      <c r="C860" t="s">
        <v>1357</v>
      </c>
      <c r="D860" t="s">
        <v>14469</v>
      </c>
      <c r="E860" s="28" t="s">
        <v>896</v>
      </c>
      <c r="F860" t="s">
        <v>891</v>
      </c>
      <c r="G860" t="s">
        <v>34</v>
      </c>
      <c r="M860" s="28" t="s">
        <v>12353</v>
      </c>
      <c r="N860" t="s">
        <v>313</v>
      </c>
    </row>
    <row r="861" spans="1:14" hidden="1" x14ac:dyDescent="0.25">
      <c r="A861" t="s">
        <v>13103</v>
      </c>
      <c r="B861" t="s">
        <v>6848</v>
      </c>
      <c r="C861" t="s">
        <v>2419</v>
      </c>
      <c r="D861" t="s">
        <v>6849</v>
      </c>
      <c r="E861" s="28" t="s">
        <v>896</v>
      </c>
      <c r="F861" t="s">
        <v>831</v>
      </c>
      <c r="G861" t="s">
        <v>145</v>
      </c>
      <c r="M861" s="28" t="s">
        <v>13222</v>
      </c>
      <c r="N861" t="s">
        <v>313</v>
      </c>
    </row>
    <row r="862" spans="1:14" hidden="1" x14ac:dyDescent="0.25">
      <c r="A862" t="s">
        <v>10130</v>
      </c>
      <c r="B862" t="s">
        <v>5820</v>
      </c>
      <c r="C862" t="s">
        <v>4557</v>
      </c>
      <c r="D862" t="s">
        <v>5821</v>
      </c>
      <c r="E862" s="28" t="s">
        <v>896</v>
      </c>
      <c r="F862" t="s">
        <v>4610</v>
      </c>
      <c r="G862" t="s">
        <v>15</v>
      </c>
      <c r="M862" s="28" t="s">
        <v>613</v>
      </c>
      <c r="N862" t="s">
        <v>313</v>
      </c>
    </row>
    <row r="863" spans="1:14" hidden="1" x14ac:dyDescent="0.25">
      <c r="A863" t="s">
        <v>14470</v>
      </c>
      <c r="B863" t="s">
        <v>14471</v>
      </c>
      <c r="C863" t="s">
        <v>14472</v>
      </c>
      <c r="D863" t="s">
        <v>14473</v>
      </c>
      <c r="E863" s="28" t="s">
        <v>890</v>
      </c>
      <c r="F863" t="s">
        <v>221</v>
      </c>
      <c r="G863" t="s">
        <v>15</v>
      </c>
      <c r="M863" s="28" t="s">
        <v>613</v>
      </c>
      <c r="N863" t="s">
        <v>313</v>
      </c>
    </row>
    <row r="864" spans="1:14" hidden="1" x14ac:dyDescent="0.25">
      <c r="A864" t="s">
        <v>10452</v>
      </c>
      <c r="B864" t="s">
        <v>6495</v>
      </c>
      <c r="C864" t="s">
        <v>2184</v>
      </c>
      <c r="D864" t="s">
        <v>6496</v>
      </c>
      <c r="E864" s="28" t="s">
        <v>896</v>
      </c>
      <c r="F864" t="s">
        <v>11911</v>
      </c>
      <c r="G864" t="s">
        <v>125</v>
      </c>
      <c r="M864" s="28" t="s">
        <v>6491</v>
      </c>
      <c r="N864" t="s">
        <v>313</v>
      </c>
    </row>
    <row r="865" spans="1:14" hidden="1" x14ac:dyDescent="0.25">
      <c r="A865" t="s">
        <v>8252</v>
      </c>
      <c r="B865" t="s">
        <v>1756</v>
      </c>
      <c r="C865" t="s">
        <v>1757</v>
      </c>
      <c r="D865" t="s">
        <v>1758</v>
      </c>
      <c r="E865" s="28" t="s">
        <v>896</v>
      </c>
      <c r="F865" t="s">
        <v>891</v>
      </c>
      <c r="G865" t="s">
        <v>43</v>
      </c>
      <c r="M865" s="28" t="s">
        <v>14205</v>
      </c>
    </row>
    <row r="866" spans="1:14" hidden="1" x14ac:dyDescent="0.25">
      <c r="A866" t="s">
        <v>13410</v>
      </c>
      <c r="B866" t="s">
        <v>13411</v>
      </c>
      <c r="C866" t="s">
        <v>4582</v>
      </c>
      <c r="D866" t="s">
        <v>13412</v>
      </c>
      <c r="E866" s="28" t="s">
        <v>896</v>
      </c>
      <c r="F866" t="s">
        <v>13355</v>
      </c>
      <c r="G866" t="s">
        <v>15</v>
      </c>
      <c r="M866" s="28" t="s">
        <v>613</v>
      </c>
      <c r="N866" t="s">
        <v>313</v>
      </c>
    </row>
    <row r="867" spans="1:14" hidden="1" x14ac:dyDescent="0.25">
      <c r="A867" t="s">
        <v>10128</v>
      </c>
      <c r="B867" t="s">
        <v>5816</v>
      </c>
      <c r="C867" t="s">
        <v>1121</v>
      </c>
      <c r="D867" t="s">
        <v>5817</v>
      </c>
      <c r="E867" s="28" t="s">
        <v>890</v>
      </c>
      <c r="F867" t="s">
        <v>2598</v>
      </c>
      <c r="G867" t="s">
        <v>15</v>
      </c>
      <c r="M867" s="28" t="s">
        <v>613</v>
      </c>
      <c r="N867" t="s">
        <v>313</v>
      </c>
    </row>
    <row r="868" spans="1:14" hidden="1" x14ac:dyDescent="0.25">
      <c r="A868" t="s">
        <v>10129</v>
      </c>
      <c r="B868" t="s">
        <v>5816</v>
      </c>
      <c r="C868" t="s">
        <v>4726</v>
      </c>
      <c r="D868" t="s">
        <v>5818</v>
      </c>
      <c r="E868" s="28" t="s">
        <v>896</v>
      </c>
      <c r="F868" t="s">
        <v>2598</v>
      </c>
      <c r="G868" t="s">
        <v>15</v>
      </c>
      <c r="M868" s="28" t="s">
        <v>613</v>
      </c>
      <c r="N868" t="s">
        <v>313</v>
      </c>
    </row>
    <row r="869" spans="1:14" hidden="1" x14ac:dyDescent="0.25">
      <c r="A869" t="s">
        <v>13679</v>
      </c>
      <c r="B869" t="s">
        <v>13680</v>
      </c>
      <c r="C869" t="s">
        <v>4549</v>
      </c>
      <c r="D869" t="s">
        <v>13681</v>
      </c>
      <c r="E869" s="28" t="s">
        <v>890</v>
      </c>
      <c r="F869" t="s">
        <v>4837</v>
      </c>
      <c r="G869" t="s">
        <v>15</v>
      </c>
      <c r="M869" s="28" t="s">
        <v>613</v>
      </c>
      <c r="N869" t="s">
        <v>313</v>
      </c>
    </row>
    <row r="870" spans="1:14" hidden="1" x14ac:dyDescent="0.25">
      <c r="A870" t="s">
        <v>10127</v>
      </c>
      <c r="B870" t="s">
        <v>5814</v>
      </c>
      <c r="C870" t="s">
        <v>4440</v>
      </c>
      <c r="D870" t="s">
        <v>5815</v>
      </c>
      <c r="E870" s="28" t="s">
        <v>890</v>
      </c>
      <c r="F870" t="s">
        <v>676</v>
      </c>
      <c r="G870" t="s">
        <v>15</v>
      </c>
      <c r="M870" s="28" t="s">
        <v>613</v>
      </c>
      <c r="N870" t="s">
        <v>313</v>
      </c>
    </row>
    <row r="871" spans="1:14" hidden="1" x14ac:dyDescent="0.25">
      <c r="A871" t="s">
        <v>13682</v>
      </c>
      <c r="B871" t="s">
        <v>5814</v>
      </c>
      <c r="C871" t="s">
        <v>999</v>
      </c>
      <c r="D871" t="s">
        <v>13683</v>
      </c>
      <c r="E871" s="28" t="s">
        <v>930</v>
      </c>
      <c r="F871" t="s">
        <v>676</v>
      </c>
      <c r="G871" t="s">
        <v>15</v>
      </c>
      <c r="M871" s="28" t="s">
        <v>613</v>
      </c>
      <c r="N871" t="s">
        <v>313</v>
      </c>
    </row>
    <row r="872" spans="1:14" hidden="1" x14ac:dyDescent="0.25">
      <c r="A872" t="s">
        <v>10453</v>
      </c>
      <c r="B872" t="s">
        <v>6497</v>
      </c>
      <c r="C872" t="s">
        <v>6498</v>
      </c>
      <c r="D872" t="s">
        <v>6499</v>
      </c>
      <c r="E872" s="28" t="s">
        <v>890</v>
      </c>
      <c r="F872" t="s">
        <v>57</v>
      </c>
      <c r="G872" t="s">
        <v>125</v>
      </c>
      <c r="M872" s="28" t="s">
        <v>6491</v>
      </c>
      <c r="N872" t="s">
        <v>313</v>
      </c>
    </row>
    <row r="873" spans="1:14" hidden="1" x14ac:dyDescent="0.25">
      <c r="A873" t="s">
        <v>10455</v>
      </c>
      <c r="B873" t="s">
        <v>6500</v>
      </c>
      <c r="C873" t="s">
        <v>6502</v>
      </c>
      <c r="D873" t="s">
        <v>6503</v>
      </c>
      <c r="E873" s="28" t="s">
        <v>890</v>
      </c>
      <c r="F873" t="s">
        <v>796</v>
      </c>
      <c r="G873" t="s">
        <v>125</v>
      </c>
      <c r="M873" s="28" t="s">
        <v>6491</v>
      </c>
      <c r="N873" t="s">
        <v>313</v>
      </c>
    </row>
    <row r="874" spans="1:14" hidden="1" x14ac:dyDescent="0.25">
      <c r="A874" t="s">
        <v>11469</v>
      </c>
      <c r="B874" t="s">
        <v>11470</v>
      </c>
      <c r="C874" t="s">
        <v>11471</v>
      </c>
      <c r="D874" t="s">
        <v>11472</v>
      </c>
      <c r="E874" s="28" t="s">
        <v>930</v>
      </c>
      <c r="F874" t="s">
        <v>796</v>
      </c>
      <c r="G874" t="s">
        <v>125</v>
      </c>
      <c r="M874" s="28" t="s">
        <v>6491</v>
      </c>
      <c r="N874" t="s">
        <v>313</v>
      </c>
    </row>
    <row r="875" spans="1:14" hidden="1" x14ac:dyDescent="0.25">
      <c r="A875" t="s">
        <v>10456</v>
      </c>
      <c r="B875" t="s">
        <v>6500</v>
      </c>
      <c r="C875" t="s">
        <v>6504</v>
      </c>
      <c r="D875" t="s">
        <v>6505</v>
      </c>
      <c r="E875" s="28" t="s">
        <v>890</v>
      </c>
      <c r="F875" t="s">
        <v>6490</v>
      </c>
      <c r="G875" t="s">
        <v>125</v>
      </c>
      <c r="M875" s="28" t="s">
        <v>6491</v>
      </c>
      <c r="N875" t="s">
        <v>313</v>
      </c>
    </row>
    <row r="876" spans="1:14" hidden="1" x14ac:dyDescent="0.25">
      <c r="A876" t="s">
        <v>10454</v>
      </c>
      <c r="B876" t="s">
        <v>6500</v>
      </c>
      <c r="C876" t="s">
        <v>1421</v>
      </c>
      <c r="D876" t="s">
        <v>6501</v>
      </c>
      <c r="E876" s="28" t="s">
        <v>896</v>
      </c>
      <c r="F876" t="s">
        <v>796</v>
      </c>
      <c r="G876" t="s">
        <v>125</v>
      </c>
      <c r="M876" s="28" t="s">
        <v>6491</v>
      </c>
      <c r="N876" t="s">
        <v>313</v>
      </c>
    </row>
    <row r="877" spans="1:14" hidden="1" x14ac:dyDescent="0.25">
      <c r="A877" t="s">
        <v>11462</v>
      </c>
      <c r="B877" t="s">
        <v>11463</v>
      </c>
      <c r="C877" t="s">
        <v>11464</v>
      </c>
      <c r="D877" t="s">
        <v>11465</v>
      </c>
      <c r="E877" s="28" t="s">
        <v>896</v>
      </c>
      <c r="F877" t="s">
        <v>6490</v>
      </c>
      <c r="G877" t="s">
        <v>125</v>
      </c>
      <c r="M877" s="28" t="s">
        <v>6491</v>
      </c>
      <c r="N877" t="s">
        <v>313</v>
      </c>
    </row>
    <row r="878" spans="1:14" hidden="1" x14ac:dyDescent="0.25">
      <c r="A878" t="s">
        <v>8082</v>
      </c>
      <c r="B878" t="s">
        <v>1320</v>
      </c>
      <c r="C878" t="s">
        <v>1321</v>
      </c>
      <c r="D878" t="s">
        <v>1322</v>
      </c>
      <c r="E878" s="28" t="s">
        <v>890</v>
      </c>
      <c r="F878" t="s">
        <v>57</v>
      </c>
      <c r="G878" t="s">
        <v>38</v>
      </c>
      <c r="M878" s="28"/>
    </row>
    <row r="879" spans="1:14" hidden="1" x14ac:dyDescent="0.25">
      <c r="A879" t="s">
        <v>12053</v>
      </c>
      <c r="B879" t="s">
        <v>12054</v>
      </c>
      <c r="C879" t="s">
        <v>5505</v>
      </c>
      <c r="D879" t="s">
        <v>12055</v>
      </c>
      <c r="E879" s="28" t="s">
        <v>890</v>
      </c>
      <c r="F879" t="s">
        <v>843</v>
      </c>
      <c r="G879" t="s">
        <v>157</v>
      </c>
      <c r="M879" s="28" t="s">
        <v>840</v>
      </c>
      <c r="N879" t="s">
        <v>382</v>
      </c>
    </row>
    <row r="880" spans="1:14" hidden="1" x14ac:dyDescent="0.25">
      <c r="A880" t="s">
        <v>12901</v>
      </c>
      <c r="B880" t="s">
        <v>12902</v>
      </c>
      <c r="C880" t="s">
        <v>11029</v>
      </c>
      <c r="D880" t="s">
        <v>12903</v>
      </c>
      <c r="E880" s="28" t="s">
        <v>890</v>
      </c>
      <c r="F880" t="s">
        <v>4837</v>
      </c>
      <c r="G880" t="s">
        <v>15</v>
      </c>
      <c r="M880" s="28" t="s">
        <v>613</v>
      </c>
      <c r="N880" t="s">
        <v>313</v>
      </c>
    </row>
    <row r="881" spans="1:14" hidden="1" x14ac:dyDescent="0.25">
      <c r="A881" t="s">
        <v>12904</v>
      </c>
      <c r="B881" t="s">
        <v>12905</v>
      </c>
      <c r="C881" t="s">
        <v>4871</v>
      </c>
      <c r="D881" t="s">
        <v>12906</v>
      </c>
      <c r="E881" s="28" t="s">
        <v>890</v>
      </c>
      <c r="F881" t="s">
        <v>4590</v>
      </c>
      <c r="G881" t="s">
        <v>15</v>
      </c>
      <c r="M881" s="28" t="s">
        <v>613</v>
      </c>
      <c r="N881" t="s">
        <v>313</v>
      </c>
    </row>
    <row r="882" spans="1:14" hidden="1" x14ac:dyDescent="0.25">
      <c r="A882" t="s">
        <v>10126</v>
      </c>
      <c r="B882" t="s">
        <v>5812</v>
      </c>
      <c r="C882" t="s">
        <v>5152</v>
      </c>
      <c r="D882" t="s">
        <v>5813</v>
      </c>
      <c r="E882" s="28" t="s">
        <v>890</v>
      </c>
      <c r="F882" t="s">
        <v>654</v>
      </c>
      <c r="G882" t="s">
        <v>15</v>
      </c>
      <c r="M882" s="28" t="s">
        <v>613</v>
      </c>
      <c r="N882" t="s">
        <v>313</v>
      </c>
    </row>
    <row r="883" spans="1:14" hidden="1" x14ac:dyDescent="0.25">
      <c r="A883" t="s">
        <v>12907</v>
      </c>
      <c r="B883" t="s">
        <v>5812</v>
      </c>
      <c r="C883" t="s">
        <v>5124</v>
      </c>
      <c r="D883" t="s">
        <v>12908</v>
      </c>
      <c r="E883" s="28" t="s">
        <v>890</v>
      </c>
      <c r="F883" t="s">
        <v>13217</v>
      </c>
      <c r="G883" t="s">
        <v>15</v>
      </c>
      <c r="M883" s="28" t="s">
        <v>613</v>
      </c>
      <c r="N883" t="s">
        <v>313</v>
      </c>
    </row>
    <row r="884" spans="1:14" hidden="1" x14ac:dyDescent="0.25">
      <c r="A884" t="s">
        <v>10125</v>
      </c>
      <c r="B884" t="s">
        <v>5810</v>
      </c>
      <c r="C884" t="s">
        <v>1269</v>
      </c>
      <c r="D884" t="s">
        <v>5811</v>
      </c>
      <c r="E884" s="28" t="s">
        <v>896</v>
      </c>
      <c r="F884" t="s">
        <v>4635</v>
      </c>
      <c r="G884" t="s">
        <v>15</v>
      </c>
      <c r="M884" s="28" t="s">
        <v>613</v>
      </c>
      <c r="N884" t="s">
        <v>313</v>
      </c>
    </row>
    <row r="885" spans="1:14" hidden="1" x14ac:dyDescent="0.25">
      <c r="A885" t="s">
        <v>10124</v>
      </c>
      <c r="B885" t="s">
        <v>5808</v>
      </c>
      <c r="C885" t="s">
        <v>1121</v>
      </c>
      <c r="D885" t="s">
        <v>5809</v>
      </c>
      <c r="E885" s="28" t="s">
        <v>896</v>
      </c>
      <c r="F885" t="s">
        <v>730</v>
      </c>
      <c r="G885" t="s">
        <v>15</v>
      </c>
      <c r="M885" s="28" t="s">
        <v>613</v>
      </c>
      <c r="N885" t="s">
        <v>313</v>
      </c>
    </row>
    <row r="886" spans="1:14" hidden="1" x14ac:dyDescent="0.25">
      <c r="A886" t="s">
        <v>8275</v>
      </c>
      <c r="B886" t="s">
        <v>1813</v>
      </c>
      <c r="C886" t="s">
        <v>1123</v>
      </c>
      <c r="D886" t="s">
        <v>1814</v>
      </c>
      <c r="E886" s="28" t="s">
        <v>890</v>
      </c>
      <c r="F886" t="s">
        <v>349</v>
      </c>
      <c r="G886" t="s">
        <v>43</v>
      </c>
      <c r="M886" s="28" t="s">
        <v>14205</v>
      </c>
    </row>
    <row r="887" spans="1:14" hidden="1" x14ac:dyDescent="0.25">
      <c r="A887" t="s">
        <v>8644</v>
      </c>
      <c r="B887" t="s">
        <v>2714</v>
      </c>
      <c r="C887" t="s">
        <v>2715</v>
      </c>
      <c r="D887" t="s">
        <v>2716</v>
      </c>
      <c r="E887" s="28" t="s">
        <v>896</v>
      </c>
      <c r="F887" t="s">
        <v>523</v>
      </c>
      <c r="G887" t="s">
        <v>74</v>
      </c>
      <c r="M887" s="28" t="s">
        <v>507</v>
      </c>
      <c r="N887" t="s">
        <v>313</v>
      </c>
    </row>
    <row r="888" spans="1:14" hidden="1" x14ac:dyDescent="0.25">
      <c r="A888" t="s">
        <v>10123</v>
      </c>
      <c r="B888" t="s">
        <v>5804</v>
      </c>
      <c r="C888" t="s">
        <v>5806</v>
      </c>
      <c r="D888" t="s">
        <v>5807</v>
      </c>
      <c r="E888" s="28" t="s">
        <v>930</v>
      </c>
      <c r="F888" t="s">
        <v>743</v>
      </c>
      <c r="G888" t="s">
        <v>15</v>
      </c>
      <c r="M888" s="28" t="s">
        <v>613</v>
      </c>
      <c r="N888" t="s">
        <v>313</v>
      </c>
    </row>
    <row r="889" spans="1:14" hidden="1" x14ac:dyDescent="0.25">
      <c r="A889" t="s">
        <v>10122</v>
      </c>
      <c r="B889" t="s">
        <v>5804</v>
      </c>
      <c r="C889" t="s">
        <v>909</v>
      </c>
      <c r="D889" t="s">
        <v>5805</v>
      </c>
      <c r="E889" s="28" t="s">
        <v>896</v>
      </c>
      <c r="F889" t="s">
        <v>743</v>
      </c>
      <c r="G889" t="s">
        <v>15</v>
      </c>
      <c r="M889" s="28" t="s">
        <v>613</v>
      </c>
      <c r="N889" t="s">
        <v>313</v>
      </c>
    </row>
    <row r="890" spans="1:14" hidden="1" x14ac:dyDescent="0.25">
      <c r="A890" t="s">
        <v>10121</v>
      </c>
      <c r="B890" t="s">
        <v>5801</v>
      </c>
      <c r="C890" t="s">
        <v>5802</v>
      </c>
      <c r="D890" t="s">
        <v>5803</v>
      </c>
      <c r="E890" s="28" t="s">
        <v>896</v>
      </c>
      <c r="F890" t="s">
        <v>4586</v>
      </c>
      <c r="G890" t="s">
        <v>15</v>
      </c>
      <c r="M890" s="28" t="s">
        <v>613</v>
      </c>
      <c r="N890" t="s">
        <v>313</v>
      </c>
    </row>
    <row r="891" spans="1:14" hidden="1" x14ac:dyDescent="0.25">
      <c r="A891" t="s">
        <v>10120</v>
      </c>
      <c r="B891" t="s">
        <v>5799</v>
      </c>
      <c r="C891" t="s">
        <v>4640</v>
      </c>
      <c r="D891" t="s">
        <v>5800</v>
      </c>
      <c r="E891" s="28" t="s">
        <v>890</v>
      </c>
      <c r="F891" t="s">
        <v>2641</v>
      </c>
      <c r="G891" t="s">
        <v>15</v>
      </c>
      <c r="M891" s="28" t="s">
        <v>613</v>
      </c>
      <c r="N891" t="s">
        <v>313</v>
      </c>
    </row>
    <row r="892" spans="1:14" hidden="1" x14ac:dyDescent="0.25">
      <c r="A892" t="s">
        <v>10119</v>
      </c>
      <c r="B892" t="s">
        <v>5797</v>
      </c>
      <c r="C892" t="s">
        <v>5114</v>
      </c>
      <c r="D892" t="s">
        <v>5798</v>
      </c>
      <c r="E892" s="28" t="s">
        <v>896</v>
      </c>
      <c r="F892" t="s">
        <v>727</v>
      </c>
      <c r="G892" t="s">
        <v>15</v>
      </c>
      <c r="M892" s="28" t="s">
        <v>613</v>
      </c>
      <c r="N892" t="s">
        <v>313</v>
      </c>
    </row>
    <row r="893" spans="1:14" hidden="1" x14ac:dyDescent="0.25">
      <c r="A893" t="s">
        <v>13349</v>
      </c>
      <c r="B893" t="s">
        <v>13350</v>
      </c>
      <c r="C893" t="s">
        <v>1616</v>
      </c>
      <c r="D893" t="s">
        <v>13351</v>
      </c>
      <c r="E893" s="28" t="s">
        <v>890</v>
      </c>
      <c r="F893" t="s">
        <v>5072</v>
      </c>
      <c r="G893" t="s">
        <v>15</v>
      </c>
      <c r="M893" s="28" t="s">
        <v>613</v>
      </c>
      <c r="N893" t="s">
        <v>313</v>
      </c>
    </row>
    <row r="894" spans="1:14" hidden="1" x14ac:dyDescent="0.25">
      <c r="A894" t="s">
        <v>10118</v>
      </c>
      <c r="B894" t="s">
        <v>5794</v>
      </c>
      <c r="C894" t="s">
        <v>5795</v>
      </c>
      <c r="D894" t="s">
        <v>5796</v>
      </c>
      <c r="E894" s="28" t="s">
        <v>890</v>
      </c>
      <c r="F894" t="s">
        <v>201</v>
      </c>
      <c r="G894" t="s">
        <v>15</v>
      </c>
      <c r="M894" s="28" t="s">
        <v>613</v>
      </c>
      <c r="N894" t="s">
        <v>313</v>
      </c>
    </row>
    <row r="895" spans="1:14" hidden="1" x14ac:dyDescent="0.25">
      <c r="A895" t="s">
        <v>10115</v>
      </c>
      <c r="B895" t="s">
        <v>5790</v>
      </c>
      <c r="C895" t="s">
        <v>4440</v>
      </c>
      <c r="D895" t="s">
        <v>5791</v>
      </c>
      <c r="E895" s="28" t="s">
        <v>890</v>
      </c>
      <c r="F895" t="s">
        <v>764</v>
      </c>
      <c r="G895" t="s">
        <v>15</v>
      </c>
      <c r="M895" s="28" t="s">
        <v>613</v>
      </c>
      <c r="N895" t="s">
        <v>313</v>
      </c>
    </row>
    <row r="896" spans="1:14" hidden="1" x14ac:dyDescent="0.25">
      <c r="A896" t="s">
        <v>10116</v>
      </c>
      <c r="B896" t="s">
        <v>5790</v>
      </c>
      <c r="C896" t="s">
        <v>4573</v>
      </c>
      <c r="D896" t="s">
        <v>5792</v>
      </c>
      <c r="E896" s="28" t="s">
        <v>896</v>
      </c>
      <c r="F896" t="s">
        <v>752</v>
      </c>
      <c r="G896" t="s">
        <v>15</v>
      </c>
      <c r="M896" s="28" t="s">
        <v>613</v>
      </c>
      <c r="N896" t="s">
        <v>313</v>
      </c>
    </row>
    <row r="897" spans="1:14" hidden="1" x14ac:dyDescent="0.25">
      <c r="A897" t="s">
        <v>10117</v>
      </c>
      <c r="B897" t="s">
        <v>5790</v>
      </c>
      <c r="C897" t="s">
        <v>2184</v>
      </c>
      <c r="D897" t="s">
        <v>5793</v>
      </c>
      <c r="E897" s="28" t="s">
        <v>896</v>
      </c>
      <c r="F897" t="s">
        <v>752</v>
      </c>
      <c r="G897" t="s">
        <v>15</v>
      </c>
      <c r="M897" s="28" t="s">
        <v>613</v>
      </c>
      <c r="N897" t="s">
        <v>313</v>
      </c>
    </row>
    <row r="898" spans="1:14" hidden="1" x14ac:dyDescent="0.25">
      <c r="A898" t="s">
        <v>8083</v>
      </c>
      <c r="B898" t="s">
        <v>1323</v>
      </c>
      <c r="C898" t="s">
        <v>1324</v>
      </c>
      <c r="D898" t="s">
        <v>1325</v>
      </c>
      <c r="E898" s="28" t="s">
        <v>890</v>
      </c>
      <c r="F898" t="s">
        <v>324</v>
      </c>
      <c r="G898" t="s">
        <v>38</v>
      </c>
      <c r="M898" s="28"/>
    </row>
    <row r="899" spans="1:14" hidden="1" x14ac:dyDescent="0.25">
      <c r="A899" t="s">
        <v>8084</v>
      </c>
      <c r="B899" t="s">
        <v>1326</v>
      </c>
      <c r="C899" t="s">
        <v>1327</v>
      </c>
      <c r="D899" t="s">
        <v>1328</v>
      </c>
      <c r="E899" s="28" t="s">
        <v>896</v>
      </c>
      <c r="F899" t="s">
        <v>78</v>
      </c>
      <c r="G899" t="s">
        <v>38</v>
      </c>
      <c r="M899" s="28"/>
    </row>
    <row r="900" spans="1:14" hidden="1" x14ac:dyDescent="0.25">
      <c r="A900" t="s">
        <v>14273</v>
      </c>
      <c r="B900" t="s">
        <v>14274</v>
      </c>
      <c r="C900" t="s">
        <v>1453</v>
      </c>
      <c r="D900" t="s">
        <v>13684</v>
      </c>
      <c r="E900" s="28" t="s">
        <v>890</v>
      </c>
      <c r="F900" t="s">
        <v>14216</v>
      </c>
      <c r="G900" t="s">
        <v>81</v>
      </c>
      <c r="M900" s="28" t="s">
        <v>530</v>
      </c>
      <c r="N900" t="s">
        <v>313</v>
      </c>
    </row>
    <row r="901" spans="1:14" hidden="1" x14ac:dyDescent="0.25">
      <c r="A901" t="s">
        <v>8266</v>
      </c>
      <c r="B901" t="s">
        <v>1789</v>
      </c>
      <c r="C901" t="s">
        <v>1790</v>
      </c>
      <c r="D901" t="s">
        <v>1791</v>
      </c>
      <c r="E901" s="28" t="s">
        <v>890</v>
      </c>
      <c r="F901" t="s">
        <v>1641</v>
      </c>
      <c r="G901" t="s">
        <v>43</v>
      </c>
      <c r="M901" s="28" t="s">
        <v>14205</v>
      </c>
    </row>
    <row r="902" spans="1:14" hidden="1" x14ac:dyDescent="0.25">
      <c r="A902" t="s">
        <v>8160</v>
      </c>
      <c r="B902" t="s">
        <v>1526</v>
      </c>
      <c r="C902" t="s">
        <v>1527</v>
      </c>
      <c r="D902" t="s">
        <v>1528</v>
      </c>
      <c r="E902" s="28" t="s">
        <v>896</v>
      </c>
      <c r="F902" t="s">
        <v>340</v>
      </c>
      <c r="G902" t="s">
        <v>38</v>
      </c>
      <c r="M902" s="28"/>
    </row>
    <row r="903" spans="1:14" hidden="1" x14ac:dyDescent="0.25">
      <c r="A903" t="s">
        <v>8750</v>
      </c>
      <c r="B903" t="s">
        <v>2972</v>
      </c>
      <c r="C903" t="s">
        <v>2974</v>
      </c>
      <c r="D903" t="s">
        <v>2975</v>
      </c>
      <c r="E903" s="28" t="s">
        <v>890</v>
      </c>
      <c r="F903" t="s">
        <v>543</v>
      </c>
      <c r="G903" t="s">
        <v>86</v>
      </c>
      <c r="M903" s="28" t="s">
        <v>546</v>
      </c>
      <c r="N903" t="s">
        <v>313</v>
      </c>
    </row>
    <row r="904" spans="1:14" hidden="1" x14ac:dyDescent="0.25">
      <c r="A904" t="s">
        <v>8749</v>
      </c>
      <c r="B904" t="s">
        <v>2972</v>
      </c>
      <c r="C904" t="s">
        <v>1421</v>
      </c>
      <c r="D904" t="s">
        <v>2973</v>
      </c>
      <c r="E904" s="28" t="s">
        <v>896</v>
      </c>
      <c r="F904" t="s">
        <v>543</v>
      </c>
      <c r="G904" t="s">
        <v>86</v>
      </c>
      <c r="M904" s="28" t="s">
        <v>546</v>
      </c>
      <c r="N904" t="s">
        <v>313</v>
      </c>
    </row>
    <row r="905" spans="1:14" hidden="1" x14ac:dyDescent="0.25">
      <c r="A905" t="s">
        <v>11708</v>
      </c>
      <c r="B905" t="s">
        <v>11709</v>
      </c>
      <c r="C905" t="s">
        <v>11710</v>
      </c>
      <c r="D905" t="s">
        <v>11711</v>
      </c>
      <c r="E905" s="28" t="s">
        <v>890</v>
      </c>
      <c r="F905" t="s">
        <v>13198</v>
      </c>
      <c r="G905" t="s">
        <v>81</v>
      </c>
      <c r="M905" s="28" t="s">
        <v>530</v>
      </c>
      <c r="N905" t="s">
        <v>313</v>
      </c>
    </row>
    <row r="906" spans="1:14" hidden="1" x14ac:dyDescent="0.25">
      <c r="A906" t="s">
        <v>14474</v>
      </c>
      <c r="B906" t="s">
        <v>14475</v>
      </c>
      <c r="C906" t="s">
        <v>13960</v>
      </c>
      <c r="D906" t="s">
        <v>14476</v>
      </c>
      <c r="E906" s="28" t="s">
        <v>1177</v>
      </c>
      <c r="F906" t="s">
        <v>708</v>
      </c>
      <c r="G906" t="s">
        <v>15</v>
      </c>
      <c r="M906" s="28" t="s">
        <v>613</v>
      </c>
      <c r="N906" t="s">
        <v>313</v>
      </c>
    </row>
    <row r="907" spans="1:14" hidden="1" x14ac:dyDescent="0.25">
      <c r="A907" t="s">
        <v>10809</v>
      </c>
      <c r="B907" t="s">
        <v>7348</v>
      </c>
      <c r="C907" t="s">
        <v>7349</v>
      </c>
      <c r="D907" t="s">
        <v>7350</v>
      </c>
      <c r="E907" s="28" t="s">
        <v>896</v>
      </c>
      <c r="F907" t="s">
        <v>268</v>
      </c>
      <c r="G907" t="s">
        <v>157</v>
      </c>
      <c r="M907" s="28" t="s">
        <v>840</v>
      </c>
      <c r="N907" t="s">
        <v>382</v>
      </c>
    </row>
    <row r="908" spans="1:14" hidden="1" x14ac:dyDescent="0.25">
      <c r="A908" t="s">
        <v>8085</v>
      </c>
      <c r="B908" t="s">
        <v>1329</v>
      </c>
      <c r="C908" t="s">
        <v>1330</v>
      </c>
      <c r="D908" t="s">
        <v>1331</v>
      </c>
      <c r="E908" s="28" t="s">
        <v>890</v>
      </c>
      <c r="F908" t="s">
        <v>69</v>
      </c>
      <c r="G908" t="s">
        <v>38</v>
      </c>
      <c r="M908" s="28"/>
    </row>
    <row r="909" spans="1:14" hidden="1" x14ac:dyDescent="0.25">
      <c r="A909" t="s">
        <v>10114</v>
      </c>
      <c r="B909" t="s">
        <v>5787</v>
      </c>
      <c r="C909" t="s">
        <v>1269</v>
      </c>
      <c r="D909" t="s">
        <v>5789</v>
      </c>
      <c r="E909" s="28" t="s">
        <v>1023</v>
      </c>
      <c r="F909" t="s">
        <v>4586</v>
      </c>
      <c r="G909" t="s">
        <v>15</v>
      </c>
      <c r="M909" s="28" t="s">
        <v>613</v>
      </c>
      <c r="N909" t="s">
        <v>313</v>
      </c>
    </row>
    <row r="910" spans="1:14" hidden="1" x14ac:dyDescent="0.25">
      <c r="A910" t="s">
        <v>10113</v>
      </c>
      <c r="B910" t="s">
        <v>5787</v>
      </c>
      <c r="C910" t="s">
        <v>4841</v>
      </c>
      <c r="D910" t="s">
        <v>5788</v>
      </c>
      <c r="E910" s="28" t="s">
        <v>890</v>
      </c>
      <c r="F910" t="s">
        <v>4586</v>
      </c>
      <c r="G910" t="s">
        <v>15</v>
      </c>
      <c r="M910" s="28" t="s">
        <v>613</v>
      </c>
      <c r="N910" t="s">
        <v>313</v>
      </c>
    </row>
    <row r="911" spans="1:14" hidden="1" x14ac:dyDescent="0.25">
      <c r="A911" t="s">
        <v>10112</v>
      </c>
      <c r="B911" t="s">
        <v>5784</v>
      </c>
      <c r="C911" t="s">
        <v>5785</v>
      </c>
      <c r="D911" t="s">
        <v>5786</v>
      </c>
      <c r="E911" s="28" t="s">
        <v>890</v>
      </c>
      <c r="F911" t="s">
        <v>4648</v>
      </c>
      <c r="G911" t="s">
        <v>15</v>
      </c>
      <c r="M911" s="28" t="s">
        <v>613</v>
      </c>
      <c r="N911" t="s">
        <v>313</v>
      </c>
    </row>
    <row r="912" spans="1:14" hidden="1" x14ac:dyDescent="0.25">
      <c r="A912" t="s">
        <v>13685</v>
      </c>
      <c r="B912" t="s">
        <v>5782</v>
      </c>
      <c r="C912" t="s">
        <v>2730</v>
      </c>
      <c r="D912" t="s">
        <v>13686</v>
      </c>
      <c r="E912" s="28" t="s">
        <v>1177</v>
      </c>
      <c r="F912" t="s">
        <v>688</v>
      </c>
      <c r="G912" t="s">
        <v>15</v>
      </c>
      <c r="M912" s="28" t="s">
        <v>613</v>
      </c>
      <c r="N912" t="s">
        <v>313</v>
      </c>
    </row>
    <row r="913" spans="1:14" hidden="1" x14ac:dyDescent="0.25">
      <c r="A913" t="s">
        <v>10111</v>
      </c>
      <c r="B913" t="s">
        <v>5782</v>
      </c>
      <c r="C913" t="s">
        <v>2184</v>
      </c>
      <c r="D913" t="s">
        <v>5783</v>
      </c>
      <c r="E913" s="28" t="s">
        <v>890</v>
      </c>
      <c r="F913" t="s">
        <v>702</v>
      </c>
      <c r="G913" t="s">
        <v>15</v>
      </c>
      <c r="M913" s="28" t="s">
        <v>613</v>
      </c>
      <c r="N913" t="s">
        <v>313</v>
      </c>
    </row>
    <row r="914" spans="1:14" hidden="1" x14ac:dyDescent="0.25">
      <c r="A914" t="s">
        <v>14275</v>
      </c>
      <c r="B914" t="s">
        <v>14276</v>
      </c>
      <c r="C914" t="s">
        <v>11602</v>
      </c>
      <c r="D914" t="s">
        <v>13687</v>
      </c>
      <c r="E914" s="28" t="s">
        <v>896</v>
      </c>
      <c r="F914" t="s">
        <v>10904</v>
      </c>
      <c r="G914" t="s">
        <v>81</v>
      </c>
      <c r="M914" s="28" t="s">
        <v>530</v>
      </c>
      <c r="N914" t="s">
        <v>313</v>
      </c>
    </row>
    <row r="915" spans="1:14" hidden="1" x14ac:dyDescent="0.25">
      <c r="A915" t="s">
        <v>11590</v>
      </c>
      <c r="B915" t="s">
        <v>11591</v>
      </c>
      <c r="C915" t="s">
        <v>11592</v>
      </c>
      <c r="D915" t="s">
        <v>11593</v>
      </c>
      <c r="E915" s="28" t="s">
        <v>890</v>
      </c>
      <c r="F915" t="s">
        <v>324</v>
      </c>
      <c r="G915" t="s">
        <v>38</v>
      </c>
      <c r="M915" s="28"/>
    </row>
    <row r="916" spans="1:14" hidden="1" x14ac:dyDescent="0.25">
      <c r="A916" t="s">
        <v>12505</v>
      </c>
      <c r="B916" t="s">
        <v>12506</v>
      </c>
      <c r="C916" t="s">
        <v>3134</v>
      </c>
      <c r="D916" t="s">
        <v>12507</v>
      </c>
      <c r="E916" s="28" t="s">
        <v>890</v>
      </c>
      <c r="F916" t="s">
        <v>891</v>
      </c>
      <c r="G916" t="s">
        <v>88</v>
      </c>
      <c r="M916" s="28" t="s">
        <v>549</v>
      </c>
      <c r="N916" t="s">
        <v>313</v>
      </c>
    </row>
    <row r="917" spans="1:14" hidden="1" x14ac:dyDescent="0.25">
      <c r="A917" t="s">
        <v>10110</v>
      </c>
      <c r="B917" t="s">
        <v>5780</v>
      </c>
      <c r="C917" t="s">
        <v>1086</v>
      </c>
      <c r="D917" t="s">
        <v>5781</v>
      </c>
      <c r="E917" s="28" t="s">
        <v>890</v>
      </c>
      <c r="F917" t="s">
        <v>4586</v>
      </c>
      <c r="G917" t="s">
        <v>15</v>
      </c>
      <c r="M917" s="28" t="s">
        <v>613</v>
      </c>
      <c r="N917" t="s">
        <v>313</v>
      </c>
    </row>
    <row r="918" spans="1:14" hidden="1" x14ac:dyDescent="0.25">
      <c r="A918" t="s">
        <v>10109</v>
      </c>
      <c r="B918" t="s">
        <v>5778</v>
      </c>
      <c r="C918" t="s">
        <v>909</v>
      </c>
      <c r="D918" t="s">
        <v>5779</v>
      </c>
      <c r="E918" s="28" t="s">
        <v>890</v>
      </c>
      <c r="F918" t="s">
        <v>659</v>
      </c>
      <c r="G918" t="s">
        <v>15</v>
      </c>
      <c r="M918" s="28" t="s">
        <v>613</v>
      </c>
      <c r="N918" t="s">
        <v>313</v>
      </c>
    </row>
    <row r="919" spans="1:14" hidden="1" x14ac:dyDescent="0.25">
      <c r="A919" t="s">
        <v>10108</v>
      </c>
      <c r="B919" t="s">
        <v>5776</v>
      </c>
      <c r="C919" t="s">
        <v>4557</v>
      </c>
      <c r="D919" t="s">
        <v>5777</v>
      </c>
      <c r="E919" s="28" t="s">
        <v>896</v>
      </c>
      <c r="F919" t="s">
        <v>746</v>
      </c>
      <c r="G919" t="s">
        <v>15</v>
      </c>
      <c r="M919" s="28" t="s">
        <v>613</v>
      </c>
      <c r="N919" t="s">
        <v>313</v>
      </c>
    </row>
    <row r="920" spans="1:14" hidden="1" x14ac:dyDescent="0.25">
      <c r="A920" t="s">
        <v>8868</v>
      </c>
      <c r="B920" t="s">
        <v>3235</v>
      </c>
      <c r="C920" t="s">
        <v>3236</v>
      </c>
      <c r="D920" t="s">
        <v>3237</v>
      </c>
      <c r="E920" s="28" t="s">
        <v>890</v>
      </c>
      <c r="F920" t="s">
        <v>891</v>
      </c>
      <c r="G920" t="s">
        <v>88</v>
      </c>
      <c r="M920" s="28" t="s">
        <v>549</v>
      </c>
      <c r="N920" t="s">
        <v>313</v>
      </c>
    </row>
    <row r="921" spans="1:14" hidden="1" x14ac:dyDescent="0.25">
      <c r="A921" t="s">
        <v>11835</v>
      </c>
      <c r="B921" t="s">
        <v>11836</v>
      </c>
      <c r="C921" t="s">
        <v>3036</v>
      </c>
      <c r="D921" t="s">
        <v>11837</v>
      </c>
      <c r="E921" s="28" t="s">
        <v>890</v>
      </c>
      <c r="F921" t="s">
        <v>564</v>
      </c>
      <c r="G921" t="s">
        <v>88</v>
      </c>
      <c r="M921" s="28" t="s">
        <v>549</v>
      </c>
      <c r="N921" t="s">
        <v>313</v>
      </c>
    </row>
    <row r="922" spans="1:14" hidden="1" x14ac:dyDescent="0.25">
      <c r="A922" t="s">
        <v>8185</v>
      </c>
      <c r="B922" t="s">
        <v>1584</v>
      </c>
      <c r="C922" t="s">
        <v>1545</v>
      </c>
      <c r="D922" t="s">
        <v>1585</v>
      </c>
      <c r="E922" s="28" t="s">
        <v>1023</v>
      </c>
      <c r="F922" t="s">
        <v>324</v>
      </c>
      <c r="G922" t="s">
        <v>38</v>
      </c>
      <c r="M922" s="28"/>
    </row>
    <row r="923" spans="1:14" hidden="1" x14ac:dyDescent="0.25">
      <c r="A923" t="s">
        <v>8869</v>
      </c>
      <c r="B923" t="s">
        <v>3238</v>
      </c>
      <c r="C923" t="s">
        <v>3239</v>
      </c>
      <c r="D923" t="s">
        <v>3240</v>
      </c>
      <c r="E923" s="28" t="s">
        <v>890</v>
      </c>
      <c r="F923" t="s">
        <v>891</v>
      </c>
      <c r="G923" t="s">
        <v>88</v>
      </c>
      <c r="M923" s="28" t="s">
        <v>549</v>
      </c>
      <c r="N923" t="s">
        <v>313</v>
      </c>
    </row>
    <row r="924" spans="1:14" hidden="1" x14ac:dyDescent="0.25">
      <c r="A924" t="s">
        <v>8196</v>
      </c>
      <c r="B924" t="s">
        <v>1541</v>
      </c>
      <c r="C924" t="s">
        <v>1609</v>
      </c>
      <c r="D924" t="s">
        <v>1610</v>
      </c>
      <c r="E924" s="28" t="s">
        <v>1177</v>
      </c>
      <c r="F924" t="s">
        <v>324</v>
      </c>
      <c r="G924" t="s">
        <v>38</v>
      </c>
      <c r="M924" s="28"/>
    </row>
    <row r="925" spans="1:14" hidden="1" x14ac:dyDescent="0.25">
      <c r="A925" t="s">
        <v>8167</v>
      </c>
      <c r="B925" t="s">
        <v>1541</v>
      </c>
      <c r="C925" t="s">
        <v>1542</v>
      </c>
      <c r="D925" t="s">
        <v>1543</v>
      </c>
      <c r="E925" s="28" t="s">
        <v>930</v>
      </c>
      <c r="F925" t="s">
        <v>324</v>
      </c>
      <c r="G925" t="s">
        <v>38</v>
      </c>
      <c r="M925" s="28"/>
    </row>
    <row r="926" spans="1:14" hidden="1" x14ac:dyDescent="0.25">
      <c r="A926" t="s">
        <v>8172</v>
      </c>
      <c r="B926" t="s">
        <v>1541</v>
      </c>
      <c r="C926" t="s">
        <v>1444</v>
      </c>
      <c r="D926" t="s">
        <v>1555</v>
      </c>
      <c r="E926" s="28" t="s">
        <v>890</v>
      </c>
      <c r="F926" t="s">
        <v>324</v>
      </c>
      <c r="G926" t="s">
        <v>38</v>
      </c>
      <c r="M926" s="28"/>
    </row>
    <row r="927" spans="1:14" hidden="1" x14ac:dyDescent="0.25">
      <c r="A927" t="s">
        <v>8086</v>
      </c>
      <c r="B927" t="s">
        <v>1333</v>
      </c>
      <c r="C927" t="s">
        <v>1334</v>
      </c>
      <c r="D927" t="s">
        <v>1335</v>
      </c>
      <c r="E927" s="28" t="s">
        <v>890</v>
      </c>
      <c r="F927" t="s">
        <v>324</v>
      </c>
      <c r="G927" t="s">
        <v>38</v>
      </c>
      <c r="M927" s="28"/>
    </row>
    <row r="928" spans="1:14" hidden="1" x14ac:dyDescent="0.25">
      <c r="A928" t="s">
        <v>8087</v>
      </c>
      <c r="B928" t="s">
        <v>1333</v>
      </c>
      <c r="C928" t="s">
        <v>1315</v>
      </c>
      <c r="D928" t="s">
        <v>1336</v>
      </c>
      <c r="E928" s="28" t="s">
        <v>890</v>
      </c>
      <c r="F928" t="s">
        <v>69</v>
      </c>
      <c r="G928" t="s">
        <v>38</v>
      </c>
      <c r="M928" s="28"/>
    </row>
    <row r="929" spans="1:14" hidden="1" x14ac:dyDescent="0.25">
      <c r="A929" t="s">
        <v>10401</v>
      </c>
      <c r="B929" t="s">
        <v>6377</v>
      </c>
      <c r="C929" t="s">
        <v>6378</v>
      </c>
      <c r="D929" t="s">
        <v>6379</v>
      </c>
      <c r="E929" s="28" t="s">
        <v>896</v>
      </c>
      <c r="F929" t="s">
        <v>6365</v>
      </c>
      <c r="G929" t="s">
        <v>119</v>
      </c>
      <c r="M929" s="28"/>
    </row>
    <row r="930" spans="1:14" hidden="1" x14ac:dyDescent="0.25">
      <c r="A930" t="s">
        <v>10133</v>
      </c>
      <c r="B930" t="s">
        <v>5826</v>
      </c>
      <c r="C930" t="s">
        <v>4553</v>
      </c>
      <c r="D930" t="s">
        <v>5827</v>
      </c>
      <c r="E930" s="28" t="s">
        <v>896</v>
      </c>
      <c r="F930" t="s">
        <v>718</v>
      </c>
      <c r="G930" t="s">
        <v>15</v>
      </c>
      <c r="M930" s="28" t="s">
        <v>613</v>
      </c>
      <c r="N930" t="s">
        <v>313</v>
      </c>
    </row>
    <row r="931" spans="1:14" hidden="1" x14ac:dyDescent="0.25">
      <c r="A931" t="s">
        <v>8870</v>
      </c>
      <c r="B931" t="s">
        <v>3241</v>
      </c>
      <c r="C931" t="s">
        <v>3034</v>
      </c>
      <c r="D931" t="s">
        <v>3242</v>
      </c>
      <c r="E931" s="28" t="s">
        <v>896</v>
      </c>
      <c r="F931" t="s">
        <v>891</v>
      </c>
      <c r="G931" t="s">
        <v>88</v>
      </c>
      <c r="M931" s="28" t="s">
        <v>549</v>
      </c>
      <c r="N931" t="s">
        <v>313</v>
      </c>
    </row>
    <row r="932" spans="1:14" hidden="1" x14ac:dyDescent="0.25">
      <c r="A932" t="s">
        <v>8871</v>
      </c>
      <c r="B932" t="s">
        <v>3243</v>
      </c>
      <c r="C932" t="s">
        <v>3244</v>
      </c>
      <c r="D932" t="s">
        <v>3245</v>
      </c>
      <c r="E932" s="28" t="s">
        <v>896</v>
      </c>
      <c r="F932" t="s">
        <v>571</v>
      </c>
      <c r="G932" t="s">
        <v>88</v>
      </c>
      <c r="M932" s="28" t="s">
        <v>549</v>
      </c>
      <c r="N932" t="s">
        <v>313</v>
      </c>
    </row>
    <row r="933" spans="1:14" hidden="1" x14ac:dyDescent="0.25">
      <c r="A933" t="s">
        <v>14604</v>
      </c>
      <c r="B933" t="s">
        <v>1337</v>
      </c>
      <c r="C933" t="s">
        <v>14623</v>
      </c>
      <c r="D933" t="s">
        <v>14624</v>
      </c>
      <c r="E933" s="28" t="s">
        <v>1023</v>
      </c>
      <c r="F933" t="s">
        <v>328</v>
      </c>
      <c r="G933" t="s">
        <v>38</v>
      </c>
      <c r="M933" s="28"/>
    </row>
    <row r="934" spans="1:14" hidden="1" x14ac:dyDescent="0.25">
      <c r="A934" t="s">
        <v>12366</v>
      </c>
      <c r="B934" t="s">
        <v>1337</v>
      </c>
      <c r="C934" t="s">
        <v>12367</v>
      </c>
      <c r="D934" t="s">
        <v>12368</v>
      </c>
      <c r="E934" s="28" t="s">
        <v>890</v>
      </c>
      <c r="F934" t="s">
        <v>328</v>
      </c>
      <c r="G934" t="s">
        <v>38</v>
      </c>
      <c r="M934" s="28"/>
    </row>
    <row r="935" spans="1:14" hidden="1" x14ac:dyDescent="0.25">
      <c r="A935" t="s">
        <v>8146</v>
      </c>
      <c r="B935" t="s">
        <v>1337</v>
      </c>
      <c r="C935" t="s">
        <v>1487</v>
      </c>
      <c r="D935" t="s">
        <v>1488</v>
      </c>
      <c r="E935" s="28" t="s">
        <v>930</v>
      </c>
      <c r="F935" t="s">
        <v>328</v>
      </c>
      <c r="G935" t="s">
        <v>38</v>
      </c>
      <c r="M935" s="28"/>
    </row>
    <row r="936" spans="1:14" hidden="1" x14ac:dyDescent="0.25">
      <c r="A936" t="s">
        <v>8088</v>
      </c>
      <c r="B936" t="s">
        <v>1337</v>
      </c>
      <c r="C936" t="s">
        <v>1338</v>
      </c>
      <c r="D936" t="s">
        <v>1339</v>
      </c>
      <c r="E936" s="28" t="s">
        <v>890</v>
      </c>
      <c r="F936" t="s">
        <v>328</v>
      </c>
      <c r="G936" t="s">
        <v>38</v>
      </c>
      <c r="M936" s="28"/>
    </row>
    <row r="937" spans="1:14" hidden="1" x14ac:dyDescent="0.25">
      <c r="A937" t="s">
        <v>14625</v>
      </c>
      <c r="B937" t="s">
        <v>14626</v>
      </c>
      <c r="C937" t="s">
        <v>4821</v>
      </c>
      <c r="D937" t="s">
        <v>14627</v>
      </c>
      <c r="E937" s="28" t="s">
        <v>896</v>
      </c>
      <c r="F937" t="s">
        <v>14614</v>
      </c>
      <c r="G937" t="s">
        <v>131</v>
      </c>
      <c r="M937" s="28" t="s">
        <v>14242</v>
      </c>
    </row>
    <row r="938" spans="1:14" hidden="1" x14ac:dyDescent="0.25">
      <c r="A938" t="s">
        <v>8872</v>
      </c>
      <c r="B938" t="s">
        <v>3246</v>
      </c>
      <c r="C938" t="s">
        <v>3034</v>
      </c>
      <c r="D938" t="s">
        <v>3247</v>
      </c>
      <c r="E938" s="28" t="s">
        <v>930</v>
      </c>
      <c r="F938" t="s">
        <v>891</v>
      </c>
      <c r="G938" t="s">
        <v>88</v>
      </c>
      <c r="M938" s="28" t="s">
        <v>549</v>
      </c>
      <c r="N938" t="s">
        <v>313</v>
      </c>
    </row>
    <row r="939" spans="1:14" hidden="1" x14ac:dyDescent="0.25">
      <c r="A939" t="s">
        <v>8007</v>
      </c>
      <c r="B939" t="s">
        <v>1066</v>
      </c>
      <c r="C939" t="s">
        <v>1090</v>
      </c>
      <c r="D939" t="s">
        <v>1091</v>
      </c>
      <c r="E939" s="28" t="s">
        <v>890</v>
      </c>
      <c r="F939" t="s">
        <v>283</v>
      </c>
      <c r="G939" t="s">
        <v>31</v>
      </c>
      <c r="M939" s="28" t="s">
        <v>278</v>
      </c>
      <c r="N939" t="s">
        <v>279</v>
      </c>
    </row>
    <row r="940" spans="1:14" hidden="1" x14ac:dyDescent="0.25">
      <c r="A940" t="s">
        <v>8006</v>
      </c>
      <c r="B940" t="s">
        <v>1066</v>
      </c>
      <c r="C940" t="s">
        <v>1088</v>
      </c>
      <c r="D940" t="s">
        <v>1089</v>
      </c>
      <c r="E940" s="28" t="s">
        <v>890</v>
      </c>
      <c r="F940" t="s">
        <v>283</v>
      </c>
      <c r="G940" t="s">
        <v>31</v>
      </c>
      <c r="M940" s="28" t="s">
        <v>278</v>
      </c>
      <c r="N940" t="s">
        <v>279</v>
      </c>
    </row>
    <row r="941" spans="1:14" hidden="1" x14ac:dyDescent="0.25">
      <c r="A941" t="s">
        <v>10914</v>
      </c>
      <c r="B941" t="s">
        <v>1066</v>
      </c>
      <c r="C941" t="s">
        <v>1094</v>
      </c>
      <c r="D941" t="s">
        <v>1068</v>
      </c>
      <c r="E941" s="28" t="s">
        <v>896</v>
      </c>
      <c r="F941" t="s">
        <v>283</v>
      </c>
      <c r="G941" t="s">
        <v>31</v>
      </c>
      <c r="M941" s="28" t="s">
        <v>278</v>
      </c>
      <c r="N941" t="s">
        <v>279</v>
      </c>
    </row>
    <row r="942" spans="1:14" hidden="1" x14ac:dyDescent="0.25">
      <c r="A942" t="s">
        <v>8371</v>
      </c>
      <c r="B942" t="s">
        <v>2055</v>
      </c>
      <c r="C942" t="s">
        <v>2051</v>
      </c>
      <c r="D942" t="s">
        <v>2056</v>
      </c>
      <c r="E942" s="28" t="s">
        <v>890</v>
      </c>
      <c r="F942" t="s">
        <v>395</v>
      </c>
      <c r="G942" t="s">
        <v>47</v>
      </c>
      <c r="M942" s="28" t="s">
        <v>13542</v>
      </c>
    </row>
    <row r="943" spans="1:14" hidden="1" x14ac:dyDescent="0.25">
      <c r="A943" t="s">
        <v>8089</v>
      </c>
      <c r="B943" t="s">
        <v>1340</v>
      </c>
      <c r="C943" t="s">
        <v>1309</v>
      </c>
      <c r="D943" t="s">
        <v>1341</v>
      </c>
      <c r="E943" s="28" t="s">
        <v>890</v>
      </c>
      <c r="F943" t="s">
        <v>201</v>
      </c>
      <c r="G943" t="s">
        <v>38</v>
      </c>
      <c r="M943" s="28"/>
    </row>
    <row r="944" spans="1:14" hidden="1" x14ac:dyDescent="0.25">
      <c r="A944" t="s">
        <v>14477</v>
      </c>
      <c r="B944" t="s">
        <v>14478</v>
      </c>
      <c r="C944" t="s">
        <v>14479</v>
      </c>
      <c r="D944" t="s">
        <v>14480</v>
      </c>
      <c r="E944" s="28" t="s">
        <v>1023</v>
      </c>
      <c r="F944" t="s">
        <v>78</v>
      </c>
      <c r="G944" t="s">
        <v>38</v>
      </c>
      <c r="M944" s="28"/>
    </row>
    <row r="945" spans="1:14" hidden="1" x14ac:dyDescent="0.25">
      <c r="A945" t="s">
        <v>13688</v>
      </c>
      <c r="B945" t="s">
        <v>13689</v>
      </c>
      <c r="C945" t="s">
        <v>4753</v>
      </c>
      <c r="D945" t="s">
        <v>13690</v>
      </c>
      <c r="E945" s="28" t="s">
        <v>890</v>
      </c>
      <c r="F945" t="s">
        <v>662</v>
      </c>
      <c r="G945" t="s">
        <v>15</v>
      </c>
      <c r="M945" s="28" t="s">
        <v>613</v>
      </c>
      <c r="N945" t="s">
        <v>313</v>
      </c>
    </row>
    <row r="946" spans="1:14" hidden="1" x14ac:dyDescent="0.25">
      <c r="A946" t="s">
        <v>10107</v>
      </c>
      <c r="B946" t="s">
        <v>5774</v>
      </c>
      <c r="C946" t="s">
        <v>1086</v>
      </c>
      <c r="D946" t="s">
        <v>5775</v>
      </c>
      <c r="E946" s="28" t="s">
        <v>896</v>
      </c>
      <c r="F946" t="s">
        <v>651</v>
      </c>
      <c r="G946" t="s">
        <v>15</v>
      </c>
      <c r="M946" s="28" t="s">
        <v>613</v>
      </c>
      <c r="N946" t="s">
        <v>313</v>
      </c>
    </row>
    <row r="947" spans="1:14" hidden="1" x14ac:dyDescent="0.25">
      <c r="A947" t="s">
        <v>10106</v>
      </c>
      <c r="B947" t="s">
        <v>5772</v>
      </c>
      <c r="C947" t="s">
        <v>4845</v>
      </c>
      <c r="D947" t="s">
        <v>5773</v>
      </c>
      <c r="E947" s="28" t="s">
        <v>896</v>
      </c>
      <c r="F947" t="s">
        <v>730</v>
      </c>
      <c r="G947" t="s">
        <v>15</v>
      </c>
      <c r="M947" s="28" t="s">
        <v>613</v>
      </c>
      <c r="N947" t="s">
        <v>313</v>
      </c>
    </row>
    <row r="948" spans="1:14" hidden="1" x14ac:dyDescent="0.25">
      <c r="A948" t="s">
        <v>14628</v>
      </c>
      <c r="B948" t="s">
        <v>12748</v>
      </c>
      <c r="C948" t="s">
        <v>14629</v>
      </c>
      <c r="D948" t="s">
        <v>14630</v>
      </c>
      <c r="E948" s="28" t="s">
        <v>896</v>
      </c>
      <c r="F948" t="s">
        <v>241</v>
      </c>
      <c r="G948" t="s">
        <v>15</v>
      </c>
      <c r="M948" s="28" t="s">
        <v>613</v>
      </c>
      <c r="N948" t="s">
        <v>313</v>
      </c>
    </row>
    <row r="949" spans="1:14" hidden="1" x14ac:dyDescent="0.25">
      <c r="A949" t="s">
        <v>12747</v>
      </c>
      <c r="B949" t="s">
        <v>12748</v>
      </c>
      <c r="C949" t="s">
        <v>4535</v>
      </c>
      <c r="D949" t="s">
        <v>12749</v>
      </c>
      <c r="E949" s="28" t="s">
        <v>890</v>
      </c>
      <c r="F949" t="s">
        <v>4837</v>
      </c>
      <c r="G949" t="s">
        <v>15</v>
      </c>
      <c r="M949" s="28" t="s">
        <v>613</v>
      </c>
      <c r="N949" t="s">
        <v>313</v>
      </c>
    </row>
    <row r="950" spans="1:14" hidden="1" x14ac:dyDescent="0.25">
      <c r="A950" t="s">
        <v>10104</v>
      </c>
      <c r="B950" t="s">
        <v>5769</v>
      </c>
      <c r="C950" t="s">
        <v>4764</v>
      </c>
      <c r="D950" t="s">
        <v>5770</v>
      </c>
      <c r="E950" s="28" t="s">
        <v>896</v>
      </c>
      <c r="F950" t="s">
        <v>615</v>
      </c>
      <c r="G950" t="s">
        <v>15</v>
      </c>
      <c r="M950" s="28" t="s">
        <v>613</v>
      </c>
      <c r="N950" t="s">
        <v>313</v>
      </c>
    </row>
    <row r="951" spans="1:14" hidden="1" x14ac:dyDescent="0.25">
      <c r="A951" t="s">
        <v>10105</v>
      </c>
      <c r="B951" t="s">
        <v>5769</v>
      </c>
      <c r="C951" t="s">
        <v>2276</v>
      </c>
      <c r="D951" t="s">
        <v>5771</v>
      </c>
      <c r="E951" s="28" t="s">
        <v>890</v>
      </c>
      <c r="F951" t="s">
        <v>615</v>
      </c>
      <c r="G951" t="s">
        <v>15</v>
      </c>
      <c r="M951" s="28" t="s">
        <v>613</v>
      </c>
      <c r="N951" t="s">
        <v>313</v>
      </c>
    </row>
    <row r="952" spans="1:14" hidden="1" x14ac:dyDescent="0.25">
      <c r="A952" t="s">
        <v>7940</v>
      </c>
      <c r="B952" t="s">
        <v>898</v>
      </c>
      <c r="C952" t="s">
        <v>899</v>
      </c>
      <c r="D952" t="s">
        <v>900</v>
      </c>
      <c r="E952" s="28" t="s">
        <v>896</v>
      </c>
      <c r="F952" t="s">
        <v>897</v>
      </c>
      <c r="G952" t="s">
        <v>28</v>
      </c>
      <c r="M952" s="28" t="s">
        <v>14241</v>
      </c>
      <c r="N952" t="s">
        <v>14206</v>
      </c>
    </row>
    <row r="953" spans="1:14" hidden="1" x14ac:dyDescent="0.25">
      <c r="A953" t="s">
        <v>7941</v>
      </c>
      <c r="B953" t="s">
        <v>898</v>
      </c>
      <c r="C953" t="s">
        <v>901</v>
      </c>
      <c r="D953" t="s">
        <v>902</v>
      </c>
      <c r="E953" s="28" t="s">
        <v>890</v>
      </c>
      <c r="F953" t="s">
        <v>897</v>
      </c>
      <c r="G953" t="s">
        <v>28</v>
      </c>
      <c r="M953" s="28" t="s">
        <v>14241</v>
      </c>
      <c r="N953" t="s">
        <v>14206</v>
      </c>
    </row>
    <row r="954" spans="1:14" hidden="1" x14ac:dyDescent="0.25">
      <c r="A954" t="s">
        <v>7942</v>
      </c>
      <c r="B954" t="s">
        <v>898</v>
      </c>
      <c r="C954" t="s">
        <v>903</v>
      </c>
      <c r="D954" t="s">
        <v>904</v>
      </c>
      <c r="E954" s="28" t="s">
        <v>890</v>
      </c>
      <c r="F954" t="s">
        <v>897</v>
      </c>
      <c r="G954" t="s">
        <v>28</v>
      </c>
      <c r="M954" s="28" t="s">
        <v>14241</v>
      </c>
      <c r="N954" t="s">
        <v>14206</v>
      </c>
    </row>
    <row r="955" spans="1:14" hidden="1" x14ac:dyDescent="0.25">
      <c r="A955" t="s">
        <v>10103</v>
      </c>
      <c r="B955" t="s">
        <v>5766</v>
      </c>
      <c r="C955" t="s">
        <v>5767</v>
      </c>
      <c r="D955" t="s">
        <v>5768</v>
      </c>
      <c r="E955" s="28" t="s">
        <v>896</v>
      </c>
      <c r="F955" t="s">
        <v>617</v>
      </c>
      <c r="G955" t="s">
        <v>15</v>
      </c>
      <c r="M955" s="28" t="s">
        <v>613</v>
      </c>
      <c r="N955" t="s">
        <v>313</v>
      </c>
    </row>
    <row r="956" spans="1:14" hidden="1" x14ac:dyDescent="0.25">
      <c r="A956" t="s">
        <v>13352</v>
      </c>
      <c r="B956" t="s">
        <v>13353</v>
      </c>
      <c r="C956" t="s">
        <v>4936</v>
      </c>
      <c r="D956" t="s">
        <v>13354</v>
      </c>
      <c r="E956" s="28" t="s">
        <v>896</v>
      </c>
      <c r="F956" t="s">
        <v>13355</v>
      </c>
      <c r="G956" t="s">
        <v>15</v>
      </c>
      <c r="M956" s="28" t="s">
        <v>613</v>
      </c>
      <c r="N956" t="s">
        <v>313</v>
      </c>
    </row>
    <row r="957" spans="1:14" hidden="1" x14ac:dyDescent="0.25">
      <c r="A957" t="s">
        <v>10102</v>
      </c>
      <c r="B957" t="s">
        <v>5764</v>
      </c>
      <c r="C957" t="s">
        <v>4600</v>
      </c>
      <c r="D957" t="s">
        <v>5765</v>
      </c>
      <c r="E957" s="28" t="s">
        <v>896</v>
      </c>
      <c r="F957" t="s">
        <v>2850</v>
      </c>
      <c r="G957" t="s">
        <v>15</v>
      </c>
      <c r="M957" s="28" t="s">
        <v>613</v>
      </c>
      <c r="N957" t="s">
        <v>313</v>
      </c>
    </row>
    <row r="958" spans="1:14" hidden="1" x14ac:dyDescent="0.25">
      <c r="A958" t="s">
        <v>13691</v>
      </c>
      <c r="B958" t="s">
        <v>5764</v>
      </c>
      <c r="C958" t="s">
        <v>4603</v>
      </c>
      <c r="D958" t="s">
        <v>13692</v>
      </c>
      <c r="E958" s="28" t="s">
        <v>890</v>
      </c>
      <c r="F958" t="s">
        <v>13217</v>
      </c>
      <c r="G958" t="s">
        <v>15</v>
      </c>
      <c r="M958" s="28" t="s">
        <v>613</v>
      </c>
      <c r="N958" t="s">
        <v>313</v>
      </c>
    </row>
    <row r="959" spans="1:14" hidden="1" x14ac:dyDescent="0.25">
      <c r="A959" t="s">
        <v>10101</v>
      </c>
      <c r="B959" t="s">
        <v>5761</v>
      </c>
      <c r="C959" t="s">
        <v>4553</v>
      </c>
      <c r="D959" t="s">
        <v>5763</v>
      </c>
      <c r="E959" s="28" t="s">
        <v>1177</v>
      </c>
      <c r="F959" t="s">
        <v>4601</v>
      </c>
      <c r="G959" t="s">
        <v>15</v>
      </c>
      <c r="M959" s="28" t="s">
        <v>613</v>
      </c>
      <c r="N959" t="s">
        <v>313</v>
      </c>
    </row>
    <row r="960" spans="1:14" hidden="1" x14ac:dyDescent="0.25">
      <c r="A960" t="s">
        <v>10100</v>
      </c>
      <c r="B960" t="s">
        <v>5761</v>
      </c>
      <c r="C960" t="s">
        <v>2582</v>
      </c>
      <c r="D960" t="s">
        <v>5762</v>
      </c>
      <c r="E960" s="28" t="s">
        <v>896</v>
      </c>
      <c r="F960" t="s">
        <v>4601</v>
      </c>
      <c r="G960" t="s">
        <v>15</v>
      </c>
      <c r="M960" s="28" t="s">
        <v>613</v>
      </c>
      <c r="N960" t="s">
        <v>313</v>
      </c>
    </row>
    <row r="961" spans="1:14" hidden="1" x14ac:dyDescent="0.25">
      <c r="A961" t="s">
        <v>7983</v>
      </c>
      <c r="B961" t="s">
        <v>1015</v>
      </c>
      <c r="C961" t="s">
        <v>1016</v>
      </c>
      <c r="D961" t="s">
        <v>1017</v>
      </c>
      <c r="E961" s="28" t="s">
        <v>890</v>
      </c>
      <c r="F961" t="s">
        <v>1018</v>
      </c>
      <c r="G961" t="s">
        <v>28</v>
      </c>
      <c r="M961" s="28" t="s">
        <v>14241</v>
      </c>
      <c r="N961" t="s">
        <v>14206</v>
      </c>
    </row>
    <row r="962" spans="1:14" hidden="1" x14ac:dyDescent="0.25">
      <c r="A962" t="s">
        <v>8873</v>
      </c>
      <c r="B962" t="s">
        <v>3248</v>
      </c>
      <c r="C962" t="s">
        <v>3249</v>
      </c>
      <c r="D962" t="s">
        <v>3250</v>
      </c>
      <c r="E962" s="28" t="s">
        <v>1023</v>
      </c>
      <c r="F962" t="s">
        <v>597</v>
      </c>
      <c r="G962" t="s">
        <v>88</v>
      </c>
      <c r="M962" s="28" t="s">
        <v>549</v>
      </c>
      <c r="N962" t="s">
        <v>313</v>
      </c>
    </row>
    <row r="963" spans="1:14" hidden="1" x14ac:dyDescent="0.25">
      <c r="A963" t="s">
        <v>8874</v>
      </c>
      <c r="B963" t="s">
        <v>3248</v>
      </c>
      <c r="C963" t="s">
        <v>2619</v>
      </c>
      <c r="D963" t="s">
        <v>3251</v>
      </c>
      <c r="E963" s="28" t="s">
        <v>890</v>
      </c>
      <c r="F963" t="s">
        <v>197</v>
      </c>
      <c r="G963" t="s">
        <v>88</v>
      </c>
      <c r="M963" s="28" t="s">
        <v>549</v>
      </c>
      <c r="N963" t="s">
        <v>313</v>
      </c>
    </row>
    <row r="964" spans="1:14" hidden="1" x14ac:dyDescent="0.25">
      <c r="A964" t="s">
        <v>8875</v>
      </c>
      <c r="B964" t="s">
        <v>3248</v>
      </c>
      <c r="C964" t="s">
        <v>2169</v>
      </c>
      <c r="D964" t="s">
        <v>3252</v>
      </c>
      <c r="E964" s="28" t="s">
        <v>1023</v>
      </c>
      <c r="F964" t="s">
        <v>597</v>
      </c>
      <c r="G964" t="s">
        <v>88</v>
      </c>
      <c r="M964" s="28" t="s">
        <v>549</v>
      </c>
      <c r="N964" t="s">
        <v>313</v>
      </c>
    </row>
    <row r="965" spans="1:14" hidden="1" x14ac:dyDescent="0.25">
      <c r="A965" t="s">
        <v>10099</v>
      </c>
      <c r="B965" t="s">
        <v>5759</v>
      </c>
      <c r="C965" t="s">
        <v>909</v>
      </c>
      <c r="D965" t="s">
        <v>5760</v>
      </c>
      <c r="E965" s="28" t="s">
        <v>896</v>
      </c>
      <c r="F965" t="s">
        <v>4837</v>
      </c>
      <c r="G965" t="s">
        <v>15</v>
      </c>
      <c r="M965" s="28" t="s">
        <v>613</v>
      </c>
      <c r="N965" t="s">
        <v>313</v>
      </c>
    </row>
    <row r="966" spans="1:14" hidden="1" x14ac:dyDescent="0.25">
      <c r="A966" t="s">
        <v>10098</v>
      </c>
      <c r="B966" t="s">
        <v>5757</v>
      </c>
      <c r="C966" t="s">
        <v>4792</v>
      </c>
      <c r="D966" t="s">
        <v>5758</v>
      </c>
      <c r="E966" s="28" t="s">
        <v>896</v>
      </c>
      <c r="F966" t="s">
        <v>231</v>
      </c>
      <c r="G966" t="s">
        <v>15</v>
      </c>
      <c r="M966" s="28" t="s">
        <v>613</v>
      </c>
      <c r="N966" t="s">
        <v>313</v>
      </c>
    </row>
    <row r="967" spans="1:14" hidden="1" x14ac:dyDescent="0.25">
      <c r="A967" t="s">
        <v>10097</v>
      </c>
      <c r="B967" t="s">
        <v>5755</v>
      </c>
      <c r="C967" t="s">
        <v>1076</v>
      </c>
      <c r="D967" t="s">
        <v>5756</v>
      </c>
      <c r="E967" s="28" t="s">
        <v>896</v>
      </c>
      <c r="F967" t="s">
        <v>730</v>
      </c>
      <c r="G967" t="s">
        <v>15</v>
      </c>
      <c r="M967" s="28" t="s">
        <v>613</v>
      </c>
      <c r="N967" t="s">
        <v>313</v>
      </c>
    </row>
    <row r="968" spans="1:14" hidden="1" x14ac:dyDescent="0.25">
      <c r="A968" t="s">
        <v>7943</v>
      </c>
      <c r="B968" t="s">
        <v>905</v>
      </c>
      <c r="C968" t="s">
        <v>906</v>
      </c>
      <c r="D968" t="s">
        <v>907</v>
      </c>
      <c r="E968" s="28" t="s">
        <v>896</v>
      </c>
      <c r="F968" t="s">
        <v>897</v>
      </c>
      <c r="G968" t="s">
        <v>28</v>
      </c>
      <c r="M968" s="28" t="s">
        <v>14241</v>
      </c>
      <c r="N968" t="s">
        <v>14206</v>
      </c>
    </row>
    <row r="969" spans="1:14" hidden="1" x14ac:dyDescent="0.25">
      <c r="A969" t="s">
        <v>10094</v>
      </c>
      <c r="B969" t="s">
        <v>5751</v>
      </c>
      <c r="C969" t="s">
        <v>4440</v>
      </c>
      <c r="D969" t="s">
        <v>5752</v>
      </c>
      <c r="E969" s="28" t="s">
        <v>896</v>
      </c>
      <c r="F969" t="s">
        <v>4635</v>
      </c>
      <c r="G969" t="s">
        <v>15</v>
      </c>
      <c r="M969" s="28" t="s">
        <v>613</v>
      </c>
      <c r="N969" t="s">
        <v>313</v>
      </c>
    </row>
    <row r="970" spans="1:14" hidden="1" x14ac:dyDescent="0.25">
      <c r="A970" t="s">
        <v>10095</v>
      </c>
      <c r="B970" t="s">
        <v>5751</v>
      </c>
      <c r="C970" t="s">
        <v>999</v>
      </c>
      <c r="D970" t="s">
        <v>5753</v>
      </c>
      <c r="E970" s="28" t="s">
        <v>930</v>
      </c>
      <c r="F970" t="s">
        <v>4837</v>
      </c>
      <c r="G970" t="s">
        <v>15</v>
      </c>
      <c r="M970" s="28" t="s">
        <v>613</v>
      </c>
      <c r="N970" t="s">
        <v>313</v>
      </c>
    </row>
    <row r="971" spans="1:14" hidden="1" x14ac:dyDescent="0.25">
      <c r="A971" t="s">
        <v>10096</v>
      </c>
      <c r="B971" t="s">
        <v>5751</v>
      </c>
      <c r="C971" t="s">
        <v>4536</v>
      </c>
      <c r="D971" t="s">
        <v>5754</v>
      </c>
      <c r="E971" s="28" t="s">
        <v>896</v>
      </c>
      <c r="F971" t="s">
        <v>4635</v>
      </c>
      <c r="G971" t="s">
        <v>15</v>
      </c>
      <c r="M971" s="28" t="s">
        <v>613</v>
      </c>
      <c r="N971" t="s">
        <v>313</v>
      </c>
    </row>
    <row r="972" spans="1:14" hidden="1" x14ac:dyDescent="0.25">
      <c r="A972" t="s">
        <v>10093</v>
      </c>
      <c r="B972" t="s">
        <v>5749</v>
      </c>
      <c r="C972" t="s">
        <v>1616</v>
      </c>
      <c r="D972" t="s">
        <v>5750</v>
      </c>
      <c r="E972" s="28" t="s">
        <v>890</v>
      </c>
      <c r="F972" t="s">
        <v>631</v>
      </c>
      <c r="G972" t="s">
        <v>15</v>
      </c>
      <c r="M972" s="28" t="s">
        <v>613</v>
      </c>
      <c r="N972" t="s">
        <v>313</v>
      </c>
    </row>
    <row r="973" spans="1:14" hidden="1" x14ac:dyDescent="0.25">
      <c r="A973" t="s">
        <v>12742</v>
      </c>
      <c r="B973" t="s">
        <v>5749</v>
      </c>
      <c r="C973" t="s">
        <v>4549</v>
      </c>
      <c r="D973" t="s">
        <v>12743</v>
      </c>
      <c r="E973" s="28"/>
      <c r="F973" t="s">
        <v>201</v>
      </c>
      <c r="G973" t="s">
        <v>15</v>
      </c>
      <c r="M973" s="28" t="s">
        <v>613</v>
      </c>
      <c r="N973" t="s">
        <v>313</v>
      </c>
    </row>
    <row r="974" spans="1:14" hidden="1" x14ac:dyDescent="0.25">
      <c r="A974" t="s">
        <v>13693</v>
      </c>
      <c r="B974" t="s">
        <v>5749</v>
      </c>
      <c r="C974" t="s">
        <v>13694</v>
      </c>
      <c r="D974" t="s">
        <v>13695</v>
      </c>
      <c r="E974" s="28" t="s">
        <v>890</v>
      </c>
      <c r="F974" t="s">
        <v>216</v>
      </c>
      <c r="G974" t="s">
        <v>15</v>
      </c>
      <c r="M974" s="28" t="s">
        <v>613</v>
      </c>
      <c r="N974" t="s">
        <v>313</v>
      </c>
    </row>
    <row r="975" spans="1:14" hidden="1" x14ac:dyDescent="0.25">
      <c r="A975" t="s">
        <v>8090</v>
      </c>
      <c r="B975" t="s">
        <v>1343</v>
      </c>
      <c r="C975" t="s">
        <v>1344</v>
      </c>
      <c r="D975" t="s">
        <v>1345</v>
      </c>
      <c r="E975" s="28" t="s">
        <v>896</v>
      </c>
      <c r="F975" t="s">
        <v>57</v>
      </c>
      <c r="G975" t="s">
        <v>38</v>
      </c>
      <c r="M975" s="28"/>
    </row>
    <row r="976" spans="1:14" hidden="1" x14ac:dyDescent="0.25">
      <c r="A976" t="s">
        <v>10092</v>
      </c>
      <c r="B976" t="s">
        <v>2198</v>
      </c>
      <c r="C976" t="s">
        <v>5742</v>
      </c>
      <c r="D976" t="s">
        <v>5748</v>
      </c>
      <c r="E976" s="28" t="s">
        <v>896</v>
      </c>
      <c r="F976" t="s">
        <v>4590</v>
      </c>
      <c r="G976" t="s">
        <v>15</v>
      </c>
      <c r="M976" s="28" t="s">
        <v>613</v>
      </c>
      <c r="N976" t="s">
        <v>313</v>
      </c>
    </row>
    <row r="977" spans="1:14" hidden="1" x14ac:dyDescent="0.25">
      <c r="A977" t="s">
        <v>8428</v>
      </c>
      <c r="B977" t="s">
        <v>2198</v>
      </c>
      <c r="C977" t="s">
        <v>909</v>
      </c>
      <c r="D977" t="s">
        <v>2199</v>
      </c>
      <c r="E977" s="28" t="s">
        <v>890</v>
      </c>
      <c r="F977" t="s">
        <v>405</v>
      </c>
      <c r="G977" t="s">
        <v>62</v>
      </c>
      <c r="M977" s="28" t="s">
        <v>14208</v>
      </c>
    </row>
    <row r="978" spans="1:14" hidden="1" x14ac:dyDescent="0.25">
      <c r="A978" t="s">
        <v>10091</v>
      </c>
      <c r="B978" t="s">
        <v>5746</v>
      </c>
      <c r="C978" t="s">
        <v>4440</v>
      </c>
      <c r="D978" t="s">
        <v>5747</v>
      </c>
      <c r="E978" s="28" t="s">
        <v>890</v>
      </c>
      <c r="F978" t="s">
        <v>718</v>
      </c>
      <c r="G978" t="s">
        <v>15</v>
      </c>
      <c r="M978" s="28" t="s">
        <v>613</v>
      </c>
      <c r="N978" t="s">
        <v>313</v>
      </c>
    </row>
    <row r="979" spans="1:14" hidden="1" x14ac:dyDescent="0.25">
      <c r="A979" t="s">
        <v>13696</v>
      </c>
      <c r="B979" t="s">
        <v>5745</v>
      </c>
      <c r="C979" t="s">
        <v>13697</v>
      </c>
      <c r="D979" t="s">
        <v>13698</v>
      </c>
      <c r="E979" s="28" t="s">
        <v>896</v>
      </c>
      <c r="F979" t="s">
        <v>750</v>
      </c>
      <c r="G979" t="s">
        <v>15</v>
      </c>
      <c r="M979" s="28" t="s">
        <v>613</v>
      </c>
      <c r="N979" t="s">
        <v>313</v>
      </c>
    </row>
    <row r="980" spans="1:14" hidden="1" x14ac:dyDescent="0.25">
      <c r="A980" t="s">
        <v>12909</v>
      </c>
      <c r="B980" t="s">
        <v>5745</v>
      </c>
      <c r="C980" t="s">
        <v>4536</v>
      </c>
      <c r="D980" t="s">
        <v>12910</v>
      </c>
      <c r="E980" s="28" t="s">
        <v>890</v>
      </c>
      <c r="F980" t="s">
        <v>4635</v>
      </c>
      <c r="G980" t="s">
        <v>15</v>
      </c>
      <c r="M980" s="28" t="s">
        <v>613</v>
      </c>
      <c r="N980" t="s">
        <v>313</v>
      </c>
    </row>
    <row r="981" spans="1:14" hidden="1" x14ac:dyDescent="0.25">
      <c r="A981" t="s">
        <v>10090</v>
      </c>
      <c r="B981" t="s">
        <v>5743</v>
      </c>
      <c r="C981" t="s">
        <v>4440</v>
      </c>
      <c r="D981" t="s">
        <v>5744</v>
      </c>
      <c r="E981" s="28" t="s">
        <v>896</v>
      </c>
      <c r="F981" t="s">
        <v>197</v>
      </c>
      <c r="G981" t="s">
        <v>15</v>
      </c>
      <c r="M981" s="28" t="s">
        <v>613</v>
      </c>
      <c r="N981" t="s">
        <v>313</v>
      </c>
    </row>
    <row r="982" spans="1:14" hidden="1" x14ac:dyDescent="0.25">
      <c r="A982" t="s">
        <v>10088</v>
      </c>
      <c r="B982" t="s">
        <v>5738</v>
      </c>
      <c r="C982" t="s">
        <v>4857</v>
      </c>
      <c r="D982" t="s">
        <v>5740</v>
      </c>
      <c r="E982" s="28" t="s">
        <v>890</v>
      </c>
      <c r="F982" t="s">
        <v>201</v>
      </c>
      <c r="G982" t="s">
        <v>15</v>
      </c>
      <c r="M982" s="28" t="s">
        <v>613</v>
      </c>
      <c r="N982" t="s">
        <v>313</v>
      </c>
    </row>
    <row r="983" spans="1:14" hidden="1" x14ac:dyDescent="0.25">
      <c r="A983" t="s">
        <v>10089</v>
      </c>
      <c r="B983" t="s">
        <v>5738</v>
      </c>
      <c r="C983" t="s">
        <v>2184</v>
      </c>
      <c r="D983" t="s">
        <v>5741</v>
      </c>
      <c r="E983" s="28" t="s">
        <v>890</v>
      </c>
      <c r="F983" t="s">
        <v>201</v>
      </c>
      <c r="G983" t="s">
        <v>15</v>
      </c>
      <c r="M983" s="28" t="s">
        <v>613</v>
      </c>
      <c r="N983" t="s">
        <v>313</v>
      </c>
    </row>
    <row r="984" spans="1:14" hidden="1" x14ac:dyDescent="0.25">
      <c r="A984" t="s">
        <v>10087</v>
      </c>
      <c r="B984" t="s">
        <v>5738</v>
      </c>
      <c r="C984" t="s">
        <v>1076</v>
      </c>
      <c r="D984" t="s">
        <v>5739</v>
      </c>
      <c r="E984" s="28" t="s">
        <v>896</v>
      </c>
      <c r="F984" t="s">
        <v>201</v>
      </c>
      <c r="G984" t="s">
        <v>15</v>
      </c>
      <c r="M984" s="28" t="s">
        <v>613</v>
      </c>
      <c r="N984" t="s">
        <v>313</v>
      </c>
    </row>
    <row r="985" spans="1:14" hidden="1" x14ac:dyDescent="0.25">
      <c r="A985" t="s">
        <v>8876</v>
      </c>
      <c r="B985" t="s">
        <v>3253</v>
      </c>
      <c r="C985" t="s">
        <v>3031</v>
      </c>
      <c r="D985" t="s">
        <v>3254</v>
      </c>
      <c r="E985" s="28" t="s">
        <v>896</v>
      </c>
      <c r="F985" t="s">
        <v>891</v>
      </c>
      <c r="G985" t="s">
        <v>88</v>
      </c>
      <c r="M985" s="28" t="s">
        <v>549</v>
      </c>
      <c r="N985" t="s">
        <v>313</v>
      </c>
    </row>
    <row r="986" spans="1:14" hidden="1" x14ac:dyDescent="0.25">
      <c r="A986" t="s">
        <v>14631</v>
      </c>
      <c r="B986" t="s">
        <v>6647</v>
      </c>
      <c r="C986" t="s">
        <v>1123</v>
      </c>
      <c r="D986" t="s">
        <v>14198</v>
      </c>
      <c r="E986" s="28" t="s">
        <v>1177</v>
      </c>
      <c r="F986" t="s">
        <v>813</v>
      </c>
      <c r="G986" t="s">
        <v>137</v>
      </c>
      <c r="M986" s="28" t="s">
        <v>805</v>
      </c>
      <c r="N986" t="s">
        <v>313</v>
      </c>
    </row>
    <row r="987" spans="1:14" hidden="1" x14ac:dyDescent="0.25">
      <c r="A987" t="s">
        <v>11957</v>
      </c>
      <c r="B987" t="s">
        <v>6647</v>
      </c>
      <c r="C987" t="s">
        <v>1673</v>
      </c>
      <c r="D987" t="s">
        <v>11958</v>
      </c>
      <c r="E987" s="28" t="s">
        <v>930</v>
      </c>
      <c r="F987" t="s">
        <v>813</v>
      </c>
      <c r="G987" t="s">
        <v>137</v>
      </c>
      <c r="M987" s="28" t="s">
        <v>805</v>
      </c>
      <c r="N987" t="s">
        <v>313</v>
      </c>
    </row>
    <row r="988" spans="1:14" hidden="1" x14ac:dyDescent="0.25">
      <c r="A988" t="s">
        <v>10491</v>
      </c>
      <c r="B988" t="s">
        <v>6647</v>
      </c>
      <c r="C988" t="s">
        <v>6648</v>
      </c>
      <c r="D988" t="s">
        <v>6649</v>
      </c>
      <c r="E988" s="28" t="s">
        <v>896</v>
      </c>
      <c r="F988" t="s">
        <v>891</v>
      </c>
      <c r="G988" t="s">
        <v>137</v>
      </c>
      <c r="M988" s="28" t="s">
        <v>805</v>
      </c>
      <c r="N988" t="s">
        <v>313</v>
      </c>
    </row>
    <row r="989" spans="1:14" hidden="1" x14ac:dyDescent="0.25">
      <c r="A989" t="s">
        <v>13284</v>
      </c>
      <c r="B989" t="s">
        <v>13285</v>
      </c>
      <c r="C989" t="s">
        <v>13286</v>
      </c>
      <c r="D989" t="s">
        <v>13287</v>
      </c>
      <c r="E989" s="28" t="s">
        <v>890</v>
      </c>
      <c r="F989" t="s">
        <v>158</v>
      </c>
      <c r="G989" t="s">
        <v>74</v>
      </c>
      <c r="M989" s="28" t="s">
        <v>507</v>
      </c>
      <c r="N989" t="s">
        <v>313</v>
      </c>
    </row>
    <row r="990" spans="1:14" hidden="1" x14ac:dyDescent="0.25">
      <c r="A990" t="s">
        <v>8091</v>
      </c>
      <c r="B990" t="s">
        <v>1346</v>
      </c>
      <c r="C990" t="s">
        <v>1347</v>
      </c>
      <c r="D990" t="s">
        <v>1348</v>
      </c>
      <c r="E990" s="28" t="s">
        <v>890</v>
      </c>
      <c r="F990" t="s">
        <v>328</v>
      </c>
      <c r="G990" t="s">
        <v>38</v>
      </c>
      <c r="M990" s="28"/>
    </row>
    <row r="991" spans="1:14" hidden="1" x14ac:dyDescent="0.25">
      <c r="A991" t="s">
        <v>8877</v>
      </c>
      <c r="B991" t="s">
        <v>3255</v>
      </c>
      <c r="C991" t="s">
        <v>3256</v>
      </c>
      <c r="D991" t="s">
        <v>3257</v>
      </c>
      <c r="E991" s="28" t="s">
        <v>1177</v>
      </c>
      <c r="F991" t="s">
        <v>554</v>
      </c>
      <c r="G991" t="s">
        <v>88</v>
      </c>
      <c r="M991" s="28" t="s">
        <v>549</v>
      </c>
      <c r="N991" t="s">
        <v>313</v>
      </c>
    </row>
    <row r="992" spans="1:14" hidden="1" x14ac:dyDescent="0.25">
      <c r="A992" t="s">
        <v>8878</v>
      </c>
      <c r="B992" t="s">
        <v>3255</v>
      </c>
      <c r="C992" t="s">
        <v>3034</v>
      </c>
      <c r="D992" t="s">
        <v>3258</v>
      </c>
      <c r="E992" s="28" t="s">
        <v>896</v>
      </c>
      <c r="F992" t="s">
        <v>554</v>
      </c>
      <c r="G992" t="s">
        <v>88</v>
      </c>
      <c r="M992" s="28" t="s">
        <v>549</v>
      </c>
      <c r="N992" t="s">
        <v>313</v>
      </c>
    </row>
    <row r="993" spans="1:14" hidden="1" x14ac:dyDescent="0.25">
      <c r="A993" t="s">
        <v>11824</v>
      </c>
      <c r="B993" t="s">
        <v>11825</v>
      </c>
      <c r="C993" t="s">
        <v>3085</v>
      </c>
      <c r="D993" t="s">
        <v>11826</v>
      </c>
      <c r="E993" s="28" t="s">
        <v>1177</v>
      </c>
      <c r="F993" t="s">
        <v>891</v>
      </c>
      <c r="G993" t="s">
        <v>88</v>
      </c>
      <c r="M993" s="28" t="s">
        <v>549</v>
      </c>
      <c r="N993" t="s">
        <v>313</v>
      </c>
    </row>
    <row r="994" spans="1:14" hidden="1" x14ac:dyDescent="0.25">
      <c r="A994" t="s">
        <v>8879</v>
      </c>
      <c r="B994" t="s">
        <v>3259</v>
      </c>
      <c r="C994" t="s">
        <v>3031</v>
      </c>
      <c r="D994" t="s">
        <v>3260</v>
      </c>
      <c r="E994" s="28" t="s">
        <v>890</v>
      </c>
      <c r="F994" t="s">
        <v>571</v>
      </c>
      <c r="G994" t="s">
        <v>88</v>
      </c>
      <c r="M994" s="28" t="s">
        <v>549</v>
      </c>
      <c r="N994" t="s">
        <v>313</v>
      </c>
    </row>
    <row r="995" spans="1:14" hidden="1" x14ac:dyDescent="0.25">
      <c r="A995" t="s">
        <v>8880</v>
      </c>
      <c r="B995" t="s">
        <v>3259</v>
      </c>
      <c r="C995" t="s">
        <v>3261</v>
      </c>
      <c r="D995" t="s">
        <v>3262</v>
      </c>
      <c r="E995" s="28" t="s">
        <v>930</v>
      </c>
      <c r="F995" t="s">
        <v>891</v>
      </c>
      <c r="G995" t="s">
        <v>88</v>
      </c>
      <c r="M995" s="28" t="s">
        <v>549</v>
      </c>
      <c r="N995" t="s">
        <v>313</v>
      </c>
    </row>
    <row r="996" spans="1:14" hidden="1" x14ac:dyDescent="0.25">
      <c r="A996" t="s">
        <v>8881</v>
      </c>
      <c r="B996" t="s">
        <v>3259</v>
      </c>
      <c r="C996" t="s">
        <v>3144</v>
      </c>
      <c r="D996" t="s">
        <v>3263</v>
      </c>
      <c r="E996" s="28" t="s">
        <v>896</v>
      </c>
      <c r="F996" t="s">
        <v>571</v>
      </c>
      <c r="G996" t="s">
        <v>88</v>
      </c>
      <c r="M996" s="28" t="s">
        <v>549</v>
      </c>
      <c r="N996" t="s">
        <v>313</v>
      </c>
    </row>
    <row r="997" spans="1:14" hidden="1" x14ac:dyDescent="0.25">
      <c r="A997" t="s">
        <v>8882</v>
      </c>
      <c r="B997" t="s">
        <v>3259</v>
      </c>
      <c r="C997" t="s">
        <v>3264</v>
      </c>
      <c r="D997" t="s">
        <v>3265</v>
      </c>
      <c r="E997" s="28" t="s">
        <v>890</v>
      </c>
      <c r="F997" t="s">
        <v>891</v>
      </c>
      <c r="G997" t="s">
        <v>88</v>
      </c>
      <c r="M997" s="28" t="s">
        <v>549</v>
      </c>
      <c r="N997" t="s">
        <v>313</v>
      </c>
    </row>
    <row r="998" spans="1:14" hidden="1" x14ac:dyDescent="0.25">
      <c r="A998" t="s">
        <v>8883</v>
      </c>
      <c r="B998" t="s">
        <v>3266</v>
      </c>
      <c r="C998" t="s">
        <v>1103</v>
      </c>
      <c r="D998" t="s">
        <v>3267</v>
      </c>
      <c r="E998" s="28" t="s">
        <v>896</v>
      </c>
      <c r="F998" t="s">
        <v>891</v>
      </c>
      <c r="G998" t="s">
        <v>88</v>
      </c>
      <c r="M998" s="28" t="s">
        <v>549</v>
      </c>
      <c r="N998" t="s">
        <v>313</v>
      </c>
    </row>
    <row r="999" spans="1:14" hidden="1" x14ac:dyDescent="0.25">
      <c r="A999" t="s">
        <v>12627</v>
      </c>
      <c r="B999" t="s">
        <v>12628</v>
      </c>
      <c r="C999" t="s">
        <v>12629</v>
      </c>
      <c r="D999" t="s">
        <v>12630</v>
      </c>
      <c r="E999" s="28" t="s">
        <v>890</v>
      </c>
      <c r="F999" t="s">
        <v>12631</v>
      </c>
      <c r="G999" t="s">
        <v>137</v>
      </c>
      <c r="M999" s="28" t="s">
        <v>805</v>
      </c>
      <c r="N999" t="s">
        <v>313</v>
      </c>
    </row>
    <row r="1000" spans="1:14" hidden="1" x14ac:dyDescent="0.25">
      <c r="A1000" t="s">
        <v>8884</v>
      </c>
      <c r="B1000" t="s">
        <v>3268</v>
      </c>
      <c r="C1000" t="s">
        <v>3034</v>
      </c>
      <c r="D1000" t="s">
        <v>3269</v>
      </c>
      <c r="E1000" s="28" t="s">
        <v>1023</v>
      </c>
      <c r="F1000" t="s">
        <v>554</v>
      </c>
      <c r="G1000" t="s">
        <v>88</v>
      </c>
      <c r="M1000" s="28" t="s">
        <v>549</v>
      </c>
      <c r="N1000" t="s">
        <v>313</v>
      </c>
    </row>
    <row r="1001" spans="1:14" hidden="1" x14ac:dyDescent="0.25">
      <c r="A1001" t="s">
        <v>8692</v>
      </c>
      <c r="B1001" t="s">
        <v>2832</v>
      </c>
      <c r="C1001" t="s">
        <v>1309</v>
      </c>
      <c r="D1001" t="s">
        <v>2842</v>
      </c>
      <c r="E1001" s="28" t="s">
        <v>896</v>
      </c>
      <c r="F1001" t="s">
        <v>208</v>
      </c>
      <c r="G1001" t="s">
        <v>81</v>
      </c>
      <c r="M1001" s="28" t="s">
        <v>530</v>
      </c>
      <c r="N1001" t="s">
        <v>313</v>
      </c>
    </row>
    <row r="1002" spans="1:14" hidden="1" x14ac:dyDescent="0.25">
      <c r="A1002" t="s">
        <v>8689</v>
      </c>
      <c r="B1002" t="s">
        <v>2832</v>
      </c>
      <c r="C1002" t="s">
        <v>2833</v>
      </c>
      <c r="D1002" t="s">
        <v>2834</v>
      </c>
      <c r="E1002" s="28" t="s">
        <v>890</v>
      </c>
      <c r="F1002" t="s">
        <v>208</v>
      </c>
      <c r="G1002" t="s">
        <v>81</v>
      </c>
      <c r="M1002" s="28" t="s">
        <v>530</v>
      </c>
      <c r="N1002" t="s">
        <v>313</v>
      </c>
    </row>
    <row r="1003" spans="1:14" hidden="1" x14ac:dyDescent="0.25">
      <c r="A1003" t="s">
        <v>8193</v>
      </c>
      <c r="B1003" t="s">
        <v>1603</v>
      </c>
      <c r="C1003" t="s">
        <v>1542</v>
      </c>
      <c r="D1003" t="s">
        <v>1604</v>
      </c>
      <c r="E1003" s="28" t="s">
        <v>1023</v>
      </c>
      <c r="F1003" t="s">
        <v>340</v>
      </c>
      <c r="G1003" t="s">
        <v>38</v>
      </c>
      <c r="M1003" s="28"/>
    </row>
    <row r="1004" spans="1:14" hidden="1" x14ac:dyDescent="0.25">
      <c r="A1004" t="s">
        <v>14481</v>
      </c>
      <c r="B1004" t="s">
        <v>1603</v>
      </c>
      <c r="C1004" t="s">
        <v>1373</v>
      </c>
      <c r="D1004" t="s">
        <v>14482</v>
      </c>
      <c r="E1004" s="28" t="s">
        <v>896</v>
      </c>
      <c r="F1004" t="s">
        <v>340</v>
      </c>
      <c r="G1004" t="s">
        <v>38</v>
      </c>
      <c r="M1004" s="28"/>
    </row>
    <row r="1005" spans="1:14" hidden="1" x14ac:dyDescent="0.25">
      <c r="A1005" t="s">
        <v>12744</v>
      </c>
      <c r="B1005" t="s">
        <v>12745</v>
      </c>
      <c r="C1005" t="s">
        <v>4553</v>
      </c>
      <c r="D1005" t="s">
        <v>12746</v>
      </c>
      <c r="E1005" s="28" t="s">
        <v>896</v>
      </c>
      <c r="F1005" t="s">
        <v>688</v>
      </c>
      <c r="G1005" t="s">
        <v>15</v>
      </c>
      <c r="M1005" s="28" t="s">
        <v>613</v>
      </c>
      <c r="N1005" t="s">
        <v>313</v>
      </c>
    </row>
    <row r="1006" spans="1:14" hidden="1" x14ac:dyDescent="0.25">
      <c r="A1006" t="s">
        <v>10086</v>
      </c>
      <c r="B1006" t="s">
        <v>5736</v>
      </c>
      <c r="C1006" t="s">
        <v>999</v>
      </c>
      <c r="D1006" t="s">
        <v>5737</v>
      </c>
      <c r="E1006" s="28" t="s">
        <v>890</v>
      </c>
      <c r="F1006" t="s">
        <v>13562</v>
      </c>
      <c r="G1006" t="s">
        <v>15</v>
      </c>
      <c r="M1006" s="28" t="s">
        <v>613</v>
      </c>
      <c r="N1006" t="s">
        <v>313</v>
      </c>
    </row>
    <row r="1007" spans="1:14" hidden="1" x14ac:dyDescent="0.25">
      <c r="A1007" t="s">
        <v>8092</v>
      </c>
      <c r="B1007" t="s">
        <v>1349</v>
      </c>
      <c r="C1007" t="s">
        <v>1170</v>
      </c>
      <c r="D1007" t="s">
        <v>1350</v>
      </c>
      <c r="E1007" s="28" t="s">
        <v>890</v>
      </c>
      <c r="F1007" t="s">
        <v>69</v>
      </c>
      <c r="G1007" t="s">
        <v>38</v>
      </c>
      <c r="M1007" s="28"/>
    </row>
    <row r="1008" spans="1:14" hidden="1" x14ac:dyDescent="0.25">
      <c r="A1008" t="s">
        <v>10085</v>
      </c>
      <c r="B1008" t="s">
        <v>5734</v>
      </c>
      <c r="C1008" t="s">
        <v>926</v>
      </c>
      <c r="D1008" t="s">
        <v>5735</v>
      </c>
      <c r="E1008" s="28" t="s">
        <v>896</v>
      </c>
      <c r="F1008" t="s">
        <v>644</v>
      </c>
      <c r="G1008" t="s">
        <v>15</v>
      </c>
      <c r="M1008" s="28" t="s">
        <v>613</v>
      </c>
      <c r="N1008" t="s">
        <v>313</v>
      </c>
    </row>
    <row r="1009" spans="1:14" hidden="1" x14ac:dyDescent="0.25">
      <c r="A1009" t="s">
        <v>10746</v>
      </c>
      <c r="B1009" t="s">
        <v>7196</v>
      </c>
      <c r="C1009" t="s">
        <v>7197</v>
      </c>
      <c r="D1009" t="s">
        <v>7198</v>
      </c>
      <c r="E1009" s="28" t="s">
        <v>896</v>
      </c>
      <c r="F1009" t="s">
        <v>6895</v>
      </c>
      <c r="G1009" t="s">
        <v>6896</v>
      </c>
      <c r="M1009" s="28" t="s">
        <v>6897</v>
      </c>
      <c r="N1009" t="s">
        <v>279</v>
      </c>
    </row>
    <row r="1010" spans="1:14" hidden="1" x14ac:dyDescent="0.25">
      <c r="A1010" t="s">
        <v>8594</v>
      </c>
      <c r="B1010" t="s">
        <v>2590</v>
      </c>
      <c r="C1010" t="s">
        <v>1108</v>
      </c>
      <c r="D1010" t="s">
        <v>13699</v>
      </c>
      <c r="E1010" s="28" t="s">
        <v>896</v>
      </c>
      <c r="F1010" t="s">
        <v>479</v>
      </c>
      <c r="G1010" t="s">
        <v>11</v>
      </c>
      <c r="M1010" s="28" t="s">
        <v>413</v>
      </c>
      <c r="N1010" t="s">
        <v>313</v>
      </c>
    </row>
    <row r="1011" spans="1:14" hidden="1" x14ac:dyDescent="0.25">
      <c r="A1011" t="s">
        <v>8186</v>
      </c>
      <c r="B1011" t="s">
        <v>1586</v>
      </c>
      <c r="C1011" t="s">
        <v>1444</v>
      </c>
      <c r="D1011" t="s">
        <v>1587</v>
      </c>
      <c r="E1011" s="28" t="s">
        <v>890</v>
      </c>
      <c r="F1011" t="s">
        <v>2951</v>
      </c>
      <c r="G1011" t="s">
        <v>38</v>
      </c>
      <c r="M1011" s="28"/>
    </row>
    <row r="1012" spans="1:14" hidden="1" x14ac:dyDescent="0.25">
      <c r="A1012" t="s">
        <v>8885</v>
      </c>
      <c r="B1012" t="s">
        <v>3270</v>
      </c>
      <c r="C1012" t="s">
        <v>3271</v>
      </c>
      <c r="D1012" t="s">
        <v>3272</v>
      </c>
      <c r="E1012" s="28" t="s">
        <v>890</v>
      </c>
      <c r="F1012" t="s">
        <v>891</v>
      </c>
      <c r="G1012" t="s">
        <v>88</v>
      </c>
      <c r="M1012" s="28" t="s">
        <v>549</v>
      </c>
      <c r="N1012" t="s">
        <v>313</v>
      </c>
    </row>
    <row r="1013" spans="1:14" hidden="1" x14ac:dyDescent="0.25">
      <c r="A1013" t="s">
        <v>10780</v>
      </c>
      <c r="B1013" t="s">
        <v>4582</v>
      </c>
      <c r="C1013" t="s">
        <v>1616</v>
      </c>
      <c r="D1013" t="s">
        <v>7280</v>
      </c>
      <c r="E1013" s="28" t="s">
        <v>896</v>
      </c>
      <c r="F1013" t="s">
        <v>891</v>
      </c>
      <c r="G1013" t="s">
        <v>152</v>
      </c>
      <c r="M1013" s="28"/>
    </row>
    <row r="1014" spans="1:14" hidden="1" x14ac:dyDescent="0.25">
      <c r="A1014" t="s">
        <v>8253</v>
      </c>
      <c r="B1014" t="s">
        <v>1759</v>
      </c>
      <c r="C1014" t="s">
        <v>1760</v>
      </c>
      <c r="D1014" t="s">
        <v>1761</v>
      </c>
      <c r="E1014" s="28" t="s">
        <v>896</v>
      </c>
      <c r="F1014" t="s">
        <v>891</v>
      </c>
      <c r="G1014" t="s">
        <v>43</v>
      </c>
      <c r="M1014" s="28" t="s">
        <v>14205</v>
      </c>
    </row>
    <row r="1015" spans="1:14" hidden="1" x14ac:dyDescent="0.25">
      <c r="A1015" t="s">
        <v>8322</v>
      </c>
      <c r="B1015" t="s">
        <v>1933</v>
      </c>
      <c r="C1015" t="s">
        <v>1002</v>
      </c>
      <c r="D1015" t="s">
        <v>1934</v>
      </c>
      <c r="E1015" s="28" t="s">
        <v>896</v>
      </c>
      <c r="F1015" t="s">
        <v>891</v>
      </c>
      <c r="G1015" t="s">
        <v>43</v>
      </c>
      <c r="M1015" s="28" t="s">
        <v>14205</v>
      </c>
    </row>
    <row r="1016" spans="1:14" hidden="1" x14ac:dyDescent="0.25">
      <c r="A1016" t="s">
        <v>8697</v>
      </c>
      <c r="B1016" t="s">
        <v>2854</v>
      </c>
      <c r="C1016" t="s">
        <v>2855</v>
      </c>
      <c r="D1016" t="s">
        <v>2856</v>
      </c>
      <c r="E1016" s="28" t="s">
        <v>890</v>
      </c>
      <c r="F1016" t="s">
        <v>179</v>
      </c>
      <c r="G1016" t="s">
        <v>81</v>
      </c>
      <c r="M1016" s="28" t="s">
        <v>530</v>
      </c>
      <c r="N1016" t="s">
        <v>313</v>
      </c>
    </row>
    <row r="1017" spans="1:14" hidden="1" x14ac:dyDescent="0.25">
      <c r="A1017" t="s">
        <v>10084</v>
      </c>
      <c r="B1017" t="s">
        <v>5732</v>
      </c>
      <c r="C1017" t="s">
        <v>1344</v>
      </c>
      <c r="D1017" t="s">
        <v>5733</v>
      </c>
      <c r="E1017" s="28" t="s">
        <v>896</v>
      </c>
      <c r="F1017" t="s">
        <v>780</v>
      </c>
      <c r="G1017" t="s">
        <v>15</v>
      </c>
      <c r="M1017" s="28" t="s">
        <v>613</v>
      </c>
      <c r="N1017" t="s">
        <v>313</v>
      </c>
    </row>
    <row r="1018" spans="1:14" hidden="1" x14ac:dyDescent="0.25">
      <c r="A1018" t="s">
        <v>10083</v>
      </c>
      <c r="B1018" t="s">
        <v>5730</v>
      </c>
      <c r="C1018" t="s">
        <v>4440</v>
      </c>
      <c r="D1018" t="s">
        <v>5731</v>
      </c>
      <c r="E1018" s="28" t="s">
        <v>890</v>
      </c>
      <c r="F1018" t="s">
        <v>620</v>
      </c>
      <c r="G1018" t="s">
        <v>15</v>
      </c>
      <c r="M1018" s="28" t="s">
        <v>613</v>
      </c>
      <c r="N1018" t="s">
        <v>313</v>
      </c>
    </row>
    <row r="1019" spans="1:14" hidden="1" x14ac:dyDescent="0.25">
      <c r="A1019" t="s">
        <v>14632</v>
      </c>
      <c r="B1019" t="s">
        <v>5726</v>
      </c>
      <c r="C1019" t="s">
        <v>4535</v>
      </c>
      <c r="D1019" t="s">
        <v>14633</v>
      </c>
      <c r="E1019" s="28" t="s">
        <v>890</v>
      </c>
      <c r="F1019" t="s">
        <v>204</v>
      </c>
      <c r="G1019" t="s">
        <v>15</v>
      </c>
      <c r="M1019" s="28" t="s">
        <v>613</v>
      </c>
      <c r="N1019" t="s">
        <v>313</v>
      </c>
    </row>
    <row r="1020" spans="1:14" hidden="1" x14ac:dyDescent="0.25">
      <c r="A1020" t="s">
        <v>10081</v>
      </c>
      <c r="B1020" t="s">
        <v>5726</v>
      </c>
      <c r="C1020" t="s">
        <v>5727</v>
      </c>
      <c r="D1020" t="s">
        <v>5728</v>
      </c>
      <c r="E1020" s="28" t="s">
        <v>896</v>
      </c>
      <c r="F1020" t="s">
        <v>688</v>
      </c>
      <c r="G1020" t="s">
        <v>15</v>
      </c>
      <c r="M1020" s="28" t="s">
        <v>613</v>
      </c>
      <c r="N1020" t="s">
        <v>313</v>
      </c>
    </row>
    <row r="1021" spans="1:14" hidden="1" x14ac:dyDescent="0.25">
      <c r="A1021" t="s">
        <v>10082</v>
      </c>
      <c r="B1021" t="s">
        <v>5726</v>
      </c>
      <c r="C1021" t="s">
        <v>1483</v>
      </c>
      <c r="D1021" t="s">
        <v>5729</v>
      </c>
      <c r="E1021" s="28" t="s">
        <v>896</v>
      </c>
      <c r="F1021" t="s">
        <v>204</v>
      </c>
      <c r="G1021" t="s">
        <v>15</v>
      </c>
      <c r="M1021" s="28" t="s">
        <v>613</v>
      </c>
      <c r="N1021" t="s">
        <v>313</v>
      </c>
    </row>
    <row r="1022" spans="1:14" hidden="1" x14ac:dyDescent="0.25">
      <c r="A1022" t="s">
        <v>8303</v>
      </c>
      <c r="B1022" t="s">
        <v>1879</v>
      </c>
      <c r="C1022" t="s">
        <v>1880</v>
      </c>
      <c r="D1022" t="s">
        <v>1881</v>
      </c>
      <c r="E1022" s="28" t="s">
        <v>896</v>
      </c>
      <c r="F1022" t="s">
        <v>360</v>
      </c>
      <c r="G1022" t="s">
        <v>43</v>
      </c>
      <c r="M1022" s="28" t="s">
        <v>14205</v>
      </c>
    </row>
    <row r="1023" spans="1:14" hidden="1" x14ac:dyDescent="0.25">
      <c r="A1023" t="s">
        <v>8331</v>
      </c>
      <c r="B1023" t="s">
        <v>1954</v>
      </c>
      <c r="C1023" t="s">
        <v>1955</v>
      </c>
      <c r="D1023" t="s">
        <v>1956</v>
      </c>
      <c r="E1023" s="28" t="s">
        <v>896</v>
      </c>
      <c r="F1023" t="s">
        <v>891</v>
      </c>
      <c r="G1023" t="s">
        <v>43</v>
      </c>
      <c r="M1023" s="28" t="s">
        <v>14205</v>
      </c>
    </row>
    <row r="1024" spans="1:14" hidden="1" x14ac:dyDescent="0.25">
      <c r="A1024" t="s">
        <v>8751</v>
      </c>
      <c r="B1024" t="s">
        <v>2976</v>
      </c>
      <c r="C1024" t="s">
        <v>2329</v>
      </c>
      <c r="D1024" t="s">
        <v>2977</v>
      </c>
      <c r="E1024" s="28" t="s">
        <v>890</v>
      </c>
      <c r="F1024" t="s">
        <v>543</v>
      </c>
      <c r="G1024" t="s">
        <v>86</v>
      </c>
      <c r="M1024" s="28" t="s">
        <v>546</v>
      </c>
      <c r="N1024" t="s">
        <v>313</v>
      </c>
    </row>
    <row r="1025" spans="1:14" hidden="1" x14ac:dyDescent="0.25">
      <c r="A1025" t="s">
        <v>10080</v>
      </c>
      <c r="B1025" t="s">
        <v>2976</v>
      </c>
      <c r="C1025" t="s">
        <v>1468</v>
      </c>
      <c r="D1025" t="s">
        <v>5725</v>
      </c>
      <c r="E1025" s="28" t="s">
        <v>896</v>
      </c>
      <c r="F1025" t="s">
        <v>643</v>
      </c>
      <c r="G1025" t="s">
        <v>15</v>
      </c>
      <c r="M1025" s="28" t="s">
        <v>613</v>
      </c>
      <c r="N1025" t="s">
        <v>313</v>
      </c>
    </row>
    <row r="1026" spans="1:14" hidden="1" x14ac:dyDescent="0.25">
      <c r="A1026" t="s">
        <v>8521</v>
      </c>
      <c r="B1026" t="s">
        <v>2416</v>
      </c>
      <c r="C1026" t="s">
        <v>1104</v>
      </c>
      <c r="D1026" t="s">
        <v>2417</v>
      </c>
      <c r="E1026" s="28" t="s">
        <v>890</v>
      </c>
      <c r="F1026" t="s">
        <v>415</v>
      </c>
      <c r="G1026" t="s">
        <v>11</v>
      </c>
      <c r="M1026" s="28" t="s">
        <v>413</v>
      </c>
      <c r="N1026" t="s">
        <v>313</v>
      </c>
    </row>
    <row r="1027" spans="1:14" hidden="1" x14ac:dyDescent="0.25">
      <c r="A1027" t="s">
        <v>8886</v>
      </c>
      <c r="B1027" t="s">
        <v>3273</v>
      </c>
      <c r="C1027" t="s">
        <v>3036</v>
      </c>
      <c r="D1027" t="s">
        <v>3274</v>
      </c>
      <c r="E1027" s="28" t="s">
        <v>896</v>
      </c>
      <c r="F1027" t="s">
        <v>891</v>
      </c>
      <c r="G1027" t="s">
        <v>88</v>
      </c>
      <c r="M1027" s="28" t="s">
        <v>549</v>
      </c>
      <c r="N1027" t="s">
        <v>313</v>
      </c>
    </row>
    <row r="1028" spans="1:14" hidden="1" x14ac:dyDescent="0.25">
      <c r="A1028" t="s">
        <v>10079</v>
      </c>
      <c r="B1028" t="s">
        <v>5723</v>
      </c>
      <c r="C1028" t="s">
        <v>4748</v>
      </c>
      <c r="D1028" t="s">
        <v>5724</v>
      </c>
      <c r="E1028" s="28" t="s">
        <v>890</v>
      </c>
      <c r="F1028" t="s">
        <v>214</v>
      </c>
      <c r="G1028" t="s">
        <v>15</v>
      </c>
      <c r="M1028" s="28" t="s">
        <v>613</v>
      </c>
      <c r="N1028" t="s">
        <v>313</v>
      </c>
    </row>
    <row r="1029" spans="1:14" hidden="1" x14ac:dyDescent="0.25">
      <c r="A1029" t="s">
        <v>10078</v>
      </c>
      <c r="B1029" t="s">
        <v>5721</v>
      </c>
      <c r="C1029" t="s">
        <v>4936</v>
      </c>
      <c r="D1029" t="s">
        <v>5722</v>
      </c>
      <c r="E1029" s="28" t="s">
        <v>896</v>
      </c>
      <c r="F1029" t="s">
        <v>705</v>
      </c>
      <c r="G1029" t="s">
        <v>15</v>
      </c>
      <c r="M1029" s="28" t="s">
        <v>613</v>
      </c>
      <c r="N1029" t="s">
        <v>313</v>
      </c>
    </row>
    <row r="1030" spans="1:14" hidden="1" x14ac:dyDescent="0.25">
      <c r="A1030" t="s">
        <v>8887</v>
      </c>
      <c r="B1030" t="s">
        <v>3275</v>
      </c>
      <c r="C1030" t="s">
        <v>3031</v>
      </c>
      <c r="D1030" t="s">
        <v>3276</v>
      </c>
      <c r="E1030" s="28" t="s">
        <v>890</v>
      </c>
      <c r="F1030" t="s">
        <v>891</v>
      </c>
      <c r="G1030" t="s">
        <v>88</v>
      </c>
      <c r="M1030" s="28" t="s">
        <v>549</v>
      </c>
      <c r="N1030" t="s">
        <v>313</v>
      </c>
    </row>
    <row r="1031" spans="1:14" hidden="1" x14ac:dyDescent="0.25">
      <c r="A1031" t="s">
        <v>8888</v>
      </c>
      <c r="B1031" t="s">
        <v>3275</v>
      </c>
      <c r="C1031" t="s">
        <v>3061</v>
      </c>
      <c r="D1031" t="s">
        <v>3277</v>
      </c>
      <c r="E1031" s="28" t="s">
        <v>890</v>
      </c>
      <c r="F1031" t="s">
        <v>891</v>
      </c>
      <c r="G1031" t="s">
        <v>88</v>
      </c>
      <c r="M1031" s="28" t="s">
        <v>549</v>
      </c>
      <c r="N1031" t="s">
        <v>313</v>
      </c>
    </row>
    <row r="1032" spans="1:14" hidden="1" x14ac:dyDescent="0.25">
      <c r="A1032" t="s">
        <v>8889</v>
      </c>
      <c r="B1032" t="s">
        <v>3275</v>
      </c>
      <c r="C1032" t="s">
        <v>2133</v>
      </c>
      <c r="D1032" t="s">
        <v>3278</v>
      </c>
      <c r="E1032" s="28" t="s">
        <v>896</v>
      </c>
      <c r="F1032" t="s">
        <v>891</v>
      </c>
      <c r="G1032" t="s">
        <v>88</v>
      </c>
      <c r="M1032" s="28" t="s">
        <v>549</v>
      </c>
      <c r="N1032" t="s">
        <v>313</v>
      </c>
    </row>
    <row r="1033" spans="1:14" hidden="1" x14ac:dyDescent="0.25">
      <c r="A1033" t="s">
        <v>9503</v>
      </c>
      <c r="B1033" t="s">
        <v>4503</v>
      </c>
      <c r="C1033" t="s">
        <v>1103</v>
      </c>
      <c r="D1033" t="s">
        <v>4504</v>
      </c>
      <c r="E1033" s="28" t="s">
        <v>1177</v>
      </c>
      <c r="F1033" t="s">
        <v>594</v>
      </c>
      <c r="G1033" t="s">
        <v>88</v>
      </c>
      <c r="M1033" s="28" t="s">
        <v>549</v>
      </c>
      <c r="N1033" t="s">
        <v>313</v>
      </c>
    </row>
    <row r="1034" spans="1:14" hidden="1" x14ac:dyDescent="0.25">
      <c r="A1034" t="s">
        <v>9504</v>
      </c>
      <c r="B1034" t="s">
        <v>4503</v>
      </c>
      <c r="C1034" t="s">
        <v>3061</v>
      </c>
      <c r="D1034" t="s">
        <v>4505</v>
      </c>
      <c r="E1034" s="28" t="s">
        <v>896</v>
      </c>
      <c r="F1034" t="s">
        <v>594</v>
      </c>
      <c r="G1034" t="s">
        <v>88</v>
      </c>
      <c r="M1034" s="28" t="s">
        <v>549</v>
      </c>
      <c r="N1034" t="s">
        <v>313</v>
      </c>
    </row>
    <row r="1035" spans="1:14" hidden="1" x14ac:dyDescent="0.25">
      <c r="A1035" t="s">
        <v>12056</v>
      </c>
      <c r="B1035" t="s">
        <v>12057</v>
      </c>
      <c r="C1035" t="s">
        <v>2009</v>
      </c>
      <c r="D1035" t="s">
        <v>12058</v>
      </c>
      <c r="E1035" s="28" t="s">
        <v>896</v>
      </c>
      <c r="F1035" t="s">
        <v>12059</v>
      </c>
      <c r="G1035" t="s">
        <v>157</v>
      </c>
      <c r="M1035" s="28" t="s">
        <v>840</v>
      </c>
      <c r="N1035" t="s">
        <v>382</v>
      </c>
    </row>
    <row r="1036" spans="1:14" hidden="1" x14ac:dyDescent="0.25">
      <c r="A1036" t="s">
        <v>8890</v>
      </c>
      <c r="B1036" t="s">
        <v>3279</v>
      </c>
      <c r="C1036" t="s">
        <v>2108</v>
      </c>
      <c r="D1036" t="s">
        <v>3280</v>
      </c>
      <c r="E1036" s="28" t="s">
        <v>896</v>
      </c>
      <c r="F1036" t="s">
        <v>577</v>
      </c>
      <c r="G1036" t="s">
        <v>88</v>
      </c>
      <c r="M1036" s="28" t="s">
        <v>549</v>
      </c>
      <c r="N1036" t="s">
        <v>313</v>
      </c>
    </row>
    <row r="1037" spans="1:14" hidden="1" x14ac:dyDescent="0.25">
      <c r="A1037" t="s">
        <v>8891</v>
      </c>
      <c r="B1037" t="s">
        <v>3279</v>
      </c>
      <c r="C1037" t="s">
        <v>1153</v>
      </c>
      <c r="D1037" t="s">
        <v>3281</v>
      </c>
      <c r="E1037" s="28" t="s">
        <v>890</v>
      </c>
      <c r="F1037" t="s">
        <v>891</v>
      </c>
      <c r="G1037" t="s">
        <v>88</v>
      </c>
      <c r="M1037" s="28" t="s">
        <v>549</v>
      </c>
      <c r="N1037" t="s">
        <v>313</v>
      </c>
    </row>
    <row r="1038" spans="1:14" hidden="1" x14ac:dyDescent="0.25">
      <c r="A1038" t="s">
        <v>8159</v>
      </c>
      <c r="B1038" t="s">
        <v>1524</v>
      </c>
      <c r="C1038" t="s">
        <v>1442</v>
      </c>
      <c r="D1038" t="s">
        <v>1525</v>
      </c>
      <c r="E1038" s="28" t="s">
        <v>896</v>
      </c>
      <c r="F1038" t="s">
        <v>340</v>
      </c>
      <c r="G1038" t="s">
        <v>38</v>
      </c>
      <c r="M1038" s="28"/>
    </row>
    <row r="1039" spans="1:14" hidden="1" x14ac:dyDescent="0.25">
      <c r="A1039" t="s">
        <v>13324</v>
      </c>
      <c r="B1039" t="s">
        <v>3284</v>
      </c>
      <c r="C1039" t="s">
        <v>3282</v>
      </c>
      <c r="D1039" t="s">
        <v>3283</v>
      </c>
      <c r="E1039" s="28" t="s">
        <v>896</v>
      </c>
      <c r="F1039" t="s">
        <v>579</v>
      </c>
      <c r="G1039" t="s">
        <v>88</v>
      </c>
      <c r="M1039" s="28" t="s">
        <v>549</v>
      </c>
      <c r="N1039" t="s">
        <v>313</v>
      </c>
    </row>
    <row r="1040" spans="1:14" hidden="1" x14ac:dyDescent="0.25">
      <c r="A1040" t="s">
        <v>8892</v>
      </c>
      <c r="B1040" t="s">
        <v>3284</v>
      </c>
      <c r="C1040" t="s">
        <v>3285</v>
      </c>
      <c r="D1040" t="s">
        <v>3286</v>
      </c>
      <c r="E1040" s="28" t="s">
        <v>896</v>
      </c>
      <c r="F1040" t="s">
        <v>891</v>
      </c>
      <c r="G1040" t="s">
        <v>88</v>
      </c>
      <c r="M1040" s="28" t="s">
        <v>549</v>
      </c>
      <c r="N1040" t="s">
        <v>313</v>
      </c>
    </row>
    <row r="1041" spans="1:14" hidden="1" x14ac:dyDescent="0.25">
      <c r="A1041" t="s">
        <v>8093</v>
      </c>
      <c r="B1041" t="s">
        <v>1351</v>
      </c>
      <c r="C1041" t="s">
        <v>1352</v>
      </c>
      <c r="D1041" t="s">
        <v>1353</v>
      </c>
      <c r="E1041" s="28" t="s">
        <v>896</v>
      </c>
      <c r="F1041" t="s">
        <v>78</v>
      </c>
      <c r="G1041" t="s">
        <v>38</v>
      </c>
      <c r="M1041" s="28"/>
    </row>
    <row r="1042" spans="1:14" hidden="1" x14ac:dyDescent="0.25">
      <c r="A1042" t="s">
        <v>8717</v>
      </c>
      <c r="B1042" t="s">
        <v>1351</v>
      </c>
      <c r="C1042" t="s">
        <v>1381</v>
      </c>
      <c r="D1042" t="s">
        <v>2897</v>
      </c>
      <c r="E1042" s="28" t="s">
        <v>896</v>
      </c>
      <c r="F1042" t="s">
        <v>535</v>
      </c>
      <c r="G1042" t="s">
        <v>81</v>
      </c>
      <c r="M1042" s="28" t="s">
        <v>530</v>
      </c>
      <c r="N1042" t="s">
        <v>313</v>
      </c>
    </row>
    <row r="1043" spans="1:14" hidden="1" x14ac:dyDescent="0.25">
      <c r="A1043" t="s">
        <v>8723</v>
      </c>
      <c r="B1043" t="s">
        <v>2908</v>
      </c>
      <c r="C1043" t="s">
        <v>2281</v>
      </c>
      <c r="D1043" t="s">
        <v>2909</v>
      </c>
      <c r="E1043" s="28" t="s">
        <v>890</v>
      </c>
      <c r="F1043" t="s">
        <v>14211</v>
      </c>
      <c r="G1043" t="s">
        <v>81</v>
      </c>
      <c r="M1043" s="28" t="s">
        <v>530</v>
      </c>
      <c r="N1043" t="s">
        <v>313</v>
      </c>
    </row>
    <row r="1044" spans="1:14" hidden="1" x14ac:dyDescent="0.25">
      <c r="A1044" t="s">
        <v>13700</v>
      </c>
      <c r="B1044" t="s">
        <v>10923</v>
      </c>
      <c r="C1044" t="s">
        <v>13701</v>
      </c>
      <c r="D1044" t="s">
        <v>13702</v>
      </c>
      <c r="E1044" s="28" t="s">
        <v>930</v>
      </c>
      <c r="F1044" t="s">
        <v>2480</v>
      </c>
      <c r="G1044" t="s">
        <v>11</v>
      </c>
      <c r="M1044" s="28" t="s">
        <v>413</v>
      </c>
      <c r="N1044" t="s">
        <v>313</v>
      </c>
    </row>
    <row r="1045" spans="1:14" hidden="1" x14ac:dyDescent="0.25">
      <c r="A1045" t="s">
        <v>10922</v>
      </c>
      <c r="B1045" t="s">
        <v>10923</v>
      </c>
      <c r="C1045" t="s">
        <v>1949</v>
      </c>
      <c r="D1045" t="s">
        <v>10924</v>
      </c>
      <c r="E1045" s="28" t="s">
        <v>896</v>
      </c>
      <c r="F1045" t="s">
        <v>2480</v>
      </c>
      <c r="G1045" t="s">
        <v>11</v>
      </c>
      <c r="M1045" s="28" t="s">
        <v>413</v>
      </c>
      <c r="N1045" t="s">
        <v>313</v>
      </c>
    </row>
    <row r="1046" spans="1:14" hidden="1" x14ac:dyDescent="0.25">
      <c r="A1046" t="s">
        <v>14277</v>
      </c>
      <c r="B1046" t="s">
        <v>14278</v>
      </c>
      <c r="C1046" t="s">
        <v>1459</v>
      </c>
      <c r="D1046" t="s">
        <v>13703</v>
      </c>
      <c r="E1046" s="28" t="s">
        <v>896</v>
      </c>
      <c r="F1046" t="s">
        <v>891</v>
      </c>
      <c r="G1046" t="s">
        <v>81</v>
      </c>
      <c r="M1046" s="28" t="s">
        <v>530</v>
      </c>
      <c r="N1046" t="s">
        <v>313</v>
      </c>
    </row>
    <row r="1047" spans="1:14" hidden="1" x14ac:dyDescent="0.25">
      <c r="A1047" t="s">
        <v>8736</v>
      </c>
      <c r="B1047" t="s">
        <v>2939</v>
      </c>
      <c r="C1047" t="s">
        <v>1391</v>
      </c>
      <c r="D1047" t="s">
        <v>2940</v>
      </c>
      <c r="E1047" s="28" t="s">
        <v>896</v>
      </c>
      <c r="F1047" t="s">
        <v>891</v>
      </c>
      <c r="G1047" t="s">
        <v>81</v>
      </c>
      <c r="M1047" s="28" t="s">
        <v>530</v>
      </c>
      <c r="N1047" t="s">
        <v>313</v>
      </c>
    </row>
    <row r="1048" spans="1:14" hidden="1" x14ac:dyDescent="0.25">
      <c r="A1048" t="s">
        <v>8560</v>
      </c>
      <c r="B1048" t="s">
        <v>2510</v>
      </c>
      <c r="C1048" t="s">
        <v>2020</v>
      </c>
      <c r="D1048" t="s">
        <v>2511</v>
      </c>
      <c r="E1048" s="28" t="s">
        <v>890</v>
      </c>
      <c r="F1048" t="s">
        <v>14210</v>
      </c>
      <c r="G1048" t="s">
        <v>11</v>
      </c>
      <c r="M1048" s="28" t="s">
        <v>413</v>
      </c>
      <c r="N1048" t="s">
        <v>313</v>
      </c>
    </row>
    <row r="1049" spans="1:14" hidden="1" x14ac:dyDescent="0.25">
      <c r="A1049" t="s">
        <v>8175</v>
      </c>
      <c r="B1049" t="s">
        <v>1561</v>
      </c>
      <c r="C1049" t="s">
        <v>1315</v>
      </c>
      <c r="D1049" t="s">
        <v>1562</v>
      </c>
      <c r="E1049" s="28" t="s">
        <v>890</v>
      </c>
      <c r="F1049" t="s">
        <v>339</v>
      </c>
      <c r="G1049" t="s">
        <v>38</v>
      </c>
      <c r="M1049" s="28"/>
    </row>
    <row r="1050" spans="1:14" hidden="1" x14ac:dyDescent="0.25">
      <c r="A1050" t="s">
        <v>8732</v>
      </c>
      <c r="B1050" t="s">
        <v>2931</v>
      </c>
      <c r="C1050" t="s">
        <v>1269</v>
      </c>
      <c r="D1050" t="s">
        <v>2932</v>
      </c>
      <c r="E1050" s="28" t="s">
        <v>896</v>
      </c>
      <c r="F1050" t="s">
        <v>13197</v>
      </c>
      <c r="G1050" t="s">
        <v>81</v>
      </c>
      <c r="M1050" s="28" t="s">
        <v>530</v>
      </c>
      <c r="N1050" t="s">
        <v>313</v>
      </c>
    </row>
    <row r="1051" spans="1:14" hidden="1" x14ac:dyDescent="0.25">
      <c r="A1051" t="s">
        <v>14279</v>
      </c>
      <c r="B1051" t="s">
        <v>14280</v>
      </c>
      <c r="C1051" t="s">
        <v>1444</v>
      </c>
      <c r="D1051" t="s">
        <v>13704</v>
      </c>
      <c r="E1051" s="28" t="s">
        <v>896</v>
      </c>
      <c r="F1051" t="s">
        <v>10904</v>
      </c>
      <c r="G1051" t="s">
        <v>81</v>
      </c>
      <c r="M1051" s="28" t="s">
        <v>530</v>
      </c>
      <c r="N1051" t="s">
        <v>313</v>
      </c>
    </row>
    <row r="1052" spans="1:14" hidden="1" x14ac:dyDescent="0.25">
      <c r="A1052" t="s">
        <v>11609</v>
      </c>
      <c r="B1052" t="s">
        <v>11610</v>
      </c>
      <c r="C1052" t="s">
        <v>1143</v>
      </c>
      <c r="D1052" t="s">
        <v>11611</v>
      </c>
      <c r="E1052" s="28" t="s">
        <v>896</v>
      </c>
      <c r="F1052" t="s">
        <v>105</v>
      </c>
      <c r="G1052" t="s">
        <v>11</v>
      </c>
      <c r="M1052" s="28" t="s">
        <v>413</v>
      </c>
      <c r="N1052" t="s">
        <v>313</v>
      </c>
    </row>
    <row r="1053" spans="1:14" hidden="1" x14ac:dyDescent="0.25">
      <c r="A1053" t="s">
        <v>11906</v>
      </c>
      <c r="B1053" t="s">
        <v>6432</v>
      </c>
      <c r="C1053" t="s">
        <v>1045</v>
      </c>
      <c r="D1053" t="s">
        <v>11907</v>
      </c>
      <c r="E1053" s="28" t="s">
        <v>1023</v>
      </c>
      <c r="F1053" t="s">
        <v>794</v>
      </c>
      <c r="G1053" t="s">
        <v>21</v>
      </c>
      <c r="M1053" s="28" t="s">
        <v>791</v>
      </c>
      <c r="N1053" t="s">
        <v>313</v>
      </c>
    </row>
    <row r="1054" spans="1:14" hidden="1" x14ac:dyDescent="0.25">
      <c r="A1054" t="s">
        <v>10424</v>
      </c>
      <c r="B1054" t="s">
        <v>6432</v>
      </c>
      <c r="C1054" t="s">
        <v>2105</v>
      </c>
      <c r="D1054" t="s">
        <v>6433</v>
      </c>
      <c r="E1054" s="28" t="s">
        <v>890</v>
      </c>
      <c r="F1054" t="s">
        <v>794</v>
      </c>
      <c r="G1054" t="s">
        <v>21</v>
      </c>
      <c r="M1054" s="28" t="s">
        <v>791</v>
      </c>
      <c r="N1054" t="s">
        <v>313</v>
      </c>
    </row>
    <row r="1055" spans="1:14" hidden="1" x14ac:dyDescent="0.25">
      <c r="A1055" t="s">
        <v>11903</v>
      </c>
      <c r="B1055" t="s">
        <v>6432</v>
      </c>
      <c r="C1055" t="s">
        <v>11904</v>
      </c>
      <c r="D1055" t="s">
        <v>11905</v>
      </c>
      <c r="E1055" s="28" t="s">
        <v>890</v>
      </c>
      <c r="F1055" t="s">
        <v>794</v>
      </c>
      <c r="G1055" t="s">
        <v>21</v>
      </c>
      <c r="M1055" s="28" t="s">
        <v>791</v>
      </c>
      <c r="N1055" t="s">
        <v>313</v>
      </c>
    </row>
    <row r="1056" spans="1:14" hidden="1" x14ac:dyDescent="0.25">
      <c r="A1056" t="s">
        <v>10435</v>
      </c>
      <c r="B1056" t="s">
        <v>6432</v>
      </c>
      <c r="C1056" t="s">
        <v>1060</v>
      </c>
      <c r="D1056" t="s">
        <v>6459</v>
      </c>
      <c r="E1056" s="28" t="s">
        <v>930</v>
      </c>
      <c r="F1056" t="s">
        <v>794</v>
      </c>
      <c r="G1056" t="s">
        <v>21</v>
      </c>
      <c r="M1056" s="28" t="s">
        <v>791</v>
      </c>
      <c r="N1056" t="s">
        <v>313</v>
      </c>
    </row>
    <row r="1057" spans="1:14" hidden="1" x14ac:dyDescent="0.25">
      <c r="A1057" t="s">
        <v>7960</v>
      </c>
      <c r="B1057" t="s">
        <v>955</v>
      </c>
      <c r="C1057" t="s">
        <v>956</v>
      </c>
      <c r="D1057" t="s">
        <v>957</v>
      </c>
      <c r="E1057" s="28" t="s">
        <v>890</v>
      </c>
      <c r="F1057" t="s">
        <v>32</v>
      </c>
      <c r="G1057" t="s">
        <v>28</v>
      </c>
      <c r="M1057" s="28" t="s">
        <v>14241</v>
      </c>
      <c r="N1057" t="s">
        <v>14206</v>
      </c>
    </row>
    <row r="1058" spans="1:14" hidden="1" x14ac:dyDescent="0.25">
      <c r="A1058" t="s">
        <v>8040</v>
      </c>
      <c r="B1058" t="s">
        <v>1213</v>
      </c>
      <c r="C1058" t="s">
        <v>1208</v>
      </c>
      <c r="D1058" t="s">
        <v>1214</v>
      </c>
      <c r="E1058" s="28" t="s">
        <v>896</v>
      </c>
      <c r="F1058" t="s">
        <v>39</v>
      </c>
      <c r="G1058" t="s">
        <v>34</v>
      </c>
      <c r="M1058" s="28" t="s">
        <v>12353</v>
      </c>
      <c r="N1058" t="s">
        <v>313</v>
      </c>
    </row>
    <row r="1059" spans="1:14" hidden="1" x14ac:dyDescent="0.25">
      <c r="A1059" t="s">
        <v>8041</v>
      </c>
      <c r="B1059" t="s">
        <v>1215</v>
      </c>
      <c r="C1059" t="s">
        <v>1216</v>
      </c>
      <c r="D1059" t="s">
        <v>1217</v>
      </c>
      <c r="E1059" s="28" t="s">
        <v>890</v>
      </c>
      <c r="F1059" t="s">
        <v>39</v>
      </c>
      <c r="G1059" t="s">
        <v>34</v>
      </c>
      <c r="M1059" s="28" t="s">
        <v>12353</v>
      </c>
      <c r="N1059" t="s">
        <v>313</v>
      </c>
    </row>
    <row r="1060" spans="1:14" hidden="1" x14ac:dyDescent="0.25">
      <c r="A1060" t="s">
        <v>11677</v>
      </c>
      <c r="B1060" t="s">
        <v>11678</v>
      </c>
      <c r="C1060" t="s">
        <v>1156</v>
      </c>
      <c r="D1060" t="s">
        <v>11679</v>
      </c>
      <c r="E1060" s="28" t="s">
        <v>896</v>
      </c>
      <c r="F1060" t="s">
        <v>13194</v>
      </c>
      <c r="G1060" t="s">
        <v>7783</v>
      </c>
      <c r="M1060" s="28" t="s">
        <v>11680</v>
      </c>
      <c r="N1060" t="s">
        <v>11680</v>
      </c>
    </row>
    <row r="1061" spans="1:14" hidden="1" x14ac:dyDescent="0.25">
      <c r="A1061" t="s">
        <v>13705</v>
      </c>
      <c r="B1061" t="s">
        <v>13706</v>
      </c>
      <c r="C1061" t="s">
        <v>2543</v>
      </c>
      <c r="D1061" t="s">
        <v>13707</v>
      </c>
      <c r="E1061" s="28" t="s">
        <v>896</v>
      </c>
      <c r="F1061" t="s">
        <v>13585</v>
      </c>
      <c r="G1061" t="s">
        <v>11</v>
      </c>
      <c r="M1061" s="28" t="s">
        <v>413</v>
      </c>
      <c r="N1061" t="s">
        <v>313</v>
      </c>
    </row>
    <row r="1062" spans="1:14" hidden="1" x14ac:dyDescent="0.25">
      <c r="A1062" t="s">
        <v>8484</v>
      </c>
      <c r="B1062" t="s">
        <v>2326</v>
      </c>
      <c r="C1062" t="s">
        <v>1530</v>
      </c>
      <c r="D1062" t="s">
        <v>2327</v>
      </c>
      <c r="E1062" s="28" t="s">
        <v>890</v>
      </c>
      <c r="F1062" t="s">
        <v>408</v>
      </c>
      <c r="G1062" t="s">
        <v>65</v>
      </c>
      <c r="M1062" s="28" t="s">
        <v>14209</v>
      </c>
    </row>
    <row r="1063" spans="1:14" hidden="1" x14ac:dyDescent="0.25">
      <c r="A1063" t="s">
        <v>8333</v>
      </c>
      <c r="B1063" t="s">
        <v>1960</v>
      </c>
      <c r="C1063" t="s">
        <v>1880</v>
      </c>
      <c r="D1063" t="s">
        <v>1961</v>
      </c>
      <c r="E1063" s="28" t="s">
        <v>890</v>
      </c>
      <c r="F1063" t="s">
        <v>1645</v>
      </c>
      <c r="G1063" t="s">
        <v>43</v>
      </c>
      <c r="M1063" s="28" t="s">
        <v>14205</v>
      </c>
    </row>
    <row r="1064" spans="1:14" hidden="1" x14ac:dyDescent="0.25">
      <c r="A1064" t="s">
        <v>11016</v>
      </c>
      <c r="B1064" t="s">
        <v>11017</v>
      </c>
      <c r="C1064" t="s">
        <v>6451</v>
      </c>
      <c r="D1064" t="s">
        <v>11018</v>
      </c>
      <c r="E1064" s="28" t="s">
        <v>890</v>
      </c>
      <c r="F1064" t="s">
        <v>6584</v>
      </c>
      <c r="G1064" t="s">
        <v>84</v>
      </c>
      <c r="M1064" s="28" t="s">
        <v>14223</v>
      </c>
      <c r="N1064" t="s">
        <v>313</v>
      </c>
    </row>
    <row r="1065" spans="1:14" hidden="1" x14ac:dyDescent="0.25">
      <c r="A1065" t="s">
        <v>8255</v>
      </c>
      <c r="B1065" t="s">
        <v>1765</v>
      </c>
      <c r="C1065" t="s">
        <v>1744</v>
      </c>
      <c r="D1065" t="s">
        <v>1766</v>
      </c>
      <c r="E1065" s="28" t="s">
        <v>896</v>
      </c>
      <c r="F1065" t="s">
        <v>891</v>
      </c>
      <c r="G1065" t="s">
        <v>43</v>
      </c>
      <c r="M1065" s="28" t="s">
        <v>14205</v>
      </c>
    </row>
    <row r="1066" spans="1:14" hidden="1" x14ac:dyDescent="0.25">
      <c r="A1066" t="s">
        <v>10472</v>
      </c>
      <c r="B1066" t="s">
        <v>6599</v>
      </c>
      <c r="C1066" t="s">
        <v>1179</v>
      </c>
      <c r="D1066" t="s">
        <v>6600</v>
      </c>
      <c r="E1066" s="28" t="s">
        <v>896</v>
      </c>
      <c r="F1066" t="s">
        <v>6598</v>
      </c>
      <c r="G1066" t="s">
        <v>131</v>
      </c>
      <c r="M1066" s="28" t="s">
        <v>14242</v>
      </c>
    </row>
    <row r="1067" spans="1:14" hidden="1" x14ac:dyDescent="0.25">
      <c r="A1067" t="s">
        <v>10492</v>
      </c>
      <c r="B1067" t="s">
        <v>6650</v>
      </c>
      <c r="C1067" t="s">
        <v>1799</v>
      </c>
      <c r="D1067" t="s">
        <v>6651</v>
      </c>
      <c r="E1067" s="28" t="s">
        <v>890</v>
      </c>
      <c r="F1067" t="s">
        <v>891</v>
      </c>
      <c r="G1067" t="s">
        <v>137</v>
      </c>
      <c r="M1067" s="28" t="s">
        <v>805</v>
      </c>
      <c r="N1067" t="s">
        <v>313</v>
      </c>
    </row>
    <row r="1068" spans="1:14" hidden="1" x14ac:dyDescent="0.25">
      <c r="A1068" t="s">
        <v>11262</v>
      </c>
      <c r="B1068" t="s">
        <v>11263</v>
      </c>
      <c r="C1068" t="s">
        <v>11264</v>
      </c>
      <c r="D1068" t="s">
        <v>11265</v>
      </c>
      <c r="E1068" s="28" t="s">
        <v>896</v>
      </c>
      <c r="F1068" t="s">
        <v>181</v>
      </c>
      <c r="G1068" t="s">
        <v>84</v>
      </c>
      <c r="M1068" s="28" t="s">
        <v>14223</v>
      </c>
      <c r="N1068" t="s">
        <v>313</v>
      </c>
    </row>
    <row r="1069" spans="1:14" hidden="1" x14ac:dyDescent="0.25">
      <c r="A1069" t="s">
        <v>11009</v>
      </c>
      <c r="B1069" t="s">
        <v>11010</v>
      </c>
      <c r="C1069" t="s">
        <v>6510</v>
      </c>
      <c r="D1069" t="s">
        <v>11011</v>
      </c>
      <c r="E1069" s="28" t="s">
        <v>890</v>
      </c>
      <c r="F1069" t="s">
        <v>10975</v>
      </c>
      <c r="G1069" t="s">
        <v>84</v>
      </c>
      <c r="M1069" s="28" t="s">
        <v>14223</v>
      </c>
      <c r="N1069" t="s">
        <v>313</v>
      </c>
    </row>
    <row r="1070" spans="1:14" hidden="1" x14ac:dyDescent="0.25">
      <c r="A1070" t="s">
        <v>11388</v>
      </c>
      <c r="B1070" t="s">
        <v>11389</v>
      </c>
      <c r="C1070" t="s">
        <v>11390</v>
      </c>
      <c r="D1070" t="s">
        <v>11391</v>
      </c>
      <c r="E1070" s="28" t="s">
        <v>890</v>
      </c>
      <c r="F1070" t="s">
        <v>11526</v>
      </c>
      <c r="G1070" t="s">
        <v>84</v>
      </c>
      <c r="M1070" s="28" t="s">
        <v>14223</v>
      </c>
      <c r="N1070" t="s">
        <v>313</v>
      </c>
    </row>
    <row r="1071" spans="1:14" hidden="1" x14ac:dyDescent="0.25">
      <c r="A1071" t="s">
        <v>13325</v>
      </c>
      <c r="B1071" t="s">
        <v>3287</v>
      </c>
      <c r="C1071" t="s">
        <v>2063</v>
      </c>
      <c r="D1071" t="s">
        <v>3289</v>
      </c>
      <c r="E1071" s="28" t="s">
        <v>896</v>
      </c>
      <c r="F1071" t="s">
        <v>552</v>
      </c>
      <c r="G1071" t="s">
        <v>88</v>
      </c>
      <c r="M1071" s="28" t="s">
        <v>549</v>
      </c>
      <c r="N1071" t="s">
        <v>313</v>
      </c>
    </row>
    <row r="1072" spans="1:14" hidden="1" x14ac:dyDescent="0.25">
      <c r="A1072" t="s">
        <v>8893</v>
      </c>
      <c r="B1072" t="s">
        <v>3287</v>
      </c>
      <c r="C1072" t="s">
        <v>3183</v>
      </c>
      <c r="D1072" t="s">
        <v>3288</v>
      </c>
      <c r="E1072" s="28" t="s">
        <v>930</v>
      </c>
      <c r="F1072" t="s">
        <v>891</v>
      </c>
      <c r="G1072" t="s">
        <v>88</v>
      </c>
      <c r="M1072" s="28" t="s">
        <v>549</v>
      </c>
      <c r="N1072" t="s">
        <v>313</v>
      </c>
    </row>
    <row r="1073" spans="1:14" hidden="1" x14ac:dyDescent="0.25">
      <c r="A1073" t="s">
        <v>9494</v>
      </c>
      <c r="B1073" t="s">
        <v>4483</v>
      </c>
      <c r="C1073" t="s">
        <v>4484</v>
      </c>
      <c r="D1073" t="s">
        <v>4485</v>
      </c>
      <c r="E1073" s="28" t="s">
        <v>890</v>
      </c>
      <c r="F1073" t="s">
        <v>891</v>
      </c>
      <c r="G1073" t="s">
        <v>88</v>
      </c>
      <c r="M1073" s="28" t="s">
        <v>549</v>
      </c>
      <c r="N1073" t="s">
        <v>313</v>
      </c>
    </row>
    <row r="1074" spans="1:14" hidden="1" x14ac:dyDescent="0.25">
      <c r="A1074" t="s">
        <v>8742</v>
      </c>
      <c r="B1074" t="s">
        <v>2954</v>
      </c>
      <c r="C1074" t="s">
        <v>2955</v>
      </c>
      <c r="D1074" t="s">
        <v>2956</v>
      </c>
      <c r="E1074" s="28" t="s">
        <v>890</v>
      </c>
      <c r="F1074" t="s">
        <v>2957</v>
      </c>
      <c r="G1074" t="s">
        <v>84</v>
      </c>
      <c r="M1074" s="28" t="s">
        <v>14223</v>
      </c>
      <c r="N1074" t="s">
        <v>313</v>
      </c>
    </row>
    <row r="1075" spans="1:14" hidden="1" x14ac:dyDescent="0.25">
      <c r="A1075" t="s">
        <v>10493</v>
      </c>
      <c r="B1075" t="s">
        <v>1281</v>
      </c>
      <c r="C1075" t="s">
        <v>1639</v>
      </c>
      <c r="D1075" t="s">
        <v>6652</v>
      </c>
      <c r="E1075" s="28" t="s">
        <v>896</v>
      </c>
      <c r="F1075" t="s">
        <v>891</v>
      </c>
      <c r="G1075" t="s">
        <v>137</v>
      </c>
      <c r="M1075" s="28" t="s">
        <v>805</v>
      </c>
      <c r="N1075" t="s">
        <v>313</v>
      </c>
    </row>
    <row r="1076" spans="1:14" hidden="1" x14ac:dyDescent="0.25">
      <c r="A1076" t="s">
        <v>13708</v>
      </c>
      <c r="B1076" t="s">
        <v>13709</v>
      </c>
      <c r="C1076" t="s">
        <v>1179</v>
      </c>
      <c r="D1076" t="s">
        <v>13710</v>
      </c>
      <c r="E1076" s="28" t="s">
        <v>890</v>
      </c>
      <c r="F1076" t="s">
        <v>891</v>
      </c>
      <c r="G1076" t="s">
        <v>11</v>
      </c>
      <c r="M1076" s="28" t="s">
        <v>413</v>
      </c>
      <c r="N1076" t="s">
        <v>313</v>
      </c>
    </row>
    <row r="1077" spans="1:14" hidden="1" x14ac:dyDescent="0.25">
      <c r="A1077" t="s">
        <v>10477</v>
      </c>
      <c r="B1077" t="s">
        <v>6614</v>
      </c>
      <c r="C1077" t="s">
        <v>6615</v>
      </c>
      <c r="D1077" t="s">
        <v>6616</v>
      </c>
      <c r="E1077" s="28" t="s">
        <v>890</v>
      </c>
      <c r="F1077" t="s">
        <v>415</v>
      </c>
      <c r="G1077" t="s">
        <v>131</v>
      </c>
      <c r="M1077" s="28" t="s">
        <v>14242</v>
      </c>
    </row>
    <row r="1078" spans="1:14" hidden="1" x14ac:dyDescent="0.25">
      <c r="A1078" t="s">
        <v>11859</v>
      </c>
      <c r="B1078" t="s">
        <v>11860</v>
      </c>
      <c r="C1078" t="s">
        <v>3974</v>
      </c>
      <c r="D1078" t="s">
        <v>11861</v>
      </c>
      <c r="E1078" s="28" t="s">
        <v>1177</v>
      </c>
      <c r="F1078" t="s">
        <v>891</v>
      </c>
      <c r="G1078" t="s">
        <v>88</v>
      </c>
      <c r="M1078" s="28" t="s">
        <v>549</v>
      </c>
      <c r="N1078" t="s">
        <v>313</v>
      </c>
    </row>
    <row r="1079" spans="1:14" hidden="1" x14ac:dyDescent="0.25">
      <c r="A1079" t="s">
        <v>11856</v>
      </c>
      <c r="B1079" t="s">
        <v>11853</v>
      </c>
      <c r="C1079" t="s">
        <v>11857</v>
      </c>
      <c r="D1079" t="s">
        <v>11858</v>
      </c>
      <c r="E1079" s="28" t="s">
        <v>1177</v>
      </c>
      <c r="F1079" t="s">
        <v>891</v>
      </c>
      <c r="G1079" t="s">
        <v>88</v>
      </c>
      <c r="M1079" s="28" t="s">
        <v>549</v>
      </c>
      <c r="N1079" t="s">
        <v>313</v>
      </c>
    </row>
    <row r="1080" spans="1:14" hidden="1" x14ac:dyDescent="0.25">
      <c r="A1080" t="s">
        <v>11852</v>
      </c>
      <c r="B1080" t="s">
        <v>11853</v>
      </c>
      <c r="C1080" t="s">
        <v>11854</v>
      </c>
      <c r="D1080" t="s">
        <v>11855</v>
      </c>
      <c r="E1080" s="28" t="s">
        <v>896</v>
      </c>
      <c r="F1080" t="s">
        <v>891</v>
      </c>
      <c r="G1080" t="s">
        <v>88</v>
      </c>
      <c r="M1080" s="28" t="s">
        <v>549</v>
      </c>
      <c r="N1080" t="s">
        <v>313</v>
      </c>
    </row>
    <row r="1081" spans="1:14" hidden="1" x14ac:dyDescent="0.25">
      <c r="A1081" t="s">
        <v>14120</v>
      </c>
      <c r="B1081" t="s">
        <v>2572</v>
      </c>
      <c r="C1081" t="s">
        <v>1134</v>
      </c>
      <c r="D1081" t="s">
        <v>14121</v>
      </c>
      <c r="E1081" s="28" t="s">
        <v>896</v>
      </c>
      <c r="F1081" t="s">
        <v>504</v>
      </c>
      <c r="G1081" t="s">
        <v>11</v>
      </c>
      <c r="M1081" s="28" t="s">
        <v>413</v>
      </c>
      <c r="N1081" t="s">
        <v>313</v>
      </c>
    </row>
    <row r="1082" spans="1:14" hidden="1" x14ac:dyDescent="0.25">
      <c r="A1082" t="s">
        <v>8586</v>
      </c>
      <c r="B1082" t="s">
        <v>2572</v>
      </c>
      <c r="C1082" t="s">
        <v>1175</v>
      </c>
      <c r="D1082" t="s">
        <v>2573</v>
      </c>
      <c r="E1082" s="28" t="s">
        <v>896</v>
      </c>
      <c r="F1082" t="s">
        <v>891</v>
      </c>
      <c r="G1082" t="s">
        <v>11</v>
      </c>
      <c r="M1082" s="28" t="s">
        <v>413</v>
      </c>
      <c r="N1082" t="s">
        <v>313</v>
      </c>
    </row>
    <row r="1083" spans="1:14" hidden="1" x14ac:dyDescent="0.25">
      <c r="A1083" t="s">
        <v>14281</v>
      </c>
      <c r="B1083" t="s">
        <v>14282</v>
      </c>
      <c r="C1083" t="s">
        <v>3034</v>
      </c>
      <c r="D1083" t="s">
        <v>14483</v>
      </c>
      <c r="E1083" s="28" t="s">
        <v>890</v>
      </c>
      <c r="F1083" t="s">
        <v>588</v>
      </c>
      <c r="G1083" t="s">
        <v>88</v>
      </c>
      <c r="M1083" s="28" t="s">
        <v>549</v>
      </c>
      <c r="N1083" t="s">
        <v>313</v>
      </c>
    </row>
    <row r="1084" spans="1:14" hidden="1" x14ac:dyDescent="0.25">
      <c r="A1084" t="s">
        <v>8002</v>
      </c>
      <c r="B1084" t="s">
        <v>1069</v>
      </c>
      <c r="C1084" t="s">
        <v>1070</v>
      </c>
      <c r="D1084" t="s">
        <v>1071</v>
      </c>
      <c r="E1084" s="28" t="s">
        <v>896</v>
      </c>
      <c r="F1084" t="s">
        <v>280</v>
      </c>
      <c r="G1084" t="s">
        <v>31</v>
      </c>
      <c r="M1084" s="28" t="s">
        <v>278</v>
      </c>
      <c r="N1084" t="s">
        <v>279</v>
      </c>
    </row>
    <row r="1085" spans="1:14" hidden="1" x14ac:dyDescent="0.25">
      <c r="A1085" t="s">
        <v>8008</v>
      </c>
      <c r="B1085" t="s">
        <v>1069</v>
      </c>
      <c r="C1085" t="s">
        <v>1092</v>
      </c>
      <c r="D1085" t="s">
        <v>1093</v>
      </c>
      <c r="E1085" s="28" t="s">
        <v>890</v>
      </c>
      <c r="F1085" t="s">
        <v>280</v>
      </c>
      <c r="G1085" t="s">
        <v>31</v>
      </c>
      <c r="M1085" s="28" t="s">
        <v>278</v>
      </c>
      <c r="N1085" t="s">
        <v>279</v>
      </c>
    </row>
    <row r="1086" spans="1:14" hidden="1" x14ac:dyDescent="0.25">
      <c r="A1086" t="s">
        <v>12639</v>
      </c>
      <c r="B1086" t="s">
        <v>12640</v>
      </c>
      <c r="C1086" t="s">
        <v>1269</v>
      </c>
      <c r="D1086" t="s">
        <v>12641</v>
      </c>
      <c r="E1086" s="28" t="s">
        <v>896</v>
      </c>
      <c r="F1086" t="s">
        <v>819</v>
      </c>
      <c r="G1086" t="s">
        <v>98</v>
      </c>
      <c r="M1086" s="28" t="s">
        <v>820</v>
      </c>
      <c r="N1086" t="s">
        <v>313</v>
      </c>
    </row>
    <row r="1087" spans="1:14" hidden="1" x14ac:dyDescent="0.25">
      <c r="A1087" t="s">
        <v>8432</v>
      </c>
      <c r="B1087" t="s">
        <v>2207</v>
      </c>
      <c r="C1087" t="s">
        <v>1224</v>
      </c>
      <c r="D1087" t="s">
        <v>2208</v>
      </c>
      <c r="E1087" s="28" t="s">
        <v>890</v>
      </c>
      <c r="F1087" t="s">
        <v>39</v>
      </c>
      <c r="G1087" t="s">
        <v>65</v>
      </c>
      <c r="M1087" s="28" t="s">
        <v>14209</v>
      </c>
    </row>
    <row r="1088" spans="1:14" hidden="1" x14ac:dyDescent="0.25">
      <c r="A1088" t="s">
        <v>8452</v>
      </c>
      <c r="B1088" t="s">
        <v>2233</v>
      </c>
      <c r="C1088" t="s">
        <v>2254</v>
      </c>
      <c r="D1088" t="s">
        <v>2255</v>
      </c>
      <c r="E1088" s="28" t="s">
        <v>890</v>
      </c>
      <c r="F1088" t="s">
        <v>408</v>
      </c>
      <c r="G1088" t="s">
        <v>65</v>
      </c>
      <c r="M1088" s="28" t="s">
        <v>14209</v>
      </c>
    </row>
    <row r="1089" spans="1:14" hidden="1" x14ac:dyDescent="0.25">
      <c r="A1089" t="s">
        <v>8443</v>
      </c>
      <c r="B1089" t="s">
        <v>2233</v>
      </c>
      <c r="C1089" t="s">
        <v>2234</v>
      </c>
      <c r="D1089" t="s">
        <v>2235</v>
      </c>
      <c r="E1089" s="28" t="s">
        <v>890</v>
      </c>
      <c r="F1089" t="s">
        <v>408</v>
      </c>
      <c r="G1089" t="s">
        <v>65</v>
      </c>
      <c r="M1089" s="28" t="s">
        <v>14209</v>
      </c>
    </row>
    <row r="1090" spans="1:14" hidden="1" x14ac:dyDescent="0.25">
      <c r="A1090" t="s">
        <v>8453</v>
      </c>
      <c r="B1090" t="s">
        <v>2233</v>
      </c>
      <c r="C1090" t="s">
        <v>1105</v>
      </c>
      <c r="D1090" t="s">
        <v>2256</v>
      </c>
      <c r="E1090" s="28" t="s">
        <v>890</v>
      </c>
      <c r="F1090" t="s">
        <v>408</v>
      </c>
      <c r="G1090" t="s">
        <v>65</v>
      </c>
      <c r="M1090" s="28" t="s">
        <v>14209</v>
      </c>
    </row>
    <row r="1091" spans="1:14" hidden="1" x14ac:dyDescent="0.25">
      <c r="A1091" t="s">
        <v>8451</v>
      </c>
      <c r="B1091" t="s">
        <v>2233</v>
      </c>
      <c r="C1091" t="s">
        <v>2252</v>
      </c>
      <c r="D1091" t="s">
        <v>2253</v>
      </c>
      <c r="E1091" s="28" t="s">
        <v>896</v>
      </c>
      <c r="F1091" t="s">
        <v>408</v>
      </c>
      <c r="G1091" t="s">
        <v>65</v>
      </c>
      <c r="M1091" s="28" t="s">
        <v>14209</v>
      </c>
    </row>
    <row r="1092" spans="1:14" hidden="1" x14ac:dyDescent="0.25">
      <c r="A1092" t="s">
        <v>10770</v>
      </c>
      <c r="B1092" t="s">
        <v>7256</v>
      </c>
      <c r="C1092" t="s">
        <v>1061</v>
      </c>
      <c r="D1092" t="s">
        <v>7257</v>
      </c>
      <c r="E1092" s="28" t="s">
        <v>896</v>
      </c>
      <c r="F1092" t="s">
        <v>7258</v>
      </c>
      <c r="G1092" t="s">
        <v>152</v>
      </c>
      <c r="M1092" s="28"/>
    </row>
    <row r="1093" spans="1:14" hidden="1" x14ac:dyDescent="0.25">
      <c r="A1093" t="s">
        <v>10077</v>
      </c>
      <c r="B1093" t="s">
        <v>5717</v>
      </c>
      <c r="C1093" t="s">
        <v>4557</v>
      </c>
      <c r="D1093" t="s">
        <v>5720</v>
      </c>
      <c r="E1093" s="28" t="s">
        <v>1177</v>
      </c>
      <c r="F1093" t="s">
        <v>4590</v>
      </c>
      <c r="G1093" t="s">
        <v>15</v>
      </c>
      <c r="M1093" s="28" t="s">
        <v>613</v>
      </c>
      <c r="N1093" t="s">
        <v>313</v>
      </c>
    </row>
    <row r="1094" spans="1:14" hidden="1" x14ac:dyDescent="0.25">
      <c r="A1094" t="s">
        <v>10076</v>
      </c>
      <c r="B1094" t="s">
        <v>5717</v>
      </c>
      <c r="C1094" t="s">
        <v>5718</v>
      </c>
      <c r="D1094" t="s">
        <v>5719</v>
      </c>
      <c r="E1094" s="28" t="s">
        <v>890</v>
      </c>
      <c r="F1094" t="s">
        <v>4555</v>
      </c>
      <c r="G1094" t="s">
        <v>15</v>
      </c>
      <c r="M1094" s="28" t="s">
        <v>613</v>
      </c>
      <c r="N1094" t="s">
        <v>313</v>
      </c>
    </row>
    <row r="1095" spans="1:14" hidden="1" x14ac:dyDescent="0.25">
      <c r="A1095" t="s">
        <v>10075</v>
      </c>
      <c r="B1095" t="s">
        <v>5715</v>
      </c>
      <c r="C1095" t="s">
        <v>1694</v>
      </c>
      <c r="D1095" t="s">
        <v>5716</v>
      </c>
      <c r="E1095" s="28" t="s">
        <v>890</v>
      </c>
      <c r="F1095" t="s">
        <v>648</v>
      </c>
      <c r="G1095" t="s">
        <v>15</v>
      </c>
      <c r="M1095" s="28" t="s">
        <v>613</v>
      </c>
      <c r="N1095" t="s">
        <v>313</v>
      </c>
    </row>
    <row r="1096" spans="1:14" hidden="1" x14ac:dyDescent="0.25">
      <c r="A1096" t="s">
        <v>8616</v>
      </c>
      <c r="B1096" t="s">
        <v>2645</v>
      </c>
      <c r="C1096" t="s">
        <v>994</v>
      </c>
      <c r="D1096" t="s">
        <v>2646</v>
      </c>
      <c r="E1096" s="28" t="s">
        <v>890</v>
      </c>
      <c r="F1096" t="s">
        <v>172</v>
      </c>
      <c r="G1096" t="s">
        <v>74</v>
      </c>
      <c r="M1096" s="28" t="s">
        <v>507</v>
      </c>
      <c r="N1096" t="s">
        <v>313</v>
      </c>
    </row>
    <row r="1097" spans="1:14" hidden="1" x14ac:dyDescent="0.25">
      <c r="A1097" t="s">
        <v>8894</v>
      </c>
      <c r="B1097" t="s">
        <v>3290</v>
      </c>
      <c r="C1097" t="s">
        <v>3291</v>
      </c>
      <c r="D1097" t="s">
        <v>3292</v>
      </c>
      <c r="E1097" s="28" t="s">
        <v>930</v>
      </c>
      <c r="F1097" t="s">
        <v>891</v>
      </c>
      <c r="G1097" t="s">
        <v>88</v>
      </c>
      <c r="M1097" s="28" t="s">
        <v>549</v>
      </c>
      <c r="N1097" t="s">
        <v>313</v>
      </c>
    </row>
    <row r="1098" spans="1:14" hidden="1" x14ac:dyDescent="0.25">
      <c r="A1098" t="s">
        <v>8895</v>
      </c>
      <c r="B1098" t="s">
        <v>3290</v>
      </c>
      <c r="C1098" t="s">
        <v>3293</v>
      </c>
      <c r="D1098" t="s">
        <v>3294</v>
      </c>
      <c r="E1098" s="28" t="s">
        <v>930</v>
      </c>
      <c r="F1098" t="s">
        <v>891</v>
      </c>
      <c r="G1098" t="s">
        <v>88</v>
      </c>
      <c r="M1098" s="28" t="s">
        <v>549</v>
      </c>
      <c r="N1098" t="s">
        <v>313</v>
      </c>
    </row>
    <row r="1099" spans="1:14" hidden="1" x14ac:dyDescent="0.25">
      <c r="A1099" t="s">
        <v>13329</v>
      </c>
      <c r="B1099" t="s">
        <v>13330</v>
      </c>
      <c r="C1099" t="s">
        <v>3738</v>
      </c>
      <c r="D1099" t="s">
        <v>13331</v>
      </c>
      <c r="E1099" s="28" t="s">
        <v>890</v>
      </c>
      <c r="F1099" t="s">
        <v>588</v>
      </c>
      <c r="G1099" t="s">
        <v>88</v>
      </c>
      <c r="M1099" s="28" t="s">
        <v>549</v>
      </c>
      <c r="N1099" t="s">
        <v>313</v>
      </c>
    </row>
    <row r="1100" spans="1:14" hidden="1" x14ac:dyDescent="0.25">
      <c r="A1100" t="s">
        <v>13334</v>
      </c>
      <c r="B1100" t="s">
        <v>13330</v>
      </c>
      <c r="C1100" t="s">
        <v>3134</v>
      </c>
      <c r="D1100" t="s">
        <v>13335</v>
      </c>
      <c r="E1100" s="28" t="s">
        <v>1177</v>
      </c>
      <c r="F1100" t="s">
        <v>588</v>
      </c>
      <c r="G1100" t="s">
        <v>88</v>
      </c>
      <c r="M1100" s="28" t="s">
        <v>549</v>
      </c>
      <c r="N1100" t="s">
        <v>313</v>
      </c>
    </row>
    <row r="1101" spans="1:14" hidden="1" x14ac:dyDescent="0.25">
      <c r="A1101" t="s">
        <v>8482</v>
      </c>
      <c r="B1101" t="s">
        <v>2320</v>
      </c>
      <c r="C1101" t="s">
        <v>2321</v>
      </c>
      <c r="D1101" t="s">
        <v>2322</v>
      </c>
      <c r="E1101" s="28" t="s">
        <v>890</v>
      </c>
      <c r="F1101" t="s">
        <v>408</v>
      </c>
      <c r="G1101" t="s">
        <v>65</v>
      </c>
      <c r="M1101" s="28" t="s">
        <v>14209</v>
      </c>
    </row>
    <row r="1102" spans="1:14" hidden="1" x14ac:dyDescent="0.25">
      <c r="A1102" t="s">
        <v>12473</v>
      </c>
      <c r="B1102" t="s">
        <v>12474</v>
      </c>
      <c r="C1102" t="s">
        <v>2627</v>
      </c>
      <c r="D1102" t="s">
        <v>11671</v>
      </c>
      <c r="E1102" s="28" t="s">
        <v>896</v>
      </c>
      <c r="F1102" t="s">
        <v>172</v>
      </c>
      <c r="G1102" t="s">
        <v>74</v>
      </c>
      <c r="M1102" s="28" t="s">
        <v>507</v>
      </c>
      <c r="N1102" t="s">
        <v>313</v>
      </c>
    </row>
    <row r="1103" spans="1:14" hidden="1" x14ac:dyDescent="0.25">
      <c r="A1103" t="s">
        <v>10072</v>
      </c>
      <c r="B1103" t="s">
        <v>5708</v>
      </c>
      <c r="C1103" t="s">
        <v>906</v>
      </c>
      <c r="D1103" t="s">
        <v>5712</v>
      </c>
      <c r="E1103" s="28" t="s">
        <v>890</v>
      </c>
      <c r="F1103" t="s">
        <v>705</v>
      </c>
      <c r="G1103" t="s">
        <v>15</v>
      </c>
      <c r="M1103" s="28" t="s">
        <v>613</v>
      </c>
      <c r="N1103" t="s">
        <v>313</v>
      </c>
    </row>
    <row r="1104" spans="1:14" hidden="1" x14ac:dyDescent="0.25">
      <c r="A1104" t="s">
        <v>10073</v>
      </c>
      <c r="B1104" t="s">
        <v>5708</v>
      </c>
      <c r="C1104" t="s">
        <v>4781</v>
      </c>
      <c r="D1104" t="s">
        <v>5713</v>
      </c>
      <c r="E1104" s="28" t="s">
        <v>930</v>
      </c>
      <c r="F1104" t="s">
        <v>705</v>
      </c>
      <c r="G1104" t="s">
        <v>15</v>
      </c>
      <c r="M1104" s="28" t="s">
        <v>613</v>
      </c>
      <c r="N1104" t="s">
        <v>313</v>
      </c>
    </row>
    <row r="1105" spans="1:14" hidden="1" x14ac:dyDescent="0.25">
      <c r="A1105" t="s">
        <v>10070</v>
      </c>
      <c r="B1105" t="s">
        <v>5708</v>
      </c>
      <c r="C1105" t="s">
        <v>5709</v>
      </c>
      <c r="D1105" t="s">
        <v>5710</v>
      </c>
      <c r="E1105" s="28" t="s">
        <v>890</v>
      </c>
      <c r="F1105" t="s">
        <v>631</v>
      </c>
      <c r="G1105" t="s">
        <v>15</v>
      </c>
      <c r="M1105" s="28" t="s">
        <v>613</v>
      </c>
      <c r="N1105" t="s">
        <v>313</v>
      </c>
    </row>
    <row r="1106" spans="1:14" hidden="1" x14ac:dyDescent="0.25">
      <c r="A1106" t="s">
        <v>13711</v>
      </c>
      <c r="B1106" t="s">
        <v>5708</v>
      </c>
      <c r="C1106" t="s">
        <v>4640</v>
      </c>
      <c r="D1106" t="s">
        <v>13712</v>
      </c>
      <c r="E1106" s="28" t="s">
        <v>890</v>
      </c>
      <c r="F1106" t="s">
        <v>212</v>
      </c>
      <c r="G1106" t="s">
        <v>15</v>
      </c>
      <c r="M1106" s="28" t="s">
        <v>613</v>
      </c>
      <c r="N1106" t="s">
        <v>313</v>
      </c>
    </row>
    <row r="1107" spans="1:14" hidden="1" x14ac:dyDescent="0.25">
      <c r="A1107" t="s">
        <v>10071</v>
      </c>
      <c r="B1107" t="s">
        <v>5708</v>
      </c>
      <c r="C1107" t="s">
        <v>4719</v>
      </c>
      <c r="D1107" t="s">
        <v>5711</v>
      </c>
      <c r="E1107" s="28" t="s">
        <v>930</v>
      </c>
      <c r="F1107" t="s">
        <v>227</v>
      </c>
      <c r="G1107" t="s">
        <v>15</v>
      </c>
      <c r="M1107" s="28" t="s">
        <v>613</v>
      </c>
      <c r="N1107" t="s">
        <v>313</v>
      </c>
    </row>
    <row r="1108" spans="1:14" hidden="1" x14ac:dyDescent="0.25">
      <c r="A1108" t="s">
        <v>10074</v>
      </c>
      <c r="B1108" t="s">
        <v>5708</v>
      </c>
      <c r="C1108" t="s">
        <v>4536</v>
      </c>
      <c r="D1108" t="s">
        <v>5714</v>
      </c>
      <c r="E1108" s="28" t="s">
        <v>890</v>
      </c>
      <c r="F1108" t="s">
        <v>195</v>
      </c>
      <c r="G1108" t="s">
        <v>15</v>
      </c>
      <c r="M1108" s="28" t="s">
        <v>613</v>
      </c>
      <c r="N1108" t="s">
        <v>313</v>
      </c>
    </row>
    <row r="1109" spans="1:14" hidden="1" x14ac:dyDescent="0.25">
      <c r="A1109" t="s">
        <v>10810</v>
      </c>
      <c r="B1109" t="s">
        <v>1583</v>
      </c>
      <c r="C1109" t="s">
        <v>1312</v>
      </c>
      <c r="D1109" t="s">
        <v>7351</v>
      </c>
      <c r="E1109" s="28" t="s">
        <v>890</v>
      </c>
      <c r="F1109" t="s">
        <v>263</v>
      </c>
      <c r="G1109" t="s">
        <v>157</v>
      </c>
      <c r="M1109" s="28" t="s">
        <v>840</v>
      </c>
      <c r="N1109" t="s">
        <v>382</v>
      </c>
    </row>
    <row r="1110" spans="1:14" hidden="1" x14ac:dyDescent="0.25">
      <c r="A1110" t="s">
        <v>11228</v>
      </c>
      <c r="B1110" t="s">
        <v>11229</v>
      </c>
      <c r="C1110" t="s">
        <v>10998</v>
      </c>
      <c r="D1110" t="s">
        <v>11230</v>
      </c>
      <c r="E1110" s="28" t="s">
        <v>890</v>
      </c>
      <c r="F1110" t="s">
        <v>182</v>
      </c>
      <c r="G1110" t="s">
        <v>84</v>
      </c>
      <c r="M1110" s="28" t="s">
        <v>14223</v>
      </c>
      <c r="N1110" t="s">
        <v>313</v>
      </c>
    </row>
    <row r="1111" spans="1:14" hidden="1" x14ac:dyDescent="0.25">
      <c r="A1111" t="s">
        <v>10069</v>
      </c>
      <c r="B1111" t="s">
        <v>5706</v>
      </c>
      <c r="C1111" t="s">
        <v>4726</v>
      </c>
      <c r="D1111" t="s">
        <v>5707</v>
      </c>
      <c r="E1111" s="28" t="s">
        <v>896</v>
      </c>
      <c r="F1111" t="s">
        <v>197</v>
      </c>
      <c r="G1111" t="s">
        <v>15</v>
      </c>
      <c r="M1111" s="28" t="s">
        <v>613</v>
      </c>
      <c r="N1111" t="s">
        <v>313</v>
      </c>
    </row>
    <row r="1112" spans="1:14" hidden="1" x14ac:dyDescent="0.25">
      <c r="A1112" t="s">
        <v>8896</v>
      </c>
      <c r="B1112" t="s">
        <v>3295</v>
      </c>
      <c r="C1112" t="s">
        <v>3034</v>
      </c>
      <c r="D1112" t="s">
        <v>3296</v>
      </c>
      <c r="E1112" s="28" t="s">
        <v>890</v>
      </c>
      <c r="F1112" t="s">
        <v>609</v>
      </c>
      <c r="G1112" t="s">
        <v>88</v>
      </c>
      <c r="M1112" s="28" t="s">
        <v>549</v>
      </c>
      <c r="N1112" t="s">
        <v>313</v>
      </c>
    </row>
    <row r="1113" spans="1:14" hidden="1" x14ac:dyDescent="0.25">
      <c r="A1113" t="s">
        <v>12126</v>
      </c>
      <c r="B1113" t="s">
        <v>7524</v>
      </c>
      <c r="C1113" t="s">
        <v>1324</v>
      </c>
      <c r="D1113" t="s">
        <v>12127</v>
      </c>
      <c r="E1113" s="28" t="s">
        <v>890</v>
      </c>
      <c r="F1113" t="s">
        <v>7516</v>
      </c>
      <c r="G1113" t="s">
        <v>162</v>
      </c>
      <c r="M1113" s="28" t="s">
        <v>7517</v>
      </c>
      <c r="N1113" t="s">
        <v>313</v>
      </c>
    </row>
    <row r="1114" spans="1:14" hidden="1" x14ac:dyDescent="0.25">
      <c r="A1114" t="s">
        <v>10880</v>
      </c>
      <c r="B1114" t="s">
        <v>7524</v>
      </c>
      <c r="C1114" t="s">
        <v>7525</v>
      </c>
      <c r="D1114" t="s">
        <v>11256</v>
      </c>
      <c r="E1114" s="28" t="s">
        <v>890</v>
      </c>
      <c r="F1114" t="s">
        <v>11222</v>
      </c>
      <c r="G1114" t="s">
        <v>84</v>
      </c>
      <c r="M1114" s="28" t="s">
        <v>14223</v>
      </c>
      <c r="N1114" t="s">
        <v>313</v>
      </c>
    </row>
    <row r="1115" spans="1:14" hidden="1" x14ac:dyDescent="0.25">
      <c r="A1115" t="s">
        <v>8018</v>
      </c>
      <c r="B1115" t="s">
        <v>1129</v>
      </c>
      <c r="C1115" t="s">
        <v>1130</v>
      </c>
      <c r="D1115" t="s">
        <v>1131</v>
      </c>
      <c r="E1115" s="28" t="s">
        <v>896</v>
      </c>
      <c r="F1115" t="s">
        <v>303</v>
      </c>
      <c r="G1115" t="s">
        <v>31</v>
      </c>
      <c r="M1115" s="28" t="s">
        <v>278</v>
      </c>
      <c r="N1115" t="s">
        <v>279</v>
      </c>
    </row>
    <row r="1116" spans="1:14" hidden="1" x14ac:dyDescent="0.25">
      <c r="A1116" t="s">
        <v>13256</v>
      </c>
      <c r="B1116" t="s">
        <v>13257</v>
      </c>
      <c r="C1116" t="s">
        <v>1269</v>
      </c>
      <c r="D1116" t="s">
        <v>13258</v>
      </c>
      <c r="E1116" s="28" t="s">
        <v>896</v>
      </c>
      <c r="F1116" t="s">
        <v>13188</v>
      </c>
      <c r="G1116" t="s">
        <v>11</v>
      </c>
      <c r="M1116" s="28" t="s">
        <v>413</v>
      </c>
      <c r="N1116" t="s">
        <v>313</v>
      </c>
    </row>
    <row r="1117" spans="1:14" hidden="1" x14ac:dyDescent="0.25">
      <c r="A1117" t="s">
        <v>12503</v>
      </c>
      <c r="B1117" t="s">
        <v>4495</v>
      </c>
      <c r="C1117" t="s">
        <v>3134</v>
      </c>
      <c r="D1117" t="s">
        <v>12504</v>
      </c>
      <c r="E1117" s="28" t="s">
        <v>1177</v>
      </c>
      <c r="F1117" t="s">
        <v>13206</v>
      </c>
      <c r="G1117" t="s">
        <v>88</v>
      </c>
      <c r="M1117" s="28" t="s">
        <v>549</v>
      </c>
      <c r="N1117" t="s">
        <v>313</v>
      </c>
    </row>
    <row r="1118" spans="1:14" hidden="1" x14ac:dyDescent="0.25">
      <c r="A1118" t="s">
        <v>9499</v>
      </c>
      <c r="B1118" t="s">
        <v>4495</v>
      </c>
      <c r="C1118" t="s">
        <v>3526</v>
      </c>
      <c r="D1118" t="s">
        <v>4496</v>
      </c>
      <c r="E1118" s="28" t="s">
        <v>1023</v>
      </c>
      <c r="F1118" t="s">
        <v>13206</v>
      </c>
      <c r="G1118" t="s">
        <v>88</v>
      </c>
      <c r="M1118" s="28" t="s">
        <v>549</v>
      </c>
      <c r="N1118" t="s">
        <v>313</v>
      </c>
    </row>
    <row r="1119" spans="1:14" hidden="1" x14ac:dyDescent="0.25">
      <c r="A1119" t="s">
        <v>8034</v>
      </c>
      <c r="B1119" t="s">
        <v>1195</v>
      </c>
      <c r="C1119" t="s">
        <v>1196</v>
      </c>
      <c r="D1119" t="s">
        <v>1197</v>
      </c>
      <c r="E1119" s="28" t="s">
        <v>896</v>
      </c>
      <c r="F1119" t="s">
        <v>35</v>
      </c>
      <c r="G1119" t="s">
        <v>34</v>
      </c>
      <c r="M1119" s="28" t="s">
        <v>12353</v>
      </c>
      <c r="N1119" t="s">
        <v>313</v>
      </c>
    </row>
    <row r="1120" spans="1:14" hidden="1" x14ac:dyDescent="0.25">
      <c r="A1120" t="s">
        <v>8035</v>
      </c>
      <c r="B1120" t="s">
        <v>1195</v>
      </c>
      <c r="C1120" t="s">
        <v>1060</v>
      </c>
      <c r="D1120" t="s">
        <v>1198</v>
      </c>
      <c r="E1120" s="28" t="s">
        <v>890</v>
      </c>
      <c r="F1120" t="s">
        <v>35</v>
      </c>
      <c r="G1120" t="s">
        <v>34</v>
      </c>
      <c r="M1120" s="28" t="s">
        <v>12353</v>
      </c>
      <c r="N1120" t="s">
        <v>313</v>
      </c>
    </row>
    <row r="1121" spans="1:14" hidden="1" x14ac:dyDescent="0.25">
      <c r="A1121" t="s">
        <v>10811</v>
      </c>
      <c r="B1121" t="s">
        <v>7352</v>
      </c>
      <c r="C1121" t="s">
        <v>1099</v>
      </c>
      <c r="D1121" t="s">
        <v>7353</v>
      </c>
      <c r="E1121" s="28" t="s">
        <v>896</v>
      </c>
      <c r="F1121" t="s">
        <v>4635</v>
      </c>
      <c r="G1121" t="s">
        <v>157</v>
      </c>
      <c r="M1121" s="28" t="s">
        <v>840</v>
      </c>
      <c r="N1121" t="s">
        <v>382</v>
      </c>
    </row>
    <row r="1122" spans="1:14" hidden="1" x14ac:dyDescent="0.25">
      <c r="A1122" t="s">
        <v>12911</v>
      </c>
      <c r="B1122" t="s">
        <v>12912</v>
      </c>
      <c r="C1122" t="s">
        <v>1978</v>
      </c>
      <c r="D1122" t="s">
        <v>12913</v>
      </c>
      <c r="E1122" s="28" t="s">
        <v>896</v>
      </c>
      <c r="F1122" t="s">
        <v>12865</v>
      </c>
      <c r="G1122" t="s">
        <v>15</v>
      </c>
      <c r="M1122" s="28" t="s">
        <v>613</v>
      </c>
      <c r="N1122" t="s">
        <v>313</v>
      </c>
    </row>
    <row r="1123" spans="1:14" hidden="1" x14ac:dyDescent="0.25">
      <c r="A1123" t="s">
        <v>10633</v>
      </c>
      <c r="B1123" t="s">
        <v>6923</v>
      </c>
      <c r="C1123" t="s">
        <v>6924</v>
      </c>
      <c r="D1123" t="s">
        <v>6925</v>
      </c>
      <c r="E1123" s="28" t="s">
        <v>890</v>
      </c>
      <c r="F1123" t="s">
        <v>6901</v>
      </c>
      <c r="G1123" t="s">
        <v>6896</v>
      </c>
      <c r="M1123" s="28" t="s">
        <v>6897</v>
      </c>
      <c r="N1123" t="s">
        <v>279</v>
      </c>
    </row>
    <row r="1124" spans="1:14" hidden="1" x14ac:dyDescent="0.25">
      <c r="A1124" t="s">
        <v>10660</v>
      </c>
      <c r="B1124" t="s">
        <v>6923</v>
      </c>
      <c r="C1124" t="s">
        <v>6912</v>
      </c>
      <c r="D1124" t="s">
        <v>6994</v>
      </c>
      <c r="E1124" s="28" t="s">
        <v>890</v>
      </c>
      <c r="F1124" t="s">
        <v>255</v>
      </c>
      <c r="G1124" t="s">
        <v>6896</v>
      </c>
      <c r="M1124" s="28" t="s">
        <v>6897</v>
      </c>
      <c r="N1124" t="s">
        <v>279</v>
      </c>
    </row>
    <row r="1125" spans="1:14" hidden="1" x14ac:dyDescent="0.25">
      <c r="A1125" t="s">
        <v>13713</v>
      </c>
      <c r="B1125" t="s">
        <v>13714</v>
      </c>
      <c r="C1125" t="s">
        <v>1058</v>
      </c>
      <c r="D1125" t="s">
        <v>13715</v>
      </c>
      <c r="E1125" s="28" t="s">
        <v>896</v>
      </c>
      <c r="F1125" t="s">
        <v>429</v>
      </c>
      <c r="G1125" t="s">
        <v>11</v>
      </c>
      <c r="M1125" s="28" t="s">
        <v>413</v>
      </c>
      <c r="N1125" t="s">
        <v>313</v>
      </c>
    </row>
    <row r="1126" spans="1:14" hidden="1" x14ac:dyDescent="0.25">
      <c r="A1126" t="s">
        <v>14484</v>
      </c>
      <c r="B1126" t="s">
        <v>14485</v>
      </c>
      <c r="C1126" t="s">
        <v>12824</v>
      </c>
      <c r="D1126" t="s">
        <v>14486</v>
      </c>
      <c r="E1126" s="28" t="s">
        <v>1177</v>
      </c>
      <c r="F1126" t="s">
        <v>14487</v>
      </c>
      <c r="G1126" t="s">
        <v>38</v>
      </c>
      <c r="M1126" s="28"/>
    </row>
    <row r="1127" spans="1:14" hidden="1" x14ac:dyDescent="0.25">
      <c r="A1127" t="s">
        <v>14488</v>
      </c>
      <c r="B1127" t="s">
        <v>14485</v>
      </c>
      <c r="C1127" t="s">
        <v>1061</v>
      </c>
      <c r="D1127" t="s">
        <v>14489</v>
      </c>
      <c r="E1127" s="28" t="s">
        <v>890</v>
      </c>
      <c r="F1127" t="s">
        <v>14487</v>
      </c>
      <c r="G1127" t="s">
        <v>38</v>
      </c>
      <c r="M1127" s="28"/>
    </row>
    <row r="1128" spans="1:14" hidden="1" x14ac:dyDescent="0.25">
      <c r="A1128" t="s">
        <v>10068</v>
      </c>
      <c r="B1128" t="s">
        <v>5704</v>
      </c>
      <c r="C1128" t="s">
        <v>1269</v>
      </c>
      <c r="D1128" t="s">
        <v>5705</v>
      </c>
      <c r="E1128" s="28" t="s">
        <v>890</v>
      </c>
      <c r="F1128" t="s">
        <v>688</v>
      </c>
      <c r="G1128" t="s">
        <v>15</v>
      </c>
      <c r="M1128" s="28" t="s">
        <v>613</v>
      </c>
      <c r="N1128" t="s">
        <v>313</v>
      </c>
    </row>
    <row r="1129" spans="1:14" hidden="1" x14ac:dyDescent="0.25">
      <c r="A1129" t="s">
        <v>8897</v>
      </c>
      <c r="B1129" t="s">
        <v>3297</v>
      </c>
      <c r="C1129" t="s">
        <v>3298</v>
      </c>
      <c r="D1129" t="s">
        <v>3299</v>
      </c>
      <c r="E1129" s="28" t="s">
        <v>896</v>
      </c>
      <c r="F1129" t="s">
        <v>891</v>
      </c>
      <c r="G1129" t="s">
        <v>88</v>
      </c>
      <c r="M1129" s="28" t="s">
        <v>549</v>
      </c>
      <c r="N1129" t="s">
        <v>313</v>
      </c>
    </row>
    <row r="1130" spans="1:14" hidden="1" x14ac:dyDescent="0.25">
      <c r="A1130" t="s">
        <v>8898</v>
      </c>
      <c r="B1130" t="s">
        <v>3297</v>
      </c>
      <c r="C1130" t="s">
        <v>3300</v>
      </c>
      <c r="D1130" t="s">
        <v>3301</v>
      </c>
      <c r="E1130" s="28" t="s">
        <v>930</v>
      </c>
      <c r="F1130" t="s">
        <v>891</v>
      </c>
      <c r="G1130" t="s">
        <v>88</v>
      </c>
      <c r="M1130" s="28" t="s">
        <v>549</v>
      </c>
      <c r="N1130" t="s">
        <v>313</v>
      </c>
    </row>
    <row r="1131" spans="1:14" hidden="1" x14ac:dyDescent="0.25">
      <c r="A1131" t="s">
        <v>8488</v>
      </c>
      <c r="B1131" t="s">
        <v>2337</v>
      </c>
      <c r="C1131" t="s">
        <v>2338</v>
      </c>
      <c r="D1131" t="s">
        <v>2339</v>
      </c>
      <c r="E1131" s="28" t="s">
        <v>1023</v>
      </c>
      <c r="F1131" t="s">
        <v>408</v>
      </c>
      <c r="G1131" t="s">
        <v>65</v>
      </c>
      <c r="M1131" s="28" t="s">
        <v>14209</v>
      </c>
    </row>
    <row r="1132" spans="1:14" hidden="1" x14ac:dyDescent="0.25">
      <c r="A1132" t="s">
        <v>8366</v>
      </c>
      <c r="B1132" t="s">
        <v>2044</v>
      </c>
      <c r="C1132" t="s">
        <v>1132</v>
      </c>
      <c r="D1132" t="s">
        <v>2045</v>
      </c>
      <c r="E1132" s="28" t="s">
        <v>890</v>
      </c>
      <c r="F1132" t="s">
        <v>389</v>
      </c>
      <c r="G1132" t="s">
        <v>47</v>
      </c>
      <c r="M1132" s="28" t="s">
        <v>13542</v>
      </c>
    </row>
    <row r="1133" spans="1:14" hidden="1" x14ac:dyDescent="0.25">
      <c r="A1133" t="s">
        <v>10067</v>
      </c>
      <c r="B1133" t="s">
        <v>5702</v>
      </c>
      <c r="C1133" t="s">
        <v>4821</v>
      </c>
      <c r="D1133" t="s">
        <v>5703</v>
      </c>
      <c r="E1133" s="28" t="s">
        <v>896</v>
      </c>
      <c r="F1133" t="s">
        <v>688</v>
      </c>
      <c r="G1133" t="s">
        <v>15</v>
      </c>
      <c r="M1133" s="28" t="s">
        <v>613</v>
      </c>
      <c r="N1133" t="s">
        <v>313</v>
      </c>
    </row>
    <row r="1134" spans="1:14" hidden="1" x14ac:dyDescent="0.25">
      <c r="A1134" t="s">
        <v>10066</v>
      </c>
      <c r="B1134" t="s">
        <v>5699</v>
      </c>
      <c r="C1134" t="s">
        <v>5700</v>
      </c>
      <c r="D1134" t="s">
        <v>5701</v>
      </c>
      <c r="E1134" s="28" t="s">
        <v>890</v>
      </c>
      <c r="F1134" t="s">
        <v>4679</v>
      </c>
      <c r="G1134" t="s">
        <v>15</v>
      </c>
      <c r="M1134" s="28" t="s">
        <v>613</v>
      </c>
      <c r="N1134" t="s">
        <v>313</v>
      </c>
    </row>
    <row r="1135" spans="1:14" hidden="1" x14ac:dyDescent="0.25">
      <c r="A1135" t="s">
        <v>13716</v>
      </c>
      <c r="B1135" t="s">
        <v>885</v>
      </c>
      <c r="C1135" t="s">
        <v>886</v>
      </c>
      <c r="D1135" t="s">
        <v>12</v>
      </c>
      <c r="E1135" s="28"/>
      <c r="F1135" t="s">
        <v>270</v>
      </c>
      <c r="G1135" t="s">
        <v>8</v>
      </c>
      <c r="M1135" s="28" t="s">
        <v>11680</v>
      </c>
    </row>
    <row r="1136" spans="1:14" hidden="1" x14ac:dyDescent="0.25">
      <c r="A1136" t="s">
        <v>8899</v>
      </c>
      <c r="B1136" t="s">
        <v>3302</v>
      </c>
      <c r="C1136" t="s">
        <v>1103</v>
      </c>
      <c r="D1136" t="s">
        <v>3303</v>
      </c>
      <c r="E1136" s="28" t="s">
        <v>890</v>
      </c>
      <c r="F1136" t="s">
        <v>891</v>
      </c>
      <c r="G1136" t="s">
        <v>88</v>
      </c>
      <c r="M1136" s="28" t="s">
        <v>549</v>
      </c>
      <c r="N1136" t="s">
        <v>313</v>
      </c>
    </row>
    <row r="1137" spans="1:14" hidden="1" x14ac:dyDescent="0.25">
      <c r="A1137" t="s">
        <v>8900</v>
      </c>
      <c r="B1137" t="s">
        <v>3304</v>
      </c>
      <c r="C1137" t="s">
        <v>2105</v>
      </c>
      <c r="D1137" t="s">
        <v>3305</v>
      </c>
      <c r="E1137" s="28" t="s">
        <v>896</v>
      </c>
      <c r="F1137" t="s">
        <v>891</v>
      </c>
      <c r="G1137" t="s">
        <v>88</v>
      </c>
      <c r="M1137" s="28" t="s">
        <v>549</v>
      </c>
      <c r="N1137" t="s">
        <v>313</v>
      </c>
    </row>
    <row r="1138" spans="1:14" hidden="1" x14ac:dyDescent="0.25">
      <c r="A1138" t="s">
        <v>7994</v>
      </c>
      <c r="B1138" t="s">
        <v>1019</v>
      </c>
      <c r="C1138" t="s">
        <v>1045</v>
      </c>
      <c r="D1138" t="s">
        <v>1046</v>
      </c>
      <c r="E1138" s="28" t="s">
        <v>890</v>
      </c>
      <c r="F1138" t="s">
        <v>897</v>
      </c>
      <c r="G1138" t="s">
        <v>28</v>
      </c>
      <c r="M1138" s="28" t="s">
        <v>14241</v>
      </c>
      <c r="N1138" t="s">
        <v>14206</v>
      </c>
    </row>
    <row r="1139" spans="1:14" hidden="1" x14ac:dyDescent="0.25">
      <c r="A1139" t="s">
        <v>7984</v>
      </c>
      <c r="B1139" t="s">
        <v>1019</v>
      </c>
      <c r="C1139" t="s">
        <v>974</v>
      </c>
      <c r="D1139" t="s">
        <v>1020</v>
      </c>
      <c r="E1139" s="28" t="s">
        <v>896</v>
      </c>
      <c r="F1139" t="s">
        <v>897</v>
      </c>
      <c r="G1139" t="s">
        <v>28</v>
      </c>
      <c r="M1139" s="28" t="s">
        <v>14241</v>
      </c>
      <c r="N1139" t="s">
        <v>14206</v>
      </c>
    </row>
    <row r="1140" spans="1:14" hidden="1" x14ac:dyDescent="0.25">
      <c r="A1140" t="s">
        <v>8508</v>
      </c>
      <c r="B1140" t="s">
        <v>2373</v>
      </c>
      <c r="C1140" t="s">
        <v>2384</v>
      </c>
      <c r="D1140" t="s">
        <v>2385</v>
      </c>
      <c r="E1140" s="28" t="s">
        <v>930</v>
      </c>
      <c r="F1140" t="s">
        <v>408</v>
      </c>
      <c r="G1140" t="s">
        <v>65</v>
      </c>
      <c r="M1140" s="28" t="s">
        <v>14209</v>
      </c>
    </row>
    <row r="1141" spans="1:14" hidden="1" x14ac:dyDescent="0.25">
      <c r="A1141" t="s">
        <v>8503</v>
      </c>
      <c r="B1141" t="s">
        <v>2373</v>
      </c>
      <c r="C1141" t="s">
        <v>2350</v>
      </c>
      <c r="D1141" t="s">
        <v>2374</v>
      </c>
      <c r="E1141" s="28" t="s">
        <v>930</v>
      </c>
      <c r="F1141" t="s">
        <v>408</v>
      </c>
      <c r="G1141" t="s">
        <v>65</v>
      </c>
      <c r="M1141" s="28" t="s">
        <v>14209</v>
      </c>
    </row>
    <row r="1142" spans="1:14" hidden="1" x14ac:dyDescent="0.25">
      <c r="A1142" t="s">
        <v>10065</v>
      </c>
      <c r="B1142" t="s">
        <v>5697</v>
      </c>
      <c r="C1142" t="s">
        <v>4676</v>
      </c>
      <c r="D1142" t="s">
        <v>5698</v>
      </c>
      <c r="E1142" s="28" t="s">
        <v>896</v>
      </c>
      <c r="F1142" t="s">
        <v>195</v>
      </c>
      <c r="G1142" t="s">
        <v>15</v>
      </c>
      <c r="M1142" s="28" t="s">
        <v>613</v>
      </c>
      <c r="N1142" t="s">
        <v>313</v>
      </c>
    </row>
    <row r="1143" spans="1:14" hidden="1" x14ac:dyDescent="0.25">
      <c r="A1143" t="s">
        <v>8221</v>
      </c>
      <c r="B1143" t="s">
        <v>1675</v>
      </c>
      <c r="C1143" t="s">
        <v>1676</v>
      </c>
      <c r="D1143" t="s">
        <v>1677</v>
      </c>
      <c r="E1143" s="28" t="s">
        <v>896</v>
      </c>
      <c r="F1143" t="s">
        <v>1678</v>
      </c>
      <c r="G1143" t="s">
        <v>43</v>
      </c>
      <c r="M1143" s="28" t="s">
        <v>14205</v>
      </c>
    </row>
    <row r="1144" spans="1:14" hidden="1" x14ac:dyDescent="0.25">
      <c r="A1144" t="s">
        <v>10494</v>
      </c>
      <c r="B1144" t="s">
        <v>6653</v>
      </c>
      <c r="C1144" t="s">
        <v>2783</v>
      </c>
      <c r="D1144" t="s">
        <v>6654</v>
      </c>
      <c r="E1144" s="28" t="s">
        <v>896</v>
      </c>
      <c r="F1144" t="s">
        <v>6644</v>
      </c>
      <c r="G1144" t="s">
        <v>137</v>
      </c>
      <c r="M1144" s="28" t="s">
        <v>805</v>
      </c>
      <c r="N1144" t="s">
        <v>313</v>
      </c>
    </row>
    <row r="1145" spans="1:14" hidden="1" x14ac:dyDescent="0.25">
      <c r="A1145" t="s">
        <v>10064</v>
      </c>
      <c r="B1145" t="s">
        <v>5695</v>
      </c>
      <c r="C1145" t="s">
        <v>4663</v>
      </c>
      <c r="D1145" t="s">
        <v>5696</v>
      </c>
      <c r="E1145" s="28" t="s">
        <v>896</v>
      </c>
      <c r="F1145" t="s">
        <v>755</v>
      </c>
      <c r="G1145" t="s">
        <v>15</v>
      </c>
      <c r="M1145" s="28" t="s">
        <v>613</v>
      </c>
      <c r="N1145" t="s">
        <v>313</v>
      </c>
    </row>
    <row r="1146" spans="1:14" hidden="1" x14ac:dyDescent="0.25">
      <c r="A1146" t="s">
        <v>8901</v>
      </c>
      <c r="B1146" t="s">
        <v>3306</v>
      </c>
      <c r="C1146" t="s">
        <v>3307</v>
      </c>
      <c r="D1146" t="s">
        <v>3308</v>
      </c>
      <c r="E1146" s="28" t="s">
        <v>890</v>
      </c>
      <c r="F1146" t="s">
        <v>11562</v>
      </c>
      <c r="G1146" t="s">
        <v>88</v>
      </c>
      <c r="M1146" s="28" t="s">
        <v>549</v>
      </c>
      <c r="N1146" t="s">
        <v>313</v>
      </c>
    </row>
    <row r="1147" spans="1:14" hidden="1" x14ac:dyDescent="0.25">
      <c r="A1147" t="s">
        <v>10063</v>
      </c>
      <c r="B1147" t="s">
        <v>5693</v>
      </c>
      <c r="C1147" t="s">
        <v>4600</v>
      </c>
      <c r="D1147" t="s">
        <v>5694</v>
      </c>
      <c r="E1147" s="28" t="s">
        <v>896</v>
      </c>
      <c r="F1147" t="s">
        <v>702</v>
      </c>
      <c r="G1147" t="s">
        <v>15</v>
      </c>
      <c r="M1147" s="28" t="s">
        <v>613</v>
      </c>
      <c r="N1147" t="s">
        <v>313</v>
      </c>
    </row>
    <row r="1148" spans="1:14" hidden="1" x14ac:dyDescent="0.25">
      <c r="A1148" t="s">
        <v>10062</v>
      </c>
      <c r="B1148" t="s">
        <v>5690</v>
      </c>
      <c r="C1148" t="s">
        <v>4440</v>
      </c>
      <c r="D1148" t="s">
        <v>5692</v>
      </c>
      <c r="E1148" s="28" t="s">
        <v>1023</v>
      </c>
      <c r="F1148" t="s">
        <v>743</v>
      </c>
      <c r="G1148" t="s">
        <v>15</v>
      </c>
      <c r="M1148" s="28" t="s">
        <v>613</v>
      </c>
      <c r="N1148" t="s">
        <v>313</v>
      </c>
    </row>
    <row r="1149" spans="1:14" hidden="1" x14ac:dyDescent="0.25">
      <c r="A1149" t="s">
        <v>10061</v>
      </c>
      <c r="B1149" t="s">
        <v>5690</v>
      </c>
      <c r="C1149" t="s">
        <v>2184</v>
      </c>
      <c r="D1149" t="s">
        <v>5691</v>
      </c>
      <c r="E1149" s="28" t="s">
        <v>890</v>
      </c>
      <c r="F1149" t="s">
        <v>743</v>
      </c>
      <c r="G1149" t="s">
        <v>15</v>
      </c>
      <c r="M1149" s="28" t="s">
        <v>613</v>
      </c>
      <c r="N1149" t="s">
        <v>313</v>
      </c>
    </row>
    <row r="1150" spans="1:14" hidden="1" x14ac:dyDescent="0.25">
      <c r="A1150" t="s">
        <v>10582</v>
      </c>
      <c r="B1150" t="s">
        <v>6818</v>
      </c>
      <c r="C1150" t="s">
        <v>1204</v>
      </c>
      <c r="D1150" t="s">
        <v>12007</v>
      </c>
      <c r="E1150" s="28" t="s">
        <v>890</v>
      </c>
      <c r="F1150" t="s">
        <v>99</v>
      </c>
      <c r="G1150" t="s">
        <v>98</v>
      </c>
      <c r="M1150" s="28" t="s">
        <v>820</v>
      </c>
      <c r="N1150" t="s">
        <v>313</v>
      </c>
    </row>
    <row r="1151" spans="1:14" hidden="1" x14ac:dyDescent="0.25">
      <c r="A1151" t="s">
        <v>10446</v>
      </c>
      <c r="B1151" t="s">
        <v>6467</v>
      </c>
      <c r="C1151" t="s">
        <v>1058</v>
      </c>
      <c r="D1151" t="s">
        <v>6480</v>
      </c>
      <c r="E1151" s="28" t="s">
        <v>1023</v>
      </c>
      <c r="F1151" t="s">
        <v>792</v>
      </c>
      <c r="G1151" t="s">
        <v>21</v>
      </c>
      <c r="M1151" s="28" t="s">
        <v>791</v>
      </c>
      <c r="N1151" t="s">
        <v>313</v>
      </c>
    </row>
    <row r="1152" spans="1:14" hidden="1" x14ac:dyDescent="0.25">
      <c r="A1152" t="s">
        <v>10440</v>
      </c>
      <c r="B1152" t="s">
        <v>6467</v>
      </c>
      <c r="C1152" t="s">
        <v>6468</v>
      </c>
      <c r="D1152" t="s">
        <v>6469</v>
      </c>
      <c r="E1152" s="28" t="s">
        <v>890</v>
      </c>
      <c r="F1152" t="s">
        <v>792</v>
      </c>
      <c r="G1152" t="s">
        <v>21</v>
      </c>
      <c r="M1152" s="28" t="s">
        <v>791</v>
      </c>
      <c r="N1152" t="s">
        <v>313</v>
      </c>
    </row>
    <row r="1153" spans="1:14" hidden="1" x14ac:dyDescent="0.25">
      <c r="A1153" t="s">
        <v>10782</v>
      </c>
      <c r="B1153" t="s">
        <v>7283</v>
      </c>
      <c r="C1153" t="s">
        <v>7284</v>
      </c>
      <c r="D1153" t="s">
        <v>7285</v>
      </c>
      <c r="E1153" s="28" t="s">
        <v>896</v>
      </c>
      <c r="F1153" t="s">
        <v>532</v>
      </c>
      <c r="G1153" t="s">
        <v>154</v>
      </c>
      <c r="M1153" s="28" t="s">
        <v>14284</v>
      </c>
      <c r="N1153" t="s">
        <v>14285</v>
      </c>
    </row>
    <row r="1154" spans="1:14" hidden="1" x14ac:dyDescent="0.25">
      <c r="A1154" t="s">
        <v>10785</v>
      </c>
      <c r="B1154" t="s">
        <v>7283</v>
      </c>
      <c r="C1154" t="s">
        <v>7293</v>
      </c>
      <c r="D1154" t="s">
        <v>7294</v>
      </c>
      <c r="E1154" s="28" t="s">
        <v>890</v>
      </c>
      <c r="F1154" t="s">
        <v>532</v>
      </c>
      <c r="G1154" t="s">
        <v>154</v>
      </c>
      <c r="M1154" s="28" t="s">
        <v>14284</v>
      </c>
      <c r="N1154" t="s">
        <v>14285</v>
      </c>
    </row>
    <row r="1155" spans="1:14" hidden="1" x14ac:dyDescent="0.25">
      <c r="A1155" t="s">
        <v>14286</v>
      </c>
      <c r="B1155" t="s">
        <v>14287</v>
      </c>
      <c r="C1155" t="s">
        <v>13717</v>
      </c>
      <c r="D1155" t="s">
        <v>13718</v>
      </c>
      <c r="E1155" s="28" t="s">
        <v>1023</v>
      </c>
      <c r="F1155" t="s">
        <v>891</v>
      </c>
      <c r="G1155" t="s">
        <v>81</v>
      </c>
      <c r="M1155" s="28" t="s">
        <v>530</v>
      </c>
      <c r="N1155" t="s">
        <v>313</v>
      </c>
    </row>
    <row r="1156" spans="1:14" hidden="1" x14ac:dyDescent="0.25">
      <c r="A1156" t="s">
        <v>14288</v>
      </c>
      <c r="B1156" t="s">
        <v>14287</v>
      </c>
      <c r="C1156" t="s">
        <v>12378</v>
      </c>
      <c r="D1156" t="s">
        <v>13719</v>
      </c>
      <c r="E1156" s="28" t="s">
        <v>890</v>
      </c>
      <c r="F1156" t="s">
        <v>891</v>
      </c>
      <c r="G1156" t="s">
        <v>81</v>
      </c>
      <c r="M1156" s="28" t="s">
        <v>530</v>
      </c>
      <c r="N1156" t="s">
        <v>313</v>
      </c>
    </row>
    <row r="1157" spans="1:14" hidden="1" x14ac:dyDescent="0.25">
      <c r="A1157" t="s">
        <v>14289</v>
      </c>
      <c r="B1157" t="s">
        <v>14287</v>
      </c>
      <c r="C1157" t="s">
        <v>1052</v>
      </c>
      <c r="D1157" t="s">
        <v>13720</v>
      </c>
      <c r="E1157" s="28" t="s">
        <v>1023</v>
      </c>
      <c r="F1157" t="s">
        <v>891</v>
      </c>
      <c r="G1157" t="s">
        <v>81</v>
      </c>
      <c r="M1157" s="28" t="s">
        <v>530</v>
      </c>
      <c r="N1157" t="s">
        <v>313</v>
      </c>
    </row>
    <row r="1158" spans="1:14" hidden="1" x14ac:dyDescent="0.25">
      <c r="A1158" t="s">
        <v>14290</v>
      </c>
      <c r="B1158" t="s">
        <v>14291</v>
      </c>
      <c r="C1158" t="s">
        <v>1321</v>
      </c>
      <c r="D1158" t="s">
        <v>13721</v>
      </c>
      <c r="E1158" s="28" t="s">
        <v>896</v>
      </c>
      <c r="F1158" t="s">
        <v>891</v>
      </c>
      <c r="G1158" t="s">
        <v>81</v>
      </c>
      <c r="M1158" s="28" t="s">
        <v>530</v>
      </c>
      <c r="N1158" t="s">
        <v>313</v>
      </c>
    </row>
    <row r="1159" spans="1:14" hidden="1" x14ac:dyDescent="0.25">
      <c r="A1159" t="s">
        <v>10060</v>
      </c>
      <c r="B1159" t="s">
        <v>5688</v>
      </c>
      <c r="C1159" t="s">
        <v>2919</v>
      </c>
      <c r="D1159" t="s">
        <v>5689</v>
      </c>
      <c r="E1159" s="28" t="s">
        <v>1023</v>
      </c>
      <c r="F1159" t="s">
        <v>746</v>
      </c>
      <c r="G1159" t="s">
        <v>15</v>
      </c>
      <c r="M1159" s="28" t="s">
        <v>613</v>
      </c>
      <c r="N1159" t="s">
        <v>313</v>
      </c>
    </row>
    <row r="1160" spans="1:14" hidden="1" x14ac:dyDescent="0.25">
      <c r="A1160" t="s">
        <v>10642</v>
      </c>
      <c r="B1160" t="s">
        <v>6947</v>
      </c>
      <c r="C1160" t="s">
        <v>6948</v>
      </c>
      <c r="D1160" t="s">
        <v>6949</v>
      </c>
      <c r="E1160" s="28" t="s">
        <v>890</v>
      </c>
      <c r="F1160" t="s">
        <v>6901</v>
      </c>
      <c r="G1160" t="s">
        <v>6896</v>
      </c>
      <c r="M1160" s="28" t="s">
        <v>6897</v>
      </c>
      <c r="N1160" t="s">
        <v>279</v>
      </c>
    </row>
    <row r="1161" spans="1:14" hidden="1" x14ac:dyDescent="0.25">
      <c r="A1161" t="s">
        <v>10059</v>
      </c>
      <c r="B1161" t="s">
        <v>5686</v>
      </c>
      <c r="C1161" t="s">
        <v>894</v>
      </c>
      <c r="D1161" t="s">
        <v>5687</v>
      </c>
      <c r="E1161" s="28" t="s">
        <v>890</v>
      </c>
      <c r="F1161" t="s">
        <v>197</v>
      </c>
      <c r="G1161" t="s">
        <v>15</v>
      </c>
      <c r="M1161" s="28" t="s">
        <v>613</v>
      </c>
      <c r="N1161" t="s">
        <v>313</v>
      </c>
    </row>
    <row r="1162" spans="1:14" hidden="1" x14ac:dyDescent="0.25">
      <c r="A1162" t="s">
        <v>12914</v>
      </c>
      <c r="B1162" t="s">
        <v>5686</v>
      </c>
      <c r="C1162" t="s">
        <v>12915</v>
      </c>
      <c r="D1162" t="s">
        <v>12916</v>
      </c>
      <c r="E1162" s="28" t="s">
        <v>1177</v>
      </c>
      <c r="F1162" t="s">
        <v>4837</v>
      </c>
      <c r="G1162" t="s">
        <v>15</v>
      </c>
      <c r="M1162" s="28" t="s">
        <v>613</v>
      </c>
      <c r="N1162" t="s">
        <v>313</v>
      </c>
    </row>
    <row r="1163" spans="1:14" hidden="1" x14ac:dyDescent="0.25">
      <c r="A1163" t="s">
        <v>10495</v>
      </c>
      <c r="B1163" t="s">
        <v>6655</v>
      </c>
      <c r="C1163" t="s">
        <v>1738</v>
      </c>
      <c r="D1163" t="s">
        <v>6656</v>
      </c>
      <c r="E1163" s="28" t="s">
        <v>896</v>
      </c>
      <c r="F1163" t="s">
        <v>891</v>
      </c>
      <c r="G1163" t="s">
        <v>137</v>
      </c>
      <c r="M1163" s="28" t="s">
        <v>805</v>
      </c>
      <c r="N1163" t="s">
        <v>313</v>
      </c>
    </row>
    <row r="1164" spans="1:14" hidden="1" x14ac:dyDescent="0.25">
      <c r="A1164" t="s">
        <v>8268</v>
      </c>
      <c r="B1164" t="s">
        <v>1795</v>
      </c>
      <c r="C1164" t="s">
        <v>1796</v>
      </c>
      <c r="D1164" t="s">
        <v>1797</v>
      </c>
      <c r="E1164" s="28" t="s">
        <v>890</v>
      </c>
      <c r="F1164" t="s">
        <v>1641</v>
      </c>
      <c r="G1164" t="s">
        <v>43</v>
      </c>
      <c r="M1164" s="28" t="s">
        <v>14205</v>
      </c>
    </row>
    <row r="1165" spans="1:14" hidden="1" x14ac:dyDescent="0.25">
      <c r="A1165" t="s">
        <v>11900</v>
      </c>
      <c r="B1165" t="s">
        <v>6434</v>
      </c>
      <c r="C1165" t="s">
        <v>11901</v>
      </c>
      <c r="D1165" t="s">
        <v>11902</v>
      </c>
      <c r="E1165" s="28" t="s">
        <v>890</v>
      </c>
      <c r="F1165" t="s">
        <v>794</v>
      </c>
      <c r="G1165" t="s">
        <v>21</v>
      </c>
      <c r="M1165" s="28" t="s">
        <v>791</v>
      </c>
      <c r="N1165" t="s">
        <v>313</v>
      </c>
    </row>
    <row r="1166" spans="1:14" hidden="1" x14ac:dyDescent="0.25">
      <c r="A1166" t="s">
        <v>10425</v>
      </c>
      <c r="B1166" t="s">
        <v>6434</v>
      </c>
      <c r="C1166" t="s">
        <v>6435</v>
      </c>
      <c r="D1166" t="s">
        <v>6436</v>
      </c>
      <c r="E1166" s="28" t="s">
        <v>890</v>
      </c>
      <c r="F1166" t="s">
        <v>554</v>
      </c>
      <c r="G1166" t="s">
        <v>21</v>
      </c>
      <c r="M1166" s="28" t="s">
        <v>791</v>
      </c>
      <c r="N1166" t="s">
        <v>313</v>
      </c>
    </row>
    <row r="1167" spans="1:14" hidden="1" x14ac:dyDescent="0.25">
      <c r="A1167" t="s">
        <v>12432</v>
      </c>
      <c r="B1167" t="s">
        <v>2462</v>
      </c>
      <c r="C1167" t="s">
        <v>1490</v>
      </c>
      <c r="D1167" t="s">
        <v>12433</v>
      </c>
      <c r="E1167" s="28" t="s">
        <v>1023</v>
      </c>
      <c r="F1167" t="s">
        <v>455</v>
      </c>
      <c r="G1167" t="s">
        <v>11</v>
      </c>
      <c r="M1167" s="28" t="s">
        <v>413</v>
      </c>
      <c r="N1167" t="s">
        <v>313</v>
      </c>
    </row>
    <row r="1168" spans="1:14" hidden="1" x14ac:dyDescent="0.25">
      <c r="A1168" t="s">
        <v>8540</v>
      </c>
      <c r="B1168" t="s">
        <v>2462</v>
      </c>
      <c r="C1168" t="s">
        <v>2463</v>
      </c>
      <c r="D1168" t="s">
        <v>2464</v>
      </c>
      <c r="E1168" s="28" t="s">
        <v>896</v>
      </c>
      <c r="F1168" t="s">
        <v>455</v>
      </c>
      <c r="G1168" t="s">
        <v>11</v>
      </c>
      <c r="M1168" s="28" t="s">
        <v>413</v>
      </c>
      <c r="N1168" t="s">
        <v>313</v>
      </c>
    </row>
    <row r="1169" spans="1:14" hidden="1" x14ac:dyDescent="0.25">
      <c r="A1169" t="s">
        <v>10058</v>
      </c>
      <c r="B1169" t="s">
        <v>5684</v>
      </c>
      <c r="C1169" t="s">
        <v>4676</v>
      </c>
      <c r="D1169" t="s">
        <v>5685</v>
      </c>
      <c r="E1169" s="28" t="s">
        <v>896</v>
      </c>
      <c r="F1169" t="s">
        <v>216</v>
      </c>
      <c r="G1169" t="s">
        <v>15</v>
      </c>
      <c r="M1169" s="28" t="s">
        <v>613</v>
      </c>
      <c r="N1169" t="s">
        <v>313</v>
      </c>
    </row>
    <row r="1170" spans="1:14" hidden="1" x14ac:dyDescent="0.25">
      <c r="A1170" t="s">
        <v>10057</v>
      </c>
      <c r="B1170" t="s">
        <v>5682</v>
      </c>
      <c r="C1170" t="s">
        <v>1816</v>
      </c>
      <c r="D1170" t="s">
        <v>5683</v>
      </c>
      <c r="E1170" s="28" t="s">
        <v>896</v>
      </c>
      <c r="F1170" t="s">
        <v>227</v>
      </c>
      <c r="G1170" t="s">
        <v>15</v>
      </c>
      <c r="M1170" s="28" t="s">
        <v>613</v>
      </c>
      <c r="N1170" t="s">
        <v>313</v>
      </c>
    </row>
    <row r="1171" spans="1:14" hidden="1" x14ac:dyDescent="0.25">
      <c r="A1171" t="s">
        <v>10056</v>
      </c>
      <c r="B1171" t="s">
        <v>5680</v>
      </c>
      <c r="C1171" t="s">
        <v>4726</v>
      </c>
      <c r="D1171" t="s">
        <v>5681</v>
      </c>
      <c r="E1171" s="28" t="s">
        <v>896</v>
      </c>
      <c r="F1171" t="s">
        <v>4610</v>
      </c>
      <c r="G1171" t="s">
        <v>15</v>
      </c>
      <c r="M1171" s="28" t="s">
        <v>613</v>
      </c>
      <c r="N1171" t="s">
        <v>313</v>
      </c>
    </row>
    <row r="1172" spans="1:14" hidden="1" x14ac:dyDescent="0.25">
      <c r="A1172" t="s">
        <v>10496</v>
      </c>
      <c r="B1172" t="s">
        <v>6657</v>
      </c>
      <c r="C1172" t="s">
        <v>1530</v>
      </c>
      <c r="D1172" t="s">
        <v>6658</v>
      </c>
      <c r="E1172" s="28" t="s">
        <v>890</v>
      </c>
      <c r="F1172" t="s">
        <v>12661</v>
      </c>
      <c r="G1172" t="s">
        <v>137</v>
      </c>
      <c r="M1172" s="28" t="s">
        <v>805</v>
      </c>
      <c r="N1172" t="s">
        <v>313</v>
      </c>
    </row>
    <row r="1173" spans="1:14" hidden="1" x14ac:dyDescent="0.25">
      <c r="A1173" t="s">
        <v>8633</v>
      </c>
      <c r="B1173" t="s">
        <v>2690</v>
      </c>
      <c r="C1173" t="s">
        <v>1121</v>
      </c>
      <c r="D1173" t="s">
        <v>2691</v>
      </c>
      <c r="E1173" s="28" t="s">
        <v>890</v>
      </c>
      <c r="F1173" t="s">
        <v>170</v>
      </c>
      <c r="G1173" t="s">
        <v>74</v>
      </c>
      <c r="M1173" s="28" t="s">
        <v>507</v>
      </c>
      <c r="N1173" t="s">
        <v>313</v>
      </c>
    </row>
    <row r="1174" spans="1:14" hidden="1" x14ac:dyDescent="0.25">
      <c r="A1174" t="s">
        <v>8314</v>
      </c>
      <c r="B1174" t="s">
        <v>1910</v>
      </c>
      <c r="C1174" t="s">
        <v>1911</v>
      </c>
      <c r="D1174" t="s">
        <v>1912</v>
      </c>
      <c r="E1174" s="28" t="s">
        <v>896</v>
      </c>
      <c r="F1174" t="s">
        <v>1907</v>
      </c>
      <c r="G1174" t="s">
        <v>43</v>
      </c>
      <c r="M1174" s="28" t="s">
        <v>14205</v>
      </c>
    </row>
    <row r="1175" spans="1:14" hidden="1" x14ac:dyDescent="0.25">
      <c r="A1175" t="s">
        <v>8328</v>
      </c>
      <c r="B1175" t="s">
        <v>1948</v>
      </c>
      <c r="C1175" t="s">
        <v>1949</v>
      </c>
      <c r="D1175" t="s">
        <v>1950</v>
      </c>
      <c r="E1175" s="28" t="s">
        <v>890</v>
      </c>
      <c r="F1175" t="s">
        <v>369</v>
      </c>
      <c r="G1175" t="s">
        <v>43</v>
      </c>
      <c r="M1175" s="28" t="s">
        <v>14205</v>
      </c>
    </row>
    <row r="1176" spans="1:14" hidden="1" x14ac:dyDescent="0.25">
      <c r="A1176" t="s">
        <v>10054</v>
      </c>
      <c r="B1176" t="s">
        <v>5676</v>
      </c>
      <c r="C1176" t="s">
        <v>4658</v>
      </c>
      <c r="D1176" t="s">
        <v>5677</v>
      </c>
      <c r="E1176" s="28" t="s">
        <v>930</v>
      </c>
      <c r="F1176" t="s">
        <v>13356</v>
      </c>
      <c r="G1176" t="s">
        <v>15</v>
      </c>
      <c r="M1176" s="28" t="s">
        <v>613</v>
      </c>
      <c r="N1176" t="s">
        <v>313</v>
      </c>
    </row>
    <row r="1177" spans="1:14" hidden="1" x14ac:dyDescent="0.25">
      <c r="A1177" t="s">
        <v>10055</v>
      </c>
      <c r="B1177" t="s">
        <v>5676</v>
      </c>
      <c r="C1177" t="s">
        <v>5678</v>
      </c>
      <c r="D1177" t="s">
        <v>5679</v>
      </c>
      <c r="E1177" s="28" t="s">
        <v>896</v>
      </c>
      <c r="F1177" t="s">
        <v>212</v>
      </c>
      <c r="G1177" t="s">
        <v>15</v>
      </c>
      <c r="M1177" s="28" t="s">
        <v>613</v>
      </c>
      <c r="N1177" t="s">
        <v>313</v>
      </c>
    </row>
    <row r="1178" spans="1:14" hidden="1" x14ac:dyDescent="0.25">
      <c r="A1178" t="s">
        <v>14634</v>
      </c>
      <c r="B1178" t="s">
        <v>14635</v>
      </c>
      <c r="C1178" t="s">
        <v>4553</v>
      </c>
      <c r="D1178" t="s">
        <v>14636</v>
      </c>
      <c r="E1178" s="28" t="s">
        <v>1177</v>
      </c>
      <c r="F1178" t="s">
        <v>615</v>
      </c>
      <c r="G1178" t="s">
        <v>15</v>
      </c>
      <c r="M1178" s="28" t="s">
        <v>613</v>
      </c>
      <c r="N1178" t="s">
        <v>313</v>
      </c>
    </row>
    <row r="1179" spans="1:14" hidden="1" x14ac:dyDescent="0.25">
      <c r="A1179" t="s">
        <v>14637</v>
      </c>
      <c r="B1179" t="s">
        <v>14635</v>
      </c>
      <c r="C1179" t="s">
        <v>4658</v>
      </c>
      <c r="D1179" t="s">
        <v>14638</v>
      </c>
      <c r="E1179" s="28" t="s">
        <v>1177</v>
      </c>
      <c r="F1179" t="s">
        <v>615</v>
      </c>
      <c r="G1179" t="s">
        <v>15</v>
      </c>
      <c r="M1179" s="28" t="s">
        <v>613</v>
      </c>
      <c r="N1179" t="s">
        <v>313</v>
      </c>
    </row>
    <row r="1180" spans="1:14" hidden="1" x14ac:dyDescent="0.25">
      <c r="A1180" t="s">
        <v>7944</v>
      </c>
      <c r="B1180" t="s">
        <v>908</v>
      </c>
      <c r="C1180" t="s">
        <v>909</v>
      </c>
      <c r="D1180" t="s">
        <v>910</v>
      </c>
      <c r="E1180" s="28" t="s">
        <v>890</v>
      </c>
      <c r="F1180" t="s">
        <v>897</v>
      </c>
      <c r="G1180" t="s">
        <v>28</v>
      </c>
      <c r="M1180" s="28" t="s">
        <v>14241</v>
      </c>
      <c r="N1180" t="s">
        <v>14206</v>
      </c>
    </row>
    <row r="1181" spans="1:14" hidden="1" x14ac:dyDescent="0.25">
      <c r="A1181" t="s">
        <v>10053</v>
      </c>
      <c r="B1181" t="s">
        <v>5674</v>
      </c>
      <c r="C1181" t="s">
        <v>4440</v>
      </c>
      <c r="D1181" t="s">
        <v>5675</v>
      </c>
      <c r="E1181" s="28" t="s">
        <v>896</v>
      </c>
      <c r="F1181" t="s">
        <v>4675</v>
      </c>
      <c r="G1181" t="s">
        <v>15</v>
      </c>
      <c r="M1181" s="28" t="s">
        <v>613</v>
      </c>
      <c r="N1181" t="s">
        <v>313</v>
      </c>
    </row>
    <row r="1182" spans="1:14" hidden="1" x14ac:dyDescent="0.25">
      <c r="A1182" t="s">
        <v>8215</v>
      </c>
      <c r="B1182" t="s">
        <v>1658</v>
      </c>
      <c r="C1182" t="s">
        <v>1659</v>
      </c>
      <c r="D1182" t="s">
        <v>1660</v>
      </c>
      <c r="E1182" s="28" t="s">
        <v>896</v>
      </c>
      <c r="F1182" t="s">
        <v>369</v>
      </c>
      <c r="G1182" t="s">
        <v>43</v>
      </c>
      <c r="M1182" s="28" t="s">
        <v>14205</v>
      </c>
    </row>
    <row r="1183" spans="1:14" hidden="1" x14ac:dyDescent="0.25">
      <c r="A1183" t="s">
        <v>8290</v>
      </c>
      <c r="B1183" t="s">
        <v>1658</v>
      </c>
      <c r="C1183" t="s">
        <v>938</v>
      </c>
      <c r="D1183" t="s">
        <v>1846</v>
      </c>
      <c r="E1183" s="28" t="s">
        <v>890</v>
      </c>
      <c r="F1183" t="s">
        <v>349</v>
      </c>
      <c r="G1183" t="s">
        <v>43</v>
      </c>
      <c r="M1183" s="28" t="s">
        <v>14205</v>
      </c>
    </row>
    <row r="1184" spans="1:14" hidden="1" x14ac:dyDescent="0.25">
      <c r="A1184" t="s">
        <v>10497</v>
      </c>
      <c r="B1184" t="s">
        <v>1658</v>
      </c>
      <c r="C1184" t="s">
        <v>6659</v>
      </c>
      <c r="D1184" t="s">
        <v>6660</v>
      </c>
      <c r="E1184" s="28" t="s">
        <v>896</v>
      </c>
      <c r="F1184" t="s">
        <v>6638</v>
      </c>
      <c r="G1184" t="s">
        <v>137</v>
      </c>
      <c r="M1184" s="28" t="s">
        <v>805</v>
      </c>
      <c r="N1184" t="s">
        <v>313</v>
      </c>
    </row>
    <row r="1185" spans="1:14" hidden="1" x14ac:dyDescent="0.25">
      <c r="A1185" t="s">
        <v>10052</v>
      </c>
      <c r="B1185" t="s">
        <v>5672</v>
      </c>
      <c r="C1185" t="s">
        <v>4440</v>
      </c>
      <c r="D1185" t="s">
        <v>5673</v>
      </c>
      <c r="E1185" s="28" t="s">
        <v>1023</v>
      </c>
      <c r="F1185" t="s">
        <v>746</v>
      </c>
      <c r="G1185" t="s">
        <v>15</v>
      </c>
      <c r="M1185" s="28" t="s">
        <v>613</v>
      </c>
      <c r="N1185" t="s">
        <v>313</v>
      </c>
    </row>
    <row r="1186" spans="1:14" hidden="1" x14ac:dyDescent="0.25">
      <c r="A1186" t="s">
        <v>10051</v>
      </c>
      <c r="B1186" t="s">
        <v>5670</v>
      </c>
      <c r="C1186" t="s">
        <v>4821</v>
      </c>
      <c r="D1186" t="s">
        <v>5671</v>
      </c>
      <c r="E1186" s="28" t="s">
        <v>896</v>
      </c>
      <c r="F1186" t="s">
        <v>208</v>
      </c>
      <c r="G1186" t="s">
        <v>15</v>
      </c>
      <c r="M1186" s="28" t="s">
        <v>613</v>
      </c>
      <c r="N1186" t="s">
        <v>313</v>
      </c>
    </row>
    <row r="1187" spans="1:14" hidden="1" x14ac:dyDescent="0.25">
      <c r="A1187" t="s">
        <v>12917</v>
      </c>
      <c r="B1187" t="s">
        <v>5670</v>
      </c>
      <c r="C1187" t="s">
        <v>4726</v>
      </c>
      <c r="D1187" t="s">
        <v>12918</v>
      </c>
      <c r="E1187" s="28" t="s">
        <v>890</v>
      </c>
      <c r="F1187" t="s">
        <v>676</v>
      </c>
      <c r="G1187" t="s">
        <v>15</v>
      </c>
      <c r="M1187" s="28" t="s">
        <v>613</v>
      </c>
      <c r="N1187" t="s">
        <v>313</v>
      </c>
    </row>
    <row r="1188" spans="1:14" hidden="1" x14ac:dyDescent="0.25">
      <c r="A1188" t="s">
        <v>10050</v>
      </c>
      <c r="B1188" t="s">
        <v>5668</v>
      </c>
      <c r="C1188" t="s">
        <v>1084</v>
      </c>
      <c r="D1188" t="s">
        <v>5669</v>
      </c>
      <c r="E1188" s="28" t="s">
        <v>890</v>
      </c>
      <c r="F1188" t="s">
        <v>2641</v>
      </c>
      <c r="G1188" t="s">
        <v>15</v>
      </c>
      <c r="M1188" s="28" t="s">
        <v>613</v>
      </c>
      <c r="N1188" t="s">
        <v>313</v>
      </c>
    </row>
    <row r="1189" spans="1:14" hidden="1" x14ac:dyDescent="0.25">
      <c r="A1189" t="s">
        <v>13413</v>
      </c>
      <c r="B1189" t="s">
        <v>5668</v>
      </c>
      <c r="C1189" t="s">
        <v>4606</v>
      </c>
      <c r="D1189" t="s">
        <v>13414</v>
      </c>
      <c r="E1189" s="28" t="s">
        <v>896</v>
      </c>
      <c r="F1189" t="s">
        <v>13355</v>
      </c>
      <c r="G1189" t="s">
        <v>15</v>
      </c>
      <c r="M1189" s="28" t="s">
        <v>613</v>
      </c>
      <c r="N1189" t="s">
        <v>313</v>
      </c>
    </row>
    <row r="1190" spans="1:14" hidden="1" x14ac:dyDescent="0.25">
      <c r="A1190" t="s">
        <v>10048</v>
      </c>
      <c r="B1190" t="s">
        <v>5665</v>
      </c>
      <c r="C1190" t="s">
        <v>2184</v>
      </c>
      <c r="D1190" t="s">
        <v>5666</v>
      </c>
      <c r="E1190" s="28" t="s">
        <v>1023</v>
      </c>
      <c r="F1190" t="s">
        <v>227</v>
      </c>
      <c r="G1190" t="s">
        <v>15</v>
      </c>
      <c r="M1190" s="28" t="s">
        <v>613</v>
      </c>
      <c r="N1190" t="s">
        <v>313</v>
      </c>
    </row>
    <row r="1191" spans="1:14" hidden="1" x14ac:dyDescent="0.25">
      <c r="A1191" t="s">
        <v>10049</v>
      </c>
      <c r="B1191" t="s">
        <v>5665</v>
      </c>
      <c r="C1191" t="s">
        <v>4676</v>
      </c>
      <c r="D1191" t="s">
        <v>5667</v>
      </c>
      <c r="E1191" s="28" t="s">
        <v>890</v>
      </c>
      <c r="F1191" t="s">
        <v>227</v>
      </c>
      <c r="G1191" t="s">
        <v>15</v>
      </c>
      <c r="M1191" s="28" t="s">
        <v>613</v>
      </c>
      <c r="N1191" t="s">
        <v>313</v>
      </c>
    </row>
    <row r="1192" spans="1:14" hidden="1" x14ac:dyDescent="0.25">
      <c r="A1192" t="s">
        <v>11594</v>
      </c>
      <c r="B1192" t="s">
        <v>11595</v>
      </c>
      <c r="C1192" t="s">
        <v>11596</v>
      </c>
      <c r="D1192" t="s">
        <v>11597</v>
      </c>
      <c r="E1192" s="28" t="s">
        <v>930</v>
      </c>
      <c r="F1192" t="s">
        <v>331</v>
      </c>
      <c r="G1192" t="s">
        <v>38</v>
      </c>
      <c r="M1192" s="28"/>
    </row>
    <row r="1193" spans="1:14" hidden="1" x14ac:dyDescent="0.25">
      <c r="A1193" t="s">
        <v>8620</v>
      </c>
      <c r="B1193" t="s">
        <v>2656</v>
      </c>
      <c r="C1193" t="s">
        <v>2657</v>
      </c>
      <c r="D1193" t="s">
        <v>2658</v>
      </c>
      <c r="E1193" s="28" t="s">
        <v>896</v>
      </c>
      <c r="F1193" t="s">
        <v>2427</v>
      </c>
      <c r="G1193" t="s">
        <v>74</v>
      </c>
      <c r="M1193" s="28" t="s">
        <v>507</v>
      </c>
      <c r="N1193" t="s">
        <v>313</v>
      </c>
    </row>
    <row r="1194" spans="1:14" hidden="1" x14ac:dyDescent="0.25">
      <c r="A1194" t="s">
        <v>10047</v>
      </c>
      <c r="B1194" t="s">
        <v>5663</v>
      </c>
      <c r="C1194" t="s">
        <v>4606</v>
      </c>
      <c r="D1194" t="s">
        <v>5664</v>
      </c>
      <c r="E1194" s="28" t="s">
        <v>890</v>
      </c>
      <c r="F1194" t="s">
        <v>702</v>
      </c>
      <c r="G1194" t="s">
        <v>15</v>
      </c>
      <c r="M1194" s="28" t="s">
        <v>613</v>
      </c>
      <c r="N1194" t="s">
        <v>313</v>
      </c>
    </row>
    <row r="1195" spans="1:14" hidden="1" x14ac:dyDescent="0.25">
      <c r="A1195" t="s">
        <v>10046</v>
      </c>
      <c r="B1195" t="s">
        <v>5661</v>
      </c>
      <c r="C1195" t="s">
        <v>4842</v>
      </c>
      <c r="D1195" t="s">
        <v>5662</v>
      </c>
      <c r="E1195" s="28" t="s">
        <v>896</v>
      </c>
      <c r="F1195" t="s">
        <v>688</v>
      </c>
      <c r="G1195" t="s">
        <v>15</v>
      </c>
      <c r="M1195" s="28" t="s">
        <v>613</v>
      </c>
      <c r="N1195" t="s">
        <v>313</v>
      </c>
    </row>
    <row r="1196" spans="1:14" hidden="1" x14ac:dyDescent="0.25">
      <c r="A1196" t="s">
        <v>8752</v>
      </c>
      <c r="B1196" t="s">
        <v>2978</v>
      </c>
      <c r="C1196" t="s">
        <v>1134</v>
      </c>
      <c r="D1196" t="s">
        <v>2979</v>
      </c>
      <c r="E1196" s="28" t="s">
        <v>896</v>
      </c>
      <c r="F1196" t="s">
        <v>170</v>
      </c>
      <c r="G1196" t="s">
        <v>86</v>
      </c>
      <c r="M1196" s="28" t="s">
        <v>546</v>
      </c>
      <c r="N1196" t="s">
        <v>313</v>
      </c>
    </row>
    <row r="1197" spans="1:14" hidden="1" x14ac:dyDescent="0.25">
      <c r="A1197" t="s">
        <v>10406</v>
      </c>
      <c r="B1197" t="s">
        <v>6392</v>
      </c>
      <c r="C1197" t="s">
        <v>6387</v>
      </c>
      <c r="D1197" t="s">
        <v>6393</v>
      </c>
      <c r="E1197" s="28" t="s">
        <v>896</v>
      </c>
      <c r="F1197" t="s">
        <v>6365</v>
      </c>
      <c r="G1197" t="s">
        <v>119</v>
      </c>
      <c r="M1197" s="28"/>
    </row>
    <row r="1198" spans="1:14" hidden="1" x14ac:dyDescent="0.25">
      <c r="A1198" t="s">
        <v>10045</v>
      </c>
      <c r="B1198" t="s">
        <v>5658</v>
      </c>
      <c r="C1198" t="s">
        <v>5659</v>
      </c>
      <c r="D1198" t="s">
        <v>5660</v>
      </c>
      <c r="E1198" s="28" t="s">
        <v>890</v>
      </c>
      <c r="F1198" t="s">
        <v>4610</v>
      </c>
      <c r="G1198" t="s">
        <v>15</v>
      </c>
      <c r="M1198" s="28" t="s">
        <v>613</v>
      </c>
      <c r="N1198" t="s">
        <v>313</v>
      </c>
    </row>
    <row r="1199" spans="1:14" hidden="1" x14ac:dyDescent="0.25">
      <c r="A1199" t="s">
        <v>11963</v>
      </c>
      <c r="B1199" t="s">
        <v>11964</v>
      </c>
      <c r="C1199" t="s">
        <v>6737</v>
      </c>
      <c r="D1199" t="s">
        <v>11965</v>
      </c>
      <c r="E1199" s="28" t="s">
        <v>930</v>
      </c>
      <c r="F1199" t="s">
        <v>813</v>
      </c>
      <c r="G1199" t="s">
        <v>137</v>
      </c>
      <c r="M1199" s="28" t="s">
        <v>805</v>
      </c>
      <c r="N1199" t="s">
        <v>313</v>
      </c>
    </row>
    <row r="1200" spans="1:14" hidden="1" x14ac:dyDescent="0.25">
      <c r="A1200" t="s">
        <v>10044</v>
      </c>
      <c r="B1200" t="s">
        <v>5656</v>
      </c>
      <c r="C1200" t="s">
        <v>2515</v>
      </c>
      <c r="D1200" t="s">
        <v>5657</v>
      </c>
      <c r="E1200" s="28" t="s">
        <v>896</v>
      </c>
      <c r="F1200" t="s">
        <v>755</v>
      </c>
      <c r="G1200" t="s">
        <v>15</v>
      </c>
      <c r="M1200" s="28" t="s">
        <v>613</v>
      </c>
      <c r="N1200" t="s">
        <v>313</v>
      </c>
    </row>
    <row r="1201" spans="1:14" hidden="1" x14ac:dyDescent="0.25">
      <c r="A1201" t="s">
        <v>10043</v>
      </c>
      <c r="B1201" t="s">
        <v>5654</v>
      </c>
      <c r="C1201" t="s">
        <v>1084</v>
      </c>
      <c r="D1201" t="s">
        <v>5655</v>
      </c>
      <c r="E1201" s="28" t="s">
        <v>890</v>
      </c>
      <c r="F1201" t="s">
        <v>13348</v>
      </c>
      <c r="G1201" t="s">
        <v>15</v>
      </c>
      <c r="M1201" s="28" t="s">
        <v>613</v>
      </c>
      <c r="N1201" t="s">
        <v>313</v>
      </c>
    </row>
    <row r="1202" spans="1:14" hidden="1" x14ac:dyDescent="0.25">
      <c r="A1202" t="s">
        <v>11814</v>
      </c>
      <c r="B1202" t="s">
        <v>11815</v>
      </c>
      <c r="C1202" t="s">
        <v>3021</v>
      </c>
      <c r="D1202" t="s">
        <v>11816</v>
      </c>
      <c r="E1202" s="28" t="s">
        <v>890</v>
      </c>
      <c r="F1202" t="s">
        <v>891</v>
      </c>
      <c r="G1202" t="s">
        <v>88</v>
      </c>
      <c r="M1202" s="28" t="s">
        <v>549</v>
      </c>
      <c r="N1202" t="s">
        <v>313</v>
      </c>
    </row>
    <row r="1203" spans="1:14" hidden="1" x14ac:dyDescent="0.25">
      <c r="A1203" t="s">
        <v>10812</v>
      </c>
      <c r="B1203" t="s">
        <v>5650</v>
      </c>
      <c r="C1203" t="s">
        <v>1224</v>
      </c>
      <c r="D1203" t="s">
        <v>7354</v>
      </c>
      <c r="E1203" s="28" t="s">
        <v>890</v>
      </c>
      <c r="F1203" t="s">
        <v>227</v>
      </c>
      <c r="G1203" t="s">
        <v>157</v>
      </c>
      <c r="M1203" s="28" t="s">
        <v>840</v>
      </c>
      <c r="N1203" t="s">
        <v>382</v>
      </c>
    </row>
    <row r="1204" spans="1:14" hidden="1" x14ac:dyDescent="0.25">
      <c r="A1204" t="s">
        <v>10042</v>
      </c>
      <c r="B1204" t="s">
        <v>5650</v>
      </c>
      <c r="C1204" t="s">
        <v>4808</v>
      </c>
      <c r="D1204" t="s">
        <v>5651</v>
      </c>
      <c r="E1204" s="28" t="s">
        <v>896</v>
      </c>
      <c r="F1204" t="s">
        <v>4555</v>
      </c>
      <c r="G1204" t="s">
        <v>15</v>
      </c>
      <c r="M1204" s="28" t="s">
        <v>613</v>
      </c>
      <c r="N1204" t="s">
        <v>313</v>
      </c>
    </row>
    <row r="1205" spans="1:14" hidden="1" x14ac:dyDescent="0.25">
      <c r="A1205" t="s">
        <v>12919</v>
      </c>
      <c r="B1205" t="s">
        <v>12920</v>
      </c>
      <c r="C1205" t="s">
        <v>2698</v>
      </c>
      <c r="D1205" t="s">
        <v>5652</v>
      </c>
      <c r="E1205" s="28" t="s">
        <v>930</v>
      </c>
      <c r="F1205" t="s">
        <v>4555</v>
      </c>
      <c r="G1205" t="s">
        <v>15</v>
      </c>
      <c r="M1205" s="28" t="s">
        <v>613</v>
      </c>
      <c r="N1205" t="s">
        <v>313</v>
      </c>
    </row>
    <row r="1206" spans="1:14" hidden="1" x14ac:dyDescent="0.25">
      <c r="A1206" t="s">
        <v>12921</v>
      </c>
      <c r="B1206" t="s">
        <v>12920</v>
      </c>
      <c r="C1206" t="s">
        <v>1175</v>
      </c>
      <c r="D1206" t="s">
        <v>5653</v>
      </c>
      <c r="E1206" s="28" t="s">
        <v>1023</v>
      </c>
      <c r="F1206" t="s">
        <v>4555</v>
      </c>
      <c r="G1206" t="s">
        <v>15</v>
      </c>
      <c r="M1206" s="28" t="s">
        <v>613</v>
      </c>
      <c r="N1206" t="s">
        <v>313</v>
      </c>
    </row>
    <row r="1207" spans="1:14" hidden="1" x14ac:dyDescent="0.25">
      <c r="A1207" t="s">
        <v>8902</v>
      </c>
      <c r="B1207" t="s">
        <v>3309</v>
      </c>
      <c r="C1207" t="s">
        <v>1103</v>
      </c>
      <c r="D1207" t="s">
        <v>3310</v>
      </c>
      <c r="E1207" s="28" t="s">
        <v>1177</v>
      </c>
      <c r="F1207" t="s">
        <v>891</v>
      </c>
      <c r="G1207" t="s">
        <v>88</v>
      </c>
      <c r="M1207" s="28" t="s">
        <v>549</v>
      </c>
      <c r="N1207" t="s">
        <v>313</v>
      </c>
    </row>
    <row r="1208" spans="1:14" hidden="1" x14ac:dyDescent="0.25">
      <c r="A1208" t="s">
        <v>8903</v>
      </c>
      <c r="B1208" t="s">
        <v>3309</v>
      </c>
      <c r="C1208" t="s">
        <v>2108</v>
      </c>
      <c r="D1208" t="s">
        <v>3311</v>
      </c>
      <c r="E1208" s="28" t="s">
        <v>890</v>
      </c>
      <c r="F1208" t="s">
        <v>13206</v>
      </c>
      <c r="G1208" t="s">
        <v>88</v>
      </c>
      <c r="M1208" s="28" t="s">
        <v>549</v>
      </c>
      <c r="N1208" t="s">
        <v>313</v>
      </c>
    </row>
    <row r="1209" spans="1:14" hidden="1" x14ac:dyDescent="0.25">
      <c r="A1209" t="s">
        <v>8904</v>
      </c>
      <c r="B1209" t="s">
        <v>3312</v>
      </c>
      <c r="C1209" t="s">
        <v>3061</v>
      </c>
      <c r="D1209" t="s">
        <v>3313</v>
      </c>
      <c r="E1209" s="28" t="s">
        <v>890</v>
      </c>
      <c r="F1209" t="s">
        <v>891</v>
      </c>
      <c r="G1209" t="s">
        <v>88</v>
      </c>
      <c r="M1209" s="28" t="s">
        <v>549</v>
      </c>
      <c r="N1209" t="s">
        <v>313</v>
      </c>
    </row>
    <row r="1210" spans="1:14" hidden="1" x14ac:dyDescent="0.25">
      <c r="A1210" t="s">
        <v>10040</v>
      </c>
      <c r="B1210" t="s">
        <v>5647</v>
      </c>
      <c r="C1210" t="s">
        <v>4570</v>
      </c>
      <c r="D1210" t="s">
        <v>5648</v>
      </c>
      <c r="E1210" s="28" t="s">
        <v>930</v>
      </c>
      <c r="F1210" t="s">
        <v>676</v>
      </c>
      <c r="G1210" t="s">
        <v>15</v>
      </c>
      <c r="M1210" s="28" t="s">
        <v>613</v>
      </c>
      <c r="N1210" t="s">
        <v>313</v>
      </c>
    </row>
    <row r="1211" spans="1:14" hidden="1" x14ac:dyDescent="0.25">
      <c r="A1211" t="s">
        <v>10041</v>
      </c>
      <c r="B1211" t="s">
        <v>5647</v>
      </c>
      <c r="C1211" t="s">
        <v>5559</v>
      </c>
      <c r="D1211" t="s">
        <v>5649</v>
      </c>
      <c r="E1211" s="28" t="s">
        <v>896</v>
      </c>
      <c r="F1211" t="s">
        <v>676</v>
      </c>
      <c r="G1211" t="s">
        <v>15</v>
      </c>
      <c r="M1211" s="28" t="s">
        <v>613</v>
      </c>
      <c r="N1211" t="s">
        <v>313</v>
      </c>
    </row>
    <row r="1212" spans="1:14" hidden="1" x14ac:dyDescent="0.25">
      <c r="A1212" t="s">
        <v>10039</v>
      </c>
      <c r="B1212" t="s">
        <v>5645</v>
      </c>
      <c r="C1212" t="s">
        <v>909</v>
      </c>
      <c r="D1212" t="s">
        <v>5646</v>
      </c>
      <c r="E1212" s="28" t="s">
        <v>896</v>
      </c>
      <c r="F1212" t="s">
        <v>241</v>
      </c>
      <c r="G1212" t="s">
        <v>15</v>
      </c>
      <c r="M1212" s="28" t="s">
        <v>613</v>
      </c>
      <c r="N1212" t="s">
        <v>313</v>
      </c>
    </row>
    <row r="1213" spans="1:14" hidden="1" x14ac:dyDescent="0.25">
      <c r="A1213" t="s">
        <v>11606</v>
      </c>
      <c r="B1213" t="s">
        <v>11607</v>
      </c>
      <c r="C1213" t="s">
        <v>1400</v>
      </c>
      <c r="D1213" t="s">
        <v>11608</v>
      </c>
      <c r="E1213" s="28" t="s">
        <v>896</v>
      </c>
      <c r="F1213" t="s">
        <v>13237</v>
      </c>
      <c r="G1213" t="s">
        <v>11</v>
      </c>
      <c r="M1213" s="28" t="s">
        <v>413</v>
      </c>
      <c r="N1213" t="s">
        <v>313</v>
      </c>
    </row>
    <row r="1214" spans="1:14" hidden="1" x14ac:dyDescent="0.25">
      <c r="A1214" t="s">
        <v>10038</v>
      </c>
      <c r="B1214" t="s">
        <v>5643</v>
      </c>
      <c r="C1214" t="s">
        <v>4557</v>
      </c>
      <c r="D1214" t="s">
        <v>5644</v>
      </c>
      <c r="E1214" s="28" t="s">
        <v>890</v>
      </c>
      <c r="F1214" t="s">
        <v>197</v>
      </c>
      <c r="G1214" t="s">
        <v>15</v>
      </c>
      <c r="M1214" s="28" t="s">
        <v>613</v>
      </c>
      <c r="N1214" t="s">
        <v>313</v>
      </c>
    </row>
    <row r="1215" spans="1:14" hidden="1" x14ac:dyDescent="0.25">
      <c r="A1215" t="s">
        <v>13722</v>
      </c>
      <c r="B1215" t="s">
        <v>13723</v>
      </c>
      <c r="C1215" t="s">
        <v>2855</v>
      </c>
      <c r="D1215" t="s">
        <v>13724</v>
      </c>
      <c r="E1215" s="28" t="s">
        <v>1023</v>
      </c>
      <c r="F1215" t="s">
        <v>13635</v>
      </c>
      <c r="G1215" t="s">
        <v>81</v>
      </c>
      <c r="M1215" s="28" t="s">
        <v>530</v>
      </c>
      <c r="N1215" t="s">
        <v>313</v>
      </c>
    </row>
    <row r="1216" spans="1:14" hidden="1" x14ac:dyDescent="0.25">
      <c r="A1216" t="s">
        <v>11712</v>
      </c>
      <c r="B1216" t="s">
        <v>11713</v>
      </c>
      <c r="C1216" t="s">
        <v>11714</v>
      </c>
      <c r="D1216" t="s">
        <v>11715</v>
      </c>
      <c r="E1216" s="28" t="s">
        <v>896</v>
      </c>
      <c r="F1216" t="s">
        <v>13198</v>
      </c>
      <c r="G1216" t="s">
        <v>81</v>
      </c>
      <c r="M1216" s="28" t="s">
        <v>530</v>
      </c>
      <c r="N1216" t="s">
        <v>313</v>
      </c>
    </row>
    <row r="1217" spans="1:14" hidden="1" x14ac:dyDescent="0.25">
      <c r="A1217" t="s">
        <v>13357</v>
      </c>
      <c r="B1217" t="s">
        <v>13358</v>
      </c>
      <c r="C1217" t="s">
        <v>13359</v>
      </c>
      <c r="D1217" t="s">
        <v>13360</v>
      </c>
      <c r="E1217" s="28" t="s">
        <v>890</v>
      </c>
      <c r="F1217" t="s">
        <v>197</v>
      </c>
      <c r="G1217" t="s">
        <v>15</v>
      </c>
      <c r="M1217" s="28" t="s">
        <v>613</v>
      </c>
      <c r="N1217" t="s">
        <v>313</v>
      </c>
    </row>
    <row r="1218" spans="1:14" hidden="1" x14ac:dyDescent="0.25">
      <c r="A1218" t="s">
        <v>10037</v>
      </c>
      <c r="B1218" t="s">
        <v>5641</v>
      </c>
      <c r="C1218" t="s">
        <v>1076</v>
      </c>
      <c r="D1218" t="s">
        <v>5642</v>
      </c>
      <c r="E1218" s="28" t="s">
        <v>896</v>
      </c>
      <c r="F1218" t="s">
        <v>702</v>
      </c>
      <c r="G1218" t="s">
        <v>15</v>
      </c>
      <c r="M1218" s="28" t="s">
        <v>613</v>
      </c>
      <c r="N1218" t="s">
        <v>313</v>
      </c>
    </row>
    <row r="1219" spans="1:14" hidden="1" x14ac:dyDescent="0.25">
      <c r="A1219" t="s">
        <v>10658</v>
      </c>
      <c r="B1219" t="s">
        <v>6989</v>
      </c>
      <c r="C1219" t="s">
        <v>6990</v>
      </c>
      <c r="D1219" t="s">
        <v>6991</v>
      </c>
      <c r="E1219" s="28" t="s">
        <v>890</v>
      </c>
      <c r="F1219" t="s">
        <v>255</v>
      </c>
      <c r="G1219" t="s">
        <v>6896</v>
      </c>
      <c r="M1219" s="28" t="s">
        <v>6897</v>
      </c>
      <c r="N1219" t="s">
        <v>279</v>
      </c>
    </row>
    <row r="1220" spans="1:14" hidden="1" x14ac:dyDescent="0.25">
      <c r="A1220" t="s">
        <v>10404</v>
      </c>
      <c r="B1220" t="s">
        <v>6386</v>
      </c>
      <c r="C1220" t="s">
        <v>6387</v>
      </c>
      <c r="D1220" t="s">
        <v>6388</v>
      </c>
      <c r="E1220" s="28" t="s">
        <v>890</v>
      </c>
      <c r="F1220" t="s">
        <v>6365</v>
      </c>
      <c r="G1220" t="s">
        <v>119</v>
      </c>
      <c r="M1220" s="28"/>
    </row>
    <row r="1221" spans="1:14" hidden="1" x14ac:dyDescent="0.25">
      <c r="A1221" t="s">
        <v>8905</v>
      </c>
      <c r="B1221" t="s">
        <v>3314</v>
      </c>
      <c r="C1221" t="s">
        <v>1153</v>
      </c>
      <c r="D1221" t="s">
        <v>3315</v>
      </c>
      <c r="E1221" s="28" t="s">
        <v>890</v>
      </c>
      <c r="F1221" t="s">
        <v>11562</v>
      </c>
      <c r="G1221" t="s">
        <v>88</v>
      </c>
      <c r="M1221" s="28" t="s">
        <v>549</v>
      </c>
      <c r="N1221" t="s">
        <v>313</v>
      </c>
    </row>
    <row r="1222" spans="1:14" hidden="1" x14ac:dyDescent="0.25">
      <c r="A1222" t="s">
        <v>10590</v>
      </c>
      <c r="B1222" t="s">
        <v>6826</v>
      </c>
      <c r="C1222" t="s">
        <v>2066</v>
      </c>
      <c r="D1222" t="s">
        <v>12015</v>
      </c>
      <c r="E1222" s="28" t="s">
        <v>890</v>
      </c>
      <c r="F1222" t="s">
        <v>819</v>
      </c>
      <c r="G1222" t="s">
        <v>98</v>
      </c>
      <c r="M1222" s="28" t="s">
        <v>820</v>
      </c>
      <c r="N1222" t="s">
        <v>313</v>
      </c>
    </row>
    <row r="1223" spans="1:14" hidden="1" x14ac:dyDescent="0.25">
      <c r="A1223" t="s">
        <v>14122</v>
      </c>
      <c r="B1223" t="s">
        <v>6826</v>
      </c>
      <c r="C1223" t="s">
        <v>14123</v>
      </c>
      <c r="D1223" t="s">
        <v>14124</v>
      </c>
      <c r="E1223" s="28" t="s">
        <v>1177</v>
      </c>
      <c r="F1223" t="s">
        <v>891</v>
      </c>
      <c r="G1223" t="s">
        <v>98</v>
      </c>
      <c r="M1223" s="28" t="s">
        <v>820</v>
      </c>
      <c r="N1223" t="s">
        <v>313</v>
      </c>
    </row>
    <row r="1224" spans="1:14" hidden="1" x14ac:dyDescent="0.25">
      <c r="A1224" t="s">
        <v>10036</v>
      </c>
      <c r="B1224" t="s">
        <v>5639</v>
      </c>
      <c r="C1224" t="s">
        <v>4557</v>
      </c>
      <c r="D1224" t="s">
        <v>5640</v>
      </c>
      <c r="E1224" s="28" t="s">
        <v>890</v>
      </c>
      <c r="F1224" t="s">
        <v>743</v>
      </c>
      <c r="G1224" t="s">
        <v>15</v>
      </c>
      <c r="M1224" s="28" t="s">
        <v>613</v>
      </c>
      <c r="N1224" t="s">
        <v>313</v>
      </c>
    </row>
    <row r="1225" spans="1:14" hidden="1" x14ac:dyDescent="0.25">
      <c r="A1225" t="s">
        <v>10035</v>
      </c>
      <c r="B1225" t="s">
        <v>5637</v>
      </c>
      <c r="C1225" t="s">
        <v>4726</v>
      </c>
      <c r="D1225" t="s">
        <v>5638</v>
      </c>
      <c r="E1225" s="28" t="s">
        <v>896</v>
      </c>
      <c r="F1225" t="s">
        <v>4635</v>
      </c>
      <c r="G1225" t="s">
        <v>15</v>
      </c>
      <c r="M1225" s="28" t="s">
        <v>613</v>
      </c>
      <c r="N1225" t="s">
        <v>313</v>
      </c>
    </row>
    <row r="1226" spans="1:14" hidden="1" x14ac:dyDescent="0.25">
      <c r="A1226" t="s">
        <v>10034</v>
      </c>
      <c r="B1226" t="s">
        <v>5635</v>
      </c>
      <c r="C1226" t="s">
        <v>4726</v>
      </c>
      <c r="D1226" t="s">
        <v>5636</v>
      </c>
      <c r="E1226" s="28" t="s">
        <v>896</v>
      </c>
      <c r="F1226" t="s">
        <v>241</v>
      </c>
      <c r="G1226" t="s">
        <v>15</v>
      </c>
      <c r="M1226" s="28" t="s">
        <v>613</v>
      </c>
      <c r="N1226" t="s">
        <v>313</v>
      </c>
    </row>
    <row r="1227" spans="1:14" hidden="1" x14ac:dyDescent="0.25">
      <c r="A1227" t="s">
        <v>12922</v>
      </c>
      <c r="B1227" t="s">
        <v>12923</v>
      </c>
      <c r="C1227" t="s">
        <v>4792</v>
      </c>
      <c r="D1227" t="s">
        <v>12924</v>
      </c>
      <c r="E1227" s="28" t="s">
        <v>896</v>
      </c>
      <c r="F1227" t="s">
        <v>4635</v>
      </c>
      <c r="G1227" t="s">
        <v>15</v>
      </c>
      <c r="M1227" s="28" t="s">
        <v>613</v>
      </c>
      <c r="N1227" t="s">
        <v>313</v>
      </c>
    </row>
    <row r="1228" spans="1:14" hidden="1" x14ac:dyDescent="0.25">
      <c r="A1228" t="s">
        <v>11380</v>
      </c>
      <c r="B1228" t="s">
        <v>11381</v>
      </c>
      <c r="C1228" t="s">
        <v>11382</v>
      </c>
      <c r="D1228" t="s">
        <v>11383</v>
      </c>
      <c r="E1228" s="28" t="s">
        <v>930</v>
      </c>
      <c r="F1228" t="s">
        <v>6584</v>
      </c>
      <c r="G1228" t="s">
        <v>84</v>
      </c>
      <c r="M1228" s="28" t="s">
        <v>14223</v>
      </c>
      <c r="N1228" t="s">
        <v>313</v>
      </c>
    </row>
    <row r="1229" spans="1:14" hidden="1" x14ac:dyDescent="0.25">
      <c r="A1229" t="s">
        <v>11397</v>
      </c>
      <c r="B1229" t="s">
        <v>11381</v>
      </c>
      <c r="C1229" t="s">
        <v>11398</v>
      </c>
      <c r="D1229" t="s">
        <v>11399</v>
      </c>
      <c r="E1229" s="28" t="s">
        <v>930</v>
      </c>
      <c r="F1229" t="s">
        <v>6584</v>
      </c>
      <c r="G1229" t="s">
        <v>84</v>
      </c>
      <c r="M1229" s="28" t="s">
        <v>14223</v>
      </c>
      <c r="N1229" t="s">
        <v>313</v>
      </c>
    </row>
    <row r="1230" spans="1:14" hidden="1" x14ac:dyDescent="0.25">
      <c r="A1230" t="s">
        <v>10605</v>
      </c>
      <c r="B1230" t="s">
        <v>6844</v>
      </c>
      <c r="C1230" t="s">
        <v>2489</v>
      </c>
      <c r="D1230" t="s">
        <v>6856</v>
      </c>
      <c r="E1230" s="28" t="s">
        <v>896</v>
      </c>
      <c r="F1230" t="s">
        <v>833</v>
      </c>
      <c r="G1230" t="s">
        <v>145</v>
      </c>
      <c r="M1230" s="28" t="s">
        <v>13222</v>
      </c>
      <c r="N1230" t="s">
        <v>313</v>
      </c>
    </row>
    <row r="1231" spans="1:14" hidden="1" x14ac:dyDescent="0.25">
      <c r="A1231" t="s">
        <v>10599</v>
      </c>
      <c r="B1231" t="s">
        <v>6844</v>
      </c>
      <c r="C1231" t="s">
        <v>1468</v>
      </c>
      <c r="D1231" t="s">
        <v>6845</v>
      </c>
      <c r="E1231" s="28" t="s">
        <v>896</v>
      </c>
      <c r="F1231" t="s">
        <v>831</v>
      </c>
      <c r="G1231" t="s">
        <v>145</v>
      </c>
      <c r="M1231" s="28" t="s">
        <v>13222</v>
      </c>
      <c r="N1231" t="s">
        <v>313</v>
      </c>
    </row>
    <row r="1232" spans="1:14" hidden="1" x14ac:dyDescent="0.25">
      <c r="A1232" t="s">
        <v>10447</v>
      </c>
      <c r="B1232" t="s">
        <v>6481</v>
      </c>
      <c r="C1232" t="s">
        <v>2753</v>
      </c>
      <c r="D1232" t="s">
        <v>6482</v>
      </c>
      <c r="E1232" s="28" t="s">
        <v>890</v>
      </c>
      <c r="F1232" t="s">
        <v>792</v>
      </c>
      <c r="G1232" t="s">
        <v>21</v>
      </c>
      <c r="M1232" s="28" t="s">
        <v>791</v>
      </c>
      <c r="N1232" t="s">
        <v>313</v>
      </c>
    </row>
    <row r="1233" spans="1:14" hidden="1" x14ac:dyDescent="0.25">
      <c r="A1233" t="s">
        <v>8522</v>
      </c>
      <c r="B1233" t="s">
        <v>2418</v>
      </c>
      <c r="C1233" t="s">
        <v>2419</v>
      </c>
      <c r="D1233" t="s">
        <v>2420</v>
      </c>
      <c r="E1233" s="28" t="s">
        <v>896</v>
      </c>
      <c r="F1233" t="s">
        <v>105</v>
      </c>
      <c r="G1233" t="s">
        <v>11</v>
      </c>
      <c r="M1233" s="28" t="s">
        <v>413</v>
      </c>
      <c r="N1233" t="s">
        <v>313</v>
      </c>
    </row>
    <row r="1234" spans="1:14" hidden="1" x14ac:dyDescent="0.25">
      <c r="A1234" t="s">
        <v>8242</v>
      </c>
      <c r="B1234" t="s">
        <v>1732</v>
      </c>
      <c r="C1234" t="s">
        <v>1733</v>
      </c>
      <c r="D1234" t="s">
        <v>1734</v>
      </c>
      <c r="E1234" s="28" t="s">
        <v>890</v>
      </c>
      <c r="F1234" t="s">
        <v>891</v>
      </c>
      <c r="G1234" t="s">
        <v>43</v>
      </c>
      <c r="M1234" s="28" t="s">
        <v>14205</v>
      </c>
    </row>
    <row r="1235" spans="1:14" hidden="1" x14ac:dyDescent="0.25">
      <c r="A1235" t="s">
        <v>8610</v>
      </c>
      <c r="B1235" t="s">
        <v>2626</v>
      </c>
      <c r="C1235" t="s">
        <v>2627</v>
      </c>
      <c r="D1235" t="s">
        <v>2628</v>
      </c>
      <c r="E1235" s="28" t="s">
        <v>890</v>
      </c>
      <c r="F1235" t="s">
        <v>643</v>
      </c>
      <c r="G1235" t="s">
        <v>74</v>
      </c>
      <c r="M1235" s="28" t="s">
        <v>507</v>
      </c>
      <c r="N1235" t="s">
        <v>313</v>
      </c>
    </row>
    <row r="1236" spans="1:14" hidden="1" x14ac:dyDescent="0.25">
      <c r="A1236" t="s">
        <v>13725</v>
      </c>
      <c r="B1236" t="s">
        <v>13726</v>
      </c>
      <c r="C1236" t="s">
        <v>4440</v>
      </c>
      <c r="D1236" t="s">
        <v>13727</v>
      </c>
      <c r="E1236" s="28" t="s">
        <v>896</v>
      </c>
      <c r="F1236" t="s">
        <v>4635</v>
      </c>
      <c r="G1236" t="s">
        <v>15</v>
      </c>
      <c r="M1236" s="28" t="s">
        <v>613</v>
      </c>
      <c r="N1236" t="s">
        <v>313</v>
      </c>
    </row>
    <row r="1237" spans="1:14" hidden="1" x14ac:dyDescent="0.25">
      <c r="A1237" t="s">
        <v>8906</v>
      </c>
      <c r="B1237" t="s">
        <v>3316</v>
      </c>
      <c r="C1237" t="s">
        <v>3317</v>
      </c>
      <c r="D1237" t="s">
        <v>3318</v>
      </c>
      <c r="E1237" s="28" t="s">
        <v>890</v>
      </c>
      <c r="F1237" t="s">
        <v>891</v>
      </c>
      <c r="G1237" t="s">
        <v>88</v>
      </c>
      <c r="M1237" s="28" t="s">
        <v>549</v>
      </c>
      <c r="N1237" t="s">
        <v>313</v>
      </c>
    </row>
    <row r="1238" spans="1:14" hidden="1" x14ac:dyDescent="0.25">
      <c r="A1238" t="s">
        <v>14292</v>
      </c>
      <c r="B1238" t="s">
        <v>14293</v>
      </c>
      <c r="C1238" t="s">
        <v>13728</v>
      </c>
      <c r="D1238" t="s">
        <v>13729</v>
      </c>
      <c r="E1238" s="28" t="s">
        <v>890</v>
      </c>
      <c r="F1238" t="s">
        <v>13635</v>
      </c>
      <c r="G1238" t="s">
        <v>81</v>
      </c>
      <c r="M1238" s="28" t="s">
        <v>530</v>
      </c>
      <c r="N1238" t="s">
        <v>313</v>
      </c>
    </row>
    <row r="1239" spans="1:14" hidden="1" x14ac:dyDescent="0.25">
      <c r="A1239" t="s">
        <v>14294</v>
      </c>
      <c r="B1239" t="s">
        <v>14295</v>
      </c>
      <c r="C1239" t="s">
        <v>2184</v>
      </c>
      <c r="D1239" t="s">
        <v>14296</v>
      </c>
      <c r="E1239" s="28" t="s">
        <v>896</v>
      </c>
      <c r="F1239" t="s">
        <v>752</v>
      </c>
      <c r="G1239" t="s">
        <v>15</v>
      </c>
      <c r="M1239" s="28" t="s">
        <v>613</v>
      </c>
      <c r="N1239" t="s">
        <v>313</v>
      </c>
    </row>
    <row r="1240" spans="1:14" hidden="1" x14ac:dyDescent="0.25">
      <c r="A1240" t="s">
        <v>10498</v>
      </c>
      <c r="B1240" t="s">
        <v>6661</v>
      </c>
      <c r="C1240" t="s">
        <v>6662</v>
      </c>
      <c r="D1240" t="s">
        <v>6663</v>
      </c>
      <c r="E1240" s="28" t="s">
        <v>890</v>
      </c>
      <c r="F1240" t="s">
        <v>891</v>
      </c>
      <c r="G1240" t="s">
        <v>137</v>
      </c>
      <c r="M1240" s="28" t="s">
        <v>805</v>
      </c>
      <c r="N1240" t="s">
        <v>313</v>
      </c>
    </row>
    <row r="1241" spans="1:14" hidden="1" x14ac:dyDescent="0.25">
      <c r="A1241" t="s">
        <v>10033</v>
      </c>
      <c r="B1241" t="s">
        <v>5632</v>
      </c>
      <c r="C1241" t="s">
        <v>5633</v>
      </c>
      <c r="D1241" t="s">
        <v>5634</v>
      </c>
      <c r="E1241" s="28" t="s">
        <v>890</v>
      </c>
      <c r="F1241" t="s">
        <v>214</v>
      </c>
      <c r="G1241" t="s">
        <v>15</v>
      </c>
      <c r="M1241" s="28" t="s">
        <v>613</v>
      </c>
      <c r="N1241" t="s">
        <v>313</v>
      </c>
    </row>
    <row r="1242" spans="1:14" hidden="1" x14ac:dyDescent="0.25">
      <c r="A1242" t="s">
        <v>12636</v>
      </c>
      <c r="B1242" t="s">
        <v>12637</v>
      </c>
      <c r="C1242" t="s">
        <v>1464</v>
      </c>
      <c r="D1242" t="s">
        <v>12638</v>
      </c>
      <c r="E1242" s="28" t="s">
        <v>896</v>
      </c>
      <c r="F1242" t="s">
        <v>12631</v>
      </c>
      <c r="G1242" t="s">
        <v>137</v>
      </c>
      <c r="M1242" s="28" t="s">
        <v>805</v>
      </c>
      <c r="N1242" t="s">
        <v>313</v>
      </c>
    </row>
    <row r="1243" spans="1:14" hidden="1" x14ac:dyDescent="0.25">
      <c r="A1243" t="s">
        <v>10741</v>
      </c>
      <c r="B1243" t="s">
        <v>7184</v>
      </c>
      <c r="C1243" t="s">
        <v>2543</v>
      </c>
      <c r="D1243" t="s">
        <v>7185</v>
      </c>
      <c r="E1243" s="28" t="s">
        <v>896</v>
      </c>
      <c r="F1243" t="s">
        <v>7062</v>
      </c>
      <c r="G1243" t="s">
        <v>6896</v>
      </c>
      <c r="M1243" s="28" t="s">
        <v>6897</v>
      </c>
      <c r="N1243" t="s">
        <v>279</v>
      </c>
    </row>
    <row r="1244" spans="1:14" hidden="1" x14ac:dyDescent="0.25">
      <c r="A1244" t="s">
        <v>10032</v>
      </c>
      <c r="B1244" t="s">
        <v>5630</v>
      </c>
      <c r="C1244" t="s">
        <v>1718</v>
      </c>
      <c r="D1244" t="s">
        <v>5631</v>
      </c>
      <c r="E1244" s="28" t="s">
        <v>896</v>
      </c>
      <c r="F1244" t="s">
        <v>693</v>
      </c>
      <c r="G1244" t="s">
        <v>15</v>
      </c>
      <c r="M1244" s="28" t="s">
        <v>613</v>
      </c>
      <c r="N1244" t="s">
        <v>313</v>
      </c>
    </row>
    <row r="1245" spans="1:14" hidden="1" x14ac:dyDescent="0.25">
      <c r="A1245" t="s">
        <v>10031</v>
      </c>
      <c r="B1245" t="s">
        <v>1034</v>
      </c>
      <c r="C1245" t="s">
        <v>5628</v>
      </c>
      <c r="D1245" t="s">
        <v>5629</v>
      </c>
      <c r="E1245" s="28" t="s">
        <v>890</v>
      </c>
      <c r="F1245" t="s">
        <v>225</v>
      </c>
      <c r="G1245" t="s">
        <v>15</v>
      </c>
      <c r="M1245" s="28" t="s">
        <v>613</v>
      </c>
      <c r="N1245" t="s">
        <v>313</v>
      </c>
    </row>
    <row r="1246" spans="1:14" hidden="1" x14ac:dyDescent="0.25">
      <c r="A1246" t="s">
        <v>7990</v>
      </c>
      <c r="B1246" t="s">
        <v>1034</v>
      </c>
      <c r="C1246" t="s">
        <v>1035</v>
      </c>
      <c r="D1246" t="s">
        <v>1036</v>
      </c>
      <c r="E1246" s="28" t="s">
        <v>890</v>
      </c>
      <c r="F1246" t="s">
        <v>1018</v>
      </c>
      <c r="G1246" t="s">
        <v>28</v>
      </c>
      <c r="M1246" s="28" t="s">
        <v>14241</v>
      </c>
      <c r="N1246" t="s">
        <v>14206</v>
      </c>
    </row>
    <row r="1247" spans="1:14" hidden="1" x14ac:dyDescent="0.25">
      <c r="A1247" t="s">
        <v>14125</v>
      </c>
      <c r="B1247" t="s">
        <v>14126</v>
      </c>
      <c r="C1247" t="s">
        <v>4640</v>
      </c>
      <c r="D1247" t="s">
        <v>14127</v>
      </c>
      <c r="E1247" s="28" t="s">
        <v>896</v>
      </c>
      <c r="F1247" t="s">
        <v>14119</v>
      </c>
      <c r="G1247" t="s">
        <v>15</v>
      </c>
      <c r="M1247" s="28" t="s">
        <v>613</v>
      </c>
      <c r="N1247" t="s">
        <v>313</v>
      </c>
    </row>
    <row r="1248" spans="1:14" hidden="1" x14ac:dyDescent="0.25">
      <c r="A1248" t="s">
        <v>10752</v>
      </c>
      <c r="B1248" t="s">
        <v>7211</v>
      </c>
      <c r="C1248" t="s">
        <v>7212</v>
      </c>
      <c r="D1248" t="s">
        <v>7213</v>
      </c>
      <c r="E1248" s="28" t="s">
        <v>890</v>
      </c>
      <c r="F1248" t="s">
        <v>6895</v>
      </c>
      <c r="G1248" t="s">
        <v>6896</v>
      </c>
      <c r="M1248" s="28" t="s">
        <v>6897</v>
      </c>
      <c r="N1248" t="s">
        <v>279</v>
      </c>
    </row>
    <row r="1249" spans="1:14" hidden="1" x14ac:dyDescent="0.25">
      <c r="A1249" t="s">
        <v>8561</v>
      </c>
      <c r="B1249" t="s">
        <v>2512</v>
      </c>
      <c r="C1249" t="s">
        <v>2029</v>
      </c>
      <c r="D1249" t="s">
        <v>2513</v>
      </c>
      <c r="E1249" s="28" t="s">
        <v>896</v>
      </c>
      <c r="F1249" t="s">
        <v>10901</v>
      </c>
      <c r="G1249" t="s">
        <v>11</v>
      </c>
      <c r="M1249" s="28" t="s">
        <v>413</v>
      </c>
      <c r="N1249" t="s">
        <v>313</v>
      </c>
    </row>
    <row r="1250" spans="1:14" hidden="1" x14ac:dyDescent="0.25">
      <c r="A1250" t="s">
        <v>10475</v>
      </c>
      <c r="B1250" t="s">
        <v>6608</v>
      </c>
      <c r="C1250" t="s">
        <v>6609</v>
      </c>
      <c r="D1250" t="s">
        <v>6610</v>
      </c>
      <c r="E1250" s="28" t="s">
        <v>890</v>
      </c>
      <c r="F1250" t="s">
        <v>6576</v>
      </c>
      <c r="G1250" t="s">
        <v>131</v>
      </c>
      <c r="M1250" s="28" t="s">
        <v>14242</v>
      </c>
    </row>
    <row r="1251" spans="1:14" hidden="1" x14ac:dyDescent="0.25">
      <c r="A1251" t="s">
        <v>12076</v>
      </c>
      <c r="B1251" t="s">
        <v>7355</v>
      </c>
      <c r="C1251" t="s">
        <v>1459</v>
      </c>
      <c r="D1251" t="s">
        <v>12077</v>
      </c>
      <c r="E1251" s="28" t="s">
        <v>1023</v>
      </c>
      <c r="F1251" t="s">
        <v>843</v>
      </c>
      <c r="G1251" t="s">
        <v>157</v>
      </c>
      <c r="M1251" s="28" t="s">
        <v>840</v>
      </c>
      <c r="N1251" t="s">
        <v>382</v>
      </c>
    </row>
    <row r="1252" spans="1:14" hidden="1" x14ac:dyDescent="0.25">
      <c r="A1252" t="s">
        <v>10813</v>
      </c>
      <c r="B1252" t="s">
        <v>7355</v>
      </c>
      <c r="C1252" t="s">
        <v>7356</v>
      </c>
      <c r="D1252" t="s">
        <v>7357</v>
      </c>
      <c r="E1252" s="28" t="s">
        <v>890</v>
      </c>
      <c r="F1252" t="s">
        <v>843</v>
      </c>
      <c r="G1252" t="s">
        <v>157</v>
      </c>
      <c r="M1252" s="28" t="s">
        <v>840</v>
      </c>
      <c r="N1252" t="s">
        <v>382</v>
      </c>
    </row>
    <row r="1253" spans="1:14" hidden="1" x14ac:dyDescent="0.25">
      <c r="A1253" t="s">
        <v>10030</v>
      </c>
      <c r="B1253" t="s">
        <v>5626</v>
      </c>
      <c r="C1253" t="s">
        <v>4557</v>
      </c>
      <c r="D1253" t="s">
        <v>5627</v>
      </c>
      <c r="E1253" s="28" t="s">
        <v>890</v>
      </c>
      <c r="F1253" t="s">
        <v>620</v>
      </c>
      <c r="G1253" t="s">
        <v>15</v>
      </c>
      <c r="M1253" s="28" t="s">
        <v>613</v>
      </c>
      <c r="N1253" t="s">
        <v>313</v>
      </c>
    </row>
    <row r="1254" spans="1:14" hidden="1" x14ac:dyDescent="0.25">
      <c r="A1254" t="s">
        <v>8907</v>
      </c>
      <c r="B1254" t="s">
        <v>3319</v>
      </c>
      <c r="C1254" t="s">
        <v>3320</v>
      </c>
      <c r="D1254" t="s">
        <v>3321</v>
      </c>
      <c r="E1254" s="28" t="s">
        <v>890</v>
      </c>
      <c r="F1254" t="s">
        <v>891</v>
      </c>
      <c r="G1254" t="s">
        <v>88</v>
      </c>
      <c r="M1254" s="28" t="s">
        <v>549</v>
      </c>
      <c r="N1254" t="s">
        <v>313</v>
      </c>
    </row>
    <row r="1255" spans="1:14" hidden="1" x14ac:dyDescent="0.25">
      <c r="A1255" t="s">
        <v>8908</v>
      </c>
      <c r="B1255" t="s">
        <v>3322</v>
      </c>
      <c r="C1255" t="s">
        <v>1266</v>
      </c>
      <c r="D1255" t="s">
        <v>3323</v>
      </c>
      <c r="E1255" s="28" t="s">
        <v>890</v>
      </c>
      <c r="F1255" t="s">
        <v>891</v>
      </c>
      <c r="G1255" t="s">
        <v>88</v>
      </c>
      <c r="M1255" s="28" t="s">
        <v>549</v>
      </c>
      <c r="N1255" t="s">
        <v>313</v>
      </c>
    </row>
    <row r="1256" spans="1:14" hidden="1" x14ac:dyDescent="0.25">
      <c r="A1256" t="s">
        <v>8909</v>
      </c>
      <c r="B1256" t="s">
        <v>3324</v>
      </c>
      <c r="C1256" t="s">
        <v>3134</v>
      </c>
      <c r="D1256" t="s">
        <v>3325</v>
      </c>
      <c r="E1256" s="28" t="s">
        <v>896</v>
      </c>
      <c r="F1256" t="s">
        <v>891</v>
      </c>
      <c r="G1256" t="s">
        <v>88</v>
      </c>
      <c r="M1256" s="28" t="s">
        <v>549</v>
      </c>
      <c r="N1256" t="s">
        <v>313</v>
      </c>
    </row>
    <row r="1257" spans="1:14" hidden="1" x14ac:dyDescent="0.25">
      <c r="A1257" t="s">
        <v>8709</v>
      </c>
      <c r="B1257" t="s">
        <v>2881</v>
      </c>
      <c r="C1257" t="s">
        <v>2852</v>
      </c>
      <c r="D1257" t="s">
        <v>2882</v>
      </c>
      <c r="E1257" s="28" t="s">
        <v>896</v>
      </c>
      <c r="F1257" t="s">
        <v>535</v>
      </c>
      <c r="G1257" t="s">
        <v>81</v>
      </c>
      <c r="M1257" s="28" t="s">
        <v>530</v>
      </c>
      <c r="N1257" t="s">
        <v>313</v>
      </c>
    </row>
    <row r="1258" spans="1:14" hidden="1" x14ac:dyDescent="0.25">
      <c r="A1258" t="s">
        <v>8910</v>
      </c>
      <c r="B1258" t="s">
        <v>3326</v>
      </c>
      <c r="C1258" t="s">
        <v>3327</v>
      </c>
      <c r="D1258" t="s">
        <v>3328</v>
      </c>
      <c r="E1258" s="28" t="s">
        <v>896</v>
      </c>
      <c r="F1258" t="s">
        <v>891</v>
      </c>
      <c r="G1258" t="s">
        <v>88</v>
      </c>
      <c r="M1258" s="28" t="s">
        <v>549</v>
      </c>
      <c r="N1258" t="s">
        <v>313</v>
      </c>
    </row>
    <row r="1259" spans="1:14" hidden="1" x14ac:dyDescent="0.25">
      <c r="A1259" t="s">
        <v>8911</v>
      </c>
      <c r="B1259" t="s">
        <v>3329</v>
      </c>
      <c r="C1259" t="s">
        <v>3330</v>
      </c>
      <c r="D1259" t="s">
        <v>3331</v>
      </c>
      <c r="E1259" s="28" t="s">
        <v>890</v>
      </c>
      <c r="F1259" t="s">
        <v>11562</v>
      </c>
      <c r="G1259" t="s">
        <v>88</v>
      </c>
      <c r="M1259" s="28" t="s">
        <v>549</v>
      </c>
      <c r="N1259" t="s">
        <v>313</v>
      </c>
    </row>
    <row r="1260" spans="1:14" hidden="1" x14ac:dyDescent="0.25">
      <c r="A1260" t="s">
        <v>8912</v>
      </c>
      <c r="B1260" t="s">
        <v>3332</v>
      </c>
      <c r="C1260" t="s">
        <v>3333</v>
      </c>
      <c r="D1260" t="s">
        <v>3334</v>
      </c>
      <c r="E1260" s="28" t="s">
        <v>890</v>
      </c>
      <c r="F1260" t="s">
        <v>550</v>
      </c>
      <c r="G1260" t="s">
        <v>88</v>
      </c>
      <c r="M1260" s="28" t="s">
        <v>549</v>
      </c>
      <c r="N1260" t="s">
        <v>313</v>
      </c>
    </row>
    <row r="1261" spans="1:14" hidden="1" x14ac:dyDescent="0.25">
      <c r="A1261" t="s">
        <v>8094</v>
      </c>
      <c r="B1261" t="s">
        <v>1354</v>
      </c>
      <c r="C1261" t="s">
        <v>1269</v>
      </c>
      <c r="D1261" t="s">
        <v>1355</v>
      </c>
      <c r="E1261" s="28" t="s">
        <v>890</v>
      </c>
      <c r="F1261" t="s">
        <v>57</v>
      </c>
      <c r="G1261" t="s">
        <v>38</v>
      </c>
      <c r="M1261" s="28"/>
    </row>
    <row r="1262" spans="1:14" hidden="1" x14ac:dyDescent="0.25">
      <c r="A1262" t="s">
        <v>13730</v>
      </c>
      <c r="B1262" t="s">
        <v>80</v>
      </c>
      <c r="C1262" t="s">
        <v>1309</v>
      </c>
      <c r="D1262" t="s">
        <v>11716</v>
      </c>
      <c r="E1262" s="28" t="s">
        <v>896</v>
      </c>
      <c r="F1262" t="s">
        <v>13197</v>
      </c>
      <c r="G1262" t="s">
        <v>81</v>
      </c>
      <c r="M1262" s="28" t="s">
        <v>530</v>
      </c>
      <c r="N1262" t="s">
        <v>313</v>
      </c>
    </row>
    <row r="1263" spans="1:14" hidden="1" x14ac:dyDescent="0.25">
      <c r="A1263" t="s">
        <v>10029</v>
      </c>
      <c r="B1263" t="s">
        <v>5624</v>
      </c>
      <c r="C1263" t="s">
        <v>4640</v>
      </c>
      <c r="D1263" t="s">
        <v>5625</v>
      </c>
      <c r="E1263" s="28" t="s">
        <v>896</v>
      </c>
      <c r="F1263" t="s">
        <v>712</v>
      </c>
      <c r="G1263" t="s">
        <v>15</v>
      </c>
      <c r="M1263" s="28" t="s">
        <v>613</v>
      </c>
      <c r="N1263" t="s">
        <v>313</v>
      </c>
    </row>
    <row r="1264" spans="1:14" hidden="1" x14ac:dyDescent="0.25">
      <c r="A1264" t="s">
        <v>14490</v>
      </c>
      <c r="B1264" t="s">
        <v>14491</v>
      </c>
      <c r="C1264" t="s">
        <v>4600</v>
      </c>
      <c r="D1264" t="s">
        <v>12997</v>
      </c>
      <c r="E1264" s="28" t="s">
        <v>896</v>
      </c>
      <c r="F1264" t="s">
        <v>13217</v>
      </c>
      <c r="G1264" t="s">
        <v>15</v>
      </c>
      <c r="M1264" s="28" t="s">
        <v>613</v>
      </c>
      <c r="N1264" t="s">
        <v>313</v>
      </c>
    </row>
    <row r="1265" spans="1:14" hidden="1" x14ac:dyDescent="0.25">
      <c r="A1265" t="s">
        <v>8574</v>
      </c>
      <c r="B1265" t="s">
        <v>1187</v>
      </c>
      <c r="C1265" t="s">
        <v>1204</v>
      </c>
      <c r="D1265" t="s">
        <v>2547</v>
      </c>
      <c r="E1265" s="28" t="s">
        <v>896</v>
      </c>
      <c r="F1265" t="s">
        <v>11615</v>
      </c>
      <c r="G1265" t="s">
        <v>11</v>
      </c>
      <c r="M1265" s="28" t="s">
        <v>413</v>
      </c>
      <c r="N1265" t="s">
        <v>313</v>
      </c>
    </row>
    <row r="1266" spans="1:14" hidden="1" x14ac:dyDescent="0.25">
      <c r="A1266" t="s">
        <v>14492</v>
      </c>
      <c r="B1266" t="s">
        <v>1187</v>
      </c>
      <c r="C1266" t="s">
        <v>1105</v>
      </c>
      <c r="D1266" t="s">
        <v>14493</v>
      </c>
      <c r="E1266" s="28" t="s">
        <v>890</v>
      </c>
      <c r="F1266" t="s">
        <v>891</v>
      </c>
      <c r="G1266" t="s">
        <v>11</v>
      </c>
      <c r="M1266" s="28" t="s">
        <v>413</v>
      </c>
      <c r="N1266" t="s">
        <v>313</v>
      </c>
    </row>
    <row r="1267" spans="1:14" hidden="1" x14ac:dyDescent="0.25">
      <c r="A1267" t="s">
        <v>8466</v>
      </c>
      <c r="B1267" t="s">
        <v>2281</v>
      </c>
      <c r="C1267" t="s">
        <v>2220</v>
      </c>
      <c r="D1267" t="s">
        <v>2282</v>
      </c>
      <c r="E1267" s="28" t="s">
        <v>890</v>
      </c>
      <c r="F1267" t="s">
        <v>408</v>
      </c>
      <c r="G1267" t="s">
        <v>65</v>
      </c>
      <c r="M1267" s="28" t="s">
        <v>14209</v>
      </c>
    </row>
    <row r="1268" spans="1:14" hidden="1" x14ac:dyDescent="0.25">
      <c r="A1268" t="s">
        <v>8237</v>
      </c>
      <c r="B1268" t="s">
        <v>1718</v>
      </c>
      <c r="C1268" t="s">
        <v>1719</v>
      </c>
      <c r="D1268" t="s">
        <v>1720</v>
      </c>
      <c r="E1268" s="28" t="s">
        <v>890</v>
      </c>
      <c r="F1268" t="s">
        <v>891</v>
      </c>
      <c r="G1268" t="s">
        <v>43</v>
      </c>
      <c r="M1268" s="28" t="s">
        <v>14205</v>
      </c>
    </row>
    <row r="1269" spans="1:14" hidden="1" x14ac:dyDescent="0.25">
      <c r="A1269" t="s">
        <v>8913</v>
      </c>
      <c r="B1269" t="s">
        <v>3335</v>
      </c>
      <c r="C1269" t="s">
        <v>3336</v>
      </c>
      <c r="D1269" t="s">
        <v>3337</v>
      </c>
      <c r="E1269" s="28" t="s">
        <v>896</v>
      </c>
      <c r="F1269" t="s">
        <v>891</v>
      </c>
      <c r="G1269" t="s">
        <v>88</v>
      </c>
      <c r="M1269" s="28" t="s">
        <v>549</v>
      </c>
      <c r="N1269" t="s">
        <v>313</v>
      </c>
    </row>
    <row r="1270" spans="1:14" hidden="1" x14ac:dyDescent="0.25">
      <c r="A1270" t="s">
        <v>10028</v>
      </c>
      <c r="B1270" t="s">
        <v>5622</v>
      </c>
      <c r="C1270" t="s">
        <v>1084</v>
      </c>
      <c r="D1270" t="s">
        <v>5623</v>
      </c>
      <c r="E1270" s="28" t="s">
        <v>890</v>
      </c>
      <c r="F1270" t="s">
        <v>13562</v>
      </c>
      <c r="G1270" t="s">
        <v>15</v>
      </c>
      <c r="M1270" s="28" t="s">
        <v>613</v>
      </c>
      <c r="N1270" t="s">
        <v>313</v>
      </c>
    </row>
    <row r="1271" spans="1:14" hidden="1" x14ac:dyDescent="0.25">
      <c r="A1271" t="s">
        <v>10027</v>
      </c>
      <c r="B1271" t="s">
        <v>5620</v>
      </c>
      <c r="C1271" t="s">
        <v>4570</v>
      </c>
      <c r="D1271" t="s">
        <v>5621</v>
      </c>
      <c r="E1271" s="28" t="s">
        <v>896</v>
      </c>
      <c r="F1271" t="s">
        <v>654</v>
      </c>
      <c r="G1271" t="s">
        <v>15</v>
      </c>
      <c r="M1271" s="28" t="s">
        <v>613</v>
      </c>
      <c r="N1271" t="s">
        <v>313</v>
      </c>
    </row>
    <row r="1272" spans="1:14" hidden="1" x14ac:dyDescent="0.25">
      <c r="A1272" t="s">
        <v>13731</v>
      </c>
      <c r="B1272" t="s">
        <v>13732</v>
      </c>
      <c r="C1272" t="s">
        <v>974</v>
      </c>
      <c r="D1272" t="s">
        <v>13733</v>
      </c>
      <c r="E1272" s="28" t="s">
        <v>896</v>
      </c>
      <c r="F1272" t="s">
        <v>12865</v>
      </c>
      <c r="G1272" t="s">
        <v>15</v>
      </c>
      <c r="M1272" s="28" t="s">
        <v>613</v>
      </c>
      <c r="N1272" t="s">
        <v>313</v>
      </c>
    </row>
    <row r="1273" spans="1:14" hidden="1" x14ac:dyDescent="0.25">
      <c r="A1273" t="s">
        <v>8494</v>
      </c>
      <c r="B1273" t="s">
        <v>2242</v>
      </c>
      <c r="C1273" t="s">
        <v>1082</v>
      </c>
      <c r="D1273" t="s">
        <v>2352</v>
      </c>
      <c r="E1273" s="28" t="s">
        <v>930</v>
      </c>
      <c r="F1273" t="s">
        <v>408</v>
      </c>
      <c r="G1273" t="s">
        <v>65</v>
      </c>
      <c r="M1273" s="28" t="s">
        <v>14209</v>
      </c>
    </row>
    <row r="1274" spans="1:14" hidden="1" x14ac:dyDescent="0.25">
      <c r="A1274" t="s">
        <v>8446</v>
      </c>
      <c r="B1274" t="s">
        <v>2242</v>
      </c>
      <c r="C1274" t="s">
        <v>1269</v>
      </c>
      <c r="D1274" t="s">
        <v>2243</v>
      </c>
      <c r="E1274" s="28" t="s">
        <v>890</v>
      </c>
      <c r="F1274" t="s">
        <v>408</v>
      </c>
      <c r="G1274" t="s">
        <v>65</v>
      </c>
      <c r="M1274" s="28" t="s">
        <v>14209</v>
      </c>
    </row>
    <row r="1275" spans="1:14" hidden="1" x14ac:dyDescent="0.25">
      <c r="A1275" t="s">
        <v>10476</v>
      </c>
      <c r="B1275" t="s">
        <v>6611</v>
      </c>
      <c r="C1275" t="s">
        <v>6612</v>
      </c>
      <c r="D1275" t="s">
        <v>6613</v>
      </c>
      <c r="E1275" s="28" t="s">
        <v>890</v>
      </c>
      <c r="F1275" t="s">
        <v>6604</v>
      </c>
      <c r="G1275" t="s">
        <v>131</v>
      </c>
      <c r="M1275" s="28" t="s">
        <v>14242</v>
      </c>
    </row>
    <row r="1276" spans="1:14" hidden="1" x14ac:dyDescent="0.25">
      <c r="A1276" t="s">
        <v>10026</v>
      </c>
      <c r="B1276" t="s">
        <v>5618</v>
      </c>
      <c r="C1276" t="s">
        <v>5534</v>
      </c>
      <c r="D1276" t="s">
        <v>5619</v>
      </c>
      <c r="E1276" s="28" t="s">
        <v>896</v>
      </c>
      <c r="F1276" t="s">
        <v>662</v>
      </c>
      <c r="G1276" t="s">
        <v>15</v>
      </c>
      <c r="M1276" s="28" t="s">
        <v>613</v>
      </c>
      <c r="N1276" t="s">
        <v>313</v>
      </c>
    </row>
    <row r="1277" spans="1:14" hidden="1" x14ac:dyDescent="0.25">
      <c r="A1277" t="s">
        <v>8264</v>
      </c>
      <c r="B1277" t="s">
        <v>1784</v>
      </c>
      <c r="C1277" t="s">
        <v>1616</v>
      </c>
      <c r="D1277" t="s">
        <v>1785</v>
      </c>
      <c r="E1277" s="28" t="s">
        <v>890</v>
      </c>
      <c r="F1277" t="s">
        <v>1641</v>
      </c>
      <c r="G1277" t="s">
        <v>43</v>
      </c>
      <c r="M1277" s="28" t="s">
        <v>14205</v>
      </c>
    </row>
    <row r="1278" spans="1:14" hidden="1" x14ac:dyDescent="0.25">
      <c r="A1278" t="s">
        <v>10499</v>
      </c>
      <c r="B1278" t="s">
        <v>1784</v>
      </c>
      <c r="C1278" t="s">
        <v>1676</v>
      </c>
      <c r="D1278" t="s">
        <v>6664</v>
      </c>
      <c r="E1278" s="28" t="s">
        <v>896</v>
      </c>
      <c r="F1278" t="s">
        <v>806</v>
      </c>
      <c r="G1278" t="s">
        <v>137</v>
      </c>
      <c r="M1278" s="28" t="s">
        <v>805</v>
      </c>
      <c r="N1278" t="s">
        <v>313</v>
      </c>
    </row>
    <row r="1279" spans="1:14" hidden="1" x14ac:dyDescent="0.25">
      <c r="A1279" t="s">
        <v>11303</v>
      </c>
      <c r="B1279" t="s">
        <v>11304</v>
      </c>
      <c r="C1279" t="s">
        <v>1199</v>
      </c>
      <c r="D1279" t="s">
        <v>11305</v>
      </c>
      <c r="E1279" s="28" t="s">
        <v>890</v>
      </c>
      <c r="F1279" t="s">
        <v>10975</v>
      </c>
      <c r="G1279" t="s">
        <v>84</v>
      </c>
      <c r="M1279" s="28" t="s">
        <v>14223</v>
      </c>
      <c r="N1279" t="s">
        <v>313</v>
      </c>
    </row>
    <row r="1280" spans="1:14" hidden="1" x14ac:dyDescent="0.25">
      <c r="A1280" t="s">
        <v>10024</v>
      </c>
      <c r="B1280" t="s">
        <v>5615</v>
      </c>
      <c r="C1280" t="s">
        <v>1224</v>
      </c>
      <c r="D1280" t="s">
        <v>5616</v>
      </c>
      <c r="E1280" s="28" t="s">
        <v>930</v>
      </c>
      <c r="F1280" t="s">
        <v>620</v>
      </c>
      <c r="G1280" t="s">
        <v>15</v>
      </c>
      <c r="M1280" s="28" t="s">
        <v>613</v>
      </c>
      <c r="N1280" t="s">
        <v>313</v>
      </c>
    </row>
    <row r="1281" spans="1:14" hidden="1" x14ac:dyDescent="0.25">
      <c r="A1281" t="s">
        <v>10025</v>
      </c>
      <c r="B1281" t="s">
        <v>5615</v>
      </c>
      <c r="C1281" t="s">
        <v>2919</v>
      </c>
      <c r="D1281" t="s">
        <v>5617</v>
      </c>
      <c r="E1281" s="28" t="s">
        <v>1023</v>
      </c>
      <c r="F1281" t="s">
        <v>620</v>
      </c>
      <c r="G1281" t="s">
        <v>15</v>
      </c>
      <c r="M1281" s="28" t="s">
        <v>613</v>
      </c>
      <c r="N1281" t="s">
        <v>313</v>
      </c>
    </row>
    <row r="1282" spans="1:14" hidden="1" x14ac:dyDescent="0.25">
      <c r="A1282" t="s">
        <v>10972</v>
      </c>
      <c r="B1282" t="s">
        <v>10973</v>
      </c>
      <c r="C1282" t="s">
        <v>1259</v>
      </c>
      <c r="D1282" t="s">
        <v>10974</v>
      </c>
      <c r="E1282" s="28" t="s">
        <v>896</v>
      </c>
      <c r="F1282" t="s">
        <v>10975</v>
      </c>
      <c r="G1282" t="s">
        <v>84</v>
      </c>
      <c r="M1282" s="28" t="s">
        <v>14223</v>
      </c>
      <c r="N1282" t="s">
        <v>313</v>
      </c>
    </row>
    <row r="1283" spans="1:14" hidden="1" x14ac:dyDescent="0.25">
      <c r="A1283" t="s">
        <v>10023</v>
      </c>
      <c r="B1283" t="s">
        <v>5613</v>
      </c>
      <c r="C1283" t="s">
        <v>4668</v>
      </c>
      <c r="D1283" t="s">
        <v>5614</v>
      </c>
      <c r="E1283" s="28" t="s">
        <v>896</v>
      </c>
      <c r="F1283" t="s">
        <v>727</v>
      </c>
      <c r="G1283" t="s">
        <v>15</v>
      </c>
      <c r="M1283" s="28" t="s">
        <v>613</v>
      </c>
      <c r="N1283" t="s">
        <v>313</v>
      </c>
    </row>
    <row r="1284" spans="1:14" hidden="1" x14ac:dyDescent="0.25">
      <c r="A1284" t="s">
        <v>14494</v>
      </c>
      <c r="B1284" t="s">
        <v>5613</v>
      </c>
      <c r="C1284" t="s">
        <v>4871</v>
      </c>
      <c r="D1284" t="s">
        <v>14495</v>
      </c>
      <c r="E1284" s="28" t="s">
        <v>890</v>
      </c>
      <c r="F1284" t="s">
        <v>727</v>
      </c>
      <c r="G1284" t="s">
        <v>15</v>
      </c>
      <c r="M1284" s="28" t="s">
        <v>613</v>
      </c>
      <c r="N1284" t="s">
        <v>313</v>
      </c>
    </row>
    <row r="1285" spans="1:14" hidden="1" x14ac:dyDescent="0.25">
      <c r="A1285" t="s">
        <v>11312</v>
      </c>
      <c r="B1285" t="s">
        <v>11313</v>
      </c>
      <c r="C1285" t="s">
        <v>11082</v>
      </c>
      <c r="D1285" t="s">
        <v>11314</v>
      </c>
      <c r="E1285" s="28" t="s">
        <v>896</v>
      </c>
      <c r="F1285" t="s">
        <v>6584</v>
      </c>
      <c r="G1285" t="s">
        <v>84</v>
      </c>
      <c r="M1285" s="28" t="s">
        <v>14223</v>
      </c>
      <c r="N1285" t="s">
        <v>313</v>
      </c>
    </row>
    <row r="1286" spans="1:14" hidden="1" x14ac:dyDescent="0.25">
      <c r="A1286" t="s">
        <v>8469</v>
      </c>
      <c r="B1286" t="s">
        <v>2287</v>
      </c>
      <c r="C1286" t="s">
        <v>1421</v>
      </c>
      <c r="D1286" t="s">
        <v>2288</v>
      </c>
      <c r="E1286" s="28" t="s">
        <v>890</v>
      </c>
      <c r="F1286" t="s">
        <v>408</v>
      </c>
      <c r="G1286" t="s">
        <v>65</v>
      </c>
      <c r="M1286" s="28" t="s">
        <v>14209</v>
      </c>
    </row>
    <row r="1287" spans="1:14" hidden="1" x14ac:dyDescent="0.25">
      <c r="A1287" t="s">
        <v>14297</v>
      </c>
      <c r="B1287" t="s">
        <v>14298</v>
      </c>
      <c r="C1287" t="s">
        <v>2863</v>
      </c>
      <c r="D1287" t="s">
        <v>11717</v>
      </c>
      <c r="E1287" s="28" t="s">
        <v>1023</v>
      </c>
      <c r="F1287" t="s">
        <v>13197</v>
      </c>
      <c r="G1287" t="s">
        <v>81</v>
      </c>
      <c r="M1287" s="28" t="s">
        <v>530</v>
      </c>
      <c r="N1287" t="s">
        <v>313</v>
      </c>
    </row>
    <row r="1288" spans="1:14" hidden="1" x14ac:dyDescent="0.25">
      <c r="A1288" t="s">
        <v>8914</v>
      </c>
      <c r="B1288" t="s">
        <v>3338</v>
      </c>
      <c r="C1288" t="s">
        <v>1153</v>
      </c>
      <c r="D1288" t="s">
        <v>3339</v>
      </c>
      <c r="E1288" s="28" t="s">
        <v>890</v>
      </c>
      <c r="F1288" t="s">
        <v>891</v>
      </c>
      <c r="G1288" t="s">
        <v>88</v>
      </c>
      <c r="M1288" s="28" t="s">
        <v>549</v>
      </c>
      <c r="N1288" t="s">
        <v>313</v>
      </c>
    </row>
    <row r="1289" spans="1:14" hidden="1" x14ac:dyDescent="0.25">
      <c r="A1289" t="s">
        <v>10022</v>
      </c>
      <c r="B1289" t="s">
        <v>5611</v>
      </c>
      <c r="C1289" t="s">
        <v>1121</v>
      </c>
      <c r="D1289" t="s">
        <v>5612</v>
      </c>
      <c r="E1289" s="28" t="s">
        <v>890</v>
      </c>
      <c r="F1289" t="s">
        <v>201</v>
      </c>
      <c r="G1289" t="s">
        <v>15</v>
      </c>
      <c r="M1289" s="28" t="s">
        <v>613</v>
      </c>
      <c r="N1289" t="s">
        <v>313</v>
      </c>
    </row>
    <row r="1290" spans="1:14" hidden="1" x14ac:dyDescent="0.25">
      <c r="A1290" t="s">
        <v>10399</v>
      </c>
      <c r="B1290" t="s">
        <v>6372</v>
      </c>
      <c r="C1290" t="s">
        <v>6373</v>
      </c>
      <c r="D1290" t="s">
        <v>6374</v>
      </c>
      <c r="E1290" s="28" t="s">
        <v>890</v>
      </c>
      <c r="F1290" t="s">
        <v>11563</v>
      </c>
      <c r="G1290" t="s">
        <v>110</v>
      </c>
      <c r="M1290" s="28" t="s">
        <v>13563</v>
      </c>
      <c r="N1290" t="s">
        <v>279</v>
      </c>
    </row>
    <row r="1291" spans="1:14" hidden="1" x14ac:dyDescent="0.25">
      <c r="A1291" t="s">
        <v>8654</v>
      </c>
      <c r="B1291" t="s">
        <v>2745</v>
      </c>
      <c r="C1291" t="s">
        <v>2746</v>
      </c>
      <c r="D1291" t="s">
        <v>2747</v>
      </c>
      <c r="E1291" s="28" t="s">
        <v>890</v>
      </c>
      <c r="F1291" t="s">
        <v>172</v>
      </c>
      <c r="G1291" t="s">
        <v>74</v>
      </c>
      <c r="M1291" s="28" t="s">
        <v>507</v>
      </c>
      <c r="N1291" t="s">
        <v>313</v>
      </c>
    </row>
    <row r="1292" spans="1:14" hidden="1" x14ac:dyDescent="0.25">
      <c r="A1292" t="s">
        <v>10380</v>
      </c>
      <c r="B1292" t="s">
        <v>6321</v>
      </c>
      <c r="C1292" t="s">
        <v>6322</v>
      </c>
      <c r="D1292" t="s">
        <v>6323</v>
      </c>
      <c r="E1292" s="28" t="s">
        <v>890</v>
      </c>
      <c r="F1292" t="s">
        <v>11889</v>
      </c>
      <c r="G1292" t="s">
        <v>110</v>
      </c>
      <c r="M1292" s="28" t="s">
        <v>13563</v>
      </c>
      <c r="N1292" t="s">
        <v>279</v>
      </c>
    </row>
    <row r="1293" spans="1:14" hidden="1" x14ac:dyDescent="0.25">
      <c r="A1293" t="s">
        <v>14496</v>
      </c>
      <c r="B1293" t="s">
        <v>14497</v>
      </c>
      <c r="C1293" t="s">
        <v>906</v>
      </c>
      <c r="D1293" t="s">
        <v>14498</v>
      </c>
      <c r="E1293" s="28" t="s">
        <v>890</v>
      </c>
      <c r="F1293" t="s">
        <v>891</v>
      </c>
      <c r="G1293" t="s">
        <v>43</v>
      </c>
      <c r="M1293" s="28" t="s">
        <v>14205</v>
      </c>
    </row>
    <row r="1294" spans="1:14" hidden="1" x14ac:dyDescent="0.25">
      <c r="A1294" t="s">
        <v>13429</v>
      </c>
      <c r="B1294" t="s">
        <v>13430</v>
      </c>
      <c r="C1294" t="s">
        <v>13431</v>
      </c>
      <c r="D1294" t="s">
        <v>13432</v>
      </c>
      <c r="E1294" s="28" t="s">
        <v>890</v>
      </c>
      <c r="F1294" t="s">
        <v>11578</v>
      </c>
      <c r="G1294" t="s">
        <v>110</v>
      </c>
      <c r="M1294" s="28" t="s">
        <v>13563</v>
      </c>
      <c r="N1294" t="s">
        <v>279</v>
      </c>
    </row>
    <row r="1295" spans="1:14" hidden="1" x14ac:dyDescent="0.25">
      <c r="A1295" t="s">
        <v>10021</v>
      </c>
      <c r="B1295" t="s">
        <v>5609</v>
      </c>
      <c r="C1295" t="s">
        <v>4719</v>
      </c>
      <c r="D1295" t="s">
        <v>5610</v>
      </c>
      <c r="E1295" s="28" t="s">
        <v>890</v>
      </c>
      <c r="F1295" t="s">
        <v>221</v>
      </c>
      <c r="G1295" t="s">
        <v>15</v>
      </c>
      <c r="M1295" s="28" t="s">
        <v>613</v>
      </c>
      <c r="N1295" t="s">
        <v>313</v>
      </c>
    </row>
    <row r="1296" spans="1:14" hidden="1" x14ac:dyDescent="0.25">
      <c r="A1296" t="s">
        <v>9517</v>
      </c>
      <c r="B1296" t="s">
        <v>4534</v>
      </c>
      <c r="C1296" t="s">
        <v>4538</v>
      </c>
      <c r="D1296" t="s">
        <v>4539</v>
      </c>
      <c r="E1296" s="28" t="s">
        <v>890</v>
      </c>
      <c r="F1296" t="s">
        <v>688</v>
      </c>
      <c r="G1296" t="s">
        <v>102</v>
      </c>
      <c r="M1296" s="28"/>
    </row>
    <row r="1297" spans="1:14" hidden="1" x14ac:dyDescent="0.25">
      <c r="A1297" t="s">
        <v>9518</v>
      </c>
      <c r="B1297" t="s">
        <v>4534</v>
      </c>
      <c r="C1297" t="s">
        <v>999</v>
      </c>
      <c r="D1297" t="s">
        <v>4540</v>
      </c>
      <c r="E1297" s="28" t="s">
        <v>890</v>
      </c>
      <c r="F1297" t="s">
        <v>688</v>
      </c>
      <c r="G1297" t="s">
        <v>102</v>
      </c>
      <c r="M1297" s="28"/>
    </row>
    <row r="1298" spans="1:14" hidden="1" x14ac:dyDescent="0.25">
      <c r="A1298" t="s">
        <v>9515</v>
      </c>
      <c r="B1298" t="s">
        <v>4534</v>
      </c>
      <c r="C1298" t="s">
        <v>4535</v>
      </c>
      <c r="D1298" t="s">
        <v>12555</v>
      </c>
      <c r="E1298" s="28" t="s">
        <v>896</v>
      </c>
      <c r="F1298" t="s">
        <v>727</v>
      </c>
      <c r="G1298" t="s">
        <v>15</v>
      </c>
      <c r="M1298" s="28" t="s">
        <v>613</v>
      </c>
      <c r="N1298" t="s">
        <v>313</v>
      </c>
    </row>
    <row r="1299" spans="1:14" hidden="1" x14ac:dyDescent="0.25">
      <c r="A1299" t="s">
        <v>9516</v>
      </c>
      <c r="B1299" t="s">
        <v>4534</v>
      </c>
      <c r="C1299" t="s">
        <v>4536</v>
      </c>
      <c r="D1299" t="s">
        <v>4537</v>
      </c>
      <c r="E1299" s="28" t="s">
        <v>890</v>
      </c>
      <c r="F1299" t="s">
        <v>688</v>
      </c>
      <c r="G1299" t="s">
        <v>102</v>
      </c>
      <c r="M1299" s="28"/>
    </row>
    <row r="1300" spans="1:14" hidden="1" x14ac:dyDescent="0.25">
      <c r="A1300" t="s">
        <v>10020</v>
      </c>
      <c r="B1300" t="s">
        <v>5607</v>
      </c>
      <c r="C1300" t="s">
        <v>999</v>
      </c>
      <c r="D1300" t="s">
        <v>5608</v>
      </c>
      <c r="E1300" s="28" t="s">
        <v>890</v>
      </c>
      <c r="F1300" t="s">
        <v>638</v>
      </c>
      <c r="G1300" t="s">
        <v>15</v>
      </c>
      <c r="M1300" s="28" t="s">
        <v>613</v>
      </c>
      <c r="N1300" t="s">
        <v>313</v>
      </c>
    </row>
    <row r="1301" spans="1:14" hidden="1" x14ac:dyDescent="0.25">
      <c r="A1301" t="s">
        <v>10019</v>
      </c>
      <c r="B1301" t="s">
        <v>5604</v>
      </c>
      <c r="C1301" t="s">
        <v>5605</v>
      </c>
      <c r="D1301" t="s">
        <v>5606</v>
      </c>
      <c r="E1301" s="28" t="s">
        <v>890</v>
      </c>
      <c r="F1301" t="s">
        <v>4679</v>
      </c>
      <c r="G1301" t="s">
        <v>15</v>
      </c>
      <c r="M1301" s="28" t="s">
        <v>613</v>
      </c>
      <c r="N1301" t="s">
        <v>313</v>
      </c>
    </row>
    <row r="1302" spans="1:14" hidden="1" x14ac:dyDescent="0.25">
      <c r="A1302" t="s">
        <v>8433</v>
      </c>
      <c r="B1302" t="s">
        <v>2209</v>
      </c>
      <c r="C1302" t="s">
        <v>1061</v>
      </c>
      <c r="D1302" t="s">
        <v>2210</v>
      </c>
      <c r="E1302" s="28" t="s">
        <v>890</v>
      </c>
      <c r="F1302" t="s">
        <v>408</v>
      </c>
      <c r="G1302" t="s">
        <v>65</v>
      </c>
      <c r="M1302" s="28" t="s">
        <v>14209</v>
      </c>
    </row>
    <row r="1303" spans="1:14" hidden="1" x14ac:dyDescent="0.25">
      <c r="A1303" t="s">
        <v>11718</v>
      </c>
      <c r="B1303" t="s">
        <v>11719</v>
      </c>
      <c r="C1303" t="s">
        <v>1309</v>
      </c>
      <c r="D1303" t="s">
        <v>11720</v>
      </c>
      <c r="E1303" s="28" t="s">
        <v>896</v>
      </c>
      <c r="F1303" t="s">
        <v>891</v>
      </c>
      <c r="G1303" t="s">
        <v>81</v>
      </c>
      <c r="M1303" s="28" t="s">
        <v>530</v>
      </c>
      <c r="N1303" t="s">
        <v>313</v>
      </c>
    </row>
    <row r="1304" spans="1:14" hidden="1" x14ac:dyDescent="0.25">
      <c r="A1304" t="s">
        <v>12830</v>
      </c>
      <c r="B1304" t="s">
        <v>12831</v>
      </c>
      <c r="C1304" t="s">
        <v>12832</v>
      </c>
      <c r="D1304" t="s">
        <v>12833</v>
      </c>
      <c r="E1304" s="28" t="s">
        <v>1177</v>
      </c>
      <c r="F1304" t="s">
        <v>516</v>
      </c>
      <c r="G1304" t="s">
        <v>74</v>
      </c>
      <c r="M1304" s="28" t="s">
        <v>507</v>
      </c>
      <c r="N1304" t="s">
        <v>313</v>
      </c>
    </row>
    <row r="1305" spans="1:14" hidden="1" x14ac:dyDescent="0.25">
      <c r="A1305" t="s">
        <v>8332</v>
      </c>
      <c r="B1305" t="s">
        <v>1957</v>
      </c>
      <c r="C1305" t="s">
        <v>1958</v>
      </c>
      <c r="D1305" t="s">
        <v>1959</v>
      </c>
      <c r="E1305" s="28" t="s">
        <v>890</v>
      </c>
      <c r="F1305" t="s">
        <v>1645</v>
      </c>
      <c r="G1305" t="s">
        <v>43</v>
      </c>
      <c r="M1305" s="28" t="s">
        <v>14205</v>
      </c>
    </row>
    <row r="1306" spans="1:14" hidden="1" x14ac:dyDescent="0.25">
      <c r="A1306" t="s">
        <v>10018</v>
      </c>
      <c r="B1306" t="s">
        <v>5602</v>
      </c>
      <c r="C1306" t="s">
        <v>4557</v>
      </c>
      <c r="D1306" t="s">
        <v>5603</v>
      </c>
      <c r="E1306" s="28" t="s">
        <v>896</v>
      </c>
      <c r="F1306" t="s">
        <v>702</v>
      </c>
      <c r="G1306" t="s">
        <v>15</v>
      </c>
      <c r="M1306" s="28" t="s">
        <v>613</v>
      </c>
      <c r="N1306" t="s">
        <v>313</v>
      </c>
    </row>
    <row r="1307" spans="1:14" hidden="1" x14ac:dyDescent="0.25">
      <c r="A1307" t="s">
        <v>11721</v>
      </c>
      <c r="B1307" t="s">
        <v>11722</v>
      </c>
      <c r="C1307" t="s">
        <v>1461</v>
      </c>
      <c r="D1307" t="s">
        <v>11723</v>
      </c>
      <c r="E1307" s="28" t="s">
        <v>890</v>
      </c>
      <c r="F1307" t="s">
        <v>891</v>
      </c>
      <c r="G1307" t="s">
        <v>81</v>
      </c>
      <c r="M1307" s="28" t="s">
        <v>530</v>
      </c>
      <c r="N1307" t="s">
        <v>313</v>
      </c>
    </row>
    <row r="1308" spans="1:14" hidden="1" x14ac:dyDescent="0.25">
      <c r="A1308" t="s">
        <v>8216</v>
      </c>
      <c r="B1308" t="s">
        <v>1661</v>
      </c>
      <c r="C1308" t="s">
        <v>1662</v>
      </c>
      <c r="D1308" t="s">
        <v>1663</v>
      </c>
      <c r="E1308" s="28" t="s">
        <v>890</v>
      </c>
      <c r="F1308" t="s">
        <v>1645</v>
      </c>
      <c r="G1308" t="s">
        <v>43</v>
      </c>
      <c r="M1308" s="28" t="s">
        <v>14205</v>
      </c>
    </row>
    <row r="1309" spans="1:14" hidden="1" x14ac:dyDescent="0.25">
      <c r="A1309" t="s">
        <v>8915</v>
      </c>
      <c r="B1309" t="s">
        <v>3340</v>
      </c>
      <c r="C1309" t="s">
        <v>3341</v>
      </c>
      <c r="D1309" t="s">
        <v>3342</v>
      </c>
      <c r="E1309" s="28" t="s">
        <v>890</v>
      </c>
      <c r="F1309" t="s">
        <v>13206</v>
      </c>
      <c r="G1309" t="s">
        <v>88</v>
      </c>
      <c r="M1309" s="28" t="s">
        <v>549</v>
      </c>
      <c r="N1309" t="s">
        <v>313</v>
      </c>
    </row>
    <row r="1310" spans="1:14" hidden="1" x14ac:dyDescent="0.25">
      <c r="A1310" t="s">
        <v>10017</v>
      </c>
      <c r="B1310" t="s">
        <v>5600</v>
      </c>
      <c r="C1310" t="s">
        <v>2619</v>
      </c>
      <c r="D1310" t="s">
        <v>5601</v>
      </c>
      <c r="E1310" s="28" t="s">
        <v>896</v>
      </c>
      <c r="F1310" t="s">
        <v>4621</v>
      </c>
      <c r="G1310" t="s">
        <v>15</v>
      </c>
      <c r="M1310" s="28" t="s">
        <v>613</v>
      </c>
      <c r="N1310" t="s">
        <v>313</v>
      </c>
    </row>
    <row r="1311" spans="1:14" hidden="1" x14ac:dyDescent="0.25">
      <c r="A1311" t="s">
        <v>14128</v>
      </c>
      <c r="B1311" t="s">
        <v>14129</v>
      </c>
      <c r="C1311" t="s">
        <v>14130</v>
      </c>
      <c r="D1311" t="s">
        <v>14131</v>
      </c>
      <c r="E1311" s="28" t="s">
        <v>896</v>
      </c>
      <c r="F1311" t="s">
        <v>14132</v>
      </c>
      <c r="G1311" t="s">
        <v>152</v>
      </c>
      <c r="M1311" s="28"/>
    </row>
    <row r="1312" spans="1:14" hidden="1" x14ac:dyDescent="0.25">
      <c r="A1312" t="s">
        <v>10016</v>
      </c>
      <c r="B1312" t="s">
        <v>5598</v>
      </c>
      <c r="C1312" t="s">
        <v>2919</v>
      </c>
      <c r="D1312" t="s">
        <v>5599</v>
      </c>
      <c r="E1312" s="28" t="s">
        <v>890</v>
      </c>
      <c r="F1312" t="s">
        <v>204</v>
      </c>
      <c r="G1312" t="s">
        <v>15</v>
      </c>
      <c r="M1312" s="28" t="s">
        <v>613</v>
      </c>
      <c r="N1312" t="s">
        <v>313</v>
      </c>
    </row>
    <row r="1313" spans="1:14" hidden="1" x14ac:dyDescent="0.25">
      <c r="A1313" t="s">
        <v>8916</v>
      </c>
      <c r="B1313" t="s">
        <v>3343</v>
      </c>
      <c r="C1313" t="s">
        <v>3025</v>
      </c>
      <c r="D1313" t="s">
        <v>3344</v>
      </c>
      <c r="E1313" s="28" t="s">
        <v>890</v>
      </c>
      <c r="F1313" t="s">
        <v>891</v>
      </c>
      <c r="G1313" t="s">
        <v>88</v>
      </c>
      <c r="M1313" s="28" t="s">
        <v>549</v>
      </c>
      <c r="N1313" t="s">
        <v>313</v>
      </c>
    </row>
    <row r="1314" spans="1:14" hidden="1" x14ac:dyDescent="0.25">
      <c r="A1314" t="s">
        <v>8917</v>
      </c>
      <c r="B1314" t="s">
        <v>3345</v>
      </c>
      <c r="C1314" t="s">
        <v>3036</v>
      </c>
      <c r="D1314" t="s">
        <v>3346</v>
      </c>
      <c r="E1314" s="28" t="s">
        <v>896</v>
      </c>
      <c r="F1314" t="s">
        <v>891</v>
      </c>
      <c r="G1314" t="s">
        <v>88</v>
      </c>
      <c r="M1314" s="28" t="s">
        <v>549</v>
      </c>
      <c r="N1314" t="s">
        <v>313</v>
      </c>
    </row>
    <row r="1315" spans="1:14" hidden="1" x14ac:dyDescent="0.25">
      <c r="A1315" t="s">
        <v>8918</v>
      </c>
      <c r="B1315" t="s">
        <v>3347</v>
      </c>
      <c r="C1315" t="s">
        <v>3348</v>
      </c>
      <c r="D1315" t="s">
        <v>3349</v>
      </c>
      <c r="E1315" s="28" t="s">
        <v>890</v>
      </c>
      <c r="F1315" t="s">
        <v>566</v>
      </c>
      <c r="G1315" t="s">
        <v>88</v>
      </c>
      <c r="M1315" s="28" t="s">
        <v>549</v>
      </c>
      <c r="N1315" t="s">
        <v>313</v>
      </c>
    </row>
    <row r="1316" spans="1:14" hidden="1" x14ac:dyDescent="0.25">
      <c r="A1316" t="s">
        <v>8919</v>
      </c>
      <c r="B1316" t="s">
        <v>3347</v>
      </c>
      <c r="C1316" t="s">
        <v>3233</v>
      </c>
      <c r="D1316" t="s">
        <v>3350</v>
      </c>
      <c r="E1316" s="28" t="s">
        <v>1177</v>
      </c>
      <c r="F1316" t="s">
        <v>566</v>
      </c>
      <c r="G1316" t="s">
        <v>88</v>
      </c>
      <c r="M1316" s="28" t="s">
        <v>549</v>
      </c>
      <c r="N1316" t="s">
        <v>313</v>
      </c>
    </row>
    <row r="1317" spans="1:14" hidden="1" x14ac:dyDescent="0.25">
      <c r="A1317" t="s">
        <v>8920</v>
      </c>
      <c r="B1317" t="s">
        <v>3347</v>
      </c>
      <c r="C1317" t="s">
        <v>3351</v>
      </c>
      <c r="D1317" t="s">
        <v>3352</v>
      </c>
      <c r="E1317" s="28" t="s">
        <v>1177</v>
      </c>
      <c r="F1317" t="s">
        <v>566</v>
      </c>
      <c r="G1317" t="s">
        <v>88</v>
      </c>
      <c r="M1317" s="28" t="s">
        <v>549</v>
      </c>
      <c r="N1317" t="s">
        <v>313</v>
      </c>
    </row>
    <row r="1318" spans="1:14" hidden="1" x14ac:dyDescent="0.25">
      <c r="A1318" t="s">
        <v>10814</v>
      </c>
      <c r="B1318" t="s">
        <v>7358</v>
      </c>
      <c r="C1318" t="s">
        <v>1490</v>
      </c>
      <c r="D1318" t="s">
        <v>7359</v>
      </c>
      <c r="E1318" s="28" t="s">
        <v>890</v>
      </c>
      <c r="F1318" t="s">
        <v>854</v>
      </c>
      <c r="G1318" t="s">
        <v>157</v>
      </c>
      <c r="M1318" s="28" t="s">
        <v>840</v>
      </c>
      <c r="N1318" t="s">
        <v>382</v>
      </c>
    </row>
    <row r="1319" spans="1:14" hidden="1" x14ac:dyDescent="0.25">
      <c r="A1319" t="s">
        <v>7964</v>
      </c>
      <c r="B1319" t="s">
        <v>967</v>
      </c>
      <c r="C1319" t="s">
        <v>968</v>
      </c>
      <c r="D1319" t="s">
        <v>969</v>
      </c>
      <c r="E1319" s="28" t="s">
        <v>896</v>
      </c>
      <c r="F1319" t="s">
        <v>966</v>
      </c>
      <c r="G1319" t="s">
        <v>28</v>
      </c>
      <c r="M1319" s="28" t="s">
        <v>14241</v>
      </c>
      <c r="N1319" t="s">
        <v>14206</v>
      </c>
    </row>
    <row r="1320" spans="1:14" hidden="1" x14ac:dyDescent="0.25">
      <c r="A1320" t="s">
        <v>7965</v>
      </c>
      <c r="B1320" t="s">
        <v>967</v>
      </c>
      <c r="C1320" t="s">
        <v>941</v>
      </c>
      <c r="D1320" t="s">
        <v>970</v>
      </c>
      <c r="E1320" s="28" t="s">
        <v>896</v>
      </c>
      <c r="F1320" t="s">
        <v>966</v>
      </c>
      <c r="G1320" t="s">
        <v>28</v>
      </c>
      <c r="M1320" s="28" t="s">
        <v>14241</v>
      </c>
      <c r="N1320" t="s">
        <v>14206</v>
      </c>
    </row>
    <row r="1321" spans="1:14" hidden="1" x14ac:dyDescent="0.25">
      <c r="A1321" t="s">
        <v>10015</v>
      </c>
      <c r="B1321" t="s">
        <v>5596</v>
      </c>
      <c r="C1321" t="s">
        <v>2515</v>
      </c>
      <c r="D1321" t="s">
        <v>5597</v>
      </c>
      <c r="E1321" s="28" t="s">
        <v>896</v>
      </c>
      <c r="F1321" t="s">
        <v>225</v>
      </c>
      <c r="G1321" t="s">
        <v>15</v>
      </c>
      <c r="M1321" s="28" t="s">
        <v>613</v>
      </c>
      <c r="N1321" t="s">
        <v>313</v>
      </c>
    </row>
    <row r="1322" spans="1:14" hidden="1" x14ac:dyDescent="0.25">
      <c r="A1322" t="s">
        <v>10014</v>
      </c>
      <c r="B1322" t="s">
        <v>5594</v>
      </c>
      <c r="C1322" t="s">
        <v>4821</v>
      </c>
      <c r="D1322" t="s">
        <v>5595</v>
      </c>
      <c r="E1322" s="28" t="s">
        <v>896</v>
      </c>
      <c r="F1322" t="s">
        <v>4648</v>
      </c>
      <c r="G1322" t="s">
        <v>15</v>
      </c>
      <c r="M1322" s="28" t="s">
        <v>613</v>
      </c>
      <c r="N1322" t="s">
        <v>313</v>
      </c>
    </row>
    <row r="1323" spans="1:14" hidden="1" x14ac:dyDescent="0.25">
      <c r="A1323" t="s">
        <v>8296</v>
      </c>
      <c r="B1323" t="s">
        <v>1860</v>
      </c>
      <c r="C1323" t="s">
        <v>1861</v>
      </c>
      <c r="D1323" t="s">
        <v>1862</v>
      </c>
      <c r="E1323" s="28" t="s">
        <v>896</v>
      </c>
      <c r="F1323" t="s">
        <v>891</v>
      </c>
      <c r="G1323" t="s">
        <v>43</v>
      </c>
      <c r="M1323" s="28" t="s">
        <v>14205</v>
      </c>
    </row>
    <row r="1324" spans="1:14" hidden="1" x14ac:dyDescent="0.25">
      <c r="A1324" t="s">
        <v>12023</v>
      </c>
      <c r="B1324" t="s">
        <v>12024</v>
      </c>
      <c r="C1324" t="s">
        <v>12025</v>
      </c>
      <c r="D1324" t="s">
        <v>12026</v>
      </c>
      <c r="E1324" s="28" t="s">
        <v>890</v>
      </c>
      <c r="F1324" t="s">
        <v>891</v>
      </c>
      <c r="G1324" t="s">
        <v>98</v>
      </c>
      <c r="M1324" s="28" t="s">
        <v>820</v>
      </c>
      <c r="N1324" t="s">
        <v>313</v>
      </c>
    </row>
    <row r="1325" spans="1:14" hidden="1" x14ac:dyDescent="0.25">
      <c r="A1325" t="s">
        <v>8602</v>
      </c>
      <c r="B1325" t="s">
        <v>2608</v>
      </c>
      <c r="C1325" t="s">
        <v>1269</v>
      </c>
      <c r="D1325" t="s">
        <v>2609</v>
      </c>
      <c r="E1325" s="28" t="s">
        <v>896</v>
      </c>
      <c r="F1325" t="s">
        <v>519</v>
      </c>
      <c r="G1325" t="s">
        <v>74</v>
      </c>
      <c r="M1325" s="28" t="s">
        <v>507</v>
      </c>
      <c r="N1325" t="s">
        <v>313</v>
      </c>
    </row>
    <row r="1326" spans="1:14" hidden="1" x14ac:dyDescent="0.25">
      <c r="A1326" t="s">
        <v>14299</v>
      </c>
      <c r="B1326" t="s">
        <v>14300</v>
      </c>
      <c r="C1326" t="s">
        <v>5259</v>
      </c>
      <c r="D1326" t="s">
        <v>14301</v>
      </c>
      <c r="E1326" s="28" t="s">
        <v>896</v>
      </c>
      <c r="F1326" t="s">
        <v>4621</v>
      </c>
      <c r="G1326" t="s">
        <v>15</v>
      </c>
      <c r="M1326" s="28" t="s">
        <v>613</v>
      </c>
      <c r="N1326" t="s">
        <v>313</v>
      </c>
    </row>
    <row r="1327" spans="1:14" hidden="1" x14ac:dyDescent="0.25">
      <c r="A1327" t="s">
        <v>10916</v>
      </c>
      <c r="B1327" t="s">
        <v>10917</v>
      </c>
      <c r="C1327" t="s">
        <v>6502</v>
      </c>
      <c r="D1327" t="s">
        <v>10918</v>
      </c>
      <c r="E1327" s="28" t="s">
        <v>896</v>
      </c>
      <c r="F1327" t="s">
        <v>328</v>
      </c>
      <c r="G1327" t="s">
        <v>38</v>
      </c>
      <c r="M1327" s="28"/>
    </row>
    <row r="1328" spans="1:14" hidden="1" x14ac:dyDescent="0.25">
      <c r="A1328" t="s">
        <v>12925</v>
      </c>
      <c r="B1328" t="s">
        <v>12926</v>
      </c>
      <c r="C1328" t="s">
        <v>909</v>
      </c>
      <c r="D1328" t="s">
        <v>12927</v>
      </c>
      <c r="E1328" s="28" t="s">
        <v>896</v>
      </c>
      <c r="F1328" t="s">
        <v>12865</v>
      </c>
      <c r="G1328" t="s">
        <v>15</v>
      </c>
      <c r="M1328" s="28" t="s">
        <v>613</v>
      </c>
      <c r="N1328" t="s">
        <v>313</v>
      </c>
    </row>
    <row r="1329" spans="1:14" hidden="1" x14ac:dyDescent="0.25">
      <c r="A1329" t="s">
        <v>7986</v>
      </c>
      <c r="B1329" t="s">
        <v>1024</v>
      </c>
      <c r="C1329" t="s">
        <v>992</v>
      </c>
      <c r="D1329" t="s">
        <v>1025</v>
      </c>
      <c r="E1329" s="28" t="s">
        <v>890</v>
      </c>
      <c r="F1329" t="s">
        <v>897</v>
      </c>
      <c r="G1329" t="s">
        <v>28</v>
      </c>
      <c r="M1329" s="28" t="s">
        <v>14241</v>
      </c>
      <c r="N1329" t="s">
        <v>14206</v>
      </c>
    </row>
    <row r="1330" spans="1:14" hidden="1" x14ac:dyDescent="0.25">
      <c r="A1330" t="s">
        <v>10013</v>
      </c>
      <c r="B1330" t="s">
        <v>5591</v>
      </c>
      <c r="C1330" t="s">
        <v>1969</v>
      </c>
      <c r="D1330" t="s">
        <v>5593</v>
      </c>
      <c r="E1330" s="28" t="s">
        <v>896</v>
      </c>
      <c r="F1330" t="s">
        <v>4590</v>
      </c>
      <c r="G1330" t="s">
        <v>15</v>
      </c>
      <c r="M1330" s="28" t="s">
        <v>613</v>
      </c>
      <c r="N1330" t="s">
        <v>313</v>
      </c>
    </row>
    <row r="1331" spans="1:14" hidden="1" x14ac:dyDescent="0.25">
      <c r="A1331" t="s">
        <v>10012</v>
      </c>
      <c r="B1331" t="s">
        <v>5591</v>
      </c>
      <c r="C1331" t="s">
        <v>2753</v>
      </c>
      <c r="D1331" t="s">
        <v>5592</v>
      </c>
      <c r="E1331" s="28" t="s">
        <v>896</v>
      </c>
      <c r="F1331" t="s">
        <v>212</v>
      </c>
      <c r="G1331" t="s">
        <v>15</v>
      </c>
      <c r="M1331" s="28" t="s">
        <v>613</v>
      </c>
      <c r="N1331" t="s">
        <v>313</v>
      </c>
    </row>
    <row r="1332" spans="1:14" hidden="1" x14ac:dyDescent="0.25">
      <c r="A1332" t="s">
        <v>8423</v>
      </c>
      <c r="B1332" t="s">
        <v>2187</v>
      </c>
      <c r="C1332" t="s">
        <v>1086</v>
      </c>
      <c r="D1332" t="s">
        <v>2188</v>
      </c>
      <c r="E1332" s="28" t="s">
        <v>896</v>
      </c>
      <c r="F1332" t="s">
        <v>405</v>
      </c>
      <c r="G1332" t="s">
        <v>62</v>
      </c>
      <c r="M1332" s="28" t="s">
        <v>14208</v>
      </c>
    </row>
    <row r="1333" spans="1:14" hidden="1" x14ac:dyDescent="0.25">
      <c r="A1333" t="s">
        <v>10011</v>
      </c>
      <c r="B1333" t="s">
        <v>5588</v>
      </c>
      <c r="C1333" t="s">
        <v>5589</v>
      </c>
      <c r="D1333" t="s">
        <v>5590</v>
      </c>
      <c r="E1333" s="28" t="s">
        <v>896</v>
      </c>
      <c r="F1333" t="s">
        <v>4635</v>
      </c>
      <c r="G1333" t="s">
        <v>15</v>
      </c>
      <c r="M1333" s="28" t="s">
        <v>613</v>
      </c>
      <c r="N1333" t="s">
        <v>313</v>
      </c>
    </row>
    <row r="1334" spans="1:14" hidden="1" x14ac:dyDescent="0.25">
      <c r="A1334" t="s">
        <v>10010</v>
      </c>
      <c r="B1334" t="s">
        <v>5586</v>
      </c>
      <c r="C1334" t="s">
        <v>4789</v>
      </c>
      <c r="D1334" t="s">
        <v>5587</v>
      </c>
      <c r="E1334" s="28" t="s">
        <v>896</v>
      </c>
      <c r="F1334" t="s">
        <v>763</v>
      </c>
      <c r="G1334" t="s">
        <v>15</v>
      </c>
      <c r="M1334" s="28" t="s">
        <v>613</v>
      </c>
      <c r="N1334" t="s">
        <v>313</v>
      </c>
    </row>
    <row r="1335" spans="1:14" hidden="1" x14ac:dyDescent="0.25">
      <c r="A1335" t="s">
        <v>10009</v>
      </c>
      <c r="B1335" t="s">
        <v>5584</v>
      </c>
      <c r="C1335" t="s">
        <v>4726</v>
      </c>
      <c r="D1335" t="s">
        <v>5585</v>
      </c>
      <c r="E1335" s="28" t="s">
        <v>896</v>
      </c>
      <c r="F1335" t="s">
        <v>750</v>
      </c>
      <c r="G1335" t="s">
        <v>15</v>
      </c>
      <c r="M1335" s="28" t="s">
        <v>613</v>
      </c>
      <c r="N1335" t="s">
        <v>313</v>
      </c>
    </row>
    <row r="1336" spans="1:14" hidden="1" x14ac:dyDescent="0.25">
      <c r="A1336" t="s">
        <v>10008</v>
      </c>
      <c r="B1336" t="s">
        <v>5582</v>
      </c>
      <c r="C1336" t="s">
        <v>894</v>
      </c>
      <c r="D1336" t="s">
        <v>5583</v>
      </c>
      <c r="E1336" s="28" t="s">
        <v>896</v>
      </c>
      <c r="F1336" t="s">
        <v>702</v>
      </c>
      <c r="G1336" t="s">
        <v>15</v>
      </c>
      <c r="M1336" s="28" t="s">
        <v>613</v>
      </c>
      <c r="N1336" t="s">
        <v>313</v>
      </c>
    </row>
    <row r="1337" spans="1:14" hidden="1" x14ac:dyDescent="0.25">
      <c r="A1337" t="s">
        <v>10007</v>
      </c>
      <c r="B1337" t="s">
        <v>5580</v>
      </c>
      <c r="C1337" t="s">
        <v>4557</v>
      </c>
      <c r="D1337" t="s">
        <v>5581</v>
      </c>
      <c r="E1337" s="28" t="s">
        <v>1177</v>
      </c>
      <c r="F1337" t="s">
        <v>746</v>
      </c>
      <c r="G1337" t="s">
        <v>15</v>
      </c>
      <c r="M1337" s="28" t="s">
        <v>613</v>
      </c>
      <c r="N1337" t="s">
        <v>313</v>
      </c>
    </row>
    <row r="1338" spans="1:14" hidden="1" x14ac:dyDescent="0.25">
      <c r="A1338" t="s">
        <v>13361</v>
      </c>
      <c r="B1338" t="s">
        <v>5580</v>
      </c>
      <c r="C1338" t="s">
        <v>4440</v>
      </c>
      <c r="D1338" t="s">
        <v>13362</v>
      </c>
      <c r="E1338" s="28" t="s">
        <v>890</v>
      </c>
      <c r="F1338" t="s">
        <v>746</v>
      </c>
      <c r="G1338" t="s">
        <v>15</v>
      </c>
      <c r="M1338" s="28" t="s">
        <v>613</v>
      </c>
      <c r="N1338" t="s">
        <v>313</v>
      </c>
    </row>
    <row r="1339" spans="1:14" hidden="1" x14ac:dyDescent="0.25">
      <c r="A1339" t="s">
        <v>10006</v>
      </c>
      <c r="B1339" t="s">
        <v>5577</v>
      </c>
      <c r="C1339" t="s">
        <v>5578</v>
      </c>
      <c r="D1339" t="s">
        <v>5579</v>
      </c>
      <c r="E1339" s="28" t="s">
        <v>896</v>
      </c>
      <c r="F1339" t="s">
        <v>688</v>
      </c>
      <c r="G1339" t="s">
        <v>15</v>
      </c>
      <c r="M1339" s="28" t="s">
        <v>613</v>
      </c>
      <c r="N1339" t="s">
        <v>313</v>
      </c>
    </row>
    <row r="1340" spans="1:14" hidden="1" x14ac:dyDescent="0.25">
      <c r="A1340" t="s">
        <v>10005</v>
      </c>
      <c r="B1340" t="s">
        <v>5575</v>
      </c>
      <c r="C1340" t="s">
        <v>4640</v>
      </c>
      <c r="D1340" t="s">
        <v>5576</v>
      </c>
      <c r="E1340" s="28" t="s">
        <v>896</v>
      </c>
      <c r="F1340" t="s">
        <v>718</v>
      </c>
      <c r="G1340" t="s">
        <v>15</v>
      </c>
      <c r="M1340" s="28" t="s">
        <v>613</v>
      </c>
      <c r="N1340" t="s">
        <v>313</v>
      </c>
    </row>
    <row r="1341" spans="1:14" hidden="1" x14ac:dyDescent="0.25">
      <c r="A1341" t="s">
        <v>10004</v>
      </c>
      <c r="B1341" t="s">
        <v>5572</v>
      </c>
      <c r="C1341" t="s">
        <v>5573</v>
      </c>
      <c r="D1341" t="s">
        <v>5574</v>
      </c>
      <c r="E1341" s="28" t="s">
        <v>896</v>
      </c>
      <c r="F1341" t="s">
        <v>755</v>
      </c>
      <c r="G1341" t="s">
        <v>15</v>
      </c>
      <c r="M1341" s="28" t="s">
        <v>613</v>
      </c>
      <c r="N1341" t="s">
        <v>313</v>
      </c>
    </row>
    <row r="1342" spans="1:14" hidden="1" x14ac:dyDescent="0.25">
      <c r="A1342" t="s">
        <v>10571</v>
      </c>
      <c r="B1342" t="s">
        <v>1752</v>
      </c>
      <c r="C1342" t="s">
        <v>6798</v>
      </c>
      <c r="D1342" t="s">
        <v>6799</v>
      </c>
      <c r="E1342" s="28" t="s">
        <v>890</v>
      </c>
      <c r="F1342" t="s">
        <v>6644</v>
      </c>
      <c r="G1342" t="s">
        <v>137</v>
      </c>
      <c r="M1342" s="28" t="s">
        <v>805</v>
      </c>
      <c r="N1342" t="s">
        <v>313</v>
      </c>
    </row>
    <row r="1343" spans="1:14" hidden="1" x14ac:dyDescent="0.25">
      <c r="A1343" t="s">
        <v>8250</v>
      </c>
      <c r="B1343" t="s">
        <v>1752</v>
      </c>
      <c r="C1343" t="s">
        <v>1738</v>
      </c>
      <c r="D1343" t="s">
        <v>1753</v>
      </c>
      <c r="E1343" s="28" t="s">
        <v>890</v>
      </c>
      <c r="F1343" t="s">
        <v>891</v>
      </c>
      <c r="G1343" t="s">
        <v>43</v>
      </c>
      <c r="M1343" s="28" t="s">
        <v>14205</v>
      </c>
    </row>
    <row r="1344" spans="1:14" hidden="1" x14ac:dyDescent="0.25">
      <c r="A1344" t="s">
        <v>11968</v>
      </c>
      <c r="B1344" t="s">
        <v>1752</v>
      </c>
      <c r="C1344" t="s">
        <v>1741</v>
      </c>
      <c r="D1344" t="s">
        <v>11969</v>
      </c>
      <c r="E1344" s="28" t="s">
        <v>1023</v>
      </c>
      <c r="F1344" t="s">
        <v>813</v>
      </c>
      <c r="G1344" t="s">
        <v>137</v>
      </c>
      <c r="M1344" s="28" t="s">
        <v>805</v>
      </c>
      <c r="N1344" t="s">
        <v>313</v>
      </c>
    </row>
    <row r="1345" spans="1:14" hidden="1" x14ac:dyDescent="0.25">
      <c r="A1345" t="s">
        <v>13734</v>
      </c>
      <c r="B1345" t="s">
        <v>2650</v>
      </c>
      <c r="C1345" t="s">
        <v>13735</v>
      </c>
      <c r="D1345" t="s">
        <v>13736</v>
      </c>
      <c r="E1345" s="28" t="s">
        <v>930</v>
      </c>
      <c r="F1345" t="s">
        <v>516</v>
      </c>
      <c r="G1345" t="s">
        <v>74</v>
      </c>
      <c r="M1345" s="28" t="s">
        <v>507</v>
      </c>
      <c r="N1345" t="s">
        <v>313</v>
      </c>
    </row>
    <row r="1346" spans="1:14" hidden="1" x14ac:dyDescent="0.25">
      <c r="A1346" t="s">
        <v>12836</v>
      </c>
      <c r="B1346" t="s">
        <v>2650</v>
      </c>
      <c r="C1346" t="s">
        <v>12837</v>
      </c>
      <c r="D1346" t="s">
        <v>12838</v>
      </c>
      <c r="E1346" s="28" t="s">
        <v>1023</v>
      </c>
      <c r="F1346" t="s">
        <v>516</v>
      </c>
      <c r="G1346" t="s">
        <v>74</v>
      </c>
      <c r="M1346" s="28" t="s">
        <v>507</v>
      </c>
      <c r="N1346" t="s">
        <v>313</v>
      </c>
    </row>
    <row r="1347" spans="1:14" hidden="1" x14ac:dyDescent="0.25">
      <c r="A1347" t="s">
        <v>8618</v>
      </c>
      <c r="B1347" t="s">
        <v>2650</v>
      </c>
      <c r="C1347" t="s">
        <v>2651</v>
      </c>
      <c r="D1347" t="s">
        <v>2652</v>
      </c>
      <c r="E1347" s="28" t="s">
        <v>896</v>
      </c>
      <c r="F1347" t="s">
        <v>2427</v>
      </c>
      <c r="G1347" t="s">
        <v>74</v>
      </c>
      <c r="M1347" s="28" t="s">
        <v>507</v>
      </c>
      <c r="N1347" t="s">
        <v>313</v>
      </c>
    </row>
    <row r="1348" spans="1:14" x14ac:dyDescent="0.25">
      <c r="A1348" t="s">
        <v>8635</v>
      </c>
      <c r="B1348" t="s">
        <v>2650</v>
      </c>
      <c r="C1348" t="s">
        <v>2694</v>
      </c>
      <c r="D1348" t="s">
        <v>2695</v>
      </c>
      <c r="E1348" s="28" t="s">
        <v>890</v>
      </c>
      <c r="F1348" t="s">
        <v>11495</v>
      </c>
      <c r="G1348" t="s">
        <v>74</v>
      </c>
      <c r="M1348" s="28" t="s">
        <v>507</v>
      </c>
      <c r="N1348" t="s">
        <v>313</v>
      </c>
    </row>
    <row r="1349" spans="1:14" hidden="1" x14ac:dyDescent="0.25">
      <c r="A1349" t="s">
        <v>7988</v>
      </c>
      <c r="B1349" t="s">
        <v>1029</v>
      </c>
      <c r="C1349" t="s">
        <v>1030</v>
      </c>
      <c r="D1349" t="s">
        <v>1031</v>
      </c>
      <c r="E1349" s="28" t="s">
        <v>890</v>
      </c>
      <c r="F1349" t="s">
        <v>1018</v>
      </c>
      <c r="G1349" t="s">
        <v>28</v>
      </c>
      <c r="M1349" s="28" t="s">
        <v>14241</v>
      </c>
      <c r="N1349" t="s">
        <v>14206</v>
      </c>
    </row>
    <row r="1350" spans="1:14" hidden="1" x14ac:dyDescent="0.25">
      <c r="A1350" t="s">
        <v>7991</v>
      </c>
      <c r="B1350" t="s">
        <v>1037</v>
      </c>
      <c r="C1350" t="s">
        <v>1038</v>
      </c>
      <c r="D1350" t="s">
        <v>1039</v>
      </c>
      <c r="E1350" s="28" t="s">
        <v>930</v>
      </c>
      <c r="F1350" t="s">
        <v>1018</v>
      </c>
      <c r="G1350" t="s">
        <v>28</v>
      </c>
      <c r="M1350" s="28" t="s">
        <v>14241</v>
      </c>
      <c r="N1350" t="s">
        <v>14206</v>
      </c>
    </row>
    <row r="1351" spans="1:14" hidden="1" x14ac:dyDescent="0.25">
      <c r="A1351" t="s">
        <v>12728</v>
      </c>
      <c r="B1351" t="s">
        <v>12729</v>
      </c>
      <c r="C1351" t="s">
        <v>12730</v>
      </c>
      <c r="D1351" t="s">
        <v>12819</v>
      </c>
      <c r="E1351" s="28" t="s">
        <v>890</v>
      </c>
      <c r="F1351" t="s">
        <v>165</v>
      </c>
      <c r="G1351" t="s">
        <v>74</v>
      </c>
      <c r="M1351" s="28" t="s">
        <v>507</v>
      </c>
      <c r="N1351" t="s">
        <v>313</v>
      </c>
    </row>
    <row r="1352" spans="1:14" hidden="1" x14ac:dyDescent="0.25">
      <c r="A1352" t="s">
        <v>8634</v>
      </c>
      <c r="B1352" t="s">
        <v>2692</v>
      </c>
      <c r="C1352" t="s">
        <v>1121</v>
      </c>
      <c r="D1352" t="s">
        <v>2693</v>
      </c>
      <c r="E1352" s="28" t="s">
        <v>890</v>
      </c>
      <c r="F1352" t="s">
        <v>165</v>
      </c>
      <c r="G1352" t="s">
        <v>74</v>
      </c>
      <c r="M1352" s="28" t="s">
        <v>507</v>
      </c>
      <c r="N1352" t="s">
        <v>313</v>
      </c>
    </row>
    <row r="1353" spans="1:14" hidden="1" x14ac:dyDescent="0.25">
      <c r="A1353" t="s">
        <v>11663</v>
      </c>
      <c r="B1353" t="s">
        <v>11664</v>
      </c>
      <c r="C1353" t="s">
        <v>1676</v>
      </c>
      <c r="D1353" t="s">
        <v>12465</v>
      </c>
      <c r="E1353" s="28" t="s">
        <v>890</v>
      </c>
      <c r="F1353" t="s">
        <v>11665</v>
      </c>
      <c r="G1353" t="s">
        <v>74</v>
      </c>
      <c r="M1353" s="28" t="s">
        <v>507</v>
      </c>
      <c r="N1353" t="s">
        <v>313</v>
      </c>
    </row>
    <row r="1354" spans="1:14" hidden="1" x14ac:dyDescent="0.25">
      <c r="A1354" t="s">
        <v>8921</v>
      </c>
      <c r="B1354" t="s">
        <v>3353</v>
      </c>
      <c r="C1354" t="s">
        <v>1172</v>
      </c>
      <c r="D1354" t="s">
        <v>3354</v>
      </c>
      <c r="E1354" s="28" t="s">
        <v>896</v>
      </c>
      <c r="F1354" t="s">
        <v>891</v>
      </c>
      <c r="G1354" t="s">
        <v>88</v>
      </c>
      <c r="M1354" s="28" t="s">
        <v>549</v>
      </c>
      <c r="N1354" t="s">
        <v>313</v>
      </c>
    </row>
    <row r="1355" spans="1:14" hidden="1" x14ac:dyDescent="0.25">
      <c r="A1355" t="s">
        <v>10002</v>
      </c>
      <c r="B1355" t="s">
        <v>5568</v>
      </c>
      <c r="C1355" t="s">
        <v>2670</v>
      </c>
      <c r="D1355" t="s">
        <v>5569</v>
      </c>
      <c r="E1355" s="28" t="s">
        <v>896</v>
      </c>
      <c r="F1355" t="s">
        <v>615</v>
      </c>
      <c r="G1355" t="s">
        <v>15</v>
      </c>
      <c r="M1355" s="28" t="s">
        <v>613</v>
      </c>
      <c r="N1355" t="s">
        <v>313</v>
      </c>
    </row>
    <row r="1356" spans="1:14" hidden="1" x14ac:dyDescent="0.25">
      <c r="A1356" t="s">
        <v>10003</v>
      </c>
      <c r="B1356" t="s">
        <v>5568</v>
      </c>
      <c r="C1356" t="s">
        <v>5570</v>
      </c>
      <c r="D1356" t="s">
        <v>5571</v>
      </c>
      <c r="E1356" s="28" t="s">
        <v>890</v>
      </c>
      <c r="F1356" t="s">
        <v>648</v>
      </c>
      <c r="G1356" t="s">
        <v>15</v>
      </c>
      <c r="M1356" s="28" t="s">
        <v>613</v>
      </c>
      <c r="N1356" t="s">
        <v>313</v>
      </c>
    </row>
    <row r="1357" spans="1:14" hidden="1" x14ac:dyDescent="0.25">
      <c r="A1357" t="s">
        <v>10394</v>
      </c>
      <c r="B1357" t="s">
        <v>2910</v>
      </c>
      <c r="C1357" t="s">
        <v>6358</v>
      </c>
      <c r="D1357" t="s">
        <v>6359</v>
      </c>
      <c r="E1357" s="28" t="s">
        <v>1177</v>
      </c>
      <c r="F1357" t="s">
        <v>11889</v>
      </c>
      <c r="G1357" t="s">
        <v>110</v>
      </c>
      <c r="M1357" s="28" t="s">
        <v>13563</v>
      </c>
      <c r="N1357" t="s">
        <v>279</v>
      </c>
    </row>
    <row r="1358" spans="1:14" hidden="1" x14ac:dyDescent="0.25">
      <c r="A1358" t="s">
        <v>10382</v>
      </c>
      <c r="B1358" t="s">
        <v>2910</v>
      </c>
      <c r="C1358" t="s">
        <v>1476</v>
      </c>
      <c r="D1358" t="s">
        <v>6328</v>
      </c>
      <c r="E1358" s="28" t="s">
        <v>890</v>
      </c>
      <c r="F1358" t="s">
        <v>11889</v>
      </c>
      <c r="G1358" t="s">
        <v>110</v>
      </c>
      <c r="M1358" s="28" t="s">
        <v>13563</v>
      </c>
      <c r="N1358" t="s">
        <v>279</v>
      </c>
    </row>
    <row r="1359" spans="1:14" hidden="1" x14ac:dyDescent="0.25">
      <c r="A1359" t="s">
        <v>14302</v>
      </c>
      <c r="B1359" t="s">
        <v>2910</v>
      </c>
      <c r="C1359" t="s">
        <v>10952</v>
      </c>
      <c r="D1359" t="s">
        <v>10953</v>
      </c>
      <c r="E1359" s="28" t="s">
        <v>1023</v>
      </c>
      <c r="F1359" t="s">
        <v>891</v>
      </c>
      <c r="G1359" t="s">
        <v>81</v>
      </c>
      <c r="M1359" s="28" t="s">
        <v>530</v>
      </c>
      <c r="N1359" t="s">
        <v>313</v>
      </c>
    </row>
    <row r="1360" spans="1:14" hidden="1" x14ac:dyDescent="0.25">
      <c r="A1360" t="s">
        <v>8724</v>
      </c>
      <c r="B1360" t="s">
        <v>2910</v>
      </c>
      <c r="C1360" t="s">
        <v>2911</v>
      </c>
      <c r="D1360" t="s">
        <v>2912</v>
      </c>
      <c r="E1360" s="28" t="s">
        <v>890</v>
      </c>
      <c r="F1360" t="s">
        <v>170</v>
      </c>
      <c r="G1360" t="s">
        <v>81</v>
      </c>
      <c r="M1360" s="28" t="s">
        <v>530</v>
      </c>
      <c r="N1360" t="s">
        <v>313</v>
      </c>
    </row>
    <row r="1361" spans="1:14" hidden="1" x14ac:dyDescent="0.25">
      <c r="A1361" t="s">
        <v>10815</v>
      </c>
      <c r="B1361" t="s">
        <v>7360</v>
      </c>
      <c r="C1361" t="s">
        <v>1459</v>
      </c>
      <c r="D1361" t="s">
        <v>7361</v>
      </c>
      <c r="E1361" s="28" t="s">
        <v>890</v>
      </c>
      <c r="F1361" t="s">
        <v>843</v>
      </c>
      <c r="G1361" t="s">
        <v>157</v>
      </c>
      <c r="M1361" s="28" t="s">
        <v>840</v>
      </c>
      <c r="N1361" t="s">
        <v>382</v>
      </c>
    </row>
    <row r="1362" spans="1:14" hidden="1" x14ac:dyDescent="0.25">
      <c r="A1362" t="s">
        <v>10001</v>
      </c>
      <c r="B1362" t="s">
        <v>5565</v>
      </c>
      <c r="C1362" t="s">
        <v>5566</v>
      </c>
      <c r="D1362" t="s">
        <v>5567</v>
      </c>
      <c r="E1362" s="28" t="s">
        <v>890</v>
      </c>
      <c r="F1362" t="s">
        <v>615</v>
      </c>
      <c r="G1362" t="s">
        <v>15</v>
      </c>
      <c r="M1362" s="28" t="s">
        <v>613</v>
      </c>
      <c r="N1362" t="s">
        <v>313</v>
      </c>
    </row>
    <row r="1363" spans="1:14" hidden="1" x14ac:dyDescent="0.25">
      <c r="A1363" t="s">
        <v>10000</v>
      </c>
      <c r="B1363" t="s">
        <v>5563</v>
      </c>
      <c r="C1363" t="s">
        <v>5534</v>
      </c>
      <c r="D1363" t="s">
        <v>5564</v>
      </c>
      <c r="E1363" s="28" t="s">
        <v>890</v>
      </c>
      <c r="F1363" t="s">
        <v>654</v>
      </c>
      <c r="G1363" t="s">
        <v>15</v>
      </c>
      <c r="M1363" s="28" t="s">
        <v>613</v>
      </c>
      <c r="N1363" t="s">
        <v>313</v>
      </c>
    </row>
    <row r="1364" spans="1:14" hidden="1" x14ac:dyDescent="0.25">
      <c r="A1364" t="s">
        <v>10426</v>
      </c>
      <c r="B1364" t="s">
        <v>6439</v>
      </c>
      <c r="C1364" t="s">
        <v>1204</v>
      </c>
      <c r="D1364" t="s">
        <v>6440</v>
      </c>
      <c r="E1364" s="28" t="s">
        <v>890</v>
      </c>
      <c r="F1364" t="s">
        <v>789</v>
      </c>
      <c r="G1364" t="s">
        <v>21</v>
      </c>
      <c r="M1364" s="28" t="s">
        <v>791</v>
      </c>
      <c r="N1364" t="s">
        <v>313</v>
      </c>
    </row>
    <row r="1365" spans="1:14" hidden="1" x14ac:dyDescent="0.25">
      <c r="A1365" t="s">
        <v>14303</v>
      </c>
      <c r="B1365" t="s">
        <v>14304</v>
      </c>
      <c r="C1365" t="s">
        <v>11724</v>
      </c>
      <c r="D1365" t="s">
        <v>11725</v>
      </c>
      <c r="E1365" s="28" t="s">
        <v>930</v>
      </c>
      <c r="F1365" t="s">
        <v>13197</v>
      </c>
      <c r="G1365" t="s">
        <v>81</v>
      </c>
      <c r="M1365" s="28" t="s">
        <v>530</v>
      </c>
      <c r="N1365" t="s">
        <v>313</v>
      </c>
    </row>
    <row r="1366" spans="1:14" hidden="1" x14ac:dyDescent="0.25">
      <c r="A1366" t="s">
        <v>10771</v>
      </c>
      <c r="B1366" t="s">
        <v>7259</v>
      </c>
      <c r="C1366" t="s">
        <v>7260</v>
      </c>
      <c r="D1366" t="s">
        <v>7261</v>
      </c>
      <c r="E1366" s="28" t="s">
        <v>896</v>
      </c>
      <c r="F1366" t="s">
        <v>7258</v>
      </c>
      <c r="G1366" t="s">
        <v>152</v>
      </c>
      <c r="M1366" s="28"/>
    </row>
    <row r="1367" spans="1:14" hidden="1" x14ac:dyDescent="0.25">
      <c r="A1367" t="s">
        <v>14305</v>
      </c>
      <c r="B1367" t="s">
        <v>14306</v>
      </c>
      <c r="C1367" t="s">
        <v>1643</v>
      </c>
      <c r="D1367" t="s">
        <v>13737</v>
      </c>
      <c r="E1367" s="28" t="s">
        <v>1177</v>
      </c>
      <c r="F1367" t="s">
        <v>14215</v>
      </c>
      <c r="G1367" t="s">
        <v>81</v>
      </c>
      <c r="M1367" s="28" t="s">
        <v>530</v>
      </c>
      <c r="N1367" t="s">
        <v>313</v>
      </c>
    </row>
    <row r="1368" spans="1:14" hidden="1" x14ac:dyDescent="0.25">
      <c r="A1368" t="s">
        <v>13738</v>
      </c>
      <c r="B1368" t="s">
        <v>13739</v>
      </c>
      <c r="C1368" t="s">
        <v>1086</v>
      </c>
      <c r="D1368" t="s">
        <v>13740</v>
      </c>
      <c r="E1368" s="28" t="s">
        <v>896</v>
      </c>
      <c r="F1368" t="s">
        <v>5176</v>
      </c>
      <c r="G1368" t="s">
        <v>15</v>
      </c>
      <c r="M1368" s="28" t="s">
        <v>613</v>
      </c>
      <c r="N1368" t="s">
        <v>313</v>
      </c>
    </row>
    <row r="1369" spans="1:14" hidden="1" x14ac:dyDescent="0.25">
      <c r="A1369" t="s">
        <v>13741</v>
      </c>
      <c r="B1369" t="s">
        <v>13739</v>
      </c>
      <c r="C1369" t="s">
        <v>1084</v>
      </c>
      <c r="D1369" t="s">
        <v>13742</v>
      </c>
      <c r="E1369" s="28" t="s">
        <v>896</v>
      </c>
      <c r="F1369" t="s">
        <v>5176</v>
      </c>
      <c r="G1369" t="s">
        <v>15</v>
      </c>
      <c r="M1369" s="28" t="s">
        <v>613</v>
      </c>
      <c r="N1369" t="s">
        <v>313</v>
      </c>
    </row>
    <row r="1370" spans="1:14" hidden="1" x14ac:dyDescent="0.25">
      <c r="A1370" t="s">
        <v>9999</v>
      </c>
      <c r="B1370" t="s">
        <v>5561</v>
      </c>
      <c r="C1370" t="s">
        <v>4789</v>
      </c>
      <c r="D1370" t="s">
        <v>5562</v>
      </c>
      <c r="E1370" s="28" t="s">
        <v>896</v>
      </c>
      <c r="F1370" t="s">
        <v>4938</v>
      </c>
      <c r="G1370" t="s">
        <v>15</v>
      </c>
      <c r="M1370" s="28" t="s">
        <v>613</v>
      </c>
      <c r="N1370" t="s">
        <v>313</v>
      </c>
    </row>
    <row r="1371" spans="1:14" hidden="1" x14ac:dyDescent="0.25">
      <c r="A1371" t="s">
        <v>9998</v>
      </c>
      <c r="B1371" t="s">
        <v>5558</v>
      </c>
      <c r="C1371" t="s">
        <v>5559</v>
      </c>
      <c r="D1371" t="s">
        <v>5560</v>
      </c>
      <c r="E1371" s="28" t="s">
        <v>890</v>
      </c>
      <c r="F1371" t="s">
        <v>638</v>
      </c>
      <c r="G1371" t="s">
        <v>15</v>
      </c>
      <c r="M1371" s="28" t="s">
        <v>613</v>
      </c>
      <c r="N1371" t="s">
        <v>313</v>
      </c>
    </row>
    <row r="1372" spans="1:14" hidden="1" x14ac:dyDescent="0.25">
      <c r="A1372" t="s">
        <v>9497</v>
      </c>
      <c r="B1372" t="s">
        <v>4490</v>
      </c>
      <c r="C1372" t="s">
        <v>4491</v>
      </c>
      <c r="D1372" t="s">
        <v>4492</v>
      </c>
      <c r="E1372" s="28" t="s">
        <v>890</v>
      </c>
      <c r="F1372" t="s">
        <v>11562</v>
      </c>
      <c r="G1372" t="s">
        <v>88</v>
      </c>
      <c r="M1372" s="28" t="s">
        <v>549</v>
      </c>
      <c r="N1372" t="s">
        <v>313</v>
      </c>
    </row>
    <row r="1373" spans="1:14" hidden="1" x14ac:dyDescent="0.25">
      <c r="A1373" t="s">
        <v>8147</v>
      </c>
      <c r="B1373" t="s">
        <v>1489</v>
      </c>
      <c r="C1373" t="s">
        <v>1490</v>
      </c>
      <c r="D1373" t="s">
        <v>1491</v>
      </c>
      <c r="E1373" s="28" t="s">
        <v>930</v>
      </c>
      <c r="F1373" t="s">
        <v>324</v>
      </c>
      <c r="G1373" t="s">
        <v>38</v>
      </c>
      <c r="M1373" s="28"/>
    </row>
    <row r="1374" spans="1:14" hidden="1" x14ac:dyDescent="0.25">
      <c r="A1374" t="s">
        <v>8187</v>
      </c>
      <c r="B1374" t="s">
        <v>1489</v>
      </c>
      <c r="C1374" t="s">
        <v>1588</v>
      </c>
      <c r="D1374" t="s">
        <v>1589</v>
      </c>
      <c r="E1374" s="28" t="s">
        <v>896</v>
      </c>
      <c r="F1374" t="s">
        <v>78</v>
      </c>
      <c r="G1374" t="s">
        <v>38</v>
      </c>
      <c r="M1374" s="28"/>
    </row>
    <row r="1375" spans="1:14" hidden="1" x14ac:dyDescent="0.25">
      <c r="A1375" t="s">
        <v>14639</v>
      </c>
      <c r="B1375" t="s">
        <v>14640</v>
      </c>
      <c r="C1375" t="s">
        <v>4821</v>
      </c>
      <c r="D1375" t="s">
        <v>14641</v>
      </c>
      <c r="E1375" s="28" t="s">
        <v>890</v>
      </c>
      <c r="F1375" t="s">
        <v>5176</v>
      </c>
      <c r="G1375" t="s">
        <v>15</v>
      </c>
      <c r="M1375" s="28" t="s">
        <v>613</v>
      </c>
      <c r="N1375" t="s">
        <v>313</v>
      </c>
    </row>
    <row r="1376" spans="1:14" hidden="1" x14ac:dyDescent="0.25">
      <c r="A1376" t="s">
        <v>8922</v>
      </c>
      <c r="B1376" t="s">
        <v>3355</v>
      </c>
      <c r="C1376" t="s">
        <v>3034</v>
      </c>
      <c r="D1376" t="s">
        <v>3356</v>
      </c>
      <c r="E1376" s="28" t="s">
        <v>890</v>
      </c>
      <c r="F1376" t="s">
        <v>654</v>
      </c>
      <c r="G1376" t="s">
        <v>88</v>
      </c>
      <c r="M1376" s="28" t="s">
        <v>549</v>
      </c>
      <c r="N1376" t="s">
        <v>313</v>
      </c>
    </row>
    <row r="1377" spans="1:14" hidden="1" x14ac:dyDescent="0.25">
      <c r="A1377" t="s">
        <v>9997</v>
      </c>
      <c r="B1377" t="s">
        <v>5555</v>
      </c>
      <c r="C1377" t="s">
        <v>5556</v>
      </c>
      <c r="D1377" t="s">
        <v>5557</v>
      </c>
      <c r="E1377" s="28" t="s">
        <v>896</v>
      </c>
      <c r="F1377" t="s">
        <v>730</v>
      </c>
      <c r="G1377" t="s">
        <v>15</v>
      </c>
      <c r="M1377" s="28" t="s">
        <v>613</v>
      </c>
      <c r="N1377" t="s">
        <v>313</v>
      </c>
    </row>
    <row r="1378" spans="1:14" hidden="1" x14ac:dyDescent="0.25">
      <c r="A1378" t="s">
        <v>8260</v>
      </c>
      <c r="B1378" t="s">
        <v>1775</v>
      </c>
      <c r="C1378" t="s">
        <v>1776</v>
      </c>
      <c r="D1378" t="s">
        <v>1777</v>
      </c>
      <c r="E1378" s="28" t="s">
        <v>896</v>
      </c>
      <c r="F1378" t="s">
        <v>1641</v>
      </c>
      <c r="G1378" t="s">
        <v>43</v>
      </c>
      <c r="M1378" s="28" t="s">
        <v>14205</v>
      </c>
    </row>
    <row r="1379" spans="1:14" hidden="1" x14ac:dyDescent="0.25">
      <c r="A1379" t="s">
        <v>8304</v>
      </c>
      <c r="B1379" t="s">
        <v>1775</v>
      </c>
      <c r="C1379" t="s">
        <v>1882</v>
      </c>
      <c r="D1379" t="s">
        <v>1883</v>
      </c>
      <c r="E1379" s="28" t="s">
        <v>1023</v>
      </c>
      <c r="F1379" t="s">
        <v>1641</v>
      </c>
      <c r="G1379" t="s">
        <v>43</v>
      </c>
      <c r="M1379" s="28" t="s">
        <v>14205</v>
      </c>
    </row>
    <row r="1380" spans="1:14" hidden="1" x14ac:dyDescent="0.25">
      <c r="A1380" t="s">
        <v>9994</v>
      </c>
      <c r="B1380" t="s">
        <v>5551</v>
      </c>
      <c r="C1380" t="s">
        <v>1121</v>
      </c>
      <c r="D1380" t="s">
        <v>5552</v>
      </c>
      <c r="E1380" s="28" t="s">
        <v>896</v>
      </c>
      <c r="F1380" t="s">
        <v>662</v>
      </c>
      <c r="G1380" t="s">
        <v>15</v>
      </c>
      <c r="M1380" s="28" t="s">
        <v>613</v>
      </c>
      <c r="N1380" t="s">
        <v>313</v>
      </c>
    </row>
    <row r="1381" spans="1:14" hidden="1" x14ac:dyDescent="0.25">
      <c r="A1381" t="s">
        <v>9995</v>
      </c>
      <c r="B1381" t="s">
        <v>5551</v>
      </c>
      <c r="C1381" t="s">
        <v>2760</v>
      </c>
      <c r="D1381" t="s">
        <v>5553</v>
      </c>
      <c r="E1381" s="28" t="s">
        <v>890</v>
      </c>
      <c r="F1381" t="s">
        <v>662</v>
      </c>
      <c r="G1381" t="s">
        <v>15</v>
      </c>
      <c r="M1381" s="28" t="s">
        <v>613</v>
      </c>
      <c r="N1381" t="s">
        <v>313</v>
      </c>
    </row>
    <row r="1382" spans="1:14" hidden="1" x14ac:dyDescent="0.25">
      <c r="A1382" t="s">
        <v>9996</v>
      </c>
      <c r="B1382" t="s">
        <v>5551</v>
      </c>
      <c r="C1382" t="s">
        <v>2582</v>
      </c>
      <c r="D1382" t="s">
        <v>5554</v>
      </c>
      <c r="E1382" s="28" t="s">
        <v>890</v>
      </c>
      <c r="F1382" t="s">
        <v>227</v>
      </c>
      <c r="G1382" t="s">
        <v>15</v>
      </c>
      <c r="M1382" s="28" t="s">
        <v>613</v>
      </c>
      <c r="N1382" t="s">
        <v>313</v>
      </c>
    </row>
    <row r="1383" spans="1:14" hidden="1" x14ac:dyDescent="0.25">
      <c r="A1383" t="s">
        <v>9993</v>
      </c>
      <c r="B1383" t="s">
        <v>5549</v>
      </c>
      <c r="C1383" t="s">
        <v>4592</v>
      </c>
      <c r="D1383" t="s">
        <v>5550</v>
      </c>
      <c r="E1383" s="28" t="s">
        <v>896</v>
      </c>
      <c r="F1383" t="s">
        <v>219</v>
      </c>
      <c r="G1383" t="s">
        <v>15</v>
      </c>
      <c r="M1383" s="28" t="s">
        <v>613</v>
      </c>
      <c r="N1383" t="s">
        <v>313</v>
      </c>
    </row>
    <row r="1384" spans="1:14" hidden="1" x14ac:dyDescent="0.25">
      <c r="A1384" t="s">
        <v>14307</v>
      </c>
      <c r="B1384" t="s">
        <v>14308</v>
      </c>
      <c r="C1384" t="s">
        <v>1357</v>
      </c>
      <c r="D1384" t="s">
        <v>11726</v>
      </c>
      <c r="E1384" s="28" t="s">
        <v>890</v>
      </c>
      <c r="F1384" t="s">
        <v>13201</v>
      </c>
      <c r="G1384" t="s">
        <v>81</v>
      </c>
      <c r="M1384" s="28" t="s">
        <v>530</v>
      </c>
      <c r="N1384" t="s">
        <v>313</v>
      </c>
    </row>
    <row r="1385" spans="1:14" hidden="1" x14ac:dyDescent="0.25">
      <c r="A1385" t="s">
        <v>14309</v>
      </c>
      <c r="B1385" t="s">
        <v>14308</v>
      </c>
      <c r="C1385" t="s">
        <v>1391</v>
      </c>
      <c r="D1385" t="s">
        <v>11727</v>
      </c>
      <c r="E1385" s="28" t="s">
        <v>890</v>
      </c>
      <c r="F1385" t="s">
        <v>13201</v>
      </c>
      <c r="G1385" t="s">
        <v>81</v>
      </c>
      <c r="M1385" s="28" t="s">
        <v>530</v>
      </c>
      <c r="N1385" t="s">
        <v>313</v>
      </c>
    </row>
    <row r="1386" spans="1:14" hidden="1" x14ac:dyDescent="0.25">
      <c r="A1386" t="s">
        <v>8923</v>
      </c>
      <c r="B1386" t="s">
        <v>3357</v>
      </c>
      <c r="C1386" t="s">
        <v>1172</v>
      </c>
      <c r="D1386" t="s">
        <v>3358</v>
      </c>
      <c r="E1386" s="28" t="s">
        <v>890</v>
      </c>
      <c r="F1386" t="s">
        <v>891</v>
      </c>
      <c r="G1386" t="s">
        <v>88</v>
      </c>
      <c r="M1386" s="28" t="s">
        <v>549</v>
      </c>
      <c r="N1386" t="s">
        <v>313</v>
      </c>
    </row>
    <row r="1387" spans="1:14" hidden="1" x14ac:dyDescent="0.25">
      <c r="A1387" t="s">
        <v>12548</v>
      </c>
      <c r="B1387" t="s">
        <v>11802</v>
      </c>
      <c r="C1387" t="s">
        <v>3440</v>
      </c>
      <c r="D1387" t="s">
        <v>12549</v>
      </c>
      <c r="E1387" s="28" t="s">
        <v>890</v>
      </c>
      <c r="F1387" t="s">
        <v>554</v>
      </c>
      <c r="G1387" t="s">
        <v>88</v>
      </c>
      <c r="M1387" s="28" t="s">
        <v>549</v>
      </c>
      <c r="N1387" t="s">
        <v>313</v>
      </c>
    </row>
    <row r="1388" spans="1:14" hidden="1" x14ac:dyDescent="0.25">
      <c r="A1388" t="s">
        <v>11801</v>
      </c>
      <c r="B1388" t="s">
        <v>11802</v>
      </c>
      <c r="C1388" t="s">
        <v>3044</v>
      </c>
      <c r="D1388" t="s">
        <v>11803</v>
      </c>
      <c r="E1388" s="28" t="s">
        <v>1177</v>
      </c>
      <c r="F1388" t="s">
        <v>577</v>
      </c>
      <c r="G1388" t="s">
        <v>88</v>
      </c>
      <c r="M1388" s="28" t="s">
        <v>549</v>
      </c>
      <c r="N1388" t="s">
        <v>313</v>
      </c>
    </row>
    <row r="1389" spans="1:14" hidden="1" x14ac:dyDescent="0.25">
      <c r="A1389" t="s">
        <v>10705</v>
      </c>
      <c r="B1389" t="s">
        <v>2105</v>
      </c>
      <c r="C1389" t="s">
        <v>950</v>
      </c>
      <c r="D1389" t="s">
        <v>7102</v>
      </c>
      <c r="E1389" s="28" t="s">
        <v>930</v>
      </c>
      <c r="F1389" t="s">
        <v>6895</v>
      </c>
      <c r="G1389" t="s">
        <v>6896</v>
      </c>
      <c r="M1389" s="28" t="s">
        <v>6897</v>
      </c>
      <c r="N1389" t="s">
        <v>279</v>
      </c>
    </row>
    <row r="1390" spans="1:14" hidden="1" x14ac:dyDescent="0.25">
      <c r="A1390" t="s">
        <v>8523</v>
      </c>
      <c r="B1390" t="s">
        <v>2105</v>
      </c>
      <c r="C1390" t="s">
        <v>1094</v>
      </c>
      <c r="D1390" t="s">
        <v>2421</v>
      </c>
      <c r="E1390" s="28" t="s">
        <v>896</v>
      </c>
      <c r="F1390" t="s">
        <v>415</v>
      </c>
      <c r="G1390" t="s">
        <v>11</v>
      </c>
      <c r="M1390" s="28" t="s">
        <v>413</v>
      </c>
      <c r="N1390" t="s">
        <v>313</v>
      </c>
    </row>
    <row r="1391" spans="1:14" hidden="1" x14ac:dyDescent="0.25">
      <c r="A1391" t="s">
        <v>11019</v>
      </c>
      <c r="B1391" t="s">
        <v>11020</v>
      </c>
      <c r="C1391" t="s">
        <v>1219</v>
      </c>
      <c r="D1391" t="s">
        <v>11021</v>
      </c>
      <c r="E1391" s="28" t="s">
        <v>890</v>
      </c>
      <c r="F1391" t="s">
        <v>6584</v>
      </c>
      <c r="G1391" t="s">
        <v>84</v>
      </c>
      <c r="M1391" s="28" t="s">
        <v>14223</v>
      </c>
      <c r="N1391" t="s">
        <v>313</v>
      </c>
    </row>
    <row r="1392" spans="1:14" hidden="1" x14ac:dyDescent="0.25">
      <c r="A1392" t="s">
        <v>8924</v>
      </c>
      <c r="B1392" t="s">
        <v>3359</v>
      </c>
      <c r="C1392" t="s">
        <v>3044</v>
      </c>
      <c r="D1392" t="s">
        <v>3360</v>
      </c>
      <c r="E1392" s="28" t="s">
        <v>890</v>
      </c>
      <c r="F1392" t="s">
        <v>891</v>
      </c>
      <c r="G1392" t="s">
        <v>88</v>
      </c>
      <c r="M1392" s="28" t="s">
        <v>549</v>
      </c>
      <c r="N1392" t="s">
        <v>313</v>
      </c>
    </row>
    <row r="1393" spans="1:14" hidden="1" x14ac:dyDescent="0.25">
      <c r="A1393" t="s">
        <v>8925</v>
      </c>
      <c r="B1393" t="s">
        <v>3361</v>
      </c>
      <c r="C1393" t="s">
        <v>3044</v>
      </c>
      <c r="D1393" t="s">
        <v>3362</v>
      </c>
      <c r="E1393" s="28" t="s">
        <v>896</v>
      </c>
      <c r="F1393" t="s">
        <v>891</v>
      </c>
      <c r="G1393" t="s">
        <v>88</v>
      </c>
      <c r="M1393" s="28" t="s">
        <v>549</v>
      </c>
      <c r="N1393" t="s">
        <v>313</v>
      </c>
    </row>
    <row r="1394" spans="1:14" hidden="1" x14ac:dyDescent="0.25">
      <c r="A1394" t="s">
        <v>8407</v>
      </c>
      <c r="B1394" t="s">
        <v>2143</v>
      </c>
      <c r="C1394" t="s">
        <v>2144</v>
      </c>
      <c r="D1394" t="s">
        <v>2145</v>
      </c>
      <c r="E1394" s="28" t="s">
        <v>890</v>
      </c>
      <c r="F1394" t="s">
        <v>398</v>
      </c>
      <c r="G1394" t="s">
        <v>60</v>
      </c>
      <c r="M1394" s="28" t="s">
        <v>14207</v>
      </c>
    </row>
    <row r="1395" spans="1:14" hidden="1" x14ac:dyDescent="0.25">
      <c r="A1395" t="s">
        <v>8926</v>
      </c>
      <c r="B1395" t="s">
        <v>2143</v>
      </c>
      <c r="C1395" t="s">
        <v>3044</v>
      </c>
      <c r="D1395" t="s">
        <v>3363</v>
      </c>
      <c r="E1395" s="28" t="s">
        <v>890</v>
      </c>
      <c r="F1395" t="s">
        <v>891</v>
      </c>
      <c r="G1395" t="s">
        <v>88</v>
      </c>
      <c r="M1395" s="28" t="s">
        <v>549</v>
      </c>
      <c r="N1395" t="s">
        <v>313</v>
      </c>
    </row>
    <row r="1396" spans="1:14" hidden="1" x14ac:dyDescent="0.25">
      <c r="A1396" t="s">
        <v>8927</v>
      </c>
      <c r="B1396" t="s">
        <v>2143</v>
      </c>
      <c r="C1396" t="s">
        <v>3364</v>
      </c>
      <c r="D1396" t="s">
        <v>3365</v>
      </c>
      <c r="E1396" s="28" t="s">
        <v>896</v>
      </c>
      <c r="F1396" t="s">
        <v>891</v>
      </c>
      <c r="G1396" t="s">
        <v>88</v>
      </c>
      <c r="M1396" s="28" t="s">
        <v>549</v>
      </c>
      <c r="N1396" t="s">
        <v>313</v>
      </c>
    </row>
    <row r="1397" spans="1:14" hidden="1" x14ac:dyDescent="0.25">
      <c r="A1397" t="s">
        <v>8928</v>
      </c>
      <c r="B1397" t="s">
        <v>3366</v>
      </c>
      <c r="C1397" t="s">
        <v>3034</v>
      </c>
      <c r="D1397" t="s">
        <v>3367</v>
      </c>
      <c r="E1397" s="28" t="s">
        <v>896</v>
      </c>
      <c r="F1397" t="s">
        <v>891</v>
      </c>
      <c r="G1397" t="s">
        <v>88</v>
      </c>
      <c r="M1397" s="28" t="s">
        <v>549</v>
      </c>
      <c r="N1397" t="s">
        <v>313</v>
      </c>
    </row>
    <row r="1398" spans="1:14" hidden="1" x14ac:dyDescent="0.25">
      <c r="A1398" t="s">
        <v>8929</v>
      </c>
      <c r="B1398" t="s">
        <v>3368</v>
      </c>
      <c r="C1398" t="s">
        <v>3031</v>
      </c>
      <c r="D1398" t="s">
        <v>3369</v>
      </c>
      <c r="E1398" s="28" t="s">
        <v>890</v>
      </c>
      <c r="F1398" t="s">
        <v>891</v>
      </c>
      <c r="G1398" t="s">
        <v>88</v>
      </c>
      <c r="M1398" s="28" t="s">
        <v>549</v>
      </c>
      <c r="N1398" t="s">
        <v>313</v>
      </c>
    </row>
    <row r="1399" spans="1:14" hidden="1" x14ac:dyDescent="0.25">
      <c r="A1399" t="s">
        <v>8930</v>
      </c>
      <c r="B1399" t="s">
        <v>3368</v>
      </c>
      <c r="C1399" t="s">
        <v>3044</v>
      </c>
      <c r="D1399" t="s">
        <v>3370</v>
      </c>
      <c r="E1399" s="28" t="s">
        <v>930</v>
      </c>
      <c r="F1399" t="s">
        <v>891</v>
      </c>
      <c r="G1399" t="s">
        <v>88</v>
      </c>
      <c r="M1399" s="28" t="s">
        <v>549</v>
      </c>
      <c r="N1399" t="s">
        <v>313</v>
      </c>
    </row>
    <row r="1400" spans="1:14" hidden="1" x14ac:dyDescent="0.25">
      <c r="A1400" t="s">
        <v>8042</v>
      </c>
      <c r="B1400" t="s">
        <v>1218</v>
      </c>
      <c r="C1400" t="s">
        <v>1219</v>
      </c>
      <c r="D1400" t="s">
        <v>1220</v>
      </c>
      <c r="E1400" s="28" t="s">
        <v>890</v>
      </c>
      <c r="F1400" t="s">
        <v>39</v>
      </c>
      <c r="G1400" t="s">
        <v>34</v>
      </c>
      <c r="M1400" s="28" t="s">
        <v>12353</v>
      </c>
      <c r="N1400" t="s">
        <v>313</v>
      </c>
    </row>
    <row r="1401" spans="1:14" hidden="1" x14ac:dyDescent="0.25">
      <c r="A1401" t="s">
        <v>14310</v>
      </c>
      <c r="B1401" t="s">
        <v>14311</v>
      </c>
      <c r="C1401" t="s">
        <v>1428</v>
      </c>
      <c r="D1401" t="s">
        <v>11728</v>
      </c>
      <c r="E1401" s="28" t="s">
        <v>896</v>
      </c>
      <c r="F1401" t="s">
        <v>10904</v>
      </c>
      <c r="G1401" t="s">
        <v>81</v>
      </c>
      <c r="M1401" s="28" t="s">
        <v>530</v>
      </c>
      <c r="N1401" t="s">
        <v>313</v>
      </c>
    </row>
    <row r="1402" spans="1:14" hidden="1" x14ac:dyDescent="0.25">
      <c r="A1402" t="s">
        <v>14312</v>
      </c>
      <c r="B1402" t="s">
        <v>14311</v>
      </c>
      <c r="C1402" t="s">
        <v>1391</v>
      </c>
      <c r="D1402" t="s">
        <v>11729</v>
      </c>
      <c r="E1402" s="28" t="s">
        <v>896</v>
      </c>
      <c r="F1402" t="s">
        <v>10904</v>
      </c>
      <c r="G1402" t="s">
        <v>81</v>
      </c>
      <c r="M1402" s="28" t="s">
        <v>530</v>
      </c>
      <c r="N1402" t="s">
        <v>313</v>
      </c>
    </row>
    <row r="1403" spans="1:14" hidden="1" x14ac:dyDescent="0.25">
      <c r="A1403" t="s">
        <v>8662</v>
      </c>
      <c r="B1403" t="s">
        <v>2765</v>
      </c>
      <c r="C1403" t="s">
        <v>2766</v>
      </c>
      <c r="D1403" t="s">
        <v>2767</v>
      </c>
      <c r="E1403" s="28" t="s">
        <v>890</v>
      </c>
      <c r="F1403" t="s">
        <v>158</v>
      </c>
      <c r="G1403" t="s">
        <v>74</v>
      </c>
      <c r="M1403" s="28" t="s">
        <v>507</v>
      </c>
      <c r="N1403" t="s">
        <v>313</v>
      </c>
    </row>
    <row r="1404" spans="1:14" hidden="1" x14ac:dyDescent="0.25">
      <c r="A1404" t="s">
        <v>8632</v>
      </c>
      <c r="B1404" t="s">
        <v>2688</v>
      </c>
      <c r="C1404" t="s">
        <v>906</v>
      </c>
      <c r="D1404" t="s">
        <v>2689</v>
      </c>
      <c r="E1404" s="28" t="s">
        <v>890</v>
      </c>
      <c r="F1404" t="s">
        <v>165</v>
      </c>
      <c r="G1404" t="s">
        <v>74</v>
      </c>
      <c r="M1404" s="28" t="s">
        <v>507</v>
      </c>
      <c r="N1404" t="s">
        <v>313</v>
      </c>
    </row>
    <row r="1405" spans="1:14" hidden="1" x14ac:dyDescent="0.25">
      <c r="A1405" t="s">
        <v>10457</v>
      </c>
      <c r="B1405" t="s">
        <v>6506</v>
      </c>
      <c r="C1405" t="s">
        <v>6507</v>
      </c>
      <c r="D1405" t="s">
        <v>6508</v>
      </c>
      <c r="E1405" s="28" t="s">
        <v>890</v>
      </c>
      <c r="F1405" t="s">
        <v>221</v>
      </c>
      <c r="G1405" t="s">
        <v>125</v>
      </c>
      <c r="M1405" s="28" t="s">
        <v>6491</v>
      </c>
      <c r="N1405" t="s">
        <v>313</v>
      </c>
    </row>
    <row r="1406" spans="1:14" hidden="1" x14ac:dyDescent="0.25">
      <c r="A1406" t="s">
        <v>11923</v>
      </c>
      <c r="B1406" t="s">
        <v>6506</v>
      </c>
      <c r="C1406" t="s">
        <v>11924</v>
      </c>
      <c r="D1406" t="s">
        <v>11925</v>
      </c>
      <c r="E1406" s="28" t="s">
        <v>890</v>
      </c>
      <c r="F1406" t="s">
        <v>251</v>
      </c>
      <c r="G1406" t="s">
        <v>125</v>
      </c>
      <c r="M1406" s="28" t="s">
        <v>6491</v>
      </c>
      <c r="N1406" t="s">
        <v>313</v>
      </c>
    </row>
    <row r="1407" spans="1:14" hidden="1" x14ac:dyDescent="0.25">
      <c r="A1407" t="s">
        <v>11920</v>
      </c>
      <c r="B1407" t="s">
        <v>6506</v>
      </c>
      <c r="C1407" t="s">
        <v>11921</v>
      </c>
      <c r="D1407" t="s">
        <v>11922</v>
      </c>
      <c r="E1407" s="28" t="s">
        <v>930</v>
      </c>
      <c r="F1407" t="s">
        <v>251</v>
      </c>
      <c r="G1407" t="s">
        <v>125</v>
      </c>
      <c r="M1407" s="28" t="s">
        <v>6491</v>
      </c>
      <c r="N1407" t="s">
        <v>313</v>
      </c>
    </row>
    <row r="1408" spans="1:14" hidden="1" x14ac:dyDescent="0.25">
      <c r="A1408" t="s">
        <v>11177</v>
      </c>
      <c r="B1408" t="s">
        <v>11178</v>
      </c>
      <c r="C1408" t="s">
        <v>1176</v>
      </c>
      <c r="D1408" t="s">
        <v>11179</v>
      </c>
      <c r="E1408" s="28" t="s">
        <v>890</v>
      </c>
      <c r="F1408" t="s">
        <v>11008</v>
      </c>
      <c r="G1408" t="s">
        <v>84</v>
      </c>
      <c r="M1408" s="28" t="s">
        <v>14223</v>
      </c>
      <c r="N1408" t="s">
        <v>313</v>
      </c>
    </row>
    <row r="1409" spans="1:14" hidden="1" x14ac:dyDescent="0.25">
      <c r="A1409" t="s">
        <v>11189</v>
      </c>
      <c r="B1409" t="s">
        <v>11178</v>
      </c>
      <c r="C1409" t="s">
        <v>11190</v>
      </c>
      <c r="D1409" t="s">
        <v>11191</v>
      </c>
      <c r="E1409" s="28" t="s">
        <v>896</v>
      </c>
      <c r="F1409" t="s">
        <v>182</v>
      </c>
      <c r="G1409" t="s">
        <v>84</v>
      </c>
      <c r="M1409" s="28" t="s">
        <v>14223</v>
      </c>
      <c r="N1409" t="s">
        <v>313</v>
      </c>
    </row>
    <row r="1410" spans="1:14" hidden="1" x14ac:dyDescent="0.25">
      <c r="A1410" t="s">
        <v>11180</v>
      </c>
      <c r="B1410" t="s">
        <v>11178</v>
      </c>
      <c r="C1410" t="s">
        <v>11181</v>
      </c>
      <c r="D1410" t="s">
        <v>11182</v>
      </c>
      <c r="E1410" s="28" t="s">
        <v>890</v>
      </c>
      <c r="F1410" t="s">
        <v>11008</v>
      </c>
      <c r="G1410" t="s">
        <v>84</v>
      </c>
      <c r="M1410" s="28" t="s">
        <v>14223</v>
      </c>
      <c r="N1410" t="s">
        <v>313</v>
      </c>
    </row>
    <row r="1411" spans="1:14" hidden="1" x14ac:dyDescent="0.25">
      <c r="A1411" t="s">
        <v>10695</v>
      </c>
      <c r="B1411" t="s">
        <v>7078</v>
      </c>
      <c r="C1411" t="s">
        <v>7079</v>
      </c>
      <c r="D1411" t="s">
        <v>7080</v>
      </c>
      <c r="E1411" s="28" t="s">
        <v>890</v>
      </c>
      <c r="F1411" t="s">
        <v>6901</v>
      </c>
      <c r="G1411" t="s">
        <v>6896</v>
      </c>
      <c r="M1411" s="28" t="s">
        <v>6897</v>
      </c>
      <c r="N1411" t="s">
        <v>279</v>
      </c>
    </row>
    <row r="1412" spans="1:14" hidden="1" x14ac:dyDescent="0.25">
      <c r="A1412" t="s">
        <v>9992</v>
      </c>
      <c r="B1412" t="s">
        <v>5546</v>
      </c>
      <c r="C1412" t="s">
        <v>5547</v>
      </c>
      <c r="D1412" t="s">
        <v>5548</v>
      </c>
      <c r="E1412" s="28" t="s">
        <v>890</v>
      </c>
      <c r="F1412" t="s">
        <v>718</v>
      </c>
      <c r="G1412" t="s">
        <v>15</v>
      </c>
      <c r="M1412" s="28" t="s">
        <v>613</v>
      </c>
      <c r="N1412" t="s">
        <v>313</v>
      </c>
    </row>
    <row r="1413" spans="1:14" hidden="1" x14ac:dyDescent="0.25">
      <c r="A1413" t="s">
        <v>9991</v>
      </c>
      <c r="B1413" t="s">
        <v>2482</v>
      </c>
      <c r="C1413" t="s">
        <v>999</v>
      </c>
      <c r="D1413" t="s">
        <v>5545</v>
      </c>
      <c r="E1413" s="28" t="s">
        <v>930</v>
      </c>
      <c r="F1413" t="s">
        <v>746</v>
      </c>
      <c r="G1413" t="s">
        <v>15</v>
      </c>
      <c r="M1413" s="28" t="s">
        <v>613</v>
      </c>
      <c r="N1413" t="s">
        <v>313</v>
      </c>
    </row>
    <row r="1414" spans="1:14" hidden="1" x14ac:dyDescent="0.25">
      <c r="A1414" t="s">
        <v>9990</v>
      </c>
      <c r="B1414" t="s">
        <v>2482</v>
      </c>
      <c r="C1414" t="s">
        <v>4668</v>
      </c>
      <c r="D1414" t="s">
        <v>5544</v>
      </c>
      <c r="E1414" s="28" t="s">
        <v>930</v>
      </c>
      <c r="F1414" t="s">
        <v>746</v>
      </c>
      <c r="G1414" t="s">
        <v>15</v>
      </c>
      <c r="M1414" s="28" t="s">
        <v>613</v>
      </c>
      <c r="N1414" t="s">
        <v>313</v>
      </c>
    </row>
    <row r="1415" spans="1:14" hidden="1" x14ac:dyDescent="0.25">
      <c r="A1415" t="s">
        <v>8548</v>
      </c>
      <c r="B1415" t="s">
        <v>2482</v>
      </c>
      <c r="C1415" t="s">
        <v>2184</v>
      </c>
      <c r="D1415" t="s">
        <v>2483</v>
      </c>
      <c r="E1415" s="28" t="s">
        <v>896</v>
      </c>
      <c r="F1415" t="s">
        <v>479</v>
      </c>
      <c r="G1415" t="s">
        <v>11</v>
      </c>
      <c r="M1415" s="28" t="s">
        <v>413</v>
      </c>
      <c r="N1415" t="s">
        <v>313</v>
      </c>
    </row>
    <row r="1416" spans="1:14" hidden="1" x14ac:dyDescent="0.25">
      <c r="A1416" t="s">
        <v>9989</v>
      </c>
      <c r="B1416" t="s">
        <v>5542</v>
      </c>
      <c r="C1416" t="s">
        <v>4553</v>
      </c>
      <c r="D1416" t="s">
        <v>5543</v>
      </c>
      <c r="E1416" s="28" t="s">
        <v>896</v>
      </c>
      <c r="F1416" t="s">
        <v>615</v>
      </c>
      <c r="G1416" t="s">
        <v>15</v>
      </c>
      <c r="M1416" s="28" t="s">
        <v>613</v>
      </c>
      <c r="N1416" t="s">
        <v>313</v>
      </c>
    </row>
    <row r="1417" spans="1:14" hidden="1" x14ac:dyDescent="0.25">
      <c r="A1417" t="s">
        <v>9988</v>
      </c>
      <c r="B1417" t="s">
        <v>5540</v>
      </c>
      <c r="C1417" t="s">
        <v>1483</v>
      </c>
      <c r="D1417" t="s">
        <v>5541</v>
      </c>
      <c r="E1417" s="28" t="s">
        <v>896</v>
      </c>
      <c r="F1417" t="s">
        <v>4802</v>
      </c>
      <c r="G1417" t="s">
        <v>15</v>
      </c>
      <c r="M1417" s="28" t="s">
        <v>613</v>
      </c>
      <c r="N1417" t="s">
        <v>313</v>
      </c>
    </row>
    <row r="1418" spans="1:14" hidden="1" x14ac:dyDescent="0.25">
      <c r="A1418" t="s">
        <v>8931</v>
      </c>
      <c r="B1418" t="s">
        <v>3371</v>
      </c>
      <c r="C1418" t="s">
        <v>3134</v>
      </c>
      <c r="D1418" t="s">
        <v>3372</v>
      </c>
      <c r="E1418" s="28" t="s">
        <v>890</v>
      </c>
      <c r="F1418" t="s">
        <v>891</v>
      </c>
      <c r="G1418" t="s">
        <v>88</v>
      </c>
      <c r="M1418" s="28" t="s">
        <v>549</v>
      </c>
      <c r="N1418" t="s">
        <v>313</v>
      </c>
    </row>
    <row r="1419" spans="1:14" hidden="1" x14ac:dyDescent="0.25">
      <c r="A1419" t="s">
        <v>8932</v>
      </c>
      <c r="B1419" t="s">
        <v>3373</v>
      </c>
      <c r="C1419" t="s">
        <v>3374</v>
      </c>
      <c r="D1419" t="s">
        <v>3375</v>
      </c>
      <c r="E1419" s="28" t="s">
        <v>890</v>
      </c>
      <c r="F1419" t="s">
        <v>891</v>
      </c>
      <c r="G1419" t="s">
        <v>88</v>
      </c>
      <c r="M1419" s="28" t="s">
        <v>549</v>
      </c>
      <c r="N1419" t="s">
        <v>313</v>
      </c>
    </row>
    <row r="1420" spans="1:14" hidden="1" x14ac:dyDescent="0.25">
      <c r="A1420" t="s">
        <v>12556</v>
      </c>
      <c r="B1420" t="s">
        <v>12557</v>
      </c>
      <c r="C1420" t="s">
        <v>4553</v>
      </c>
      <c r="D1420" t="s">
        <v>5533</v>
      </c>
      <c r="E1420" s="28" t="s">
        <v>896</v>
      </c>
      <c r="F1420" t="s">
        <v>654</v>
      </c>
      <c r="G1420" t="s">
        <v>15</v>
      </c>
      <c r="M1420" s="28" t="s">
        <v>613</v>
      </c>
      <c r="N1420" t="s">
        <v>313</v>
      </c>
    </row>
    <row r="1421" spans="1:14" hidden="1" x14ac:dyDescent="0.25">
      <c r="A1421" t="s">
        <v>9986</v>
      </c>
      <c r="B1421" t="s">
        <v>5535</v>
      </c>
      <c r="C1421" t="s">
        <v>5284</v>
      </c>
      <c r="D1421" t="s">
        <v>5538</v>
      </c>
      <c r="E1421" s="28" t="s">
        <v>1023</v>
      </c>
      <c r="F1421" t="s">
        <v>4837</v>
      </c>
      <c r="G1421" t="s">
        <v>15</v>
      </c>
      <c r="M1421" s="28" t="s">
        <v>613</v>
      </c>
      <c r="N1421" t="s">
        <v>313</v>
      </c>
    </row>
    <row r="1422" spans="1:14" hidden="1" x14ac:dyDescent="0.25">
      <c r="A1422" t="s">
        <v>9985</v>
      </c>
      <c r="B1422" t="s">
        <v>5535</v>
      </c>
      <c r="C1422" t="s">
        <v>5536</v>
      </c>
      <c r="D1422" t="s">
        <v>5537</v>
      </c>
      <c r="E1422" s="28" t="s">
        <v>896</v>
      </c>
      <c r="F1422" t="s">
        <v>4837</v>
      </c>
      <c r="G1422" t="s">
        <v>15</v>
      </c>
      <c r="M1422" s="28" t="s">
        <v>613</v>
      </c>
      <c r="N1422" t="s">
        <v>313</v>
      </c>
    </row>
    <row r="1423" spans="1:14" hidden="1" x14ac:dyDescent="0.25">
      <c r="A1423" t="s">
        <v>9987</v>
      </c>
      <c r="B1423" t="s">
        <v>5535</v>
      </c>
      <c r="C1423" t="s">
        <v>2184</v>
      </c>
      <c r="D1423" t="s">
        <v>5539</v>
      </c>
      <c r="E1423" s="28" t="s">
        <v>896</v>
      </c>
      <c r="F1423" t="s">
        <v>4837</v>
      </c>
      <c r="G1423" t="s">
        <v>15</v>
      </c>
      <c r="M1423" s="28" t="s">
        <v>613</v>
      </c>
      <c r="N1423" t="s">
        <v>313</v>
      </c>
    </row>
    <row r="1424" spans="1:14" hidden="1" x14ac:dyDescent="0.25">
      <c r="A1424" t="s">
        <v>9984</v>
      </c>
      <c r="B1424" t="s">
        <v>2515</v>
      </c>
      <c r="C1424" t="s">
        <v>5531</v>
      </c>
      <c r="D1424" t="s">
        <v>5532</v>
      </c>
      <c r="E1424" s="28" t="s">
        <v>896</v>
      </c>
      <c r="F1424" t="s">
        <v>662</v>
      </c>
      <c r="G1424" t="s">
        <v>15</v>
      </c>
      <c r="M1424" s="28" t="s">
        <v>613</v>
      </c>
      <c r="N1424" t="s">
        <v>313</v>
      </c>
    </row>
    <row r="1425" spans="1:14" hidden="1" x14ac:dyDescent="0.25">
      <c r="A1425" t="s">
        <v>9983</v>
      </c>
      <c r="B1425" t="s">
        <v>5529</v>
      </c>
      <c r="C1425" t="s">
        <v>4668</v>
      </c>
      <c r="D1425" t="s">
        <v>5530</v>
      </c>
      <c r="E1425" s="28" t="s">
        <v>896</v>
      </c>
      <c r="F1425" t="s">
        <v>688</v>
      </c>
      <c r="G1425" t="s">
        <v>15</v>
      </c>
      <c r="M1425" s="28" t="s">
        <v>613</v>
      </c>
      <c r="N1425" t="s">
        <v>313</v>
      </c>
    </row>
    <row r="1426" spans="1:14" hidden="1" x14ac:dyDescent="0.25">
      <c r="A1426" t="s">
        <v>9982</v>
      </c>
      <c r="B1426" t="s">
        <v>5527</v>
      </c>
      <c r="C1426" t="s">
        <v>1574</v>
      </c>
      <c r="D1426" t="s">
        <v>5528</v>
      </c>
      <c r="E1426" s="28" t="s">
        <v>890</v>
      </c>
      <c r="F1426" t="s">
        <v>752</v>
      </c>
      <c r="G1426" t="s">
        <v>15</v>
      </c>
      <c r="M1426" s="28" t="s">
        <v>613</v>
      </c>
      <c r="N1426" t="s">
        <v>313</v>
      </c>
    </row>
    <row r="1427" spans="1:14" hidden="1" x14ac:dyDescent="0.25">
      <c r="A1427" t="s">
        <v>8933</v>
      </c>
      <c r="B1427" t="s">
        <v>3376</v>
      </c>
      <c r="C1427" t="s">
        <v>3044</v>
      </c>
      <c r="D1427" t="s">
        <v>3377</v>
      </c>
      <c r="E1427" s="28" t="s">
        <v>896</v>
      </c>
      <c r="F1427" t="s">
        <v>891</v>
      </c>
      <c r="G1427" t="s">
        <v>88</v>
      </c>
      <c r="M1427" s="28" t="s">
        <v>549</v>
      </c>
      <c r="N1427" t="s">
        <v>313</v>
      </c>
    </row>
    <row r="1428" spans="1:14" hidden="1" x14ac:dyDescent="0.25">
      <c r="A1428" t="s">
        <v>11849</v>
      </c>
      <c r="B1428" t="s">
        <v>11850</v>
      </c>
      <c r="C1428" t="s">
        <v>1172</v>
      </c>
      <c r="D1428" t="s">
        <v>11851</v>
      </c>
      <c r="E1428" s="28" t="s">
        <v>890</v>
      </c>
      <c r="F1428" t="s">
        <v>891</v>
      </c>
      <c r="G1428" t="s">
        <v>88</v>
      </c>
      <c r="M1428" s="28" t="s">
        <v>549</v>
      </c>
      <c r="N1428" t="s">
        <v>313</v>
      </c>
    </row>
    <row r="1429" spans="1:14" hidden="1" x14ac:dyDescent="0.25">
      <c r="A1429" t="s">
        <v>9496</v>
      </c>
      <c r="B1429" t="s">
        <v>4488</v>
      </c>
      <c r="C1429" t="s">
        <v>3034</v>
      </c>
      <c r="D1429" t="s">
        <v>4489</v>
      </c>
      <c r="E1429" s="28" t="s">
        <v>890</v>
      </c>
      <c r="F1429" t="s">
        <v>11562</v>
      </c>
      <c r="G1429" t="s">
        <v>88</v>
      </c>
      <c r="M1429" s="28" t="s">
        <v>549</v>
      </c>
      <c r="N1429" t="s">
        <v>313</v>
      </c>
    </row>
    <row r="1430" spans="1:14" hidden="1" x14ac:dyDescent="0.25">
      <c r="A1430" t="s">
        <v>14642</v>
      </c>
      <c r="B1430" t="s">
        <v>14643</v>
      </c>
      <c r="C1430" t="s">
        <v>4753</v>
      </c>
      <c r="D1430" t="s">
        <v>14644</v>
      </c>
      <c r="E1430" s="28" t="s">
        <v>890</v>
      </c>
      <c r="F1430" t="s">
        <v>14614</v>
      </c>
      <c r="G1430" t="s">
        <v>131</v>
      </c>
      <c r="M1430" s="28" t="s">
        <v>14242</v>
      </c>
    </row>
    <row r="1431" spans="1:14" hidden="1" x14ac:dyDescent="0.25">
      <c r="A1431" t="s">
        <v>12740</v>
      </c>
      <c r="B1431" t="s">
        <v>3378</v>
      </c>
      <c r="C1431" t="s">
        <v>4460</v>
      </c>
      <c r="D1431" t="s">
        <v>12741</v>
      </c>
      <c r="E1431" s="28" t="s">
        <v>1177</v>
      </c>
      <c r="F1431" t="s">
        <v>582</v>
      </c>
      <c r="G1431" t="s">
        <v>88</v>
      </c>
      <c r="M1431" s="28" t="s">
        <v>549</v>
      </c>
      <c r="N1431" t="s">
        <v>313</v>
      </c>
    </row>
    <row r="1432" spans="1:14" hidden="1" x14ac:dyDescent="0.25">
      <c r="A1432" t="s">
        <v>8934</v>
      </c>
      <c r="B1432" t="s">
        <v>3378</v>
      </c>
      <c r="C1432" t="s">
        <v>3126</v>
      </c>
      <c r="D1432" t="s">
        <v>3379</v>
      </c>
      <c r="E1432" s="28" t="s">
        <v>890</v>
      </c>
      <c r="F1432" t="s">
        <v>564</v>
      </c>
      <c r="G1432" t="s">
        <v>88</v>
      </c>
      <c r="M1432" s="28" t="s">
        <v>549</v>
      </c>
      <c r="N1432" t="s">
        <v>313</v>
      </c>
    </row>
    <row r="1433" spans="1:14" hidden="1" x14ac:dyDescent="0.25">
      <c r="A1433" t="s">
        <v>8935</v>
      </c>
      <c r="B1433" t="s">
        <v>3380</v>
      </c>
      <c r="C1433" t="s">
        <v>3381</v>
      </c>
      <c r="D1433" t="s">
        <v>3382</v>
      </c>
      <c r="E1433" s="28" t="s">
        <v>896</v>
      </c>
      <c r="F1433" t="s">
        <v>594</v>
      </c>
      <c r="G1433" t="s">
        <v>88</v>
      </c>
      <c r="M1433" s="28" t="s">
        <v>549</v>
      </c>
      <c r="N1433" t="s">
        <v>313</v>
      </c>
    </row>
    <row r="1434" spans="1:14" hidden="1" x14ac:dyDescent="0.25">
      <c r="A1434" t="s">
        <v>8936</v>
      </c>
      <c r="B1434" t="s">
        <v>3380</v>
      </c>
      <c r="C1434" t="s">
        <v>3383</v>
      </c>
      <c r="D1434" t="s">
        <v>3384</v>
      </c>
      <c r="E1434" s="28" t="s">
        <v>930</v>
      </c>
      <c r="F1434" t="s">
        <v>594</v>
      </c>
      <c r="G1434" t="s">
        <v>88</v>
      </c>
      <c r="M1434" s="28" t="s">
        <v>549</v>
      </c>
      <c r="N1434" t="s">
        <v>313</v>
      </c>
    </row>
    <row r="1435" spans="1:14" hidden="1" x14ac:dyDescent="0.25">
      <c r="A1435" t="s">
        <v>8937</v>
      </c>
      <c r="B1435" t="s">
        <v>3380</v>
      </c>
      <c r="C1435" t="s">
        <v>3083</v>
      </c>
      <c r="D1435" t="s">
        <v>3385</v>
      </c>
      <c r="E1435" s="28" t="s">
        <v>890</v>
      </c>
      <c r="F1435" t="s">
        <v>594</v>
      </c>
      <c r="G1435" t="s">
        <v>88</v>
      </c>
      <c r="M1435" s="28" t="s">
        <v>549</v>
      </c>
      <c r="N1435" t="s">
        <v>313</v>
      </c>
    </row>
    <row r="1436" spans="1:14" hidden="1" x14ac:dyDescent="0.25">
      <c r="A1436" t="s">
        <v>8095</v>
      </c>
      <c r="B1436" t="s">
        <v>1356</v>
      </c>
      <c r="C1436" t="s">
        <v>1357</v>
      </c>
      <c r="D1436" t="s">
        <v>1358</v>
      </c>
      <c r="E1436" s="28" t="s">
        <v>890</v>
      </c>
      <c r="F1436" t="s">
        <v>535</v>
      </c>
      <c r="G1436" t="s">
        <v>38</v>
      </c>
      <c r="M1436" s="28"/>
    </row>
    <row r="1437" spans="1:14" hidden="1" x14ac:dyDescent="0.25">
      <c r="A1437" t="s">
        <v>8096</v>
      </c>
      <c r="B1437" t="s">
        <v>1356</v>
      </c>
      <c r="C1437" t="s">
        <v>1359</v>
      </c>
      <c r="D1437" t="s">
        <v>1360</v>
      </c>
      <c r="E1437" s="28" t="s">
        <v>890</v>
      </c>
      <c r="F1437" t="s">
        <v>170</v>
      </c>
      <c r="G1437" t="s">
        <v>38</v>
      </c>
      <c r="M1437" s="28"/>
    </row>
    <row r="1438" spans="1:14" hidden="1" x14ac:dyDescent="0.25">
      <c r="A1438" t="s">
        <v>10816</v>
      </c>
      <c r="B1438" t="s">
        <v>7362</v>
      </c>
      <c r="C1438" t="s">
        <v>2029</v>
      </c>
      <c r="D1438" t="s">
        <v>7363</v>
      </c>
      <c r="E1438" s="28" t="s">
        <v>890</v>
      </c>
      <c r="F1438" t="s">
        <v>268</v>
      </c>
      <c r="G1438" t="s">
        <v>157</v>
      </c>
      <c r="M1438" s="28" t="s">
        <v>840</v>
      </c>
      <c r="N1438" t="s">
        <v>382</v>
      </c>
    </row>
    <row r="1439" spans="1:14" hidden="1" x14ac:dyDescent="0.25">
      <c r="A1439" t="s">
        <v>10817</v>
      </c>
      <c r="B1439" t="s">
        <v>7364</v>
      </c>
      <c r="C1439" t="s">
        <v>3348</v>
      </c>
      <c r="D1439" t="s">
        <v>7365</v>
      </c>
      <c r="E1439" s="28" t="s">
        <v>896</v>
      </c>
      <c r="F1439" t="s">
        <v>13518</v>
      </c>
      <c r="G1439" t="s">
        <v>157</v>
      </c>
      <c r="M1439" s="28" t="s">
        <v>840</v>
      </c>
      <c r="N1439" t="s">
        <v>382</v>
      </c>
    </row>
    <row r="1440" spans="1:14" hidden="1" x14ac:dyDescent="0.25">
      <c r="A1440" t="s">
        <v>9981</v>
      </c>
      <c r="B1440" t="s">
        <v>5525</v>
      </c>
      <c r="C1440" t="s">
        <v>2515</v>
      </c>
      <c r="D1440" t="s">
        <v>5526</v>
      </c>
      <c r="E1440" s="28" t="s">
        <v>890</v>
      </c>
      <c r="F1440" t="s">
        <v>4909</v>
      </c>
      <c r="G1440" t="s">
        <v>15</v>
      </c>
      <c r="M1440" s="28" t="s">
        <v>613</v>
      </c>
      <c r="N1440" t="s">
        <v>313</v>
      </c>
    </row>
    <row r="1441" spans="1:14" hidden="1" x14ac:dyDescent="0.25">
      <c r="A1441" t="s">
        <v>13743</v>
      </c>
      <c r="B1441" t="s">
        <v>13744</v>
      </c>
      <c r="C1441" t="s">
        <v>2515</v>
      </c>
      <c r="D1441" t="s">
        <v>13745</v>
      </c>
      <c r="E1441" s="28" t="s">
        <v>890</v>
      </c>
      <c r="F1441" t="s">
        <v>216</v>
      </c>
      <c r="G1441" t="s">
        <v>15</v>
      </c>
      <c r="M1441" s="28" t="s">
        <v>613</v>
      </c>
      <c r="N1441" t="s">
        <v>313</v>
      </c>
    </row>
    <row r="1442" spans="1:14" hidden="1" x14ac:dyDescent="0.25">
      <c r="A1442" t="s">
        <v>9980</v>
      </c>
      <c r="B1442" t="s">
        <v>5523</v>
      </c>
      <c r="C1442" t="s">
        <v>4440</v>
      </c>
      <c r="D1442" t="s">
        <v>5524</v>
      </c>
      <c r="E1442" s="28" t="s">
        <v>890</v>
      </c>
      <c r="F1442" t="s">
        <v>4909</v>
      </c>
      <c r="G1442" t="s">
        <v>15</v>
      </c>
      <c r="M1442" s="28" t="s">
        <v>613</v>
      </c>
      <c r="N1442" t="s">
        <v>313</v>
      </c>
    </row>
    <row r="1443" spans="1:14" hidden="1" x14ac:dyDescent="0.25">
      <c r="A1443" t="s">
        <v>12928</v>
      </c>
      <c r="B1443" t="s">
        <v>12929</v>
      </c>
      <c r="C1443" t="s">
        <v>1978</v>
      </c>
      <c r="D1443" t="s">
        <v>12930</v>
      </c>
      <c r="E1443" s="28" t="s">
        <v>930</v>
      </c>
      <c r="F1443" t="s">
        <v>734</v>
      </c>
      <c r="G1443" t="s">
        <v>15</v>
      </c>
      <c r="M1443" s="28" t="s">
        <v>613</v>
      </c>
      <c r="N1443" t="s">
        <v>313</v>
      </c>
    </row>
    <row r="1444" spans="1:14" hidden="1" x14ac:dyDescent="0.25">
      <c r="A1444" t="s">
        <v>12931</v>
      </c>
      <c r="B1444" t="s">
        <v>12929</v>
      </c>
      <c r="C1444" t="s">
        <v>5589</v>
      </c>
      <c r="D1444" t="s">
        <v>12932</v>
      </c>
      <c r="E1444" s="28" t="s">
        <v>896</v>
      </c>
      <c r="F1444" t="s">
        <v>734</v>
      </c>
      <c r="G1444" t="s">
        <v>15</v>
      </c>
      <c r="M1444" s="28" t="s">
        <v>613</v>
      </c>
      <c r="N1444" t="s">
        <v>313</v>
      </c>
    </row>
    <row r="1445" spans="1:14" hidden="1" x14ac:dyDescent="0.25">
      <c r="A1445" t="s">
        <v>8938</v>
      </c>
      <c r="B1445" t="s">
        <v>3386</v>
      </c>
      <c r="C1445" t="s">
        <v>1172</v>
      </c>
      <c r="D1445" t="s">
        <v>3387</v>
      </c>
      <c r="E1445" s="28" t="s">
        <v>890</v>
      </c>
      <c r="F1445" t="s">
        <v>891</v>
      </c>
      <c r="G1445" t="s">
        <v>88</v>
      </c>
      <c r="M1445" s="28" t="s">
        <v>549</v>
      </c>
      <c r="N1445" t="s">
        <v>313</v>
      </c>
    </row>
    <row r="1446" spans="1:14" hidden="1" x14ac:dyDescent="0.25">
      <c r="A1446" t="s">
        <v>9979</v>
      </c>
      <c r="B1446" t="s">
        <v>5521</v>
      </c>
      <c r="C1446" t="s">
        <v>2730</v>
      </c>
      <c r="D1446" t="s">
        <v>5522</v>
      </c>
      <c r="E1446" s="28" t="s">
        <v>890</v>
      </c>
      <c r="F1446" t="s">
        <v>4610</v>
      </c>
      <c r="G1446" t="s">
        <v>15</v>
      </c>
      <c r="M1446" s="28" t="s">
        <v>613</v>
      </c>
      <c r="N1446" t="s">
        <v>313</v>
      </c>
    </row>
    <row r="1447" spans="1:14" hidden="1" x14ac:dyDescent="0.25">
      <c r="A1447" t="s">
        <v>14645</v>
      </c>
      <c r="B1447" t="s">
        <v>14646</v>
      </c>
      <c r="C1447" t="s">
        <v>1530</v>
      </c>
      <c r="D1447" t="s">
        <v>14647</v>
      </c>
      <c r="E1447" s="28" t="s">
        <v>896</v>
      </c>
      <c r="F1447" t="s">
        <v>625</v>
      </c>
      <c r="G1447" t="s">
        <v>15</v>
      </c>
      <c r="M1447" s="28" t="s">
        <v>613</v>
      </c>
      <c r="N1447" t="s">
        <v>313</v>
      </c>
    </row>
    <row r="1448" spans="1:14" hidden="1" x14ac:dyDescent="0.25">
      <c r="A1448" t="s">
        <v>9978</v>
      </c>
      <c r="B1448" t="s">
        <v>5519</v>
      </c>
      <c r="C1448" t="s">
        <v>4553</v>
      </c>
      <c r="D1448" t="s">
        <v>5520</v>
      </c>
      <c r="E1448" s="28" t="s">
        <v>890</v>
      </c>
      <c r="F1448" t="s">
        <v>752</v>
      </c>
      <c r="G1448" t="s">
        <v>15</v>
      </c>
      <c r="M1448" s="28" t="s">
        <v>613</v>
      </c>
      <c r="N1448" t="s">
        <v>313</v>
      </c>
    </row>
    <row r="1449" spans="1:14" hidden="1" x14ac:dyDescent="0.25">
      <c r="A1449" t="s">
        <v>9977</v>
      </c>
      <c r="B1449" t="s">
        <v>5517</v>
      </c>
      <c r="C1449" t="s">
        <v>4557</v>
      </c>
      <c r="D1449" t="s">
        <v>5518</v>
      </c>
      <c r="E1449" s="28" t="s">
        <v>896</v>
      </c>
      <c r="F1449" t="s">
        <v>712</v>
      </c>
      <c r="G1449" t="s">
        <v>15</v>
      </c>
      <c r="M1449" s="28" t="s">
        <v>613</v>
      </c>
      <c r="N1449" t="s">
        <v>313</v>
      </c>
    </row>
    <row r="1450" spans="1:14" hidden="1" x14ac:dyDescent="0.25">
      <c r="A1450" t="s">
        <v>9976</v>
      </c>
      <c r="B1450" t="s">
        <v>5514</v>
      </c>
      <c r="C1450" t="s">
        <v>4789</v>
      </c>
      <c r="D1450" t="s">
        <v>5516</v>
      </c>
      <c r="E1450" s="28" t="s">
        <v>890</v>
      </c>
      <c r="F1450" t="s">
        <v>13562</v>
      </c>
      <c r="G1450" t="s">
        <v>15</v>
      </c>
      <c r="M1450" s="28" t="s">
        <v>613</v>
      </c>
      <c r="N1450" t="s">
        <v>313</v>
      </c>
    </row>
    <row r="1451" spans="1:14" hidden="1" x14ac:dyDescent="0.25">
      <c r="A1451" t="s">
        <v>9975</v>
      </c>
      <c r="B1451" t="s">
        <v>5514</v>
      </c>
      <c r="C1451" t="s">
        <v>1616</v>
      </c>
      <c r="D1451" t="s">
        <v>5515</v>
      </c>
      <c r="E1451" s="28" t="s">
        <v>890</v>
      </c>
      <c r="F1451" t="s">
        <v>13562</v>
      </c>
      <c r="G1451" t="s">
        <v>15</v>
      </c>
      <c r="M1451" s="28" t="s">
        <v>613</v>
      </c>
      <c r="N1451" t="s">
        <v>313</v>
      </c>
    </row>
    <row r="1452" spans="1:14" hidden="1" x14ac:dyDescent="0.25">
      <c r="A1452" t="s">
        <v>9974</v>
      </c>
      <c r="B1452" t="s">
        <v>5512</v>
      </c>
      <c r="C1452" t="s">
        <v>894</v>
      </c>
      <c r="D1452" t="s">
        <v>5513</v>
      </c>
      <c r="E1452" s="28" t="s">
        <v>896</v>
      </c>
      <c r="F1452" t="s">
        <v>4638</v>
      </c>
      <c r="G1452" t="s">
        <v>15</v>
      </c>
      <c r="M1452" s="28" t="s">
        <v>613</v>
      </c>
      <c r="N1452" t="s">
        <v>313</v>
      </c>
    </row>
    <row r="1453" spans="1:14" hidden="1" x14ac:dyDescent="0.25">
      <c r="A1453" t="s">
        <v>9973</v>
      </c>
      <c r="B1453" t="s">
        <v>5507</v>
      </c>
      <c r="C1453" t="s">
        <v>4845</v>
      </c>
      <c r="D1453" t="s">
        <v>5511</v>
      </c>
      <c r="E1453" s="28" t="s">
        <v>896</v>
      </c>
      <c r="F1453" t="s">
        <v>4610</v>
      </c>
      <c r="G1453" t="s">
        <v>15</v>
      </c>
      <c r="M1453" s="28" t="s">
        <v>613</v>
      </c>
      <c r="N1453" t="s">
        <v>313</v>
      </c>
    </row>
    <row r="1454" spans="1:14" hidden="1" x14ac:dyDescent="0.25">
      <c r="A1454" t="s">
        <v>9972</v>
      </c>
      <c r="B1454" t="s">
        <v>5507</v>
      </c>
      <c r="C1454" t="s">
        <v>4871</v>
      </c>
      <c r="D1454" t="s">
        <v>5510</v>
      </c>
      <c r="E1454" s="28" t="s">
        <v>930</v>
      </c>
      <c r="F1454" t="s">
        <v>4610</v>
      </c>
      <c r="G1454" t="s">
        <v>15</v>
      </c>
      <c r="M1454" s="28" t="s">
        <v>613</v>
      </c>
      <c r="N1454" t="s">
        <v>313</v>
      </c>
    </row>
    <row r="1455" spans="1:14" hidden="1" x14ac:dyDescent="0.25">
      <c r="A1455" t="s">
        <v>9971</v>
      </c>
      <c r="B1455" t="s">
        <v>5507</v>
      </c>
      <c r="C1455" t="s">
        <v>941</v>
      </c>
      <c r="D1455" t="s">
        <v>5509</v>
      </c>
      <c r="E1455" s="28" t="s">
        <v>890</v>
      </c>
      <c r="F1455" t="s">
        <v>4610</v>
      </c>
      <c r="G1455" t="s">
        <v>15</v>
      </c>
      <c r="M1455" s="28" t="s">
        <v>613</v>
      </c>
      <c r="N1455" t="s">
        <v>313</v>
      </c>
    </row>
    <row r="1456" spans="1:14" hidden="1" x14ac:dyDescent="0.25">
      <c r="A1456" t="s">
        <v>9970</v>
      </c>
      <c r="B1456" t="s">
        <v>5507</v>
      </c>
      <c r="C1456" t="s">
        <v>4676</v>
      </c>
      <c r="D1456" t="s">
        <v>5508</v>
      </c>
      <c r="E1456" s="28" t="s">
        <v>896</v>
      </c>
      <c r="F1456" t="s">
        <v>4610</v>
      </c>
      <c r="G1456" t="s">
        <v>15</v>
      </c>
      <c r="M1456" s="28" t="s">
        <v>613</v>
      </c>
      <c r="N1456" t="s">
        <v>313</v>
      </c>
    </row>
    <row r="1457" spans="1:14" hidden="1" x14ac:dyDescent="0.25">
      <c r="A1457" t="s">
        <v>9969</v>
      </c>
      <c r="B1457" t="s">
        <v>5504</v>
      </c>
      <c r="C1457" t="s">
        <v>5505</v>
      </c>
      <c r="D1457" t="s">
        <v>5506</v>
      </c>
      <c r="E1457" s="28" t="s">
        <v>890</v>
      </c>
      <c r="F1457" t="s">
        <v>4909</v>
      </c>
      <c r="G1457" t="s">
        <v>15</v>
      </c>
      <c r="M1457" s="28" t="s">
        <v>613</v>
      </c>
      <c r="N1457" t="s">
        <v>313</v>
      </c>
    </row>
    <row r="1458" spans="1:14" hidden="1" x14ac:dyDescent="0.25">
      <c r="A1458" t="s">
        <v>9968</v>
      </c>
      <c r="B1458" t="s">
        <v>5502</v>
      </c>
      <c r="C1458" t="s">
        <v>5114</v>
      </c>
      <c r="D1458" t="s">
        <v>5503</v>
      </c>
      <c r="E1458" s="28" t="s">
        <v>896</v>
      </c>
      <c r="F1458" t="s">
        <v>4621</v>
      </c>
      <c r="G1458" t="s">
        <v>15</v>
      </c>
      <c r="M1458" s="28" t="s">
        <v>613</v>
      </c>
      <c r="N1458" t="s">
        <v>313</v>
      </c>
    </row>
    <row r="1459" spans="1:14" hidden="1" x14ac:dyDescent="0.25">
      <c r="A1459" t="s">
        <v>9967</v>
      </c>
      <c r="B1459" t="s">
        <v>5500</v>
      </c>
      <c r="C1459" t="s">
        <v>4606</v>
      </c>
      <c r="D1459" t="s">
        <v>5501</v>
      </c>
      <c r="E1459" s="28" t="s">
        <v>896</v>
      </c>
      <c r="F1459" t="s">
        <v>702</v>
      </c>
      <c r="G1459" t="s">
        <v>15</v>
      </c>
      <c r="M1459" s="28" t="s">
        <v>613</v>
      </c>
      <c r="N1459" t="s">
        <v>313</v>
      </c>
    </row>
    <row r="1460" spans="1:14" hidden="1" x14ac:dyDescent="0.25">
      <c r="A1460" t="s">
        <v>8939</v>
      </c>
      <c r="B1460" t="s">
        <v>3388</v>
      </c>
      <c r="C1460" t="s">
        <v>3115</v>
      </c>
      <c r="D1460" t="s">
        <v>3389</v>
      </c>
      <c r="E1460" s="28" t="s">
        <v>890</v>
      </c>
      <c r="F1460" t="s">
        <v>547</v>
      </c>
      <c r="G1460" t="s">
        <v>88</v>
      </c>
      <c r="M1460" s="28" t="s">
        <v>549</v>
      </c>
      <c r="N1460" t="s">
        <v>313</v>
      </c>
    </row>
    <row r="1461" spans="1:14" hidden="1" x14ac:dyDescent="0.25">
      <c r="A1461" t="s">
        <v>8940</v>
      </c>
      <c r="B1461" t="s">
        <v>3390</v>
      </c>
      <c r="C1461" t="s">
        <v>2108</v>
      </c>
      <c r="D1461" t="s">
        <v>3391</v>
      </c>
      <c r="E1461" s="28" t="s">
        <v>890</v>
      </c>
      <c r="F1461" t="s">
        <v>588</v>
      </c>
      <c r="G1461" t="s">
        <v>88</v>
      </c>
      <c r="M1461" s="28" t="s">
        <v>549</v>
      </c>
      <c r="N1461" t="s">
        <v>313</v>
      </c>
    </row>
    <row r="1462" spans="1:14" hidden="1" x14ac:dyDescent="0.25">
      <c r="A1462" t="s">
        <v>8941</v>
      </c>
      <c r="B1462" t="s">
        <v>3390</v>
      </c>
      <c r="C1462" t="s">
        <v>3044</v>
      </c>
      <c r="D1462" t="s">
        <v>3392</v>
      </c>
      <c r="E1462" s="28" t="s">
        <v>896</v>
      </c>
      <c r="F1462" t="s">
        <v>588</v>
      </c>
      <c r="G1462" t="s">
        <v>88</v>
      </c>
      <c r="M1462" s="28" t="s">
        <v>549</v>
      </c>
      <c r="N1462" t="s">
        <v>313</v>
      </c>
    </row>
    <row r="1463" spans="1:14" hidden="1" x14ac:dyDescent="0.25">
      <c r="A1463" t="s">
        <v>8942</v>
      </c>
      <c r="B1463" t="s">
        <v>3393</v>
      </c>
      <c r="C1463" t="s">
        <v>3134</v>
      </c>
      <c r="D1463" t="s">
        <v>3394</v>
      </c>
      <c r="E1463" s="28" t="s">
        <v>896</v>
      </c>
      <c r="F1463" t="s">
        <v>564</v>
      </c>
      <c r="G1463" t="s">
        <v>88</v>
      </c>
      <c r="M1463" s="28" t="s">
        <v>549</v>
      </c>
      <c r="N1463" t="s">
        <v>313</v>
      </c>
    </row>
    <row r="1464" spans="1:14" hidden="1" x14ac:dyDescent="0.25">
      <c r="A1464" t="s">
        <v>14648</v>
      </c>
      <c r="B1464" t="s">
        <v>3393</v>
      </c>
      <c r="C1464" t="s">
        <v>3031</v>
      </c>
      <c r="D1464" t="s">
        <v>14649</v>
      </c>
      <c r="E1464" s="28" t="s">
        <v>1023</v>
      </c>
      <c r="F1464" t="s">
        <v>564</v>
      </c>
      <c r="G1464" t="s">
        <v>88</v>
      </c>
      <c r="M1464" s="28" t="s">
        <v>549</v>
      </c>
      <c r="N1464" t="s">
        <v>313</v>
      </c>
    </row>
    <row r="1465" spans="1:14" hidden="1" x14ac:dyDescent="0.25">
      <c r="A1465" t="s">
        <v>10598</v>
      </c>
      <c r="B1465" t="s">
        <v>6842</v>
      </c>
      <c r="C1465" t="s">
        <v>1981</v>
      </c>
      <c r="D1465" t="s">
        <v>6843</v>
      </c>
      <c r="E1465" s="28" t="s">
        <v>896</v>
      </c>
      <c r="F1465" t="s">
        <v>831</v>
      </c>
      <c r="G1465" t="s">
        <v>145</v>
      </c>
      <c r="M1465" s="28" t="s">
        <v>13222</v>
      </c>
      <c r="N1465" t="s">
        <v>313</v>
      </c>
    </row>
    <row r="1466" spans="1:14" hidden="1" x14ac:dyDescent="0.25">
      <c r="A1466" t="s">
        <v>8568</v>
      </c>
      <c r="B1466" t="s">
        <v>2534</v>
      </c>
      <c r="C1466" t="s">
        <v>1124</v>
      </c>
      <c r="D1466" t="s">
        <v>2535</v>
      </c>
      <c r="E1466" s="28" t="s">
        <v>896</v>
      </c>
      <c r="F1466" t="s">
        <v>11615</v>
      </c>
      <c r="G1466" t="s">
        <v>11</v>
      </c>
      <c r="M1466" s="28" t="s">
        <v>413</v>
      </c>
      <c r="N1466" t="s">
        <v>313</v>
      </c>
    </row>
    <row r="1467" spans="1:14" hidden="1" x14ac:dyDescent="0.25">
      <c r="A1467" t="s">
        <v>11124</v>
      </c>
      <c r="B1467" t="s">
        <v>11125</v>
      </c>
      <c r="C1467" t="s">
        <v>1202</v>
      </c>
      <c r="D1467" t="s">
        <v>11126</v>
      </c>
      <c r="E1467" s="28" t="s">
        <v>896</v>
      </c>
      <c r="F1467" t="s">
        <v>11127</v>
      </c>
      <c r="G1467" t="s">
        <v>84</v>
      </c>
      <c r="M1467" s="28" t="s">
        <v>14223</v>
      </c>
      <c r="N1467" t="s">
        <v>313</v>
      </c>
    </row>
    <row r="1468" spans="1:14" hidden="1" x14ac:dyDescent="0.25">
      <c r="A1468" t="s">
        <v>12369</v>
      </c>
      <c r="B1468" t="s">
        <v>12370</v>
      </c>
      <c r="C1468" t="s">
        <v>12371</v>
      </c>
      <c r="D1468" t="s">
        <v>12372</v>
      </c>
      <c r="E1468" s="28" t="s">
        <v>1023</v>
      </c>
      <c r="F1468" t="s">
        <v>340</v>
      </c>
      <c r="G1468" t="s">
        <v>38</v>
      </c>
      <c r="M1468" s="28"/>
    </row>
    <row r="1469" spans="1:14" hidden="1" x14ac:dyDescent="0.25">
      <c r="A1469" t="s">
        <v>12373</v>
      </c>
      <c r="B1469" t="s">
        <v>12374</v>
      </c>
      <c r="C1469" t="s">
        <v>12375</v>
      </c>
      <c r="D1469" t="s">
        <v>12376</v>
      </c>
      <c r="E1469" s="28" t="s">
        <v>1177</v>
      </c>
      <c r="F1469" t="s">
        <v>324</v>
      </c>
      <c r="G1469" t="s">
        <v>38</v>
      </c>
      <c r="M1469" s="28"/>
    </row>
    <row r="1470" spans="1:14" hidden="1" x14ac:dyDescent="0.25">
      <c r="A1470" t="s">
        <v>12377</v>
      </c>
      <c r="B1470" t="s">
        <v>12374</v>
      </c>
      <c r="C1470" t="s">
        <v>12378</v>
      </c>
      <c r="D1470" t="s">
        <v>12379</v>
      </c>
      <c r="E1470" s="28" t="s">
        <v>890</v>
      </c>
      <c r="F1470" t="s">
        <v>324</v>
      </c>
      <c r="G1470" t="s">
        <v>38</v>
      </c>
      <c r="M1470" s="28"/>
    </row>
    <row r="1471" spans="1:14" hidden="1" x14ac:dyDescent="0.25">
      <c r="A1471" t="s">
        <v>12380</v>
      </c>
      <c r="B1471" t="s">
        <v>12374</v>
      </c>
      <c r="C1471" t="s">
        <v>12381</v>
      </c>
      <c r="D1471" t="s">
        <v>12382</v>
      </c>
      <c r="E1471" s="28" t="s">
        <v>1177</v>
      </c>
      <c r="F1471" t="s">
        <v>324</v>
      </c>
      <c r="G1471" t="s">
        <v>38</v>
      </c>
      <c r="M1471" s="28"/>
    </row>
    <row r="1472" spans="1:14" hidden="1" x14ac:dyDescent="0.25">
      <c r="A1472" t="s">
        <v>10710</v>
      </c>
      <c r="B1472" t="s">
        <v>7105</v>
      </c>
      <c r="C1472" t="s">
        <v>2411</v>
      </c>
      <c r="D1472" t="s">
        <v>7110</v>
      </c>
      <c r="E1472" s="28" t="s">
        <v>930</v>
      </c>
      <c r="F1472" t="s">
        <v>6895</v>
      </c>
      <c r="G1472" t="s">
        <v>6896</v>
      </c>
      <c r="M1472" s="28" t="s">
        <v>6897</v>
      </c>
      <c r="N1472" t="s">
        <v>279</v>
      </c>
    </row>
    <row r="1473" spans="1:14" hidden="1" x14ac:dyDescent="0.25">
      <c r="A1473" t="s">
        <v>10709</v>
      </c>
      <c r="B1473" t="s">
        <v>7105</v>
      </c>
      <c r="C1473" t="s">
        <v>7108</v>
      </c>
      <c r="D1473" t="s">
        <v>7109</v>
      </c>
      <c r="E1473" s="28" t="s">
        <v>890</v>
      </c>
      <c r="F1473" t="s">
        <v>6895</v>
      </c>
      <c r="G1473" t="s">
        <v>6896</v>
      </c>
      <c r="M1473" s="28" t="s">
        <v>6897</v>
      </c>
      <c r="N1473" t="s">
        <v>279</v>
      </c>
    </row>
    <row r="1474" spans="1:14" hidden="1" x14ac:dyDescent="0.25">
      <c r="A1474" t="s">
        <v>10708</v>
      </c>
      <c r="B1474" t="s">
        <v>7105</v>
      </c>
      <c r="C1474" t="s">
        <v>7106</v>
      </c>
      <c r="D1474" t="s">
        <v>7107</v>
      </c>
      <c r="E1474" s="28" t="s">
        <v>890</v>
      </c>
      <c r="F1474" t="s">
        <v>6895</v>
      </c>
      <c r="G1474" t="s">
        <v>6896</v>
      </c>
      <c r="M1474" s="28" t="s">
        <v>6897</v>
      </c>
      <c r="N1474" t="s">
        <v>279</v>
      </c>
    </row>
    <row r="1475" spans="1:14" hidden="1" x14ac:dyDescent="0.25">
      <c r="A1475" t="s">
        <v>11145</v>
      </c>
      <c r="B1475" t="s">
        <v>11143</v>
      </c>
      <c r="C1475" t="s">
        <v>1224</v>
      </c>
      <c r="D1475" t="s">
        <v>11146</v>
      </c>
      <c r="E1475" s="28" t="s">
        <v>890</v>
      </c>
      <c r="F1475" t="s">
        <v>11526</v>
      </c>
      <c r="G1475" t="s">
        <v>84</v>
      </c>
      <c r="M1475" s="28" t="s">
        <v>14223</v>
      </c>
      <c r="N1475" t="s">
        <v>313</v>
      </c>
    </row>
    <row r="1476" spans="1:14" hidden="1" x14ac:dyDescent="0.25">
      <c r="A1476" t="s">
        <v>11142</v>
      </c>
      <c r="B1476" t="s">
        <v>11143</v>
      </c>
      <c r="C1476" t="s">
        <v>1259</v>
      </c>
      <c r="D1476" t="s">
        <v>11144</v>
      </c>
      <c r="E1476" s="28" t="s">
        <v>896</v>
      </c>
      <c r="F1476" t="s">
        <v>11526</v>
      </c>
      <c r="G1476" t="s">
        <v>84</v>
      </c>
      <c r="M1476" s="28" t="s">
        <v>14223</v>
      </c>
      <c r="N1476" t="s">
        <v>313</v>
      </c>
    </row>
    <row r="1477" spans="1:14" hidden="1" x14ac:dyDescent="0.25">
      <c r="A1477" t="s">
        <v>8440</v>
      </c>
      <c r="B1477" t="s">
        <v>2224</v>
      </c>
      <c r="C1477" t="s">
        <v>2225</v>
      </c>
      <c r="D1477" t="s">
        <v>2226</v>
      </c>
      <c r="E1477" s="28" t="s">
        <v>890</v>
      </c>
      <c r="F1477" t="s">
        <v>408</v>
      </c>
      <c r="G1477" t="s">
        <v>65</v>
      </c>
      <c r="M1477" s="28" t="s">
        <v>14209</v>
      </c>
    </row>
    <row r="1478" spans="1:14" hidden="1" x14ac:dyDescent="0.25">
      <c r="A1478" t="s">
        <v>9966</v>
      </c>
      <c r="B1478" t="s">
        <v>5498</v>
      </c>
      <c r="C1478" t="s">
        <v>4600</v>
      </c>
      <c r="D1478" t="s">
        <v>5499</v>
      </c>
      <c r="E1478" s="28" t="s">
        <v>896</v>
      </c>
      <c r="F1478" t="s">
        <v>4802</v>
      </c>
      <c r="G1478" t="s">
        <v>15</v>
      </c>
      <c r="M1478" s="28" t="s">
        <v>613</v>
      </c>
      <c r="N1478" t="s">
        <v>313</v>
      </c>
    </row>
    <row r="1479" spans="1:14" hidden="1" x14ac:dyDescent="0.25">
      <c r="A1479" t="s">
        <v>8943</v>
      </c>
      <c r="B1479" t="s">
        <v>3395</v>
      </c>
      <c r="C1479" t="s">
        <v>3034</v>
      </c>
      <c r="D1479" t="s">
        <v>3396</v>
      </c>
      <c r="E1479" s="28" t="s">
        <v>890</v>
      </c>
      <c r="F1479" t="s">
        <v>556</v>
      </c>
      <c r="G1479" t="s">
        <v>88</v>
      </c>
      <c r="M1479" s="28" t="s">
        <v>549</v>
      </c>
      <c r="N1479" t="s">
        <v>313</v>
      </c>
    </row>
    <row r="1480" spans="1:14" hidden="1" x14ac:dyDescent="0.25">
      <c r="A1480" t="s">
        <v>8097</v>
      </c>
      <c r="B1480" t="s">
        <v>1361</v>
      </c>
      <c r="C1480" t="s">
        <v>1362</v>
      </c>
      <c r="D1480" t="s">
        <v>1363</v>
      </c>
      <c r="E1480" s="28" t="s">
        <v>890</v>
      </c>
      <c r="F1480" t="s">
        <v>794</v>
      </c>
      <c r="G1480" t="s">
        <v>38</v>
      </c>
      <c r="M1480" s="28"/>
    </row>
    <row r="1481" spans="1:14" hidden="1" x14ac:dyDescent="0.25">
      <c r="A1481" t="s">
        <v>11403</v>
      </c>
      <c r="B1481" t="s">
        <v>11404</v>
      </c>
      <c r="C1481" t="s">
        <v>11405</v>
      </c>
      <c r="D1481" t="s">
        <v>11406</v>
      </c>
      <c r="E1481" s="28" t="s">
        <v>890</v>
      </c>
      <c r="F1481" t="s">
        <v>35</v>
      </c>
      <c r="G1481" t="s">
        <v>84</v>
      </c>
      <c r="M1481" s="28" t="s">
        <v>14223</v>
      </c>
      <c r="N1481" t="s">
        <v>313</v>
      </c>
    </row>
    <row r="1482" spans="1:14" hidden="1" x14ac:dyDescent="0.25">
      <c r="A1482" t="s">
        <v>8282</v>
      </c>
      <c r="B1482" t="s">
        <v>1672</v>
      </c>
      <c r="C1482" t="s">
        <v>1725</v>
      </c>
      <c r="D1482" t="s">
        <v>1830</v>
      </c>
      <c r="E1482" s="28" t="s">
        <v>890</v>
      </c>
      <c r="F1482" t="s">
        <v>349</v>
      </c>
      <c r="G1482" t="s">
        <v>43</v>
      </c>
      <c r="M1482" s="28" t="s">
        <v>14205</v>
      </c>
    </row>
    <row r="1483" spans="1:14" hidden="1" x14ac:dyDescent="0.25">
      <c r="A1483" t="s">
        <v>8220</v>
      </c>
      <c r="B1483" t="s">
        <v>1672</v>
      </c>
      <c r="C1483" t="s">
        <v>1673</v>
      </c>
      <c r="D1483" t="s">
        <v>1674</v>
      </c>
      <c r="E1483" s="28" t="s">
        <v>890</v>
      </c>
      <c r="F1483" t="s">
        <v>352</v>
      </c>
      <c r="G1483" t="s">
        <v>43</v>
      </c>
      <c r="M1483" s="28" t="s">
        <v>14205</v>
      </c>
    </row>
    <row r="1484" spans="1:14" hidden="1" x14ac:dyDescent="0.25">
      <c r="A1484" t="s">
        <v>8306</v>
      </c>
      <c r="B1484" t="s">
        <v>1672</v>
      </c>
      <c r="C1484" t="s">
        <v>1887</v>
      </c>
      <c r="D1484" t="s">
        <v>1888</v>
      </c>
      <c r="E1484" s="28" t="s">
        <v>896</v>
      </c>
      <c r="F1484" t="s">
        <v>1627</v>
      </c>
      <c r="G1484" t="s">
        <v>43</v>
      </c>
      <c r="M1484" s="28" t="s">
        <v>14205</v>
      </c>
    </row>
    <row r="1485" spans="1:14" hidden="1" x14ac:dyDescent="0.25">
      <c r="A1485" t="s">
        <v>8309</v>
      </c>
      <c r="B1485" t="s">
        <v>1895</v>
      </c>
      <c r="C1485" t="s">
        <v>1887</v>
      </c>
      <c r="D1485" t="s">
        <v>1896</v>
      </c>
      <c r="E1485" s="28" t="s">
        <v>930</v>
      </c>
      <c r="F1485" t="s">
        <v>1627</v>
      </c>
      <c r="G1485" t="s">
        <v>43</v>
      </c>
      <c r="M1485" s="28" t="s">
        <v>14205</v>
      </c>
    </row>
    <row r="1486" spans="1:14" x14ac:dyDescent="0.25">
      <c r="A1486" t="s">
        <v>8643</v>
      </c>
      <c r="B1486" t="s">
        <v>911</v>
      </c>
      <c r="C1486" t="s">
        <v>2619</v>
      </c>
      <c r="D1486" t="s">
        <v>2713</v>
      </c>
      <c r="E1486" s="28" t="s">
        <v>896</v>
      </c>
      <c r="F1486" t="s">
        <v>11495</v>
      </c>
      <c r="G1486" t="s">
        <v>74</v>
      </c>
      <c r="M1486" s="28" t="s">
        <v>507</v>
      </c>
      <c r="N1486" t="s">
        <v>313</v>
      </c>
    </row>
    <row r="1487" spans="1:14" hidden="1" x14ac:dyDescent="0.25">
      <c r="A1487" t="s">
        <v>8603</v>
      </c>
      <c r="B1487" t="s">
        <v>911</v>
      </c>
      <c r="C1487" t="s">
        <v>938</v>
      </c>
      <c r="D1487" t="s">
        <v>2610</v>
      </c>
      <c r="E1487" s="28" t="s">
        <v>896</v>
      </c>
      <c r="F1487" t="s">
        <v>172</v>
      </c>
      <c r="G1487" t="s">
        <v>74</v>
      </c>
      <c r="M1487" s="28" t="s">
        <v>507</v>
      </c>
      <c r="N1487" t="s">
        <v>313</v>
      </c>
    </row>
    <row r="1488" spans="1:14" hidden="1" x14ac:dyDescent="0.25">
      <c r="A1488" t="s">
        <v>7945</v>
      </c>
      <c r="B1488" t="s">
        <v>911</v>
      </c>
      <c r="C1488" t="s">
        <v>912</v>
      </c>
      <c r="D1488" t="s">
        <v>913</v>
      </c>
      <c r="E1488" s="28" t="s">
        <v>890</v>
      </c>
      <c r="F1488" t="s">
        <v>897</v>
      </c>
      <c r="G1488" t="s">
        <v>28</v>
      </c>
      <c r="M1488" s="28" t="s">
        <v>14241</v>
      </c>
      <c r="N1488" t="s">
        <v>14206</v>
      </c>
    </row>
    <row r="1489" spans="1:14" hidden="1" x14ac:dyDescent="0.25">
      <c r="A1489" t="s">
        <v>8672</v>
      </c>
      <c r="B1489" t="s">
        <v>911</v>
      </c>
      <c r="C1489" t="s">
        <v>1958</v>
      </c>
      <c r="D1489" t="s">
        <v>2793</v>
      </c>
      <c r="E1489" s="28" t="s">
        <v>896</v>
      </c>
      <c r="F1489" t="s">
        <v>172</v>
      </c>
      <c r="G1489" t="s">
        <v>74</v>
      </c>
      <c r="M1489" s="28" t="s">
        <v>507</v>
      </c>
      <c r="N1489" t="s">
        <v>313</v>
      </c>
    </row>
    <row r="1490" spans="1:14" hidden="1" x14ac:dyDescent="0.25">
      <c r="A1490" t="s">
        <v>10397</v>
      </c>
      <c r="B1490" t="s">
        <v>6366</v>
      </c>
      <c r="C1490" t="s">
        <v>6367</v>
      </c>
      <c r="D1490" t="s">
        <v>6368</v>
      </c>
      <c r="E1490" s="28" t="s">
        <v>890</v>
      </c>
      <c r="F1490" t="s">
        <v>783</v>
      </c>
      <c r="G1490" t="s">
        <v>110</v>
      </c>
      <c r="M1490" s="28" t="s">
        <v>13563</v>
      </c>
      <c r="N1490" t="s">
        <v>279</v>
      </c>
    </row>
    <row r="1491" spans="1:14" hidden="1" x14ac:dyDescent="0.25">
      <c r="A1491" t="s">
        <v>10569</v>
      </c>
      <c r="B1491" t="s">
        <v>6793</v>
      </c>
      <c r="C1491" t="s">
        <v>6794</v>
      </c>
      <c r="D1491" t="s">
        <v>6795</v>
      </c>
      <c r="E1491" s="28" t="s">
        <v>890</v>
      </c>
      <c r="F1491" t="s">
        <v>12661</v>
      </c>
      <c r="G1491" t="s">
        <v>137</v>
      </c>
      <c r="M1491" s="28" t="s">
        <v>805</v>
      </c>
      <c r="N1491" t="s">
        <v>313</v>
      </c>
    </row>
    <row r="1492" spans="1:14" hidden="1" x14ac:dyDescent="0.25">
      <c r="A1492" t="s">
        <v>13519</v>
      </c>
      <c r="B1492" t="s">
        <v>7377</v>
      </c>
      <c r="C1492" t="s">
        <v>1119</v>
      </c>
      <c r="D1492" t="s">
        <v>7378</v>
      </c>
      <c r="E1492" s="28" t="s">
        <v>890</v>
      </c>
      <c r="F1492" t="s">
        <v>883</v>
      </c>
      <c r="G1492" t="s">
        <v>157</v>
      </c>
      <c r="M1492" s="28" t="s">
        <v>840</v>
      </c>
      <c r="N1492" t="s">
        <v>382</v>
      </c>
    </row>
    <row r="1493" spans="1:14" hidden="1" x14ac:dyDescent="0.25">
      <c r="A1493" t="s">
        <v>12082</v>
      </c>
      <c r="B1493" t="s">
        <v>7377</v>
      </c>
      <c r="C1493" t="s">
        <v>2329</v>
      </c>
      <c r="D1493" t="s">
        <v>12083</v>
      </c>
      <c r="E1493" s="28" t="s">
        <v>890</v>
      </c>
      <c r="F1493" t="s">
        <v>883</v>
      </c>
      <c r="G1493" t="s">
        <v>157</v>
      </c>
      <c r="M1493" s="28" t="s">
        <v>840</v>
      </c>
      <c r="N1493" t="s">
        <v>382</v>
      </c>
    </row>
    <row r="1494" spans="1:14" hidden="1" x14ac:dyDescent="0.25">
      <c r="A1494" t="s">
        <v>14133</v>
      </c>
      <c r="B1494" t="s">
        <v>7377</v>
      </c>
      <c r="C1494" t="s">
        <v>7223</v>
      </c>
      <c r="D1494" t="s">
        <v>14134</v>
      </c>
      <c r="E1494" s="28" t="s">
        <v>890</v>
      </c>
      <c r="F1494" t="s">
        <v>883</v>
      </c>
      <c r="G1494" t="s">
        <v>157</v>
      </c>
      <c r="M1494" s="28" t="s">
        <v>840</v>
      </c>
      <c r="N1494" t="s">
        <v>382</v>
      </c>
    </row>
    <row r="1495" spans="1:14" hidden="1" x14ac:dyDescent="0.25">
      <c r="A1495" t="s">
        <v>7993</v>
      </c>
      <c r="B1495" t="s">
        <v>1042</v>
      </c>
      <c r="C1495" t="s">
        <v>1043</v>
      </c>
      <c r="D1495" t="s">
        <v>1044</v>
      </c>
      <c r="E1495" s="28" t="s">
        <v>930</v>
      </c>
      <c r="F1495" t="s">
        <v>1018</v>
      </c>
      <c r="G1495" t="s">
        <v>28</v>
      </c>
      <c r="M1495" s="28" t="s">
        <v>14241</v>
      </c>
      <c r="N1495" t="s">
        <v>14206</v>
      </c>
    </row>
    <row r="1496" spans="1:14" hidden="1" x14ac:dyDescent="0.25">
      <c r="A1496" t="s">
        <v>8628</v>
      </c>
      <c r="B1496" t="s">
        <v>1042</v>
      </c>
      <c r="C1496" t="s">
        <v>1269</v>
      </c>
      <c r="D1496" t="s">
        <v>2676</v>
      </c>
      <c r="E1496" s="28" t="s">
        <v>890</v>
      </c>
      <c r="F1496" t="s">
        <v>170</v>
      </c>
      <c r="G1496" t="s">
        <v>74</v>
      </c>
      <c r="M1496" s="28" t="s">
        <v>507</v>
      </c>
      <c r="N1496" t="s">
        <v>313</v>
      </c>
    </row>
    <row r="1497" spans="1:14" hidden="1" x14ac:dyDescent="0.25">
      <c r="A1497" t="s">
        <v>12834</v>
      </c>
      <c r="B1497" t="s">
        <v>1042</v>
      </c>
      <c r="C1497" t="s">
        <v>2731</v>
      </c>
      <c r="D1497" t="s">
        <v>12835</v>
      </c>
      <c r="E1497" s="28" t="s">
        <v>1177</v>
      </c>
      <c r="F1497" t="s">
        <v>516</v>
      </c>
      <c r="G1497" t="s">
        <v>74</v>
      </c>
      <c r="M1497" s="28" t="s">
        <v>507</v>
      </c>
      <c r="N1497" t="s">
        <v>313</v>
      </c>
    </row>
    <row r="1498" spans="1:14" hidden="1" x14ac:dyDescent="0.25">
      <c r="A1498" t="s">
        <v>8638</v>
      </c>
      <c r="B1498" t="s">
        <v>1042</v>
      </c>
      <c r="C1498" t="s">
        <v>2701</v>
      </c>
      <c r="D1498" t="s">
        <v>2702</v>
      </c>
      <c r="E1498" s="28" t="s">
        <v>890</v>
      </c>
      <c r="F1498" t="s">
        <v>519</v>
      </c>
      <c r="G1498" t="s">
        <v>74</v>
      </c>
      <c r="M1498" s="28" t="s">
        <v>507</v>
      </c>
      <c r="N1498" t="s">
        <v>313</v>
      </c>
    </row>
    <row r="1499" spans="1:14" hidden="1" x14ac:dyDescent="0.25">
      <c r="A1499" t="s">
        <v>7996</v>
      </c>
      <c r="B1499" t="s">
        <v>1042</v>
      </c>
      <c r="C1499" t="s">
        <v>1049</v>
      </c>
      <c r="D1499" t="s">
        <v>1050</v>
      </c>
      <c r="E1499" s="28" t="s">
        <v>896</v>
      </c>
      <c r="F1499" t="s">
        <v>1018</v>
      </c>
      <c r="G1499" t="s">
        <v>28</v>
      </c>
      <c r="M1499" s="28" t="s">
        <v>14241</v>
      </c>
      <c r="N1499" t="s">
        <v>14206</v>
      </c>
    </row>
    <row r="1500" spans="1:14" hidden="1" x14ac:dyDescent="0.25">
      <c r="A1500" t="s">
        <v>12475</v>
      </c>
      <c r="B1500" t="s">
        <v>12476</v>
      </c>
      <c r="C1500" t="s">
        <v>2687</v>
      </c>
      <c r="D1500" t="s">
        <v>11676</v>
      </c>
      <c r="E1500" s="28" t="s">
        <v>930</v>
      </c>
      <c r="F1500" t="s">
        <v>165</v>
      </c>
      <c r="G1500" t="s">
        <v>74</v>
      </c>
      <c r="M1500" s="28" t="s">
        <v>507</v>
      </c>
      <c r="N1500" t="s">
        <v>313</v>
      </c>
    </row>
    <row r="1501" spans="1:14" hidden="1" x14ac:dyDescent="0.25">
      <c r="A1501" t="s">
        <v>8570</v>
      </c>
      <c r="B1501" t="s">
        <v>2538</v>
      </c>
      <c r="C1501" t="s">
        <v>1105</v>
      </c>
      <c r="D1501" t="s">
        <v>2539</v>
      </c>
      <c r="E1501" s="28" t="s">
        <v>896</v>
      </c>
      <c r="F1501" t="s">
        <v>479</v>
      </c>
      <c r="G1501" t="s">
        <v>11</v>
      </c>
      <c r="M1501" s="28" t="s">
        <v>413</v>
      </c>
      <c r="N1501" t="s">
        <v>313</v>
      </c>
    </row>
    <row r="1502" spans="1:14" hidden="1" x14ac:dyDescent="0.25">
      <c r="A1502" t="s">
        <v>8098</v>
      </c>
      <c r="B1502" t="s">
        <v>1364</v>
      </c>
      <c r="C1502" t="s">
        <v>1365</v>
      </c>
      <c r="D1502" t="s">
        <v>1366</v>
      </c>
      <c r="E1502" s="28" t="s">
        <v>890</v>
      </c>
      <c r="F1502" t="s">
        <v>328</v>
      </c>
      <c r="G1502" t="s">
        <v>38</v>
      </c>
      <c r="M1502" s="28"/>
    </row>
    <row r="1503" spans="1:14" hidden="1" x14ac:dyDescent="0.25">
      <c r="A1503" t="s">
        <v>8695</v>
      </c>
      <c r="B1503" t="s">
        <v>2847</v>
      </c>
      <c r="C1503" t="s">
        <v>2848</v>
      </c>
      <c r="D1503" t="s">
        <v>2849</v>
      </c>
      <c r="E1503" s="28" t="s">
        <v>890</v>
      </c>
      <c r="F1503" t="s">
        <v>694</v>
      </c>
      <c r="G1503" t="s">
        <v>81</v>
      </c>
      <c r="M1503" s="28" t="s">
        <v>530</v>
      </c>
      <c r="N1503" t="s">
        <v>313</v>
      </c>
    </row>
    <row r="1504" spans="1:14" hidden="1" x14ac:dyDescent="0.25">
      <c r="A1504" t="s">
        <v>13043</v>
      </c>
      <c r="B1504" t="s">
        <v>13044</v>
      </c>
      <c r="C1504" t="s">
        <v>4553</v>
      </c>
      <c r="D1504" t="s">
        <v>13045</v>
      </c>
      <c r="E1504" s="28" t="s">
        <v>890</v>
      </c>
      <c r="F1504" t="s">
        <v>208</v>
      </c>
      <c r="G1504" t="s">
        <v>15</v>
      </c>
      <c r="M1504" s="28" t="s">
        <v>613</v>
      </c>
      <c r="N1504" t="s">
        <v>313</v>
      </c>
    </row>
    <row r="1505" spans="1:14" hidden="1" x14ac:dyDescent="0.25">
      <c r="A1505" t="s">
        <v>9965</v>
      </c>
      <c r="B1505" t="s">
        <v>5496</v>
      </c>
      <c r="C1505" t="s">
        <v>2582</v>
      </c>
      <c r="D1505" t="s">
        <v>5497</v>
      </c>
      <c r="E1505" s="28" t="s">
        <v>896</v>
      </c>
      <c r="F1505" t="s">
        <v>712</v>
      </c>
      <c r="G1505" t="s">
        <v>15</v>
      </c>
      <c r="M1505" s="28" t="s">
        <v>613</v>
      </c>
      <c r="N1505" t="s">
        <v>313</v>
      </c>
    </row>
    <row r="1506" spans="1:14" hidden="1" x14ac:dyDescent="0.25">
      <c r="A1506" t="s">
        <v>8448</v>
      </c>
      <c r="B1506" t="s">
        <v>2245</v>
      </c>
      <c r="C1506" t="s">
        <v>1224</v>
      </c>
      <c r="D1506" t="s">
        <v>2246</v>
      </c>
      <c r="E1506" s="28" t="s">
        <v>890</v>
      </c>
      <c r="F1506" t="s">
        <v>408</v>
      </c>
      <c r="G1506" t="s">
        <v>65</v>
      </c>
      <c r="M1506" s="28" t="s">
        <v>14209</v>
      </c>
    </row>
    <row r="1507" spans="1:14" hidden="1" x14ac:dyDescent="0.25">
      <c r="A1507" t="s">
        <v>8944</v>
      </c>
      <c r="B1507" t="s">
        <v>3397</v>
      </c>
      <c r="C1507" t="s">
        <v>1172</v>
      </c>
      <c r="D1507" t="s">
        <v>3398</v>
      </c>
      <c r="E1507" s="28" t="s">
        <v>890</v>
      </c>
      <c r="F1507" t="s">
        <v>891</v>
      </c>
      <c r="G1507" t="s">
        <v>88</v>
      </c>
      <c r="M1507" s="28" t="s">
        <v>549</v>
      </c>
      <c r="N1507" t="s">
        <v>313</v>
      </c>
    </row>
    <row r="1508" spans="1:14" hidden="1" x14ac:dyDescent="0.25">
      <c r="A1508" t="s">
        <v>8099</v>
      </c>
      <c r="B1508" t="s">
        <v>1367</v>
      </c>
      <c r="C1508" t="s">
        <v>906</v>
      </c>
      <c r="D1508" t="s">
        <v>1368</v>
      </c>
      <c r="E1508" s="28" t="s">
        <v>896</v>
      </c>
      <c r="F1508" t="s">
        <v>331</v>
      </c>
      <c r="G1508" t="s">
        <v>38</v>
      </c>
      <c r="M1508" s="28"/>
    </row>
    <row r="1509" spans="1:14" hidden="1" x14ac:dyDescent="0.25">
      <c r="A1509" t="s">
        <v>12383</v>
      </c>
      <c r="B1509" t="s">
        <v>1367</v>
      </c>
      <c r="C1509" t="s">
        <v>6413</v>
      </c>
      <c r="D1509" t="s">
        <v>12384</v>
      </c>
      <c r="E1509" s="28" t="s">
        <v>896</v>
      </c>
      <c r="F1509" t="s">
        <v>331</v>
      </c>
      <c r="G1509" t="s">
        <v>38</v>
      </c>
      <c r="M1509" s="28"/>
    </row>
    <row r="1510" spans="1:14" hidden="1" x14ac:dyDescent="0.25">
      <c r="A1510" t="s">
        <v>11081</v>
      </c>
      <c r="B1510" t="s">
        <v>11077</v>
      </c>
      <c r="C1510" t="s">
        <v>11082</v>
      </c>
      <c r="D1510" t="s">
        <v>11083</v>
      </c>
      <c r="E1510" s="28" t="s">
        <v>896</v>
      </c>
      <c r="F1510" t="s">
        <v>11080</v>
      </c>
      <c r="G1510" t="s">
        <v>84</v>
      </c>
      <c r="M1510" s="28" t="s">
        <v>14223</v>
      </c>
      <c r="N1510" t="s">
        <v>313</v>
      </c>
    </row>
    <row r="1511" spans="1:14" hidden="1" x14ac:dyDescent="0.25">
      <c r="A1511" t="s">
        <v>11076</v>
      </c>
      <c r="B1511" t="s">
        <v>11077</v>
      </c>
      <c r="C1511" t="s">
        <v>11078</v>
      </c>
      <c r="D1511" t="s">
        <v>11079</v>
      </c>
      <c r="E1511" s="28" t="s">
        <v>896</v>
      </c>
      <c r="F1511" t="s">
        <v>11080</v>
      </c>
      <c r="G1511" t="s">
        <v>84</v>
      </c>
      <c r="M1511" s="28" t="s">
        <v>14223</v>
      </c>
      <c r="N1511" t="s">
        <v>313</v>
      </c>
    </row>
    <row r="1512" spans="1:14" hidden="1" x14ac:dyDescent="0.25">
      <c r="A1512" t="s">
        <v>8945</v>
      </c>
      <c r="B1512" t="s">
        <v>3399</v>
      </c>
      <c r="C1512" t="s">
        <v>3381</v>
      </c>
      <c r="D1512" t="s">
        <v>3400</v>
      </c>
      <c r="E1512" s="28" t="s">
        <v>890</v>
      </c>
      <c r="F1512" t="s">
        <v>891</v>
      </c>
      <c r="G1512" t="s">
        <v>88</v>
      </c>
      <c r="M1512" s="28" t="s">
        <v>549</v>
      </c>
      <c r="N1512" t="s">
        <v>313</v>
      </c>
    </row>
    <row r="1513" spans="1:14" hidden="1" x14ac:dyDescent="0.25">
      <c r="A1513" t="s">
        <v>8946</v>
      </c>
      <c r="B1513" t="s">
        <v>3401</v>
      </c>
      <c r="C1513" t="s">
        <v>1490</v>
      </c>
      <c r="D1513" t="s">
        <v>3402</v>
      </c>
      <c r="E1513" s="28" t="s">
        <v>890</v>
      </c>
      <c r="F1513" t="s">
        <v>566</v>
      </c>
      <c r="G1513" t="s">
        <v>88</v>
      </c>
      <c r="M1513" s="28" t="s">
        <v>549</v>
      </c>
      <c r="N1513" t="s">
        <v>313</v>
      </c>
    </row>
    <row r="1514" spans="1:14" hidden="1" x14ac:dyDescent="0.25">
      <c r="A1514" t="s">
        <v>8947</v>
      </c>
      <c r="B1514" t="s">
        <v>3403</v>
      </c>
      <c r="C1514" t="s">
        <v>3034</v>
      </c>
      <c r="D1514" t="s">
        <v>3404</v>
      </c>
      <c r="E1514" s="28" t="s">
        <v>890</v>
      </c>
      <c r="F1514" t="s">
        <v>579</v>
      </c>
      <c r="G1514" t="s">
        <v>88</v>
      </c>
      <c r="M1514" s="28" t="s">
        <v>549</v>
      </c>
      <c r="N1514" t="s">
        <v>313</v>
      </c>
    </row>
    <row r="1515" spans="1:14" hidden="1" x14ac:dyDescent="0.25">
      <c r="A1515" t="s">
        <v>8211</v>
      </c>
      <c r="B1515" t="s">
        <v>1646</v>
      </c>
      <c r="C1515" t="s">
        <v>1647</v>
      </c>
      <c r="D1515" t="s">
        <v>1648</v>
      </c>
      <c r="E1515" s="28" t="s">
        <v>890</v>
      </c>
      <c r="F1515" t="s">
        <v>369</v>
      </c>
      <c r="G1515" t="s">
        <v>43</v>
      </c>
      <c r="M1515" s="28" t="s">
        <v>14205</v>
      </c>
    </row>
    <row r="1516" spans="1:14" hidden="1" x14ac:dyDescent="0.25">
      <c r="A1516" t="s">
        <v>11961</v>
      </c>
      <c r="B1516" t="s">
        <v>6665</v>
      </c>
      <c r="C1516" t="s">
        <v>6632</v>
      </c>
      <c r="D1516" t="s">
        <v>11962</v>
      </c>
      <c r="E1516" s="28" t="s">
        <v>930</v>
      </c>
      <c r="F1516" t="s">
        <v>813</v>
      </c>
      <c r="G1516" t="s">
        <v>137</v>
      </c>
      <c r="M1516" s="28" t="s">
        <v>805</v>
      </c>
      <c r="N1516" t="s">
        <v>313</v>
      </c>
    </row>
    <row r="1517" spans="1:14" hidden="1" x14ac:dyDescent="0.25">
      <c r="A1517" t="s">
        <v>10500</v>
      </c>
      <c r="B1517" t="s">
        <v>6665</v>
      </c>
      <c r="C1517" t="s">
        <v>1639</v>
      </c>
      <c r="D1517" t="s">
        <v>6666</v>
      </c>
      <c r="E1517" s="28" t="s">
        <v>890</v>
      </c>
      <c r="F1517" t="s">
        <v>891</v>
      </c>
      <c r="G1517" t="s">
        <v>137</v>
      </c>
      <c r="M1517" s="28" t="s">
        <v>805</v>
      </c>
      <c r="N1517" t="s">
        <v>313</v>
      </c>
    </row>
    <row r="1518" spans="1:14" hidden="1" x14ac:dyDescent="0.25">
      <c r="A1518" t="s">
        <v>8948</v>
      </c>
      <c r="B1518" t="s">
        <v>3405</v>
      </c>
      <c r="C1518" t="s">
        <v>2111</v>
      </c>
      <c r="D1518" t="s">
        <v>3406</v>
      </c>
      <c r="E1518" s="28" t="s">
        <v>890</v>
      </c>
      <c r="F1518" t="s">
        <v>891</v>
      </c>
      <c r="G1518" t="s">
        <v>88</v>
      </c>
      <c r="M1518" s="28" t="s">
        <v>549</v>
      </c>
      <c r="N1518" t="s">
        <v>313</v>
      </c>
    </row>
    <row r="1519" spans="1:14" hidden="1" x14ac:dyDescent="0.25">
      <c r="A1519" t="s">
        <v>7981</v>
      </c>
      <c r="B1519" t="s">
        <v>1009</v>
      </c>
      <c r="C1519" t="s">
        <v>1010</v>
      </c>
      <c r="D1519" t="s">
        <v>1011</v>
      </c>
      <c r="E1519" s="28" t="s">
        <v>890</v>
      </c>
      <c r="F1519" t="s">
        <v>1004</v>
      </c>
      <c r="G1519" t="s">
        <v>28</v>
      </c>
      <c r="M1519" s="28" t="s">
        <v>14241</v>
      </c>
      <c r="N1519" t="s">
        <v>14206</v>
      </c>
    </row>
    <row r="1520" spans="1:14" hidden="1" x14ac:dyDescent="0.25">
      <c r="A1520" t="s">
        <v>8604</v>
      </c>
      <c r="B1520" t="s">
        <v>2611</v>
      </c>
      <c r="C1520" t="s">
        <v>968</v>
      </c>
      <c r="D1520" t="s">
        <v>2612</v>
      </c>
      <c r="E1520" s="28" t="s">
        <v>896</v>
      </c>
      <c r="F1520" t="s">
        <v>510</v>
      </c>
      <c r="G1520" t="s">
        <v>74</v>
      </c>
      <c r="M1520" s="28" t="s">
        <v>507</v>
      </c>
      <c r="N1520" t="s">
        <v>313</v>
      </c>
    </row>
    <row r="1521" spans="1:14" hidden="1" x14ac:dyDescent="0.25">
      <c r="A1521" t="s">
        <v>13389</v>
      </c>
      <c r="B1521" t="s">
        <v>13390</v>
      </c>
      <c r="C1521" t="s">
        <v>4753</v>
      </c>
      <c r="D1521" t="s">
        <v>13391</v>
      </c>
      <c r="E1521" s="28" t="s">
        <v>896</v>
      </c>
      <c r="F1521" t="s">
        <v>13217</v>
      </c>
      <c r="G1521" t="s">
        <v>15</v>
      </c>
      <c r="M1521" s="28" t="s">
        <v>613</v>
      </c>
      <c r="N1521" t="s">
        <v>313</v>
      </c>
    </row>
    <row r="1522" spans="1:14" hidden="1" x14ac:dyDescent="0.25">
      <c r="A1522" t="s">
        <v>11730</v>
      </c>
      <c r="B1522" t="s">
        <v>11731</v>
      </c>
      <c r="C1522" t="s">
        <v>11732</v>
      </c>
      <c r="D1522" t="s">
        <v>11733</v>
      </c>
      <c r="E1522" s="28" t="s">
        <v>896</v>
      </c>
      <c r="F1522" t="s">
        <v>13197</v>
      </c>
      <c r="G1522" t="s">
        <v>81</v>
      </c>
      <c r="M1522" s="28" t="s">
        <v>530</v>
      </c>
      <c r="N1522" t="s">
        <v>313</v>
      </c>
    </row>
    <row r="1523" spans="1:14" hidden="1" x14ac:dyDescent="0.25">
      <c r="A1523" t="s">
        <v>8021</v>
      </c>
      <c r="B1523" t="s">
        <v>1142</v>
      </c>
      <c r="C1523" t="s">
        <v>1143</v>
      </c>
      <c r="D1523" t="s">
        <v>1144</v>
      </c>
      <c r="E1523" s="28" t="s">
        <v>896</v>
      </c>
      <c r="F1523" t="s">
        <v>309</v>
      </c>
      <c r="G1523" t="s">
        <v>31</v>
      </c>
      <c r="M1523" s="28" t="s">
        <v>278</v>
      </c>
      <c r="N1523" t="s">
        <v>279</v>
      </c>
    </row>
    <row r="1524" spans="1:14" hidden="1" x14ac:dyDescent="0.25">
      <c r="A1524" t="s">
        <v>8559</v>
      </c>
      <c r="B1524" t="s">
        <v>1142</v>
      </c>
      <c r="C1524" t="s">
        <v>2507</v>
      </c>
      <c r="D1524" t="s">
        <v>2508</v>
      </c>
      <c r="E1524" s="28" t="s">
        <v>890</v>
      </c>
      <c r="F1524" t="s">
        <v>2509</v>
      </c>
      <c r="G1524" t="s">
        <v>11</v>
      </c>
      <c r="M1524" s="28" t="s">
        <v>413</v>
      </c>
      <c r="N1524" t="s">
        <v>313</v>
      </c>
    </row>
    <row r="1525" spans="1:14" hidden="1" x14ac:dyDescent="0.25">
      <c r="A1525" t="s">
        <v>9964</v>
      </c>
      <c r="B1525" t="s">
        <v>5494</v>
      </c>
      <c r="C1525" t="s">
        <v>2184</v>
      </c>
      <c r="D1525" t="s">
        <v>5495</v>
      </c>
      <c r="E1525" s="28" t="s">
        <v>896</v>
      </c>
      <c r="F1525" t="s">
        <v>721</v>
      </c>
      <c r="G1525" t="s">
        <v>15</v>
      </c>
      <c r="M1525" s="28" t="s">
        <v>613</v>
      </c>
      <c r="N1525" t="s">
        <v>313</v>
      </c>
    </row>
    <row r="1526" spans="1:14" hidden="1" x14ac:dyDescent="0.25">
      <c r="A1526" t="s">
        <v>7999</v>
      </c>
      <c r="B1526" t="s">
        <v>1057</v>
      </c>
      <c r="C1526" t="s">
        <v>1058</v>
      </c>
      <c r="D1526" t="s">
        <v>1059</v>
      </c>
      <c r="E1526" s="28" t="s">
        <v>896</v>
      </c>
      <c r="F1526" t="s">
        <v>283</v>
      </c>
      <c r="G1526" t="s">
        <v>31</v>
      </c>
      <c r="M1526" s="28" t="s">
        <v>278</v>
      </c>
      <c r="N1526" t="s">
        <v>279</v>
      </c>
    </row>
    <row r="1527" spans="1:14" hidden="1" x14ac:dyDescent="0.25">
      <c r="A1527" t="s">
        <v>13100</v>
      </c>
      <c r="B1527" t="s">
        <v>13101</v>
      </c>
      <c r="C1527" t="s">
        <v>2522</v>
      </c>
      <c r="D1527" t="s">
        <v>13102</v>
      </c>
      <c r="E1527" s="28" t="s">
        <v>896</v>
      </c>
      <c r="F1527" t="s">
        <v>799</v>
      </c>
      <c r="G1527" t="s">
        <v>129</v>
      </c>
      <c r="M1527" s="28" t="s">
        <v>802</v>
      </c>
      <c r="N1527" t="s">
        <v>313</v>
      </c>
    </row>
    <row r="1528" spans="1:14" hidden="1" x14ac:dyDescent="0.25">
      <c r="A1528" t="s">
        <v>8100</v>
      </c>
      <c r="B1528" t="s">
        <v>1369</v>
      </c>
      <c r="C1528" t="s">
        <v>1370</v>
      </c>
      <c r="D1528" t="s">
        <v>1371</v>
      </c>
      <c r="E1528" s="28" t="s">
        <v>890</v>
      </c>
      <c r="F1528" t="s">
        <v>343</v>
      </c>
      <c r="G1528" t="s">
        <v>38</v>
      </c>
      <c r="M1528" s="28"/>
    </row>
    <row r="1529" spans="1:14" hidden="1" x14ac:dyDescent="0.25">
      <c r="A1529" t="s">
        <v>8158</v>
      </c>
      <c r="B1529" t="s">
        <v>1521</v>
      </c>
      <c r="C1529" t="s">
        <v>1522</v>
      </c>
      <c r="D1529" t="s">
        <v>1523</v>
      </c>
      <c r="E1529" s="28" t="s">
        <v>890</v>
      </c>
      <c r="F1529" t="s">
        <v>331</v>
      </c>
      <c r="G1529" t="s">
        <v>38</v>
      </c>
      <c r="M1529" s="28"/>
    </row>
    <row r="1530" spans="1:14" hidden="1" x14ac:dyDescent="0.25">
      <c r="A1530" t="s">
        <v>13746</v>
      </c>
      <c r="B1530" t="s">
        <v>13747</v>
      </c>
      <c r="C1530" t="s">
        <v>1150</v>
      </c>
      <c r="D1530" t="s">
        <v>13748</v>
      </c>
      <c r="E1530" s="28"/>
      <c r="F1530" t="s">
        <v>891</v>
      </c>
      <c r="G1530" t="s">
        <v>60</v>
      </c>
      <c r="M1530" s="28" t="s">
        <v>14207</v>
      </c>
    </row>
    <row r="1531" spans="1:14" hidden="1" x14ac:dyDescent="0.25">
      <c r="A1531" t="s">
        <v>13749</v>
      </c>
      <c r="B1531" t="s">
        <v>11491</v>
      </c>
      <c r="C1531" t="s">
        <v>2029</v>
      </c>
      <c r="D1531" t="s">
        <v>13750</v>
      </c>
      <c r="E1531" s="28" t="s">
        <v>896</v>
      </c>
      <c r="F1531" t="s">
        <v>891</v>
      </c>
      <c r="G1531" t="s">
        <v>11</v>
      </c>
      <c r="M1531" s="28" t="s">
        <v>413</v>
      </c>
      <c r="N1531" t="s">
        <v>313</v>
      </c>
    </row>
    <row r="1532" spans="1:14" hidden="1" x14ac:dyDescent="0.25">
      <c r="A1532" t="s">
        <v>12434</v>
      </c>
      <c r="B1532" t="s">
        <v>11491</v>
      </c>
      <c r="C1532" t="s">
        <v>11616</v>
      </c>
      <c r="D1532" t="s">
        <v>11617</v>
      </c>
      <c r="E1532" s="28" t="s">
        <v>1023</v>
      </c>
      <c r="F1532" t="s">
        <v>415</v>
      </c>
      <c r="G1532" t="s">
        <v>11</v>
      </c>
      <c r="M1532" s="28" t="s">
        <v>413</v>
      </c>
      <c r="N1532" t="s">
        <v>313</v>
      </c>
    </row>
    <row r="1533" spans="1:14" hidden="1" x14ac:dyDescent="0.25">
      <c r="A1533" t="s">
        <v>11490</v>
      </c>
      <c r="B1533" t="s">
        <v>11491</v>
      </c>
      <c r="C1533" t="s">
        <v>2461</v>
      </c>
      <c r="D1533" t="s">
        <v>11492</v>
      </c>
      <c r="E1533" s="28" t="s">
        <v>890</v>
      </c>
      <c r="F1533" t="s">
        <v>831</v>
      </c>
      <c r="G1533" t="s">
        <v>145</v>
      </c>
      <c r="M1533" s="28" t="s">
        <v>13222</v>
      </c>
      <c r="N1533" t="s">
        <v>313</v>
      </c>
    </row>
    <row r="1534" spans="1:14" hidden="1" x14ac:dyDescent="0.25">
      <c r="A1534" t="s">
        <v>11109</v>
      </c>
      <c r="B1534" t="s">
        <v>11110</v>
      </c>
      <c r="C1534" t="s">
        <v>1194</v>
      </c>
      <c r="D1534" t="s">
        <v>11111</v>
      </c>
      <c r="E1534" s="28" t="s">
        <v>896</v>
      </c>
      <c r="F1534" t="s">
        <v>11108</v>
      </c>
      <c r="G1534" t="s">
        <v>84</v>
      </c>
      <c r="M1534" s="28" t="s">
        <v>14223</v>
      </c>
      <c r="N1534" t="s">
        <v>313</v>
      </c>
    </row>
    <row r="1535" spans="1:14" hidden="1" x14ac:dyDescent="0.25">
      <c r="A1535" t="s">
        <v>8014</v>
      </c>
      <c r="B1535" t="s">
        <v>1113</v>
      </c>
      <c r="C1535" t="s">
        <v>1114</v>
      </c>
      <c r="D1535" t="s">
        <v>1115</v>
      </c>
      <c r="E1535" s="28" t="s">
        <v>896</v>
      </c>
      <c r="F1535" t="s">
        <v>283</v>
      </c>
      <c r="G1535" t="s">
        <v>31</v>
      </c>
      <c r="M1535" s="28" t="s">
        <v>278</v>
      </c>
      <c r="N1535" t="s">
        <v>279</v>
      </c>
    </row>
    <row r="1536" spans="1:14" hidden="1" x14ac:dyDescent="0.25">
      <c r="A1536" t="s">
        <v>9963</v>
      </c>
      <c r="B1536" t="s">
        <v>5492</v>
      </c>
      <c r="C1536" t="s">
        <v>4606</v>
      </c>
      <c r="D1536" t="s">
        <v>5493</v>
      </c>
      <c r="E1536" s="28" t="s">
        <v>890</v>
      </c>
      <c r="F1536" t="s">
        <v>5107</v>
      </c>
      <c r="G1536" t="s">
        <v>15</v>
      </c>
      <c r="M1536" s="28" t="s">
        <v>613</v>
      </c>
      <c r="N1536" t="s">
        <v>313</v>
      </c>
    </row>
    <row r="1537" spans="1:14" hidden="1" x14ac:dyDescent="0.25">
      <c r="A1537" t="s">
        <v>13751</v>
      </c>
      <c r="B1537" t="s">
        <v>5490</v>
      </c>
      <c r="C1537" t="s">
        <v>13752</v>
      </c>
      <c r="D1537" t="s">
        <v>13753</v>
      </c>
      <c r="E1537" s="28" t="s">
        <v>896</v>
      </c>
      <c r="F1537" t="s">
        <v>13348</v>
      </c>
      <c r="G1537" t="s">
        <v>15</v>
      </c>
      <c r="M1537" s="28" t="s">
        <v>613</v>
      </c>
      <c r="N1537" t="s">
        <v>313</v>
      </c>
    </row>
    <row r="1538" spans="1:14" hidden="1" x14ac:dyDescent="0.25">
      <c r="A1538" t="s">
        <v>9962</v>
      </c>
      <c r="B1538" t="s">
        <v>5490</v>
      </c>
      <c r="C1538" t="s">
        <v>4857</v>
      </c>
      <c r="D1538" t="s">
        <v>5491</v>
      </c>
      <c r="E1538" s="28" t="s">
        <v>896</v>
      </c>
      <c r="F1538" t="s">
        <v>662</v>
      </c>
      <c r="G1538" t="s">
        <v>15</v>
      </c>
      <c r="M1538" s="28" t="s">
        <v>613</v>
      </c>
      <c r="N1538" t="s">
        <v>313</v>
      </c>
    </row>
    <row r="1539" spans="1:14" hidden="1" x14ac:dyDescent="0.25">
      <c r="A1539" t="s">
        <v>9961</v>
      </c>
      <c r="B1539" t="s">
        <v>5488</v>
      </c>
      <c r="C1539" t="s">
        <v>1718</v>
      </c>
      <c r="D1539" t="s">
        <v>5489</v>
      </c>
      <c r="E1539" s="28" t="s">
        <v>890</v>
      </c>
      <c r="F1539" t="s">
        <v>231</v>
      </c>
      <c r="G1539" t="s">
        <v>15</v>
      </c>
      <c r="M1539" s="28" t="s">
        <v>613</v>
      </c>
      <c r="N1539" t="s">
        <v>313</v>
      </c>
    </row>
    <row r="1540" spans="1:14" hidden="1" x14ac:dyDescent="0.25">
      <c r="A1540" t="s">
        <v>10464</v>
      </c>
      <c r="B1540" t="s">
        <v>6577</v>
      </c>
      <c r="C1540" t="s">
        <v>2216</v>
      </c>
      <c r="D1540" t="s">
        <v>6578</v>
      </c>
      <c r="E1540" s="28" t="s">
        <v>896</v>
      </c>
      <c r="F1540" t="s">
        <v>105</v>
      </c>
      <c r="G1540" t="s">
        <v>131</v>
      </c>
      <c r="M1540" s="28" t="s">
        <v>14242</v>
      </c>
    </row>
    <row r="1541" spans="1:14" hidden="1" x14ac:dyDescent="0.25">
      <c r="A1541" t="s">
        <v>8176</v>
      </c>
      <c r="B1541" t="s">
        <v>1544</v>
      </c>
      <c r="C1541" t="s">
        <v>1563</v>
      </c>
      <c r="D1541" t="s">
        <v>1564</v>
      </c>
      <c r="E1541" s="28" t="s">
        <v>890</v>
      </c>
      <c r="F1541" t="s">
        <v>340</v>
      </c>
      <c r="G1541" t="s">
        <v>38</v>
      </c>
      <c r="M1541" s="28"/>
    </row>
    <row r="1542" spans="1:14" hidden="1" x14ac:dyDescent="0.25">
      <c r="A1542" t="s">
        <v>8169</v>
      </c>
      <c r="B1542" t="s">
        <v>1544</v>
      </c>
      <c r="C1542" t="s">
        <v>1547</v>
      </c>
      <c r="D1542" t="s">
        <v>1548</v>
      </c>
      <c r="E1542" s="28" t="s">
        <v>930</v>
      </c>
      <c r="F1542" t="s">
        <v>340</v>
      </c>
      <c r="G1542" t="s">
        <v>38</v>
      </c>
      <c r="M1542" s="28"/>
    </row>
    <row r="1543" spans="1:14" hidden="1" x14ac:dyDescent="0.25">
      <c r="A1543" t="s">
        <v>8168</v>
      </c>
      <c r="B1543" t="s">
        <v>1544</v>
      </c>
      <c r="C1543" t="s">
        <v>1545</v>
      </c>
      <c r="D1543" t="s">
        <v>1546</v>
      </c>
      <c r="E1543" s="28" t="s">
        <v>890</v>
      </c>
      <c r="F1543" t="s">
        <v>340</v>
      </c>
      <c r="G1543" t="s">
        <v>38</v>
      </c>
      <c r="M1543" s="28"/>
    </row>
    <row r="1544" spans="1:14" hidden="1" x14ac:dyDescent="0.25">
      <c r="A1544" t="s">
        <v>8173</v>
      </c>
      <c r="B1544" t="s">
        <v>1544</v>
      </c>
      <c r="C1544" t="s">
        <v>1557</v>
      </c>
      <c r="D1544" t="s">
        <v>1558</v>
      </c>
      <c r="E1544" s="28" t="s">
        <v>890</v>
      </c>
      <c r="F1544" t="s">
        <v>340</v>
      </c>
      <c r="G1544" t="s">
        <v>38</v>
      </c>
      <c r="M1544" s="28"/>
    </row>
    <row r="1545" spans="1:14" hidden="1" x14ac:dyDescent="0.25">
      <c r="A1545" t="s">
        <v>8179</v>
      </c>
      <c r="B1545" t="s">
        <v>1544</v>
      </c>
      <c r="C1545" t="s">
        <v>1569</v>
      </c>
      <c r="D1545" t="s">
        <v>1570</v>
      </c>
      <c r="E1545" s="28" t="s">
        <v>1023</v>
      </c>
      <c r="F1545" t="s">
        <v>340</v>
      </c>
      <c r="G1545" t="s">
        <v>38</v>
      </c>
      <c r="M1545" s="28"/>
    </row>
    <row r="1546" spans="1:14" hidden="1" x14ac:dyDescent="0.25">
      <c r="A1546" t="s">
        <v>12385</v>
      </c>
      <c r="B1546" t="s">
        <v>1544</v>
      </c>
      <c r="C1546" t="s">
        <v>1450</v>
      </c>
      <c r="D1546" t="s">
        <v>13233</v>
      </c>
      <c r="E1546" s="28" t="s">
        <v>1177</v>
      </c>
      <c r="F1546" t="s">
        <v>340</v>
      </c>
      <c r="G1546" t="s">
        <v>38</v>
      </c>
      <c r="M1546" s="28"/>
    </row>
    <row r="1547" spans="1:14" hidden="1" x14ac:dyDescent="0.25">
      <c r="A1547" t="s">
        <v>8197</v>
      </c>
      <c r="B1547" t="s">
        <v>1544</v>
      </c>
      <c r="C1547" t="s">
        <v>1611</v>
      </c>
      <c r="D1547" t="s">
        <v>1612</v>
      </c>
      <c r="E1547" s="28" t="s">
        <v>1177</v>
      </c>
      <c r="F1547" t="s">
        <v>340</v>
      </c>
      <c r="G1547" t="s">
        <v>38</v>
      </c>
      <c r="M1547" s="28"/>
    </row>
    <row r="1548" spans="1:14" hidden="1" x14ac:dyDescent="0.25">
      <c r="A1548" t="s">
        <v>8026</v>
      </c>
      <c r="B1548" t="s">
        <v>1163</v>
      </c>
      <c r="C1548" t="s">
        <v>1070</v>
      </c>
      <c r="D1548" t="s">
        <v>1164</v>
      </c>
      <c r="E1548" s="28" t="s">
        <v>890</v>
      </c>
      <c r="F1548" t="s">
        <v>283</v>
      </c>
      <c r="G1548" t="s">
        <v>31</v>
      </c>
      <c r="M1548" s="28" t="s">
        <v>278</v>
      </c>
      <c r="N1548" t="s">
        <v>279</v>
      </c>
    </row>
    <row r="1549" spans="1:14" hidden="1" x14ac:dyDescent="0.25">
      <c r="A1549" t="s">
        <v>8032</v>
      </c>
      <c r="B1549" t="s">
        <v>1163</v>
      </c>
      <c r="C1549" t="s">
        <v>1189</v>
      </c>
      <c r="D1549" t="s">
        <v>1190</v>
      </c>
      <c r="E1549" s="28" t="s">
        <v>1023</v>
      </c>
      <c r="F1549" t="s">
        <v>283</v>
      </c>
      <c r="G1549" t="s">
        <v>31</v>
      </c>
      <c r="M1549" s="28" t="s">
        <v>278</v>
      </c>
      <c r="N1549" t="s">
        <v>279</v>
      </c>
    </row>
    <row r="1550" spans="1:14" hidden="1" x14ac:dyDescent="0.25">
      <c r="A1550" t="s">
        <v>11362</v>
      </c>
      <c r="B1550" t="s">
        <v>11363</v>
      </c>
      <c r="C1550" t="s">
        <v>11364</v>
      </c>
      <c r="D1550" t="s">
        <v>11365</v>
      </c>
      <c r="E1550" s="28" t="s">
        <v>890</v>
      </c>
      <c r="F1550" t="s">
        <v>182</v>
      </c>
      <c r="G1550" t="s">
        <v>84</v>
      </c>
      <c r="M1550" s="28" t="s">
        <v>14223</v>
      </c>
      <c r="N1550" t="s">
        <v>313</v>
      </c>
    </row>
    <row r="1551" spans="1:14" hidden="1" x14ac:dyDescent="0.25">
      <c r="A1551" t="s">
        <v>13315</v>
      </c>
      <c r="B1551" t="s">
        <v>11363</v>
      </c>
      <c r="C1551" t="s">
        <v>1208</v>
      </c>
      <c r="D1551" t="s">
        <v>13316</v>
      </c>
      <c r="E1551" s="28" t="s">
        <v>896</v>
      </c>
      <c r="F1551" t="s">
        <v>11357</v>
      </c>
      <c r="G1551" t="s">
        <v>84</v>
      </c>
      <c r="M1551" s="28" t="s">
        <v>14223</v>
      </c>
      <c r="N1551" t="s">
        <v>313</v>
      </c>
    </row>
    <row r="1552" spans="1:14" hidden="1" x14ac:dyDescent="0.25">
      <c r="A1552" t="s">
        <v>11147</v>
      </c>
      <c r="B1552" t="s">
        <v>11148</v>
      </c>
      <c r="C1552" t="s">
        <v>1421</v>
      </c>
      <c r="D1552" t="s">
        <v>11149</v>
      </c>
      <c r="E1552" s="28" t="s">
        <v>890</v>
      </c>
      <c r="F1552" t="s">
        <v>11526</v>
      </c>
      <c r="G1552" t="s">
        <v>84</v>
      </c>
      <c r="M1552" s="28" t="s">
        <v>14223</v>
      </c>
      <c r="N1552" t="s">
        <v>313</v>
      </c>
    </row>
    <row r="1553" spans="1:14" hidden="1" x14ac:dyDescent="0.25">
      <c r="A1553" t="s">
        <v>9960</v>
      </c>
      <c r="B1553" t="s">
        <v>5485</v>
      </c>
      <c r="C1553" t="s">
        <v>5486</v>
      </c>
      <c r="D1553" t="s">
        <v>5487</v>
      </c>
      <c r="E1553" s="28" t="s">
        <v>890</v>
      </c>
      <c r="F1553" t="s">
        <v>646</v>
      </c>
      <c r="G1553" t="s">
        <v>15</v>
      </c>
      <c r="M1553" s="28" t="s">
        <v>613</v>
      </c>
      <c r="N1553" t="s">
        <v>313</v>
      </c>
    </row>
    <row r="1554" spans="1:14" hidden="1" x14ac:dyDescent="0.25">
      <c r="A1554" t="s">
        <v>9959</v>
      </c>
      <c r="B1554" t="s">
        <v>5483</v>
      </c>
      <c r="C1554" t="s">
        <v>4835</v>
      </c>
      <c r="D1554" t="s">
        <v>5484</v>
      </c>
      <c r="E1554" s="28" t="s">
        <v>896</v>
      </c>
      <c r="F1554" t="s">
        <v>721</v>
      </c>
      <c r="G1554" t="s">
        <v>15</v>
      </c>
      <c r="M1554" s="28" t="s">
        <v>613</v>
      </c>
      <c r="N1554" t="s">
        <v>313</v>
      </c>
    </row>
    <row r="1555" spans="1:14" hidden="1" x14ac:dyDescent="0.25">
      <c r="A1555" t="s">
        <v>9958</v>
      </c>
      <c r="B1555" t="s">
        <v>5481</v>
      </c>
      <c r="C1555" t="s">
        <v>4730</v>
      </c>
      <c r="D1555" t="s">
        <v>5482</v>
      </c>
      <c r="E1555" s="28" t="s">
        <v>896</v>
      </c>
      <c r="F1555" t="s">
        <v>688</v>
      </c>
      <c r="G1555" t="s">
        <v>15</v>
      </c>
      <c r="M1555" s="28" t="s">
        <v>613</v>
      </c>
      <c r="N1555" t="s">
        <v>313</v>
      </c>
    </row>
    <row r="1556" spans="1:14" hidden="1" x14ac:dyDescent="0.25">
      <c r="A1556" t="s">
        <v>13754</v>
      </c>
      <c r="B1556" t="s">
        <v>5479</v>
      </c>
      <c r="C1556" t="s">
        <v>894</v>
      </c>
      <c r="D1556" t="s">
        <v>13755</v>
      </c>
      <c r="E1556" s="28" t="s">
        <v>896</v>
      </c>
      <c r="F1556" t="s">
        <v>2850</v>
      </c>
      <c r="G1556" t="s">
        <v>15</v>
      </c>
      <c r="M1556" s="28" t="s">
        <v>613</v>
      </c>
      <c r="N1556" t="s">
        <v>313</v>
      </c>
    </row>
    <row r="1557" spans="1:14" hidden="1" x14ac:dyDescent="0.25">
      <c r="A1557" t="s">
        <v>9957</v>
      </c>
      <c r="B1557" t="s">
        <v>5479</v>
      </c>
      <c r="C1557" t="s">
        <v>4676</v>
      </c>
      <c r="D1557" t="s">
        <v>5480</v>
      </c>
      <c r="E1557" s="28" t="s">
        <v>930</v>
      </c>
      <c r="F1557" t="s">
        <v>2850</v>
      </c>
      <c r="G1557" t="s">
        <v>15</v>
      </c>
      <c r="M1557" s="28" t="s">
        <v>613</v>
      </c>
      <c r="N1557" t="s">
        <v>313</v>
      </c>
    </row>
    <row r="1558" spans="1:14" hidden="1" x14ac:dyDescent="0.25">
      <c r="A1558" t="s">
        <v>9956</v>
      </c>
      <c r="B1558" t="s">
        <v>5477</v>
      </c>
      <c r="C1558" t="s">
        <v>894</v>
      </c>
      <c r="D1558" t="s">
        <v>5478</v>
      </c>
      <c r="E1558" s="28" t="s">
        <v>890</v>
      </c>
      <c r="F1558" t="s">
        <v>13562</v>
      </c>
      <c r="G1558" t="s">
        <v>15</v>
      </c>
      <c r="M1558" s="28" t="s">
        <v>613</v>
      </c>
      <c r="N1558" t="s">
        <v>313</v>
      </c>
    </row>
    <row r="1559" spans="1:14" hidden="1" x14ac:dyDescent="0.25">
      <c r="A1559" t="s">
        <v>8223</v>
      </c>
      <c r="B1559" t="s">
        <v>1682</v>
      </c>
      <c r="C1559" t="s">
        <v>1464</v>
      </c>
      <c r="D1559" t="s">
        <v>1683</v>
      </c>
      <c r="E1559" s="28" t="s">
        <v>896</v>
      </c>
      <c r="F1559" t="s">
        <v>352</v>
      </c>
      <c r="G1559" t="s">
        <v>43</v>
      </c>
      <c r="M1559" s="28" t="s">
        <v>14205</v>
      </c>
    </row>
    <row r="1560" spans="1:14" hidden="1" x14ac:dyDescent="0.25">
      <c r="A1560" t="s">
        <v>9955</v>
      </c>
      <c r="B1560" t="s">
        <v>1682</v>
      </c>
      <c r="C1560" t="s">
        <v>2772</v>
      </c>
      <c r="D1560" t="s">
        <v>5476</v>
      </c>
      <c r="E1560" s="28" t="s">
        <v>896</v>
      </c>
      <c r="F1560" t="s">
        <v>651</v>
      </c>
      <c r="G1560" t="s">
        <v>15</v>
      </c>
      <c r="M1560" s="28" t="s">
        <v>613</v>
      </c>
      <c r="N1560" t="s">
        <v>313</v>
      </c>
    </row>
    <row r="1561" spans="1:14" hidden="1" x14ac:dyDescent="0.25">
      <c r="A1561" t="s">
        <v>11392</v>
      </c>
      <c r="B1561" t="s">
        <v>11393</v>
      </c>
      <c r="C1561" t="s">
        <v>2063</v>
      </c>
      <c r="D1561" t="s">
        <v>11394</v>
      </c>
      <c r="E1561" s="28" t="s">
        <v>896</v>
      </c>
      <c r="F1561" t="s">
        <v>6584</v>
      </c>
      <c r="G1561" t="s">
        <v>84</v>
      </c>
      <c r="M1561" s="28" t="s">
        <v>14223</v>
      </c>
      <c r="N1561" t="s">
        <v>313</v>
      </c>
    </row>
    <row r="1562" spans="1:14" hidden="1" x14ac:dyDescent="0.25">
      <c r="A1562" t="s">
        <v>11395</v>
      </c>
      <c r="B1562" t="s">
        <v>11393</v>
      </c>
      <c r="C1562" t="s">
        <v>1060</v>
      </c>
      <c r="D1562" t="s">
        <v>11396</v>
      </c>
      <c r="E1562" s="28" t="s">
        <v>930</v>
      </c>
      <c r="F1562" t="s">
        <v>6584</v>
      </c>
      <c r="G1562" t="s">
        <v>84</v>
      </c>
      <c r="M1562" s="28" t="s">
        <v>14223</v>
      </c>
      <c r="N1562" t="s">
        <v>313</v>
      </c>
    </row>
    <row r="1563" spans="1:14" hidden="1" x14ac:dyDescent="0.25">
      <c r="A1563" t="s">
        <v>9954</v>
      </c>
      <c r="B1563" t="s">
        <v>5474</v>
      </c>
      <c r="C1563" t="s">
        <v>909</v>
      </c>
      <c r="D1563" t="s">
        <v>5475</v>
      </c>
      <c r="E1563" s="28" t="s">
        <v>896</v>
      </c>
      <c r="F1563" t="s">
        <v>750</v>
      </c>
      <c r="G1563" t="s">
        <v>15</v>
      </c>
      <c r="M1563" s="28" t="s">
        <v>613</v>
      </c>
      <c r="N1563" t="s">
        <v>313</v>
      </c>
    </row>
    <row r="1564" spans="1:14" hidden="1" x14ac:dyDescent="0.25">
      <c r="A1564" t="s">
        <v>9951</v>
      </c>
      <c r="B1564" t="s">
        <v>5470</v>
      </c>
      <c r="C1564" t="s">
        <v>4557</v>
      </c>
      <c r="D1564" t="s">
        <v>5471</v>
      </c>
      <c r="E1564" s="28" t="s">
        <v>896</v>
      </c>
      <c r="F1564" t="s">
        <v>4635</v>
      </c>
      <c r="G1564" t="s">
        <v>15</v>
      </c>
      <c r="M1564" s="28" t="s">
        <v>613</v>
      </c>
      <c r="N1564" t="s">
        <v>313</v>
      </c>
    </row>
    <row r="1565" spans="1:14" hidden="1" x14ac:dyDescent="0.25">
      <c r="A1565" t="s">
        <v>9952</v>
      </c>
      <c r="B1565" t="s">
        <v>5470</v>
      </c>
      <c r="C1565" t="s">
        <v>4668</v>
      </c>
      <c r="D1565" t="s">
        <v>5472</v>
      </c>
      <c r="E1565" s="28" t="s">
        <v>896</v>
      </c>
      <c r="F1565" t="s">
        <v>688</v>
      </c>
      <c r="G1565" t="s">
        <v>15</v>
      </c>
      <c r="M1565" s="28" t="s">
        <v>613</v>
      </c>
      <c r="N1565" t="s">
        <v>313</v>
      </c>
    </row>
    <row r="1566" spans="1:14" hidden="1" x14ac:dyDescent="0.25">
      <c r="A1566" t="s">
        <v>9953</v>
      </c>
      <c r="B1566" t="s">
        <v>5470</v>
      </c>
      <c r="C1566" t="s">
        <v>1722</v>
      </c>
      <c r="D1566" t="s">
        <v>5473</v>
      </c>
      <c r="E1566" s="28" t="s">
        <v>896</v>
      </c>
      <c r="F1566" t="s">
        <v>702</v>
      </c>
      <c r="G1566" t="s">
        <v>15</v>
      </c>
      <c r="M1566" s="28" t="s">
        <v>613</v>
      </c>
      <c r="N1566" t="s">
        <v>313</v>
      </c>
    </row>
    <row r="1567" spans="1:14" hidden="1" x14ac:dyDescent="0.25">
      <c r="A1567" t="s">
        <v>14650</v>
      </c>
      <c r="B1567" t="s">
        <v>5470</v>
      </c>
      <c r="C1567" t="s">
        <v>4600</v>
      </c>
      <c r="D1567" t="s">
        <v>14651</v>
      </c>
      <c r="E1567" s="28" t="s">
        <v>890</v>
      </c>
      <c r="F1567" t="s">
        <v>4938</v>
      </c>
      <c r="G1567" t="s">
        <v>15</v>
      </c>
      <c r="M1567" s="28" t="s">
        <v>613</v>
      </c>
      <c r="N1567" t="s">
        <v>313</v>
      </c>
    </row>
    <row r="1568" spans="1:14" hidden="1" x14ac:dyDescent="0.25">
      <c r="A1568" t="s">
        <v>13756</v>
      </c>
      <c r="B1568" t="s">
        <v>5589</v>
      </c>
      <c r="C1568" t="s">
        <v>1084</v>
      </c>
      <c r="D1568" t="s">
        <v>13757</v>
      </c>
      <c r="E1568" s="28" t="s">
        <v>896</v>
      </c>
      <c r="F1568" t="s">
        <v>662</v>
      </c>
      <c r="G1568" t="s">
        <v>15</v>
      </c>
      <c r="M1568" s="28" t="s">
        <v>613</v>
      </c>
      <c r="N1568" t="s">
        <v>313</v>
      </c>
    </row>
    <row r="1569" spans="1:14" hidden="1" x14ac:dyDescent="0.25">
      <c r="A1569" t="s">
        <v>10501</v>
      </c>
      <c r="B1569" t="s">
        <v>6667</v>
      </c>
      <c r="C1569" t="s">
        <v>6668</v>
      </c>
      <c r="D1569" t="s">
        <v>6669</v>
      </c>
      <c r="E1569" s="28" t="s">
        <v>890</v>
      </c>
      <c r="F1569" t="s">
        <v>796</v>
      </c>
      <c r="G1569" t="s">
        <v>137</v>
      </c>
      <c r="M1569" s="28" t="s">
        <v>805</v>
      </c>
      <c r="N1569" t="s">
        <v>313</v>
      </c>
    </row>
    <row r="1570" spans="1:14" hidden="1" x14ac:dyDescent="0.25">
      <c r="A1570" t="s">
        <v>14652</v>
      </c>
      <c r="B1570" t="s">
        <v>14653</v>
      </c>
      <c r="C1570" t="s">
        <v>2919</v>
      </c>
      <c r="D1570" t="s">
        <v>14654</v>
      </c>
      <c r="E1570" s="28" t="s">
        <v>896</v>
      </c>
      <c r="F1570" t="s">
        <v>615</v>
      </c>
      <c r="G1570" t="s">
        <v>15</v>
      </c>
      <c r="M1570" s="28" t="s">
        <v>613</v>
      </c>
      <c r="N1570" t="s">
        <v>313</v>
      </c>
    </row>
    <row r="1571" spans="1:14" hidden="1" x14ac:dyDescent="0.25">
      <c r="A1571" t="s">
        <v>13489</v>
      </c>
      <c r="B1571" t="s">
        <v>13490</v>
      </c>
      <c r="C1571" t="s">
        <v>13491</v>
      </c>
      <c r="D1571" t="s">
        <v>13492</v>
      </c>
      <c r="E1571" s="28" t="s">
        <v>890</v>
      </c>
      <c r="F1571" t="s">
        <v>6836</v>
      </c>
      <c r="G1571" t="s">
        <v>141</v>
      </c>
      <c r="M1571" s="28" t="s">
        <v>14229</v>
      </c>
    </row>
    <row r="1572" spans="1:14" hidden="1" x14ac:dyDescent="0.25">
      <c r="A1572" t="s">
        <v>11335</v>
      </c>
      <c r="B1572" t="s">
        <v>11336</v>
      </c>
      <c r="C1572" t="s">
        <v>1236</v>
      </c>
      <c r="D1572" t="s">
        <v>11337</v>
      </c>
      <c r="E1572" s="28" t="s">
        <v>896</v>
      </c>
      <c r="F1572" t="s">
        <v>11302</v>
      </c>
      <c r="G1572" t="s">
        <v>84</v>
      </c>
      <c r="M1572" s="28" t="s">
        <v>14223</v>
      </c>
      <c r="N1572" t="s">
        <v>313</v>
      </c>
    </row>
    <row r="1573" spans="1:14" hidden="1" x14ac:dyDescent="0.25">
      <c r="A1573" t="s">
        <v>12354</v>
      </c>
      <c r="B1573" t="s">
        <v>12355</v>
      </c>
      <c r="C1573" t="s">
        <v>12356</v>
      </c>
      <c r="D1573" t="s">
        <v>12357</v>
      </c>
      <c r="E1573" s="28" t="s">
        <v>890</v>
      </c>
      <c r="F1573" t="s">
        <v>39</v>
      </c>
      <c r="G1573" t="s">
        <v>34</v>
      </c>
      <c r="M1573" s="28" t="s">
        <v>12353</v>
      </c>
      <c r="N1573" t="s">
        <v>313</v>
      </c>
    </row>
    <row r="1574" spans="1:14" hidden="1" x14ac:dyDescent="0.25">
      <c r="A1574" t="s">
        <v>13512</v>
      </c>
      <c r="B1574" t="s">
        <v>12355</v>
      </c>
      <c r="C1574" t="s">
        <v>13513</v>
      </c>
      <c r="D1574" t="s">
        <v>13514</v>
      </c>
      <c r="E1574" s="28" t="s">
        <v>890</v>
      </c>
      <c r="G1574" t="s">
        <v>7849</v>
      </c>
      <c r="M1574" s="28"/>
    </row>
    <row r="1575" spans="1:14" hidden="1" x14ac:dyDescent="0.25">
      <c r="A1575" t="s">
        <v>13227</v>
      </c>
      <c r="B1575" t="s">
        <v>1372</v>
      </c>
      <c r="C1575" t="s">
        <v>1104</v>
      </c>
      <c r="D1575" t="s">
        <v>13228</v>
      </c>
      <c r="E1575" s="28" t="s">
        <v>1177</v>
      </c>
      <c r="F1575" t="s">
        <v>343</v>
      </c>
      <c r="G1575" t="s">
        <v>38</v>
      </c>
      <c r="M1575" s="28"/>
    </row>
    <row r="1576" spans="1:14" hidden="1" x14ac:dyDescent="0.25">
      <c r="A1576" t="s">
        <v>11601</v>
      </c>
      <c r="B1576" t="s">
        <v>1372</v>
      </c>
      <c r="C1576" t="s">
        <v>11602</v>
      </c>
      <c r="D1576" t="s">
        <v>11603</v>
      </c>
      <c r="E1576" s="28" t="s">
        <v>896</v>
      </c>
      <c r="F1576" t="s">
        <v>343</v>
      </c>
      <c r="G1576" t="s">
        <v>38</v>
      </c>
      <c r="M1576" s="28"/>
    </row>
    <row r="1577" spans="1:14" hidden="1" x14ac:dyDescent="0.25">
      <c r="A1577" t="s">
        <v>8101</v>
      </c>
      <c r="B1577" t="s">
        <v>1372</v>
      </c>
      <c r="C1577" t="s">
        <v>1373</v>
      </c>
      <c r="D1577" t="s">
        <v>1374</v>
      </c>
      <c r="E1577" s="28" t="s">
        <v>890</v>
      </c>
      <c r="F1577" t="s">
        <v>794</v>
      </c>
      <c r="G1577" t="s">
        <v>38</v>
      </c>
      <c r="M1577" s="28"/>
    </row>
    <row r="1578" spans="1:14" hidden="1" x14ac:dyDescent="0.25">
      <c r="A1578" t="s">
        <v>14313</v>
      </c>
      <c r="B1578" t="s">
        <v>2873</v>
      </c>
      <c r="C1578" t="s">
        <v>1160</v>
      </c>
      <c r="D1578" t="s">
        <v>13758</v>
      </c>
      <c r="E1578" s="28" t="s">
        <v>1177</v>
      </c>
      <c r="F1578" t="s">
        <v>13197</v>
      </c>
      <c r="G1578" t="s">
        <v>81</v>
      </c>
      <c r="M1578" s="28" t="s">
        <v>530</v>
      </c>
      <c r="N1578" t="s">
        <v>313</v>
      </c>
    </row>
    <row r="1579" spans="1:14" hidden="1" x14ac:dyDescent="0.25">
      <c r="A1579" t="s">
        <v>8730</v>
      </c>
      <c r="B1579" t="s">
        <v>2873</v>
      </c>
      <c r="C1579" t="s">
        <v>1123</v>
      </c>
      <c r="D1579" t="s">
        <v>2928</v>
      </c>
      <c r="E1579" s="28" t="s">
        <v>896</v>
      </c>
      <c r="F1579" t="s">
        <v>13197</v>
      </c>
      <c r="G1579" t="s">
        <v>81</v>
      </c>
      <c r="M1579" s="28" t="s">
        <v>530</v>
      </c>
      <c r="N1579" t="s">
        <v>313</v>
      </c>
    </row>
    <row r="1580" spans="1:14" hidden="1" x14ac:dyDescent="0.25">
      <c r="A1580" t="s">
        <v>8706</v>
      </c>
      <c r="B1580" t="s">
        <v>2873</v>
      </c>
      <c r="C1580" t="s">
        <v>2874</v>
      </c>
      <c r="D1580" t="s">
        <v>2875</v>
      </c>
      <c r="E1580" s="28" t="s">
        <v>896</v>
      </c>
      <c r="F1580" t="s">
        <v>14211</v>
      </c>
      <c r="G1580" t="s">
        <v>81</v>
      </c>
      <c r="M1580" s="28" t="s">
        <v>530</v>
      </c>
      <c r="N1580" t="s">
        <v>313</v>
      </c>
    </row>
    <row r="1581" spans="1:14" hidden="1" x14ac:dyDescent="0.25">
      <c r="A1581" t="s">
        <v>10942</v>
      </c>
      <c r="B1581" t="s">
        <v>2873</v>
      </c>
      <c r="C1581" t="s">
        <v>10943</v>
      </c>
      <c r="D1581" t="s">
        <v>10944</v>
      </c>
      <c r="E1581" s="28" t="s">
        <v>1023</v>
      </c>
      <c r="F1581" t="s">
        <v>13197</v>
      </c>
      <c r="G1581" t="s">
        <v>81</v>
      </c>
      <c r="M1581" s="28" t="s">
        <v>530</v>
      </c>
      <c r="N1581" t="s">
        <v>313</v>
      </c>
    </row>
    <row r="1582" spans="1:14" hidden="1" x14ac:dyDescent="0.25">
      <c r="A1582" t="s">
        <v>9950</v>
      </c>
      <c r="B1582" t="s">
        <v>5468</v>
      </c>
      <c r="C1582" t="s">
        <v>1084</v>
      </c>
      <c r="D1582" t="s">
        <v>5469</v>
      </c>
      <c r="E1582" s="28" t="s">
        <v>890</v>
      </c>
      <c r="F1582" t="s">
        <v>646</v>
      </c>
      <c r="G1582" t="s">
        <v>15</v>
      </c>
      <c r="M1582" s="28" t="s">
        <v>613</v>
      </c>
      <c r="N1582" t="s">
        <v>313</v>
      </c>
    </row>
    <row r="1583" spans="1:14" hidden="1" x14ac:dyDescent="0.25">
      <c r="A1583" t="s">
        <v>8043</v>
      </c>
      <c r="B1583" t="s">
        <v>1221</v>
      </c>
      <c r="C1583" t="s">
        <v>1222</v>
      </c>
      <c r="D1583" t="s">
        <v>1223</v>
      </c>
      <c r="E1583" s="28" t="s">
        <v>890</v>
      </c>
      <c r="F1583" t="s">
        <v>39</v>
      </c>
      <c r="G1583" t="s">
        <v>34</v>
      </c>
      <c r="M1583" s="28" t="s">
        <v>12353</v>
      </c>
      <c r="N1583" t="s">
        <v>313</v>
      </c>
    </row>
    <row r="1584" spans="1:14" hidden="1" x14ac:dyDescent="0.25">
      <c r="A1584" t="s">
        <v>8044</v>
      </c>
      <c r="B1584" t="s">
        <v>1221</v>
      </c>
      <c r="C1584" t="s">
        <v>1224</v>
      </c>
      <c r="D1584" t="s">
        <v>1225</v>
      </c>
      <c r="E1584" s="28" t="s">
        <v>890</v>
      </c>
      <c r="F1584" t="s">
        <v>13265</v>
      </c>
      <c r="G1584" t="s">
        <v>34</v>
      </c>
      <c r="M1584" s="28" t="s">
        <v>12353</v>
      </c>
      <c r="N1584" t="s">
        <v>313</v>
      </c>
    </row>
    <row r="1585" spans="1:14" hidden="1" x14ac:dyDescent="0.25">
      <c r="A1585" t="s">
        <v>12812</v>
      </c>
      <c r="B1585" t="s">
        <v>1221</v>
      </c>
      <c r="C1585" t="s">
        <v>12813</v>
      </c>
      <c r="D1585" t="s">
        <v>12814</v>
      </c>
      <c r="E1585" s="28" t="s">
        <v>1177</v>
      </c>
      <c r="F1585" t="s">
        <v>891</v>
      </c>
      <c r="G1585" t="s">
        <v>34</v>
      </c>
      <c r="M1585" s="28" t="s">
        <v>12353</v>
      </c>
      <c r="N1585" t="s">
        <v>313</v>
      </c>
    </row>
    <row r="1586" spans="1:14" hidden="1" x14ac:dyDescent="0.25">
      <c r="A1586" t="s">
        <v>12364</v>
      </c>
      <c r="B1586" t="s">
        <v>1221</v>
      </c>
      <c r="C1586" t="s">
        <v>1088</v>
      </c>
      <c r="D1586" t="s">
        <v>12365</v>
      </c>
      <c r="E1586" s="28" t="s">
        <v>1177</v>
      </c>
      <c r="F1586" t="s">
        <v>39</v>
      </c>
      <c r="G1586" t="s">
        <v>34</v>
      </c>
      <c r="M1586" s="28" t="s">
        <v>12353</v>
      </c>
      <c r="N1586" t="s">
        <v>313</v>
      </c>
    </row>
    <row r="1587" spans="1:14" hidden="1" x14ac:dyDescent="0.25">
      <c r="A1587" t="s">
        <v>8052</v>
      </c>
      <c r="B1587" t="s">
        <v>1221</v>
      </c>
      <c r="C1587" t="s">
        <v>1202</v>
      </c>
      <c r="D1587" t="s">
        <v>1245</v>
      </c>
      <c r="E1587" s="28" t="s">
        <v>890</v>
      </c>
      <c r="F1587" t="s">
        <v>13265</v>
      </c>
      <c r="G1587" t="s">
        <v>34</v>
      </c>
      <c r="M1587" s="28" t="s">
        <v>12353</v>
      </c>
      <c r="N1587" t="s">
        <v>313</v>
      </c>
    </row>
    <row r="1588" spans="1:14" hidden="1" x14ac:dyDescent="0.25">
      <c r="A1588" t="s">
        <v>11298</v>
      </c>
      <c r="B1588" t="s">
        <v>11299</v>
      </c>
      <c r="C1588" t="s">
        <v>11300</v>
      </c>
      <c r="D1588" t="s">
        <v>11301</v>
      </c>
      <c r="E1588" s="28" t="s">
        <v>896</v>
      </c>
      <c r="F1588" t="s">
        <v>11302</v>
      </c>
      <c r="G1588" t="s">
        <v>84</v>
      </c>
      <c r="M1588" s="28" t="s">
        <v>14223</v>
      </c>
      <c r="N1588" t="s">
        <v>313</v>
      </c>
    </row>
    <row r="1589" spans="1:14" hidden="1" x14ac:dyDescent="0.25">
      <c r="A1589" t="s">
        <v>11322</v>
      </c>
      <c r="B1589" t="s">
        <v>11299</v>
      </c>
      <c r="C1589" t="s">
        <v>11323</v>
      </c>
      <c r="D1589" t="s">
        <v>11324</v>
      </c>
      <c r="E1589" s="28" t="s">
        <v>890</v>
      </c>
      <c r="F1589" t="s">
        <v>11302</v>
      </c>
      <c r="G1589" t="s">
        <v>84</v>
      </c>
      <c r="M1589" s="28" t="s">
        <v>14223</v>
      </c>
      <c r="N1589" t="s">
        <v>313</v>
      </c>
    </row>
    <row r="1590" spans="1:14" hidden="1" x14ac:dyDescent="0.25">
      <c r="A1590" t="s">
        <v>8401</v>
      </c>
      <c r="B1590" t="s">
        <v>2129</v>
      </c>
      <c r="C1590" t="s">
        <v>2130</v>
      </c>
      <c r="D1590" t="s">
        <v>2131</v>
      </c>
      <c r="E1590" s="28" t="s">
        <v>890</v>
      </c>
      <c r="F1590" t="s">
        <v>398</v>
      </c>
      <c r="G1590" t="s">
        <v>60</v>
      </c>
      <c r="M1590" s="28" t="s">
        <v>14207</v>
      </c>
    </row>
    <row r="1591" spans="1:14" hidden="1" x14ac:dyDescent="0.25">
      <c r="A1591" t="s">
        <v>8403</v>
      </c>
      <c r="B1591" t="s">
        <v>2129</v>
      </c>
      <c r="C1591" t="s">
        <v>2135</v>
      </c>
      <c r="D1591" t="s">
        <v>2136</v>
      </c>
      <c r="E1591" s="28" t="s">
        <v>890</v>
      </c>
      <c r="F1591" t="s">
        <v>398</v>
      </c>
      <c r="G1591" t="s">
        <v>60</v>
      </c>
      <c r="M1591" s="28" t="s">
        <v>14207</v>
      </c>
    </row>
    <row r="1592" spans="1:14" hidden="1" x14ac:dyDescent="0.25">
      <c r="A1592" t="s">
        <v>8378</v>
      </c>
      <c r="B1592" t="s">
        <v>2070</v>
      </c>
      <c r="C1592" t="s">
        <v>2071</v>
      </c>
      <c r="D1592" t="s">
        <v>2072</v>
      </c>
      <c r="E1592" s="28" t="s">
        <v>890</v>
      </c>
      <c r="F1592" t="s">
        <v>398</v>
      </c>
      <c r="G1592" t="s">
        <v>60</v>
      </c>
      <c r="M1592" s="28" t="s">
        <v>14207</v>
      </c>
    </row>
    <row r="1593" spans="1:14" hidden="1" x14ac:dyDescent="0.25">
      <c r="A1593" t="s">
        <v>10818</v>
      </c>
      <c r="B1593" t="s">
        <v>7366</v>
      </c>
      <c r="C1593" t="s">
        <v>7367</v>
      </c>
      <c r="D1593" t="s">
        <v>7368</v>
      </c>
      <c r="E1593" s="28" t="s">
        <v>896</v>
      </c>
      <c r="F1593" t="s">
        <v>12060</v>
      </c>
      <c r="G1593" t="s">
        <v>157</v>
      </c>
      <c r="M1593" s="28" t="s">
        <v>840</v>
      </c>
      <c r="N1593" t="s">
        <v>382</v>
      </c>
    </row>
    <row r="1594" spans="1:14" hidden="1" x14ac:dyDescent="0.25">
      <c r="A1594" t="s">
        <v>11065</v>
      </c>
      <c r="B1594" t="s">
        <v>11066</v>
      </c>
      <c r="C1594" t="s">
        <v>1194</v>
      </c>
      <c r="D1594" t="s">
        <v>11067</v>
      </c>
      <c r="E1594" s="28" t="s">
        <v>896</v>
      </c>
      <c r="F1594" t="s">
        <v>646</v>
      </c>
      <c r="G1594" t="s">
        <v>84</v>
      </c>
      <c r="M1594" s="28" t="s">
        <v>14223</v>
      </c>
      <c r="N1594" t="s">
        <v>313</v>
      </c>
    </row>
    <row r="1595" spans="1:14" hidden="1" x14ac:dyDescent="0.25">
      <c r="A1595" t="s">
        <v>11068</v>
      </c>
      <c r="B1595" t="s">
        <v>11066</v>
      </c>
      <c r="C1595" t="s">
        <v>2830</v>
      </c>
      <c r="D1595" t="s">
        <v>11069</v>
      </c>
      <c r="E1595" s="28" t="s">
        <v>890</v>
      </c>
      <c r="F1595" t="s">
        <v>646</v>
      </c>
      <c r="G1595" t="s">
        <v>84</v>
      </c>
      <c r="M1595" s="28" t="s">
        <v>14223</v>
      </c>
      <c r="N1595" t="s">
        <v>313</v>
      </c>
    </row>
    <row r="1596" spans="1:14" hidden="1" x14ac:dyDescent="0.25">
      <c r="A1596" t="s">
        <v>11215</v>
      </c>
      <c r="B1596" t="s">
        <v>11216</v>
      </c>
      <c r="C1596" t="s">
        <v>1227</v>
      </c>
      <c r="D1596" t="s">
        <v>11217</v>
      </c>
      <c r="E1596" s="28" t="s">
        <v>896</v>
      </c>
      <c r="F1596" t="s">
        <v>11218</v>
      </c>
      <c r="G1596" t="s">
        <v>84</v>
      </c>
      <c r="M1596" s="28" t="s">
        <v>14223</v>
      </c>
      <c r="N1596" t="s">
        <v>313</v>
      </c>
    </row>
    <row r="1597" spans="1:14" hidden="1" x14ac:dyDescent="0.25">
      <c r="A1597" t="s">
        <v>11626</v>
      </c>
      <c r="B1597" t="s">
        <v>11627</v>
      </c>
      <c r="C1597" t="s">
        <v>1043</v>
      </c>
      <c r="D1597" t="s">
        <v>11628</v>
      </c>
      <c r="E1597" s="28" t="s">
        <v>896</v>
      </c>
      <c r="F1597" t="s">
        <v>11629</v>
      </c>
      <c r="G1597" t="s">
        <v>11</v>
      </c>
      <c r="M1597" s="28" t="s">
        <v>413</v>
      </c>
      <c r="N1597" t="s">
        <v>313</v>
      </c>
    </row>
    <row r="1598" spans="1:14" hidden="1" x14ac:dyDescent="0.25">
      <c r="A1598" t="s">
        <v>8033</v>
      </c>
      <c r="B1598" t="s">
        <v>1191</v>
      </c>
      <c r="C1598" t="s">
        <v>1143</v>
      </c>
      <c r="D1598" t="s">
        <v>1192</v>
      </c>
      <c r="E1598" s="28" t="s">
        <v>890</v>
      </c>
      <c r="F1598" t="s">
        <v>286</v>
      </c>
      <c r="G1598" t="s">
        <v>31</v>
      </c>
      <c r="M1598" s="28" t="s">
        <v>278</v>
      </c>
      <c r="N1598" t="s">
        <v>279</v>
      </c>
    </row>
    <row r="1599" spans="1:14" hidden="1" x14ac:dyDescent="0.25">
      <c r="A1599" t="s">
        <v>8155</v>
      </c>
      <c r="B1599" t="s">
        <v>1512</v>
      </c>
      <c r="C1599" t="s">
        <v>1315</v>
      </c>
      <c r="D1599" t="s">
        <v>1513</v>
      </c>
      <c r="E1599" s="28" t="s">
        <v>896</v>
      </c>
      <c r="F1599" t="s">
        <v>78</v>
      </c>
      <c r="G1599" t="s">
        <v>38</v>
      </c>
      <c r="M1599" s="28"/>
    </row>
    <row r="1600" spans="1:14" hidden="1" x14ac:dyDescent="0.25">
      <c r="A1600" t="s">
        <v>10611</v>
      </c>
      <c r="B1600" t="s">
        <v>6866</v>
      </c>
      <c r="C1600" t="s">
        <v>1134</v>
      </c>
      <c r="D1600" t="s">
        <v>6867</v>
      </c>
      <c r="E1600" s="28" t="s">
        <v>896</v>
      </c>
      <c r="F1600" t="s">
        <v>831</v>
      </c>
      <c r="G1600" t="s">
        <v>145</v>
      </c>
      <c r="M1600" s="28" t="s">
        <v>13222</v>
      </c>
      <c r="N1600" t="s">
        <v>313</v>
      </c>
    </row>
    <row r="1601" spans="1:14" hidden="1" x14ac:dyDescent="0.25">
      <c r="A1601" t="s">
        <v>12609</v>
      </c>
      <c r="B1601" t="s">
        <v>6369</v>
      </c>
      <c r="C1601" t="s">
        <v>12610</v>
      </c>
      <c r="D1601" t="s">
        <v>12611</v>
      </c>
      <c r="E1601" s="28" t="s">
        <v>890</v>
      </c>
      <c r="F1601" t="s">
        <v>11563</v>
      </c>
      <c r="G1601" t="s">
        <v>110</v>
      </c>
      <c r="M1601" s="28" t="s">
        <v>13563</v>
      </c>
      <c r="N1601" t="s">
        <v>279</v>
      </c>
    </row>
    <row r="1602" spans="1:14" hidden="1" x14ac:dyDescent="0.25">
      <c r="A1602" t="s">
        <v>10398</v>
      </c>
      <c r="B1602" t="s">
        <v>6369</v>
      </c>
      <c r="C1602" t="s">
        <v>6370</v>
      </c>
      <c r="D1602" t="s">
        <v>6371</v>
      </c>
      <c r="E1602" s="28" t="s">
        <v>896</v>
      </c>
      <c r="F1602" t="s">
        <v>11563</v>
      </c>
      <c r="G1602" t="s">
        <v>110</v>
      </c>
      <c r="M1602" s="28" t="s">
        <v>13563</v>
      </c>
      <c r="N1602" t="s">
        <v>279</v>
      </c>
    </row>
    <row r="1603" spans="1:14" hidden="1" x14ac:dyDescent="0.25">
      <c r="A1603" t="s">
        <v>11623</v>
      </c>
      <c r="B1603" t="s">
        <v>11624</v>
      </c>
      <c r="C1603" t="s">
        <v>1204</v>
      </c>
      <c r="D1603" t="s">
        <v>11625</v>
      </c>
      <c r="E1603" s="28" t="s">
        <v>896</v>
      </c>
      <c r="F1603" t="s">
        <v>455</v>
      </c>
      <c r="G1603" t="s">
        <v>11</v>
      </c>
      <c r="M1603" s="28" t="s">
        <v>413</v>
      </c>
      <c r="N1603" t="s">
        <v>313</v>
      </c>
    </row>
    <row r="1604" spans="1:14" hidden="1" x14ac:dyDescent="0.25">
      <c r="A1604" t="s">
        <v>8549</v>
      </c>
      <c r="B1604" t="s">
        <v>2484</v>
      </c>
      <c r="C1604" t="s">
        <v>2485</v>
      </c>
      <c r="D1604" t="s">
        <v>2486</v>
      </c>
      <c r="E1604" s="28" t="s">
        <v>896</v>
      </c>
      <c r="F1604" t="s">
        <v>2568</v>
      </c>
      <c r="G1604" t="s">
        <v>11</v>
      </c>
      <c r="M1604" s="28" t="s">
        <v>413</v>
      </c>
      <c r="N1604" t="s">
        <v>313</v>
      </c>
    </row>
    <row r="1605" spans="1:14" hidden="1" x14ac:dyDescent="0.25">
      <c r="A1605" t="s">
        <v>8198</v>
      </c>
      <c r="B1605" t="s">
        <v>1613</v>
      </c>
      <c r="C1605" t="s">
        <v>1614</v>
      </c>
      <c r="D1605" t="s">
        <v>1615</v>
      </c>
      <c r="E1605" s="28" t="s">
        <v>1023</v>
      </c>
      <c r="F1605" t="s">
        <v>78</v>
      </c>
      <c r="G1605" t="s">
        <v>38</v>
      </c>
      <c r="M1605" s="28"/>
    </row>
    <row r="1606" spans="1:14" hidden="1" x14ac:dyDescent="0.25">
      <c r="A1606" t="s">
        <v>8102</v>
      </c>
      <c r="B1606" t="s">
        <v>1375</v>
      </c>
      <c r="C1606" t="s">
        <v>1376</v>
      </c>
      <c r="D1606" t="s">
        <v>1377</v>
      </c>
      <c r="E1606" s="28" t="s">
        <v>896</v>
      </c>
      <c r="F1606" t="s">
        <v>57</v>
      </c>
      <c r="G1606" t="s">
        <v>38</v>
      </c>
      <c r="M1606" s="28"/>
    </row>
    <row r="1607" spans="1:14" hidden="1" x14ac:dyDescent="0.25">
      <c r="A1607" t="s">
        <v>8471</v>
      </c>
      <c r="B1607" t="s">
        <v>2291</v>
      </c>
      <c r="C1607" t="s">
        <v>2292</v>
      </c>
      <c r="D1607" t="s">
        <v>2293</v>
      </c>
      <c r="E1607" s="28" t="s">
        <v>890</v>
      </c>
      <c r="F1607" t="s">
        <v>408</v>
      </c>
      <c r="G1607" t="s">
        <v>65</v>
      </c>
      <c r="M1607" s="28" t="s">
        <v>14209</v>
      </c>
    </row>
    <row r="1608" spans="1:14" hidden="1" x14ac:dyDescent="0.25">
      <c r="A1608" t="s">
        <v>14135</v>
      </c>
      <c r="B1608" t="s">
        <v>14136</v>
      </c>
      <c r="C1608" t="s">
        <v>1021</v>
      </c>
      <c r="D1608" t="s">
        <v>14137</v>
      </c>
      <c r="E1608" s="28" t="s">
        <v>1177</v>
      </c>
      <c r="F1608" t="s">
        <v>516</v>
      </c>
      <c r="G1608" t="s">
        <v>74</v>
      </c>
      <c r="M1608" s="28" t="s">
        <v>507</v>
      </c>
      <c r="N1608" t="s">
        <v>313</v>
      </c>
    </row>
    <row r="1609" spans="1:14" hidden="1" x14ac:dyDescent="0.25">
      <c r="A1609" t="s">
        <v>10659</v>
      </c>
      <c r="B1609" t="s">
        <v>4207</v>
      </c>
      <c r="C1609" t="s">
        <v>6992</v>
      </c>
      <c r="D1609" t="s">
        <v>6993</v>
      </c>
      <c r="E1609" s="28" t="s">
        <v>890</v>
      </c>
      <c r="F1609" t="s">
        <v>255</v>
      </c>
      <c r="G1609" t="s">
        <v>6896</v>
      </c>
      <c r="M1609" s="28" t="s">
        <v>6897</v>
      </c>
      <c r="N1609" t="s">
        <v>279</v>
      </c>
    </row>
    <row r="1610" spans="1:14" hidden="1" x14ac:dyDescent="0.25">
      <c r="A1610" t="s">
        <v>14138</v>
      </c>
      <c r="B1610" t="s">
        <v>14139</v>
      </c>
      <c r="C1610" t="s">
        <v>14140</v>
      </c>
      <c r="D1610" t="s">
        <v>14141</v>
      </c>
      <c r="E1610" s="28" t="s">
        <v>890</v>
      </c>
      <c r="F1610" t="s">
        <v>14210</v>
      </c>
      <c r="G1610" t="s">
        <v>11</v>
      </c>
      <c r="M1610" s="28" t="s">
        <v>413</v>
      </c>
      <c r="N1610" t="s">
        <v>313</v>
      </c>
    </row>
    <row r="1611" spans="1:14" hidden="1" x14ac:dyDescent="0.25">
      <c r="A1611" t="s">
        <v>9519</v>
      </c>
      <c r="B1611" t="s">
        <v>4541</v>
      </c>
      <c r="C1611" t="s">
        <v>4542</v>
      </c>
      <c r="D1611" t="s">
        <v>4543</v>
      </c>
      <c r="E1611" s="28" t="s">
        <v>896</v>
      </c>
      <c r="G1611" t="s">
        <v>102</v>
      </c>
      <c r="M1611" s="28"/>
    </row>
    <row r="1612" spans="1:14" hidden="1" x14ac:dyDescent="0.25">
      <c r="A1612" t="s">
        <v>8648</v>
      </c>
      <c r="B1612" t="s">
        <v>2726</v>
      </c>
      <c r="C1612" t="s">
        <v>972</v>
      </c>
      <c r="D1612" t="s">
        <v>2727</v>
      </c>
      <c r="E1612" s="28" t="s">
        <v>896</v>
      </c>
      <c r="F1612" t="s">
        <v>519</v>
      </c>
      <c r="G1612" t="s">
        <v>74</v>
      </c>
      <c r="M1612" s="28" t="s">
        <v>507</v>
      </c>
      <c r="N1612" t="s">
        <v>313</v>
      </c>
    </row>
    <row r="1613" spans="1:14" hidden="1" x14ac:dyDescent="0.25">
      <c r="A1613" t="s">
        <v>12527</v>
      </c>
      <c r="B1613" t="s">
        <v>12528</v>
      </c>
      <c r="C1613" t="s">
        <v>3044</v>
      </c>
      <c r="D1613" t="s">
        <v>12529</v>
      </c>
      <c r="E1613" s="28" t="s">
        <v>890</v>
      </c>
      <c r="F1613" t="s">
        <v>891</v>
      </c>
      <c r="G1613" t="s">
        <v>88</v>
      </c>
      <c r="M1613" s="28" t="s">
        <v>549</v>
      </c>
      <c r="N1613" t="s">
        <v>313</v>
      </c>
    </row>
    <row r="1614" spans="1:14" hidden="1" x14ac:dyDescent="0.25">
      <c r="A1614" t="s">
        <v>8485</v>
      </c>
      <c r="B1614" t="s">
        <v>2328</v>
      </c>
      <c r="C1614" t="s">
        <v>2329</v>
      </c>
      <c r="D1614" t="s">
        <v>2330</v>
      </c>
      <c r="E1614" s="28" t="s">
        <v>890</v>
      </c>
      <c r="F1614" t="s">
        <v>408</v>
      </c>
      <c r="G1614" t="s">
        <v>65</v>
      </c>
      <c r="M1614" s="28" t="s">
        <v>14209</v>
      </c>
    </row>
    <row r="1615" spans="1:14" hidden="1" x14ac:dyDescent="0.25">
      <c r="A1615" t="s">
        <v>8597</v>
      </c>
      <c r="B1615" t="s">
        <v>2501</v>
      </c>
      <c r="C1615" t="s">
        <v>2595</v>
      </c>
      <c r="D1615" t="s">
        <v>12016</v>
      </c>
      <c r="E1615" s="28" t="s">
        <v>896</v>
      </c>
      <c r="F1615" t="s">
        <v>819</v>
      </c>
      <c r="G1615" t="s">
        <v>98</v>
      </c>
      <c r="M1615" s="28" t="s">
        <v>820</v>
      </c>
      <c r="N1615" t="s">
        <v>313</v>
      </c>
    </row>
    <row r="1616" spans="1:14" hidden="1" x14ac:dyDescent="0.25">
      <c r="A1616" t="s">
        <v>8557</v>
      </c>
      <c r="B1616" t="s">
        <v>2501</v>
      </c>
      <c r="C1616" t="s">
        <v>2502</v>
      </c>
      <c r="D1616" t="s">
        <v>2503</v>
      </c>
      <c r="E1616" s="28" t="s">
        <v>890</v>
      </c>
      <c r="F1616" t="s">
        <v>819</v>
      </c>
      <c r="G1616" t="s">
        <v>11</v>
      </c>
      <c r="M1616" s="28" t="s">
        <v>413</v>
      </c>
      <c r="N1616" t="s">
        <v>313</v>
      </c>
    </row>
    <row r="1617" spans="1:14" hidden="1" x14ac:dyDescent="0.25">
      <c r="A1617" t="s">
        <v>8593</v>
      </c>
      <c r="B1617" t="s">
        <v>2588</v>
      </c>
      <c r="C1617" t="s">
        <v>2589</v>
      </c>
      <c r="D1617" t="s">
        <v>13759</v>
      </c>
      <c r="E1617" s="28" t="s">
        <v>896</v>
      </c>
      <c r="F1617" t="s">
        <v>2568</v>
      </c>
      <c r="G1617" t="s">
        <v>11</v>
      </c>
      <c r="M1617" s="28" t="s">
        <v>413</v>
      </c>
      <c r="N1617" t="s">
        <v>313</v>
      </c>
    </row>
    <row r="1618" spans="1:14" hidden="1" x14ac:dyDescent="0.25">
      <c r="A1618" t="s">
        <v>10691</v>
      </c>
      <c r="B1618" t="s">
        <v>7067</v>
      </c>
      <c r="C1618" t="s">
        <v>7068</v>
      </c>
      <c r="D1618" t="s">
        <v>7069</v>
      </c>
      <c r="E1618" s="28" t="s">
        <v>890</v>
      </c>
      <c r="F1618" t="s">
        <v>6895</v>
      </c>
      <c r="G1618" t="s">
        <v>6896</v>
      </c>
      <c r="M1618" s="28" t="s">
        <v>6897</v>
      </c>
      <c r="N1618" t="s">
        <v>279</v>
      </c>
    </row>
    <row r="1619" spans="1:14" hidden="1" x14ac:dyDescent="0.25">
      <c r="A1619" t="s">
        <v>8045</v>
      </c>
      <c r="B1619" t="s">
        <v>1226</v>
      </c>
      <c r="C1619" t="s">
        <v>1227</v>
      </c>
      <c r="D1619" t="s">
        <v>1228</v>
      </c>
      <c r="E1619" s="28" t="s">
        <v>896</v>
      </c>
      <c r="F1619" t="s">
        <v>39</v>
      </c>
      <c r="G1619" t="s">
        <v>34</v>
      </c>
      <c r="M1619" s="28" t="s">
        <v>12353</v>
      </c>
      <c r="N1619" t="s">
        <v>313</v>
      </c>
    </row>
    <row r="1620" spans="1:14" hidden="1" x14ac:dyDescent="0.25">
      <c r="A1620" t="s">
        <v>8949</v>
      </c>
      <c r="B1620" t="s">
        <v>3407</v>
      </c>
      <c r="C1620" t="s">
        <v>3408</v>
      </c>
      <c r="D1620" t="s">
        <v>3409</v>
      </c>
      <c r="E1620" s="28" t="s">
        <v>890</v>
      </c>
      <c r="F1620" t="s">
        <v>891</v>
      </c>
      <c r="G1620" t="s">
        <v>88</v>
      </c>
      <c r="M1620" s="28" t="s">
        <v>549</v>
      </c>
      <c r="N1620" t="s">
        <v>313</v>
      </c>
    </row>
    <row r="1621" spans="1:14" hidden="1" x14ac:dyDescent="0.25">
      <c r="A1621" t="s">
        <v>8950</v>
      </c>
      <c r="B1621" t="s">
        <v>3410</v>
      </c>
      <c r="C1621" t="s">
        <v>3411</v>
      </c>
      <c r="D1621" t="s">
        <v>3412</v>
      </c>
      <c r="E1621" s="28" t="s">
        <v>890</v>
      </c>
      <c r="F1621" t="s">
        <v>891</v>
      </c>
      <c r="G1621" t="s">
        <v>88</v>
      </c>
      <c r="M1621" s="28" t="s">
        <v>549</v>
      </c>
      <c r="N1621" t="s">
        <v>313</v>
      </c>
    </row>
    <row r="1622" spans="1:14" hidden="1" x14ac:dyDescent="0.25">
      <c r="A1622" t="s">
        <v>8951</v>
      </c>
      <c r="B1622" t="s">
        <v>3410</v>
      </c>
      <c r="C1622" t="s">
        <v>3036</v>
      </c>
      <c r="D1622" t="s">
        <v>3413</v>
      </c>
      <c r="E1622" s="28" t="s">
        <v>930</v>
      </c>
      <c r="F1622" t="s">
        <v>891</v>
      </c>
      <c r="G1622" t="s">
        <v>88</v>
      </c>
      <c r="M1622" s="28" t="s">
        <v>549</v>
      </c>
      <c r="N1622" t="s">
        <v>313</v>
      </c>
    </row>
    <row r="1623" spans="1:14" hidden="1" x14ac:dyDescent="0.25">
      <c r="A1623" t="s">
        <v>8952</v>
      </c>
      <c r="B1623" t="s">
        <v>3414</v>
      </c>
      <c r="C1623" t="s">
        <v>3021</v>
      </c>
      <c r="D1623" t="s">
        <v>3415</v>
      </c>
      <c r="E1623" s="28" t="s">
        <v>896</v>
      </c>
      <c r="F1623" t="s">
        <v>891</v>
      </c>
      <c r="G1623" t="s">
        <v>88</v>
      </c>
      <c r="M1623" s="28" t="s">
        <v>549</v>
      </c>
      <c r="N1623" t="s">
        <v>313</v>
      </c>
    </row>
    <row r="1624" spans="1:14" hidden="1" x14ac:dyDescent="0.25">
      <c r="A1624" t="s">
        <v>12361</v>
      </c>
      <c r="B1624" t="s">
        <v>12362</v>
      </c>
      <c r="C1624" t="s">
        <v>1224</v>
      </c>
      <c r="D1624" t="s">
        <v>12363</v>
      </c>
      <c r="E1624" s="28" t="s">
        <v>890</v>
      </c>
      <c r="F1624" t="s">
        <v>39</v>
      </c>
      <c r="G1624" t="s">
        <v>34</v>
      </c>
      <c r="M1624" s="28" t="s">
        <v>12353</v>
      </c>
      <c r="N1624" t="s">
        <v>313</v>
      </c>
    </row>
    <row r="1625" spans="1:14" hidden="1" x14ac:dyDescent="0.25">
      <c r="A1625" t="s">
        <v>8343</v>
      </c>
      <c r="B1625" t="s">
        <v>1990</v>
      </c>
      <c r="C1625" t="s">
        <v>1170</v>
      </c>
      <c r="D1625" t="s">
        <v>1991</v>
      </c>
      <c r="E1625" s="28" t="s">
        <v>890</v>
      </c>
      <c r="F1625" t="s">
        <v>379</v>
      </c>
      <c r="G1625" t="s">
        <v>47</v>
      </c>
      <c r="M1625" s="28" t="s">
        <v>13542</v>
      </c>
    </row>
    <row r="1626" spans="1:14" hidden="1" x14ac:dyDescent="0.25">
      <c r="A1626" t="s">
        <v>14499</v>
      </c>
      <c r="B1626" t="s">
        <v>14500</v>
      </c>
      <c r="C1626" t="s">
        <v>1170</v>
      </c>
      <c r="D1626" t="s">
        <v>14501</v>
      </c>
      <c r="E1626" s="28" t="s">
        <v>896</v>
      </c>
      <c r="F1626" t="s">
        <v>303</v>
      </c>
      <c r="G1626" t="s">
        <v>31</v>
      </c>
      <c r="M1626" s="28" t="s">
        <v>278</v>
      </c>
      <c r="N1626" t="s">
        <v>279</v>
      </c>
    </row>
    <row r="1627" spans="1:14" hidden="1" x14ac:dyDescent="0.25">
      <c r="A1627" t="s">
        <v>13760</v>
      </c>
      <c r="B1627" t="s">
        <v>13761</v>
      </c>
      <c r="C1627" t="s">
        <v>13762</v>
      </c>
      <c r="D1627" t="s">
        <v>13763</v>
      </c>
      <c r="E1627" s="28" t="s">
        <v>890</v>
      </c>
      <c r="F1627" t="s">
        <v>13546</v>
      </c>
      <c r="G1627" t="s">
        <v>11</v>
      </c>
      <c r="M1627" s="28" t="s">
        <v>413</v>
      </c>
      <c r="N1627" t="s">
        <v>313</v>
      </c>
    </row>
    <row r="1628" spans="1:14" hidden="1" x14ac:dyDescent="0.25">
      <c r="A1628" t="s">
        <v>8449</v>
      </c>
      <c r="B1628" t="s">
        <v>2247</v>
      </c>
      <c r="C1628" t="s">
        <v>1227</v>
      </c>
      <c r="D1628" t="s">
        <v>2248</v>
      </c>
      <c r="E1628" s="28" t="s">
        <v>896</v>
      </c>
      <c r="F1628" t="s">
        <v>408</v>
      </c>
      <c r="G1628" t="s">
        <v>65</v>
      </c>
      <c r="M1628" s="28" t="s">
        <v>14209</v>
      </c>
    </row>
    <row r="1629" spans="1:14" hidden="1" x14ac:dyDescent="0.25">
      <c r="A1629" t="s">
        <v>13522</v>
      </c>
      <c r="B1629" t="s">
        <v>13523</v>
      </c>
      <c r="C1629" t="s">
        <v>13524</v>
      </c>
      <c r="D1629" t="s">
        <v>13525</v>
      </c>
      <c r="E1629" s="28" t="s">
        <v>890</v>
      </c>
      <c r="F1629" t="s">
        <v>857</v>
      </c>
      <c r="G1629" t="s">
        <v>157</v>
      </c>
      <c r="M1629" s="28" t="s">
        <v>840</v>
      </c>
      <c r="N1629" t="s">
        <v>382</v>
      </c>
    </row>
    <row r="1630" spans="1:14" hidden="1" x14ac:dyDescent="0.25">
      <c r="A1630" t="s">
        <v>8103</v>
      </c>
      <c r="B1630" t="s">
        <v>1378</v>
      </c>
      <c r="C1630" t="s">
        <v>1379</v>
      </c>
      <c r="D1630" t="s">
        <v>1380</v>
      </c>
      <c r="E1630" s="28" t="s">
        <v>890</v>
      </c>
      <c r="F1630" t="s">
        <v>324</v>
      </c>
      <c r="G1630" t="s">
        <v>38</v>
      </c>
      <c r="M1630" s="28"/>
    </row>
    <row r="1631" spans="1:14" hidden="1" x14ac:dyDescent="0.25">
      <c r="A1631" t="s">
        <v>10580</v>
      </c>
      <c r="B1631" t="s">
        <v>6814</v>
      </c>
      <c r="C1631" t="s">
        <v>1885</v>
      </c>
      <c r="D1631" t="s">
        <v>6815</v>
      </c>
      <c r="E1631" s="28" t="s">
        <v>896</v>
      </c>
      <c r="F1631" t="s">
        <v>6631</v>
      </c>
      <c r="G1631" t="s">
        <v>137</v>
      </c>
      <c r="M1631" s="28" t="s">
        <v>805</v>
      </c>
      <c r="N1631" t="s">
        <v>313</v>
      </c>
    </row>
    <row r="1632" spans="1:14" hidden="1" x14ac:dyDescent="0.25">
      <c r="A1632" t="s">
        <v>10504</v>
      </c>
      <c r="B1632" t="s">
        <v>6670</v>
      </c>
      <c r="C1632" t="s">
        <v>6674</v>
      </c>
      <c r="D1632" t="s">
        <v>6675</v>
      </c>
      <c r="E1632" s="28" t="s">
        <v>930</v>
      </c>
      <c r="F1632" t="s">
        <v>891</v>
      </c>
      <c r="G1632" t="s">
        <v>137</v>
      </c>
      <c r="M1632" s="28" t="s">
        <v>805</v>
      </c>
      <c r="N1632" t="s">
        <v>313</v>
      </c>
    </row>
    <row r="1633" spans="1:14" hidden="1" x14ac:dyDescent="0.25">
      <c r="A1633" t="s">
        <v>10502</v>
      </c>
      <c r="B1633" t="s">
        <v>6670</v>
      </c>
      <c r="C1633" t="s">
        <v>6671</v>
      </c>
      <c r="D1633" t="s">
        <v>6672</v>
      </c>
      <c r="E1633" s="28" t="s">
        <v>890</v>
      </c>
      <c r="F1633" t="s">
        <v>12661</v>
      </c>
      <c r="G1633" t="s">
        <v>137</v>
      </c>
      <c r="M1633" s="28" t="s">
        <v>805</v>
      </c>
      <c r="N1633" t="s">
        <v>313</v>
      </c>
    </row>
    <row r="1634" spans="1:14" hidden="1" x14ac:dyDescent="0.25">
      <c r="A1634" t="s">
        <v>10503</v>
      </c>
      <c r="B1634" t="s">
        <v>6670</v>
      </c>
      <c r="C1634" t="s">
        <v>6668</v>
      </c>
      <c r="D1634" t="s">
        <v>6673</v>
      </c>
      <c r="E1634" s="28" t="s">
        <v>890</v>
      </c>
      <c r="F1634" t="s">
        <v>12661</v>
      </c>
      <c r="G1634" t="s">
        <v>137</v>
      </c>
      <c r="M1634" s="28" t="s">
        <v>805</v>
      </c>
      <c r="N1634" t="s">
        <v>313</v>
      </c>
    </row>
    <row r="1635" spans="1:14" hidden="1" x14ac:dyDescent="0.25">
      <c r="A1635" t="s">
        <v>11325</v>
      </c>
      <c r="B1635" t="s">
        <v>11326</v>
      </c>
      <c r="C1635" t="s">
        <v>11327</v>
      </c>
      <c r="D1635" t="s">
        <v>11328</v>
      </c>
      <c r="E1635" s="28" t="s">
        <v>890</v>
      </c>
      <c r="F1635" t="s">
        <v>6584</v>
      </c>
      <c r="G1635" t="s">
        <v>84</v>
      </c>
      <c r="M1635" s="28" t="s">
        <v>14223</v>
      </c>
      <c r="N1635" t="s">
        <v>313</v>
      </c>
    </row>
    <row r="1636" spans="1:14" hidden="1" x14ac:dyDescent="0.25">
      <c r="A1636" t="s">
        <v>8337</v>
      </c>
      <c r="B1636" t="s">
        <v>1974</v>
      </c>
      <c r="C1636" t="s">
        <v>1975</v>
      </c>
      <c r="D1636" t="s">
        <v>1976</v>
      </c>
      <c r="E1636" s="28" t="s">
        <v>1177</v>
      </c>
      <c r="F1636" t="s">
        <v>1903</v>
      </c>
      <c r="G1636" t="s">
        <v>43</v>
      </c>
      <c r="M1636" s="28" t="s">
        <v>14205</v>
      </c>
    </row>
    <row r="1637" spans="1:14" hidden="1" x14ac:dyDescent="0.25">
      <c r="A1637" t="s">
        <v>8703</v>
      </c>
      <c r="B1637" t="s">
        <v>2866</v>
      </c>
      <c r="C1637" t="s">
        <v>1499</v>
      </c>
      <c r="D1637" t="s">
        <v>2867</v>
      </c>
      <c r="E1637" s="28" t="s">
        <v>890</v>
      </c>
      <c r="F1637" t="s">
        <v>14211</v>
      </c>
      <c r="G1637" t="s">
        <v>81</v>
      </c>
      <c r="M1637" s="28" t="s">
        <v>530</v>
      </c>
      <c r="N1637" t="s">
        <v>313</v>
      </c>
    </row>
    <row r="1638" spans="1:14" hidden="1" x14ac:dyDescent="0.25">
      <c r="A1638" t="s">
        <v>8704</v>
      </c>
      <c r="B1638" t="s">
        <v>2866</v>
      </c>
      <c r="C1638" t="s">
        <v>2868</v>
      </c>
      <c r="D1638" t="s">
        <v>2869</v>
      </c>
      <c r="E1638" s="28" t="s">
        <v>890</v>
      </c>
      <c r="F1638" t="s">
        <v>14211</v>
      </c>
      <c r="G1638" t="s">
        <v>81</v>
      </c>
      <c r="M1638" s="28" t="s">
        <v>530</v>
      </c>
      <c r="N1638" t="s">
        <v>313</v>
      </c>
    </row>
    <row r="1639" spans="1:14" hidden="1" x14ac:dyDescent="0.25">
      <c r="A1639" t="s">
        <v>8726</v>
      </c>
      <c r="B1639" t="s">
        <v>2866</v>
      </c>
      <c r="C1639" t="s">
        <v>2916</v>
      </c>
      <c r="D1639" t="s">
        <v>2917</v>
      </c>
      <c r="E1639" s="28" t="s">
        <v>896</v>
      </c>
      <c r="F1639" t="s">
        <v>14211</v>
      </c>
      <c r="G1639" t="s">
        <v>81</v>
      </c>
      <c r="M1639" s="28" t="s">
        <v>530</v>
      </c>
      <c r="N1639" t="s">
        <v>313</v>
      </c>
    </row>
    <row r="1640" spans="1:14" hidden="1" x14ac:dyDescent="0.25">
      <c r="A1640" t="s">
        <v>8605</v>
      </c>
      <c r="B1640" t="s">
        <v>2613</v>
      </c>
      <c r="C1640" t="s">
        <v>2614</v>
      </c>
      <c r="D1640" t="s">
        <v>2615</v>
      </c>
      <c r="E1640" s="28" t="s">
        <v>896</v>
      </c>
      <c r="F1640" t="s">
        <v>510</v>
      </c>
      <c r="G1640" t="s">
        <v>74</v>
      </c>
      <c r="M1640" s="28" t="s">
        <v>507</v>
      </c>
      <c r="N1640" t="s">
        <v>313</v>
      </c>
    </row>
    <row r="1641" spans="1:14" hidden="1" x14ac:dyDescent="0.25">
      <c r="A1641" t="s">
        <v>8210</v>
      </c>
      <c r="B1641" t="s">
        <v>1642</v>
      </c>
      <c r="C1641" t="s">
        <v>1643</v>
      </c>
      <c r="D1641" t="s">
        <v>1644</v>
      </c>
      <c r="E1641" s="28" t="s">
        <v>890</v>
      </c>
      <c r="F1641" t="s">
        <v>1645</v>
      </c>
      <c r="G1641" t="s">
        <v>43</v>
      </c>
      <c r="M1641" s="28" t="s">
        <v>14205</v>
      </c>
    </row>
    <row r="1642" spans="1:14" hidden="1" x14ac:dyDescent="0.25">
      <c r="A1642" t="s">
        <v>14502</v>
      </c>
      <c r="B1642" t="s">
        <v>14503</v>
      </c>
      <c r="C1642" t="s">
        <v>1381</v>
      </c>
      <c r="D1642" t="s">
        <v>14504</v>
      </c>
      <c r="E1642" s="28" t="s">
        <v>890</v>
      </c>
      <c r="F1642" t="s">
        <v>14487</v>
      </c>
      <c r="G1642" t="s">
        <v>38</v>
      </c>
      <c r="M1642" s="28"/>
    </row>
    <row r="1643" spans="1:14" hidden="1" x14ac:dyDescent="0.25">
      <c r="A1643" t="s">
        <v>8251</v>
      </c>
      <c r="B1643" t="s">
        <v>1754</v>
      </c>
      <c r="C1643" t="s">
        <v>947</v>
      </c>
      <c r="D1643" t="s">
        <v>1755</v>
      </c>
      <c r="E1643" s="28" t="s">
        <v>896</v>
      </c>
      <c r="F1643" t="s">
        <v>891</v>
      </c>
      <c r="G1643" t="s">
        <v>43</v>
      </c>
      <c r="M1643" s="28" t="s">
        <v>14205</v>
      </c>
    </row>
    <row r="1644" spans="1:14" hidden="1" x14ac:dyDescent="0.25">
      <c r="A1644" t="s">
        <v>8661</v>
      </c>
      <c r="B1644" t="s">
        <v>2762</v>
      </c>
      <c r="C1644" t="s">
        <v>2763</v>
      </c>
      <c r="D1644" t="s">
        <v>2764</v>
      </c>
      <c r="E1644" s="28" t="s">
        <v>896</v>
      </c>
      <c r="F1644" t="s">
        <v>158</v>
      </c>
      <c r="G1644" t="s">
        <v>74</v>
      </c>
      <c r="M1644" s="28" t="s">
        <v>507</v>
      </c>
      <c r="N1644" t="s">
        <v>313</v>
      </c>
    </row>
    <row r="1645" spans="1:14" hidden="1" x14ac:dyDescent="0.25">
      <c r="A1645" t="s">
        <v>8344</v>
      </c>
      <c r="B1645" t="s">
        <v>1992</v>
      </c>
      <c r="C1645" t="s">
        <v>1993</v>
      </c>
      <c r="D1645" t="s">
        <v>1994</v>
      </c>
      <c r="E1645" s="28" t="s">
        <v>890</v>
      </c>
      <c r="F1645" t="s">
        <v>379</v>
      </c>
      <c r="G1645" t="s">
        <v>47</v>
      </c>
      <c r="M1645" s="28" t="s">
        <v>13542</v>
      </c>
    </row>
    <row r="1646" spans="1:14" hidden="1" x14ac:dyDescent="0.25">
      <c r="A1646" t="s">
        <v>10976</v>
      </c>
      <c r="B1646" t="s">
        <v>10977</v>
      </c>
      <c r="C1646" t="s">
        <v>6451</v>
      </c>
      <c r="D1646" t="s">
        <v>10978</v>
      </c>
      <c r="E1646" s="28" t="s">
        <v>890</v>
      </c>
      <c r="F1646" t="s">
        <v>10963</v>
      </c>
      <c r="G1646" t="s">
        <v>84</v>
      </c>
      <c r="M1646" s="28" t="s">
        <v>14223</v>
      </c>
      <c r="N1646" t="s">
        <v>313</v>
      </c>
    </row>
    <row r="1647" spans="1:14" hidden="1" x14ac:dyDescent="0.25">
      <c r="A1647" t="s">
        <v>8584</v>
      </c>
      <c r="B1647" t="s">
        <v>2569</v>
      </c>
      <c r="C1647" t="s">
        <v>1060</v>
      </c>
      <c r="D1647" t="s">
        <v>2570</v>
      </c>
      <c r="E1647" s="28" t="s">
        <v>896</v>
      </c>
      <c r="F1647" t="s">
        <v>441</v>
      </c>
      <c r="G1647" t="s">
        <v>11</v>
      </c>
      <c r="M1647" s="28" t="s">
        <v>413</v>
      </c>
      <c r="N1647" t="s">
        <v>313</v>
      </c>
    </row>
    <row r="1648" spans="1:14" hidden="1" x14ac:dyDescent="0.25">
      <c r="A1648" t="s">
        <v>12435</v>
      </c>
      <c r="B1648" t="s">
        <v>12436</v>
      </c>
      <c r="C1648" t="s">
        <v>6569</v>
      </c>
      <c r="D1648" t="s">
        <v>13764</v>
      </c>
      <c r="E1648" s="28" t="s">
        <v>896</v>
      </c>
      <c r="F1648" t="s">
        <v>14210</v>
      </c>
      <c r="G1648" t="s">
        <v>11</v>
      </c>
      <c r="M1648" s="28" t="s">
        <v>413</v>
      </c>
      <c r="N1648" t="s">
        <v>313</v>
      </c>
    </row>
    <row r="1649" spans="1:14" hidden="1" x14ac:dyDescent="0.25">
      <c r="A1649" t="s">
        <v>8104</v>
      </c>
      <c r="B1649" t="s">
        <v>1382</v>
      </c>
      <c r="C1649" t="s">
        <v>1383</v>
      </c>
      <c r="D1649" t="s">
        <v>1384</v>
      </c>
      <c r="E1649" s="28" t="s">
        <v>890</v>
      </c>
      <c r="F1649" t="s">
        <v>644</v>
      </c>
      <c r="G1649" t="s">
        <v>38</v>
      </c>
      <c r="M1649" s="28"/>
    </row>
    <row r="1650" spans="1:14" hidden="1" x14ac:dyDescent="0.25">
      <c r="A1650" t="s">
        <v>9507</v>
      </c>
      <c r="B1650" t="s">
        <v>4511</v>
      </c>
      <c r="C1650" t="s">
        <v>4512</v>
      </c>
      <c r="D1650" t="s">
        <v>4513</v>
      </c>
      <c r="E1650" s="28" t="s">
        <v>890</v>
      </c>
      <c r="F1650" t="s">
        <v>2186</v>
      </c>
      <c r="G1650" t="s">
        <v>93</v>
      </c>
      <c r="M1650" s="28" t="s">
        <v>14240</v>
      </c>
    </row>
    <row r="1651" spans="1:14" hidden="1" x14ac:dyDescent="0.25">
      <c r="A1651" t="s">
        <v>13271</v>
      </c>
      <c r="B1651" t="s">
        <v>2584</v>
      </c>
      <c r="C1651" t="s">
        <v>1179</v>
      </c>
      <c r="D1651" t="s">
        <v>13272</v>
      </c>
      <c r="E1651" s="28" t="s">
        <v>896</v>
      </c>
      <c r="F1651" t="s">
        <v>13188</v>
      </c>
      <c r="G1651" t="s">
        <v>11</v>
      </c>
      <c r="M1651" s="28" t="s">
        <v>413</v>
      </c>
      <c r="N1651" t="s">
        <v>313</v>
      </c>
    </row>
    <row r="1652" spans="1:14" hidden="1" x14ac:dyDescent="0.25">
      <c r="A1652" t="s">
        <v>8591</v>
      </c>
      <c r="B1652" t="s">
        <v>2584</v>
      </c>
      <c r="C1652" t="s">
        <v>1161</v>
      </c>
      <c r="D1652" t="s">
        <v>2585</v>
      </c>
      <c r="E1652" s="28" t="s">
        <v>896</v>
      </c>
      <c r="F1652" t="s">
        <v>2480</v>
      </c>
      <c r="G1652" t="s">
        <v>11</v>
      </c>
      <c r="M1652" s="28" t="s">
        <v>413</v>
      </c>
      <c r="N1652" t="s">
        <v>313</v>
      </c>
    </row>
    <row r="1653" spans="1:14" hidden="1" x14ac:dyDescent="0.25">
      <c r="A1653" t="s">
        <v>8056</v>
      </c>
      <c r="B1653" t="s">
        <v>1253</v>
      </c>
      <c r="C1653" t="s">
        <v>1254</v>
      </c>
      <c r="D1653" t="s">
        <v>1255</v>
      </c>
      <c r="E1653" s="28" t="s">
        <v>896</v>
      </c>
      <c r="F1653" t="s">
        <v>315</v>
      </c>
      <c r="G1653" t="s">
        <v>34</v>
      </c>
      <c r="M1653" s="28" t="s">
        <v>12353</v>
      </c>
      <c r="N1653" t="s">
        <v>313</v>
      </c>
    </row>
    <row r="1654" spans="1:14" hidden="1" x14ac:dyDescent="0.25">
      <c r="A1654" t="s">
        <v>11120</v>
      </c>
      <c r="B1654" t="s">
        <v>11121</v>
      </c>
      <c r="C1654" t="s">
        <v>11122</v>
      </c>
      <c r="D1654" t="s">
        <v>11123</v>
      </c>
      <c r="E1654" s="28" t="s">
        <v>896</v>
      </c>
      <c r="F1654" t="s">
        <v>11119</v>
      </c>
      <c r="G1654" t="s">
        <v>84</v>
      </c>
      <c r="M1654" s="28" t="s">
        <v>14223</v>
      </c>
      <c r="N1654" t="s">
        <v>313</v>
      </c>
    </row>
    <row r="1655" spans="1:14" hidden="1" x14ac:dyDescent="0.25">
      <c r="A1655" t="s">
        <v>8953</v>
      </c>
      <c r="B1655" t="s">
        <v>3417</v>
      </c>
      <c r="C1655" t="s">
        <v>3418</v>
      </c>
      <c r="D1655" t="s">
        <v>3419</v>
      </c>
      <c r="E1655" s="28" t="s">
        <v>890</v>
      </c>
      <c r="F1655" t="s">
        <v>891</v>
      </c>
      <c r="G1655" t="s">
        <v>88</v>
      </c>
      <c r="M1655" s="28" t="s">
        <v>549</v>
      </c>
      <c r="N1655" t="s">
        <v>313</v>
      </c>
    </row>
    <row r="1656" spans="1:14" hidden="1" x14ac:dyDescent="0.25">
      <c r="A1656" t="s">
        <v>8348</v>
      </c>
      <c r="B1656" t="s">
        <v>2004</v>
      </c>
      <c r="C1656" t="s">
        <v>1156</v>
      </c>
      <c r="D1656" t="s">
        <v>2005</v>
      </c>
      <c r="E1656" s="28" t="s">
        <v>890</v>
      </c>
      <c r="F1656" t="s">
        <v>383</v>
      </c>
      <c r="G1656" t="s">
        <v>47</v>
      </c>
      <c r="M1656" s="28" t="s">
        <v>13542</v>
      </c>
    </row>
    <row r="1657" spans="1:14" hidden="1" x14ac:dyDescent="0.25">
      <c r="A1657" t="s">
        <v>10670</v>
      </c>
      <c r="B1657" t="s">
        <v>2004</v>
      </c>
      <c r="C1657" t="s">
        <v>7020</v>
      </c>
      <c r="D1657" t="s">
        <v>7021</v>
      </c>
      <c r="E1657" s="28" t="s">
        <v>896</v>
      </c>
      <c r="F1657" t="s">
        <v>6895</v>
      </c>
      <c r="G1657" t="s">
        <v>6896</v>
      </c>
      <c r="M1657" s="28" t="s">
        <v>6897</v>
      </c>
      <c r="N1657" t="s">
        <v>279</v>
      </c>
    </row>
    <row r="1658" spans="1:14" hidden="1" x14ac:dyDescent="0.25">
      <c r="A1658" t="s">
        <v>10680</v>
      </c>
      <c r="B1658" t="s">
        <v>2004</v>
      </c>
      <c r="C1658" t="s">
        <v>7042</v>
      </c>
      <c r="D1658" t="s">
        <v>7043</v>
      </c>
      <c r="E1658" s="28" t="s">
        <v>890</v>
      </c>
      <c r="F1658" t="s">
        <v>6901</v>
      </c>
      <c r="G1658" t="s">
        <v>6896</v>
      </c>
      <c r="M1658" s="28" t="s">
        <v>6897</v>
      </c>
      <c r="N1658" t="s">
        <v>279</v>
      </c>
    </row>
    <row r="1659" spans="1:14" hidden="1" x14ac:dyDescent="0.25">
      <c r="A1659" t="s">
        <v>13252</v>
      </c>
      <c r="B1659" t="s">
        <v>2422</v>
      </c>
      <c r="C1659" t="s">
        <v>2335</v>
      </c>
      <c r="D1659" t="s">
        <v>13253</v>
      </c>
      <c r="E1659" s="28" t="s">
        <v>1177</v>
      </c>
      <c r="F1659" t="s">
        <v>14210</v>
      </c>
      <c r="G1659" t="s">
        <v>11</v>
      </c>
      <c r="M1659" s="28" t="s">
        <v>413</v>
      </c>
      <c r="N1659" t="s">
        <v>313</v>
      </c>
    </row>
    <row r="1660" spans="1:14" hidden="1" x14ac:dyDescent="0.25">
      <c r="A1660" t="s">
        <v>8524</v>
      </c>
      <c r="B1660" t="s">
        <v>2422</v>
      </c>
      <c r="C1660" t="s">
        <v>1179</v>
      </c>
      <c r="D1660" t="s">
        <v>2423</v>
      </c>
      <c r="E1660" s="28" t="s">
        <v>896</v>
      </c>
      <c r="F1660" t="s">
        <v>14210</v>
      </c>
      <c r="G1660" t="s">
        <v>11</v>
      </c>
      <c r="M1660" s="28" t="s">
        <v>413</v>
      </c>
      <c r="N1660" t="s">
        <v>313</v>
      </c>
    </row>
    <row r="1661" spans="1:14" hidden="1" x14ac:dyDescent="0.25">
      <c r="A1661" t="s">
        <v>10883</v>
      </c>
      <c r="B1661" t="s">
        <v>7529</v>
      </c>
      <c r="C1661" t="s">
        <v>1468</v>
      </c>
      <c r="D1661" t="s">
        <v>7530</v>
      </c>
      <c r="E1661" s="28" t="s">
        <v>890</v>
      </c>
      <c r="F1661" t="s">
        <v>7516</v>
      </c>
      <c r="G1661" t="s">
        <v>162</v>
      </c>
      <c r="M1661" s="28" t="s">
        <v>7517</v>
      </c>
      <c r="N1661" t="s">
        <v>313</v>
      </c>
    </row>
    <row r="1662" spans="1:14" hidden="1" x14ac:dyDescent="0.25">
      <c r="A1662" t="s">
        <v>13254</v>
      </c>
      <c r="B1662" t="s">
        <v>2505</v>
      </c>
      <c r="C1662" t="s">
        <v>1179</v>
      </c>
      <c r="D1662" t="s">
        <v>13255</v>
      </c>
      <c r="E1662" s="28" t="s">
        <v>896</v>
      </c>
      <c r="F1662" t="s">
        <v>13188</v>
      </c>
      <c r="G1662" t="s">
        <v>11</v>
      </c>
      <c r="M1662" s="28" t="s">
        <v>413</v>
      </c>
      <c r="N1662" t="s">
        <v>313</v>
      </c>
    </row>
    <row r="1663" spans="1:14" hidden="1" x14ac:dyDescent="0.25">
      <c r="A1663" t="s">
        <v>8558</v>
      </c>
      <c r="B1663" t="s">
        <v>2505</v>
      </c>
      <c r="C1663" t="s">
        <v>1061</v>
      </c>
      <c r="D1663" t="s">
        <v>2506</v>
      </c>
      <c r="E1663" s="28" t="s">
        <v>896</v>
      </c>
      <c r="F1663" t="s">
        <v>2504</v>
      </c>
      <c r="G1663" t="s">
        <v>11</v>
      </c>
      <c r="M1663" s="28" t="s">
        <v>413</v>
      </c>
      <c r="N1663" t="s">
        <v>313</v>
      </c>
    </row>
    <row r="1664" spans="1:14" hidden="1" x14ac:dyDescent="0.25">
      <c r="A1664" t="s">
        <v>13765</v>
      </c>
      <c r="B1664" t="s">
        <v>2505</v>
      </c>
      <c r="C1664" t="s">
        <v>2435</v>
      </c>
      <c r="D1664" t="s">
        <v>13766</v>
      </c>
      <c r="E1664" s="28" t="s">
        <v>896</v>
      </c>
      <c r="F1664" t="s">
        <v>105</v>
      </c>
      <c r="G1664" t="s">
        <v>11</v>
      </c>
      <c r="M1664" s="28" t="s">
        <v>413</v>
      </c>
      <c r="N1664" t="s">
        <v>313</v>
      </c>
    </row>
    <row r="1665" spans="1:14" hidden="1" x14ac:dyDescent="0.25">
      <c r="A1665" t="s">
        <v>8105</v>
      </c>
      <c r="B1665" t="s">
        <v>1385</v>
      </c>
      <c r="C1665" t="s">
        <v>1386</v>
      </c>
      <c r="D1665" t="s">
        <v>1387</v>
      </c>
      <c r="E1665" s="28" t="s">
        <v>890</v>
      </c>
      <c r="F1665" t="s">
        <v>69</v>
      </c>
      <c r="G1665" t="s">
        <v>38</v>
      </c>
      <c r="M1665" s="28"/>
    </row>
    <row r="1666" spans="1:14" hidden="1" x14ac:dyDescent="0.25">
      <c r="A1666" t="s">
        <v>8445</v>
      </c>
      <c r="B1666" t="s">
        <v>2239</v>
      </c>
      <c r="C1666" t="s">
        <v>2240</v>
      </c>
      <c r="D1666" t="s">
        <v>2241</v>
      </c>
      <c r="E1666" s="28" t="s">
        <v>890</v>
      </c>
      <c r="F1666" t="s">
        <v>408</v>
      </c>
      <c r="G1666" t="s">
        <v>65</v>
      </c>
      <c r="M1666" s="28" t="s">
        <v>14209</v>
      </c>
    </row>
    <row r="1667" spans="1:14" hidden="1" x14ac:dyDescent="0.25">
      <c r="A1667" t="s">
        <v>8457</v>
      </c>
      <c r="B1667" t="s">
        <v>2239</v>
      </c>
      <c r="C1667" t="s">
        <v>2264</v>
      </c>
      <c r="D1667" t="s">
        <v>2265</v>
      </c>
      <c r="E1667" s="28" t="s">
        <v>890</v>
      </c>
      <c r="F1667" t="s">
        <v>408</v>
      </c>
      <c r="G1667" t="s">
        <v>65</v>
      </c>
      <c r="M1667" s="28" t="s">
        <v>14209</v>
      </c>
    </row>
    <row r="1668" spans="1:14" hidden="1" x14ac:dyDescent="0.25">
      <c r="A1668" t="s">
        <v>8340</v>
      </c>
      <c r="B1668" t="s">
        <v>1983</v>
      </c>
      <c r="C1668" t="s">
        <v>1984</v>
      </c>
      <c r="D1668" t="s">
        <v>1985</v>
      </c>
      <c r="E1668" s="28" t="s">
        <v>890</v>
      </c>
      <c r="F1668" t="s">
        <v>379</v>
      </c>
      <c r="G1668" t="s">
        <v>47</v>
      </c>
      <c r="M1668" s="28" t="s">
        <v>13542</v>
      </c>
    </row>
    <row r="1669" spans="1:14" hidden="1" x14ac:dyDescent="0.25">
      <c r="A1669" t="s">
        <v>8342</v>
      </c>
      <c r="B1669" t="s">
        <v>1983</v>
      </c>
      <c r="C1669" t="s">
        <v>1988</v>
      </c>
      <c r="D1669" t="s">
        <v>1989</v>
      </c>
      <c r="E1669" s="28" t="s">
        <v>890</v>
      </c>
      <c r="F1669" t="s">
        <v>379</v>
      </c>
      <c r="G1669" t="s">
        <v>47</v>
      </c>
      <c r="M1669" s="28" t="s">
        <v>13542</v>
      </c>
    </row>
    <row r="1670" spans="1:14" hidden="1" x14ac:dyDescent="0.25">
      <c r="A1670" t="s">
        <v>12103</v>
      </c>
      <c r="B1670" t="s">
        <v>12104</v>
      </c>
      <c r="C1670" t="s">
        <v>1204</v>
      </c>
      <c r="D1670" t="s">
        <v>12105</v>
      </c>
      <c r="E1670" s="28" t="s">
        <v>896</v>
      </c>
      <c r="F1670" t="s">
        <v>2415</v>
      </c>
      <c r="G1670" t="s">
        <v>162</v>
      </c>
      <c r="M1670" s="28" t="s">
        <v>7517</v>
      </c>
      <c r="N1670" t="s">
        <v>313</v>
      </c>
    </row>
    <row r="1671" spans="1:14" hidden="1" x14ac:dyDescent="0.25">
      <c r="A1671" t="s">
        <v>11886</v>
      </c>
      <c r="B1671" t="s">
        <v>11883</v>
      </c>
      <c r="C1671" t="s">
        <v>11887</v>
      </c>
      <c r="D1671" t="s">
        <v>11888</v>
      </c>
      <c r="E1671" s="28" t="s">
        <v>890</v>
      </c>
      <c r="F1671" t="s">
        <v>11576</v>
      </c>
      <c r="G1671" t="s">
        <v>110</v>
      </c>
      <c r="M1671" s="28" t="s">
        <v>13563</v>
      </c>
      <c r="N1671" t="s">
        <v>279</v>
      </c>
    </row>
    <row r="1672" spans="1:14" hidden="1" x14ac:dyDescent="0.25">
      <c r="A1672" t="s">
        <v>11882</v>
      </c>
      <c r="B1672" t="s">
        <v>11883</v>
      </c>
      <c r="C1672" t="s">
        <v>11884</v>
      </c>
      <c r="D1672" t="s">
        <v>11885</v>
      </c>
      <c r="E1672" s="28" t="s">
        <v>896</v>
      </c>
      <c r="F1672" t="s">
        <v>11576</v>
      </c>
      <c r="G1672" t="s">
        <v>110</v>
      </c>
      <c r="M1672" s="28" t="s">
        <v>13563</v>
      </c>
      <c r="N1672" t="s">
        <v>279</v>
      </c>
    </row>
    <row r="1673" spans="1:14" hidden="1" x14ac:dyDescent="0.25">
      <c r="A1673" t="s">
        <v>11212</v>
      </c>
      <c r="B1673" t="s">
        <v>11213</v>
      </c>
      <c r="C1673" t="s">
        <v>1519</v>
      </c>
      <c r="D1673" t="s">
        <v>11214</v>
      </c>
      <c r="E1673" s="28" t="s">
        <v>896</v>
      </c>
      <c r="F1673" t="s">
        <v>6584</v>
      </c>
      <c r="G1673" t="s">
        <v>84</v>
      </c>
      <c r="M1673" s="28" t="s">
        <v>14223</v>
      </c>
      <c r="N1673" t="s">
        <v>313</v>
      </c>
    </row>
    <row r="1674" spans="1:14" hidden="1" x14ac:dyDescent="0.25">
      <c r="A1674" t="s">
        <v>14655</v>
      </c>
      <c r="B1674" t="s">
        <v>14656</v>
      </c>
      <c r="C1674" t="s">
        <v>14657</v>
      </c>
      <c r="D1674" t="s">
        <v>14658</v>
      </c>
      <c r="E1674" s="28" t="s">
        <v>1023</v>
      </c>
      <c r="F1674" t="s">
        <v>14659</v>
      </c>
      <c r="G1674" t="s">
        <v>11</v>
      </c>
      <c r="M1674" s="28" t="s">
        <v>413</v>
      </c>
      <c r="N1674" t="s">
        <v>313</v>
      </c>
    </row>
    <row r="1675" spans="1:14" hidden="1" x14ac:dyDescent="0.25">
      <c r="A1675" t="s">
        <v>10505</v>
      </c>
      <c r="B1675" t="s">
        <v>6676</v>
      </c>
      <c r="C1675" t="s">
        <v>6677</v>
      </c>
      <c r="D1675" t="s">
        <v>6678</v>
      </c>
      <c r="E1675" s="28" t="s">
        <v>896</v>
      </c>
      <c r="F1675" t="s">
        <v>891</v>
      </c>
      <c r="G1675" t="s">
        <v>137</v>
      </c>
      <c r="M1675" s="28" t="s">
        <v>805</v>
      </c>
      <c r="N1675" t="s">
        <v>313</v>
      </c>
    </row>
    <row r="1676" spans="1:14" hidden="1" x14ac:dyDescent="0.25">
      <c r="A1676" t="s">
        <v>8954</v>
      </c>
      <c r="B1676" t="s">
        <v>3420</v>
      </c>
      <c r="C1676" t="s">
        <v>3083</v>
      </c>
      <c r="D1676" t="s">
        <v>3421</v>
      </c>
      <c r="E1676" s="28" t="s">
        <v>896</v>
      </c>
      <c r="F1676" t="s">
        <v>891</v>
      </c>
      <c r="G1676" t="s">
        <v>88</v>
      </c>
      <c r="M1676" s="28" t="s">
        <v>549</v>
      </c>
      <c r="N1676" t="s">
        <v>313</v>
      </c>
    </row>
    <row r="1677" spans="1:14" hidden="1" x14ac:dyDescent="0.25">
      <c r="A1677" t="s">
        <v>10610</v>
      </c>
      <c r="B1677" t="s">
        <v>6864</v>
      </c>
      <c r="C1677" t="s">
        <v>1269</v>
      </c>
      <c r="D1677" t="s">
        <v>6865</v>
      </c>
      <c r="E1677" s="28" t="s">
        <v>896</v>
      </c>
      <c r="F1677" t="s">
        <v>831</v>
      </c>
      <c r="G1677" t="s">
        <v>145</v>
      </c>
      <c r="M1677" s="28" t="s">
        <v>13222</v>
      </c>
      <c r="N1677" t="s">
        <v>313</v>
      </c>
    </row>
    <row r="1678" spans="1:14" hidden="1" x14ac:dyDescent="0.25">
      <c r="A1678" t="s">
        <v>14314</v>
      </c>
      <c r="B1678" t="s">
        <v>14315</v>
      </c>
      <c r="C1678" t="s">
        <v>2411</v>
      </c>
      <c r="D1678" t="s">
        <v>14316</v>
      </c>
      <c r="E1678" s="28" t="s">
        <v>896</v>
      </c>
      <c r="F1678" t="s">
        <v>891</v>
      </c>
      <c r="G1678" t="s">
        <v>11</v>
      </c>
      <c r="M1678" s="28" t="s">
        <v>413</v>
      </c>
      <c r="N1678" t="s">
        <v>313</v>
      </c>
    </row>
    <row r="1679" spans="1:14" hidden="1" x14ac:dyDescent="0.25">
      <c r="A1679" t="s">
        <v>8183</v>
      </c>
      <c r="B1679" t="s">
        <v>1576</v>
      </c>
      <c r="C1679" t="s">
        <v>1579</v>
      </c>
      <c r="D1679" t="s">
        <v>1580</v>
      </c>
      <c r="E1679" s="28" t="s">
        <v>930</v>
      </c>
      <c r="F1679" t="s">
        <v>324</v>
      </c>
      <c r="G1679" t="s">
        <v>38</v>
      </c>
      <c r="M1679" s="28"/>
    </row>
    <row r="1680" spans="1:14" hidden="1" x14ac:dyDescent="0.25">
      <c r="A1680" t="s">
        <v>8188</v>
      </c>
      <c r="B1680" t="s">
        <v>1576</v>
      </c>
      <c r="C1680" t="s">
        <v>1309</v>
      </c>
      <c r="D1680" t="s">
        <v>1590</v>
      </c>
      <c r="E1680" s="28" t="s">
        <v>890</v>
      </c>
      <c r="F1680" t="s">
        <v>324</v>
      </c>
      <c r="G1680" t="s">
        <v>38</v>
      </c>
      <c r="M1680" s="28"/>
    </row>
    <row r="1681" spans="1:14" hidden="1" x14ac:dyDescent="0.25">
      <c r="A1681" t="s">
        <v>8182</v>
      </c>
      <c r="B1681" t="s">
        <v>1576</v>
      </c>
      <c r="C1681" t="s">
        <v>1577</v>
      </c>
      <c r="D1681" t="s">
        <v>1578</v>
      </c>
      <c r="E1681" s="28" t="s">
        <v>890</v>
      </c>
      <c r="F1681" t="s">
        <v>324</v>
      </c>
      <c r="G1681" t="s">
        <v>38</v>
      </c>
      <c r="M1681" s="28"/>
    </row>
    <row r="1682" spans="1:14" hidden="1" x14ac:dyDescent="0.25">
      <c r="A1682" t="s">
        <v>12386</v>
      </c>
      <c r="B1682" t="s">
        <v>12387</v>
      </c>
      <c r="C1682" t="s">
        <v>12388</v>
      </c>
      <c r="D1682" t="s">
        <v>12389</v>
      </c>
      <c r="E1682" s="28" t="s">
        <v>1177</v>
      </c>
      <c r="F1682" t="s">
        <v>12815</v>
      </c>
      <c r="G1682" t="s">
        <v>38</v>
      </c>
      <c r="M1682" s="28"/>
    </row>
    <row r="1683" spans="1:14" hidden="1" x14ac:dyDescent="0.25">
      <c r="A1683" t="s">
        <v>11933</v>
      </c>
      <c r="B1683" t="s">
        <v>2576</v>
      </c>
      <c r="C1683" t="s">
        <v>1134</v>
      </c>
      <c r="D1683" t="s">
        <v>6539</v>
      </c>
      <c r="E1683" s="28" t="s">
        <v>890</v>
      </c>
      <c r="F1683" t="s">
        <v>252</v>
      </c>
      <c r="G1683" t="s">
        <v>129</v>
      </c>
      <c r="M1683" s="28" t="s">
        <v>802</v>
      </c>
      <c r="N1683" t="s">
        <v>313</v>
      </c>
    </row>
    <row r="1684" spans="1:14" hidden="1" x14ac:dyDescent="0.25">
      <c r="A1684" t="s">
        <v>8580</v>
      </c>
      <c r="B1684" t="s">
        <v>2559</v>
      </c>
      <c r="C1684" t="s">
        <v>2489</v>
      </c>
      <c r="D1684" t="s">
        <v>2560</v>
      </c>
      <c r="E1684" s="28" t="s">
        <v>896</v>
      </c>
      <c r="F1684" t="s">
        <v>496</v>
      </c>
      <c r="G1684" t="s">
        <v>11</v>
      </c>
      <c r="M1684" s="28" t="s">
        <v>413</v>
      </c>
      <c r="N1684" t="s">
        <v>313</v>
      </c>
    </row>
    <row r="1685" spans="1:14" hidden="1" x14ac:dyDescent="0.25">
      <c r="A1685" t="s">
        <v>8555</v>
      </c>
      <c r="B1685" t="s">
        <v>2497</v>
      </c>
      <c r="C1685" t="s">
        <v>1269</v>
      </c>
      <c r="D1685" t="s">
        <v>2498</v>
      </c>
      <c r="E1685" s="28" t="s">
        <v>890</v>
      </c>
      <c r="F1685" t="s">
        <v>2480</v>
      </c>
      <c r="G1685" t="s">
        <v>11</v>
      </c>
      <c r="M1685" s="28" t="s">
        <v>413</v>
      </c>
      <c r="N1685" t="s">
        <v>313</v>
      </c>
    </row>
    <row r="1686" spans="1:14" hidden="1" x14ac:dyDescent="0.25">
      <c r="A1686" t="s">
        <v>10662</v>
      </c>
      <c r="B1686" t="s">
        <v>6998</v>
      </c>
      <c r="C1686" t="s">
        <v>6999</v>
      </c>
      <c r="D1686" t="s">
        <v>7000</v>
      </c>
      <c r="E1686" s="28" t="s">
        <v>890</v>
      </c>
      <c r="F1686" t="s">
        <v>255</v>
      </c>
      <c r="G1686" t="s">
        <v>6896</v>
      </c>
      <c r="M1686" s="28" t="s">
        <v>6897</v>
      </c>
      <c r="N1686" t="s">
        <v>279</v>
      </c>
    </row>
    <row r="1687" spans="1:14" hidden="1" x14ac:dyDescent="0.25">
      <c r="A1687" t="s">
        <v>10979</v>
      </c>
      <c r="B1687" t="s">
        <v>10980</v>
      </c>
      <c r="C1687" t="s">
        <v>10981</v>
      </c>
      <c r="D1687" t="s">
        <v>10982</v>
      </c>
      <c r="E1687" s="28" t="s">
        <v>896</v>
      </c>
      <c r="F1687" t="s">
        <v>10983</v>
      </c>
      <c r="G1687" t="s">
        <v>84</v>
      </c>
      <c r="M1687" s="28" t="s">
        <v>14223</v>
      </c>
      <c r="N1687" t="s">
        <v>313</v>
      </c>
    </row>
    <row r="1688" spans="1:14" hidden="1" x14ac:dyDescent="0.25">
      <c r="A1688" t="s">
        <v>8106</v>
      </c>
      <c r="B1688" t="s">
        <v>1388</v>
      </c>
      <c r="C1688" t="s">
        <v>1386</v>
      </c>
      <c r="D1688" t="s">
        <v>1389</v>
      </c>
      <c r="E1688" s="28" t="s">
        <v>890</v>
      </c>
      <c r="F1688" t="s">
        <v>643</v>
      </c>
      <c r="G1688" t="s">
        <v>38</v>
      </c>
      <c r="M1688" s="28"/>
    </row>
    <row r="1689" spans="1:14" hidden="1" x14ac:dyDescent="0.25">
      <c r="A1689" t="s">
        <v>13392</v>
      </c>
      <c r="B1689" t="s">
        <v>13393</v>
      </c>
      <c r="C1689" t="s">
        <v>5191</v>
      </c>
      <c r="D1689" t="s">
        <v>13394</v>
      </c>
      <c r="E1689" s="28" t="s">
        <v>890</v>
      </c>
      <c r="F1689" t="s">
        <v>4610</v>
      </c>
      <c r="G1689" t="s">
        <v>15</v>
      </c>
      <c r="M1689" s="28" t="s">
        <v>613</v>
      </c>
      <c r="N1689" t="s">
        <v>313</v>
      </c>
    </row>
    <row r="1690" spans="1:14" hidden="1" x14ac:dyDescent="0.25">
      <c r="A1690" t="s">
        <v>9949</v>
      </c>
      <c r="B1690" t="s">
        <v>5465</v>
      </c>
      <c r="C1690" t="s">
        <v>5466</v>
      </c>
      <c r="D1690" t="s">
        <v>5467</v>
      </c>
      <c r="E1690" s="28" t="s">
        <v>890</v>
      </c>
      <c r="F1690" t="s">
        <v>750</v>
      </c>
      <c r="G1690" t="s">
        <v>15</v>
      </c>
      <c r="M1690" s="28" t="s">
        <v>613</v>
      </c>
      <c r="N1690" t="s">
        <v>313</v>
      </c>
    </row>
    <row r="1691" spans="1:14" hidden="1" x14ac:dyDescent="0.25">
      <c r="A1691" t="s">
        <v>14142</v>
      </c>
      <c r="B1691" t="s">
        <v>14143</v>
      </c>
      <c r="C1691" t="s">
        <v>5259</v>
      </c>
      <c r="D1691" t="s">
        <v>14144</v>
      </c>
      <c r="E1691" s="28" t="s">
        <v>896</v>
      </c>
      <c r="F1691" t="s">
        <v>201</v>
      </c>
      <c r="G1691" t="s">
        <v>15</v>
      </c>
      <c r="M1691" s="28" t="s">
        <v>613</v>
      </c>
      <c r="N1691" t="s">
        <v>313</v>
      </c>
    </row>
    <row r="1692" spans="1:14" hidden="1" x14ac:dyDescent="0.25">
      <c r="A1692" t="s">
        <v>13455</v>
      </c>
      <c r="B1692" t="s">
        <v>13456</v>
      </c>
      <c r="C1692" t="s">
        <v>13457</v>
      </c>
      <c r="D1692" t="s">
        <v>13458</v>
      </c>
      <c r="E1692" s="28" t="s">
        <v>896</v>
      </c>
      <c r="F1692" t="s">
        <v>786</v>
      </c>
      <c r="G1692" t="s">
        <v>110</v>
      </c>
      <c r="M1692" s="28" t="s">
        <v>13563</v>
      </c>
      <c r="N1692" t="s">
        <v>279</v>
      </c>
    </row>
    <row r="1693" spans="1:14" hidden="1" x14ac:dyDescent="0.25">
      <c r="A1693" t="s">
        <v>10819</v>
      </c>
      <c r="B1693" t="s">
        <v>7369</v>
      </c>
      <c r="C1693" t="s">
        <v>7370</v>
      </c>
      <c r="D1693" t="s">
        <v>7371</v>
      </c>
      <c r="E1693" s="28" t="s">
        <v>890</v>
      </c>
      <c r="F1693" t="s">
        <v>854</v>
      </c>
      <c r="G1693" t="s">
        <v>157</v>
      </c>
      <c r="M1693" s="28" t="s">
        <v>840</v>
      </c>
      <c r="N1693" t="s">
        <v>382</v>
      </c>
    </row>
    <row r="1694" spans="1:14" hidden="1" x14ac:dyDescent="0.25">
      <c r="A1694" t="s">
        <v>14317</v>
      </c>
      <c r="B1694" t="s">
        <v>14318</v>
      </c>
      <c r="C1694" t="s">
        <v>1293</v>
      </c>
      <c r="D1694" t="s">
        <v>11734</v>
      </c>
      <c r="E1694" s="28" t="s">
        <v>890</v>
      </c>
      <c r="F1694" t="s">
        <v>13201</v>
      </c>
      <c r="G1694" t="s">
        <v>81</v>
      </c>
      <c r="M1694" s="28" t="s">
        <v>530</v>
      </c>
      <c r="N1694" t="s">
        <v>313</v>
      </c>
    </row>
    <row r="1695" spans="1:14" hidden="1" x14ac:dyDescent="0.25">
      <c r="A1695" t="s">
        <v>14319</v>
      </c>
      <c r="B1695" t="s">
        <v>14318</v>
      </c>
      <c r="C1695" t="s">
        <v>2157</v>
      </c>
      <c r="D1695" t="s">
        <v>11735</v>
      </c>
      <c r="E1695" s="28" t="s">
        <v>896</v>
      </c>
      <c r="F1695" t="s">
        <v>13201</v>
      </c>
      <c r="G1695" t="s">
        <v>81</v>
      </c>
      <c r="M1695" s="28" t="s">
        <v>530</v>
      </c>
      <c r="N1695" t="s">
        <v>313</v>
      </c>
    </row>
    <row r="1696" spans="1:14" hidden="1" x14ac:dyDescent="0.25">
      <c r="A1696" t="s">
        <v>8507</v>
      </c>
      <c r="B1696" t="s">
        <v>2382</v>
      </c>
      <c r="C1696" t="s">
        <v>2350</v>
      </c>
      <c r="D1696" t="s">
        <v>2383</v>
      </c>
      <c r="E1696" s="28" t="s">
        <v>930</v>
      </c>
      <c r="F1696" t="s">
        <v>408</v>
      </c>
      <c r="G1696" t="s">
        <v>65</v>
      </c>
      <c r="M1696" s="28" t="s">
        <v>14209</v>
      </c>
    </row>
    <row r="1697" spans="1:14" hidden="1" x14ac:dyDescent="0.25">
      <c r="A1697" t="s">
        <v>9948</v>
      </c>
      <c r="B1697" t="s">
        <v>5462</v>
      </c>
      <c r="C1697" t="s">
        <v>4845</v>
      </c>
      <c r="D1697" t="s">
        <v>5464</v>
      </c>
      <c r="E1697" s="28" t="s">
        <v>896</v>
      </c>
      <c r="F1697" t="s">
        <v>4909</v>
      </c>
      <c r="G1697" t="s">
        <v>15</v>
      </c>
      <c r="M1697" s="28" t="s">
        <v>613</v>
      </c>
      <c r="N1697" t="s">
        <v>313</v>
      </c>
    </row>
    <row r="1698" spans="1:14" hidden="1" x14ac:dyDescent="0.25">
      <c r="A1698" t="s">
        <v>9947</v>
      </c>
      <c r="B1698" t="s">
        <v>5462</v>
      </c>
      <c r="C1698" t="s">
        <v>4549</v>
      </c>
      <c r="D1698" t="s">
        <v>5463</v>
      </c>
      <c r="E1698" s="28" t="s">
        <v>896</v>
      </c>
      <c r="F1698" t="s">
        <v>13348</v>
      </c>
      <c r="G1698" t="s">
        <v>15</v>
      </c>
      <c r="M1698" s="28" t="s">
        <v>613</v>
      </c>
      <c r="N1698" t="s">
        <v>313</v>
      </c>
    </row>
    <row r="1699" spans="1:14" hidden="1" x14ac:dyDescent="0.25">
      <c r="A1699" t="s">
        <v>9946</v>
      </c>
      <c r="B1699" t="s">
        <v>5459</v>
      </c>
      <c r="C1699" t="s">
        <v>5460</v>
      </c>
      <c r="D1699" t="s">
        <v>5461</v>
      </c>
      <c r="E1699" s="28" t="s">
        <v>896</v>
      </c>
      <c r="F1699" t="s">
        <v>730</v>
      </c>
      <c r="G1699" t="s">
        <v>15</v>
      </c>
      <c r="M1699" s="28" t="s">
        <v>613</v>
      </c>
      <c r="N1699" t="s">
        <v>313</v>
      </c>
    </row>
    <row r="1700" spans="1:14" hidden="1" x14ac:dyDescent="0.25">
      <c r="A1700" t="s">
        <v>12933</v>
      </c>
      <c r="B1700" t="s">
        <v>5457</v>
      </c>
      <c r="C1700" t="s">
        <v>4841</v>
      </c>
      <c r="D1700" t="s">
        <v>12934</v>
      </c>
      <c r="E1700" s="28"/>
      <c r="F1700" t="s">
        <v>4837</v>
      </c>
      <c r="G1700" t="s">
        <v>15</v>
      </c>
      <c r="M1700" s="28" t="s">
        <v>613</v>
      </c>
      <c r="N1700" t="s">
        <v>313</v>
      </c>
    </row>
    <row r="1701" spans="1:14" hidden="1" x14ac:dyDescent="0.25">
      <c r="A1701" t="s">
        <v>9945</v>
      </c>
      <c r="B1701" t="s">
        <v>5457</v>
      </c>
      <c r="C1701" t="s">
        <v>4600</v>
      </c>
      <c r="D1701" t="s">
        <v>5458</v>
      </c>
      <c r="E1701" s="28" t="s">
        <v>890</v>
      </c>
      <c r="F1701" t="s">
        <v>4837</v>
      </c>
      <c r="G1701" t="s">
        <v>15</v>
      </c>
      <c r="M1701" s="28" t="s">
        <v>613</v>
      </c>
      <c r="N1701" t="s">
        <v>313</v>
      </c>
    </row>
    <row r="1702" spans="1:14" hidden="1" x14ac:dyDescent="0.25">
      <c r="A1702" t="s">
        <v>8955</v>
      </c>
      <c r="B1702" t="s">
        <v>3422</v>
      </c>
      <c r="C1702" t="s">
        <v>3021</v>
      </c>
      <c r="D1702" t="s">
        <v>3423</v>
      </c>
      <c r="E1702" s="28" t="s">
        <v>896</v>
      </c>
      <c r="F1702" t="s">
        <v>891</v>
      </c>
      <c r="G1702" t="s">
        <v>88</v>
      </c>
      <c r="M1702" s="28" t="s">
        <v>549</v>
      </c>
      <c r="N1702" t="s">
        <v>313</v>
      </c>
    </row>
    <row r="1703" spans="1:14" hidden="1" x14ac:dyDescent="0.25">
      <c r="A1703" t="s">
        <v>9944</v>
      </c>
      <c r="B1703" t="s">
        <v>5454</v>
      </c>
      <c r="C1703" t="s">
        <v>5455</v>
      </c>
      <c r="D1703" t="s">
        <v>5456</v>
      </c>
      <c r="E1703" s="28" t="s">
        <v>896</v>
      </c>
      <c r="F1703" t="s">
        <v>4909</v>
      </c>
      <c r="G1703" t="s">
        <v>15</v>
      </c>
      <c r="M1703" s="28" t="s">
        <v>613</v>
      </c>
      <c r="N1703" t="s">
        <v>313</v>
      </c>
    </row>
    <row r="1704" spans="1:14" hidden="1" x14ac:dyDescent="0.25">
      <c r="A1704" t="s">
        <v>11207</v>
      </c>
      <c r="B1704" t="s">
        <v>11208</v>
      </c>
      <c r="C1704" t="s">
        <v>11209</v>
      </c>
      <c r="D1704" t="s">
        <v>11210</v>
      </c>
      <c r="E1704" s="28" t="s">
        <v>896</v>
      </c>
      <c r="F1704" t="s">
        <v>11211</v>
      </c>
      <c r="G1704" t="s">
        <v>84</v>
      </c>
      <c r="M1704" s="28" t="s">
        <v>14223</v>
      </c>
      <c r="N1704" t="s">
        <v>313</v>
      </c>
    </row>
    <row r="1705" spans="1:14" hidden="1" x14ac:dyDescent="0.25">
      <c r="A1705" t="s">
        <v>11878</v>
      </c>
      <c r="B1705" t="s">
        <v>11879</v>
      </c>
      <c r="C1705" t="s">
        <v>11880</v>
      </c>
      <c r="D1705" t="s">
        <v>11881</v>
      </c>
      <c r="E1705" s="28" t="s">
        <v>890</v>
      </c>
      <c r="F1705" t="s">
        <v>11578</v>
      </c>
      <c r="G1705" t="s">
        <v>110</v>
      </c>
      <c r="M1705" s="28" t="s">
        <v>13563</v>
      </c>
      <c r="N1705" t="s">
        <v>279</v>
      </c>
    </row>
    <row r="1706" spans="1:14" hidden="1" x14ac:dyDescent="0.25">
      <c r="A1706" t="s">
        <v>12550</v>
      </c>
      <c r="B1706" t="s">
        <v>12551</v>
      </c>
      <c r="C1706" t="s">
        <v>12552</v>
      </c>
      <c r="D1706" t="s">
        <v>12553</v>
      </c>
      <c r="E1706" s="28" t="s">
        <v>1177</v>
      </c>
      <c r="F1706" t="s">
        <v>554</v>
      </c>
      <c r="G1706" t="s">
        <v>88</v>
      </c>
      <c r="M1706" s="28" t="s">
        <v>549</v>
      </c>
      <c r="N1706" t="s">
        <v>313</v>
      </c>
    </row>
    <row r="1707" spans="1:14" hidden="1" x14ac:dyDescent="0.25">
      <c r="A1707" t="s">
        <v>8956</v>
      </c>
      <c r="B1707" t="s">
        <v>3424</v>
      </c>
      <c r="C1707" t="s">
        <v>3167</v>
      </c>
      <c r="D1707" t="s">
        <v>3425</v>
      </c>
      <c r="E1707" s="28" t="s">
        <v>890</v>
      </c>
      <c r="F1707" t="s">
        <v>891</v>
      </c>
      <c r="G1707" t="s">
        <v>88</v>
      </c>
      <c r="M1707" s="28" t="s">
        <v>549</v>
      </c>
      <c r="N1707" t="s">
        <v>313</v>
      </c>
    </row>
    <row r="1708" spans="1:14" hidden="1" x14ac:dyDescent="0.25">
      <c r="A1708" t="s">
        <v>11654</v>
      </c>
      <c r="B1708" t="s">
        <v>2728</v>
      </c>
      <c r="C1708" t="s">
        <v>2623</v>
      </c>
      <c r="D1708" t="s">
        <v>2729</v>
      </c>
      <c r="E1708" s="28" t="s">
        <v>1023</v>
      </c>
      <c r="F1708" t="s">
        <v>172</v>
      </c>
      <c r="G1708" t="s">
        <v>74</v>
      </c>
      <c r="M1708" s="28" t="s">
        <v>507</v>
      </c>
      <c r="N1708" t="s">
        <v>313</v>
      </c>
    </row>
    <row r="1709" spans="1:14" hidden="1" x14ac:dyDescent="0.25">
      <c r="A1709" t="s">
        <v>10775</v>
      </c>
      <c r="B1709" t="s">
        <v>7269</v>
      </c>
      <c r="C1709" t="s">
        <v>1134</v>
      </c>
      <c r="D1709" t="s">
        <v>7270</v>
      </c>
      <c r="E1709" s="28" t="s">
        <v>890</v>
      </c>
      <c r="F1709" t="s">
        <v>7258</v>
      </c>
      <c r="G1709" t="s">
        <v>152</v>
      </c>
      <c r="M1709" s="28"/>
    </row>
    <row r="1710" spans="1:14" hidden="1" x14ac:dyDescent="0.25">
      <c r="A1710" t="s">
        <v>9943</v>
      </c>
      <c r="B1710" t="s">
        <v>5452</v>
      </c>
      <c r="C1710" t="s">
        <v>4916</v>
      </c>
      <c r="D1710" t="s">
        <v>5453</v>
      </c>
      <c r="E1710" s="28" t="s">
        <v>896</v>
      </c>
      <c r="F1710" t="s">
        <v>685</v>
      </c>
      <c r="G1710" t="s">
        <v>15</v>
      </c>
      <c r="M1710" s="28" t="s">
        <v>613</v>
      </c>
      <c r="N1710" t="s">
        <v>313</v>
      </c>
    </row>
    <row r="1711" spans="1:14" hidden="1" x14ac:dyDescent="0.25">
      <c r="A1711" t="s">
        <v>12586</v>
      </c>
      <c r="B1711" t="s">
        <v>12587</v>
      </c>
      <c r="C1711" t="s">
        <v>2184</v>
      </c>
      <c r="D1711" t="s">
        <v>12588</v>
      </c>
      <c r="E1711" s="28" t="s">
        <v>890</v>
      </c>
      <c r="F1711" t="s">
        <v>676</v>
      </c>
      <c r="G1711" t="s">
        <v>15</v>
      </c>
      <c r="M1711" s="28" t="s">
        <v>613</v>
      </c>
      <c r="N1711" t="s">
        <v>313</v>
      </c>
    </row>
    <row r="1712" spans="1:14" hidden="1" x14ac:dyDescent="0.25">
      <c r="A1712" t="s">
        <v>9942</v>
      </c>
      <c r="B1712" t="s">
        <v>5450</v>
      </c>
      <c r="C1712" t="s">
        <v>4535</v>
      </c>
      <c r="D1712" t="s">
        <v>5451</v>
      </c>
      <c r="E1712" s="28" t="s">
        <v>896</v>
      </c>
      <c r="F1712" t="s">
        <v>780</v>
      </c>
      <c r="G1712" t="s">
        <v>15</v>
      </c>
      <c r="M1712" s="28" t="s">
        <v>613</v>
      </c>
      <c r="N1712" t="s">
        <v>313</v>
      </c>
    </row>
    <row r="1713" spans="1:14" hidden="1" x14ac:dyDescent="0.25">
      <c r="A1713" t="s">
        <v>9941</v>
      </c>
      <c r="B1713" t="s">
        <v>5448</v>
      </c>
      <c r="C1713" t="s">
        <v>1490</v>
      </c>
      <c r="D1713" t="s">
        <v>5449</v>
      </c>
      <c r="E1713" s="28" t="s">
        <v>890</v>
      </c>
      <c r="F1713" t="s">
        <v>620</v>
      </c>
      <c r="G1713" t="s">
        <v>15</v>
      </c>
      <c r="M1713" s="28" t="s">
        <v>613</v>
      </c>
      <c r="N1713" t="s">
        <v>313</v>
      </c>
    </row>
    <row r="1714" spans="1:14" hidden="1" x14ac:dyDescent="0.25">
      <c r="A1714" t="s">
        <v>14660</v>
      </c>
      <c r="B1714" t="s">
        <v>14661</v>
      </c>
      <c r="C1714" t="s">
        <v>4557</v>
      </c>
      <c r="D1714" t="s">
        <v>14662</v>
      </c>
      <c r="E1714" s="28" t="s">
        <v>896</v>
      </c>
      <c r="F1714" t="s">
        <v>11357</v>
      </c>
      <c r="G1714" t="s">
        <v>15</v>
      </c>
      <c r="M1714" s="28" t="s">
        <v>613</v>
      </c>
      <c r="N1714" t="s">
        <v>313</v>
      </c>
    </row>
    <row r="1715" spans="1:14" hidden="1" x14ac:dyDescent="0.25">
      <c r="A1715" t="s">
        <v>9940</v>
      </c>
      <c r="B1715" t="s">
        <v>5446</v>
      </c>
      <c r="C1715" t="s">
        <v>2515</v>
      </c>
      <c r="D1715" t="s">
        <v>5447</v>
      </c>
      <c r="E1715" s="28" t="s">
        <v>896</v>
      </c>
      <c r="F1715" t="s">
        <v>4635</v>
      </c>
      <c r="G1715" t="s">
        <v>15</v>
      </c>
      <c r="M1715" s="28" t="s">
        <v>613</v>
      </c>
      <c r="N1715" t="s">
        <v>313</v>
      </c>
    </row>
    <row r="1716" spans="1:14" hidden="1" x14ac:dyDescent="0.25">
      <c r="A1716" t="s">
        <v>9939</v>
      </c>
      <c r="B1716" t="s">
        <v>5443</v>
      </c>
      <c r="C1716" t="s">
        <v>5444</v>
      </c>
      <c r="D1716" t="s">
        <v>5445</v>
      </c>
      <c r="E1716" s="28" t="s">
        <v>890</v>
      </c>
      <c r="F1716" t="s">
        <v>227</v>
      </c>
      <c r="G1716" t="s">
        <v>15</v>
      </c>
      <c r="M1716" s="28" t="s">
        <v>613</v>
      </c>
      <c r="N1716" t="s">
        <v>313</v>
      </c>
    </row>
    <row r="1717" spans="1:14" hidden="1" x14ac:dyDescent="0.25">
      <c r="A1717" t="s">
        <v>13767</v>
      </c>
      <c r="B1717" t="s">
        <v>13768</v>
      </c>
      <c r="C1717" t="s">
        <v>4640</v>
      </c>
      <c r="D1717" t="s">
        <v>13769</v>
      </c>
      <c r="E1717" s="28" t="s">
        <v>896</v>
      </c>
      <c r="F1717" t="s">
        <v>5176</v>
      </c>
      <c r="G1717" t="s">
        <v>15</v>
      </c>
      <c r="M1717" s="28" t="s">
        <v>613</v>
      </c>
      <c r="N1717" t="s">
        <v>313</v>
      </c>
    </row>
    <row r="1718" spans="1:14" hidden="1" x14ac:dyDescent="0.25">
      <c r="A1718" t="s">
        <v>8957</v>
      </c>
      <c r="B1718" t="s">
        <v>3426</v>
      </c>
      <c r="C1718" t="s">
        <v>3427</v>
      </c>
      <c r="D1718" t="s">
        <v>3428</v>
      </c>
      <c r="E1718" s="28" t="s">
        <v>890</v>
      </c>
      <c r="F1718" t="s">
        <v>891</v>
      </c>
      <c r="G1718" t="s">
        <v>88</v>
      </c>
      <c r="M1718" s="28" t="s">
        <v>549</v>
      </c>
      <c r="N1718" t="s">
        <v>313</v>
      </c>
    </row>
    <row r="1719" spans="1:14" hidden="1" x14ac:dyDescent="0.25">
      <c r="A1719" t="s">
        <v>8958</v>
      </c>
      <c r="B1719" t="s">
        <v>3429</v>
      </c>
      <c r="C1719" t="s">
        <v>3025</v>
      </c>
      <c r="D1719" t="s">
        <v>3430</v>
      </c>
      <c r="E1719" s="28" t="s">
        <v>890</v>
      </c>
      <c r="F1719" t="s">
        <v>891</v>
      </c>
      <c r="G1719" t="s">
        <v>88</v>
      </c>
      <c r="M1719" s="28" t="s">
        <v>549</v>
      </c>
      <c r="N1719" t="s">
        <v>313</v>
      </c>
    </row>
    <row r="1720" spans="1:14" hidden="1" x14ac:dyDescent="0.25">
      <c r="A1720" t="s">
        <v>9938</v>
      </c>
      <c r="B1720" t="s">
        <v>5441</v>
      </c>
      <c r="C1720" t="s">
        <v>4557</v>
      </c>
      <c r="D1720" t="s">
        <v>5442</v>
      </c>
      <c r="E1720" s="28" t="s">
        <v>896</v>
      </c>
      <c r="F1720" t="s">
        <v>221</v>
      </c>
      <c r="G1720" t="s">
        <v>15</v>
      </c>
      <c r="M1720" s="28" t="s">
        <v>613</v>
      </c>
      <c r="N1720" t="s">
        <v>313</v>
      </c>
    </row>
    <row r="1721" spans="1:14" hidden="1" x14ac:dyDescent="0.25">
      <c r="A1721" t="s">
        <v>8379</v>
      </c>
      <c r="B1721" t="s">
        <v>2073</v>
      </c>
      <c r="C1721" t="s">
        <v>2074</v>
      </c>
      <c r="D1721" t="s">
        <v>2075</v>
      </c>
      <c r="E1721" s="28" t="s">
        <v>890</v>
      </c>
      <c r="F1721" t="s">
        <v>398</v>
      </c>
      <c r="G1721" t="s">
        <v>60</v>
      </c>
      <c r="M1721" s="28" t="s">
        <v>14207</v>
      </c>
    </row>
    <row r="1722" spans="1:14" hidden="1" x14ac:dyDescent="0.25">
      <c r="A1722" t="s">
        <v>8398</v>
      </c>
      <c r="B1722" t="s">
        <v>2118</v>
      </c>
      <c r="C1722" t="s">
        <v>2119</v>
      </c>
      <c r="D1722" t="s">
        <v>2120</v>
      </c>
      <c r="E1722" s="28" t="s">
        <v>896</v>
      </c>
      <c r="F1722" t="s">
        <v>400</v>
      </c>
      <c r="G1722" t="s">
        <v>60</v>
      </c>
      <c r="M1722" s="28" t="s">
        <v>14207</v>
      </c>
    </row>
    <row r="1723" spans="1:14" hidden="1" x14ac:dyDescent="0.25">
      <c r="A1723" t="s">
        <v>8959</v>
      </c>
      <c r="B1723" t="s">
        <v>2118</v>
      </c>
      <c r="C1723" t="s">
        <v>3057</v>
      </c>
      <c r="D1723" t="s">
        <v>3431</v>
      </c>
      <c r="E1723" s="28" t="s">
        <v>890</v>
      </c>
      <c r="F1723" t="s">
        <v>891</v>
      </c>
      <c r="G1723" t="s">
        <v>88</v>
      </c>
      <c r="M1723" s="28" t="s">
        <v>549</v>
      </c>
      <c r="N1723" t="s">
        <v>313</v>
      </c>
    </row>
    <row r="1724" spans="1:14" hidden="1" x14ac:dyDescent="0.25">
      <c r="A1724" t="s">
        <v>8404</v>
      </c>
      <c r="B1724" t="s">
        <v>2118</v>
      </c>
      <c r="C1724" t="s">
        <v>2100</v>
      </c>
      <c r="D1724" t="s">
        <v>2137</v>
      </c>
      <c r="E1724" s="28" t="s">
        <v>896</v>
      </c>
      <c r="F1724" t="s">
        <v>398</v>
      </c>
      <c r="G1724" t="s">
        <v>60</v>
      </c>
      <c r="M1724" s="28" t="s">
        <v>14207</v>
      </c>
    </row>
    <row r="1725" spans="1:14" hidden="1" x14ac:dyDescent="0.25">
      <c r="A1725" t="s">
        <v>8576</v>
      </c>
      <c r="B1725" t="s">
        <v>2118</v>
      </c>
      <c r="C1725" t="s">
        <v>2551</v>
      </c>
      <c r="D1725" t="s">
        <v>2552</v>
      </c>
      <c r="E1725" s="28" t="s">
        <v>890</v>
      </c>
      <c r="F1725" t="s">
        <v>891</v>
      </c>
      <c r="G1725" t="s">
        <v>11</v>
      </c>
      <c r="M1725" s="28" t="s">
        <v>413</v>
      </c>
      <c r="N1725" t="s">
        <v>313</v>
      </c>
    </row>
    <row r="1726" spans="1:14" hidden="1" x14ac:dyDescent="0.25">
      <c r="A1726" t="s">
        <v>9937</v>
      </c>
      <c r="B1726" t="s">
        <v>5438</v>
      </c>
      <c r="C1726" t="s">
        <v>5439</v>
      </c>
      <c r="D1726" t="s">
        <v>5440</v>
      </c>
      <c r="E1726" s="28" t="s">
        <v>896</v>
      </c>
      <c r="F1726" t="s">
        <v>679</v>
      </c>
      <c r="G1726" t="s">
        <v>15</v>
      </c>
      <c r="M1726" s="28" t="s">
        <v>613</v>
      </c>
      <c r="N1726" t="s">
        <v>313</v>
      </c>
    </row>
    <row r="1727" spans="1:14" hidden="1" x14ac:dyDescent="0.25">
      <c r="A1727" t="s">
        <v>8960</v>
      </c>
      <c r="B1727" t="s">
        <v>3432</v>
      </c>
      <c r="C1727" t="s">
        <v>3167</v>
      </c>
      <c r="D1727" t="s">
        <v>3433</v>
      </c>
      <c r="E1727" s="28" t="s">
        <v>890</v>
      </c>
      <c r="F1727" t="s">
        <v>891</v>
      </c>
      <c r="G1727" t="s">
        <v>88</v>
      </c>
      <c r="M1727" s="28" t="s">
        <v>549</v>
      </c>
      <c r="N1727" t="s">
        <v>313</v>
      </c>
    </row>
    <row r="1728" spans="1:14" hidden="1" x14ac:dyDescent="0.25">
      <c r="A1728" t="s">
        <v>8961</v>
      </c>
      <c r="B1728" t="s">
        <v>3432</v>
      </c>
      <c r="C1728" t="s">
        <v>2108</v>
      </c>
      <c r="D1728" t="s">
        <v>3434</v>
      </c>
      <c r="E1728" s="28" t="s">
        <v>896</v>
      </c>
      <c r="F1728" t="s">
        <v>588</v>
      </c>
      <c r="G1728" t="s">
        <v>88</v>
      </c>
      <c r="M1728" s="28" t="s">
        <v>549</v>
      </c>
      <c r="N1728" t="s">
        <v>313</v>
      </c>
    </row>
    <row r="1729" spans="1:14" hidden="1" x14ac:dyDescent="0.25">
      <c r="A1729" t="s">
        <v>9936</v>
      </c>
      <c r="B1729" t="s">
        <v>5436</v>
      </c>
      <c r="C1729" t="s">
        <v>1490</v>
      </c>
      <c r="D1729" t="s">
        <v>5437</v>
      </c>
      <c r="E1729" s="28" t="s">
        <v>890</v>
      </c>
      <c r="F1729" t="s">
        <v>225</v>
      </c>
      <c r="G1729" t="s">
        <v>15</v>
      </c>
      <c r="M1729" s="28" t="s">
        <v>613</v>
      </c>
      <c r="N1729" t="s">
        <v>313</v>
      </c>
    </row>
    <row r="1730" spans="1:14" hidden="1" x14ac:dyDescent="0.25">
      <c r="A1730" t="s">
        <v>9935</v>
      </c>
      <c r="B1730" t="s">
        <v>5434</v>
      </c>
      <c r="C1730" t="s">
        <v>1180</v>
      </c>
      <c r="D1730" t="s">
        <v>5435</v>
      </c>
      <c r="E1730" s="28" t="s">
        <v>890</v>
      </c>
      <c r="F1730" t="s">
        <v>693</v>
      </c>
      <c r="G1730" t="s">
        <v>15</v>
      </c>
      <c r="M1730" s="28" t="s">
        <v>613</v>
      </c>
      <c r="N1730" t="s">
        <v>313</v>
      </c>
    </row>
    <row r="1731" spans="1:14" hidden="1" x14ac:dyDescent="0.25">
      <c r="A1731" t="s">
        <v>10720</v>
      </c>
      <c r="B1731" t="s">
        <v>7132</v>
      </c>
      <c r="C1731" t="s">
        <v>7133</v>
      </c>
      <c r="D1731" t="s">
        <v>7134</v>
      </c>
      <c r="E1731" s="28" t="s">
        <v>890</v>
      </c>
      <c r="F1731" t="s">
        <v>6901</v>
      </c>
      <c r="G1731" t="s">
        <v>6896</v>
      </c>
      <c r="M1731" s="28" t="s">
        <v>6897</v>
      </c>
      <c r="N1731" t="s">
        <v>279</v>
      </c>
    </row>
    <row r="1732" spans="1:14" hidden="1" x14ac:dyDescent="0.25">
      <c r="A1732" t="s">
        <v>10718</v>
      </c>
      <c r="B1732" t="s">
        <v>7127</v>
      </c>
      <c r="C1732" t="s">
        <v>7128</v>
      </c>
      <c r="D1732" t="s">
        <v>7129</v>
      </c>
      <c r="E1732" s="28" t="s">
        <v>890</v>
      </c>
      <c r="F1732" t="s">
        <v>6901</v>
      </c>
      <c r="G1732" t="s">
        <v>6896</v>
      </c>
      <c r="M1732" s="28" t="s">
        <v>6897</v>
      </c>
      <c r="N1732" t="s">
        <v>279</v>
      </c>
    </row>
    <row r="1733" spans="1:14" hidden="1" x14ac:dyDescent="0.25">
      <c r="A1733" t="s">
        <v>13463</v>
      </c>
      <c r="B1733" t="s">
        <v>6349</v>
      </c>
      <c r="C1733" t="s">
        <v>13464</v>
      </c>
      <c r="D1733" t="s">
        <v>13465</v>
      </c>
      <c r="E1733" s="28" t="s">
        <v>896</v>
      </c>
      <c r="F1733" t="s">
        <v>786</v>
      </c>
      <c r="G1733" t="s">
        <v>110</v>
      </c>
      <c r="M1733" s="28" t="s">
        <v>13563</v>
      </c>
      <c r="N1733" t="s">
        <v>279</v>
      </c>
    </row>
    <row r="1734" spans="1:14" hidden="1" x14ac:dyDescent="0.25">
      <c r="A1734" t="s">
        <v>10391</v>
      </c>
      <c r="B1734" t="s">
        <v>6349</v>
      </c>
      <c r="C1734" t="s">
        <v>6350</v>
      </c>
      <c r="D1734" t="s">
        <v>6351</v>
      </c>
      <c r="E1734" s="28" t="s">
        <v>890</v>
      </c>
      <c r="F1734" t="s">
        <v>11563</v>
      </c>
      <c r="G1734" t="s">
        <v>110</v>
      </c>
      <c r="M1734" s="28" t="s">
        <v>13563</v>
      </c>
      <c r="N1734" t="s">
        <v>279</v>
      </c>
    </row>
    <row r="1735" spans="1:14" hidden="1" x14ac:dyDescent="0.25">
      <c r="A1735" t="s">
        <v>13273</v>
      </c>
      <c r="B1735" t="s">
        <v>13274</v>
      </c>
      <c r="C1735" t="s">
        <v>1099</v>
      </c>
      <c r="D1735" t="s">
        <v>13275</v>
      </c>
      <c r="E1735" s="28" t="s">
        <v>896</v>
      </c>
      <c r="F1735" t="s">
        <v>415</v>
      </c>
      <c r="G1735" t="s">
        <v>11</v>
      </c>
      <c r="M1735" s="28" t="s">
        <v>413</v>
      </c>
      <c r="N1735" t="s">
        <v>313</v>
      </c>
    </row>
    <row r="1736" spans="1:14" hidden="1" x14ac:dyDescent="0.25">
      <c r="A1736" t="s">
        <v>10679</v>
      </c>
      <c r="B1736" t="s">
        <v>6920</v>
      </c>
      <c r="C1736" t="s">
        <v>7040</v>
      </c>
      <c r="D1736" t="s">
        <v>7041</v>
      </c>
      <c r="E1736" s="28" t="s">
        <v>890</v>
      </c>
      <c r="F1736" t="s">
        <v>6901</v>
      </c>
      <c r="G1736" t="s">
        <v>6896</v>
      </c>
      <c r="M1736" s="28" t="s">
        <v>6897</v>
      </c>
      <c r="N1736" t="s">
        <v>279</v>
      </c>
    </row>
    <row r="1737" spans="1:14" hidden="1" x14ac:dyDescent="0.25">
      <c r="A1737" t="s">
        <v>10632</v>
      </c>
      <c r="B1737" t="s">
        <v>6920</v>
      </c>
      <c r="C1737" t="s">
        <v>6921</v>
      </c>
      <c r="D1737" t="s">
        <v>6922</v>
      </c>
      <c r="E1737" s="28" t="s">
        <v>890</v>
      </c>
      <c r="F1737" t="s">
        <v>6901</v>
      </c>
      <c r="G1737" t="s">
        <v>6896</v>
      </c>
      <c r="M1737" s="28" t="s">
        <v>6897</v>
      </c>
      <c r="N1737" t="s">
        <v>279</v>
      </c>
    </row>
    <row r="1738" spans="1:14" hidden="1" x14ac:dyDescent="0.25">
      <c r="A1738" t="s">
        <v>11493</v>
      </c>
      <c r="B1738" t="s">
        <v>2474</v>
      </c>
      <c r="C1738" t="s">
        <v>1269</v>
      </c>
      <c r="D1738" t="s">
        <v>11494</v>
      </c>
      <c r="E1738" s="28" t="s">
        <v>896</v>
      </c>
      <c r="F1738" t="s">
        <v>831</v>
      </c>
      <c r="G1738" t="s">
        <v>145</v>
      </c>
      <c r="M1738" s="28" t="s">
        <v>13222</v>
      </c>
      <c r="N1738" t="s">
        <v>313</v>
      </c>
    </row>
    <row r="1739" spans="1:14" hidden="1" x14ac:dyDescent="0.25">
      <c r="A1739" t="s">
        <v>8587</v>
      </c>
      <c r="B1739" t="s">
        <v>2574</v>
      </c>
      <c r="C1739" t="s">
        <v>1104</v>
      </c>
      <c r="D1739" t="s">
        <v>2575</v>
      </c>
      <c r="E1739" s="28" t="s">
        <v>890</v>
      </c>
      <c r="F1739" t="s">
        <v>11615</v>
      </c>
      <c r="G1739" t="s">
        <v>11</v>
      </c>
      <c r="M1739" s="28" t="s">
        <v>413</v>
      </c>
      <c r="N1739" t="s">
        <v>313</v>
      </c>
    </row>
    <row r="1740" spans="1:14" hidden="1" x14ac:dyDescent="0.25">
      <c r="A1740" t="s">
        <v>8738</v>
      </c>
      <c r="B1740" t="s">
        <v>2943</v>
      </c>
      <c r="C1740" t="s">
        <v>1365</v>
      </c>
      <c r="D1740" t="s">
        <v>2944</v>
      </c>
      <c r="E1740" s="28" t="s">
        <v>896</v>
      </c>
      <c r="F1740" t="s">
        <v>14211</v>
      </c>
      <c r="G1740" t="s">
        <v>81</v>
      </c>
      <c r="M1740" s="28" t="s">
        <v>530</v>
      </c>
      <c r="N1740" t="s">
        <v>313</v>
      </c>
    </row>
    <row r="1741" spans="1:14" hidden="1" x14ac:dyDescent="0.25">
      <c r="A1741" t="s">
        <v>10820</v>
      </c>
      <c r="B1741" t="s">
        <v>7372</v>
      </c>
      <c r="C1741" t="s">
        <v>7373</v>
      </c>
      <c r="D1741" t="s">
        <v>7374</v>
      </c>
      <c r="E1741" s="28" t="s">
        <v>890</v>
      </c>
      <c r="F1741" t="s">
        <v>878</v>
      </c>
      <c r="G1741" t="s">
        <v>157</v>
      </c>
      <c r="M1741" s="28" t="s">
        <v>840</v>
      </c>
      <c r="N1741" t="s">
        <v>382</v>
      </c>
    </row>
    <row r="1742" spans="1:14" hidden="1" x14ac:dyDescent="0.25">
      <c r="A1742" t="s">
        <v>14145</v>
      </c>
      <c r="B1742" t="s">
        <v>14146</v>
      </c>
      <c r="C1742" t="s">
        <v>1227</v>
      </c>
      <c r="D1742" t="s">
        <v>14147</v>
      </c>
      <c r="E1742" s="28" t="s">
        <v>890</v>
      </c>
      <c r="F1742" t="s">
        <v>843</v>
      </c>
      <c r="G1742" t="s">
        <v>157</v>
      </c>
      <c r="M1742" s="28" t="s">
        <v>840</v>
      </c>
      <c r="N1742" t="s">
        <v>382</v>
      </c>
    </row>
    <row r="1743" spans="1:14" hidden="1" x14ac:dyDescent="0.25">
      <c r="A1743" t="s">
        <v>10935</v>
      </c>
      <c r="B1743" t="s">
        <v>10936</v>
      </c>
      <c r="C1743" t="s">
        <v>1509</v>
      </c>
      <c r="D1743" t="s">
        <v>10937</v>
      </c>
      <c r="E1743" s="28" t="s">
        <v>896</v>
      </c>
      <c r="F1743" t="s">
        <v>14211</v>
      </c>
      <c r="G1743" t="s">
        <v>81</v>
      </c>
      <c r="M1743" s="28" t="s">
        <v>530</v>
      </c>
      <c r="N1743" t="s">
        <v>313</v>
      </c>
    </row>
    <row r="1744" spans="1:14" hidden="1" x14ac:dyDescent="0.25">
      <c r="A1744" t="s">
        <v>14505</v>
      </c>
      <c r="B1744" t="s">
        <v>1090</v>
      </c>
      <c r="C1744" t="s">
        <v>1161</v>
      </c>
      <c r="D1744" t="s">
        <v>14506</v>
      </c>
      <c r="E1744" s="28" t="s">
        <v>896</v>
      </c>
      <c r="F1744" t="s">
        <v>891</v>
      </c>
      <c r="G1744" t="s">
        <v>11</v>
      </c>
      <c r="M1744" s="28" t="s">
        <v>413</v>
      </c>
      <c r="N1744" t="s">
        <v>313</v>
      </c>
    </row>
    <row r="1745" spans="1:14" hidden="1" x14ac:dyDescent="0.25">
      <c r="A1745" t="s">
        <v>10821</v>
      </c>
      <c r="B1745" t="s">
        <v>1090</v>
      </c>
      <c r="C1745" t="s">
        <v>7375</v>
      </c>
      <c r="D1745" t="s">
        <v>7376</v>
      </c>
      <c r="E1745" s="28" t="s">
        <v>896</v>
      </c>
      <c r="F1745" t="s">
        <v>891</v>
      </c>
      <c r="G1745" t="s">
        <v>157</v>
      </c>
      <c r="M1745" s="28" t="s">
        <v>840</v>
      </c>
      <c r="N1745" t="s">
        <v>382</v>
      </c>
    </row>
    <row r="1746" spans="1:14" hidden="1" x14ac:dyDescent="0.25">
      <c r="A1746" t="s">
        <v>13246</v>
      </c>
      <c r="B1746" t="s">
        <v>2477</v>
      </c>
      <c r="C1746" t="s">
        <v>2026</v>
      </c>
      <c r="D1746" t="s">
        <v>13247</v>
      </c>
      <c r="E1746" s="28" t="s">
        <v>890</v>
      </c>
      <c r="F1746" t="s">
        <v>415</v>
      </c>
      <c r="G1746" t="s">
        <v>11</v>
      </c>
      <c r="M1746" s="28" t="s">
        <v>413</v>
      </c>
      <c r="N1746" t="s">
        <v>313</v>
      </c>
    </row>
    <row r="1747" spans="1:14" hidden="1" x14ac:dyDescent="0.25">
      <c r="A1747" t="s">
        <v>8546</v>
      </c>
      <c r="B1747" t="s">
        <v>2477</v>
      </c>
      <c r="C1747" t="s">
        <v>2478</v>
      </c>
      <c r="D1747" t="s">
        <v>2479</v>
      </c>
      <c r="E1747" s="28" t="s">
        <v>896</v>
      </c>
      <c r="F1747" t="s">
        <v>415</v>
      </c>
      <c r="G1747" t="s">
        <v>11</v>
      </c>
      <c r="M1747" s="28" t="s">
        <v>413</v>
      </c>
      <c r="N1747" t="s">
        <v>313</v>
      </c>
    </row>
    <row r="1748" spans="1:14" hidden="1" x14ac:dyDescent="0.25">
      <c r="A1748" t="s">
        <v>14320</v>
      </c>
      <c r="B1748" t="s">
        <v>14321</v>
      </c>
      <c r="C1748" t="s">
        <v>2281</v>
      </c>
      <c r="D1748" t="s">
        <v>11736</v>
      </c>
      <c r="E1748" s="28" t="s">
        <v>896</v>
      </c>
      <c r="F1748" t="s">
        <v>891</v>
      </c>
      <c r="G1748" t="s">
        <v>81</v>
      </c>
      <c r="M1748" s="28" t="s">
        <v>530</v>
      </c>
      <c r="N1748" t="s">
        <v>313</v>
      </c>
    </row>
    <row r="1749" spans="1:14" hidden="1" x14ac:dyDescent="0.25">
      <c r="A1749" t="s">
        <v>8194</v>
      </c>
      <c r="B1749" t="s">
        <v>1605</v>
      </c>
      <c r="C1749" t="s">
        <v>1542</v>
      </c>
      <c r="D1749" t="s">
        <v>1606</v>
      </c>
      <c r="E1749" s="28" t="s">
        <v>930</v>
      </c>
      <c r="F1749" t="s">
        <v>340</v>
      </c>
      <c r="G1749" t="s">
        <v>38</v>
      </c>
      <c r="M1749" s="28"/>
    </row>
    <row r="1750" spans="1:14" hidden="1" x14ac:dyDescent="0.25">
      <c r="A1750" t="s">
        <v>12708</v>
      </c>
      <c r="B1750" t="s">
        <v>1605</v>
      </c>
      <c r="C1750" t="s">
        <v>1060</v>
      </c>
      <c r="D1750" t="s">
        <v>12709</v>
      </c>
      <c r="E1750" s="28" t="s">
        <v>890</v>
      </c>
      <c r="F1750" t="s">
        <v>340</v>
      </c>
      <c r="G1750" t="s">
        <v>38</v>
      </c>
      <c r="M1750" s="28"/>
    </row>
    <row r="1751" spans="1:14" hidden="1" x14ac:dyDescent="0.25">
      <c r="A1751" t="s">
        <v>8281</v>
      </c>
      <c r="B1751" t="s">
        <v>1827</v>
      </c>
      <c r="C1751" t="s">
        <v>1828</v>
      </c>
      <c r="D1751" t="s">
        <v>1829</v>
      </c>
      <c r="E1751" s="28" t="s">
        <v>890</v>
      </c>
      <c r="F1751" t="s">
        <v>349</v>
      </c>
      <c r="G1751" t="s">
        <v>43</v>
      </c>
      <c r="M1751" s="28" t="s">
        <v>14205</v>
      </c>
    </row>
    <row r="1752" spans="1:14" hidden="1" x14ac:dyDescent="0.25">
      <c r="A1752" t="s">
        <v>11952</v>
      </c>
      <c r="B1752" t="s">
        <v>6572</v>
      </c>
      <c r="C1752" t="s">
        <v>6571</v>
      </c>
      <c r="D1752" t="s">
        <v>6573</v>
      </c>
      <c r="E1752" s="28" t="s">
        <v>896</v>
      </c>
      <c r="F1752" t="s">
        <v>799</v>
      </c>
      <c r="G1752" t="s">
        <v>129</v>
      </c>
      <c r="M1752" s="28" t="s">
        <v>802</v>
      </c>
      <c r="N1752" t="s">
        <v>313</v>
      </c>
    </row>
    <row r="1753" spans="1:14" hidden="1" x14ac:dyDescent="0.25">
      <c r="A1753" t="s">
        <v>8962</v>
      </c>
      <c r="B1753" t="s">
        <v>3435</v>
      </c>
      <c r="C1753" t="s">
        <v>2051</v>
      </c>
      <c r="D1753" t="s">
        <v>3436</v>
      </c>
      <c r="E1753" s="28" t="s">
        <v>890</v>
      </c>
      <c r="F1753" t="s">
        <v>891</v>
      </c>
      <c r="G1753" t="s">
        <v>88</v>
      </c>
      <c r="M1753" s="28" t="s">
        <v>549</v>
      </c>
      <c r="N1753" t="s">
        <v>313</v>
      </c>
    </row>
    <row r="1754" spans="1:14" hidden="1" x14ac:dyDescent="0.25">
      <c r="A1754" t="s">
        <v>10409</v>
      </c>
      <c r="B1754" t="s">
        <v>6400</v>
      </c>
      <c r="C1754" t="s">
        <v>6387</v>
      </c>
      <c r="D1754" t="s">
        <v>6401</v>
      </c>
      <c r="E1754" s="28" t="s">
        <v>890</v>
      </c>
      <c r="F1754" t="s">
        <v>6365</v>
      </c>
      <c r="G1754" t="s">
        <v>119</v>
      </c>
      <c r="M1754" s="28"/>
    </row>
    <row r="1755" spans="1:14" hidden="1" x14ac:dyDescent="0.25">
      <c r="A1755" t="s">
        <v>12390</v>
      </c>
      <c r="B1755" t="s">
        <v>11419</v>
      </c>
      <c r="C1755" t="s">
        <v>12381</v>
      </c>
      <c r="D1755" t="s">
        <v>12391</v>
      </c>
      <c r="E1755" s="28" t="s">
        <v>1177</v>
      </c>
      <c r="F1755" t="s">
        <v>12815</v>
      </c>
      <c r="G1755" t="s">
        <v>38</v>
      </c>
      <c r="M1755" s="28"/>
    </row>
    <row r="1756" spans="1:14" hidden="1" x14ac:dyDescent="0.25">
      <c r="A1756" t="s">
        <v>8472</v>
      </c>
      <c r="B1756" t="s">
        <v>2294</v>
      </c>
      <c r="C1756" t="s">
        <v>2295</v>
      </c>
      <c r="D1756" t="s">
        <v>2296</v>
      </c>
      <c r="E1756" s="28" t="s">
        <v>890</v>
      </c>
      <c r="F1756" t="s">
        <v>408</v>
      </c>
      <c r="G1756" t="s">
        <v>65</v>
      </c>
      <c r="M1756" s="28" t="s">
        <v>14209</v>
      </c>
    </row>
    <row r="1757" spans="1:14" hidden="1" x14ac:dyDescent="0.25">
      <c r="A1757" t="s">
        <v>12561</v>
      </c>
      <c r="B1757" t="s">
        <v>12562</v>
      </c>
      <c r="C1757" t="s">
        <v>4603</v>
      </c>
      <c r="D1757" t="s">
        <v>12563</v>
      </c>
      <c r="E1757" s="28" t="s">
        <v>890</v>
      </c>
      <c r="F1757" t="s">
        <v>659</v>
      </c>
      <c r="G1757" t="s">
        <v>15</v>
      </c>
      <c r="M1757" s="28" t="s">
        <v>613</v>
      </c>
      <c r="N1757" t="s">
        <v>313</v>
      </c>
    </row>
    <row r="1758" spans="1:14" hidden="1" x14ac:dyDescent="0.25">
      <c r="A1758" t="s">
        <v>13242</v>
      </c>
      <c r="B1758" t="s">
        <v>2450</v>
      </c>
      <c r="C1758" t="s">
        <v>1058</v>
      </c>
      <c r="D1758" t="s">
        <v>10934</v>
      </c>
      <c r="E1758" s="28" t="s">
        <v>890</v>
      </c>
      <c r="F1758" t="s">
        <v>2568</v>
      </c>
      <c r="G1758" t="s">
        <v>11</v>
      </c>
      <c r="M1758" s="28" t="s">
        <v>413</v>
      </c>
      <c r="N1758" t="s">
        <v>313</v>
      </c>
    </row>
    <row r="1759" spans="1:14" hidden="1" x14ac:dyDescent="0.25">
      <c r="A1759" t="s">
        <v>8536</v>
      </c>
      <c r="B1759" t="s">
        <v>2450</v>
      </c>
      <c r="C1759" t="s">
        <v>1643</v>
      </c>
      <c r="D1759" t="s">
        <v>2451</v>
      </c>
      <c r="E1759" s="28" t="s">
        <v>890</v>
      </c>
      <c r="F1759" t="s">
        <v>479</v>
      </c>
      <c r="G1759" t="s">
        <v>11</v>
      </c>
      <c r="M1759" s="28" t="s">
        <v>413</v>
      </c>
      <c r="N1759" t="s">
        <v>313</v>
      </c>
    </row>
    <row r="1760" spans="1:14" hidden="1" x14ac:dyDescent="0.25">
      <c r="A1760" t="s">
        <v>11959</v>
      </c>
      <c r="B1760" t="s">
        <v>6731</v>
      </c>
      <c r="C1760" t="s">
        <v>1530</v>
      </c>
      <c r="D1760" t="s">
        <v>11960</v>
      </c>
      <c r="E1760" s="28" t="s">
        <v>930</v>
      </c>
      <c r="F1760" t="s">
        <v>813</v>
      </c>
      <c r="G1760" t="s">
        <v>137</v>
      </c>
      <c r="M1760" s="28" t="s">
        <v>805</v>
      </c>
      <c r="N1760" t="s">
        <v>313</v>
      </c>
    </row>
    <row r="1761" spans="1:14" hidden="1" x14ac:dyDescent="0.25">
      <c r="A1761" t="s">
        <v>8450</v>
      </c>
      <c r="B1761" t="s">
        <v>2249</v>
      </c>
      <c r="C1761" t="s">
        <v>2250</v>
      </c>
      <c r="D1761" t="s">
        <v>2251</v>
      </c>
      <c r="E1761" s="28" t="s">
        <v>890</v>
      </c>
      <c r="F1761" t="s">
        <v>408</v>
      </c>
      <c r="G1761" t="s">
        <v>65</v>
      </c>
      <c r="M1761" s="28" t="s">
        <v>14209</v>
      </c>
    </row>
    <row r="1762" spans="1:14" hidden="1" x14ac:dyDescent="0.25">
      <c r="A1762" t="s">
        <v>12392</v>
      </c>
      <c r="B1762" t="s">
        <v>12393</v>
      </c>
      <c r="C1762" t="s">
        <v>1461</v>
      </c>
      <c r="D1762" t="s">
        <v>12394</v>
      </c>
      <c r="E1762" s="28" t="s">
        <v>1177</v>
      </c>
      <c r="F1762" t="s">
        <v>12815</v>
      </c>
      <c r="G1762" t="s">
        <v>38</v>
      </c>
      <c r="M1762" s="28"/>
    </row>
    <row r="1763" spans="1:14" hidden="1" x14ac:dyDescent="0.25">
      <c r="A1763" t="s">
        <v>14507</v>
      </c>
      <c r="B1763" t="s">
        <v>12393</v>
      </c>
      <c r="C1763" t="s">
        <v>1179</v>
      </c>
      <c r="D1763" t="s">
        <v>14508</v>
      </c>
      <c r="E1763" s="28" t="s">
        <v>1177</v>
      </c>
      <c r="F1763" t="s">
        <v>12815</v>
      </c>
      <c r="G1763" t="s">
        <v>38</v>
      </c>
      <c r="M1763" s="28"/>
    </row>
    <row r="1764" spans="1:14" x14ac:dyDescent="0.25">
      <c r="A1764" t="s">
        <v>10506</v>
      </c>
      <c r="B1764" t="s">
        <v>1676</v>
      </c>
      <c r="C1764" t="s">
        <v>932</v>
      </c>
      <c r="D1764" t="s">
        <v>6679</v>
      </c>
      <c r="E1764" s="28" t="s">
        <v>890</v>
      </c>
      <c r="F1764" t="s">
        <v>12622</v>
      </c>
      <c r="G1764" t="s">
        <v>137</v>
      </c>
      <c r="M1764" s="28" t="s">
        <v>805</v>
      </c>
      <c r="N1764" t="s">
        <v>313</v>
      </c>
    </row>
    <row r="1765" spans="1:14" hidden="1" x14ac:dyDescent="0.25">
      <c r="A1765" t="s">
        <v>7946</v>
      </c>
      <c r="B1765" t="s">
        <v>914</v>
      </c>
      <c r="C1765" t="s">
        <v>915</v>
      </c>
      <c r="D1765" t="s">
        <v>916</v>
      </c>
      <c r="E1765" s="28" t="s">
        <v>890</v>
      </c>
      <c r="F1765" t="s">
        <v>897</v>
      </c>
      <c r="G1765" t="s">
        <v>28</v>
      </c>
      <c r="M1765" s="28" t="s">
        <v>14241</v>
      </c>
      <c r="N1765" t="s">
        <v>14206</v>
      </c>
    </row>
    <row r="1766" spans="1:14" hidden="1" x14ac:dyDescent="0.25">
      <c r="A1766" t="s">
        <v>8678</v>
      </c>
      <c r="B1766" t="s">
        <v>2803</v>
      </c>
      <c r="C1766" t="s">
        <v>2705</v>
      </c>
      <c r="D1766" t="s">
        <v>2804</v>
      </c>
      <c r="E1766" s="28" t="s">
        <v>890</v>
      </c>
      <c r="F1766" t="s">
        <v>513</v>
      </c>
      <c r="G1766" t="s">
        <v>74</v>
      </c>
      <c r="M1766" s="28" t="s">
        <v>507</v>
      </c>
      <c r="N1766" t="s">
        <v>313</v>
      </c>
    </row>
    <row r="1767" spans="1:14" hidden="1" x14ac:dyDescent="0.25">
      <c r="A1767" t="s">
        <v>11150</v>
      </c>
      <c r="B1767" t="s">
        <v>11151</v>
      </c>
      <c r="C1767" t="s">
        <v>2063</v>
      </c>
      <c r="D1767" t="s">
        <v>11152</v>
      </c>
      <c r="E1767" s="28" t="s">
        <v>896</v>
      </c>
      <c r="F1767" t="s">
        <v>11526</v>
      </c>
      <c r="G1767" t="s">
        <v>84</v>
      </c>
      <c r="M1767" s="28" t="s">
        <v>14223</v>
      </c>
      <c r="N1767" t="s">
        <v>313</v>
      </c>
    </row>
    <row r="1768" spans="1:14" hidden="1" x14ac:dyDescent="0.25">
      <c r="A1768" t="s">
        <v>11150</v>
      </c>
      <c r="B1768" t="s">
        <v>11151</v>
      </c>
      <c r="C1768" t="s">
        <v>2063</v>
      </c>
      <c r="D1768" t="s">
        <v>11153</v>
      </c>
      <c r="E1768" s="28" t="s">
        <v>890</v>
      </c>
      <c r="F1768" t="s">
        <v>11526</v>
      </c>
      <c r="G1768" t="s">
        <v>84</v>
      </c>
      <c r="M1768" s="28" t="s">
        <v>14223</v>
      </c>
      <c r="N1768" t="s">
        <v>313</v>
      </c>
    </row>
    <row r="1769" spans="1:14" hidden="1" x14ac:dyDescent="0.25">
      <c r="A1769" t="s">
        <v>11236</v>
      </c>
      <c r="B1769" t="s">
        <v>11151</v>
      </c>
      <c r="C1769" t="s">
        <v>11237</v>
      </c>
      <c r="D1769" t="s">
        <v>11238</v>
      </c>
      <c r="E1769" s="28" t="s">
        <v>890</v>
      </c>
      <c r="F1769" t="s">
        <v>11526</v>
      </c>
      <c r="G1769" t="s">
        <v>84</v>
      </c>
      <c r="M1769" s="28" t="s">
        <v>14223</v>
      </c>
      <c r="N1769" t="s">
        <v>313</v>
      </c>
    </row>
    <row r="1770" spans="1:14" hidden="1" x14ac:dyDescent="0.25">
      <c r="A1770" t="s">
        <v>14509</v>
      </c>
      <c r="B1770" t="s">
        <v>1594</v>
      </c>
      <c r="C1770" t="s">
        <v>2627</v>
      </c>
      <c r="D1770" t="s">
        <v>14510</v>
      </c>
      <c r="E1770" s="28" t="s">
        <v>896</v>
      </c>
      <c r="F1770" t="s">
        <v>891</v>
      </c>
      <c r="G1770" t="s">
        <v>43</v>
      </c>
      <c r="M1770" s="28" t="s">
        <v>14205</v>
      </c>
    </row>
    <row r="1771" spans="1:14" hidden="1" x14ac:dyDescent="0.25">
      <c r="A1771" t="s">
        <v>8247</v>
      </c>
      <c r="B1771" t="s">
        <v>1594</v>
      </c>
      <c r="C1771" t="s">
        <v>1746</v>
      </c>
      <c r="D1771" t="s">
        <v>1747</v>
      </c>
      <c r="E1771" s="28" t="s">
        <v>896</v>
      </c>
      <c r="F1771" t="s">
        <v>891</v>
      </c>
      <c r="G1771" t="s">
        <v>43</v>
      </c>
      <c r="M1771" s="28" t="s">
        <v>14205</v>
      </c>
    </row>
    <row r="1772" spans="1:14" hidden="1" x14ac:dyDescent="0.25">
      <c r="A1772" t="s">
        <v>8307</v>
      </c>
      <c r="B1772" t="s">
        <v>1889</v>
      </c>
      <c r="C1772" t="s">
        <v>1890</v>
      </c>
      <c r="D1772" t="s">
        <v>1891</v>
      </c>
      <c r="E1772" s="28" t="s">
        <v>890</v>
      </c>
      <c r="F1772" t="s">
        <v>1627</v>
      </c>
      <c r="G1772" t="s">
        <v>43</v>
      </c>
      <c r="M1772" s="28" t="s">
        <v>14205</v>
      </c>
    </row>
    <row r="1773" spans="1:14" hidden="1" x14ac:dyDescent="0.25">
      <c r="A1773" t="s">
        <v>8640</v>
      </c>
      <c r="B1773" t="s">
        <v>2704</v>
      </c>
      <c r="C1773" t="s">
        <v>2705</v>
      </c>
      <c r="D1773" t="s">
        <v>2706</v>
      </c>
      <c r="E1773" s="28" t="s">
        <v>930</v>
      </c>
      <c r="F1773" t="s">
        <v>13191</v>
      </c>
      <c r="G1773" t="s">
        <v>74</v>
      </c>
      <c r="M1773" s="28" t="s">
        <v>507</v>
      </c>
      <c r="N1773" t="s">
        <v>313</v>
      </c>
    </row>
    <row r="1774" spans="1:14" hidden="1" x14ac:dyDescent="0.25">
      <c r="A1774" t="s">
        <v>8641</v>
      </c>
      <c r="B1774" t="s">
        <v>2707</v>
      </c>
      <c r="C1774" t="s">
        <v>2705</v>
      </c>
      <c r="D1774" t="s">
        <v>2708</v>
      </c>
      <c r="E1774" s="28" t="s">
        <v>890</v>
      </c>
      <c r="F1774" t="s">
        <v>13191</v>
      </c>
      <c r="G1774" t="s">
        <v>74</v>
      </c>
      <c r="M1774" s="28" t="s">
        <v>507</v>
      </c>
      <c r="N1774" t="s">
        <v>313</v>
      </c>
    </row>
    <row r="1775" spans="1:14" hidden="1" x14ac:dyDescent="0.25">
      <c r="A1775" t="s">
        <v>8963</v>
      </c>
      <c r="B1775" t="s">
        <v>3437</v>
      </c>
      <c r="C1775" t="s">
        <v>3438</v>
      </c>
      <c r="D1775" t="s">
        <v>3439</v>
      </c>
      <c r="E1775" s="28" t="s">
        <v>1023</v>
      </c>
      <c r="F1775" t="s">
        <v>597</v>
      </c>
      <c r="G1775" t="s">
        <v>88</v>
      </c>
      <c r="M1775" s="28" t="s">
        <v>549</v>
      </c>
      <c r="N1775" t="s">
        <v>313</v>
      </c>
    </row>
    <row r="1776" spans="1:14" hidden="1" x14ac:dyDescent="0.25">
      <c r="A1776" t="s">
        <v>8964</v>
      </c>
      <c r="B1776" t="s">
        <v>3437</v>
      </c>
      <c r="C1776" t="s">
        <v>3440</v>
      </c>
      <c r="D1776" t="s">
        <v>3441</v>
      </c>
      <c r="E1776" s="28" t="s">
        <v>890</v>
      </c>
      <c r="F1776" t="s">
        <v>597</v>
      </c>
      <c r="G1776" t="s">
        <v>88</v>
      </c>
      <c r="M1776" s="28" t="s">
        <v>549</v>
      </c>
      <c r="N1776" t="s">
        <v>313</v>
      </c>
    </row>
    <row r="1777" spans="1:14" hidden="1" x14ac:dyDescent="0.25">
      <c r="A1777" t="s">
        <v>8965</v>
      </c>
      <c r="B1777" t="s">
        <v>3437</v>
      </c>
      <c r="C1777" t="s">
        <v>3442</v>
      </c>
      <c r="D1777" t="s">
        <v>3443</v>
      </c>
      <c r="E1777" s="28" t="s">
        <v>1023</v>
      </c>
      <c r="F1777" t="s">
        <v>597</v>
      </c>
      <c r="G1777" t="s">
        <v>88</v>
      </c>
      <c r="M1777" s="28" t="s">
        <v>549</v>
      </c>
      <c r="N1777" t="s">
        <v>313</v>
      </c>
    </row>
    <row r="1778" spans="1:14" hidden="1" x14ac:dyDescent="0.25">
      <c r="A1778" t="s">
        <v>8966</v>
      </c>
      <c r="B1778" t="s">
        <v>3437</v>
      </c>
      <c r="C1778" t="s">
        <v>1184</v>
      </c>
      <c r="D1778" t="s">
        <v>3444</v>
      </c>
      <c r="E1778" s="28" t="s">
        <v>1023</v>
      </c>
      <c r="F1778" t="s">
        <v>597</v>
      </c>
      <c r="G1778" t="s">
        <v>88</v>
      </c>
      <c r="M1778" s="28" t="s">
        <v>549</v>
      </c>
      <c r="N1778" t="s">
        <v>313</v>
      </c>
    </row>
    <row r="1779" spans="1:14" hidden="1" x14ac:dyDescent="0.25">
      <c r="A1779" t="s">
        <v>8967</v>
      </c>
      <c r="B1779" t="s">
        <v>3437</v>
      </c>
      <c r="C1779" t="s">
        <v>2133</v>
      </c>
      <c r="D1779" t="s">
        <v>3445</v>
      </c>
      <c r="E1779" s="28" t="s">
        <v>890</v>
      </c>
      <c r="F1779" t="s">
        <v>597</v>
      </c>
      <c r="G1779" t="s">
        <v>88</v>
      </c>
      <c r="M1779" s="28" t="s">
        <v>549</v>
      </c>
      <c r="N1779" t="s">
        <v>313</v>
      </c>
    </row>
    <row r="1780" spans="1:14" hidden="1" x14ac:dyDescent="0.25">
      <c r="A1780" t="s">
        <v>8968</v>
      </c>
      <c r="B1780" t="s">
        <v>3446</v>
      </c>
      <c r="C1780" t="s">
        <v>3447</v>
      </c>
      <c r="D1780" t="s">
        <v>3448</v>
      </c>
      <c r="E1780" s="28" t="s">
        <v>890</v>
      </c>
      <c r="F1780" t="s">
        <v>891</v>
      </c>
      <c r="G1780" t="s">
        <v>88</v>
      </c>
      <c r="M1780" s="28" t="s">
        <v>549</v>
      </c>
      <c r="N1780" t="s">
        <v>313</v>
      </c>
    </row>
    <row r="1781" spans="1:14" hidden="1" x14ac:dyDescent="0.25">
      <c r="A1781" t="s">
        <v>8969</v>
      </c>
      <c r="B1781" t="s">
        <v>3449</v>
      </c>
      <c r="C1781" t="s">
        <v>2111</v>
      </c>
      <c r="D1781" t="s">
        <v>3450</v>
      </c>
      <c r="E1781" s="28" t="s">
        <v>890</v>
      </c>
      <c r="F1781" t="s">
        <v>891</v>
      </c>
      <c r="G1781" t="s">
        <v>88</v>
      </c>
      <c r="M1781" s="28" t="s">
        <v>549</v>
      </c>
      <c r="N1781" t="s">
        <v>313</v>
      </c>
    </row>
    <row r="1782" spans="1:14" hidden="1" x14ac:dyDescent="0.25">
      <c r="A1782" t="s">
        <v>12732</v>
      </c>
      <c r="B1782" t="s">
        <v>12733</v>
      </c>
      <c r="C1782" t="s">
        <v>1103</v>
      </c>
      <c r="D1782" t="s">
        <v>12734</v>
      </c>
      <c r="E1782" s="28" t="s">
        <v>896</v>
      </c>
      <c r="F1782" t="s">
        <v>588</v>
      </c>
      <c r="G1782" t="s">
        <v>88</v>
      </c>
      <c r="M1782" s="28" t="s">
        <v>549</v>
      </c>
      <c r="N1782" t="s">
        <v>313</v>
      </c>
    </row>
    <row r="1783" spans="1:14" hidden="1" x14ac:dyDescent="0.25">
      <c r="A1783" t="s">
        <v>8970</v>
      </c>
      <c r="B1783" t="s">
        <v>3451</v>
      </c>
      <c r="C1783" t="s">
        <v>3452</v>
      </c>
      <c r="D1783" t="s">
        <v>3453</v>
      </c>
      <c r="E1783" s="28" t="s">
        <v>890</v>
      </c>
      <c r="F1783" t="s">
        <v>891</v>
      </c>
      <c r="G1783" t="s">
        <v>88</v>
      </c>
      <c r="M1783" s="28" t="s">
        <v>549</v>
      </c>
      <c r="N1783" t="s">
        <v>313</v>
      </c>
    </row>
    <row r="1784" spans="1:14" hidden="1" x14ac:dyDescent="0.25">
      <c r="A1784" t="s">
        <v>8971</v>
      </c>
      <c r="B1784" t="s">
        <v>3451</v>
      </c>
      <c r="C1784" t="s">
        <v>3036</v>
      </c>
      <c r="D1784" t="s">
        <v>3454</v>
      </c>
      <c r="E1784" s="28" t="s">
        <v>896</v>
      </c>
      <c r="F1784" t="s">
        <v>579</v>
      </c>
      <c r="G1784" t="s">
        <v>88</v>
      </c>
      <c r="M1784" s="28" t="s">
        <v>549</v>
      </c>
      <c r="N1784" t="s">
        <v>313</v>
      </c>
    </row>
    <row r="1785" spans="1:14" hidden="1" x14ac:dyDescent="0.25">
      <c r="A1785" t="s">
        <v>8972</v>
      </c>
      <c r="B1785" t="s">
        <v>3455</v>
      </c>
      <c r="C1785" t="s">
        <v>3456</v>
      </c>
      <c r="D1785" t="s">
        <v>3457</v>
      </c>
      <c r="E1785" s="28" t="s">
        <v>896</v>
      </c>
      <c r="F1785" t="s">
        <v>609</v>
      </c>
      <c r="G1785" t="s">
        <v>88</v>
      </c>
      <c r="M1785" s="28" t="s">
        <v>549</v>
      </c>
      <c r="N1785" t="s">
        <v>313</v>
      </c>
    </row>
    <row r="1786" spans="1:14" hidden="1" x14ac:dyDescent="0.25">
      <c r="A1786" t="s">
        <v>9501</v>
      </c>
      <c r="B1786" t="s">
        <v>4498</v>
      </c>
      <c r="C1786" t="s">
        <v>2108</v>
      </c>
      <c r="D1786" t="s">
        <v>4499</v>
      </c>
      <c r="E1786" s="28" t="s">
        <v>890</v>
      </c>
      <c r="F1786" t="s">
        <v>891</v>
      </c>
      <c r="G1786" t="s">
        <v>88</v>
      </c>
      <c r="M1786" s="28" t="s">
        <v>549</v>
      </c>
      <c r="N1786" t="s">
        <v>313</v>
      </c>
    </row>
    <row r="1787" spans="1:14" hidden="1" x14ac:dyDescent="0.25">
      <c r="A1787" t="s">
        <v>8973</v>
      </c>
      <c r="B1787" t="s">
        <v>3458</v>
      </c>
      <c r="C1787" t="s">
        <v>3134</v>
      </c>
      <c r="D1787" t="s">
        <v>3459</v>
      </c>
      <c r="E1787" s="28" t="s">
        <v>896</v>
      </c>
      <c r="F1787" t="s">
        <v>891</v>
      </c>
      <c r="G1787" t="s">
        <v>88</v>
      </c>
      <c r="M1787" s="28" t="s">
        <v>549</v>
      </c>
      <c r="N1787" t="s">
        <v>313</v>
      </c>
    </row>
    <row r="1788" spans="1:14" hidden="1" x14ac:dyDescent="0.25">
      <c r="A1788" t="s">
        <v>8974</v>
      </c>
      <c r="B1788" t="s">
        <v>3460</v>
      </c>
      <c r="C1788" t="s">
        <v>3461</v>
      </c>
      <c r="D1788" t="s">
        <v>3462</v>
      </c>
      <c r="E1788" s="28" t="s">
        <v>890</v>
      </c>
      <c r="F1788" t="s">
        <v>891</v>
      </c>
      <c r="G1788" t="s">
        <v>88</v>
      </c>
      <c r="M1788" s="28" t="s">
        <v>549</v>
      </c>
      <c r="N1788" t="s">
        <v>313</v>
      </c>
    </row>
    <row r="1789" spans="1:14" hidden="1" x14ac:dyDescent="0.25">
      <c r="A1789" t="s">
        <v>8975</v>
      </c>
      <c r="B1789" t="s">
        <v>3463</v>
      </c>
      <c r="C1789" t="s">
        <v>3209</v>
      </c>
      <c r="D1789" t="s">
        <v>3464</v>
      </c>
      <c r="E1789" s="28" t="s">
        <v>890</v>
      </c>
      <c r="F1789" t="s">
        <v>891</v>
      </c>
      <c r="G1789" t="s">
        <v>88</v>
      </c>
      <c r="M1789" s="28" t="s">
        <v>549</v>
      </c>
      <c r="N1789" t="s">
        <v>313</v>
      </c>
    </row>
    <row r="1790" spans="1:14" hidden="1" x14ac:dyDescent="0.25">
      <c r="A1790" t="s">
        <v>8976</v>
      </c>
      <c r="B1790" t="s">
        <v>3465</v>
      </c>
      <c r="C1790" t="s">
        <v>3036</v>
      </c>
      <c r="D1790" t="s">
        <v>3466</v>
      </c>
      <c r="E1790" s="28" t="s">
        <v>896</v>
      </c>
      <c r="F1790" t="s">
        <v>891</v>
      </c>
      <c r="G1790" t="s">
        <v>88</v>
      </c>
      <c r="M1790" s="28" t="s">
        <v>549</v>
      </c>
      <c r="N1790" t="s">
        <v>313</v>
      </c>
    </row>
    <row r="1791" spans="1:14" hidden="1" x14ac:dyDescent="0.25">
      <c r="A1791" t="s">
        <v>10591</v>
      </c>
      <c r="B1791" t="s">
        <v>6827</v>
      </c>
      <c r="C1791" t="s">
        <v>1123</v>
      </c>
      <c r="D1791" t="s">
        <v>12017</v>
      </c>
      <c r="E1791" s="28" t="s">
        <v>1023</v>
      </c>
      <c r="F1791" t="s">
        <v>819</v>
      </c>
      <c r="G1791" t="s">
        <v>98</v>
      </c>
      <c r="M1791" s="28" t="s">
        <v>820</v>
      </c>
      <c r="N1791" t="s">
        <v>313</v>
      </c>
    </row>
    <row r="1792" spans="1:14" hidden="1" x14ac:dyDescent="0.25">
      <c r="A1792" t="s">
        <v>8977</v>
      </c>
      <c r="B1792" t="s">
        <v>3467</v>
      </c>
      <c r="C1792" t="s">
        <v>3061</v>
      </c>
      <c r="D1792" t="s">
        <v>3468</v>
      </c>
      <c r="E1792" s="28" t="s">
        <v>896</v>
      </c>
      <c r="F1792" t="s">
        <v>556</v>
      </c>
      <c r="G1792" t="s">
        <v>88</v>
      </c>
      <c r="M1792" s="28" t="s">
        <v>549</v>
      </c>
      <c r="N1792" t="s">
        <v>313</v>
      </c>
    </row>
    <row r="1793" spans="1:14" hidden="1" x14ac:dyDescent="0.25">
      <c r="A1793" t="s">
        <v>8978</v>
      </c>
      <c r="B1793" t="s">
        <v>3467</v>
      </c>
      <c r="C1793" t="s">
        <v>3264</v>
      </c>
      <c r="D1793" t="s">
        <v>3469</v>
      </c>
      <c r="E1793" s="28" t="s">
        <v>930</v>
      </c>
      <c r="F1793" t="s">
        <v>554</v>
      </c>
      <c r="G1793" t="s">
        <v>88</v>
      </c>
      <c r="M1793" s="28" t="s">
        <v>549</v>
      </c>
      <c r="N1793" t="s">
        <v>313</v>
      </c>
    </row>
    <row r="1794" spans="1:14" hidden="1" x14ac:dyDescent="0.25">
      <c r="A1794" t="s">
        <v>8979</v>
      </c>
      <c r="B1794" t="s">
        <v>3470</v>
      </c>
      <c r="C1794" t="s">
        <v>3134</v>
      </c>
      <c r="D1794" t="s">
        <v>3471</v>
      </c>
      <c r="E1794" s="28" t="s">
        <v>890</v>
      </c>
      <c r="F1794" t="s">
        <v>891</v>
      </c>
      <c r="G1794" t="s">
        <v>88</v>
      </c>
      <c r="M1794" s="28" t="s">
        <v>549</v>
      </c>
      <c r="N1794" t="s">
        <v>313</v>
      </c>
    </row>
    <row r="1795" spans="1:14" hidden="1" x14ac:dyDescent="0.25">
      <c r="A1795" t="s">
        <v>8980</v>
      </c>
      <c r="B1795" t="s">
        <v>3470</v>
      </c>
      <c r="C1795" t="s">
        <v>3034</v>
      </c>
      <c r="D1795" t="s">
        <v>3472</v>
      </c>
      <c r="E1795" s="28" t="s">
        <v>930</v>
      </c>
      <c r="F1795" t="s">
        <v>891</v>
      </c>
      <c r="G1795" t="s">
        <v>88</v>
      </c>
      <c r="M1795" s="28" t="s">
        <v>549</v>
      </c>
      <c r="N1795" t="s">
        <v>313</v>
      </c>
    </row>
    <row r="1796" spans="1:14" hidden="1" x14ac:dyDescent="0.25">
      <c r="A1796" t="s">
        <v>8981</v>
      </c>
      <c r="B1796" t="s">
        <v>3470</v>
      </c>
      <c r="C1796" t="s">
        <v>3285</v>
      </c>
      <c r="D1796" t="s">
        <v>3473</v>
      </c>
      <c r="E1796" s="28" t="s">
        <v>896</v>
      </c>
      <c r="F1796" t="s">
        <v>891</v>
      </c>
      <c r="G1796" t="s">
        <v>88</v>
      </c>
      <c r="M1796" s="28" t="s">
        <v>549</v>
      </c>
      <c r="N1796" t="s">
        <v>313</v>
      </c>
    </row>
    <row r="1797" spans="1:14" hidden="1" x14ac:dyDescent="0.25">
      <c r="A1797" t="s">
        <v>8380</v>
      </c>
      <c r="B1797" t="s">
        <v>2076</v>
      </c>
      <c r="C1797" t="s">
        <v>1153</v>
      </c>
      <c r="D1797" t="s">
        <v>2077</v>
      </c>
      <c r="E1797" s="28" t="s">
        <v>890</v>
      </c>
      <c r="F1797" t="s">
        <v>398</v>
      </c>
      <c r="G1797" t="s">
        <v>60</v>
      </c>
      <c r="M1797" s="28" t="s">
        <v>14207</v>
      </c>
    </row>
    <row r="1798" spans="1:14" hidden="1" x14ac:dyDescent="0.25">
      <c r="A1798" t="s">
        <v>8381</v>
      </c>
      <c r="B1798" t="s">
        <v>2076</v>
      </c>
      <c r="C1798" t="s">
        <v>1760</v>
      </c>
      <c r="D1798" t="s">
        <v>2078</v>
      </c>
      <c r="E1798" s="28" t="s">
        <v>890</v>
      </c>
      <c r="F1798" t="s">
        <v>398</v>
      </c>
      <c r="G1798" t="s">
        <v>60</v>
      </c>
      <c r="M1798" s="28" t="s">
        <v>14207</v>
      </c>
    </row>
    <row r="1799" spans="1:14" hidden="1" x14ac:dyDescent="0.25">
      <c r="A1799" t="s">
        <v>8982</v>
      </c>
      <c r="B1799" t="s">
        <v>3474</v>
      </c>
      <c r="C1799" t="s">
        <v>3475</v>
      </c>
      <c r="D1799" t="s">
        <v>3476</v>
      </c>
      <c r="E1799" s="28" t="s">
        <v>890</v>
      </c>
      <c r="F1799" t="s">
        <v>891</v>
      </c>
      <c r="G1799" t="s">
        <v>88</v>
      </c>
      <c r="M1799" s="28" t="s">
        <v>549</v>
      </c>
      <c r="N1799" t="s">
        <v>313</v>
      </c>
    </row>
    <row r="1800" spans="1:14" hidden="1" x14ac:dyDescent="0.25">
      <c r="A1800" t="s">
        <v>8983</v>
      </c>
      <c r="B1800" t="s">
        <v>3477</v>
      </c>
      <c r="C1800" t="s">
        <v>3330</v>
      </c>
      <c r="D1800" t="s">
        <v>3478</v>
      </c>
      <c r="E1800" s="28" t="s">
        <v>930</v>
      </c>
      <c r="F1800" t="s">
        <v>891</v>
      </c>
      <c r="G1800" t="s">
        <v>88</v>
      </c>
      <c r="M1800" s="28" t="s">
        <v>549</v>
      </c>
      <c r="N1800" t="s">
        <v>313</v>
      </c>
    </row>
    <row r="1801" spans="1:14" hidden="1" x14ac:dyDescent="0.25">
      <c r="A1801" t="s">
        <v>8984</v>
      </c>
      <c r="B1801" t="s">
        <v>3477</v>
      </c>
      <c r="C1801" t="s">
        <v>3285</v>
      </c>
      <c r="D1801" t="s">
        <v>3479</v>
      </c>
      <c r="E1801" s="28" t="s">
        <v>896</v>
      </c>
      <c r="F1801" t="s">
        <v>891</v>
      </c>
      <c r="G1801" t="s">
        <v>88</v>
      </c>
      <c r="M1801" s="28" t="s">
        <v>549</v>
      </c>
      <c r="N1801" t="s">
        <v>313</v>
      </c>
    </row>
    <row r="1802" spans="1:14" hidden="1" x14ac:dyDescent="0.25">
      <c r="A1802" t="s">
        <v>11281</v>
      </c>
      <c r="B1802" t="s">
        <v>11282</v>
      </c>
      <c r="C1802" t="s">
        <v>1194</v>
      </c>
      <c r="D1802" t="s">
        <v>11283</v>
      </c>
      <c r="E1802" s="28" t="s">
        <v>890</v>
      </c>
      <c r="F1802" t="s">
        <v>11269</v>
      </c>
      <c r="G1802" t="s">
        <v>84</v>
      </c>
      <c r="M1802" s="28" t="s">
        <v>14223</v>
      </c>
      <c r="N1802" t="s">
        <v>313</v>
      </c>
    </row>
    <row r="1803" spans="1:14" hidden="1" x14ac:dyDescent="0.25">
      <c r="A1803" t="s">
        <v>8985</v>
      </c>
      <c r="B1803" t="s">
        <v>3480</v>
      </c>
      <c r="C1803" t="s">
        <v>3481</v>
      </c>
      <c r="D1803" t="s">
        <v>3482</v>
      </c>
      <c r="E1803" s="28" t="s">
        <v>890</v>
      </c>
      <c r="F1803" t="s">
        <v>891</v>
      </c>
      <c r="G1803" t="s">
        <v>88</v>
      </c>
      <c r="M1803" s="28" t="s">
        <v>549</v>
      </c>
      <c r="N1803" t="s">
        <v>313</v>
      </c>
    </row>
    <row r="1804" spans="1:14" hidden="1" x14ac:dyDescent="0.25">
      <c r="A1804" t="s">
        <v>8986</v>
      </c>
      <c r="B1804" t="s">
        <v>3483</v>
      </c>
      <c r="C1804" t="s">
        <v>3239</v>
      </c>
      <c r="D1804" t="s">
        <v>3484</v>
      </c>
      <c r="E1804" s="28" t="s">
        <v>890</v>
      </c>
      <c r="F1804" t="s">
        <v>891</v>
      </c>
      <c r="G1804" t="s">
        <v>88</v>
      </c>
      <c r="M1804" s="28" t="s">
        <v>549</v>
      </c>
      <c r="N1804" t="s">
        <v>313</v>
      </c>
    </row>
    <row r="1805" spans="1:14" hidden="1" x14ac:dyDescent="0.25">
      <c r="A1805" t="s">
        <v>13447</v>
      </c>
      <c r="B1805" t="s">
        <v>13076</v>
      </c>
      <c r="C1805" t="s">
        <v>13075</v>
      </c>
      <c r="D1805" t="s">
        <v>13077</v>
      </c>
      <c r="E1805" s="28" t="s">
        <v>890</v>
      </c>
      <c r="F1805" t="s">
        <v>786</v>
      </c>
      <c r="G1805" t="s">
        <v>110</v>
      </c>
      <c r="M1805" s="28" t="s">
        <v>13563</v>
      </c>
      <c r="N1805" t="s">
        <v>279</v>
      </c>
    </row>
    <row r="1806" spans="1:14" hidden="1" x14ac:dyDescent="0.25">
      <c r="A1806" t="s">
        <v>13449</v>
      </c>
      <c r="B1806" t="s">
        <v>13076</v>
      </c>
      <c r="C1806" t="s">
        <v>13080</v>
      </c>
      <c r="D1806" t="s">
        <v>13081</v>
      </c>
      <c r="E1806" s="28" t="s">
        <v>896</v>
      </c>
      <c r="F1806" t="s">
        <v>786</v>
      </c>
      <c r="G1806" t="s">
        <v>110</v>
      </c>
      <c r="M1806" s="28" t="s">
        <v>13563</v>
      </c>
      <c r="N1806" t="s">
        <v>279</v>
      </c>
    </row>
    <row r="1807" spans="1:14" hidden="1" x14ac:dyDescent="0.25">
      <c r="A1807" t="s">
        <v>13448</v>
      </c>
      <c r="B1807" t="s">
        <v>13076</v>
      </c>
      <c r="C1807" t="s">
        <v>13078</v>
      </c>
      <c r="D1807" t="s">
        <v>13079</v>
      </c>
      <c r="E1807" s="28" t="s">
        <v>1177</v>
      </c>
      <c r="F1807" t="s">
        <v>786</v>
      </c>
      <c r="G1807" t="s">
        <v>110</v>
      </c>
      <c r="M1807" s="28" t="s">
        <v>13563</v>
      </c>
      <c r="N1807" t="s">
        <v>279</v>
      </c>
    </row>
    <row r="1808" spans="1:14" hidden="1" x14ac:dyDescent="0.25">
      <c r="A1808" t="s">
        <v>8987</v>
      </c>
      <c r="B1808" t="s">
        <v>3485</v>
      </c>
      <c r="C1808" t="s">
        <v>3167</v>
      </c>
      <c r="D1808" t="s">
        <v>3486</v>
      </c>
      <c r="E1808" s="28" t="s">
        <v>890</v>
      </c>
      <c r="F1808" t="s">
        <v>597</v>
      </c>
      <c r="G1808" t="s">
        <v>88</v>
      </c>
      <c r="M1808" s="28" t="s">
        <v>549</v>
      </c>
      <c r="N1808" t="s">
        <v>313</v>
      </c>
    </row>
    <row r="1809" spans="1:14" hidden="1" x14ac:dyDescent="0.25">
      <c r="A1809" t="s">
        <v>8988</v>
      </c>
      <c r="B1809" t="s">
        <v>3487</v>
      </c>
      <c r="C1809" t="s">
        <v>3488</v>
      </c>
      <c r="D1809" t="s">
        <v>3489</v>
      </c>
      <c r="E1809" s="28" t="s">
        <v>930</v>
      </c>
      <c r="F1809" t="s">
        <v>891</v>
      </c>
      <c r="G1809" t="s">
        <v>88</v>
      </c>
      <c r="M1809" s="28" t="s">
        <v>549</v>
      </c>
      <c r="N1809" t="s">
        <v>313</v>
      </c>
    </row>
    <row r="1810" spans="1:14" hidden="1" x14ac:dyDescent="0.25">
      <c r="A1810" t="s">
        <v>8989</v>
      </c>
      <c r="B1810" t="s">
        <v>3487</v>
      </c>
      <c r="C1810" t="s">
        <v>3452</v>
      </c>
      <c r="D1810" t="s">
        <v>3490</v>
      </c>
      <c r="E1810" s="28" t="s">
        <v>896</v>
      </c>
      <c r="F1810" t="s">
        <v>891</v>
      </c>
      <c r="G1810" t="s">
        <v>88</v>
      </c>
      <c r="M1810" s="28" t="s">
        <v>549</v>
      </c>
      <c r="N1810" t="s">
        <v>313</v>
      </c>
    </row>
    <row r="1811" spans="1:14" hidden="1" x14ac:dyDescent="0.25">
      <c r="A1811" t="s">
        <v>8990</v>
      </c>
      <c r="B1811" t="s">
        <v>3487</v>
      </c>
      <c r="C1811" t="s">
        <v>3491</v>
      </c>
      <c r="D1811" t="s">
        <v>3492</v>
      </c>
      <c r="E1811" s="28" t="s">
        <v>930</v>
      </c>
      <c r="F1811" t="s">
        <v>891</v>
      </c>
      <c r="G1811" t="s">
        <v>88</v>
      </c>
      <c r="M1811" s="28" t="s">
        <v>549</v>
      </c>
      <c r="N1811" t="s">
        <v>313</v>
      </c>
    </row>
    <row r="1812" spans="1:14" hidden="1" x14ac:dyDescent="0.25">
      <c r="A1812" t="s">
        <v>11411</v>
      </c>
      <c r="B1812" t="s">
        <v>11412</v>
      </c>
      <c r="C1812" t="s">
        <v>1557</v>
      </c>
      <c r="D1812" t="s">
        <v>11413</v>
      </c>
      <c r="E1812" s="28" t="s">
        <v>890</v>
      </c>
      <c r="F1812" t="s">
        <v>2957</v>
      </c>
      <c r="G1812" t="s">
        <v>84</v>
      </c>
      <c r="M1812" s="28" t="s">
        <v>14223</v>
      </c>
      <c r="N1812" t="s">
        <v>313</v>
      </c>
    </row>
    <row r="1813" spans="1:14" hidden="1" x14ac:dyDescent="0.25">
      <c r="A1813" t="s">
        <v>12735</v>
      </c>
      <c r="B1813" t="s">
        <v>12736</v>
      </c>
      <c r="C1813" t="s">
        <v>1103</v>
      </c>
      <c r="D1813" t="s">
        <v>12737</v>
      </c>
      <c r="E1813" s="28" t="s">
        <v>890</v>
      </c>
      <c r="F1813" t="s">
        <v>588</v>
      </c>
      <c r="G1813" t="s">
        <v>88</v>
      </c>
      <c r="M1813" s="28" t="s">
        <v>549</v>
      </c>
      <c r="N1813" t="s">
        <v>313</v>
      </c>
    </row>
    <row r="1814" spans="1:14" hidden="1" x14ac:dyDescent="0.25">
      <c r="A1814" t="s">
        <v>12738</v>
      </c>
      <c r="B1814" t="s">
        <v>12736</v>
      </c>
      <c r="C1814" t="s">
        <v>3167</v>
      </c>
      <c r="D1814" t="s">
        <v>12739</v>
      </c>
      <c r="E1814" s="28" t="s">
        <v>930</v>
      </c>
      <c r="F1814" t="s">
        <v>588</v>
      </c>
      <c r="G1814" t="s">
        <v>88</v>
      </c>
      <c r="M1814" s="28" t="s">
        <v>549</v>
      </c>
      <c r="N1814" t="s">
        <v>313</v>
      </c>
    </row>
    <row r="1815" spans="1:14" hidden="1" x14ac:dyDescent="0.25">
      <c r="A1815" t="s">
        <v>8991</v>
      </c>
      <c r="B1815" t="s">
        <v>3493</v>
      </c>
      <c r="C1815" t="s">
        <v>3031</v>
      </c>
      <c r="D1815" t="s">
        <v>3494</v>
      </c>
      <c r="E1815" s="28" t="s">
        <v>930</v>
      </c>
      <c r="F1815" t="s">
        <v>891</v>
      </c>
      <c r="G1815" t="s">
        <v>88</v>
      </c>
      <c r="M1815" s="28" t="s">
        <v>549</v>
      </c>
      <c r="N1815" t="s">
        <v>313</v>
      </c>
    </row>
    <row r="1816" spans="1:14" hidden="1" x14ac:dyDescent="0.25">
      <c r="A1816" t="s">
        <v>8992</v>
      </c>
      <c r="B1816" t="s">
        <v>3493</v>
      </c>
      <c r="C1816" t="s">
        <v>3021</v>
      </c>
      <c r="D1816" t="s">
        <v>3495</v>
      </c>
      <c r="E1816" s="28" t="s">
        <v>896</v>
      </c>
      <c r="F1816" t="s">
        <v>571</v>
      </c>
      <c r="G1816" t="s">
        <v>88</v>
      </c>
      <c r="M1816" s="28" t="s">
        <v>549</v>
      </c>
      <c r="N1816" t="s">
        <v>313</v>
      </c>
    </row>
    <row r="1817" spans="1:14" hidden="1" x14ac:dyDescent="0.25">
      <c r="A1817" t="s">
        <v>8993</v>
      </c>
      <c r="B1817" t="s">
        <v>3493</v>
      </c>
      <c r="C1817" t="s">
        <v>3044</v>
      </c>
      <c r="D1817" t="s">
        <v>3496</v>
      </c>
      <c r="E1817" s="28" t="s">
        <v>1023</v>
      </c>
      <c r="F1817" t="s">
        <v>891</v>
      </c>
      <c r="G1817" t="s">
        <v>88</v>
      </c>
      <c r="M1817" s="28" t="s">
        <v>549</v>
      </c>
      <c r="N1817" t="s">
        <v>313</v>
      </c>
    </row>
    <row r="1818" spans="1:14" hidden="1" x14ac:dyDescent="0.25">
      <c r="A1818" t="s">
        <v>8994</v>
      </c>
      <c r="B1818" t="s">
        <v>3497</v>
      </c>
      <c r="C1818" t="s">
        <v>3226</v>
      </c>
      <c r="D1818" t="s">
        <v>3498</v>
      </c>
      <c r="E1818" s="28" t="s">
        <v>896</v>
      </c>
      <c r="F1818" t="s">
        <v>891</v>
      </c>
      <c r="G1818" t="s">
        <v>88</v>
      </c>
      <c r="M1818" s="28" t="s">
        <v>549</v>
      </c>
      <c r="N1818" t="s">
        <v>313</v>
      </c>
    </row>
    <row r="1819" spans="1:14" hidden="1" x14ac:dyDescent="0.25">
      <c r="A1819" t="s">
        <v>8995</v>
      </c>
      <c r="B1819" t="s">
        <v>3497</v>
      </c>
      <c r="C1819" t="s">
        <v>3025</v>
      </c>
      <c r="D1819" t="s">
        <v>3499</v>
      </c>
      <c r="E1819" s="28" t="s">
        <v>930</v>
      </c>
      <c r="F1819" t="s">
        <v>891</v>
      </c>
      <c r="G1819" t="s">
        <v>88</v>
      </c>
      <c r="M1819" s="28" t="s">
        <v>549</v>
      </c>
      <c r="N1819" t="s">
        <v>313</v>
      </c>
    </row>
    <row r="1820" spans="1:14" hidden="1" x14ac:dyDescent="0.25">
      <c r="A1820" t="s">
        <v>11192</v>
      </c>
      <c r="B1820" t="s">
        <v>11193</v>
      </c>
      <c r="C1820" t="s">
        <v>1227</v>
      </c>
      <c r="D1820" t="s">
        <v>11194</v>
      </c>
      <c r="E1820" s="28" t="s">
        <v>896</v>
      </c>
      <c r="F1820" t="s">
        <v>182</v>
      </c>
      <c r="G1820" t="s">
        <v>84</v>
      </c>
      <c r="M1820" s="28" t="s">
        <v>14223</v>
      </c>
      <c r="N1820" t="s">
        <v>313</v>
      </c>
    </row>
    <row r="1821" spans="1:14" hidden="1" x14ac:dyDescent="0.25">
      <c r="A1821" t="s">
        <v>8996</v>
      </c>
      <c r="B1821" t="s">
        <v>3500</v>
      </c>
      <c r="C1821" t="s">
        <v>3501</v>
      </c>
      <c r="D1821" t="s">
        <v>3502</v>
      </c>
      <c r="E1821" s="28" t="s">
        <v>890</v>
      </c>
      <c r="F1821" t="s">
        <v>891</v>
      </c>
      <c r="G1821" t="s">
        <v>88</v>
      </c>
      <c r="M1821" s="28" t="s">
        <v>549</v>
      </c>
      <c r="N1821" t="s">
        <v>313</v>
      </c>
    </row>
    <row r="1822" spans="1:14" hidden="1" x14ac:dyDescent="0.25">
      <c r="A1822" t="s">
        <v>8997</v>
      </c>
      <c r="B1822" t="s">
        <v>3500</v>
      </c>
      <c r="C1822" t="s">
        <v>1760</v>
      </c>
      <c r="D1822" t="s">
        <v>3503</v>
      </c>
      <c r="E1822" s="28" t="s">
        <v>896</v>
      </c>
      <c r="F1822" t="s">
        <v>617</v>
      </c>
      <c r="G1822" t="s">
        <v>88</v>
      </c>
      <c r="M1822" s="28" t="s">
        <v>549</v>
      </c>
      <c r="N1822" t="s">
        <v>313</v>
      </c>
    </row>
    <row r="1823" spans="1:14" hidden="1" x14ac:dyDescent="0.25">
      <c r="A1823" t="s">
        <v>13770</v>
      </c>
      <c r="B1823" t="s">
        <v>13771</v>
      </c>
      <c r="C1823" t="s">
        <v>11409</v>
      </c>
      <c r="D1823" t="s">
        <v>13772</v>
      </c>
      <c r="E1823" s="28"/>
      <c r="F1823" t="s">
        <v>398</v>
      </c>
      <c r="G1823" t="s">
        <v>60</v>
      </c>
      <c r="M1823" s="28" t="s">
        <v>14207</v>
      </c>
    </row>
    <row r="1824" spans="1:14" hidden="1" x14ac:dyDescent="0.25">
      <c r="A1824" t="s">
        <v>8998</v>
      </c>
      <c r="B1824" t="s">
        <v>3504</v>
      </c>
      <c r="C1824" t="s">
        <v>1103</v>
      </c>
      <c r="D1824" t="s">
        <v>3505</v>
      </c>
      <c r="E1824" s="28" t="s">
        <v>896</v>
      </c>
      <c r="F1824" t="s">
        <v>891</v>
      </c>
      <c r="G1824" t="s">
        <v>88</v>
      </c>
      <c r="M1824" s="28" t="s">
        <v>549</v>
      </c>
      <c r="N1824" t="s">
        <v>313</v>
      </c>
    </row>
    <row r="1825" spans="1:14" hidden="1" x14ac:dyDescent="0.25">
      <c r="A1825" t="s">
        <v>8999</v>
      </c>
      <c r="B1825" t="s">
        <v>3506</v>
      </c>
      <c r="C1825" t="s">
        <v>3507</v>
      </c>
      <c r="D1825" t="s">
        <v>3508</v>
      </c>
      <c r="E1825" s="28" t="s">
        <v>890</v>
      </c>
      <c r="F1825" t="s">
        <v>554</v>
      </c>
      <c r="G1825" t="s">
        <v>88</v>
      </c>
      <c r="M1825" s="28" t="s">
        <v>549</v>
      </c>
      <c r="N1825" t="s">
        <v>313</v>
      </c>
    </row>
    <row r="1826" spans="1:14" hidden="1" x14ac:dyDescent="0.25">
      <c r="A1826" t="s">
        <v>9000</v>
      </c>
      <c r="B1826" t="s">
        <v>3509</v>
      </c>
      <c r="C1826" t="s">
        <v>2108</v>
      </c>
      <c r="D1826" t="s">
        <v>3510</v>
      </c>
      <c r="E1826" s="28" t="s">
        <v>896</v>
      </c>
      <c r="F1826" t="s">
        <v>554</v>
      </c>
      <c r="G1826" t="s">
        <v>88</v>
      </c>
      <c r="M1826" s="28" t="s">
        <v>549</v>
      </c>
      <c r="N1826" t="s">
        <v>313</v>
      </c>
    </row>
    <row r="1827" spans="1:14" hidden="1" x14ac:dyDescent="0.25">
      <c r="A1827" t="s">
        <v>9001</v>
      </c>
      <c r="B1827" t="s">
        <v>3511</v>
      </c>
      <c r="C1827" t="s">
        <v>3134</v>
      </c>
      <c r="D1827" t="s">
        <v>3512</v>
      </c>
      <c r="E1827" s="28" t="s">
        <v>896</v>
      </c>
      <c r="F1827" t="s">
        <v>554</v>
      </c>
      <c r="G1827" t="s">
        <v>88</v>
      </c>
      <c r="M1827" s="28" t="s">
        <v>549</v>
      </c>
      <c r="N1827" t="s">
        <v>313</v>
      </c>
    </row>
    <row r="1828" spans="1:14" hidden="1" x14ac:dyDescent="0.25">
      <c r="A1828" t="s">
        <v>9002</v>
      </c>
      <c r="B1828" t="s">
        <v>3513</v>
      </c>
      <c r="C1828" t="s">
        <v>3031</v>
      </c>
      <c r="D1828" t="s">
        <v>3514</v>
      </c>
      <c r="E1828" s="28" t="s">
        <v>1023</v>
      </c>
      <c r="F1828" t="s">
        <v>891</v>
      </c>
      <c r="G1828" t="s">
        <v>88</v>
      </c>
      <c r="M1828" s="28" t="s">
        <v>549</v>
      </c>
      <c r="N1828" t="s">
        <v>313</v>
      </c>
    </row>
    <row r="1829" spans="1:14" hidden="1" x14ac:dyDescent="0.25">
      <c r="A1829" t="s">
        <v>11838</v>
      </c>
      <c r="B1829" t="s">
        <v>11839</v>
      </c>
      <c r="C1829" t="s">
        <v>3021</v>
      </c>
      <c r="D1829" t="s">
        <v>11840</v>
      </c>
      <c r="E1829" s="28" t="s">
        <v>890</v>
      </c>
      <c r="F1829" t="s">
        <v>579</v>
      </c>
      <c r="G1829" t="s">
        <v>88</v>
      </c>
      <c r="M1829" s="28" t="s">
        <v>549</v>
      </c>
      <c r="N1829" t="s">
        <v>313</v>
      </c>
    </row>
    <row r="1830" spans="1:14" hidden="1" x14ac:dyDescent="0.25">
      <c r="A1830" t="s">
        <v>9003</v>
      </c>
      <c r="B1830" t="s">
        <v>3515</v>
      </c>
      <c r="C1830" t="s">
        <v>3034</v>
      </c>
      <c r="D1830" t="s">
        <v>3516</v>
      </c>
      <c r="E1830" s="28" t="s">
        <v>890</v>
      </c>
      <c r="F1830" t="s">
        <v>571</v>
      </c>
      <c r="G1830" t="s">
        <v>88</v>
      </c>
      <c r="M1830" s="28" t="s">
        <v>549</v>
      </c>
      <c r="N1830" t="s">
        <v>313</v>
      </c>
    </row>
    <row r="1831" spans="1:14" hidden="1" x14ac:dyDescent="0.25">
      <c r="A1831" t="s">
        <v>9004</v>
      </c>
      <c r="B1831" t="s">
        <v>3515</v>
      </c>
      <c r="C1831" t="s">
        <v>3214</v>
      </c>
      <c r="D1831" t="s">
        <v>3517</v>
      </c>
      <c r="E1831" s="28" t="s">
        <v>896</v>
      </c>
      <c r="F1831" t="s">
        <v>891</v>
      </c>
      <c r="G1831" t="s">
        <v>88</v>
      </c>
      <c r="M1831" s="28" t="s">
        <v>549</v>
      </c>
      <c r="N1831" t="s">
        <v>313</v>
      </c>
    </row>
    <row r="1832" spans="1:14" hidden="1" x14ac:dyDescent="0.25">
      <c r="A1832" t="s">
        <v>9005</v>
      </c>
      <c r="B1832" t="s">
        <v>3515</v>
      </c>
      <c r="C1832" t="s">
        <v>3383</v>
      </c>
      <c r="D1832" t="s">
        <v>3518</v>
      </c>
      <c r="E1832" s="28" t="s">
        <v>890</v>
      </c>
      <c r="F1832" t="s">
        <v>891</v>
      </c>
      <c r="G1832" t="s">
        <v>88</v>
      </c>
      <c r="M1832" s="28" t="s">
        <v>549</v>
      </c>
      <c r="N1832" t="s">
        <v>313</v>
      </c>
    </row>
    <row r="1833" spans="1:14" hidden="1" x14ac:dyDescent="0.25">
      <c r="A1833" t="s">
        <v>9006</v>
      </c>
      <c r="B1833" t="s">
        <v>3519</v>
      </c>
      <c r="C1833" t="s">
        <v>1172</v>
      </c>
      <c r="D1833" t="s">
        <v>3520</v>
      </c>
      <c r="E1833" s="28" t="s">
        <v>890</v>
      </c>
      <c r="F1833" t="s">
        <v>891</v>
      </c>
      <c r="G1833" t="s">
        <v>88</v>
      </c>
      <c r="M1833" s="28" t="s">
        <v>549</v>
      </c>
      <c r="N1833" t="s">
        <v>313</v>
      </c>
    </row>
    <row r="1834" spans="1:14" hidden="1" x14ac:dyDescent="0.25">
      <c r="A1834" t="s">
        <v>9007</v>
      </c>
      <c r="B1834" t="s">
        <v>3521</v>
      </c>
      <c r="C1834" t="s">
        <v>3522</v>
      </c>
      <c r="D1834" t="s">
        <v>3523</v>
      </c>
      <c r="E1834" s="28" t="s">
        <v>1177</v>
      </c>
      <c r="F1834" t="s">
        <v>891</v>
      </c>
      <c r="G1834" t="s">
        <v>88</v>
      </c>
      <c r="M1834" s="28" t="s">
        <v>549</v>
      </c>
      <c r="N1834" t="s">
        <v>313</v>
      </c>
    </row>
    <row r="1835" spans="1:14" hidden="1" x14ac:dyDescent="0.25">
      <c r="A1835" t="s">
        <v>9008</v>
      </c>
      <c r="B1835" t="s">
        <v>3521</v>
      </c>
      <c r="C1835" t="s">
        <v>2108</v>
      </c>
      <c r="D1835" t="s">
        <v>3524</v>
      </c>
      <c r="E1835" s="28" t="s">
        <v>890</v>
      </c>
      <c r="F1835" t="s">
        <v>550</v>
      </c>
      <c r="G1835" t="s">
        <v>88</v>
      </c>
      <c r="M1835" s="28" t="s">
        <v>549</v>
      </c>
      <c r="N1835" t="s">
        <v>313</v>
      </c>
    </row>
    <row r="1836" spans="1:14" hidden="1" x14ac:dyDescent="0.25">
      <c r="A1836" t="s">
        <v>9009</v>
      </c>
      <c r="B1836" t="s">
        <v>3525</v>
      </c>
      <c r="C1836" t="s">
        <v>3526</v>
      </c>
      <c r="D1836" t="s">
        <v>3527</v>
      </c>
      <c r="E1836" s="28" t="s">
        <v>890</v>
      </c>
      <c r="F1836" t="s">
        <v>566</v>
      </c>
      <c r="G1836" t="s">
        <v>88</v>
      </c>
      <c r="M1836" s="28" t="s">
        <v>549</v>
      </c>
      <c r="N1836" t="s">
        <v>313</v>
      </c>
    </row>
    <row r="1837" spans="1:14" hidden="1" x14ac:dyDescent="0.25">
      <c r="A1837" t="s">
        <v>9010</v>
      </c>
      <c r="B1837" t="s">
        <v>3525</v>
      </c>
      <c r="C1837" t="s">
        <v>3044</v>
      </c>
      <c r="D1837" t="s">
        <v>3528</v>
      </c>
      <c r="E1837" s="28" t="s">
        <v>890</v>
      </c>
      <c r="F1837" t="s">
        <v>13206</v>
      </c>
      <c r="G1837" t="s">
        <v>88</v>
      </c>
      <c r="M1837" s="28" t="s">
        <v>549</v>
      </c>
      <c r="N1837" t="s">
        <v>313</v>
      </c>
    </row>
    <row r="1838" spans="1:14" hidden="1" x14ac:dyDescent="0.25">
      <c r="A1838" t="s">
        <v>13773</v>
      </c>
      <c r="B1838" t="s">
        <v>2121</v>
      </c>
      <c r="C1838" t="s">
        <v>13774</v>
      </c>
      <c r="D1838" t="s">
        <v>13775</v>
      </c>
      <c r="E1838" s="28"/>
      <c r="F1838" t="s">
        <v>400</v>
      </c>
      <c r="G1838" t="s">
        <v>60</v>
      </c>
      <c r="M1838" s="28" t="s">
        <v>14207</v>
      </c>
    </row>
    <row r="1839" spans="1:14" hidden="1" x14ac:dyDescent="0.25">
      <c r="A1839" t="s">
        <v>8399</v>
      </c>
      <c r="B1839" t="s">
        <v>2121</v>
      </c>
      <c r="C1839" t="s">
        <v>2122</v>
      </c>
      <c r="D1839" t="s">
        <v>2123</v>
      </c>
      <c r="E1839" s="28" t="s">
        <v>890</v>
      </c>
      <c r="F1839" t="s">
        <v>400</v>
      </c>
      <c r="G1839" t="s">
        <v>60</v>
      </c>
      <c r="M1839" s="28" t="s">
        <v>14207</v>
      </c>
    </row>
    <row r="1840" spans="1:14" hidden="1" x14ac:dyDescent="0.25">
      <c r="A1840" t="s">
        <v>12508</v>
      </c>
      <c r="B1840" t="s">
        <v>12509</v>
      </c>
      <c r="C1840" t="s">
        <v>3036</v>
      </c>
      <c r="D1840" t="s">
        <v>12510</v>
      </c>
      <c r="E1840" s="28" t="s">
        <v>890</v>
      </c>
      <c r="F1840" t="s">
        <v>554</v>
      </c>
      <c r="G1840" t="s">
        <v>88</v>
      </c>
      <c r="M1840" s="28" t="s">
        <v>549</v>
      </c>
      <c r="N1840" t="s">
        <v>313</v>
      </c>
    </row>
    <row r="1841" spans="1:14" hidden="1" x14ac:dyDescent="0.25">
      <c r="A1841" t="s">
        <v>8057</v>
      </c>
      <c r="B1841" t="s">
        <v>1256</v>
      </c>
      <c r="C1841" t="s">
        <v>1060</v>
      </c>
      <c r="D1841" t="s">
        <v>1257</v>
      </c>
      <c r="E1841" s="28" t="s">
        <v>890</v>
      </c>
      <c r="F1841" t="s">
        <v>315</v>
      </c>
      <c r="G1841" t="s">
        <v>34</v>
      </c>
      <c r="M1841" s="28" t="s">
        <v>12353</v>
      </c>
      <c r="N1841" t="s">
        <v>313</v>
      </c>
    </row>
    <row r="1842" spans="1:14" hidden="1" x14ac:dyDescent="0.25">
      <c r="A1842" t="s">
        <v>9011</v>
      </c>
      <c r="B1842" t="s">
        <v>3529</v>
      </c>
      <c r="C1842" t="s">
        <v>1103</v>
      </c>
      <c r="D1842" t="s">
        <v>3530</v>
      </c>
      <c r="E1842" s="28" t="s">
        <v>890</v>
      </c>
      <c r="F1842" t="s">
        <v>579</v>
      </c>
      <c r="G1842" t="s">
        <v>88</v>
      </c>
      <c r="M1842" s="28" t="s">
        <v>549</v>
      </c>
      <c r="N1842" t="s">
        <v>313</v>
      </c>
    </row>
    <row r="1843" spans="1:14" hidden="1" x14ac:dyDescent="0.25">
      <c r="A1843" t="s">
        <v>9012</v>
      </c>
      <c r="B1843" t="s">
        <v>3529</v>
      </c>
      <c r="C1843" t="s">
        <v>3034</v>
      </c>
      <c r="D1843" t="s">
        <v>3531</v>
      </c>
      <c r="E1843" s="28" t="s">
        <v>890</v>
      </c>
      <c r="F1843" t="s">
        <v>579</v>
      </c>
      <c r="G1843" t="s">
        <v>88</v>
      </c>
      <c r="M1843" s="28" t="s">
        <v>549</v>
      </c>
      <c r="N1843" t="s">
        <v>313</v>
      </c>
    </row>
    <row r="1844" spans="1:14" hidden="1" x14ac:dyDescent="0.25">
      <c r="A1844" t="s">
        <v>9013</v>
      </c>
      <c r="B1844" t="s">
        <v>3532</v>
      </c>
      <c r="C1844" t="s">
        <v>3031</v>
      </c>
      <c r="D1844" t="s">
        <v>3533</v>
      </c>
      <c r="E1844" s="28" t="s">
        <v>896</v>
      </c>
      <c r="F1844" t="s">
        <v>891</v>
      </c>
      <c r="G1844" t="s">
        <v>88</v>
      </c>
      <c r="M1844" s="28" t="s">
        <v>549</v>
      </c>
      <c r="N1844" t="s">
        <v>313</v>
      </c>
    </row>
    <row r="1845" spans="1:14" hidden="1" x14ac:dyDescent="0.25">
      <c r="A1845" t="s">
        <v>9014</v>
      </c>
      <c r="B1845" t="s">
        <v>3534</v>
      </c>
      <c r="C1845" t="s">
        <v>2108</v>
      </c>
      <c r="D1845" t="s">
        <v>3535</v>
      </c>
      <c r="E1845" s="28" t="s">
        <v>896</v>
      </c>
      <c r="F1845" t="s">
        <v>891</v>
      </c>
      <c r="G1845" t="s">
        <v>88</v>
      </c>
      <c r="M1845" s="28" t="s">
        <v>549</v>
      </c>
      <c r="N1845" t="s">
        <v>313</v>
      </c>
    </row>
    <row r="1846" spans="1:14" hidden="1" x14ac:dyDescent="0.25">
      <c r="A1846" t="s">
        <v>9015</v>
      </c>
      <c r="B1846" t="s">
        <v>3536</v>
      </c>
      <c r="C1846" t="s">
        <v>1134</v>
      </c>
      <c r="D1846" t="s">
        <v>3537</v>
      </c>
      <c r="E1846" s="28" t="s">
        <v>896</v>
      </c>
      <c r="F1846" t="s">
        <v>577</v>
      </c>
      <c r="G1846" t="s">
        <v>88</v>
      </c>
      <c r="M1846" s="28" t="s">
        <v>549</v>
      </c>
      <c r="N1846" t="s">
        <v>313</v>
      </c>
    </row>
    <row r="1847" spans="1:14" hidden="1" x14ac:dyDescent="0.25">
      <c r="A1847" t="s">
        <v>9016</v>
      </c>
      <c r="B1847" t="s">
        <v>3538</v>
      </c>
      <c r="C1847" t="s">
        <v>3539</v>
      </c>
      <c r="D1847" t="s">
        <v>3540</v>
      </c>
      <c r="E1847" s="28" t="s">
        <v>896</v>
      </c>
      <c r="F1847" t="s">
        <v>564</v>
      </c>
      <c r="G1847" t="s">
        <v>88</v>
      </c>
      <c r="M1847" s="28" t="s">
        <v>549</v>
      </c>
      <c r="N1847" t="s">
        <v>313</v>
      </c>
    </row>
    <row r="1848" spans="1:14" hidden="1" x14ac:dyDescent="0.25">
      <c r="A1848" t="s">
        <v>10474</v>
      </c>
      <c r="B1848" t="s">
        <v>6605</v>
      </c>
      <c r="C1848" t="s">
        <v>6606</v>
      </c>
      <c r="D1848" t="s">
        <v>6607</v>
      </c>
      <c r="E1848" s="28" t="s">
        <v>890</v>
      </c>
      <c r="F1848" t="s">
        <v>6604</v>
      </c>
      <c r="G1848" t="s">
        <v>131</v>
      </c>
      <c r="M1848" s="28" t="s">
        <v>14242</v>
      </c>
    </row>
    <row r="1849" spans="1:14" hidden="1" x14ac:dyDescent="0.25">
      <c r="A1849" t="s">
        <v>10374</v>
      </c>
      <c r="B1849" t="s">
        <v>6304</v>
      </c>
      <c r="C1849" t="s">
        <v>6305</v>
      </c>
      <c r="D1849" t="s">
        <v>6306</v>
      </c>
      <c r="E1849" s="28" t="s">
        <v>930</v>
      </c>
      <c r="F1849" t="s">
        <v>783</v>
      </c>
      <c r="G1849" t="s">
        <v>110</v>
      </c>
      <c r="M1849" s="28" t="s">
        <v>13563</v>
      </c>
      <c r="N1849" t="s">
        <v>279</v>
      </c>
    </row>
    <row r="1850" spans="1:14" hidden="1" x14ac:dyDescent="0.25">
      <c r="A1850" t="s">
        <v>13433</v>
      </c>
      <c r="B1850" t="s">
        <v>6304</v>
      </c>
      <c r="C1850" t="s">
        <v>13434</v>
      </c>
      <c r="D1850" t="s">
        <v>13435</v>
      </c>
      <c r="E1850" s="28" t="s">
        <v>890</v>
      </c>
      <c r="F1850" t="s">
        <v>11578</v>
      </c>
      <c r="G1850" t="s">
        <v>110</v>
      </c>
      <c r="M1850" s="28" t="s">
        <v>13563</v>
      </c>
      <c r="N1850" t="s">
        <v>279</v>
      </c>
    </row>
    <row r="1851" spans="1:14" hidden="1" x14ac:dyDescent="0.25">
      <c r="A1851" t="s">
        <v>9017</v>
      </c>
      <c r="B1851" t="s">
        <v>3541</v>
      </c>
      <c r="C1851" t="s">
        <v>3099</v>
      </c>
      <c r="D1851" t="s">
        <v>3542</v>
      </c>
      <c r="E1851" s="28" t="s">
        <v>896</v>
      </c>
      <c r="F1851" t="s">
        <v>552</v>
      </c>
      <c r="G1851" t="s">
        <v>88</v>
      </c>
      <c r="M1851" s="28" t="s">
        <v>549</v>
      </c>
      <c r="N1851" t="s">
        <v>313</v>
      </c>
    </row>
    <row r="1852" spans="1:14" hidden="1" x14ac:dyDescent="0.25">
      <c r="A1852" t="s">
        <v>9018</v>
      </c>
      <c r="B1852" t="s">
        <v>3543</v>
      </c>
      <c r="C1852" t="s">
        <v>3025</v>
      </c>
      <c r="D1852" t="s">
        <v>3544</v>
      </c>
      <c r="E1852" s="28" t="s">
        <v>890</v>
      </c>
      <c r="F1852" t="s">
        <v>891</v>
      </c>
      <c r="G1852" t="s">
        <v>88</v>
      </c>
      <c r="M1852" s="28" t="s">
        <v>549</v>
      </c>
      <c r="N1852" t="s">
        <v>313</v>
      </c>
    </row>
    <row r="1853" spans="1:14" hidden="1" x14ac:dyDescent="0.25">
      <c r="A1853" t="s">
        <v>9019</v>
      </c>
      <c r="B1853" t="s">
        <v>3545</v>
      </c>
      <c r="C1853" t="s">
        <v>3546</v>
      </c>
      <c r="D1853" t="s">
        <v>3547</v>
      </c>
      <c r="E1853" s="28" t="s">
        <v>890</v>
      </c>
      <c r="F1853" t="s">
        <v>891</v>
      </c>
      <c r="G1853" t="s">
        <v>88</v>
      </c>
      <c r="M1853" s="28" t="s">
        <v>549</v>
      </c>
      <c r="N1853" t="s">
        <v>313</v>
      </c>
    </row>
    <row r="1854" spans="1:14" hidden="1" x14ac:dyDescent="0.25">
      <c r="A1854" t="s">
        <v>11817</v>
      </c>
      <c r="B1854" t="s">
        <v>3548</v>
      </c>
      <c r="C1854" t="s">
        <v>3161</v>
      </c>
      <c r="D1854" t="s">
        <v>11818</v>
      </c>
      <c r="E1854" s="28" t="s">
        <v>896</v>
      </c>
      <c r="F1854" t="s">
        <v>609</v>
      </c>
      <c r="G1854" t="s">
        <v>88</v>
      </c>
      <c r="M1854" s="28" t="s">
        <v>549</v>
      </c>
      <c r="N1854" t="s">
        <v>313</v>
      </c>
    </row>
    <row r="1855" spans="1:14" hidden="1" x14ac:dyDescent="0.25">
      <c r="A1855" t="s">
        <v>9020</v>
      </c>
      <c r="B1855" t="s">
        <v>3548</v>
      </c>
      <c r="C1855" t="s">
        <v>3549</v>
      </c>
      <c r="D1855" t="s">
        <v>3550</v>
      </c>
      <c r="E1855" s="28" t="s">
        <v>896</v>
      </c>
      <c r="F1855" t="s">
        <v>891</v>
      </c>
      <c r="G1855" t="s">
        <v>88</v>
      </c>
      <c r="M1855" s="28" t="s">
        <v>549</v>
      </c>
      <c r="N1855" t="s">
        <v>313</v>
      </c>
    </row>
    <row r="1856" spans="1:14" hidden="1" x14ac:dyDescent="0.25">
      <c r="A1856" t="s">
        <v>9021</v>
      </c>
      <c r="B1856" t="s">
        <v>3551</v>
      </c>
      <c r="C1856" t="s">
        <v>3552</v>
      </c>
      <c r="D1856" t="s">
        <v>3553</v>
      </c>
      <c r="E1856" s="28" t="s">
        <v>890</v>
      </c>
      <c r="F1856" t="s">
        <v>891</v>
      </c>
      <c r="G1856" t="s">
        <v>88</v>
      </c>
      <c r="M1856" s="28" t="s">
        <v>549</v>
      </c>
      <c r="N1856" t="s">
        <v>313</v>
      </c>
    </row>
    <row r="1857" spans="1:14" hidden="1" x14ac:dyDescent="0.25">
      <c r="A1857" t="s">
        <v>10822</v>
      </c>
      <c r="B1857" t="s">
        <v>6522</v>
      </c>
      <c r="C1857" t="s">
        <v>1312</v>
      </c>
      <c r="D1857" t="s">
        <v>7379</v>
      </c>
      <c r="E1857" s="28" t="s">
        <v>896</v>
      </c>
      <c r="F1857" t="s">
        <v>12060</v>
      </c>
      <c r="G1857" t="s">
        <v>157</v>
      </c>
      <c r="M1857" s="28" t="s">
        <v>840</v>
      </c>
      <c r="N1857" t="s">
        <v>382</v>
      </c>
    </row>
    <row r="1858" spans="1:14" hidden="1" x14ac:dyDescent="0.25">
      <c r="A1858" t="s">
        <v>11022</v>
      </c>
      <c r="B1858" t="s">
        <v>11023</v>
      </c>
      <c r="C1858" t="s">
        <v>11024</v>
      </c>
      <c r="D1858" t="s">
        <v>11025</v>
      </c>
      <c r="E1858" s="28" t="s">
        <v>890</v>
      </c>
      <c r="F1858" t="s">
        <v>35</v>
      </c>
      <c r="G1858" t="s">
        <v>84</v>
      </c>
      <c r="M1858" s="28" t="s">
        <v>14223</v>
      </c>
      <c r="N1858" t="s">
        <v>313</v>
      </c>
    </row>
    <row r="1859" spans="1:14" hidden="1" x14ac:dyDescent="0.25">
      <c r="A1859" t="s">
        <v>8003</v>
      </c>
      <c r="B1859" t="s">
        <v>1072</v>
      </c>
      <c r="C1859" t="s">
        <v>1073</v>
      </c>
      <c r="D1859" t="s">
        <v>1074</v>
      </c>
      <c r="E1859" s="28" t="s">
        <v>896</v>
      </c>
      <c r="F1859" t="s">
        <v>283</v>
      </c>
      <c r="G1859" t="s">
        <v>31</v>
      </c>
      <c r="M1859" s="28" t="s">
        <v>278</v>
      </c>
      <c r="N1859" t="s">
        <v>279</v>
      </c>
    </row>
    <row r="1860" spans="1:14" hidden="1" x14ac:dyDescent="0.25">
      <c r="A1860" t="s">
        <v>13104</v>
      </c>
      <c r="B1860" t="s">
        <v>13105</v>
      </c>
      <c r="C1860" t="s">
        <v>2029</v>
      </c>
      <c r="D1860" t="s">
        <v>13106</v>
      </c>
      <c r="E1860" s="28" t="s">
        <v>890</v>
      </c>
      <c r="F1860" t="s">
        <v>836</v>
      </c>
      <c r="G1860" t="s">
        <v>145</v>
      </c>
      <c r="M1860" s="28" t="s">
        <v>13222</v>
      </c>
      <c r="N1860" t="s">
        <v>313</v>
      </c>
    </row>
    <row r="1861" spans="1:14" hidden="1" x14ac:dyDescent="0.25">
      <c r="A1861" t="s">
        <v>13776</v>
      </c>
      <c r="B1861" t="s">
        <v>13777</v>
      </c>
      <c r="C1861" t="s">
        <v>1193</v>
      </c>
      <c r="D1861" t="s">
        <v>13778</v>
      </c>
      <c r="E1861" s="28" t="s">
        <v>890</v>
      </c>
      <c r="F1861" t="s">
        <v>11615</v>
      </c>
      <c r="G1861" t="s">
        <v>11</v>
      </c>
      <c r="M1861" s="28" t="s">
        <v>413</v>
      </c>
      <c r="N1861" t="s">
        <v>313</v>
      </c>
    </row>
    <row r="1862" spans="1:14" hidden="1" x14ac:dyDescent="0.25">
      <c r="A1862" t="s">
        <v>8368</v>
      </c>
      <c r="B1862" t="s">
        <v>1995</v>
      </c>
      <c r="C1862" t="s">
        <v>2048</v>
      </c>
      <c r="D1862" t="s">
        <v>2049</v>
      </c>
      <c r="E1862" s="28" t="s">
        <v>930</v>
      </c>
      <c r="F1862" t="s">
        <v>383</v>
      </c>
      <c r="G1862" t="s">
        <v>47</v>
      </c>
      <c r="M1862" s="28" t="s">
        <v>13542</v>
      </c>
    </row>
    <row r="1863" spans="1:14" hidden="1" x14ac:dyDescent="0.25">
      <c r="A1863" t="s">
        <v>8345</v>
      </c>
      <c r="B1863" t="s">
        <v>1995</v>
      </c>
      <c r="C1863" t="s">
        <v>1996</v>
      </c>
      <c r="D1863" t="s">
        <v>1997</v>
      </c>
      <c r="E1863" s="28" t="s">
        <v>896</v>
      </c>
      <c r="F1863" t="s">
        <v>383</v>
      </c>
      <c r="G1863" t="s">
        <v>47</v>
      </c>
      <c r="M1863" s="28" t="s">
        <v>13542</v>
      </c>
    </row>
    <row r="1864" spans="1:14" hidden="1" x14ac:dyDescent="0.25">
      <c r="A1864" t="s">
        <v>8367</v>
      </c>
      <c r="B1864" t="s">
        <v>1995</v>
      </c>
      <c r="C1864" t="s">
        <v>2046</v>
      </c>
      <c r="D1864" t="s">
        <v>2047</v>
      </c>
      <c r="E1864" s="28" t="s">
        <v>896</v>
      </c>
      <c r="F1864" t="s">
        <v>383</v>
      </c>
      <c r="G1864" t="s">
        <v>47</v>
      </c>
      <c r="M1864" s="28" t="s">
        <v>13542</v>
      </c>
    </row>
    <row r="1865" spans="1:14" hidden="1" x14ac:dyDescent="0.25">
      <c r="A1865" t="s">
        <v>9022</v>
      </c>
      <c r="B1865" t="s">
        <v>3554</v>
      </c>
      <c r="C1865" t="s">
        <v>1103</v>
      </c>
      <c r="D1865" t="s">
        <v>3555</v>
      </c>
      <c r="E1865" s="28" t="s">
        <v>890</v>
      </c>
      <c r="F1865" t="s">
        <v>891</v>
      </c>
      <c r="G1865" t="s">
        <v>88</v>
      </c>
      <c r="M1865" s="28" t="s">
        <v>549</v>
      </c>
      <c r="N1865" t="s">
        <v>313</v>
      </c>
    </row>
    <row r="1866" spans="1:14" hidden="1" x14ac:dyDescent="0.25">
      <c r="A1866" t="s">
        <v>10377</v>
      </c>
      <c r="B1866" t="s">
        <v>6314</v>
      </c>
      <c r="C1866" t="s">
        <v>6311</v>
      </c>
      <c r="D1866" t="s">
        <v>6315</v>
      </c>
      <c r="E1866" s="28" t="s">
        <v>890</v>
      </c>
      <c r="F1866" t="s">
        <v>11563</v>
      </c>
      <c r="G1866" t="s">
        <v>110</v>
      </c>
      <c r="M1866" s="28" t="s">
        <v>13563</v>
      </c>
      <c r="N1866" t="s">
        <v>279</v>
      </c>
    </row>
    <row r="1867" spans="1:14" hidden="1" x14ac:dyDescent="0.25">
      <c r="A1867" t="s">
        <v>10823</v>
      </c>
      <c r="B1867" t="s">
        <v>7380</v>
      </c>
      <c r="C1867" t="s">
        <v>2020</v>
      </c>
      <c r="D1867" t="s">
        <v>7381</v>
      </c>
      <c r="E1867" s="28" t="s">
        <v>890</v>
      </c>
      <c r="F1867" t="s">
        <v>99</v>
      </c>
      <c r="G1867" t="s">
        <v>157</v>
      </c>
      <c r="M1867" s="28" t="s">
        <v>840</v>
      </c>
      <c r="N1867" t="s">
        <v>382</v>
      </c>
    </row>
    <row r="1868" spans="1:14" hidden="1" x14ac:dyDescent="0.25">
      <c r="A1868" t="s">
        <v>14148</v>
      </c>
      <c r="B1868" t="s">
        <v>14149</v>
      </c>
      <c r="C1868" t="s">
        <v>14150</v>
      </c>
      <c r="D1868" t="s">
        <v>14151</v>
      </c>
      <c r="E1868" s="28" t="s">
        <v>890</v>
      </c>
      <c r="F1868" t="s">
        <v>504</v>
      </c>
      <c r="G1868" t="s">
        <v>11</v>
      </c>
      <c r="M1868" s="28" t="s">
        <v>413</v>
      </c>
      <c r="N1868" t="s">
        <v>313</v>
      </c>
    </row>
    <row r="1869" spans="1:14" hidden="1" x14ac:dyDescent="0.25">
      <c r="A1869" t="s">
        <v>14322</v>
      </c>
      <c r="B1869" t="s">
        <v>14149</v>
      </c>
      <c r="C1869" t="s">
        <v>1312</v>
      </c>
      <c r="D1869" t="s">
        <v>14323</v>
      </c>
      <c r="E1869" s="28" t="s">
        <v>896</v>
      </c>
      <c r="F1869" t="s">
        <v>504</v>
      </c>
      <c r="G1869" t="s">
        <v>11</v>
      </c>
      <c r="M1869" s="28" t="s">
        <v>413</v>
      </c>
      <c r="N1869" t="s">
        <v>313</v>
      </c>
    </row>
    <row r="1870" spans="1:14" hidden="1" x14ac:dyDescent="0.25">
      <c r="A1870" t="s">
        <v>9023</v>
      </c>
      <c r="B1870" t="s">
        <v>3556</v>
      </c>
      <c r="C1870" t="s">
        <v>2108</v>
      </c>
      <c r="D1870" t="s">
        <v>3557</v>
      </c>
      <c r="E1870" s="28" t="s">
        <v>890</v>
      </c>
      <c r="F1870" t="s">
        <v>891</v>
      </c>
      <c r="G1870" t="s">
        <v>88</v>
      </c>
      <c r="M1870" s="28" t="s">
        <v>549</v>
      </c>
      <c r="N1870" t="s">
        <v>313</v>
      </c>
    </row>
    <row r="1871" spans="1:14" hidden="1" x14ac:dyDescent="0.25">
      <c r="A1871" t="s">
        <v>9024</v>
      </c>
      <c r="B1871" t="s">
        <v>3556</v>
      </c>
      <c r="C1871" t="s">
        <v>1153</v>
      </c>
      <c r="D1871" t="s">
        <v>3558</v>
      </c>
      <c r="E1871" s="28" t="s">
        <v>890</v>
      </c>
      <c r="F1871" t="s">
        <v>891</v>
      </c>
      <c r="G1871" t="s">
        <v>88</v>
      </c>
      <c r="M1871" s="28" t="s">
        <v>549</v>
      </c>
      <c r="N1871" t="s">
        <v>313</v>
      </c>
    </row>
    <row r="1872" spans="1:14" hidden="1" x14ac:dyDescent="0.25">
      <c r="A1872" t="s">
        <v>10824</v>
      </c>
      <c r="B1872" t="s">
        <v>2297</v>
      </c>
      <c r="C1872" t="s">
        <v>7382</v>
      </c>
      <c r="D1872" t="s">
        <v>7383</v>
      </c>
      <c r="E1872" s="28" t="s">
        <v>890</v>
      </c>
      <c r="F1872" t="s">
        <v>263</v>
      </c>
      <c r="G1872" t="s">
        <v>157</v>
      </c>
      <c r="M1872" s="28" t="s">
        <v>840</v>
      </c>
      <c r="N1872" t="s">
        <v>382</v>
      </c>
    </row>
    <row r="1873" spans="1:14" hidden="1" x14ac:dyDescent="0.25">
      <c r="A1873" t="s">
        <v>14152</v>
      </c>
      <c r="B1873" t="s">
        <v>14153</v>
      </c>
      <c r="C1873" t="s">
        <v>1227</v>
      </c>
      <c r="D1873" t="s">
        <v>14154</v>
      </c>
      <c r="E1873" s="28" t="s">
        <v>890</v>
      </c>
      <c r="F1873" t="s">
        <v>263</v>
      </c>
      <c r="G1873" t="s">
        <v>157</v>
      </c>
      <c r="M1873" s="28" t="s">
        <v>840</v>
      </c>
      <c r="N1873" t="s">
        <v>382</v>
      </c>
    </row>
    <row r="1874" spans="1:14" hidden="1" x14ac:dyDescent="0.25">
      <c r="A1874" t="s">
        <v>10825</v>
      </c>
      <c r="B1874" t="s">
        <v>7384</v>
      </c>
      <c r="C1874" t="s">
        <v>1043</v>
      </c>
      <c r="D1874" t="s">
        <v>7385</v>
      </c>
      <c r="E1874" s="28" t="s">
        <v>896</v>
      </c>
      <c r="F1874" t="s">
        <v>7386</v>
      </c>
      <c r="G1874" t="s">
        <v>157</v>
      </c>
      <c r="M1874" s="28" t="s">
        <v>840</v>
      </c>
      <c r="N1874" t="s">
        <v>382</v>
      </c>
    </row>
    <row r="1875" spans="1:14" hidden="1" x14ac:dyDescent="0.25">
      <c r="A1875" t="s">
        <v>10826</v>
      </c>
      <c r="B1875" t="s">
        <v>7384</v>
      </c>
      <c r="C1875" t="s">
        <v>2705</v>
      </c>
      <c r="D1875" t="s">
        <v>7387</v>
      </c>
      <c r="E1875" s="28" t="s">
        <v>890</v>
      </c>
      <c r="F1875" t="s">
        <v>7386</v>
      </c>
      <c r="G1875" t="s">
        <v>157</v>
      </c>
      <c r="M1875" s="28" t="s">
        <v>840</v>
      </c>
      <c r="N1875" t="s">
        <v>382</v>
      </c>
    </row>
    <row r="1876" spans="1:14" hidden="1" x14ac:dyDescent="0.25">
      <c r="A1876" t="s">
        <v>9520</v>
      </c>
      <c r="B1876" t="s">
        <v>4544</v>
      </c>
      <c r="C1876" t="s">
        <v>2549</v>
      </c>
      <c r="D1876" t="s">
        <v>4545</v>
      </c>
      <c r="E1876" s="28" t="s">
        <v>896</v>
      </c>
      <c r="G1876" t="s">
        <v>102</v>
      </c>
      <c r="M1876" s="28"/>
    </row>
    <row r="1877" spans="1:14" hidden="1" x14ac:dyDescent="0.25">
      <c r="A1877" t="s">
        <v>8525</v>
      </c>
      <c r="B1877" t="s">
        <v>2425</v>
      </c>
      <c r="C1877" t="s">
        <v>1043</v>
      </c>
      <c r="D1877" t="s">
        <v>2426</v>
      </c>
      <c r="E1877" s="28" t="s">
        <v>896</v>
      </c>
      <c r="F1877" t="s">
        <v>2427</v>
      </c>
      <c r="G1877" t="s">
        <v>11</v>
      </c>
      <c r="M1877" s="28" t="s">
        <v>413</v>
      </c>
      <c r="N1877" t="s">
        <v>313</v>
      </c>
    </row>
    <row r="1878" spans="1:14" hidden="1" x14ac:dyDescent="0.25">
      <c r="A1878" t="s">
        <v>13779</v>
      </c>
      <c r="B1878" t="s">
        <v>13780</v>
      </c>
      <c r="C1878" t="s">
        <v>1134</v>
      </c>
      <c r="D1878" t="s">
        <v>13781</v>
      </c>
      <c r="E1878" s="28" t="s">
        <v>896</v>
      </c>
      <c r="F1878" t="s">
        <v>819</v>
      </c>
      <c r="G1878" t="s">
        <v>98</v>
      </c>
      <c r="M1878" s="28" t="s">
        <v>820</v>
      </c>
      <c r="N1878" t="s">
        <v>313</v>
      </c>
    </row>
    <row r="1879" spans="1:14" hidden="1" x14ac:dyDescent="0.25">
      <c r="A1879" t="s">
        <v>9025</v>
      </c>
      <c r="B1879" t="s">
        <v>3559</v>
      </c>
      <c r="C1879" t="s">
        <v>3068</v>
      </c>
      <c r="D1879" t="s">
        <v>3560</v>
      </c>
      <c r="E1879" s="28" t="s">
        <v>890</v>
      </c>
      <c r="F1879" t="s">
        <v>891</v>
      </c>
      <c r="G1879" t="s">
        <v>88</v>
      </c>
      <c r="M1879" s="28" t="s">
        <v>549</v>
      </c>
      <c r="N1879" t="s">
        <v>313</v>
      </c>
    </row>
    <row r="1880" spans="1:14" hidden="1" x14ac:dyDescent="0.25">
      <c r="A1880" t="s">
        <v>9026</v>
      </c>
      <c r="B1880" t="s">
        <v>3559</v>
      </c>
      <c r="C1880" t="s">
        <v>3044</v>
      </c>
      <c r="D1880" t="s">
        <v>3561</v>
      </c>
      <c r="E1880" s="28" t="s">
        <v>890</v>
      </c>
      <c r="F1880" t="s">
        <v>891</v>
      </c>
      <c r="G1880" t="s">
        <v>88</v>
      </c>
      <c r="M1880" s="28" t="s">
        <v>549</v>
      </c>
      <c r="N1880" t="s">
        <v>313</v>
      </c>
    </row>
    <row r="1881" spans="1:14" hidden="1" x14ac:dyDescent="0.25">
      <c r="A1881" t="s">
        <v>13782</v>
      </c>
      <c r="B1881" t="s">
        <v>13783</v>
      </c>
      <c r="C1881" t="s">
        <v>13784</v>
      </c>
      <c r="D1881" t="s">
        <v>13785</v>
      </c>
      <c r="E1881" s="28" t="s">
        <v>896</v>
      </c>
      <c r="F1881" t="s">
        <v>786</v>
      </c>
      <c r="G1881" t="s">
        <v>110</v>
      </c>
      <c r="M1881" s="28" t="s">
        <v>13563</v>
      </c>
      <c r="N1881" t="s">
        <v>279</v>
      </c>
    </row>
    <row r="1882" spans="1:14" hidden="1" x14ac:dyDescent="0.25">
      <c r="A1882" t="s">
        <v>9027</v>
      </c>
      <c r="B1882" t="s">
        <v>3562</v>
      </c>
      <c r="C1882" t="s">
        <v>3563</v>
      </c>
      <c r="D1882" t="s">
        <v>3564</v>
      </c>
      <c r="E1882" s="28" t="s">
        <v>930</v>
      </c>
      <c r="F1882" t="s">
        <v>891</v>
      </c>
      <c r="G1882" t="s">
        <v>88</v>
      </c>
      <c r="M1882" s="28" t="s">
        <v>549</v>
      </c>
      <c r="N1882" t="s">
        <v>313</v>
      </c>
    </row>
    <row r="1883" spans="1:14" hidden="1" x14ac:dyDescent="0.25">
      <c r="A1883" t="s">
        <v>13786</v>
      </c>
      <c r="B1883" t="s">
        <v>13787</v>
      </c>
      <c r="C1883" t="s">
        <v>13654</v>
      </c>
      <c r="D1883" t="s">
        <v>13788</v>
      </c>
      <c r="E1883" s="28"/>
      <c r="F1883" t="s">
        <v>13789</v>
      </c>
      <c r="G1883" t="s">
        <v>60</v>
      </c>
      <c r="M1883" s="28" t="s">
        <v>14207</v>
      </c>
    </row>
    <row r="1884" spans="1:14" hidden="1" x14ac:dyDescent="0.25">
      <c r="A1884" t="s">
        <v>9028</v>
      </c>
      <c r="B1884" t="s">
        <v>3565</v>
      </c>
      <c r="C1884" t="s">
        <v>3461</v>
      </c>
      <c r="D1884" t="s">
        <v>3566</v>
      </c>
      <c r="E1884" s="28" t="s">
        <v>890</v>
      </c>
      <c r="F1884" t="s">
        <v>891</v>
      </c>
      <c r="G1884" t="s">
        <v>88</v>
      </c>
      <c r="M1884" s="28" t="s">
        <v>549</v>
      </c>
      <c r="N1884" t="s">
        <v>313</v>
      </c>
    </row>
    <row r="1885" spans="1:14" hidden="1" x14ac:dyDescent="0.25">
      <c r="A1885" t="s">
        <v>10827</v>
      </c>
      <c r="B1885" t="s">
        <v>7388</v>
      </c>
      <c r="C1885" t="s">
        <v>2561</v>
      </c>
      <c r="D1885" t="s">
        <v>7389</v>
      </c>
      <c r="E1885" s="28" t="s">
        <v>896</v>
      </c>
      <c r="F1885" t="s">
        <v>872</v>
      </c>
      <c r="G1885" t="s">
        <v>157</v>
      </c>
      <c r="M1885" s="28" t="s">
        <v>840</v>
      </c>
      <c r="N1885" t="s">
        <v>382</v>
      </c>
    </row>
    <row r="1886" spans="1:14" hidden="1" x14ac:dyDescent="0.25">
      <c r="A1886" t="s">
        <v>9029</v>
      </c>
      <c r="B1886" t="s">
        <v>3567</v>
      </c>
      <c r="C1886" t="s">
        <v>3044</v>
      </c>
      <c r="D1886" t="s">
        <v>3568</v>
      </c>
      <c r="E1886" s="28" t="s">
        <v>890</v>
      </c>
      <c r="F1886" t="s">
        <v>891</v>
      </c>
      <c r="G1886" t="s">
        <v>88</v>
      </c>
      <c r="M1886" s="28" t="s">
        <v>549</v>
      </c>
      <c r="N1886" t="s">
        <v>313</v>
      </c>
    </row>
    <row r="1887" spans="1:14" hidden="1" x14ac:dyDescent="0.25">
      <c r="A1887" t="s">
        <v>8501</v>
      </c>
      <c r="B1887" t="s">
        <v>2367</v>
      </c>
      <c r="C1887" t="s">
        <v>2368</v>
      </c>
      <c r="D1887" t="s">
        <v>2369</v>
      </c>
      <c r="E1887" s="28" t="s">
        <v>930</v>
      </c>
      <c r="F1887" t="s">
        <v>408</v>
      </c>
      <c r="G1887" t="s">
        <v>65</v>
      </c>
      <c r="M1887" s="28" t="s">
        <v>14209</v>
      </c>
    </row>
    <row r="1888" spans="1:14" hidden="1" x14ac:dyDescent="0.25">
      <c r="A1888" t="s">
        <v>13515</v>
      </c>
      <c r="B1888" t="s">
        <v>13516</v>
      </c>
      <c r="C1888" t="s">
        <v>5213</v>
      </c>
      <c r="D1888" t="s">
        <v>13517</v>
      </c>
      <c r="E1888" s="28" t="s">
        <v>890</v>
      </c>
      <c r="F1888" t="s">
        <v>221</v>
      </c>
      <c r="G1888" t="s">
        <v>7849</v>
      </c>
      <c r="M1888" s="28"/>
    </row>
    <row r="1889" spans="1:14" hidden="1" x14ac:dyDescent="0.25">
      <c r="A1889" t="s">
        <v>11358</v>
      </c>
      <c r="B1889" t="s">
        <v>11359</v>
      </c>
      <c r="C1889" t="s">
        <v>11360</v>
      </c>
      <c r="D1889" t="s">
        <v>11361</v>
      </c>
      <c r="E1889" s="28" t="s">
        <v>890</v>
      </c>
      <c r="F1889" t="s">
        <v>11008</v>
      </c>
      <c r="G1889" t="s">
        <v>84</v>
      </c>
      <c r="M1889" s="28" t="s">
        <v>14223</v>
      </c>
      <c r="N1889" t="s">
        <v>313</v>
      </c>
    </row>
    <row r="1890" spans="1:14" hidden="1" x14ac:dyDescent="0.25">
      <c r="A1890" t="s">
        <v>8510</v>
      </c>
      <c r="B1890" t="s">
        <v>2389</v>
      </c>
      <c r="C1890" t="s">
        <v>2390</v>
      </c>
      <c r="D1890" t="s">
        <v>2391</v>
      </c>
      <c r="E1890" s="28" t="s">
        <v>890</v>
      </c>
      <c r="F1890" t="s">
        <v>408</v>
      </c>
      <c r="G1890" t="s">
        <v>65</v>
      </c>
      <c r="M1890" s="28" t="s">
        <v>14209</v>
      </c>
    </row>
    <row r="1891" spans="1:14" hidden="1" x14ac:dyDescent="0.25">
      <c r="A1891" t="s">
        <v>11084</v>
      </c>
      <c r="B1891" t="s">
        <v>11085</v>
      </c>
      <c r="C1891" t="s">
        <v>1327</v>
      </c>
      <c r="D1891" t="s">
        <v>11086</v>
      </c>
      <c r="E1891" s="28" t="s">
        <v>890</v>
      </c>
      <c r="F1891" t="s">
        <v>547</v>
      </c>
      <c r="G1891" t="s">
        <v>84</v>
      </c>
      <c r="M1891" s="28" t="s">
        <v>14223</v>
      </c>
      <c r="N1891" t="s">
        <v>313</v>
      </c>
    </row>
    <row r="1892" spans="1:14" hidden="1" x14ac:dyDescent="0.25">
      <c r="A1892" t="s">
        <v>14324</v>
      </c>
      <c r="B1892" t="s">
        <v>14325</v>
      </c>
      <c r="C1892" t="s">
        <v>6606</v>
      </c>
      <c r="D1892" t="s">
        <v>13790</v>
      </c>
      <c r="E1892" s="28" t="s">
        <v>1177</v>
      </c>
      <c r="F1892" t="s">
        <v>13635</v>
      </c>
      <c r="G1892" t="s">
        <v>81</v>
      </c>
      <c r="M1892" s="28" t="s">
        <v>530</v>
      </c>
      <c r="N1892" t="s">
        <v>313</v>
      </c>
    </row>
    <row r="1893" spans="1:14" hidden="1" x14ac:dyDescent="0.25">
      <c r="A1893" t="s">
        <v>9030</v>
      </c>
      <c r="B1893" t="s">
        <v>3569</v>
      </c>
      <c r="C1893" t="s">
        <v>3034</v>
      </c>
      <c r="D1893" t="s">
        <v>3570</v>
      </c>
      <c r="E1893" s="28" t="s">
        <v>930</v>
      </c>
      <c r="F1893" t="s">
        <v>891</v>
      </c>
      <c r="G1893" t="s">
        <v>88</v>
      </c>
      <c r="M1893" s="28" t="s">
        <v>549</v>
      </c>
      <c r="N1893" t="s">
        <v>313</v>
      </c>
    </row>
    <row r="1894" spans="1:14" hidden="1" x14ac:dyDescent="0.25">
      <c r="A1894" t="s">
        <v>10652</v>
      </c>
      <c r="B1894" t="s">
        <v>6973</v>
      </c>
      <c r="C1894" t="s">
        <v>6974</v>
      </c>
      <c r="D1894" t="s">
        <v>6975</v>
      </c>
      <c r="E1894" s="28" t="s">
        <v>890</v>
      </c>
      <c r="F1894" t="s">
        <v>6901</v>
      </c>
      <c r="G1894" t="s">
        <v>6896</v>
      </c>
      <c r="M1894" s="28" t="s">
        <v>6897</v>
      </c>
      <c r="N1894" t="s">
        <v>279</v>
      </c>
    </row>
    <row r="1895" spans="1:14" hidden="1" x14ac:dyDescent="0.25">
      <c r="A1895" t="s">
        <v>10372</v>
      </c>
      <c r="B1895" t="s">
        <v>6298</v>
      </c>
      <c r="C1895" t="s">
        <v>6299</v>
      </c>
      <c r="D1895" t="s">
        <v>6300</v>
      </c>
      <c r="E1895" s="28" t="s">
        <v>896</v>
      </c>
      <c r="F1895" t="s">
        <v>783</v>
      </c>
      <c r="G1895" t="s">
        <v>110</v>
      </c>
      <c r="M1895" s="28" t="s">
        <v>13563</v>
      </c>
      <c r="N1895" t="s">
        <v>279</v>
      </c>
    </row>
    <row r="1896" spans="1:14" hidden="1" x14ac:dyDescent="0.25">
      <c r="A1896" t="s">
        <v>9031</v>
      </c>
      <c r="B1896" t="s">
        <v>3571</v>
      </c>
      <c r="C1896" t="s">
        <v>3222</v>
      </c>
      <c r="D1896" t="s">
        <v>3572</v>
      </c>
      <c r="E1896" s="28" t="s">
        <v>896</v>
      </c>
      <c r="F1896" t="s">
        <v>891</v>
      </c>
      <c r="G1896" t="s">
        <v>88</v>
      </c>
      <c r="M1896" s="28" t="s">
        <v>549</v>
      </c>
      <c r="N1896" t="s">
        <v>313</v>
      </c>
    </row>
    <row r="1897" spans="1:14" hidden="1" x14ac:dyDescent="0.25">
      <c r="A1897" t="s">
        <v>9032</v>
      </c>
      <c r="B1897" t="s">
        <v>3573</v>
      </c>
      <c r="C1897" t="s">
        <v>3574</v>
      </c>
      <c r="D1897" t="s">
        <v>3575</v>
      </c>
      <c r="E1897" s="28" t="s">
        <v>930</v>
      </c>
      <c r="F1897" t="s">
        <v>891</v>
      </c>
      <c r="G1897" t="s">
        <v>88</v>
      </c>
      <c r="M1897" s="28" t="s">
        <v>549</v>
      </c>
      <c r="N1897" t="s">
        <v>313</v>
      </c>
    </row>
    <row r="1898" spans="1:14" hidden="1" x14ac:dyDescent="0.25">
      <c r="A1898" t="s">
        <v>9033</v>
      </c>
      <c r="B1898" t="s">
        <v>3576</v>
      </c>
      <c r="C1898" t="s">
        <v>3222</v>
      </c>
      <c r="D1898" t="s">
        <v>3577</v>
      </c>
      <c r="E1898" s="28" t="s">
        <v>1023</v>
      </c>
      <c r="F1898" t="s">
        <v>891</v>
      </c>
      <c r="G1898" t="s">
        <v>88</v>
      </c>
      <c r="M1898" s="28" t="s">
        <v>549</v>
      </c>
      <c r="N1898" t="s">
        <v>313</v>
      </c>
    </row>
    <row r="1899" spans="1:14" hidden="1" x14ac:dyDescent="0.25">
      <c r="A1899" t="s">
        <v>9034</v>
      </c>
      <c r="B1899" t="s">
        <v>3578</v>
      </c>
      <c r="C1899" t="s">
        <v>3330</v>
      </c>
      <c r="D1899" t="s">
        <v>3579</v>
      </c>
      <c r="E1899" s="28" t="s">
        <v>890</v>
      </c>
      <c r="F1899" t="s">
        <v>891</v>
      </c>
      <c r="G1899" t="s">
        <v>88</v>
      </c>
      <c r="M1899" s="28" t="s">
        <v>549</v>
      </c>
      <c r="N1899" t="s">
        <v>313</v>
      </c>
    </row>
    <row r="1900" spans="1:14" hidden="1" x14ac:dyDescent="0.25">
      <c r="A1900" t="s">
        <v>9035</v>
      </c>
      <c r="B1900" t="s">
        <v>3578</v>
      </c>
      <c r="C1900" t="s">
        <v>3034</v>
      </c>
      <c r="D1900" t="s">
        <v>3580</v>
      </c>
      <c r="E1900" s="28" t="s">
        <v>890</v>
      </c>
      <c r="F1900" t="s">
        <v>891</v>
      </c>
      <c r="G1900" t="s">
        <v>88</v>
      </c>
      <c r="M1900" s="28" t="s">
        <v>549</v>
      </c>
      <c r="N1900" t="s">
        <v>313</v>
      </c>
    </row>
    <row r="1901" spans="1:14" hidden="1" x14ac:dyDescent="0.25">
      <c r="A1901" t="s">
        <v>9036</v>
      </c>
      <c r="B1901" t="s">
        <v>3578</v>
      </c>
      <c r="C1901" t="s">
        <v>3044</v>
      </c>
      <c r="D1901" t="s">
        <v>3581</v>
      </c>
      <c r="E1901" s="28" t="s">
        <v>896</v>
      </c>
      <c r="F1901" t="s">
        <v>891</v>
      </c>
      <c r="G1901" t="s">
        <v>88</v>
      </c>
      <c r="M1901" s="28" t="s">
        <v>549</v>
      </c>
      <c r="N1901" t="s">
        <v>313</v>
      </c>
    </row>
    <row r="1902" spans="1:14" hidden="1" x14ac:dyDescent="0.25">
      <c r="A1902" t="s">
        <v>9037</v>
      </c>
      <c r="B1902" t="s">
        <v>3582</v>
      </c>
      <c r="C1902" t="s">
        <v>3034</v>
      </c>
      <c r="D1902" t="s">
        <v>3583</v>
      </c>
      <c r="E1902" s="28" t="s">
        <v>890</v>
      </c>
      <c r="F1902" t="s">
        <v>891</v>
      </c>
      <c r="G1902" t="s">
        <v>88</v>
      </c>
      <c r="M1902" s="28" t="s">
        <v>549</v>
      </c>
      <c r="N1902" t="s">
        <v>313</v>
      </c>
    </row>
    <row r="1903" spans="1:14" hidden="1" x14ac:dyDescent="0.25">
      <c r="A1903" t="s">
        <v>9038</v>
      </c>
      <c r="B1903" t="s">
        <v>3584</v>
      </c>
      <c r="C1903" t="s">
        <v>3585</v>
      </c>
      <c r="D1903" t="s">
        <v>3586</v>
      </c>
      <c r="E1903" s="28" t="s">
        <v>890</v>
      </c>
      <c r="F1903" t="s">
        <v>3050</v>
      </c>
      <c r="G1903" t="s">
        <v>88</v>
      </c>
      <c r="M1903" s="28" t="s">
        <v>549</v>
      </c>
      <c r="N1903" t="s">
        <v>313</v>
      </c>
    </row>
    <row r="1904" spans="1:14" hidden="1" x14ac:dyDescent="0.25">
      <c r="A1904" t="s">
        <v>9039</v>
      </c>
      <c r="B1904" t="s">
        <v>3584</v>
      </c>
      <c r="C1904" t="s">
        <v>3034</v>
      </c>
      <c r="D1904" t="s">
        <v>3587</v>
      </c>
      <c r="E1904" s="28" t="s">
        <v>890</v>
      </c>
      <c r="F1904" t="s">
        <v>597</v>
      </c>
      <c r="G1904" t="s">
        <v>88</v>
      </c>
      <c r="M1904" s="28" t="s">
        <v>549</v>
      </c>
      <c r="N1904" t="s">
        <v>313</v>
      </c>
    </row>
    <row r="1905" spans="1:14" hidden="1" x14ac:dyDescent="0.25">
      <c r="A1905" t="s">
        <v>9040</v>
      </c>
      <c r="B1905" t="s">
        <v>3588</v>
      </c>
      <c r="C1905" t="s">
        <v>3589</v>
      </c>
      <c r="D1905" t="s">
        <v>3590</v>
      </c>
      <c r="E1905" s="28" t="s">
        <v>896</v>
      </c>
      <c r="F1905" t="s">
        <v>891</v>
      </c>
      <c r="G1905" t="s">
        <v>88</v>
      </c>
      <c r="M1905" s="28" t="s">
        <v>549</v>
      </c>
      <c r="N1905" t="s">
        <v>313</v>
      </c>
    </row>
    <row r="1906" spans="1:14" hidden="1" x14ac:dyDescent="0.25">
      <c r="A1906" t="s">
        <v>9041</v>
      </c>
      <c r="B1906" t="s">
        <v>3591</v>
      </c>
      <c r="C1906" t="s">
        <v>3592</v>
      </c>
      <c r="D1906" t="s">
        <v>3593</v>
      </c>
      <c r="E1906" s="28" t="s">
        <v>1023</v>
      </c>
      <c r="F1906" t="s">
        <v>891</v>
      </c>
      <c r="G1906" t="s">
        <v>88</v>
      </c>
      <c r="M1906" s="28" t="s">
        <v>549</v>
      </c>
      <c r="N1906" t="s">
        <v>313</v>
      </c>
    </row>
    <row r="1907" spans="1:14" hidden="1" x14ac:dyDescent="0.25">
      <c r="A1907" t="s">
        <v>9042</v>
      </c>
      <c r="B1907" t="s">
        <v>3591</v>
      </c>
      <c r="C1907" t="s">
        <v>3594</v>
      </c>
      <c r="D1907" t="s">
        <v>3595</v>
      </c>
      <c r="E1907" s="28" t="s">
        <v>890</v>
      </c>
      <c r="F1907" t="s">
        <v>891</v>
      </c>
      <c r="G1907" t="s">
        <v>88</v>
      </c>
      <c r="M1907" s="28" t="s">
        <v>549</v>
      </c>
      <c r="N1907" t="s">
        <v>313</v>
      </c>
    </row>
    <row r="1908" spans="1:14" hidden="1" x14ac:dyDescent="0.25">
      <c r="A1908" t="s">
        <v>9043</v>
      </c>
      <c r="B1908" t="s">
        <v>3596</v>
      </c>
      <c r="C1908" t="s">
        <v>3031</v>
      </c>
      <c r="D1908" t="s">
        <v>3597</v>
      </c>
      <c r="E1908" s="28" t="s">
        <v>890</v>
      </c>
      <c r="F1908" t="s">
        <v>556</v>
      </c>
      <c r="G1908" t="s">
        <v>88</v>
      </c>
      <c r="M1908" s="28" t="s">
        <v>549</v>
      </c>
      <c r="N1908" t="s">
        <v>313</v>
      </c>
    </row>
    <row r="1909" spans="1:14" hidden="1" x14ac:dyDescent="0.25">
      <c r="A1909" t="s">
        <v>9044</v>
      </c>
      <c r="B1909" t="s">
        <v>3596</v>
      </c>
      <c r="C1909" t="s">
        <v>2108</v>
      </c>
      <c r="D1909" t="s">
        <v>3598</v>
      </c>
      <c r="E1909" s="28" t="s">
        <v>1023</v>
      </c>
      <c r="F1909" t="s">
        <v>891</v>
      </c>
      <c r="G1909" t="s">
        <v>88</v>
      </c>
      <c r="M1909" s="28" t="s">
        <v>549</v>
      </c>
      <c r="N1909" t="s">
        <v>313</v>
      </c>
    </row>
    <row r="1910" spans="1:14" hidden="1" x14ac:dyDescent="0.25">
      <c r="A1910" t="s">
        <v>9045</v>
      </c>
      <c r="B1910" t="s">
        <v>3599</v>
      </c>
      <c r="C1910" t="s">
        <v>3031</v>
      </c>
      <c r="D1910" t="s">
        <v>3600</v>
      </c>
      <c r="E1910" s="28" t="s">
        <v>890</v>
      </c>
      <c r="F1910" t="s">
        <v>891</v>
      </c>
      <c r="G1910" t="s">
        <v>88</v>
      </c>
      <c r="M1910" s="28" t="s">
        <v>549</v>
      </c>
      <c r="N1910" t="s">
        <v>313</v>
      </c>
    </row>
    <row r="1911" spans="1:14" hidden="1" x14ac:dyDescent="0.25">
      <c r="A1911" t="s">
        <v>9046</v>
      </c>
      <c r="B1911" t="s">
        <v>3601</v>
      </c>
      <c r="C1911" t="s">
        <v>3044</v>
      </c>
      <c r="D1911" t="s">
        <v>3602</v>
      </c>
      <c r="E1911" s="28" t="s">
        <v>896</v>
      </c>
      <c r="F1911" t="s">
        <v>891</v>
      </c>
      <c r="G1911" t="s">
        <v>88</v>
      </c>
      <c r="M1911" s="28" t="s">
        <v>549</v>
      </c>
      <c r="N1911" t="s">
        <v>313</v>
      </c>
    </row>
    <row r="1912" spans="1:14" hidden="1" x14ac:dyDescent="0.25">
      <c r="A1912" t="s">
        <v>9047</v>
      </c>
      <c r="B1912" t="s">
        <v>3603</v>
      </c>
      <c r="C1912" t="s">
        <v>3036</v>
      </c>
      <c r="D1912" t="s">
        <v>3604</v>
      </c>
      <c r="E1912" s="28" t="s">
        <v>890</v>
      </c>
      <c r="F1912" t="s">
        <v>3050</v>
      </c>
      <c r="G1912" t="s">
        <v>88</v>
      </c>
      <c r="M1912" s="28" t="s">
        <v>549</v>
      </c>
      <c r="N1912" t="s">
        <v>313</v>
      </c>
    </row>
    <row r="1913" spans="1:14" hidden="1" x14ac:dyDescent="0.25">
      <c r="A1913" t="s">
        <v>10405</v>
      </c>
      <c r="B1913" t="s">
        <v>6389</v>
      </c>
      <c r="C1913" t="s">
        <v>6390</v>
      </c>
      <c r="D1913" t="s">
        <v>6391</v>
      </c>
      <c r="E1913" s="28" t="s">
        <v>896</v>
      </c>
      <c r="F1913" t="s">
        <v>6365</v>
      </c>
      <c r="G1913" t="s">
        <v>119</v>
      </c>
      <c r="M1913" s="28"/>
    </row>
    <row r="1914" spans="1:14" hidden="1" x14ac:dyDescent="0.25">
      <c r="A1914" t="s">
        <v>11812</v>
      </c>
      <c r="B1914" t="s">
        <v>11810</v>
      </c>
      <c r="C1914" t="s">
        <v>3021</v>
      </c>
      <c r="D1914" t="s">
        <v>11813</v>
      </c>
      <c r="E1914" s="28" t="s">
        <v>1177</v>
      </c>
      <c r="F1914" t="s">
        <v>554</v>
      </c>
      <c r="G1914" t="s">
        <v>88</v>
      </c>
      <c r="M1914" s="28" t="s">
        <v>549</v>
      </c>
      <c r="N1914" t="s">
        <v>313</v>
      </c>
    </row>
    <row r="1915" spans="1:14" hidden="1" x14ac:dyDescent="0.25">
      <c r="A1915" t="s">
        <v>11809</v>
      </c>
      <c r="B1915" t="s">
        <v>11810</v>
      </c>
      <c r="C1915" t="s">
        <v>3025</v>
      </c>
      <c r="D1915" t="s">
        <v>11811</v>
      </c>
      <c r="E1915" s="28" t="s">
        <v>896</v>
      </c>
      <c r="F1915" t="s">
        <v>554</v>
      </c>
      <c r="G1915" t="s">
        <v>88</v>
      </c>
      <c r="M1915" s="28" t="s">
        <v>549</v>
      </c>
      <c r="N1915" t="s">
        <v>313</v>
      </c>
    </row>
    <row r="1916" spans="1:14" hidden="1" x14ac:dyDescent="0.25">
      <c r="A1916" t="s">
        <v>14663</v>
      </c>
      <c r="B1916" t="s">
        <v>14664</v>
      </c>
      <c r="C1916" t="s">
        <v>1227</v>
      </c>
      <c r="D1916" t="s">
        <v>14665</v>
      </c>
      <c r="E1916" s="28" t="s">
        <v>890</v>
      </c>
      <c r="F1916" t="s">
        <v>1106</v>
      </c>
      <c r="G1916" t="s">
        <v>84</v>
      </c>
      <c r="M1916" s="28" t="s">
        <v>14223</v>
      </c>
      <c r="N1916" t="s">
        <v>313</v>
      </c>
    </row>
    <row r="1917" spans="1:14" hidden="1" x14ac:dyDescent="0.25">
      <c r="A1917" t="s">
        <v>12592</v>
      </c>
      <c r="B1917" t="s">
        <v>12593</v>
      </c>
      <c r="C1917" t="s">
        <v>12594</v>
      </c>
      <c r="D1917" t="s">
        <v>12595</v>
      </c>
      <c r="E1917" s="28" t="s">
        <v>890</v>
      </c>
      <c r="F1917" t="s">
        <v>11889</v>
      </c>
      <c r="G1917" t="s">
        <v>110</v>
      </c>
      <c r="M1917" s="28" t="s">
        <v>13563</v>
      </c>
      <c r="N1917" t="s">
        <v>279</v>
      </c>
    </row>
    <row r="1918" spans="1:14" hidden="1" x14ac:dyDescent="0.25">
      <c r="A1918" t="s">
        <v>9048</v>
      </c>
      <c r="B1918" t="s">
        <v>3605</v>
      </c>
      <c r="C1918" t="s">
        <v>3025</v>
      </c>
      <c r="D1918" t="s">
        <v>3606</v>
      </c>
      <c r="E1918" s="28" t="s">
        <v>896</v>
      </c>
      <c r="F1918" t="s">
        <v>597</v>
      </c>
      <c r="G1918" t="s">
        <v>88</v>
      </c>
      <c r="M1918" s="28" t="s">
        <v>549</v>
      </c>
      <c r="N1918" t="s">
        <v>313</v>
      </c>
    </row>
    <row r="1919" spans="1:14" hidden="1" x14ac:dyDescent="0.25">
      <c r="A1919" t="s">
        <v>9049</v>
      </c>
      <c r="B1919" t="s">
        <v>3607</v>
      </c>
      <c r="C1919" t="s">
        <v>3608</v>
      </c>
      <c r="D1919" t="s">
        <v>3609</v>
      </c>
      <c r="E1919" s="28" t="s">
        <v>890</v>
      </c>
      <c r="F1919" t="s">
        <v>597</v>
      </c>
      <c r="G1919" t="s">
        <v>88</v>
      </c>
      <c r="M1919" s="28" t="s">
        <v>549</v>
      </c>
      <c r="N1919" t="s">
        <v>313</v>
      </c>
    </row>
    <row r="1920" spans="1:14" hidden="1" x14ac:dyDescent="0.25">
      <c r="A1920" t="s">
        <v>9050</v>
      </c>
      <c r="B1920" t="s">
        <v>3610</v>
      </c>
      <c r="C1920" t="s">
        <v>3144</v>
      </c>
      <c r="D1920" t="s">
        <v>3611</v>
      </c>
      <c r="E1920" s="28" t="s">
        <v>890</v>
      </c>
      <c r="F1920" t="s">
        <v>891</v>
      </c>
      <c r="G1920" t="s">
        <v>88</v>
      </c>
      <c r="M1920" s="28" t="s">
        <v>549</v>
      </c>
      <c r="N1920" t="s">
        <v>313</v>
      </c>
    </row>
    <row r="1921" spans="1:14" hidden="1" x14ac:dyDescent="0.25">
      <c r="A1921" t="s">
        <v>9051</v>
      </c>
      <c r="B1921" t="s">
        <v>3612</v>
      </c>
      <c r="C1921" t="s">
        <v>3031</v>
      </c>
      <c r="D1921" t="s">
        <v>3613</v>
      </c>
      <c r="E1921" s="28" t="s">
        <v>896</v>
      </c>
      <c r="F1921" t="s">
        <v>891</v>
      </c>
      <c r="G1921" t="s">
        <v>88</v>
      </c>
      <c r="M1921" s="28" t="s">
        <v>549</v>
      </c>
      <c r="N1921" t="s">
        <v>313</v>
      </c>
    </row>
    <row r="1922" spans="1:14" hidden="1" x14ac:dyDescent="0.25">
      <c r="A1922" t="s">
        <v>9052</v>
      </c>
      <c r="B1922" t="s">
        <v>3612</v>
      </c>
      <c r="C1922" t="s">
        <v>1172</v>
      </c>
      <c r="D1922" t="s">
        <v>3614</v>
      </c>
      <c r="E1922" s="28" t="s">
        <v>890</v>
      </c>
      <c r="F1922" t="s">
        <v>891</v>
      </c>
      <c r="G1922" t="s">
        <v>88</v>
      </c>
      <c r="M1922" s="28" t="s">
        <v>549</v>
      </c>
      <c r="N1922" t="s">
        <v>313</v>
      </c>
    </row>
    <row r="1923" spans="1:14" hidden="1" x14ac:dyDescent="0.25">
      <c r="A1923" t="s">
        <v>9053</v>
      </c>
      <c r="B1923" t="s">
        <v>3615</v>
      </c>
      <c r="C1923" t="s">
        <v>2095</v>
      </c>
      <c r="D1923" t="s">
        <v>3616</v>
      </c>
      <c r="E1923" s="28" t="s">
        <v>890</v>
      </c>
      <c r="F1923" t="s">
        <v>891</v>
      </c>
      <c r="G1923" t="s">
        <v>88</v>
      </c>
      <c r="M1923" s="28" t="s">
        <v>549</v>
      </c>
      <c r="N1923" t="s">
        <v>313</v>
      </c>
    </row>
    <row r="1924" spans="1:14" hidden="1" x14ac:dyDescent="0.25">
      <c r="A1924" t="s">
        <v>9054</v>
      </c>
      <c r="B1924" t="s">
        <v>3617</v>
      </c>
      <c r="C1924" t="s">
        <v>3618</v>
      </c>
      <c r="D1924" t="s">
        <v>3619</v>
      </c>
      <c r="E1924" s="28" t="s">
        <v>890</v>
      </c>
      <c r="F1924" t="s">
        <v>535</v>
      </c>
      <c r="G1924" t="s">
        <v>88</v>
      </c>
      <c r="M1924" s="28" t="s">
        <v>549</v>
      </c>
      <c r="N1924" t="s">
        <v>313</v>
      </c>
    </row>
    <row r="1925" spans="1:14" hidden="1" x14ac:dyDescent="0.25">
      <c r="A1925" t="s">
        <v>9055</v>
      </c>
      <c r="B1925" t="s">
        <v>3620</v>
      </c>
      <c r="C1925" t="s">
        <v>3036</v>
      </c>
      <c r="D1925" t="s">
        <v>3621</v>
      </c>
      <c r="E1925" s="28" t="s">
        <v>896</v>
      </c>
      <c r="F1925" t="s">
        <v>891</v>
      </c>
      <c r="G1925" t="s">
        <v>88</v>
      </c>
      <c r="M1925" s="28" t="s">
        <v>549</v>
      </c>
      <c r="N1925" t="s">
        <v>313</v>
      </c>
    </row>
    <row r="1926" spans="1:14" hidden="1" x14ac:dyDescent="0.25">
      <c r="A1926" t="s">
        <v>9056</v>
      </c>
      <c r="B1926" t="s">
        <v>3622</v>
      </c>
      <c r="C1926" t="s">
        <v>3134</v>
      </c>
      <c r="D1926" t="s">
        <v>3623</v>
      </c>
      <c r="E1926" s="28" t="s">
        <v>890</v>
      </c>
      <c r="F1926" t="s">
        <v>554</v>
      </c>
      <c r="G1926" t="s">
        <v>88</v>
      </c>
      <c r="M1926" s="28" t="s">
        <v>549</v>
      </c>
      <c r="N1926" t="s">
        <v>313</v>
      </c>
    </row>
    <row r="1927" spans="1:14" hidden="1" x14ac:dyDescent="0.25">
      <c r="A1927" t="s">
        <v>9057</v>
      </c>
      <c r="B1927" t="s">
        <v>3622</v>
      </c>
      <c r="C1927" t="s">
        <v>3624</v>
      </c>
      <c r="D1927" t="s">
        <v>3625</v>
      </c>
      <c r="E1927" s="28" t="s">
        <v>1177</v>
      </c>
      <c r="F1927" t="s">
        <v>891</v>
      </c>
      <c r="G1927" t="s">
        <v>88</v>
      </c>
      <c r="M1927" s="28" t="s">
        <v>549</v>
      </c>
      <c r="N1927" t="s">
        <v>313</v>
      </c>
    </row>
    <row r="1928" spans="1:14" hidden="1" x14ac:dyDescent="0.25">
      <c r="A1928" t="s">
        <v>9058</v>
      </c>
      <c r="B1928" t="s">
        <v>3622</v>
      </c>
      <c r="C1928" t="s">
        <v>3036</v>
      </c>
      <c r="D1928" t="s">
        <v>3626</v>
      </c>
      <c r="E1928" s="28" t="s">
        <v>890</v>
      </c>
      <c r="F1928" t="s">
        <v>597</v>
      </c>
      <c r="G1928" t="s">
        <v>88</v>
      </c>
      <c r="M1928" s="28" t="s">
        <v>549</v>
      </c>
      <c r="N1928" t="s">
        <v>313</v>
      </c>
    </row>
    <row r="1929" spans="1:14" hidden="1" x14ac:dyDescent="0.25">
      <c r="A1929" t="s">
        <v>12545</v>
      </c>
      <c r="B1929" t="s">
        <v>3622</v>
      </c>
      <c r="C1929" t="s">
        <v>12546</v>
      </c>
      <c r="D1929" t="s">
        <v>12547</v>
      </c>
      <c r="E1929" s="28" t="s">
        <v>1177</v>
      </c>
      <c r="F1929" t="s">
        <v>554</v>
      </c>
      <c r="G1929" t="s">
        <v>88</v>
      </c>
      <c r="M1929" s="28" t="s">
        <v>549</v>
      </c>
      <c r="N1929" t="s">
        <v>313</v>
      </c>
    </row>
    <row r="1930" spans="1:14" hidden="1" x14ac:dyDescent="0.25">
      <c r="A1930" t="s">
        <v>9059</v>
      </c>
      <c r="B1930" t="s">
        <v>3627</v>
      </c>
      <c r="C1930" t="s">
        <v>3021</v>
      </c>
      <c r="D1930" t="s">
        <v>3628</v>
      </c>
      <c r="E1930" s="28" t="s">
        <v>890</v>
      </c>
      <c r="F1930" t="s">
        <v>564</v>
      </c>
      <c r="G1930" t="s">
        <v>88</v>
      </c>
      <c r="M1930" s="28" t="s">
        <v>549</v>
      </c>
      <c r="N1930" t="s">
        <v>313</v>
      </c>
    </row>
    <row r="1931" spans="1:14" hidden="1" x14ac:dyDescent="0.25">
      <c r="A1931" t="s">
        <v>9060</v>
      </c>
      <c r="B1931" t="s">
        <v>3629</v>
      </c>
      <c r="C1931" t="s">
        <v>3021</v>
      </c>
      <c r="D1931" t="s">
        <v>3630</v>
      </c>
      <c r="E1931" s="28" t="s">
        <v>890</v>
      </c>
      <c r="F1931" t="s">
        <v>891</v>
      </c>
      <c r="G1931" t="s">
        <v>88</v>
      </c>
      <c r="M1931" s="28" t="s">
        <v>549</v>
      </c>
      <c r="N1931" t="s">
        <v>313</v>
      </c>
    </row>
    <row r="1932" spans="1:14" hidden="1" x14ac:dyDescent="0.25">
      <c r="A1932" t="s">
        <v>9061</v>
      </c>
      <c r="B1932" t="s">
        <v>3631</v>
      </c>
      <c r="C1932" t="s">
        <v>3632</v>
      </c>
      <c r="D1932" t="s">
        <v>3633</v>
      </c>
      <c r="E1932" s="28" t="s">
        <v>896</v>
      </c>
      <c r="F1932" t="s">
        <v>597</v>
      </c>
      <c r="G1932" t="s">
        <v>88</v>
      </c>
      <c r="M1932" s="28" t="s">
        <v>549</v>
      </c>
      <c r="N1932" t="s">
        <v>313</v>
      </c>
    </row>
    <row r="1933" spans="1:14" hidden="1" x14ac:dyDescent="0.25">
      <c r="A1933" t="s">
        <v>8064</v>
      </c>
      <c r="B1933" t="s">
        <v>1200</v>
      </c>
      <c r="C1933" t="s">
        <v>1272</v>
      </c>
      <c r="D1933" t="s">
        <v>1273</v>
      </c>
      <c r="E1933" s="28" t="s">
        <v>890</v>
      </c>
      <c r="F1933" t="s">
        <v>35</v>
      </c>
      <c r="G1933" t="s">
        <v>34</v>
      </c>
      <c r="M1933" s="28" t="s">
        <v>12353</v>
      </c>
      <c r="N1933" t="s">
        <v>313</v>
      </c>
    </row>
    <row r="1934" spans="1:14" hidden="1" x14ac:dyDescent="0.25">
      <c r="A1934" t="s">
        <v>9062</v>
      </c>
      <c r="B1934" t="s">
        <v>3634</v>
      </c>
      <c r="C1934" t="s">
        <v>3539</v>
      </c>
      <c r="D1934" t="s">
        <v>3635</v>
      </c>
      <c r="E1934" s="28" t="s">
        <v>890</v>
      </c>
      <c r="F1934" t="s">
        <v>891</v>
      </c>
      <c r="G1934" t="s">
        <v>88</v>
      </c>
      <c r="M1934" s="28" t="s">
        <v>549</v>
      </c>
      <c r="N1934" t="s">
        <v>313</v>
      </c>
    </row>
    <row r="1935" spans="1:14" hidden="1" x14ac:dyDescent="0.25">
      <c r="A1935" t="s">
        <v>9063</v>
      </c>
      <c r="B1935" t="s">
        <v>3636</v>
      </c>
      <c r="C1935" t="s">
        <v>3461</v>
      </c>
      <c r="D1935" t="s">
        <v>3637</v>
      </c>
      <c r="E1935" s="28" t="s">
        <v>890</v>
      </c>
      <c r="F1935" t="s">
        <v>891</v>
      </c>
      <c r="G1935" t="s">
        <v>88</v>
      </c>
      <c r="M1935" s="28" t="s">
        <v>549</v>
      </c>
      <c r="N1935" t="s">
        <v>313</v>
      </c>
    </row>
    <row r="1936" spans="1:14" hidden="1" x14ac:dyDescent="0.25">
      <c r="A1936" t="s">
        <v>9064</v>
      </c>
      <c r="B1936" t="s">
        <v>3638</v>
      </c>
      <c r="C1936" t="s">
        <v>3031</v>
      </c>
      <c r="D1936" t="s">
        <v>3639</v>
      </c>
      <c r="E1936" s="28" t="s">
        <v>890</v>
      </c>
      <c r="F1936" t="s">
        <v>579</v>
      </c>
      <c r="G1936" t="s">
        <v>88</v>
      </c>
      <c r="M1936" s="28" t="s">
        <v>549</v>
      </c>
      <c r="N1936" t="s">
        <v>313</v>
      </c>
    </row>
    <row r="1937" spans="1:14" hidden="1" x14ac:dyDescent="0.25">
      <c r="A1937" t="s">
        <v>9065</v>
      </c>
      <c r="B1937" t="s">
        <v>3638</v>
      </c>
      <c r="C1937" t="s">
        <v>3036</v>
      </c>
      <c r="D1937" t="s">
        <v>3640</v>
      </c>
      <c r="E1937" s="28" t="s">
        <v>890</v>
      </c>
      <c r="F1937" t="s">
        <v>891</v>
      </c>
      <c r="G1937" t="s">
        <v>88</v>
      </c>
      <c r="M1937" s="28" t="s">
        <v>549</v>
      </c>
      <c r="N1937" t="s">
        <v>313</v>
      </c>
    </row>
    <row r="1938" spans="1:14" hidden="1" x14ac:dyDescent="0.25">
      <c r="A1938" t="s">
        <v>9066</v>
      </c>
      <c r="B1938" t="s">
        <v>3641</v>
      </c>
      <c r="C1938" t="s">
        <v>3348</v>
      </c>
      <c r="D1938" t="s">
        <v>3642</v>
      </c>
      <c r="E1938" s="28" t="s">
        <v>890</v>
      </c>
      <c r="F1938" t="s">
        <v>891</v>
      </c>
      <c r="G1938" t="s">
        <v>88</v>
      </c>
      <c r="M1938" s="28" t="s">
        <v>549</v>
      </c>
      <c r="N1938" t="s">
        <v>313</v>
      </c>
    </row>
    <row r="1939" spans="1:14" hidden="1" x14ac:dyDescent="0.25">
      <c r="A1939" t="s">
        <v>9067</v>
      </c>
      <c r="B1939" t="s">
        <v>3643</v>
      </c>
      <c r="C1939" t="s">
        <v>3044</v>
      </c>
      <c r="D1939" t="s">
        <v>3644</v>
      </c>
      <c r="E1939" s="28" t="s">
        <v>896</v>
      </c>
      <c r="F1939" t="s">
        <v>891</v>
      </c>
      <c r="G1939" t="s">
        <v>88</v>
      </c>
      <c r="M1939" s="28" t="s">
        <v>549</v>
      </c>
      <c r="N1939" t="s">
        <v>313</v>
      </c>
    </row>
    <row r="1940" spans="1:14" hidden="1" x14ac:dyDescent="0.25">
      <c r="A1940" t="s">
        <v>9068</v>
      </c>
      <c r="B1940" t="s">
        <v>3645</v>
      </c>
      <c r="C1940" t="s">
        <v>3646</v>
      </c>
      <c r="D1940" t="s">
        <v>3647</v>
      </c>
      <c r="E1940" s="28" t="s">
        <v>1023</v>
      </c>
      <c r="F1940" t="s">
        <v>577</v>
      </c>
      <c r="G1940" t="s">
        <v>88</v>
      </c>
      <c r="M1940" s="28" t="s">
        <v>549</v>
      </c>
      <c r="N1940" t="s">
        <v>313</v>
      </c>
    </row>
    <row r="1941" spans="1:14" hidden="1" x14ac:dyDescent="0.25">
      <c r="A1941" t="s">
        <v>9069</v>
      </c>
      <c r="B1941" t="s">
        <v>3648</v>
      </c>
      <c r="C1941" t="s">
        <v>3134</v>
      </c>
      <c r="D1941" t="s">
        <v>3649</v>
      </c>
      <c r="E1941" s="28" t="s">
        <v>1177</v>
      </c>
      <c r="F1941" t="s">
        <v>554</v>
      </c>
      <c r="G1941" t="s">
        <v>88</v>
      </c>
      <c r="M1941" s="28" t="s">
        <v>549</v>
      </c>
      <c r="N1941" t="s">
        <v>313</v>
      </c>
    </row>
    <row r="1942" spans="1:14" hidden="1" x14ac:dyDescent="0.25">
      <c r="A1942" t="s">
        <v>9070</v>
      </c>
      <c r="B1942" t="s">
        <v>3648</v>
      </c>
      <c r="C1942" t="s">
        <v>1103</v>
      </c>
      <c r="D1942" t="s">
        <v>3650</v>
      </c>
      <c r="E1942" s="28" t="s">
        <v>896</v>
      </c>
      <c r="F1942" t="s">
        <v>554</v>
      </c>
      <c r="G1942" t="s">
        <v>88</v>
      </c>
      <c r="M1942" s="28" t="s">
        <v>549</v>
      </c>
      <c r="N1942" t="s">
        <v>313</v>
      </c>
    </row>
    <row r="1943" spans="1:14" hidden="1" x14ac:dyDescent="0.25">
      <c r="A1943" t="s">
        <v>9071</v>
      </c>
      <c r="B1943" t="s">
        <v>3648</v>
      </c>
      <c r="C1943" t="s">
        <v>3651</v>
      </c>
      <c r="D1943" t="s">
        <v>3652</v>
      </c>
      <c r="E1943" s="28" t="s">
        <v>930</v>
      </c>
      <c r="F1943" t="s">
        <v>554</v>
      </c>
      <c r="G1943" t="s">
        <v>88</v>
      </c>
      <c r="M1943" s="28" t="s">
        <v>549</v>
      </c>
      <c r="N1943" t="s">
        <v>313</v>
      </c>
    </row>
    <row r="1944" spans="1:14" hidden="1" x14ac:dyDescent="0.25">
      <c r="A1944" t="s">
        <v>9072</v>
      </c>
      <c r="B1944" t="s">
        <v>3653</v>
      </c>
      <c r="C1944" t="s">
        <v>3654</v>
      </c>
      <c r="D1944" t="s">
        <v>3655</v>
      </c>
      <c r="E1944" s="28" t="s">
        <v>890</v>
      </c>
      <c r="F1944" t="s">
        <v>891</v>
      </c>
      <c r="G1944" t="s">
        <v>88</v>
      </c>
      <c r="M1944" s="28" t="s">
        <v>549</v>
      </c>
      <c r="N1944" t="s">
        <v>313</v>
      </c>
    </row>
    <row r="1945" spans="1:14" hidden="1" x14ac:dyDescent="0.25">
      <c r="A1945" t="s">
        <v>9073</v>
      </c>
      <c r="B1945" t="s">
        <v>3656</v>
      </c>
      <c r="C1945" t="s">
        <v>3001</v>
      </c>
      <c r="D1945" t="s">
        <v>3657</v>
      </c>
      <c r="E1945" s="28" t="s">
        <v>890</v>
      </c>
      <c r="F1945" t="s">
        <v>891</v>
      </c>
      <c r="G1945" t="s">
        <v>88</v>
      </c>
      <c r="M1945" s="28" t="s">
        <v>549</v>
      </c>
      <c r="N1945" t="s">
        <v>313</v>
      </c>
    </row>
    <row r="1946" spans="1:14" hidden="1" x14ac:dyDescent="0.25">
      <c r="A1946" t="s">
        <v>9074</v>
      </c>
      <c r="B1946" t="s">
        <v>3658</v>
      </c>
      <c r="C1946" t="s">
        <v>3348</v>
      </c>
      <c r="D1946" t="s">
        <v>3659</v>
      </c>
      <c r="E1946" s="28" t="s">
        <v>890</v>
      </c>
      <c r="F1946" t="s">
        <v>891</v>
      </c>
      <c r="G1946" t="s">
        <v>88</v>
      </c>
      <c r="M1946" s="28" t="s">
        <v>549</v>
      </c>
      <c r="N1946" t="s">
        <v>313</v>
      </c>
    </row>
    <row r="1947" spans="1:14" hidden="1" x14ac:dyDescent="0.25">
      <c r="A1947" t="s">
        <v>9075</v>
      </c>
      <c r="B1947" t="s">
        <v>3660</v>
      </c>
      <c r="C1947" t="s">
        <v>3134</v>
      </c>
      <c r="D1947" t="s">
        <v>3661</v>
      </c>
      <c r="E1947" s="28" t="s">
        <v>890</v>
      </c>
      <c r="F1947" t="s">
        <v>891</v>
      </c>
      <c r="G1947" t="s">
        <v>88</v>
      </c>
      <c r="M1947" s="28" t="s">
        <v>549</v>
      </c>
      <c r="N1947" t="s">
        <v>313</v>
      </c>
    </row>
    <row r="1948" spans="1:14" hidden="1" x14ac:dyDescent="0.25">
      <c r="A1948" t="s">
        <v>9076</v>
      </c>
      <c r="B1948" t="s">
        <v>3662</v>
      </c>
      <c r="C1948" t="s">
        <v>3663</v>
      </c>
      <c r="D1948" t="s">
        <v>3664</v>
      </c>
      <c r="E1948" s="28" t="s">
        <v>890</v>
      </c>
      <c r="F1948" t="s">
        <v>571</v>
      </c>
      <c r="G1948" t="s">
        <v>88</v>
      </c>
      <c r="M1948" s="28" t="s">
        <v>549</v>
      </c>
      <c r="N1948" t="s">
        <v>313</v>
      </c>
    </row>
    <row r="1949" spans="1:14" hidden="1" x14ac:dyDescent="0.25">
      <c r="A1949" t="s">
        <v>9077</v>
      </c>
      <c r="B1949" t="s">
        <v>3662</v>
      </c>
      <c r="C1949" t="s">
        <v>3665</v>
      </c>
      <c r="D1949" t="s">
        <v>3666</v>
      </c>
      <c r="E1949" s="28" t="s">
        <v>890</v>
      </c>
      <c r="F1949" t="s">
        <v>891</v>
      </c>
      <c r="G1949" t="s">
        <v>88</v>
      </c>
      <c r="M1949" s="28" t="s">
        <v>549</v>
      </c>
      <c r="N1949" t="s">
        <v>313</v>
      </c>
    </row>
    <row r="1950" spans="1:14" hidden="1" x14ac:dyDescent="0.25">
      <c r="A1950" t="s">
        <v>9078</v>
      </c>
      <c r="B1950" t="s">
        <v>3667</v>
      </c>
      <c r="C1950" t="s">
        <v>3031</v>
      </c>
      <c r="D1950" t="s">
        <v>3668</v>
      </c>
      <c r="E1950" s="28" t="s">
        <v>890</v>
      </c>
      <c r="F1950" t="s">
        <v>571</v>
      </c>
      <c r="G1950" t="s">
        <v>88</v>
      </c>
      <c r="M1950" s="28" t="s">
        <v>549</v>
      </c>
      <c r="N1950" t="s">
        <v>313</v>
      </c>
    </row>
    <row r="1951" spans="1:14" hidden="1" x14ac:dyDescent="0.25">
      <c r="A1951" t="s">
        <v>9079</v>
      </c>
      <c r="B1951" t="s">
        <v>3667</v>
      </c>
      <c r="C1951" t="s">
        <v>3618</v>
      </c>
      <c r="D1951" t="s">
        <v>3669</v>
      </c>
      <c r="E1951" s="28" t="s">
        <v>896</v>
      </c>
      <c r="F1951" t="s">
        <v>571</v>
      </c>
      <c r="G1951" t="s">
        <v>88</v>
      </c>
      <c r="M1951" s="28" t="s">
        <v>549</v>
      </c>
      <c r="N1951" t="s">
        <v>313</v>
      </c>
    </row>
    <row r="1952" spans="1:14" hidden="1" x14ac:dyDescent="0.25">
      <c r="A1952" t="s">
        <v>9080</v>
      </c>
      <c r="B1952" t="s">
        <v>3670</v>
      </c>
      <c r="C1952" t="s">
        <v>1153</v>
      </c>
      <c r="D1952" t="s">
        <v>3671</v>
      </c>
      <c r="E1952" s="28" t="s">
        <v>896</v>
      </c>
      <c r="F1952" t="s">
        <v>891</v>
      </c>
      <c r="G1952" t="s">
        <v>88</v>
      </c>
      <c r="M1952" s="28" t="s">
        <v>549</v>
      </c>
      <c r="N1952" t="s">
        <v>313</v>
      </c>
    </row>
    <row r="1953" spans="1:14" hidden="1" x14ac:dyDescent="0.25">
      <c r="A1953" t="s">
        <v>9081</v>
      </c>
      <c r="B1953" t="s">
        <v>3672</v>
      </c>
      <c r="C1953" t="s">
        <v>3034</v>
      </c>
      <c r="D1953" t="s">
        <v>3673</v>
      </c>
      <c r="E1953" s="28" t="s">
        <v>890</v>
      </c>
      <c r="F1953" t="s">
        <v>891</v>
      </c>
      <c r="G1953" t="s">
        <v>88</v>
      </c>
      <c r="M1953" s="28" t="s">
        <v>549</v>
      </c>
      <c r="N1953" t="s">
        <v>313</v>
      </c>
    </row>
    <row r="1954" spans="1:14" hidden="1" x14ac:dyDescent="0.25">
      <c r="A1954" t="s">
        <v>9082</v>
      </c>
      <c r="B1954" t="s">
        <v>3672</v>
      </c>
      <c r="C1954" t="s">
        <v>3115</v>
      </c>
      <c r="D1954" t="s">
        <v>3674</v>
      </c>
      <c r="E1954" s="28" t="s">
        <v>896</v>
      </c>
      <c r="F1954" t="s">
        <v>891</v>
      </c>
      <c r="G1954" t="s">
        <v>88</v>
      </c>
      <c r="M1954" s="28" t="s">
        <v>549</v>
      </c>
      <c r="N1954" t="s">
        <v>313</v>
      </c>
    </row>
    <row r="1955" spans="1:14" hidden="1" x14ac:dyDescent="0.25">
      <c r="A1955" t="s">
        <v>9083</v>
      </c>
      <c r="B1955" t="s">
        <v>3675</v>
      </c>
      <c r="C1955" t="s">
        <v>3676</v>
      </c>
      <c r="D1955" t="s">
        <v>3677</v>
      </c>
      <c r="E1955" s="28" t="s">
        <v>890</v>
      </c>
      <c r="F1955" t="s">
        <v>891</v>
      </c>
      <c r="G1955" t="s">
        <v>88</v>
      </c>
      <c r="M1955" s="28" t="s">
        <v>549</v>
      </c>
      <c r="N1955" t="s">
        <v>313</v>
      </c>
    </row>
    <row r="1956" spans="1:14" hidden="1" x14ac:dyDescent="0.25">
      <c r="A1956" t="s">
        <v>9084</v>
      </c>
      <c r="B1956" t="s">
        <v>3678</v>
      </c>
      <c r="C1956" t="s">
        <v>3679</v>
      </c>
      <c r="D1956" t="s">
        <v>3680</v>
      </c>
      <c r="E1956" s="28" t="s">
        <v>890</v>
      </c>
      <c r="F1956" t="s">
        <v>891</v>
      </c>
      <c r="G1956" t="s">
        <v>88</v>
      </c>
      <c r="M1956" s="28" t="s">
        <v>549</v>
      </c>
      <c r="N1956" t="s">
        <v>313</v>
      </c>
    </row>
    <row r="1957" spans="1:14" hidden="1" x14ac:dyDescent="0.25">
      <c r="A1957" t="s">
        <v>9085</v>
      </c>
      <c r="B1957" t="s">
        <v>3681</v>
      </c>
      <c r="C1957" t="s">
        <v>1172</v>
      </c>
      <c r="D1957" t="s">
        <v>3682</v>
      </c>
      <c r="E1957" s="28" t="s">
        <v>896</v>
      </c>
      <c r="F1957" t="s">
        <v>609</v>
      </c>
      <c r="G1957" t="s">
        <v>88</v>
      </c>
      <c r="M1957" s="28" t="s">
        <v>549</v>
      </c>
      <c r="N1957" t="s">
        <v>313</v>
      </c>
    </row>
    <row r="1958" spans="1:14" hidden="1" x14ac:dyDescent="0.25">
      <c r="A1958" t="s">
        <v>9086</v>
      </c>
      <c r="B1958" t="s">
        <v>3681</v>
      </c>
      <c r="C1958" t="s">
        <v>2100</v>
      </c>
      <c r="D1958" t="s">
        <v>3683</v>
      </c>
      <c r="E1958" s="28" t="s">
        <v>890</v>
      </c>
      <c r="F1958" t="s">
        <v>891</v>
      </c>
      <c r="G1958" t="s">
        <v>88</v>
      </c>
      <c r="M1958" s="28" t="s">
        <v>549</v>
      </c>
      <c r="N1958" t="s">
        <v>313</v>
      </c>
    </row>
    <row r="1959" spans="1:14" hidden="1" x14ac:dyDescent="0.25">
      <c r="A1959" t="s">
        <v>8382</v>
      </c>
      <c r="B1959" t="s">
        <v>2079</v>
      </c>
      <c r="C1959" t="s">
        <v>1184</v>
      </c>
      <c r="D1959" t="s">
        <v>2080</v>
      </c>
      <c r="E1959" s="28" t="s">
        <v>890</v>
      </c>
      <c r="F1959" t="s">
        <v>400</v>
      </c>
      <c r="G1959" t="s">
        <v>60</v>
      </c>
      <c r="M1959" s="28" t="s">
        <v>14207</v>
      </c>
    </row>
    <row r="1960" spans="1:14" hidden="1" x14ac:dyDescent="0.25">
      <c r="A1960" t="s">
        <v>8406</v>
      </c>
      <c r="B1960" t="s">
        <v>2141</v>
      </c>
      <c r="C1960" t="s">
        <v>2111</v>
      </c>
      <c r="D1960" t="s">
        <v>2142</v>
      </c>
      <c r="E1960" s="28" t="s">
        <v>890</v>
      </c>
      <c r="F1960" t="s">
        <v>398</v>
      </c>
      <c r="G1960" t="s">
        <v>60</v>
      </c>
      <c r="M1960" s="28" t="s">
        <v>14207</v>
      </c>
    </row>
    <row r="1961" spans="1:14" hidden="1" x14ac:dyDescent="0.25">
      <c r="A1961" t="s">
        <v>9087</v>
      </c>
      <c r="B1961" t="s">
        <v>3684</v>
      </c>
      <c r="C1961" t="s">
        <v>1103</v>
      </c>
      <c r="D1961" t="s">
        <v>3685</v>
      </c>
      <c r="E1961" s="28" t="s">
        <v>890</v>
      </c>
      <c r="F1961" t="s">
        <v>556</v>
      </c>
      <c r="G1961" t="s">
        <v>88</v>
      </c>
      <c r="M1961" s="28" t="s">
        <v>549</v>
      </c>
      <c r="N1961" t="s">
        <v>313</v>
      </c>
    </row>
    <row r="1962" spans="1:14" hidden="1" x14ac:dyDescent="0.25">
      <c r="A1962" t="s">
        <v>9088</v>
      </c>
      <c r="B1962" t="s">
        <v>3686</v>
      </c>
      <c r="C1962" t="s">
        <v>3209</v>
      </c>
      <c r="D1962" t="s">
        <v>3687</v>
      </c>
      <c r="E1962" s="28" t="s">
        <v>896</v>
      </c>
      <c r="F1962" t="s">
        <v>891</v>
      </c>
      <c r="G1962" t="s">
        <v>88</v>
      </c>
      <c r="M1962" s="28" t="s">
        <v>549</v>
      </c>
      <c r="N1962" t="s">
        <v>313</v>
      </c>
    </row>
    <row r="1963" spans="1:14" hidden="1" x14ac:dyDescent="0.25">
      <c r="A1963" t="s">
        <v>9089</v>
      </c>
      <c r="B1963" t="s">
        <v>3688</v>
      </c>
      <c r="C1963" t="s">
        <v>2155</v>
      </c>
      <c r="D1963" t="s">
        <v>3689</v>
      </c>
      <c r="E1963" s="28" t="s">
        <v>896</v>
      </c>
      <c r="F1963" t="s">
        <v>891</v>
      </c>
      <c r="G1963" t="s">
        <v>88</v>
      </c>
      <c r="M1963" s="28" t="s">
        <v>549</v>
      </c>
      <c r="N1963" t="s">
        <v>313</v>
      </c>
    </row>
    <row r="1964" spans="1:14" hidden="1" x14ac:dyDescent="0.25">
      <c r="A1964" t="s">
        <v>9090</v>
      </c>
      <c r="B1964" t="s">
        <v>3688</v>
      </c>
      <c r="C1964" t="s">
        <v>1103</v>
      </c>
      <c r="D1964" t="s">
        <v>3690</v>
      </c>
      <c r="E1964" s="28" t="s">
        <v>890</v>
      </c>
      <c r="F1964" t="s">
        <v>891</v>
      </c>
      <c r="G1964" t="s">
        <v>88</v>
      </c>
      <c r="M1964" s="28" t="s">
        <v>549</v>
      </c>
      <c r="N1964" t="s">
        <v>313</v>
      </c>
    </row>
    <row r="1965" spans="1:14" hidden="1" x14ac:dyDescent="0.25">
      <c r="A1965" t="s">
        <v>9091</v>
      </c>
      <c r="B1965" t="s">
        <v>3691</v>
      </c>
      <c r="C1965" t="s">
        <v>3031</v>
      </c>
      <c r="D1965" t="s">
        <v>3692</v>
      </c>
      <c r="E1965" s="28" t="s">
        <v>890</v>
      </c>
      <c r="F1965" t="s">
        <v>891</v>
      </c>
      <c r="G1965" t="s">
        <v>88</v>
      </c>
      <c r="M1965" s="28" t="s">
        <v>549</v>
      </c>
      <c r="N1965" t="s">
        <v>313</v>
      </c>
    </row>
    <row r="1966" spans="1:14" hidden="1" x14ac:dyDescent="0.25">
      <c r="A1966" t="s">
        <v>9092</v>
      </c>
      <c r="B1966" t="s">
        <v>3693</v>
      </c>
      <c r="C1966" t="s">
        <v>3694</v>
      </c>
      <c r="D1966" t="s">
        <v>3695</v>
      </c>
      <c r="E1966" s="28" t="s">
        <v>890</v>
      </c>
      <c r="F1966" t="s">
        <v>550</v>
      </c>
      <c r="G1966" t="s">
        <v>88</v>
      </c>
      <c r="M1966" s="28" t="s">
        <v>549</v>
      </c>
      <c r="N1966" t="s">
        <v>313</v>
      </c>
    </row>
    <row r="1967" spans="1:14" hidden="1" x14ac:dyDescent="0.25">
      <c r="A1967" t="s">
        <v>9093</v>
      </c>
      <c r="B1967" t="s">
        <v>3693</v>
      </c>
      <c r="C1967" t="s">
        <v>3034</v>
      </c>
      <c r="D1967" t="s">
        <v>3696</v>
      </c>
      <c r="E1967" s="28" t="s">
        <v>890</v>
      </c>
      <c r="F1967" t="s">
        <v>550</v>
      </c>
      <c r="G1967" t="s">
        <v>88</v>
      </c>
      <c r="M1967" s="28" t="s">
        <v>549</v>
      </c>
      <c r="N1967" t="s">
        <v>313</v>
      </c>
    </row>
    <row r="1968" spans="1:14" hidden="1" x14ac:dyDescent="0.25">
      <c r="A1968" t="s">
        <v>9094</v>
      </c>
      <c r="B1968" t="s">
        <v>3697</v>
      </c>
      <c r="C1968" t="s">
        <v>3164</v>
      </c>
      <c r="D1968" t="s">
        <v>3698</v>
      </c>
      <c r="E1968" s="28" t="s">
        <v>930</v>
      </c>
      <c r="F1968" t="s">
        <v>891</v>
      </c>
      <c r="G1968" t="s">
        <v>88</v>
      </c>
      <c r="M1968" s="28" t="s">
        <v>549</v>
      </c>
      <c r="N1968" t="s">
        <v>313</v>
      </c>
    </row>
    <row r="1969" spans="1:14" hidden="1" x14ac:dyDescent="0.25">
      <c r="A1969" t="s">
        <v>9095</v>
      </c>
      <c r="B1969" t="s">
        <v>3699</v>
      </c>
      <c r="C1969" t="s">
        <v>3700</v>
      </c>
      <c r="D1969" t="s">
        <v>3701</v>
      </c>
      <c r="E1969" s="28" t="s">
        <v>890</v>
      </c>
      <c r="F1969" t="s">
        <v>891</v>
      </c>
      <c r="G1969" t="s">
        <v>88</v>
      </c>
      <c r="M1969" s="28" t="s">
        <v>549</v>
      </c>
      <c r="N1969" t="s">
        <v>313</v>
      </c>
    </row>
    <row r="1970" spans="1:14" hidden="1" x14ac:dyDescent="0.25">
      <c r="A1970" t="s">
        <v>9096</v>
      </c>
      <c r="B1970" t="s">
        <v>3699</v>
      </c>
      <c r="C1970" t="s">
        <v>3702</v>
      </c>
      <c r="D1970" t="s">
        <v>3703</v>
      </c>
      <c r="E1970" s="28" t="s">
        <v>896</v>
      </c>
      <c r="F1970" t="s">
        <v>552</v>
      </c>
      <c r="G1970" t="s">
        <v>88</v>
      </c>
      <c r="M1970" s="28" t="s">
        <v>549</v>
      </c>
      <c r="N1970" t="s">
        <v>313</v>
      </c>
    </row>
    <row r="1971" spans="1:14" hidden="1" x14ac:dyDescent="0.25">
      <c r="A1971" t="s">
        <v>9097</v>
      </c>
      <c r="B1971" t="s">
        <v>3704</v>
      </c>
      <c r="C1971" t="s">
        <v>3320</v>
      </c>
      <c r="D1971" t="s">
        <v>3705</v>
      </c>
      <c r="E1971" s="28" t="s">
        <v>890</v>
      </c>
      <c r="F1971" t="s">
        <v>891</v>
      </c>
      <c r="G1971" t="s">
        <v>88</v>
      </c>
      <c r="M1971" s="28" t="s">
        <v>549</v>
      </c>
      <c r="N1971" t="s">
        <v>313</v>
      </c>
    </row>
    <row r="1972" spans="1:14" hidden="1" x14ac:dyDescent="0.25">
      <c r="A1972" t="s">
        <v>9098</v>
      </c>
      <c r="B1972" t="s">
        <v>3706</v>
      </c>
      <c r="C1972" t="s">
        <v>3585</v>
      </c>
      <c r="D1972" t="s">
        <v>3707</v>
      </c>
      <c r="E1972" s="28" t="s">
        <v>890</v>
      </c>
      <c r="F1972" t="s">
        <v>13206</v>
      </c>
      <c r="G1972" t="s">
        <v>88</v>
      </c>
      <c r="M1972" s="28" t="s">
        <v>549</v>
      </c>
      <c r="N1972" t="s">
        <v>313</v>
      </c>
    </row>
    <row r="1973" spans="1:14" hidden="1" x14ac:dyDescent="0.25">
      <c r="A1973" t="s">
        <v>9099</v>
      </c>
      <c r="B1973" t="s">
        <v>3708</v>
      </c>
      <c r="C1973" t="s">
        <v>2133</v>
      </c>
      <c r="D1973" t="s">
        <v>3709</v>
      </c>
      <c r="E1973" s="28" t="s">
        <v>890</v>
      </c>
      <c r="F1973" t="s">
        <v>597</v>
      </c>
      <c r="G1973" t="s">
        <v>88</v>
      </c>
      <c r="M1973" s="28" t="s">
        <v>549</v>
      </c>
      <c r="N1973" t="s">
        <v>313</v>
      </c>
    </row>
    <row r="1974" spans="1:14" hidden="1" x14ac:dyDescent="0.25">
      <c r="A1974" t="s">
        <v>8022</v>
      </c>
      <c r="B1974" t="s">
        <v>1145</v>
      </c>
      <c r="C1974" t="s">
        <v>1147</v>
      </c>
      <c r="D1974" t="s">
        <v>1148</v>
      </c>
      <c r="E1974" s="28" t="s">
        <v>890</v>
      </c>
      <c r="F1974" t="s">
        <v>300</v>
      </c>
      <c r="G1974" t="s">
        <v>31</v>
      </c>
      <c r="M1974" s="28" t="s">
        <v>278</v>
      </c>
      <c r="N1974" t="s">
        <v>279</v>
      </c>
    </row>
    <row r="1975" spans="1:14" hidden="1" x14ac:dyDescent="0.25">
      <c r="A1975" t="s">
        <v>9100</v>
      </c>
      <c r="B1975" t="s">
        <v>3710</v>
      </c>
      <c r="C1975" t="s">
        <v>3021</v>
      </c>
      <c r="D1975" t="s">
        <v>3711</v>
      </c>
      <c r="E1975" s="28" t="s">
        <v>890</v>
      </c>
      <c r="F1975" t="s">
        <v>891</v>
      </c>
      <c r="G1975" t="s">
        <v>88</v>
      </c>
      <c r="M1975" s="28" t="s">
        <v>549</v>
      </c>
      <c r="N1975" t="s">
        <v>313</v>
      </c>
    </row>
    <row r="1976" spans="1:14" hidden="1" x14ac:dyDescent="0.25">
      <c r="A1976" t="s">
        <v>10790</v>
      </c>
      <c r="B1976" t="s">
        <v>7307</v>
      </c>
      <c r="C1976" t="s">
        <v>7308</v>
      </c>
      <c r="D1976" t="s">
        <v>7309</v>
      </c>
      <c r="E1976" s="28" t="s">
        <v>890</v>
      </c>
      <c r="F1976" t="s">
        <v>7301</v>
      </c>
      <c r="G1976" t="s">
        <v>7297</v>
      </c>
      <c r="M1976" s="28" t="s">
        <v>14245</v>
      </c>
    </row>
    <row r="1977" spans="1:14" hidden="1" x14ac:dyDescent="0.25">
      <c r="A1977" t="s">
        <v>11231</v>
      </c>
      <c r="B1977" t="s">
        <v>10985</v>
      </c>
      <c r="C1977" t="s">
        <v>11232</v>
      </c>
      <c r="D1977" t="s">
        <v>11233</v>
      </c>
      <c r="E1977" s="28" t="s">
        <v>890</v>
      </c>
      <c r="F1977" t="s">
        <v>6584</v>
      </c>
      <c r="G1977" t="s">
        <v>84</v>
      </c>
      <c r="M1977" s="28" t="s">
        <v>14223</v>
      </c>
      <c r="N1977" t="s">
        <v>313</v>
      </c>
    </row>
    <row r="1978" spans="1:14" hidden="1" x14ac:dyDescent="0.25">
      <c r="A1978" t="s">
        <v>10984</v>
      </c>
      <c r="B1978" t="s">
        <v>10985</v>
      </c>
      <c r="C1978" t="s">
        <v>10986</v>
      </c>
      <c r="D1978" t="s">
        <v>10987</v>
      </c>
      <c r="E1978" s="28" t="s">
        <v>890</v>
      </c>
      <c r="F1978" t="s">
        <v>6584</v>
      </c>
      <c r="G1978" t="s">
        <v>84</v>
      </c>
      <c r="M1978" s="28" t="s">
        <v>14223</v>
      </c>
      <c r="N1978" t="s">
        <v>313</v>
      </c>
    </row>
    <row r="1979" spans="1:14" hidden="1" x14ac:dyDescent="0.25">
      <c r="A1979" t="s">
        <v>11332</v>
      </c>
      <c r="B1979" t="s">
        <v>10985</v>
      </c>
      <c r="C1979" t="s">
        <v>11333</v>
      </c>
      <c r="D1979" t="s">
        <v>11334</v>
      </c>
      <c r="E1979" s="28" t="s">
        <v>890</v>
      </c>
      <c r="F1979" t="s">
        <v>6584</v>
      </c>
      <c r="G1979" t="s">
        <v>84</v>
      </c>
      <c r="M1979" s="28" t="s">
        <v>14223</v>
      </c>
      <c r="N1979" t="s">
        <v>313</v>
      </c>
    </row>
    <row r="1980" spans="1:14" hidden="1" x14ac:dyDescent="0.25">
      <c r="A1980" t="s">
        <v>12437</v>
      </c>
      <c r="B1980" t="s">
        <v>12438</v>
      </c>
      <c r="C1980" t="s">
        <v>1094</v>
      </c>
      <c r="D1980" t="s">
        <v>12439</v>
      </c>
      <c r="E1980" s="28" t="s">
        <v>890</v>
      </c>
      <c r="F1980" t="s">
        <v>891</v>
      </c>
      <c r="G1980" t="s">
        <v>11</v>
      </c>
      <c r="M1980" s="28" t="s">
        <v>413</v>
      </c>
      <c r="N1980" t="s">
        <v>313</v>
      </c>
    </row>
    <row r="1981" spans="1:14" hidden="1" x14ac:dyDescent="0.25">
      <c r="A1981" t="s">
        <v>9101</v>
      </c>
      <c r="B1981" t="s">
        <v>3712</v>
      </c>
      <c r="C1981" t="s">
        <v>3044</v>
      </c>
      <c r="D1981" t="s">
        <v>3713</v>
      </c>
      <c r="E1981" s="28" t="s">
        <v>896</v>
      </c>
      <c r="F1981" t="s">
        <v>891</v>
      </c>
      <c r="G1981" t="s">
        <v>88</v>
      </c>
      <c r="M1981" s="28" t="s">
        <v>549</v>
      </c>
      <c r="N1981" t="s">
        <v>313</v>
      </c>
    </row>
    <row r="1982" spans="1:14" hidden="1" x14ac:dyDescent="0.25">
      <c r="A1982" t="s">
        <v>10954</v>
      </c>
      <c r="B1982" t="s">
        <v>10955</v>
      </c>
      <c r="C1982" t="s">
        <v>10956</v>
      </c>
      <c r="D1982" t="s">
        <v>10957</v>
      </c>
      <c r="E1982" s="28" t="s">
        <v>896</v>
      </c>
      <c r="F1982" t="s">
        <v>10958</v>
      </c>
      <c r="G1982" t="s">
        <v>84</v>
      </c>
      <c r="M1982" s="28" t="s">
        <v>14223</v>
      </c>
      <c r="N1982" t="s">
        <v>313</v>
      </c>
    </row>
    <row r="1983" spans="1:14" hidden="1" x14ac:dyDescent="0.25">
      <c r="A1983" t="s">
        <v>9102</v>
      </c>
      <c r="B1983" t="s">
        <v>3714</v>
      </c>
      <c r="C1983" t="s">
        <v>1184</v>
      </c>
      <c r="D1983" t="s">
        <v>3715</v>
      </c>
      <c r="E1983" s="28" t="s">
        <v>896</v>
      </c>
      <c r="F1983" t="s">
        <v>579</v>
      </c>
      <c r="G1983" t="s">
        <v>88</v>
      </c>
      <c r="M1983" s="28" t="s">
        <v>549</v>
      </c>
      <c r="N1983" t="s">
        <v>313</v>
      </c>
    </row>
    <row r="1984" spans="1:14" hidden="1" x14ac:dyDescent="0.25">
      <c r="A1984" t="s">
        <v>8476</v>
      </c>
      <c r="B1984" t="s">
        <v>2230</v>
      </c>
      <c r="C1984" t="s">
        <v>1123</v>
      </c>
      <c r="D1984" t="s">
        <v>2304</v>
      </c>
      <c r="E1984" s="28" t="s">
        <v>890</v>
      </c>
      <c r="F1984" t="s">
        <v>408</v>
      </c>
      <c r="G1984" t="s">
        <v>65</v>
      </c>
      <c r="M1984" s="28" t="s">
        <v>14209</v>
      </c>
    </row>
    <row r="1985" spans="1:14" hidden="1" x14ac:dyDescent="0.25">
      <c r="A1985" t="s">
        <v>8442</v>
      </c>
      <c r="B1985" t="s">
        <v>2230</v>
      </c>
      <c r="C1985" t="s">
        <v>2231</v>
      </c>
      <c r="D1985" t="s">
        <v>2232</v>
      </c>
      <c r="E1985" s="28" t="s">
        <v>890</v>
      </c>
      <c r="F1985" t="s">
        <v>408</v>
      </c>
      <c r="G1985" t="s">
        <v>65</v>
      </c>
      <c r="M1985" s="28" t="s">
        <v>14209</v>
      </c>
    </row>
    <row r="1986" spans="1:14" hidden="1" x14ac:dyDescent="0.25">
      <c r="A1986" t="s">
        <v>8473</v>
      </c>
      <c r="B1986" t="s">
        <v>2230</v>
      </c>
      <c r="C1986" t="s">
        <v>2297</v>
      </c>
      <c r="D1986" t="s">
        <v>2298</v>
      </c>
      <c r="E1986" s="28" t="s">
        <v>890</v>
      </c>
      <c r="F1986" t="s">
        <v>408</v>
      </c>
      <c r="G1986" t="s">
        <v>65</v>
      </c>
      <c r="M1986" s="28" t="s">
        <v>14209</v>
      </c>
    </row>
    <row r="1987" spans="1:14" hidden="1" x14ac:dyDescent="0.25">
      <c r="A1987" t="s">
        <v>8467</v>
      </c>
      <c r="B1987" t="s">
        <v>2230</v>
      </c>
      <c r="C1987" t="s">
        <v>2283</v>
      </c>
      <c r="D1987" t="s">
        <v>2284</v>
      </c>
      <c r="E1987" s="28" t="s">
        <v>890</v>
      </c>
      <c r="F1987" t="s">
        <v>408</v>
      </c>
      <c r="G1987" t="s">
        <v>65</v>
      </c>
      <c r="M1987" s="28" t="s">
        <v>14209</v>
      </c>
    </row>
    <row r="1988" spans="1:14" hidden="1" x14ac:dyDescent="0.25">
      <c r="A1988" t="s">
        <v>9103</v>
      </c>
      <c r="B1988" t="s">
        <v>3716</v>
      </c>
      <c r="C1988" t="s">
        <v>3036</v>
      </c>
      <c r="D1988" t="s">
        <v>3717</v>
      </c>
      <c r="E1988" s="28" t="s">
        <v>890</v>
      </c>
      <c r="F1988" t="s">
        <v>891</v>
      </c>
      <c r="G1988" t="s">
        <v>88</v>
      </c>
      <c r="M1988" s="28" t="s">
        <v>549</v>
      </c>
      <c r="N1988" t="s">
        <v>313</v>
      </c>
    </row>
    <row r="1989" spans="1:14" hidden="1" x14ac:dyDescent="0.25">
      <c r="A1989" t="s">
        <v>9104</v>
      </c>
      <c r="B1989" t="s">
        <v>3718</v>
      </c>
      <c r="C1989" t="s">
        <v>3025</v>
      </c>
      <c r="D1989" t="s">
        <v>11356</v>
      </c>
      <c r="E1989" s="28" t="s">
        <v>896</v>
      </c>
      <c r="F1989" t="s">
        <v>11357</v>
      </c>
      <c r="G1989" t="s">
        <v>84</v>
      </c>
      <c r="M1989" s="28" t="s">
        <v>14223</v>
      </c>
      <c r="N1989" t="s">
        <v>313</v>
      </c>
    </row>
    <row r="1990" spans="1:14" hidden="1" x14ac:dyDescent="0.25">
      <c r="A1990" t="s">
        <v>12501</v>
      </c>
      <c r="B1990" t="s">
        <v>3718</v>
      </c>
      <c r="C1990" t="s">
        <v>12502</v>
      </c>
      <c r="D1990" t="s">
        <v>3719</v>
      </c>
      <c r="E1990" s="28" t="s">
        <v>930</v>
      </c>
      <c r="F1990" t="s">
        <v>891</v>
      </c>
      <c r="G1990" t="s">
        <v>88</v>
      </c>
      <c r="M1990" s="28" t="s">
        <v>549</v>
      </c>
      <c r="N1990" t="s">
        <v>313</v>
      </c>
    </row>
    <row r="1991" spans="1:14" hidden="1" x14ac:dyDescent="0.25">
      <c r="A1991" t="s">
        <v>11370</v>
      </c>
      <c r="B1991" t="s">
        <v>11371</v>
      </c>
      <c r="C1991" t="s">
        <v>6437</v>
      </c>
      <c r="D1991" t="s">
        <v>11372</v>
      </c>
      <c r="E1991" s="28" t="s">
        <v>890</v>
      </c>
      <c r="F1991" t="s">
        <v>11357</v>
      </c>
      <c r="G1991" t="s">
        <v>84</v>
      </c>
      <c r="M1991" s="28" t="s">
        <v>14223</v>
      </c>
      <c r="N1991" t="s">
        <v>313</v>
      </c>
    </row>
    <row r="1992" spans="1:14" hidden="1" x14ac:dyDescent="0.25">
      <c r="A1992" t="s">
        <v>9105</v>
      </c>
      <c r="B1992" t="s">
        <v>3720</v>
      </c>
      <c r="C1992" t="s">
        <v>3068</v>
      </c>
      <c r="D1992" t="s">
        <v>3721</v>
      </c>
      <c r="E1992" s="28" t="s">
        <v>896</v>
      </c>
      <c r="F1992" t="s">
        <v>582</v>
      </c>
      <c r="G1992" t="s">
        <v>88</v>
      </c>
      <c r="M1992" s="28" t="s">
        <v>549</v>
      </c>
      <c r="N1992" t="s">
        <v>313</v>
      </c>
    </row>
    <row r="1993" spans="1:14" hidden="1" x14ac:dyDescent="0.25">
      <c r="A1993" t="s">
        <v>8383</v>
      </c>
      <c r="B1993" t="s">
        <v>2081</v>
      </c>
      <c r="C1993" t="s">
        <v>2082</v>
      </c>
      <c r="D1993" t="s">
        <v>2083</v>
      </c>
      <c r="E1993" s="28" t="s">
        <v>890</v>
      </c>
      <c r="F1993" t="s">
        <v>2084</v>
      </c>
      <c r="G1993" t="s">
        <v>60</v>
      </c>
      <c r="M1993" s="28" t="s">
        <v>14207</v>
      </c>
    </row>
    <row r="1994" spans="1:14" hidden="1" x14ac:dyDescent="0.25">
      <c r="A1994" t="s">
        <v>13493</v>
      </c>
      <c r="B1994" t="s">
        <v>13494</v>
      </c>
      <c r="C1994" t="s">
        <v>13495</v>
      </c>
      <c r="D1994" t="s">
        <v>13496</v>
      </c>
      <c r="E1994" s="28" t="s">
        <v>896</v>
      </c>
      <c r="F1994" t="s">
        <v>6836</v>
      </c>
      <c r="G1994" t="s">
        <v>141</v>
      </c>
      <c r="M1994" s="28" t="s">
        <v>14229</v>
      </c>
    </row>
    <row r="1995" spans="1:14" hidden="1" x14ac:dyDescent="0.25">
      <c r="A1995" t="s">
        <v>10756</v>
      </c>
      <c r="B1995" t="s">
        <v>7219</v>
      </c>
      <c r="C1995" t="s">
        <v>7220</v>
      </c>
      <c r="D1995" t="s">
        <v>7221</v>
      </c>
      <c r="E1995" s="28" t="s">
        <v>930</v>
      </c>
      <c r="F1995" t="s">
        <v>7062</v>
      </c>
      <c r="G1995" t="s">
        <v>6896</v>
      </c>
      <c r="M1995" s="28" t="s">
        <v>6897</v>
      </c>
      <c r="N1995" t="s">
        <v>279</v>
      </c>
    </row>
    <row r="1996" spans="1:14" hidden="1" x14ac:dyDescent="0.25">
      <c r="A1996" t="s">
        <v>10828</v>
      </c>
      <c r="B1996" t="s">
        <v>7390</v>
      </c>
      <c r="C1996" t="s">
        <v>7391</v>
      </c>
      <c r="D1996" t="s">
        <v>7392</v>
      </c>
      <c r="E1996" s="28" t="s">
        <v>896</v>
      </c>
      <c r="F1996" t="s">
        <v>878</v>
      </c>
      <c r="G1996" t="s">
        <v>157</v>
      </c>
      <c r="M1996" s="28" t="s">
        <v>840</v>
      </c>
      <c r="N1996" t="s">
        <v>382</v>
      </c>
    </row>
    <row r="1997" spans="1:14" hidden="1" x14ac:dyDescent="0.25">
      <c r="A1997" t="s">
        <v>11998</v>
      </c>
      <c r="B1997" t="s">
        <v>11999</v>
      </c>
      <c r="C1997" t="s">
        <v>1464</v>
      </c>
      <c r="D1997" t="s">
        <v>12000</v>
      </c>
      <c r="E1997" s="28" t="s">
        <v>1023</v>
      </c>
      <c r="F1997" t="s">
        <v>813</v>
      </c>
      <c r="G1997" t="s">
        <v>137</v>
      </c>
      <c r="M1997" s="28" t="s">
        <v>805</v>
      </c>
      <c r="N1997" t="s">
        <v>313</v>
      </c>
    </row>
    <row r="1998" spans="1:14" hidden="1" x14ac:dyDescent="0.25">
      <c r="A1998" t="s">
        <v>10666</v>
      </c>
      <c r="B1998" t="s">
        <v>7009</v>
      </c>
      <c r="C1998" t="s">
        <v>7010</v>
      </c>
      <c r="D1998" t="s">
        <v>7011</v>
      </c>
      <c r="E1998" s="28" t="s">
        <v>890</v>
      </c>
      <c r="F1998" t="s">
        <v>256</v>
      </c>
      <c r="G1998" t="s">
        <v>6896</v>
      </c>
      <c r="M1998" s="28" t="s">
        <v>6897</v>
      </c>
      <c r="N1998" t="s">
        <v>279</v>
      </c>
    </row>
    <row r="1999" spans="1:14" hidden="1" x14ac:dyDescent="0.25">
      <c r="A1999" t="s">
        <v>11234</v>
      </c>
      <c r="B1999" t="s">
        <v>11027</v>
      </c>
      <c r="C1999" t="s">
        <v>1283</v>
      </c>
      <c r="D1999" t="s">
        <v>11235</v>
      </c>
      <c r="E1999" s="28" t="s">
        <v>896</v>
      </c>
      <c r="F1999" t="s">
        <v>6584</v>
      </c>
      <c r="G1999" t="s">
        <v>84</v>
      </c>
      <c r="M1999" s="28" t="s">
        <v>14223</v>
      </c>
      <c r="N1999" t="s">
        <v>313</v>
      </c>
    </row>
    <row r="2000" spans="1:14" hidden="1" x14ac:dyDescent="0.25">
      <c r="A2000" t="s">
        <v>11026</v>
      </c>
      <c r="B2000" t="s">
        <v>11027</v>
      </c>
      <c r="C2000" t="s">
        <v>5157</v>
      </c>
      <c r="D2000" t="s">
        <v>11028</v>
      </c>
      <c r="E2000" s="28" t="s">
        <v>890</v>
      </c>
      <c r="F2000" t="s">
        <v>6584</v>
      </c>
      <c r="G2000" t="s">
        <v>84</v>
      </c>
      <c r="M2000" s="28" t="s">
        <v>14223</v>
      </c>
      <c r="N2000" t="s">
        <v>313</v>
      </c>
    </row>
    <row r="2001" spans="1:14" hidden="1" x14ac:dyDescent="0.25">
      <c r="A2001" t="s">
        <v>8384</v>
      </c>
      <c r="B2001" t="s">
        <v>2085</v>
      </c>
      <c r="C2001" t="s">
        <v>1266</v>
      </c>
      <c r="D2001" t="s">
        <v>2086</v>
      </c>
      <c r="E2001" s="28" t="s">
        <v>896</v>
      </c>
      <c r="F2001" t="s">
        <v>400</v>
      </c>
      <c r="G2001" t="s">
        <v>60</v>
      </c>
      <c r="M2001" s="28" t="s">
        <v>14207</v>
      </c>
    </row>
    <row r="2002" spans="1:14" hidden="1" x14ac:dyDescent="0.25">
      <c r="A2002" t="s">
        <v>9106</v>
      </c>
      <c r="B2002" t="s">
        <v>3722</v>
      </c>
      <c r="C2002" t="s">
        <v>3025</v>
      </c>
      <c r="D2002" t="s">
        <v>3723</v>
      </c>
      <c r="E2002" s="28" t="s">
        <v>890</v>
      </c>
      <c r="F2002" t="s">
        <v>891</v>
      </c>
      <c r="G2002" t="s">
        <v>88</v>
      </c>
      <c r="M2002" s="28" t="s">
        <v>549</v>
      </c>
      <c r="N2002" t="s">
        <v>313</v>
      </c>
    </row>
    <row r="2003" spans="1:14" hidden="1" x14ac:dyDescent="0.25">
      <c r="A2003" t="s">
        <v>9107</v>
      </c>
      <c r="B2003" t="s">
        <v>3722</v>
      </c>
      <c r="C2003" t="s">
        <v>3724</v>
      </c>
      <c r="D2003" t="s">
        <v>3725</v>
      </c>
      <c r="E2003" s="28" t="s">
        <v>896</v>
      </c>
      <c r="F2003" t="s">
        <v>891</v>
      </c>
      <c r="G2003" t="s">
        <v>88</v>
      </c>
      <c r="M2003" s="28" t="s">
        <v>549</v>
      </c>
      <c r="N2003" t="s">
        <v>313</v>
      </c>
    </row>
    <row r="2004" spans="1:14" hidden="1" x14ac:dyDescent="0.25">
      <c r="A2004" t="s">
        <v>12564</v>
      </c>
      <c r="B2004" t="s">
        <v>12565</v>
      </c>
      <c r="C2004" t="s">
        <v>12566</v>
      </c>
      <c r="D2004" t="s">
        <v>12567</v>
      </c>
      <c r="E2004" s="28" t="s">
        <v>890</v>
      </c>
      <c r="F2004" t="s">
        <v>780</v>
      </c>
      <c r="G2004" t="s">
        <v>15</v>
      </c>
      <c r="M2004" s="28" t="s">
        <v>613</v>
      </c>
      <c r="N2004" t="s">
        <v>313</v>
      </c>
    </row>
    <row r="2005" spans="1:14" hidden="1" x14ac:dyDescent="0.25">
      <c r="A2005" t="s">
        <v>9934</v>
      </c>
      <c r="B2005" t="s">
        <v>5431</v>
      </c>
      <c r="C2005" t="s">
        <v>2619</v>
      </c>
      <c r="D2005" t="s">
        <v>5433</v>
      </c>
      <c r="E2005" s="28" t="s">
        <v>896</v>
      </c>
      <c r="F2005" t="s">
        <v>623</v>
      </c>
      <c r="G2005" t="s">
        <v>15</v>
      </c>
      <c r="M2005" s="28" t="s">
        <v>613</v>
      </c>
      <c r="N2005" t="s">
        <v>313</v>
      </c>
    </row>
    <row r="2006" spans="1:14" hidden="1" x14ac:dyDescent="0.25">
      <c r="A2006" t="s">
        <v>9933</v>
      </c>
      <c r="B2006" t="s">
        <v>5431</v>
      </c>
      <c r="C2006" t="s">
        <v>4821</v>
      </c>
      <c r="D2006" t="s">
        <v>5432</v>
      </c>
      <c r="E2006" s="28" t="s">
        <v>890</v>
      </c>
      <c r="F2006" t="s">
        <v>2850</v>
      </c>
      <c r="G2006" t="s">
        <v>15</v>
      </c>
      <c r="M2006" s="28" t="s">
        <v>613</v>
      </c>
      <c r="N2006" t="s">
        <v>313</v>
      </c>
    </row>
    <row r="2007" spans="1:14" hidden="1" x14ac:dyDescent="0.25">
      <c r="A2007" t="s">
        <v>9932</v>
      </c>
      <c r="B2007" t="s">
        <v>5425</v>
      </c>
      <c r="C2007" t="s">
        <v>1121</v>
      </c>
      <c r="D2007" t="s">
        <v>5430</v>
      </c>
      <c r="E2007" s="28" t="s">
        <v>890</v>
      </c>
      <c r="F2007" t="s">
        <v>4679</v>
      </c>
      <c r="G2007" t="s">
        <v>15</v>
      </c>
      <c r="M2007" s="28" t="s">
        <v>613</v>
      </c>
      <c r="N2007" t="s">
        <v>313</v>
      </c>
    </row>
    <row r="2008" spans="1:14" hidden="1" x14ac:dyDescent="0.25">
      <c r="A2008" t="s">
        <v>9931</v>
      </c>
      <c r="B2008" t="s">
        <v>5425</v>
      </c>
      <c r="C2008" t="s">
        <v>926</v>
      </c>
      <c r="D2008" t="s">
        <v>5429</v>
      </c>
      <c r="E2008" s="28" t="s">
        <v>890</v>
      </c>
      <c r="F2008" t="s">
        <v>4679</v>
      </c>
      <c r="G2008" t="s">
        <v>15</v>
      </c>
      <c r="M2008" s="28" t="s">
        <v>613</v>
      </c>
      <c r="N2008" t="s">
        <v>313</v>
      </c>
    </row>
    <row r="2009" spans="1:14" hidden="1" x14ac:dyDescent="0.25">
      <c r="A2009" t="s">
        <v>9929</v>
      </c>
      <c r="B2009" t="s">
        <v>5425</v>
      </c>
      <c r="C2009" t="s">
        <v>5426</v>
      </c>
      <c r="D2009" t="s">
        <v>5427</v>
      </c>
      <c r="E2009" s="28" t="s">
        <v>896</v>
      </c>
      <c r="F2009" t="s">
        <v>4679</v>
      </c>
      <c r="G2009" t="s">
        <v>15</v>
      </c>
      <c r="M2009" s="28" t="s">
        <v>613</v>
      </c>
      <c r="N2009" t="s">
        <v>313</v>
      </c>
    </row>
    <row r="2010" spans="1:14" hidden="1" x14ac:dyDescent="0.25">
      <c r="A2010" t="s">
        <v>9930</v>
      </c>
      <c r="B2010" t="s">
        <v>5425</v>
      </c>
      <c r="C2010" t="s">
        <v>4553</v>
      </c>
      <c r="D2010" t="s">
        <v>5428</v>
      </c>
      <c r="E2010" s="28" t="s">
        <v>890</v>
      </c>
      <c r="F2010" t="s">
        <v>4679</v>
      </c>
      <c r="G2010" t="s">
        <v>15</v>
      </c>
      <c r="M2010" s="28" t="s">
        <v>613</v>
      </c>
      <c r="N2010" t="s">
        <v>313</v>
      </c>
    </row>
    <row r="2011" spans="1:14" hidden="1" x14ac:dyDescent="0.25">
      <c r="A2011" t="s">
        <v>13243</v>
      </c>
      <c r="B2011" t="s">
        <v>13244</v>
      </c>
      <c r="C2011" t="s">
        <v>1060</v>
      </c>
      <c r="D2011" t="s">
        <v>13245</v>
      </c>
      <c r="E2011" s="28" t="s">
        <v>890</v>
      </c>
      <c r="F2011" t="s">
        <v>415</v>
      </c>
      <c r="G2011" t="s">
        <v>11</v>
      </c>
      <c r="M2011" s="28" t="s">
        <v>413</v>
      </c>
      <c r="N2011" t="s">
        <v>313</v>
      </c>
    </row>
    <row r="2012" spans="1:14" hidden="1" x14ac:dyDescent="0.25">
      <c r="A2012" t="s">
        <v>11737</v>
      </c>
      <c r="B2012" t="s">
        <v>2945</v>
      </c>
      <c r="C2012" t="s">
        <v>2848</v>
      </c>
      <c r="D2012" t="s">
        <v>11738</v>
      </c>
      <c r="E2012" s="28" t="s">
        <v>890</v>
      </c>
      <c r="F2012" t="s">
        <v>535</v>
      </c>
      <c r="G2012" t="s">
        <v>81</v>
      </c>
      <c r="M2012" s="28" t="s">
        <v>530</v>
      </c>
      <c r="N2012" t="s">
        <v>313</v>
      </c>
    </row>
    <row r="2013" spans="1:14" hidden="1" x14ac:dyDescent="0.25">
      <c r="A2013" t="s">
        <v>8739</v>
      </c>
      <c r="B2013" t="s">
        <v>2945</v>
      </c>
      <c r="C2013" t="s">
        <v>1461</v>
      </c>
      <c r="D2013" t="s">
        <v>2946</v>
      </c>
      <c r="E2013" s="28" t="s">
        <v>890</v>
      </c>
      <c r="F2013" t="s">
        <v>535</v>
      </c>
      <c r="G2013" t="s">
        <v>81</v>
      </c>
      <c r="M2013" s="28" t="s">
        <v>530</v>
      </c>
      <c r="N2013" t="s">
        <v>313</v>
      </c>
    </row>
    <row r="2014" spans="1:14" hidden="1" x14ac:dyDescent="0.25">
      <c r="A2014" t="s">
        <v>9108</v>
      </c>
      <c r="B2014" t="s">
        <v>3726</v>
      </c>
      <c r="C2014" t="s">
        <v>1172</v>
      </c>
      <c r="D2014" t="s">
        <v>3727</v>
      </c>
      <c r="E2014" s="28" t="s">
        <v>890</v>
      </c>
      <c r="F2014" t="s">
        <v>891</v>
      </c>
      <c r="G2014" t="s">
        <v>88</v>
      </c>
      <c r="M2014" s="28" t="s">
        <v>549</v>
      </c>
      <c r="N2014" t="s">
        <v>313</v>
      </c>
    </row>
    <row r="2015" spans="1:14" hidden="1" x14ac:dyDescent="0.25">
      <c r="A2015" t="s">
        <v>9109</v>
      </c>
      <c r="B2015" t="s">
        <v>3726</v>
      </c>
      <c r="C2015" t="s">
        <v>3728</v>
      </c>
      <c r="D2015" t="s">
        <v>3729</v>
      </c>
      <c r="E2015" s="28" t="s">
        <v>1023</v>
      </c>
      <c r="F2015" t="s">
        <v>891</v>
      </c>
      <c r="G2015" t="s">
        <v>88</v>
      </c>
      <c r="M2015" s="28" t="s">
        <v>549</v>
      </c>
      <c r="N2015" t="s">
        <v>313</v>
      </c>
    </row>
    <row r="2016" spans="1:14" hidden="1" x14ac:dyDescent="0.25">
      <c r="A2016" t="s">
        <v>8151</v>
      </c>
      <c r="B2016" t="s">
        <v>1503</v>
      </c>
      <c r="C2016" t="s">
        <v>1504</v>
      </c>
      <c r="D2016" t="s">
        <v>1505</v>
      </c>
      <c r="E2016" s="28" t="s">
        <v>890</v>
      </c>
      <c r="F2016" t="s">
        <v>328</v>
      </c>
      <c r="G2016" t="s">
        <v>38</v>
      </c>
      <c r="M2016" s="28"/>
    </row>
    <row r="2017" spans="1:14" hidden="1" x14ac:dyDescent="0.25">
      <c r="A2017" t="s">
        <v>8753</v>
      </c>
      <c r="B2017" t="s">
        <v>2980</v>
      </c>
      <c r="C2017" t="s">
        <v>1056</v>
      </c>
      <c r="D2017" t="s">
        <v>2981</v>
      </c>
      <c r="E2017" s="28" t="s">
        <v>896</v>
      </c>
      <c r="F2017" t="s">
        <v>543</v>
      </c>
      <c r="G2017" t="s">
        <v>86</v>
      </c>
      <c r="M2017" s="28" t="s">
        <v>546</v>
      </c>
      <c r="N2017" t="s">
        <v>313</v>
      </c>
    </row>
    <row r="2018" spans="1:14" hidden="1" x14ac:dyDescent="0.25">
      <c r="A2018" t="s">
        <v>10762</v>
      </c>
      <c r="B2018" t="s">
        <v>7235</v>
      </c>
      <c r="C2018" t="s">
        <v>7236</v>
      </c>
      <c r="D2018" t="s">
        <v>7237</v>
      </c>
      <c r="E2018" s="28" t="s">
        <v>930</v>
      </c>
      <c r="F2018" t="s">
        <v>7062</v>
      </c>
      <c r="G2018" t="s">
        <v>6896</v>
      </c>
      <c r="M2018" s="28" t="s">
        <v>6897</v>
      </c>
      <c r="N2018" t="s">
        <v>279</v>
      </c>
    </row>
    <row r="2019" spans="1:14" hidden="1" x14ac:dyDescent="0.25">
      <c r="A2019" t="s">
        <v>10829</v>
      </c>
      <c r="B2019" t="s">
        <v>1390</v>
      </c>
      <c r="C2019" t="s">
        <v>1043</v>
      </c>
      <c r="D2019" t="s">
        <v>7393</v>
      </c>
      <c r="E2019" s="28" t="s">
        <v>896</v>
      </c>
      <c r="F2019" t="s">
        <v>854</v>
      </c>
      <c r="G2019" t="s">
        <v>157</v>
      </c>
      <c r="M2019" s="28" t="s">
        <v>840</v>
      </c>
      <c r="N2019" t="s">
        <v>382</v>
      </c>
    </row>
    <row r="2020" spans="1:14" hidden="1" x14ac:dyDescent="0.25">
      <c r="A2020" t="s">
        <v>8107</v>
      </c>
      <c r="B2020" t="s">
        <v>1390</v>
      </c>
      <c r="C2020" t="s">
        <v>1391</v>
      </c>
      <c r="D2020" t="s">
        <v>1392</v>
      </c>
      <c r="E2020" s="28" t="s">
        <v>896</v>
      </c>
      <c r="F2020" t="s">
        <v>14666</v>
      </c>
      <c r="G2020" t="s">
        <v>38</v>
      </c>
      <c r="M2020" s="28"/>
    </row>
    <row r="2021" spans="1:14" hidden="1" x14ac:dyDescent="0.25">
      <c r="A2021" t="s">
        <v>22</v>
      </c>
      <c r="B2021" t="s">
        <v>5424</v>
      </c>
      <c r="C2021" t="s">
        <v>2184</v>
      </c>
      <c r="D2021" t="s">
        <v>23</v>
      </c>
      <c r="E2021" s="28" t="s">
        <v>896</v>
      </c>
      <c r="F2021" t="s">
        <v>643</v>
      </c>
      <c r="G2021" t="s">
        <v>15</v>
      </c>
      <c r="M2021" s="28" t="s">
        <v>613</v>
      </c>
      <c r="N2021" t="s">
        <v>313</v>
      </c>
    </row>
    <row r="2022" spans="1:14" hidden="1" x14ac:dyDescent="0.25">
      <c r="A2022" t="s">
        <v>7947</v>
      </c>
      <c r="B2022" t="s">
        <v>917</v>
      </c>
      <c r="C2022" t="s">
        <v>918</v>
      </c>
      <c r="D2022" t="s">
        <v>919</v>
      </c>
      <c r="E2022" s="28" t="s">
        <v>896</v>
      </c>
      <c r="F2022" t="s">
        <v>897</v>
      </c>
      <c r="G2022" t="s">
        <v>28</v>
      </c>
      <c r="M2022" s="28" t="s">
        <v>14241</v>
      </c>
      <c r="N2022" t="s">
        <v>14206</v>
      </c>
    </row>
    <row r="2023" spans="1:14" hidden="1" x14ac:dyDescent="0.25">
      <c r="A2023" t="s">
        <v>9110</v>
      </c>
      <c r="B2023" t="s">
        <v>3730</v>
      </c>
      <c r="C2023" t="s">
        <v>3731</v>
      </c>
      <c r="D2023" t="s">
        <v>3732</v>
      </c>
      <c r="E2023" s="28" t="s">
        <v>890</v>
      </c>
      <c r="F2023" t="s">
        <v>891</v>
      </c>
      <c r="G2023" t="s">
        <v>88</v>
      </c>
      <c r="M2023" s="28" t="s">
        <v>549</v>
      </c>
      <c r="N2023" t="s">
        <v>313</v>
      </c>
    </row>
    <row r="2024" spans="1:14" hidden="1" x14ac:dyDescent="0.25">
      <c r="A2024" t="s">
        <v>9111</v>
      </c>
      <c r="B2024" t="s">
        <v>3730</v>
      </c>
      <c r="C2024" t="s">
        <v>3217</v>
      </c>
      <c r="D2024" t="s">
        <v>3733</v>
      </c>
      <c r="E2024" s="28" t="s">
        <v>890</v>
      </c>
      <c r="F2024" t="s">
        <v>891</v>
      </c>
      <c r="G2024" t="s">
        <v>88</v>
      </c>
      <c r="M2024" s="28" t="s">
        <v>549</v>
      </c>
      <c r="N2024" t="s">
        <v>313</v>
      </c>
    </row>
    <row r="2025" spans="1:14" hidden="1" x14ac:dyDescent="0.25">
      <c r="A2025" t="s">
        <v>8526</v>
      </c>
      <c r="B2025" t="s">
        <v>2428</v>
      </c>
      <c r="C2025" t="s">
        <v>2429</v>
      </c>
      <c r="D2025" t="s">
        <v>2430</v>
      </c>
      <c r="E2025" s="28" t="s">
        <v>890</v>
      </c>
      <c r="F2025" t="s">
        <v>13265</v>
      </c>
      <c r="G2025" t="s">
        <v>11</v>
      </c>
      <c r="M2025" s="28" t="s">
        <v>413</v>
      </c>
      <c r="N2025" t="s">
        <v>313</v>
      </c>
    </row>
    <row r="2026" spans="1:14" hidden="1" x14ac:dyDescent="0.25">
      <c r="A2026" t="s">
        <v>9112</v>
      </c>
      <c r="B2026" t="s">
        <v>3734</v>
      </c>
      <c r="C2026" t="s">
        <v>3034</v>
      </c>
      <c r="D2026" t="s">
        <v>3735</v>
      </c>
      <c r="E2026" s="28" t="s">
        <v>890</v>
      </c>
      <c r="F2026" t="s">
        <v>891</v>
      </c>
      <c r="G2026" t="s">
        <v>88</v>
      </c>
      <c r="M2026" s="28" t="s">
        <v>549</v>
      </c>
      <c r="N2026" t="s">
        <v>313</v>
      </c>
    </row>
    <row r="2027" spans="1:14" hidden="1" x14ac:dyDescent="0.25">
      <c r="A2027" t="s">
        <v>9113</v>
      </c>
      <c r="B2027" t="s">
        <v>3734</v>
      </c>
      <c r="C2027" t="s">
        <v>3025</v>
      </c>
      <c r="D2027" t="s">
        <v>3736</v>
      </c>
      <c r="E2027" s="28" t="s">
        <v>890</v>
      </c>
      <c r="F2027" t="s">
        <v>891</v>
      </c>
      <c r="G2027" t="s">
        <v>88</v>
      </c>
      <c r="M2027" s="28" t="s">
        <v>549</v>
      </c>
      <c r="N2027" t="s">
        <v>313</v>
      </c>
    </row>
    <row r="2028" spans="1:14" hidden="1" x14ac:dyDescent="0.25">
      <c r="A2028" t="s">
        <v>9114</v>
      </c>
      <c r="B2028" t="s">
        <v>3737</v>
      </c>
      <c r="C2028" t="s">
        <v>3738</v>
      </c>
      <c r="D2028" t="s">
        <v>3739</v>
      </c>
      <c r="E2028" s="28" t="s">
        <v>890</v>
      </c>
      <c r="F2028" t="s">
        <v>891</v>
      </c>
      <c r="G2028" t="s">
        <v>88</v>
      </c>
      <c r="M2028" s="28" t="s">
        <v>549</v>
      </c>
      <c r="N2028" t="s">
        <v>313</v>
      </c>
    </row>
    <row r="2029" spans="1:14" hidden="1" x14ac:dyDescent="0.25">
      <c r="A2029" t="s">
        <v>9928</v>
      </c>
      <c r="B2029" t="s">
        <v>5422</v>
      </c>
      <c r="C2029" t="s">
        <v>4440</v>
      </c>
      <c r="D2029" t="s">
        <v>5423</v>
      </c>
      <c r="E2029" s="28" t="s">
        <v>896</v>
      </c>
      <c r="F2029" t="s">
        <v>727</v>
      </c>
      <c r="G2029" t="s">
        <v>15</v>
      </c>
      <c r="M2029" s="28" t="s">
        <v>613</v>
      </c>
      <c r="N2029" t="s">
        <v>313</v>
      </c>
    </row>
    <row r="2030" spans="1:14" hidden="1" x14ac:dyDescent="0.25">
      <c r="A2030" t="s">
        <v>12935</v>
      </c>
      <c r="B2030" t="s">
        <v>12936</v>
      </c>
      <c r="C2030" t="s">
        <v>4556</v>
      </c>
      <c r="D2030" t="s">
        <v>12937</v>
      </c>
      <c r="E2030" s="28" t="s">
        <v>1023</v>
      </c>
      <c r="F2030" t="s">
        <v>651</v>
      </c>
      <c r="G2030" t="s">
        <v>15</v>
      </c>
      <c r="M2030" s="28" t="s">
        <v>613</v>
      </c>
      <c r="N2030" t="s">
        <v>313</v>
      </c>
    </row>
    <row r="2031" spans="1:14" hidden="1" x14ac:dyDescent="0.25">
      <c r="A2031" t="s">
        <v>11437</v>
      </c>
      <c r="B2031" t="s">
        <v>11438</v>
      </c>
      <c r="C2031" t="s">
        <v>4556</v>
      </c>
      <c r="D2031" t="s">
        <v>11439</v>
      </c>
      <c r="E2031" s="28" t="s">
        <v>1023</v>
      </c>
      <c r="F2031" t="s">
        <v>615</v>
      </c>
      <c r="G2031" t="s">
        <v>15</v>
      </c>
      <c r="M2031" s="28" t="s">
        <v>613</v>
      </c>
      <c r="N2031" t="s">
        <v>313</v>
      </c>
    </row>
    <row r="2032" spans="1:14" hidden="1" x14ac:dyDescent="0.25">
      <c r="A2032" t="s">
        <v>11440</v>
      </c>
      <c r="B2032" t="s">
        <v>11438</v>
      </c>
      <c r="C2032" t="s">
        <v>2237</v>
      </c>
      <c r="D2032" t="s">
        <v>11441</v>
      </c>
      <c r="E2032" s="28" t="s">
        <v>896</v>
      </c>
      <c r="F2032" t="s">
        <v>615</v>
      </c>
      <c r="G2032" t="s">
        <v>15</v>
      </c>
      <c r="M2032" s="28" t="s">
        <v>613</v>
      </c>
      <c r="N2032" t="s">
        <v>313</v>
      </c>
    </row>
    <row r="2033" spans="1:14" hidden="1" x14ac:dyDescent="0.25">
      <c r="A2033" t="s">
        <v>10458</v>
      </c>
      <c r="B2033" t="s">
        <v>6509</v>
      </c>
      <c r="C2033" t="s">
        <v>6510</v>
      </c>
      <c r="D2033" t="s">
        <v>6511</v>
      </c>
      <c r="E2033" s="28" t="s">
        <v>890</v>
      </c>
      <c r="F2033" t="s">
        <v>343</v>
      </c>
      <c r="G2033" t="s">
        <v>125</v>
      </c>
      <c r="M2033" s="28" t="s">
        <v>6491</v>
      </c>
      <c r="N2033" t="s">
        <v>313</v>
      </c>
    </row>
    <row r="2034" spans="1:14" hidden="1" x14ac:dyDescent="0.25">
      <c r="A2034" t="s">
        <v>11444</v>
      </c>
      <c r="B2034" t="s">
        <v>6509</v>
      </c>
      <c r="C2034" t="s">
        <v>11445</v>
      </c>
      <c r="D2034" t="s">
        <v>11446</v>
      </c>
      <c r="E2034" s="28" t="s">
        <v>896</v>
      </c>
      <c r="F2034" t="s">
        <v>796</v>
      </c>
      <c r="G2034" t="s">
        <v>125</v>
      </c>
      <c r="M2034" s="28" t="s">
        <v>6491</v>
      </c>
      <c r="N2034" t="s">
        <v>313</v>
      </c>
    </row>
    <row r="2035" spans="1:14" hidden="1" x14ac:dyDescent="0.25">
      <c r="A2035" t="s">
        <v>8441</v>
      </c>
      <c r="B2035" t="s">
        <v>2227</v>
      </c>
      <c r="C2035" t="s">
        <v>2228</v>
      </c>
      <c r="D2035" t="s">
        <v>2229</v>
      </c>
      <c r="E2035" s="28" t="s">
        <v>896</v>
      </c>
      <c r="F2035" t="s">
        <v>408</v>
      </c>
      <c r="G2035" t="s">
        <v>65</v>
      </c>
      <c r="M2035" s="28" t="s">
        <v>14209</v>
      </c>
    </row>
    <row r="2036" spans="1:14" hidden="1" x14ac:dyDescent="0.25">
      <c r="A2036" t="s">
        <v>8108</v>
      </c>
      <c r="B2036" t="s">
        <v>1393</v>
      </c>
      <c r="C2036" t="s">
        <v>1194</v>
      </c>
      <c r="D2036" t="s">
        <v>1394</v>
      </c>
      <c r="E2036" s="28" t="s">
        <v>896</v>
      </c>
      <c r="F2036" t="s">
        <v>78</v>
      </c>
      <c r="G2036" t="s">
        <v>38</v>
      </c>
      <c r="M2036" s="28"/>
    </row>
    <row r="2037" spans="1:14" hidden="1" x14ac:dyDescent="0.25">
      <c r="A2037" t="s">
        <v>8590</v>
      </c>
      <c r="B2037" t="s">
        <v>2581</v>
      </c>
      <c r="C2037" t="s">
        <v>2582</v>
      </c>
      <c r="D2037" t="s">
        <v>2583</v>
      </c>
      <c r="E2037" s="28" t="s">
        <v>896</v>
      </c>
      <c r="F2037" t="s">
        <v>488</v>
      </c>
      <c r="G2037" t="s">
        <v>11</v>
      </c>
      <c r="M2037" s="28" t="s">
        <v>413</v>
      </c>
      <c r="N2037" t="s">
        <v>313</v>
      </c>
    </row>
    <row r="2038" spans="1:14" hidden="1" x14ac:dyDescent="0.25">
      <c r="A2038" t="s">
        <v>14667</v>
      </c>
      <c r="B2038" t="s">
        <v>14668</v>
      </c>
      <c r="C2038" t="s">
        <v>1264</v>
      </c>
      <c r="D2038" t="s">
        <v>14669</v>
      </c>
      <c r="E2038" s="28" t="s">
        <v>896</v>
      </c>
      <c r="F2038" t="s">
        <v>891</v>
      </c>
      <c r="G2038" t="s">
        <v>74</v>
      </c>
      <c r="M2038" s="28" t="s">
        <v>507</v>
      </c>
      <c r="N2038" t="s">
        <v>313</v>
      </c>
    </row>
    <row r="2039" spans="1:14" hidden="1" x14ac:dyDescent="0.25">
      <c r="A2039" t="s">
        <v>10507</v>
      </c>
      <c r="B2039" t="s">
        <v>6680</v>
      </c>
      <c r="C2039" t="s">
        <v>1639</v>
      </c>
      <c r="D2039" t="s">
        <v>6681</v>
      </c>
      <c r="E2039" s="28" t="s">
        <v>896</v>
      </c>
      <c r="F2039" t="s">
        <v>6631</v>
      </c>
      <c r="G2039" t="s">
        <v>137</v>
      </c>
      <c r="M2039" s="28" t="s">
        <v>805</v>
      </c>
      <c r="N2039" t="s">
        <v>313</v>
      </c>
    </row>
    <row r="2040" spans="1:14" hidden="1" x14ac:dyDescent="0.25">
      <c r="A2040" t="s">
        <v>13791</v>
      </c>
      <c r="B2040" t="s">
        <v>13792</v>
      </c>
      <c r="C2040" t="s">
        <v>999</v>
      </c>
      <c r="D2040" t="s">
        <v>13793</v>
      </c>
      <c r="E2040" s="28" t="s">
        <v>1023</v>
      </c>
      <c r="F2040" t="s">
        <v>688</v>
      </c>
      <c r="G2040" t="s">
        <v>15</v>
      </c>
      <c r="M2040" s="28" t="s">
        <v>613</v>
      </c>
      <c r="N2040" t="s">
        <v>313</v>
      </c>
    </row>
    <row r="2041" spans="1:14" hidden="1" x14ac:dyDescent="0.25">
      <c r="A2041" t="s">
        <v>10830</v>
      </c>
      <c r="B2041" t="s">
        <v>7394</v>
      </c>
      <c r="C2041" t="s">
        <v>7395</v>
      </c>
      <c r="D2041" t="s">
        <v>7396</v>
      </c>
      <c r="E2041" s="28" t="s">
        <v>896</v>
      </c>
      <c r="F2041" t="s">
        <v>268</v>
      </c>
      <c r="G2041" t="s">
        <v>157</v>
      </c>
      <c r="M2041" s="28" t="s">
        <v>840</v>
      </c>
      <c r="N2041" t="s">
        <v>382</v>
      </c>
    </row>
    <row r="2042" spans="1:14" hidden="1" x14ac:dyDescent="0.25">
      <c r="A2042" t="s">
        <v>14326</v>
      </c>
      <c r="B2042" t="s">
        <v>14327</v>
      </c>
      <c r="C2042" t="s">
        <v>1321</v>
      </c>
      <c r="D2042" t="s">
        <v>11739</v>
      </c>
      <c r="E2042" s="28" t="s">
        <v>896</v>
      </c>
      <c r="F2042" t="s">
        <v>13197</v>
      </c>
      <c r="G2042" t="s">
        <v>81</v>
      </c>
      <c r="M2042" s="28" t="s">
        <v>530</v>
      </c>
      <c r="N2042" t="s">
        <v>313</v>
      </c>
    </row>
    <row r="2043" spans="1:14" hidden="1" x14ac:dyDescent="0.25">
      <c r="A2043" t="s">
        <v>9927</v>
      </c>
      <c r="B2043" t="s">
        <v>5420</v>
      </c>
      <c r="C2043" t="s">
        <v>4842</v>
      </c>
      <c r="D2043" t="s">
        <v>5421</v>
      </c>
      <c r="E2043" s="28" t="s">
        <v>896</v>
      </c>
      <c r="F2043" t="s">
        <v>4843</v>
      </c>
      <c r="G2043" t="s">
        <v>15</v>
      </c>
      <c r="M2043" s="28" t="s">
        <v>613</v>
      </c>
      <c r="N2043" t="s">
        <v>313</v>
      </c>
    </row>
    <row r="2044" spans="1:14" hidden="1" x14ac:dyDescent="0.25">
      <c r="A2044" t="s">
        <v>10875</v>
      </c>
      <c r="B2044" t="s">
        <v>7514</v>
      </c>
      <c r="C2044" t="s">
        <v>1269</v>
      </c>
      <c r="D2044" t="s">
        <v>7515</v>
      </c>
      <c r="E2044" s="28" t="s">
        <v>890</v>
      </c>
      <c r="F2044" t="s">
        <v>7516</v>
      </c>
      <c r="G2044" t="s">
        <v>162</v>
      </c>
      <c r="M2044" s="28" t="s">
        <v>7517</v>
      </c>
      <c r="N2044" t="s">
        <v>313</v>
      </c>
    </row>
    <row r="2045" spans="1:14" hidden="1" x14ac:dyDescent="0.25">
      <c r="A2045" t="s">
        <v>10881</v>
      </c>
      <c r="B2045" t="s">
        <v>7514</v>
      </c>
      <c r="C2045" t="s">
        <v>1134</v>
      </c>
      <c r="D2045" t="s">
        <v>7526</v>
      </c>
      <c r="E2045" s="28" t="s">
        <v>896</v>
      </c>
      <c r="F2045" t="s">
        <v>679</v>
      </c>
      <c r="G2045" t="s">
        <v>162</v>
      </c>
      <c r="M2045" s="28" t="s">
        <v>7517</v>
      </c>
      <c r="N2045" t="s">
        <v>313</v>
      </c>
    </row>
    <row r="2046" spans="1:14" hidden="1" x14ac:dyDescent="0.25">
      <c r="A2046" t="s">
        <v>14328</v>
      </c>
      <c r="B2046" t="s">
        <v>1365</v>
      </c>
      <c r="C2046" t="s">
        <v>1187</v>
      </c>
      <c r="D2046" t="s">
        <v>11740</v>
      </c>
      <c r="E2046" s="28" t="s">
        <v>896</v>
      </c>
      <c r="F2046" t="s">
        <v>13201</v>
      </c>
      <c r="G2046" t="s">
        <v>81</v>
      </c>
      <c r="M2046" s="28" t="s">
        <v>530</v>
      </c>
      <c r="N2046" t="s">
        <v>313</v>
      </c>
    </row>
    <row r="2047" spans="1:14" hidden="1" x14ac:dyDescent="0.25">
      <c r="A2047" t="s">
        <v>8109</v>
      </c>
      <c r="B2047" t="s">
        <v>1365</v>
      </c>
      <c r="C2047" t="s">
        <v>1395</v>
      </c>
      <c r="D2047" t="s">
        <v>1396</v>
      </c>
      <c r="E2047" s="28" t="s">
        <v>890</v>
      </c>
      <c r="F2047" t="s">
        <v>324</v>
      </c>
      <c r="G2047" t="s">
        <v>38</v>
      </c>
      <c r="M2047" s="28"/>
    </row>
    <row r="2048" spans="1:14" hidden="1" x14ac:dyDescent="0.25">
      <c r="A2048" t="s">
        <v>11384</v>
      </c>
      <c r="B2048" t="s">
        <v>11385</v>
      </c>
      <c r="C2048" t="s">
        <v>11386</v>
      </c>
      <c r="D2048" t="s">
        <v>11387</v>
      </c>
      <c r="E2048" s="28" t="s">
        <v>890</v>
      </c>
      <c r="F2048" t="s">
        <v>6584</v>
      </c>
      <c r="G2048" t="s">
        <v>84</v>
      </c>
      <c r="M2048" s="28" t="s">
        <v>14223</v>
      </c>
      <c r="N2048" t="s">
        <v>313</v>
      </c>
    </row>
    <row r="2049" spans="1:14" hidden="1" x14ac:dyDescent="0.25">
      <c r="A2049" t="s">
        <v>9926</v>
      </c>
      <c r="B2049" t="s">
        <v>5418</v>
      </c>
      <c r="C2049" t="s">
        <v>4557</v>
      </c>
      <c r="D2049" t="s">
        <v>5419</v>
      </c>
      <c r="E2049" s="28" t="s">
        <v>896</v>
      </c>
      <c r="F2049" t="s">
        <v>4635</v>
      </c>
      <c r="G2049" t="s">
        <v>15</v>
      </c>
      <c r="M2049" s="28" t="s">
        <v>613</v>
      </c>
      <c r="N2049" t="s">
        <v>313</v>
      </c>
    </row>
    <row r="2050" spans="1:14" hidden="1" x14ac:dyDescent="0.25">
      <c r="A2050" t="s">
        <v>9925</v>
      </c>
      <c r="B2050" t="s">
        <v>5416</v>
      </c>
      <c r="C2050" t="s">
        <v>2184</v>
      </c>
      <c r="D2050" t="s">
        <v>5417</v>
      </c>
      <c r="E2050" s="28" t="s">
        <v>896</v>
      </c>
      <c r="F2050" t="s">
        <v>197</v>
      </c>
      <c r="G2050" t="s">
        <v>15</v>
      </c>
      <c r="M2050" s="28" t="s">
        <v>613</v>
      </c>
      <c r="N2050" t="s">
        <v>313</v>
      </c>
    </row>
    <row r="2051" spans="1:14" hidden="1" x14ac:dyDescent="0.25">
      <c r="A2051" t="s">
        <v>8538</v>
      </c>
      <c r="B2051" t="s">
        <v>2456</v>
      </c>
      <c r="C2051" t="s">
        <v>2457</v>
      </c>
      <c r="D2051" t="s">
        <v>2458</v>
      </c>
      <c r="E2051" s="28" t="s">
        <v>890</v>
      </c>
      <c r="F2051" t="s">
        <v>891</v>
      </c>
      <c r="G2051" t="s">
        <v>11</v>
      </c>
      <c r="M2051" s="28" t="s">
        <v>413</v>
      </c>
      <c r="N2051" t="s">
        <v>313</v>
      </c>
    </row>
    <row r="2052" spans="1:14" hidden="1" x14ac:dyDescent="0.25">
      <c r="A2052" t="s">
        <v>9924</v>
      </c>
      <c r="B2052" t="s">
        <v>5414</v>
      </c>
      <c r="C2052" t="s">
        <v>4606</v>
      </c>
      <c r="D2052" t="s">
        <v>5415</v>
      </c>
      <c r="E2052" s="28" t="s">
        <v>896</v>
      </c>
      <c r="F2052" t="s">
        <v>746</v>
      </c>
      <c r="G2052" t="s">
        <v>15</v>
      </c>
      <c r="M2052" s="28" t="s">
        <v>613</v>
      </c>
      <c r="N2052" t="s">
        <v>313</v>
      </c>
    </row>
    <row r="2053" spans="1:14" hidden="1" x14ac:dyDescent="0.25">
      <c r="A2053" t="s">
        <v>12855</v>
      </c>
      <c r="B2053" t="s">
        <v>3740</v>
      </c>
      <c r="C2053" t="s">
        <v>1266</v>
      </c>
      <c r="D2053" t="s">
        <v>12856</v>
      </c>
      <c r="E2053" s="28" t="s">
        <v>1177</v>
      </c>
      <c r="F2053" t="s">
        <v>597</v>
      </c>
      <c r="G2053" t="s">
        <v>88</v>
      </c>
      <c r="M2053" s="28" t="s">
        <v>549</v>
      </c>
      <c r="N2053" t="s">
        <v>313</v>
      </c>
    </row>
    <row r="2054" spans="1:14" hidden="1" x14ac:dyDescent="0.25">
      <c r="A2054" t="s">
        <v>9115</v>
      </c>
      <c r="B2054" t="s">
        <v>3740</v>
      </c>
      <c r="C2054" t="s">
        <v>3025</v>
      </c>
      <c r="D2054" t="s">
        <v>3741</v>
      </c>
      <c r="E2054" s="28" t="s">
        <v>890</v>
      </c>
      <c r="F2054" t="s">
        <v>597</v>
      </c>
      <c r="G2054" t="s">
        <v>88</v>
      </c>
      <c r="M2054" s="28" t="s">
        <v>549</v>
      </c>
      <c r="N2054" t="s">
        <v>313</v>
      </c>
    </row>
    <row r="2055" spans="1:14" hidden="1" x14ac:dyDescent="0.25">
      <c r="A2055" t="s">
        <v>13497</v>
      </c>
      <c r="B2055" t="s">
        <v>13498</v>
      </c>
      <c r="C2055" t="s">
        <v>13499</v>
      </c>
      <c r="D2055" t="s">
        <v>13500</v>
      </c>
      <c r="E2055" s="28" t="s">
        <v>890</v>
      </c>
      <c r="F2055" t="s">
        <v>6836</v>
      </c>
      <c r="G2055" t="s">
        <v>141</v>
      </c>
      <c r="M2055" s="28" t="s">
        <v>14229</v>
      </c>
    </row>
    <row r="2056" spans="1:14" hidden="1" x14ac:dyDescent="0.25">
      <c r="A2056" t="s">
        <v>8527</v>
      </c>
      <c r="B2056" t="s">
        <v>2431</v>
      </c>
      <c r="C2056" t="s">
        <v>1099</v>
      </c>
      <c r="D2056" t="s">
        <v>2432</v>
      </c>
      <c r="E2056" s="28" t="s">
        <v>890</v>
      </c>
      <c r="F2056" t="s">
        <v>14210</v>
      </c>
      <c r="G2056" t="s">
        <v>11</v>
      </c>
      <c r="M2056" s="28" t="s">
        <v>413</v>
      </c>
      <c r="N2056" t="s">
        <v>313</v>
      </c>
    </row>
    <row r="2057" spans="1:14" hidden="1" x14ac:dyDescent="0.25">
      <c r="A2057" t="s">
        <v>9923</v>
      </c>
      <c r="B2057" t="s">
        <v>5412</v>
      </c>
      <c r="C2057" t="s">
        <v>894</v>
      </c>
      <c r="D2057" t="s">
        <v>5413</v>
      </c>
      <c r="E2057" s="28" t="s">
        <v>896</v>
      </c>
      <c r="F2057" t="s">
        <v>204</v>
      </c>
      <c r="G2057" t="s">
        <v>15</v>
      </c>
      <c r="M2057" s="28" t="s">
        <v>613</v>
      </c>
      <c r="N2057" t="s">
        <v>313</v>
      </c>
    </row>
    <row r="2058" spans="1:14" hidden="1" x14ac:dyDescent="0.25">
      <c r="A2058" t="s">
        <v>9116</v>
      </c>
      <c r="B2058" t="s">
        <v>3742</v>
      </c>
      <c r="C2058" t="s">
        <v>3061</v>
      </c>
      <c r="D2058" t="s">
        <v>3743</v>
      </c>
      <c r="E2058" s="28" t="s">
        <v>896</v>
      </c>
      <c r="F2058" t="s">
        <v>891</v>
      </c>
      <c r="G2058" t="s">
        <v>88</v>
      </c>
      <c r="M2058" s="28" t="s">
        <v>549</v>
      </c>
      <c r="N2058" t="s">
        <v>313</v>
      </c>
    </row>
    <row r="2059" spans="1:14" hidden="1" x14ac:dyDescent="0.25">
      <c r="A2059" t="s">
        <v>9117</v>
      </c>
      <c r="B2059" t="s">
        <v>3742</v>
      </c>
      <c r="C2059" t="s">
        <v>3044</v>
      </c>
      <c r="D2059" t="s">
        <v>3744</v>
      </c>
      <c r="E2059" s="28" t="s">
        <v>890</v>
      </c>
      <c r="F2059" t="s">
        <v>891</v>
      </c>
      <c r="G2059" t="s">
        <v>88</v>
      </c>
      <c r="M2059" s="28" t="s">
        <v>549</v>
      </c>
      <c r="N2059" t="s">
        <v>313</v>
      </c>
    </row>
    <row r="2060" spans="1:14" hidden="1" x14ac:dyDescent="0.25">
      <c r="A2060" t="s">
        <v>9922</v>
      </c>
      <c r="B2060" t="s">
        <v>5409</v>
      </c>
      <c r="C2060" t="s">
        <v>2919</v>
      </c>
      <c r="D2060" t="s">
        <v>5411</v>
      </c>
      <c r="E2060" s="28" t="s">
        <v>890</v>
      </c>
      <c r="F2060" t="s">
        <v>4648</v>
      </c>
      <c r="G2060" t="s">
        <v>15</v>
      </c>
      <c r="M2060" s="28" t="s">
        <v>613</v>
      </c>
      <c r="N2060" t="s">
        <v>313</v>
      </c>
    </row>
    <row r="2061" spans="1:14" hidden="1" x14ac:dyDescent="0.25">
      <c r="A2061" t="s">
        <v>9921</v>
      </c>
      <c r="B2061" t="s">
        <v>5409</v>
      </c>
      <c r="C2061" t="s">
        <v>5087</v>
      </c>
      <c r="D2061" t="s">
        <v>5410</v>
      </c>
      <c r="E2061" s="28" t="s">
        <v>896</v>
      </c>
      <c r="F2061" t="s">
        <v>4648</v>
      </c>
      <c r="G2061" t="s">
        <v>15</v>
      </c>
      <c r="M2061" s="28" t="s">
        <v>613</v>
      </c>
      <c r="N2061" t="s">
        <v>313</v>
      </c>
    </row>
    <row r="2062" spans="1:14" hidden="1" x14ac:dyDescent="0.25">
      <c r="A2062" t="s">
        <v>8418</v>
      </c>
      <c r="B2062" t="s">
        <v>2173</v>
      </c>
      <c r="C2062" t="s">
        <v>1269</v>
      </c>
      <c r="D2062" t="s">
        <v>2174</v>
      </c>
      <c r="E2062" s="28" t="s">
        <v>896</v>
      </c>
      <c r="F2062" t="s">
        <v>623</v>
      </c>
      <c r="G2062" t="s">
        <v>62</v>
      </c>
      <c r="M2062" s="28" t="s">
        <v>14208</v>
      </c>
    </row>
    <row r="2063" spans="1:14" hidden="1" x14ac:dyDescent="0.25">
      <c r="A2063" t="s">
        <v>9920</v>
      </c>
      <c r="B2063" t="s">
        <v>5407</v>
      </c>
      <c r="C2063" t="s">
        <v>1978</v>
      </c>
      <c r="D2063" t="s">
        <v>5408</v>
      </c>
      <c r="E2063" s="28" t="s">
        <v>896</v>
      </c>
      <c r="F2063" t="s">
        <v>638</v>
      </c>
      <c r="G2063" t="s">
        <v>15</v>
      </c>
      <c r="M2063" s="28" t="s">
        <v>613</v>
      </c>
      <c r="N2063" t="s">
        <v>313</v>
      </c>
    </row>
    <row r="2064" spans="1:14" hidden="1" x14ac:dyDescent="0.25">
      <c r="A2064" t="s">
        <v>8741</v>
      </c>
      <c r="B2064" t="s">
        <v>2949</v>
      </c>
      <c r="C2064" t="s">
        <v>1453</v>
      </c>
      <c r="D2064" t="s">
        <v>2950</v>
      </c>
      <c r="E2064" s="28" t="s">
        <v>896</v>
      </c>
      <c r="F2064" t="s">
        <v>2951</v>
      </c>
      <c r="G2064" t="s">
        <v>81</v>
      </c>
      <c r="M2064" s="28" t="s">
        <v>530</v>
      </c>
      <c r="N2064" t="s">
        <v>313</v>
      </c>
    </row>
    <row r="2065" spans="1:14" hidden="1" x14ac:dyDescent="0.25">
      <c r="A2065" t="s">
        <v>11741</v>
      </c>
      <c r="B2065" t="s">
        <v>11742</v>
      </c>
      <c r="C2065" t="s">
        <v>1418</v>
      </c>
      <c r="D2065" t="s">
        <v>11743</v>
      </c>
      <c r="E2065" s="28" t="s">
        <v>890</v>
      </c>
      <c r="F2065" t="s">
        <v>891</v>
      </c>
      <c r="G2065" t="s">
        <v>81</v>
      </c>
      <c r="M2065" s="28" t="s">
        <v>530</v>
      </c>
      <c r="N2065" t="s">
        <v>313</v>
      </c>
    </row>
    <row r="2066" spans="1:14" hidden="1" x14ac:dyDescent="0.25">
      <c r="A2066" t="s">
        <v>11744</v>
      </c>
      <c r="B2066" t="s">
        <v>11742</v>
      </c>
      <c r="C2066" t="s">
        <v>11745</v>
      </c>
      <c r="D2066" t="s">
        <v>11746</v>
      </c>
      <c r="E2066" s="28" t="s">
        <v>890</v>
      </c>
      <c r="F2066" t="s">
        <v>14211</v>
      </c>
      <c r="G2066" t="s">
        <v>81</v>
      </c>
      <c r="M2066" s="28" t="s">
        <v>530</v>
      </c>
      <c r="N2066" t="s">
        <v>313</v>
      </c>
    </row>
    <row r="2067" spans="1:14" hidden="1" x14ac:dyDescent="0.25">
      <c r="A2067" t="s">
        <v>8313</v>
      </c>
      <c r="B2067" t="s">
        <v>1722</v>
      </c>
      <c r="C2067" t="s">
        <v>932</v>
      </c>
      <c r="D2067" t="s">
        <v>1908</v>
      </c>
      <c r="E2067" s="28" t="s">
        <v>896</v>
      </c>
      <c r="F2067" t="s">
        <v>1909</v>
      </c>
      <c r="G2067" t="s">
        <v>43</v>
      </c>
      <c r="M2067" s="28" t="s">
        <v>14205</v>
      </c>
    </row>
    <row r="2068" spans="1:14" hidden="1" x14ac:dyDescent="0.25">
      <c r="A2068" t="s">
        <v>14511</v>
      </c>
      <c r="B2068" t="s">
        <v>14512</v>
      </c>
      <c r="C2068" t="s">
        <v>1179</v>
      </c>
      <c r="D2068" t="s">
        <v>14513</v>
      </c>
      <c r="E2068" s="28" t="s">
        <v>1177</v>
      </c>
      <c r="F2068" t="s">
        <v>12815</v>
      </c>
      <c r="G2068" t="s">
        <v>38</v>
      </c>
      <c r="M2068" s="28"/>
    </row>
    <row r="2069" spans="1:14" hidden="1" x14ac:dyDescent="0.25">
      <c r="A2069" t="s">
        <v>13037</v>
      </c>
      <c r="B2069" t="s">
        <v>13038</v>
      </c>
      <c r="C2069" t="s">
        <v>2772</v>
      </c>
      <c r="D2069" t="s">
        <v>13039</v>
      </c>
      <c r="E2069" s="28" t="s">
        <v>890</v>
      </c>
      <c r="F2069" t="s">
        <v>221</v>
      </c>
      <c r="G2069" t="s">
        <v>15</v>
      </c>
      <c r="M2069" s="28" t="s">
        <v>613</v>
      </c>
      <c r="N2069" t="s">
        <v>313</v>
      </c>
    </row>
    <row r="2070" spans="1:14" hidden="1" x14ac:dyDescent="0.25">
      <c r="A2070" t="s">
        <v>14329</v>
      </c>
      <c r="B2070" t="s">
        <v>14330</v>
      </c>
      <c r="C2070" t="s">
        <v>13794</v>
      </c>
      <c r="D2070" t="s">
        <v>13795</v>
      </c>
      <c r="E2070" s="28" t="s">
        <v>1177</v>
      </c>
      <c r="F2070" t="s">
        <v>13549</v>
      </c>
      <c r="G2070" t="s">
        <v>81</v>
      </c>
      <c r="M2070" s="28" t="s">
        <v>530</v>
      </c>
      <c r="N2070" t="s">
        <v>313</v>
      </c>
    </row>
    <row r="2071" spans="1:14" hidden="1" x14ac:dyDescent="0.25">
      <c r="A2071" t="s">
        <v>14331</v>
      </c>
      <c r="B2071" t="s">
        <v>14330</v>
      </c>
      <c r="C2071" t="s">
        <v>13796</v>
      </c>
      <c r="D2071" t="s">
        <v>13797</v>
      </c>
      <c r="E2071" s="28" t="s">
        <v>890</v>
      </c>
      <c r="F2071" t="s">
        <v>13549</v>
      </c>
      <c r="G2071" t="s">
        <v>81</v>
      </c>
      <c r="M2071" s="28" t="s">
        <v>530</v>
      </c>
      <c r="N2071" t="s">
        <v>313</v>
      </c>
    </row>
    <row r="2072" spans="1:14" hidden="1" x14ac:dyDescent="0.25">
      <c r="A2072" t="s">
        <v>8705</v>
      </c>
      <c r="B2072" t="s">
        <v>2870</v>
      </c>
      <c r="C2072" t="s">
        <v>2871</v>
      </c>
      <c r="D2072" t="s">
        <v>2872</v>
      </c>
      <c r="E2072" s="28" t="s">
        <v>890</v>
      </c>
      <c r="F2072" t="s">
        <v>14211</v>
      </c>
      <c r="G2072" t="s">
        <v>81</v>
      </c>
      <c r="M2072" s="28" t="s">
        <v>530</v>
      </c>
      <c r="N2072" t="s">
        <v>313</v>
      </c>
    </row>
    <row r="2073" spans="1:14" hidden="1" x14ac:dyDescent="0.25">
      <c r="A2073" t="s">
        <v>14332</v>
      </c>
      <c r="B2073" t="s">
        <v>14333</v>
      </c>
      <c r="C2073" t="s">
        <v>12371</v>
      </c>
      <c r="D2073" t="s">
        <v>13798</v>
      </c>
      <c r="E2073" s="28" t="s">
        <v>1177</v>
      </c>
      <c r="F2073" t="s">
        <v>14215</v>
      </c>
      <c r="G2073" t="s">
        <v>81</v>
      </c>
      <c r="M2073" s="28" t="s">
        <v>530</v>
      </c>
      <c r="N2073" t="s">
        <v>313</v>
      </c>
    </row>
    <row r="2074" spans="1:14" hidden="1" x14ac:dyDescent="0.25">
      <c r="A2074" t="s">
        <v>14334</v>
      </c>
      <c r="B2074" t="s">
        <v>14333</v>
      </c>
      <c r="C2074" t="s">
        <v>1552</v>
      </c>
      <c r="D2074" t="s">
        <v>11747</v>
      </c>
      <c r="E2074" s="28" t="s">
        <v>896</v>
      </c>
      <c r="F2074" t="s">
        <v>14215</v>
      </c>
      <c r="G2074" t="s">
        <v>81</v>
      </c>
      <c r="M2074" s="28" t="s">
        <v>530</v>
      </c>
      <c r="N2074" t="s">
        <v>313</v>
      </c>
    </row>
    <row r="2075" spans="1:14" hidden="1" x14ac:dyDescent="0.25">
      <c r="A2075" t="s">
        <v>8554</v>
      </c>
      <c r="B2075" t="s">
        <v>2463</v>
      </c>
      <c r="C2075" t="s">
        <v>1128</v>
      </c>
      <c r="D2075" t="s">
        <v>2496</v>
      </c>
      <c r="E2075" s="28" t="s">
        <v>896</v>
      </c>
      <c r="F2075" t="s">
        <v>479</v>
      </c>
      <c r="G2075" t="s">
        <v>11</v>
      </c>
      <c r="M2075" s="28" t="s">
        <v>413</v>
      </c>
      <c r="N2075" t="s">
        <v>313</v>
      </c>
    </row>
    <row r="2076" spans="1:14" hidden="1" x14ac:dyDescent="0.25">
      <c r="A2076" t="s">
        <v>10596</v>
      </c>
      <c r="B2076" t="s">
        <v>6838</v>
      </c>
      <c r="C2076" t="s">
        <v>2478</v>
      </c>
      <c r="D2076" t="s">
        <v>6839</v>
      </c>
      <c r="E2076" s="28" t="s">
        <v>896</v>
      </c>
      <c r="F2076" t="s">
        <v>831</v>
      </c>
      <c r="G2076" t="s">
        <v>145</v>
      </c>
      <c r="M2076" s="28" t="s">
        <v>13222</v>
      </c>
      <c r="N2076" t="s">
        <v>313</v>
      </c>
    </row>
    <row r="2077" spans="1:14" hidden="1" x14ac:dyDescent="0.25">
      <c r="A2077" t="s">
        <v>11748</v>
      </c>
      <c r="B2077" t="s">
        <v>11749</v>
      </c>
      <c r="C2077" t="s">
        <v>2125</v>
      </c>
      <c r="D2077" t="s">
        <v>11750</v>
      </c>
      <c r="E2077" s="28" t="s">
        <v>890</v>
      </c>
      <c r="F2077" t="s">
        <v>535</v>
      </c>
      <c r="G2077" t="s">
        <v>81</v>
      </c>
      <c r="M2077" s="28" t="s">
        <v>530</v>
      </c>
      <c r="N2077" t="s">
        <v>313</v>
      </c>
    </row>
    <row r="2078" spans="1:14" hidden="1" x14ac:dyDescent="0.25">
      <c r="A2078" t="s">
        <v>8719</v>
      </c>
      <c r="B2078" t="s">
        <v>2900</v>
      </c>
      <c r="C2078" t="s">
        <v>2901</v>
      </c>
      <c r="D2078" t="s">
        <v>2902</v>
      </c>
      <c r="E2078" s="28" t="s">
        <v>890</v>
      </c>
      <c r="F2078" t="s">
        <v>2903</v>
      </c>
      <c r="G2078" t="s">
        <v>81</v>
      </c>
      <c r="M2078" s="28" t="s">
        <v>530</v>
      </c>
      <c r="N2078" t="s">
        <v>313</v>
      </c>
    </row>
    <row r="2079" spans="1:14" hidden="1" x14ac:dyDescent="0.25">
      <c r="A2079" t="s">
        <v>10831</v>
      </c>
      <c r="B2079" t="s">
        <v>7397</v>
      </c>
      <c r="C2079" t="s">
        <v>2529</v>
      </c>
      <c r="D2079" t="s">
        <v>7398</v>
      </c>
      <c r="E2079" s="28" t="s">
        <v>896</v>
      </c>
      <c r="F2079" t="s">
        <v>854</v>
      </c>
      <c r="G2079" t="s">
        <v>157</v>
      </c>
      <c r="M2079" s="28" t="s">
        <v>840</v>
      </c>
      <c r="N2079" t="s">
        <v>382</v>
      </c>
    </row>
    <row r="2080" spans="1:14" hidden="1" x14ac:dyDescent="0.25">
      <c r="A2080" t="s">
        <v>11994</v>
      </c>
      <c r="B2080" t="s">
        <v>6682</v>
      </c>
      <c r="C2080" t="s">
        <v>2783</v>
      </c>
      <c r="D2080" t="s">
        <v>11995</v>
      </c>
      <c r="E2080" s="28" t="s">
        <v>1023</v>
      </c>
      <c r="F2080" t="s">
        <v>813</v>
      </c>
      <c r="G2080" t="s">
        <v>137</v>
      </c>
      <c r="M2080" s="28" t="s">
        <v>805</v>
      </c>
      <c r="N2080" t="s">
        <v>313</v>
      </c>
    </row>
    <row r="2081" spans="1:14" hidden="1" x14ac:dyDescent="0.25">
      <c r="A2081" t="s">
        <v>10508</v>
      </c>
      <c r="B2081" t="s">
        <v>6682</v>
      </c>
      <c r="C2081" t="s">
        <v>6683</v>
      </c>
      <c r="D2081" t="s">
        <v>6684</v>
      </c>
      <c r="E2081" s="28" t="s">
        <v>896</v>
      </c>
      <c r="F2081" t="s">
        <v>891</v>
      </c>
      <c r="G2081" t="s">
        <v>137</v>
      </c>
      <c r="M2081" s="28" t="s">
        <v>805</v>
      </c>
      <c r="N2081" t="s">
        <v>313</v>
      </c>
    </row>
    <row r="2082" spans="1:14" hidden="1" x14ac:dyDescent="0.25">
      <c r="A2082" t="s">
        <v>8036</v>
      </c>
      <c r="B2082" t="s">
        <v>1201</v>
      </c>
      <c r="C2082" t="s">
        <v>1202</v>
      </c>
      <c r="D2082" t="s">
        <v>1203</v>
      </c>
      <c r="E2082" s="28" t="s">
        <v>890</v>
      </c>
      <c r="F2082" t="s">
        <v>39</v>
      </c>
      <c r="G2082" t="s">
        <v>34</v>
      </c>
      <c r="M2082" s="28" t="s">
        <v>12353</v>
      </c>
      <c r="N2082" t="s">
        <v>313</v>
      </c>
    </row>
    <row r="2083" spans="1:14" hidden="1" x14ac:dyDescent="0.25">
      <c r="A2083" t="s">
        <v>10716</v>
      </c>
      <c r="B2083" t="s">
        <v>7119</v>
      </c>
      <c r="C2083" t="s">
        <v>7122</v>
      </c>
      <c r="D2083" t="s">
        <v>7123</v>
      </c>
      <c r="E2083" s="28" t="s">
        <v>890</v>
      </c>
      <c r="F2083" t="s">
        <v>6895</v>
      </c>
      <c r="G2083" t="s">
        <v>6896</v>
      </c>
      <c r="M2083" s="28" t="s">
        <v>6897</v>
      </c>
      <c r="N2083" t="s">
        <v>279</v>
      </c>
    </row>
    <row r="2084" spans="1:14" hidden="1" x14ac:dyDescent="0.25">
      <c r="A2084" t="s">
        <v>10715</v>
      </c>
      <c r="B2084" t="s">
        <v>7119</v>
      </c>
      <c r="C2084" t="s">
        <v>7120</v>
      </c>
      <c r="D2084" t="s">
        <v>7121</v>
      </c>
      <c r="E2084" s="28" t="s">
        <v>896</v>
      </c>
      <c r="F2084" t="s">
        <v>6895</v>
      </c>
      <c r="G2084" t="s">
        <v>6896</v>
      </c>
      <c r="M2084" s="28" t="s">
        <v>6897</v>
      </c>
      <c r="N2084" t="s">
        <v>279</v>
      </c>
    </row>
    <row r="2085" spans="1:14" hidden="1" x14ac:dyDescent="0.25">
      <c r="A2085" t="s">
        <v>8110</v>
      </c>
      <c r="B2085" t="s">
        <v>1397</v>
      </c>
      <c r="C2085" t="s">
        <v>1143</v>
      </c>
      <c r="D2085" t="s">
        <v>1398</v>
      </c>
      <c r="E2085" s="28" t="s">
        <v>890</v>
      </c>
      <c r="F2085" t="s">
        <v>324</v>
      </c>
      <c r="G2085" t="s">
        <v>38</v>
      </c>
      <c r="M2085" s="28"/>
    </row>
    <row r="2086" spans="1:14" hidden="1" x14ac:dyDescent="0.25">
      <c r="A2086" t="s">
        <v>8358</v>
      </c>
      <c r="B2086" t="s">
        <v>2028</v>
      </c>
      <c r="C2086" t="s">
        <v>2029</v>
      </c>
      <c r="D2086" t="s">
        <v>2030</v>
      </c>
      <c r="E2086" s="28" t="s">
        <v>890</v>
      </c>
      <c r="F2086" t="s">
        <v>389</v>
      </c>
      <c r="G2086" t="s">
        <v>47</v>
      </c>
      <c r="M2086" s="28" t="s">
        <v>13542</v>
      </c>
    </row>
    <row r="2087" spans="1:14" hidden="1" x14ac:dyDescent="0.25">
      <c r="A2087" t="s">
        <v>9919</v>
      </c>
      <c r="B2087" t="s">
        <v>5404</v>
      </c>
      <c r="C2087" t="s">
        <v>5405</v>
      </c>
      <c r="D2087" t="s">
        <v>5406</v>
      </c>
      <c r="E2087" s="28" t="s">
        <v>890</v>
      </c>
      <c r="F2087" t="s">
        <v>13348</v>
      </c>
      <c r="G2087" t="s">
        <v>15</v>
      </c>
      <c r="M2087" s="28" t="s">
        <v>613</v>
      </c>
      <c r="N2087" t="s">
        <v>313</v>
      </c>
    </row>
    <row r="2088" spans="1:14" hidden="1" x14ac:dyDescent="0.25">
      <c r="A2088" t="s">
        <v>8066</v>
      </c>
      <c r="B2088" t="s">
        <v>1205</v>
      </c>
      <c r="C2088" t="s">
        <v>1276</v>
      </c>
      <c r="D2088" t="s">
        <v>1277</v>
      </c>
      <c r="E2088" s="28" t="s">
        <v>890</v>
      </c>
      <c r="F2088" t="s">
        <v>35</v>
      </c>
      <c r="G2088" t="s">
        <v>34</v>
      </c>
      <c r="M2088" s="28" t="s">
        <v>12353</v>
      </c>
      <c r="N2088" t="s">
        <v>313</v>
      </c>
    </row>
    <row r="2089" spans="1:14" hidden="1" x14ac:dyDescent="0.25">
      <c r="A2089" t="s">
        <v>8037</v>
      </c>
      <c r="B2089" t="s">
        <v>1205</v>
      </c>
      <c r="C2089" t="s">
        <v>1058</v>
      </c>
      <c r="D2089" t="s">
        <v>1206</v>
      </c>
      <c r="E2089" s="28" t="s">
        <v>896</v>
      </c>
      <c r="F2089" t="s">
        <v>39</v>
      </c>
      <c r="G2089" t="s">
        <v>34</v>
      </c>
      <c r="M2089" s="28" t="s">
        <v>12353</v>
      </c>
      <c r="N2089" t="s">
        <v>313</v>
      </c>
    </row>
    <row r="2090" spans="1:14" hidden="1" x14ac:dyDescent="0.25">
      <c r="A2090" t="s">
        <v>11645</v>
      </c>
      <c r="B2090" t="s">
        <v>11646</v>
      </c>
      <c r="C2090" t="s">
        <v>1676</v>
      </c>
      <c r="D2090" t="s">
        <v>11647</v>
      </c>
      <c r="E2090" s="28" t="s">
        <v>896</v>
      </c>
      <c r="F2090" t="s">
        <v>172</v>
      </c>
      <c r="G2090" t="s">
        <v>74</v>
      </c>
      <c r="M2090" s="28" t="s">
        <v>507</v>
      </c>
      <c r="N2090" t="s">
        <v>313</v>
      </c>
    </row>
    <row r="2091" spans="1:14" hidden="1" x14ac:dyDescent="0.25">
      <c r="A2091" t="s">
        <v>14155</v>
      </c>
      <c r="B2091" t="s">
        <v>14156</v>
      </c>
      <c r="C2091" t="s">
        <v>1269</v>
      </c>
      <c r="D2091" t="s">
        <v>14157</v>
      </c>
      <c r="E2091" s="28" t="s">
        <v>890</v>
      </c>
      <c r="F2091" t="s">
        <v>891</v>
      </c>
      <c r="G2091" t="s">
        <v>157</v>
      </c>
      <c r="M2091" s="28" t="s">
        <v>840</v>
      </c>
      <c r="N2091" t="s">
        <v>382</v>
      </c>
    </row>
    <row r="2092" spans="1:14" hidden="1" x14ac:dyDescent="0.25">
      <c r="A2092" t="s">
        <v>9918</v>
      </c>
      <c r="B2092" t="s">
        <v>5402</v>
      </c>
      <c r="C2092" t="s">
        <v>1084</v>
      </c>
      <c r="D2092" t="s">
        <v>5403</v>
      </c>
      <c r="E2092" s="28" t="s">
        <v>890</v>
      </c>
      <c r="F2092" t="s">
        <v>4635</v>
      </c>
      <c r="G2092" t="s">
        <v>15</v>
      </c>
      <c r="M2092" s="28" t="s">
        <v>613</v>
      </c>
      <c r="N2092" t="s">
        <v>313</v>
      </c>
    </row>
    <row r="2093" spans="1:14" hidden="1" x14ac:dyDescent="0.25">
      <c r="A2093" t="s">
        <v>9917</v>
      </c>
      <c r="B2093" t="s">
        <v>5400</v>
      </c>
      <c r="C2093" t="s">
        <v>4600</v>
      </c>
      <c r="D2093" t="s">
        <v>5401</v>
      </c>
      <c r="E2093" s="28" t="s">
        <v>896</v>
      </c>
      <c r="F2093" t="s">
        <v>197</v>
      </c>
      <c r="G2093" t="s">
        <v>15</v>
      </c>
      <c r="M2093" s="28" t="s">
        <v>613</v>
      </c>
      <c r="N2093" t="s">
        <v>313</v>
      </c>
    </row>
    <row r="2094" spans="1:14" hidden="1" x14ac:dyDescent="0.25">
      <c r="A2094" t="s">
        <v>9916</v>
      </c>
      <c r="B2094" t="s">
        <v>5398</v>
      </c>
      <c r="C2094" t="s">
        <v>4603</v>
      </c>
      <c r="D2094" t="s">
        <v>5399</v>
      </c>
      <c r="E2094" s="28" t="s">
        <v>890</v>
      </c>
      <c r="F2094" t="s">
        <v>654</v>
      </c>
      <c r="G2094" t="s">
        <v>15</v>
      </c>
      <c r="M2094" s="28" t="s">
        <v>613</v>
      </c>
      <c r="N2094" t="s">
        <v>313</v>
      </c>
    </row>
    <row r="2095" spans="1:14" hidden="1" x14ac:dyDescent="0.25">
      <c r="A2095" t="s">
        <v>8111</v>
      </c>
      <c r="B2095" t="s">
        <v>1399</v>
      </c>
      <c r="C2095" t="s">
        <v>1269</v>
      </c>
      <c r="D2095" t="s">
        <v>11751</v>
      </c>
      <c r="E2095" s="28" t="s">
        <v>890</v>
      </c>
      <c r="F2095" t="s">
        <v>174</v>
      </c>
      <c r="G2095" t="s">
        <v>81</v>
      </c>
      <c r="M2095" s="28" t="s">
        <v>530</v>
      </c>
      <c r="N2095" t="s">
        <v>313</v>
      </c>
    </row>
    <row r="2096" spans="1:14" hidden="1" x14ac:dyDescent="0.25">
      <c r="A2096" t="s">
        <v>8112</v>
      </c>
      <c r="B2096" t="s">
        <v>1399</v>
      </c>
      <c r="C2096" t="s">
        <v>1400</v>
      </c>
      <c r="D2096" t="s">
        <v>1401</v>
      </c>
      <c r="E2096" s="28" t="s">
        <v>890</v>
      </c>
      <c r="F2096" t="s">
        <v>201</v>
      </c>
      <c r="G2096" t="s">
        <v>38</v>
      </c>
      <c r="M2096" s="28"/>
    </row>
    <row r="2097" spans="1:14" hidden="1" x14ac:dyDescent="0.25">
      <c r="A2097" t="s">
        <v>8691</v>
      </c>
      <c r="B2097" t="s">
        <v>1399</v>
      </c>
      <c r="C2097" t="s">
        <v>2840</v>
      </c>
      <c r="D2097" t="s">
        <v>2841</v>
      </c>
      <c r="E2097" s="28" t="s">
        <v>896</v>
      </c>
      <c r="F2097" t="s">
        <v>174</v>
      </c>
      <c r="G2097" t="s">
        <v>81</v>
      </c>
      <c r="M2097" s="28" t="s">
        <v>530</v>
      </c>
      <c r="N2097" t="s">
        <v>313</v>
      </c>
    </row>
    <row r="2098" spans="1:14" hidden="1" x14ac:dyDescent="0.25">
      <c r="A2098" t="s">
        <v>14335</v>
      </c>
      <c r="B2098" t="s">
        <v>14336</v>
      </c>
      <c r="C2098" t="s">
        <v>11752</v>
      </c>
      <c r="D2098" t="s">
        <v>11753</v>
      </c>
      <c r="E2098" s="28" t="s">
        <v>896</v>
      </c>
      <c r="F2098" t="s">
        <v>2951</v>
      </c>
      <c r="G2098" t="s">
        <v>81</v>
      </c>
      <c r="M2098" s="28" t="s">
        <v>530</v>
      </c>
      <c r="N2098" t="s">
        <v>313</v>
      </c>
    </row>
    <row r="2099" spans="1:14" hidden="1" x14ac:dyDescent="0.25">
      <c r="A2099" t="s">
        <v>11641</v>
      </c>
      <c r="B2099" t="s">
        <v>11642</v>
      </c>
      <c r="C2099" t="s">
        <v>11643</v>
      </c>
      <c r="D2099" t="s">
        <v>11644</v>
      </c>
      <c r="E2099" s="28" t="s">
        <v>890</v>
      </c>
      <c r="F2099" t="s">
        <v>11615</v>
      </c>
      <c r="G2099" t="s">
        <v>11</v>
      </c>
      <c r="M2099" s="28" t="s">
        <v>413</v>
      </c>
      <c r="N2099" t="s">
        <v>313</v>
      </c>
    </row>
    <row r="2100" spans="1:14" hidden="1" x14ac:dyDescent="0.25">
      <c r="A2100" t="s">
        <v>10757</v>
      </c>
      <c r="B2100" t="s">
        <v>7222</v>
      </c>
      <c r="C2100" t="s">
        <v>7223</v>
      </c>
      <c r="D2100" t="s">
        <v>7224</v>
      </c>
      <c r="E2100" s="28" t="s">
        <v>1023</v>
      </c>
      <c r="F2100" t="s">
        <v>6895</v>
      </c>
      <c r="G2100" t="s">
        <v>6896</v>
      </c>
      <c r="M2100" s="28" t="s">
        <v>6897</v>
      </c>
      <c r="N2100" t="s">
        <v>279</v>
      </c>
    </row>
    <row r="2101" spans="1:14" hidden="1" x14ac:dyDescent="0.25">
      <c r="A2101" t="s">
        <v>10876</v>
      </c>
      <c r="B2101" t="s">
        <v>7518</v>
      </c>
      <c r="C2101" t="s">
        <v>2419</v>
      </c>
      <c r="D2101" t="s">
        <v>7519</v>
      </c>
      <c r="E2101" s="28" t="s">
        <v>890</v>
      </c>
      <c r="F2101" t="s">
        <v>7516</v>
      </c>
      <c r="G2101" t="s">
        <v>162</v>
      </c>
      <c r="M2101" s="28" t="s">
        <v>7517</v>
      </c>
      <c r="N2101" t="s">
        <v>313</v>
      </c>
    </row>
    <row r="2102" spans="1:14" hidden="1" x14ac:dyDescent="0.25">
      <c r="A2102" t="s">
        <v>13799</v>
      </c>
      <c r="B2102" t="s">
        <v>7518</v>
      </c>
      <c r="C2102" t="s">
        <v>13800</v>
      </c>
      <c r="D2102" t="s">
        <v>13801</v>
      </c>
      <c r="E2102" s="28" t="s">
        <v>896</v>
      </c>
      <c r="F2102" t="s">
        <v>2452</v>
      </c>
      <c r="G2102" t="s">
        <v>11</v>
      </c>
      <c r="M2102" s="28" t="s">
        <v>413</v>
      </c>
      <c r="N2102" t="s">
        <v>313</v>
      </c>
    </row>
    <row r="2103" spans="1:14" hidden="1" x14ac:dyDescent="0.25">
      <c r="A2103" t="s">
        <v>8113</v>
      </c>
      <c r="B2103" t="s">
        <v>1402</v>
      </c>
      <c r="C2103" t="s">
        <v>1403</v>
      </c>
      <c r="D2103" t="s">
        <v>1404</v>
      </c>
      <c r="E2103" s="28" t="s">
        <v>896</v>
      </c>
      <c r="F2103" t="s">
        <v>326</v>
      </c>
      <c r="G2103" t="s">
        <v>38</v>
      </c>
      <c r="M2103" s="28"/>
    </row>
    <row r="2104" spans="1:14" hidden="1" x14ac:dyDescent="0.25">
      <c r="A2104" t="s">
        <v>10730</v>
      </c>
      <c r="B2104" t="s">
        <v>7157</v>
      </c>
      <c r="C2104" t="s">
        <v>7158</v>
      </c>
      <c r="D2104" t="s">
        <v>7159</v>
      </c>
      <c r="E2104" s="28" t="s">
        <v>930</v>
      </c>
      <c r="F2104" t="s">
        <v>6901</v>
      </c>
      <c r="G2104" t="s">
        <v>6896</v>
      </c>
      <c r="M2104" s="28" t="s">
        <v>6897</v>
      </c>
      <c r="N2104" t="s">
        <v>279</v>
      </c>
    </row>
    <row r="2105" spans="1:14" hidden="1" x14ac:dyDescent="0.25">
      <c r="A2105" t="s">
        <v>9118</v>
      </c>
      <c r="B2105" t="s">
        <v>3745</v>
      </c>
      <c r="C2105" t="s">
        <v>3044</v>
      </c>
      <c r="D2105" t="s">
        <v>3746</v>
      </c>
      <c r="E2105" s="28" t="s">
        <v>890</v>
      </c>
      <c r="F2105" t="s">
        <v>564</v>
      </c>
      <c r="G2105" t="s">
        <v>88</v>
      </c>
      <c r="M2105" s="28" t="s">
        <v>549</v>
      </c>
      <c r="N2105" t="s">
        <v>313</v>
      </c>
    </row>
    <row r="2106" spans="1:14" hidden="1" x14ac:dyDescent="0.25">
      <c r="A2106" t="s">
        <v>9119</v>
      </c>
      <c r="B2106" t="s">
        <v>3747</v>
      </c>
      <c r="C2106" t="s">
        <v>3748</v>
      </c>
      <c r="D2106" t="s">
        <v>3749</v>
      </c>
      <c r="E2106" s="28" t="s">
        <v>890</v>
      </c>
      <c r="F2106" t="s">
        <v>891</v>
      </c>
      <c r="G2106" t="s">
        <v>88</v>
      </c>
      <c r="M2106" s="28" t="s">
        <v>549</v>
      </c>
      <c r="N2106" t="s">
        <v>313</v>
      </c>
    </row>
    <row r="2107" spans="1:14" hidden="1" x14ac:dyDescent="0.25">
      <c r="A2107" t="s">
        <v>9915</v>
      </c>
      <c r="B2107" t="s">
        <v>5396</v>
      </c>
      <c r="C2107" t="s">
        <v>4535</v>
      </c>
      <c r="D2107" t="s">
        <v>5397</v>
      </c>
      <c r="E2107" s="28" t="s">
        <v>890</v>
      </c>
      <c r="F2107" t="s">
        <v>643</v>
      </c>
      <c r="G2107" t="s">
        <v>15</v>
      </c>
      <c r="M2107" s="28" t="s">
        <v>613</v>
      </c>
      <c r="N2107" t="s">
        <v>313</v>
      </c>
    </row>
    <row r="2108" spans="1:14" hidden="1" x14ac:dyDescent="0.25">
      <c r="A2108" t="s">
        <v>8700</v>
      </c>
      <c r="B2108" t="s">
        <v>2861</v>
      </c>
      <c r="C2108" t="s">
        <v>1459</v>
      </c>
      <c r="D2108" t="s">
        <v>2862</v>
      </c>
      <c r="E2108" s="28" t="s">
        <v>896</v>
      </c>
      <c r="F2108" t="s">
        <v>343</v>
      </c>
      <c r="G2108" t="s">
        <v>81</v>
      </c>
      <c r="M2108" s="28" t="s">
        <v>530</v>
      </c>
      <c r="N2108" t="s">
        <v>313</v>
      </c>
    </row>
    <row r="2109" spans="1:14" hidden="1" x14ac:dyDescent="0.25">
      <c r="A2109" t="s">
        <v>12820</v>
      </c>
      <c r="B2109" t="s">
        <v>12821</v>
      </c>
      <c r="C2109" t="s">
        <v>1527</v>
      </c>
      <c r="D2109" t="s">
        <v>2664</v>
      </c>
      <c r="E2109" s="28" t="s">
        <v>890</v>
      </c>
      <c r="F2109" t="s">
        <v>2625</v>
      </c>
      <c r="G2109" t="s">
        <v>74</v>
      </c>
      <c r="M2109" s="28" t="s">
        <v>507</v>
      </c>
      <c r="N2109" t="s">
        <v>313</v>
      </c>
    </row>
    <row r="2110" spans="1:14" hidden="1" x14ac:dyDescent="0.25">
      <c r="A2110" t="s">
        <v>9914</v>
      </c>
      <c r="B2110" t="s">
        <v>5394</v>
      </c>
      <c r="C2110" t="s">
        <v>4781</v>
      </c>
      <c r="D2110" t="s">
        <v>5395</v>
      </c>
      <c r="E2110" s="28" t="s">
        <v>896</v>
      </c>
      <c r="F2110" t="s">
        <v>14114</v>
      </c>
      <c r="G2110" t="s">
        <v>15</v>
      </c>
      <c r="M2110" s="28" t="s">
        <v>613</v>
      </c>
      <c r="N2110" t="s">
        <v>313</v>
      </c>
    </row>
    <row r="2111" spans="1:14" hidden="1" x14ac:dyDescent="0.25">
      <c r="A2111" t="s">
        <v>10832</v>
      </c>
      <c r="B2111" t="s">
        <v>7399</v>
      </c>
      <c r="C2111" t="s">
        <v>1142</v>
      </c>
      <c r="D2111" t="s">
        <v>7400</v>
      </c>
      <c r="E2111" s="28" t="s">
        <v>890</v>
      </c>
      <c r="F2111" t="s">
        <v>263</v>
      </c>
      <c r="G2111" t="s">
        <v>157</v>
      </c>
      <c r="M2111" s="28" t="s">
        <v>840</v>
      </c>
      <c r="N2111" t="s">
        <v>382</v>
      </c>
    </row>
    <row r="2112" spans="1:14" hidden="1" x14ac:dyDescent="0.25">
      <c r="A2112" t="s">
        <v>14158</v>
      </c>
      <c r="B2112" t="s">
        <v>7399</v>
      </c>
      <c r="C2112" t="s">
        <v>7495</v>
      </c>
      <c r="D2112" t="s">
        <v>7496</v>
      </c>
      <c r="E2112" s="28" t="s">
        <v>930</v>
      </c>
      <c r="F2112" t="s">
        <v>263</v>
      </c>
      <c r="G2112" t="s">
        <v>157</v>
      </c>
      <c r="M2112" s="28" t="s">
        <v>840</v>
      </c>
      <c r="N2112" t="s">
        <v>382</v>
      </c>
    </row>
    <row r="2113" spans="1:14" hidden="1" x14ac:dyDescent="0.25">
      <c r="A2113" t="s">
        <v>10714</v>
      </c>
      <c r="B2113" t="s">
        <v>7083</v>
      </c>
      <c r="C2113" t="s">
        <v>7086</v>
      </c>
      <c r="D2113" t="s">
        <v>7118</v>
      </c>
      <c r="E2113" s="28" t="s">
        <v>896</v>
      </c>
      <c r="F2113" t="s">
        <v>6895</v>
      </c>
      <c r="G2113" t="s">
        <v>6896</v>
      </c>
      <c r="M2113" s="28" t="s">
        <v>6897</v>
      </c>
      <c r="N2113" t="s">
        <v>279</v>
      </c>
    </row>
    <row r="2114" spans="1:14" hidden="1" x14ac:dyDescent="0.25">
      <c r="A2114" t="s">
        <v>10697</v>
      </c>
      <c r="B2114" t="s">
        <v>7083</v>
      </c>
      <c r="C2114" t="s">
        <v>2530</v>
      </c>
      <c r="D2114" t="s">
        <v>7084</v>
      </c>
      <c r="E2114" s="28" t="s">
        <v>896</v>
      </c>
      <c r="F2114" t="s">
        <v>6895</v>
      </c>
      <c r="G2114" t="s">
        <v>6896</v>
      </c>
      <c r="M2114" s="28" t="s">
        <v>6897</v>
      </c>
      <c r="N2114" t="s">
        <v>279</v>
      </c>
    </row>
    <row r="2115" spans="1:14" hidden="1" x14ac:dyDescent="0.25">
      <c r="A2115" t="s">
        <v>10760</v>
      </c>
      <c r="B2115" t="s">
        <v>7083</v>
      </c>
      <c r="C2115" t="s">
        <v>7230</v>
      </c>
      <c r="D2115" t="s">
        <v>7231</v>
      </c>
      <c r="E2115" s="28" t="s">
        <v>890</v>
      </c>
      <c r="F2115" t="s">
        <v>4508</v>
      </c>
      <c r="G2115" t="s">
        <v>6896</v>
      </c>
      <c r="M2115" s="28" t="s">
        <v>6897</v>
      </c>
      <c r="N2115" t="s">
        <v>279</v>
      </c>
    </row>
    <row r="2116" spans="1:14" hidden="1" x14ac:dyDescent="0.25">
      <c r="A2116" t="s">
        <v>10724</v>
      </c>
      <c r="B2116" t="s">
        <v>7083</v>
      </c>
      <c r="C2116" t="s">
        <v>7143</v>
      </c>
      <c r="D2116" t="s">
        <v>7144</v>
      </c>
      <c r="E2116" s="28" t="s">
        <v>930</v>
      </c>
      <c r="F2116" t="s">
        <v>6901</v>
      </c>
      <c r="G2116" t="s">
        <v>6896</v>
      </c>
      <c r="M2116" s="28" t="s">
        <v>6897</v>
      </c>
      <c r="N2116" t="s">
        <v>279</v>
      </c>
    </row>
    <row r="2117" spans="1:14" hidden="1" x14ac:dyDescent="0.25">
      <c r="A2117" t="s">
        <v>10707</v>
      </c>
      <c r="B2117" t="s">
        <v>7083</v>
      </c>
      <c r="C2117" t="s">
        <v>2651</v>
      </c>
      <c r="D2117" t="s">
        <v>7104</v>
      </c>
      <c r="E2117" s="28" t="s">
        <v>930</v>
      </c>
      <c r="F2117" t="s">
        <v>6895</v>
      </c>
      <c r="G2117" t="s">
        <v>6896</v>
      </c>
      <c r="M2117" s="28" t="s">
        <v>6897</v>
      </c>
      <c r="N2117" t="s">
        <v>279</v>
      </c>
    </row>
    <row r="2118" spans="1:14" hidden="1" x14ac:dyDescent="0.25">
      <c r="A2118" t="s">
        <v>10734</v>
      </c>
      <c r="B2118" t="s">
        <v>7083</v>
      </c>
      <c r="C2118" t="s">
        <v>7169</v>
      </c>
      <c r="D2118" t="s">
        <v>7170</v>
      </c>
      <c r="E2118" s="28" t="s">
        <v>890</v>
      </c>
      <c r="F2118" t="s">
        <v>6901</v>
      </c>
      <c r="G2118" t="s">
        <v>6896</v>
      </c>
      <c r="M2118" s="28" t="s">
        <v>6897</v>
      </c>
      <c r="N2118" t="s">
        <v>279</v>
      </c>
    </row>
    <row r="2119" spans="1:14" hidden="1" x14ac:dyDescent="0.25">
      <c r="A2119" t="s">
        <v>10706</v>
      </c>
      <c r="B2119" t="s">
        <v>7083</v>
      </c>
      <c r="C2119" t="s">
        <v>1079</v>
      </c>
      <c r="D2119" t="s">
        <v>7103</v>
      </c>
      <c r="E2119" s="28" t="s">
        <v>890</v>
      </c>
      <c r="F2119" t="s">
        <v>6895</v>
      </c>
      <c r="G2119" t="s">
        <v>6896</v>
      </c>
      <c r="M2119" s="28" t="s">
        <v>6897</v>
      </c>
      <c r="N2119" t="s">
        <v>279</v>
      </c>
    </row>
    <row r="2120" spans="1:14" hidden="1" x14ac:dyDescent="0.25">
      <c r="A2120" t="s">
        <v>10721</v>
      </c>
      <c r="B2120" t="s">
        <v>7083</v>
      </c>
      <c r="C2120" t="s">
        <v>7135</v>
      </c>
      <c r="D2120" t="s">
        <v>7136</v>
      </c>
      <c r="E2120" s="28" t="s">
        <v>890</v>
      </c>
      <c r="F2120" t="s">
        <v>6901</v>
      </c>
      <c r="G2120" t="s">
        <v>6896</v>
      </c>
      <c r="M2120" s="28" t="s">
        <v>6897</v>
      </c>
      <c r="N2120" t="s">
        <v>279</v>
      </c>
    </row>
    <row r="2121" spans="1:14" hidden="1" x14ac:dyDescent="0.25">
      <c r="A2121" t="s">
        <v>10727</v>
      </c>
      <c r="B2121" t="s">
        <v>7083</v>
      </c>
      <c r="C2121" t="s">
        <v>7150</v>
      </c>
      <c r="D2121" t="s">
        <v>7151</v>
      </c>
      <c r="E2121" s="28" t="s">
        <v>930</v>
      </c>
      <c r="F2121" t="s">
        <v>6901</v>
      </c>
      <c r="G2121" t="s">
        <v>6896</v>
      </c>
      <c r="M2121" s="28" t="s">
        <v>6897</v>
      </c>
      <c r="N2121" t="s">
        <v>279</v>
      </c>
    </row>
    <row r="2122" spans="1:14" hidden="1" x14ac:dyDescent="0.25">
      <c r="A2122" t="s">
        <v>10725</v>
      </c>
      <c r="B2122" t="s">
        <v>7083</v>
      </c>
      <c r="C2122" t="s">
        <v>7145</v>
      </c>
      <c r="D2122" t="s">
        <v>7146</v>
      </c>
      <c r="E2122" s="28" t="s">
        <v>896</v>
      </c>
      <c r="F2122" t="s">
        <v>6901</v>
      </c>
      <c r="G2122" t="s">
        <v>6896</v>
      </c>
      <c r="M2122" s="28" t="s">
        <v>6897</v>
      </c>
      <c r="N2122" t="s">
        <v>279</v>
      </c>
    </row>
    <row r="2123" spans="1:14" hidden="1" x14ac:dyDescent="0.25">
      <c r="A2123" t="s">
        <v>12041</v>
      </c>
      <c r="B2123" t="s">
        <v>7083</v>
      </c>
      <c r="C2123" t="s">
        <v>12042</v>
      </c>
      <c r="D2123" t="s">
        <v>12043</v>
      </c>
      <c r="E2123" s="28" t="s">
        <v>890</v>
      </c>
      <c r="F2123" t="s">
        <v>256</v>
      </c>
      <c r="G2123" t="s">
        <v>6896</v>
      </c>
      <c r="M2123" s="28" t="s">
        <v>6897</v>
      </c>
      <c r="N2123" t="s">
        <v>279</v>
      </c>
    </row>
    <row r="2124" spans="1:14" hidden="1" x14ac:dyDescent="0.25">
      <c r="A2124" t="s">
        <v>11970</v>
      </c>
      <c r="B2124" t="s">
        <v>1664</v>
      </c>
      <c r="C2124" t="s">
        <v>906</v>
      </c>
      <c r="D2124" t="s">
        <v>11971</v>
      </c>
      <c r="E2124" s="28" t="s">
        <v>1023</v>
      </c>
      <c r="F2124" t="s">
        <v>813</v>
      </c>
      <c r="G2124" t="s">
        <v>137</v>
      </c>
      <c r="M2124" s="28" t="s">
        <v>805</v>
      </c>
      <c r="N2124" t="s">
        <v>313</v>
      </c>
    </row>
    <row r="2125" spans="1:14" hidden="1" x14ac:dyDescent="0.25">
      <c r="A2125" t="s">
        <v>8217</v>
      </c>
      <c r="B2125" t="s">
        <v>1664</v>
      </c>
      <c r="C2125" t="s">
        <v>1665</v>
      </c>
      <c r="D2125" t="s">
        <v>1666</v>
      </c>
      <c r="E2125" s="28" t="s">
        <v>890</v>
      </c>
      <c r="F2125" t="s">
        <v>891</v>
      </c>
      <c r="G2125" t="s">
        <v>43</v>
      </c>
      <c r="M2125" s="28" t="s">
        <v>14205</v>
      </c>
    </row>
    <row r="2126" spans="1:14" hidden="1" x14ac:dyDescent="0.25">
      <c r="A2126" t="s">
        <v>8325</v>
      </c>
      <c r="B2126" t="s">
        <v>1941</v>
      </c>
      <c r="C2126" t="s">
        <v>1942</v>
      </c>
      <c r="D2126" t="s">
        <v>1943</v>
      </c>
      <c r="E2126" s="28" t="s">
        <v>890</v>
      </c>
      <c r="F2126" t="s">
        <v>360</v>
      </c>
      <c r="G2126" t="s">
        <v>43</v>
      </c>
      <c r="M2126" s="28" t="s">
        <v>14205</v>
      </c>
    </row>
    <row r="2127" spans="1:14" hidden="1" x14ac:dyDescent="0.25">
      <c r="A2127" t="s">
        <v>9913</v>
      </c>
      <c r="B2127" t="s">
        <v>5392</v>
      </c>
      <c r="C2127" t="s">
        <v>4549</v>
      </c>
      <c r="D2127" t="s">
        <v>5393</v>
      </c>
      <c r="E2127" s="28" t="s">
        <v>896</v>
      </c>
      <c r="F2127" t="s">
        <v>755</v>
      </c>
      <c r="G2127" t="s">
        <v>15</v>
      </c>
      <c r="M2127" s="28" t="s">
        <v>613</v>
      </c>
      <c r="N2127" t="s">
        <v>313</v>
      </c>
    </row>
    <row r="2128" spans="1:14" hidden="1" x14ac:dyDescent="0.25">
      <c r="A2128" t="s">
        <v>14514</v>
      </c>
      <c r="B2128" t="s">
        <v>14515</v>
      </c>
      <c r="C2128" t="s">
        <v>1288</v>
      </c>
      <c r="D2128" t="s">
        <v>14516</v>
      </c>
      <c r="E2128" s="28" t="s">
        <v>896</v>
      </c>
      <c r="F2128" t="s">
        <v>14487</v>
      </c>
      <c r="G2128" t="s">
        <v>38</v>
      </c>
      <c r="M2128" s="28"/>
    </row>
    <row r="2129" spans="1:14" hidden="1" x14ac:dyDescent="0.25">
      <c r="A2129" t="s">
        <v>8463</v>
      </c>
      <c r="B2129" t="s">
        <v>2275</v>
      </c>
      <c r="C2129" t="s">
        <v>2276</v>
      </c>
      <c r="D2129" t="s">
        <v>2277</v>
      </c>
      <c r="E2129" s="28" t="s">
        <v>890</v>
      </c>
      <c r="F2129" t="s">
        <v>408</v>
      </c>
      <c r="G2129" t="s">
        <v>65</v>
      </c>
      <c r="M2129" s="28" t="s">
        <v>14209</v>
      </c>
    </row>
    <row r="2130" spans="1:14" hidden="1" x14ac:dyDescent="0.25">
      <c r="A2130" t="s">
        <v>11092</v>
      </c>
      <c r="B2130" t="s">
        <v>11093</v>
      </c>
      <c r="C2130" t="s">
        <v>1211</v>
      </c>
      <c r="D2130" t="s">
        <v>11094</v>
      </c>
      <c r="E2130" s="28" t="s">
        <v>896</v>
      </c>
      <c r="F2130" t="s">
        <v>11080</v>
      </c>
      <c r="G2130" t="s">
        <v>84</v>
      </c>
      <c r="M2130" s="28" t="s">
        <v>14223</v>
      </c>
      <c r="N2130" t="s">
        <v>313</v>
      </c>
    </row>
    <row r="2131" spans="1:14" hidden="1" x14ac:dyDescent="0.25">
      <c r="A2131" t="s">
        <v>12122</v>
      </c>
      <c r="B2131" t="s">
        <v>12123</v>
      </c>
      <c r="C2131" t="s">
        <v>12124</v>
      </c>
      <c r="D2131" t="s">
        <v>12125</v>
      </c>
      <c r="E2131" s="28" t="s">
        <v>890</v>
      </c>
      <c r="F2131" t="s">
        <v>2415</v>
      </c>
      <c r="G2131" t="s">
        <v>162</v>
      </c>
      <c r="M2131" s="28" t="s">
        <v>7517</v>
      </c>
      <c r="N2131" t="s">
        <v>313</v>
      </c>
    </row>
    <row r="2132" spans="1:14" hidden="1" x14ac:dyDescent="0.25">
      <c r="A2132" t="s">
        <v>8725</v>
      </c>
      <c r="B2132" t="s">
        <v>2913</v>
      </c>
      <c r="C2132" t="s">
        <v>2914</v>
      </c>
      <c r="D2132" t="s">
        <v>2915</v>
      </c>
      <c r="E2132" s="28" t="s">
        <v>890</v>
      </c>
      <c r="F2132" t="s">
        <v>179</v>
      </c>
      <c r="G2132" t="s">
        <v>81</v>
      </c>
      <c r="M2132" s="28" t="s">
        <v>530</v>
      </c>
      <c r="N2132" t="s">
        <v>313</v>
      </c>
    </row>
    <row r="2133" spans="1:14" hidden="1" x14ac:dyDescent="0.25">
      <c r="A2133" t="s">
        <v>9120</v>
      </c>
      <c r="B2133" t="s">
        <v>3750</v>
      </c>
      <c r="C2133" t="s">
        <v>3031</v>
      </c>
      <c r="D2133" t="s">
        <v>3751</v>
      </c>
      <c r="E2133" s="28" t="s">
        <v>890</v>
      </c>
      <c r="F2133" t="s">
        <v>891</v>
      </c>
      <c r="G2133" t="s">
        <v>88</v>
      </c>
      <c r="M2133" s="28" t="s">
        <v>549</v>
      </c>
      <c r="N2133" t="s">
        <v>313</v>
      </c>
    </row>
    <row r="2134" spans="1:14" hidden="1" x14ac:dyDescent="0.25">
      <c r="A2134" t="s">
        <v>9121</v>
      </c>
      <c r="B2134" t="s">
        <v>3750</v>
      </c>
      <c r="C2134" t="s">
        <v>3298</v>
      </c>
      <c r="D2134" t="s">
        <v>3752</v>
      </c>
      <c r="E2134" s="28" t="s">
        <v>896</v>
      </c>
      <c r="F2134" t="s">
        <v>556</v>
      </c>
      <c r="G2134" t="s">
        <v>88</v>
      </c>
      <c r="M2134" s="28" t="s">
        <v>549</v>
      </c>
      <c r="N2134" t="s">
        <v>313</v>
      </c>
    </row>
    <row r="2135" spans="1:14" hidden="1" x14ac:dyDescent="0.25">
      <c r="A2135" t="s">
        <v>7948</v>
      </c>
      <c r="B2135" t="s">
        <v>920</v>
      </c>
      <c r="C2135" t="s">
        <v>921</v>
      </c>
      <c r="D2135" t="s">
        <v>922</v>
      </c>
      <c r="E2135" s="28" t="s">
        <v>890</v>
      </c>
      <c r="F2135" t="s">
        <v>897</v>
      </c>
      <c r="G2135" t="s">
        <v>28</v>
      </c>
      <c r="M2135" s="28" t="s">
        <v>14241</v>
      </c>
      <c r="N2135" t="s">
        <v>14206</v>
      </c>
    </row>
    <row r="2136" spans="1:14" hidden="1" x14ac:dyDescent="0.25">
      <c r="A2136" t="s">
        <v>7949</v>
      </c>
      <c r="B2136" t="s">
        <v>920</v>
      </c>
      <c r="C2136" t="s">
        <v>923</v>
      </c>
      <c r="D2136" t="s">
        <v>924</v>
      </c>
      <c r="E2136" s="28" t="s">
        <v>890</v>
      </c>
      <c r="F2136" t="s">
        <v>897</v>
      </c>
      <c r="G2136" t="s">
        <v>28</v>
      </c>
      <c r="M2136" s="28" t="s">
        <v>14241</v>
      </c>
      <c r="N2136" t="s">
        <v>14206</v>
      </c>
    </row>
    <row r="2137" spans="1:14" hidden="1" x14ac:dyDescent="0.25">
      <c r="A2137" t="s">
        <v>9912</v>
      </c>
      <c r="B2137" t="s">
        <v>5390</v>
      </c>
      <c r="C2137" t="s">
        <v>941</v>
      </c>
      <c r="D2137" t="s">
        <v>5391</v>
      </c>
      <c r="E2137" s="28" t="s">
        <v>896</v>
      </c>
      <c r="F2137" t="s">
        <v>4943</v>
      </c>
      <c r="G2137" t="s">
        <v>15</v>
      </c>
      <c r="M2137" s="28" t="s">
        <v>613</v>
      </c>
      <c r="N2137" t="s">
        <v>313</v>
      </c>
    </row>
    <row r="2138" spans="1:14" hidden="1" x14ac:dyDescent="0.25">
      <c r="A2138" t="s">
        <v>9911</v>
      </c>
      <c r="B2138" t="s">
        <v>5387</v>
      </c>
      <c r="C2138" t="s">
        <v>5388</v>
      </c>
      <c r="D2138" t="s">
        <v>5389</v>
      </c>
      <c r="E2138" s="28" t="s">
        <v>896</v>
      </c>
      <c r="F2138" t="s">
        <v>195</v>
      </c>
      <c r="G2138" t="s">
        <v>15</v>
      </c>
      <c r="M2138" s="28" t="s">
        <v>613</v>
      </c>
      <c r="N2138" t="s">
        <v>313</v>
      </c>
    </row>
    <row r="2139" spans="1:14" hidden="1" x14ac:dyDescent="0.25">
      <c r="A2139" t="s">
        <v>8058</v>
      </c>
      <c r="B2139" t="s">
        <v>1258</v>
      </c>
      <c r="C2139" t="s">
        <v>1259</v>
      </c>
      <c r="D2139" t="s">
        <v>1260</v>
      </c>
      <c r="E2139" s="28" t="s">
        <v>890</v>
      </c>
      <c r="F2139" t="s">
        <v>315</v>
      </c>
      <c r="G2139" t="s">
        <v>34</v>
      </c>
      <c r="M2139" s="28" t="s">
        <v>12353</v>
      </c>
      <c r="N2139" t="s">
        <v>313</v>
      </c>
    </row>
    <row r="2140" spans="1:14" hidden="1" x14ac:dyDescent="0.25">
      <c r="A2140" t="s">
        <v>13224</v>
      </c>
      <c r="B2140" t="s">
        <v>13225</v>
      </c>
      <c r="C2140" t="s">
        <v>1629</v>
      </c>
      <c r="D2140" t="s">
        <v>13226</v>
      </c>
      <c r="E2140" s="28" t="s">
        <v>890</v>
      </c>
      <c r="F2140" t="s">
        <v>315</v>
      </c>
      <c r="G2140" t="s">
        <v>34</v>
      </c>
      <c r="M2140" s="28" t="s">
        <v>12353</v>
      </c>
      <c r="N2140" t="s">
        <v>313</v>
      </c>
    </row>
    <row r="2141" spans="1:14" hidden="1" x14ac:dyDescent="0.25">
      <c r="A2141" t="s">
        <v>13509</v>
      </c>
      <c r="B2141" t="s">
        <v>13225</v>
      </c>
      <c r="C2141" t="s">
        <v>13510</v>
      </c>
      <c r="D2141" t="s">
        <v>13511</v>
      </c>
      <c r="E2141" s="28" t="s">
        <v>896</v>
      </c>
      <c r="G2141" t="s">
        <v>7849</v>
      </c>
      <c r="M2141" s="28"/>
    </row>
    <row r="2142" spans="1:14" hidden="1" x14ac:dyDescent="0.25">
      <c r="A2142" t="s">
        <v>9909</v>
      </c>
      <c r="B2142" t="s">
        <v>5381</v>
      </c>
      <c r="C2142" t="s">
        <v>4535</v>
      </c>
      <c r="D2142" t="s">
        <v>5385</v>
      </c>
      <c r="E2142" s="28" t="s">
        <v>896</v>
      </c>
      <c r="F2142" t="s">
        <v>2641</v>
      </c>
      <c r="G2142" t="s">
        <v>15</v>
      </c>
      <c r="M2142" s="28" t="s">
        <v>613</v>
      </c>
      <c r="N2142" t="s">
        <v>313</v>
      </c>
    </row>
    <row r="2143" spans="1:14" hidden="1" x14ac:dyDescent="0.25">
      <c r="A2143" t="s">
        <v>9910</v>
      </c>
      <c r="B2143" t="s">
        <v>5381</v>
      </c>
      <c r="C2143" t="s">
        <v>5093</v>
      </c>
      <c r="D2143" t="s">
        <v>5386</v>
      </c>
      <c r="E2143" s="28" t="s">
        <v>890</v>
      </c>
      <c r="F2143" t="s">
        <v>4679</v>
      </c>
      <c r="G2143" t="s">
        <v>15</v>
      </c>
      <c r="M2143" s="28" t="s">
        <v>613</v>
      </c>
      <c r="N2143" t="s">
        <v>313</v>
      </c>
    </row>
    <row r="2144" spans="1:14" hidden="1" x14ac:dyDescent="0.25">
      <c r="A2144" t="s">
        <v>9907</v>
      </c>
      <c r="B2144" t="s">
        <v>5381</v>
      </c>
      <c r="C2144" t="s">
        <v>5382</v>
      </c>
      <c r="D2144" t="s">
        <v>5383</v>
      </c>
      <c r="E2144" s="28" t="s">
        <v>890</v>
      </c>
      <c r="F2144" t="s">
        <v>214</v>
      </c>
      <c r="G2144" t="s">
        <v>15</v>
      </c>
      <c r="M2144" s="28" t="s">
        <v>613</v>
      </c>
      <c r="N2144" t="s">
        <v>313</v>
      </c>
    </row>
    <row r="2145" spans="1:14" hidden="1" x14ac:dyDescent="0.25">
      <c r="A2145" t="s">
        <v>9908</v>
      </c>
      <c r="B2145" t="s">
        <v>5381</v>
      </c>
      <c r="C2145" t="s">
        <v>1084</v>
      </c>
      <c r="D2145" t="s">
        <v>5384</v>
      </c>
      <c r="E2145" s="28" t="s">
        <v>896</v>
      </c>
      <c r="F2145" t="s">
        <v>214</v>
      </c>
      <c r="G2145" t="s">
        <v>15</v>
      </c>
      <c r="M2145" s="28" t="s">
        <v>613</v>
      </c>
      <c r="N2145" t="s">
        <v>313</v>
      </c>
    </row>
    <row r="2146" spans="1:14" hidden="1" x14ac:dyDescent="0.25">
      <c r="A2146" t="s">
        <v>9906</v>
      </c>
      <c r="B2146" t="s">
        <v>5378</v>
      </c>
      <c r="C2146" t="s">
        <v>2753</v>
      </c>
      <c r="D2146" t="s">
        <v>5380</v>
      </c>
      <c r="E2146" s="28" t="s">
        <v>896</v>
      </c>
      <c r="F2146" t="s">
        <v>4648</v>
      </c>
      <c r="G2146" t="s">
        <v>15</v>
      </c>
      <c r="M2146" s="28" t="s">
        <v>613</v>
      </c>
      <c r="N2146" t="s">
        <v>313</v>
      </c>
    </row>
    <row r="2147" spans="1:14" hidden="1" x14ac:dyDescent="0.25">
      <c r="A2147" t="s">
        <v>9905</v>
      </c>
      <c r="B2147" t="s">
        <v>5378</v>
      </c>
      <c r="C2147" t="s">
        <v>4536</v>
      </c>
      <c r="D2147" t="s">
        <v>5379</v>
      </c>
      <c r="E2147" s="28" t="s">
        <v>890</v>
      </c>
      <c r="F2147" t="s">
        <v>4648</v>
      </c>
      <c r="G2147" t="s">
        <v>15</v>
      </c>
      <c r="M2147" s="28" t="s">
        <v>613</v>
      </c>
      <c r="N2147" t="s">
        <v>313</v>
      </c>
    </row>
    <row r="2148" spans="1:14" hidden="1" x14ac:dyDescent="0.25">
      <c r="A2148" t="s">
        <v>9904</v>
      </c>
      <c r="B2148" t="s">
        <v>5375</v>
      </c>
      <c r="C2148" t="s">
        <v>4764</v>
      </c>
      <c r="D2148" t="s">
        <v>5377</v>
      </c>
      <c r="E2148" s="28" t="s">
        <v>890</v>
      </c>
      <c r="F2148" t="s">
        <v>13562</v>
      </c>
      <c r="G2148" t="s">
        <v>15</v>
      </c>
      <c r="M2148" s="28" t="s">
        <v>613</v>
      </c>
      <c r="N2148" t="s">
        <v>313</v>
      </c>
    </row>
    <row r="2149" spans="1:14" hidden="1" x14ac:dyDescent="0.25">
      <c r="A2149" t="s">
        <v>9903</v>
      </c>
      <c r="B2149" t="s">
        <v>5375</v>
      </c>
      <c r="C2149" t="s">
        <v>4553</v>
      </c>
      <c r="D2149" t="s">
        <v>5376</v>
      </c>
      <c r="E2149" s="28" t="s">
        <v>890</v>
      </c>
      <c r="F2149" t="s">
        <v>214</v>
      </c>
      <c r="G2149" t="s">
        <v>15</v>
      </c>
      <c r="M2149" s="28" t="s">
        <v>613</v>
      </c>
      <c r="N2149" t="s">
        <v>313</v>
      </c>
    </row>
    <row r="2150" spans="1:14" hidden="1" x14ac:dyDescent="0.25">
      <c r="A2150" t="s">
        <v>8727</v>
      </c>
      <c r="B2150" t="s">
        <v>2918</v>
      </c>
      <c r="C2150" t="s">
        <v>2919</v>
      </c>
      <c r="D2150" t="s">
        <v>2920</v>
      </c>
      <c r="E2150" s="28" t="s">
        <v>930</v>
      </c>
      <c r="F2150" t="s">
        <v>13198</v>
      </c>
      <c r="G2150" t="s">
        <v>81</v>
      </c>
      <c r="M2150" s="28" t="s">
        <v>530</v>
      </c>
      <c r="N2150" t="s">
        <v>313</v>
      </c>
    </row>
    <row r="2151" spans="1:14" hidden="1" x14ac:dyDescent="0.25">
      <c r="A2151" t="s">
        <v>8707</v>
      </c>
      <c r="B2151" t="s">
        <v>2876</v>
      </c>
      <c r="C2151" t="s">
        <v>2877</v>
      </c>
      <c r="D2151" t="s">
        <v>2878</v>
      </c>
      <c r="E2151" s="28" t="s">
        <v>896</v>
      </c>
      <c r="F2151" t="s">
        <v>532</v>
      </c>
      <c r="G2151" t="s">
        <v>81</v>
      </c>
      <c r="M2151" s="28" t="s">
        <v>530</v>
      </c>
      <c r="N2151" t="s">
        <v>313</v>
      </c>
    </row>
    <row r="2152" spans="1:14" hidden="1" x14ac:dyDescent="0.25">
      <c r="A2152" t="s">
        <v>10578</v>
      </c>
      <c r="B2152" t="s">
        <v>6811</v>
      </c>
      <c r="C2152" t="s">
        <v>1741</v>
      </c>
      <c r="D2152" t="s">
        <v>6812</v>
      </c>
      <c r="E2152" s="28" t="s">
        <v>896</v>
      </c>
      <c r="F2152" t="s">
        <v>6631</v>
      </c>
      <c r="G2152" t="s">
        <v>137</v>
      </c>
      <c r="M2152" s="28" t="s">
        <v>805</v>
      </c>
      <c r="N2152" t="s">
        <v>313</v>
      </c>
    </row>
    <row r="2153" spans="1:14" hidden="1" x14ac:dyDescent="0.25">
      <c r="A2153" t="s">
        <v>9902</v>
      </c>
      <c r="B2153" t="s">
        <v>5373</v>
      </c>
      <c r="C2153" t="s">
        <v>2582</v>
      </c>
      <c r="D2153" t="s">
        <v>5374</v>
      </c>
      <c r="E2153" s="28" t="s">
        <v>890</v>
      </c>
      <c r="F2153" t="s">
        <v>702</v>
      </c>
      <c r="G2153" t="s">
        <v>15</v>
      </c>
      <c r="M2153" s="28" t="s">
        <v>613</v>
      </c>
      <c r="N2153" t="s">
        <v>313</v>
      </c>
    </row>
    <row r="2154" spans="1:14" hidden="1" x14ac:dyDescent="0.25">
      <c r="A2154" t="s">
        <v>9901</v>
      </c>
      <c r="B2154" t="s">
        <v>5371</v>
      </c>
      <c r="C2154" t="s">
        <v>4553</v>
      </c>
      <c r="D2154" t="s">
        <v>5372</v>
      </c>
      <c r="E2154" s="28" t="s">
        <v>890</v>
      </c>
      <c r="F2154" t="s">
        <v>708</v>
      </c>
      <c r="G2154" t="s">
        <v>15</v>
      </c>
      <c r="M2154" s="28" t="s">
        <v>613</v>
      </c>
      <c r="N2154" t="s">
        <v>313</v>
      </c>
    </row>
    <row r="2155" spans="1:14" hidden="1" x14ac:dyDescent="0.25">
      <c r="A2155" t="s">
        <v>14517</v>
      </c>
      <c r="B2155" t="s">
        <v>10915</v>
      </c>
      <c r="C2155" t="s">
        <v>1123</v>
      </c>
      <c r="D2155" t="s">
        <v>1087</v>
      </c>
      <c r="E2155" s="28" t="s">
        <v>890</v>
      </c>
      <c r="F2155" t="s">
        <v>300</v>
      </c>
      <c r="G2155" t="s">
        <v>31</v>
      </c>
      <c r="M2155" s="28" t="s">
        <v>278</v>
      </c>
      <c r="N2155" t="s">
        <v>279</v>
      </c>
    </row>
    <row r="2156" spans="1:14" hidden="1" x14ac:dyDescent="0.25">
      <c r="A2156" t="s">
        <v>9900</v>
      </c>
      <c r="B2156" t="s">
        <v>1075</v>
      </c>
      <c r="C2156" t="s">
        <v>947</v>
      </c>
      <c r="D2156" t="s">
        <v>5370</v>
      </c>
      <c r="E2156" s="28" t="s">
        <v>896</v>
      </c>
      <c r="F2156" t="s">
        <v>4610</v>
      </c>
      <c r="G2156" t="s">
        <v>15</v>
      </c>
      <c r="M2156" s="28" t="s">
        <v>613</v>
      </c>
      <c r="N2156" t="s">
        <v>313</v>
      </c>
    </row>
    <row r="2157" spans="1:14" hidden="1" x14ac:dyDescent="0.25">
      <c r="A2157" t="s">
        <v>9899</v>
      </c>
      <c r="B2157" t="s">
        <v>5367</v>
      </c>
      <c r="C2157" t="s">
        <v>1038</v>
      </c>
      <c r="D2157" t="s">
        <v>5369</v>
      </c>
      <c r="E2157" s="28" t="s">
        <v>890</v>
      </c>
      <c r="F2157" t="s">
        <v>2850</v>
      </c>
      <c r="G2157" t="s">
        <v>15</v>
      </c>
      <c r="M2157" s="28" t="s">
        <v>613</v>
      </c>
      <c r="N2157" t="s">
        <v>313</v>
      </c>
    </row>
    <row r="2158" spans="1:14" hidden="1" x14ac:dyDescent="0.25">
      <c r="A2158" t="s">
        <v>9898</v>
      </c>
      <c r="B2158" t="s">
        <v>5367</v>
      </c>
      <c r="C2158" t="s">
        <v>5191</v>
      </c>
      <c r="D2158" t="s">
        <v>5368</v>
      </c>
      <c r="E2158" s="28" t="s">
        <v>896</v>
      </c>
      <c r="F2158" t="s">
        <v>4648</v>
      </c>
      <c r="G2158" t="s">
        <v>15</v>
      </c>
      <c r="M2158" s="28" t="s">
        <v>613</v>
      </c>
      <c r="N2158" t="s">
        <v>313</v>
      </c>
    </row>
    <row r="2159" spans="1:14" hidden="1" x14ac:dyDescent="0.25">
      <c r="A2159" t="s">
        <v>8489</v>
      </c>
      <c r="B2159" t="s">
        <v>2340</v>
      </c>
      <c r="C2159" t="s">
        <v>2341</v>
      </c>
      <c r="D2159" t="s">
        <v>2342</v>
      </c>
      <c r="E2159" s="28" t="s">
        <v>1023</v>
      </c>
      <c r="F2159" t="s">
        <v>408</v>
      </c>
      <c r="G2159" t="s">
        <v>65</v>
      </c>
      <c r="M2159" s="28" t="s">
        <v>14209</v>
      </c>
    </row>
    <row r="2160" spans="1:14" hidden="1" x14ac:dyDescent="0.25">
      <c r="A2160" t="s">
        <v>10655</v>
      </c>
      <c r="B2160" t="s">
        <v>6981</v>
      </c>
      <c r="C2160" t="s">
        <v>6982</v>
      </c>
      <c r="D2160" t="s">
        <v>6983</v>
      </c>
      <c r="E2160" s="28" t="s">
        <v>890</v>
      </c>
      <c r="F2160" t="s">
        <v>255</v>
      </c>
      <c r="G2160" t="s">
        <v>6896</v>
      </c>
      <c r="M2160" s="28" t="s">
        <v>6897</v>
      </c>
      <c r="N2160" t="s">
        <v>279</v>
      </c>
    </row>
    <row r="2161" spans="1:14" hidden="1" x14ac:dyDescent="0.25">
      <c r="A2161" t="s">
        <v>12938</v>
      </c>
      <c r="B2161" t="s">
        <v>12939</v>
      </c>
      <c r="C2161" t="s">
        <v>12940</v>
      </c>
      <c r="D2161" t="s">
        <v>12941</v>
      </c>
      <c r="E2161" s="28" t="s">
        <v>896</v>
      </c>
      <c r="F2161" t="s">
        <v>646</v>
      </c>
      <c r="G2161" t="s">
        <v>15</v>
      </c>
      <c r="M2161" s="28" t="s">
        <v>613</v>
      </c>
      <c r="N2161" t="s">
        <v>313</v>
      </c>
    </row>
    <row r="2162" spans="1:14" hidden="1" x14ac:dyDescent="0.25">
      <c r="A2162" t="s">
        <v>13363</v>
      </c>
      <c r="B2162" t="s">
        <v>13364</v>
      </c>
      <c r="C2162" t="s">
        <v>1121</v>
      </c>
      <c r="D2162" t="s">
        <v>13365</v>
      </c>
      <c r="E2162" s="28" t="s">
        <v>896</v>
      </c>
      <c r="F2162" t="s">
        <v>702</v>
      </c>
      <c r="G2162" t="s">
        <v>15</v>
      </c>
      <c r="M2162" s="28" t="s">
        <v>613</v>
      </c>
      <c r="N2162" t="s">
        <v>313</v>
      </c>
    </row>
    <row r="2163" spans="1:14" hidden="1" x14ac:dyDescent="0.25">
      <c r="A2163" t="s">
        <v>8627</v>
      </c>
      <c r="B2163" t="s">
        <v>2635</v>
      </c>
      <c r="C2163" t="s">
        <v>1741</v>
      </c>
      <c r="D2163" t="s">
        <v>2675</v>
      </c>
      <c r="E2163" s="28" t="s">
        <v>896</v>
      </c>
      <c r="F2163" t="s">
        <v>170</v>
      </c>
      <c r="G2163" t="s">
        <v>74</v>
      </c>
      <c r="M2163" s="28" t="s">
        <v>507</v>
      </c>
      <c r="N2163" t="s">
        <v>313</v>
      </c>
    </row>
    <row r="2164" spans="1:14" hidden="1" x14ac:dyDescent="0.25">
      <c r="A2164" t="s">
        <v>8613</v>
      </c>
      <c r="B2164" t="s">
        <v>2635</v>
      </c>
      <c r="C2164" t="s">
        <v>2614</v>
      </c>
      <c r="D2164" t="s">
        <v>2636</v>
      </c>
      <c r="E2164" s="28" t="s">
        <v>890</v>
      </c>
      <c r="F2164" t="s">
        <v>165</v>
      </c>
      <c r="G2164" t="s">
        <v>74</v>
      </c>
      <c r="M2164" s="28" t="s">
        <v>507</v>
      </c>
      <c r="N2164" t="s">
        <v>313</v>
      </c>
    </row>
    <row r="2165" spans="1:14" hidden="1" x14ac:dyDescent="0.25">
      <c r="A2165" t="s">
        <v>8615</v>
      </c>
      <c r="B2165" t="s">
        <v>2642</v>
      </c>
      <c r="C2165" t="s">
        <v>2643</v>
      </c>
      <c r="D2165" t="s">
        <v>2644</v>
      </c>
      <c r="E2165" s="28" t="s">
        <v>896</v>
      </c>
      <c r="F2165" t="s">
        <v>891</v>
      </c>
      <c r="G2165" t="s">
        <v>74</v>
      </c>
      <c r="M2165" s="28" t="s">
        <v>507</v>
      </c>
      <c r="N2165" t="s">
        <v>313</v>
      </c>
    </row>
    <row r="2166" spans="1:14" hidden="1" x14ac:dyDescent="0.25">
      <c r="A2166" t="s">
        <v>14518</v>
      </c>
      <c r="B2166" t="s">
        <v>14519</v>
      </c>
      <c r="C2166" t="s">
        <v>2329</v>
      </c>
      <c r="D2166" t="s">
        <v>14520</v>
      </c>
      <c r="E2166" s="28" t="s">
        <v>896</v>
      </c>
      <c r="F2166" t="s">
        <v>891</v>
      </c>
      <c r="G2166" t="s">
        <v>11</v>
      </c>
      <c r="M2166" s="28" t="s">
        <v>413</v>
      </c>
      <c r="N2166" t="s">
        <v>313</v>
      </c>
    </row>
    <row r="2167" spans="1:14" hidden="1" x14ac:dyDescent="0.25">
      <c r="A2167" t="s">
        <v>9897</v>
      </c>
      <c r="B2167" t="s">
        <v>5365</v>
      </c>
      <c r="C2167" t="s">
        <v>1086</v>
      </c>
      <c r="D2167" t="s">
        <v>5366</v>
      </c>
      <c r="E2167" s="28" t="s">
        <v>896</v>
      </c>
      <c r="F2167" t="s">
        <v>625</v>
      </c>
      <c r="G2167" t="s">
        <v>15</v>
      </c>
      <c r="M2167" s="28" t="s">
        <v>613</v>
      </c>
      <c r="N2167" t="s">
        <v>313</v>
      </c>
    </row>
    <row r="2168" spans="1:14" hidden="1" x14ac:dyDescent="0.25">
      <c r="A2168" t="s">
        <v>11352</v>
      </c>
      <c r="B2168" t="s">
        <v>11353</v>
      </c>
      <c r="C2168" t="s">
        <v>11354</v>
      </c>
      <c r="D2168" t="s">
        <v>11355</v>
      </c>
      <c r="E2168" s="28" t="s">
        <v>890</v>
      </c>
      <c r="F2168" t="s">
        <v>11222</v>
      </c>
      <c r="G2168" t="s">
        <v>84</v>
      </c>
      <c r="M2168" s="28" t="s">
        <v>14223</v>
      </c>
      <c r="N2168" t="s">
        <v>313</v>
      </c>
    </row>
    <row r="2169" spans="1:14" hidden="1" x14ac:dyDescent="0.25">
      <c r="A2169" t="s">
        <v>12942</v>
      </c>
      <c r="B2169" t="s">
        <v>12943</v>
      </c>
      <c r="C2169" t="s">
        <v>1084</v>
      </c>
      <c r="D2169" t="s">
        <v>12944</v>
      </c>
      <c r="E2169" s="28" t="s">
        <v>896</v>
      </c>
      <c r="F2169" t="s">
        <v>12865</v>
      </c>
      <c r="G2169" t="s">
        <v>15</v>
      </c>
      <c r="M2169" s="28" t="s">
        <v>613</v>
      </c>
      <c r="N2169" t="s">
        <v>313</v>
      </c>
    </row>
    <row r="2170" spans="1:14" hidden="1" x14ac:dyDescent="0.25">
      <c r="A2170" t="s">
        <v>10833</v>
      </c>
      <c r="B2170" t="s">
        <v>1088</v>
      </c>
      <c r="C2170" t="s">
        <v>1123</v>
      </c>
      <c r="D2170" t="s">
        <v>7401</v>
      </c>
      <c r="E2170" s="28" t="s">
        <v>890</v>
      </c>
      <c r="F2170" t="s">
        <v>841</v>
      </c>
      <c r="G2170" t="s">
        <v>157</v>
      </c>
      <c r="M2170" s="28" t="s">
        <v>840</v>
      </c>
      <c r="N2170" t="s">
        <v>382</v>
      </c>
    </row>
    <row r="2171" spans="1:14" hidden="1" x14ac:dyDescent="0.25">
      <c r="A2171" t="s">
        <v>9122</v>
      </c>
      <c r="B2171" t="s">
        <v>3753</v>
      </c>
      <c r="C2171" t="s">
        <v>3044</v>
      </c>
      <c r="D2171" t="s">
        <v>3754</v>
      </c>
      <c r="E2171" s="28" t="s">
        <v>930</v>
      </c>
      <c r="F2171" t="s">
        <v>891</v>
      </c>
      <c r="G2171" t="s">
        <v>88</v>
      </c>
      <c r="M2171" s="28" t="s">
        <v>549</v>
      </c>
      <c r="N2171" t="s">
        <v>313</v>
      </c>
    </row>
    <row r="2172" spans="1:14" hidden="1" x14ac:dyDescent="0.25">
      <c r="A2172" t="s">
        <v>10509</v>
      </c>
      <c r="B2172" t="s">
        <v>6685</v>
      </c>
      <c r="C2172" t="s">
        <v>1719</v>
      </c>
      <c r="D2172" t="s">
        <v>6686</v>
      </c>
      <c r="E2172" s="28" t="s">
        <v>890</v>
      </c>
      <c r="F2172" t="s">
        <v>550</v>
      </c>
      <c r="G2172" t="s">
        <v>137</v>
      </c>
      <c r="M2172" s="28" t="s">
        <v>805</v>
      </c>
      <c r="N2172" t="s">
        <v>313</v>
      </c>
    </row>
    <row r="2173" spans="1:14" hidden="1" x14ac:dyDescent="0.25">
      <c r="A2173" t="s">
        <v>8715</v>
      </c>
      <c r="B2173" t="s">
        <v>2893</v>
      </c>
      <c r="C2173" t="s">
        <v>1386</v>
      </c>
      <c r="D2173" t="s">
        <v>2894</v>
      </c>
      <c r="E2173" s="28" t="s">
        <v>890</v>
      </c>
      <c r="F2173" t="s">
        <v>535</v>
      </c>
      <c r="G2173" t="s">
        <v>81</v>
      </c>
      <c r="M2173" s="28" t="s">
        <v>530</v>
      </c>
      <c r="N2173" t="s">
        <v>313</v>
      </c>
    </row>
    <row r="2174" spans="1:14" hidden="1" x14ac:dyDescent="0.25">
      <c r="A2174" t="s">
        <v>8365</v>
      </c>
      <c r="B2174" t="s">
        <v>2041</v>
      </c>
      <c r="C2174" t="s">
        <v>2042</v>
      </c>
      <c r="D2174" t="s">
        <v>2043</v>
      </c>
      <c r="E2174" s="28" t="s">
        <v>896</v>
      </c>
      <c r="F2174" t="s">
        <v>389</v>
      </c>
      <c r="G2174" t="s">
        <v>47</v>
      </c>
      <c r="M2174" s="28" t="s">
        <v>13542</v>
      </c>
    </row>
    <row r="2175" spans="1:14" hidden="1" x14ac:dyDescent="0.25">
      <c r="A2175" t="s">
        <v>9896</v>
      </c>
      <c r="B2175" t="s">
        <v>5363</v>
      </c>
      <c r="C2175" t="s">
        <v>4753</v>
      </c>
      <c r="D2175" t="s">
        <v>5364</v>
      </c>
      <c r="E2175" s="28" t="s">
        <v>896</v>
      </c>
      <c r="F2175" t="s">
        <v>4638</v>
      </c>
      <c r="G2175" t="s">
        <v>15</v>
      </c>
      <c r="M2175" s="28" t="s">
        <v>613</v>
      </c>
      <c r="N2175" t="s">
        <v>313</v>
      </c>
    </row>
    <row r="2176" spans="1:14" hidden="1" x14ac:dyDescent="0.25">
      <c r="A2176" t="s">
        <v>9895</v>
      </c>
      <c r="B2176" t="s">
        <v>5361</v>
      </c>
      <c r="C2176" t="s">
        <v>2237</v>
      </c>
      <c r="D2176" t="s">
        <v>5362</v>
      </c>
      <c r="E2176" s="28" t="s">
        <v>890</v>
      </c>
      <c r="F2176" t="s">
        <v>688</v>
      </c>
      <c r="G2176" t="s">
        <v>15</v>
      </c>
      <c r="M2176" s="28" t="s">
        <v>613</v>
      </c>
      <c r="N2176" t="s">
        <v>313</v>
      </c>
    </row>
    <row r="2177" spans="1:14" hidden="1" x14ac:dyDescent="0.25">
      <c r="A2177" t="s">
        <v>9894</v>
      </c>
      <c r="B2177" t="s">
        <v>5359</v>
      </c>
      <c r="C2177" t="s">
        <v>4977</v>
      </c>
      <c r="D2177" t="s">
        <v>5360</v>
      </c>
      <c r="E2177" s="28" t="s">
        <v>896</v>
      </c>
      <c r="F2177" t="s">
        <v>750</v>
      </c>
      <c r="G2177" t="s">
        <v>15</v>
      </c>
      <c r="M2177" s="28" t="s">
        <v>613</v>
      </c>
      <c r="N2177" t="s">
        <v>313</v>
      </c>
    </row>
    <row r="2178" spans="1:14" hidden="1" x14ac:dyDescent="0.25">
      <c r="A2178" t="s">
        <v>9893</v>
      </c>
      <c r="B2178" t="s">
        <v>5357</v>
      </c>
      <c r="C2178" t="s">
        <v>4726</v>
      </c>
      <c r="D2178" t="s">
        <v>5358</v>
      </c>
      <c r="E2178" s="28" t="s">
        <v>890</v>
      </c>
      <c r="F2178" t="s">
        <v>4601</v>
      </c>
      <c r="G2178" t="s">
        <v>15</v>
      </c>
      <c r="M2178" s="28" t="s">
        <v>613</v>
      </c>
      <c r="N2178" t="s">
        <v>313</v>
      </c>
    </row>
    <row r="2179" spans="1:14" hidden="1" x14ac:dyDescent="0.25">
      <c r="A2179" t="s">
        <v>13802</v>
      </c>
      <c r="B2179" t="s">
        <v>13803</v>
      </c>
      <c r="C2179" t="s">
        <v>4719</v>
      </c>
      <c r="D2179" t="s">
        <v>13804</v>
      </c>
      <c r="E2179" s="28" t="s">
        <v>1177</v>
      </c>
      <c r="F2179" t="s">
        <v>764</v>
      </c>
      <c r="G2179" t="s">
        <v>15</v>
      </c>
      <c r="M2179" s="28" t="s">
        <v>613</v>
      </c>
      <c r="N2179" t="s">
        <v>313</v>
      </c>
    </row>
    <row r="2180" spans="1:14" hidden="1" x14ac:dyDescent="0.25">
      <c r="A2180" t="s">
        <v>13805</v>
      </c>
      <c r="B2180" t="s">
        <v>13803</v>
      </c>
      <c r="C2180" t="s">
        <v>4549</v>
      </c>
      <c r="D2180" t="s">
        <v>13806</v>
      </c>
      <c r="E2180" s="28" t="s">
        <v>1023</v>
      </c>
      <c r="F2180" t="s">
        <v>764</v>
      </c>
      <c r="G2180" t="s">
        <v>15</v>
      </c>
      <c r="M2180" s="28" t="s">
        <v>613</v>
      </c>
      <c r="N2180" t="s">
        <v>313</v>
      </c>
    </row>
    <row r="2181" spans="1:14" hidden="1" x14ac:dyDescent="0.25">
      <c r="A2181" t="s">
        <v>10478</v>
      </c>
      <c r="B2181" t="s">
        <v>6617</v>
      </c>
      <c r="C2181" t="s">
        <v>1058</v>
      </c>
      <c r="D2181" t="s">
        <v>6618</v>
      </c>
      <c r="E2181" s="28" t="s">
        <v>890</v>
      </c>
      <c r="F2181" t="s">
        <v>6604</v>
      </c>
      <c r="G2181" t="s">
        <v>131</v>
      </c>
      <c r="M2181" s="28" t="s">
        <v>14242</v>
      </c>
    </row>
    <row r="2182" spans="1:14" hidden="1" x14ac:dyDescent="0.25">
      <c r="A2182" t="s">
        <v>12067</v>
      </c>
      <c r="B2182" t="s">
        <v>7501</v>
      </c>
      <c r="C2182" t="s">
        <v>7500</v>
      </c>
      <c r="D2182" t="s">
        <v>7502</v>
      </c>
      <c r="E2182" s="28" t="s">
        <v>1023</v>
      </c>
      <c r="F2182" t="s">
        <v>881</v>
      </c>
      <c r="G2182" t="s">
        <v>157</v>
      </c>
      <c r="M2182" s="28" t="s">
        <v>840</v>
      </c>
      <c r="N2182" t="s">
        <v>382</v>
      </c>
    </row>
    <row r="2183" spans="1:14" hidden="1" x14ac:dyDescent="0.25">
      <c r="A2183" t="s">
        <v>11447</v>
      </c>
      <c r="B2183" t="s">
        <v>11448</v>
      </c>
      <c r="C2183" t="s">
        <v>11449</v>
      </c>
      <c r="D2183" t="s">
        <v>11450</v>
      </c>
      <c r="E2183" s="28" t="s">
        <v>896</v>
      </c>
      <c r="F2183" t="s">
        <v>11451</v>
      </c>
      <c r="G2183" t="s">
        <v>125</v>
      </c>
      <c r="M2183" s="28" t="s">
        <v>6491</v>
      </c>
      <c r="N2183" t="s">
        <v>313</v>
      </c>
    </row>
    <row r="2184" spans="1:14" hidden="1" x14ac:dyDescent="0.25">
      <c r="A2184" t="s">
        <v>8464</v>
      </c>
      <c r="B2184" t="s">
        <v>2204</v>
      </c>
      <c r="C2184" t="s">
        <v>1421</v>
      </c>
      <c r="D2184" t="s">
        <v>2278</v>
      </c>
      <c r="E2184" s="28" t="s">
        <v>890</v>
      </c>
      <c r="F2184" t="s">
        <v>408</v>
      </c>
      <c r="G2184" t="s">
        <v>65</v>
      </c>
      <c r="M2184" s="28" t="s">
        <v>14209</v>
      </c>
    </row>
    <row r="2185" spans="1:14" hidden="1" x14ac:dyDescent="0.25">
      <c r="A2185" t="s">
        <v>8431</v>
      </c>
      <c r="B2185" t="s">
        <v>2204</v>
      </c>
      <c r="C2185" t="s">
        <v>2205</v>
      </c>
      <c r="D2185" t="s">
        <v>2206</v>
      </c>
      <c r="E2185" s="28" t="s">
        <v>890</v>
      </c>
      <c r="F2185" t="s">
        <v>72</v>
      </c>
      <c r="G2185" t="s">
        <v>65</v>
      </c>
      <c r="M2185" s="28" t="s">
        <v>14209</v>
      </c>
    </row>
    <row r="2186" spans="1:14" hidden="1" x14ac:dyDescent="0.25">
      <c r="A2186" t="s">
        <v>10473</v>
      </c>
      <c r="B2186" t="s">
        <v>6601</v>
      </c>
      <c r="C2186" t="s">
        <v>6602</v>
      </c>
      <c r="D2186" t="s">
        <v>6603</v>
      </c>
      <c r="E2186" s="28" t="s">
        <v>890</v>
      </c>
      <c r="F2186" t="s">
        <v>6604</v>
      </c>
      <c r="G2186" t="s">
        <v>131</v>
      </c>
      <c r="M2186" s="28" t="s">
        <v>14242</v>
      </c>
    </row>
    <row r="2187" spans="1:14" hidden="1" x14ac:dyDescent="0.25">
      <c r="A2187" t="s">
        <v>12093</v>
      </c>
      <c r="B2187" t="s">
        <v>12094</v>
      </c>
      <c r="C2187" t="s">
        <v>1104</v>
      </c>
      <c r="D2187" t="s">
        <v>12095</v>
      </c>
      <c r="E2187" s="28" t="s">
        <v>890</v>
      </c>
      <c r="F2187" t="s">
        <v>13807</v>
      </c>
      <c r="G2187" t="s">
        <v>162</v>
      </c>
      <c r="M2187" s="28" t="s">
        <v>7517</v>
      </c>
      <c r="N2187" t="s">
        <v>313</v>
      </c>
    </row>
    <row r="2188" spans="1:14" hidden="1" x14ac:dyDescent="0.25">
      <c r="A2188" t="s">
        <v>14159</v>
      </c>
      <c r="B2188" t="s">
        <v>14160</v>
      </c>
      <c r="C2188" t="s">
        <v>4557</v>
      </c>
      <c r="D2188" t="s">
        <v>14161</v>
      </c>
      <c r="E2188" s="28" t="s">
        <v>890</v>
      </c>
      <c r="F2188" t="s">
        <v>14090</v>
      </c>
      <c r="G2188" t="s">
        <v>15</v>
      </c>
      <c r="M2188" s="28" t="s">
        <v>613</v>
      </c>
      <c r="N2188" t="s">
        <v>313</v>
      </c>
    </row>
    <row r="2189" spans="1:14" hidden="1" x14ac:dyDescent="0.25">
      <c r="A2189" t="s">
        <v>9892</v>
      </c>
      <c r="B2189" t="s">
        <v>2952</v>
      </c>
      <c r="C2189" t="s">
        <v>999</v>
      </c>
      <c r="D2189" t="s">
        <v>5356</v>
      </c>
      <c r="E2189" s="28" t="s">
        <v>896</v>
      </c>
      <c r="F2189" t="s">
        <v>708</v>
      </c>
      <c r="G2189" t="s">
        <v>15</v>
      </c>
      <c r="M2189" s="28" t="s">
        <v>613</v>
      </c>
      <c r="N2189" t="s">
        <v>313</v>
      </c>
    </row>
    <row r="2190" spans="1:14" hidden="1" x14ac:dyDescent="0.25">
      <c r="A2190" t="s">
        <v>14337</v>
      </c>
      <c r="B2190" t="s">
        <v>2952</v>
      </c>
      <c r="C2190" t="s">
        <v>4668</v>
      </c>
      <c r="D2190" t="s">
        <v>10938</v>
      </c>
      <c r="E2190" s="28" t="s">
        <v>896</v>
      </c>
      <c r="F2190" t="s">
        <v>10904</v>
      </c>
      <c r="G2190" t="s">
        <v>81</v>
      </c>
      <c r="M2190" s="28" t="s">
        <v>530</v>
      </c>
      <c r="N2190" t="s">
        <v>313</v>
      </c>
    </row>
    <row r="2191" spans="1:14" hidden="1" x14ac:dyDescent="0.25">
      <c r="A2191" t="s">
        <v>14338</v>
      </c>
      <c r="B2191" t="s">
        <v>2952</v>
      </c>
      <c r="C2191" t="s">
        <v>1174</v>
      </c>
      <c r="D2191" t="s">
        <v>2953</v>
      </c>
      <c r="E2191" s="28" t="s">
        <v>1023</v>
      </c>
      <c r="F2191" t="s">
        <v>10904</v>
      </c>
      <c r="G2191" t="s">
        <v>81</v>
      </c>
      <c r="M2191" s="28" t="s">
        <v>530</v>
      </c>
      <c r="N2191" t="s">
        <v>313</v>
      </c>
    </row>
    <row r="2192" spans="1:14" hidden="1" x14ac:dyDescent="0.25">
      <c r="A2192" t="s">
        <v>13808</v>
      </c>
      <c r="B2192" t="s">
        <v>2952</v>
      </c>
      <c r="C2192" t="s">
        <v>1816</v>
      </c>
      <c r="D2192" t="s">
        <v>13809</v>
      </c>
      <c r="E2192" s="28" t="s">
        <v>896</v>
      </c>
      <c r="F2192" t="s">
        <v>708</v>
      </c>
      <c r="G2192" t="s">
        <v>15</v>
      </c>
      <c r="M2192" s="28" t="s">
        <v>613</v>
      </c>
      <c r="N2192" t="s">
        <v>313</v>
      </c>
    </row>
    <row r="2193" spans="1:14" hidden="1" x14ac:dyDescent="0.25">
      <c r="A2193" t="s">
        <v>9891</v>
      </c>
      <c r="B2193" t="s">
        <v>5354</v>
      </c>
      <c r="C2193" t="s">
        <v>999</v>
      </c>
      <c r="D2193" t="s">
        <v>5355</v>
      </c>
      <c r="E2193" s="28" t="s">
        <v>896</v>
      </c>
      <c r="F2193" t="s">
        <v>755</v>
      </c>
      <c r="G2193" t="s">
        <v>15</v>
      </c>
      <c r="M2193" s="28" t="s">
        <v>613</v>
      </c>
      <c r="N2193" t="s">
        <v>313</v>
      </c>
    </row>
    <row r="2194" spans="1:14" hidden="1" x14ac:dyDescent="0.25">
      <c r="A2194" t="s">
        <v>12033</v>
      </c>
      <c r="B2194" t="s">
        <v>12034</v>
      </c>
      <c r="C2194" t="s">
        <v>2416</v>
      </c>
      <c r="D2194" t="s">
        <v>12035</v>
      </c>
      <c r="E2194" s="28" t="s">
        <v>890</v>
      </c>
      <c r="F2194" t="s">
        <v>836</v>
      </c>
      <c r="G2194" t="s">
        <v>145</v>
      </c>
      <c r="M2194" s="28" t="s">
        <v>13222</v>
      </c>
      <c r="N2194" t="s">
        <v>313</v>
      </c>
    </row>
    <row r="2195" spans="1:14" hidden="1" x14ac:dyDescent="0.25">
      <c r="A2195" t="s">
        <v>8408</v>
      </c>
      <c r="B2195" t="s">
        <v>2146</v>
      </c>
      <c r="C2195" t="s">
        <v>2147</v>
      </c>
      <c r="D2195" t="s">
        <v>2148</v>
      </c>
      <c r="E2195" s="28" t="s">
        <v>890</v>
      </c>
      <c r="F2195" t="s">
        <v>398</v>
      </c>
      <c r="G2195" t="s">
        <v>60</v>
      </c>
      <c r="M2195" s="28" t="s">
        <v>14207</v>
      </c>
    </row>
    <row r="2196" spans="1:14" hidden="1" x14ac:dyDescent="0.25">
      <c r="A2196" t="s">
        <v>9123</v>
      </c>
      <c r="B2196" t="s">
        <v>3755</v>
      </c>
      <c r="C2196" t="s">
        <v>3501</v>
      </c>
      <c r="D2196" t="s">
        <v>3756</v>
      </c>
      <c r="E2196" s="28" t="s">
        <v>890</v>
      </c>
      <c r="F2196" t="s">
        <v>891</v>
      </c>
      <c r="G2196" t="s">
        <v>88</v>
      </c>
      <c r="M2196" s="28" t="s">
        <v>549</v>
      </c>
      <c r="N2196" t="s">
        <v>313</v>
      </c>
    </row>
    <row r="2197" spans="1:14" hidden="1" x14ac:dyDescent="0.25">
      <c r="A2197" t="s">
        <v>9498</v>
      </c>
      <c r="B2197" t="s">
        <v>4493</v>
      </c>
      <c r="C2197" t="s">
        <v>3036</v>
      </c>
      <c r="D2197" t="s">
        <v>4494</v>
      </c>
      <c r="E2197" s="28" t="s">
        <v>890</v>
      </c>
      <c r="F2197" t="s">
        <v>13206</v>
      </c>
      <c r="G2197" t="s">
        <v>88</v>
      </c>
      <c r="M2197" s="28" t="s">
        <v>549</v>
      </c>
      <c r="N2197" t="s">
        <v>313</v>
      </c>
    </row>
    <row r="2198" spans="1:14" hidden="1" x14ac:dyDescent="0.25">
      <c r="A2198" t="s">
        <v>11329</v>
      </c>
      <c r="B2198" t="s">
        <v>11330</v>
      </c>
      <c r="C2198" t="s">
        <v>2254</v>
      </c>
      <c r="D2198" t="s">
        <v>11331</v>
      </c>
      <c r="E2198" s="28" t="s">
        <v>896</v>
      </c>
      <c r="F2198" t="s">
        <v>11302</v>
      </c>
      <c r="G2198" t="s">
        <v>84</v>
      </c>
      <c r="M2198" s="28" t="s">
        <v>14223</v>
      </c>
      <c r="N2198" t="s">
        <v>313</v>
      </c>
    </row>
    <row r="2199" spans="1:14" hidden="1" x14ac:dyDescent="0.25">
      <c r="A2199" t="s">
        <v>11072</v>
      </c>
      <c r="B2199" t="s">
        <v>11073</v>
      </c>
      <c r="C2199" t="s">
        <v>11074</v>
      </c>
      <c r="D2199" t="s">
        <v>11075</v>
      </c>
      <c r="E2199" s="28" t="s">
        <v>890</v>
      </c>
      <c r="F2199" t="s">
        <v>181</v>
      </c>
      <c r="G2199" t="s">
        <v>84</v>
      </c>
      <c r="M2199" s="28" t="s">
        <v>14223</v>
      </c>
      <c r="N2199" t="s">
        <v>313</v>
      </c>
    </row>
    <row r="2200" spans="1:14" hidden="1" x14ac:dyDescent="0.25">
      <c r="A2200" t="s">
        <v>10589</v>
      </c>
      <c r="B2200" t="s">
        <v>6824</v>
      </c>
      <c r="C2200" t="s">
        <v>6825</v>
      </c>
      <c r="D2200" t="s">
        <v>12014</v>
      </c>
      <c r="E2200" s="28" t="s">
        <v>890</v>
      </c>
      <c r="F2200" t="s">
        <v>799</v>
      </c>
      <c r="G2200" t="s">
        <v>98</v>
      </c>
      <c r="M2200" s="28" t="s">
        <v>820</v>
      </c>
      <c r="N2200" t="s">
        <v>313</v>
      </c>
    </row>
    <row r="2201" spans="1:14" hidden="1" x14ac:dyDescent="0.25">
      <c r="A2201" t="s">
        <v>9124</v>
      </c>
      <c r="B2201" t="s">
        <v>3757</v>
      </c>
      <c r="C2201" t="s">
        <v>3021</v>
      </c>
      <c r="D2201" t="s">
        <v>3758</v>
      </c>
      <c r="E2201" s="28" t="s">
        <v>890</v>
      </c>
      <c r="F2201" t="s">
        <v>891</v>
      </c>
      <c r="G2201" t="s">
        <v>88</v>
      </c>
      <c r="M2201" s="28" t="s">
        <v>549</v>
      </c>
      <c r="N2201" t="s">
        <v>313</v>
      </c>
    </row>
    <row r="2202" spans="1:14" hidden="1" x14ac:dyDescent="0.25">
      <c r="A2202" t="s">
        <v>9890</v>
      </c>
      <c r="B2202" t="s">
        <v>5352</v>
      </c>
      <c r="C2202" t="s">
        <v>2184</v>
      </c>
      <c r="D2202" t="s">
        <v>5353</v>
      </c>
      <c r="E2202" s="28" t="s">
        <v>890</v>
      </c>
      <c r="F2202" t="s">
        <v>221</v>
      </c>
      <c r="G2202" t="s">
        <v>15</v>
      </c>
      <c r="M2202" s="28" t="s">
        <v>613</v>
      </c>
      <c r="N2202" t="s">
        <v>313</v>
      </c>
    </row>
    <row r="2203" spans="1:14" hidden="1" x14ac:dyDescent="0.25">
      <c r="A2203" t="s">
        <v>10778</v>
      </c>
      <c r="B2203" t="s">
        <v>7276</v>
      </c>
      <c r="C2203" t="s">
        <v>2515</v>
      </c>
      <c r="D2203" t="s">
        <v>7277</v>
      </c>
      <c r="E2203" s="28" t="s">
        <v>890</v>
      </c>
      <c r="F2203" t="s">
        <v>7264</v>
      </c>
      <c r="G2203" t="s">
        <v>152</v>
      </c>
      <c r="M2203" s="28"/>
    </row>
    <row r="2204" spans="1:14" hidden="1" x14ac:dyDescent="0.25">
      <c r="A2204" t="s">
        <v>12623</v>
      </c>
      <c r="B2204" t="s">
        <v>12624</v>
      </c>
      <c r="C2204" t="s">
        <v>12625</v>
      </c>
      <c r="D2204" t="s">
        <v>12626</v>
      </c>
      <c r="E2204" s="28" t="s">
        <v>890</v>
      </c>
      <c r="F2204" t="s">
        <v>806</v>
      </c>
      <c r="G2204" t="s">
        <v>137</v>
      </c>
      <c r="M2204" s="28" t="s">
        <v>805</v>
      </c>
      <c r="N2204" t="s">
        <v>313</v>
      </c>
    </row>
    <row r="2205" spans="1:14" hidden="1" x14ac:dyDescent="0.25">
      <c r="A2205" t="s">
        <v>8456</v>
      </c>
      <c r="B2205" t="s">
        <v>2261</v>
      </c>
      <c r="C2205" t="s">
        <v>2262</v>
      </c>
      <c r="D2205" t="s">
        <v>2263</v>
      </c>
      <c r="E2205" s="28" t="s">
        <v>890</v>
      </c>
      <c r="F2205" t="s">
        <v>408</v>
      </c>
      <c r="G2205" t="s">
        <v>65</v>
      </c>
      <c r="M2205" s="28" t="s">
        <v>14209</v>
      </c>
    </row>
    <row r="2206" spans="1:14" hidden="1" x14ac:dyDescent="0.25">
      <c r="A2206" t="s">
        <v>8011</v>
      </c>
      <c r="B2206" t="s">
        <v>1101</v>
      </c>
      <c r="C2206" t="s">
        <v>1099</v>
      </c>
      <c r="D2206" t="s">
        <v>1102</v>
      </c>
      <c r="E2206" s="28" t="s">
        <v>896</v>
      </c>
      <c r="F2206" t="s">
        <v>280</v>
      </c>
      <c r="G2206" t="s">
        <v>31</v>
      </c>
      <c r="M2206" s="28" t="s">
        <v>278</v>
      </c>
      <c r="N2206" t="s">
        <v>279</v>
      </c>
    </row>
    <row r="2207" spans="1:14" hidden="1" x14ac:dyDescent="0.25">
      <c r="A2207" t="s">
        <v>8153</v>
      </c>
      <c r="B2207" t="s">
        <v>1508</v>
      </c>
      <c r="C2207" t="s">
        <v>1509</v>
      </c>
      <c r="D2207" t="s">
        <v>1510</v>
      </c>
      <c r="E2207" s="28" t="s">
        <v>896</v>
      </c>
      <c r="F2207" t="s">
        <v>78</v>
      </c>
      <c r="G2207" t="s">
        <v>38</v>
      </c>
      <c r="M2207" s="28"/>
    </row>
    <row r="2208" spans="1:14" hidden="1" x14ac:dyDescent="0.25">
      <c r="A2208" t="s">
        <v>8229</v>
      </c>
      <c r="B2208" t="s">
        <v>1696</v>
      </c>
      <c r="C2208" t="s">
        <v>1697</v>
      </c>
      <c r="D2208" t="s">
        <v>1698</v>
      </c>
      <c r="E2208" s="28" t="s">
        <v>896</v>
      </c>
      <c r="F2208" t="s">
        <v>1678</v>
      </c>
      <c r="G2208" t="s">
        <v>43</v>
      </c>
      <c r="M2208" s="28" t="s">
        <v>14205</v>
      </c>
    </row>
    <row r="2209" spans="1:14" hidden="1" x14ac:dyDescent="0.25">
      <c r="A2209" t="s">
        <v>9889</v>
      </c>
      <c r="B2209" t="s">
        <v>5350</v>
      </c>
      <c r="C2209" t="s">
        <v>2184</v>
      </c>
      <c r="D2209" t="s">
        <v>5351</v>
      </c>
      <c r="E2209" s="28" t="s">
        <v>890</v>
      </c>
      <c r="F2209" t="s">
        <v>702</v>
      </c>
      <c r="G2209" t="s">
        <v>15</v>
      </c>
      <c r="M2209" s="28" t="s">
        <v>613</v>
      </c>
      <c r="N2209" t="s">
        <v>313</v>
      </c>
    </row>
    <row r="2210" spans="1:14" hidden="1" x14ac:dyDescent="0.25">
      <c r="A2210" t="s">
        <v>13810</v>
      </c>
      <c r="B2210" t="s">
        <v>11618</v>
      </c>
      <c r="C2210" t="s">
        <v>1468</v>
      </c>
      <c r="D2210" t="s">
        <v>11619</v>
      </c>
      <c r="E2210" s="28" t="s">
        <v>896</v>
      </c>
      <c r="F2210" t="s">
        <v>11620</v>
      </c>
      <c r="G2210" t="s">
        <v>11</v>
      </c>
      <c r="M2210" s="28" t="s">
        <v>413</v>
      </c>
      <c r="N2210" t="s">
        <v>313</v>
      </c>
    </row>
    <row r="2211" spans="1:14" hidden="1" x14ac:dyDescent="0.25">
      <c r="A2211" t="s">
        <v>13810</v>
      </c>
      <c r="B2211" t="s">
        <v>11618</v>
      </c>
      <c r="C2211" t="s">
        <v>1468</v>
      </c>
      <c r="D2211" t="s">
        <v>13811</v>
      </c>
      <c r="E2211" s="28" t="s">
        <v>896</v>
      </c>
      <c r="F2211" t="s">
        <v>891</v>
      </c>
      <c r="G2211" t="s">
        <v>98</v>
      </c>
      <c r="M2211" s="28" t="s">
        <v>820</v>
      </c>
      <c r="N2211" t="s">
        <v>313</v>
      </c>
    </row>
    <row r="2212" spans="1:14" hidden="1" x14ac:dyDescent="0.25">
      <c r="A2212" t="s">
        <v>10575</v>
      </c>
      <c r="B2212" t="s">
        <v>6806</v>
      </c>
      <c r="C2212" t="s">
        <v>6737</v>
      </c>
      <c r="D2212" t="s">
        <v>6807</v>
      </c>
      <c r="E2212" s="28" t="s">
        <v>930</v>
      </c>
      <c r="F2212" t="s">
        <v>813</v>
      </c>
      <c r="G2212" t="s">
        <v>137</v>
      </c>
      <c r="M2212" s="28" t="s">
        <v>805</v>
      </c>
      <c r="N2212" t="s">
        <v>313</v>
      </c>
    </row>
    <row r="2213" spans="1:14" hidden="1" x14ac:dyDescent="0.25">
      <c r="A2213" t="s">
        <v>11899</v>
      </c>
      <c r="B2213" t="s">
        <v>5348</v>
      </c>
      <c r="C2213" t="s">
        <v>6437</v>
      </c>
      <c r="D2213" t="s">
        <v>6438</v>
      </c>
      <c r="E2213" s="28" t="s">
        <v>890</v>
      </c>
      <c r="F2213" t="s">
        <v>794</v>
      </c>
      <c r="G2213" t="s">
        <v>21</v>
      </c>
      <c r="M2213" s="28" t="s">
        <v>791</v>
      </c>
      <c r="N2213" t="s">
        <v>313</v>
      </c>
    </row>
    <row r="2214" spans="1:14" hidden="1" x14ac:dyDescent="0.25">
      <c r="A2214" t="s">
        <v>9888</v>
      </c>
      <c r="B2214" t="s">
        <v>5348</v>
      </c>
      <c r="C2214" t="s">
        <v>4549</v>
      </c>
      <c r="D2214" t="s">
        <v>5349</v>
      </c>
      <c r="E2214" s="28" t="s">
        <v>896</v>
      </c>
      <c r="F2214" t="s">
        <v>752</v>
      </c>
      <c r="G2214" t="s">
        <v>15</v>
      </c>
      <c r="M2214" s="28" t="s">
        <v>613</v>
      </c>
      <c r="N2214" t="s">
        <v>313</v>
      </c>
    </row>
    <row r="2215" spans="1:14" hidden="1" x14ac:dyDescent="0.25">
      <c r="A2215" t="s">
        <v>10510</v>
      </c>
      <c r="B2215" t="s">
        <v>6687</v>
      </c>
      <c r="C2215" t="s">
        <v>6688</v>
      </c>
      <c r="D2215" t="s">
        <v>6689</v>
      </c>
      <c r="E2215" s="28" t="s">
        <v>896</v>
      </c>
      <c r="F2215" t="s">
        <v>6644</v>
      </c>
      <c r="G2215" t="s">
        <v>137</v>
      </c>
      <c r="M2215" s="28" t="s">
        <v>805</v>
      </c>
      <c r="N2215" t="s">
        <v>313</v>
      </c>
    </row>
    <row r="2216" spans="1:14" hidden="1" x14ac:dyDescent="0.25">
      <c r="A2216" t="s">
        <v>9887</v>
      </c>
      <c r="B2216" t="s">
        <v>5346</v>
      </c>
      <c r="C2216" t="s">
        <v>894</v>
      </c>
      <c r="D2216" t="s">
        <v>5347</v>
      </c>
      <c r="E2216" s="28" t="s">
        <v>896</v>
      </c>
      <c r="F2216" t="s">
        <v>4555</v>
      </c>
      <c r="G2216" t="s">
        <v>15</v>
      </c>
      <c r="M2216" s="28" t="s">
        <v>613</v>
      </c>
      <c r="N2216" t="s">
        <v>313</v>
      </c>
    </row>
    <row r="2217" spans="1:14" hidden="1" x14ac:dyDescent="0.25">
      <c r="A2217" t="s">
        <v>10767</v>
      </c>
      <c r="B2217" t="s">
        <v>7249</v>
      </c>
      <c r="C2217" t="s">
        <v>2582</v>
      </c>
      <c r="D2217" t="s">
        <v>7250</v>
      </c>
      <c r="E2217" s="28" t="s">
        <v>896</v>
      </c>
      <c r="F2217" t="s">
        <v>6901</v>
      </c>
      <c r="G2217" t="s">
        <v>6896</v>
      </c>
      <c r="M2217" s="28" t="s">
        <v>6897</v>
      </c>
      <c r="N2217" t="s">
        <v>279</v>
      </c>
    </row>
    <row r="2218" spans="1:14" hidden="1" x14ac:dyDescent="0.25">
      <c r="A2218" t="s">
        <v>9886</v>
      </c>
      <c r="B2218" t="s">
        <v>5344</v>
      </c>
      <c r="C2218" t="s">
        <v>1121</v>
      </c>
      <c r="D2218" t="s">
        <v>5345</v>
      </c>
      <c r="E2218" s="28" t="s">
        <v>890</v>
      </c>
      <c r="F2218" t="s">
        <v>4938</v>
      </c>
      <c r="G2218" t="s">
        <v>15</v>
      </c>
      <c r="M2218" s="28" t="s">
        <v>613</v>
      </c>
      <c r="N2218" t="s">
        <v>313</v>
      </c>
    </row>
    <row r="2219" spans="1:14" hidden="1" x14ac:dyDescent="0.25">
      <c r="A2219" t="s">
        <v>8114</v>
      </c>
      <c r="B2219" t="s">
        <v>1405</v>
      </c>
      <c r="C2219" t="s">
        <v>1406</v>
      </c>
      <c r="D2219" t="s">
        <v>1407</v>
      </c>
      <c r="E2219" s="28" t="s">
        <v>890</v>
      </c>
      <c r="F2219" t="s">
        <v>340</v>
      </c>
      <c r="G2219" t="s">
        <v>38</v>
      </c>
      <c r="M2219" s="28"/>
    </row>
    <row r="2220" spans="1:14" hidden="1" x14ac:dyDescent="0.25">
      <c r="A2220" t="s">
        <v>9885</v>
      </c>
      <c r="B2220" t="s">
        <v>5342</v>
      </c>
      <c r="C2220" t="s">
        <v>4606</v>
      </c>
      <c r="D2220" t="s">
        <v>5343</v>
      </c>
      <c r="E2220" s="28" t="s">
        <v>896</v>
      </c>
      <c r="F2220" t="s">
        <v>231</v>
      </c>
      <c r="G2220" t="s">
        <v>15</v>
      </c>
      <c r="M2220" s="28" t="s">
        <v>613</v>
      </c>
      <c r="N2220" t="s">
        <v>313</v>
      </c>
    </row>
    <row r="2221" spans="1:14" hidden="1" x14ac:dyDescent="0.25">
      <c r="A2221" t="s">
        <v>9884</v>
      </c>
      <c r="B2221" t="s">
        <v>5339</v>
      </c>
      <c r="C2221" t="s">
        <v>4440</v>
      </c>
      <c r="D2221" t="s">
        <v>5341</v>
      </c>
      <c r="E2221" s="28" t="s">
        <v>896</v>
      </c>
      <c r="F2221" t="s">
        <v>615</v>
      </c>
      <c r="G2221" t="s">
        <v>15</v>
      </c>
      <c r="M2221" s="28" t="s">
        <v>613</v>
      </c>
      <c r="N2221" t="s">
        <v>313</v>
      </c>
    </row>
    <row r="2222" spans="1:14" hidden="1" x14ac:dyDescent="0.25">
      <c r="A2222" t="s">
        <v>9883</v>
      </c>
      <c r="B2222" t="s">
        <v>5339</v>
      </c>
      <c r="C2222" t="s">
        <v>1179</v>
      </c>
      <c r="D2222" t="s">
        <v>5340</v>
      </c>
      <c r="E2222" s="28" t="s">
        <v>1023</v>
      </c>
      <c r="F2222" t="s">
        <v>615</v>
      </c>
      <c r="G2222" t="s">
        <v>15</v>
      </c>
      <c r="M2222" s="28" t="s">
        <v>613</v>
      </c>
      <c r="N2222" t="s">
        <v>313</v>
      </c>
    </row>
    <row r="2223" spans="1:14" hidden="1" x14ac:dyDescent="0.25">
      <c r="A2223" t="s">
        <v>11154</v>
      </c>
      <c r="B2223" t="s">
        <v>11155</v>
      </c>
      <c r="C2223" t="s">
        <v>2396</v>
      </c>
      <c r="D2223" t="s">
        <v>11156</v>
      </c>
      <c r="E2223" s="28" t="s">
        <v>896</v>
      </c>
      <c r="F2223" t="s">
        <v>11526</v>
      </c>
      <c r="G2223" t="s">
        <v>84</v>
      </c>
      <c r="M2223" s="28" t="s">
        <v>14223</v>
      </c>
      <c r="N2223" t="s">
        <v>313</v>
      </c>
    </row>
    <row r="2224" spans="1:14" hidden="1" x14ac:dyDescent="0.25">
      <c r="A2224" t="s">
        <v>11157</v>
      </c>
      <c r="B2224" t="s">
        <v>11155</v>
      </c>
      <c r="C2224" t="s">
        <v>1202</v>
      </c>
      <c r="D2224" t="s">
        <v>11158</v>
      </c>
      <c r="E2224" s="28" t="s">
        <v>896</v>
      </c>
      <c r="F2224" t="s">
        <v>11526</v>
      </c>
      <c r="G2224" t="s">
        <v>84</v>
      </c>
      <c r="M2224" s="28" t="s">
        <v>14223</v>
      </c>
      <c r="N2224" t="s">
        <v>313</v>
      </c>
    </row>
    <row r="2225" spans="1:14" hidden="1" x14ac:dyDescent="0.25">
      <c r="A2225" t="s">
        <v>8646</v>
      </c>
      <c r="B2225" t="s">
        <v>2721</v>
      </c>
      <c r="C2225" t="s">
        <v>2722</v>
      </c>
      <c r="D2225" t="s">
        <v>2723</v>
      </c>
      <c r="E2225" s="28" t="s">
        <v>930</v>
      </c>
      <c r="F2225" t="s">
        <v>170</v>
      </c>
      <c r="G2225" t="s">
        <v>74</v>
      </c>
      <c r="M2225" s="28" t="s">
        <v>507</v>
      </c>
      <c r="N2225" t="s">
        <v>313</v>
      </c>
    </row>
    <row r="2226" spans="1:14" hidden="1" x14ac:dyDescent="0.25">
      <c r="A2226" t="s">
        <v>11655</v>
      </c>
      <c r="B2226" t="s">
        <v>11656</v>
      </c>
      <c r="C2226" t="s">
        <v>2731</v>
      </c>
      <c r="D2226" t="s">
        <v>2732</v>
      </c>
      <c r="E2226" s="28" t="s">
        <v>1023</v>
      </c>
      <c r="F2226" t="s">
        <v>170</v>
      </c>
      <c r="G2226" t="s">
        <v>74</v>
      </c>
      <c r="M2226" s="28" t="s">
        <v>507</v>
      </c>
      <c r="N2226" t="s">
        <v>313</v>
      </c>
    </row>
    <row r="2227" spans="1:14" hidden="1" x14ac:dyDescent="0.25">
      <c r="A2227" t="s">
        <v>11657</v>
      </c>
      <c r="B2227" t="s">
        <v>11658</v>
      </c>
      <c r="C2227" t="s">
        <v>2731</v>
      </c>
      <c r="D2227" t="s">
        <v>2735</v>
      </c>
      <c r="E2227" s="28" t="s">
        <v>890</v>
      </c>
      <c r="F2227" t="s">
        <v>170</v>
      </c>
      <c r="G2227" t="s">
        <v>74</v>
      </c>
      <c r="M2227" s="28" t="s">
        <v>507</v>
      </c>
      <c r="N2227" t="s">
        <v>313</v>
      </c>
    </row>
    <row r="2228" spans="1:14" hidden="1" x14ac:dyDescent="0.25">
      <c r="A2228" t="s">
        <v>14521</v>
      </c>
      <c r="B2228" t="s">
        <v>14522</v>
      </c>
      <c r="C2228" t="s">
        <v>1408</v>
      </c>
      <c r="D2228" t="s">
        <v>14523</v>
      </c>
      <c r="E2228" s="28" t="s">
        <v>896</v>
      </c>
      <c r="F2228" t="s">
        <v>328</v>
      </c>
      <c r="G2228" t="s">
        <v>38</v>
      </c>
      <c r="M2228" s="28"/>
    </row>
    <row r="2229" spans="1:14" hidden="1" x14ac:dyDescent="0.25">
      <c r="A2229" t="s">
        <v>14339</v>
      </c>
      <c r="B2229" t="s">
        <v>14340</v>
      </c>
      <c r="C2229" t="s">
        <v>13812</v>
      </c>
      <c r="D2229" t="s">
        <v>13813</v>
      </c>
      <c r="E2229" s="28" t="s">
        <v>890</v>
      </c>
      <c r="F2229" t="s">
        <v>13814</v>
      </c>
      <c r="G2229" t="s">
        <v>81</v>
      </c>
      <c r="M2229" s="28" t="s">
        <v>530</v>
      </c>
      <c r="N2229" t="s">
        <v>313</v>
      </c>
    </row>
    <row r="2230" spans="1:14" hidden="1" x14ac:dyDescent="0.25">
      <c r="A2230" t="s">
        <v>9125</v>
      </c>
      <c r="B2230" t="s">
        <v>3759</v>
      </c>
      <c r="C2230" t="s">
        <v>3126</v>
      </c>
      <c r="D2230" t="s">
        <v>3760</v>
      </c>
      <c r="E2230" s="28" t="s">
        <v>890</v>
      </c>
      <c r="F2230" t="s">
        <v>891</v>
      </c>
      <c r="G2230" t="s">
        <v>88</v>
      </c>
      <c r="M2230" s="28" t="s">
        <v>549</v>
      </c>
      <c r="N2230" t="s">
        <v>313</v>
      </c>
    </row>
    <row r="2231" spans="1:14" hidden="1" x14ac:dyDescent="0.25">
      <c r="A2231" t="s">
        <v>9126</v>
      </c>
      <c r="B2231" t="s">
        <v>3761</v>
      </c>
      <c r="C2231" t="s">
        <v>3762</v>
      </c>
      <c r="D2231" t="s">
        <v>3763</v>
      </c>
      <c r="E2231" s="28" t="s">
        <v>890</v>
      </c>
      <c r="F2231" t="s">
        <v>891</v>
      </c>
      <c r="G2231" t="s">
        <v>88</v>
      </c>
      <c r="M2231" s="28" t="s">
        <v>549</v>
      </c>
      <c r="N2231" t="s">
        <v>313</v>
      </c>
    </row>
    <row r="2232" spans="1:14" hidden="1" x14ac:dyDescent="0.25">
      <c r="A2232" t="s">
        <v>9127</v>
      </c>
      <c r="B2232" t="s">
        <v>3764</v>
      </c>
      <c r="C2232" t="s">
        <v>3765</v>
      </c>
      <c r="D2232" t="s">
        <v>3766</v>
      </c>
      <c r="E2232" s="28" t="s">
        <v>890</v>
      </c>
      <c r="F2232" t="s">
        <v>891</v>
      </c>
      <c r="G2232" t="s">
        <v>88</v>
      </c>
      <c r="M2232" s="28" t="s">
        <v>549</v>
      </c>
      <c r="N2232" t="s">
        <v>313</v>
      </c>
    </row>
    <row r="2233" spans="1:14" hidden="1" x14ac:dyDescent="0.25">
      <c r="A2233" t="s">
        <v>9882</v>
      </c>
      <c r="B2233" t="s">
        <v>5337</v>
      </c>
      <c r="C2233" t="s">
        <v>2919</v>
      </c>
      <c r="D2233" t="s">
        <v>5338</v>
      </c>
      <c r="E2233" s="28" t="s">
        <v>890</v>
      </c>
      <c r="F2233" t="s">
        <v>4610</v>
      </c>
      <c r="G2233" t="s">
        <v>15</v>
      </c>
      <c r="M2233" s="28" t="s">
        <v>613</v>
      </c>
      <c r="N2233" t="s">
        <v>313</v>
      </c>
    </row>
    <row r="2234" spans="1:14" hidden="1" x14ac:dyDescent="0.25">
      <c r="A2234" t="s">
        <v>12849</v>
      </c>
      <c r="B2234" t="s">
        <v>3767</v>
      </c>
      <c r="C2234" t="s">
        <v>3061</v>
      </c>
      <c r="D2234" t="s">
        <v>12850</v>
      </c>
      <c r="E2234" s="28" t="s">
        <v>896</v>
      </c>
      <c r="F2234" t="s">
        <v>554</v>
      </c>
      <c r="G2234" t="s">
        <v>88</v>
      </c>
      <c r="M2234" s="28" t="s">
        <v>549</v>
      </c>
      <c r="N2234" t="s">
        <v>313</v>
      </c>
    </row>
    <row r="2235" spans="1:14" hidden="1" x14ac:dyDescent="0.25">
      <c r="A2235" t="s">
        <v>9128</v>
      </c>
      <c r="B2235" t="s">
        <v>3767</v>
      </c>
      <c r="C2235" t="s">
        <v>3158</v>
      </c>
      <c r="D2235" t="s">
        <v>3768</v>
      </c>
      <c r="E2235" s="28" t="s">
        <v>930</v>
      </c>
      <c r="F2235" t="s">
        <v>554</v>
      </c>
      <c r="G2235" t="s">
        <v>88</v>
      </c>
      <c r="M2235" s="28" t="s">
        <v>549</v>
      </c>
      <c r="N2235" t="s">
        <v>313</v>
      </c>
    </row>
    <row r="2236" spans="1:14" hidden="1" x14ac:dyDescent="0.25">
      <c r="A2236" t="s">
        <v>9129</v>
      </c>
      <c r="B2236" t="s">
        <v>3769</v>
      </c>
      <c r="C2236" t="s">
        <v>3770</v>
      </c>
      <c r="D2236" t="s">
        <v>3771</v>
      </c>
      <c r="E2236" s="28" t="s">
        <v>930</v>
      </c>
      <c r="F2236" t="s">
        <v>554</v>
      </c>
      <c r="G2236" t="s">
        <v>88</v>
      </c>
      <c r="M2236" s="28" t="s">
        <v>549</v>
      </c>
      <c r="N2236" t="s">
        <v>313</v>
      </c>
    </row>
    <row r="2237" spans="1:14" hidden="1" x14ac:dyDescent="0.25">
      <c r="A2237" t="s">
        <v>13815</v>
      </c>
      <c r="B2237" t="s">
        <v>13816</v>
      </c>
      <c r="C2237" t="s">
        <v>1084</v>
      </c>
      <c r="D2237" t="s">
        <v>13817</v>
      </c>
      <c r="E2237" s="28" t="s">
        <v>896</v>
      </c>
      <c r="F2237" t="s">
        <v>14114</v>
      </c>
      <c r="G2237" t="s">
        <v>15</v>
      </c>
      <c r="M2237" s="28" t="s">
        <v>613</v>
      </c>
      <c r="N2237" t="s">
        <v>313</v>
      </c>
    </row>
    <row r="2238" spans="1:14" hidden="1" x14ac:dyDescent="0.25">
      <c r="A2238" t="s">
        <v>10427</v>
      </c>
      <c r="B2238" t="s">
        <v>6441</v>
      </c>
      <c r="C2238" t="s">
        <v>6442</v>
      </c>
      <c r="D2238" t="s">
        <v>6443</v>
      </c>
      <c r="E2238" s="28" t="s">
        <v>890</v>
      </c>
      <c r="F2238" t="s">
        <v>631</v>
      </c>
      <c r="G2238" t="s">
        <v>21</v>
      </c>
      <c r="M2238" s="28" t="s">
        <v>791</v>
      </c>
      <c r="N2238" t="s">
        <v>313</v>
      </c>
    </row>
    <row r="2239" spans="1:14" hidden="1" x14ac:dyDescent="0.25">
      <c r="A2239" t="s">
        <v>9130</v>
      </c>
      <c r="B2239" t="s">
        <v>3772</v>
      </c>
      <c r="C2239" t="s">
        <v>3031</v>
      </c>
      <c r="D2239" t="s">
        <v>3773</v>
      </c>
      <c r="E2239" s="28" t="s">
        <v>896</v>
      </c>
      <c r="F2239" t="s">
        <v>891</v>
      </c>
      <c r="G2239" t="s">
        <v>88</v>
      </c>
      <c r="M2239" s="28" t="s">
        <v>549</v>
      </c>
      <c r="N2239" t="s">
        <v>313</v>
      </c>
    </row>
    <row r="2240" spans="1:14" hidden="1" x14ac:dyDescent="0.25">
      <c r="A2240" t="s">
        <v>9131</v>
      </c>
      <c r="B2240" t="s">
        <v>3772</v>
      </c>
      <c r="C2240" t="s">
        <v>3036</v>
      </c>
      <c r="D2240" t="s">
        <v>3774</v>
      </c>
      <c r="E2240" s="28" t="s">
        <v>890</v>
      </c>
      <c r="F2240" t="s">
        <v>891</v>
      </c>
      <c r="G2240" t="s">
        <v>88</v>
      </c>
      <c r="M2240" s="28" t="s">
        <v>549</v>
      </c>
      <c r="N2240" t="s">
        <v>313</v>
      </c>
    </row>
    <row r="2241" spans="1:14" hidden="1" x14ac:dyDescent="0.25">
      <c r="A2241" t="s">
        <v>9881</v>
      </c>
      <c r="B2241" t="s">
        <v>5335</v>
      </c>
      <c r="C2241" t="s">
        <v>4668</v>
      </c>
      <c r="D2241" t="s">
        <v>5336</v>
      </c>
      <c r="E2241" s="28" t="s">
        <v>890</v>
      </c>
      <c r="F2241" t="s">
        <v>615</v>
      </c>
      <c r="G2241" t="s">
        <v>15</v>
      </c>
      <c r="M2241" s="28" t="s">
        <v>613</v>
      </c>
      <c r="N2241" t="s">
        <v>313</v>
      </c>
    </row>
    <row r="2242" spans="1:14" hidden="1" x14ac:dyDescent="0.25">
      <c r="A2242" t="s">
        <v>9132</v>
      </c>
      <c r="B2242" t="s">
        <v>3775</v>
      </c>
      <c r="C2242" t="s">
        <v>3776</v>
      </c>
      <c r="D2242" t="s">
        <v>3777</v>
      </c>
      <c r="E2242" s="28" t="s">
        <v>890</v>
      </c>
      <c r="F2242" t="s">
        <v>891</v>
      </c>
      <c r="G2242" t="s">
        <v>88</v>
      </c>
      <c r="M2242" s="28" t="s">
        <v>549</v>
      </c>
      <c r="N2242" t="s">
        <v>313</v>
      </c>
    </row>
    <row r="2243" spans="1:14" hidden="1" x14ac:dyDescent="0.25">
      <c r="A2243" t="s">
        <v>9880</v>
      </c>
      <c r="B2243" t="s">
        <v>5333</v>
      </c>
      <c r="C2243" t="s">
        <v>1616</v>
      </c>
      <c r="D2243" t="s">
        <v>5334</v>
      </c>
      <c r="E2243" s="28" t="s">
        <v>896</v>
      </c>
      <c r="F2243" t="s">
        <v>625</v>
      </c>
      <c r="G2243" t="s">
        <v>15</v>
      </c>
      <c r="M2243" s="28" t="s">
        <v>613</v>
      </c>
      <c r="N2243" t="s">
        <v>313</v>
      </c>
    </row>
    <row r="2244" spans="1:14" hidden="1" x14ac:dyDescent="0.25">
      <c r="A2244" t="s">
        <v>9133</v>
      </c>
      <c r="B2244" t="s">
        <v>3778</v>
      </c>
      <c r="C2244" t="s">
        <v>2108</v>
      </c>
      <c r="D2244" t="s">
        <v>3779</v>
      </c>
      <c r="E2244" s="28" t="s">
        <v>896</v>
      </c>
      <c r="F2244" t="s">
        <v>891</v>
      </c>
      <c r="G2244" t="s">
        <v>88</v>
      </c>
      <c r="M2244" s="28" t="s">
        <v>549</v>
      </c>
      <c r="N2244" t="s">
        <v>313</v>
      </c>
    </row>
    <row r="2245" spans="1:14" hidden="1" x14ac:dyDescent="0.25">
      <c r="A2245" t="s">
        <v>8267</v>
      </c>
      <c r="B2245" t="s">
        <v>1792</v>
      </c>
      <c r="C2245" t="s">
        <v>1793</v>
      </c>
      <c r="D2245" t="s">
        <v>1794</v>
      </c>
      <c r="E2245" s="28" t="s">
        <v>890</v>
      </c>
      <c r="F2245" t="s">
        <v>1641</v>
      </c>
      <c r="G2245" t="s">
        <v>43</v>
      </c>
      <c r="M2245" s="28" t="s">
        <v>14205</v>
      </c>
    </row>
    <row r="2246" spans="1:14" hidden="1" x14ac:dyDescent="0.25">
      <c r="A2246" t="s">
        <v>9879</v>
      </c>
      <c r="B2246" t="s">
        <v>5330</v>
      </c>
      <c r="C2246" t="s">
        <v>5331</v>
      </c>
      <c r="D2246" t="s">
        <v>5332</v>
      </c>
      <c r="E2246" s="28" t="s">
        <v>896</v>
      </c>
      <c r="F2246" t="s">
        <v>685</v>
      </c>
      <c r="G2246" t="s">
        <v>15</v>
      </c>
      <c r="M2246" s="28" t="s">
        <v>613</v>
      </c>
      <c r="N2246" t="s">
        <v>313</v>
      </c>
    </row>
    <row r="2247" spans="1:14" hidden="1" x14ac:dyDescent="0.25">
      <c r="A2247" t="s">
        <v>8249</v>
      </c>
      <c r="B2247" t="s">
        <v>1750</v>
      </c>
      <c r="C2247" t="s">
        <v>1691</v>
      </c>
      <c r="D2247" t="s">
        <v>1751</v>
      </c>
      <c r="E2247" s="28" t="s">
        <v>890</v>
      </c>
      <c r="F2247" t="s">
        <v>891</v>
      </c>
      <c r="G2247" t="s">
        <v>43</v>
      </c>
      <c r="M2247" s="28" t="s">
        <v>14205</v>
      </c>
    </row>
    <row r="2248" spans="1:14" hidden="1" x14ac:dyDescent="0.25">
      <c r="A2248" t="s">
        <v>9878</v>
      </c>
      <c r="B2248" t="s">
        <v>5328</v>
      </c>
      <c r="C2248" t="s">
        <v>1086</v>
      </c>
      <c r="D2248" t="s">
        <v>5329</v>
      </c>
      <c r="E2248" s="28" t="s">
        <v>890</v>
      </c>
      <c r="F2248" t="s">
        <v>771</v>
      </c>
      <c r="G2248" t="s">
        <v>15</v>
      </c>
      <c r="M2248" s="28" t="s">
        <v>613</v>
      </c>
      <c r="N2248" t="s">
        <v>313</v>
      </c>
    </row>
    <row r="2249" spans="1:14" hidden="1" x14ac:dyDescent="0.25">
      <c r="A2249" t="s">
        <v>9877</v>
      </c>
      <c r="B2249" t="s">
        <v>2531</v>
      </c>
      <c r="C2249" t="s">
        <v>4963</v>
      </c>
      <c r="D2249" t="s">
        <v>5327</v>
      </c>
      <c r="E2249" s="28" t="s">
        <v>896</v>
      </c>
      <c r="F2249" t="s">
        <v>221</v>
      </c>
      <c r="G2249" t="s">
        <v>15</v>
      </c>
      <c r="M2249" s="28" t="s">
        <v>613</v>
      </c>
      <c r="N2249" t="s">
        <v>313</v>
      </c>
    </row>
    <row r="2250" spans="1:14" hidden="1" x14ac:dyDescent="0.25">
      <c r="A2250" t="s">
        <v>9876</v>
      </c>
      <c r="B2250" t="s">
        <v>5325</v>
      </c>
      <c r="C2250" t="s">
        <v>1483</v>
      </c>
      <c r="D2250" t="s">
        <v>5326</v>
      </c>
      <c r="E2250" s="28" t="s">
        <v>890</v>
      </c>
      <c r="F2250" t="s">
        <v>4679</v>
      </c>
      <c r="G2250" t="s">
        <v>15</v>
      </c>
      <c r="M2250" s="28" t="s">
        <v>613</v>
      </c>
      <c r="N2250" t="s">
        <v>313</v>
      </c>
    </row>
    <row r="2251" spans="1:14" hidden="1" x14ac:dyDescent="0.25">
      <c r="A2251" t="s">
        <v>12846</v>
      </c>
      <c r="B2251" t="s">
        <v>12847</v>
      </c>
      <c r="C2251" t="s">
        <v>4383</v>
      </c>
      <c r="D2251" t="s">
        <v>12848</v>
      </c>
      <c r="E2251" s="28" t="s">
        <v>896</v>
      </c>
      <c r="F2251" t="s">
        <v>3050</v>
      </c>
      <c r="G2251" t="s">
        <v>88</v>
      </c>
      <c r="M2251" s="28" t="s">
        <v>549</v>
      </c>
      <c r="N2251" t="s">
        <v>313</v>
      </c>
    </row>
    <row r="2252" spans="1:14" hidden="1" x14ac:dyDescent="0.25">
      <c r="A2252" t="s">
        <v>8038</v>
      </c>
      <c r="B2252" t="s">
        <v>1207</v>
      </c>
      <c r="C2252" t="s">
        <v>1208</v>
      </c>
      <c r="D2252" t="s">
        <v>1209</v>
      </c>
      <c r="E2252" s="28" t="s">
        <v>896</v>
      </c>
      <c r="F2252" t="s">
        <v>35</v>
      </c>
      <c r="G2252" t="s">
        <v>34</v>
      </c>
      <c r="M2252" s="28" t="s">
        <v>12353</v>
      </c>
      <c r="N2252" t="s">
        <v>313</v>
      </c>
    </row>
    <row r="2253" spans="1:14" hidden="1" x14ac:dyDescent="0.25">
      <c r="A2253" t="s">
        <v>9875</v>
      </c>
      <c r="B2253" t="s">
        <v>5323</v>
      </c>
      <c r="C2253" t="s">
        <v>4871</v>
      </c>
      <c r="D2253" t="s">
        <v>5324</v>
      </c>
      <c r="E2253" s="28" t="s">
        <v>896</v>
      </c>
      <c r="F2253" t="s">
        <v>4685</v>
      </c>
      <c r="G2253" t="s">
        <v>15</v>
      </c>
      <c r="M2253" s="28" t="s">
        <v>613</v>
      </c>
      <c r="N2253" t="s">
        <v>313</v>
      </c>
    </row>
    <row r="2254" spans="1:14" hidden="1" x14ac:dyDescent="0.25">
      <c r="A2254" t="s">
        <v>9873</v>
      </c>
      <c r="B2254" t="s">
        <v>5320</v>
      </c>
      <c r="C2254" t="s">
        <v>4553</v>
      </c>
      <c r="D2254" t="s">
        <v>5321</v>
      </c>
      <c r="E2254" s="28" t="s">
        <v>1023</v>
      </c>
      <c r="F2254" t="s">
        <v>201</v>
      </c>
      <c r="G2254" t="s">
        <v>15</v>
      </c>
      <c r="M2254" s="28" t="s">
        <v>613</v>
      </c>
      <c r="N2254" t="s">
        <v>313</v>
      </c>
    </row>
    <row r="2255" spans="1:14" hidden="1" x14ac:dyDescent="0.25">
      <c r="A2255" t="s">
        <v>9874</v>
      </c>
      <c r="B2255" t="s">
        <v>5320</v>
      </c>
      <c r="C2255" t="s">
        <v>4640</v>
      </c>
      <c r="D2255" t="s">
        <v>5322</v>
      </c>
      <c r="E2255" s="28" t="s">
        <v>896</v>
      </c>
      <c r="F2255" t="s">
        <v>201</v>
      </c>
      <c r="G2255" t="s">
        <v>15</v>
      </c>
      <c r="M2255" s="28" t="s">
        <v>613</v>
      </c>
      <c r="N2255" t="s">
        <v>313</v>
      </c>
    </row>
    <row r="2256" spans="1:14" hidden="1" x14ac:dyDescent="0.25">
      <c r="A2256" t="s">
        <v>9871</v>
      </c>
      <c r="B2256" t="s">
        <v>5317</v>
      </c>
      <c r="C2256" t="s">
        <v>4440</v>
      </c>
      <c r="D2256" t="s">
        <v>5318</v>
      </c>
      <c r="E2256" s="28" t="s">
        <v>890</v>
      </c>
      <c r="F2256" t="s">
        <v>2598</v>
      </c>
      <c r="G2256" t="s">
        <v>15</v>
      </c>
      <c r="M2256" s="28" t="s">
        <v>613</v>
      </c>
      <c r="N2256" t="s">
        <v>313</v>
      </c>
    </row>
    <row r="2257" spans="1:14" hidden="1" x14ac:dyDescent="0.25">
      <c r="A2257" t="s">
        <v>9872</v>
      </c>
      <c r="B2257" t="s">
        <v>5317</v>
      </c>
      <c r="C2257" t="s">
        <v>974</v>
      </c>
      <c r="D2257" t="s">
        <v>5319</v>
      </c>
      <c r="E2257" s="28" t="s">
        <v>896</v>
      </c>
      <c r="F2257" t="s">
        <v>2598</v>
      </c>
      <c r="G2257" t="s">
        <v>15</v>
      </c>
      <c r="M2257" s="28" t="s">
        <v>613</v>
      </c>
      <c r="N2257" t="s">
        <v>313</v>
      </c>
    </row>
    <row r="2258" spans="1:14" hidden="1" x14ac:dyDescent="0.25">
      <c r="A2258" t="s">
        <v>11105</v>
      </c>
      <c r="B2258" t="s">
        <v>11106</v>
      </c>
      <c r="C2258" t="s">
        <v>1527</v>
      </c>
      <c r="D2258" t="s">
        <v>11107</v>
      </c>
      <c r="E2258" s="28" t="s">
        <v>896</v>
      </c>
      <c r="F2258" t="s">
        <v>11108</v>
      </c>
      <c r="G2258" t="s">
        <v>84</v>
      </c>
      <c r="M2258" s="28" t="s">
        <v>14223</v>
      </c>
      <c r="N2258" t="s">
        <v>313</v>
      </c>
    </row>
    <row r="2259" spans="1:14" hidden="1" x14ac:dyDescent="0.25">
      <c r="A2259" t="s">
        <v>9870</v>
      </c>
      <c r="B2259" t="s">
        <v>5315</v>
      </c>
      <c r="C2259" t="s">
        <v>1616</v>
      </c>
      <c r="D2259" t="s">
        <v>5316</v>
      </c>
      <c r="E2259" s="28" t="s">
        <v>896</v>
      </c>
      <c r="F2259" t="s">
        <v>780</v>
      </c>
      <c r="G2259" t="s">
        <v>15</v>
      </c>
      <c r="M2259" s="28" t="s">
        <v>613</v>
      </c>
      <c r="N2259" t="s">
        <v>313</v>
      </c>
    </row>
    <row r="2260" spans="1:14" hidden="1" x14ac:dyDescent="0.25">
      <c r="A2260" t="s">
        <v>9134</v>
      </c>
      <c r="B2260" t="s">
        <v>3780</v>
      </c>
      <c r="C2260" t="s">
        <v>3099</v>
      </c>
      <c r="D2260" t="s">
        <v>3781</v>
      </c>
      <c r="E2260" s="28" t="s">
        <v>890</v>
      </c>
      <c r="F2260" t="s">
        <v>564</v>
      </c>
      <c r="G2260" t="s">
        <v>88</v>
      </c>
      <c r="M2260" s="28" t="s">
        <v>549</v>
      </c>
      <c r="N2260" t="s">
        <v>313</v>
      </c>
    </row>
    <row r="2261" spans="1:14" hidden="1" x14ac:dyDescent="0.25">
      <c r="A2261" t="s">
        <v>9869</v>
      </c>
      <c r="B2261" t="s">
        <v>5313</v>
      </c>
      <c r="C2261" t="s">
        <v>1180</v>
      </c>
      <c r="D2261" t="s">
        <v>5314</v>
      </c>
      <c r="E2261" s="28" t="s">
        <v>896</v>
      </c>
      <c r="F2261" t="s">
        <v>4621</v>
      </c>
      <c r="G2261" t="s">
        <v>15</v>
      </c>
      <c r="M2261" s="28" t="s">
        <v>613</v>
      </c>
      <c r="N2261" t="s">
        <v>313</v>
      </c>
    </row>
    <row r="2262" spans="1:14" hidden="1" x14ac:dyDescent="0.25">
      <c r="A2262" t="s">
        <v>13479</v>
      </c>
      <c r="B2262" t="s">
        <v>13480</v>
      </c>
      <c r="C2262" t="s">
        <v>13481</v>
      </c>
      <c r="D2262" t="s">
        <v>13482</v>
      </c>
      <c r="E2262" s="28" t="s">
        <v>890</v>
      </c>
      <c r="F2262" t="s">
        <v>794</v>
      </c>
      <c r="G2262" t="s">
        <v>21</v>
      </c>
      <c r="M2262" s="28" t="s">
        <v>791</v>
      </c>
      <c r="N2262" t="s">
        <v>313</v>
      </c>
    </row>
    <row r="2263" spans="1:14" hidden="1" x14ac:dyDescent="0.25">
      <c r="A2263" t="s">
        <v>10834</v>
      </c>
      <c r="B2263" t="s">
        <v>7402</v>
      </c>
      <c r="C2263" t="s">
        <v>2831</v>
      </c>
      <c r="D2263" t="s">
        <v>7403</v>
      </c>
      <c r="E2263" s="28" t="s">
        <v>890</v>
      </c>
      <c r="F2263" t="s">
        <v>7404</v>
      </c>
      <c r="G2263" t="s">
        <v>157</v>
      </c>
      <c r="M2263" s="28" t="s">
        <v>840</v>
      </c>
      <c r="N2263" t="s">
        <v>382</v>
      </c>
    </row>
    <row r="2264" spans="1:14" hidden="1" x14ac:dyDescent="0.25">
      <c r="A2264" t="s">
        <v>10835</v>
      </c>
      <c r="B2264" t="s">
        <v>7402</v>
      </c>
      <c r="C2264" t="s">
        <v>1175</v>
      </c>
      <c r="D2264" t="s">
        <v>7405</v>
      </c>
      <c r="E2264" s="28" t="s">
        <v>896</v>
      </c>
      <c r="F2264" t="s">
        <v>7404</v>
      </c>
      <c r="G2264" t="s">
        <v>157</v>
      </c>
      <c r="M2264" s="28" t="s">
        <v>840</v>
      </c>
      <c r="N2264" t="s">
        <v>382</v>
      </c>
    </row>
    <row r="2265" spans="1:14" hidden="1" x14ac:dyDescent="0.25">
      <c r="A2265" t="s">
        <v>10928</v>
      </c>
      <c r="B2265" t="s">
        <v>10929</v>
      </c>
      <c r="C2265" t="s">
        <v>2029</v>
      </c>
      <c r="D2265" t="s">
        <v>10930</v>
      </c>
      <c r="E2265" s="28" t="s">
        <v>896</v>
      </c>
      <c r="F2265" t="s">
        <v>891</v>
      </c>
      <c r="G2265" t="s">
        <v>11</v>
      </c>
      <c r="M2265" s="28" t="s">
        <v>413</v>
      </c>
      <c r="N2265" t="s">
        <v>313</v>
      </c>
    </row>
    <row r="2266" spans="1:14" hidden="1" x14ac:dyDescent="0.25">
      <c r="A2266" t="s">
        <v>9135</v>
      </c>
      <c r="B2266" t="s">
        <v>3782</v>
      </c>
      <c r="C2266" t="s">
        <v>2133</v>
      </c>
      <c r="D2266" t="s">
        <v>3783</v>
      </c>
      <c r="E2266" s="28" t="s">
        <v>890</v>
      </c>
      <c r="F2266" t="s">
        <v>556</v>
      </c>
      <c r="G2266" t="s">
        <v>88</v>
      </c>
      <c r="M2266" s="28" t="s">
        <v>549</v>
      </c>
      <c r="N2266" t="s">
        <v>313</v>
      </c>
    </row>
    <row r="2267" spans="1:14" hidden="1" x14ac:dyDescent="0.25">
      <c r="A2267" t="s">
        <v>9136</v>
      </c>
      <c r="B2267" t="s">
        <v>3784</v>
      </c>
      <c r="C2267" t="s">
        <v>3025</v>
      </c>
      <c r="D2267" t="s">
        <v>3785</v>
      </c>
      <c r="E2267" s="28" t="s">
        <v>896</v>
      </c>
      <c r="F2267" t="s">
        <v>891</v>
      </c>
      <c r="G2267" t="s">
        <v>88</v>
      </c>
      <c r="M2267" s="28" t="s">
        <v>549</v>
      </c>
      <c r="N2267" t="s">
        <v>313</v>
      </c>
    </row>
    <row r="2268" spans="1:14" hidden="1" x14ac:dyDescent="0.25">
      <c r="A2268" t="s">
        <v>9137</v>
      </c>
      <c r="B2268" t="s">
        <v>3501</v>
      </c>
      <c r="C2268" t="s">
        <v>3044</v>
      </c>
      <c r="D2268" t="s">
        <v>3786</v>
      </c>
      <c r="E2268" s="28" t="s">
        <v>890</v>
      </c>
      <c r="F2268" t="s">
        <v>891</v>
      </c>
      <c r="G2268" t="s">
        <v>88</v>
      </c>
      <c r="M2268" s="28" t="s">
        <v>549</v>
      </c>
      <c r="N2268" t="s">
        <v>313</v>
      </c>
    </row>
    <row r="2269" spans="1:14" hidden="1" x14ac:dyDescent="0.25">
      <c r="A2269" t="s">
        <v>9868</v>
      </c>
      <c r="B2269" t="s">
        <v>5310</v>
      </c>
      <c r="C2269" t="s">
        <v>5311</v>
      </c>
      <c r="D2269" t="s">
        <v>5312</v>
      </c>
      <c r="E2269" s="28" t="s">
        <v>896</v>
      </c>
      <c r="F2269" t="s">
        <v>227</v>
      </c>
      <c r="G2269" t="s">
        <v>15</v>
      </c>
      <c r="M2269" s="28" t="s">
        <v>613</v>
      </c>
      <c r="N2269" t="s">
        <v>313</v>
      </c>
    </row>
    <row r="2270" spans="1:14" hidden="1" x14ac:dyDescent="0.25">
      <c r="A2270" t="s">
        <v>9138</v>
      </c>
      <c r="B2270" t="s">
        <v>3787</v>
      </c>
      <c r="C2270" t="s">
        <v>3044</v>
      </c>
      <c r="D2270" t="s">
        <v>3788</v>
      </c>
      <c r="E2270" s="28" t="s">
        <v>890</v>
      </c>
      <c r="F2270" t="s">
        <v>891</v>
      </c>
      <c r="G2270" t="s">
        <v>88</v>
      </c>
      <c r="M2270" s="28" t="s">
        <v>549</v>
      </c>
      <c r="N2270" t="s">
        <v>313</v>
      </c>
    </row>
    <row r="2271" spans="1:14" hidden="1" x14ac:dyDescent="0.25">
      <c r="A2271" t="s">
        <v>9867</v>
      </c>
      <c r="B2271" t="s">
        <v>5308</v>
      </c>
      <c r="C2271" t="s">
        <v>4606</v>
      </c>
      <c r="D2271" t="s">
        <v>5309</v>
      </c>
      <c r="E2271" s="28" t="s">
        <v>890</v>
      </c>
      <c r="F2271" t="s">
        <v>690</v>
      </c>
      <c r="G2271" t="s">
        <v>15</v>
      </c>
      <c r="M2271" s="28" t="s">
        <v>613</v>
      </c>
      <c r="N2271" t="s">
        <v>313</v>
      </c>
    </row>
    <row r="2272" spans="1:14" hidden="1" x14ac:dyDescent="0.25">
      <c r="A2272" t="s">
        <v>9866</v>
      </c>
      <c r="B2272" t="s">
        <v>5306</v>
      </c>
      <c r="C2272" t="s">
        <v>4792</v>
      </c>
      <c r="D2272" t="s">
        <v>5307</v>
      </c>
      <c r="E2272" s="28" t="s">
        <v>896</v>
      </c>
      <c r="F2272" t="s">
        <v>4909</v>
      </c>
      <c r="G2272" t="s">
        <v>15</v>
      </c>
      <c r="M2272" s="28" t="s">
        <v>613</v>
      </c>
      <c r="N2272" t="s">
        <v>313</v>
      </c>
    </row>
    <row r="2273" spans="1:14" hidden="1" x14ac:dyDescent="0.25">
      <c r="A2273" t="s">
        <v>9139</v>
      </c>
      <c r="B2273" t="s">
        <v>3789</v>
      </c>
      <c r="C2273" t="s">
        <v>3031</v>
      </c>
      <c r="D2273" t="s">
        <v>3790</v>
      </c>
      <c r="E2273" s="28" t="s">
        <v>890</v>
      </c>
      <c r="F2273" t="s">
        <v>891</v>
      </c>
      <c r="G2273" t="s">
        <v>88</v>
      </c>
      <c r="M2273" s="28" t="s">
        <v>549</v>
      </c>
      <c r="N2273" t="s">
        <v>313</v>
      </c>
    </row>
    <row r="2274" spans="1:14" hidden="1" x14ac:dyDescent="0.25">
      <c r="A2274" t="s">
        <v>8161</v>
      </c>
      <c r="B2274" t="s">
        <v>1409</v>
      </c>
      <c r="C2274" t="s">
        <v>1082</v>
      </c>
      <c r="D2274" t="s">
        <v>1529</v>
      </c>
      <c r="E2274" s="28" t="s">
        <v>1023</v>
      </c>
      <c r="F2274" t="s">
        <v>328</v>
      </c>
      <c r="G2274" t="s">
        <v>38</v>
      </c>
      <c r="M2274" s="28"/>
    </row>
    <row r="2275" spans="1:14" hidden="1" x14ac:dyDescent="0.25">
      <c r="A2275" t="s">
        <v>8115</v>
      </c>
      <c r="B2275" t="s">
        <v>1409</v>
      </c>
      <c r="C2275" t="s">
        <v>1342</v>
      </c>
      <c r="D2275" t="s">
        <v>1410</v>
      </c>
      <c r="E2275" s="28" t="s">
        <v>890</v>
      </c>
      <c r="F2275" t="s">
        <v>328</v>
      </c>
      <c r="G2275" t="s">
        <v>38</v>
      </c>
      <c r="M2275" s="28"/>
    </row>
    <row r="2276" spans="1:14" hidden="1" x14ac:dyDescent="0.25">
      <c r="A2276" t="s">
        <v>9140</v>
      </c>
      <c r="B2276" t="s">
        <v>3791</v>
      </c>
      <c r="C2276" t="s">
        <v>3061</v>
      </c>
      <c r="D2276" t="s">
        <v>3792</v>
      </c>
      <c r="E2276" s="28" t="s">
        <v>890</v>
      </c>
      <c r="F2276" t="s">
        <v>891</v>
      </c>
      <c r="G2276" t="s">
        <v>88</v>
      </c>
      <c r="M2276" s="28" t="s">
        <v>549</v>
      </c>
      <c r="N2276" t="s">
        <v>313</v>
      </c>
    </row>
    <row r="2277" spans="1:14" hidden="1" x14ac:dyDescent="0.25">
      <c r="A2277" t="s">
        <v>13818</v>
      </c>
      <c r="B2277" t="s">
        <v>13819</v>
      </c>
      <c r="C2277" t="s">
        <v>4535</v>
      </c>
      <c r="D2277" t="s">
        <v>13820</v>
      </c>
      <c r="E2277" s="28" t="s">
        <v>890</v>
      </c>
      <c r="F2277" t="s">
        <v>662</v>
      </c>
      <c r="G2277" t="s">
        <v>15</v>
      </c>
      <c r="M2277" s="28" t="s">
        <v>613</v>
      </c>
      <c r="N2277" t="s">
        <v>313</v>
      </c>
    </row>
    <row r="2278" spans="1:14" hidden="1" x14ac:dyDescent="0.25">
      <c r="A2278" t="s">
        <v>9865</v>
      </c>
      <c r="B2278" t="s">
        <v>5304</v>
      </c>
      <c r="C2278" t="s">
        <v>4557</v>
      </c>
      <c r="D2278" t="s">
        <v>5305</v>
      </c>
      <c r="E2278" s="28" t="s">
        <v>896</v>
      </c>
      <c r="F2278" t="s">
        <v>4610</v>
      </c>
      <c r="G2278" t="s">
        <v>15</v>
      </c>
      <c r="M2278" s="28" t="s">
        <v>613</v>
      </c>
      <c r="N2278" t="s">
        <v>313</v>
      </c>
    </row>
    <row r="2279" spans="1:14" hidden="1" x14ac:dyDescent="0.25">
      <c r="A2279" t="s">
        <v>9863</v>
      </c>
      <c r="B2279" t="s">
        <v>5301</v>
      </c>
      <c r="C2279" t="s">
        <v>2619</v>
      </c>
      <c r="D2279" t="s">
        <v>5302</v>
      </c>
      <c r="E2279" s="28" t="s">
        <v>890</v>
      </c>
      <c r="F2279" t="s">
        <v>4590</v>
      </c>
      <c r="G2279" t="s">
        <v>15</v>
      </c>
      <c r="M2279" s="28" t="s">
        <v>613</v>
      </c>
      <c r="N2279" t="s">
        <v>313</v>
      </c>
    </row>
    <row r="2280" spans="1:14" hidden="1" x14ac:dyDescent="0.25">
      <c r="A2280" t="s">
        <v>9864</v>
      </c>
      <c r="B2280" t="s">
        <v>5301</v>
      </c>
      <c r="C2280" t="s">
        <v>941</v>
      </c>
      <c r="D2280" t="s">
        <v>5303</v>
      </c>
      <c r="E2280" s="28" t="s">
        <v>1023</v>
      </c>
      <c r="F2280" t="s">
        <v>4590</v>
      </c>
      <c r="G2280" t="s">
        <v>15</v>
      </c>
      <c r="M2280" s="28" t="s">
        <v>613</v>
      </c>
      <c r="N2280" t="s">
        <v>313</v>
      </c>
    </row>
    <row r="2281" spans="1:14" hidden="1" x14ac:dyDescent="0.25">
      <c r="A2281" t="s">
        <v>9862</v>
      </c>
      <c r="B2281" t="s">
        <v>5299</v>
      </c>
      <c r="C2281" t="s">
        <v>4726</v>
      </c>
      <c r="D2281" t="s">
        <v>5300</v>
      </c>
      <c r="E2281" s="28" t="s">
        <v>896</v>
      </c>
      <c r="F2281" t="s">
        <v>231</v>
      </c>
      <c r="G2281" t="s">
        <v>15</v>
      </c>
      <c r="M2281" s="28" t="s">
        <v>613</v>
      </c>
      <c r="N2281" t="s">
        <v>313</v>
      </c>
    </row>
    <row r="2282" spans="1:14" hidden="1" x14ac:dyDescent="0.25">
      <c r="A2282" t="s">
        <v>12827</v>
      </c>
      <c r="B2282" t="s">
        <v>12828</v>
      </c>
      <c r="C2282" t="s">
        <v>2619</v>
      </c>
      <c r="D2282" t="s">
        <v>12829</v>
      </c>
      <c r="E2282" s="28" t="s">
        <v>1177</v>
      </c>
      <c r="F2282" t="s">
        <v>516</v>
      </c>
      <c r="G2282" t="s">
        <v>74</v>
      </c>
      <c r="M2282" s="28" t="s">
        <v>507</v>
      </c>
      <c r="N2282" t="s">
        <v>313</v>
      </c>
    </row>
    <row r="2283" spans="1:14" hidden="1" x14ac:dyDescent="0.25">
      <c r="A2283" t="s">
        <v>9861</v>
      </c>
      <c r="B2283" t="s">
        <v>5296</v>
      </c>
      <c r="C2283" t="s">
        <v>5297</v>
      </c>
      <c r="D2283" t="s">
        <v>5298</v>
      </c>
      <c r="E2283" s="28" t="s">
        <v>896</v>
      </c>
      <c r="F2283" t="s">
        <v>216</v>
      </c>
      <c r="G2283" t="s">
        <v>15</v>
      </c>
      <c r="M2283" s="28" t="s">
        <v>613</v>
      </c>
      <c r="N2283" t="s">
        <v>313</v>
      </c>
    </row>
    <row r="2284" spans="1:14" hidden="1" x14ac:dyDescent="0.25">
      <c r="A2284" t="s">
        <v>12945</v>
      </c>
      <c r="B2284" t="s">
        <v>12946</v>
      </c>
      <c r="C2284" t="s">
        <v>1086</v>
      </c>
      <c r="D2284" t="s">
        <v>12947</v>
      </c>
      <c r="E2284" s="28" t="s">
        <v>896</v>
      </c>
      <c r="F2284" t="s">
        <v>4635</v>
      </c>
      <c r="G2284" t="s">
        <v>15</v>
      </c>
      <c r="M2284" s="28" t="s">
        <v>613</v>
      </c>
      <c r="N2284" t="s">
        <v>313</v>
      </c>
    </row>
    <row r="2285" spans="1:14" hidden="1" x14ac:dyDescent="0.25">
      <c r="A2285" t="s">
        <v>10772</v>
      </c>
      <c r="B2285" t="s">
        <v>7262</v>
      </c>
      <c r="C2285" t="s">
        <v>2753</v>
      </c>
      <c r="D2285" t="s">
        <v>7263</v>
      </c>
      <c r="E2285" s="28" t="s">
        <v>890</v>
      </c>
      <c r="F2285" t="s">
        <v>7264</v>
      </c>
      <c r="G2285" t="s">
        <v>152</v>
      </c>
      <c r="M2285" s="28"/>
    </row>
    <row r="2286" spans="1:14" hidden="1" x14ac:dyDescent="0.25">
      <c r="A2286" t="s">
        <v>9860</v>
      </c>
      <c r="B2286" t="s">
        <v>5294</v>
      </c>
      <c r="C2286" t="s">
        <v>2753</v>
      </c>
      <c r="D2286" t="s">
        <v>5295</v>
      </c>
      <c r="E2286" s="28" t="s">
        <v>896</v>
      </c>
      <c r="F2286" t="s">
        <v>750</v>
      </c>
      <c r="G2286" t="s">
        <v>15</v>
      </c>
      <c r="M2286" s="28" t="s">
        <v>613</v>
      </c>
      <c r="N2286" t="s">
        <v>313</v>
      </c>
    </row>
    <row r="2287" spans="1:14" hidden="1" x14ac:dyDescent="0.25">
      <c r="A2287" t="s">
        <v>9859</v>
      </c>
      <c r="B2287" t="s">
        <v>5292</v>
      </c>
      <c r="C2287" t="s">
        <v>4570</v>
      </c>
      <c r="D2287" t="s">
        <v>5293</v>
      </c>
      <c r="E2287" s="28" t="s">
        <v>896</v>
      </c>
      <c r="F2287" t="s">
        <v>4610</v>
      </c>
      <c r="G2287" t="s">
        <v>15</v>
      </c>
      <c r="M2287" s="28" t="s">
        <v>613</v>
      </c>
      <c r="N2287" t="s">
        <v>313</v>
      </c>
    </row>
    <row r="2288" spans="1:14" hidden="1" x14ac:dyDescent="0.25">
      <c r="A2288" t="s">
        <v>9858</v>
      </c>
      <c r="B2288" t="s">
        <v>5289</v>
      </c>
      <c r="C2288" t="s">
        <v>5290</v>
      </c>
      <c r="D2288" t="s">
        <v>5291</v>
      </c>
      <c r="E2288" s="28" t="s">
        <v>896</v>
      </c>
      <c r="F2288" t="s">
        <v>195</v>
      </c>
      <c r="G2288" t="s">
        <v>15</v>
      </c>
      <c r="M2288" s="28" t="s">
        <v>613</v>
      </c>
      <c r="N2288" t="s">
        <v>313</v>
      </c>
    </row>
    <row r="2289" spans="1:14" hidden="1" x14ac:dyDescent="0.25">
      <c r="A2289" t="s">
        <v>8300</v>
      </c>
      <c r="B2289" t="s">
        <v>1869</v>
      </c>
      <c r="C2289" t="s">
        <v>1870</v>
      </c>
      <c r="D2289" t="s">
        <v>1871</v>
      </c>
      <c r="E2289" s="28" t="s">
        <v>896</v>
      </c>
      <c r="F2289" t="s">
        <v>1872</v>
      </c>
      <c r="G2289" t="s">
        <v>43</v>
      </c>
      <c r="M2289" s="28" t="s">
        <v>14205</v>
      </c>
    </row>
    <row r="2290" spans="1:14" hidden="1" x14ac:dyDescent="0.25">
      <c r="A2290" t="s">
        <v>13366</v>
      </c>
      <c r="B2290" t="s">
        <v>13367</v>
      </c>
      <c r="C2290" t="s">
        <v>4936</v>
      </c>
      <c r="D2290" t="s">
        <v>13368</v>
      </c>
      <c r="E2290" s="28" t="s">
        <v>890</v>
      </c>
      <c r="F2290" t="s">
        <v>11357</v>
      </c>
      <c r="G2290" t="s">
        <v>15</v>
      </c>
      <c r="M2290" s="28" t="s">
        <v>613</v>
      </c>
      <c r="N2290" t="s">
        <v>313</v>
      </c>
    </row>
    <row r="2291" spans="1:14" hidden="1" x14ac:dyDescent="0.25">
      <c r="A2291" t="s">
        <v>9857</v>
      </c>
      <c r="B2291" t="s">
        <v>5287</v>
      </c>
      <c r="C2291" t="s">
        <v>4922</v>
      </c>
      <c r="D2291" t="s">
        <v>5288</v>
      </c>
      <c r="E2291" s="28" t="s">
        <v>890</v>
      </c>
      <c r="F2291" t="s">
        <v>702</v>
      </c>
      <c r="G2291" t="s">
        <v>15</v>
      </c>
      <c r="M2291" s="28" t="s">
        <v>613</v>
      </c>
      <c r="N2291" t="s">
        <v>313</v>
      </c>
    </row>
    <row r="2292" spans="1:14" hidden="1" x14ac:dyDescent="0.25">
      <c r="A2292" t="s">
        <v>9855</v>
      </c>
      <c r="B2292" t="s">
        <v>5283</v>
      </c>
      <c r="C2292" t="s">
        <v>5284</v>
      </c>
      <c r="D2292" t="s">
        <v>5285</v>
      </c>
      <c r="E2292" s="28" t="s">
        <v>896</v>
      </c>
      <c r="F2292" t="s">
        <v>221</v>
      </c>
      <c r="G2292" t="s">
        <v>15</v>
      </c>
      <c r="M2292" s="28" t="s">
        <v>613</v>
      </c>
      <c r="N2292" t="s">
        <v>313</v>
      </c>
    </row>
    <row r="2293" spans="1:14" hidden="1" x14ac:dyDescent="0.25">
      <c r="A2293" t="s">
        <v>9856</v>
      </c>
      <c r="B2293" t="s">
        <v>5283</v>
      </c>
      <c r="C2293" t="s">
        <v>999</v>
      </c>
      <c r="D2293" t="s">
        <v>5286</v>
      </c>
      <c r="E2293" s="28" t="s">
        <v>890</v>
      </c>
      <c r="F2293" t="s">
        <v>221</v>
      </c>
      <c r="G2293" t="s">
        <v>15</v>
      </c>
      <c r="M2293" s="28" t="s">
        <v>613</v>
      </c>
      <c r="N2293" t="s">
        <v>313</v>
      </c>
    </row>
    <row r="2294" spans="1:14" hidden="1" x14ac:dyDescent="0.25">
      <c r="A2294" t="s">
        <v>9141</v>
      </c>
      <c r="B2294" t="s">
        <v>3793</v>
      </c>
      <c r="C2294" t="s">
        <v>3061</v>
      </c>
      <c r="D2294" t="s">
        <v>3794</v>
      </c>
      <c r="E2294" s="28" t="s">
        <v>890</v>
      </c>
      <c r="F2294" t="s">
        <v>891</v>
      </c>
      <c r="G2294" t="s">
        <v>88</v>
      </c>
      <c r="M2294" s="28" t="s">
        <v>549</v>
      </c>
      <c r="N2294" t="s">
        <v>313</v>
      </c>
    </row>
    <row r="2295" spans="1:14" hidden="1" x14ac:dyDescent="0.25">
      <c r="A2295" t="s">
        <v>9854</v>
      </c>
      <c r="B2295" t="s">
        <v>5281</v>
      </c>
      <c r="C2295" t="s">
        <v>4557</v>
      </c>
      <c r="D2295" t="s">
        <v>5282</v>
      </c>
      <c r="E2295" s="28" t="s">
        <v>896</v>
      </c>
      <c r="F2295" t="s">
        <v>625</v>
      </c>
      <c r="G2295" t="s">
        <v>15</v>
      </c>
      <c r="M2295" s="28" t="s">
        <v>613</v>
      </c>
      <c r="N2295" t="s">
        <v>313</v>
      </c>
    </row>
    <row r="2296" spans="1:14" hidden="1" x14ac:dyDescent="0.25">
      <c r="A2296" t="s">
        <v>9853</v>
      </c>
      <c r="B2296" t="s">
        <v>5279</v>
      </c>
      <c r="C2296" t="s">
        <v>4821</v>
      </c>
      <c r="D2296" t="s">
        <v>5280</v>
      </c>
      <c r="E2296" s="28" t="s">
        <v>896</v>
      </c>
      <c r="F2296" t="s">
        <v>197</v>
      </c>
      <c r="G2296" t="s">
        <v>15</v>
      </c>
      <c r="M2296" s="28" t="s">
        <v>613</v>
      </c>
      <c r="N2296" t="s">
        <v>313</v>
      </c>
    </row>
    <row r="2297" spans="1:14" hidden="1" x14ac:dyDescent="0.25">
      <c r="A2297" t="s">
        <v>9852</v>
      </c>
      <c r="B2297" t="s">
        <v>5277</v>
      </c>
      <c r="C2297" t="s">
        <v>909</v>
      </c>
      <c r="D2297" t="s">
        <v>5278</v>
      </c>
      <c r="E2297" s="28" t="s">
        <v>896</v>
      </c>
      <c r="F2297" t="s">
        <v>13355</v>
      </c>
      <c r="G2297" t="s">
        <v>15</v>
      </c>
      <c r="M2297" s="28" t="s">
        <v>613</v>
      </c>
      <c r="N2297" t="s">
        <v>313</v>
      </c>
    </row>
    <row r="2298" spans="1:14" hidden="1" x14ac:dyDescent="0.25">
      <c r="A2298" t="s">
        <v>9142</v>
      </c>
      <c r="B2298" t="s">
        <v>3795</v>
      </c>
      <c r="C2298" t="s">
        <v>3796</v>
      </c>
      <c r="D2298" t="s">
        <v>3797</v>
      </c>
      <c r="E2298" s="28" t="s">
        <v>890</v>
      </c>
      <c r="F2298" t="s">
        <v>891</v>
      </c>
      <c r="G2298" t="s">
        <v>88</v>
      </c>
      <c r="M2298" s="28" t="s">
        <v>549</v>
      </c>
      <c r="N2298" t="s">
        <v>313</v>
      </c>
    </row>
    <row r="2299" spans="1:14" hidden="1" x14ac:dyDescent="0.25">
      <c r="A2299" t="s">
        <v>9143</v>
      </c>
      <c r="B2299" t="s">
        <v>3798</v>
      </c>
      <c r="C2299" t="s">
        <v>3799</v>
      </c>
      <c r="D2299" t="s">
        <v>3800</v>
      </c>
      <c r="E2299" s="28" t="s">
        <v>890</v>
      </c>
      <c r="F2299" t="s">
        <v>891</v>
      </c>
      <c r="G2299" t="s">
        <v>88</v>
      </c>
      <c r="M2299" s="28" t="s">
        <v>549</v>
      </c>
      <c r="N2299" t="s">
        <v>313</v>
      </c>
    </row>
    <row r="2300" spans="1:14" hidden="1" x14ac:dyDescent="0.25">
      <c r="A2300" t="s">
        <v>11459</v>
      </c>
      <c r="B2300" t="s">
        <v>6512</v>
      </c>
      <c r="C2300" t="s">
        <v>11460</v>
      </c>
      <c r="D2300" t="s">
        <v>11461</v>
      </c>
      <c r="E2300" s="28" t="s">
        <v>890</v>
      </c>
      <c r="F2300" t="s">
        <v>6490</v>
      </c>
      <c r="G2300" t="s">
        <v>125</v>
      </c>
      <c r="M2300" s="28" t="s">
        <v>6491</v>
      </c>
      <c r="N2300" t="s">
        <v>313</v>
      </c>
    </row>
    <row r="2301" spans="1:14" hidden="1" x14ac:dyDescent="0.25">
      <c r="A2301" t="s">
        <v>11466</v>
      </c>
      <c r="B2301" t="s">
        <v>6512</v>
      </c>
      <c r="C2301" t="s">
        <v>11467</v>
      </c>
      <c r="D2301" t="s">
        <v>11468</v>
      </c>
      <c r="E2301" s="28" t="s">
        <v>890</v>
      </c>
      <c r="F2301" t="s">
        <v>6490</v>
      </c>
      <c r="G2301" t="s">
        <v>125</v>
      </c>
      <c r="M2301" s="28" t="s">
        <v>6491</v>
      </c>
      <c r="N2301" t="s">
        <v>313</v>
      </c>
    </row>
    <row r="2302" spans="1:14" hidden="1" x14ac:dyDescent="0.25">
      <c r="A2302" t="s">
        <v>10459</v>
      </c>
      <c r="B2302" t="s">
        <v>6512</v>
      </c>
      <c r="C2302" t="s">
        <v>2237</v>
      </c>
      <c r="D2302" t="s">
        <v>6513</v>
      </c>
      <c r="E2302" s="28" t="s">
        <v>896</v>
      </c>
      <c r="F2302" t="s">
        <v>6490</v>
      </c>
      <c r="G2302" t="s">
        <v>125</v>
      </c>
      <c r="M2302" s="28" t="s">
        <v>6491</v>
      </c>
      <c r="N2302" t="s">
        <v>313</v>
      </c>
    </row>
    <row r="2303" spans="1:14" hidden="1" x14ac:dyDescent="0.25">
      <c r="A2303" t="s">
        <v>8192</v>
      </c>
      <c r="B2303" t="s">
        <v>1599</v>
      </c>
      <c r="C2303" t="s">
        <v>1600</v>
      </c>
      <c r="D2303" t="s">
        <v>1601</v>
      </c>
      <c r="E2303" s="28" t="s">
        <v>890</v>
      </c>
      <c r="F2303" t="s">
        <v>69</v>
      </c>
      <c r="G2303" t="s">
        <v>38</v>
      </c>
      <c r="M2303" s="28"/>
    </row>
    <row r="2304" spans="1:14" hidden="1" x14ac:dyDescent="0.25">
      <c r="A2304" t="s">
        <v>12948</v>
      </c>
      <c r="B2304" t="s">
        <v>12949</v>
      </c>
      <c r="C2304" t="s">
        <v>12950</v>
      </c>
      <c r="D2304" t="s">
        <v>12951</v>
      </c>
      <c r="E2304" s="28" t="s">
        <v>896</v>
      </c>
      <c r="F2304" t="s">
        <v>646</v>
      </c>
      <c r="G2304" t="s">
        <v>15</v>
      </c>
      <c r="M2304" s="28" t="s">
        <v>613</v>
      </c>
      <c r="N2304" t="s">
        <v>313</v>
      </c>
    </row>
    <row r="2305" spans="1:14" hidden="1" x14ac:dyDescent="0.25">
      <c r="A2305" t="s">
        <v>13821</v>
      </c>
      <c r="B2305" t="s">
        <v>13822</v>
      </c>
      <c r="C2305" t="s">
        <v>13823</v>
      </c>
      <c r="D2305" t="s">
        <v>13824</v>
      </c>
      <c r="E2305" s="28" t="s">
        <v>1177</v>
      </c>
      <c r="F2305" t="s">
        <v>4802</v>
      </c>
      <c r="G2305" t="s">
        <v>15</v>
      </c>
      <c r="M2305" s="28" t="s">
        <v>613</v>
      </c>
      <c r="N2305" t="s">
        <v>313</v>
      </c>
    </row>
    <row r="2306" spans="1:14" hidden="1" x14ac:dyDescent="0.25">
      <c r="A2306" t="s">
        <v>9144</v>
      </c>
      <c r="B2306" t="s">
        <v>3801</v>
      </c>
      <c r="C2306" t="s">
        <v>3738</v>
      </c>
      <c r="D2306" t="s">
        <v>3802</v>
      </c>
      <c r="E2306" s="28" t="s">
        <v>890</v>
      </c>
      <c r="F2306" t="s">
        <v>891</v>
      </c>
      <c r="G2306" t="s">
        <v>88</v>
      </c>
      <c r="M2306" s="28" t="s">
        <v>549</v>
      </c>
      <c r="N2306" t="s">
        <v>313</v>
      </c>
    </row>
    <row r="2307" spans="1:14" hidden="1" x14ac:dyDescent="0.25">
      <c r="A2307" t="s">
        <v>11996</v>
      </c>
      <c r="B2307" t="s">
        <v>1669</v>
      </c>
      <c r="C2307" t="s">
        <v>11955</v>
      </c>
      <c r="D2307" t="s">
        <v>11997</v>
      </c>
      <c r="E2307" s="28" t="s">
        <v>1023</v>
      </c>
      <c r="F2307" t="s">
        <v>813</v>
      </c>
      <c r="G2307" t="s">
        <v>137</v>
      </c>
      <c r="M2307" s="28" t="s">
        <v>805</v>
      </c>
      <c r="N2307" t="s">
        <v>313</v>
      </c>
    </row>
    <row r="2308" spans="1:14" hidden="1" x14ac:dyDescent="0.25">
      <c r="A2308" t="s">
        <v>10511</v>
      </c>
      <c r="B2308" t="s">
        <v>1669</v>
      </c>
      <c r="C2308" t="s">
        <v>6690</v>
      </c>
      <c r="D2308" t="s">
        <v>6691</v>
      </c>
      <c r="E2308" s="28" t="s">
        <v>890</v>
      </c>
      <c r="F2308" t="s">
        <v>891</v>
      </c>
      <c r="G2308" t="s">
        <v>137</v>
      </c>
      <c r="M2308" s="28" t="s">
        <v>805</v>
      </c>
      <c r="N2308" t="s">
        <v>313</v>
      </c>
    </row>
    <row r="2309" spans="1:14" hidden="1" x14ac:dyDescent="0.25">
      <c r="A2309" t="s">
        <v>8219</v>
      </c>
      <c r="B2309" t="s">
        <v>1669</v>
      </c>
      <c r="C2309" t="s">
        <v>1670</v>
      </c>
      <c r="D2309" t="s">
        <v>1671</v>
      </c>
      <c r="E2309" s="28" t="s">
        <v>896</v>
      </c>
      <c r="F2309" t="s">
        <v>352</v>
      </c>
      <c r="G2309" t="s">
        <v>43</v>
      </c>
      <c r="M2309" s="28" t="s">
        <v>14205</v>
      </c>
    </row>
    <row r="2310" spans="1:14" hidden="1" x14ac:dyDescent="0.25">
      <c r="A2310" t="s">
        <v>8599</v>
      </c>
      <c r="B2310" t="s">
        <v>2599</v>
      </c>
      <c r="C2310" t="s">
        <v>2600</v>
      </c>
      <c r="D2310" t="s">
        <v>2601</v>
      </c>
      <c r="E2310" s="28" t="s">
        <v>896</v>
      </c>
      <c r="F2310" t="s">
        <v>158</v>
      </c>
      <c r="G2310" t="s">
        <v>74</v>
      </c>
      <c r="M2310" s="28" t="s">
        <v>507</v>
      </c>
      <c r="N2310" t="s">
        <v>313</v>
      </c>
    </row>
    <row r="2311" spans="1:14" hidden="1" x14ac:dyDescent="0.25">
      <c r="A2311" t="s">
        <v>8687</v>
      </c>
      <c r="B2311" t="s">
        <v>2825</v>
      </c>
      <c r="C2311" t="s">
        <v>2826</v>
      </c>
      <c r="D2311" t="s">
        <v>2827</v>
      </c>
      <c r="E2311" s="28" t="s">
        <v>1177</v>
      </c>
      <c r="F2311" t="s">
        <v>2625</v>
      </c>
      <c r="G2311" t="s">
        <v>74</v>
      </c>
      <c r="M2311" s="28" t="s">
        <v>507</v>
      </c>
      <c r="N2311" t="s">
        <v>313</v>
      </c>
    </row>
    <row r="2312" spans="1:14" hidden="1" x14ac:dyDescent="0.25">
      <c r="A2312" t="s">
        <v>10622</v>
      </c>
      <c r="B2312" t="s">
        <v>6888</v>
      </c>
      <c r="C2312" t="s">
        <v>1134</v>
      </c>
      <c r="D2312" t="s">
        <v>6889</v>
      </c>
      <c r="E2312" s="28" t="s">
        <v>896</v>
      </c>
      <c r="F2312" t="s">
        <v>836</v>
      </c>
      <c r="G2312" t="s">
        <v>145</v>
      </c>
      <c r="M2312" s="28" t="s">
        <v>13222</v>
      </c>
      <c r="N2312" t="s">
        <v>313</v>
      </c>
    </row>
    <row r="2313" spans="1:14" hidden="1" x14ac:dyDescent="0.25">
      <c r="A2313" t="s">
        <v>8486</v>
      </c>
      <c r="B2313" t="s">
        <v>2331</v>
      </c>
      <c r="C2313" t="s">
        <v>2332</v>
      </c>
      <c r="D2313" t="s">
        <v>2333</v>
      </c>
      <c r="E2313" s="28" t="s">
        <v>890</v>
      </c>
      <c r="F2313" t="s">
        <v>408</v>
      </c>
      <c r="G2313" t="s">
        <v>65</v>
      </c>
      <c r="M2313" s="28" t="s">
        <v>14209</v>
      </c>
    </row>
    <row r="2314" spans="1:14" hidden="1" x14ac:dyDescent="0.25">
      <c r="A2314" t="s">
        <v>8497</v>
      </c>
      <c r="B2314" t="s">
        <v>2331</v>
      </c>
      <c r="C2314" t="s">
        <v>2357</v>
      </c>
      <c r="D2314" t="s">
        <v>2358</v>
      </c>
      <c r="E2314" s="28" t="s">
        <v>930</v>
      </c>
      <c r="F2314" t="s">
        <v>408</v>
      </c>
      <c r="G2314" t="s">
        <v>65</v>
      </c>
      <c r="M2314" s="28" t="s">
        <v>14209</v>
      </c>
    </row>
    <row r="2315" spans="1:14" hidden="1" x14ac:dyDescent="0.25">
      <c r="A2315" t="s">
        <v>8498</v>
      </c>
      <c r="B2315" t="s">
        <v>2331</v>
      </c>
      <c r="C2315" t="s">
        <v>2359</v>
      </c>
      <c r="D2315" t="s">
        <v>2360</v>
      </c>
      <c r="E2315" s="28" t="s">
        <v>1177</v>
      </c>
      <c r="F2315" t="s">
        <v>408</v>
      </c>
      <c r="G2315" t="s">
        <v>65</v>
      </c>
      <c r="M2315" s="28" t="s">
        <v>14209</v>
      </c>
    </row>
    <row r="2316" spans="1:14" hidden="1" x14ac:dyDescent="0.25">
      <c r="A2316" t="s">
        <v>8496</v>
      </c>
      <c r="B2316" t="s">
        <v>2331</v>
      </c>
      <c r="C2316" t="s">
        <v>2355</v>
      </c>
      <c r="D2316" t="s">
        <v>2356</v>
      </c>
      <c r="E2316" s="28" t="s">
        <v>1023</v>
      </c>
      <c r="F2316" t="s">
        <v>408</v>
      </c>
      <c r="G2316" t="s">
        <v>65</v>
      </c>
      <c r="M2316" s="28" t="s">
        <v>14209</v>
      </c>
    </row>
    <row r="2317" spans="1:14" hidden="1" x14ac:dyDescent="0.25">
      <c r="A2317" t="s">
        <v>10579</v>
      </c>
      <c r="B2317" t="s">
        <v>1179</v>
      </c>
      <c r="C2317" t="s">
        <v>1676</v>
      </c>
      <c r="D2317" t="s">
        <v>6813</v>
      </c>
      <c r="E2317" s="28" t="s">
        <v>896</v>
      </c>
      <c r="F2317" t="s">
        <v>6631</v>
      </c>
      <c r="G2317" t="s">
        <v>137</v>
      </c>
      <c r="M2317" s="28" t="s">
        <v>805</v>
      </c>
      <c r="N2317" t="s">
        <v>313</v>
      </c>
    </row>
    <row r="2318" spans="1:14" hidden="1" x14ac:dyDescent="0.25">
      <c r="A2318" t="s">
        <v>14341</v>
      </c>
      <c r="B2318" t="s">
        <v>1179</v>
      </c>
      <c r="C2318" t="s">
        <v>11754</v>
      </c>
      <c r="D2318" t="s">
        <v>11755</v>
      </c>
      <c r="E2318" s="28" t="s">
        <v>1023</v>
      </c>
      <c r="F2318" t="s">
        <v>13197</v>
      </c>
      <c r="G2318" t="s">
        <v>81</v>
      </c>
      <c r="M2318" s="28" t="s">
        <v>530</v>
      </c>
      <c r="N2318" t="s">
        <v>313</v>
      </c>
    </row>
    <row r="2319" spans="1:14" hidden="1" x14ac:dyDescent="0.25">
      <c r="A2319" t="s">
        <v>14524</v>
      </c>
      <c r="B2319" t="s">
        <v>1179</v>
      </c>
      <c r="C2319" t="s">
        <v>1450</v>
      </c>
      <c r="D2319" t="s">
        <v>14525</v>
      </c>
      <c r="E2319" s="28" t="s">
        <v>896</v>
      </c>
      <c r="F2319" t="s">
        <v>891</v>
      </c>
      <c r="G2319" t="s">
        <v>11</v>
      </c>
      <c r="M2319" s="28" t="s">
        <v>413</v>
      </c>
      <c r="N2319" t="s">
        <v>313</v>
      </c>
    </row>
    <row r="2320" spans="1:14" hidden="1" x14ac:dyDescent="0.25">
      <c r="A2320" t="s">
        <v>14526</v>
      </c>
      <c r="B2320" t="s">
        <v>992</v>
      </c>
      <c r="C2320" t="s">
        <v>14527</v>
      </c>
      <c r="D2320" t="s">
        <v>14528</v>
      </c>
      <c r="E2320" s="28" t="s">
        <v>1177</v>
      </c>
      <c r="F2320" t="s">
        <v>516</v>
      </c>
      <c r="G2320" t="s">
        <v>74</v>
      </c>
      <c r="M2320" s="28" t="s">
        <v>507</v>
      </c>
      <c r="N2320" t="s">
        <v>313</v>
      </c>
    </row>
    <row r="2321" spans="1:14" hidden="1" x14ac:dyDescent="0.25">
      <c r="A2321" t="s">
        <v>8671</v>
      </c>
      <c r="B2321" t="s">
        <v>992</v>
      </c>
      <c r="C2321" t="s">
        <v>1694</v>
      </c>
      <c r="D2321" t="s">
        <v>2791</v>
      </c>
      <c r="E2321" s="28" t="s">
        <v>896</v>
      </c>
      <c r="F2321" t="s">
        <v>523</v>
      </c>
      <c r="G2321" t="s">
        <v>74</v>
      </c>
      <c r="M2321" s="28" t="s">
        <v>507</v>
      </c>
      <c r="N2321" t="s">
        <v>313</v>
      </c>
    </row>
    <row r="2322" spans="1:14" hidden="1" x14ac:dyDescent="0.25">
      <c r="A2322" t="s">
        <v>13825</v>
      </c>
      <c r="B2322" t="s">
        <v>13826</v>
      </c>
      <c r="C2322" t="s">
        <v>1121</v>
      </c>
      <c r="D2322" t="s">
        <v>13827</v>
      </c>
      <c r="E2322" s="28" t="s">
        <v>1177</v>
      </c>
      <c r="F2322" t="s">
        <v>676</v>
      </c>
      <c r="G2322" t="s">
        <v>15</v>
      </c>
      <c r="M2322" s="28" t="s">
        <v>613</v>
      </c>
      <c r="N2322" t="s">
        <v>313</v>
      </c>
    </row>
    <row r="2323" spans="1:14" hidden="1" x14ac:dyDescent="0.25">
      <c r="A2323" t="s">
        <v>14529</v>
      </c>
      <c r="B2323" t="s">
        <v>13826</v>
      </c>
      <c r="C2323" t="s">
        <v>14530</v>
      </c>
      <c r="D2323" t="s">
        <v>14531</v>
      </c>
      <c r="E2323" s="28" t="s">
        <v>890</v>
      </c>
      <c r="F2323" t="s">
        <v>676</v>
      </c>
      <c r="G2323" t="s">
        <v>15</v>
      </c>
      <c r="M2323" s="28" t="s">
        <v>613</v>
      </c>
      <c r="N2323" t="s">
        <v>313</v>
      </c>
    </row>
    <row r="2324" spans="1:14" hidden="1" x14ac:dyDescent="0.25">
      <c r="A2324" t="s">
        <v>9851</v>
      </c>
      <c r="B2324" t="s">
        <v>5275</v>
      </c>
      <c r="C2324" t="s">
        <v>909</v>
      </c>
      <c r="D2324" t="s">
        <v>5276</v>
      </c>
      <c r="E2324" s="28" t="s">
        <v>890</v>
      </c>
      <c r="F2324" t="s">
        <v>659</v>
      </c>
      <c r="G2324" t="s">
        <v>15</v>
      </c>
      <c r="M2324" s="28" t="s">
        <v>613</v>
      </c>
      <c r="N2324" t="s">
        <v>313</v>
      </c>
    </row>
    <row r="2325" spans="1:14" hidden="1" x14ac:dyDescent="0.25">
      <c r="A2325" t="s">
        <v>8754</v>
      </c>
      <c r="B2325" t="s">
        <v>2982</v>
      </c>
      <c r="C2325" t="s">
        <v>2638</v>
      </c>
      <c r="D2325" t="s">
        <v>2983</v>
      </c>
      <c r="E2325" s="28" t="s">
        <v>896</v>
      </c>
      <c r="F2325" t="s">
        <v>543</v>
      </c>
      <c r="G2325" t="s">
        <v>86</v>
      </c>
      <c r="M2325" s="28" t="s">
        <v>546</v>
      </c>
      <c r="N2325" t="s">
        <v>313</v>
      </c>
    </row>
    <row r="2326" spans="1:14" hidden="1" x14ac:dyDescent="0.25">
      <c r="A2326" t="s">
        <v>8655</v>
      </c>
      <c r="B2326" t="s">
        <v>1001</v>
      </c>
      <c r="C2326" t="s">
        <v>2748</v>
      </c>
      <c r="D2326" t="s">
        <v>2749</v>
      </c>
      <c r="E2326" s="28" t="s">
        <v>890</v>
      </c>
      <c r="F2326" t="s">
        <v>172</v>
      </c>
      <c r="G2326" t="s">
        <v>74</v>
      </c>
      <c r="M2326" s="28" t="s">
        <v>507</v>
      </c>
      <c r="N2326" t="s">
        <v>313</v>
      </c>
    </row>
    <row r="2327" spans="1:14" hidden="1" x14ac:dyDescent="0.25">
      <c r="A2327" t="s">
        <v>8598</v>
      </c>
      <c r="B2327" t="s">
        <v>1001</v>
      </c>
      <c r="C2327" t="s">
        <v>2596</v>
      </c>
      <c r="D2327" t="s">
        <v>2597</v>
      </c>
      <c r="E2327" s="28" t="s">
        <v>896</v>
      </c>
      <c r="F2327" t="s">
        <v>2598</v>
      </c>
      <c r="G2327" t="s">
        <v>74</v>
      </c>
      <c r="M2327" s="28" t="s">
        <v>507</v>
      </c>
      <c r="N2327" t="s">
        <v>313</v>
      </c>
    </row>
    <row r="2328" spans="1:14" hidden="1" x14ac:dyDescent="0.25">
      <c r="A2328" t="s">
        <v>7980</v>
      </c>
      <c r="B2328" t="s">
        <v>1001</v>
      </c>
      <c r="C2328" t="s">
        <v>1007</v>
      </c>
      <c r="D2328" t="s">
        <v>1008</v>
      </c>
      <c r="E2328" s="28" t="s">
        <v>890</v>
      </c>
      <c r="F2328" t="s">
        <v>1004</v>
      </c>
      <c r="G2328" t="s">
        <v>28</v>
      </c>
      <c r="M2328" s="28" t="s">
        <v>14241</v>
      </c>
      <c r="N2328" t="s">
        <v>14206</v>
      </c>
    </row>
    <row r="2329" spans="1:14" hidden="1" x14ac:dyDescent="0.25">
      <c r="A2329" t="s">
        <v>7985</v>
      </c>
      <c r="B2329" t="s">
        <v>1001</v>
      </c>
      <c r="C2329" t="s">
        <v>1021</v>
      </c>
      <c r="D2329" t="s">
        <v>1022</v>
      </c>
      <c r="E2329" s="28" t="s">
        <v>930</v>
      </c>
      <c r="F2329" t="s">
        <v>1004</v>
      </c>
      <c r="G2329" t="s">
        <v>28</v>
      </c>
      <c r="M2329" s="28" t="s">
        <v>14241</v>
      </c>
      <c r="N2329" t="s">
        <v>14206</v>
      </c>
    </row>
    <row r="2330" spans="1:14" hidden="1" x14ac:dyDescent="0.25">
      <c r="A2330" t="s">
        <v>7978</v>
      </c>
      <c r="B2330" t="s">
        <v>1001</v>
      </c>
      <c r="C2330" t="s">
        <v>1002</v>
      </c>
      <c r="D2330" t="s">
        <v>1003</v>
      </c>
      <c r="E2330" s="28" t="s">
        <v>896</v>
      </c>
      <c r="F2330" t="s">
        <v>1004</v>
      </c>
      <c r="G2330" t="s">
        <v>28</v>
      </c>
      <c r="M2330" s="28" t="s">
        <v>14241</v>
      </c>
      <c r="N2330" t="s">
        <v>14206</v>
      </c>
    </row>
    <row r="2331" spans="1:14" hidden="1" x14ac:dyDescent="0.25">
      <c r="A2331" t="s">
        <v>7979</v>
      </c>
      <c r="B2331" t="s">
        <v>1001</v>
      </c>
      <c r="C2331" t="s">
        <v>1005</v>
      </c>
      <c r="D2331" t="s">
        <v>1006</v>
      </c>
      <c r="E2331" s="28" t="s">
        <v>896</v>
      </c>
      <c r="F2331" t="s">
        <v>1004</v>
      </c>
      <c r="G2331" t="s">
        <v>28</v>
      </c>
      <c r="M2331" s="28" t="s">
        <v>14241</v>
      </c>
      <c r="N2331" t="s">
        <v>14206</v>
      </c>
    </row>
    <row r="2332" spans="1:14" hidden="1" x14ac:dyDescent="0.25">
      <c r="A2332" t="s">
        <v>14342</v>
      </c>
      <c r="B2332" t="s">
        <v>14343</v>
      </c>
      <c r="C2332" t="s">
        <v>2029</v>
      </c>
      <c r="D2332" t="s">
        <v>14344</v>
      </c>
      <c r="E2332" s="28" t="s">
        <v>896</v>
      </c>
      <c r="F2332" t="s">
        <v>11890</v>
      </c>
      <c r="G2332" t="s">
        <v>110</v>
      </c>
      <c r="M2332" s="28" t="s">
        <v>13563</v>
      </c>
      <c r="N2332" t="s">
        <v>279</v>
      </c>
    </row>
    <row r="2333" spans="1:14" hidden="1" x14ac:dyDescent="0.25">
      <c r="A2333" t="s">
        <v>10563</v>
      </c>
      <c r="B2333" t="s">
        <v>1808</v>
      </c>
      <c r="C2333" t="s">
        <v>1710</v>
      </c>
      <c r="D2333" t="s">
        <v>6784</v>
      </c>
      <c r="E2333" s="28" t="s">
        <v>930</v>
      </c>
      <c r="F2333" t="s">
        <v>813</v>
      </c>
      <c r="G2333" t="s">
        <v>137</v>
      </c>
      <c r="M2333" s="28" t="s">
        <v>805</v>
      </c>
      <c r="N2333" t="s">
        <v>313</v>
      </c>
    </row>
    <row r="2334" spans="1:14" hidden="1" x14ac:dyDescent="0.25">
      <c r="A2334" t="s">
        <v>8273</v>
      </c>
      <c r="B2334" t="s">
        <v>1808</v>
      </c>
      <c r="C2334" t="s">
        <v>1809</v>
      </c>
      <c r="D2334" t="s">
        <v>1810</v>
      </c>
      <c r="E2334" s="28" t="s">
        <v>890</v>
      </c>
      <c r="F2334" t="s">
        <v>369</v>
      </c>
      <c r="G2334" t="s">
        <v>43</v>
      </c>
      <c r="M2334" s="28" t="s">
        <v>14205</v>
      </c>
    </row>
    <row r="2335" spans="1:14" hidden="1" x14ac:dyDescent="0.25">
      <c r="A2335" t="s">
        <v>10836</v>
      </c>
      <c r="B2335" t="s">
        <v>7407</v>
      </c>
      <c r="C2335" t="s">
        <v>1519</v>
      </c>
      <c r="D2335" t="s">
        <v>7408</v>
      </c>
      <c r="E2335" s="28" t="s">
        <v>890</v>
      </c>
      <c r="F2335" t="s">
        <v>263</v>
      </c>
      <c r="G2335" t="s">
        <v>157</v>
      </c>
      <c r="M2335" s="28" t="s">
        <v>840</v>
      </c>
      <c r="N2335" t="s">
        <v>382</v>
      </c>
    </row>
    <row r="2336" spans="1:14" hidden="1" x14ac:dyDescent="0.25">
      <c r="A2336" t="s">
        <v>14345</v>
      </c>
      <c r="B2336" t="s">
        <v>14346</v>
      </c>
      <c r="C2336" t="s">
        <v>14347</v>
      </c>
      <c r="D2336" t="s">
        <v>14348</v>
      </c>
      <c r="E2336" s="28" t="s">
        <v>896</v>
      </c>
      <c r="F2336" t="s">
        <v>11889</v>
      </c>
      <c r="G2336" t="s">
        <v>110</v>
      </c>
      <c r="M2336" s="28" t="s">
        <v>13563</v>
      </c>
      <c r="N2336" t="s">
        <v>279</v>
      </c>
    </row>
    <row r="2337" spans="1:14" hidden="1" x14ac:dyDescent="0.25">
      <c r="A2337" t="s">
        <v>9850</v>
      </c>
      <c r="B2337" t="s">
        <v>5273</v>
      </c>
      <c r="C2337" t="s">
        <v>4676</v>
      </c>
      <c r="D2337" t="s">
        <v>5274</v>
      </c>
      <c r="E2337" s="28" t="s">
        <v>896</v>
      </c>
      <c r="F2337" t="s">
        <v>721</v>
      </c>
      <c r="G2337" t="s">
        <v>15</v>
      </c>
      <c r="M2337" s="28" t="s">
        <v>613</v>
      </c>
      <c r="N2337" t="s">
        <v>313</v>
      </c>
    </row>
    <row r="2338" spans="1:14" hidden="1" x14ac:dyDescent="0.25">
      <c r="A2338" t="s">
        <v>9849</v>
      </c>
      <c r="B2338" t="s">
        <v>5271</v>
      </c>
      <c r="C2338" t="s">
        <v>4922</v>
      </c>
      <c r="D2338" t="s">
        <v>5272</v>
      </c>
      <c r="E2338" s="28" t="s">
        <v>896</v>
      </c>
      <c r="F2338" t="s">
        <v>13828</v>
      </c>
      <c r="G2338" t="s">
        <v>15</v>
      </c>
      <c r="M2338" s="28" t="s">
        <v>613</v>
      </c>
      <c r="N2338" t="s">
        <v>313</v>
      </c>
    </row>
    <row r="2339" spans="1:14" hidden="1" x14ac:dyDescent="0.25">
      <c r="A2339" t="s">
        <v>9848</v>
      </c>
      <c r="B2339" t="s">
        <v>5269</v>
      </c>
      <c r="C2339" t="s">
        <v>1224</v>
      </c>
      <c r="D2339" t="s">
        <v>5270</v>
      </c>
      <c r="E2339" s="28" t="s">
        <v>890</v>
      </c>
      <c r="F2339" t="s">
        <v>4555</v>
      </c>
      <c r="G2339" t="s">
        <v>15</v>
      </c>
      <c r="M2339" s="28" t="s">
        <v>613</v>
      </c>
      <c r="N2339" t="s">
        <v>313</v>
      </c>
    </row>
    <row r="2340" spans="1:14" hidden="1" x14ac:dyDescent="0.25">
      <c r="A2340" t="s">
        <v>13829</v>
      </c>
      <c r="B2340" t="s">
        <v>13830</v>
      </c>
      <c r="C2340" t="s">
        <v>1121</v>
      </c>
      <c r="D2340" t="s">
        <v>13831</v>
      </c>
      <c r="E2340" s="28" t="s">
        <v>890</v>
      </c>
      <c r="F2340" t="s">
        <v>651</v>
      </c>
      <c r="G2340" t="s">
        <v>15</v>
      </c>
      <c r="M2340" s="28" t="s">
        <v>613</v>
      </c>
      <c r="N2340" t="s">
        <v>313</v>
      </c>
    </row>
    <row r="2341" spans="1:14" hidden="1" x14ac:dyDescent="0.25">
      <c r="A2341" t="s">
        <v>9847</v>
      </c>
      <c r="B2341" t="s">
        <v>5266</v>
      </c>
      <c r="C2341" t="s">
        <v>5267</v>
      </c>
      <c r="D2341" t="s">
        <v>5268</v>
      </c>
      <c r="E2341" s="28" t="s">
        <v>890</v>
      </c>
      <c r="F2341" t="s">
        <v>208</v>
      </c>
      <c r="G2341" t="s">
        <v>15</v>
      </c>
      <c r="M2341" s="28" t="s">
        <v>613</v>
      </c>
      <c r="N2341" t="s">
        <v>313</v>
      </c>
    </row>
    <row r="2342" spans="1:14" hidden="1" x14ac:dyDescent="0.25">
      <c r="A2342" t="s">
        <v>8680</v>
      </c>
      <c r="B2342" t="s">
        <v>2807</v>
      </c>
      <c r="C2342" t="s">
        <v>2808</v>
      </c>
      <c r="D2342" t="s">
        <v>2809</v>
      </c>
      <c r="E2342" s="28" t="s">
        <v>890</v>
      </c>
      <c r="F2342" t="s">
        <v>2625</v>
      </c>
      <c r="G2342" t="s">
        <v>74</v>
      </c>
      <c r="M2342" s="28" t="s">
        <v>507</v>
      </c>
      <c r="N2342" t="s">
        <v>313</v>
      </c>
    </row>
    <row r="2343" spans="1:14" hidden="1" x14ac:dyDescent="0.25">
      <c r="A2343" t="s">
        <v>8116</v>
      </c>
      <c r="B2343" t="s">
        <v>1411</v>
      </c>
      <c r="C2343" t="s">
        <v>1412</v>
      </c>
      <c r="D2343" t="s">
        <v>1413</v>
      </c>
      <c r="E2343" s="28" t="s">
        <v>896</v>
      </c>
      <c r="F2343" t="s">
        <v>78</v>
      </c>
      <c r="G2343" t="s">
        <v>38</v>
      </c>
      <c r="M2343" s="28"/>
    </row>
    <row r="2344" spans="1:14" hidden="1" x14ac:dyDescent="0.25">
      <c r="A2344" t="s">
        <v>13832</v>
      </c>
      <c r="B2344" t="s">
        <v>13833</v>
      </c>
      <c r="C2344" t="s">
        <v>11702</v>
      </c>
      <c r="D2344" t="s">
        <v>13834</v>
      </c>
      <c r="E2344" s="28" t="s">
        <v>896</v>
      </c>
      <c r="F2344" t="s">
        <v>4837</v>
      </c>
      <c r="G2344" t="s">
        <v>15</v>
      </c>
      <c r="M2344" s="28" t="s">
        <v>613</v>
      </c>
      <c r="N2344" t="s">
        <v>313</v>
      </c>
    </row>
    <row r="2345" spans="1:14" hidden="1" x14ac:dyDescent="0.25">
      <c r="A2345" t="s">
        <v>9846</v>
      </c>
      <c r="B2345" t="s">
        <v>5264</v>
      </c>
      <c r="C2345" t="s">
        <v>999</v>
      </c>
      <c r="D2345" t="s">
        <v>5265</v>
      </c>
      <c r="E2345" s="28" t="s">
        <v>896</v>
      </c>
      <c r="F2345" t="s">
        <v>4909</v>
      </c>
      <c r="G2345" t="s">
        <v>15</v>
      </c>
      <c r="M2345" s="28" t="s">
        <v>613</v>
      </c>
      <c r="N2345" t="s">
        <v>313</v>
      </c>
    </row>
    <row r="2346" spans="1:14" hidden="1" x14ac:dyDescent="0.25">
      <c r="A2346" t="s">
        <v>9845</v>
      </c>
      <c r="B2346" t="s">
        <v>5262</v>
      </c>
      <c r="C2346" t="s">
        <v>1121</v>
      </c>
      <c r="D2346" t="s">
        <v>5263</v>
      </c>
      <c r="E2346" s="28" t="s">
        <v>896</v>
      </c>
      <c r="F2346" t="s">
        <v>623</v>
      </c>
      <c r="G2346" t="s">
        <v>15</v>
      </c>
      <c r="M2346" s="28" t="s">
        <v>613</v>
      </c>
      <c r="N2346" t="s">
        <v>313</v>
      </c>
    </row>
    <row r="2347" spans="1:14" hidden="1" x14ac:dyDescent="0.25">
      <c r="A2347" t="s">
        <v>9843</v>
      </c>
      <c r="B2347" t="s">
        <v>5258</v>
      </c>
      <c r="C2347" t="s">
        <v>5259</v>
      </c>
      <c r="D2347" t="s">
        <v>5260</v>
      </c>
      <c r="E2347" s="28" t="s">
        <v>896</v>
      </c>
      <c r="F2347" t="s">
        <v>644</v>
      </c>
      <c r="G2347" t="s">
        <v>15</v>
      </c>
      <c r="M2347" s="28" t="s">
        <v>613</v>
      </c>
      <c r="N2347" t="s">
        <v>313</v>
      </c>
    </row>
    <row r="2348" spans="1:14" hidden="1" x14ac:dyDescent="0.25">
      <c r="A2348" t="s">
        <v>9844</v>
      </c>
      <c r="B2348" t="s">
        <v>5258</v>
      </c>
      <c r="C2348" t="s">
        <v>2638</v>
      </c>
      <c r="D2348" t="s">
        <v>5261</v>
      </c>
      <c r="E2348" s="28" t="s">
        <v>890</v>
      </c>
      <c r="F2348" t="s">
        <v>644</v>
      </c>
      <c r="G2348" t="s">
        <v>15</v>
      </c>
      <c r="M2348" s="28" t="s">
        <v>613</v>
      </c>
      <c r="N2348" t="s">
        <v>313</v>
      </c>
    </row>
    <row r="2349" spans="1:14" hidden="1" x14ac:dyDescent="0.25">
      <c r="A2349" t="s">
        <v>13835</v>
      </c>
      <c r="B2349" t="s">
        <v>12953</v>
      </c>
      <c r="C2349" t="s">
        <v>2184</v>
      </c>
      <c r="D2349" t="s">
        <v>13836</v>
      </c>
      <c r="E2349" s="28" t="s">
        <v>1023</v>
      </c>
      <c r="F2349" t="s">
        <v>12865</v>
      </c>
      <c r="G2349" t="s">
        <v>15</v>
      </c>
      <c r="M2349" s="28" t="s">
        <v>613</v>
      </c>
      <c r="N2349" t="s">
        <v>313</v>
      </c>
    </row>
    <row r="2350" spans="1:14" hidden="1" x14ac:dyDescent="0.25">
      <c r="A2350" t="s">
        <v>12952</v>
      </c>
      <c r="B2350" t="s">
        <v>12953</v>
      </c>
      <c r="C2350" t="s">
        <v>12954</v>
      </c>
      <c r="D2350" t="s">
        <v>12955</v>
      </c>
      <c r="E2350" s="28" t="s">
        <v>896</v>
      </c>
      <c r="F2350" t="s">
        <v>12865</v>
      </c>
      <c r="G2350" t="s">
        <v>15</v>
      </c>
      <c r="M2350" s="28" t="s">
        <v>613</v>
      </c>
      <c r="N2350" t="s">
        <v>313</v>
      </c>
    </row>
    <row r="2351" spans="1:14" hidden="1" x14ac:dyDescent="0.25">
      <c r="A2351" t="s">
        <v>8669</v>
      </c>
      <c r="B2351" t="s">
        <v>2786</v>
      </c>
      <c r="C2351" t="s">
        <v>1616</v>
      </c>
      <c r="D2351" t="s">
        <v>2787</v>
      </c>
      <c r="E2351" s="28" t="s">
        <v>890</v>
      </c>
      <c r="F2351" t="s">
        <v>165</v>
      </c>
      <c r="G2351" t="s">
        <v>74</v>
      </c>
      <c r="M2351" s="28" t="s">
        <v>507</v>
      </c>
      <c r="N2351" t="s">
        <v>313</v>
      </c>
    </row>
    <row r="2352" spans="1:14" hidden="1" x14ac:dyDescent="0.25">
      <c r="A2352" t="s">
        <v>9842</v>
      </c>
      <c r="B2352" t="s">
        <v>5256</v>
      </c>
      <c r="C2352" t="s">
        <v>4557</v>
      </c>
      <c r="D2352" t="s">
        <v>5257</v>
      </c>
      <c r="E2352" s="28" t="s">
        <v>890</v>
      </c>
      <c r="F2352" t="s">
        <v>4596</v>
      </c>
      <c r="G2352" t="s">
        <v>15</v>
      </c>
      <c r="M2352" s="28" t="s">
        <v>613</v>
      </c>
      <c r="N2352" t="s">
        <v>313</v>
      </c>
    </row>
    <row r="2353" spans="1:14" hidden="1" x14ac:dyDescent="0.25">
      <c r="A2353" t="s">
        <v>10837</v>
      </c>
      <c r="B2353" t="s">
        <v>7409</v>
      </c>
      <c r="C2353" t="s">
        <v>2457</v>
      </c>
      <c r="D2353" t="s">
        <v>7410</v>
      </c>
      <c r="E2353" s="28" t="s">
        <v>890</v>
      </c>
      <c r="F2353" t="s">
        <v>7411</v>
      </c>
      <c r="G2353" t="s">
        <v>157</v>
      </c>
      <c r="M2353" s="28" t="s">
        <v>840</v>
      </c>
      <c r="N2353" t="s">
        <v>382</v>
      </c>
    </row>
    <row r="2354" spans="1:14" hidden="1" x14ac:dyDescent="0.25">
      <c r="A2354" t="s">
        <v>8647</v>
      </c>
      <c r="B2354" t="s">
        <v>2724</v>
      </c>
      <c r="C2354" t="s">
        <v>2614</v>
      </c>
      <c r="D2354" t="s">
        <v>2725</v>
      </c>
      <c r="E2354" s="28" t="s">
        <v>890</v>
      </c>
      <c r="F2354" t="s">
        <v>519</v>
      </c>
      <c r="G2354" t="s">
        <v>74</v>
      </c>
      <c r="M2354" s="28" t="s">
        <v>507</v>
      </c>
      <c r="N2354" t="s">
        <v>313</v>
      </c>
    </row>
    <row r="2355" spans="1:14" hidden="1" x14ac:dyDescent="0.25">
      <c r="A2355" t="s">
        <v>9840</v>
      </c>
      <c r="B2355" t="s">
        <v>5253</v>
      </c>
      <c r="C2355" t="s">
        <v>4582</v>
      </c>
      <c r="D2355" t="s">
        <v>5254</v>
      </c>
      <c r="E2355" s="28" t="s">
        <v>896</v>
      </c>
      <c r="F2355" t="s">
        <v>4909</v>
      </c>
      <c r="G2355" t="s">
        <v>15</v>
      </c>
      <c r="M2355" s="28" t="s">
        <v>613</v>
      </c>
      <c r="N2355" t="s">
        <v>313</v>
      </c>
    </row>
    <row r="2356" spans="1:14" hidden="1" x14ac:dyDescent="0.25">
      <c r="A2356" t="s">
        <v>9841</v>
      </c>
      <c r="B2356" t="s">
        <v>5253</v>
      </c>
      <c r="C2356" t="s">
        <v>4556</v>
      </c>
      <c r="D2356" t="s">
        <v>5255</v>
      </c>
      <c r="E2356" s="28" t="s">
        <v>1177</v>
      </c>
      <c r="F2356" t="s">
        <v>4909</v>
      </c>
      <c r="G2356" t="s">
        <v>15</v>
      </c>
      <c r="M2356" s="28" t="s">
        <v>613</v>
      </c>
      <c r="N2356" t="s">
        <v>313</v>
      </c>
    </row>
    <row r="2357" spans="1:14" hidden="1" x14ac:dyDescent="0.25">
      <c r="A2357" t="s">
        <v>8607</v>
      </c>
      <c r="B2357" t="s">
        <v>2618</v>
      </c>
      <c r="C2357" t="s">
        <v>2619</v>
      </c>
      <c r="D2357" t="s">
        <v>2620</v>
      </c>
      <c r="E2357" s="28" t="s">
        <v>890</v>
      </c>
      <c r="F2357" t="s">
        <v>631</v>
      </c>
      <c r="G2357" t="s">
        <v>74</v>
      </c>
      <c r="M2357" s="28" t="s">
        <v>507</v>
      </c>
      <c r="N2357" t="s">
        <v>313</v>
      </c>
    </row>
    <row r="2358" spans="1:14" hidden="1" x14ac:dyDescent="0.25">
      <c r="A2358" t="s">
        <v>8608</v>
      </c>
      <c r="B2358" t="s">
        <v>2618</v>
      </c>
      <c r="C2358" t="s">
        <v>1741</v>
      </c>
      <c r="D2358" t="s">
        <v>2621</v>
      </c>
      <c r="E2358" s="28" t="s">
        <v>890</v>
      </c>
      <c r="F2358" t="s">
        <v>165</v>
      </c>
      <c r="G2358" t="s">
        <v>74</v>
      </c>
      <c r="M2358" s="28" t="s">
        <v>507</v>
      </c>
      <c r="N2358" t="s">
        <v>313</v>
      </c>
    </row>
    <row r="2359" spans="1:14" hidden="1" x14ac:dyDescent="0.25">
      <c r="A2359" t="s">
        <v>8577</v>
      </c>
      <c r="B2359" t="s">
        <v>2553</v>
      </c>
      <c r="C2359" t="s">
        <v>1124</v>
      </c>
      <c r="D2359" t="s">
        <v>2554</v>
      </c>
      <c r="E2359" s="28" t="s">
        <v>896</v>
      </c>
      <c r="F2359" t="s">
        <v>2555</v>
      </c>
      <c r="G2359" t="s">
        <v>11</v>
      </c>
      <c r="M2359" s="28" t="s">
        <v>413</v>
      </c>
      <c r="N2359" t="s">
        <v>313</v>
      </c>
    </row>
    <row r="2360" spans="1:14" hidden="1" x14ac:dyDescent="0.25">
      <c r="A2360" t="s">
        <v>10615</v>
      </c>
      <c r="B2360" t="s">
        <v>6874</v>
      </c>
      <c r="C2360" t="s">
        <v>1134</v>
      </c>
      <c r="D2360" t="s">
        <v>6875</v>
      </c>
      <c r="E2360" s="28" t="s">
        <v>890</v>
      </c>
      <c r="F2360" t="s">
        <v>831</v>
      </c>
      <c r="G2360" t="s">
        <v>145</v>
      </c>
      <c r="M2360" s="28" t="s">
        <v>13222</v>
      </c>
      <c r="N2360" t="s">
        <v>313</v>
      </c>
    </row>
    <row r="2361" spans="1:14" hidden="1" x14ac:dyDescent="0.25">
      <c r="A2361" t="s">
        <v>14349</v>
      </c>
      <c r="B2361" t="s">
        <v>1600</v>
      </c>
      <c r="C2361" t="s">
        <v>1269</v>
      </c>
      <c r="D2361" t="s">
        <v>11756</v>
      </c>
      <c r="E2361" s="28" t="s">
        <v>896</v>
      </c>
      <c r="F2361" t="s">
        <v>10904</v>
      </c>
      <c r="G2361" t="s">
        <v>81</v>
      </c>
      <c r="M2361" s="28" t="s">
        <v>530</v>
      </c>
      <c r="N2361" t="s">
        <v>313</v>
      </c>
    </row>
    <row r="2362" spans="1:14" hidden="1" x14ac:dyDescent="0.25">
      <c r="A2362" t="s">
        <v>10512</v>
      </c>
      <c r="B2362" t="s">
        <v>6692</v>
      </c>
      <c r="C2362" t="s">
        <v>1738</v>
      </c>
      <c r="D2362" t="s">
        <v>6693</v>
      </c>
      <c r="E2362" s="28" t="s">
        <v>890</v>
      </c>
      <c r="F2362" t="s">
        <v>6631</v>
      </c>
      <c r="G2362" t="s">
        <v>137</v>
      </c>
      <c r="M2362" s="28" t="s">
        <v>805</v>
      </c>
      <c r="N2362" t="s">
        <v>313</v>
      </c>
    </row>
    <row r="2363" spans="1:14" hidden="1" x14ac:dyDescent="0.25">
      <c r="A2363" t="s">
        <v>8284</v>
      </c>
      <c r="B2363" t="s">
        <v>1727</v>
      </c>
      <c r="C2363" t="s">
        <v>1834</v>
      </c>
      <c r="D2363" t="s">
        <v>1835</v>
      </c>
      <c r="E2363" s="28" t="s">
        <v>890</v>
      </c>
      <c r="F2363" t="s">
        <v>891</v>
      </c>
      <c r="G2363" t="s">
        <v>43</v>
      </c>
      <c r="M2363" s="28" t="s">
        <v>14205</v>
      </c>
    </row>
    <row r="2364" spans="1:14" hidden="1" x14ac:dyDescent="0.25">
      <c r="A2364" t="s">
        <v>9145</v>
      </c>
      <c r="B2364" t="s">
        <v>1727</v>
      </c>
      <c r="C2364" t="s">
        <v>2108</v>
      </c>
      <c r="D2364" t="s">
        <v>3803</v>
      </c>
      <c r="E2364" s="28" t="s">
        <v>890</v>
      </c>
      <c r="F2364" t="s">
        <v>891</v>
      </c>
      <c r="G2364" t="s">
        <v>88</v>
      </c>
      <c r="M2364" s="28" t="s">
        <v>549</v>
      </c>
      <c r="N2364" t="s">
        <v>313</v>
      </c>
    </row>
    <row r="2365" spans="1:14" hidden="1" x14ac:dyDescent="0.25">
      <c r="A2365" t="s">
        <v>8240</v>
      </c>
      <c r="B2365" t="s">
        <v>1727</v>
      </c>
      <c r="C2365" t="s">
        <v>1027</v>
      </c>
      <c r="D2365" t="s">
        <v>1728</v>
      </c>
      <c r="E2365" s="28" t="s">
        <v>896</v>
      </c>
      <c r="F2365" t="s">
        <v>891</v>
      </c>
      <c r="G2365" t="s">
        <v>43</v>
      </c>
      <c r="M2365" s="28" t="s">
        <v>14205</v>
      </c>
    </row>
    <row r="2366" spans="1:14" hidden="1" x14ac:dyDescent="0.25">
      <c r="A2366" t="s">
        <v>9146</v>
      </c>
      <c r="B2366" t="s">
        <v>3804</v>
      </c>
      <c r="C2366" t="s">
        <v>3034</v>
      </c>
      <c r="D2366" t="s">
        <v>3805</v>
      </c>
      <c r="E2366" s="28" t="s">
        <v>890</v>
      </c>
      <c r="F2366" t="s">
        <v>891</v>
      </c>
      <c r="G2366" t="s">
        <v>88</v>
      </c>
      <c r="M2366" s="28" t="s">
        <v>549</v>
      </c>
      <c r="N2366" t="s">
        <v>313</v>
      </c>
    </row>
    <row r="2367" spans="1:14" hidden="1" x14ac:dyDescent="0.25">
      <c r="A2367" t="s">
        <v>9147</v>
      </c>
      <c r="B2367" t="s">
        <v>3806</v>
      </c>
      <c r="C2367" t="s">
        <v>3724</v>
      </c>
      <c r="D2367" t="s">
        <v>3807</v>
      </c>
      <c r="E2367" s="28" t="s">
        <v>890</v>
      </c>
      <c r="F2367" t="s">
        <v>579</v>
      </c>
      <c r="G2367" t="s">
        <v>88</v>
      </c>
      <c r="M2367" s="28" t="s">
        <v>549</v>
      </c>
      <c r="N2367" t="s">
        <v>313</v>
      </c>
    </row>
    <row r="2368" spans="1:14" hidden="1" x14ac:dyDescent="0.25">
      <c r="A2368" t="s">
        <v>9839</v>
      </c>
      <c r="B2368" t="s">
        <v>5251</v>
      </c>
      <c r="C2368" t="s">
        <v>4640</v>
      </c>
      <c r="D2368" t="s">
        <v>5252</v>
      </c>
      <c r="E2368" s="28" t="s">
        <v>896</v>
      </c>
      <c r="F2368" t="s">
        <v>4610</v>
      </c>
      <c r="G2368" t="s">
        <v>15</v>
      </c>
      <c r="M2368" s="28" t="s">
        <v>613</v>
      </c>
      <c r="N2368" t="s">
        <v>313</v>
      </c>
    </row>
    <row r="2369" spans="1:14" hidden="1" x14ac:dyDescent="0.25">
      <c r="A2369" t="s">
        <v>8588</v>
      </c>
      <c r="B2369" t="s">
        <v>2532</v>
      </c>
      <c r="C2369" t="s">
        <v>2577</v>
      </c>
      <c r="D2369" t="s">
        <v>2578</v>
      </c>
      <c r="E2369" s="28" t="s">
        <v>896</v>
      </c>
      <c r="F2369" t="s">
        <v>14210</v>
      </c>
      <c r="G2369" t="s">
        <v>11</v>
      </c>
      <c r="M2369" s="28" t="s">
        <v>413</v>
      </c>
      <c r="N2369" t="s">
        <v>313</v>
      </c>
    </row>
    <row r="2370" spans="1:14" hidden="1" x14ac:dyDescent="0.25">
      <c r="A2370" t="s">
        <v>8567</v>
      </c>
      <c r="B2370" t="s">
        <v>2532</v>
      </c>
      <c r="C2370" t="s">
        <v>1099</v>
      </c>
      <c r="D2370" t="s">
        <v>2533</v>
      </c>
      <c r="E2370" s="28" t="s">
        <v>890</v>
      </c>
      <c r="F2370" t="s">
        <v>2504</v>
      </c>
      <c r="G2370" t="s">
        <v>11</v>
      </c>
      <c r="M2370" s="28" t="s">
        <v>413</v>
      </c>
      <c r="N2370" t="s">
        <v>313</v>
      </c>
    </row>
    <row r="2371" spans="1:14" hidden="1" x14ac:dyDescent="0.25">
      <c r="A2371" t="s">
        <v>8589</v>
      </c>
      <c r="B2371" t="s">
        <v>2532</v>
      </c>
      <c r="C2371" t="s">
        <v>2579</v>
      </c>
      <c r="D2371" t="s">
        <v>2580</v>
      </c>
      <c r="E2371" s="28" t="s">
        <v>1023</v>
      </c>
      <c r="F2371" t="s">
        <v>328</v>
      </c>
      <c r="G2371" t="s">
        <v>11</v>
      </c>
      <c r="M2371" s="28" t="s">
        <v>413</v>
      </c>
      <c r="N2371" t="s">
        <v>313</v>
      </c>
    </row>
    <row r="2372" spans="1:14" hidden="1" x14ac:dyDescent="0.25">
      <c r="A2372" t="s">
        <v>9837</v>
      </c>
      <c r="B2372" t="s">
        <v>5248</v>
      </c>
      <c r="C2372" t="s">
        <v>4841</v>
      </c>
      <c r="D2372" t="s">
        <v>5249</v>
      </c>
      <c r="E2372" s="28" t="s">
        <v>896</v>
      </c>
      <c r="F2372" t="s">
        <v>625</v>
      </c>
      <c r="G2372" t="s">
        <v>15</v>
      </c>
      <c r="M2372" s="28" t="s">
        <v>613</v>
      </c>
      <c r="N2372" t="s">
        <v>313</v>
      </c>
    </row>
    <row r="2373" spans="1:14" hidden="1" x14ac:dyDescent="0.25">
      <c r="A2373" t="s">
        <v>9838</v>
      </c>
      <c r="B2373" t="s">
        <v>5248</v>
      </c>
      <c r="C2373" t="s">
        <v>4553</v>
      </c>
      <c r="D2373" t="s">
        <v>5250</v>
      </c>
      <c r="E2373" s="28" t="s">
        <v>896</v>
      </c>
      <c r="F2373" t="s">
        <v>197</v>
      </c>
      <c r="G2373" t="s">
        <v>15</v>
      </c>
      <c r="M2373" s="28" t="s">
        <v>613</v>
      </c>
      <c r="N2373" t="s">
        <v>313</v>
      </c>
    </row>
    <row r="2374" spans="1:14" hidden="1" x14ac:dyDescent="0.25">
      <c r="A2374" t="s">
        <v>11345</v>
      </c>
      <c r="B2374" t="s">
        <v>11346</v>
      </c>
      <c r="C2374" t="s">
        <v>11347</v>
      </c>
      <c r="D2374" t="s">
        <v>11348</v>
      </c>
      <c r="E2374" s="28" t="s">
        <v>890</v>
      </c>
      <c r="F2374" t="s">
        <v>10963</v>
      </c>
      <c r="G2374" t="s">
        <v>84</v>
      </c>
      <c r="M2374" s="28" t="s">
        <v>14223</v>
      </c>
      <c r="N2374" t="s">
        <v>313</v>
      </c>
    </row>
    <row r="2375" spans="1:14" hidden="1" x14ac:dyDescent="0.25">
      <c r="A2375" t="s">
        <v>8039</v>
      </c>
      <c r="B2375" t="s">
        <v>1210</v>
      </c>
      <c r="C2375" t="s">
        <v>1211</v>
      </c>
      <c r="D2375" t="s">
        <v>1212</v>
      </c>
      <c r="E2375" s="28" t="s">
        <v>890</v>
      </c>
      <c r="F2375" t="s">
        <v>35</v>
      </c>
      <c r="G2375" t="s">
        <v>34</v>
      </c>
      <c r="M2375" s="28" t="s">
        <v>12353</v>
      </c>
      <c r="N2375" t="s">
        <v>313</v>
      </c>
    </row>
    <row r="2376" spans="1:14" hidden="1" x14ac:dyDescent="0.25">
      <c r="A2376" t="s">
        <v>9148</v>
      </c>
      <c r="B2376" t="s">
        <v>3808</v>
      </c>
      <c r="C2376" t="s">
        <v>3021</v>
      </c>
      <c r="D2376" t="s">
        <v>3809</v>
      </c>
      <c r="E2376" s="28" t="s">
        <v>890</v>
      </c>
      <c r="F2376" t="s">
        <v>891</v>
      </c>
      <c r="G2376" t="s">
        <v>88</v>
      </c>
      <c r="M2376" s="28" t="s">
        <v>549</v>
      </c>
      <c r="N2376" t="s">
        <v>313</v>
      </c>
    </row>
    <row r="2377" spans="1:14" hidden="1" x14ac:dyDescent="0.25">
      <c r="A2377" t="s">
        <v>9149</v>
      </c>
      <c r="B2377" t="s">
        <v>3810</v>
      </c>
      <c r="C2377" t="s">
        <v>3061</v>
      </c>
      <c r="D2377" t="s">
        <v>3811</v>
      </c>
      <c r="E2377" s="28" t="s">
        <v>890</v>
      </c>
      <c r="F2377" t="s">
        <v>891</v>
      </c>
      <c r="G2377" t="s">
        <v>88</v>
      </c>
      <c r="M2377" s="28" t="s">
        <v>549</v>
      </c>
      <c r="N2377" t="s">
        <v>313</v>
      </c>
    </row>
    <row r="2378" spans="1:14" hidden="1" x14ac:dyDescent="0.25">
      <c r="A2378" t="s">
        <v>9150</v>
      </c>
      <c r="B2378" t="s">
        <v>3812</v>
      </c>
      <c r="C2378" t="s">
        <v>3813</v>
      </c>
      <c r="D2378" t="s">
        <v>3814</v>
      </c>
      <c r="E2378" s="28" t="s">
        <v>890</v>
      </c>
      <c r="F2378" t="s">
        <v>891</v>
      </c>
      <c r="G2378" t="s">
        <v>88</v>
      </c>
      <c r="M2378" s="28" t="s">
        <v>549</v>
      </c>
      <c r="N2378" t="s">
        <v>313</v>
      </c>
    </row>
    <row r="2379" spans="1:14" hidden="1" x14ac:dyDescent="0.25">
      <c r="A2379" t="s">
        <v>9151</v>
      </c>
      <c r="B2379" t="s">
        <v>3812</v>
      </c>
      <c r="C2379" t="s">
        <v>3815</v>
      </c>
      <c r="D2379" t="s">
        <v>3816</v>
      </c>
      <c r="E2379" s="28" t="s">
        <v>890</v>
      </c>
      <c r="F2379" t="s">
        <v>891</v>
      </c>
      <c r="G2379" t="s">
        <v>88</v>
      </c>
      <c r="M2379" s="28" t="s">
        <v>549</v>
      </c>
      <c r="N2379" t="s">
        <v>313</v>
      </c>
    </row>
    <row r="2380" spans="1:14" hidden="1" x14ac:dyDescent="0.25">
      <c r="A2380" t="s">
        <v>9152</v>
      </c>
      <c r="B2380" t="s">
        <v>3812</v>
      </c>
      <c r="C2380" t="s">
        <v>3099</v>
      </c>
      <c r="D2380" t="s">
        <v>3817</v>
      </c>
      <c r="E2380" s="28" t="s">
        <v>890</v>
      </c>
      <c r="F2380" t="s">
        <v>891</v>
      </c>
      <c r="G2380" t="s">
        <v>88</v>
      </c>
      <c r="M2380" s="28" t="s">
        <v>549</v>
      </c>
      <c r="N2380" t="s">
        <v>313</v>
      </c>
    </row>
    <row r="2381" spans="1:14" hidden="1" x14ac:dyDescent="0.25">
      <c r="A2381" t="s">
        <v>9153</v>
      </c>
      <c r="B2381" t="s">
        <v>3818</v>
      </c>
      <c r="C2381" t="s">
        <v>2063</v>
      </c>
      <c r="D2381" t="s">
        <v>3819</v>
      </c>
      <c r="E2381" s="28" t="s">
        <v>890</v>
      </c>
      <c r="F2381" t="s">
        <v>588</v>
      </c>
      <c r="G2381" t="s">
        <v>88</v>
      </c>
      <c r="M2381" s="28" t="s">
        <v>549</v>
      </c>
      <c r="N2381" t="s">
        <v>313</v>
      </c>
    </row>
    <row r="2382" spans="1:14" hidden="1" x14ac:dyDescent="0.25">
      <c r="A2382" t="s">
        <v>9154</v>
      </c>
      <c r="B2382" t="s">
        <v>3820</v>
      </c>
      <c r="C2382" t="s">
        <v>3031</v>
      </c>
      <c r="D2382" t="s">
        <v>3821</v>
      </c>
      <c r="E2382" s="28" t="s">
        <v>896</v>
      </c>
      <c r="F2382" t="s">
        <v>891</v>
      </c>
      <c r="G2382" t="s">
        <v>88</v>
      </c>
      <c r="M2382" s="28" t="s">
        <v>549</v>
      </c>
      <c r="N2382" t="s">
        <v>313</v>
      </c>
    </row>
    <row r="2383" spans="1:14" hidden="1" x14ac:dyDescent="0.25">
      <c r="A2383" t="s">
        <v>9155</v>
      </c>
      <c r="B2383" t="s">
        <v>3820</v>
      </c>
      <c r="C2383" t="s">
        <v>2133</v>
      </c>
      <c r="D2383" t="s">
        <v>3822</v>
      </c>
      <c r="E2383" s="28" t="s">
        <v>890</v>
      </c>
      <c r="F2383" t="s">
        <v>891</v>
      </c>
      <c r="G2383" t="s">
        <v>88</v>
      </c>
      <c r="M2383" s="28" t="s">
        <v>549</v>
      </c>
      <c r="N2383" t="s">
        <v>313</v>
      </c>
    </row>
    <row r="2384" spans="1:14" hidden="1" x14ac:dyDescent="0.25">
      <c r="A2384" t="s">
        <v>14532</v>
      </c>
      <c r="B2384" t="s">
        <v>14533</v>
      </c>
      <c r="C2384" t="s">
        <v>1175</v>
      </c>
      <c r="D2384" t="s">
        <v>14534</v>
      </c>
      <c r="E2384" s="28" t="s">
        <v>896</v>
      </c>
      <c r="F2384" t="s">
        <v>283</v>
      </c>
      <c r="G2384" t="s">
        <v>31</v>
      </c>
      <c r="M2384" s="28" t="s">
        <v>278</v>
      </c>
      <c r="N2384" t="s">
        <v>279</v>
      </c>
    </row>
    <row r="2385" spans="1:14" hidden="1" x14ac:dyDescent="0.25">
      <c r="A2385" t="s">
        <v>10656</v>
      </c>
      <c r="B2385" t="s">
        <v>6984</v>
      </c>
      <c r="C2385" t="s">
        <v>6985</v>
      </c>
      <c r="D2385" t="s">
        <v>6986</v>
      </c>
      <c r="E2385" s="28" t="s">
        <v>890</v>
      </c>
      <c r="F2385" t="s">
        <v>255</v>
      </c>
      <c r="G2385" t="s">
        <v>6896</v>
      </c>
      <c r="M2385" s="28" t="s">
        <v>6897</v>
      </c>
      <c r="N2385" t="s">
        <v>279</v>
      </c>
    </row>
    <row r="2386" spans="1:14" hidden="1" x14ac:dyDescent="0.25">
      <c r="A2386" t="s">
        <v>9836</v>
      </c>
      <c r="B2386" t="s">
        <v>5246</v>
      </c>
      <c r="C2386" t="s">
        <v>1905</v>
      </c>
      <c r="D2386" t="s">
        <v>5247</v>
      </c>
      <c r="E2386" s="28" t="s">
        <v>896</v>
      </c>
      <c r="F2386" t="s">
        <v>721</v>
      </c>
      <c r="G2386" t="s">
        <v>15</v>
      </c>
      <c r="M2386" s="28" t="s">
        <v>613</v>
      </c>
      <c r="N2386" t="s">
        <v>313</v>
      </c>
    </row>
    <row r="2387" spans="1:14" hidden="1" x14ac:dyDescent="0.25">
      <c r="A2387" t="s">
        <v>9835</v>
      </c>
      <c r="B2387" t="s">
        <v>5244</v>
      </c>
      <c r="C2387" t="s">
        <v>906</v>
      </c>
      <c r="D2387" t="s">
        <v>5245</v>
      </c>
      <c r="E2387" s="28" t="s">
        <v>890</v>
      </c>
      <c r="F2387" t="s">
        <v>225</v>
      </c>
      <c r="G2387" t="s">
        <v>15</v>
      </c>
      <c r="M2387" s="28" t="s">
        <v>613</v>
      </c>
      <c r="N2387" t="s">
        <v>313</v>
      </c>
    </row>
    <row r="2388" spans="1:14" hidden="1" x14ac:dyDescent="0.25">
      <c r="A2388" t="s">
        <v>13369</v>
      </c>
      <c r="B2388" t="s">
        <v>13370</v>
      </c>
      <c r="C2388" t="s">
        <v>4985</v>
      </c>
      <c r="D2388" t="s">
        <v>13371</v>
      </c>
      <c r="E2388" s="28" t="s">
        <v>896</v>
      </c>
      <c r="F2388" t="s">
        <v>241</v>
      </c>
      <c r="G2388" t="s">
        <v>15</v>
      </c>
      <c r="M2388" s="28" t="s">
        <v>613</v>
      </c>
      <c r="N2388" t="s">
        <v>313</v>
      </c>
    </row>
    <row r="2389" spans="1:14" hidden="1" x14ac:dyDescent="0.25">
      <c r="A2389" t="s">
        <v>9834</v>
      </c>
      <c r="B2389" t="s">
        <v>5242</v>
      </c>
      <c r="C2389" t="s">
        <v>4606</v>
      </c>
      <c r="D2389" t="s">
        <v>5243</v>
      </c>
      <c r="E2389" s="28" t="s">
        <v>896</v>
      </c>
      <c r="F2389" t="s">
        <v>216</v>
      </c>
      <c r="G2389" t="s">
        <v>15</v>
      </c>
      <c r="M2389" s="28" t="s">
        <v>613</v>
      </c>
      <c r="N2389" t="s">
        <v>313</v>
      </c>
    </row>
    <row r="2390" spans="1:14" hidden="1" x14ac:dyDescent="0.25">
      <c r="A2390" t="s">
        <v>13259</v>
      </c>
      <c r="B2390" t="s">
        <v>13260</v>
      </c>
      <c r="C2390" t="s">
        <v>1269</v>
      </c>
      <c r="D2390" t="s">
        <v>13261</v>
      </c>
      <c r="E2390" s="28" t="s">
        <v>896</v>
      </c>
      <c r="F2390" t="s">
        <v>13188</v>
      </c>
      <c r="G2390" t="s">
        <v>11</v>
      </c>
      <c r="M2390" s="28" t="s">
        <v>413</v>
      </c>
      <c r="N2390" t="s">
        <v>313</v>
      </c>
    </row>
    <row r="2391" spans="1:14" hidden="1" x14ac:dyDescent="0.25">
      <c r="A2391" t="s">
        <v>8528</v>
      </c>
      <c r="B2391" t="s">
        <v>2433</v>
      </c>
      <c r="C2391" t="s">
        <v>1312</v>
      </c>
      <c r="D2391" t="s">
        <v>2434</v>
      </c>
      <c r="E2391" s="28" t="s">
        <v>896</v>
      </c>
      <c r="F2391" t="s">
        <v>14210</v>
      </c>
      <c r="G2391" t="s">
        <v>11</v>
      </c>
      <c r="M2391" s="28" t="s">
        <v>413</v>
      </c>
      <c r="N2391" t="s">
        <v>313</v>
      </c>
    </row>
    <row r="2392" spans="1:14" hidden="1" x14ac:dyDescent="0.25">
      <c r="A2392" t="s">
        <v>12440</v>
      </c>
      <c r="B2392" t="s">
        <v>12441</v>
      </c>
      <c r="C2392" t="s">
        <v>1269</v>
      </c>
      <c r="D2392" t="s">
        <v>12442</v>
      </c>
      <c r="E2392" s="28" t="s">
        <v>890</v>
      </c>
      <c r="F2392" t="s">
        <v>11615</v>
      </c>
      <c r="G2392" t="s">
        <v>11</v>
      </c>
      <c r="M2392" s="28" t="s">
        <v>413</v>
      </c>
      <c r="N2392" t="s">
        <v>313</v>
      </c>
    </row>
    <row r="2393" spans="1:14" hidden="1" x14ac:dyDescent="0.25">
      <c r="A2393" t="s">
        <v>13837</v>
      </c>
      <c r="B2393" t="s">
        <v>7449</v>
      </c>
      <c r="C2393" t="s">
        <v>2489</v>
      </c>
      <c r="D2393" t="s">
        <v>7450</v>
      </c>
      <c r="E2393" s="28" t="s">
        <v>896</v>
      </c>
      <c r="F2393" t="s">
        <v>883</v>
      </c>
      <c r="G2393" t="s">
        <v>157</v>
      </c>
      <c r="M2393" s="28" t="s">
        <v>840</v>
      </c>
      <c r="N2393" t="s">
        <v>382</v>
      </c>
    </row>
    <row r="2394" spans="1:14" hidden="1" x14ac:dyDescent="0.25">
      <c r="A2394" t="s">
        <v>13269</v>
      </c>
      <c r="B2394" t="s">
        <v>13267</v>
      </c>
      <c r="C2394" t="s">
        <v>1123</v>
      </c>
      <c r="D2394" t="s">
        <v>13270</v>
      </c>
      <c r="E2394" s="28" t="s">
        <v>890</v>
      </c>
      <c r="F2394" t="s">
        <v>415</v>
      </c>
      <c r="G2394" t="s">
        <v>11</v>
      </c>
      <c r="M2394" s="28" t="s">
        <v>413</v>
      </c>
      <c r="N2394" t="s">
        <v>313</v>
      </c>
    </row>
    <row r="2395" spans="1:14" hidden="1" x14ac:dyDescent="0.25">
      <c r="A2395" t="s">
        <v>13266</v>
      </c>
      <c r="B2395" t="s">
        <v>13267</v>
      </c>
      <c r="C2395" t="s">
        <v>1090</v>
      </c>
      <c r="D2395" t="s">
        <v>13268</v>
      </c>
      <c r="E2395" s="28" t="s">
        <v>890</v>
      </c>
      <c r="F2395" t="s">
        <v>415</v>
      </c>
      <c r="G2395" t="s">
        <v>11</v>
      </c>
      <c r="M2395" s="28" t="s">
        <v>413</v>
      </c>
      <c r="N2395" t="s">
        <v>313</v>
      </c>
    </row>
    <row r="2396" spans="1:14" hidden="1" x14ac:dyDescent="0.25">
      <c r="A2396" t="s">
        <v>11946</v>
      </c>
      <c r="B2396" t="s">
        <v>6561</v>
      </c>
      <c r="C2396" t="s">
        <v>1204</v>
      </c>
      <c r="D2396" t="s">
        <v>6562</v>
      </c>
      <c r="E2396" s="28" t="s">
        <v>890</v>
      </c>
      <c r="F2396" t="s">
        <v>799</v>
      </c>
      <c r="G2396" t="s">
        <v>129</v>
      </c>
      <c r="M2396" s="28" t="s">
        <v>802</v>
      </c>
      <c r="N2396" t="s">
        <v>313</v>
      </c>
    </row>
    <row r="2397" spans="1:14" hidden="1" x14ac:dyDescent="0.25">
      <c r="A2397" t="s">
        <v>10623</v>
      </c>
      <c r="B2397" t="s">
        <v>6890</v>
      </c>
      <c r="C2397" t="s">
        <v>1099</v>
      </c>
      <c r="D2397" t="s">
        <v>6891</v>
      </c>
      <c r="E2397" s="28" t="s">
        <v>896</v>
      </c>
      <c r="F2397" t="s">
        <v>836</v>
      </c>
      <c r="G2397" t="s">
        <v>145</v>
      </c>
      <c r="M2397" s="28" t="s">
        <v>13222</v>
      </c>
      <c r="N2397" t="s">
        <v>313</v>
      </c>
    </row>
    <row r="2398" spans="1:14" hidden="1" x14ac:dyDescent="0.25">
      <c r="A2398" t="s">
        <v>11938</v>
      </c>
      <c r="B2398" t="s">
        <v>11939</v>
      </c>
      <c r="C2398" t="s">
        <v>2549</v>
      </c>
      <c r="D2398" t="s">
        <v>6546</v>
      </c>
      <c r="E2398" s="28" t="s">
        <v>896</v>
      </c>
      <c r="F2398" t="s">
        <v>99</v>
      </c>
      <c r="G2398" t="s">
        <v>129</v>
      </c>
      <c r="M2398" s="28" t="s">
        <v>802</v>
      </c>
      <c r="N2398" t="s">
        <v>313</v>
      </c>
    </row>
    <row r="2399" spans="1:14" hidden="1" x14ac:dyDescent="0.25">
      <c r="A2399" t="s">
        <v>11936</v>
      </c>
      <c r="B2399" t="s">
        <v>11937</v>
      </c>
      <c r="C2399" t="s">
        <v>1204</v>
      </c>
      <c r="D2399" t="s">
        <v>6545</v>
      </c>
      <c r="E2399" s="28" t="s">
        <v>890</v>
      </c>
      <c r="F2399" t="s">
        <v>252</v>
      </c>
      <c r="G2399" t="s">
        <v>129</v>
      </c>
      <c r="M2399" s="28" t="s">
        <v>802</v>
      </c>
      <c r="N2399" t="s">
        <v>313</v>
      </c>
    </row>
    <row r="2400" spans="1:14" hidden="1" x14ac:dyDescent="0.25">
      <c r="A2400" t="s">
        <v>8363</v>
      </c>
      <c r="B2400" t="s">
        <v>2038</v>
      </c>
      <c r="C2400" t="s">
        <v>1134</v>
      </c>
      <c r="D2400" t="s">
        <v>2039</v>
      </c>
      <c r="E2400" s="28" t="s">
        <v>896</v>
      </c>
      <c r="F2400" t="s">
        <v>389</v>
      </c>
      <c r="G2400" t="s">
        <v>47</v>
      </c>
      <c r="M2400" s="28" t="s">
        <v>13542</v>
      </c>
    </row>
    <row r="2401" spans="1:14" hidden="1" x14ac:dyDescent="0.25">
      <c r="A2401" t="s">
        <v>11945</v>
      </c>
      <c r="B2401" t="s">
        <v>6559</v>
      </c>
      <c r="C2401" t="s">
        <v>1421</v>
      </c>
      <c r="D2401" t="s">
        <v>6560</v>
      </c>
      <c r="E2401" s="28" t="s">
        <v>896</v>
      </c>
      <c r="F2401" t="s">
        <v>799</v>
      </c>
      <c r="G2401" t="s">
        <v>129</v>
      </c>
      <c r="M2401" s="28" t="s">
        <v>802</v>
      </c>
      <c r="N2401" t="s">
        <v>313</v>
      </c>
    </row>
    <row r="2402" spans="1:14" hidden="1" x14ac:dyDescent="0.25">
      <c r="A2402" t="s">
        <v>10613</v>
      </c>
      <c r="B2402" t="s">
        <v>6820</v>
      </c>
      <c r="C2402" t="s">
        <v>6870</v>
      </c>
      <c r="D2402" t="s">
        <v>6871</v>
      </c>
      <c r="E2402" s="28" t="s">
        <v>890</v>
      </c>
      <c r="F2402" t="s">
        <v>831</v>
      </c>
      <c r="G2402" t="s">
        <v>145</v>
      </c>
      <c r="M2402" s="28" t="s">
        <v>13222</v>
      </c>
      <c r="N2402" t="s">
        <v>313</v>
      </c>
    </row>
    <row r="2403" spans="1:14" hidden="1" x14ac:dyDescent="0.25">
      <c r="A2403" t="s">
        <v>12036</v>
      </c>
      <c r="B2403" t="s">
        <v>6820</v>
      </c>
      <c r="C2403" t="s">
        <v>1124</v>
      </c>
      <c r="D2403" t="s">
        <v>12037</v>
      </c>
      <c r="E2403" s="28" t="s">
        <v>930</v>
      </c>
      <c r="F2403" t="s">
        <v>831</v>
      </c>
      <c r="G2403" t="s">
        <v>145</v>
      </c>
      <c r="M2403" s="28" t="s">
        <v>13222</v>
      </c>
      <c r="N2403" t="s">
        <v>313</v>
      </c>
    </row>
    <row r="2404" spans="1:14" hidden="1" x14ac:dyDescent="0.25">
      <c r="A2404" t="s">
        <v>10586</v>
      </c>
      <c r="B2404" t="s">
        <v>6820</v>
      </c>
      <c r="C2404" t="s">
        <v>6821</v>
      </c>
      <c r="D2404" t="s">
        <v>12011</v>
      </c>
      <c r="E2404" s="28" t="s">
        <v>890</v>
      </c>
      <c r="F2404" t="s">
        <v>819</v>
      </c>
      <c r="G2404" t="s">
        <v>98</v>
      </c>
      <c r="M2404" s="28" t="s">
        <v>820</v>
      </c>
      <c r="N2404" t="s">
        <v>313</v>
      </c>
    </row>
    <row r="2405" spans="1:14" hidden="1" x14ac:dyDescent="0.25">
      <c r="A2405" t="s">
        <v>10597</v>
      </c>
      <c r="B2405" t="s">
        <v>6820</v>
      </c>
      <c r="C2405" t="s">
        <v>6840</v>
      </c>
      <c r="D2405" t="s">
        <v>6841</v>
      </c>
      <c r="E2405" s="28" t="s">
        <v>896</v>
      </c>
      <c r="F2405" t="s">
        <v>831</v>
      </c>
      <c r="G2405" t="s">
        <v>145</v>
      </c>
      <c r="M2405" s="28" t="s">
        <v>13222</v>
      </c>
      <c r="N2405" t="s">
        <v>313</v>
      </c>
    </row>
    <row r="2406" spans="1:14" hidden="1" x14ac:dyDescent="0.25">
      <c r="A2406" t="s">
        <v>12038</v>
      </c>
      <c r="B2406" t="s">
        <v>6820</v>
      </c>
      <c r="C2406" t="s">
        <v>2489</v>
      </c>
      <c r="D2406" t="s">
        <v>12039</v>
      </c>
      <c r="E2406" s="28" t="s">
        <v>930</v>
      </c>
      <c r="F2406" t="s">
        <v>12040</v>
      </c>
      <c r="G2406" t="s">
        <v>145</v>
      </c>
      <c r="M2406" s="28" t="s">
        <v>13222</v>
      </c>
      <c r="N2406" t="s">
        <v>313</v>
      </c>
    </row>
    <row r="2407" spans="1:14" hidden="1" x14ac:dyDescent="0.25">
      <c r="A2407" t="s">
        <v>10838</v>
      </c>
      <c r="B2407" t="s">
        <v>7412</v>
      </c>
      <c r="C2407" t="s">
        <v>7413</v>
      </c>
      <c r="D2407" t="s">
        <v>7414</v>
      </c>
      <c r="E2407" s="28" t="s">
        <v>890</v>
      </c>
      <c r="F2407" t="s">
        <v>843</v>
      </c>
      <c r="G2407" t="s">
        <v>157</v>
      </c>
      <c r="M2407" s="28" t="s">
        <v>840</v>
      </c>
      <c r="N2407" t="s">
        <v>382</v>
      </c>
    </row>
    <row r="2408" spans="1:14" hidden="1" x14ac:dyDescent="0.25">
      <c r="A2408" t="s">
        <v>12714</v>
      </c>
      <c r="B2408" t="s">
        <v>12715</v>
      </c>
      <c r="C2408" t="s">
        <v>1105</v>
      </c>
      <c r="D2408" t="s">
        <v>13838</v>
      </c>
      <c r="E2408" s="28" t="s">
        <v>890</v>
      </c>
      <c r="F2408" t="s">
        <v>2568</v>
      </c>
      <c r="G2408" t="s">
        <v>11</v>
      </c>
      <c r="M2408" s="28" t="s">
        <v>413</v>
      </c>
      <c r="N2408" t="s">
        <v>313</v>
      </c>
    </row>
    <row r="2409" spans="1:14" hidden="1" x14ac:dyDescent="0.25">
      <c r="A2409" t="s">
        <v>8352</v>
      </c>
      <c r="B2409" t="s">
        <v>2013</v>
      </c>
      <c r="C2409" t="s">
        <v>2014</v>
      </c>
      <c r="D2409" t="s">
        <v>2015</v>
      </c>
      <c r="E2409" s="28" t="s">
        <v>896</v>
      </c>
      <c r="F2409" t="s">
        <v>389</v>
      </c>
      <c r="G2409" t="s">
        <v>47</v>
      </c>
      <c r="M2409" s="28" t="s">
        <v>13542</v>
      </c>
    </row>
    <row r="2410" spans="1:14" hidden="1" x14ac:dyDescent="0.25">
      <c r="A2410" t="s">
        <v>10619</v>
      </c>
      <c r="B2410" t="s">
        <v>6881</v>
      </c>
      <c r="C2410" t="s">
        <v>1135</v>
      </c>
      <c r="D2410" t="s">
        <v>6882</v>
      </c>
      <c r="E2410" s="28" t="s">
        <v>890</v>
      </c>
      <c r="F2410" t="s">
        <v>831</v>
      </c>
      <c r="G2410" t="s">
        <v>145</v>
      </c>
      <c r="M2410" s="28" t="s">
        <v>13222</v>
      </c>
      <c r="N2410" t="s">
        <v>313</v>
      </c>
    </row>
    <row r="2411" spans="1:14" hidden="1" x14ac:dyDescent="0.25">
      <c r="A2411" t="s">
        <v>8596</v>
      </c>
      <c r="B2411" t="s">
        <v>2593</v>
      </c>
      <c r="C2411" t="s">
        <v>2029</v>
      </c>
      <c r="D2411" t="s">
        <v>2594</v>
      </c>
      <c r="E2411" s="28" t="s">
        <v>896</v>
      </c>
      <c r="F2411" t="s">
        <v>891</v>
      </c>
      <c r="G2411" t="s">
        <v>11</v>
      </c>
      <c r="M2411" s="28" t="s">
        <v>413</v>
      </c>
      <c r="N2411" t="s">
        <v>313</v>
      </c>
    </row>
    <row r="2412" spans="1:14" hidden="1" x14ac:dyDescent="0.25">
      <c r="A2412" t="s">
        <v>13839</v>
      </c>
      <c r="B2412" t="s">
        <v>13840</v>
      </c>
      <c r="C2412" t="s">
        <v>4549</v>
      </c>
      <c r="D2412" t="s">
        <v>13841</v>
      </c>
      <c r="E2412" s="28" t="s">
        <v>896</v>
      </c>
      <c r="F2412" t="s">
        <v>243</v>
      </c>
      <c r="G2412" t="s">
        <v>15</v>
      </c>
      <c r="M2412" s="28" t="s">
        <v>613</v>
      </c>
      <c r="N2412" t="s">
        <v>313</v>
      </c>
    </row>
    <row r="2413" spans="1:14" hidden="1" x14ac:dyDescent="0.25">
      <c r="A2413" t="s">
        <v>9156</v>
      </c>
      <c r="B2413" t="s">
        <v>3823</v>
      </c>
      <c r="C2413" t="s">
        <v>3021</v>
      </c>
      <c r="D2413" t="s">
        <v>3824</v>
      </c>
      <c r="E2413" s="28" t="s">
        <v>896</v>
      </c>
      <c r="F2413" t="s">
        <v>609</v>
      </c>
      <c r="G2413" t="s">
        <v>88</v>
      </c>
      <c r="M2413" s="28" t="s">
        <v>549</v>
      </c>
      <c r="N2413" t="s">
        <v>313</v>
      </c>
    </row>
    <row r="2414" spans="1:14" hidden="1" x14ac:dyDescent="0.25">
      <c r="A2414" t="s">
        <v>9833</v>
      </c>
      <c r="B2414" t="s">
        <v>5240</v>
      </c>
      <c r="C2414" t="s">
        <v>2730</v>
      </c>
      <c r="D2414" t="s">
        <v>5241</v>
      </c>
      <c r="E2414" s="28" t="s">
        <v>890</v>
      </c>
      <c r="F2414" t="s">
        <v>204</v>
      </c>
      <c r="G2414" t="s">
        <v>15</v>
      </c>
      <c r="M2414" s="28" t="s">
        <v>613</v>
      </c>
      <c r="N2414" t="s">
        <v>313</v>
      </c>
    </row>
    <row r="2415" spans="1:14" hidden="1" x14ac:dyDescent="0.25">
      <c r="A2415" t="s">
        <v>8270</v>
      </c>
      <c r="B2415" t="s">
        <v>1801</v>
      </c>
      <c r="C2415" t="s">
        <v>1802</v>
      </c>
      <c r="D2415" t="s">
        <v>1803</v>
      </c>
      <c r="E2415" s="28" t="s">
        <v>890</v>
      </c>
      <c r="F2415" t="s">
        <v>1641</v>
      </c>
      <c r="G2415" t="s">
        <v>43</v>
      </c>
      <c r="M2415" s="28" t="s">
        <v>14205</v>
      </c>
    </row>
    <row r="2416" spans="1:14" hidden="1" x14ac:dyDescent="0.25">
      <c r="A2416" t="s">
        <v>9157</v>
      </c>
      <c r="B2416" t="s">
        <v>3825</v>
      </c>
      <c r="C2416" t="s">
        <v>3083</v>
      </c>
      <c r="D2416" t="s">
        <v>3826</v>
      </c>
      <c r="E2416" s="28" t="s">
        <v>1023</v>
      </c>
      <c r="F2416" t="s">
        <v>566</v>
      </c>
      <c r="G2416" t="s">
        <v>88</v>
      </c>
      <c r="M2416" s="28" t="s">
        <v>549</v>
      </c>
      <c r="N2416" t="s">
        <v>313</v>
      </c>
    </row>
    <row r="2417" spans="1:14" hidden="1" x14ac:dyDescent="0.25">
      <c r="A2417" t="s">
        <v>10839</v>
      </c>
      <c r="B2417" t="s">
        <v>7415</v>
      </c>
      <c r="C2417" t="s">
        <v>1156</v>
      </c>
      <c r="D2417" t="s">
        <v>7416</v>
      </c>
      <c r="E2417" s="28" t="s">
        <v>896</v>
      </c>
      <c r="F2417" t="s">
        <v>7417</v>
      </c>
      <c r="G2417" t="s">
        <v>157</v>
      </c>
      <c r="M2417" s="28" t="s">
        <v>840</v>
      </c>
      <c r="N2417" t="s">
        <v>382</v>
      </c>
    </row>
    <row r="2418" spans="1:14" hidden="1" x14ac:dyDescent="0.25">
      <c r="A2418" t="s">
        <v>13842</v>
      </c>
      <c r="B2418" t="s">
        <v>6694</v>
      </c>
      <c r="C2418" t="s">
        <v>6713</v>
      </c>
      <c r="D2418" t="s">
        <v>13843</v>
      </c>
      <c r="E2418" s="28" t="s">
        <v>1023</v>
      </c>
      <c r="F2418" t="s">
        <v>810</v>
      </c>
      <c r="G2418" t="s">
        <v>137</v>
      </c>
      <c r="M2418" s="28" t="s">
        <v>805</v>
      </c>
      <c r="N2418" t="s">
        <v>313</v>
      </c>
    </row>
    <row r="2419" spans="1:14" hidden="1" x14ac:dyDescent="0.25">
      <c r="A2419" t="s">
        <v>10513</v>
      </c>
      <c r="B2419" t="s">
        <v>6694</v>
      </c>
      <c r="C2419" t="s">
        <v>1710</v>
      </c>
      <c r="D2419" t="s">
        <v>6695</v>
      </c>
      <c r="E2419" s="28" t="s">
        <v>890</v>
      </c>
      <c r="F2419" t="s">
        <v>891</v>
      </c>
      <c r="G2419" t="s">
        <v>137</v>
      </c>
      <c r="M2419" s="28" t="s">
        <v>805</v>
      </c>
      <c r="N2419" t="s">
        <v>313</v>
      </c>
    </row>
    <row r="2420" spans="1:14" hidden="1" x14ac:dyDescent="0.25">
      <c r="A2420" t="s">
        <v>10564</v>
      </c>
      <c r="B2420" t="s">
        <v>6694</v>
      </c>
      <c r="C2420" t="s">
        <v>6785</v>
      </c>
      <c r="D2420" t="s">
        <v>6786</v>
      </c>
      <c r="E2420" s="28" t="s">
        <v>930</v>
      </c>
      <c r="F2420" t="s">
        <v>813</v>
      </c>
      <c r="G2420" t="s">
        <v>137</v>
      </c>
      <c r="M2420" s="28" t="s">
        <v>805</v>
      </c>
      <c r="N2420" t="s">
        <v>313</v>
      </c>
    </row>
    <row r="2421" spans="1:14" hidden="1" x14ac:dyDescent="0.25">
      <c r="A2421" t="s">
        <v>10514</v>
      </c>
      <c r="B2421" t="s">
        <v>6694</v>
      </c>
      <c r="C2421" t="s">
        <v>6662</v>
      </c>
      <c r="D2421" t="s">
        <v>6696</v>
      </c>
      <c r="E2421" s="28" t="s">
        <v>896</v>
      </c>
      <c r="F2421" t="s">
        <v>891</v>
      </c>
      <c r="G2421" t="s">
        <v>137</v>
      </c>
      <c r="M2421" s="28" t="s">
        <v>805</v>
      </c>
      <c r="N2421" t="s">
        <v>313</v>
      </c>
    </row>
    <row r="2422" spans="1:14" hidden="1" x14ac:dyDescent="0.25">
      <c r="A2422" t="s">
        <v>8623</v>
      </c>
      <c r="B2422" t="s">
        <v>2665</v>
      </c>
      <c r="C2422" t="s">
        <v>2666</v>
      </c>
      <c r="D2422" t="s">
        <v>2667</v>
      </c>
      <c r="E2422" s="28" t="s">
        <v>896</v>
      </c>
      <c r="F2422" t="s">
        <v>170</v>
      </c>
      <c r="G2422" t="s">
        <v>74</v>
      </c>
      <c r="M2422" s="28" t="s">
        <v>507</v>
      </c>
      <c r="N2422" t="s">
        <v>313</v>
      </c>
    </row>
    <row r="2423" spans="1:14" hidden="1" x14ac:dyDescent="0.25">
      <c r="A2423" t="s">
        <v>9832</v>
      </c>
      <c r="B2423" t="s">
        <v>5238</v>
      </c>
      <c r="C2423" t="s">
        <v>4553</v>
      </c>
      <c r="D2423" t="s">
        <v>5239</v>
      </c>
      <c r="E2423" s="28" t="s">
        <v>890</v>
      </c>
      <c r="F2423" t="s">
        <v>644</v>
      </c>
      <c r="G2423" t="s">
        <v>15</v>
      </c>
      <c r="M2423" s="28" t="s">
        <v>613</v>
      </c>
      <c r="N2423" t="s">
        <v>313</v>
      </c>
    </row>
    <row r="2424" spans="1:14" hidden="1" x14ac:dyDescent="0.25">
      <c r="A2424" t="s">
        <v>10515</v>
      </c>
      <c r="B2424" t="s">
        <v>6697</v>
      </c>
      <c r="C2424" t="s">
        <v>1673</v>
      </c>
      <c r="D2424" t="s">
        <v>6698</v>
      </c>
      <c r="E2424" s="28" t="s">
        <v>890</v>
      </c>
      <c r="F2424" t="s">
        <v>6699</v>
      </c>
      <c r="G2424" t="s">
        <v>137</v>
      </c>
      <c r="M2424" s="28" t="s">
        <v>805</v>
      </c>
      <c r="N2424" t="s">
        <v>313</v>
      </c>
    </row>
    <row r="2425" spans="1:14" hidden="1" x14ac:dyDescent="0.25">
      <c r="A2425" t="s">
        <v>12511</v>
      </c>
      <c r="B2425" t="s">
        <v>12512</v>
      </c>
      <c r="C2425" t="s">
        <v>3738</v>
      </c>
      <c r="D2425" t="s">
        <v>12513</v>
      </c>
      <c r="E2425" s="28" t="s">
        <v>890</v>
      </c>
      <c r="F2425" t="s">
        <v>891</v>
      </c>
      <c r="G2425" t="s">
        <v>88</v>
      </c>
      <c r="M2425" s="28" t="s">
        <v>549</v>
      </c>
      <c r="N2425" t="s">
        <v>313</v>
      </c>
    </row>
    <row r="2426" spans="1:14" hidden="1" x14ac:dyDescent="0.25">
      <c r="A2426" t="s">
        <v>13844</v>
      </c>
      <c r="B2426" t="s">
        <v>13845</v>
      </c>
      <c r="C2426" t="s">
        <v>4557</v>
      </c>
      <c r="D2426" t="s">
        <v>5237</v>
      </c>
      <c r="E2426" s="28" t="s">
        <v>896</v>
      </c>
      <c r="F2426" t="s">
        <v>623</v>
      </c>
      <c r="G2426" t="s">
        <v>15</v>
      </c>
      <c r="M2426" s="28" t="s">
        <v>613</v>
      </c>
      <c r="N2426" t="s">
        <v>313</v>
      </c>
    </row>
    <row r="2427" spans="1:14" hidden="1" x14ac:dyDescent="0.25">
      <c r="A2427" t="s">
        <v>14162</v>
      </c>
      <c r="B2427" t="s">
        <v>14163</v>
      </c>
      <c r="C2427" t="s">
        <v>1043</v>
      </c>
      <c r="D2427" t="s">
        <v>14164</v>
      </c>
      <c r="E2427" s="28" t="s">
        <v>890</v>
      </c>
      <c r="F2427" t="s">
        <v>263</v>
      </c>
      <c r="G2427" t="s">
        <v>157</v>
      </c>
      <c r="M2427" s="28" t="s">
        <v>840</v>
      </c>
      <c r="N2427" t="s">
        <v>382</v>
      </c>
    </row>
    <row r="2428" spans="1:14" hidden="1" x14ac:dyDescent="0.25">
      <c r="A2428" t="s">
        <v>8259</v>
      </c>
      <c r="B2428" t="s">
        <v>1773</v>
      </c>
      <c r="C2428" t="s">
        <v>932</v>
      </c>
      <c r="D2428" t="s">
        <v>1774</v>
      </c>
      <c r="E2428" s="28" t="s">
        <v>896</v>
      </c>
      <c r="F2428" t="s">
        <v>891</v>
      </c>
      <c r="G2428" t="s">
        <v>43</v>
      </c>
      <c r="M2428" s="28" t="s">
        <v>14205</v>
      </c>
    </row>
    <row r="2429" spans="1:14" hidden="1" x14ac:dyDescent="0.25">
      <c r="A2429" t="s">
        <v>12839</v>
      </c>
      <c r="B2429" t="s">
        <v>12840</v>
      </c>
      <c r="C2429" t="s">
        <v>12841</v>
      </c>
      <c r="D2429" t="s">
        <v>11030</v>
      </c>
      <c r="E2429" s="28" t="s">
        <v>890</v>
      </c>
      <c r="F2429" t="s">
        <v>6584</v>
      </c>
      <c r="G2429" t="s">
        <v>84</v>
      </c>
      <c r="M2429" s="28" t="s">
        <v>14223</v>
      </c>
      <c r="N2429" t="s">
        <v>313</v>
      </c>
    </row>
    <row r="2430" spans="1:14" hidden="1" x14ac:dyDescent="0.25">
      <c r="A2430" t="s">
        <v>9830</v>
      </c>
      <c r="B2430" t="s">
        <v>5234</v>
      </c>
      <c r="C2430" t="s">
        <v>4871</v>
      </c>
      <c r="D2430" t="s">
        <v>5235</v>
      </c>
      <c r="E2430" s="28" t="s">
        <v>896</v>
      </c>
      <c r="F2430" t="s">
        <v>4685</v>
      </c>
      <c r="G2430" t="s">
        <v>15</v>
      </c>
      <c r="M2430" s="28" t="s">
        <v>613</v>
      </c>
      <c r="N2430" t="s">
        <v>313</v>
      </c>
    </row>
    <row r="2431" spans="1:14" hidden="1" x14ac:dyDescent="0.25">
      <c r="A2431" t="s">
        <v>9831</v>
      </c>
      <c r="B2431" t="s">
        <v>5234</v>
      </c>
      <c r="C2431" t="s">
        <v>2919</v>
      </c>
      <c r="D2431" t="s">
        <v>5236</v>
      </c>
      <c r="E2431" s="28" t="s">
        <v>896</v>
      </c>
      <c r="F2431" t="s">
        <v>4685</v>
      </c>
      <c r="G2431" t="s">
        <v>15</v>
      </c>
      <c r="M2431" s="28" t="s">
        <v>613</v>
      </c>
      <c r="N2431" t="s">
        <v>313</v>
      </c>
    </row>
    <row r="2432" spans="1:14" hidden="1" x14ac:dyDescent="0.25">
      <c r="A2432" t="s">
        <v>9829</v>
      </c>
      <c r="B2432" t="s">
        <v>5230</v>
      </c>
      <c r="C2432" t="s">
        <v>4772</v>
      </c>
      <c r="D2432" t="s">
        <v>5231</v>
      </c>
      <c r="E2432" s="28" t="s">
        <v>896</v>
      </c>
      <c r="F2432" t="s">
        <v>693</v>
      </c>
      <c r="G2432" t="s">
        <v>15</v>
      </c>
      <c r="M2432" s="28" t="s">
        <v>613</v>
      </c>
      <c r="N2432" t="s">
        <v>313</v>
      </c>
    </row>
    <row r="2433" spans="1:14" hidden="1" x14ac:dyDescent="0.25">
      <c r="A2433" t="s">
        <v>11442</v>
      </c>
      <c r="B2433" t="s">
        <v>11443</v>
      </c>
      <c r="C2433" t="s">
        <v>4570</v>
      </c>
      <c r="D2433" t="s">
        <v>5232</v>
      </c>
      <c r="E2433" s="28" t="s">
        <v>930</v>
      </c>
      <c r="F2433" t="s">
        <v>693</v>
      </c>
      <c r="G2433" t="s">
        <v>15</v>
      </c>
      <c r="M2433" s="28" t="s">
        <v>613</v>
      </c>
      <c r="N2433" t="s">
        <v>313</v>
      </c>
    </row>
    <row r="2434" spans="1:14" hidden="1" x14ac:dyDescent="0.25">
      <c r="A2434" t="s">
        <v>11442</v>
      </c>
      <c r="B2434" t="s">
        <v>11443</v>
      </c>
      <c r="C2434" t="s">
        <v>4570</v>
      </c>
      <c r="D2434" t="s">
        <v>5232</v>
      </c>
      <c r="E2434" s="28" t="s">
        <v>930</v>
      </c>
      <c r="F2434" t="s">
        <v>693</v>
      </c>
      <c r="G2434" t="s">
        <v>15</v>
      </c>
      <c r="M2434" s="28" t="s">
        <v>613</v>
      </c>
      <c r="N2434" t="s">
        <v>313</v>
      </c>
    </row>
    <row r="2435" spans="1:14" hidden="1" x14ac:dyDescent="0.25">
      <c r="A2435" t="s">
        <v>13846</v>
      </c>
      <c r="B2435" t="s">
        <v>13847</v>
      </c>
      <c r="C2435" t="s">
        <v>4570</v>
      </c>
      <c r="D2435" t="s">
        <v>5233</v>
      </c>
      <c r="E2435" s="28" t="s">
        <v>890</v>
      </c>
      <c r="F2435" t="s">
        <v>693</v>
      </c>
      <c r="G2435" t="s">
        <v>15</v>
      </c>
      <c r="M2435" s="28" t="s">
        <v>613</v>
      </c>
      <c r="N2435" t="s">
        <v>313</v>
      </c>
    </row>
    <row r="2436" spans="1:14" hidden="1" x14ac:dyDescent="0.25">
      <c r="A2436" t="s">
        <v>8010</v>
      </c>
      <c r="B2436" t="s">
        <v>1098</v>
      </c>
      <c r="C2436" t="s">
        <v>1099</v>
      </c>
      <c r="D2436" t="s">
        <v>1100</v>
      </c>
      <c r="E2436" s="28" t="s">
        <v>896</v>
      </c>
      <c r="F2436" t="s">
        <v>303</v>
      </c>
      <c r="G2436" t="s">
        <v>31</v>
      </c>
      <c r="M2436" s="28" t="s">
        <v>278</v>
      </c>
      <c r="N2436" t="s">
        <v>279</v>
      </c>
    </row>
    <row r="2437" spans="1:14" hidden="1" x14ac:dyDescent="0.25">
      <c r="A2437" t="s">
        <v>9828</v>
      </c>
      <c r="B2437" t="s">
        <v>3827</v>
      </c>
      <c r="C2437" t="s">
        <v>5228</v>
      </c>
      <c r="D2437" t="s">
        <v>5229</v>
      </c>
      <c r="E2437" s="28" t="s">
        <v>890</v>
      </c>
      <c r="F2437" t="s">
        <v>2850</v>
      </c>
      <c r="G2437" t="s">
        <v>15</v>
      </c>
      <c r="M2437" s="28" t="s">
        <v>613</v>
      </c>
      <c r="N2437" t="s">
        <v>313</v>
      </c>
    </row>
    <row r="2438" spans="1:14" hidden="1" x14ac:dyDescent="0.25">
      <c r="A2438" t="s">
        <v>9158</v>
      </c>
      <c r="B2438" t="s">
        <v>3827</v>
      </c>
      <c r="C2438" t="s">
        <v>3828</v>
      </c>
      <c r="D2438" t="s">
        <v>3829</v>
      </c>
      <c r="E2438" s="28" t="s">
        <v>930</v>
      </c>
      <c r="F2438" t="s">
        <v>891</v>
      </c>
      <c r="G2438" t="s">
        <v>88</v>
      </c>
      <c r="M2438" s="28" t="s">
        <v>549</v>
      </c>
      <c r="N2438" t="s">
        <v>313</v>
      </c>
    </row>
    <row r="2439" spans="1:14" hidden="1" x14ac:dyDescent="0.25">
      <c r="A2439" t="s">
        <v>9159</v>
      </c>
      <c r="B2439" t="s">
        <v>3830</v>
      </c>
      <c r="C2439" t="s">
        <v>3167</v>
      </c>
      <c r="D2439" t="s">
        <v>3831</v>
      </c>
      <c r="E2439" s="28" t="s">
        <v>896</v>
      </c>
      <c r="F2439" t="s">
        <v>556</v>
      </c>
      <c r="G2439" t="s">
        <v>88</v>
      </c>
      <c r="M2439" s="28" t="s">
        <v>549</v>
      </c>
      <c r="N2439" t="s">
        <v>313</v>
      </c>
    </row>
    <row r="2440" spans="1:14" hidden="1" x14ac:dyDescent="0.25">
      <c r="A2440" t="s">
        <v>9160</v>
      </c>
      <c r="B2440" t="s">
        <v>3830</v>
      </c>
      <c r="C2440" t="s">
        <v>1134</v>
      </c>
      <c r="D2440" t="s">
        <v>3832</v>
      </c>
      <c r="E2440" s="28" t="s">
        <v>890</v>
      </c>
      <c r="F2440" t="s">
        <v>891</v>
      </c>
      <c r="G2440" t="s">
        <v>88</v>
      </c>
      <c r="M2440" s="28" t="s">
        <v>549</v>
      </c>
      <c r="N2440" t="s">
        <v>313</v>
      </c>
    </row>
    <row r="2441" spans="1:14" hidden="1" x14ac:dyDescent="0.25">
      <c r="A2441" t="s">
        <v>12101</v>
      </c>
      <c r="B2441" t="s">
        <v>12097</v>
      </c>
      <c r="C2441" t="s">
        <v>1269</v>
      </c>
      <c r="D2441" t="s">
        <v>12102</v>
      </c>
      <c r="E2441" s="28" t="s">
        <v>896</v>
      </c>
      <c r="F2441" t="s">
        <v>2415</v>
      </c>
      <c r="G2441" t="s">
        <v>162</v>
      </c>
      <c r="M2441" s="28" t="s">
        <v>7517</v>
      </c>
      <c r="N2441" t="s">
        <v>313</v>
      </c>
    </row>
    <row r="2442" spans="1:14" hidden="1" x14ac:dyDescent="0.25">
      <c r="A2442" t="s">
        <v>12096</v>
      </c>
      <c r="B2442" t="s">
        <v>12097</v>
      </c>
      <c r="C2442" t="s">
        <v>12098</v>
      </c>
      <c r="D2442" t="s">
        <v>12099</v>
      </c>
      <c r="E2442" s="28" t="s">
        <v>930</v>
      </c>
      <c r="F2442" t="s">
        <v>2415</v>
      </c>
      <c r="G2442" t="s">
        <v>162</v>
      </c>
      <c r="M2442" s="28" t="s">
        <v>7517</v>
      </c>
      <c r="N2442" t="s">
        <v>313</v>
      </c>
    </row>
    <row r="2443" spans="1:14" hidden="1" x14ac:dyDescent="0.25">
      <c r="A2443" t="s">
        <v>11253</v>
      </c>
      <c r="B2443" t="s">
        <v>11254</v>
      </c>
      <c r="C2443" t="s">
        <v>1288</v>
      </c>
      <c r="D2443" t="s">
        <v>11255</v>
      </c>
      <c r="E2443" s="28" t="s">
        <v>890</v>
      </c>
      <c r="F2443" t="s">
        <v>11222</v>
      </c>
      <c r="G2443" t="s">
        <v>84</v>
      </c>
      <c r="M2443" s="28" t="s">
        <v>14223</v>
      </c>
      <c r="N2443" t="s">
        <v>313</v>
      </c>
    </row>
    <row r="2444" spans="1:14" hidden="1" x14ac:dyDescent="0.25">
      <c r="A2444" t="s">
        <v>9161</v>
      </c>
      <c r="B2444" t="s">
        <v>3833</v>
      </c>
      <c r="C2444" t="s">
        <v>3348</v>
      </c>
      <c r="D2444" t="s">
        <v>3834</v>
      </c>
      <c r="E2444" s="28" t="s">
        <v>890</v>
      </c>
      <c r="F2444" t="s">
        <v>891</v>
      </c>
      <c r="G2444" t="s">
        <v>88</v>
      </c>
      <c r="M2444" s="28" t="s">
        <v>549</v>
      </c>
      <c r="N2444" t="s">
        <v>313</v>
      </c>
    </row>
    <row r="2445" spans="1:14" hidden="1" x14ac:dyDescent="0.25">
      <c r="A2445" t="s">
        <v>9162</v>
      </c>
      <c r="B2445" t="s">
        <v>3835</v>
      </c>
      <c r="C2445" t="s">
        <v>3083</v>
      </c>
      <c r="D2445" t="s">
        <v>3836</v>
      </c>
      <c r="E2445" s="28" t="s">
        <v>890</v>
      </c>
      <c r="F2445" t="s">
        <v>554</v>
      </c>
      <c r="G2445" t="s">
        <v>88</v>
      </c>
      <c r="M2445" s="28" t="s">
        <v>549</v>
      </c>
      <c r="N2445" t="s">
        <v>313</v>
      </c>
    </row>
    <row r="2446" spans="1:14" hidden="1" x14ac:dyDescent="0.25">
      <c r="A2446" t="s">
        <v>9163</v>
      </c>
      <c r="B2446" t="s">
        <v>3837</v>
      </c>
      <c r="C2446" t="s">
        <v>3036</v>
      </c>
      <c r="D2446" t="s">
        <v>3838</v>
      </c>
      <c r="E2446" s="28" t="s">
        <v>896</v>
      </c>
      <c r="F2446" t="s">
        <v>891</v>
      </c>
      <c r="G2446" t="s">
        <v>88</v>
      </c>
      <c r="M2446" s="28" t="s">
        <v>549</v>
      </c>
      <c r="N2446" t="s">
        <v>313</v>
      </c>
    </row>
    <row r="2447" spans="1:14" hidden="1" x14ac:dyDescent="0.25">
      <c r="A2447" t="s">
        <v>9827</v>
      </c>
      <c r="B2447" t="s">
        <v>5226</v>
      </c>
      <c r="C2447" t="s">
        <v>1121</v>
      </c>
      <c r="D2447" t="s">
        <v>5227</v>
      </c>
      <c r="E2447" s="28" t="s">
        <v>890</v>
      </c>
      <c r="F2447" t="s">
        <v>201</v>
      </c>
      <c r="G2447" t="s">
        <v>15</v>
      </c>
      <c r="M2447" s="28" t="s">
        <v>613</v>
      </c>
      <c r="N2447" t="s">
        <v>313</v>
      </c>
    </row>
    <row r="2448" spans="1:14" hidden="1" x14ac:dyDescent="0.25">
      <c r="A2448" t="s">
        <v>9164</v>
      </c>
      <c r="B2448" t="s">
        <v>3839</v>
      </c>
      <c r="C2448" t="s">
        <v>3796</v>
      </c>
      <c r="D2448" t="s">
        <v>3840</v>
      </c>
      <c r="E2448" s="28" t="s">
        <v>890</v>
      </c>
      <c r="F2448" t="s">
        <v>891</v>
      </c>
      <c r="G2448" t="s">
        <v>88</v>
      </c>
      <c r="M2448" s="28" t="s">
        <v>549</v>
      </c>
      <c r="N2448" t="s">
        <v>313</v>
      </c>
    </row>
    <row r="2449" spans="1:14" hidden="1" x14ac:dyDescent="0.25">
      <c r="A2449" t="s">
        <v>11757</v>
      </c>
      <c r="B2449" t="s">
        <v>11758</v>
      </c>
      <c r="C2449" t="s">
        <v>1365</v>
      </c>
      <c r="D2449" t="s">
        <v>11759</v>
      </c>
      <c r="E2449" s="28" t="s">
        <v>890</v>
      </c>
      <c r="F2449" t="s">
        <v>13197</v>
      </c>
      <c r="G2449" t="s">
        <v>81</v>
      </c>
      <c r="M2449" s="28" t="s">
        <v>530</v>
      </c>
      <c r="N2449" t="s">
        <v>313</v>
      </c>
    </row>
    <row r="2450" spans="1:14" hidden="1" x14ac:dyDescent="0.25">
      <c r="A2450" t="s">
        <v>12395</v>
      </c>
      <c r="B2450" t="s">
        <v>12396</v>
      </c>
      <c r="C2450" t="s">
        <v>1476</v>
      </c>
      <c r="D2450" t="s">
        <v>12397</v>
      </c>
      <c r="E2450" s="28" t="s">
        <v>1177</v>
      </c>
      <c r="F2450" t="s">
        <v>326</v>
      </c>
      <c r="G2450" t="s">
        <v>38</v>
      </c>
      <c r="M2450" s="28"/>
    </row>
    <row r="2451" spans="1:14" hidden="1" x14ac:dyDescent="0.25">
      <c r="A2451" t="s">
        <v>9826</v>
      </c>
      <c r="B2451" t="s">
        <v>5224</v>
      </c>
      <c r="C2451" t="s">
        <v>4570</v>
      </c>
      <c r="D2451" t="s">
        <v>5225</v>
      </c>
      <c r="E2451" s="28" t="s">
        <v>890</v>
      </c>
      <c r="F2451" t="s">
        <v>12554</v>
      </c>
      <c r="G2451" t="s">
        <v>15</v>
      </c>
      <c r="M2451" s="28" t="s">
        <v>613</v>
      </c>
      <c r="N2451" t="s">
        <v>313</v>
      </c>
    </row>
    <row r="2452" spans="1:14" hidden="1" x14ac:dyDescent="0.25">
      <c r="A2452" t="s">
        <v>9825</v>
      </c>
      <c r="B2452" t="s">
        <v>5221</v>
      </c>
      <c r="C2452" t="s">
        <v>5222</v>
      </c>
      <c r="D2452" t="s">
        <v>5223</v>
      </c>
      <c r="E2452" s="28" t="s">
        <v>890</v>
      </c>
      <c r="F2452" t="s">
        <v>4837</v>
      </c>
      <c r="G2452" t="s">
        <v>15</v>
      </c>
      <c r="M2452" s="28" t="s">
        <v>613</v>
      </c>
      <c r="N2452" t="s">
        <v>313</v>
      </c>
    </row>
    <row r="2453" spans="1:14" hidden="1" x14ac:dyDescent="0.25">
      <c r="A2453" t="s">
        <v>9824</v>
      </c>
      <c r="B2453" t="s">
        <v>5219</v>
      </c>
      <c r="C2453" t="s">
        <v>1180</v>
      </c>
      <c r="D2453" t="s">
        <v>5220</v>
      </c>
      <c r="E2453" s="28" t="s">
        <v>890</v>
      </c>
      <c r="F2453" t="s">
        <v>730</v>
      </c>
      <c r="G2453" t="s">
        <v>15</v>
      </c>
      <c r="M2453" s="28" t="s">
        <v>613</v>
      </c>
      <c r="N2453" t="s">
        <v>313</v>
      </c>
    </row>
    <row r="2454" spans="1:14" hidden="1" x14ac:dyDescent="0.25">
      <c r="A2454" t="s">
        <v>9165</v>
      </c>
      <c r="B2454" t="s">
        <v>3061</v>
      </c>
      <c r="C2454" t="s">
        <v>3078</v>
      </c>
      <c r="D2454" t="s">
        <v>3841</v>
      </c>
      <c r="E2454" s="28" t="s">
        <v>896</v>
      </c>
      <c r="F2454" t="s">
        <v>891</v>
      </c>
      <c r="G2454" t="s">
        <v>88</v>
      </c>
      <c r="M2454" s="28" t="s">
        <v>549</v>
      </c>
      <c r="N2454" t="s">
        <v>313</v>
      </c>
    </row>
    <row r="2455" spans="1:14" hidden="1" x14ac:dyDescent="0.25">
      <c r="A2455" t="s">
        <v>9166</v>
      </c>
      <c r="B2455" t="s">
        <v>3842</v>
      </c>
      <c r="C2455" t="s">
        <v>3025</v>
      </c>
      <c r="D2455" t="s">
        <v>3843</v>
      </c>
      <c r="E2455" s="28" t="s">
        <v>896</v>
      </c>
      <c r="F2455" t="s">
        <v>891</v>
      </c>
      <c r="G2455" t="s">
        <v>88</v>
      </c>
      <c r="M2455" s="28" t="s">
        <v>549</v>
      </c>
      <c r="N2455" t="s">
        <v>313</v>
      </c>
    </row>
    <row r="2456" spans="1:14" hidden="1" x14ac:dyDescent="0.25">
      <c r="A2456" t="s">
        <v>8412</v>
      </c>
      <c r="B2456" t="s">
        <v>2157</v>
      </c>
      <c r="C2456" t="s">
        <v>2029</v>
      </c>
      <c r="D2456" t="s">
        <v>2158</v>
      </c>
      <c r="E2456" s="28" t="s">
        <v>896</v>
      </c>
      <c r="F2456" t="s">
        <v>402</v>
      </c>
      <c r="G2456" t="s">
        <v>60</v>
      </c>
      <c r="M2456" s="28" t="s">
        <v>14207</v>
      </c>
    </row>
    <row r="2457" spans="1:14" hidden="1" x14ac:dyDescent="0.25">
      <c r="A2457" t="s">
        <v>10620</v>
      </c>
      <c r="B2457" t="s">
        <v>6883</v>
      </c>
      <c r="C2457" t="s">
        <v>6884</v>
      </c>
      <c r="D2457" t="s">
        <v>6885</v>
      </c>
      <c r="E2457" s="28" t="s">
        <v>896</v>
      </c>
      <c r="F2457" t="s">
        <v>4610</v>
      </c>
      <c r="G2457" t="s">
        <v>145</v>
      </c>
      <c r="M2457" s="28" t="s">
        <v>13222</v>
      </c>
      <c r="N2457" t="s">
        <v>313</v>
      </c>
    </row>
    <row r="2458" spans="1:14" hidden="1" x14ac:dyDescent="0.25">
      <c r="A2458" t="s">
        <v>8261</v>
      </c>
      <c r="B2458" t="s">
        <v>1778</v>
      </c>
      <c r="C2458" t="s">
        <v>974</v>
      </c>
      <c r="D2458" t="s">
        <v>1779</v>
      </c>
      <c r="E2458" s="28" t="s">
        <v>890</v>
      </c>
      <c r="F2458" t="s">
        <v>1641</v>
      </c>
      <c r="G2458" t="s">
        <v>43</v>
      </c>
      <c r="M2458" s="28" t="s">
        <v>14205</v>
      </c>
    </row>
    <row r="2459" spans="1:14" hidden="1" x14ac:dyDescent="0.25">
      <c r="A2459" t="s">
        <v>8262</v>
      </c>
      <c r="B2459" t="s">
        <v>1778</v>
      </c>
      <c r="C2459" t="s">
        <v>1639</v>
      </c>
      <c r="D2459" t="s">
        <v>1780</v>
      </c>
      <c r="E2459" s="28" t="s">
        <v>896</v>
      </c>
      <c r="F2459" t="s">
        <v>1641</v>
      </c>
      <c r="G2459" t="s">
        <v>43</v>
      </c>
      <c r="M2459" s="28" t="s">
        <v>14205</v>
      </c>
    </row>
    <row r="2460" spans="1:14" hidden="1" x14ac:dyDescent="0.25">
      <c r="A2460" t="s">
        <v>9167</v>
      </c>
      <c r="B2460" t="s">
        <v>3844</v>
      </c>
      <c r="C2460" t="s">
        <v>3651</v>
      </c>
      <c r="D2460" t="s">
        <v>3845</v>
      </c>
      <c r="E2460" s="28" t="s">
        <v>890</v>
      </c>
      <c r="F2460" t="s">
        <v>891</v>
      </c>
      <c r="G2460" t="s">
        <v>88</v>
      </c>
      <c r="M2460" s="28" t="s">
        <v>549</v>
      </c>
      <c r="N2460" t="s">
        <v>313</v>
      </c>
    </row>
    <row r="2461" spans="1:14" hidden="1" x14ac:dyDescent="0.25">
      <c r="A2461" t="s">
        <v>9823</v>
      </c>
      <c r="B2461" t="s">
        <v>5217</v>
      </c>
      <c r="C2461" t="s">
        <v>2184</v>
      </c>
      <c r="D2461" t="s">
        <v>5218</v>
      </c>
      <c r="E2461" s="28" t="s">
        <v>890</v>
      </c>
      <c r="F2461" t="s">
        <v>231</v>
      </c>
      <c r="G2461" t="s">
        <v>15</v>
      </c>
      <c r="M2461" s="28" t="s">
        <v>613</v>
      </c>
      <c r="N2461" t="s">
        <v>313</v>
      </c>
    </row>
    <row r="2462" spans="1:14" hidden="1" x14ac:dyDescent="0.25">
      <c r="A2462" t="s">
        <v>8713</v>
      </c>
      <c r="B2462" t="s">
        <v>2888</v>
      </c>
      <c r="C2462" t="s">
        <v>1428</v>
      </c>
      <c r="D2462" t="s">
        <v>2889</v>
      </c>
      <c r="E2462" s="28" t="s">
        <v>890</v>
      </c>
      <c r="F2462" t="s">
        <v>328</v>
      </c>
      <c r="G2462" t="s">
        <v>81</v>
      </c>
      <c r="M2462" s="28" t="s">
        <v>530</v>
      </c>
      <c r="N2462" t="s">
        <v>313</v>
      </c>
    </row>
    <row r="2463" spans="1:14" hidden="1" x14ac:dyDescent="0.25">
      <c r="A2463" t="s">
        <v>8721</v>
      </c>
      <c r="B2463" t="s">
        <v>2888</v>
      </c>
      <c r="C2463" t="s">
        <v>2905</v>
      </c>
      <c r="D2463" t="s">
        <v>2906</v>
      </c>
      <c r="E2463" s="28" t="s">
        <v>1023</v>
      </c>
      <c r="F2463" t="s">
        <v>328</v>
      </c>
      <c r="G2463" t="s">
        <v>81</v>
      </c>
      <c r="M2463" s="28" t="s">
        <v>530</v>
      </c>
      <c r="N2463" t="s">
        <v>313</v>
      </c>
    </row>
    <row r="2464" spans="1:14" hidden="1" x14ac:dyDescent="0.25">
      <c r="A2464" t="s">
        <v>14350</v>
      </c>
      <c r="B2464" t="s">
        <v>14351</v>
      </c>
      <c r="C2464" t="s">
        <v>1602</v>
      </c>
      <c r="D2464" t="s">
        <v>11760</v>
      </c>
      <c r="E2464" s="28" t="s">
        <v>896</v>
      </c>
      <c r="F2464" t="s">
        <v>14220</v>
      </c>
      <c r="G2464" t="s">
        <v>81</v>
      </c>
      <c r="M2464" s="28" t="s">
        <v>530</v>
      </c>
      <c r="N2464" t="s">
        <v>313</v>
      </c>
    </row>
    <row r="2465" spans="1:14" hidden="1" x14ac:dyDescent="0.25">
      <c r="A2465" t="s">
        <v>10428</v>
      </c>
      <c r="B2465" t="s">
        <v>6444</v>
      </c>
      <c r="C2465" t="s">
        <v>6064</v>
      </c>
      <c r="D2465" t="s">
        <v>6445</v>
      </c>
      <c r="E2465" s="28" t="s">
        <v>896</v>
      </c>
      <c r="F2465" t="s">
        <v>789</v>
      </c>
      <c r="G2465" t="s">
        <v>21</v>
      </c>
      <c r="M2465" s="28" t="s">
        <v>791</v>
      </c>
      <c r="N2465" t="s">
        <v>313</v>
      </c>
    </row>
    <row r="2466" spans="1:14" hidden="1" x14ac:dyDescent="0.25">
      <c r="A2466" t="s">
        <v>10429</v>
      </c>
      <c r="B2466" t="s">
        <v>6444</v>
      </c>
      <c r="C2466" t="s">
        <v>1373</v>
      </c>
      <c r="D2466" t="s">
        <v>6446</v>
      </c>
      <c r="E2466" s="28" t="s">
        <v>896</v>
      </c>
      <c r="F2466" t="s">
        <v>792</v>
      </c>
      <c r="G2466" t="s">
        <v>21</v>
      </c>
      <c r="M2466" s="28" t="s">
        <v>791</v>
      </c>
      <c r="N2466" t="s">
        <v>313</v>
      </c>
    </row>
    <row r="2467" spans="1:14" hidden="1" x14ac:dyDescent="0.25">
      <c r="A2467" t="s">
        <v>12398</v>
      </c>
      <c r="B2467" t="s">
        <v>12399</v>
      </c>
      <c r="C2467" t="s">
        <v>12400</v>
      </c>
      <c r="D2467" t="s">
        <v>12401</v>
      </c>
      <c r="E2467" s="28" t="s">
        <v>890</v>
      </c>
      <c r="F2467" t="s">
        <v>340</v>
      </c>
      <c r="G2467" t="s">
        <v>38</v>
      </c>
      <c r="M2467" s="28"/>
    </row>
    <row r="2468" spans="1:14" hidden="1" x14ac:dyDescent="0.25">
      <c r="A2468" t="s">
        <v>9822</v>
      </c>
      <c r="B2468" t="s">
        <v>5215</v>
      </c>
      <c r="C2468" t="s">
        <v>4557</v>
      </c>
      <c r="D2468" t="s">
        <v>5216</v>
      </c>
      <c r="E2468" s="28" t="s">
        <v>890</v>
      </c>
      <c r="F2468" t="s">
        <v>241</v>
      </c>
      <c r="G2468" t="s">
        <v>15</v>
      </c>
      <c r="M2468" s="28" t="s">
        <v>613</v>
      </c>
      <c r="N2468" t="s">
        <v>313</v>
      </c>
    </row>
    <row r="2469" spans="1:14" hidden="1" x14ac:dyDescent="0.25">
      <c r="A2469" t="s">
        <v>10516</v>
      </c>
      <c r="B2469" t="s">
        <v>2783</v>
      </c>
      <c r="C2469" t="s">
        <v>1002</v>
      </c>
      <c r="D2469" t="s">
        <v>6700</v>
      </c>
      <c r="E2469" s="28" t="s">
        <v>890</v>
      </c>
      <c r="F2469" t="s">
        <v>4670</v>
      </c>
      <c r="G2469" t="s">
        <v>137</v>
      </c>
      <c r="M2469" s="28" t="s">
        <v>805</v>
      </c>
      <c r="N2469" t="s">
        <v>313</v>
      </c>
    </row>
    <row r="2470" spans="1:14" hidden="1" x14ac:dyDescent="0.25">
      <c r="A2470" t="s">
        <v>10840</v>
      </c>
      <c r="B2470" t="s">
        <v>2051</v>
      </c>
      <c r="C2470" t="s">
        <v>7418</v>
      </c>
      <c r="D2470" t="s">
        <v>7419</v>
      </c>
      <c r="E2470" s="28" t="s">
        <v>890</v>
      </c>
      <c r="F2470" t="s">
        <v>878</v>
      </c>
      <c r="G2470" t="s">
        <v>157</v>
      </c>
      <c r="M2470" s="28" t="s">
        <v>840</v>
      </c>
      <c r="N2470" t="s">
        <v>382</v>
      </c>
    </row>
    <row r="2471" spans="1:14" hidden="1" x14ac:dyDescent="0.25">
      <c r="A2471" t="s">
        <v>8480</v>
      </c>
      <c r="B2471" t="s">
        <v>2314</v>
      </c>
      <c r="C2471" t="s">
        <v>2315</v>
      </c>
      <c r="D2471" t="s">
        <v>2316</v>
      </c>
      <c r="E2471" s="28" t="s">
        <v>896</v>
      </c>
      <c r="F2471" t="s">
        <v>408</v>
      </c>
      <c r="G2471" t="s">
        <v>65</v>
      </c>
      <c r="M2471" s="28" t="s">
        <v>14209</v>
      </c>
    </row>
    <row r="2472" spans="1:14" hidden="1" x14ac:dyDescent="0.25">
      <c r="A2472" t="s">
        <v>9821</v>
      </c>
      <c r="B2472" t="s">
        <v>5213</v>
      </c>
      <c r="C2472" t="s">
        <v>4841</v>
      </c>
      <c r="D2472" t="s">
        <v>5214</v>
      </c>
      <c r="E2472" s="28" t="s">
        <v>896</v>
      </c>
      <c r="F2472" t="s">
        <v>712</v>
      </c>
      <c r="G2472" t="s">
        <v>15</v>
      </c>
      <c r="M2472" s="28" t="s">
        <v>613</v>
      </c>
      <c r="N2472" t="s">
        <v>313</v>
      </c>
    </row>
    <row r="2473" spans="1:14" hidden="1" x14ac:dyDescent="0.25">
      <c r="A2473" t="s">
        <v>12956</v>
      </c>
      <c r="B2473" t="s">
        <v>12957</v>
      </c>
      <c r="C2473" t="s">
        <v>4606</v>
      </c>
      <c r="D2473" t="s">
        <v>12882</v>
      </c>
      <c r="E2473" s="28" t="s">
        <v>890</v>
      </c>
      <c r="F2473" t="s">
        <v>12865</v>
      </c>
      <c r="G2473" t="s">
        <v>15</v>
      </c>
      <c r="M2473" s="28" t="s">
        <v>613</v>
      </c>
      <c r="N2473" t="s">
        <v>313</v>
      </c>
    </row>
    <row r="2474" spans="1:14" hidden="1" x14ac:dyDescent="0.25">
      <c r="A2474" t="s">
        <v>9820</v>
      </c>
      <c r="B2474" t="s">
        <v>5210</v>
      </c>
      <c r="C2474" t="s">
        <v>5211</v>
      </c>
      <c r="D2474" t="s">
        <v>5212</v>
      </c>
      <c r="E2474" s="28" t="s">
        <v>896</v>
      </c>
      <c r="F2474" t="s">
        <v>752</v>
      </c>
      <c r="G2474" t="s">
        <v>15</v>
      </c>
      <c r="M2474" s="28" t="s">
        <v>613</v>
      </c>
      <c r="N2474" t="s">
        <v>313</v>
      </c>
    </row>
    <row r="2475" spans="1:14" hidden="1" x14ac:dyDescent="0.25">
      <c r="A2475" t="s">
        <v>8502</v>
      </c>
      <c r="B2475" t="s">
        <v>2370</v>
      </c>
      <c r="C2475" t="s">
        <v>2371</v>
      </c>
      <c r="D2475" t="s">
        <v>2372</v>
      </c>
      <c r="E2475" s="28" t="s">
        <v>1023</v>
      </c>
      <c r="F2475" t="s">
        <v>408</v>
      </c>
      <c r="G2475" t="s">
        <v>65</v>
      </c>
      <c r="M2475" s="28" t="s">
        <v>14209</v>
      </c>
    </row>
    <row r="2476" spans="1:14" hidden="1" x14ac:dyDescent="0.25">
      <c r="A2476" t="s">
        <v>9819</v>
      </c>
      <c r="B2476" t="s">
        <v>5207</v>
      </c>
      <c r="C2476" t="s">
        <v>5208</v>
      </c>
      <c r="D2476" t="s">
        <v>5209</v>
      </c>
      <c r="E2476" s="28" t="s">
        <v>890</v>
      </c>
      <c r="F2476" t="s">
        <v>688</v>
      </c>
      <c r="G2476" t="s">
        <v>15</v>
      </c>
      <c r="M2476" s="28" t="s">
        <v>613</v>
      </c>
      <c r="N2476" t="s">
        <v>313</v>
      </c>
    </row>
    <row r="2477" spans="1:14" hidden="1" x14ac:dyDescent="0.25">
      <c r="A2477" t="s">
        <v>9818</v>
      </c>
      <c r="B2477" t="s">
        <v>5205</v>
      </c>
      <c r="C2477" t="s">
        <v>1224</v>
      </c>
      <c r="D2477" t="s">
        <v>5206</v>
      </c>
      <c r="E2477" s="28" t="s">
        <v>896</v>
      </c>
      <c r="F2477" t="s">
        <v>4551</v>
      </c>
      <c r="G2477" t="s">
        <v>15</v>
      </c>
      <c r="M2477" s="28" t="s">
        <v>613</v>
      </c>
      <c r="N2477" t="s">
        <v>313</v>
      </c>
    </row>
    <row r="2478" spans="1:14" hidden="1" x14ac:dyDescent="0.25">
      <c r="A2478" t="s">
        <v>9168</v>
      </c>
      <c r="B2478" t="s">
        <v>3846</v>
      </c>
      <c r="C2478" t="s">
        <v>3298</v>
      </c>
      <c r="D2478" t="s">
        <v>3847</v>
      </c>
      <c r="E2478" s="28" t="s">
        <v>896</v>
      </c>
      <c r="F2478" t="s">
        <v>891</v>
      </c>
      <c r="G2478" t="s">
        <v>88</v>
      </c>
      <c r="M2478" s="28" t="s">
        <v>549</v>
      </c>
      <c r="N2478" t="s">
        <v>313</v>
      </c>
    </row>
    <row r="2479" spans="1:14" hidden="1" x14ac:dyDescent="0.25">
      <c r="A2479" t="s">
        <v>9169</v>
      </c>
      <c r="B2479" t="s">
        <v>3848</v>
      </c>
      <c r="C2479" t="s">
        <v>3849</v>
      </c>
      <c r="D2479" t="s">
        <v>3850</v>
      </c>
      <c r="E2479" s="28" t="s">
        <v>896</v>
      </c>
      <c r="F2479" t="s">
        <v>891</v>
      </c>
      <c r="G2479" t="s">
        <v>88</v>
      </c>
      <c r="M2479" s="28" t="s">
        <v>549</v>
      </c>
      <c r="N2479" t="s">
        <v>313</v>
      </c>
    </row>
    <row r="2480" spans="1:14" hidden="1" x14ac:dyDescent="0.25">
      <c r="A2480" t="s">
        <v>9817</v>
      </c>
      <c r="B2480" t="s">
        <v>5203</v>
      </c>
      <c r="C2480" t="s">
        <v>4821</v>
      </c>
      <c r="D2480" t="s">
        <v>5204</v>
      </c>
      <c r="E2480" s="28" t="s">
        <v>896</v>
      </c>
      <c r="F2480" t="s">
        <v>4635</v>
      </c>
      <c r="G2480" t="s">
        <v>15</v>
      </c>
      <c r="M2480" s="28" t="s">
        <v>613</v>
      </c>
      <c r="N2480" t="s">
        <v>313</v>
      </c>
    </row>
    <row r="2481" spans="1:14" hidden="1" x14ac:dyDescent="0.25">
      <c r="A2481" t="s">
        <v>10841</v>
      </c>
      <c r="B2481" t="s">
        <v>7420</v>
      </c>
      <c r="C2481" t="s">
        <v>2457</v>
      </c>
      <c r="D2481" t="s">
        <v>7421</v>
      </c>
      <c r="E2481" s="28" t="s">
        <v>890</v>
      </c>
      <c r="F2481" t="s">
        <v>875</v>
      </c>
      <c r="G2481" t="s">
        <v>157</v>
      </c>
      <c r="M2481" s="28" t="s">
        <v>840</v>
      </c>
      <c r="N2481" t="s">
        <v>382</v>
      </c>
    </row>
    <row r="2482" spans="1:14" hidden="1" x14ac:dyDescent="0.25">
      <c r="A2482" t="s">
        <v>10616</v>
      </c>
      <c r="B2482" t="s">
        <v>6876</v>
      </c>
      <c r="C2482" t="s">
        <v>1981</v>
      </c>
      <c r="D2482" t="s">
        <v>6877</v>
      </c>
      <c r="E2482" s="28" t="s">
        <v>896</v>
      </c>
      <c r="F2482" t="s">
        <v>2424</v>
      </c>
      <c r="G2482" t="s">
        <v>145</v>
      </c>
      <c r="M2482" s="28" t="s">
        <v>13222</v>
      </c>
      <c r="N2482" t="s">
        <v>313</v>
      </c>
    </row>
    <row r="2483" spans="1:14" hidden="1" x14ac:dyDescent="0.25">
      <c r="A2483" t="s">
        <v>13848</v>
      </c>
      <c r="B2483" t="s">
        <v>13849</v>
      </c>
      <c r="C2483" t="s">
        <v>13850</v>
      </c>
      <c r="D2483" t="s">
        <v>13851</v>
      </c>
      <c r="E2483" s="28" t="s">
        <v>896</v>
      </c>
      <c r="F2483" t="s">
        <v>702</v>
      </c>
      <c r="G2483" t="s">
        <v>15</v>
      </c>
      <c r="M2483" s="28" t="s">
        <v>613</v>
      </c>
      <c r="N2483" t="s">
        <v>313</v>
      </c>
    </row>
    <row r="2484" spans="1:14" hidden="1" x14ac:dyDescent="0.25">
      <c r="A2484" t="s">
        <v>12605</v>
      </c>
      <c r="B2484" t="s">
        <v>12606</v>
      </c>
      <c r="C2484" t="s">
        <v>12607</v>
      </c>
      <c r="D2484" t="s">
        <v>12608</v>
      </c>
      <c r="E2484" s="28" t="s">
        <v>890</v>
      </c>
      <c r="F2484" t="s">
        <v>783</v>
      </c>
      <c r="G2484" t="s">
        <v>110</v>
      </c>
      <c r="M2484" s="28" t="s">
        <v>13563</v>
      </c>
      <c r="N2484" t="s">
        <v>279</v>
      </c>
    </row>
    <row r="2485" spans="1:14" hidden="1" x14ac:dyDescent="0.25">
      <c r="A2485" t="s">
        <v>9170</v>
      </c>
      <c r="B2485" t="s">
        <v>3851</v>
      </c>
      <c r="C2485" t="s">
        <v>3044</v>
      </c>
      <c r="D2485" t="s">
        <v>3852</v>
      </c>
      <c r="E2485" s="28" t="s">
        <v>890</v>
      </c>
      <c r="F2485" t="s">
        <v>891</v>
      </c>
      <c r="G2485" t="s">
        <v>88</v>
      </c>
      <c r="M2485" s="28" t="s">
        <v>549</v>
      </c>
      <c r="N2485" t="s">
        <v>313</v>
      </c>
    </row>
    <row r="2486" spans="1:14" hidden="1" x14ac:dyDescent="0.25">
      <c r="A2486" t="s">
        <v>12443</v>
      </c>
      <c r="B2486" t="s">
        <v>12444</v>
      </c>
      <c r="C2486" t="s">
        <v>2419</v>
      </c>
      <c r="D2486" t="s">
        <v>12445</v>
      </c>
      <c r="E2486" s="28" t="s">
        <v>896</v>
      </c>
      <c r="F2486" t="s">
        <v>891</v>
      </c>
      <c r="G2486" t="s">
        <v>11</v>
      </c>
      <c r="M2486" s="28" t="s">
        <v>413</v>
      </c>
      <c r="N2486" t="s">
        <v>313</v>
      </c>
    </row>
    <row r="2487" spans="1:14" hidden="1" x14ac:dyDescent="0.25">
      <c r="A2487" t="s">
        <v>8414</v>
      </c>
      <c r="B2487" t="s">
        <v>2162</v>
      </c>
      <c r="C2487" t="s">
        <v>2163</v>
      </c>
      <c r="D2487" t="s">
        <v>2164</v>
      </c>
      <c r="E2487" s="28" t="s">
        <v>930</v>
      </c>
      <c r="F2487" t="s">
        <v>398</v>
      </c>
      <c r="G2487" t="s">
        <v>60</v>
      </c>
      <c r="M2487" s="28" t="s">
        <v>14207</v>
      </c>
    </row>
    <row r="2488" spans="1:14" hidden="1" x14ac:dyDescent="0.25">
      <c r="A2488" t="s">
        <v>9171</v>
      </c>
      <c r="B2488" t="s">
        <v>3853</v>
      </c>
      <c r="C2488" t="s">
        <v>1153</v>
      </c>
      <c r="D2488" t="s">
        <v>3854</v>
      </c>
      <c r="E2488" s="28" t="s">
        <v>890</v>
      </c>
      <c r="F2488" t="s">
        <v>891</v>
      </c>
      <c r="G2488" t="s">
        <v>88</v>
      </c>
      <c r="M2488" s="28" t="s">
        <v>549</v>
      </c>
      <c r="N2488" t="s">
        <v>313</v>
      </c>
    </row>
    <row r="2489" spans="1:14" hidden="1" x14ac:dyDescent="0.25">
      <c r="A2489" t="s">
        <v>9172</v>
      </c>
      <c r="B2489" t="s">
        <v>3855</v>
      </c>
      <c r="C2489" t="s">
        <v>3009</v>
      </c>
      <c r="D2489" t="s">
        <v>3856</v>
      </c>
      <c r="E2489" s="28" t="s">
        <v>890</v>
      </c>
      <c r="F2489" t="s">
        <v>891</v>
      </c>
      <c r="G2489" t="s">
        <v>88</v>
      </c>
      <c r="M2489" s="28" t="s">
        <v>549</v>
      </c>
      <c r="N2489" t="s">
        <v>313</v>
      </c>
    </row>
    <row r="2490" spans="1:14" hidden="1" x14ac:dyDescent="0.25">
      <c r="A2490" t="s">
        <v>10375</v>
      </c>
      <c r="B2490" t="s">
        <v>6307</v>
      </c>
      <c r="C2490" t="s">
        <v>6308</v>
      </c>
      <c r="D2490" t="s">
        <v>6309</v>
      </c>
      <c r="E2490" s="28" t="s">
        <v>890</v>
      </c>
      <c r="F2490" t="s">
        <v>783</v>
      </c>
      <c r="G2490" t="s">
        <v>110</v>
      </c>
      <c r="M2490" s="28" t="s">
        <v>13563</v>
      </c>
      <c r="N2490" t="s">
        <v>279</v>
      </c>
    </row>
    <row r="2491" spans="1:14" hidden="1" x14ac:dyDescent="0.25">
      <c r="A2491" t="s">
        <v>9816</v>
      </c>
      <c r="B2491" t="s">
        <v>5200</v>
      </c>
      <c r="C2491" t="s">
        <v>5201</v>
      </c>
      <c r="D2491" t="s">
        <v>5202</v>
      </c>
      <c r="E2491" s="28" t="s">
        <v>896</v>
      </c>
      <c r="F2491" t="s">
        <v>4648</v>
      </c>
      <c r="G2491" t="s">
        <v>15</v>
      </c>
      <c r="M2491" s="28" t="s">
        <v>613</v>
      </c>
      <c r="N2491" t="s">
        <v>313</v>
      </c>
    </row>
    <row r="2492" spans="1:14" hidden="1" x14ac:dyDescent="0.25">
      <c r="A2492" t="s">
        <v>8698</v>
      </c>
      <c r="B2492" t="s">
        <v>2857</v>
      </c>
      <c r="C2492" t="s">
        <v>2855</v>
      </c>
      <c r="D2492" t="s">
        <v>2858</v>
      </c>
      <c r="E2492" s="28" t="s">
        <v>896</v>
      </c>
      <c r="F2492" t="s">
        <v>179</v>
      </c>
      <c r="G2492" t="s">
        <v>81</v>
      </c>
      <c r="M2492" s="28" t="s">
        <v>530</v>
      </c>
      <c r="N2492" t="s">
        <v>313</v>
      </c>
    </row>
    <row r="2493" spans="1:14" hidden="1" x14ac:dyDescent="0.25">
      <c r="A2493" t="s">
        <v>8701</v>
      </c>
      <c r="B2493" t="s">
        <v>2857</v>
      </c>
      <c r="C2493" t="s">
        <v>2863</v>
      </c>
      <c r="D2493" t="s">
        <v>2864</v>
      </c>
      <c r="E2493" s="28" t="s">
        <v>890</v>
      </c>
      <c r="F2493" t="s">
        <v>179</v>
      </c>
      <c r="G2493" t="s">
        <v>81</v>
      </c>
      <c r="M2493" s="28" t="s">
        <v>530</v>
      </c>
      <c r="N2493" t="s">
        <v>313</v>
      </c>
    </row>
    <row r="2494" spans="1:14" hidden="1" x14ac:dyDescent="0.25">
      <c r="A2494" t="s">
        <v>9815</v>
      </c>
      <c r="B2494" t="s">
        <v>5198</v>
      </c>
      <c r="C2494" t="s">
        <v>1086</v>
      </c>
      <c r="D2494" t="s">
        <v>5199</v>
      </c>
      <c r="E2494" s="28" t="s">
        <v>890</v>
      </c>
      <c r="F2494" t="s">
        <v>746</v>
      </c>
      <c r="G2494" t="s">
        <v>15</v>
      </c>
      <c r="M2494" s="28" t="s">
        <v>613</v>
      </c>
      <c r="N2494" t="s">
        <v>313</v>
      </c>
    </row>
    <row r="2495" spans="1:14" hidden="1" x14ac:dyDescent="0.25">
      <c r="A2495" t="s">
        <v>10480</v>
      </c>
      <c r="B2495" t="s">
        <v>6622</v>
      </c>
      <c r="C2495" t="s">
        <v>6623</v>
      </c>
      <c r="D2495" t="s">
        <v>6624</v>
      </c>
      <c r="E2495" s="28" t="s">
        <v>890</v>
      </c>
      <c r="F2495" t="s">
        <v>6604</v>
      </c>
      <c r="G2495" t="s">
        <v>131</v>
      </c>
      <c r="M2495" s="28" t="s">
        <v>14242</v>
      </c>
    </row>
    <row r="2496" spans="1:14" hidden="1" x14ac:dyDescent="0.25">
      <c r="A2496" t="s">
        <v>10744</v>
      </c>
      <c r="B2496" t="s">
        <v>7191</v>
      </c>
      <c r="C2496" t="s">
        <v>7192</v>
      </c>
      <c r="D2496" t="s">
        <v>7193</v>
      </c>
      <c r="E2496" s="28" t="s">
        <v>930</v>
      </c>
      <c r="F2496" t="s">
        <v>7062</v>
      </c>
      <c r="G2496" t="s">
        <v>6896</v>
      </c>
      <c r="M2496" s="28" t="s">
        <v>6897</v>
      </c>
      <c r="N2496" t="s">
        <v>279</v>
      </c>
    </row>
    <row r="2497" spans="1:14" hidden="1" x14ac:dyDescent="0.25">
      <c r="A2497" t="s">
        <v>10626</v>
      </c>
      <c r="B2497" t="s">
        <v>6902</v>
      </c>
      <c r="C2497" t="s">
        <v>6903</v>
      </c>
      <c r="D2497" t="s">
        <v>6904</v>
      </c>
      <c r="E2497" s="28" t="s">
        <v>890</v>
      </c>
      <c r="F2497" t="s">
        <v>6901</v>
      </c>
      <c r="G2497" t="s">
        <v>6896</v>
      </c>
      <c r="M2497" s="28" t="s">
        <v>6897</v>
      </c>
      <c r="N2497" t="s">
        <v>279</v>
      </c>
    </row>
    <row r="2498" spans="1:14" hidden="1" x14ac:dyDescent="0.25">
      <c r="A2498" t="s">
        <v>10689</v>
      </c>
      <c r="B2498" t="s">
        <v>7063</v>
      </c>
      <c r="C2498" t="s">
        <v>6915</v>
      </c>
      <c r="D2498" t="s">
        <v>7064</v>
      </c>
      <c r="E2498" s="28" t="s">
        <v>890</v>
      </c>
      <c r="F2498" t="s">
        <v>7062</v>
      </c>
      <c r="G2498" t="s">
        <v>6896</v>
      </c>
      <c r="M2498" s="28" t="s">
        <v>6897</v>
      </c>
      <c r="N2498" t="s">
        <v>279</v>
      </c>
    </row>
    <row r="2499" spans="1:14" hidden="1" x14ac:dyDescent="0.25">
      <c r="A2499" t="s">
        <v>10664</v>
      </c>
      <c r="B2499" t="s">
        <v>6995</v>
      </c>
      <c r="C2499" t="s">
        <v>7004</v>
      </c>
      <c r="D2499" t="s">
        <v>7005</v>
      </c>
      <c r="E2499" s="28" t="s">
        <v>890</v>
      </c>
      <c r="F2499" t="s">
        <v>255</v>
      </c>
      <c r="G2499" t="s">
        <v>6896</v>
      </c>
      <c r="M2499" s="28" t="s">
        <v>6897</v>
      </c>
      <c r="N2499" t="s">
        <v>279</v>
      </c>
    </row>
    <row r="2500" spans="1:14" hidden="1" x14ac:dyDescent="0.25">
      <c r="A2500" t="s">
        <v>10661</v>
      </c>
      <c r="B2500" t="s">
        <v>6995</v>
      </c>
      <c r="C2500" t="s">
        <v>6996</v>
      </c>
      <c r="D2500" t="s">
        <v>6997</v>
      </c>
      <c r="E2500" s="28" t="s">
        <v>890</v>
      </c>
      <c r="F2500" t="s">
        <v>255</v>
      </c>
      <c r="G2500" t="s">
        <v>6896</v>
      </c>
      <c r="M2500" s="28" t="s">
        <v>6897</v>
      </c>
      <c r="N2500" t="s">
        <v>279</v>
      </c>
    </row>
    <row r="2501" spans="1:14" hidden="1" x14ac:dyDescent="0.25">
      <c r="A2501" t="s">
        <v>10628</v>
      </c>
      <c r="B2501" t="s">
        <v>6908</v>
      </c>
      <c r="C2501" t="s">
        <v>6909</v>
      </c>
      <c r="D2501" t="s">
        <v>6910</v>
      </c>
      <c r="E2501" s="28" t="s">
        <v>890</v>
      </c>
      <c r="F2501" t="s">
        <v>6901</v>
      </c>
      <c r="G2501" t="s">
        <v>6896</v>
      </c>
      <c r="M2501" s="28" t="s">
        <v>6897</v>
      </c>
      <c r="N2501" t="s">
        <v>279</v>
      </c>
    </row>
    <row r="2502" spans="1:14" hidden="1" x14ac:dyDescent="0.25">
      <c r="A2502" t="s">
        <v>10627</v>
      </c>
      <c r="B2502" t="s">
        <v>6905</v>
      </c>
      <c r="C2502" t="s">
        <v>6906</v>
      </c>
      <c r="D2502" t="s">
        <v>6907</v>
      </c>
      <c r="E2502" s="28" t="s">
        <v>890</v>
      </c>
      <c r="F2502" t="s">
        <v>6901</v>
      </c>
      <c r="G2502" t="s">
        <v>6896</v>
      </c>
      <c r="M2502" s="28" t="s">
        <v>6897</v>
      </c>
      <c r="N2502" t="s">
        <v>279</v>
      </c>
    </row>
    <row r="2503" spans="1:14" hidden="1" x14ac:dyDescent="0.25">
      <c r="A2503" t="s">
        <v>10407</v>
      </c>
      <c r="B2503" t="s">
        <v>6394</v>
      </c>
      <c r="C2503" t="s">
        <v>6395</v>
      </c>
      <c r="D2503" t="s">
        <v>6396</v>
      </c>
      <c r="E2503" s="28" t="s">
        <v>890</v>
      </c>
      <c r="F2503" t="s">
        <v>6365</v>
      </c>
      <c r="G2503" t="s">
        <v>119</v>
      </c>
      <c r="M2503" s="28"/>
    </row>
    <row r="2504" spans="1:14" hidden="1" x14ac:dyDescent="0.25">
      <c r="A2504" t="s">
        <v>8244</v>
      </c>
      <c r="B2504" t="s">
        <v>1737</v>
      </c>
      <c r="C2504" t="s">
        <v>1738</v>
      </c>
      <c r="D2504" t="s">
        <v>1739</v>
      </c>
      <c r="E2504" s="28" t="s">
        <v>890</v>
      </c>
      <c r="F2504" t="s">
        <v>891</v>
      </c>
      <c r="G2504" t="s">
        <v>43</v>
      </c>
      <c r="M2504" s="28" t="s">
        <v>14205</v>
      </c>
    </row>
    <row r="2505" spans="1:14" hidden="1" x14ac:dyDescent="0.25">
      <c r="A2505" t="s">
        <v>9814</v>
      </c>
      <c r="B2505" t="s">
        <v>5196</v>
      </c>
      <c r="C2505" t="s">
        <v>4553</v>
      </c>
      <c r="D2505" t="s">
        <v>5197</v>
      </c>
      <c r="E2505" s="28" t="s">
        <v>896</v>
      </c>
      <c r="F2505" t="s">
        <v>4675</v>
      </c>
      <c r="G2505" t="s">
        <v>15</v>
      </c>
      <c r="M2505" s="28" t="s">
        <v>613</v>
      </c>
      <c r="N2505" t="s">
        <v>313</v>
      </c>
    </row>
    <row r="2506" spans="1:14" hidden="1" x14ac:dyDescent="0.25">
      <c r="A2506" t="s">
        <v>11087</v>
      </c>
      <c r="B2506" t="s">
        <v>5194</v>
      </c>
      <c r="C2506" t="s">
        <v>11088</v>
      </c>
      <c r="D2506" t="s">
        <v>11089</v>
      </c>
      <c r="E2506" s="28" t="s">
        <v>896</v>
      </c>
      <c r="F2506" t="s">
        <v>11080</v>
      </c>
      <c r="G2506" t="s">
        <v>84</v>
      </c>
      <c r="M2506" s="28" t="s">
        <v>14223</v>
      </c>
      <c r="N2506" t="s">
        <v>313</v>
      </c>
    </row>
    <row r="2507" spans="1:14" hidden="1" x14ac:dyDescent="0.25">
      <c r="A2507" t="s">
        <v>9813</v>
      </c>
      <c r="B2507" t="s">
        <v>5194</v>
      </c>
      <c r="C2507" t="s">
        <v>2184</v>
      </c>
      <c r="D2507" t="s">
        <v>5195</v>
      </c>
      <c r="E2507" s="28" t="s">
        <v>890</v>
      </c>
      <c r="F2507" t="s">
        <v>13217</v>
      </c>
      <c r="G2507" t="s">
        <v>15</v>
      </c>
      <c r="M2507" s="28" t="s">
        <v>613</v>
      </c>
      <c r="N2507" t="s">
        <v>313</v>
      </c>
    </row>
    <row r="2508" spans="1:14" hidden="1" x14ac:dyDescent="0.25">
      <c r="A2508" t="s">
        <v>11090</v>
      </c>
      <c r="B2508" t="s">
        <v>5194</v>
      </c>
      <c r="C2508" t="s">
        <v>2753</v>
      </c>
      <c r="D2508" t="s">
        <v>11091</v>
      </c>
      <c r="E2508" s="28" t="s">
        <v>890</v>
      </c>
      <c r="F2508" t="s">
        <v>11080</v>
      </c>
      <c r="G2508" t="s">
        <v>84</v>
      </c>
      <c r="M2508" s="28" t="s">
        <v>14223</v>
      </c>
      <c r="N2508" t="s">
        <v>313</v>
      </c>
    </row>
    <row r="2509" spans="1:14" hidden="1" x14ac:dyDescent="0.25">
      <c r="A2509" t="s">
        <v>8505</v>
      </c>
      <c r="B2509" t="s">
        <v>2377</v>
      </c>
      <c r="C2509" t="s">
        <v>2378</v>
      </c>
      <c r="D2509" t="s">
        <v>2379</v>
      </c>
      <c r="E2509" s="28" t="s">
        <v>1023</v>
      </c>
      <c r="F2509" t="s">
        <v>408</v>
      </c>
      <c r="G2509" t="s">
        <v>65</v>
      </c>
      <c r="M2509" s="28" t="s">
        <v>14209</v>
      </c>
    </row>
    <row r="2510" spans="1:14" hidden="1" x14ac:dyDescent="0.25">
      <c r="A2510" t="s">
        <v>14352</v>
      </c>
      <c r="B2510" t="s">
        <v>14353</v>
      </c>
      <c r="C2510" t="s">
        <v>1383</v>
      </c>
      <c r="D2510" t="s">
        <v>11761</v>
      </c>
      <c r="E2510" s="28" t="s">
        <v>890</v>
      </c>
      <c r="F2510" t="s">
        <v>13197</v>
      </c>
      <c r="G2510" t="s">
        <v>81</v>
      </c>
      <c r="M2510" s="28" t="s">
        <v>530</v>
      </c>
      <c r="N2510" t="s">
        <v>313</v>
      </c>
    </row>
    <row r="2511" spans="1:14" hidden="1" x14ac:dyDescent="0.25">
      <c r="A2511" t="s">
        <v>14354</v>
      </c>
      <c r="B2511" t="s">
        <v>14353</v>
      </c>
      <c r="C2511" t="s">
        <v>6435</v>
      </c>
      <c r="D2511" t="s">
        <v>11762</v>
      </c>
      <c r="E2511" s="28" t="s">
        <v>1177</v>
      </c>
      <c r="F2511" t="s">
        <v>13197</v>
      </c>
      <c r="G2511" t="s">
        <v>81</v>
      </c>
      <c r="M2511" s="28" t="s">
        <v>530</v>
      </c>
      <c r="N2511" t="s">
        <v>313</v>
      </c>
    </row>
    <row r="2512" spans="1:14" hidden="1" x14ac:dyDescent="0.25">
      <c r="A2512" t="s">
        <v>9811</v>
      </c>
      <c r="B2512" t="s">
        <v>5189</v>
      </c>
      <c r="C2512" t="s">
        <v>4668</v>
      </c>
      <c r="D2512" t="s">
        <v>5190</v>
      </c>
      <c r="E2512" s="28" t="s">
        <v>890</v>
      </c>
      <c r="F2512" t="s">
        <v>4679</v>
      </c>
      <c r="G2512" t="s">
        <v>15</v>
      </c>
      <c r="M2512" s="28" t="s">
        <v>613</v>
      </c>
      <c r="N2512" t="s">
        <v>313</v>
      </c>
    </row>
    <row r="2513" spans="1:14" hidden="1" x14ac:dyDescent="0.25">
      <c r="A2513" t="s">
        <v>9812</v>
      </c>
      <c r="B2513" t="s">
        <v>5189</v>
      </c>
      <c r="C2513" t="s">
        <v>5191</v>
      </c>
      <c r="D2513" t="s">
        <v>5192</v>
      </c>
      <c r="E2513" s="28" t="s">
        <v>890</v>
      </c>
      <c r="F2513" t="s">
        <v>2850</v>
      </c>
      <c r="G2513" t="s">
        <v>15</v>
      </c>
      <c r="M2513" s="28" t="s">
        <v>613</v>
      </c>
      <c r="N2513" t="s">
        <v>313</v>
      </c>
    </row>
    <row r="2514" spans="1:14" hidden="1" x14ac:dyDescent="0.25">
      <c r="A2514" t="s">
        <v>9173</v>
      </c>
      <c r="B2514" t="s">
        <v>3857</v>
      </c>
      <c r="C2514" t="s">
        <v>3858</v>
      </c>
      <c r="D2514" t="s">
        <v>3859</v>
      </c>
      <c r="E2514" s="28" t="s">
        <v>890</v>
      </c>
      <c r="F2514" t="s">
        <v>891</v>
      </c>
      <c r="G2514" t="s">
        <v>88</v>
      </c>
      <c r="M2514" s="28" t="s">
        <v>549</v>
      </c>
      <c r="N2514" t="s">
        <v>313</v>
      </c>
    </row>
    <row r="2515" spans="1:14" hidden="1" x14ac:dyDescent="0.25">
      <c r="A2515" t="s">
        <v>9174</v>
      </c>
      <c r="B2515" t="s">
        <v>3857</v>
      </c>
      <c r="C2515" t="s">
        <v>3860</v>
      </c>
      <c r="D2515" t="s">
        <v>3861</v>
      </c>
      <c r="E2515" s="28" t="s">
        <v>1023</v>
      </c>
      <c r="F2515" t="s">
        <v>891</v>
      </c>
      <c r="G2515" t="s">
        <v>88</v>
      </c>
      <c r="M2515" s="28" t="s">
        <v>549</v>
      </c>
      <c r="N2515" t="s">
        <v>313</v>
      </c>
    </row>
    <row r="2516" spans="1:14" hidden="1" x14ac:dyDescent="0.25">
      <c r="A2516" t="s">
        <v>9175</v>
      </c>
      <c r="B2516" t="s">
        <v>3857</v>
      </c>
      <c r="C2516" t="s">
        <v>3862</v>
      </c>
      <c r="D2516" t="s">
        <v>3863</v>
      </c>
      <c r="E2516" s="28" t="s">
        <v>890</v>
      </c>
      <c r="F2516" t="s">
        <v>891</v>
      </c>
      <c r="G2516" t="s">
        <v>88</v>
      </c>
      <c r="M2516" s="28" t="s">
        <v>549</v>
      </c>
      <c r="N2516" t="s">
        <v>313</v>
      </c>
    </row>
    <row r="2517" spans="1:14" hidden="1" x14ac:dyDescent="0.25">
      <c r="A2517" t="s">
        <v>14670</v>
      </c>
      <c r="B2517" t="s">
        <v>14671</v>
      </c>
      <c r="C2517" t="s">
        <v>6632</v>
      </c>
      <c r="D2517" t="s">
        <v>14672</v>
      </c>
      <c r="E2517" s="28" t="s">
        <v>1177</v>
      </c>
      <c r="F2517" t="s">
        <v>813</v>
      </c>
      <c r="G2517" t="s">
        <v>137</v>
      </c>
      <c r="M2517" s="28" t="s">
        <v>805</v>
      </c>
      <c r="N2517" t="s">
        <v>313</v>
      </c>
    </row>
    <row r="2518" spans="1:14" hidden="1" x14ac:dyDescent="0.25">
      <c r="A2518" t="s">
        <v>10842</v>
      </c>
      <c r="B2518" t="s">
        <v>7422</v>
      </c>
      <c r="C2518" t="s">
        <v>1194</v>
      </c>
      <c r="D2518" t="s">
        <v>7423</v>
      </c>
      <c r="E2518" s="28" t="s">
        <v>896</v>
      </c>
      <c r="F2518" t="s">
        <v>7424</v>
      </c>
      <c r="G2518" t="s">
        <v>157</v>
      </c>
      <c r="M2518" s="28" t="s">
        <v>840</v>
      </c>
      <c r="N2518" t="s">
        <v>382</v>
      </c>
    </row>
    <row r="2519" spans="1:14" hidden="1" x14ac:dyDescent="0.25">
      <c r="A2519" t="s">
        <v>12958</v>
      </c>
      <c r="B2519" t="s">
        <v>12959</v>
      </c>
      <c r="C2519" t="s">
        <v>12960</v>
      </c>
      <c r="D2519" t="s">
        <v>12961</v>
      </c>
      <c r="E2519" s="28" t="s">
        <v>890</v>
      </c>
      <c r="F2519" t="s">
        <v>615</v>
      </c>
      <c r="G2519" t="s">
        <v>15</v>
      </c>
      <c r="M2519" s="28" t="s">
        <v>613</v>
      </c>
      <c r="N2519" t="s">
        <v>313</v>
      </c>
    </row>
    <row r="2520" spans="1:14" hidden="1" x14ac:dyDescent="0.25">
      <c r="A2520" t="s">
        <v>9810</v>
      </c>
      <c r="B2520" t="s">
        <v>5187</v>
      </c>
      <c r="C2520" t="s">
        <v>4557</v>
      </c>
      <c r="D2520" t="s">
        <v>5188</v>
      </c>
      <c r="E2520" s="28" t="s">
        <v>890</v>
      </c>
      <c r="F2520" t="s">
        <v>12558</v>
      </c>
      <c r="G2520" t="s">
        <v>15</v>
      </c>
      <c r="M2520" s="28" t="s">
        <v>613</v>
      </c>
      <c r="N2520" t="s">
        <v>313</v>
      </c>
    </row>
    <row r="2521" spans="1:14" hidden="1" x14ac:dyDescent="0.25">
      <c r="A2521" t="s">
        <v>8625</v>
      </c>
      <c r="B2521" t="s">
        <v>2668</v>
      </c>
      <c r="C2521" t="s">
        <v>2670</v>
      </c>
      <c r="D2521" t="s">
        <v>2671</v>
      </c>
      <c r="E2521" s="28" t="s">
        <v>890</v>
      </c>
      <c r="F2521" t="s">
        <v>170</v>
      </c>
      <c r="G2521" t="s">
        <v>74</v>
      </c>
      <c r="M2521" s="28" t="s">
        <v>507</v>
      </c>
      <c r="N2521" t="s">
        <v>313</v>
      </c>
    </row>
    <row r="2522" spans="1:14" hidden="1" x14ac:dyDescent="0.25">
      <c r="A2522" t="s">
        <v>8624</v>
      </c>
      <c r="B2522" t="s">
        <v>2668</v>
      </c>
      <c r="C2522" t="s">
        <v>1121</v>
      </c>
      <c r="D2522" t="s">
        <v>2669</v>
      </c>
      <c r="E2522" s="28" t="s">
        <v>896</v>
      </c>
      <c r="F2522" t="s">
        <v>170</v>
      </c>
      <c r="G2522" t="s">
        <v>74</v>
      </c>
      <c r="M2522" s="28" t="s">
        <v>507</v>
      </c>
      <c r="N2522" t="s">
        <v>313</v>
      </c>
    </row>
    <row r="2523" spans="1:14" hidden="1" x14ac:dyDescent="0.25">
      <c r="A2523" t="s">
        <v>13295</v>
      </c>
      <c r="B2523" t="s">
        <v>2668</v>
      </c>
      <c r="C2523" t="s">
        <v>2694</v>
      </c>
      <c r="D2523" t="s">
        <v>13296</v>
      </c>
      <c r="E2523" s="28" t="s">
        <v>1177</v>
      </c>
      <c r="F2523" t="s">
        <v>516</v>
      </c>
      <c r="G2523" t="s">
        <v>74</v>
      </c>
      <c r="M2523" s="28" t="s">
        <v>507</v>
      </c>
      <c r="N2523" t="s">
        <v>313</v>
      </c>
    </row>
    <row r="2524" spans="1:14" hidden="1" x14ac:dyDescent="0.25">
      <c r="A2524" t="s">
        <v>9809</v>
      </c>
      <c r="B2524" t="s">
        <v>5185</v>
      </c>
      <c r="C2524" t="s">
        <v>4985</v>
      </c>
      <c r="D2524" t="s">
        <v>5186</v>
      </c>
      <c r="E2524" s="28" t="s">
        <v>890</v>
      </c>
      <c r="F2524" t="s">
        <v>197</v>
      </c>
      <c r="G2524" t="s">
        <v>15</v>
      </c>
      <c r="M2524" s="28" t="s">
        <v>613</v>
      </c>
      <c r="N2524" t="s">
        <v>313</v>
      </c>
    </row>
    <row r="2525" spans="1:14" hidden="1" x14ac:dyDescent="0.25">
      <c r="A2525" t="s">
        <v>9808</v>
      </c>
      <c r="B2525" t="s">
        <v>5183</v>
      </c>
      <c r="C2525" t="s">
        <v>4726</v>
      </c>
      <c r="D2525" t="s">
        <v>5184</v>
      </c>
      <c r="E2525" s="28" t="s">
        <v>896</v>
      </c>
      <c r="F2525" t="s">
        <v>743</v>
      </c>
      <c r="G2525" t="s">
        <v>15</v>
      </c>
      <c r="M2525" s="28" t="s">
        <v>613</v>
      </c>
      <c r="N2525" t="s">
        <v>313</v>
      </c>
    </row>
    <row r="2526" spans="1:14" hidden="1" x14ac:dyDescent="0.25">
      <c r="A2526" t="s">
        <v>9807</v>
      </c>
      <c r="B2526" t="s">
        <v>5181</v>
      </c>
      <c r="C2526" t="s">
        <v>4936</v>
      </c>
      <c r="D2526" t="s">
        <v>5182</v>
      </c>
      <c r="E2526" s="28" t="s">
        <v>896</v>
      </c>
      <c r="F2526" t="s">
        <v>688</v>
      </c>
      <c r="G2526" t="s">
        <v>15</v>
      </c>
      <c r="M2526" s="28" t="s">
        <v>613</v>
      </c>
      <c r="N2526" t="s">
        <v>313</v>
      </c>
    </row>
    <row r="2527" spans="1:14" hidden="1" x14ac:dyDescent="0.25">
      <c r="A2527" t="s">
        <v>8720</v>
      </c>
      <c r="B2527" t="s">
        <v>1913</v>
      </c>
      <c r="C2527" t="s">
        <v>1309</v>
      </c>
      <c r="D2527" t="s">
        <v>2904</v>
      </c>
      <c r="E2527" s="28" t="s">
        <v>890</v>
      </c>
      <c r="F2527" t="s">
        <v>179</v>
      </c>
      <c r="G2527" t="s">
        <v>81</v>
      </c>
      <c r="M2527" s="28" t="s">
        <v>530</v>
      </c>
      <c r="N2527" t="s">
        <v>313</v>
      </c>
    </row>
    <row r="2528" spans="1:14" hidden="1" x14ac:dyDescent="0.25">
      <c r="A2528" t="s">
        <v>8315</v>
      </c>
      <c r="B2528" t="s">
        <v>1913</v>
      </c>
      <c r="C2528" t="s">
        <v>1914</v>
      </c>
      <c r="D2528" t="s">
        <v>1915</v>
      </c>
      <c r="E2528" s="28" t="s">
        <v>890</v>
      </c>
      <c r="F2528" t="s">
        <v>1907</v>
      </c>
      <c r="G2528" t="s">
        <v>43</v>
      </c>
      <c r="M2528" s="28" t="s">
        <v>14205</v>
      </c>
    </row>
    <row r="2529" spans="1:14" hidden="1" x14ac:dyDescent="0.25">
      <c r="A2529" t="s">
        <v>10517</v>
      </c>
      <c r="B2529" t="s">
        <v>1913</v>
      </c>
      <c r="C2529" t="s">
        <v>6701</v>
      </c>
      <c r="D2529" t="s">
        <v>6702</v>
      </c>
      <c r="E2529" s="28" t="s">
        <v>890</v>
      </c>
      <c r="F2529" t="s">
        <v>806</v>
      </c>
      <c r="G2529" t="s">
        <v>137</v>
      </c>
      <c r="M2529" s="28" t="s">
        <v>805</v>
      </c>
      <c r="N2529" t="s">
        <v>313</v>
      </c>
    </row>
    <row r="2530" spans="1:14" hidden="1" x14ac:dyDescent="0.25">
      <c r="A2530" t="s">
        <v>14535</v>
      </c>
      <c r="B2530" t="s">
        <v>14536</v>
      </c>
      <c r="C2530" t="s">
        <v>1905</v>
      </c>
      <c r="D2530" t="s">
        <v>14537</v>
      </c>
      <c r="E2530" s="28" t="s">
        <v>896</v>
      </c>
      <c r="F2530" t="s">
        <v>349</v>
      </c>
      <c r="G2530" t="s">
        <v>43</v>
      </c>
      <c r="M2530" s="28" t="s">
        <v>14205</v>
      </c>
    </row>
    <row r="2531" spans="1:14" hidden="1" x14ac:dyDescent="0.25">
      <c r="A2531" t="s">
        <v>8359</v>
      </c>
      <c r="B2531" t="s">
        <v>2031</v>
      </c>
      <c r="C2531" t="s">
        <v>1132</v>
      </c>
      <c r="D2531" t="s">
        <v>2032</v>
      </c>
      <c r="E2531" s="28" t="s">
        <v>890</v>
      </c>
      <c r="F2531" t="s">
        <v>389</v>
      </c>
      <c r="G2531" t="s">
        <v>47</v>
      </c>
      <c r="M2531" s="28" t="s">
        <v>13542</v>
      </c>
    </row>
    <row r="2532" spans="1:14" hidden="1" x14ac:dyDescent="0.25">
      <c r="A2532" t="s">
        <v>10593</v>
      </c>
      <c r="B2532" t="s">
        <v>2031</v>
      </c>
      <c r="C2532" t="s">
        <v>6829</v>
      </c>
      <c r="D2532" t="s">
        <v>12019</v>
      </c>
      <c r="E2532" s="28" t="s">
        <v>1177</v>
      </c>
      <c r="F2532" t="s">
        <v>6830</v>
      </c>
      <c r="G2532" t="s">
        <v>98</v>
      </c>
      <c r="M2532" s="28" t="s">
        <v>820</v>
      </c>
      <c r="N2532" t="s">
        <v>313</v>
      </c>
    </row>
    <row r="2533" spans="1:14" hidden="1" x14ac:dyDescent="0.25">
      <c r="A2533" t="s">
        <v>10592</v>
      </c>
      <c r="B2533" t="s">
        <v>2031</v>
      </c>
      <c r="C2533" t="s">
        <v>6828</v>
      </c>
      <c r="D2533" t="s">
        <v>12018</v>
      </c>
      <c r="E2533" s="28" t="s">
        <v>1023</v>
      </c>
      <c r="F2533" t="s">
        <v>819</v>
      </c>
      <c r="G2533" t="s">
        <v>98</v>
      </c>
      <c r="M2533" s="28" t="s">
        <v>820</v>
      </c>
      <c r="N2533" t="s">
        <v>313</v>
      </c>
    </row>
    <row r="2534" spans="1:14" hidden="1" x14ac:dyDescent="0.25">
      <c r="A2534" t="s">
        <v>10583</v>
      </c>
      <c r="B2534" t="s">
        <v>2031</v>
      </c>
      <c r="C2534" t="s">
        <v>1124</v>
      </c>
      <c r="D2534" t="s">
        <v>12008</v>
      </c>
      <c r="E2534" s="28" t="s">
        <v>890</v>
      </c>
      <c r="F2534" t="s">
        <v>6830</v>
      </c>
      <c r="G2534" t="s">
        <v>98</v>
      </c>
      <c r="M2534" s="28" t="s">
        <v>820</v>
      </c>
      <c r="N2534" t="s">
        <v>313</v>
      </c>
    </row>
    <row r="2535" spans="1:14" hidden="1" x14ac:dyDescent="0.25">
      <c r="A2535" t="s">
        <v>8360</v>
      </c>
      <c r="B2535" t="s">
        <v>2031</v>
      </c>
      <c r="C2535" t="s">
        <v>1056</v>
      </c>
      <c r="D2535" t="s">
        <v>2033</v>
      </c>
      <c r="E2535" s="28" t="s">
        <v>896</v>
      </c>
      <c r="F2535" t="s">
        <v>389</v>
      </c>
      <c r="G2535" t="s">
        <v>47</v>
      </c>
      <c r="M2535" s="28" t="s">
        <v>13542</v>
      </c>
    </row>
    <row r="2536" spans="1:14" hidden="1" x14ac:dyDescent="0.25">
      <c r="A2536" t="s">
        <v>10584</v>
      </c>
      <c r="B2536" t="s">
        <v>2031</v>
      </c>
      <c r="C2536" t="s">
        <v>1134</v>
      </c>
      <c r="D2536" t="s">
        <v>12009</v>
      </c>
      <c r="E2536" s="28" t="s">
        <v>896</v>
      </c>
      <c r="F2536" t="s">
        <v>819</v>
      </c>
      <c r="G2536" t="s">
        <v>98</v>
      </c>
      <c r="M2536" s="28" t="s">
        <v>820</v>
      </c>
      <c r="N2536" t="s">
        <v>313</v>
      </c>
    </row>
    <row r="2537" spans="1:14" hidden="1" x14ac:dyDescent="0.25">
      <c r="A2537" t="s">
        <v>10585</v>
      </c>
      <c r="B2537" t="s">
        <v>2031</v>
      </c>
      <c r="C2537" t="s">
        <v>6819</v>
      </c>
      <c r="D2537" t="s">
        <v>12010</v>
      </c>
      <c r="E2537" s="28" t="s">
        <v>896</v>
      </c>
      <c r="F2537" t="s">
        <v>819</v>
      </c>
      <c r="G2537" t="s">
        <v>98</v>
      </c>
      <c r="M2537" s="28" t="s">
        <v>820</v>
      </c>
      <c r="N2537" t="s">
        <v>313</v>
      </c>
    </row>
    <row r="2538" spans="1:14" hidden="1" x14ac:dyDescent="0.25">
      <c r="A2538" t="s">
        <v>8310</v>
      </c>
      <c r="B2538" t="s">
        <v>1897</v>
      </c>
      <c r="C2538" t="s">
        <v>1898</v>
      </c>
      <c r="D2538" t="s">
        <v>1899</v>
      </c>
      <c r="E2538" s="28" t="s">
        <v>890</v>
      </c>
      <c r="F2538" t="s">
        <v>349</v>
      </c>
      <c r="G2538" t="s">
        <v>43</v>
      </c>
      <c r="M2538" s="28" t="s">
        <v>14205</v>
      </c>
    </row>
    <row r="2539" spans="1:14" hidden="1" x14ac:dyDescent="0.25">
      <c r="A2539" t="s">
        <v>9806</v>
      </c>
      <c r="B2539" t="s">
        <v>5179</v>
      </c>
      <c r="C2539" t="s">
        <v>5049</v>
      </c>
      <c r="D2539" t="s">
        <v>5180</v>
      </c>
      <c r="E2539" s="28" t="s">
        <v>896</v>
      </c>
      <c r="F2539" t="s">
        <v>13217</v>
      </c>
      <c r="G2539" t="s">
        <v>15</v>
      </c>
      <c r="M2539" s="28" t="s">
        <v>613</v>
      </c>
      <c r="N2539" t="s">
        <v>313</v>
      </c>
    </row>
    <row r="2540" spans="1:14" hidden="1" x14ac:dyDescent="0.25">
      <c r="A2540" t="s">
        <v>8512</v>
      </c>
      <c r="B2540" t="s">
        <v>2394</v>
      </c>
      <c r="C2540" t="s">
        <v>2264</v>
      </c>
      <c r="D2540" t="s">
        <v>2395</v>
      </c>
      <c r="E2540" s="28" t="s">
        <v>1023</v>
      </c>
      <c r="F2540" t="s">
        <v>408</v>
      </c>
      <c r="G2540" t="s">
        <v>65</v>
      </c>
      <c r="M2540" s="28" t="s">
        <v>14209</v>
      </c>
    </row>
    <row r="2541" spans="1:14" hidden="1" x14ac:dyDescent="0.25">
      <c r="A2541" t="s">
        <v>8373</v>
      </c>
      <c r="B2541" t="s">
        <v>2059</v>
      </c>
      <c r="C2541" t="s">
        <v>1132</v>
      </c>
      <c r="D2541" t="s">
        <v>2060</v>
      </c>
      <c r="E2541" s="28" t="s">
        <v>890</v>
      </c>
      <c r="F2541" t="s">
        <v>395</v>
      </c>
      <c r="G2541" t="s">
        <v>47</v>
      </c>
      <c r="M2541" s="28" t="s">
        <v>13542</v>
      </c>
    </row>
    <row r="2542" spans="1:14" hidden="1" x14ac:dyDescent="0.25">
      <c r="A2542" t="s">
        <v>8685</v>
      </c>
      <c r="B2542" t="s">
        <v>2059</v>
      </c>
      <c r="C2542" t="s">
        <v>2820</v>
      </c>
      <c r="D2542" t="s">
        <v>2821</v>
      </c>
      <c r="E2542" s="28" t="s">
        <v>1023</v>
      </c>
      <c r="F2542" t="s">
        <v>2427</v>
      </c>
      <c r="G2542" t="s">
        <v>74</v>
      </c>
      <c r="M2542" s="28" t="s">
        <v>507</v>
      </c>
      <c r="N2542" t="s">
        <v>313</v>
      </c>
    </row>
    <row r="2543" spans="1:14" hidden="1" x14ac:dyDescent="0.25">
      <c r="A2543" t="s">
        <v>11666</v>
      </c>
      <c r="B2543" t="s">
        <v>11667</v>
      </c>
      <c r="C2543" t="s">
        <v>1121</v>
      </c>
      <c r="D2543" t="s">
        <v>11668</v>
      </c>
      <c r="E2543" s="28" t="s">
        <v>896</v>
      </c>
      <c r="F2543" t="s">
        <v>11665</v>
      </c>
      <c r="G2543" t="s">
        <v>74</v>
      </c>
      <c r="M2543" s="28" t="s">
        <v>507</v>
      </c>
      <c r="N2543" t="s">
        <v>313</v>
      </c>
    </row>
    <row r="2544" spans="1:14" hidden="1" x14ac:dyDescent="0.25">
      <c r="A2544" t="s">
        <v>14165</v>
      </c>
      <c r="B2544" t="s">
        <v>14166</v>
      </c>
      <c r="C2544" t="s">
        <v>14167</v>
      </c>
      <c r="D2544" t="s">
        <v>14168</v>
      </c>
      <c r="E2544" s="28" t="s">
        <v>1177</v>
      </c>
      <c r="F2544" t="s">
        <v>2625</v>
      </c>
      <c r="G2544" t="s">
        <v>74</v>
      </c>
      <c r="M2544" s="28" t="s">
        <v>507</v>
      </c>
      <c r="N2544" t="s">
        <v>313</v>
      </c>
    </row>
    <row r="2545" spans="1:14" hidden="1" x14ac:dyDescent="0.25">
      <c r="A2545" t="s">
        <v>8581</v>
      </c>
      <c r="B2545" t="s">
        <v>2562</v>
      </c>
      <c r="C2545" t="s">
        <v>1067</v>
      </c>
      <c r="D2545" t="s">
        <v>2563</v>
      </c>
      <c r="E2545" s="28" t="s">
        <v>896</v>
      </c>
      <c r="F2545" t="s">
        <v>11615</v>
      </c>
      <c r="G2545" t="s">
        <v>11</v>
      </c>
      <c r="M2545" s="28" t="s">
        <v>413</v>
      </c>
      <c r="N2545" t="s">
        <v>313</v>
      </c>
    </row>
    <row r="2546" spans="1:14" hidden="1" x14ac:dyDescent="0.25">
      <c r="A2546" t="s">
        <v>9805</v>
      </c>
      <c r="B2546" t="s">
        <v>5177</v>
      </c>
      <c r="C2546" t="s">
        <v>941</v>
      </c>
      <c r="D2546" t="s">
        <v>5178</v>
      </c>
      <c r="E2546" s="28" t="s">
        <v>896</v>
      </c>
      <c r="F2546" t="s">
        <v>752</v>
      </c>
      <c r="G2546" t="s">
        <v>15</v>
      </c>
      <c r="M2546" s="28" t="s">
        <v>613</v>
      </c>
      <c r="N2546" t="s">
        <v>313</v>
      </c>
    </row>
    <row r="2547" spans="1:14" hidden="1" x14ac:dyDescent="0.25">
      <c r="A2547" t="s">
        <v>14169</v>
      </c>
      <c r="B2547" t="s">
        <v>14170</v>
      </c>
      <c r="C2547" t="s">
        <v>3021</v>
      </c>
      <c r="D2547" t="s">
        <v>14283</v>
      </c>
      <c r="E2547" s="28" t="s">
        <v>890</v>
      </c>
      <c r="F2547" t="s">
        <v>588</v>
      </c>
      <c r="G2547" t="s">
        <v>88</v>
      </c>
      <c r="M2547" s="28" t="s">
        <v>549</v>
      </c>
      <c r="N2547" t="s">
        <v>313</v>
      </c>
    </row>
    <row r="2548" spans="1:14" hidden="1" x14ac:dyDescent="0.25">
      <c r="A2548" t="s">
        <v>8572</v>
      </c>
      <c r="B2548" t="s">
        <v>2542</v>
      </c>
      <c r="C2548" t="s">
        <v>2543</v>
      </c>
      <c r="D2548" t="s">
        <v>2544</v>
      </c>
      <c r="E2548" s="28" t="s">
        <v>896</v>
      </c>
      <c r="F2548" t="s">
        <v>2480</v>
      </c>
      <c r="G2548" t="s">
        <v>11</v>
      </c>
      <c r="M2548" s="28" t="s">
        <v>413</v>
      </c>
      <c r="N2548" t="s">
        <v>313</v>
      </c>
    </row>
    <row r="2549" spans="1:14" hidden="1" x14ac:dyDescent="0.25">
      <c r="A2549" t="s">
        <v>9804</v>
      </c>
      <c r="B2549" t="s">
        <v>5173</v>
      </c>
      <c r="C2549" t="s">
        <v>5174</v>
      </c>
      <c r="D2549" t="s">
        <v>5175</v>
      </c>
      <c r="E2549" s="28" t="s">
        <v>890</v>
      </c>
      <c r="F2549" t="s">
        <v>5176</v>
      </c>
      <c r="G2549" t="s">
        <v>15</v>
      </c>
      <c r="M2549" s="28" t="s">
        <v>613</v>
      </c>
      <c r="N2549" t="s">
        <v>313</v>
      </c>
    </row>
    <row r="2550" spans="1:14" hidden="1" x14ac:dyDescent="0.25">
      <c r="A2550" t="s">
        <v>10387</v>
      </c>
      <c r="B2550" t="s">
        <v>5171</v>
      </c>
      <c r="C2550" t="s">
        <v>6340</v>
      </c>
      <c r="D2550" t="s">
        <v>6341</v>
      </c>
      <c r="E2550" s="28" t="s">
        <v>1023</v>
      </c>
      <c r="F2550" t="s">
        <v>6313</v>
      </c>
      <c r="G2550" t="s">
        <v>110</v>
      </c>
      <c r="M2550" s="28" t="s">
        <v>13563</v>
      </c>
      <c r="N2550" t="s">
        <v>279</v>
      </c>
    </row>
    <row r="2551" spans="1:14" hidden="1" x14ac:dyDescent="0.25">
      <c r="A2551" t="s">
        <v>10388</v>
      </c>
      <c r="B2551" t="s">
        <v>5171</v>
      </c>
      <c r="C2551" t="s">
        <v>6342</v>
      </c>
      <c r="D2551" t="s">
        <v>6343</v>
      </c>
      <c r="E2551" s="28" t="s">
        <v>1023</v>
      </c>
      <c r="F2551" t="s">
        <v>6313</v>
      </c>
      <c r="G2551" t="s">
        <v>110</v>
      </c>
      <c r="M2551" s="28" t="s">
        <v>13563</v>
      </c>
      <c r="N2551" t="s">
        <v>279</v>
      </c>
    </row>
    <row r="2552" spans="1:14" hidden="1" x14ac:dyDescent="0.25">
      <c r="A2552" t="s">
        <v>9803</v>
      </c>
      <c r="B2552" t="s">
        <v>5171</v>
      </c>
      <c r="C2552" t="s">
        <v>4676</v>
      </c>
      <c r="D2552" t="s">
        <v>5172</v>
      </c>
      <c r="E2552" s="28" t="s">
        <v>890</v>
      </c>
      <c r="F2552" t="s">
        <v>4638</v>
      </c>
      <c r="G2552" t="s">
        <v>15</v>
      </c>
      <c r="M2552" s="28" t="s">
        <v>613</v>
      </c>
      <c r="N2552" t="s">
        <v>313</v>
      </c>
    </row>
    <row r="2553" spans="1:14" hidden="1" x14ac:dyDescent="0.25">
      <c r="A2553" t="s">
        <v>10389</v>
      </c>
      <c r="B2553" t="s">
        <v>5171</v>
      </c>
      <c r="C2553" t="s">
        <v>6344</v>
      </c>
      <c r="D2553" t="s">
        <v>6345</v>
      </c>
      <c r="E2553" s="28" t="s">
        <v>1177</v>
      </c>
      <c r="F2553" t="s">
        <v>6313</v>
      </c>
      <c r="G2553" t="s">
        <v>110</v>
      </c>
      <c r="M2553" s="28" t="s">
        <v>13563</v>
      </c>
      <c r="N2553" t="s">
        <v>279</v>
      </c>
    </row>
    <row r="2554" spans="1:14" hidden="1" x14ac:dyDescent="0.25">
      <c r="A2554" t="s">
        <v>9176</v>
      </c>
      <c r="B2554" t="s">
        <v>3864</v>
      </c>
      <c r="C2554" t="s">
        <v>3865</v>
      </c>
      <c r="D2554" t="s">
        <v>3866</v>
      </c>
      <c r="E2554" s="28" t="s">
        <v>890</v>
      </c>
      <c r="F2554" t="s">
        <v>891</v>
      </c>
      <c r="G2554" t="s">
        <v>88</v>
      </c>
      <c r="M2554" s="28" t="s">
        <v>549</v>
      </c>
      <c r="N2554" t="s">
        <v>313</v>
      </c>
    </row>
    <row r="2555" spans="1:14" hidden="1" x14ac:dyDescent="0.25">
      <c r="A2555" t="s">
        <v>8293</v>
      </c>
      <c r="B2555" t="s">
        <v>1853</v>
      </c>
      <c r="C2555" t="s">
        <v>1854</v>
      </c>
      <c r="D2555" t="s">
        <v>1855</v>
      </c>
      <c r="E2555" s="28" t="s">
        <v>896</v>
      </c>
      <c r="F2555" t="s">
        <v>1645</v>
      </c>
      <c r="G2555" t="s">
        <v>43</v>
      </c>
      <c r="M2555" s="28" t="s">
        <v>14205</v>
      </c>
    </row>
    <row r="2556" spans="1:14" hidden="1" x14ac:dyDescent="0.25">
      <c r="A2556" t="s">
        <v>11763</v>
      </c>
      <c r="B2556" t="s">
        <v>11764</v>
      </c>
      <c r="C2556" t="s">
        <v>2125</v>
      </c>
      <c r="D2556" t="s">
        <v>11765</v>
      </c>
      <c r="E2556" s="28" t="s">
        <v>896</v>
      </c>
      <c r="F2556" t="s">
        <v>2951</v>
      </c>
      <c r="G2556" t="s">
        <v>81</v>
      </c>
      <c r="M2556" s="28" t="s">
        <v>530</v>
      </c>
      <c r="N2556" t="s">
        <v>313</v>
      </c>
    </row>
    <row r="2557" spans="1:14" hidden="1" x14ac:dyDescent="0.25">
      <c r="A2557" t="s">
        <v>9802</v>
      </c>
      <c r="B2557" t="s">
        <v>5169</v>
      </c>
      <c r="C2557" t="s">
        <v>4640</v>
      </c>
      <c r="D2557" t="s">
        <v>5170</v>
      </c>
      <c r="E2557" s="28" t="s">
        <v>890</v>
      </c>
      <c r="F2557" t="s">
        <v>743</v>
      </c>
      <c r="G2557" t="s">
        <v>15</v>
      </c>
      <c r="M2557" s="28" t="s">
        <v>613</v>
      </c>
      <c r="N2557" t="s">
        <v>313</v>
      </c>
    </row>
    <row r="2558" spans="1:14" hidden="1" x14ac:dyDescent="0.25">
      <c r="A2558" t="s">
        <v>13451</v>
      </c>
      <c r="B2558" t="s">
        <v>13452</v>
      </c>
      <c r="C2558" t="s">
        <v>13453</v>
      </c>
      <c r="D2558" t="s">
        <v>13454</v>
      </c>
      <c r="E2558" s="28" t="s">
        <v>896</v>
      </c>
      <c r="F2558" t="s">
        <v>11563</v>
      </c>
      <c r="G2558" t="s">
        <v>110</v>
      </c>
      <c r="M2558" s="28" t="s">
        <v>13563</v>
      </c>
      <c r="N2558" t="s">
        <v>279</v>
      </c>
    </row>
    <row r="2559" spans="1:14" hidden="1" x14ac:dyDescent="0.25">
      <c r="A2559" t="s">
        <v>13852</v>
      </c>
      <c r="B2559" t="s">
        <v>13853</v>
      </c>
      <c r="C2559" t="s">
        <v>13854</v>
      </c>
      <c r="D2559" t="s">
        <v>13855</v>
      </c>
      <c r="E2559" s="28" t="s">
        <v>896</v>
      </c>
      <c r="F2559" t="s">
        <v>786</v>
      </c>
      <c r="G2559" t="s">
        <v>110</v>
      </c>
      <c r="M2559" s="28" t="s">
        <v>13563</v>
      </c>
      <c r="N2559" t="s">
        <v>279</v>
      </c>
    </row>
    <row r="2560" spans="1:14" hidden="1" x14ac:dyDescent="0.25">
      <c r="A2560" t="s">
        <v>9801</v>
      </c>
      <c r="B2560" t="s">
        <v>1931</v>
      </c>
      <c r="C2560" t="s">
        <v>4925</v>
      </c>
      <c r="D2560" t="s">
        <v>5168</v>
      </c>
      <c r="E2560" s="28" t="s">
        <v>890</v>
      </c>
      <c r="F2560" t="s">
        <v>204</v>
      </c>
      <c r="G2560" t="s">
        <v>15</v>
      </c>
      <c r="M2560" s="28" t="s">
        <v>613</v>
      </c>
      <c r="N2560" t="s">
        <v>313</v>
      </c>
    </row>
    <row r="2561" spans="1:14" hidden="1" x14ac:dyDescent="0.25">
      <c r="A2561" t="s">
        <v>8321</v>
      </c>
      <c r="B2561" t="s">
        <v>1931</v>
      </c>
      <c r="C2561" t="s">
        <v>1799</v>
      </c>
      <c r="D2561" t="s">
        <v>1932</v>
      </c>
      <c r="E2561" s="28" t="s">
        <v>890</v>
      </c>
      <c r="F2561" t="s">
        <v>360</v>
      </c>
      <c r="G2561" t="s">
        <v>43</v>
      </c>
      <c r="M2561" s="28" t="s">
        <v>14205</v>
      </c>
    </row>
    <row r="2562" spans="1:14" hidden="1" x14ac:dyDescent="0.25">
      <c r="A2562" t="s">
        <v>9177</v>
      </c>
      <c r="B2562" t="s">
        <v>3867</v>
      </c>
      <c r="C2562" t="s">
        <v>3868</v>
      </c>
      <c r="D2562" t="s">
        <v>3869</v>
      </c>
      <c r="E2562" s="28" t="s">
        <v>930</v>
      </c>
      <c r="F2562" t="s">
        <v>891</v>
      </c>
      <c r="G2562" t="s">
        <v>88</v>
      </c>
      <c r="M2562" s="28" t="s">
        <v>549</v>
      </c>
      <c r="N2562" t="s">
        <v>313</v>
      </c>
    </row>
    <row r="2563" spans="1:14" hidden="1" x14ac:dyDescent="0.25">
      <c r="A2563" t="s">
        <v>9178</v>
      </c>
      <c r="B2563" t="s">
        <v>3867</v>
      </c>
      <c r="C2563" t="s">
        <v>3021</v>
      </c>
      <c r="D2563" t="s">
        <v>3870</v>
      </c>
      <c r="E2563" s="28" t="s">
        <v>890</v>
      </c>
      <c r="F2563" t="s">
        <v>891</v>
      </c>
      <c r="G2563" t="s">
        <v>88</v>
      </c>
      <c r="M2563" s="28" t="s">
        <v>549</v>
      </c>
      <c r="N2563" t="s">
        <v>313</v>
      </c>
    </row>
    <row r="2564" spans="1:14" hidden="1" x14ac:dyDescent="0.25">
      <c r="A2564" t="s">
        <v>11928</v>
      </c>
      <c r="B2564" t="s">
        <v>6530</v>
      </c>
      <c r="C2564" t="s">
        <v>6529</v>
      </c>
      <c r="D2564" t="s">
        <v>6531</v>
      </c>
      <c r="E2564" s="28" t="s">
        <v>896</v>
      </c>
      <c r="F2564" t="s">
        <v>252</v>
      </c>
      <c r="G2564" t="s">
        <v>129</v>
      </c>
      <c r="M2564" s="28" t="s">
        <v>802</v>
      </c>
      <c r="N2564" t="s">
        <v>313</v>
      </c>
    </row>
    <row r="2565" spans="1:14" hidden="1" x14ac:dyDescent="0.25">
      <c r="A2565" t="s">
        <v>11929</v>
      </c>
      <c r="B2565" t="s">
        <v>6530</v>
      </c>
      <c r="C2565" t="s">
        <v>2029</v>
      </c>
      <c r="D2565" t="s">
        <v>6532</v>
      </c>
      <c r="E2565" s="28" t="s">
        <v>890</v>
      </c>
      <c r="F2565" t="s">
        <v>252</v>
      </c>
      <c r="G2565" t="s">
        <v>129</v>
      </c>
      <c r="M2565" s="28" t="s">
        <v>802</v>
      </c>
      <c r="N2565" t="s">
        <v>313</v>
      </c>
    </row>
    <row r="2566" spans="1:14" hidden="1" x14ac:dyDescent="0.25">
      <c r="A2566" t="s">
        <v>11930</v>
      </c>
      <c r="B2566" t="s">
        <v>6530</v>
      </c>
      <c r="C2566" t="s">
        <v>1061</v>
      </c>
      <c r="D2566" t="s">
        <v>6533</v>
      </c>
      <c r="E2566" s="28" t="s">
        <v>890</v>
      </c>
      <c r="F2566" t="s">
        <v>252</v>
      </c>
      <c r="G2566" t="s">
        <v>129</v>
      </c>
      <c r="M2566" s="28" t="s">
        <v>802</v>
      </c>
      <c r="N2566" t="s">
        <v>313</v>
      </c>
    </row>
    <row r="2567" spans="1:14" hidden="1" x14ac:dyDescent="0.25">
      <c r="A2567" t="s">
        <v>11948</v>
      </c>
      <c r="B2567" t="s">
        <v>6530</v>
      </c>
      <c r="C2567" t="s">
        <v>6565</v>
      </c>
      <c r="D2567" t="s">
        <v>6566</v>
      </c>
      <c r="E2567" s="28" t="s">
        <v>896</v>
      </c>
      <c r="F2567" t="s">
        <v>799</v>
      </c>
      <c r="G2567" t="s">
        <v>129</v>
      </c>
      <c r="M2567" s="28" t="s">
        <v>802</v>
      </c>
      <c r="N2567" t="s">
        <v>313</v>
      </c>
    </row>
    <row r="2568" spans="1:14" hidden="1" x14ac:dyDescent="0.25">
      <c r="A2568" t="s">
        <v>13089</v>
      </c>
      <c r="B2568" t="s">
        <v>13090</v>
      </c>
      <c r="C2568" t="s">
        <v>13091</v>
      </c>
      <c r="D2568" t="s">
        <v>13092</v>
      </c>
      <c r="E2568" s="28"/>
      <c r="F2568" t="s">
        <v>799</v>
      </c>
      <c r="G2568" t="s">
        <v>129</v>
      </c>
      <c r="M2568" s="28" t="s">
        <v>802</v>
      </c>
      <c r="N2568" t="s">
        <v>313</v>
      </c>
    </row>
    <row r="2569" spans="1:14" hidden="1" x14ac:dyDescent="0.25">
      <c r="A2569" t="s">
        <v>9179</v>
      </c>
      <c r="B2569" t="s">
        <v>3871</v>
      </c>
      <c r="C2569" t="s">
        <v>3209</v>
      </c>
      <c r="D2569" t="s">
        <v>3872</v>
      </c>
      <c r="E2569" s="28" t="s">
        <v>890</v>
      </c>
      <c r="F2569" t="s">
        <v>891</v>
      </c>
      <c r="G2569" t="s">
        <v>88</v>
      </c>
      <c r="M2569" s="28" t="s">
        <v>549</v>
      </c>
      <c r="N2569" t="s">
        <v>313</v>
      </c>
    </row>
    <row r="2570" spans="1:14" hidden="1" x14ac:dyDescent="0.25">
      <c r="A2570" t="s">
        <v>9180</v>
      </c>
      <c r="B2570" t="s">
        <v>3873</v>
      </c>
      <c r="C2570" t="s">
        <v>3044</v>
      </c>
      <c r="D2570" t="s">
        <v>3874</v>
      </c>
      <c r="E2570" s="28" t="s">
        <v>890</v>
      </c>
      <c r="F2570" t="s">
        <v>891</v>
      </c>
      <c r="G2570" t="s">
        <v>88</v>
      </c>
      <c r="M2570" s="28" t="s">
        <v>549</v>
      </c>
      <c r="N2570" t="s">
        <v>313</v>
      </c>
    </row>
    <row r="2571" spans="1:14" hidden="1" x14ac:dyDescent="0.25">
      <c r="A2571" t="s">
        <v>8178</v>
      </c>
      <c r="B2571" t="s">
        <v>1567</v>
      </c>
      <c r="C2571" t="s">
        <v>906</v>
      </c>
      <c r="D2571" t="s">
        <v>1568</v>
      </c>
      <c r="E2571" s="28" t="s">
        <v>890</v>
      </c>
      <c r="F2571" t="s">
        <v>78</v>
      </c>
      <c r="G2571" t="s">
        <v>38</v>
      </c>
      <c r="M2571" s="28"/>
    </row>
    <row r="2572" spans="1:14" hidden="1" x14ac:dyDescent="0.25">
      <c r="A2572" t="s">
        <v>8415</v>
      </c>
      <c r="B2572" t="s">
        <v>2165</v>
      </c>
      <c r="C2572" t="s">
        <v>2166</v>
      </c>
      <c r="D2572" t="s">
        <v>2167</v>
      </c>
      <c r="E2572" s="28" t="s">
        <v>890</v>
      </c>
      <c r="F2572" t="s">
        <v>398</v>
      </c>
      <c r="G2572" t="s">
        <v>60</v>
      </c>
      <c r="M2572" s="28" t="s">
        <v>14207</v>
      </c>
    </row>
    <row r="2573" spans="1:14" hidden="1" x14ac:dyDescent="0.25">
      <c r="A2573" t="s">
        <v>11972</v>
      </c>
      <c r="B2573" t="s">
        <v>11973</v>
      </c>
      <c r="C2573" t="s">
        <v>6794</v>
      </c>
      <c r="D2573" t="s">
        <v>11974</v>
      </c>
      <c r="E2573" s="28" t="s">
        <v>1023</v>
      </c>
      <c r="F2573" t="s">
        <v>813</v>
      </c>
      <c r="G2573" t="s">
        <v>137</v>
      </c>
      <c r="M2573" s="28" t="s">
        <v>805</v>
      </c>
      <c r="N2573" t="s">
        <v>313</v>
      </c>
    </row>
    <row r="2574" spans="1:14" hidden="1" x14ac:dyDescent="0.25">
      <c r="A2574" t="s">
        <v>9181</v>
      </c>
      <c r="B2574" t="s">
        <v>3875</v>
      </c>
      <c r="C2574" t="s">
        <v>3876</v>
      </c>
      <c r="D2574" t="s">
        <v>3877</v>
      </c>
      <c r="E2574" s="28" t="s">
        <v>890</v>
      </c>
      <c r="F2574" t="s">
        <v>891</v>
      </c>
      <c r="G2574" t="s">
        <v>88</v>
      </c>
      <c r="M2574" s="28" t="s">
        <v>549</v>
      </c>
      <c r="N2574" t="s">
        <v>313</v>
      </c>
    </row>
    <row r="2575" spans="1:14" hidden="1" x14ac:dyDescent="0.25">
      <c r="A2575" t="s">
        <v>9182</v>
      </c>
      <c r="B2575" t="s">
        <v>3878</v>
      </c>
      <c r="C2575" t="s">
        <v>3068</v>
      </c>
      <c r="D2575" t="s">
        <v>3879</v>
      </c>
      <c r="E2575" s="28" t="s">
        <v>890</v>
      </c>
      <c r="F2575" t="s">
        <v>891</v>
      </c>
      <c r="G2575" t="s">
        <v>88</v>
      </c>
      <c r="M2575" s="28" t="s">
        <v>549</v>
      </c>
      <c r="N2575" t="s">
        <v>313</v>
      </c>
    </row>
    <row r="2576" spans="1:14" hidden="1" x14ac:dyDescent="0.25">
      <c r="A2576" t="s">
        <v>9183</v>
      </c>
      <c r="B2576" t="s">
        <v>3880</v>
      </c>
      <c r="C2576" t="s">
        <v>3036</v>
      </c>
      <c r="D2576" t="s">
        <v>3881</v>
      </c>
      <c r="E2576" s="28" t="s">
        <v>896</v>
      </c>
      <c r="F2576" t="s">
        <v>609</v>
      </c>
      <c r="G2576" t="s">
        <v>88</v>
      </c>
      <c r="M2576" s="28" t="s">
        <v>549</v>
      </c>
      <c r="N2576" t="s">
        <v>313</v>
      </c>
    </row>
    <row r="2577" spans="1:14" hidden="1" x14ac:dyDescent="0.25">
      <c r="A2577" t="s">
        <v>9184</v>
      </c>
      <c r="B2577" t="s">
        <v>3882</v>
      </c>
      <c r="C2577" t="s">
        <v>2111</v>
      </c>
      <c r="D2577" t="s">
        <v>3883</v>
      </c>
      <c r="E2577" s="28" t="s">
        <v>890</v>
      </c>
      <c r="F2577" t="s">
        <v>891</v>
      </c>
      <c r="G2577" t="s">
        <v>88</v>
      </c>
      <c r="M2577" s="28" t="s">
        <v>549</v>
      </c>
      <c r="N2577" t="s">
        <v>313</v>
      </c>
    </row>
    <row r="2578" spans="1:14" hidden="1" x14ac:dyDescent="0.25">
      <c r="A2578" t="s">
        <v>14355</v>
      </c>
      <c r="B2578" t="s">
        <v>14356</v>
      </c>
      <c r="C2578" t="s">
        <v>14357</v>
      </c>
      <c r="D2578" t="s">
        <v>14358</v>
      </c>
      <c r="E2578" s="28" t="s">
        <v>896</v>
      </c>
      <c r="F2578" t="s">
        <v>13194</v>
      </c>
      <c r="G2578" t="s">
        <v>7783</v>
      </c>
      <c r="M2578" s="28" t="s">
        <v>11680</v>
      </c>
      <c r="N2578" t="s">
        <v>11680</v>
      </c>
    </row>
    <row r="2579" spans="1:14" hidden="1" x14ac:dyDescent="0.25">
      <c r="A2579" t="s">
        <v>10677</v>
      </c>
      <c r="B2579" t="s">
        <v>7034</v>
      </c>
      <c r="C2579" t="s">
        <v>7035</v>
      </c>
      <c r="D2579" t="s">
        <v>7036</v>
      </c>
      <c r="E2579" s="28" t="s">
        <v>890</v>
      </c>
      <c r="F2579" t="s">
        <v>255</v>
      </c>
      <c r="G2579" t="s">
        <v>6896</v>
      </c>
      <c r="M2579" s="28" t="s">
        <v>6897</v>
      </c>
      <c r="N2579" t="s">
        <v>279</v>
      </c>
    </row>
    <row r="2580" spans="1:14" hidden="1" x14ac:dyDescent="0.25">
      <c r="A2580" t="s">
        <v>10751</v>
      </c>
      <c r="B2580" t="s">
        <v>7208</v>
      </c>
      <c r="C2580" t="s">
        <v>7209</v>
      </c>
      <c r="D2580" t="s">
        <v>7210</v>
      </c>
      <c r="E2580" s="28" t="s">
        <v>930</v>
      </c>
      <c r="F2580" t="s">
        <v>7062</v>
      </c>
      <c r="G2580" t="s">
        <v>6896</v>
      </c>
      <c r="M2580" s="28" t="s">
        <v>6897</v>
      </c>
      <c r="N2580" t="s">
        <v>279</v>
      </c>
    </row>
    <row r="2581" spans="1:14" hidden="1" x14ac:dyDescent="0.25">
      <c r="A2581" t="s">
        <v>10384</v>
      </c>
      <c r="B2581" t="s">
        <v>6331</v>
      </c>
      <c r="C2581" t="s">
        <v>6332</v>
      </c>
      <c r="D2581" t="s">
        <v>6333</v>
      </c>
      <c r="E2581" s="28" t="s">
        <v>890</v>
      </c>
      <c r="F2581" t="s">
        <v>11889</v>
      </c>
      <c r="G2581" t="s">
        <v>110</v>
      </c>
      <c r="M2581" s="28" t="s">
        <v>13563</v>
      </c>
      <c r="N2581" t="s">
        <v>279</v>
      </c>
    </row>
    <row r="2582" spans="1:14" hidden="1" x14ac:dyDescent="0.25">
      <c r="A2582" t="s">
        <v>11276</v>
      </c>
      <c r="B2582" t="s">
        <v>11277</v>
      </c>
      <c r="C2582" t="s">
        <v>11278</v>
      </c>
      <c r="D2582" t="s">
        <v>11279</v>
      </c>
      <c r="E2582" s="28" t="s">
        <v>896</v>
      </c>
      <c r="F2582" t="s">
        <v>2957</v>
      </c>
      <c r="G2582" t="s">
        <v>84</v>
      </c>
      <c r="M2582" s="28" t="s">
        <v>14223</v>
      </c>
      <c r="N2582" t="s">
        <v>313</v>
      </c>
    </row>
    <row r="2583" spans="1:14" hidden="1" x14ac:dyDescent="0.25">
      <c r="A2583" t="s">
        <v>11309</v>
      </c>
      <c r="B2583" t="s">
        <v>11277</v>
      </c>
      <c r="C2583" t="s">
        <v>11310</v>
      </c>
      <c r="D2583" t="s">
        <v>11311</v>
      </c>
      <c r="E2583" s="28" t="s">
        <v>930</v>
      </c>
      <c r="F2583" t="s">
        <v>2957</v>
      </c>
      <c r="G2583" t="s">
        <v>84</v>
      </c>
      <c r="M2583" s="28" t="s">
        <v>14223</v>
      </c>
      <c r="N2583" t="s">
        <v>313</v>
      </c>
    </row>
    <row r="2584" spans="1:14" hidden="1" x14ac:dyDescent="0.25">
      <c r="A2584" t="s">
        <v>10843</v>
      </c>
      <c r="B2584" t="s">
        <v>7425</v>
      </c>
      <c r="C2584" t="s">
        <v>7426</v>
      </c>
      <c r="D2584" t="s">
        <v>7427</v>
      </c>
      <c r="E2584" s="28" t="s">
        <v>896</v>
      </c>
      <c r="F2584" t="s">
        <v>875</v>
      </c>
      <c r="G2584" t="s">
        <v>157</v>
      </c>
      <c r="M2584" s="28" t="s">
        <v>840</v>
      </c>
      <c r="N2584" t="s">
        <v>382</v>
      </c>
    </row>
    <row r="2585" spans="1:14" hidden="1" x14ac:dyDescent="0.25">
      <c r="A2585" t="s">
        <v>11315</v>
      </c>
      <c r="B2585" t="s">
        <v>11316</v>
      </c>
      <c r="C2585" t="s">
        <v>1530</v>
      </c>
      <c r="D2585" t="s">
        <v>11317</v>
      </c>
      <c r="E2585" s="28" t="s">
        <v>890</v>
      </c>
      <c r="F2585" t="s">
        <v>6584</v>
      </c>
      <c r="G2585" t="s">
        <v>84</v>
      </c>
      <c r="M2585" s="28" t="s">
        <v>14223</v>
      </c>
      <c r="N2585" t="s">
        <v>313</v>
      </c>
    </row>
    <row r="2586" spans="1:14" hidden="1" x14ac:dyDescent="0.25">
      <c r="A2586" t="s">
        <v>11343</v>
      </c>
      <c r="B2586" t="s">
        <v>11316</v>
      </c>
      <c r="C2586" t="s">
        <v>2237</v>
      </c>
      <c r="D2586" t="s">
        <v>11344</v>
      </c>
      <c r="E2586" s="28" t="s">
        <v>890</v>
      </c>
      <c r="F2586" t="s">
        <v>1106</v>
      </c>
      <c r="G2586" t="s">
        <v>84</v>
      </c>
      <c r="M2586" s="28" t="s">
        <v>14223</v>
      </c>
      <c r="N2586" t="s">
        <v>313</v>
      </c>
    </row>
    <row r="2587" spans="1:14" hidden="1" x14ac:dyDescent="0.25">
      <c r="A2587" t="s">
        <v>9800</v>
      </c>
      <c r="B2587" t="s">
        <v>5166</v>
      </c>
      <c r="C2587" t="s">
        <v>4726</v>
      </c>
      <c r="D2587" t="s">
        <v>5167</v>
      </c>
      <c r="E2587" s="28" t="s">
        <v>896</v>
      </c>
      <c r="F2587" t="s">
        <v>4610</v>
      </c>
      <c r="G2587" t="s">
        <v>15</v>
      </c>
      <c r="M2587" s="28" t="s">
        <v>613</v>
      </c>
      <c r="N2587" t="s">
        <v>313</v>
      </c>
    </row>
    <row r="2588" spans="1:14" x14ac:dyDescent="0.25">
      <c r="A2588" t="s">
        <v>8664</v>
      </c>
      <c r="B2588" t="s">
        <v>2711</v>
      </c>
      <c r="C2588" t="s">
        <v>2638</v>
      </c>
      <c r="D2588" t="s">
        <v>2771</v>
      </c>
      <c r="E2588" s="28" t="s">
        <v>930</v>
      </c>
      <c r="F2588" t="s">
        <v>11495</v>
      </c>
      <c r="G2588" t="s">
        <v>74</v>
      </c>
      <c r="M2588" s="28" t="s">
        <v>507</v>
      </c>
      <c r="N2588" t="s">
        <v>313</v>
      </c>
    </row>
    <row r="2589" spans="1:14" hidden="1" x14ac:dyDescent="0.25">
      <c r="A2589" t="s">
        <v>9799</v>
      </c>
      <c r="B2589" t="s">
        <v>5164</v>
      </c>
      <c r="C2589" t="s">
        <v>4640</v>
      </c>
      <c r="D2589" t="s">
        <v>5165</v>
      </c>
      <c r="E2589" s="28" t="s">
        <v>896</v>
      </c>
      <c r="F2589" t="s">
        <v>4685</v>
      </c>
      <c r="G2589" t="s">
        <v>15</v>
      </c>
      <c r="M2589" s="28" t="s">
        <v>613</v>
      </c>
      <c r="N2589" t="s">
        <v>313</v>
      </c>
    </row>
    <row r="2590" spans="1:14" hidden="1" x14ac:dyDescent="0.25">
      <c r="A2590" t="s">
        <v>12962</v>
      </c>
      <c r="B2590" t="s">
        <v>12963</v>
      </c>
      <c r="C2590" t="s">
        <v>5727</v>
      </c>
      <c r="D2590" t="s">
        <v>12964</v>
      </c>
      <c r="E2590" s="28" t="s">
        <v>890</v>
      </c>
      <c r="F2590" t="s">
        <v>13562</v>
      </c>
      <c r="G2590" t="s">
        <v>15</v>
      </c>
      <c r="M2590" s="28" t="s">
        <v>613</v>
      </c>
      <c r="N2590" t="s">
        <v>313</v>
      </c>
    </row>
    <row r="2591" spans="1:14" hidden="1" x14ac:dyDescent="0.25">
      <c r="A2591" t="s">
        <v>12965</v>
      </c>
      <c r="B2591" t="s">
        <v>12963</v>
      </c>
      <c r="C2591" t="s">
        <v>6114</v>
      </c>
      <c r="D2591" t="s">
        <v>12966</v>
      </c>
      <c r="E2591" s="28" t="s">
        <v>1177</v>
      </c>
      <c r="F2591" t="s">
        <v>13562</v>
      </c>
      <c r="G2591" t="s">
        <v>15</v>
      </c>
      <c r="M2591" s="28" t="s">
        <v>613</v>
      </c>
      <c r="N2591" t="s">
        <v>313</v>
      </c>
    </row>
    <row r="2592" spans="1:14" hidden="1" x14ac:dyDescent="0.25">
      <c r="A2592" t="s">
        <v>8117</v>
      </c>
      <c r="B2592" t="s">
        <v>1414</v>
      </c>
      <c r="C2592" t="s">
        <v>1415</v>
      </c>
      <c r="D2592" t="s">
        <v>1416</v>
      </c>
      <c r="E2592" s="28" t="s">
        <v>890</v>
      </c>
      <c r="F2592" t="s">
        <v>69</v>
      </c>
      <c r="G2592" t="s">
        <v>38</v>
      </c>
      <c r="M2592" s="28"/>
    </row>
    <row r="2593" spans="1:14" hidden="1" x14ac:dyDescent="0.25">
      <c r="A2593" t="s">
        <v>7950</v>
      </c>
      <c r="B2593" t="s">
        <v>925</v>
      </c>
      <c r="C2593" t="s">
        <v>926</v>
      </c>
      <c r="D2593" t="s">
        <v>927</v>
      </c>
      <c r="E2593" s="28" t="s">
        <v>896</v>
      </c>
      <c r="F2593" t="s">
        <v>897</v>
      </c>
      <c r="G2593" t="s">
        <v>28</v>
      </c>
      <c r="M2593" s="28" t="s">
        <v>14241</v>
      </c>
      <c r="N2593" t="s">
        <v>14206</v>
      </c>
    </row>
    <row r="2594" spans="1:14" hidden="1" x14ac:dyDescent="0.25">
      <c r="A2594" t="s">
        <v>7951</v>
      </c>
      <c r="B2594" t="s">
        <v>925</v>
      </c>
      <c r="C2594" t="s">
        <v>928</v>
      </c>
      <c r="D2594" t="s">
        <v>929</v>
      </c>
      <c r="E2594" s="28" t="s">
        <v>890</v>
      </c>
      <c r="F2594" t="s">
        <v>897</v>
      </c>
      <c r="G2594" t="s">
        <v>28</v>
      </c>
      <c r="M2594" s="28" t="s">
        <v>14241</v>
      </c>
      <c r="N2594" t="s">
        <v>14206</v>
      </c>
    </row>
    <row r="2595" spans="1:14" hidden="1" x14ac:dyDescent="0.25">
      <c r="A2595" t="s">
        <v>14171</v>
      </c>
      <c r="B2595" t="s">
        <v>14172</v>
      </c>
      <c r="C2595" t="s">
        <v>2009</v>
      </c>
      <c r="D2595" t="s">
        <v>14173</v>
      </c>
      <c r="E2595" s="28" t="s">
        <v>896</v>
      </c>
      <c r="F2595" t="s">
        <v>891</v>
      </c>
      <c r="G2595" t="s">
        <v>98</v>
      </c>
      <c r="M2595" s="28" t="s">
        <v>820</v>
      </c>
      <c r="N2595" t="s">
        <v>313</v>
      </c>
    </row>
    <row r="2596" spans="1:14" hidden="1" x14ac:dyDescent="0.25">
      <c r="A2596" t="s">
        <v>10722</v>
      </c>
      <c r="B2596" t="s">
        <v>7137</v>
      </c>
      <c r="C2596" t="s">
        <v>7138</v>
      </c>
      <c r="D2596" t="s">
        <v>7139</v>
      </c>
      <c r="E2596" s="28" t="s">
        <v>890</v>
      </c>
      <c r="F2596" t="s">
        <v>6901</v>
      </c>
      <c r="G2596" t="s">
        <v>6896</v>
      </c>
      <c r="M2596" s="28" t="s">
        <v>6897</v>
      </c>
      <c r="N2596" t="s">
        <v>279</v>
      </c>
    </row>
    <row r="2597" spans="1:14" hidden="1" x14ac:dyDescent="0.25">
      <c r="A2597" t="s">
        <v>9798</v>
      </c>
      <c r="B2597" t="s">
        <v>5161</v>
      </c>
      <c r="C2597" t="s">
        <v>5162</v>
      </c>
      <c r="D2597" t="s">
        <v>5163</v>
      </c>
      <c r="E2597" s="28" t="s">
        <v>890</v>
      </c>
      <c r="F2597" t="s">
        <v>4590</v>
      </c>
      <c r="G2597" t="s">
        <v>15</v>
      </c>
      <c r="M2597" s="28" t="s">
        <v>613</v>
      </c>
      <c r="N2597" t="s">
        <v>313</v>
      </c>
    </row>
    <row r="2598" spans="1:14" hidden="1" x14ac:dyDescent="0.25">
      <c r="A2598" t="s">
        <v>9797</v>
      </c>
      <c r="B2598" t="s">
        <v>5159</v>
      </c>
      <c r="C2598" t="s">
        <v>4808</v>
      </c>
      <c r="D2598" t="s">
        <v>5160</v>
      </c>
      <c r="E2598" s="28" t="s">
        <v>890</v>
      </c>
      <c r="F2598" t="s">
        <v>231</v>
      </c>
      <c r="G2598" t="s">
        <v>15</v>
      </c>
      <c r="M2598" s="28" t="s">
        <v>613</v>
      </c>
      <c r="N2598" t="s">
        <v>313</v>
      </c>
    </row>
    <row r="2599" spans="1:14" hidden="1" x14ac:dyDescent="0.25">
      <c r="A2599" t="s">
        <v>9796</v>
      </c>
      <c r="B2599" t="s">
        <v>5156</v>
      </c>
      <c r="C2599" t="s">
        <v>5157</v>
      </c>
      <c r="D2599" t="s">
        <v>5158</v>
      </c>
      <c r="E2599" s="28" t="s">
        <v>1023</v>
      </c>
      <c r="F2599" t="s">
        <v>4555</v>
      </c>
      <c r="G2599" t="s">
        <v>15</v>
      </c>
      <c r="M2599" s="28" t="s">
        <v>613</v>
      </c>
      <c r="N2599" t="s">
        <v>313</v>
      </c>
    </row>
    <row r="2600" spans="1:14" hidden="1" x14ac:dyDescent="0.25">
      <c r="A2600" t="s">
        <v>10777</v>
      </c>
      <c r="B2600" t="s">
        <v>7273</v>
      </c>
      <c r="C2600" t="s">
        <v>5505</v>
      </c>
      <c r="D2600" t="s">
        <v>7274</v>
      </c>
      <c r="E2600" s="28" t="s">
        <v>896</v>
      </c>
      <c r="F2600" t="s">
        <v>7275</v>
      </c>
      <c r="G2600" t="s">
        <v>152</v>
      </c>
      <c r="M2600" s="28"/>
    </row>
    <row r="2601" spans="1:14" hidden="1" x14ac:dyDescent="0.25">
      <c r="A2601" t="s">
        <v>10466</v>
      </c>
      <c r="B2601" t="s">
        <v>6581</v>
      </c>
      <c r="C2601" t="s">
        <v>6582</v>
      </c>
      <c r="D2601" t="s">
        <v>6583</v>
      </c>
      <c r="E2601" s="28" t="s">
        <v>896</v>
      </c>
      <c r="F2601" t="s">
        <v>6584</v>
      </c>
      <c r="G2601" t="s">
        <v>131</v>
      </c>
      <c r="M2601" s="28" t="s">
        <v>14242</v>
      </c>
    </row>
    <row r="2602" spans="1:14" hidden="1" x14ac:dyDescent="0.25">
      <c r="A2602" t="s">
        <v>10373</v>
      </c>
      <c r="B2602" t="s">
        <v>6301</v>
      </c>
      <c r="C2602" t="s">
        <v>6302</v>
      </c>
      <c r="D2602" t="s">
        <v>6303</v>
      </c>
      <c r="E2602" s="28" t="s">
        <v>896</v>
      </c>
      <c r="F2602" t="s">
        <v>783</v>
      </c>
      <c r="G2602" t="s">
        <v>110</v>
      </c>
      <c r="M2602" s="28" t="s">
        <v>13563</v>
      </c>
      <c r="N2602" t="s">
        <v>279</v>
      </c>
    </row>
    <row r="2603" spans="1:14" hidden="1" x14ac:dyDescent="0.25">
      <c r="A2603" t="s">
        <v>11895</v>
      </c>
      <c r="B2603" t="s">
        <v>11896</v>
      </c>
      <c r="C2603" t="s">
        <v>11897</v>
      </c>
      <c r="D2603" t="s">
        <v>11898</v>
      </c>
      <c r="E2603" s="28" t="s">
        <v>890</v>
      </c>
      <c r="F2603" t="s">
        <v>783</v>
      </c>
      <c r="G2603" t="s">
        <v>110</v>
      </c>
      <c r="M2603" s="28" t="s">
        <v>13563</v>
      </c>
      <c r="N2603" t="s">
        <v>279</v>
      </c>
    </row>
    <row r="2604" spans="1:14" hidden="1" x14ac:dyDescent="0.25">
      <c r="A2604" t="s">
        <v>9185</v>
      </c>
      <c r="B2604" t="s">
        <v>3884</v>
      </c>
      <c r="C2604" t="s">
        <v>2095</v>
      </c>
      <c r="D2604" t="s">
        <v>3885</v>
      </c>
      <c r="E2604" s="28" t="s">
        <v>890</v>
      </c>
      <c r="F2604" t="s">
        <v>891</v>
      </c>
      <c r="G2604" t="s">
        <v>88</v>
      </c>
      <c r="M2604" s="28" t="s">
        <v>549</v>
      </c>
      <c r="N2604" t="s">
        <v>313</v>
      </c>
    </row>
    <row r="2605" spans="1:14" hidden="1" x14ac:dyDescent="0.25">
      <c r="A2605" t="s">
        <v>9795</v>
      </c>
      <c r="B2605" t="s">
        <v>5154</v>
      </c>
      <c r="C2605" t="s">
        <v>4658</v>
      </c>
      <c r="D2605" t="s">
        <v>5155</v>
      </c>
      <c r="E2605" s="28" t="s">
        <v>890</v>
      </c>
      <c r="F2605" t="s">
        <v>764</v>
      </c>
      <c r="G2605" t="s">
        <v>15</v>
      </c>
      <c r="M2605" s="28" t="s">
        <v>613</v>
      </c>
      <c r="N2605" t="s">
        <v>313</v>
      </c>
    </row>
    <row r="2606" spans="1:14" hidden="1" x14ac:dyDescent="0.25">
      <c r="A2606" t="s">
        <v>8227</v>
      </c>
      <c r="B2606" t="s">
        <v>1690</v>
      </c>
      <c r="C2606" t="s">
        <v>1691</v>
      </c>
      <c r="D2606" t="s">
        <v>1692</v>
      </c>
      <c r="E2606" s="28" t="s">
        <v>896</v>
      </c>
      <c r="F2606" t="s">
        <v>891</v>
      </c>
      <c r="G2606" t="s">
        <v>43</v>
      </c>
      <c r="M2606" s="28" t="s">
        <v>14205</v>
      </c>
    </row>
    <row r="2607" spans="1:14" hidden="1" x14ac:dyDescent="0.25">
      <c r="A2607" t="s">
        <v>10726</v>
      </c>
      <c r="B2607" t="s">
        <v>7147</v>
      </c>
      <c r="C2607" t="s">
        <v>7148</v>
      </c>
      <c r="D2607" t="s">
        <v>7149</v>
      </c>
      <c r="E2607" s="28" t="s">
        <v>896</v>
      </c>
      <c r="F2607" t="s">
        <v>6895</v>
      </c>
      <c r="G2607" t="s">
        <v>6896</v>
      </c>
      <c r="M2607" s="28" t="s">
        <v>6897</v>
      </c>
      <c r="N2607" t="s">
        <v>279</v>
      </c>
    </row>
    <row r="2608" spans="1:14" hidden="1" x14ac:dyDescent="0.25">
      <c r="A2608" t="s">
        <v>9794</v>
      </c>
      <c r="B2608" t="s">
        <v>5151</v>
      </c>
      <c r="C2608" t="s">
        <v>5152</v>
      </c>
      <c r="D2608" t="s">
        <v>5153</v>
      </c>
      <c r="E2608" s="28" t="s">
        <v>890</v>
      </c>
      <c r="F2608" t="s">
        <v>631</v>
      </c>
      <c r="G2608" t="s">
        <v>15</v>
      </c>
      <c r="M2608" s="28" t="s">
        <v>613</v>
      </c>
      <c r="N2608" t="s">
        <v>313</v>
      </c>
    </row>
    <row r="2609" spans="1:14" hidden="1" x14ac:dyDescent="0.25">
      <c r="A2609" t="s">
        <v>9793</v>
      </c>
      <c r="B2609" t="s">
        <v>5149</v>
      </c>
      <c r="C2609" t="s">
        <v>1180</v>
      </c>
      <c r="D2609" t="s">
        <v>5150</v>
      </c>
      <c r="E2609" s="28" t="s">
        <v>896</v>
      </c>
      <c r="F2609" t="s">
        <v>654</v>
      </c>
      <c r="G2609" t="s">
        <v>15</v>
      </c>
      <c r="M2609" s="28" t="s">
        <v>613</v>
      </c>
      <c r="N2609" t="s">
        <v>313</v>
      </c>
    </row>
    <row r="2610" spans="1:14" hidden="1" x14ac:dyDescent="0.25">
      <c r="A2610" t="s">
        <v>9792</v>
      </c>
      <c r="B2610" t="s">
        <v>5147</v>
      </c>
      <c r="C2610" t="s">
        <v>4536</v>
      </c>
      <c r="D2610" t="s">
        <v>5148</v>
      </c>
      <c r="E2610" s="28" t="s">
        <v>890</v>
      </c>
      <c r="F2610" t="s">
        <v>625</v>
      </c>
      <c r="G2610" t="s">
        <v>15</v>
      </c>
      <c r="M2610" s="28" t="s">
        <v>613</v>
      </c>
      <c r="N2610" t="s">
        <v>313</v>
      </c>
    </row>
    <row r="2611" spans="1:14" hidden="1" x14ac:dyDescent="0.25">
      <c r="A2611" t="s">
        <v>10685</v>
      </c>
      <c r="B2611" t="s">
        <v>7055</v>
      </c>
      <c r="C2611" t="s">
        <v>7056</v>
      </c>
      <c r="D2611" t="s">
        <v>7057</v>
      </c>
      <c r="E2611" s="28" t="s">
        <v>896</v>
      </c>
      <c r="F2611" t="s">
        <v>6895</v>
      </c>
      <c r="G2611" t="s">
        <v>6896</v>
      </c>
      <c r="M2611" s="28" t="s">
        <v>6897</v>
      </c>
      <c r="N2611" t="s">
        <v>279</v>
      </c>
    </row>
    <row r="2612" spans="1:14" hidden="1" x14ac:dyDescent="0.25">
      <c r="A2612" t="s">
        <v>9791</v>
      </c>
      <c r="B2612" t="s">
        <v>5145</v>
      </c>
      <c r="C2612" t="s">
        <v>4730</v>
      </c>
      <c r="D2612" t="s">
        <v>5146</v>
      </c>
      <c r="E2612" s="28" t="s">
        <v>890</v>
      </c>
      <c r="F2612" t="s">
        <v>4610</v>
      </c>
      <c r="G2612" t="s">
        <v>15</v>
      </c>
      <c r="M2612" s="28" t="s">
        <v>613</v>
      </c>
      <c r="N2612" t="s">
        <v>313</v>
      </c>
    </row>
    <row r="2613" spans="1:14" hidden="1" x14ac:dyDescent="0.25">
      <c r="A2613" t="s">
        <v>8269</v>
      </c>
      <c r="B2613" t="s">
        <v>1798</v>
      </c>
      <c r="C2613" t="s">
        <v>1799</v>
      </c>
      <c r="D2613" t="s">
        <v>1800</v>
      </c>
      <c r="E2613" s="28" t="s">
        <v>890</v>
      </c>
      <c r="F2613" t="s">
        <v>1641</v>
      </c>
      <c r="G2613" t="s">
        <v>43</v>
      </c>
      <c r="M2613" s="28" t="s">
        <v>14205</v>
      </c>
    </row>
    <row r="2614" spans="1:14" hidden="1" x14ac:dyDescent="0.25">
      <c r="A2614" t="s">
        <v>9790</v>
      </c>
      <c r="B2614" t="s">
        <v>5143</v>
      </c>
      <c r="C2614" t="s">
        <v>1616</v>
      </c>
      <c r="D2614" t="s">
        <v>5144</v>
      </c>
      <c r="E2614" s="28" t="s">
        <v>890</v>
      </c>
      <c r="F2614" t="s">
        <v>718</v>
      </c>
      <c r="G2614" t="s">
        <v>15</v>
      </c>
      <c r="M2614" s="28" t="s">
        <v>613</v>
      </c>
      <c r="N2614" t="s">
        <v>313</v>
      </c>
    </row>
    <row r="2615" spans="1:14" hidden="1" x14ac:dyDescent="0.25">
      <c r="A2615" t="s">
        <v>8292</v>
      </c>
      <c r="B2615" t="s">
        <v>1850</v>
      </c>
      <c r="C2615" t="s">
        <v>1851</v>
      </c>
      <c r="D2615" t="s">
        <v>1852</v>
      </c>
      <c r="E2615" s="28" t="s">
        <v>896</v>
      </c>
      <c r="F2615" t="s">
        <v>360</v>
      </c>
      <c r="G2615" t="s">
        <v>43</v>
      </c>
      <c r="M2615" s="28" t="s">
        <v>14205</v>
      </c>
    </row>
    <row r="2616" spans="1:14" hidden="1" x14ac:dyDescent="0.25">
      <c r="A2616" t="s">
        <v>9186</v>
      </c>
      <c r="B2616" t="s">
        <v>3886</v>
      </c>
      <c r="C2616" t="s">
        <v>3044</v>
      </c>
      <c r="D2616" t="s">
        <v>3887</v>
      </c>
      <c r="E2616" s="28" t="s">
        <v>896</v>
      </c>
      <c r="F2616" t="s">
        <v>579</v>
      </c>
      <c r="G2616" t="s">
        <v>88</v>
      </c>
      <c r="M2616" s="28" t="s">
        <v>549</v>
      </c>
      <c r="N2616" t="s">
        <v>313</v>
      </c>
    </row>
    <row r="2617" spans="1:14" hidden="1" x14ac:dyDescent="0.25">
      <c r="A2617" t="s">
        <v>13856</v>
      </c>
      <c r="B2617" t="s">
        <v>13857</v>
      </c>
      <c r="C2617" t="s">
        <v>2772</v>
      </c>
      <c r="D2617" t="s">
        <v>13858</v>
      </c>
      <c r="E2617" s="28" t="s">
        <v>890</v>
      </c>
      <c r="F2617" t="s">
        <v>13348</v>
      </c>
      <c r="G2617" t="s">
        <v>15</v>
      </c>
      <c r="M2617" s="28" t="s">
        <v>613</v>
      </c>
      <c r="N2617" t="s">
        <v>313</v>
      </c>
    </row>
    <row r="2618" spans="1:14" hidden="1" x14ac:dyDescent="0.25">
      <c r="A2618" t="s">
        <v>9788</v>
      </c>
      <c r="B2618" t="s">
        <v>5138</v>
      </c>
      <c r="C2618" t="s">
        <v>5139</v>
      </c>
      <c r="D2618" t="s">
        <v>5140</v>
      </c>
      <c r="E2618" s="28" t="s">
        <v>896</v>
      </c>
      <c r="F2618" t="s">
        <v>705</v>
      </c>
      <c r="G2618" t="s">
        <v>15</v>
      </c>
      <c r="M2618" s="28" t="s">
        <v>613</v>
      </c>
      <c r="N2618" t="s">
        <v>313</v>
      </c>
    </row>
    <row r="2619" spans="1:14" hidden="1" x14ac:dyDescent="0.25">
      <c r="A2619" t="s">
        <v>9789</v>
      </c>
      <c r="B2619" t="s">
        <v>5138</v>
      </c>
      <c r="C2619" t="s">
        <v>5141</v>
      </c>
      <c r="D2619" t="s">
        <v>5142</v>
      </c>
      <c r="E2619" s="28" t="s">
        <v>1023</v>
      </c>
      <c r="F2619" t="s">
        <v>705</v>
      </c>
      <c r="G2619" t="s">
        <v>15</v>
      </c>
      <c r="M2619" s="28" t="s">
        <v>613</v>
      </c>
      <c r="N2619" t="s">
        <v>313</v>
      </c>
    </row>
    <row r="2620" spans="1:14" hidden="1" x14ac:dyDescent="0.25">
      <c r="A2620" t="s">
        <v>9787</v>
      </c>
      <c r="B2620" t="s">
        <v>5136</v>
      </c>
      <c r="C2620" t="s">
        <v>4600</v>
      </c>
      <c r="D2620" t="s">
        <v>5137</v>
      </c>
      <c r="E2620" s="28" t="s">
        <v>896</v>
      </c>
      <c r="F2620" t="s">
        <v>789</v>
      </c>
      <c r="G2620" t="s">
        <v>15</v>
      </c>
      <c r="M2620" s="28" t="s">
        <v>613</v>
      </c>
      <c r="N2620" t="s">
        <v>313</v>
      </c>
    </row>
    <row r="2621" spans="1:14" hidden="1" x14ac:dyDescent="0.25">
      <c r="A2621" t="s">
        <v>8693</v>
      </c>
      <c r="B2621" t="s">
        <v>2843</v>
      </c>
      <c r="C2621" t="s">
        <v>1459</v>
      </c>
      <c r="D2621" t="s">
        <v>2844</v>
      </c>
      <c r="E2621" s="28" t="s">
        <v>896</v>
      </c>
      <c r="F2621" t="s">
        <v>179</v>
      </c>
      <c r="G2621" t="s">
        <v>81</v>
      </c>
      <c r="M2621" s="28" t="s">
        <v>530</v>
      </c>
      <c r="N2621" t="s">
        <v>313</v>
      </c>
    </row>
    <row r="2622" spans="1:14" hidden="1" x14ac:dyDescent="0.25">
      <c r="A2622" t="s">
        <v>8702</v>
      </c>
      <c r="B2622" t="s">
        <v>2843</v>
      </c>
      <c r="C2622" t="s">
        <v>1099</v>
      </c>
      <c r="D2622" t="s">
        <v>2865</v>
      </c>
      <c r="E2622" s="28" t="s">
        <v>890</v>
      </c>
      <c r="F2622" t="s">
        <v>179</v>
      </c>
      <c r="G2622" t="s">
        <v>81</v>
      </c>
      <c r="M2622" s="28" t="s">
        <v>530</v>
      </c>
      <c r="N2622" t="s">
        <v>313</v>
      </c>
    </row>
    <row r="2623" spans="1:14" hidden="1" x14ac:dyDescent="0.25">
      <c r="A2623" t="s">
        <v>9786</v>
      </c>
      <c r="B2623" t="s">
        <v>5133</v>
      </c>
      <c r="C2623" t="s">
        <v>4818</v>
      </c>
      <c r="D2623" t="s">
        <v>5135</v>
      </c>
      <c r="E2623" s="28" t="s">
        <v>890</v>
      </c>
      <c r="F2623" t="s">
        <v>4679</v>
      </c>
      <c r="G2623" t="s">
        <v>15</v>
      </c>
      <c r="M2623" s="28" t="s">
        <v>613</v>
      </c>
      <c r="N2623" t="s">
        <v>313</v>
      </c>
    </row>
    <row r="2624" spans="1:14" hidden="1" x14ac:dyDescent="0.25">
      <c r="A2624" t="s">
        <v>9785</v>
      </c>
      <c r="B2624" t="s">
        <v>5133</v>
      </c>
      <c r="C2624" t="s">
        <v>909</v>
      </c>
      <c r="D2624" t="s">
        <v>5134</v>
      </c>
      <c r="E2624" s="28" t="s">
        <v>896</v>
      </c>
      <c r="F2624" t="s">
        <v>4596</v>
      </c>
      <c r="G2624" t="s">
        <v>15</v>
      </c>
      <c r="M2624" s="28" t="s">
        <v>613</v>
      </c>
      <c r="N2624" t="s">
        <v>313</v>
      </c>
    </row>
    <row r="2625" spans="1:14" hidden="1" x14ac:dyDescent="0.25">
      <c r="A2625" t="s">
        <v>9784</v>
      </c>
      <c r="B2625" t="s">
        <v>5131</v>
      </c>
      <c r="C2625" t="s">
        <v>4640</v>
      </c>
      <c r="D2625" t="s">
        <v>5132</v>
      </c>
      <c r="E2625" s="28" t="s">
        <v>890</v>
      </c>
      <c r="F2625" t="s">
        <v>727</v>
      </c>
      <c r="G2625" t="s">
        <v>15</v>
      </c>
      <c r="M2625" s="28" t="s">
        <v>613</v>
      </c>
      <c r="N2625" t="s">
        <v>313</v>
      </c>
    </row>
    <row r="2626" spans="1:14" hidden="1" x14ac:dyDescent="0.25">
      <c r="A2626" t="s">
        <v>9781</v>
      </c>
      <c r="B2626" t="s">
        <v>5127</v>
      </c>
      <c r="C2626" t="s">
        <v>4557</v>
      </c>
      <c r="D2626" t="s">
        <v>5128</v>
      </c>
      <c r="E2626" s="28" t="s">
        <v>890</v>
      </c>
      <c r="F2626" t="s">
        <v>4909</v>
      </c>
      <c r="G2626" t="s">
        <v>15</v>
      </c>
      <c r="M2626" s="28" t="s">
        <v>613</v>
      </c>
      <c r="N2626" t="s">
        <v>313</v>
      </c>
    </row>
    <row r="2627" spans="1:14" hidden="1" x14ac:dyDescent="0.25">
      <c r="A2627" t="s">
        <v>9782</v>
      </c>
      <c r="B2627" t="s">
        <v>5127</v>
      </c>
      <c r="C2627" t="s">
        <v>4862</v>
      </c>
      <c r="D2627" t="s">
        <v>5129</v>
      </c>
      <c r="E2627" s="28" t="s">
        <v>896</v>
      </c>
      <c r="F2627" t="s">
        <v>4909</v>
      </c>
      <c r="G2627" t="s">
        <v>15</v>
      </c>
      <c r="M2627" s="28" t="s">
        <v>613</v>
      </c>
      <c r="N2627" t="s">
        <v>313</v>
      </c>
    </row>
    <row r="2628" spans="1:14" hidden="1" x14ac:dyDescent="0.25">
      <c r="A2628" t="s">
        <v>9783</v>
      </c>
      <c r="B2628" t="s">
        <v>5127</v>
      </c>
      <c r="C2628" t="s">
        <v>4821</v>
      </c>
      <c r="D2628" t="s">
        <v>5130</v>
      </c>
      <c r="E2628" s="28" t="s">
        <v>930</v>
      </c>
      <c r="F2628" t="s">
        <v>4909</v>
      </c>
      <c r="G2628" t="s">
        <v>15</v>
      </c>
      <c r="M2628" s="28" t="s">
        <v>613</v>
      </c>
      <c r="N2628" t="s">
        <v>313</v>
      </c>
    </row>
    <row r="2629" spans="1:14" hidden="1" x14ac:dyDescent="0.25">
      <c r="A2629" t="s">
        <v>9780</v>
      </c>
      <c r="B2629" t="s">
        <v>5123</v>
      </c>
      <c r="C2629" t="s">
        <v>4570</v>
      </c>
      <c r="D2629" t="s">
        <v>5126</v>
      </c>
      <c r="E2629" s="28" t="s">
        <v>896</v>
      </c>
      <c r="F2629" t="s">
        <v>4555</v>
      </c>
      <c r="G2629" t="s">
        <v>15</v>
      </c>
      <c r="M2629" s="28" t="s">
        <v>613</v>
      </c>
      <c r="N2629" t="s">
        <v>313</v>
      </c>
    </row>
    <row r="2630" spans="1:14" hidden="1" x14ac:dyDescent="0.25">
      <c r="A2630" t="s">
        <v>9779</v>
      </c>
      <c r="B2630" t="s">
        <v>5123</v>
      </c>
      <c r="C2630" t="s">
        <v>5124</v>
      </c>
      <c r="D2630" t="s">
        <v>5125</v>
      </c>
      <c r="E2630" s="28" t="s">
        <v>896</v>
      </c>
      <c r="F2630" t="s">
        <v>4555</v>
      </c>
      <c r="G2630" t="s">
        <v>15</v>
      </c>
      <c r="M2630" s="28" t="s">
        <v>613</v>
      </c>
      <c r="N2630" t="s">
        <v>313</v>
      </c>
    </row>
    <row r="2631" spans="1:14" hidden="1" x14ac:dyDescent="0.25">
      <c r="A2631" t="s">
        <v>9187</v>
      </c>
      <c r="B2631" t="s">
        <v>3888</v>
      </c>
      <c r="C2631" t="s">
        <v>3031</v>
      </c>
      <c r="D2631" t="s">
        <v>3889</v>
      </c>
      <c r="E2631" s="28" t="s">
        <v>890</v>
      </c>
      <c r="F2631" t="s">
        <v>891</v>
      </c>
      <c r="G2631" t="s">
        <v>88</v>
      </c>
      <c r="M2631" s="28" t="s">
        <v>549</v>
      </c>
      <c r="N2631" t="s">
        <v>313</v>
      </c>
    </row>
    <row r="2632" spans="1:14" hidden="1" x14ac:dyDescent="0.25">
      <c r="A2632" t="s">
        <v>9778</v>
      </c>
      <c r="B2632" t="s">
        <v>5121</v>
      </c>
      <c r="C2632" t="s">
        <v>4557</v>
      </c>
      <c r="D2632" t="s">
        <v>5122</v>
      </c>
      <c r="E2632" s="28" t="s">
        <v>896</v>
      </c>
      <c r="F2632" t="s">
        <v>4621</v>
      </c>
      <c r="G2632" t="s">
        <v>15</v>
      </c>
      <c r="M2632" s="28" t="s">
        <v>613</v>
      </c>
      <c r="N2632" t="s">
        <v>313</v>
      </c>
    </row>
    <row r="2633" spans="1:14" hidden="1" x14ac:dyDescent="0.25">
      <c r="A2633" t="s">
        <v>9776</v>
      </c>
      <c r="B2633" t="s">
        <v>5118</v>
      </c>
      <c r="C2633" t="s">
        <v>4557</v>
      </c>
      <c r="D2633" t="s">
        <v>5119</v>
      </c>
      <c r="E2633" s="28" t="s">
        <v>890</v>
      </c>
      <c r="F2633" t="s">
        <v>208</v>
      </c>
      <c r="G2633" t="s">
        <v>15</v>
      </c>
      <c r="M2633" s="28" t="s">
        <v>613</v>
      </c>
      <c r="N2633" t="s">
        <v>313</v>
      </c>
    </row>
    <row r="2634" spans="1:14" hidden="1" x14ac:dyDescent="0.25">
      <c r="A2634" t="s">
        <v>9777</v>
      </c>
      <c r="B2634" t="s">
        <v>5118</v>
      </c>
      <c r="C2634" t="s">
        <v>894</v>
      </c>
      <c r="D2634" t="s">
        <v>5120</v>
      </c>
      <c r="E2634" s="28" t="s">
        <v>896</v>
      </c>
      <c r="F2634" t="s">
        <v>625</v>
      </c>
      <c r="G2634" t="s">
        <v>15</v>
      </c>
      <c r="M2634" s="28" t="s">
        <v>613</v>
      </c>
      <c r="N2634" t="s">
        <v>313</v>
      </c>
    </row>
    <row r="2635" spans="1:14" hidden="1" x14ac:dyDescent="0.25">
      <c r="A2635" t="s">
        <v>8263</v>
      </c>
      <c r="B2635" t="s">
        <v>1781</v>
      </c>
      <c r="C2635" t="s">
        <v>1782</v>
      </c>
      <c r="D2635" t="s">
        <v>1783</v>
      </c>
      <c r="E2635" s="28" t="s">
        <v>890</v>
      </c>
      <c r="F2635" t="s">
        <v>1645</v>
      </c>
      <c r="G2635" t="s">
        <v>43</v>
      </c>
      <c r="M2635" s="28" t="s">
        <v>14205</v>
      </c>
    </row>
    <row r="2636" spans="1:14" hidden="1" x14ac:dyDescent="0.25">
      <c r="A2636" t="s">
        <v>8224</v>
      </c>
      <c r="B2636" t="s">
        <v>1684</v>
      </c>
      <c r="C2636" t="s">
        <v>1676</v>
      </c>
      <c r="D2636" t="s">
        <v>1685</v>
      </c>
      <c r="E2636" s="28" t="s">
        <v>890</v>
      </c>
      <c r="F2636" t="s">
        <v>891</v>
      </c>
      <c r="G2636" t="s">
        <v>43</v>
      </c>
      <c r="M2636" s="28" t="s">
        <v>14205</v>
      </c>
    </row>
    <row r="2637" spans="1:14" hidden="1" x14ac:dyDescent="0.25">
      <c r="A2637" t="s">
        <v>10551</v>
      </c>
      <c r="B2637" t="s">
        <v>6762</v>
      </c>
      <c r="C2637" t="s">
        <v>6628</v>
      </c>
      <c r="D2637" t="s">
        <v>6763</v>
      </c>
      <c r="E2637" s="28" t="s">
        <v>896</v>
      </c>
      <c r="F2637" t="s">
        <v>6631</v>
      </c>
      <c r="G2637" t="s">
        <v>137</v>
      </c>
      <c r="M2637" s="28" t="s">
        <v>805</v>
      </c>
      <c r="N2637" t="s">
        <v>313</v>
      </c>
    </row>
    <row r="2638" spans="1:14" hidden="1" x14ac:dyDescent="0.25">
      <c r="A2638" t="s">
        <v>12118</v>
      </c>
      <c r="B2638" t="s">
        <v>12119</v>
      </c>
      <c r="C2638" t="s">
        <v>12120</v>
      </c>
      <c r="D2638" t="s">
        <v>12121</v>
      </c>
      <c r="E2638" s="28" t="s">
        <v>896</v>
      </c>
      <c r="F2638" t="s">
        <v>2415</v>
      </c>
      <c r="G2638" t="s">
        <v>162</v>
      </c>
      <c r="M2638" s="28" t="s">
        <v>7517</v>
      </c>
      <c r="N2638" t="s">
        <v>313</v>
      </c>
    </row>
    <row r="2639" spans="1:14" hidden="1" x14ac:dyDescent="0.25">
      <c r="A2639" t="s">
        <v>9188</v>
      </c>
      <c r="B2639" t="s">
        <v>3890</v>
      </c>
      <c r="C2639" t="s">
        <v>3158</v>
      </c>
      <c r="D2639" t="s">
        <v>3891</v>
      </c>
      <c r="E2639" s="28" t="s">
        <v>890</v>
      </c>
      <c r="F2639" t="s">
        <v>891</v>
      </c>
      <c r="G2639" t="s">
        <v>88</v>
      </c>
      <c r="M2639" s="28" t="s">
        <v>549</v>
      </c>
      <c r="N2639" t="s">
        <v>313</v>
      </c>
    </row>
    <row r="2640" spans="1:14" hidden="1" x14ac:dyDescent="0.25">
      <c r="A2640" t="s">
        <v>10719</v>
      </c>
      <c r="B2640" t="s">
        <v>1081</v>
      </c>
      <c r="C2640" t="s">
        <v>7130</v>
      </c>
      <c r="D2640" t="s">
        <v>7131</v>
      </c>
      <c r="E2640" s="28" t="s">
        <v>896</v>
      </c>
      <c r="F2640" t="s">
        <v>297</v>
      </c>
      <c r="G2640" t="s">
        <v>6896</v>
      </c>
      <c r="M2640" s="28" t="s">
        <v>6897</v>
      </c>
      <c r="N2640" t="s">
        <v>279</v>
      </c>
    </row>
    <row r="2641" spans="1:14" hidden="1" x14ac:dyDescent="0.25">
      <c r="A2641" t="s">
        <v>10650</v>
      </c>
      <c r="B2641" t="s">
        <v>1081</v>
      </c>
      <c r="C2641" t="s">
        <v>6968</v>
      </c>
      <c r="D2641" t="s">
        <v>6969</v>
      </c>
      <c r="E2641" s="28" t="s">
        <v>890</v>
      </c>
      <c r="F2641" t="s">
        <v>6901</v>
      </c>
      <c r="G2641" t="s">
        <v>6896</v>
      </c>
      <c r="M2641" s="28" t="s">
        <v>6897</v>
      </c>
      <c r="N2641" t="s">
        <v>279</v>
      </c>
    </row>
    <row r="2642" spans="1:14" hidden="1" x14ac:dyDescent="0.25">
      <c r="A2642" t="s">
        <v>10766</v>
      </c>
      <c r="B2642" t="s">
        <v>1081</v>
      </c>
      <c r="C2642" t="s">
        <v>7247</v>
      </c>
      <c r="D2642" t="s">
        <v>7248</v>
      </c>
      <c r="E2642" s="28" t="s">
        <v>890</v>
      </c>
      <c r="F2642" t="s">
        <v>7062</v>
      </c>
      <c r="G2642" t="s">
        <v>6896</v>
      </c>
      <c r="M2642" s="28" t="s">
        <v>6897</v>
      </c>
      <c r="N2642" t="s">
        <v>279</v>
      </c>
    </row>
    <row r="2643" spans="1:14" hidden="1" x14ac:dyDescent="0.25">
      <c r="A2643" t="s">
        <v>9189</v>
      </c>
      <c r="B2643" t="s">
        <v>3892</v>
      </c>
      <c r="C2643" t="s">
        <v>3770</v>
      </c>
      <c r="D2643" t="s">
        <v>3893</v>
      </c>
      <c r="E2643" s="28" t="s">
        <v>890</v>
      </c>
      <c r="F2643" t="s">
        <v>891</v>
      </c>
      <c r="G2643" t="s">
        <v>88</v>
      </c>
      <c r="M2643" s="28" t="s">
        <v>549</v>
      </c>
      <c r="N2643" t="s">
        <v>313</v>
      </c>
    </row>
    <row r="2644" spans="1:14" hidden="1" x14ac:dyDescent="0.25">
      <c r="A2644" t="s">
        <v>9190</v>
      </c>
      <c r="B2644" t="s">
        <v>3894</v>
      </c>
      <c r="C2644" t="s">
        <v>2095</v>
      </c>
      <c r="D2644" t="s">
        <v>3895</v>
      </c>
      <c r="E2644" s="28" t="s">
        <v>890</v>
      </c>
      <c r="F2644" t="s">
        <v>891</v>
      </c>
      <c r="G2644" t="s">
        <v>88</v>
      </c>
      <c r="M2644" s="28" t="s">
        <v>549</v>
      </c>
      <c r="N2644" t="s">
        <v>313</v>
      </c>
    </row>
    <row r="2645" spans="1:14" hidden="1" x14ac:dyDescent="0.25">
      <c r="A2645" t="s">
        <v>9191</v>
      </c>
      <c r="B2645" t="s">
        <v>3894</v>
      </c>
      <c r="C2645" t="s">
        <v>2108</v>
      </c>
      <c r="D2645" t="s">
        <v>3896</v>
      </c>
      <c r="E2645" s="28" t="s">
        <v>890</v>
      </c>
      <c r="F2645" t="s">
        <v>13206</v>
      </c>
      <c r="G2645" t="s">
        <v>88</v>
      </c>
      <c r="M2645" s="28" t="s">
        <v>549</v>
      </c>
      <c r="N2645" t="s">
        <v>313</v>
      </c>
    </row>
    <row r="2646" spans="1:14" hidden="1" x14ac:dyDescent="0.25">
      <c r="A2646" t="s">
        <v>9775</v>
      </c>
      <c r="B2646" t="s">
        <v>5116</v>
      </c>
      <c r="C2646" t="s">
        <v>2184</v>
      </c>
      <c r="D2646" t="s">
        <v>5117</v>
      </c>
      <c r="E2646" s="28" t="s">
        <v>896</v>
      </c>
      <c r="F2646" t="s">
        <v>216</v>
      </c>
      <c r="G2646" t="s">
        <v>15</v>
      </c>
      <c r="M2646" s="28" t="s">
        <v>613</v>
      </c>
      <c r="N2646" t="s">
        <v>313</v>
      </c>
    </row>
    <row r="2647" spans="1:14" hidden="1" x14ac:dyDescent="0.25">
      <c r="A2647" t="s">
        <v>9774</v>
      </c>
      <c r="B2647" t="s">
        <v>5113</v>
      </c>
      <c r="C2647" t="s">
        <v>5114</v>
      </c>
      <c r="D2647" t="s">
        <v>5115</v>
      </c>
      <c r="E2647" s="28" t="s">
        <v>896</v>
      </c>
      <c r="F2647" t="s">
        <v>219</v>
      </c>
      <c r="G2647" t="s">
        <v>15</v>
      </c>
      <c r="M2647" s="28" t="s">
        <v>613</v>
      </c>
      <c r="N2647" t="s">
        <v>313</v>
      </c>
    </row>
    <row r="2648" spans="1:14" hidden="1" x14ac:dyDescent="0.25">
      <c r="A2648" t="s">
        <v>12112</v>
      </c>
      <c r="B2648" t="s">
        <v>12113</v>
      </c>
      <c r="C2648" t="s">
        <v>12114</v>
      </c>
      <c r="D2648" t="s">
        <v>12818</v>
      </c>
      <c r="E2648" s="28" t="s">
        <v>890</v>
      </c>
      <c r="F2648" t="s">
        <v>479</v>
      </c>
      <c r="G2648" t="s">
        <v>11</v>
      </c>
      <c r="M2648" s="28" t="s">
        <v>413</v>
      </c>
      <c r="N2648" t="s">
        <v>313</v>
      </c>
    </row>
    <row r="2649" spans="1:14" hidden="1" x14ac:dyDescent="0.25">
      <c r="A2649" t="s">
        <v>10621</v>
      </c>
      <c r="B2649" t="s">
        <v>6886</v>
      </c>
      <c r="C2649" t="s">
        <v>2419</v>
      </c>
      <c r="D2649" t="s">
        <v>6887</v>
      </c>
      <c r="E2649" s="28" t="s">
        <v>896</v>
      </c>
      <c r="F2649" t="s">
        <v>2424</v>
      </c>
      <c r="G2649" t="s">
        <v>145</v>
      </c>
      <c r="M2649" s="28" t="s">
        <v>13222</v>
      </c>
      <c r="N2649" t="s">
        <v>313</v>
      </c>
    </row>
    <row r="2650" spans="1:14" hidden="1" x14ac:dyDescent="0.25">
      <c r="A2650" t="s">
        <v>8385</v>
      </c>
      <c r="B2650" t="s">
        <v>2087</v>
      </c>
      <c r="C2650" t="s">
        <v>1103</v>
      </c>
      <c r="D2650" t="s">
        <v>2088</v>
      </c>
      <c r="E2650" s="28" t="s">
        <v>890</v>
      </c>
      <c r="F2650" t="s">
        <v>398</v>
      </c>
      <c r="G2650" t="s">
        <v>60</v>
      </c>
      <c r="M2650" s="28" t="s">
        <v>14207</v>
      </c>
    </row>
    <row r="2651" spans="1:14" hidden="1" x14ac:dyDescent="0.25">
      <c r="A2651" t="s">
        <v>9773</v>
      </c>
      <c r="B2651" t="s">
        <v>5111</v>
      </c>
      <c r="C2651" t="s">
        <v>4821</v>
      </c>
      <c r="D2651" t="s">
        <v>5112</v>
      </c>
      <c r="E2651" s="28" t="s">
        <v>896</v>
      </c>
      <c r="F2651" t="s">
        <v>4555</v>
      </c>
      <c r="G2651" t="s">
        <v>15</v>
      </c>
      <c r="M2651" s="28" t="s">
        <v>613</v>
      </c>
      <c r="N2651" t="s">
        <v>313</v>
      </c>
    </row>
    <row r="2652" spans="1:14" hidden="1" x14ac:dyDescent="0.25">
      <c r="A2652" t="s">
        <v>13859</v>
      </c>
      <c r="B2652" t="s">
        <v>13860</v>
      </c>
      <c r="C2652" t="s">
        <v>5534</v>
      </c>
      <c r="D2652" t="s">
        <v>13861</v>
      </c>
      <c r="E2652" s="28" t="s">
        <v>890</v>
      </c>
      <c r="F2652" t="s">
        <v>12865</v>
      </c>
      <c r="G2652" t="s">
        <v>15</v>
      </c>
      <c r="M2652" s="28" t="s">
        <v>613</v>
      </c>
      <c r="N2652" t="s">
        <v>313</v>
      </c>
    </row>
    <row r="2653" spans="1:14" hidden="1" x14ac:dyDescent="0.25">
      <c r="A2653" t="s">
        <v>9192</v>
      </c>
      <c r="B2653" t="s">
        <v>3897</v>
      </c>
      <c r="C2653" t="s">
        <v>3031</v>
      </c>
      <c r="D2653" t="s">
        <v>3898</v>
      </c>
      <c r="E2653" s="28" t="s">
        <v>890</v>
      </c>
      <c r="F2653" t="s">
        <v>891</v>
      </c>
      <c r="G2653" t="s">
        <v>88</v>
      </c>
      <c r="M2653" s="28" t="s">
        <v>549</v>
      </c>
      <c r="N2653" t="s">
        <v>313</v>
      </c>
    </row>
    <row r="2654" spans="1:14" hidden="1" x14ac:dyDescent="0.25">
      <c r="A2654" t="s">
        <v>9193</v>
      </c>
      <c r="B2654" t="s">
        <v>3897</v>
      </c>
      <c r="C2654" t="s">
        <v>3034</v>
      </c>
      <c r="D2654" t="s">
        <v>3899</v>
      </c>
      <c r="E2654" s="28" t="s">
        <v>890</v>
      </c>
      <c r="F2654" t="s">
        <v>891</v>
      </c>
      <c r="G2654" t="s">
        <v>88</v>
      </c>
      <c r="M2654" s="28" t="s">
        <v>549</v>
      </c>
      <c r="N2654" t="s">
        <v>313</v>
      </c>
    </row>
    <row r="2655" spans="1:14" hidden="1" x14ac:dyDescent="0.25">
      <c r="A2655" t="s">
        <v>10481</v>
      </c>
      <c r="B2655" t="s">
        <v>6625</v>
      </c>
      <c r="C2655" t="s">
        <v>6626</v>
      </c>
      <c r="D2655" t="s">
        <v>11682</v>
      </c>
      <c r="E2655" s="28" t="s">
        <v>890</v>
      </c>
      <c r="F2655" t="s">
        <v>816</v>
      </c>
      <c r="G2655" t="s">
        <v>135</v>
      </c>
      <c r="M2655" s="28" t="s">
        <v>11680</v>
      </c>
      <c r="N2655" t="s">
        <v>11680</v>
      </c>
    </row>
    <row r="2656" spans="1:14" hidden="1" x14ac:dyDescent="0.25">
      <c r="A2656" t="s">
        <v>10408</v>
      </c>
      <c r="B2656" t="s">
        <v>6397</v>
      </c>
      <c r="C2656" t="s">
        <v>6398</v>
      </c>
      <c r="D2656" t="s">
        <v>6399</v>
      </c>
      <c r="E2656" s="28" t="s">
        <v>890</v>
      </c>
      <c r="F2656" t="s">
        <v>6365</v>
      </c>
      <c r="G2656" t="s">
        <v>119</v>
      </c>
      <c r="M2656" s="28"/>
    </row>
    <row r="2657" spans="1:14" hidden="1" x14ac:dyDescent="0.25">
      <c r="A2657" t="s">
        <v>9194</v>
      </c>
      <c r="B2657" t="s">
        <v>3900</v>
      </c>
      <c r="C2657" t="s">
        <v>2111</v>
      </c>
      <c r="D2657" t="s">
        <v>3901</v>
      </c>
      <c r="E2657" s="28" t="s">
        <v>896</v>
      </c>
      <c r="F2657" t="s">
        <v>547</v>
      </c>
      <c r="G2657" t="s">
        <v>88</v>
      </c>
      <c r="M2657" s="28" t="s">
        <v>549</v>
      </c>
      <c r="N2657" t="s">
        <v>313</v>
      </c>
    </row>
    <row r="2658" spans="1:14" hidden="1" x14ac:dyDescent="0.25">
      <c r="A2658" t="s">
        <v>8410</v>
      </c>
      <c r="B2658" t="s">
        <v>2152</v>
      </c>
      <c r="C2658" t="s">
        <v>1266</v>
      </c>
      <c r="D2658" t="s">
        <v>2153</v>
      </c>
      <c r="E2658" s="28" t="s">
        <v>890</v>
      </c>
      <c r="F2658" t="s">
        <v>398</v>
      </c>
      <c r="G2658" t="s">
        <v>60</v>
      </c>
      <c r="M2658" s="28" t="s">
        <v>14207</v>
      </c>
    </row>
    <row r="2659" spans="1:14" hidden="1" x14ac:dyDescent="0.25">
      <c r="A2659" t="s">
        <v>9195</v>
      </c>
      <c r="B2659" t="s">
        <v>3902</v>
      </c>
      <c r="C2659" t="s">
        <v>2111</v>
      </c>
      <c r="D2659" t="s">
        <v>3903</v>
      </c>
      <c r="E2659" s="28" t="s">
        <v>890</v>
      </c>
      <c r="F2659" t="s">
        <v>891</v>
      </c>
      <c r="G2659" t="s">
        <v>88</v>
      </c>
      <c r="M2659" s="28" t="s">
        <v>549</v>
      </c>
      <c r="N2659" t="s">
        <v>313</v>
      </c>
    </row>
    <row r="2660" spans="1:14" hidden="1" x14ac:dyDescent="0.25">
      <c r="A2660" t="s">
        <v>9196</v>
      </c>
      <c r="B2660" t="s">
        <v>3904</v>
      </c>
      <c r="C2660" t="s">
        <v>3134</v>
      </c>
      <c r="D2660" t="s">
        <v>3905</v>
      </c>
      <c r="E2660" s="28" t="s">
        <v>890</v>
      </c>
      <c r="F2660" t="s">
        <v>891</v>
      </c>
      <c r="G2660" t="s">
        <v>88</v>
      </c>
      <c r="M2660" s="28" t="s">
        <v>549</v>
      </c>
      <c r="N2660" t="s">
        <v>313</v>
      </c>
    </row>
    <row r="2661" spans="1:14" hidden="1" x14ac:dyDescent="0.25">
      <c r="A2661" t="s">
        <v>10395</v>
      </c>
      <c r="B2661" t="s">
        <v>6360</v>
      </c>
      <c r="C2661" t="s">
        <v>6361</v>
      </c>
      <c r="D2661" t="s">
        <v>6362</v>
      </c>
      <c r="E2661" s="28" t="s">
        <v>896</v>
      </c>
      <c r="F2661" t="s">
        <v>6313</v>
      </c>
      <c r="G2661" t="s">
        <v>110</v>
      </c>
      <c r="M2661" s="28" t="s">
        <v>13563</v>
      </c>
      <c r="N2661" t="s">
        <v>279</v>
      </c>
    </row>
    <row r="2662" spans="1:14" hidden="1" x14ac:dyDescent="0.25">
      <c r="A2662" t="s">
        <v>10396</v>
      </c>
      <c r="B2662" t="s">
        <v>6360</v>
      </c>
      <c r="C2662" t="s">
        <v>6363</v>
      </c>
      <c r="D2662" t="s">
        <v>6364</v>
      </c>
      <c r="E2662" s="28" t="s">
        <v>896</v>
      </c>
      <c r="F2662" t="s">
        <v>6313</v>
      </c>
      <c r="G2662" t="s">
        <v>110</v>
      </c>
      <c r="M2662" s="28" t="s">
        <v>13563</v>
      </c>
      <c r="N2662" t="s">
        <v>279</v>
      </c>
    </row>
    <row r="2663" spans="1:14" hidden="1" x14ac:dyDescent="0.25">
      <c r="A2663" t="s">
        <v>9197</v>
      </c>
      <c r="B2663" t="s">
        <v>3906</v>
      </c>
      <c r="C2663" t="s">
        <v>3129</v>
      </c>
      <c r="D2663" t="s">
        <v>3907</v>
      </c>
      <c r="E2663" s="28" t="s">
        <v>896</v>
      </c>
      <c r="F2663" t="s">
        <v>891</v>
      </c>
      <c r="G2663" t="s">
        <v>88</v>
      </c>
      <c r="M2663" s="28" t="s">
        <v>549</v>
      </c>
      <c r="N2663" t="s">
        <v>313</v>
      </c>
    </row>
    <row r="2664" spans="1:14" hidden="1" x14ac:dyDescent="0.25">
      <c r="A2664" t="s">
        <v>9198</v>
      </c>
      <c r="B2664" t="s">
        <v>3906</v>
      </c>
      <c r="C2664" t="s">
        <v>3087</v>
      </c>
      <c r="D2664" t="s">
        <v>3908</v>
      </c>
      <c r="E2664" s="28" t="s">
        <v>890</v>
      </c>
      <c r="F2664" t="s">
        <v>891</v>
      </c>
      <c r="G2664" t="s">
        <v>88</v>
      </c>
      <c r="M2664" s="28" t="s">
        <v>549</v>
      </c>
      <c r="N2664" t="s">
        <v>313</v>
      </c>
    </row>
    <row r="2665" spans="1:14" hidden="1" x14ac:dyDescent="0.25">
      <c r="A2665" t="s">
        <v>12843</v>
      </c>
      <c r="B2665" t="s">
        <v>12844</v>
      </c>
      <c r="C2665" t="s">
        <v>1227</v>
      </c>
      <c r="D2665" t="s">
        <v>12845</v>
      </c>
      <c r="E2665" s="28" t="s">
        <v>896</v>
      </c>
      <c r="F2665" t="s">
        <v>1106</v>
      </c>
      <c r="G2665" t="s">
        <v>84</v>
      </c>
      <c r="M2665" s="28" t="s">
        <v>14223</v>
      </c>
      <c r="N2665" t="s">
        <v>313</v>
      </c>
    </row>
    <row r="2666" spans="1:14" hidden="1" x14ac:dyDescent="0.25">
      <c r="A2666" t="s">
        <v>9772</v>
      </c>
      <c r="B2666" t="s">
        <v>5108</v>
      </c>
      <c r="C2666" t="s">
        <v>5109</v>
      </c>
      <c r="D2666" t="s">
        <v>5110</v>
      </c>
      <c r="E2666" s="28" t="s">
        <v>890</v>
      </c>
      <c r="F2666" t="s">
        <v>4638</v>
      </c>
      <c r="G2666" t="s">
        <v>15</v>
      </c>
      <c r="M2666" s="28" t="s">
        <v>613</v>
      </c>
      <c r="N2666" t="s">
        <v>313</v>
      </c>
    </row>
    <row r="2667" spans="1:14" hidden="1" x14ac:dyDescent="0.25">
      <c r="A2667" t="s">
        <v>14359</v>
      </c>
      <c r="B2667" t="s">
        <v>1183</v>
      </c>
      <c r="C2667" t="s">
        <v>13862</v>
      </c>
      <c r="D2667" t="s">
        <v>13863</v>
      </c>
      <c r="E2667" s="28" t="s">
        <v>890</v>
      </c>
      <c r="F2667" t="s">
        <v>13814</v>
      </c>
      <c r="G2667" t="s">
        <v>81</v>
      </c>
      <c r="M2667" s="28" t="s">
        <v>530</v>
      </c>
      <c r="N2667" t="s">
        <v>313</v>
      </c>
    </row>
    <row r="2668" spans="1:14" hidden="1" x14ac:dyDescent="0.25">
      <c r="A2668" t="s">
        <v>13864</v>
      </c>
      <c r="B2668" t="s">
        <v>13865</v>
      </c>
      <c r="C2668" t="s">
        <v>13866</v>
      </c>
      <c r="D2668" t="s">
        <v>13867</v>
      </c>
      <c r="E2668" s="28" t="s">
        <v>890</v>
      </c>
      <c r="F2668" t="s">
        <v>631</v>
      </c>
      <c r="G2668" t="s">
        <v>74</v>
      </c>
      <c r="M2668" s="28" t="s">
        <v>507</v>
      </c>
      <c r="N2668" t="s">
        <v>313</v>
      </c>
    </row>
    <row r="2669" spans="1:14" hidden="1" x14ac:dyDescent="0.25">
      <c r="A2669" t="s">
        <v>9513</v>
      </c>
      <c r="B2669" t="s">
        <v>4529</v>
      </c>
      <c r="C2669" t="s">
        <v>4530</v>
      </c>
      <c r="D2669" t="s">
        <v>11684</v>
      </c>
      <c r="E2669" s="28" t="s">
        <v>896</v>
      </c>
      <c r="F2669" t="s">
        <v>4528</v>
      </c>
      <c r="G2669" t="s">
        <v>13302</v>
      </c>
      <c r="M2669" s="28" t="s">
        <v>11680</v>
      </c>
      <c r="N2669" t="s">
        <v>11680</v>
      </c>
    </row>
    <row r="2670" spans="1:14" hidden="1" x14ac:dyDescent="0.25">
      <c r="A2670" t="s">
        <v>9199</v>
      </c>
      <c r="B2670" t="s">
        <v>3909</v>
      </c>
      <c r="C2670" t="s">
        <v>3910</v>
      </c>
      <c r="D2670" t="s">
        <v>3911</v>
      </c>
      <c r="E2670" s="28" t="s">
        <v>890</v>
      </c>
      <c r="F2670" t="s">
        <v>891</v>
      </c>
      <c r="G2670" t="s">
        <v>88</v>
      </c>
      <c r="M2670" s="28" t="s">
        <v>549</v>
      </c>
      <c r="N2670" t="s">
        <v>313</v>
      </c>
    </row>
    <row r="2671" spans="1:14" hidden="1" x14ac:dyDescent="0.25">
      <c r="A2671" t="s">
        <v>12520</v>
      </c>
      <c r="B2671" t="s">
        <v>3909</v>
      </c>
      <c r="C2671" t="s">
        <v>2133</v>
      </c>
      <c r="D2671" t="s">
        <v>12521</v>
      </c>
      <c r="E2671" s="28" t="s">
        <v>890</v>
      </c>
      <c r="F2671" t="s">
        <v>891</v>
      </c>
      <c r="G2671" t="s">
        <v>88</v>
      </c>
      <c r="M2671" s="28" t="s">
        <v>549</v>
      </c>
      <c r="N2671" t="s">
        <v>313</v>
      </c>
    </row>
    <row r="2672" spans="1:14" hidden="1" x14ac:dyDescent="0.25">
      <c r="A2672" t="s">
        <v>9771</v>
      </c>
      <c r="B2672" t="s">
        <v>5105</v>
      </c>
      <c r="C2672" t="s">
        <v>4808</v>
      </c>
      <c r="D2672" t="s">
        <v>5106</v>
      </c>
      <c r="E2672" s="28" t="s">
        <v>890</v>
      </c>
      <c r="F2672" t="s">
        <v>5107</v>
      </c>
      <c r="G2672" t="s">
        <v>15</v>
      </c>
      <c r="M2672" s="28" t="s">
        <v>613</v>
      </c>
      <c r="N2672" t="s">
        <v>313</v>
      </c>
    </row>
    <row r="2673" spans="1:14" hidden="1" x14ac:dyDescent="0.25">
      <c r="A2673" t="s">
        <v>10681</v>
      </c>
      <c r="B2673" t="s">
        <v>7044</v>
      </c>
      <c r="C2673" t="s">
        <v>7045</v>
      </c>
      <c r="D2673" t="s">
        <v>7046</v>
      </c>
      <c r="E2673" s="28" t="s">
        <v>890</v>
      </c>
      <c r="F2673" t="s">
        <v>255</v>
      </c>
      <c r="G2673" t="s">
        <v>6896</v>
      </c>
      <c r="M2673" s="28" t="s">
        <v>6897</v>
      </c>
      <c r="N2673" t="s">
        <v>279</v>
      </c>
    </row>
    <row r="2674" spans="1:14" hidden="1" x14ac:dyDescent="0.25">
      <c r="A2674" t="s">
        <v>10469</v>
      </c>
      <c r="B2674" t="s">
        <v>6590</v>
      </c>
      <c r="C2674" t="s">
        <v>6591</v>
      </c>
      <c r="D2674" t="s">
        <v>6592</v>
      </c>
      <c r="E2674" s="28" t="s">
        <v>890</v>
      </c>
      <c r="F2674" t="s">
        <v>6576</v>
      </c>
      <c r="G2674" t="s">
        <v>131</v>
      </c>
      <c r="M2674" s="28" t="s">
        <v>14242</v>
      </c>
    </row>
    <row r="2675" spans="1:14" hidden="1" x14ac:dyDescent="0.25">
      <c r="A2675" t="s">
        <v>10518</v>
      </c>
      <c r="B2675" t="s">
        <v>6703</v>
      </c>
      <c r="C2675" t="s">
        <v>6671</v>
      </c>
      <c r="D2675" t="s">
        <v>6704</v>
      </c>
      <c r="E2675" s="28" t="s">
        <v>896</v>
      </c>
      <c r="F2675" t="s">
        <v>806</v>
      </c>
      <c r="G2675" t="s">
        <v>137</v>
      </c>
      <c r="M2675" s="28" t="s">
        <v>805</v>
      </c>
      <c r="N2675" t="s">
        <v>313</v>
      </c>
    </row>
    <row r="2676" spans="1:14" hidden="1" x14ac:dyDescent="0.25">
      <c r="A2676" t="s">
        <v>8465</v>
      </c>
      <c r="B2676" t="s">
        <v>2279</v>
      </c>
      <c r="C2676" t="s">
        <v>2014</v>
      </c>
      <c r="D2676" t="s">
        <v>2280</v>
      </c>
      <c r="E2676" s="28" t="s">
        <v>890</v>
      </c>
      <c r="F2676" t="s">
        <v>408</v>
      </c>
      <c r="G2676" t="s">
        <v>65</v>
      </c>
      <c r="M2676" s="28" t="s">
        <v>14209</v>
      </c>
    </row>
    <row r="2677" spans="1:14" hidden="1" x14ac:dyDescent="0.25">
      <c r="A2677" t="s">
        <v>9200</v>
      </c>
      <c r="B2677" t="s">
        <v>3912</v>
      </c>
      <c r="C2677" t="s">
        <v>3563</v>
      </c>
      <c r="D2677" t="s">
        <v>3913</v>
      </c>
      <c r="E2677" s="28" t="s">
        <v>890</v>
      </c>
      <c r="F2677" t="s">
        <v>13206</v>
      </c>
      <c r="G2677" t="s">
        <v>88</v>
      </c>
      <c r="M2677" s="28" t="s">
        <v>549</v>
      </c>
      <c r="N2677" t="s">
        <v>313</v>
      </c>
    </row>
    <row r="2678" spans="1:14" hidden="1" x14ac:dyDescent="0.25">
      <c r="A2678" t="s">
        <v>9770</v>
      </c>
      <c r="B2678" t="s">
        <v>5103</v>
      </c>
      <c r="C2678" t="s">
        <v>4640</v>
      </c>
      <c r="D2678" t="s">
        <v>5104</v>
      </c>
      <c r="E2678" s="28" t="s">
        <v>896</v>
      </c>
      <c r="F2678" t="s">
        <v>201</v>
      </c>
      <c r="G2678" t="s">
        <v>15</v>
      </c>
      <c r="M2678" s="28" t="s">
        <v>613</v>
      </c>
      <c r="N2678" t="s">
        <v>313</v>
      </c>
    </row>
    <row r="2679" spans="1:14" hidden="1" x14ac:dyDescent="0.25">
      <c r="A2679" t="s">
        <v>8429</v>
      </c>
      <c r="B2679" t="s">
        <v>2200</v>
      </c>
      <c r="C2679" t="s">
        <v>1179</v>
      </c>
      <c r="D2679" t="s">
        <v>2201</v>
      </c>
      <c r="E2679" s="28" t="s">
        <v>896</v>
      </c>
      <c r="F2679" t="s">
        <v>405</v>
      </c>
      <c r="G2679" t="s">
        <v>62</v>
      </c>
      <c r="M2679" s="28" t="s">
        <v>14208</v>
      </c>
    </row>
    <row r="2680" spans="1:14" hidden="1" x14ac:dyDescent="0.25">
      <c r="A2680" t="s">
        <v>11822</v>
      </c>
      <c r="B2680" t="s">
        <v>11820</v>
      </c>
      <c r="C2680" t="s">
        <v>3348</v>
      </c>
      <c r="D2680" t="s">
        <v>11823</v>
      </c>
      <c r="E2680" s="28" t="s">
        <v>1023</v>
      </c>
      <c r="F2680" t="s">
        <v>891</v>
      </c>
      <c r="G2680" t="s">
        <v>88</v>
      </c>
      <c r="M2680" s="28" t="s">
        <v>549</v>
      </c>
      <c r="N2680" t="s">
        <v>313</v>
      </c>
    </row>
    <row r="2681" spans="1:14" hidden="1" x14ac:dyDescent="0.25">
      <c r="A2681" t="s">
        <v>11819</v>
      </c>
      <c r="B2681" t="s">
        <v>11820</v>
      </c>
      <c r="C2681" t="s">
        <v>3044</v>
      </c>
      <c r="D2681" t="s">
        <v>11821</v>
      </c>
      <c r="E2681" s="28" t="s">
        <v>1177</v>
      </c>
      <c r="F2681" t="s">
        <v>891</v>
      </c>
      <c r="G2681" t="s">
        <v>88</v>
      </c>
      <c r="M2681" s="28" t="s">
        <v>549</v>
      </c>
      <c r="N2681" t="s">
        <v>313</v>
      </c>
    </row>
    <row r="2682" spans="1:14" hidden="1" x14ac:dyDescent="0.25">
      <c r="A2682" t="s">
        <v>9201</v>
      </c>
      <c r="B2682" t="s">
        <v>3914</v>
      </c>
      <c r="C2682" t="s">
        <v>3036</v>
      </c>
      <c r="D2682" t="s">
        <v>3915</v>
      </c>
      <c r="E2682" s="28" t="s">
        <v>890</v>
      </c>
      <c r="F2682" t="s">
        <v>891</v>
      </c>
      <c r="G2682" t="s">
        <v>88</v>
      </c>
      <c r="M2682" s="28" t="s">
        <v>549</v>
      </c>
      <c r="N2682" t="s">
        <v>313</v>
      </c>
    </row>
    <row r="2683" spans="1:14" hidden="1" x14ac:dyDescent="0.25">
      <c r="A2683" t="s">
        <v>9202</v>
      </c>
      <c r="B2683" t="s">
        <v>3916</v>
      </c>
      <c r="C2683" t="s">
        <v>2063</v>
      </c>
      <c r="D2683" t="s">
        <v>3917</v>
      </c>
      <c r="E2683" s="28" t="s">
        <v>890</v>
      </c>
      <c r="F2683" t="s">
        <v>891</v>
      </c>
      <c r="G2683" t="s">
        <v>88</v>
      </c>
      <c r="M2683" s="28" t="s">
        <v>549</v>
      </c>
      <c r="N2683" t="s">
        <v>313</v>
      </c>
    </row>
    <row r="2684" spans="1:14" hidden="1" x14ac:dyDescent="0.25">
      <c r="A2684" t="s">
        <v>9769</v>
      </c>
      <c r="B2684" t="s">
        <v>5101</v>
      </c>
      <c r="C2684" t="s">
        <v>1574</v>
      </c>
      <c r="D2684" t="s">
        <v>5102</v>
      </c>
      <c r="E2684" s="28" t="s">
        <v>890</v>
      </c>
      <c r="F2684" t="s">
        <v>625</v>
      </c>
      <c r="G2684" t="s">
        <v>15</v>
      </c>
      <c r="M2684" s="28" t="s">
        <v>613</v>
      </c>
      <c r="N2684" t="s">
        <v>313</v>
      </c>
    </row>
    <row r="2685" spans="1:14" hidden="1" x14ac:dyDescent="0.25">
      <c r="A2685" t="s">
        <v>10844</v>
      </c>
      <c r="B2685" t="s">
        <v>7428</v>
      </c>
      <c r="C2685" t="s">
        <v>7130</v>
      </c>
      <c r="D2685" t="s">
        <v>7429</v>
      </c>
      <c r="E2685" s="28" t="s">
        <v>890</v>
      </c>
      <c r="F2685" t="s">
        <v>328</v>
      </c>
      <c r="G2685" t="s">
        <v>157</v>
      </c>
      <c r="M2685" s="28" t="s">
        <v>840</v>
      </c>
      <c r="N2685" t="s">
        <v>382</v>
      </c>
    </row>
    <row r="2686" spans="1:14" hidden="1" x14ac:dyDescent="0.25">
      <c r="A2686" t="s">
        <v>8118</v>
      </c>
      <c r="B2686" t="s">
        <v>1417</v>
      </c>
      <c r="C2686" t="s">
        <v>1418</v>
      </c>
      <c r="D2686" t="s">
        <v>1419</v>
      </c>
      <c r="E2686" s="28" t="s">
        <v>890</v>
      </c>
      <c r="F2686" t="s">
        <v>78</v>
      </c>
      <c r="G2686" t="s">
        <v>38</v>
      </c>
      <c r="M2686" s="28"/>
    </row>
    <row r="2687" spans="1:14" hidden="1" x14ac:dyDescent="0.25">
      <c r="A2687" t="s">
        <v>10519</v>
      </c>
      <c r="B2687" t="s">
        <v>6705</v>
      </c>
      <c r="C2687" t="s">
        <v>1738</v>
      </c>
      <c r="D2687" t="s">
        <v>6706</v>
      </c>
      <c r="E2687" s="28" t="s">
        <v>890</v>
      </c>
      <c r="F2687" t="s">
        <v>6699</v>
      </c>
      <c r="G2687" t="s">
        <v>137</v>
      </c>
      <c r="M2687" s="28" t="s">
        <v>805</v>
      </c>
      <c r="N2687" t="s">
        <v>313</v>
      </c>
    </row>
    <row r="2688" spans="1:14" hidden="1" x14ac:dyDescent="0.25">
      <c r="A2688" t="s">
        <v>9768</v>
      </c>
      <c r="B2688" t="s">
        <v>5099</v>
      </c>
      <c r="C2688" t="s">
        <v>2772</v>
      </c>
      <c r="D2688" t="s">
        <v>5100</v>
      </c>
      <c r="E2688" s="28" t="s">
        <v>896</v>
      </c>
      <c r="F2688" t="s">
        <v>648</v>
      </c>
      <c r="G2688" t="s">
        <v>15</v>
      </c>
      <c r="M2688" s="28" t="s">
        <v>613</v>
      </c>
      <c r="N2688" t="s">
        <v>313</v>
      </c>
    </row>
    <row r="2689" spans="1:14" hidden="1" x14ac:dyDescent="0.25">
      <c r="A2689" t="s">
        <v>10587</v>
      </c>
      <c r="B2689" t="s">
        <v>6822</v>
      </c>
      <c r="C2689" t="s">
        <v>2485</v>
      </c>
      <c r="D2689" t="s">
        <v>12012</v>
      </c>
      <c r="E2689" s="28" t="s">
        <v>890</v>
      </c>
      <c r="F2689" t="s">
        <v>819</v>
      </c>
      <c r="G2689" t="s">
        <v>98</v>
      </c>
      <c r="M2689" s="28" t="s">
        <v>820</v>
      </c>
      <c r="N2689" t="s">
        <v>313</v>
      </c>
    </row>
    <row r="2690" spans="1:14" hidden="1" x14ac:dyDescent="0.25">
      <c r="A2690" t="s">
        <v>8069</v>
      </c>
      <c r="B2690" t="s">
        <v>1284</v>
      </c>
      <c r="C2690" t="s">
        <v>1285</v>
      </c>
      <c r="D2690" t="s">
        <v>1286</v>
      </c>
      <c r="E2690" s="28" t="s">
        <v>890</v>
      </c>
      <c r="F2690" t="s">
        <v>39</v>
      </c>
      <c r="G2690" t="s">
        <v>34</v>
      </c>
      <c r="M2690" s="28" t="s">
        <v>12353</v>
      </c>
      <c r="N2690" t="s">
        <v>313</v>
      </c>
    </row>
    <row r="2691" spans="1:14" hidden="1" x14ac:dyDescent="0.25">
      <c r="A2691" t="s">
        <v>11031</v>
      </c>
      <c r="B2691" t="s">
        <v>11032</v>
      </c>
      <c r="C2691" t="s">
        <v>1494</v>
      </c>
      <c r="D2691" t="s">
        <v>11033</v>
      </c>
      <c r="E2691" s="28" t="s">
        <v>890</v>
      </c>
      <c r="F2691" t="s">
        <v>6584</v>
      </c>
      <c r="G2691" t="s">
        <v>84</v>
      </c>
      <c r="M2691" s="28" t="s">
        <v>14223</v>
      </c>
      <c r="N2691" t="s">
        <v>313</v>
      </c>
    </row>
    <row r="2692" spans="1:14" hidden="1" x14ac:dyDescent="0.25">
      <c r="A2692" t="s">
        <v>8718</v>
      </c>
      <c r="B2692" t="s">
        <v>2898</v>
      </c>
      <c r="C2692" t="s">
        <v>1099</v>
      </c>
      <c r="D2692" t="s">
        <v>2899</v>
      </c>
      <c r="E2692" s="28" t="s">
        <v>890</v>
      </c>
      <c r="F2692" t="s">
        <v>532</v>
      </c>
      <c r="G2692" t="s">
        <v>81</v>
      </c>
      <c r="M2692" s="28" t="s">
        <v>530</v>
      </c>
      <c r="N2692" t="s">
        <v>313</v>
      </c>
    </row>
    <row r="2693" spans="1:14" hidden="1" x14ac:dyDescent="0.25">
      <c r="A2693" t="s">
        <v>9767</v>
      </c>
      <c r="B2693" t="s">
        <v>5097</v>
      </c>
      <c r="C2693" t="s">
        <v>1084</v>
      </c>
      <c r="D2693" t="s">
        <v>5098</v>
      </c>
      <c r="E2693" s="28" t="s">
        <v>896</v>
      </c>
      <c r="F2693" t="s">
        <v>2598</v>
      </c>
      <c r="G2693" t="s">
        <v>15</v>
      </c>
      <c r="M2693" s="28" t="s">
        <v>613</v>
      </c>
      <c r="N2693" t="s">
        <v>313</v>
      </c>
    </row>
    <row r="2694" spans="1:14" hidden="1" x14ac:dyDescent="0.25">
      <c r="A2694" t="s">
        <v>10669</v>
      </c>
      <c r="B2694" t="s">
        <v>7017</v>
      </c>
      <c r="C2694" t="s">
        <v>7018</v>
      </c>
      <c r="D2694" t="s">
        <v>7019</v>
      </c>
      <c r="E2694" s="28" t="s">
        <v>890</v>
      </c>
      <c r="F2694" t="s">
        <v>6901</v>
      </c>
      <c r="G2694" t="s">
        <v>6896</v>
      </c>
      <c r="M2694" s="28" t="s">
        <v>6897</v>
      </c>
      <c r="N2694" t="s">
        <v>279</v>
      </c>
    </row>
    <row r="2695" spans="1:14" hidden="1" x14ac:dyDescent="0.25">
      <c r="A2695" t="s">
        <v>8386</v>
      </c>
      <c r="B2695" t="s">
        <v>2089</v>
      </c>
      <c r="C2695" t="s">
        <v>2090</v>
      </c>
      <c r="D2695" t="s">
        <v>2091</v>
      </c>
      <c r="E2695" s="28" t="s">
        <v>890</v>
      </c>
      <c r="F2695" t="s">
        <v>99</v>
      </c>
      <c r="G2695" t="s">
        <v>60</v>
      </c>
      <c r="M2695" s="28" t="s">
        <v>14207</v>
      </c>
    </row>
    <row r="2696" spans="1:14" hidden="1" x14ac:dyDescent="0.25">
      <c r="A2696" t="s">
        <v>9203</v>
      </c>
      <c r="B2696" t="s">
        <v>3918</v>
      </c>
      <c r="C2696" t="s">
        <v>1058</v>
      </c>
      <c r="D2696" t="s">
        <v>3919</v>
      </c>
      <c r="E2696" s="28" t="s">
        <v>890</v>
      </c>
      <c r="F2696" t="s">
        <v>891</v>
      </c>
      <c r="G2696" t="s">
        <v>88</v>
      </c>
      <c r="M2696" s="28" t="s">
        <v>549</v>
      </c>
      <c r="N2696" t="s">
        <v>313</v>
      </c>
    </row>
    <row r="2697" spans="1:14" hidden="1" x14ac:dyDescent="0.25">
      <c r="A2697" t="s">
        <v>9204</v>
      </c>
      <c r="B2697" t="s">
        <v>3920</v>
      </c>
      <c r="C2697" t="s">
        <v>2551</v>
      </c>
      <c r="D2697" t="s">
        <v>3921</v>
      </c>
      <c r="E2697" s="28" t="s">
        <v>896</v>
      </c>
      <c r="F2697" t="s">
        <v>891</v>
      </c>
      <c r="G2697" t="s">
        <v>88</v>
      </c>
      <c r="M2697" s="28" t="s">
        <v>549</v>
      </c>
      <c r="N2697" t="s">
        <v>313</v>
      </c>
    </row>
    <row r="2698" spans="1:14" hidden="1" x14ac:dyDescent="0.25">
      <c r="A2698" t="s">
        <v>9205</v>
      </c>
      <c r="B2698" t="s">
        <v>3922</v>
      </c>
      <c r="C2698" t="s">
        <v>3738</v>
      </c>
      <c r="D2698" t="s">
        <v>3923</v>
      </c>
      <c r="E2698" s="28" t="s">
        <v>890</v>
      </c>
      <c r="F2698" t="s">
        <v>891</v>
      </c>
      <c r="G2698" t="s">
        <v>88</v>
      </c>
      <c r="M2698" s="28" t="s">
        <v>549</v>
      </c>
      <c r="N2698" t="s">
        <v>313</v>
      </c>
    </row>
    <row r="2699" spans="1:14" hidden="1" x14ac:dyDescent="0.25">
      <c r="A2699" t="s">
        <v>11891</v>
      </c>
      <c r="B2699" t="s">
        <v>11892</v>
      </c>
      <c r="C2699" t="s">
        <v>11893</v>
      </c>
      <c r="D2699" t="s">
        <v>11894</v>
      </c>
      <c r="E2699" s="28" t="s">
        <v>890</v>
      </c>
      <c r="F2699" t="s">
        <v>783</v>
      </c>
      <c r="G2699" t="s">
        <v>110</v>
      </c>
      <c r="M2699" s="28" t="s">
        <v>13563</v>
      </c>
      <c r="N2699" t="s">
        <v>279</v>
      </c>
    </row>
    <row r="2700" spans="1:14" hidden="1" x14ac:dyDescent="0.25">
      <c r="A2700" t="s">
        <v>10379</v>
      </c>
      <c r="B2700" t="s">
        <v>6316</v>
      </c>
      <c r="C2700" t="s">
        <v>6319</v>
      </c>
      <c r="D2700" t="s">
        <v>6320</v>
      </c>
      <c r="E2700" s="28" t="s">
        <v>930</v>
      </c>
      <c r="F2700" t="s">
        <v>783</v>
      </c>
      <c r="G2700" t="s">
        <v>110</v>
      </c>
      <c r="M2700" s="28" t="s">
        <v>13563</v>
      </c>
      <c r="N2700" t="s">
        <v>279</v>
      </c>
    </row>
    <row r="2701" spans="1:14" hidden="1" x14ac:dyDescent="0.25">
      <c r="A2701" t="s">
        <v>10378</v>
      </c>
      <c r="B2701" t="s">
        <v>6316</v>
      </c>
      <c r="C2701" t="s">
        <v>6317</v>
      </c>
      <c r="D2701" t="s">
        <v>6318</v>
      </c>
      <c r="E2701" s="28" t="s">
        <v>896</v>
      </c>
      <c r="F2701" t="s">
        <v>783</v>
      </c>
      <c r="G2701" t="s">
        <v>110</v>
      </c>
      <c r="M2701" s="28" t="s">
        <v>13563</v>
      </c>
      <c r="N2701" t="s">
        <v>279</v>
      </c>
    </row>
    <row r="2702" spans="1:14" hidden="1" x14ac:dyDescent="0.25">
      <c r="A2702" t="s">
        <v>10549</v>
      </c>
      <c r="B2702" t="s">
        <v>6759</v>
      </c>
      <c r="C2702" t="s">
        <v>2627</v>
      </c>
      <c r="D2702" t="s">
        <v>6760</v>
      </c>
      <c r="E2702" s="28" t="s">
        <v>896</v>
      </c>
      <c r="F2702" t="s">
        <v>6631</v>
      </c>
      <c r="G2702" t="s">
        <v>137</v>
      </c>
      <c r="M2702" s="28" t="s">
        <v>805</v>
      </c>
      <c r="N2702" t="s">
        <v>313</v>
      </c>
    </row>
    <row r="2703" spans="1:14" hidden="1" x14ac:dyDescent="0.25">
      <c r="A2703" t="s">
        <v>10576</v>
      </c>
      <c r="B2703" t="s">
        <v>1811</v>
      </c>
      <c r="C2703" t="s">
        <v>6808</v>
      </c>
      <c r="D2703" t="s">
        <v>6809</v>
      </c>
      <c r="E2703" s="28" t="s">
        <v>1023</v>
      </c>
      <c r="F2703" t="s">
        <v>813</v>
      </c>
      <c r="G2703" t="s">
        <v>137</v>
      </c>
      <c r="M2703" s="28" t="s">
        <v>805</v>
      </c>
      <c r="N2703" t="s">
        <v>313</v>
      </c>
    </row>
    <row r="2704" spans="1:14" hidden="1" x14ac:dyDescent="0.25">
      <c r="A2704" t="s">
        <v>8274</v>
      </c>
      <c r="B2704" t="s">
        <v>1811</v>
      </c>
      <c r="C2704" t="s">
        <v>941</v>
      </c>
      <c r="D2704" t="s">
        <v>1812</v>
      </c>
      <c r="E2704" s="28" t="s">
        <v>890</v>
      </c>
      <c r="F2704" t="s">
        <v>369</v>
      </c>
      <c r="G2704" t="s">
        <v>43</v>
      </c>
      <c r="M2704" s="28" t="s">
        <v>14205</v>
      </c>
    </row>
    <row r="2705" spans="1:14" hidden="1" x14ac:dyDescent="0.25">
      <c r="A2705" t="s">
        <v>9766</v>
      </c>
      <c r="B2705" t="s">
        <v>5095</v>
      </c>
      <c r="C2705" t="s">
        <v>4440</v>
      </c>
      <c r="D2705" t="s">
        <v>5096</v>
      </c>
      <c r="E2705" s="28" t="s">
        <v>896</v>
      </c>
      <c r="F2705" t="s">
        <v>4638</v>
      </c>
      <c r="G2705" t="s">
        <v>15</v>
      </c>
      <c r="M2705" s="28" t="s">
        <v>613</v>
      </c>
      <c r="N2705" t="s">
        <v>313</v>
      </c>
    </row>
    <row r="2706" spans="1:14" hidden="1" x14ac:dyDescent="0.25">
      <c r="A2706" t="s">
        <v>10701</v>
      </c>
      <c r="B2706" t="s">
        <v>6987</v>
      </c>
      <c r="C2706" t="s">
        <v>1124</v>
      </c>
      <c r="D2706" t="s">
        <v>7093</v>
      </c>
      <c r="E2706" s="28" t="s">
        <v>890</v>
      </c>
      <c r="F2706" t="s">
        <v>6895</v>
      </c>
      <c r="G2706" t="s">
        <v>6896</v>
      </c>
      <c r="M2706" s="28" t="s">
        <v>6897</v>
      </c>
      <c r="N2706" t="s">
        <v>279</v>
      </c>
    </row>
    <row r="2707" spans="1:14" hidden="1" x14ac:dyDescent="0.25">
      <c r="A2707" t="s">
        <v>10749</v>
      </c>
      <c r="B2707" t="s">
        <v>6987</v>
      </c>
      <c r="C2707" t="s">
        <v>7204</v>
      </c>
      <c r="D2707" t="s">
        <v>7205</v>
      </c>
      <c r="E2707" s="28" t="s">
        <v>890</v>
      </c>
      <c r="F2707" t="s">
        <v>7062</v>
      </c>
      <c r="G2707" t="s">
        <v>6896</v>
      </c>
      <c r="M2707" s="28" t="s">
        <v>6897</v>
      </c>
      <c r="N2707" t="s">
        <v>279</v>
      </c>
    </row>
    <row r="2708" spans="1:14" hidden="1" x14ac:dyDescent="0.25">
      <c r="A2708" t="s">
        <v>10750</v>
      </c>
      <c r="B2708" t="s">
        <v>6987</v>
      </c>
      <c r="C2708" t="s">
        <v>7206</v>
      </c>
      <c r="D2708" t="s">
        <v>7207</v>
      </c>
      <c r="E2708" s="28" t="s">
        <v>930</v>
      </c>
      <c r="F2708" t="s">
        <v>7062</v>
      </c>
      <c r="G2708" t="s">
        <v>6896</v>
      </c>
      <c r="M2708" s="28" t="s">
        <v>6897</v>
      </c>
      <c r="N2708" t="s">
        <v>279</v>
      </c>
    </row>
    <row r="2709" spans="1:14" hidden="1" x14ac:dyDescent="0.25">
      <c r="A2709" t="s">
        <v>10657</v>
      </c>
      <c r="B2709" t="s">
        <v>6987</v>
      </c>
      <c r="C2709" t="s">
        <v>1158</v>
      </c>
      <c r="D2709" t="s">
        <v>6988</v>
      </c>
      <c r="E2709" s="28" t="s">
        <v>896</v>
      </c>
      <c r="F2709" t="s">
        <v>255</v>
      </c>
      <c r="G2709" t="s">
        <v>6896</v>
      </c>
      <c r="M2709" s="28" t="s">
        <v>6897</v>
      </c>
      <c r="N2709" t="s">
        <v>279</v>
      </c>
    </row>
    <row r="2710" spans="1:14" hidden="1" x14ac:dyDescent="0.25">
      <c r="A2710" t="s">
        <v>13868</v>
      </c>
      <c r="B2710" t="s">
        <v>13869</v>
      </c>
      <c r="C2710" t="s">
        <v>13870</v>
      </c>
      <c r="D2710" t="s">
        <v>13871</v>
      </c>
      <c r="E2710" s="28" t="s">
        <v>896</v>
      </c>
      <c r="F2710" t="s">
        <v>783</v>
      </c>
      <c r="G2710" t="s">
        <v>110</v>
      </c>
      <c r="M2710" s="28" t="s">
        <v>13563</v>
      </c>
      <c r="N2710" t="s">
        <v>279</v>
      </c>
    </row>
    <row r="2711" spans="1:14" hidden="1" x14ac:dyDescent="0.25">
      <c r="A2711" t="s">
        <v>13872</v>
      </c>
      <c r="B2711" t="s">
        <v>13873</v>
      </c>
      <c r="C2711" t="s">
        <v>6347</v>
      </c>
      <c r="D2711" t="s">
        <v>13874</v>
      </c>
      <c r="E2711" s="28" t="s">
        <v>890</v>
      </c>
      <c r="F2711" t="s">
        <v>786</v>
      </c>
      <c r="G2711" t="s">
        <v>110</v>
      </c>
      <c r="M2711" s="28" t="s">
        <v>13563</v>
      </c>
      <c r="N2711" t="s">
        <v>279</v>
      </c>
    </row>
    <row r="2712" spans="1:14" hidden="1" x14ac:dyDescent="0.25">
      <c r="A2712" t="s">
        <v>13875</v>
      </c>
      <c r="B2712" t="s">
        <v>13876</v>
      </c>
      <c r="C2712" t="s">
        <v>4600</v>
      </c>
      <c r="D2712" t="s">
        <v>13877</v>
      </c>
      <c r="E2712" s="28" t="s">
        <v>896</v>
      </c>
      <c r="F2712" t="s">
        <v>721</v>
      </c>
      <c r="G2712" t="s">
        <v>15</v>
      </c>
      <c r="M2712" s="28" t="s">
        <v>613</v>
      </c>
      <c r="N2712" t="s">
        <v>313</v>
      </c>
    </row>
    <row r="2713" spans="1:14" hidden="1" x14ac:dyDescent="0.25">
      <c r="A2713" t="s">
        <v>10653</v>
      </c>
      <c r="B2713" t="s">
        <v>6976</v>
      </c>
      <c r="C2713" t="s">
        <v>1061</v>
      </c>
      <c r="D2713" t="s">
        <v>6977</v>
      </c>
      <c r="E2713" s="28" t="s">
        <v>896</v>
      </c>
      <c r="F2713" t="s">
        <v>6901</v>
      </c>
      <c r="G2713" t="s">
        <v>6896</v>
      </c>
      <c r="M2713" s="28" t="s">
        <v>6897</v>
      </c>
      <c r="N2713" t="s">
        <v>279</v>
      </c>
    </row>
    <row r="2714" spans="1:14" hidden="1" x14ac:dyDescent="0.25">
      <c r="A2714" t="s">
        <v>8427</v>
      </c>
      <c r="B2714" t="s">
        <v>2195</v>
      </c>
      <c r="C2714" t="s">
        <v>2196</v>
      </c>
      <c r="D2714" t="s">
        <v>2197</v>
      </c>
      <c r="E2714" s="28" t="s">
        <v>896</v>
      </c>
      <c r="F2714" t="s">
        <v>405</v>
      </c>
      <c r="G2714" t="s">
        <v>62</v>
      </c>
      <c r="M2714" s="28" t="s">
        <v>14208</v>
      </c>
    </row>
    <row r="2715" spans="1:14" hidden="1" x14ac:dyDescent="0.25">
      <c r="A2715" t="s">
        <v>12619</v>
      </c>
      <c r="B2715" t="s">
        <v>12620</v>
      </c>
      <c r="C2715" t="s">
        <v>1156</v>
      </c>
      <c r="D2715" t="s">
        <v>12621</v>
      </c>
      <c r="E2715" s="28" t="s">
        <v>896</v>
      </c>
      <c r="F2715" t="s">
        <v>6490</v>
      </c>
      <c r="G2715" t="s">
        <v>125</v>
      </c>
      <c r="M2715" s="28" t="s">
        <v>6491</v>
      </c>
      <c r="N2715" t="s">
        <v>313</v>
      </c>
    </row>
    <row r="2716" spans="1:14" hidden="1" x14ac:dyDescent="0.25">
      <c r="A2716" t="s">
        <v>9206</v>
      </c>
      <c r="B2716" t="s">
        <v>3924</v>
      </c>
      <c r="C2716" t="s">
        <v>3925</v>
      </c>
      <c r="D2716" t="s">
        <v>3926</v>
      </c>
      <c r="E2716" s="28" t="s">
        <v>896</v>
      </c>
      <c r="F2716" t="s">
        <v>891</v>
      </c>
      <c r="G2716" t="s">
        <v>88</v>
      </c>
      <c r="M2716" s="28" t="s">
        <v>549</v>
      </c>
      <c r="N2716" t="s">
        <v>313</v>
      </c>
    </row>
    <row r="2717" spans="1:14" hidden="1" x14ac:dyDescent="0.25">
      <c r="A2717" t="s">
        <v>9207</v>
      </c>
      <c r="B2717" t="s">
        <v>3924</v>
      </c>
      <c r="C2717" t="s">
        <v>3702</v>
      </c>
      <c r="D2717" t="s">
        <v>3927</v>
      </c>
      <c r="E2717" s="28" t="s">
        <v>1023</v>
      </c>
      <c r="F2717" t="s">
        <v>891</v>
      </c>
      <c r="G2717" t="s">
        <v>88</v>
      </c>
      <c r="M2717" s="28" t="s">
        <v>549</v>
      </c>
      <c r="N2717" t="s">
        <v>313</v>
      </c>
    </row>
    <row r="2718" spans="1:14" hidden="1" x14ac:dyDescent="0.25">
      <c r="A2718" t="s">
        <v>12967</v>
      </c>
      <c r="B2718" t="s">
        <v>5124</v>
      </c>
      <c r="C2718" t="s">
        <v>12968</v>
      </c>
      <c r="D2718" t="s">
        <v>12969</v>
      </c>
      <c r="E2718" s="28" t="s">
        <v>896</v>
      </c>
      <c r="F2718" t="s">
        <v>690</v>
      </c>
      <c r="G2718" t="s">
        <v>15</v>
      </c>
      <c r="M2718" s="28" t="s">
        <v>613</v>
      </c>
      <c r="N2718" t="s">
        <v>313</v>
      </c>
    </row>
    <row r="2719" spans="1:14" hidden="1" x14ac:dyDescent="0.25">
      <c r="A2719" t="s">
        <v>7969</v>
      </c>
      <c r="B2719" t="s">
        <v>979</v>
      </c>
      <c r="C2719" t="s">
        <v>980</v>
      </c>
      <c r="D2719" t="s">
        <v>981</v>
      </c>
      <c r="E2719" s="28" t="s">
        <v>890</v>
      </c>
      <c r="F2719" t="s">
        <v>897</v>
      </c>
      <c r="G2719" t="s">
        <v>28</v>
      </c>
      <c r="M2719" s="28" t="s">
        <v>14241</v>
      </c>
      <c r="N2719" t="s">
        <v>14206</v>
      </c>
    </row>
    <row r="2720" spans="1:14" hidden="1" x14ac:dyDescent="0.25">
      <c r="A2720" t="s">
        <v>13444</v>
      </c>
      <c r="B2720" t="s">
        <v>13068</v>
      </c>
      <c r="C2720" t="s">
        <v>13067</v>
      </c>
      <c r="D2720" t="s">
        <v>13069</v>
      </c>
      <c r="E2720" s="28" t="s">
        <v>896</v>
      </c>
      <c r="F2720" t="s">
        <v>786</v>
      </c>
      <c r="G2720" t="s">
        <v>110</v>
      </c>
      <c r="M2720" s="28" t="s">
        <v>13563</v>
      </c>
      <c r="N2720" t="s">
        <v>279</v>
      </c>
    </row>
    <row r="2721" spans="1:14" hidden="1" x14ac:dyDescent="0.25">
      <c r="A2721" t="s">
        <v>12348</v>
      </c>
      <c r="B2721" t="s">
        <v>12494</v>
      </c>
      <c r="C2721" t="s">
        <v>1156</v>
      </c>
      <c r="D2721" t="s">
        <v>12349</v>
      </c>
      <c r="E2721" s="28"/>
      <c r="F2721" t="s">
        <v>12495</v>
      </c>
      <c r="G2721" t="s">
        <v>86</v>
      </c>
      <c r="M2721" s="28" t="s">
        <v>546</v>
      </c>
      <c r="N2721" t="s">
        <v>313</v>
      </c>
    </row>
    <row r="2722" spans="1:14" hidden="1" x14ac:dyDescent="0.25">
      <c r="A2722" t="s">
        <v>10649</v>
      </c>
      <c r="B2722" t="s">
        <v>6965</v>
      </c>
      <c r="C2722" t="s">
        <v>6966</v>
      </c>
      <c r="D2722" t="s">
        <v>6967</v>
      </c>
      <c r="E2722" s="28" t="s">
        <v>890</v>
      </c>
      <c r="F2722" t="s">
        <v>6901</v>
      </c>
      <c r="G2722" t="s">
        <v>6896</v>
      </c>
      <c r="M2722" s="28" t="s">
        <v>6897</v>
      </c>
      <c r="N2722" t="s">
        <v>279</v>
      </c>
    </row>
    <row r="2723" spans="1:14" hidden="1" x14ac:dyDescent="0.25">
      <c r="A2723" t="s">
        <v>10629</v>
      </c>
      <c r="B2723" t="s">
        <v>6911</v>
      </c>
      <c r="C2723" t="s">
        <v>6912</v>
      </c>
      <c r="D2723" t="s">
        <v>6913</v>
      </c>
      <c r="E2723" s="28" t="s">
        <v>890</v>
      </c>
      <c r="F2723" t="s">
        <v>6901</v>
      </c>
      <c r="G2723" t="s">
        <v>6896</v>
      </c>
      <c r="M2723" s="28" t="s">
        <v>6897</v>
      </c>
      <c r="N2723" t="s">
        <v>279</v>
      </c>
    </row>
    <row r="2724" spans="1:14" hidden="1" x14ac:dyDescent="0.25">
      <c r="A2724" t="s">
        <v>9762</v>
      </c>
      <c r="B2724" t="s">
        <v>5088</v>
      </c>
      <c r="C2724" t="s">
        <v>4557</v>
      </c>
      <c r="D2724" t="s">
        <v>5089</v>
      </c>
      <c r="E2724" s="28" t="s">
        <v>896</v>
      </c>
      <c r="F2724" t="s">
        <v>640</v>
      </c>
      <c r="G2724" t="s">
        <v>15</v>
      </c>
      <c r="M2724" s="28" t="s">
        <v>613</v>
      </c>
      <c r="N2724" t="s">
        <v>313</v>
      </c>
    </row>
    <row r="2725" spans="1:14" hidden="1" x14ac:dyDescent="0.25">
      <c r="A2725" t="s">
        <v>9763</v>
      </c>
      <c r="B2725" t="s">
        <v>5088</v>
      </c>
      <c r="C2725" t="s">
        <v>4553</v>
      </c>
      <c r="D2725" t="s">
        <v>5090</v>
      </c>
      <c r="E2725" s="28" t="s">
        <v>896</v>
      </c>
      <c r="F2725" t="s">
        <v>4555</v>
      </c>
      <c r="G2725" t="s">
        <v>15</v>
      </c>
      <c r="M2725" s="28" t="s">
        <v>613</v>
      </c>
      <c r="N2725" t="s">
        <v>313</v>
      </c>
    </row>
    <row r="2726" spans="1:14" hidden="1" x14ac:dyDescent="0.25">
      <c r="A2726" t="s">
        <v>9765</v>
      </c>
      <c r="B2726" t="s">
        <v>5088</v>
      </c>
      <c r="C2726" t="s">
        <v>5093</v>
      </c>
      <c r="D2726" t="s">
        <v>5094</v>
      </c>
      <c r="E2726" s="28" t="s">
        <v>1177</v>
      </c>
      <c r="F2726" t="s">
        <v>4555</v>
      </c>
      <c r="G2726" t="s">
        <v>15</v>
      </c>
      <c r="M2726" s="28" t="s">
        <v>613</v>
      </c>
      <c r="N2726" t="s">
        <v>313</v>
      </c>
    </row>
    <row r="2727" spans="1:14" hidden="1" x14ac:dyDescent="0.25">
      <c r="A2727" t="s">
        <v>9764</v>
      </c>
      <c r="B2727" t="s">
        <v>5088</v>
      </c>
      <c r="C2727" t="s">
        <v>5091</v>
      </c>
      <c r="D2727" t="s">
        <v>5092</v>
      </c>
      <c r="E2727" s="28" t="s">
        <v>1023</v>
      </c>
      <c r="F2727" t="s">
        <v>4555</v>
      </c>
      <c r="G2727" t="s">
        <v>15</v>
      </c>
      <c r="M2727" s="28" t="s">
        <v>613</v>
      </c>
      <c r="N2727" t="s">
        <v>313</v>
      </c>
    </row>
    <row r="2728" spans="1:14" hidden="1" x14ac:dyDescent="0.25">
      <c r="A2728" t="s">
        <v>9208</v>
      </c>
      <c r="B2728" t="s">
        <v>3928</v>
      </c>
      <c r="C2728" t="s">
        <v>3009</v>
      </c>
      <c r="D2728" t="s">
        <v>3929</v>
      </c>
      <c r="E2728" s="28" t="s">
        <v>890</v>
      </c>
      <c r="F2728" t="s">
        <v>891</v>
      </c>
      <c r="G2728" t="s">
        <v>88</v>
      </c>
      <c r="M2728" s="28" t="s">
        <v>549</v>
      </c>
      <c r="N2728" t="s">
        <v>313</v>
      </c>
    </row>
    <row r="2729" spans="1:14" hidden="1" x14ac:dyDescent="0.25">
      <c r="A2729" t="s">
        <v>8202</v>
      </c>
      <c r="B2729" t="s">
        <v>1622</v>
      </c>
      <c r="C2729" t="s">
        <v>1381</v>
      </c>
      <c r="D2729" t="s">
        <v>1623</v>
      </c>
      <c r="E2729" s="28" t="s">
        <v>890</v>
      </c>
      <c r="F2729" t="s">
        <v>324</v>
      </c>
      <c r="G2729" t="s">
        <v>38</v>
      </c>
      <c r="M2729" s="28"/>
    </row>
    <row r="2730" spans="1:14" hidden="1" x14ac:dyDescent="0.25">
      <c r="A2730" t="s">
        <v>12446</v>
      </c>
      <c r="B2730" t="s">
        <v>2826</v>
      </c>
      <c r="C2730" t="s">
        <v>1150</v>
      </c>
      <c r="D2730" t="s">
        <v>12447</v>
      </c>
      <c r="E2730" s="28" t="s">
        <v>896</v>
      </c>
      <c r="F2730" t="s">
        <v>891</v>
      </c>
      <c r="G2730" t="s">
        <v>11</v>
      </c>
      <c r="M2730" s="28" t="s">
        <v>413</v>
      </c>
      <c r="N2730" t="s">
        <v>313</v>
      </c>
    </row>
    <row r="2731" spans="1:14" hidden="1" x14ac:dyDescent="0.25">
      <c r="A2731" t="s">
        <v>10430</v>
      </c>
      <c r="B2731" t="s">
        <v>6447</v>
      </c>
      <c r="C2731" t="s">
        <v>1421</v>
      </c>
      <c r="D2731" t="s">
        <v>6448</v>
      </c>
      <c r="E2731" s="28" t="s">
        <v>896</v>
      </c>
      <c r="F2731" t="s">
        <v>4648</v>
      </c>
      <c r="G2731" t="s">
        <v>21</v>
      </c>
      <c r="M2731" s="28" t="s">
        <v>791</v>
      </c>
      <c r="N2731" t="s">
        <v>313</v>
      </c>
    </row>
    <row r="2732" spans="1:14" hidden="1" x14ac:dyDescent="0.25">
      <c r="A2732" t="s">
        <v>7959</v>
      </c>
      <c r="B2732" t="s">
        <v>952</v>
      </c>
      <c r="C2732" t="s">
        <v>953</v>
      </c>
      <c r="D2732" t="s">
        <v>954</v>
      </c>
      <c r="E2732" s="28" t="s">
        <v>890</v>
      </c>
      <c r="F2732" t="s">
        <v>32</v>
      </c>
      <c r="G2732" t="s">
        <v>28</v>
      </c>
      <c r="M2732" s="28" t="s">
        <v>14241</v>
      </c>
      <c r="N2732" t="s">
        <v>14206</v>
      </c>
    </row>
    <row r="2733" spans="1:14" hidden="1" x14ac:dyDescent="0.25">
      <c r="A2733" t="s">
        <v>9209</v>
      </c>
      <c r="B2733" t="s">
        <v>3930</v>
      </c>
      <c r="C2733" t="s">
        <v>3341</v>
      </c>
      <c r="D2733" t="s">
        <v>3931</v>
      </c>
      <c r="E2733" s="28" t="s">
        <v>896</v>
      </c>
      <c r="F2733" t="s">
        <v>891</v>
      </c>
      <c r="G2733" t="s">
        <v>88</v>
      </c>
      <c r="M2733" s="28" t="s">
        <v>549</v>
      </c>
      <c r="N2733" t="s">
        <v>313</v>
      </c>
    </row>
    <row r="2734" spans="1:14" hidden="1" x14ac:dyDescent="0.25">
      <c r="A2734" t="s">
        <v>7972</v>
      </c>
      <c r="B2734" t="s">
        <v>986</v>
      </c>
      <c r="C2734" t="s">
        <v>987</v>
      </c>
      <c r="D2734" t="s">
        <v>988</v>
      </c>
      <c r="E2734" s="28" t="s">
        <v>890</v>
      </c>
      <c r="F2734" t="s">
        <v>897</v>
      </c>
      <c r="G2734" t="s">
        <v>28</v>
      </c>
      <c r="M2734" s="28" t="s">
        <v>14241</v>
      </c>
      <c r="N2734" t="s">
        <v>14206</v>
      </c>
    </row>
    <row r="2735" spans="1:14" hidden="1" x14ac:dyDescent="0.25">
      <c r="A2735" t="s">
        <v>12970</v>
      </c>
      <c r="B2735" t="s">
        <v>12971</v>
      </c>
      <c r="C2735" t="s">
        <v>4606</v>
      </c>
      <c r="D2735" t="s">
        <v>12972</v>
      </c>
      <c r="E2735" s="28" t="s">
        <v>890</v>
      </c>
      <c r="F2735" t="s">
        <v>5072</v>
      </c>
      <c r="G2735" t="s">
        <v>15</v>
      </c>
      <c r="M2735" s="28" t="s">
        <v>613</v>
      </c>
      <c r="N2735" t="s">
        <v>313</v>
      </c>
    </row>
    <row r="2736" spans="1:14" hidden="1" x14ac:dyDescent="0.25">
      <c r="A2736" t="s">
        <v>9761</v>
      </c>
      <c r="B2736" t="s">
        <v>5085</v>
      </c>
      <c r="C2736" t="s">
        <v>4726</v>
      </c>
      <c r="D2736" t="s">
        <v>5086</v>
      </c>
      <c r="E2736" s="28" t="s">
        <v>896</v>
      </c>
      <c r="F2736" t="s">
        <v>2641</v>
      </c>
      <c r="G2736" t="s">
        <v>15</v>
      </c>
      <c r="M2736" s="28" t="s">
        <v>613</v>
      </c>
      <c r="N2736" t="s">
        <v>313</v>
      </c>
    </row>
    <row r="2737" spans="1:14" hidden="1" x14ac:dyDescent="0.25">
      <c r="A2737" t="s">
        <v>12424</v>
      </c>
      <c r="B2737" t="s">
        <v>12425</v>
      </c>
      <c r="C2737" t="s">
        <v>1969</v>
      </c>
      <c r="D2737" t="s">
        <v>1970</v>
      </c>
      <c r="E2737" s="28" t="s">
        <v>896</v>
      </c>
      <c r="F2737" t="s">
        <v>891</v>
      </c>
      <c r="G2737" t="s">
        <v>43</v>
      </c>
      <c r="M2737" s="28" t="s">
        <v>14205</v>
      </c>
    </row>
    <row r="2738" spans="1:14" hidden="1" x14ac:dyDescent="0.25">
      <c r="A2738" t="s">
        <v>13878</v>
      </c>
      <c r="B2738" t="s">
        <v>12973</v>
      </c>
      <c r="C2738" t="s">
        <v>4704</v>
      </c>
      <c r="D2738" t="s">
        <v>13879</v>
      </c>
      <c r="E2738" s="28" t="s">
        <v>896</v>
      </c>
      <c r="F2738" t="s">
        <v>243</v>
      </c>
      <c r="G2738" t="s">
        <v>15</v>
      </c>
      <c r="M2738" s="28" t="s">
        <v>613</v>
      </c>
      <c r="N2738" t="s">
        <v>313</v>
      </c>
    </row>
    <row r="2739" spans="1:14" hidden="1" x14ac:dyDescent="0.25">
      <c r="A2739" t="s">
        <v>9210</v>
      </c>
      <c r="B2739" t="s">
        <v>3932</v>
      </c>
      <c r="C2739" t="s">
        <v>3099</v>
      </c>
      <c r="D2739" t="s">
        <v>3933</v>
      </c>
      <c r="E2739" s="28" t="s">
        <v>1023</v>
      </c>
      <c r="F2739" t="s">
        <v>891</v>
      </c>
      <c r="G2739" t="s">
        <v>88</v>
      </c>
      <c r="M2739" s="28" t="s">
        <v>549</v>
      </c>
      <c r="N2739" t="s">
        <v>313</v>
      </c>
    </row>
    <row r="2740" spans="1:14" hidden="1" x14ac:dyDescent="0.25">
      <c r="A2740" t="s">
        <v>9760</v>
      </c>
      <c r="B2740" t="s">
        <v>5083</v>
      </c>
      <c r="C2740" t="s">
        <v>4600</v>
      </c>
      <c r="D2740" t="s">
        <v>5084</v>
      </c>
      <c r="E2740" s="28" t="s">
        <v>896</v>
      </c>
      <c r="F2740" t="s">
        <v>216</v>
      </c>
      <c r="G2740" t="s">
        <v>15</v>
      </c>
      <c r="M2740" s="28" t="s">
        <v>613</v>
      </c>
      <c r="N2740" t="s">
        <v>313</v>
      </c>
    </row>
    <row r="2741" spans="1:14" hidden="1" x14ac:dyDescent="0.25">
      <c r="A2741" t="s">
        <v>9211</v>
      </c>
      <c r="B2741" t="s">
        <v>3934</v>
      </c>
      <c r="C2741" t="s">
        <v>3044</v>
      </c>
      <c r="D2741" t="s">
        <v>3935</v>
      </c>
      <c r="E2741" s="28" t="s">
        <v>896</v>
      </c>
      <c r="F2741" t="s">
        <v>891</v>
      </c>
      <c r="G2741" t="s">
        <v>88</v>
      </c>
      <c r="M2741" s="28" t="s">
        <v>549</v>
      </c>
      <c r="N2741" t="s">
        <v>313</v>
      </c>
    </row>
    <row r="2742" spans="1:14" hidden="1" x14ac:dyDescent="0.25">
      <c r="A2742" t="s">
        <v>9212</v>
      </c>
      <c r="B2742" t="s">
        <v>3936</v>
      </c>
      <c r="C2742" t="s">
        <v>3034</v>
      </c>
      <c r="D2742" t="s">
        <v>3937</v>
      </c>
      <c r="E2742" s="28" t="s">
        <v>890</v>
      </c>
      <c r="F2742" t="s">
        <v>891</v>
      </c>
      <c r="G2742" t="s">
        <v>88</v>
      </c>
      <c r="M2742" s="28" t="s">
        <v>549</v>
      </c>
      <c r="N2742" t="s">
        <v>313</v>
      </c>
    </row>
    <row r="2743" spans="1:14" hidden="1" x14ac:dyDescent="0.25">
      <c r="A2743" t="s">
        <v>9759</v>
      </c>
      <c r="B2743" t="s">
        <v>5081</v>
      </c>
      <c r="C2743" t="s">
        <v>2184</v>
      </c>
      <c r="D2743" t="s">
        <v>5082</v>
      </c>
      <c r="E2743" s="28" t="s">
        <v>890</v>
      </c>
      <c r="F2743" t="s">
        <v>4590</v>
      </c>
      <c r="G2743" t="s">
        <v>15</v>
      </c>
      <c r="M2743" s="28" t="s">
        <v>613</v>
      </c>
      <c r="N2743" t="s">
        <v>313</v>
      </c>
    </row>
    <row r="2744" spans="1:14" hidden="1" x14ac:dyDescent="0.25">
      <c r="A2744" t="s">
        <v>13880</v>
      </c>
      <c r="B2744" t="s">
        <v>1136</v>
      </c>
      <c r="C2744" t="s">
        <v>4553</v>
      </c>
      <c r="D2744" t="s">
        <v>13881</v>
      </c>
      <c r="E2744" s="28" t="s">
        <v>896</v>
      </c>
      <c r="F2744" t="s">
        <v>13348</v>
      </c>
      <c r="G2744" t="s">
        <v>15</v>
      </c>
      <c r="M2744" s="28" t="s">
        <v>613</v>
      </c>
      <c r="N2744" t="s">
        <v>313</v>
      </c>
    </row>
    <row r="2745" spans="1:14" hidden="1" x14ac:dyDescent="0.25">
      <c r="A2745" t="s">
        <v>9758</v>
      </c>
      <c r="B2745" t="s">
        <v>5079</v>
      </c>
      <c r="C2745" t="s">
        <v>2582</v>
      </c>
      <c r="D2745" t="s">
        <v>5080</v>
      </c>
      <c r="E2745" s="28" t="s">
        <v>896</v>
      </c>
      <c r="F2745" t="s">
        <v>752</v>
      </c>
      <c r="G2745" t="s">
        <v>15</v>
      </c>
      <c r="M2745" s="28" t="s">
        <v>613</v>
      </c>
      <c r="N2745" t="s">
        <v>313</v>
      </c>
    </row>
    <row r="2746" spans="1:14" hidden="1" x14ac:dyDescent="0.25">
      <c r="A2746" t="s">
        <v>9757</v>
      </c>
      <c r="B2746" t="s">
        <v>5077</v>
      </c>
      <c r="C2746" t="s">
        <v>4440</v>
      </c>
      <c r="D2746" t="s">
        <v>5078</v>
      </c>
      <c r="E2746" s="28" t="s">
        <v>890</v>
      </c>
      <c r="F2746" t="s">
        <v>4685</v>
      </c>
      <c r="G2746" t="s">
        <v>15</v>
      </c>
      <c r="M2746" s="28" t="s">
        <v>613</v>
      </c>
      <c r="N2746" t="s">
        <v>313</v>
      </c>
    </row>
    <row r="2747" spans="1:14" hidden="1" x14ac:dyDescent="0.25">
      <c r="A2747" t="s">
        <v>10520</v>
      </c>
      <c r="B2747" t="s">
        <v>6707</v>
      </c>
      <c r="C2747" t="s">
        <v>6708</v>
      </c>
      <c r="D2747" t="s">
        <v>6709</v>
      </c>
      <c r="E2747" s="28" t="s">
        <v>930</v>
      </c>
      <c r="F2747" t="s">
        <v>891</v>
      </c>
      <c r="G2747" t="s">
        <v>137</v>
      </c>
      <c r="M2747" s="28" t="s">
        <v>805</v>
      </c>
      <c r="N2747" t="s">
        <v>313</v>
      </c>
    </row>
    <row r="2748" spans="1:14" hidden="1" x14ac:dyDescent="0.25">
      <c r="A2748" t="s">
        <v>9213</v>
      </c>
      <c r="B2748" t="s">
        <v>3938</v>
      </c>
      <c r="C2748" t="s">
        <v>3036</v>
      </c>
      <c r="D2748" t="s">
        <v>3939</v>
      </c>
      <c r="E2748" s="28" t="s">
        <v>890</v>
      </c>
      <c r="F2748" t="s">
        <v>13206</v>
      </c>
      <c r="G2748" t="s">
        <v>88</v>
      </c>
      <c r="M2748" s="28" t="s">
        <v>549</v>
      </c>
      <c r="N2748" t="s">
        <v>313</v>
      </c>
    </row>
    <row r="2749" spans="1:14" hidden="1" x14ac:dyDescent="0.25">
      <c r="A2749" t="s">
        <v>11847</v>
      </c>
      <c r="B2749" t="s">
        <v>3938</v>
      </c>
      <c r="C2749" t="s">
        <v>3087</v>
      </c>
      <c r="D2749" t="s">
        <v>11848</v>
      </c>
      <c r="E2749" s="28" t="s">
        <v>1023</v>
      </c>
      <c r="F2749" t="s">
        <v>891</v>
      </c>
      <c r="G2749" t="s">
        <v>88</v>
      </c>
      <c r="M2749" s="28" t="s">
        <v>549</v>
      </c>
      <c r="N2749" t="s">
        <v>313</v>
      </c>
    </row>
    <row r="2750" spans="1:14" hidden="1" x14ac:dyDescent="0.25">
      <c r="A2750" t="s">
        <v>8288</v>
      </c>
      <c r="B2750" t="s">
        <v>1840</v>
      </c>
      <c r="C2750" t="s">
        <v>1841</v>
      </c>
      <c r="D2750" t="s">
        <v>1842</v>
      </c>
      <c r="E2750" s="28" t="s">
        <v>896</v>
      </c>
      <c r="F2750" t="s">
        <v>1627</v>
      </c>
      <c r="G2750" t="s">
        <v>43</v>
      </c>
      <c r="M2750" s="28" t="s">
        <v>14205</v>
      </c>
    </row>
    <row r="2751" spans="1:14" hidden="1" x14ac:dyDescent="0.25">
      <c r="A2751" t="s">
        <v>12448</v>
      </c>
      <c r="B2751" t="s">
        <v>2984</v>
      </c>
      <c r="C2751" t="s">
        <v>1082</v>
      </c>
      <c r="D2751" t="s">
        <v>12449</v>
      </c>
      <c r="E2751" s="28" t="s">
        <v>1177</v>
      </c>
      <c r="F2751" t="s">
        <v>891</v>
      </c>
      <c r="G2751" t="s">
        <v>11</v>
      </c>
      <c r="M2751" s="28" t="s">
        <v>413</v>
      </c>
      <c r="N2751" t="s">
        <v>313</v>
      </c>
    </row>
    <row r="2752" spans="1:14" hidden="1" x14ac:dyDescent="0.25">
      <c r="A2752" t="s">
        <v>8755</v>
      </c>
      <c r="B2752" t="s">
        <v>2984</v>
      </c>
      <c r="C2752" t="s">
        <v>2985</v>
      </c>
      <c r="D2752" t="s">
        <v>2986</v>
      </c>
      <c r="E2752" s="28" t="s">
        <v>896</v>
      </c>
      <c r="F2752" t="s">
        <v>12350</v>
      </c>
      <c r="G2752" t="s">
        <v>86</v>
      </c>
      <c r="M2752" s="28" t="s">
        <v>546</v>
      </c>
      <c r="N2752" t="s">
        <v>313</v>
      </c>
    </row>
    <row r="2753" spans="1:14" hidden="1" x14ac:dyDescent="0.25">
      <c r="A2753" t="s">
        <v>9756</v>
      </c>
      <c r="B2753" t="s">
        <v>5073</v>
      </c>
      <c r="C2753" t="s">
        <v>4753</v>
      </c>
      <c r="D2753" t="s">
        <v>5076</v>
      </c>
      <c r="E2753" s="28" t="s">
        <v>896</v>
      </c>
      <c r="F2753" t="s">
        <v>201</v>
      </c>
      <c r="G2753" t="s">
        <v>15</v>
      </c>
      <c r="M2753" s="28" t="s">
        <v>613</v>
      </c>
      <c r="N2753" t="s">
        <v>313</v>
      </c>
    </row>
    <row r="2754" spans="1:14" hidden="1" x14ac:dyDescent="0.25">
      <c r="A2754" t="s">
        <v>9755</v>
      </c>
      <c r="B2754" t="s">
        <v>5073</v>
      </c>
      <c r="C2754" t="s">
        <v>5074</v>
      </c>
      <c r="D2754" t="s">
        <v>5075</v>
      </c>
      <c r="E2754" s="28" t="s">
        <v>896</v>
      </c>
      <c r="F2754" t="s">
        <v>12554</v>
      </c>
      <c r="G2754" t="s">
        <v>15</v>
      </c>
      <c r="M2754" s="28" t="s">
        <v>613</v>
      </c>
      <c r="N2754" t="s">
        <v>313</v>
      </c>
    </row>
    <row r="2755" spans="1:14" hidden="1" x14ac:dyDescent="0.25">
      <c r="A2755" t="s">
        <v>9754</v>
      </c>
      <c r="B2755" t="s">
        <v>5070</v>
      </c>
      <c r="C2755" t="s">
        <v>1121</v>
      </c>
      <c r="D2755" t="s">
        <v>5071</v>
      </c>
      <c r="E2755" s="28" t="s">
        <v>896</v>
      </c>
      <c r="F2755" t="s">
        <v>5072</v>
      </c>
      <c r="G2755" t="s">
        <v>15</v>
      </c>
      <c r="M2755" s="28" t="s">
        <v>613</v>
      </c>
      <c r="N2755" t="s">
        <v>313</v>
      </c>
    </row>
    <row r="2756" spans="1:14" hidden="1" x14ac:dyDescent="0.25">
      <c r="A2756" t="s">
        <v>9753</v>
      </c>
      <c r="B2756" t="s">
        <v>5068</v>
      </c>
      <c r="C2756" t="s">
        <v>2515</v>
      </c>
      <c r="D2756" t="s">
        <v>5069</v>
      </c>
      <c r="E2756" s="28" t="s">
        <v>896</v>
      </c>
      <c r="F2756" t="s">
        <v>4675</v>
      </c>
      <c r="G2756" t="s">
        <v>15</v>
      </c>
      <c r="M2756" s="28" t="s">
        <v>613</v>
      </c>
      <c r="N2756" t="s">
        <v>313</v>
      </c>
    </row>
    <row r="2757" spans="1:14" hidden="1" x14ac:dyDescent="0.25">
      <c r="A2757" t="s">
        <v>9214</v>
      </c>
      <c r="B2757" t="s">
        <v>3940</v>
      </c>
      <c r="C2757" t="s">
        <v>3083</v>
      </c>
      <c r="D2757" t="s">
        <v>3941</v>
      </c>
      <c r="E2757" s="28" t="s">
        <v>890</v>
      </c>
      <c r="F2757" t="s">
        <v>891</v>
      </c>
      <c r="G2757" t="s">
        <v>88</v>
      </c>
      <c r="M2757" s="28" t="s">
        <v>549</v>
      </c>
      <c r="N2757" t="s">
        <v>313</v>
      </c>
    </row>
    <row r="2758" spans="1:14" hidden="1" x14ac:dyDescent="0.25">
      <c r="A2758" t="s">
        <v>9215</v>
      </c>
      <c r="B2758" t="s">
        <v>3942</v>
      </c>
      <c r="C2758" t="s">
        <v>2133</v>
      </c>
      <c r="D2758" t="s">
        <v>3943</v>
      </c>
      <c r="E2758" s="28" t="s">
        <v>890</v>
      </c>
      <c r="F2758" t="s">
        <v>891</v>
      </c>
      <c r="G2758" t="s">
        <v>88</v>
      </c>
      <c r="M2758" s="28" t="s">
        <v>549</v>
      </c>
      <c r="N2758" t="s">
        <v>313</v>
      </c>
    </row>
    <row r="2759" spans="1:14" hidden="1" x14ac:dyDescent="0.25">
      <c r="A2759" t="s">
        <v>9216</v>
      </c>
      <c r="B2759" t="s">
        <v>3944</v>
      </c>
      <c r="C2759" t="s">
        <v>1103</v>
      </c>
      <c r="D2759" t="s">
        <v>3945</v>
      </c>
      <c r="E2759" s="28" t="s">
        <v>896</v>
      </c>
      <c r="F2759" t="s">
        <v>582</v>
      </c>
      <c r="G2759" t="s">
        <v>88</v>
      </c>
      <c r="M2759" s="28" t="s">
        <v>549</v>
      </c>
      <c r="N2759" t="s">
        <v>313</v>
      </c>
    </row>
    <row r="2760" spans="1:14" hidden="1" x14ac:dyDescent="0.25">
      <c r="A2760" t="s">
        <v>9217</v>
      </c>
      <c r="B2760" t="s">
        <v>3944</v>
      </c>
      <c r="C2760" t="s">
        <v>3025</v>
      </c>
      <c r="D2760" t="s">
        <v>3946</v>
      </c>
      <c r="E2760" s="28" t="s">
        <v>896</v>
      </c>
      <c r="F2760" t="s">
        <v>582</v>
      </c>
      <c r="G2760" t="s">
        <v>88</v>
      </c>
      <c r="M2760" s="28" t="s">
        <v>549</v>
      </c>
      <c r="N2760" t="s">
        <v>313</v>
      </c>
    </row>
    <row r="2761" spans="1:14" hidden="1" x14ac:dyDescent="0.25">
      <c r="A2761" t="s">
        <v>9218</v>
      </c>
      <c r="B2761" t="s">
        <v>3947</v>
      </c>
      <c r="C2761" t="s">
        <v>2108</v>
      </c>
      <c r="D2761" t="s">
        <v>3948</v>
      </c>
      <c r="E2761" s="28" t="s">
        <v>1023</v>
      </c>
      <c r="F2761" t="s">
        <v>891</v>
      </c>
      <c r="G2761" t="s">
        <v>88</v>
      </c>
      <c r="M2761" s="28" t="s">
        <v>549</v>
      </c>
      <c r="N2761" t="s">
        <v>313</v>
      </c>
    </row>
    <row r="2762" spans="1:14" hidden="1" x14ac:dyDescent="0.25">
      <c r="A2762" t="s">
        <v>9219</v>
      </c>
      <c r="B2762" t="s">
        <v>3949</v>
      </c>
      <c r="C2762" t="s">
        <v>3950</v>
      </c>
      <c r="D2762" t="s">
        <v>3951</v>
      </c>
      <c r="E2762" s="28" t="s">
        <v>1023</v>
      </c>
      <c r="F2762" t="s">
        <v>891</v>
      </c>
      <c r="G2762" t="s">
        <v>88</v>
      </c>
      <c r="M2762" s="28" t="s">
        <v>549</v>
      </c>
      <c r="N2762" t="s">
        <v>313</v>
      </c>
    </row>
    <row r="2763" spans="1:14" hidden="1" x14ac:dyDescent="0.25">
      <c r="A2763" t="s">
        <v>9220</v>
      </c>
      <c r="B2763" t="s">
        <v>3952</v>
      </c>
      <c r="C2763" t="s">
        <v>3452</v>
      </c>
      <c r="D2763" t="s">
        <v>3953</v>
      </c>
      <c r="E2763" s="28" t="s">
        <v>890</v>
      </c>
      <c r="F2763" t="s">
        <v>891</v>
      </c>
      <c r="G2763" t="s">
        <v>88</v>
      </c>
      <c r="M2763" s="28" t="s">
        <v>549</v>
      </c>
      <c r="N2763" t="s">
        <v>313</v>
      </c>
    </row>
    <row r="2764" spans="1:14" hidden="1" x14ac:dyDescent="0.25">
      <c r="A2764" t="s">
        <v>9221</v>
      </c>
      <c r="B2764" t="s">
        <v>3954</v>
      </c>
      <c r="C2764" t="s">
        <v>3264</v>
      </c>
      <c r="D2764" t="s">
        <v>3955</v>
      </c>
      <c r="E2764" s="28" t="s">
        <v>890</v>
      </c>
      <c r="F2764" t="s">
        <v>891</v>
      </c>
      <c r="G2764" t="s">
        <v>88</v>
      </c>
      <c r="M2764" s="28" t="s">
        <v>549</v>
      </c>
      <c r="N2764" t="s">
        <v>313</v>
      </c>
    </row>
    <row r="2765" spans="1:14" hidden="1" x14ac:dyDescent="0.25">
      <c r="A2765" t="s">
        <v>8733</v>
      </c>
      <c r="B2765" t="s">
        <v>2933</v>
      </c>
      <c r="C2765" t="s">
        <v>1476</v>
      </c>
      <c r="D2765" t="s">
        <v>2934</v>
      </c>
      <c r="E2765" s="28" t="s">
        <v>890</v>
      </c>
      <c r="F2765" t="s">
        <v>13197</v>
      </c>
      <c r="G2765" t="s">
        <v>81</v>
      </c>
      <c r="M2765" s="28" t="s">
        <v>530</v>
      </c>
      <c r="N2765" t="s">
        <v>313</v>
      </c>
    </row>
    <row r="2766" spans="1:14" hidden="1" x14ac:dyDescent="0.25">
      <c r="A2766" t="s">
        <v>9752</v>
      </c>
      <c r="B2766" t="s">
        <v>5066</v>
      </c>
      <c r="C2766" t="s">
        <v>926</v>
      </c>
      <c r="D2766" t="s">
        <v>5067</v>
      </c>
      <c r="E2766" s="28" t="s">
        <v>890</v>
      </c>
      <c r="F2766" t="s">
        <v>646</v>
      </c>
      <c r="G2766" t="s">
        <v>15</v>
      </c>
      <c r="M2766" s="28" t="s">
        <v>613</v>
      </c>
      <c r="N2766" t="s">
        <v>313</v>
      </c>
    </row>
    <row r="2767" spans="1:14" hidden="1" x14ac:dyDescent="0.25">
      <c r="A2767" t="s">
        <v>13882</v>
      </c>
      <c r="B2767" t="s">
        <v>13041</v>
      </c>
      <c r="C2767" t="s">
        <v>909</v>
      </c>
      <c r="D2767" t="s">
        <v>13883</v>
      </c>
      <c r="E2767" s="28" t="s">
        <v>896</v>
      </c>
      <c r="F2767" t="s">
        <v>4837</v>
      </c>
      <c r="G2767" t="s">
        <v>15</v>
      </c>
      <c r="M2767" s="28" t="s">
        <v>613</v>
      </c>
      <c r="N2767" t="s">
        <v>313</v>
      </c>
    </row>
    <row r="2768" spans="1:14" hidden="1" x14ac:dyDescent="0.25">
      <c r="A2768" t="s">
        <v>13884</v>
      </c>
      <c r="B2768" t="s">
        <v>13041</v>
      </c>
      <c r="C2768" t="s">
        <v>4784</v>
      </c>
      <c r="D2768" t="s">
        <v>13885</v>
      </c>
      <c r="E2768" s="28" t="s">
        <v>896</v>
      </c>
      <c r="F2768" t="s">
        <v>4837</v>
      </c>
      <c r="G2768" t="s">
        <v>15</v>
      </c>
      <c r="M2768" s="28" t="s">
        <v>613</v>
      </c>
      <c r="N2768" t="s">
        <v>313</v>
      </c>
    </row>
    <row r="2769" spans="1:14" hidden="1" x14ac:dyDescent="0.25">
      <c r="A2769" t="s">
        <v>13040</v>
      </c>
      <c r="B2769" t="s">
        <v>13041</v>
      </c>
      <c r="C2769" t="s">
        <v>4821</v>
      </c>
      <c r="D2769" t="s">
        <v>13042</v>
      </c>
      <c r="E2769" s="28" t="s">
        <v>890</v>
      </c>
      <c r="F2769" t="s">
        <v>4685</v>
      </c>
      <c r="G2769" t="s">
        <v>15</v>
      </c>
      <c r="M2769" s="28" t="s">
        <v>613</v>
      </c>
      <c r="N2769" t="s">
        <v>313</v>
      </c>
    </row>
    <row r="2770" spans="1:14" hidden="1" x14ac:dyDescent="0.25">
      <c r="A2770" t="s">
        <v>9751</v>
      </c>
      <c r="B2770" t="s">
        <v>5064</v>
      </c>
      <c r="C2770" t="s">
        <v>1121</v>
      </c>
      <c r="D2770" t="s">
        <v>5065</v>
      </c>
      <c r="E2770" s="28" t="s">
        <v>896</v>
      </c>
      <c r="F2770" t="s">
        <v>231</v>
      </c>
      <c r="G2770" t="s">
        <v>15</v>
      </c>
      <c r="M2770" s="28" t="s">
        <v>613</v>
      </c>
      <c r="N2770" t="s">
        <v>313</v>
      </c>
    </row>
    <row r="2771" spans="1:14" hidden="1" x14ac:dyDescent="0.25">
      <c r="A2771" t="s">
        <v>9222</v>
      </c>
      <c r="B2771" t="s">
        <v>3956</v>
      </c>
      <c r="C2771" t="s">
        <v>3201</v>
      </c>
      <c r="D2771" t="s">
        <v>3957</v>
      </c>
      <c r="E2771" s="28" t="s">
        <v>890</v>
      </c>
      <c r="F2771" t="s">
        <v>891</v>
      </c>
      <c r="G2771" t="s">
        <v>88</v>
      </c>
      <c r="M2771" s="28" t="s">
        <v>549</v>
      </c>
      <c r="N2771" t="s">
        <v>313</v>
      </c>
    </row>
    <row r="2772" spans="1:14" hidden="1" x14ac:dyDescent="0.25">
      <c r="A2772" t="s">
        <v>9223</v>
      </c>
      <c r="B2772" t="s">
        <v>3956</v>
      </c>
      <c r="C2772" t="s">
        <v>3034</v>
      </c>
      <c r="D2772" t="s">
        <v>3958</v>
      </c>
      <c r="E2772" s="28" t="s">
        <v>890</v>
      </c>
      <c r="F2772" t="s">
        <v>891</v>
      </c>
      <c r="G2772" t="s">
        <v>88</v>
      </c>
      <c r="M2772" s="28" t="s">
        <v>549</v>
      </c>
      <c r="N2772" t="s">
        <v>313</v>
      </c>
    </row>
    <row r="2773" spans="1:14" hidden="1" x14ac:dyDescent="0.25">
      <c r="A2773" t="s">
        <v>9224</v>
      </c>
      <c r="B2773" t="s">
        <v>3959</v>
      </c>
      <c r="C2773" t="s">
        <v>1153</v>
      </c>
      <c r="D2773" t="s">
        <v>3960</v>
      </c>
      <c r="E2773" s="28" t="s">
        <v>930</v>
      </c>
      <c r="F2773" t="s">
        <v>3050</v>
      </c>
      <c r="G2773" t="s">
        <v>88</v>
      </c>
      <c r="M2773" s="28" t="s">
        <v>549</v>
      </c>
      <c r="N2773" t="s">
        <v>313</v>
      </c>
    </row>
    <row r="2774" spans="1:14" hidden="1" x14ac:dyDescent="0.25">
      <c r="A2774" t="s">
        <v>9750</v>
      </c>
      <c r="B2774" t="s">
        <v>5062</v>
      </c>
      <c r="C2774" t="s">
        <v>4714</v>
      </c>
      <c r="D2774" t="s">
        <v>5063</v>
      </c>
      <c r="E2774" s="28" t="s">
        <v>890</v>
      </c>
      <c r="F2774" t="s">
        <v>225</v>
      </c>
      <c r="G2774" t="s">
        <v>15</v>
      </c>
      <c r="M2774" s="28" t="s">
        <v>613</v>
      </c>
      <c r="N2774" t="s">
        <v>313</v>
      </c>
    </row>
    <row r="2775" spans="1:14" hidden="1" x14ac:dyDescent="0.25">
      <c r="A2775" t="s">
        <v>8256</v>
      </c>
      <c r="B2775" t="s">
        <v>1767</v>
      </c>
      <c r="C2775" t="s">
        <v>1768</v>
      </c>
      <c r="D2775" t="s">
        <v>1769</v>
      </c>
      <c r="E2775" s="28" t="s">
        <v>890</v>
      </c>
      <c r="F2775" t="s">
        <v>891</v>
      </c>
      <c r="G2775" t="s">
        <v>43</v>
      </c>
      <c r="M2775" s="28" t="s">
        <v>14205</v>
      </c>
    </row>
    <row r="2776" spans="1:14" hidden="1" x14ac:dyDescent="0.25">
      <c r="A2776" t="s">
        <v>8257</v>
      </c>
      <c r="B2776" t="s">
        <v>1767</v>
      </c>
      <c r="C2776" t="s">
        <v>1673</v>
      </c>
      <c r="D2776" t="s">
        <v>1770</v>
      </c>
      <c r="E2776" s="28" t="s">
        <v>890</v>
      </c>
      <c r="F2776" t="s">
        <v>891</v>
      </c>
      <c r="G2776" t="s">
        <v>43</v>
      </c>
      <c r="M2776" s="28" t="s">
        <v>14205</v>
      </c>
    </row>
    <row r="2777" spans="1:14" hidden="1" x14ac:dyDescent="0.25">
      <c r="A2777" t="s">
        <v>13886</v>
      </c>
      <c r="B2777" t="s">
        <v>13887</v>
      </c>
      <c r="C2777" t="s">
        <v>4640</v>
      </c>
      <c r="D2777" t="s">
        <v>13888</v>
      </c>
      <c r="E2777" s="28" t="s">
        <v>896</v>
      </c>
      <c r="F2777" t="s">
        <v>241</v>
      </c>
      <c r="G2777" t="s">
        <v>15</v>
      </c>
      <c r="M2777" s="28" t="s">
        <v>613</v>
      </c>
      <c r="N2777" t="s">
        <v>313</v>
      </c>
    </row>
    <row r="2778" spans="1:14" hidden="1" x14ac:dyDescent="0.25">
      <c r="A2778" t="s">
        <v>9749</v>
      </c>
      <c r="B2778" t="s">
        <v>5060</v>
      </c>
      <c r="C2778" t="s">
        <v>4553</v>
      </c>
      <c r="D2778" t="s">
        <v>5061</v>
      </c>
      <c r="E2778" s="28" t="s">
        <v>896</v>
      </c>
      <c r="F2778" t="s">
        <v>679</v>
      </c>
      <c r="G2778" t="s">
        <v>15</v>
      </c>
      <c r="M2778" s="28" t="s">
        <v>613</v>
      </c>
      <c r="N2778" t="s">
        <v>313</v>
      </c>
    </row>
    <row r="2779" spans="1:14" hidden="1" x14ac:dyDescent="0.25">
      <c r="A2779" t="s">
        <v>9225</v>
      </c>
      <c r="B2779" t="s">
        <v>3961</v>
      </c>
      <c r="C2779" t="s">
        <v>3044</v>
      </c>
      <c r="D2779" t="s">
        <v>3962</v>
      </c>
      <c r="E2779" s="28" t="s">
        <v>890</v>
      </c>
      <c r="F2779" t="s">
        <v>891</v>
      </c>
      <c r="G2779" t="s">
        <v>88</v>
      </c>
      <c r="M2779" s="28" t="s">
        <v>549</v>
      </c>
      <c r="N2779" t="s">
        <v>313</v>
      </c>
    </row>
    <row r="2780" spans="1:14" hidden="1" x14ac:dyDescent="0.25">
      <c r="A2780" t="s">
        <v>9226</v>
      </c>
      <c r="B2780" t="s">
        <v>3963</v>
      </c>
      <c r="C2780" t="s">
        <v>3964</v>
      </c>
      <c r="D2780" t="s">
        <v>3965</v>
      </c>
      <c r="E2780" s="28" t="s">
        <v>1023</v>
      </c>
      <c r="F2780" t="s">
        <v>597</v>
      </c>
      <c r="G2780" t="s">
        <v>88</v>
      </c>
      <c r="M2780" s="28" t="s">
        <v>549</v>
      </c>
      <c r="N2780" t="s">
        <v>313</v>
      </c>
    </row>
    <row r="2781" spans="1:14" hidden="1" x14ac:dyDescent="0.25">
      <c r="A2781" t="s">
        <v>9227</v>
      </c>
      <c r="B2781" t="s">
        <v>3966</v>
      </c>
      <c r="C2781" t="s">
        <v>3967</v>
      </c>
      <c r="D2781" t="s">
        <v>3968</v>
      </c>
      <c r="E2781" s="28" t="s">
        <v>896</v>
      </c>
      <c r="F2781" t="s">
        <v>891</v>
      </c>
      <c r="G2781" t="s">
        <v>88</v>
      </c>
      <c r="M2781" s="28" t="s">
        <v>549</v>
      </c>
      <c r="N2781" t="s">
        <v>313</v>
      </c>
    </row>
    <row r="2782" spans="1:14" hidden="1" x14ac:dyDescent="0.25">
      <c r="A2782" t="s">
        <v>9228</v>
      </c>
      <c r="B2782" t="s">
        <v>3966</v>
      </c>
      <c r="C2782" t="s">
        <v>3021</v>
      </c>
      <c r="D2782" t="s">
        <v>3969</v>
      </c>
      <c r="E2782" s="28" t="s">
        <v>890</v>
      </c>
      <c r="F2782" t="s">
        <v>597</v>
      </c>
      <c r="G2782" t="s">
        <v>88</v>
      </c>
      <c r="M2782" s="28" t="s">
        <v>549</v>
      </c>
      <c r="N2782" t="s">
        <v>313</v>
      </c>
    </row>
    <row r="2783" spans="1:14" hidden="1" x14ac:dyDescent="0.25">
      <c r="A2783" t="s">
        <v>9229</v>
      </c>
      <c r="B2783" t="s">
        <v>3966</v>
      </c>
      <c r="C2783" t="s">
        <v>3799</v>
      </c>
      <c r="D2783" t="s">
        <v>3970</v>
      </c>
      <c r="E2783" s="28" t="s">
        <v>896</v>
      </c>
      <c r="F2783" t="s">
        <v>547</v>
      </c>
      <c r="G2783" t="s">
        <v>88</v>
      </c>
      <c r="M2783" s="28" t="s">
        <v>549</v>
      </c>
      <c r="N2783" t="s">
        <v>313</v>
      </c>
    </row>
    <row r="2784" spans="1:14" hidden="1" x14ac:dyDescent="0.25">
      <c r="A2784" t="s">
        <v>9230</v>
      </c>
      <c r="B2784" t="s">
        <v>3966</v>
      </c>
      <c r="C2784" t="s">
        <v>3214</v>
      </c>
      <c r="D2784" t="s">
        <v>3971</v>
      </c>
      <c r="E2784" s="28" t="s">
        <v>890</v>
      </c>
      <c r="F2784" t="s">
        <v>891</v>
      </c>
      <c r="G2784" t="s">
        <v>88</v>
      </c>
      <c r="M2784" s="28" t="s">
        <v>549</v>
      </c>
      <c r="N2784" t="s">
        <v>313</v>
      </c>
    </row>
    <row r="2785" spans="1:14" hidden="1" x14ac:dyDescent="0.25">
      <c r="A2785" t="s">
        <v>9231</v>
      </c>
      <c r="B2785" t="s">
        <v>3966</v>
      </c>
      <c r="C2785" t="s">
        <v>3044</v>
      </c>
      <c r="D2785" t="s">
        <v>3972</v>
      </c>
      <c r="E2785" s="28" t="s">
        <v>1023</v>
      </c>
      <c r="F2785" t="s">
        <v>891</v>
      </c>
      <c r="G2785" t="s">
        <v>88</v>
      </c>
      <c r="M2785" s="28" t="s">
        <v>549</v>
      </c>
      <c r="N2785" t="s">
        <v>313</v>
      </c>
    </row>
    <row r="2786" spans="1:14" hidden="1" x14ac:dyDescent="0.25">
      <c r="A2786" t="s">
        <v>9232</v>
      </c>
      <c r="B2786" t="s">
        <v>3973</v>
      </c>
      <c r="C2786" t="s">
        <v>3974</v>
      </c>
      <c r="D2786" t="s">
        <v>3975</v>
      </c>
      <c r="E2786" s="28" t="s">
        <v>890</v>
      </c>
      <c r="F2786" t="s">
        <v>891</v>
      </c>
      <c r="G2786" t="s">
        <v>88</v>
      </c>
      <c r="M2786" s="28" t="s">
        <v>549</v>
      </c>
      <c r="N2786" t="s">
        <v>313</v>
      </c>
    </row>
    <row r="2787" spans="1:14" hidden="1" x14ac:dyDescent="0.25">
      <c r="A2787" t="s">
        <v>11844</v>
      </c>
      <c r="B2787" t="s">
        <v>11845</v>
      </c>
      <c r="C2787" t="s">
        <v>3164</v>
      </c>
      <c r="D2787" t="s">
        <v>11846</v>
      </c>
      <c r="E2787" s="28" t="s">
        <v>890</v>
      </c>
      <c r="F2787" t="s">
        <v>891</v>
      </c>
      <c r="G2787" t="s">
        <v>88</v>
      </c>
      <c r="M2787" s="28" t="s">
        <v>549</v>
      </c>
      <c r="N2787" t="s">
        <v>313</v>
      </c>
    </row>
    <row r="2788" spans="1:14" hidden="1" x14ac:dyDescent="0.25">
      <c r="A2788" t="s">
        <v>9233</v>
      </c>
      <c r="B2788" t="s">
        <v>3976</v>
      </c>
      <c r="C2788" t="s">
        <v>3044</v>
      </c>
      <c r="D2788" t="s">
        <v>3977</v>
      </c>
      <c r="E2788" s="28" t="s">
        <v>890</v>
      </c>
      <c r="F2788" t="s">
        <v>891</v>
      </c>
      <c r="G2788" t="s">
        <v>88</v>
      </c>
      <c r="M2788" s="28" t="s">
        <v>549</v>
      </c>
      <c r="N2788" t="s">
        <v>313</v>
      </c>
    </row>
    <row r="2789" spans="1:14" hidden="1" x14ac:dyDescent="0.25">
      <c r="A2789" t="s">
        <v>9234</v>
      </c>
      <c r="B2789" t="s">
        <v>3978</v>
      </c>
      <c r="C2789" t="s">
        <v>3031</v>
      </c>
      <c r="D2789" t="s">
        <v>3979</v>
      </c>
      <c r="E2789" s="28" t="s">
        <v>896</v>
      </c>
      <c r="F2789" t="s">
        <v>891</v>
      </c>
      <c r="G2789" t="s">
        <v>88</v>
      </c>
      <c r="M2789" s="28" t="s">
        <v>549</v>
      </c>
      <c r="N2789" t="s">
        <v>313</v>
      </c>
    </row>
    <row r="2790" spans="1:14" hidden="1" x14ac:dyDescent="0.25">
      <c r="A2790" t="s">
        <v>9235</v>
      </c>
      <c r="B2790" t="s">
        <v>3978</v>
      </c>
      <c r="C2790" t="s">
        <v>3651</v>
      </c>
      <c r="D2790" t="s">
        <v>3980</v>
      </c>
      <c r="E2790" s="28" t="s">
        <v>890</v>
      </c>
      <c r="F2790" t="s">
        <v>891</v>
      </c>
      <c r="G2790" t="s">
        <v>88</v>
      </c>
      <c r="M2790" s="28" t="s">
        <v>549</v>
      </c>
      <c r="N2790" t="s">
        <v>313</v>
      </c>
    </row>
    <row r="2791" spans="1:14" hidden="1" x14ac:dyDescent="0.25">
      <c r="A2791" t="s">
        <v>9236</v>
      </c>
      <c r="B2791" t="s">
        <v>3978</v>
      </c>
      <c r="C2791" t="s">
        <v>3034</v>
      </c>
      <c r="D2791" t="s">
        <v>3981</v>
      </c>
      <c r="E2791" s="28" t="s">
        <v>896</v>
      </c>
      <c r="F2791" t="s">
        <v>547</v>
      </c>
      <c r="G2791" t="s">
        <v>88</v>
      </c>
      <c r="M2791" s="28" t="s">
        <v>549</v>
      </c>
      <c r="N2791" t="s">
        <v>313</v>
      </c>
    </row>
    <row r="2792" spans="1:14" hidden="1" x14ac:dyDescent="0.25">
      <c r="A2792" t="s">
        <v>9237</v>
      </c>
      <c r="B2792" t="s">
        <v>3978</v>
      </c>
      <c r="C2792" t="s">
        <v>3982</v>
      </c>
      <c r="D2792" t="s">
        <v>3983</v>
      </c>
      <c r="E2792" s="28" t="s">
        <v>930</v>
      </c>
      <c r="F2792" t="s">
        <v>891</v>
      </c>
      <c r="G2792" t="s">
        <v>88</v>
      </c>
      <c r="M2792" s="28" t="s">
        <v>549</v>
      </c>
      <c r="N2792" t="s">
        <v>313</v>
      </c>
    </row>
    <row r="2793" spans="1:14" hidden="1" x14ac:dyDescent="0.25">
      <c r="A2793" t="s">
        <v>9238</v>
      </c>
      <c r="B2793" t="s">
        <v>3978</v>
      </c>
      <c r="C2793" t="s">
        <v>2551</v>
      </c>
      <c r="D2793" t="s">
        <v>3984</v>
      </c>
      <c r="E2793" s="28" t="s">
        <v>896</v>
      </c>
      <c r="F2793" t="s">
        <v>891</v>
      </c>
      <c r="G2793" t="s">
        <v>88</v>
      </c>
      <c r="M2793" s="28" t="s">
        <v>549</v>
      </c>
      <c r="N2793" t="s">
        <v>313</v>
      </c>
    </row>
    <row r="2794" spans="1:14" hidden="1" x14ac:dyDescent="0.25">
      <c r="A2794" t="s">
        <v>9239</v>
      </c>
      <c r="B2794" t="s">
        <v>3985</v>
      </c>
      <c r="C2794" t="s">
        <v>1172</v>
      </c>
      <c r="D2794" t="s">
        <v>3986</v>
      </c>
      <c r="E2794" s="28" t="s">
        <v>890</v>
      </c>
      <c r="F2794" t="s">
        <v>891</v>
      </c>
      <c r="G2794" t="s">
        <v>88</v>
      </c>
      <c r="M2794" s="28" t="s">
        <v>549</v>
      </c>
      <c r="N2794" t="s">
        <v>313</v>
      </c>
    </row>
    <row r="2795" spans="1:14" hidden="1" x14ac:dyDescent="0.25">
      <c r="A2795" t="s">
        <v>9240</v>
      </c>
      <c r="B2795" t="s">
        <v>3987</v>
      </c>
      <c r="C2795" t="s">
        <v>1172</v>
      </c>
      <c r="D2795" t="s">
        <v>3988</v>
      </c>
      <c r="E2795" s="28" t="s">
        <v>890</v>
      </c>
      <c r="F2795" t="s">
        <v>891</v>
      </c>
      <c r="G2795" t="s">
        <v>88</v>
      </c>
      <c r="M2795" s="28" t="s">
        <v>549</v>
      </c>
      <c r="N2795" t="s">
        <v>313</v>
      </c>
    </row>
    <row r="2796" spans="1:14" hidden="1" x14ac:dyDescent="0.25">
      <c r="A2796" t="s">
        <v>12522</v>
      </c>
      <c r="B2796" t="s">
        <v>3987</v>
      </c>
      <c r="C2796" t="s">
        <v>12523</v>
      </c>
      <c r="D2796" t="s">
        <v>12524</v>
      </c>
      <c r="E2796" s="28" t="s">
        <v>890</v>
      </c>
      <c r="F2796" t="s">
        <v>891</v>
      </c>
      <c r="G2796" t="s">
        <v>88</v>
      </c>
      <c r="M2796" s="28" t="s">
        <v>549</v>
      </c>
      <c r="N2796" t="s">
        <v>313</v>
      </c>
    </row>
    <row r="2797" spans="1:14" hidden="1" x14ac:dyDescent="0.25">
      <c r="A2797" t="s">
        <v>9241</v>
      </c>
      <c r="B2797" t="s">
        <v>3989</v>
      </c>
      <c r="C2797" t="s">
        <v>3025</v>
      </c>
      <c r="D2797" t="s">
        <v>3990</v>
      </c>
      <c r="E2797" s="28" t="s">
        <v>896</v>
      </c>
      <c r="F2797" t="s">
        <v>891</v>
      </c>
      <c r="G2797" t="s">
        <v>88</v>
      </c>
      <c r="M2797" s="28" t="s">
        <v>549</v>
      </c>
      <c r="N2797" t="s">
        <v>313</v>
      </c>
    </row>
    <row r="2798" spans="1:14" hidden="1" x14ac:dyDescent="0.25">
      <c r="A2798" t="s">
        <v>9242</v>
      </c>
      <c r="B2798" t="s">
        <v>3991</v>
      </c>
      <c r="C2798" t="s">
        <v>1281</v>
      </c>
      <c r="D2798" t="s">
        <v>3992</v>
      </c>
      <c r="E2798" s="28" t="s">
        <v>890</v>
      </c>
      <c r="F2798" t="s">
        <v>891</v>
      </c>
      <c r="G2798" t="s">
        <v>88</v>
      </c>
      <c r="M2798" s="28" t="s">
        <v>549</v>
      </c>
      <c r="N2798" t="s">
        <v>313</v>
      </c>
    </row>
    <row r="2799" spans="1:14" hidden="1" x14ac:dyDescent="0.25">
      <c r="A2799" t="s">
        <v>9243</v>
      </c>
      <c r="B2799" t="s">
        <v>3991</v>
      </c>
      <c r="C2799" t="s">
        <v>3061</v>
      </c>
      <c r="D2799" t="s">
        <v>3993</v>
      </c>
      <c r="E2799" s="28" t="s">
        <v>890</v>
      </c>
      <c r="F2799" t="s">
        <v>891</v>
      </c>
      <c r="G2799" t="s">
        <v>88</v>
      </c>
      <c r="M2799" s="28" t="s">
        <v>549</v>
      </c>
      <c r="N2799" t="s">
        <v>313</v>
      </c>
    </row>
    <row r="2800" spans="1:14" hidden="1" x14ac:dyDescent="0.25">
      <c r="A2800" t="s">
        <v>12537</v>
      </c>
      <c r="B2800" t="s">
        <v>12538</v>
      </c>
      <c r="C2800" t="s">
        <v>12539</v>
      </c>
      <c r="D2800" t="s">
        <v>12540</v>
      </c>
      <c r="E2800" s="28" t="s">
        <v>890</v>
      </c>
      <c r="F2800" t="s">
        <v>891</v>
      </c>
      <c r="G2800" t="s">
        <v>88</v>
      </c>
      <c r="M2800" s="28" t="s">
        <v>549</v>
      </c>
      <c r="N2800" t="s">
        <v>313</v>
      </c>
    </row>
    <row r="2801" spans="1:14" hidden="1" x14ac:dyDescent="0.25">
      <c r="A2801" t="s">
        <v>9244</v>
      </c>
      <c r="B2801" t="s">
        <v>3994</v>
      </c>
      <c r="C2801" t="s">
        <v>3330</v>
      </c>
      <c r="D2801" t="s">
        <v>3995</v>
      </c>
      <c r="E2801" s="28" t="s">
        <v>890</v>
      </c>
      <c r="F2801" t="s">
        <v>891</v>
      </c>
      <c r="G2801" t="s">
        <v>88</v>
      </c>
      <c r="M2801" s="28" t="s">
        <v>549</v>
      </c>
      <c r="N2801" t="s">
        <v>313</v>
      </c>
    </row>
    <row r="2802" spans="1:14" hidden="1" x14ac:dyDescent="0.25">
      <c r="A2802" t="s">
        <v>9245</v>
      </c>
      <c r="B2802" t="s">
        <v>3996</v>
      </c>
      <c r="C2802" t="s">
        <v>3997</v>
      </c>
      <c r="D2802" t="s">
        <v>3998</v>
      </c>
      <c r="E2802" s="28" t="s">
        <v>930</v>
      </c>
      <c r="F2802" t="s">
        <v>891</v>
      </c>
      <c r="G2802" t="s">
        <v>88</v>
      </c>
      <c r="M2802" s="28" t="s">
        <v>549</v>
      </c>
      <c r="N2802" t="s">
        <v>313</v>
      </c>
    </row>
    <row r="2803" spans="1:14" hidden="1" x14ac:dyDescent="0.25">
      <c r="A2803" t="s">
        <v>9246</v>
      </c>
      <c r="B2803" t="s">
        <v>3999</v>
      </c>
      <c r="C2803" t="s">
        <v>2063</v>
      </c>
      <c r="D2803" t="s">
        <v>4000</v>
      </c>
      <c r="E2803" s="28" t="s">
        <v>890</v>
      </c>
      <c r="F2803" t="s">
        <v>891</v>
      </c>
      <c r="G2803" t="s">
        <v>88</v>
      </c>
      <c r="M2803" s="28" t="s">
        <v>549</v>
      </c>
      <c r="N2803" t="s">
        <v>313</v>
      </c>
    </row>
    <row r="2804" spans="1:14" hidden="1" x14ac:dyDescent="0.25">
      <c r="A2804" t="s">
        <v>9247</v>
      </c>
      <c r="B2804" t="s">
        <v>4001</v>
      </c>
      <c r="C2804" t="s">
        <v>3702</v>
      </c>
      <c r="D2804" t="s">
        <v>4002</v>
      </c>
      <c r="E2804" s="28" t="s">
        <v>896</v>
      </c>
      <c r="F2804" t="s">
        <v>597</v>
      </c>
      <c r="G2804" t="s">
        <v>88</v>
      </c>
      <c r="M2804" s="28" t="s">
        <v>549</v>
      </c>
      <c r="N2804" t="s">
        <v>313</v>
      </c>
    </row>
    <row r="2805" spans="1:14" hidden="1" x14ac:dyDescent="0.25">
      <c r="A2805" t="s">
        <v>9248</v>
      </c>
      <c r="B2805" t="s">
        <v>4003</v>
      </c>
      <c r="C2805" t="s">
        <v>4004</v>
      </c>
      <c r="D2805" t="s">
        <v>4005</v>
      </c>
      <c r="E2805" s="28" t="s">
        <v>896</v>
      </c>
      <c r="F2805" t="s">
        <v>556</v>
      </c>
      <c r="G2805" t="s">
        <v>88</v>
      </c>
      <c r="M2805" s="28" t="s">
        <v>549</v>
      </c>
      <c r="N2805" t="s">
        <v>313</v>
      </c>
    </row>
    <row r="2806" spans="1:14" hidden="1" x14ac:dyDescent="0.25">
      <c r="A2806" t="s">
        <v>9249</v>
      </c>
      <c r="B2806" t="s">
        <v>4003</v>
      </c>
      <c r="C2806" t="s">
        <v>3034</v>
      </c>
      <c r="D2806" t="s">
        <v>4006</v>
      </c>
      <c r="E2806" s="28" t="s">
        <v>896</v>
      </c>
      <c r="F2806" t="s">
        <v>891</v>
      </c>
      <c r="G2806" t="s">
        <v>88</v>
      </c>
      <c r="M2806" s="28" t="s">
        <v>549</v>
      </c>
      <c r="N2806" t="s">
        <v>313</v>
      </c>
    </row>
    <row r="2807" spans="1:14" hidden="1" x14ac:dyDescent="0.25">
      <c r="A2807" t="s">
        <v>9250</v>
      </c>
      <c r="B2807" t="s">
        <v>4003</v>
      </c>
      <c r="C2807" t="s">
        <v>3044</v>
      </c>
      <c r="D2807" t="s">
        <v>4007</v>
      </c>
      <c r="E2807" s="28" t="s">
        <v>890</v>
      </c>
      <c r="F2807" t="s">
        <v>891</v>
      </c>
      <c r="G2807" t="s">
        <v>88</v>
      </c>
      <c r="M2807" s="28" t="s">
        <v>549</v>
      </c>
      <c r="N2807" t="s">
        <v>313</v>
      </c>
    </row>
    <row r="2808" spans="1:14" hidden="1" x14ac:dyDescent="0.25">
      <c r="A2808" t="s">
        <v>9251</v>
      </c>
      <c r="B2808" t="s">
        <v>4008</v>
      </c>
      <c r="C2808" t="s">
        <v>3256</v>
      </c>
      <c r="D2808" t="s">
        <v>4009</v>
      </c>
      <c r="E2808" s="28" t="s">
        <v>930</v>
      </c>
      <c r="F2808" t="s">
        <v>891</v>
      </c>
      <c r="G2808" t="s">
        <v>88</v>
      </c>
      <c r="M2808" s="28" t="s">
        <v>549</v>
      </c>
      <c r="N2808" t="s">
        <v>313</v>
      </c>
    </row>
    <row r="2809" spans="1:14" hidden="1" x14ac:dyDescent="0.25">
      <c r="A2809" t="s">
        <v>9252</v>
      </c>
      <c r="B2809" t="s">
        <v>4008</v>
      </c>
      <c r="C2809" t="s">
        <v>2133</v>
      </c>
      <c r="D2809" t="s">
        <v>4010</v>
      </c>
      <c r="E2809" s="28" t="s">
        <v>890</v>
      </c>
      <c r="F2809" t="s">
        <v>891</v>
      </c>
      <c r="G2809" t="s">
        <v>88</v>
      </c>
      <c r="M2809" s="28" t="s">
        <v>549</v>
      </c>
      <c r="N2809" t="s">
        <v>313</v>
      </c>
    </row>
    <row r="2810" spans="1:14" hidden="1" x14ac:dyDescent="0.25">
      <c r="A2810" t="s">
        <v>11832</v>
      </c>
      <c r="B2810" t="s">
        <v>11833</v>
      </c>
      <c r="C2810" t="s">
        <v>3461</v>
      </c>
      <c r="D2810" t="s">
        <v>11834</v>
      </c>
      <c r="E2810" s="28" t="s">
        <v>890</v>
      </c>
      <c r="F2810" t="s">
        <v>891</v>
      </c>
      <c r="G2810" t="s">
        <v>88</v>
      </c>
      <c r="M2810" s="28" t="s">
        <v>549</v>
      </c>
      <c r="N2810" t="s">
        <v>313</v>
      </c>
    </row>
    <row r="2811" spans="1:14" hidden="1" x14ac:dyDescent="0.25">
      <c r="A2811" t="s">
        <v>9253</v>
      </c>
      <c r="B2811" t="s">
        <v>4011</v>
      </c>
      <c r="C2811" t="s">
        <v>3061</v>
      </c>
      <c r="D2811" t="s">
        <v>4012</v>
      </c>
      <c r="E2811" s="28" t="s">
        <v>890</v>
      </c>
      <c r="F2811" t="s">
        <v>891</v>
      </c>
      <c r="G2811" t="s">
        <v>88</v>
      </c>
      <c r="M2811" s="28" t="s">
        <v>549</v>
      </c>
      <c r="N2811" t="s">
        <v>313</v>
      </c>
    </row>
    <row r="2812" spans="1:14" hidden="1" x14ac:dyDescent="0.25">
      <c r="A2812" t="s">
        <v>9254</v>
      </c>
      <c r="B2812" t="s">
        <v>4013</v>
      </c>
      <c r="C2812" t="s">
        <v>2063</v>
      </c>
      <c r="D2812" t="s">
        <v>4014</v>
      </c>
      <c r="E2812" s="28" t="s">
        <v>890</v>
      </c>
      <c r="F2812" t="s">
        <v>891</v>
      </c>
      <c r="G2812" t="s">
        <v>88</v>
      </c>
      <c r="M2812" s="28" t="s">
        <v>549</v>
      </c>
      <c r="N2812" t="s">
        <v>313</v>
      </c>
    </row>
    <row r="2813" spans="1:14" hidden="1" x14ac:dyDescent="0.25">
      <c r="A2813" t="s">
        <v>9255</v>
      </c>
      <c r="B2813" t="s">
        <v>4013</v>
      </c>
      <c r="C2813" t="s">
        <v>3034</v>
      </c>
      <c r="D2813" t="s">
        <v>4015</v>
      </c>
      <c r="E2813" s="28" t="s">
        <v>890</v>
      </c>
      <c r="F2813" t="s">
        <v>891</v>
      </c>
      <c r="G2813" t="s">
        <v>88</v>
      </c>
      <c r="M2813" s="28" t="s">
        <v>549</v>
      </c>
      <c r="N2813" t="s">
        <v>313</v>
      </c>
    </row>
    <row r="2814" spans="1:14" hidden="1" x14ac:dyDescent="0.25">
      <c r="A2814" t="s">
        <v>9256</v>
      </c>
      <c r="B2814" t="s">
        <v>4016</v>
      </c>
      <c r="C2814" t="s">
        <v>3009</v>
      </c>
      <c r="D2814" t="s">
        <v>4017</v>
      </c>
      <c r="E2814" s="28" t="s">
        <v>896</v>
      </c>
      <c r="F2814" t="s">
        <v>891</v>
      </c>
      <c r="G2814" t="s">
        <v>88</v>
      </c>
      <c r="M2814" s="28" t="s">
        <v>549</v>
      </c>
      <c r="N2814" t="s">
        <v>313</v>
      </c>
    </row>
    <row r="2815" spans="1:14" hidden="1" x14ac:dyDescent="0.25">
      <c r="A2815" t="s">
        <v>9257</v>
      </c>
      <c r="B2815" t="s">
        <v>4018</v>
      </c>
      <c r="C2815" t="s">
        <v>3134</v>
      </c>
      <c r="D2815" t="s">
        <v>4019</v>
      </c>
      <c r="E2815" s="28" t="s">
        <v>896</v>
      </c>
      <c r="F2815" t="s">
        <v>891</v>
      </c>
      <c r="G2815" t="s">
        <v>88</v>
      </c>
      <c r="M2815" s="28" t="s">
        <v>549</v>
      </c>
      <c r="N2815" t="s">
        <v>313</v>
      </c>
    </row>
    <row r="2816" spans="1:14" hidden="1" x14ac:dyDescent="0.25">
      <c r="A2816" t="s">
        <v>9258</v>
      </c>
      <c r="B2816" t="s">
        <v>4018</v>
      </c>
      <c r="C2816" t="s">
        <v>4020</v>
      </c>
      <c r="D2816" t="s">
        <v>4021</v>
      </c>
      <c r="E2816" s="28" t="s">
        <v>890</v>
      </c>
      <c r="F2816" t="s">
        <v>891</v>
      </c>
      <c r="G2816" t="s">
        <v>88</v>
      </c>
      <c r="M2816" s="28" t="s">
        <v>549</v>
      </c>
      <c r="N2816" t="s">
        <v>313</v>
      </c>
    </row>
    <row r="2817" spans="1:14" hidden="1" x14ac:dyDescent="0.25">
      <c r="A2817" t="s">
        <v>9259</v>
      </c>
      <c r="B2817" t="s">
        <v>4018</v>
      </c>
      <c r="C2817" t="s">
        <v>3034</v>
      </c>
      <c r="D2817" t="s">
        <v>4022</v>
      </c>
      <c r="E2817" s="28" t="s">
        <v>896</v>
      </c>
      <c r="F2817" t="s">
        <v>891</v>
      </c>
      <c r="G2817" t="s">
        <v>88</v>
      </c>
      <c r="M2817" s="28" t="s">
        <v>549</v>
      </c>
      <c r="N2817" t="s">
        <v>313</v>
      </c>
    </row>
    <row r="2818" spans="1:14" hidden="1" x14ac:dyDescent="0.25">
      <c r="A2818" t="s">
        <v>9260</v>
      </c>
      <c r="B2818" t="s">
        <v>4023</v>
      </c>
      <c r="C2818" t="s">
        <v>4024</v>
      </c>
      <c r="D2818" t="s">
        <v>4025</v>
      </c>
      <c r="E2818" s="28" t="s">
        <v>930</v>
      </c>
      <c r="F2818" t="s">
        <v>577</v>
      </c>
      <c r="G2818" t="s">
        <v>88</v>
      </c>
      <c r="M2818" s="28" t="s">
        <v>549</v>
      </c>
      <c r="N2818" t="s">
        <v>313</v>
      </c>
    </row>
    <row r="2819" spans="1:14" hidden="1" x14ac:dyDescent="0.25">
      <c r="A2819" t="s">
        <v>9261</v>
      </c>
      <c r="B2819" t="s">
        <v>4023</v>
      </c>
      <c r="C2819" t="s">
        <v>4026</v>
      </c>
      <c r="D2819" t="s">
        <v>4027</v>
      </c>
      <c r="E2819" s="28" t="s">
        <v>896</v>
      </c>
      <c r="F2819" t="s">
        <v>577</v>
      </c>
      <c r="G2819" t="s">
        <v>88</v>
      </c>
      <c r="M2819" s="28" t="s">
        <v>549</v>
      </c>
      <c r="N2819" t="s">
        <v>313</v>
      </c>
    </row>
    <row r="2820" spans="1:14" hidden="1" x14ac:dyDescent="0.25">
      <c r="A2820" t="s">
        <v>9262</v>
      </c>
      <c r="B2820" t="s">
        <v>4028</v>
      </c>
      <c r="C2820" t="s">
        <v>3044</v>
      </c>
      <c r="D2820" t="s">
        <v>4029</v>
      </c>
      <c r="E2820" s="28" t="s">
        <v>896</v>
      </c>
      <c r="F2820" t="s">
        <v>577</v>
      </c>
      <c r="G2820" t="s">
        <v>88</v>
      </c>
      <c r="M2820" s="28" t="s">
        <v>549</v>
      </c>
      <c r="N2820" t="s">
        <v>313</v>
      </c>
    </row>
    <row r="2821" spans="1:14" hidden="1" x14ac:dyDescent="0.25">
      <c r="A2821" t="s">
        <v>9263</v>
      </c>
      <c r="B2821" t="s">
        <v>4030</v>
      </c>
      <c r="C2821" t="s">
        <v>4031</v>
      </c>
      <c r="D2821" t="s">
        <v>4032</v>
      </c>
      <c r="E2821" s="28" t="s">
        <v>890</v>
      </c>
      <c r="F2821" t="s">
        <v>547</v>
      </c>
      <c r="G2821" t="s">
        <v>88</v>
      </c>
      <c r="M2821" s="28" t="s">
        <v>549</v>
      </c>
      <c r="N2821" t="s">
        <v>313</v>
      </c>
    </row>
    <row r="2822" spans="1:14" hidden="1" x14ac:dyDescent="0.25">
      <c r="A2822" t="s">
        <v>8411</v>
      </c>
      <c r="B2822" t="s">
        <v>2154</v>
      </c>
      <c r="C2822" t="s">
        <v>2155</v>
      </c>
      <c r="D2822" t="s">
        <v>2156</v>
      </c>
      <c r="E2822" s="28" t="s">
        <v>890</v>
      </c>
      <c r="F2822" t="s">
        <v>398</v>
      </c>
      <c r="G2822" t="s">
        <v>60</v>
      </c>
      <c r="M2822" s="28" t="s">
        <v>14207</v>
      </c>
    </row>
    <row r="2823" spans="1:14" hidden="1" x14ac:dyDescent="0.25">
      <c r="A2823" t="s">
        <v>9264</v>
      </c>
      <c r="B2823" t="s">
        <v>2154</v>
      </c>
      <c r="C2823" t="s">
        <v>3044</v>
      </c>
      <c r="D2823" t="s">
        <v>4033</v>
      </c>
      <c r="E2823" s="28" t="s">
        <v>890</v>
      </c>
      <c r="F2823" t="s">
        <v>564</v>
      </c>
      <c r="G2823" t="s">
        <v>88</v>
      </c>
      <c r="M2823" s="28" t="s">
        <v>549</v>
      </c>
      <c r="N2823" t="s">
        <v>313</v>
      </c>
    </row>
    <row r="2824" spans="1:14" hidden="1" x14ac:dyDescent="0.25">
      <c r="A2824" t="s">
        <v>9265</v>
      </c>
      <c r="B2824" t="s">
        <v>4034</v>
      </c>
      <c r="C2824" t="s">
        <v>3201</v>
      </c>
      <c r="D2824" t="s">
        <v>4035</v>
      </c>
      <c r="E2824" s="28" t="s">
        <v>890</v>
      </c>
      <c r="F2824" t="s">
        <v>891</v>
      </c>
      <c r="G2824" t="s">
        <v>88</v>
      </c>
      <c r="M2824" s="28" t="s">
        <v>549</v>
      </c>
      <c r="N2824" t="s">
        <v>313</v>
      </c>
    </row>
    <row r="2825" spans="1:14" hidden="1" x14ac:dyDescent="0.25">
      <c r="A2825" t="s">
        <v>9266</v>
      </c>
      <c r="B2825" t="s">
        <v>4034</v>
      </c>
      <c r="C2825" t="s">
        <v>3099</v>
      </c>
      <c r="D2825" t="s">
        <v>4036</v>
      </c>
      <c r="E2825" s="28" t="s">
        <v>890</v>
      </c>
      <c r="F2825" t="s">
        <v>891</v>
      </c>
      <c r="G2825" t="s">
        <v>88</v>
      </c>
      <c r="M2825" s="28" t="s">
        <v>549</v>
      </c>
      <c r="N2825" t="s">
        <v>313</v>
      </c>
    </row>
    <row r="2826" spans="1:14" hidden="1" x14ac:dyDescent="0.25">
      <c r="A2826" t="s">
        <v>8413</v>
      </c>
      <c r="B2826" t="s">
        <v>2159</v>
      </c>
      <c r="C2826" t="s">
        <v>2160</v>
      </c>
      <c r="D2826" t="s">
        <v>2161</v>
      </c>
      <c r="E2826" s="28" t="s">
        <v>890</v>
      </c>
      <c r="F2826" t="s">
        <v>398</v>
      </c>
      <c r="G2826" t="s">
        <v>60</v>
      </c>
      <c r="M2826" s="28" t="s">
        <v>14207</v>
      </c>
    </row>
    <row r="2827" spans="1:14" hidden="1" x14ac:dyDescent="0.25">
      <c r="A2827" t="s">
        <v>9267</v>
      </c>
      <c r="B2827" t="s">
        <v>2159</v>
      </c>
      <c r="C2827" t="s">
        <v>3044</v>
      </c>
      <c r="D2827" t="s">
        <v>4037</v>
      </c>
      <c r="E2827" s="28" t="s">
        <v>896</v>
      </c>
      <c r="F2827" t="s">
        <v>891</v>
      </c>
      <c r="G2827" t="s">
        <v>88</v>
      </c>
      <c r="M2827" s="28" t="s">
        <v>549</v>
      </c>
      <c r="N2827" t="s">
        <v>313</v>
      </c>
    </row>
    <row r="2828" spans="1:14" hidden="1" x14ac:dyDescent="0.25">
      <c r="A2828" t="s">
        <v>8639</v>
      </c>
      <c r="B2828" t="s">
        <v>2551</v>
      </c>
      <c r="C2828" t="s">
        <v>2614</v>
      </c>
      <c r="D2828" t="s">
        <v>2703</v>
      </c>
      <c r="E2828" s="28" t="s">
        <v>890</v>
      </c>
      <c r="F2828" t="s">
        <v>513</v>
      </c>
      <c r="G2828" t="s">
        <v>74</v>
      </c>
      <c r="M2828" s="28" t="s">
        <v>507</v>
      </c>
      <c r="N2828" t="s">
        <v>313</v>
      </c>
    </row>
    <row r="2829" spans="1:14" hidden="1" x14ac:dyDescent="0.25">
      <c r="A2829" t="s">
        <v>11648</v>
      </c>
      <c r="B2829" t="s">
        <v>11649</v>
      </c>
      <c r="C2829" t="s">
        <v>2705</v>
      </c>
      <c r="D2829" t="s">
        <v>2631</v>
      </c>
      <c r="E2829" s="28" t="s">
        <v>890</v>
      </c>
      <c r="F2829" t="s">
        <v>172</v>
      </c>
      <c r="G2829" t="s">
        <v>74</v>
      </c>
      <c r="M2829" s="28" t="s">
        <v>507</v>
      </c>
      <c r="N2829" t="s">
        <v>313</v>
      </c>
    </row>
    <row r="2830" spans="1:14" hidden="1" x14ac:dyDescent="0.25">
      <c r="A2830" t="s">
        <v>13234</v>
      </c>
      <c r="B2830" t="s">
        <v>13235</v>
      </c>
      <c r="C2830" t="s">
        <v>2051</v>
      </c>
      <c r="D2830" t="s">
        <v>13236</v>
      </c>
      <c r="E2830" s="28" t="s">
        <v>896</v>
      </c>
      <c r="F2830" t="s">
        <v>14210</v>
      </c>
      <c r="G2830" t="s">
        <v>11</v>
      </c>
      <c r="M2830" s="28" t="s">
        <v>413</v>
      </c>
      <c r="N2830" t="s">
        <v>313</v>
      </c>
    </row>
    <row r="2831" spans="1:14" hidden="1" x14ac:dyDescent="0.25">
      <c r="A2831" t="s">
        <v>9748</v>
      </c>
      <c r="B2831" t="s">
        <v>5058</v>
      </c>
      <c r="C2831" t="s">
        <v>2582</v>
      </c>
      <c r="D2831" t="s">
        <v>5059</v>
      </c>
      <c r="E2831" s="28" t="s">
        <v>896</v>
      </c>
      <c r="F2831" t="s">
        <v>727</v>
      </c>
      <c r="G2831" t="s">
        <v>15</v>
      </c>
      <c r="M2831" s="28" t="s">
        <v>613</v>
      </c>
      <c r="N2831" t="s">
        <v>313</v>
      </c>
    </row>
    <row r="2832" spans="1:14" hidden="1" x14ac:dyDescent="0.25">
      <c r="A2832" t="s">
        <v>8212</v>
      </c>
      <c r="B2832" t="s">
        <v>1649</v>
      </c>
      <c r="C2832" t="s">
        <v>1650</v>
      </c>
      <c r="D2832" t="s">
        <v>1651</v>
      </c>
      <c r="E2832" s="28" t="s">
        <v>890</v>
      </c>
      <c r="F2832" t="s">
        <v>891</v>
      </c>
      <c r="G2832" t="s">
        <v>43</v>
      </c>
      <c r="M2832" s="28" t="s">
        <v>14205</v>
      </c>
    </row>
    <row r="2833" spans="1:14" hidden="1" x14ac:dyDescent="0.25">
      <c r="A2833" t="s">
        <v>8387</v>
      </c>
      <c r="B2833" t="s">
        <v>2092</v>
      </c>
      <c r="C2833" t="s">
        <v>1172</v>
      </c>
      <c r="D2833" t="s">
        <v>2093</v>
      </c>
      <c r="E2833" s="28" t="s">
        <v>890</v>
      </c>
      <c r="F2833" t="s">
        <v>400</v>
      </c>
      <c r="G2833" t="s">
        <v>60</v>
      </c>
      <c r="M2833" s="28" t="s">
        <v>14207</v>
      </c>
    </row>
    <row r="2834" spans="1:14" hidden="1" x14ac:dyDescent="0.25">
      <c r="A2834" t="s">
        <v>8319</v>
      </c>
      <c r="B2834" t="s">
        <v>1925</v>
      </c>
      <c r="C2834" t="s">
        <v>1926</v>
      </c>
      <c r="D2834" t="s">
        <v>1927</v>
      </c>
      <c r="E2834" s="28" t="s">
        <v>896</v>
      </c>
      <c r="F2834" t="s">
        <v>360</v>
      </c>
      <c r="G2834" t="s">
        <v>43</v>
      </c>
      <c r="M2834" s="28" t="s">
        <v>14205</v>
      </c>
    </row>
    <row r="2835" spans="1:14" x14ac:dyDescent="0.25">
      <c r="A2835" t="s">
        <v>8651</v>
      </c>
      <c r="B2835" t="s">
        <v>2738</v>
      </c>
      <c r="C2835" t="s">
        <v>1123</v>
      </c>
      <c r="D2835" t="s">
        <v>2739</v>
      </c>
      <c r="E2835" s="28" t="s">
        <v>890</v>
      </c>
      <c r="F2835" t="s">
        <v>11495</v>
      </c>
      <c r="G2835" t="s">
        <v>74</v>
      </c>
      <c r="M2835" s="28" t="s">
        <v>507</v>
      </c>
      <c r="N2835" t="s">
        <v>313</v>
      </c>
    </row>
    <row r="2836" spans="1:14" hidden="1" x14ac:dyDescent="0.25">
      <c r="A2836" t="s">
        <v>13889</v>
      </c>
      <c r="B2836" t="s">
        <v>13890</v>
      </c>
      <c r="C2836" t="s">
        <v>4556</v>
      </c>
      <c r="D2836" t="s">
        <v>13891</v>
      </c>
      <c r="E2836" s="28" t="s">
        <v>1177</v>
      </c>
      <c r="F2836" t="s">
        <v>688</v>
      </c>
      <c r="G2836" t="s">
        <v>15</v>
      </c>
      <c r="M2836" s="28" t="s">
        <v>613</v>
      </c>
      <c r="N2836" t="s">
        <v>313</v>
      </c>
    </row>
    <row r="2837" spans="1:14" hidden="1" x14ac:dyDescent="0.25">
      <c r="A2837" t="s">
        <v>13892</v>
      </c>
      <c r="B2837" t="s">
        <v>7533</v>
      </c>
      <c r="C2837" t="s">
        <v>1269</v>
      </c>
      <c r="D2837" t="s">
        <v>13893</v>
      </c>
      <c r="E2837" s="28" t="s">
        <v>896</v>
      </c>
      <c r="F2837" t="s">
        <v>13543</v>
      </c>
      <c r="G2837" t="s">
        <v>11</v>
      </c>
      <c r="M2837" s="28" t="s">
        <v>413</v>
      </c>
      <c r="N2837" t="s">
        <v>313</v>
      </c>
    </row>
    <row r="2838" spans="1:14" hidden="1" x14ac:dyDescent="0.25">
      <c r="A2838" t="s">
        <v>13894</v>
      </c>
      <c r="B2838" t="s">
        <v>7533</v>
      </c>
      <c r="C2838" t="s">
        <v>13895</v>
      </c>
      <c r="D2838" t="s">
        <v>13896</v>
      </c>
      <c r="E2838" s="28" t="s">
        <v>1023</v>
      </c>
      <c r="F2838" t="s">
        <v>415</v>
      </c>
      <c r="G2838" t="s">
        <v>11</v>
      </c>
      <c r="M2838" s="28" t="s">
        <v>413</v>
      </c>
      <c r="N2838" t="s">
        <v>313</v>
      </c>
    </row>
    <row r="2839" spans="1:14" hidden="1" x14ac:dyDescent="0.25">
      <c r="A2839" t="s">
        <v>10885</v>
      </c>
      <c r="B2839" t="s">
        <v>7533</v>
      </c>
      <c r="C2839" t="s">
        <v>2429</v>
      </c>
      <c r="D2839" t="s">
        <v>7534</v>
      </c>
      <c r="E2839" s="28" t="s">
        <v>890</v>
      </c>
      <c r="F2839" t="s">
        <v>7516</v>
      </c>
      <c r="G2839" t="s">
        <v>162</v>
      </c>
      <c r="M2839" s="28" t="s">
        <v>7517</v>
      </c>
      <c r="N2839" t="s">
        <v>313</v>
      </c>
    </row>
    <row r="2840" spans="1:14" hidden="1" x14ac:dyDescent="0.25">
      <c r="A2840" t="s">
        <v>13897</v>
      </c>
      <c r="B2840" t="s">
        <v>7533</v>
      </c>
      <c r="C2840" t="s">
        <v>13898</v>
      </c>
      <c r="D2840" t="s">
        <v>13899</v>
      </c>
      <c r="E2840" s="28" t="s">
        <v>1023</v>
      </c>
      <c r="F2840" t="s">
        <v>415</v>
      </c>
      <c r="G2840" t="s">
        <v>11</v>
      </c>
      <c r="M2840" s="28" t="s">
        <v>413</v>
      </c>
      <c r="N2840" t="s">
        <v>313</v>
      </c>
    </row>
    <row r="2841" spans="1:14" hidden="1" x14ac:dyDescent="0.25">
      <c r="A2841" t="s">
        <v>9747</v>
      </c>
      <c r="B2841" t="s">
        <v>5056</v>
      </c>
      <c r="C2841" t="s">
        <v>928</v>
      </c>
      <c r="D2841" t="s">
        <v>5057</v>
      </c>
      <c r="E2841" s="28" t="s">
        <v>896</v>
      </c>
      <c r="F2841" t="s">
        <v>4586</v>
      </c>
      <c r="G2841" t="s">
        <v>15</v>
      </c>
      <c r="M2841" s="28" t="s">
        <v>613</v>
      </c>
      <c r="N2841" t="s">
        <v>313</v>
      </c>
    </row>
    <row r="2842" spans="1:14" hidden="1" x14ac:dyDescent="0.25">
      <c r="A2842" t="s">
        <v>9268</v>
      </c>
      <c r="B2842" t="s">
        <v>4038</v>
      </c>
      <c r="C2842" t="s">
        <v>2111</v>
      </c>
      <c r="D2842" t="s">
        <v>4039</v>
      </c>
      <c r="E2842" s="28" t="s">
        <v>896</v>
      </c>
      <c r="F2842" t="s">
        <v>891</v>
      </c>
      <c r="G2842" t="s">
        <v>88</v>
      </c>
      <c r="M2842" s="28" t="s">
        <v>549</v>
      </c>
      <c r="N2842" t="s">
        <v>313</v>
      </c>
    </row>
    <row r="2843" spans="1:14" hidden="1" x14ac:dyDescent="0.25">
      <c r="A2843" t="s">
        <v>10552</v>
      </c>
      <c r="B2843" t="s">
        <v>6764</v>
      </c>
      <c r="C2843" t="s">
        <v>1738</v>
      </c>
      <c r="D2843" t="s">
        <v>6765</v>
      </c>
      <c r="E2843" s="28" t="s">
        <v>896</v>
      </c>
      <c r="F2843" t="s">
        <v>803</v>
      </c>
      <c r="G2843" t="s">
        <v>137</v>
      </c>
      <c r="M2843" s="28" t="s">
        <v>805</v>
      </c>
      <c r="N2843" t="s">
        <v>313</v>
      </c>
    </row>
    <row r="2844" spans="1:14" hidden="1" x14ac:dyDescent="0.25">
      <c r="A2844" t="s">
        <v>9269</v>
      </c>
      <c r="B2844" t="s">
        <v>4040</v>
      </c>
      <c r="C2844" t="s">
        <v>3025</v>
      </c>
      <c r="D2844" t="s">
        <v>4041</v>
      </c>
      <c r="E2844" s="28" t="s">
        <v>890</v>
      </c>
      <c r="F2844" t="s">
        <v>891</v>
      </c>
      <c r="G2844" t="s">
        <v>88</v>
      </c>
      <c r="M2844" s="28" t="s">
        <v>549</v>
      </c>
      <c r="N2844" t="s">
        <v>313</v>
      </c>
    </row>
    <row r="2845" spans="1:14" hidden="1" x14ac:dyDescent="0.25">
      <c r="A2845" t="s">
        <v>14360</v>
      </c>
      <c r="B2845" t="s">
        <v>14361</v>
      </c>
      <c r="C2845" t="s">
        <v>4536</v>
      </c>
      <c r="D2845" t="s">
        <v>14362</v>
      </c>
      <c r="E2845" s="28" t="s">
        <v>896</v>
      </c>
      <c r="F2845" t="s">
        <v>712</v>
      </c>
      <c r="G2845" t="s">
        <v>15</v>
      </c>
      <c r="M2845" s="28" t="s">
        <v>613</v>
      </c>
      <c r="N2845" t="s">
        <v>313</v>
      </c>
    </row>
    <row r="2846" spans="1:14" hidden="1" x14ac:dyDescent="0.25">
      <c r="A2846" t="s">
        <v>14363</v>
      </c>
      <c r="B2846" t="s">
        <v>14364</v>
      </c>
      <c r="C2846" t="s">
        <v>1365</v>
      </c>
      <c r="D2846" t="s">
        <v>11766</v>
      </c>
      <c r="E2846" s="28" t="s">
        <v>890</v>
      </c>
      <c r="F2846" t="s">
        <v>891</v>
      </c>
      <c r="G2846" t="s">
        <v>81</v>
      </c>
      <c r="M2846" s="28" t="s">
        <v>530</v>
      </c>
      <c r="N2846" t="s">
        <v>313</v>
      </c>
    </row>
    <row r="2847" spans="1:14" hidden="1" x14ac:dyDescent="0.25">
      <c r="A2847" t="s">
        <v>9746</v>
      </c>
      <c r="B2847" t="s">
        <v>5054</v>
      </c>
      <c r="C2847" t="s">
        <v>1616</v>
      </c>
      <c r="D2847" t="s">
        <v>5055</v>
      </c>
      <c r="E2847" s="28" t="s">
        <v>896</v>
      </c>
      <c r="F2847" t="s">
        <v>705</v>
      </c>
      <c r="G2847" t="s">
        <v>15</v>
      </c>
      <c r="M2847" s="28" t="s">
        <v>613</v>
      </c>
      <c r="N2847" t="s">
        <v>313</v>
      </c>
    </row>
    <row r="2848" spans="1:14" hidden="1" x14ac:dyDescent="0.25">
      <c r="A2848" t="s">
        <v>9745</v>
      </c>
      <c r="B2848" t="s">
        <v>5051</v>
      </c>
      <c r="C2848" t="s">
        <v>5052</v>
      </c>
      <c r="D2848" t="s">
        <v>5053</v>
      </c>
      <c r="E2848" s="28" t="s">
        <v>890</v>
      </c>
      <c r="F2848" t="s">
        <v>702</v>
      </c>
      <c r="G2848" t="s">
        <v>15</v>
      </c>
      <c r="M2848" s="28" t="s">
        <v>613</v>
      </c>
      <c r="N2848" t="s">
        <v>313</v>
      </c>
    </row>
    <row r="2849" spans="1:14" hidden="1" x14ac:dyDescent="0.25">
      <c r="A2849" t="s">
        <v>10846</v>
      </c>
      <c r="B2849" t="s">
        <v>7430</v>
      </c>
      <c r="C2849" t="s">
        <v>1170</v>
      </c>
      <c r="D2849" t="s">
        <v>7432</v>
      </c>
      <c r="E2849" s="28" t="s">
        <v>890</v>
      </c>
      <c r="F2849" t="s">
        <v>854</v>
      </c>
      <c r="G2849" t="s">
        <v>157</v>
      </c>
      <c r="M2849" s="28" t="s">
        <v>840</v>
      </c>
      <c r="N2849" t="s">
        <v>382</v>
      </c>
    </row>
    <row r="2850" spans="1:14" hidden="1" x14ac:dyDescent="0.25">
      <c r="A2850" t="s">
        <v>10845</v>
      </c>
      <c r="B2850" t="s">
        <v>7430</v>
      </c>
      <c r="C2850" t="s">
        <v>1099</v>
      </c>
      <c r="D2850" t="s">
        <v>7431</v>
      </c>
      <c r="E2850" s="28" t="s">
        <v>896</v>
      </c>
      <c r="F2850" t="s">
        <v>854</v>
      </c>
      <c r="G2850" t="s">
        <v>157</v>
      </c>
      <c r="M2850" s="28" t="s">
        <v>840</v>
      </c>
      <c r="N2850" t="s">
        <v>382</v>
      </c>
    </row>
    <row r="2851" spans="1:14" hidden="1" x14ac:dyDescent="0.25">
      <c r="A2851" t="s">
        <v>9270</v>
      </c>
      <c r="B2851" t="s">
        <v>4042</v>
      </c>
      <c r="C2851" t="s">
        <v>3539</v>
      </c>
      <c r="D2851" t="s">
        <v>4043</v>
      </c>
      <c r="E2851" s="28" t="s">
        <v>890</v>
      </c>
      <c r="F2851" t="s">
        <v>891</v>
      </c>
      <c r="G2851" t="s">
        <v>88</v>
      </c>
      <c r="M2851" s="28" t="s">
        <v>549</v>
      </c>
      <c r="N2851" t="s">
        <v>313</v>
      </c>
    </row>
    <row r="2852" spans="1:14" hidden="1" x14ac:dyDescent="0.25">
      <c r="A2852" t="s">
        <v>9271</v>
      </c>
      <c r="B2852" t="s">
        <v>4042</v>
      </c>
      <c r="C2852" t="s">
        <v>3036</v>
      </c>
      <c r="D2852" t="s">
        <v>4044</v>
      </c>
      <c r="E2852" s="28" t="s">
        <v>890</v>
      </c>
      <c r="F2852" t="s">
        <v>891</v>
      </c>
      <c r="G2852" t="s">
        <v>88</v>
      </c>
      <c r="M2852" s="28" t="s">
        <v>549</v>
      </c>
      <c r="N2852" t="s">
        <v>313</v>
      </c>
    </row>
    <row r="2853" spans="1:14" hidden="1" x14ac:dyDescent="0.25">
      <c r="A2853" t="s">
        <v>13900</v>
      </c>
      <c r="B2853" t="s">
        <v>7498</v>
      </c>
      <c r="C2853" t="s">
        <v>7497</v>
      </c>
      <c r="D2853" t="s">
        <v>7499</v>
      </c>
      <c r="E2853" s="28" t="s">
        <v>930</v>
      </c>
      <c r="F2853" t="s">
        <v>881</v>
      </c>
      <c r="G2853" t="s">
        <v>157</v>
      </c>
      <c r="M2853" s="28" t="s">
        <v>840</v>
      </c>
      <c r="N2853" t="s">
        <v>382</v>
      </c>
    </row>
    <row r="2854" spans="1:14" hidden="1" x14ac:dyDescent="0.25">
      <c r="A2854" t="s">
        <v>8534</v>
      </c>
      <c r="B2854" t="s">
        <v>2446</v>
      </c>
      <c r="C2854" t="s">
        <v>2090</v>
      </c>
      <c r="D2854" t="s">
        <v>2447</v>
      </c>
      <c r="E2854" s="28" t="s">
        <v>896</v>
      </c>
      <c r="F2854" t="s">
        <v>105</v>
      </c>
      <c r="G2854" t="s">
        <v>11</v>
      </c>
      <c r="M2854" s="28" t="s">
        <v>413</v>
      </c>
      <c r="N2854" t="s">
        <v>313</v>
      </c>
    </row>
    <row r="2855" spans="1:14" hidden="1" x14ac:dyDescent="0.25">
      <c r="A2855" t="s">
        <v>9272</v>
      </c>
      <c r="B2855" t="s">
        <v>4045</v>
      </c>
      <c r="C2855" t="s">
        <v>3149</v>
      </c>
      <c r="D2855" t="s">
        <v>4046</v>
      </c>
      <c r="E2855" s="28" t="s">
        <v>930</v>
      </c>
      <c r="F2855" t="s">
        <v>609</v>
      </c>
      <c r="G2855" t="s">
        <v>88</v>
      </c>
      <c r="M2855" s="28" t="s">
        <v>549</v>
      </c>
      <c r="N2855" t="s">
        <v>313</v>
      </c>
    </row>
    <row r="2856" spans="1:14" hidden="1" x14ac:dyDescent="0.25">
      <c r="A2856" t="s">
        <v>9273</v>
      </c>
      <c r="B2856" t="s">
        <v>4045</v>
      </c>
      <c r="C2856" t="s">
        <v>3025</v>
      </c>
      <c r="D2856" t="s">
        <v>4047</v>
      </c>
      <c r="E2856" s="28" t="s">
        <v>896</v>
      </c>
      <c r="F2856" t="s">
        <v>609</v>
      </c>
      <c r="G2856" t="s">
        <v>88</v>
      </c>
      <c r="M2856" s="28" t="s">
        <v>549</v>
      </c>
      <c r="N2856" t="s">
        <v>313</v>
      </c>
    </row>
    <row r="2857" spans="1:14" hidden="1" x14ac:dyDescent="0.25">
      <c r="A2857" t="s">
        <v>9274</v>
      </c>
      <c r="B2857" t="s">
        <v>4048</v>
      </c>
      <c r="C2857" t="s">
        <v>4049</v>
      </c>
      <c r="D2857" t="s">
        <v>4050</v>
      </c>
      <c r="E2857" s="28" t="s">
        <v>890</v>
      </c>
      <c r="F2857" t="s">
        <v>571</v>
      </c>
      <c r="G2857" t="s">
        <v>88</v>
      </c>
      <c r="M2857" s="28" t="s">
        <v>549</v>
      </c>
      <c r="N2857" t="s">
        <v>313</v>
      </c>
    </row>
    <row r="2858" spans="1:14" hidden="1" x14ac:dyDescent="0.25">
      <c r="A2858" t="s">
        <v>9275</v>
      </c>
      <c r="B2858" t="s">
        <v>4051</v>
      </c>
      <c r="C2858" t="s">
        <v>3031</v>
      </c>
      <c r="D2858" t="s">
        <v>4052</v>
      </c>
      <c r="E2858" s="28" t="s">
        <v>890</v>
      </c>
      <c r="F2858" t="s">
        <v>564</v>
      </c>
      <c r="G2858" t="s">
        <v>88</v>
      </c>
      <c r="M2858" s="28" t="s">
        <v>549</v>
      </c>
      <c r="N2858" t="s">
        <v>313</v>
      </c>
    </row>
    <row r="2859" spans="1:14" hidden="1" x14ac:dyDescent="0.25">
      <c r="A2859" t="s">
        <v>9276</v>
      </c>
      <c r="B2859" t="s">
        <v>4051</v>
      </c>
      <c r="C2859" t="s">
        <v>3044</v>
      </c>
      <c r="D2859" t="s">
        <v>4053</v>
      </c>
      <c r="E2859" s="28" t="s">
        <v>1023</v>
      </c>
      <c r="F2859" t="s">
        <v>891</v>
      </c>
      <c r="G2859" t="s">
        <v>88</v>
      </c>
      <c r="M2859" s="28" t="s">
        <v>549</v>
      </c>
      <c r="N2859" t="s">
        <v>313</v>
      </c>
    </row>
    <row r="2860" spans="1:14" hidden="1" x14ac:dyDescent="0.25">
      <c r="A2860" t="s">
        <v>9277</v>
      </c>
      <c r="B2860" t="s">
        <v>4051</v>
      </c>
      <c r="C2860" t="s">
        <v>3099</v>
      </c>
      <c r="D2860" t="s">
        <v>4054</v>
      </c>
      <c r="E2860" s="28" t="s">
        <v>890</v>
      </c>
      <c r="F2860" t="s">
        <v>564</v>
      </c>
      <c r="G2860" t="s">
        <v>88</v>
      </c>
      <c r="M2860" s="28" t="s">
        <v>549</v>
      </c>
      <c r="N2860" t="s">
        <v>313</v>
      </c>
    </row>
    <row r="2861" spans="1:14" hidden="1" x14ac:dyDescent="0.25">
      <c r="A2861" t="s">
        <v>9744</v>
      </c>
      <c r="B2861" t="s">
        <v>5048</v>
      </c>
      <c r="C2861" t="s">
        <v>5049</v>
      </c>
      <c r="D2861" t="s">
        <v>5050</v>
      </c>
      <c r="E2861" s="28" t="s">
        <v>896</v>
      </c>
      <c r="F2861" t="s">
        <v>197</v>
      </c>
      <c r="G2861" t="s">
        <v>15</v>
      </c>
      <c r="M2861" s="28" t="s">
        <v>613</v>
      </c>
      <c r="N2861" t="s">
        <v>313</v>
      </c>
    </row>
    <row r="2862" spans="1:14" hidden="1" x14ac:dyDescent="0.25">
      <c r="A2862" t="s">
        <v>12073</v>
      </c>
      <c r="B2862" t="s">
        <v>1099</v>
      </c>
      <c r="C2862" t="s">
        <v>12074</v>
      </c>
      <c r="D2862" t="s">
        <v>12075</v>
      </c>
      <c r="E2862" s="28" t="s">
        <v>890</v>
      </c>
      <c r="F2862" t="s">
        <v>263</v>
      </c>
      <c r="G2862" t="s">
        <v>157</v>
      </c>
      <c r="M2862" s="28" t="s">
        <v>840</v>
      </c>
      <c r="N2862" t="s">
        <v>382</v>
      </c>
    </row>
    <row r="2863" spans="1:14" hidden="1" x14ac:dyDescent="0.25">
      <c r="A2863" t="s">
        <v>10521</v>
      </c>
      <c r="B2863" t="s">
        <v>6710</v>
      </c>
      <c r="C2863" t="s">
        <v>932</v>
      </c>
      <c r="D2863" t="s">
        <v>6711</v>
      </c>
      <c r="E2863" s="28" t="s">
        <v>890</v>
      </c>
      <c r="F2863" t="s">
        <v>806</v>
      </c>
      <c r="G2863" t="s">
        <v>137</v>
      </c>
      <c r="M2863" s="28" t="s">
        <v>805</v>
      </c>
      <c r="N2863" t="s">
        <v>313</v>
      </c>
    </row>
    <row r="2864" spans="1:14" hidden="1" x14ac:dyDescent="0.25">
      <c r="A2864" t="s">
        <v>10847</v>
      </c>
      <c r="B2864" t="s">
        <v>7433</v>
      </c>
      <c r="C2864" t="s">
        <v>7434</v>
      </c>
      <c r="D2864" t="s">
        <v>7435</v>
      </c>
      <c r="E2864" s="28" t="s">
        <v>890</v>
      </c>
      <c r="F2864" t="s">
        <v>7404</v>
      </c>
      <c r="G2864" t="s">
        <v>157</v>
      </c>
      <c r="M2864" s="28" t="s">
        <v>840</v>
      </c>
      <c r="N2864" t="s">
        <v>382</v>
      </c>
    </row>
    <row r="2865" spans="1:14" hidden="1" x14ac:dyDescent="0.25">
      <c r="A2865" t="s">
        <v>8059</v>
      </c>
      <c r="B2865" t="s">
        <v>1261</v>
      </c>
      <c r="C2865" t="s">
        <v>1236</v>
      </c>
      <c r="D2865" t="s">
        <v>1262</v>
      </c>
      <c r="E2865" s="28" t="s">
        <v>896</v>
      </c>
      <c r="F2865" t="s">
        <v>315</v>
      </c>
      <c r="G2865" t="s">
        <v>34</v>
      </c>
      <c r="M2865" s="28" t="s">
        <v>12353</v>
      </c>
      <c r="N2865" t="s">
        <v>313</v>
      </c>
    </row>
    <row r="2866" spans="1:14" hidden="1" x14ac:dyDescent="0.25">
      <c r="A2866" t="s">
        <v>13443</v>
      </c>
      <c r="B2866" t="s">
        <v>12599</v>
      </c>
      <c r="C2866" t="s">
        <v>1227</v>
      </c>
      <c r="D2866" t="s">
        <v>12600</v>
      </c>
      <c r="E2866" s="28" t="s">
        <v>896</v>
      </c>
      <c r="F2866" t="s">
        <v>11890</v>
      </c>
      <c r="G2866" t="s">
        <v>110</v>
      </c>
      <c r="M2866" s="28" t="s">
        <v>13563</v>
      </c>
      <c r="N2866" t="s">
        <v>279</v>
      </c>
    </row>
    <row r="2867" spans="1:14" hidden="1" x14ac:dyDescent="0.25">
      <c r="A2867" t="s">
        <v>8550</v>
      </c>
      <c r="B2867" t="s">
        <v>2487</v>
      </c>
      <c r="C2867" t="s">
        <v>1150</v>
      </c>
      <c r="D2867" t="s">
        <v>2488</v>
      </c>
      <c r="E2867" s="28" t="s">
        <v>896</v>
      </c>
      <c r="F2867" t="s">
        <v>14210</v>
      </c>
      <c r="G2867" t="s">
        <v>11</v>
      </c>
      <c r="M2867" s="28" t="s">
        <v>413</v>
      </c>
      <c r="N2867" t="s">
        <v>313</v>
      </c>
    </row>
    <row r="2868" spans="1:14" hidden="1" x14ac:dyDescent="0.25">
      <c r="A2868" t="s">
        <v>9743</v>
      </c>
      <c r="B2868" t="s">
        <v>5046</v>
      </c>
      <c r="C2868" t="s">
        <v>4557</v>
      </c>
      <c r="D2868" t="s">
        <v>5047</v>
      </c>
      <c r="E2868" s="28" t="s">
        <v>896</v>
      </c>
      <c r="F2868" t="s">
        <v>13217</v>
      </c>
      <c r="G2868" t="s">
        <v>15</v>
      </c>
      <c r="M2868" s="28" t="s">
        <v>613</v>
      </c>
      <c r="N2868" t="s">
        <v>313</v>
      </c>
    </row>
    <row r="2869" spans="1:14" hidden="1" x14ac:dyDescent="0.25">
      <c r="A2869" t="s">
        <v>8461</v>
      </c>
      <c r="B2869" t="s">
        <v>2270</v>
      </c>
      <c r="C2869" t="s">
        <v>2271</v>
      </c>
      <c r="D2869" t="s">
        <v>2272</v>
      </c>
      <c r="E2869" s="28" t="s">
        <v>890</v>
      </c>
      <c r="F2869" t="s">
        <v>408</v>
      </c>
      <c r="G2869" t="s">
        <v>65</v>
      </c>
      <c r="M2869" s="28" t="s">
        <v>14209</v>
      </c>
    </row>
    <row r="2870" spans="1:14" hidden="1" x14ac:dyDescent="0.25">
      <c r="A2870" t="s">
        <v>10467</v>
      </c>
      <c r="B2870" t="s">
        <v>2270</v>
      </c>
      <c r="C2870" t="s">
        <v>6585</v>
      </c>
      <c r="D2870" t="s">
        <v>6586</v>
      </c>
      <c r="E2870" s="28" t="s">
        <v>896</v>
      </c>
      <c r="F2870" t="s">
        <v>6576</v>
      </c>
      <c r="G2870" t="s">
        <v>131</v>
      </c>
      <c r="M2870" s="28" t="s">
        <v>14242</v>
      </c>
    </row>
    <row r="2871" spans="1:14" hidden="1" x14ac:dyDescent="0.25">
      <c r="A2871" t="s">
        <v>14365</v>
      </c>
      <c r="B2871" t="s">
        <v>14366</v>
      </c>
      <c r="C2871" t="s">
        <v>4592</v>
      </c>
      <c r="D2871" t="s">
        <v>13901</v>
      </c>
      <c r="E2871" s="28" t="s">
        <v>896</v>
      </c>
      <c r="F2871" t="s">
        <v>13635</v>
      </c>
      <c r="G2871" t="s">
        <v>81</v>
      </c>
      <c r="M2871" s="28" t="s">
        <v>530</v>
      </c>
      <c r="N2871" t="s">
        <v>313</v>
      </c>
    </row>
    <row r="2872" spans="1:14" hidden="1" x14ac:dyDescent="0.25">
      <c r="A2872" t="s">
        <v>13902</v>
      </c>
      <c r="B2872" t="s">
        <v>13903</v>
      </c>
      <c r="C2872" t="s">
        <v>5785</v>
      </c>
      <c r="D2872" t="s">
        <v>13904</v>
      </c>
      <c r="E2872" s="28" t="s">
        <v>890</v>
      </c>
      <c r="F2872" t="s">
        <v>231</v>
      </c>
      <c r="G2872" t="s">
        <v>15</v>
      </c>
      <c r="M2872" s="28" t="s">
        <v>613</v>
      </c>
      <c r="N2872" t="s">
        <v>313</v>
      </c>
    </row>
    <row r="2873" spans="1:14" hidden="1" x14ac:dyDescent="0.25">
      <c r="A2873" t="s">
        <v>13326</v>
      </c>
      <c r="B2873" t="s">
        <v>13327</v>
      </c>
      <c r="C2873" t="s">
        <v>3021</v>
      </c>
      <c r="D2873" t="s">
        <v>13328</v>
      </c>
      <c r="E2873" s="28" t="s">
        <v>896</v>
      </c>
      <c r="F2873" t="s">
        <v>588</v>
      </c>
      <c r="G2873" t="s">
        <v>88</v>
      </c>
      <c r="M2873" s="28" t="s">
        <v>549</v>
      </c>
      <c r="N2873" t="s">
        <v>313</v>
      </c>
    </row>
    <row r="2874" spans="1:14" hidden="1" x14ac:dyDescent="0.25">
      <c r="A2874" t="s">
        <v>9742</v>
      </c>
      <c r="B2874" t="s">
        <v>5044</v>
      </c>
      <c r="C2874" t="s">
        <v>999</v>
      </c>
      <c r="D2874" t="s">
        <v>5045</v>
      </c>
      <c r="E2874" s="28" t="s">
        <v>890</v>
      </c>
      <c r="F2874" t="s">
        <v>4586</v>
      </c>
      <c r="G2874" t="s">
        <v>15</v>
      </c>
      <c r="M2874" s="28" t="s">
        <v>613</v>
      </c>
      <c r="N2874" t="s">
        <v>313</v>
      </c>
    </row>
    <row r="2875" spans="1:14" hidden="1" x14ac:dyDescent="0.25">
      <c r="A2875" t="s">
        <v>10668</v>
      </c>
      <c r="B2875" t="s">
        <v>7014</v>
      </c>
      <c r="C2875" t="s">
        <v>7015</v>
      </c>
      <c r="D2875" t="s">
        <v>7016</v>
      </c>
      <c r="E2875" s="28" t="s">
        <v>890</v>
      </c>
      <c r="F2875" t="s">
        <v>6901</v>
      </c>
      <c r="G2875" t="s">
        <v>6896</v>
      </c>
      <c r="M2875" s="28" t="s">
        <v>6897</v>
      </c>
      <c r="N2875" t="s">
        <v>279</v>
      </c>
    </row>
    <row r="2876" spans="1:14" hidden="1" x14ac:dyDescent="0.25">
      <c r="A2876" t="s">
        <v>8500</v>
      </c>
      <c r="B2876" t="s">
        <v>2364</v>
      </c>
      <c r="C2876" t="s">
        <v>2365</v>
      </c>
      <c r="D2876" t="s">
        <v>2366</v>
      </c>
      <c r="E2876" s="28" t="s">
        <v>890</v>
      </c>
      <c r="F2876" t="s">
        <v>408</v>
      </c>
      <c r="G2876" t="s">
        <v>65</v>
      </c>
      <c r="M2876" s="28" t="s">
        <v>14209</v>
      </c>
    </row>
    <row r="2877" spans="1:14" hidden="1" x14ac:dyDescent="0.25">
      <c r="A2877" t="s">
        <v>7963</v>
      </c>
      <c r="B2877" t="s">
        <v>963</v>
      </c>
      <c r="C2877" t="s">
        <v>964</v>
      </c>
      <c r="D2877" t="s">
        <v>965</v>
      </c>
      <c r="E2877" s="28" t="s">
        <v>890</v>
      </c>
      <c r="F2877" t="s">
        <v>966</v>
      </c>
      <c r="G2877" t="s">
        <v>28</v>
      </c>
      <c r="M2877" s="28" t="s">
        <v>14241</v>
      </c>
      <c r="N2877" t="s">
        <v>14206</v>
      </c>
    </row>
    <row r="2878" spans="1:14" hidden="1" x14ac:dyDescent="0.25">
      <c r="A2878" t="s">
        <v>9741</v>
      </c>
      <c r="B2878" t="s">
        <v>5042</v>
      </c>
      <c r="C2878" t="s">
        <v>4440</v>
      </c>
      <c r="D2878" t="s">
        <v>5043</v>
      </c>
      <c r="E2878" s="28" t="s">
        <v>890</v>
      </c>
      <c r="F2878" t="s">
        <v>662</v>
      </c>
      <c r="G2878" t="s">
        <v>15</v>
      </c>
      <c r="M2878" s="28" t="s">
        <v>613</v>
      </c>
      <c r="N2878" t="s">
        <v>313</v>
      </c>
    </row>
    <row r="2879" spans="1:14" hidden="1" x14ac:dyDescent="0.25">
      <c r="A2879" t="s">
        <v>12974</v>
      </c>
      <c r="B2879" t="s">
        <v>12975</v>
      </c>
      <c r="C2879" t="s">
        <v>1978</v>
      </c>
      <c r="D2879" t="s">
        <v>12976</v>
      </c>
      <c r="E2879" s="28" t="s">
        <v>890</v>
      </c>
      <c r="F2879" t="s">
        <v>690</v>
      </c>
      <c r="G2879" t="s">
        <v>15</v>
      </c>
      <c r="M2879" s="28" t="s">
        <v>613</v>
      </c>
      <c r="N2879" t="s">
        <v>313</v>
      </c>
    </row>
    <row r="2880" spans="1:14" hidden="1" x14ac:dyDescent="0.25">
      <c r="A2880" t="s">
        <v>12977</v>
      </c>
      <c r="B2880" t="s">
        <v>12975</v>
      </c>
      <c r="C2880" t="s">
        <v>4781</v>
      </c>
      <c r="D2880" t="s">
        <v>12978</v>
      </c>
      <c r="E2880" s="28" t="s">
        <v>890</v>
      </c>
      <c r="F2880" t="s">
        <v>676</v>
      </c>
      <c r="G2880" t="s">
        <v>15</v>
      </c>
      <c r="M2880" s="28" t="s">
        <v>613</v>
      </c>
      <c r="N2880" t="s">
        <v>313</v>
      </c>
    </row>
    <row r="2881" spans="1:14" hidden="1" x14ac:dyDescent="0.25">
      <c r="A2881" t="s">
        <v>8119</v>
      </c>
      <c r="B2881" t="s">
        <v>1420</v>
      </c>
      <c r="C2881" t="s">
        <v>1421</v>
      </c>
      <c r="D2881" t="s">
        <v>1422</v>
      </c>
      <c r="E2881" s="28" t="s">
        <v>896</v>
      </c>
      <c r="F2881" t="s">
        <v>328</v>
      </c>
      <c r="G2881" t="s">
        <v>38</v>
      </c>
      <c r="M2881" s="28"/>
    </row>
    <row r="2882" spans="1:14" hidden="1" x14ac:dyDescent="0.25">
      <c r="A2882" t="s">
        <v>9740</v>
      </c>
      <c r="B2882" t="s">
        <v>5040</v>
      </c>
      <c r="C2882" t="s">
        <v>1121</v>
      </c>
      <c r="D2882" t="s">
        <v>5041</v>
      </c>
      <c r="E2882" s="28" t="s">
        <v>890</v>
      </c>
      <c r="F2882" t="s">
        <v>227</v>
      </c>
      <c r="G2882" t="s">
        <v>15</v>
      </c>
      <c r="M2882" s="28" t="s">
        <v>613</v>
      </c>
      <c r="N2882" t="s">
        <v>313</v>
      </c>
    </row>
    <row r="2883" spans="1:14" hidden="1" x14ac:dyDescent="0.25">
      <c r="A2883" t="s">
        <v>10732</v>
      </c>
      <c r="B2883" t="s">
        <v>7163</v>
      </c>
      <c r="C2883" t="s">
        <v>7164</v>
      </c>
      <c r="D2883" t="s">
        <v>7165</v>
      </c>
      <c r="E2883" s="28" t="s">
        <v>930</v>
      </c>
      <c r="F2883" t="s">
        <v>6901</v>
      </c>
      <c r="G2883" t="s">
        <v>6896</v>
      </c>
      <c r="M2883" s="28" t="s">
        <v>6897</v>
      </c>
      <c r="N2883" t="s">
        <v>279</v>
      </c>
    </row>
    <row r="2884" spans="1:14" hidden="1" x14ac:dyDescent="0.25">
      <c r="A2884" t="s">
        <v>13905</v>
      </c>
      <c r="B2884" t="s">
        <v>13906</v>
      </c>
      <c r="C2884" t="s">
        <v>4536</v>
      </c>
      <c r="D2884" t="s">
        <v>13907</v>
      </c>
      <c r="E2884" s="28" t="s">
        <v>1177</v>
      </c>
      <c r="F2884" t="s">
        <v>746</v>
      </c>
      <c r="G2884" t="s">
        <v>15</v>
      </c>
      <c r="M2884" s="28" t="s">
        <v>613</v>
      </c>
      <c r="N2884" t="s">
        <v>313</v>
      </c>
    </row>
    <row r="2885" spans="1:14" hidden="1" x14ac:dyDescent="0.25">
      <c r="A2885" t="s">
        <v>9278</v>
      </c>
      <c r="B2885" t="s">
        <v>4055</v>
      </c>
      <c r="C2885" t="s">
        <v>3048</v>
      </c>
      <c r="D2885" t="s">
        <v>4056</v>
      </c>
      <c r="E2885" s="28" t="s">
        <v>896</v>
      </c>
      <c r="F2885" t="s">
        <v>891</v>
      </c>
      <c r="G2885" t="s">
        <v>88</v>
      </c>
      <c r="M2885" s="28" t="s">
        <v>549</v>
      </c>
      <c r="N2885" t="s">
        <v>313</v>
      </c>
    </row>
    <row r="2886" spans="1:14" hidden="1" x14ac:dyDescent="0.25">
      <c r="A2886" t="s">
        <v>9739</v>
      </c>
      <c r="B2886" t="s">
        <v>5038</v>
      </c>
      <c r="C2886" t="s">
        <v>2184</v>
      </c>
      <c r="D2886" t="s">
        <v>5039</v>
      </c>
      <c r="E2886" s="28" t="s">
        <v>896</v>
      </c>
      <c r="F2886" t="s">
        <v>241</v>
      </c>
      <c r="G2886" t="s">
        <v>15</v>
      </c>
      <c r="M2886" s="28" t="s">
        <v>613</v>
      </c>
      <c r="N2886" t="s">
        <v>313</v>
      </c>
    </row>
    <row r="2887" spans="1:14" hidden="1" x14ac:dyDescent="0.25">
      <c r="A2887" t="s">
        <v>8374</v>
      </c>
      <c r="B2887" t="s">
        <v>2061</v>
      </c>
      <c r="C2887" t="s">
        <v>1477</v>
      </c>
      <c r="D2887" t="s">
        <v>2062</v>
      </c>
      <c r="E2887" s="28" t="s">
        <v>896</v>
      </c>
      <c r="F2887" t="s">
        <v>78</v>
      </c>
      <c r="G2887" t="s">
        <v>47</v>
      </c>
      <c r="M2887" s="28" t="s">
        <v>13542</v>
      </c>
    </row>
    <row r="2888" spans="1:14" hidden="1" x14ac:dyDescent="0.25">
      <c r="A2888" t="s">
        <v>9279</v>
      </c>
      <c r="B2888" t="s">
        <v>4057</v>
      </c>
      <c r="C2888" t="s">
        <v>4058</v>
      </c>
      <c r="D2888" t="s">
        <v>4059</v>
      </c>
      <c r="E2888" s="28" t="s">
        <v>896</v>
      </c>
      <c r="F2888" t="s">
        <v>891</v>
      </c>
      <c r="G2888" t="s">
        <v>88</v>
      </c>
      <c r="M2888" s="28" t="s">
        <v>549</v>
      </c>
      <c r="N2888" t="s">
        <v>313</v>
      </c>
    </row>
    <row r="2889" spans="1:14" hidden="1" x14ac:dyDescent="0.25">
      <c r="A2889" t="s">
        <v>9738</v>
      </c>
      <c r="B2889" t="s">
        <v>5035</v>
      </c>
      <c r="C2889" t="s">
        <v>5036</v>
      </c>
      <c r="D2889" t="s">
        <v>5037</v>
      </c>
      <c r="E2889" s="28" t="s">
        <v>890</v>
      </c>
      <c r="F2889" t="s">
        <v>4679</v>
      </c>
      <c r="G2889" t="s">
        <v>15</v>
      </c>
      <c r="M2889" s="28" t="s">
        <v>613</v>
      </c>
      <c r="N2889" t="s">
        <v>313</v>
      </c>
    </row>
    <row r="2890" spans="1:14" hidden="1" x14ac:dyDescent="0.25">
      <c r="A2890" t="s">
        <v>8120</v>
      </c>
      <c r="B2890" t="s">
        <v>1423</v>
      </c>
      <c r="C2890" t="s">
        <v>1424</v>
      </c>
      <c r="D2890" t="s">
        <v>1425</v>
      </c>
      <c r="E2890" s="28" t="s">
        <v>930</v>
      </c>
      <c r="F2890" t="s">
        <v>328</v>
      </c>
      <c r="G2890" t="s">
        <v>38</v>
      </c>
      <c r="M2890" s="28"/>
    </row>
    <row r="2891" spans="1:14" hidden="1" x14ac:dyDescent="0.25">
      <c r="A2891" t="s">
        <v>8121</v>
      </c>
      <c r="B2891" t="s">
        <v>1423</v>
      </c>
      <c r="C2891" t="s">
        <v>1352</v>
      </c>
      <c r="D2891" t="s">
        <v>1426</v>
      </c>
      <c r="E2891" s="28" t="s">
        <v>896</v>
      </c>
      <c r="F2891" t="s">
        <v>328</v>
      </c>
      <c r="G2891" t="s">
        <v>38</v>
      </c>
      <c r="M2891" s="28"/>
    </row>
    <row r="2892" spans="1:14" hidden="1" x14ac:dyDescent="0.25">
      <c r="A2892" t="s">
        <v>10522</v>
      </c>
      <c r="B2892" t="s">
        <v>1821</v>
      </c>
      <c r="C2892" t="s">
        <v>6632</v>
      </c>
      <c r="D2892" t="s">
        <v>6712</v>
      </c>
      <c r="E2892" s="28" t="s">
        <v>890</v>
      </c>
      <c r="F2892" t="s">
        <v>6644</v>
      </c>
      <c r="G2892" t="s">
        <v>137</v>
      </c>
      <c r="M2892" s="28" t="s">
        <v>805</v>
      </c>
      <c r="N2892" t="s">
        <v>313</v>
      </c>
    </row>
    <row r="2893" spans="1:14" hidden="1" x14ac:dyDescent="0.25">
      <c r="A2893" t="s">
        <v>8278</v>
      </c>
      <c r="B2893" t="s">
        <v>1821</v>
      </c>
      <c r="C2893" t="s">
        <v>1822</v>
      </c>
      <c r="D2893" t="s">
        <v>1823</v>
      </c>
      <c r="E2893" s="28" t="s">
        <v>890</v>
      </c>
      <c r="F2893" t="s">
        <v>357</v>
      </c>
      <c r="G2893" t="s">
        <v>43</v>
      </c>
      <c r="M2893" s="28" t="s">
        <v>14205</v>
      </c>
    </row>
    <row r="2894" spans="1:14" hidden="1" x14ac:dyDescent="0.25">
      <c r="A2894" t="s">
        <v>10523</v>
      </c>
      <c r="B2894" t="s">
        <v>1821</v>
      </c>
      <c r="C2894" t="s">
        <v>6713</v>
      </c>
      <c r="D2894" t="s">
        <v>6714</v>
      </c>
      <c r="E2894" s="28" t="s">
        <v>930</v>
      </c>
      <c r="F2894" t="s">
        <v>6631</v>
      </c>
      <c r="G2894" t="s">
        <v>137</v>
      </c>
      <c r="M2894" s="28" t="s">
        <v>805</v>
      </c>
      <c r="N2894" t="s">
        <v>313</v>
      </c>
    </row>
    <row r="2895" spans="1:14" hidden="1" x14ac:dyDescent="0.25">
      <c r="A2895" t="s">
        <v>11636</v>
      </c>
      <c r="B2895" t="s">
        <v>1821</v>
      </c>
      <c r="C2895" t="s">
        <v>7316</v>
      </c>
      <c r="D2895" t="s">
        <v>11637</v>
      </c>
      <c r="E2895" s="28" t="s">
        <v>1177</v>
      </c>
      <c r="F2895" t="s">
        <v>415</v>
      </c>
      <c r="G2895" t="s">
        <v>11</v>
      </c>
      <c r="M2895" s="28" t="s">
        <v>413</v>
      </c>
      <c r="N2895" t="s">
        <v>313</v>
      </c>
    </row>
    <row r="2896" spans="1:14" hidden="1" x14ac:dyDescent="0.25">
      <c r="A2896" t="s">
        <v>13241</v>
      </c>
      <c r="B2896" t="s">
        <v>1821</v>
      </c>
      <c r="C2896" t="s">
        <v>2783</v>
      </c>
      <c r="D2896" t="s">
        <v>13908</v>
      </c>
      <c r="E2896" s="28" t="s">
        <v>890</v>
      </c>
      <c r="F2896" t="s">
        <v>415</v>
      </c>
      <c r="G2896" t="s">
        <v>11</v>
      </c>
      <c r="M2896" s="28" t="s">
        <v>413</v>
      </c>
      <c r="N2896" t="s">
        <v>313</v>
      </c>
    </row>
    <row r="2897" spans="1:14" hidden="1" x14ac:dyDescent="0.25">
      <c r="A2897" t="s">
        <v>8297</v>
      </c>
      <c r="B2897" t="s">
        <v>1821</v>
      </c>
      <c r="C2897" t="s">
        <v>1863</v>
      </c>
      <c r="D2897" t="s">
        <v>1864</v>
      </c>
      <c r="E2897" s="28" t="s">
        <v>890</v>
      </c>
      <c r="F2897" t="s">
        <v>891</v>
      </c>
      <c r="G2897" t="s">
        <v>43</v>
      </c>
      <c r="M2897" s="28" t="s">
        <v>14205</v>
      </c>
    </row>
    <row r="2898" spans="1:14" hidden="1" x14ac:dyDescent="0.25">
      <c r="A2898" t="s">
        <v>10560</v>
      </c>
      <c r="B2898" t="s">
        <v>1821</v>
      </c>
      <c r="C2898" t="s">
        <v>994</v>
      </c>
      <c r="D2898" t="s">
        <v>6780</v>
      </c>
      <c r="E2898" s="28" t="s">
        <v>930</v>
      </c>
      <c r="F2898" t="s">
        <v>813</v>
      </c>
      <c r="G2898" t="s">
        <v>137</v>
      </c>
      <c r="M2898" s="28" t="s">
        <v>805</v>
      </c>
      <c r="N2898" t="s">
        <v>313</v>
      </c>
    </row>
    <row r="2899" spans="1:14" hidden="1" x14ac:dyDescent="0.25">
      <c r="A2899" t="s">
        <v>8299</v>
      </c>
      <c r="B2899" t="s">
        <v>1867</v>
      </c>
      <c r="C2899" t="s">
        <v>932</v>
      </c>
      <c r="D2899" t="s">
        <v>1868</v>
      </c>
      <c r="E2899" s="28" t="s">
        <v>890</v>
      </c>
      <c r="F2899" t="s">
        <v>1627</v>
      </c>
      <c r="G2899" t="s">
        <v>43</v>
      </c>
      <c r="M2899" s="28" t="s">
        <v>14205</v>
      </c>
    </row>
    <row r="2900" spans="1:14" hidden="1" x14ac:dyDescent="0.25">
      <c r="A2900" t="s">
        <v>8163</v>
      </c>
      <c r="B2900" t="s">
        <v>1533</v>
      </c>
      <c r="C2900" t="s">
        <v>1534</v>
      </c>
      <c r="D2900" t="s">
        <v>1535</v>
      </c>
      <c r="E2900" s="28" t="s">
        <v>896</v>
      </c>
      <c r="F2900" t="s">
        <v>326</v>
      </c>
      <c r="G2900" t="s">
        <v>38</v>
      </c>
      <c r="M2900" s="28"/>
    </row>
    <row r="2901" spans="1:14" hidden="1" x14ac:dyDescent="0.25">
      <c r="A2901" t="s">
        <v>13909</v>
      </c>
      <c r="B2901" t="s">
        <v>13910</v>
      </c>
      <c r="C2901" t="s">
        <v>13911</v>
      </c>
      <c r="D2901" t="s">
        <v>13881</v>
      </c>
      <c r="E2901" s="28" t="s">
        <v>1177</v>
      </c>
      <c r="F2901" t="s">
        <v>746</v>
      </c>
      <c r="G2901" t="s">
        <v>15</v>
      </c>
      <c r="M2901" s="28" t="s">
        <v>613</v>
      </c>
      <c r="N2901" t="s">
        <v>313</v>
      </c>
    </row>
    <row r="2902" spans="1:14" hidden="1" x14ac:dyDescent="0.25">
      <c r="A2902" t="s">
        <v>12463</v>
      </c>
      <c r="B2902" t="s">
        <v>2680</v>
      </c>
      <c r="C2902" t="s">
        <v>2687</v>
      </c>
      <c r="D2902" t="s">
        <v>12464</v>
      </c>
      <c r="E2902" s="28" t="s">
        <v>930</v>
      </c>
      <c r="F2902" t="s">
        <v>170</v>
      </c>
      <c r="G2902" t="s">
        <v>74</v>
      </c>
      <c r="M2902" s="28" t="s">
        <v>507</v>
      </c>
      <c r="N2902" t="s">
        <v>313</v>
      </c>
    </row>
    <row r="2903" spans="1:14" x14ac:dyDescent="0.25">
      <c r="A2903" t="s">
        <v>8659</v>
      </c>
      <c r="B2903" t="s">
        <v>2680</v>
      </c>
      <c r="C2903" t="s">
        <v>2757</v>
      </c>
      <c r="D2903" t="s">
        <v>2758</v>
      </c>
      <c r="E2903" s="28" t="s">
        <v>896</v>
      </c>
      <c r="F2903" t="s">
        <v>11495</v>
      </c>
      <c r="G2903" t="s">
        <v>74</v>
      </c>
      <c r="M2903" s="28" t="s">
        <v>507</v>
      </c>
      <c r="N2903" t="s">
        <v>313</v>
      </c>
    </row>
    <row r="2904" spans="1:14" hidden="1" x14ac:dyDescent="0.25">
      <c r="A2904" t="s">
        <v>12477</v>
      </c>
      <c r="B2904" t="s">
        <v>12478</v>
      </c>
      <c r="C2904" t="s">
        <v>1676</v>
      </c>
      <c r="D2904" t="s">
        <v>12479</v>
      </c>
      <c r="E2904" s="28" t="s">
        <v>890</v>
      </c>
      <c r="F2904" t="s">
        <v>11665</v>
      </c>
      <c r="G2904" t="s">
        <v>74</v>
      </c>
      <c r="M2904" s="28" t="s">
        <v>507</v>
      </c>
      <c r="N2904" t="s">
        <v>313</v>
      </c>
    </row>
    <row r="2905" spans="1:14" hidden="1" x14ac:dyDescent="0.25">
      <c r="A2905" t="s">
        <v>9737</v>
      </c>
      <c r="B2905" t="s">
        <v>5031</v>
      </c>
      <c r="C2905" t="s">
        <v>4440</v>
      </c>
      <c r="D2905" t="s">
        <v>5033</v>
      </c>
      <c r="E2905" s="28" t="s">
        <v>896</v>
      </c>
      <c r="F2905" t="s">
        <v>4635</v>
      </c>
      <c r="G2905" t="s">
        <v>15</v>
      </c>
      <c r="M2905" s="28" t="s">
        <v>613</v>
      </c>
      <c r="N2905" t="s">
        <v>313</v>
      </c>
    </row>
    <row r="2906" spans="1:14" hidden="1" x14ac:dyDescent="0.25">
      <c r="A2906" t="s">
        <v>9736</v>
      </c>
      <c r="B2906" t="s">
        <v>5031</v>
      </c>
      <c r="C2906" t="s">
        <v>2582</v>
      </c>
      <c r="D2906" t="s">
        <v>5032</v>
      </c>
      <c r="E2906" s="28" t="s">
        <v>1023</v>
      </c>
      <c r="F2906" t="s">
        <v>4635</v>
      </c>
      <c r="G2906" t="s">
        <v>15</v>
      </c>
      <c r="M2906" s="28" t="s">
        <v>613</v>
      </c>
      <c r="N2906" t="s">
        <v>313</v>
      </c>
    </row>
    <row r="2907" spans="1:14" hidden="1" x14ac:dyDescent="0.25">
      <c r="A2907" t="s">
        <v>9735</v>
      </c>
      <c r="B2907" t="s">
        <v>5029</v>
      </c>
      <c r="C2907" t="s">
        <v>2184</v>
      </c>
      <c r="D2907" t="s">
        <v>5030</v>
      </c>
      <c r="E2907" s="28" t="s">
        <v>890</v>
      </c>
      <c r="F2907" t="s">
        <v>4648</v>
      </c>
      <c r="G2907" t="s">
        <v>15</v>
      </c>
      <c r="M2907" s="28" t="s">
        <v>613</v>
      </c>
      <c r="N2907" t="s">
        <v>313</v>
      </c>
    </row>
    <row r="2908" spans="1:14" hidden="1" x14ac:dyDescent="0.25">
      <c r="A2908" t="s">
        <v>9734</v>
      </c>
      <c r="B2908" t="s">
        <v>5027</v>
      </c>
      <c r="C2908" t="s">
        <v>4553</v>
      </c>
      <c r="D2908" t="s">
        <v>5028</v>
      </c>
      <c r="E2908" s="28" t="s">
        <v>896</v>
      </c>
      <c r="F2908" t="s">
        <v>662</v>
      </c>
      <c r="G2908" t="s">
        <v>15</v>
      </c>
      <c r="M2908" s="28" t="s">
        <v>613</v>
      </c>
      <c r="N2908" t="s">
        <v>313</v>
      </c>
    </row>
    <row r="2909" spans="1:14" hidden="1" x14ac:dyDescent="0.25">
      <c r="A2909" t="s">
        <v>12979</v>
      </c>
      <c r="B2909" t="s">
        <v>5025</v>
      </c>
      <c r="C2909" t="s">
        <v>1086</v>
      </c>
      <c r="D2909" t="s">
        <v>12980</v>
      </c>
      <c r="E2909" s="28" t="s">
        <v>1023</v>
      </c>
      <c r="F2909" t="s">
        <v>4635</v>
      </c>
      <c r="G2909" t="s">
        <v>15</v>
      </c>
      <c r="M2909" s="28" t="s">
        <v>613</v>
      </c>
      <c r="N2909" t="s">
        <v>313</v>
      </c>
    </row>
    <row r="2910" spans="1:14" hidden="1" x14ac:dyDescent="0.25">
      <c r="A2910" t="s">
        <v>12981</v>
      </c>
      <c r="B2910" t="s">
        <v>5025</v>
      </c>
      <c r="C2910" t="s">
        <v>12982</v>
      </c>
      <c r="D2910" t="s">
        <v>5026</v>
      </c>
      <c r="E2910" s="28" t="s">
        <v>896</v>
      </c>
      <c r="F2910" t="s">
        <v>4635</v>
      </c>
      <c r="G2910" t="s">
        <v>15</v>
      </c>
      <c r="M2910" s="28" t="s">
        <v>613</v>
      </c>
      <c r="N2910" t="s">
        <v>313</v>
      </c>
    </row>
    <row r="2911" spans="1:14" hidden="1" x14ac:dyDescent="0.25">
      <c r="A2911" t="s">
        <v>8209</v>
      </c>
      <c r="B2911" t="s">
        <v>1638</v>
      </c>
      <c r="C2911" t="s">
        <v>1639</v>
      </c>
      <c r="D2911" t="s">
        <v>1640</v>
      </c>
      <c r="E2911" s="28" t="s">
        <v>890</v>
      </c>
      <c r="F2911" t="s">
        <v>1641</v>
      </c>
      <c r="G2911" t="s">
        <v>43</v>
      </c>
      <c r="M2911" s="28" t="s">
        <v>14205</v>
      </c>
    </row>
    <row r="2912" spans="1:14" hidden="1" x14ac:dyDescent="0.25">
      <c r="A2912" t="s">
        <v>13097</v>
      </c>
      <c r="B2912" t="s">
        <v>13098</v>
      </c>
      <c r="C2912" t="s">
        <v>2419</v>
      </c>
      <c r="D2912" t="s">
        <v>13099</v>
      </c>
      <c r="E2912" s="28"/>
      <c r="F2912" t="s">
        <v>252</v>
      </c>
      <c r="G2912" t="s">
        <v>129</v>
      </c>
      <c r="M2912" s="28" t="s">
        <v>802</v>
      </c>
      <c r="N2912" t="s">
        <v>313</v>
      </c>
    </row>
    <row r="2913" spans="1:14" hidden="1" x14ac:dyDescent="0.25">
      <c r="A2913" t="s">
        <v>13912</v>
      </c>
      <c r="B2913" t="s">
        <v>13098</v>
      </c>
      <c r="C2913" t="s">
        <v>6510</v>
      </c>
      <c r="D2913" t="s">
        <v>13913</v>
      </c>
      <c r="E2913" s="28" t="s">
        <v>890</v>
      </c>
      <c r="F2913" t="s">
        <v>429</v>
      </c>
      <c r="G2913" t="s">
        <v>11</v>
      </c>
      <c r="M2913" s="28" t="s">
        <v>413</v>
      </c>
      <c r="N2913" t="s">
        <v>313</v>
      </c>
    </row>
    <row r="2914" spans="1:14" hidden="1" x14ac:dyDescent="0.25">
      <c r="A2914" t="s">
        <v>7968</v>
      </c>
      <c r="B2914" t="s">
        <v>976</v>
      </c>
      <c r="C2914" t="s">
        <v>977</v>
      </c>
      <c r="D2914" t="s">
        <v>978</v>
      </c>
      <c r="E2914" s="28" t="s">
        <v>890</v>
      </c>
      <c r="F2914" t="s">
        <v>897</v>
      </c>
      <c r="G2914" t="s">
        <v>28</v>
      </c>
      <c r="M2914" s="28" t="s">
        <v>14241</v>
      </c>
      <c r="N2914" t="s">
        <v>14206</v>
      </c>
    </row>
    <row r="2915" spans="1:14" hidden="1" x14ac:dyDescent="0.25">
      <c r="A2915" t="s">
        <v>9733</v>
      </c>
      <c r="B2915" t="s">
        <v>5023</v>
      </c>
      <c r="C2915" t="s">
        <v>2582</v>
      </c>
      <c r="D2915" t="s">
        <v>5024</v>
      </c>
      <c r="E2915" s="28" t="s">
        <v>896</v>
      </c>
      <c r="F2915" t="s">
        <v>225</v>
      </c>
      <c r="G2915" t="s">
        <v>15</v>
      </c>
      <c r="M2915" s="28" t="s">
        <v>613</v>
      </c>
      <c r="N2915" t="s">
        <v>313</v>
      </c>
    </row>
    <row r="2916" spans="1:14" hidden="1" x14ac:dyDescent="0.25">
      <c r="A2916" t="s">
        <v>13914</v>
      </c>
      <c r="B2916" t="s">
        <v>13915</v>
      </c>
      <c r="C2916" t="s">
        <v>2543</v>
      </c>
      <c r="D2916" t="s">
        <v>13916</v>
      </c>
      <c r="E2916" s="28" t="s">
        <v>896</v>
      </c>
      <c r="F2916" t="s">
        <v>113</v>
      </c>
      <c r="G2916" t="s">
        <v>11</v>
      </c>
      <c r="M2916" s="28" t="s">
        <v>413</v>
      </c>
      <c r="N2916" t="s">
        <v>313</v>
      </c>
    </row>
    <row r="2917" spans="1:14" hidden="1" x14ac:dyDescent="0.25">
      <c r="A2917" t="s">
        <v>14174</v>
      </c>
      <c r="B2917" t="s">
        <v>14175</v>
      </c>
      <c r="C2917" t="s">
        <v>14176</v>
      </c>
      <c r="D2917" t="s">
        <v>14177</v>
      </c>
      <c r="E2917" s="28" t="s">
        <v>1177</v>
      </c>
      <c r="F2917" t="s">
        <v>225</v>
      </c>
      <c r="G2917" t="s">
        <v>15</v>
      </c>
      <c r="M2917" s="28" t="s">
        <v>613</v>
      </c>
      <c r="N2917" t="s">
        <v>313</v>
      </c>
    </row>
    <row r="2918" spans="1:14" hidden="1" x14ac:dyDescent="0.25">
      <c r="A2918" t="s">
        <v>10848</v>
      </c>
      <c r="B2918" t="s">
        <v>7436</v>
      </c>
      <c r="C2918" t="s">
        <v>7437</v>
      </c>
      <c r="D2918" t="s">
        <v>7438</v>
      </c>
      <c r="E2918" s="28" t="s">
        <v>890</v>
      </c>
      <c r="F2918" t="s">
        <v>263</v>
      </c>
      <c r="G2918" t="s">
        <v>157</v>
      </c>
      <c r="M2918" s="28" t="s">
        <v>840</v>
      </c>
      <c r="N2918" t="s">
        <v>382</v>
      </c>
    </row>
    <row r="2919" spans="1:14" hidden="1" x14ac:dyDescent="0.25">
      <c r="A2919" t="s">
        <v>8539</v>
      </c>
      <c r="B2919" t="s">
        <v>2459</v>
      </c>
      <c r="C2919" t="s">
        <v>1327</v>
      </c>
      <c r="D2919" t="s">
        <v>2460</v>
      </c>
      <c r="E2919" s="28" t="s">
        <v>896</v>
      </c>
      <c r="F2919" t="s">
        <v>479</v>
      </c>
      <c r="G2919" t="s">
        <v>11</v>
      </c>
      <c r="M2919" s="28" t="s">
        <v>413</v>
      </c>
      <c r="N2919" t="s">
        <v>313</v>
      </c>
    </row>
    <row r="2920" spans="1:14" hidden="1" x14ac:dyDescent="0.25">
      <c r="A2920" t="s">
        <v>8459</v>
      </c>
      <c r="B2920" t="s">
        <v>2202</v>
      </c>
      <c r="C2920" t="s">
        <v>1222</v>
      </c>
      <c r="D2920" t="s">
        <v>2267</v>
      </c>
      <c r="E2920" s="28" t="s">
        <v>890</v>
      </c>
      <c r="F2920" t="s">
        <v>408</v>
      </c>
      <c r="G2920" t="s">
        <v>65</v>
      </c>
      <c r="M2920" s="28" t="s">
        <v>14209</v>
      </c>
    </row>
    <row r="2921" spans="1:14" hidden="1" x14ac:dyDescent="0.25">
      <c r="A2921" t="s">
        <v>8454</v>
      </c>
      <c r="B2921" t="s">
        <v>2202</v>
      </c>
      <c r="C2921" t="s">
        <v>2063</v>
      </c>
      <c r="D2921" t="s">
        <v>2257</v>
      </c>
      <c r="E2921" s="28" t="s">
        <v>890</v>
      </c>
      <c r="F2921" t="s">
        <v>408</v>
      </c>
      <c r="G2921" t="s">
        <v>65</v>
      </c>
      <c r="M2921" s="28" t="s">
        <v>14209</v>
      </c>
    </row>
    <row r="2922" spans="1:14" hidden="1" x14ac:dyDescent="0.25">
      <c r="A2922" t="s">
        <v>8430</v>
      </c>
      <c r="B2922" t="s">
        <v>2202</v>
      </c>
      <c r="C2922" t="s">
        <v>1060</v>
      </c>
      <c r="D2922" t="s">
        <v>2203</v>
      </c>
      <c r="E2922" s="28" t="s">
        <v>890</v>
      </c>
      <c r="F2922" t="s">
        <v>408</v>
      </c>
      <c r="G2922" t="s">
        <v>65</v>
      </c>
      <c r="M2922" s="28" t="s">
        <v>14209</v>
      </c>
    </row>
    <row r="2923" spans="1:14" hidden="1" x14ac:dyDescent="0.25">
      <c r="A2923" t="s">
        <v>8458</v>
      </c>
      <c r="B2923" t="s">
        <v>2202</v>
      </c>
      <c r="C2923" t="s">
        <v>1643</v>
      </c>
      <c r="D2923" t="s">
        <v>2266</v>
      </c>
      <c r="E2923" s="28" t="s">
        <v>890</v>
      </c>
      <c r="F2923" t="s">
        <v>408</v>
      </c>
      <c r="G2923" t="s">
        <v>65</v>
      </c>
      <c r="M2923" s="28" t="s">
        <v>14209</v>
      </c>
    </row>
    <row r="2924" spans="1:14" hidden="1" x14ac:dyDescent="0.25">
      <c r="A2924" t="s">
        <v>9280</v>
      </c>
      <c r="B2924" t="s">
        <v>4060</v>
      </c>
      <c r="C2924" t="s">
        <v>3632</v>
      </c>
      <c r="D2924" t="s">
        <v>4061</v>
      </c>
      <c r="E2924" s="28" t="s">
        <v>890</v>
      </c>
      <c r="F2924" t="s">
        <v>891</v>
      </c>
      <c r="G2924" t="s">
        <v>88</v>
      </c>
      <c r="M2924" s="28" t="s">
        <v>549</v>
      </c>
      <c r="N2924" t="s">
        <v>313</v>
      </c>
    </row>
    <row r="2925" spans="1:14" hidden="1" x14ac:dyDescent="0.25">
      <c r="A2925" t="s">
        <v>9732</v>
      </c>
      <c r="B2925" t="s">
        <v>5021</v>
      </c>
      <c r="C2925" t="s">
        <v>974</v>
      </c>
      <c r="D2925" t="s">
        <v>5022</v>
      </c>
      <c r="E2925" s="28" t="s">
        <v>896</v>
      </c>
      <c r="F2925" t="s">
        <v>4610</v>
      </c>
      <c r="G2925" t="s">
        <v>15</v>
      </c>
      <c r="M2925" s="28" t="s">
        <v>613</v>
      </c>
      <c r="N2925" t="s">
        <v>313</v>
      </c>
    </row>
    <row r="2926" spans="1:14" hidden="1" x14ac:dyDescent="0.25">
      <c r="A2926" t="s">
        <v>9281</v>
      </c>
      <c r="B2926" t="s">
        <v>4062</v>
      </c>
      <c r="C2926" t="s">
        <v>3034</v>
      </c>
      <c r="D2926" t="s">
        <v>4063</v>
      </c>
      <c r="E2926" s="28" t="s">
        <v>896</v>
      </c>
      <c r="F2926" t="s">
        <v>891</v>
      </c>
      <c r="G2926" t="s">
        <v>88</v>
      </c>
      <c r="M2926" s="28" t="s">
        <v>549</v>
      </c>
      <c r="N2926" t="s">
        <v>313</v>
      </c>
    </row>
    <row r="2927" spans="1:14" hidden="1" x14ac:dyDescent="0.25">
      <c r="A2927" t="s">
        <v>9282</v>
      </c>
      <c r="B2927" t="s">
        <v>4064</v>
      </c>
      <c r="C2927" t="s">
        <v>2095</v>
      </c>
      <c r="D2927" t="s">
        <v>4065</v>
      </c>
      <c r="E2927" s="28" t="s">
        <v>890</v>
      </c>
      <c r="F2927" t="s">
        <v>891</v>
      </c>
      <c r="G2927" t="s">
        <v>88</v>
      </c>
      <c r="M2927" s="28" t="s">
        <v>549</v>
      </c>
      <c r="N2927" t="s">
        <v>313</v>
      </c>
    </row>
    <row r="2928" spans="1:14" hidden="1" x14ac:dyDescent="0.25">
      <c r="A2928" t="s">
        <v>9283</v>
      </c>
      <c r="B2928" t="s">
        <v>4064</v>
      </c>
      <c r="C2928" t="s">
        <v>1103</v>
      </c>
      <c r="D2928" t="s">
        <v>4066</v>
      </c>
      <c r="E2928" s="28" t="s">
        <v>890</v>
      </c>
      <c r="F2928" t="s">
        <v>891</v>
      </c>
      <c r="G2928" t="s">
        <v>88</v>
      </c>
      <c r="M2928" s="28" t="s">
        <v>549</v>
      </c>
      <c r="N2928" t="s">
        <v>313</v>
      </c>
    </row>
    <row r="2929" spans="1:14" hidden="1" x14ac:dyDescent="0.25">
      <c r="A2929" t="s">
        <v>14538</v>
      </c>
      <c r="B2929" t="s">
        <v>14539</v>
      </c>
      <c r="C2929" t="s">
        <v>14540</v>
      </c>
      <c r="D2929" t="s">
        <v>14541</v>
      </c>
      <c r="E2929" s="28" t="s">
        <v>1177</v>
      </c>
      <c r="F2929" t="s">
        <v>708</v>
      </c>
      <c r="G2929" t="s">
        <v>15</v>
      </c>
      <c r="M2929" s="28" t="s">
        <v>613</v>
      </c>
      <c r="N2929" t="s">
        <v>313</v>
      </c>
    </row>
    <row r="2930" spans="1:14" hidden="1" x14ac:dyDescent="0.25">
      <c r="A2930" t="s">
        <v>9731</v>
      </c>
      <c r="B2930" t="s">
        <v>5019</v>
      </c>
      <c r="C2930" t="s">
        <v>2582</v>
      </c>
      <c r="D2930" t="s">
        <v>5020</v>
      </c>
      <c r="E2930" s="28" t="s">
        <v>896</v>
      </c>
      <c r="F2930" t="s">
        <v>4586</v>
      </c>
      <c r="G2930" t="s">
        <v>15</v>
      </c>
      <c r="M2930" s="28" t="s">
        <v>613</v>
      </c>
      <c r="N2930" t="s">
        <v>313</v>
      </c>
    </row>
    <row r="2931" spans="1:14" hidden="1" x14ac:dyDescent="0.25">
      <c r="A2931" t="s">
        <v>14673</v>
      </c>
      <c r="B2931" t="s">
        <v>14674</v>
      </c>
      <c r="C2931" t="s">
        <v>1045</v>
      </c>
      <c r="D2931" t="s">
        <v>14675</v>
      </c>
      <c r="E2931" s="28" t="s">
        <v>1023</v>
      </c>
      <c r="F2931" t="s">
        <v>280</v>
      </c>
      <c r="G2931" t="s">
        <v>31</v>
      </c>
      <c r="M2931" s="28" t="s">
        <v>278</v>
      </c>
      <c r="N2931" t="s">
        <v>279</v>
      </c>
    </row>
    <row r="2932" spans="1:14" hidden="1" x14ac:dyDescent="0.25">
      <c r="A2932" t="s">
        <v>14676</v>
      </c>
      <c r="B2932" t="s">
        <v>14674</v>
      </c>
      <c r="C2932" t="s">
        <v>14677</v>
      </c>
      <c r="D2932" t="s">
        <v>14678</v>
      </c>
      <c r="E2932" s="28" t="s">
        <v>930</v>
      </c>
      <c r="F2932" t="s">
        <v>280</v>
      </c>
      <c r="G2932" t="s">
        <v>31</v>
      </c>
      <c r="M2932" s="28" t="s">
        <v>278</v>
      </c>
      <c r="N2932" t="s">
        <v>279</v>
      </c>
    </row>
    <row r="2933" spans="1:14" hidden="1" x14ac:dyDescent="0.25">
      <c r="A2933" t="s">
        <v>10700</v>
      </c>
      <c r="B2933" t="s">
        <v>7090</v>
      </c>
      <c r="C2933" t="s">
        <v>7091</v>
      </c>
      <c r="D2933" t="s">
        <v>7092</v>
      </c>
      <c r="E2933" s="28" t="s">
        <v>890</v>
      </c>
      <c r="F2933" t="s">
        <v>6901</v>
      </c>
      <c r="G2933" t="s">
        <v>6896</v>
      </c>
      <c r="M2933" s="28" t="s">
        <v>6897</v>
      </c>
      <c r="N2933" t="s">
        <v>279</v>
      </c>
    </row>
    <row r="2934" spans="1:14" hidden="1" x14ac:dyDescent="0.25">
      <c r="A2934" t="s">
        <v>13055</v>
      </c>
      <c r="B2934" t="s">
        <v>13056</v>
      </c>
      <c r="C2934" t="s">
        <v>1086</v>
      </c>
      <c r="D2934" t="s">
        <v>13057</v>
      </c>
      <c r="E2934" s="28" t="s">
        <v>896</v>
      </c>
      <c r="F2934" t="s">
        <v>243</v>
      </c>
      <c r="G2934" t="s">
        <v>15</v>
      </c>
      <c r="M2934" s="28" t="s">
        <v>613</v>
      </c>
      <c r="N2934" t="s">
        <v>313</v>
      </c>
    </row>
    <row r="2935" spans="1:14" hidden="1" x14ac:dyDescent="0.25">
      <c r="A2935" t="s">
        <v>9730</v>
      </c>
      <c r="B2935" t="s">
        <v>5017</v>
      </c>
      <c r="C2935" t="s">
        <v>4726</v>
      </c>
      <c r="D2935" t="s">
        <v>5018</v>
      </c>
      <c r="E2935" s="28" t="s">
        <v>890</v>
      </c>
      <c r="F2935" t="s">
        <v>4635</v>
      </c>
      <c r="G2935" t="s">
        <v>15</v>
      </c>
      <c r="M2935" s="28" t="s">
        <v>613</v>
      </c>
      <c r="N2935" t="s">
        <v>313</v>
      </c>
    </row>
    <row r="2936" spans="1:14" hidden="1" x14ac:dyDescent="0.25">
      <c r="A2936" t="s">
        <v>9729</v>
      </c>
      <c r="B2936" t="s">
        <v>5015</v>
      </c>
      <c r="C2936" t="s">
        <v>4655</v>
      </c>
      <c r="D2936" t="s">
        <v>5016</v>
      </c>
      <c r="E2936" s="28" t="s">
        <v>890</v>
      </c>
      <c r="F2936" t="s">
        <v>693</v>
      </c>
      <c r="G2936" t="s">
        <v>15</v>
      </c>
      <c r="M2936" s="28" t="s">
        <v>613</v>
      </c>
      <c r="N2936" t="s">
        <v>313</v>
      </c>
    </row>
    <row r="2937" spans="1:14" hidden="1" x14ac:dyDescent="0.25">
      <c r="A2937" t="s">
        <v>12983</v>
      </c>
      <c r="B2937" t="s">
        <v>12984</v>
      </c>
      <c r="C2937" t="s">
        <v>5034</v>
      </c>
      <c r="D2937" t="s">
        <v>12985</v>
      </c>
      <c r="E2937" s="28" t="s">
        <v>890</v>
      </c>
      <c r="F2937" t="s">
        <v>755</v>
      </c>
      <c r="G2937" t="s">
        <v>15</v>
      </c>
      <c r="M2937" s="28" t="s">
        <v>613</v>
      </c>
      <c r="N2937" t="s">
        <v>313</v>
      </c>
    </row>
    <row r="2938" spans="1:14" hidden="1" x14ac:dyDescent="0.25">
      <c r="A2938" t="s">
        <v>9728</v>
      </c>
      <c r="B2938" t="s">
        <v>5013</v>
      </c>
      <c r="C2938" t="s">
        <v>4606</v>
      </c>
      <c r="D2938" t="s">
        <v>5014</v>
      </c>
      <c r="E2938" s="28" t="s">
        <v>896</v>
      </c>
      <c r="F2938" t="s">
        <v>712</v>
      </c>
      <c r="G2938" t="s">
        <v>15</v>
      </c>
      <c r="M2938" s="28" t="s">
        <v>613</v>
      </c>
      <c r="N2938" t="s">
        <v>313</v>
      </c>
    </row>
    <row r="2939" spans="1:14" hidden="1" x14ac:dyDescent="0.25">
      <c r="A2939" t="s">
        <v>10919</v>
      </c>
      <c r="B2939" t="s">
        <v>10920</v>
      </c>
      <c r="C2939" t="s">
        <v>1312</v>
      </c>
      <c r="D2939" t="s">
        <v>10921</v>
      </c>
      <c r="E2939" s="28" t="s">
        <v>896</v>
      </c>
      <c r="F2939" t="s">
        <v>447</v>
      </c>
      <c r="G2939" t="s">
        <v>11</v>
      </c>
      <c r="M2939" s="28" t="s">
        <v>413</v>
      </c>
      <c r="N2939" t="s">
        <v>313</v>
      </c>
    </row>
    <row r="2940" spans="1:14" hidden="1" x14ac:dyDescent="0.25">
      <c r="A2940" t="s">
        <v>12986</v>
      </c>
      <c r="B2940" t="s">
        <v>12987</v>
      </c>
      <c r="C2940" t="s">
        <v>4536</v>
      </c>
      <c r="D2940" t="s">
        <v>12988</v>
      </c>
      <c r="E2940" s="28" t="s">
        <v>896</v>
      </c>
      <c r="F2940" t="s">
        <v>13217</v>
      </c>
      <c r="G2940" t="s">
        <v>15</v>
      </c>
      <c r="M2940" s="28" t="s">
        <v>613</v>
      </c>
      <c r="N2940" t="s">
        <v>313</v>
      </c>
    </row>
    <row r="2941" spans="1:14" hidden="1" x14ac:dyDescent="0.25">
      <c r="A2941" t="s">
        <v>9727</v>
      </c>
      <c r="B2941" t="s">
        <v>5011</v>
      </c>
      <c r="C2941" t="s">
        <v>4606</v>
      </c>
      <c r="D2941" t="s">
        <v>5012</v>
      </c>
      <c r="E2941" s="28" t="s">
        <v>896</v>
      </c>
      <c r="F2941" t="s">
        <v>688</v>
      </c>
      <c r="G2941" t="s">
        <v>15</v>
      </c>
      <c r="M2941" s="28" t="s">
        <v>613</v>
      </c>
      <c r="N2941" t="s">
        <v>313</v>
      </c>
    </row>
    <row r="2942" spans="1:14" hidden="1" x14ac:dyDescent="0.25">
      <c r="A2942" t="s">
        <v>13917</v>
      </c>
      <c r="B2942" t="s">
        <v>13918</v>
      </c>
      <c r="C2942" t="s">
        <v>4821</v>
      </c>
      <c r="D2942" t="s">
        <v>13919</v>
      </c>
      <c r="E2942" s="28" t="s">
        <v>896</v>
      </c>
      <c r="F2942" t="s">
        <v>676</v>
      </c>
      <c r="G2942" t="s">
        <v>15</v>
      </c>
      <c r="M2942" s="28" t="s">
        <v>613</v>
      </c>
      <c r="N2942" t="s">
        <v>313</v>
      </c>
    </row>
    <row r="2943" spans="1:14" hidden="1" x14ac:dyDescent="0.25">
      <c r="A2943" t="s">
        <v>14679</v>
      </c>
      <c r="B2943" t="s">
        <v>14680</v>
      </c>
      <c r="C2943" t="s">
        <v>1058</v>
      </c>
      <c r="D2943" t="s">
        <v>14681</v>
      </c>
      <c r="E2943" s="28" t="s">
        <v>896</v>
      </c>
      <c r="F2943" t="s">
        <v>891</v>
      </c>
      <c r="G2943" t="s">
        <v>11</v>
      </c>
      <c r="M2943" s="28" t="s">
        <v>413</v>
      </c>
      <c r="N2943" t="s">
        <v>313</v>
      </c>
    </row>
    <row r="2944" spans="1:14" hidden="1" x14ac:dyDescent="0.25">
      <c r="A2944" t="s">
        <v>13920</v>
      </c>
      <c r="B2944" t="s">
        <v>13921</v>
      </c>
      <c r="C2944" t="s">
        <v>1070</v>
      </c>
      <c r="D2944" t="s">
        <v>13922</v>
      </c>
      <c r="E2944" s="28" t="s">
        <v>896</v>
      </c>
      <c r="F2944" t="s">
        <v>819</v>
      </c>
      <c r="G2944" t="s">
        <v>98</v>
      </c>
      <c r="M2944" s="28" t="s">
        <v>820</v>
      </c>
      <c r="N2944" t="s">
        <v>313</v>
      </c>
    </row>
    <row r="2945" spans="1:14" hidden="1" x14ac:dyDescent="0.25">
      <c r="A2945" t="s">
        <v>9493</v>
      </c>
      <c r="B2945" t="s">
        <v>4481</v>
      </c>
      <c r="C2945" t="s">
        <v>3009</v>
      </c>
      <c r="D2945" t="s">
        <v>4482</v>
      </c>
      <c r="E2945" s="28" t="s">
        <v>890</v>
      </c>
      <c r="F2945" t="s">
        <v>588</v>
      </c>
      <c r="G2945" t="s">
        <v>88</v>
      </c>
      <c r="M2945" s="28" t="s">
        <v>549</v>
      </c>
      <c r="N2945" t="s">
        <v>313</v>
      </c>
    </row>
    <row r="2946" spans="1:14" hidden="1" x14ac:dyDescent="0.25">
      <c r="A2946" t="s">
        <v>9726</v>
      </c>
      <c r="B2946" t="s">
        <v>5009</v>
      </c>
      <c r="C2946" t="s">
        <v>1616</v>
      </c>
      <c r="D2946" t="s">
        <v>5010</v>
      </c>
      <c r="E2946" s="28" t="s">
        <v>896</v>
      </c>
      <c r="F2946" t="s">
        <v>4635</v>
      </c>
      <c r="G2946" t="s">
        <v>15</v>
      </c>
      <c r="M2946" s="28" t="s">
        <v>613</v>
      </c>
      <c r="N2946" t="s">
        <v>313</v>
      </c>
    </row>
    <row r="2947" spans="1:14" hidden="1" x14ac:dyDescent="0.25">
      <c r="A2947" t="s">
        <v>9725</v>
      </c>
      <c r="B2947" t="s">
        <v>5007</v>
      </c>
      <c r="C2947" t="s">
        <v>2184</v>
      </c>
      <c r="D2947" t="s">
        <v>5008</v>
      </c>
      <c r="E2947" s="28" t="s">
        <v>896</v>
      </c>
      <c r="F2947" t="s">
        <v>221</v>
      </c>
      <c r="G2947" t="s">
        <v>15</v>
      </c>
      <c r="M2947" s="28" t="s">
        <v>613</v>
      </c>
      <c r="N2947" t="s">
        <v>313</v>
      </c>
    </row>
    <row r="2948" spans="1:14" hidden="1" x14ac:dyDescent="0.25">
      <c r="A2948" t="s">
        <v>8308</v>
      </c>
      <c r="B2948" t="s">
        <v>1892</v>
      </c>
      <c r="C2948" t="s">
        <v>1893</v>
      </c>
      <c r="D2948" t="s">
        <v>1894</v>
      </c>
      <c r="E2948" s="28" t="s">
        <v>890</v>
      </c>
      <c r="F2948" t="s">
        <v>1627</v>
      </c>
      <c r="G2948" t="s">
        <v>43</v>
      </c>
      <c r="M2948" s="28" t="s">
        <v>14205</v>
      </c>
    </row>
    <row r="2949" spans="1:14" hidden="1" x14ac:dyDescent="0.25">
      <c r="A2949" t="s">
        <v>8218</v>
      </c>
      <c r="B2949" t="s">
        <v>1667</v>
      </c>
      <c r="C2949" t="s">
        <v>928</v>
      </c>
      <c r="D2949" t="s">
        <v>1668</v>
      </c>
      <c r="E2949" s="28" t="s">
        <v>890</v>
      </c>
      <c r="F2949" t="s">
        <v>349</v>
      </c>
      <c r="G2949" t="s">
        <v>43</v>
      </c>
      <c r="M2949" s="28" t="s">
        <v>14205</v>
      </c>
    </row>
    <row r="2950" spans="1:14" hidden="1" x14ac:dyDescent="0.25">
      <c r="A2950" t="s">
        <v>11975</v>
      </c>
      <c r="B2950" t="s">
        <v>11976</v>
      </c>
      <c r="C2950" t="s">
        <v>11977</v>
      </c>
      <c r="D2950" t="s">
        <v>11978</v>
      </c>
      <c r="E2950" s="28" t="s">
        <v>1023</v>
      </c>
      <c r="F2950" t="s">
        <v>813</v>
      </c>
      <c r="G2950" t="s">
        <v>137</v>
      </c>
      <c r="M2950" s="28" t="s">
        <v>805</v>
      </c>
      <c r="N2950" t="s">
        <v>313</v>
      </c>
    </row>
    <row r="2951" spans="1:14" hidden="1" x14ac:dyDescent="0.25">
      <c r="A2951" t="s">
        <v>9724</v>
      </c>
      <c r="B2951" t="s">
        <v>5005</v>
      </c>
      <c r="C2951" t="s">
        <v>2582</v>
      </c>
      <c r="D2951" t="s">
        <v>5006</v>
      </c>
      <c r="E2951" s="28" t="s">
        <v>896</v>
      </c>
      <c r="F2951" t="s">
        <v>208</v>
      </c>
      <c r="G2951" t="s">
        <v>15</v>
      </c>
      <c r="M2951" s="28" t="s">
        <v>613</v>
      </c>
      <c r="N2951" t="s">
        <v>313</v>
      </c>
    </row>
    <row r="2952" spans="1:14" hidden="1" x14ac:dyDescent="0.25">
      <c r="A2952" t="s">
        <v>8070</v>
      </c>
      <c r="B2952" t="s">
        <v>1287</v>
      </c>
      <c r="C2952" t="s">
        <v>1288</v>
      </c>
      <c r="D2952" t="s">
        <v>1289</v>
      </c>
      <c r="E2952" s="28" t="s">
        <v>930</v>
      </c>
      <c r="F2952" t="s">
        <v>35</v>
      </c>
      <c r="G2952" t="s">
        <v>34</v>
      </c>
      <c r="M2952" s="28" t="s">
        <v>12353</v>
      </c>
      <c r="N2952" t="s">
        <v>313</v>
      </c>
    </row>
    <row r="2953" spans="1:14" hidden="1" x14ac:dyDescent="0.25">
      <c r="A2953" t="s">
        <v>9723</v>
      </c>
      <c r="B2953" t="s">
        <v>2718</v>
      </c>
      <c r="C2953" t="s">
        <v>5003</v>
      </c>
      <c r="D2953" t="s">
        <v>5004</v>
      </c>
      <c r="E2953" s="28" t="s">
        <v>896</v>
      </c>
      <c r="F2953" t="s">
        <v>676</v>
      </c>
      <c r="G2953" t="s">
        <v>15</v>
      </c>
      <c r="M2953" s="28" t="s">
        <v>613</v>
      </c>
      <c r="N2953" t="s">
        <v>313</v>
      </c>
    </row>
    <row r="2954" spans="1:14" hidden="1" x14ac:dyDescent="0.25">
      <c r="A2954" t="s">
        <v>8645</v>
      </c>
      <c r="B2954" t="s">
        <v>2718</v>
      </c>
      <c r="C2954" t="s">
        <v>968</v>
      </c>
      <c r="D2954" t="s">
        <v>2720</v>
      </c>
      <c r="E2954" s="28" t="s">
        <v>896</v>
      </c>
      <c r="F2954" t="s">
        <v>2427</v>
      </c>
      <c r="G2954" t="s">
        <v>74</v>
      </c>
      <c r="M2954" s="28" t="s">
        <v>507</v>
      </c>
      <c r="N2954" t="s">
        <v>313</v>
      </c>
    </row>
    <row r="2955" spans="1:14" hidden="1" x14ac:dyDescent="0.25">
      <c r="A2955" t="s">
        <v>10574</v>
      </c>
      <c r="B2955" t="s">
        <v>2718</v>
      </c>
      <c r="C2955" t="s">
        <v>6804</v>
      </c>
      <c r="D2955" t="s">
        <v>6805</v>
      </c>
      <c r="E2955" s="28" t="s">
        <v>896</v>
      </c>
      <c r="F2955" t="s">
        <v>6631</v>
      </c>
      <c r="G2955" t="s">
        <v>137</v>
      </c>
      <c r="M2955" s="28" t="s">
        <v>805</v>
      </c>
      <c r="N2955" t="s">
        <v>313</v>
      </c>
    </row>
    <row r="2956" spans="1:14" hidden="1" x14ac:dyDescent="0.25">
      <c r="A2956" t="s">
        <v>11652</v>
      </c>
      <c r="B2956" t="s">
        <v>11653</v>
      </c>
      <c r="C2956" t="s">
        <v>2627</v>
      </c>
      <c r="D2956" t="s">
        <v>2719</v>
      </c>
      <c r="E2956" s="28" t="s">
        <v>930</v>
      </c>
      <c r="F2956" t="s">
        <v>170</v>
      </c>
      <c r="G2956" t="s">
        <v>74</v>
      </c>
      <c r="M2956" s="28" t="s">
        <v>507</v>
      </c>
      <c r="N2956" t="s">
        <v>313</v>
      </c>
    </row>
    <row r="2957" spans="1:14" hidden="1" x14ac:dyDescent="0.25">
      <c r="A2957" t="s">
        <v>9722</v>
      </c>
      <c r="B2957" t="s">
        <v>5001</v>
      </c>
      <c r="C2957" t="s">
        <v>894</v>
      </c>
      <c r="D2957" t="s">
        <v>5002</v>
      </c>
      <c r="E2957" s="28" t="s">
        <v>890</v>
      </c>
      <c r="F2957" t="s">
        <v>204</v>
      </c>
      <c r="G2957" t="s">
        <v>15</v>
      </c>
      <c r="M2957" s="28" t="s">
        <v>613</v>
      </c>
      <c r="N2957" t="s">
        <v>313</v>
      </c>
    </row>
    <row r="2958" spans="1:14" hidden="1" x14ac:dyDescent="0.25">
      <c r="A2958" t="s">
        <v>13372</v>
      </c>
      <c r="B2958" t="s">
        <v>13373</v>
      </c>
      <c r="C2958" t="s">
        <v>13374</v>
      </c>
      <c r="D2958" t="s">
        <v>13375</v>
      </c>
      <c r="E2958" s="28" t="s">
        <v>890</v>
      </c>
      <c r="F2958" t="s">
        <v>4610</v>
      </c>
      <c r="G2958" t="s">
        <v>15</v>
      </c>
      <c r="M2958" s="28" t="s">
        <v>613</v>
      </c>
      <c r="N2958" t="s">
        <v>313</v>
      </c>
    </row>
    <row r="2959" spans="1:14" hidden="1" x14ac:dyDescent="0.25">
      <c r="A2959" t="s">
        <v>10545</v>
      </c>
      <c r="B2959" t="s">
        <v>6751</v>
      </c>
      <c r="C2959" t="s">
        <v>6740</v>
      </c>
      <c r="D2959" t="s">
        <v>6752</v>
      </c>
      <c r="E2959" s="28" t="s">
        <v>896</v>
      </c>
      <c r="F2959" t="s">
        <v>253</v>
      </c>
      <c r="G2959" t="s">
        <v>137</v>
      </c>
      <c r="M2959" s="28" t="s">
        <v>805</v>
      </c>
      <c r="N2959" t="s">
        <v>313</v>
      </c>
    </row>
    <row r="2960" spans="1:14" hidden="1" x14ac:dyDescent="0.25">
      <c r="A2960" t="s">
        <v>8653</v>
      </c>
      <c r="B2960" t="s">
        <v>2742</v>
      </c>
      <c r="C2960" t="s">
        <v>2743</v>
      </c>
      <c r="D2960" t="s">
        <v>2744</v>
      </c>
      <c r="E2960" s="28" t="s">
        <v>890</v>
      </c>
      <c r="F2960" t="s">
        <v>172</v>
      </c>
      <c r="G2960" t="s">
        <v>74</v>
      </c>
      <c r="M2960" s="28" t="s">
        <v>507</v>
      </c>
      <c r="N2960" t="s">
        <v>313</v>
      </c>
    </row>
    <row r="2961" spans="1:14" hidden="1" x14ac:dyDescent="0.25">
      <c r="A2961" t="s">
        <v>10431</v>
      </c>
      <c r="B2961" t="s">
        <v>6449</v>
      </c>
      <c r="C2961" t="s">
        <v>1193</v>
      </c>
      <c r="D2961" t="s">
        <v>6450</v>
      </c>
      <c r="E2961" s="28" t="s">
        <v>896</v>
      </c>
      <c r="F2961" t="s">
        <v>794</v>
      </c>
      <c r="G2961" t="s">
        <v>21</v>
      </c>
      <c r="M2961" s="28" t="s">
        <v>791</v>
      </c>
      <c r="N2961" t="s">
        <v>313</v>
      </c>
    </row>
    <row r="2962" spans="1:14" hidden="1" x14ac:dyDescent="0.25">
      <c r="A2962" t="s">
        <v>13376</v>
      </c>
      <c r="B2962" t="s">
        <v>13377</v>
      </c>
      <c r="C2962" t="s">
        <v>4789</v>
      </c>
      <c r="D2962" t="s">
        <v>13378</v>
      </c>
      <c r="E2962" s="28" t="s">
        <v>896</v>
      </c>
      <c r="F2962" t="s">
        <v>688</v>
      </c>
      <c r="G2962" t="s">
        <v>15</v>
      </c>
      <c r="M2962" s="28" t="s">
        <v>613</v>
      </c>
      <c r="N2962" t="s">
        <v>313</v>
      </c>
    </row>
    <row r="2963" spans="1:14" hidden="1" x14ac:dyDescent="0.25">
      <c r="A2963" t="s">
        <v>14542</v>
      </c>
      <c r="B2963" t="s">
        <v>14543</v>
      </c>
      <c r="C2963" t="s">
        <v>4726</v>
      </c>
      <c r="D2963" t="s">
        <v>14544</v>
      </c>
      <c r="E2963" s="28" t="s">
        <v>890</v>
      </c>
      <c r="F2963" t="s">
        <v>715</v>
      </c>
      <c r="G2963" t="s">
        <v>15</v>
      </c>
      <c r="M2963" s="28" t="s">
        <v>613</v>
      </c>
      <c r="N2963" t="s">
        <v>313</v>
      </c>
    </row>
    <row r="2964" spans="1:14" hidden="1" x14ac:dyDescent="0.25">
      <c r="A2964" t="s">
        <v>9721</v>
      </c>
      <c r="B2964" t="s">
        <v>4999</v>
      </c>
      <c r="C2964" t="s">
        <v>2184</v>
      </c>
      <c r="D2964" t="s">
        <v>5000</v>
      </c>
      <c r="E2964" s="28" t="s">
        <v>896</v>
      </c>
      <c r="F2964" t="s">
        <v>623</v>
      </c>
      <c r="G2964" t="s">
        <v>15</v>
      </c>
      <c r="M2964" s="28" t="s">
        <v>613</v>
      </c>
      <c r="N2964" t="s">
        <v>313</v>
      </c>
    </row>
    <row r="2965" spans="1:14" hidden="1" x14ac:dyDescent="0.25">
      <c r="A2965" t="s">
        <v>12989</v>
      </c>
      <c r="B2965" t="s">
        <v>12990</v>
      </c>
      <c r="C2965" t="s">
        <v>2184</v>
      </c>
      <c r="D2965" t="s">
        <v>12991</v>
      </c>
      <c r="E2965" s="28" t="s">
        <v>890</v>
      </c>
      <c r="F2965" t="s">
        <v>12865</v>
      </c>
      <c r="G2965" t="s">
        <v>15</v>
      </c>
      <c r="M2965" s="28" t="s">
        <v>613</v>
      </c>
      <c r="N2965" t="s">
        <v>313</v>
      </c>
    </row>
    <row r="2966" spans="1:14" hidden="1" x14ac:dyDescent="0.25">
      <c r="A2966" t="s">
        <v>9720</v>
      </c>
      <c r="B2966" t="s">
        <v>4997</v>
      </c>
      <c r="C2966" t="s">
        <v>4857</v>
      </c>
      <c r="D2966" t="s">
        <v>4998</v>
      </c>
      <c r="E2966" s="28" t="s">
        <v>890</v>
      </c>
      <c r="F2966" t="s">
        <v>727</v>
      </c>
      <c r="G2966" t="s">
        <v>15</v>
      </c>
      <c r="M2966" s="28" t="s">
        <v>613</v>
      </c>
      <c r="N2966" t="s">
        <v>313</v>
      </c>
    </row>
    <row r="2967" spans="1:14" hidden="1" x14ac:dyDescent="0.25">
      <c r="A2967" t="s">
        <v>9284</v>
      </c>
      <c r="B2967" t="s">
        <v>4067</v>
      </c>
      <c r="C2967" t="s">
        <v>3034</v>
      </c>
      <c r="D2967" t="s">
        <v>4068</v>
      </c>
      <c r="E2967" s="28" t="s">
        <v>896</v>
      </c>
      <c r="F2967" t="s">
        <v>609</v>
      </c>
      <c r="G2967" t="s">
        <v>88</v>
      </c>
      <c r="M2967" s="28" t="s">
        <v>549</v>
      </c>
      <c r="N2967" t="s">
        <v>313</v>
      </c>
    </row>
    <row r="2968" spans="1:14" hidden="1" x14ac:dyDescent="0.25">
      <c r="A2968" t="s">
        <v>14545</v>
      </c>
      <c r="B2968" t="s">
        <v>14546</v>
      </c>
      <c r="C2968" t="s">
        <v>14547</v>
      </c>
      <c r="D2968" t="s">
        <v>14548</v>
      </c>
      <c r="E2968" s="28" t="s">
        <v>1177</v>
      </c>
      <c r="F2968" t="s">
        <v>13206</v>
      </c>
      <c r="G2968" t="s">
        <v>88</v>
      </c>
      <c r="M2968" s="28" t="s">
        <v>549</v>
      </c>
      <c r="N2968" t="s">
        <v>313</v>
      </c>
    </row>
    <row r="2969" spans="1:14" hidden="1" x14ac:dyDescent="0.25">
      <c r="A2969" t="s">
        <v>9285</v>
      </c>
      <c r="B2969" t="s">
        <v>4069</v>
      </c>
      <c r="C2969" t="s">
        <v>1103</v>
      </c>
      <c r="D2969" t="s">
        <v>4070</v>
      </c>
      <c r="E2969" s="28" t="s">
        <v>890</v>
      </c>
      <c r="F2969" t="s">
        <v>13206</v>
      </c>
      <c r="G2969" t="s">
        <v>88</v>
      </c>
      <c r="M2969" s="28" t="s">
        <v>549</v>
      </c>
      <c r="N2969" t="s">
        <v>313</v>
      </c>
    </row>
    <row r="2970" spans="1:14" hidden="1" x14ac:dyDescent="0.25">
      <c r="A2970" t="s">
        <v>14549</v>
      </c>
      <c r="B2970" t="s">
        <v>4069</v>
      </c>
      <c r="C2970" t="s">
        <v>3034</v>
      </c>
      <c r="D2970" t="s">
        <v>14550</v>
      </c>
      <c r="E2970" s="28" t="s">
        <v>1177</v>
      </c>
      <c r="F2970" t="s">
        <v>13206</v>
      </c>
      <c r="G2970" t="s">
        <v>88</v>
      </c>
      <c r="M2970" s="28" t="s">
        <v>549</v>
      </c>
      <c r="N2970" t="s">
        <v>313</v>
      </c>
    </row>
    <row r="2971" spans="1:14" hidden="1" x14ac:dyDescent="0.25">
      <c r="A2971" t="s">
        <v>9286</v>
      </c>
      <c r="B2971" t="s">
        <v>4071</v>
      </c>
      <c r="C2971" t="s">
        <v>4072</v>
      </c>
      <c r="D2971" t="s">
        <v>4073</v>
      </c>
      <c r="E2971" s="28" t="s">
        <v>890</v>
      </c>
      <c r="F2971" t="s">
        <v>891</v>
      </c>
      <c r="G2971" t="s">
        <v>88</v>
      </c>
      <c r="M2971" s="28" t="s">
        <v>549</v>
      </c>
      <c r="N2971" t="s">
        <v>313</v>
      </c>
    </row>
    <row r="2972" spans="1:14" hidden="1" x14ac:dyDescent="0.25">
      <c r="A2972" t="s">
        <v>9287</v>
      </c>
      <c r="B2972" t="s">
        <v>4074</v>
      </c>
      <c r="C2972" t="s">
        <v>3102</v>
      </c>
      <c r="D2972" t="s">
        <v>4075</v>
      </c>
      <c r="E2972" s="28" t="s">
        <v>890</v>
      </c>
      <c r="F2972" t="s">
        <v>891</v>
      </c>
      <c r="G2972" t="s">
        <v>88</v>
      </c>
      <c r="M2972" s="28" t="s">
        <v>549</v>
      </c>
      <c r="N2972" t="s">
        <v>313</v>
      </c>
    </row>
    <row r="2973" spans="1:14" hidden="1" x14ac:dyDescent="0.25">
      <c r="A2973" t="s">
        <v>9288</v>
      </c>
      <c r="B2973" t="s">
        <v>4074</v>
      </c>
      <c r="C2973" t="s">
        <v>3126</v>
      </c>
      <c r="D2973" t="s">
        <v>4076</v>
      </c>
      <c r="E2973" s="28" t="s">
        <v>890</v>
      </c>
      <c r="F2973" t="s">
        <v>891</v>
      </c>
      <c r="G2973" t="s">
        <v>88</v>
      </c>
      <c r="M2973" s="28" t="s">
        <v>549</v>
      </c>
      <c r="N2973" t="s">
        <v>313</v>
      </c>
    </row>
    <row r="2974" spans="1:14" hidden="1" x14ac:dyDescent="0.25">
      <c r="A2974" t="s">
        <v>9289</v>
      </c>
      <c r="B2974" t="s">
        <v>4077</v>
      </c>
      <c r="C2974" t="s">
        <v>4078</v>
      </c>
      <c r="D2974" t="s">
        <v>4079</v>
      </c>
      <c r="E2974" s="28" t="s">
        <v>896</v>
      </c>
      <c r="F2974" t="s">
        <v>698</v>
      </c>
      <c r="G2974" t="s">
        <v>88</v>
      </c>
      <c r="M2974" s="28" t="s">
        <v>549</v>
      </c>
      <c r="N2974" t="s">
        <v>313</v>
      </c>
    </row>
    <row r="2975" spans="1:14" hidden="1" x14ac:dyDescent="0.25">
      <c r="A2975" t="s">
        <v>9719</v>
      </c>
      <c r="B2975" t="s">
        <v>4995</v>
      </c>
      <c r="C2975" t="s">
        <v>1086</v>
      </c>
      <c r="D2975" t="s">
        <v>4996</v>
      </c>
      <c r="E2975" s="28" t="s">
        <v>890</v>
      </c>
      <c r="F2975" t="s">
        <v>625</v>
      </c>
      <c r="G2975" t="s">
        <v>15</v>
      </c>
      <c r="M2975" s="28" t="s">
        <v>613</v>
      </c>
      <c r="N2975" t="s">
        <v>313</v>
      </c>
    </row>
    <row r="2976" spans="1:14" hidden="1" x14ac:dyDescent="0.25">
      <c r="A2976" t="s">
        <v>13923</v>
      </c>
      <c r="B2976" t="s">
        <v>13924</v>
      </c>
      <c r="C2976" t="s">
        <v>4553</v>
      </c>
      <c r="D2976" t="s">
        <v>13925</v>
      </c>
      <c r="E2976" s="28" t="s">
        <v>890</v>
      </c>
      <c r="F2976" t="s">
        <v>4635</v>
      </c>
      <c r="G2976" t="s">
        <v>15</v>
      </c>
      <c r="M2976" s="28" t="s">
        <v>613</v>
      </c>
      <c r="N2976" t="s">
        <v>313</v>
      </c>
    </row>
    <row r="2977" spans="1:14" hidden="1" x14ac:dyDescent="0.25">
      <c r="A2977" t="s">
        <v>13926</v>
      </c>
      <c r="B2977" t="s">
        <v>13927</v>
      </c>
      <c r="C2977" t="s">
        <v>2184</v>
      </c>
      <c r="D2977" t="s">
        <v>13928</v>
      </c>
      <c r="E2977" s="28" t="s">
        <v>896</v>
      </c>
      <c r="F2977" t="s">
        <v>12865</v>
      </c>
      <c r="G2977" t="s">
        <v>15</v>
      </c>
      <c r="M2977" s="28" t="s">
        <v>613</v>
      </c>
      <c r="N2977" t="s">
        <v>313</v>
      </c>
    </row>
    <row r="2978" spans="1:14" hidden="1" x14ac:dyDescent="0.25">
      <c r="A2978" t="s">
        <v>9718</v>
      </c>
      <c r="B2978" t="s">
        <v>4993</v>
      </c>
      <c r="C2978" t="s">
        <v>4936</v>
      </c>
      <c r="D2978" t="s">
        <v>4994</v>
      </c>
      <c r="E2978" s="28" t="s">
        <v>896</v>
      </c>
      <c r="F2978" t="s">
        <v>13217</v>
      </c>
      <c r="G2978" t="s">
        <v>15</v>
      </c>
      <c r="M2978" s="28" t="s">
        <v>613</v>
      </c>
      <c r="N2978" t="s">
        <v>313</v>
      </c>
    </row>
    <row r="2979" spans="1:14" hidden="1" x14ac:dyDescent="0.25">
      <c r="A2979" t="s">
        <v>9290</v>
      </c>
      <c r="B2979" t="s">
        <v>4080</v>
      </c>
      <c r="C2979" t="s">
        <v>4081</v>
      </c>
      <c r="D2979" t="s">
        <v>4082</v>
      </c>
      <c r="E2979" s="28" t="s">
        <v>890</v>
      </c>
      <c r="F2979" t="s">
        <v>891</v>
      </c>
      <c r="G2979" t="s">
        <v>88</v>
      </c>
      <c r="M2979" s="28" t="s">
        <v>549</v>
      </c>
      <c r="N2979" t="s">
        <v>313</v>
      </c>
    </row>
    <row r="2980" spans="1:14" hidden="1" x14ac:dyDescent="0.25">
      <c r="A2980" t="s">
        <v>11349</v>
      </c>
      <c r="B2980" t="s">
        <v>11350</v>
      </c>
      <c r="C2980" t="s">
        <v>2638</v>
      </c>
      <c r="D2980" t="s">
        <v>11351</v>
      </c>
      <c r="E2980" s="28" t="s">
        <v>890</v>
      </c>
      <c r="F2980" t="s">
        <v>10963</v>
      </c>
      <c r="G2980" t="s">
        <v>84</v>
      </c>
      <c r="M2980" s="28" t="s">
        <v>14223</v>
      </c>
      <c r="N2980" t="s">
        <v>313</v>
      </c>
    </row>
    <row r="2981" spans="1:14" hidden="1" x14ac:dyDescent="0.25">
      <c r="A2981" t="s">
        <v>9291</v>
      </c>
      <c r="B2981" t="s">
        <v>4083</v>
      </c>
      <c r="C2981" t="s">
        <v>3762</v>
      </c>
      <c r="D2981" t="s">
        <v>4084</v>
      </c>
      <c r="E2981" s="28" t="s">
        <v>890</v>
      </c>
      <c r="F2981" t="s">
        <v>13206</v>
      </c>
      <c r="G2981" t="s">
        <v>88</v>
      </c>
      <c r="M2981" s="28" t="s">
        <v>549</v>
      </c>
      <c r="N2981" t="s">
        <v>313</v>
      </c>
    </row>
    <row r="2982" spans="1:14" hidden="1" x14ac:dyDescent="0.25">
      <c r="A2982" t="s">
        <v>8731</v>
      </c>
      <c r="B2982" t="s">
        <v>2929</v>
      </c>
      <c r="C2982" t="s">
        <v>1304</v>
      </c>
      <c r="D2982" t="s">
        <v>2930</v>
      </c>
      <c r="E2982" s="28" t="s">
        <v>896</v>
      </c>
      <c r="F2982" t="s">
        <v>13197</v>
      </c>
      <c r="G2982" t="s">
        <v>81</v>
      </c>
      <c r="M2982" s="28" t="s">
        <v>530</v>
      </c>
      <c r="N2982" t="s">
        <v>313</v>
      </c>
    </row>
    <row r="2983" spans="1:14" hidden="1" x14ac:dyDescent="0.25">
      <c r="A2983" t="s">
        <v>9292</v>
      </c>
      <c r="B2983" t="s">
        <v>4085</v>
      </c>
      <c r="C2983" t="s">
        <v>3161</v>
      </c>
      <c r="D2983" t="s">
        <v>4086</v>
      </c>
      <c r="E2983" s="28" t="s">
        <v>890</v>
      </c>
      <c r="F2983" t="s">
        <v>891</v>
      </c>
      <c r="G2983" t="s">
        <v>88</v>
      </c>
      <c r="M2983" s="28" t="s">
        <v>549</v>
      </c>
      <c r="N2983" t="s">
        <v>313</v>
      </c>
    </row>
    <row r="2984" spans="1:14" hidden="1" x14ac:dyDescent="0.25">
      <c r="A2984" t="s">
        <v>9293</v>
      </c>
      <c r="B2984" t="s">
        <v>4087</v>
      </c>
      <c r="C2984" t="s">
        <v>3183</v>
      </c>
      <c r="D2984" t="s">
        <v>4088</v>
      </c>
      <c r="E2984" s="28" t="s">
        <v>890</v>
      </c>
      <c r="F2984" t="s">
        <v>891</v>
      </c>
      <c r="G2984" t="s">
        <v>88</v>
      </c>
      <c r="M2984" s="28" t="s">
        <v>549</v>
      </c>
      <c r="N2984" t="s">
        <v>313</v>
      </c>
    </row>
    <row r="2985" spans="1:14" hidden="1" x14ac:dyDescent="0.25">
      <c r="A2985" t="s">
        <v>9294</v>
      </c>
      <c r="B2985" t="s">
        <v>4089</v>
      </c>
      <c r="C2985" t="s">
        <v>3021</v>
      </c>
      <c r="D2985" t="s">
        <v>4090</v>
      </c>
      <c r="E2985" s="28" t="s">
        <v>896</v>
      </c>
      <c r="F2985" t="s">
        <v>891</v>
      </c>
      <c r="G2985" t="s">
        <v>88</v>
      </c>
      <c r="M2985" s="28" t="s">
        <v>549</v>
      </c>
      <c r="N2985" t="s">
        <v>313</v>
      </c>
    </row>
    <row r="2986" spans="1:14" hidden="1" x14ac:dyDescent="0.25">
      <c r="A2986" t="s">
        <v>8711</v>
      </c>
      <c r="B2986" t="s">
        <v>2879</v>
      </c>
      <c r="C2986" t="s">
        <v>1406</v>
      </c>
      <c r="D2986" t="s">
        <v>2885</v>
      </c>
      <c r="E2986" s="28" t="s">
        <v>890</v>
      </c>
      <c r="F2986" t="s">
        <v>535</v>
      </c>
      <c r="G2986" t="s">
        <v>81</v>
      </c>
      <c r="M2986" s="28" t="s">
        <v>530</v>
      </c>
      <c r="N2986" t="s">
        <v>313</v>
      </c>
    </row>
    <row r="2987" spans="1:14" hidden="1" x14ac:dyDescent="0.25">
      <c r="A2987" t="s">
        <v>8708</v>
      </c>
      <c r="B2987" t="s">
        <v>2879</v>
      </c>
      <c r="C2987" t="s">
        <v>1391</v>
      </c>
      <c r="D2987" t="s">
        <v>2880</v>
      </c>
      <c r="E2987" s="28" t="s">
        <v>896</v>
      </c>
      <c r="F2987" t="s">
        <v>535</v>
      </c>
      <c r="G2987" t="s">
        <v>81</v>
      </c>
      <c r="M2987" s="28" t="s">
        <v>530</v>
      </c>
      <c r="N2987" t="s">
        <v>313</v>
      </c>
    </row>
    <row r="2988" spans="1:14" hidden="1" x14ac:dyDescent="0.25">
      <c r="A2988" t="s">
        <v>9717</v>
      </c>
      <c r="B2988" t="s">
        <v>4991</v>
      </c>
      <c r="C2988" t="s">
        <v>4553</v>
      </c>
      <c r="D2988" t="s">
        <v>4992</v>
      </c>
      <c r="E2988" s="28" t="s">
        <v>896</v>
      </c>
      <c r="F2988" t="s">
        <v>197</v>
      </c>
      <c r="G2988" t="s">
        <v>15</v>
      </c>
      <c r="M2988" s="28" t="s">
        <v>613</v>
      </c>
      <c r="N2988" t="s">
        <v>313</v>
      </c>
    </row>
    <row r="2989" spans="1:14" hidden="1" x14ac:dyDescent="0.25">
      <c r="A2989" t="s">
        <v>9716</v>
      </c>
      <c r="B2989" t="s">
        <v>4989</v>
      </c>
      <c r="C2989" t="s">
        <v>2760</v>
      </c>
      <c r="D2989" t="s">
        <v>4990</v>
      </c>
      <c r="E2989" s="28" t="s">
        <v>896</v>
      </c>
      <c r="F2989" t="s">
        <v>4648</v>
      </c>
      <c r="G2989" t="s">
        <v>15</v>
      </c>
      <c r="M2989" s="28" t="s">
        <v>613</v>
      </c>
      <c r="N2989" t="s">
        <v>313</v>
      </c>
    </row>
    <row r="2990" spans="1:14" hidden="1" x14ac:dyDescent="0.25">
      <c r="A2990" t="s">
        <v>10786</v>
      </c>
      <c r="B2990" t="s">
        <v>7295</v>
      </c>
      <c r="C2990" t="s">
        <v>1060</v>
      </c>
      <c r="D2990" t="s">
        <v>7296</v>
      </c>
      <c r="E2990" s="28" t="s">
        <v>890</v>
      </c>
      <c r="F2990" t="s">
        <v>532</v>
      </c>
      <c r="G2990" t="s">
        <v>7297</v>
      </c>
      <c r="M2990" s="28" t="s">
        <v>14245</v>
      </c>
    </row>
    <row r="2991" spans="1:14" hidden="1" x14ac:dyDescent="0.25">
      <c r="A2991" t="s">
        <v>8122</v>
      </c>
      <c r="B2991" t="s">
        <v>1427</v>
      </c>
      <c r="C2991" t="s">
        <v>1428</v>
      </c>
      <c r="D2991" t="s">
        <v>1429</v>
      </c>
      <c r="E2991" s="28" t="s">
        <v>890</v>
      </c>
      <c r="F2991" t="s">
        <v>644</v>
      </c>
      <c r="G2991" t="s">
        <v>38</v>
      </c>
      <c r="M2991" s="28"/>
    </row>
    <row r="2992" spans="1:14" hidden="1" x14ac:dyDescent="0.25">
      <c r="A2992" t="s">
        <v>9295</v>
      </c>
      <c r="B2992" t="s">
        <v>4091</v>
      </c>
      <c r="C2992" t="s">
        <v>3034</v>
      </c>
      <c r="D2992" t="s">
        <v>4092</v>
      </c>
      <c r="E2992" s="28" t="s">
        <v>896</v>
      </c>
      <c r="F2992" t="s">
        <v>550</v>
      </c>
      <c r="G2992" t="s">
        <v>88</v>
      </c>
      <c r="M2992" s="28" t="s">
        <v>549</v>
      </c>
      <c r="N2992" t="s">
        <v>313</v>
      </c>
    </row>
    <row r="2993" spans="1:14" hidden="1" x14ac:dyDescent="0.25">
      <c r="A2993" t="s">
        <v>10788</v>
      </c>
      <c r="B2993" t="s">
        <v>7302</v>
      </c>
      <c r="C2993" t="s">
        <v>2717</v>
      </c>
      <c r="D2993" t="s">
        <v>7303</v>
      </c>
      <c r="E2993" s="28" t="s">
        <v>930</v>
      </c>
      <c r="F2993" t="s">
        <v>7301</v>
      </c>
      <c r="G2993" t="s">
        <v>7297</v>
      </c>
      <c r="M2993" s="28" t="s">
        <v>14245</v>
      </c>
    </row>
    <row r="2994" spans="1:14" hidden="1" x14ac:dyDescent="0.25">
      <c r="A2994" t="s">
        <v>11163</v>
      </c>
      <c r="B2994" t="s">
        <v>11160</v>
      </c>
      <c r="C2994" t="s">
        <v>11164</v>
      </c>
      <c r="D2994" t="s">
        <v>11165</v>
      </c>
      <c r="E2994" s="28" t="s">
        <v>890</v>
      </c>
      <c r="F2994" t="s">
        <v>11526</v>
      </c>
      <c r="G2994" t="s">
        <v>84</v>
      </c>
      <c r="M2994" s="28" t="s">
        <v>14223</v>
      </c>
      <c r="N2994" t="s">
        <v>313</v>
      </c>
    </row>
    <row r="2995" spans="1:14" hidden="1" x14ac:dyDescent="0.25">
      <c r="A2995" t="s">
        <v>12842</v>
      </c>
      <c r="B2995" t="s">
        <v>11160</v>
      </c>
      <c r="C2995" t="s">
        <v>11183</v>
      </c>
      <c r="D2995" t="s">
        <v>11184</v>
      </c>
      <c r="E2995" s="28" t="s">
        <v>896</v>
      </c>
      <c r="F2995" t="s">
        <v>11185</v>
      </c>
      <c r="G2995" t="s">
        <v>84</v>
      </c>
      <c r="M2995" s="28" t="s">
        <v>14223</v>
      </c>
      <c r="N2995" t="s">
        <v>313</v>
      </c>
    </row>
    <row r="2996" spans="1:14" hidden="1" x14ac:dyDescent="0.25">
      <c r="A2996" t="s">
        <v>11159</v>
      </c>
      <c r="B2996" t="s">
        <v>11160</v>
      </c>
      <c r="C2996" t="s">
        <v>11161</v>
      </c>
      <c r="D2996" t="s">
        <v>11162</v>
      </c>
      <c r="E2996" s="28" t="s">
        <v>896</v>
      </c>
      <c r="F2996" t="s">
        <v>182</v>
      </c>
      <c r="G2996" t="s">
        <v>84</v>
      </c>
      <c r="M2996" s="28" t="s">
        <v>14223</v>
      </c>
      <c r="N2996" t="s">
        <v>313</v>
      </c>
    </row>
    <row r="2997" spans="1:14" hidden="1" x14ac:dyDescent="0.25">
      <c r="A2997" t="s">
        <v>11223</v>
      </c>
      <c r="B2997" t="s">
        <v>11160</v>
      </c>
      <c r="C2997" t="s">
        <v>2390</v>
      </c>
      <c r="D2997" t="s">
        <v>11224</v>
      </c>
      <c r="E2997" s="28" t="s">
        <v>930</v>
      </c>
      <c r="F2997" t="s">
        <v>11526</v>
      </c>
      <c r="G2997" t="s">
        <v>84</v>
      </c>
      <c r="M2997" s="28" t="s">
        <v>14223</v>
      </c>
      <c r="N2997" t="s">
        <v>313</v>
      </c>
    </row>
    <row r="2998" spans="1:14" hidden="1" x14ac:dyDescent="0.25">
      <c r="A2998" t="s">
        <v>9715</v>
      </c>
      <c r="B2998" t="s">
        <v>4987</v>
      </c>
      <c r="C2998" t="s">
        <v>1084</v>
      </c>
      <c r="D2998" t="s">
        <v>4988</v>
      </c>
      <c r="E2998" s="28" t="s">
        <v>890</v>
      </c>
      <c r="F2998" t="s">
        <v>685</v>
      </c>
      <c r="G2998" t="s">
        <v>15</v>
      </c>
      <c r="M2998" s="28" t="s">
        <v>613</v>
      </c>
      <c r="N2998" t="s">
        <v>313</v>
      </c>
    </row>
    <row r="2999" spans="1:14" hidden="1" x14ac:dyDescent="0.25">
      <c r="A2999" t="s">
        <v>11292</v>
      </c>
      <c r="B2999" t="s">
        <v>11293</v>
      </c>
      <c r="C2999" t="s">
        <v>7223</v>
      </c>
      <c r="D2999" t="s">
        <v>11294</v>
      </c>
      <c r="E2999" s="28" t="s">
        <v>930</v>
      </c>
      <c r="F2999" t="s">
        <v>11222</v>
      </c>
      <c r="G2999" t="s">
        <v>84</v>
      </c>
      <c r="M2999" s="28" t="s">
        <v>14223</v>
      </c>
      <c r="N2999" t="s">
        <v>313</v>
      </c>
    </row>
    <row r="3000" spans="1:14" hidden="1" x14ac:dyDescent="0.25">
      <c r="A3000" t="s">
        <v>9714</v>
      </c>
      <c r="B3000" t="s">
        <v>4983</v>
      </c>
      <c r="C3000" t="s">
        <v>4985</v>
      </c>
      <c r="D3000" t="s">
        <v>4986</v>
      </c>
      <c r="E3000" s="28" t="s">
        <v>890</v>
      </c>
      <c r="F3000" t="s">
        <v>651</v>
      </c>
      <c r="G3000" t="s">
        <v>15</v>
      </c>
      <c r="M3000" s="28" t="s">
        <v>613</v>
      </c>
      <c r="N3000" t="s">
        <v>313</v>
      </c>
    </row>
    <row r="3001" spans="1:14" hidden="1" x14ac:dyDescent="0.25">
      <c r="A3001" t="s">
        <v>9713</v>
      </c>
      <c r="B3001" t="s">
        <v>4983</v>
      </c>
      <c r="C3001" t="s">
        <v>4821</v>
      </c>
      <c r="D3001" t="s">
        <v>4984</v>
      </c>
      <c r="E3001" s="28" t="s">
        <v>896</v>
      </c>
      <c r="F3001" t="s">
        <v>651</v>
      </c>
      <c r="G3001" t="s">
        <v>15</v>
      </c>
      <c r="M3001" s="28" t="s">
        <v>613</v>
      </c>
      <c r="N3001" t="s">
        <v>313</v>
      </c>
    </row>
    <row r="3002" spans="1:14" hidden="1" x14ac:dyDescent="0.25">
      <c r="A3002" t="s">
        <v>8248</v>
      </c>
      <c r="B3002" t="s">
        <v>1748</v>
      </c>
      <c r="C3002" t="s">
        <v>1616</v>
      </c>
      <c r="D3002" t="s">
        <v>1749</v>
      </c>
      <c r="E3002" s="28" t="s">
        <v>890</v>
      </c>
      <c r="F3002" t="s">
        <v>891</v>
      </c>
      <c r="G3002" t="s">
        <v>43</v>
      </c>
      <c r="M3002" s="28" t="s">
        <v>14205</v>
      </c>
    </row>
    <row r="3003" spans="1:14" hidden="1" x14ac:dyDescent="0.25">
      <c r="A3003" t="s">
        <v>9712</v>
      </c>
      <c r="B3003" t="s">
        <v>4979</v>
      </c>
      <c r="C3003" t="s">
        <v>4981</v>
      </c>
      <c r="D3003" t="s">
        <v>4982</v>
      </c>
      <c r="E3003" s="28" t="s">
        <v>890</v>
      </c>
      <c r="F3003" t="s">
        <v>755</v>
      </c>
      <c r="G3003" t="s">
        <v>15</v>
      </c>
      <c r="M3003" s="28" t="s">
        <v>613</v>
      </c>
      <c r="N3003" t="s">
        <v>313</v>
      </c>
    </row>
    <row r="3004" spans="1:14" hidden="1" x14ac:dyDescent="0.25">
      <c r="A3004" t="s">
        <v>9711</v>
      </c>
      <c r="B3004" t="s">
        <v>4979</v>
      </c>
      <c r="C3004" t="s">
        <v>1629</v>
      </c>
      <c r="D3004" t="s">
        <v>4980</v>
      </c>
      <c r="E3004" s="28" t="s">
        <v>890</v>
      </c>
      <c r="F3004" t="s">
        <v>755</v>
      </c>
      <c r="G3004" t="s">
        <v>15</v>
      </c>
      <c r="M3004" s="28" t="s">
        <v>613</v>
      </c>
      <c r="N3004" t="s">
        <v>313</v>
      </c>
    </row>
    <row r="3005" spans="1:14" hidden="1" x14ac:dyDescent="0.25">
      <c r="A3005" t="s">
        <v>10524</v>
      </c>
      <c r="B3005" t="s">
        <v>6715</v>
      </c>
      <c r="C3005" t="s">
        <v>1639</v>
      </c>
      <c r="D3005" t="s">
        <v>6716</v>
      </c>
      <c r="E3005" s="28" t="s">
        <v>896</v>
      </c>
      <c r="F3005" t="s">
        <v>891</v>
      </c>
      <c r="G3005" t="s">
        <v>137</v>
      </c>
      <c r="M3005" s="28" t="s">
        <v>805</v>
      </c>
      <c r="N3005" t="s">
        <v>313</v>
      </c>
    </row>
    <row r="3006" spans="1:14" hidden="1" x14ac:dyDescent="0.25">
      <c r="A3006" t="s">
        <v>10525</v>
      </c>
      <c r="B3006" t="s">
        <v>6715</v>
      </c>
      <c r="C3006" t="s">
        <v>6701</v>
      </c>
      <c r="D3006" t="s">
        <v>6717</v>
      </c>
      <c r="E3006" s="28" t="s">
        <v>890</v>
      </c>
      <c r="F3006" t="s">
        <v>170</v>
      </c>
      <c r="G3006" t="s">
        <v>137</v>
      </c>
      <c r="M3006" s="28" t="s">
        <v>805</v>
      </c>
      <c r="N3006" t="s">
        <v>313</v>
      </c>
    </row>
    <row r="3007" spans="1:14" hidden="1" x14ac:dyDescent="0.25">
      <c r="A3007" t="s">
        <v>8481</v>
      </c>
      <c r="B3007" t="s">
        <v>2317</v>
      </c>
      <c r="C3007" t="s">
        <v>2318</v>
      </c>
      <c r="D3007" t="s">
        <v>2319</v>
      </c>
      <c r="E3007" s="28" t="s">
        <v>890</v>
      </c>
      <c r="F3007" t="s">
        <v>408</v>
      </c>
      <c r="G3007" t="s">
        <v>65</v>
      </c>
      <c r="M3007" s="28" t="s">
        <v>14209</v>
      </c>
    </row>
    <row r="3008" spans="1:14" hidden="1" x14ac:dyDescent="0.25">
      <c r="A3008" t="s">
        <v>9296</v>
      </c>
      <c r="B3008" t="s">
        <v>4093</v>
      </c>
      <c r="C3008" t="s">
        <v>3031</v>
      </c>
      <c r="D3008" t="s">
        <v>4094</v>
      </c>
      <c r="E3008" s="28" t="s">
        <v>896</v>
      </c>
      <c r="F3008" t="s">
        <v>577</v>
      </c>
      <c r="G3008" t="s">
        <v>88</v>
      </c>
      <c r="M3008" s="28" t="s">
        <v>549</v>
      </c>
      <c r="N3008" t="s">
        <v>313</v>
      </c>
    </row>
    <row r="3009" spans="1:14" hidden="1" x14ac:dyDescent="0.25">
      <c r="A3009" t="s">
        <v>9297</v>
      </c>
      <c r="B3009" t="s">
        <v>4093</v>
      </c>
      <c r="C3009" t="s">
        <v>3036</v>
      </c>
      <c r="D3009" t="s">
        <v>4095</v>
      </c>
      <c r="E3009" s="28" t="s">
        <v>890</v>
      </c>
      <c r="F3009" t="s">
        <v>577</v>
      </c>
      <c r="G3009" t="s">
        <v>88</v>
      </c>
      <c r="M3009" s="28" t="s">
        <v>549</v>
      </c>
      <c r="N3009" t="s">
        <v>313</v>
      </c>
    </row>
    <row r="3010" spans="1:14" hidden="1" x14ac:dyDescent="0.25">
      <c r="A3010" t="s">
        <v>10939</v>
      </c>
      <c r="B3010" t="s">
        <v>2947</v>
      </c>
      <c r="C3010" t="s">
        <v>10940</v>
      </c>
      <c r="D3010" t="s">
        <v>10941</v>
      </c>
      <c r="E3010" s="28" t="s">
        <v>890</v>
      </c>
      <c r="F3010" t="s">
        <v>2951</v>
      </c>
      <c r="G3010" t="s">
        <v>81</v>
      </c>
      <c r="M3010" s="28" t="s">
        <v>530</v>
      </c>
      <c r="N3010" t="s">
        <v>313</v>
      </c>
    </row>
    <row r="3011" spans="1:14" hidden="1" x14ac:dyDescent="0.25">
      <c r="A3011" t="s">
        <v>8740</v>
      </c>
      <c r="B3011" t="s">
        <v>2947</v>
      </c>
      <c r="C3011" t="s">
        <v>1296</v>
      </c>
      <c r="D3011" t="s">
        <v>2948</v>
      </c>
      <c r="E3011" s="28" t="s">
        <v>890</v>
      </c>
      <c r="F3011" t="s">
        <v>174</v>
      </c>
      <c r="G3011" t="s">
        <v>81</v>
      </c>
      <c r="M3011" s="28" t="s">
        <v>530</v>
      </c>
      <c r="N3011" t="s">
        <v>313</v>
      </c>
    </row>
    <row r="3012" spans="1:14" hidden="1" x14ac:dyDescent="0.25">
      <c r="A3012" t="s">
        <v>9298</v>
      </c>
      <c r="B3012" t="s">
        <v>4096</v>
      </c>
      <c r="C3012" t="s">
        <v>4097</v>
      </c>
      <c r="D3012" t="s">
        <v>4098</v>
      </c>
      <c r="E3012" s="28" t="s">
        <v>896</v>
      </c>
      <c r="F3012" t="s">
        <v>891</v>
      </c>
      <c r="G3012" t="s">
        <v>88</v>
      </c>
      <c r="M3012" s="28" t="s">
        <v>549</v>
      </c>
      <c r="N3012" t="s">
        <v>313</v>
      </c>
    </row>
    <row r="3013" spans="1:14" hidden="1" x14ac:dyDescent="0.25">
      <c r="A3013" t="s">
        <v>14367</v>
      </c>
      <c r="B3013" t="s">
        <v>14368</v>
      </c>
      <c r="C3013" t="s">
        <v>1487</v>
      </c>
      <c r="D3013" t="s">
        <v>11767</v>
      </c>
      <c r="E3013" s="28" t="s">
        <v>930</v>
      </c>
      <c r="F3013" t="s">
        <v>532</v>
      </c>
      <c r="G3013" t="s">
        <v>81</v>
      </c>
      <c r="M3013" s="28" t="s">
        <v>530</v>
      </c>
      <c r="N3013" t="s">
        <v>313</v>
      </c>
    </row>
    <row r="3014" spans="1:14" hidden="1" x14ac:dyDescent="0.25">
      <c r="A3014" t="s">
        <v>9299</v>
      </c>
      <c r="B3014" t="s">
        <v>4099</v>
      </c>
      <c r="C3014" t="s">
        <v>1103</v>
      </c>
      <c r="D3014" t="s">
        <v>4100</v>
      </c>
      <c r="E3014" s="28" t="s">
        <v>896</v>
      </c>
      <c r="F3014" t="s">
        <v>891</v>
      </c>
      <c r="G3014" t="s">
        <v>88</v>
      </c>
      <c r="M3014" s="28" t="s">
        <v>549</v>
      </c>
      <c r="N3014" t="s">
        <v>313</v>
      </c>
    </row>
    <row r="3015" spans="1:14" hidden="1" x14ac:dyDescent="0.25">
      <c r="A3015" t="s">
        <v>11034</v>
      </c>
      <c r="B3015" t="s">
        <v>11035</v>
      </c>
      <c r="C3015" t="s">
        <v>1357</v>
      </c>
      <c r="D3015" t="s">
        <v>11036</v>
      </c>
      <c r="E3015" s="28" t="s">
        <v>890</v>
      </c>
      <c r="F3015" t="s">
        <v>6584</v>
      </c>
      <c r="G3015" t="s">
        <v>84</v>
      </c>
      <c r="M3015" s="28" t="s">
        <v>14223</v>
      </c>
      <c r="N3015" t="s">
        <v>313</v>
      </c>
    </row>
    <row r="3016" spans="1:14" hidden="1" x14ac:dyDescent="0.25">
      <c r="A3016" t="s">
        <v>9710</v>
      </c>
      <c r="B3016" t="s">
        <v>4976</v>
      </c>
      <c r="C3016" t="s">
        <v>4977</v>
      </c>
      <c r="D3016" t="s">
        <v>4978</v>
      </c>
      <c r="E3016" s="28" t="s">
        <v>896</v>
      </c>
      <c r="F3016" t="s">
        <v>721</v>
      </c>
      <c r="G3016" t="s">
        <v>15</v>
      </c>
      <c r="M3016" s="28" t="s">
        <v>613</v>
      </c>
      <c r="N3016" t="s">
        <v>313</v>
      </c>
    </row>
    <row r="3017" spans="1:14" hidden="1" x14ac:dyDescent="0.25">
      <c r="A3017" t="s">
        <v>9709</v>
      </c>
      <c r="B3017" t="s">
        <v>4974</v>
      </c>
      <c r="C3017" t="s">
        <v>1483</v>
      </c>
      <c r="D3017" t="s">
        <v>4975</v>
      </c>
      <c r="E3017" s="28" t="s">
        <v>896</v>
      </c>
      <c r="F3017" t="s">
        <v>221</v>
      </c>
      <c r="G3017" t="s">
        <v>15</v>
      </c>
      <c r="M3017" s="28" t="s">
        <v>613</v>
      </c>
      <c r="N3017" t="s">
        <v>313</v>
      </c>
    </row>
    <row r="3018" spans="1:14" hidden="1" x14ac:dyDescent="0.25">
      <c r="A3018" t="s">
        <v>8330</v>
      </c>
      <c r="B3018" t="s">
        <v>1884</v>
      </c>
      <c r="C3018" t="s">
        <v>1424</v>
      </c>
      <c r="D3018" t="s">
        <v>1953</v>
      </c>
      <c r="E3018" s="28" t="s">
        <v>890</v>
      </c>
      <c r="F3018" t="s">
        <v>891</v>
      </c>
      <c r="G3018" t="s">
        <v>43</v>
      </c>
      <c r="M3018" s="28" t="s">
        <v>14205</v>
      </c>
    </row>
    <row r="3019" spans="1:14" hidden="1" x14ac:dyDescent="0.25">
      <c r="A3019" t="s">
        <v>8305</v>
      </c>
      <c r="B3019" t="s">
        <v>1884</v>
      </c>
      <c r="C3019" t="s">
        <v>1885</v>
      </c>
      <c r="D3019" t="s">
        <v>1886</v>
      </c>
      <c r="E3019" s="28" t="s">
        <v>890</v>
      </c>
      <c r="F3019" t="s">
        <v>369</v>
      </c>
      <c r="G3019" t="s">
        <v>43</v>
      </c>
      <c r="M3019" s="28" t="s">
        <v>14205</v>
      </c>
    </row>
    <row r="3020" spans="1:14" hidden="1" x14ac:dyDescent="0.25">
      <c r="A3020" t="s">
        <v>9300</v>
      </c>
      <c r="B3020" t="s">
        <v>4101</v>
      </c>
      <c r="C3020" t="s">
        <v>4102</v>
      </c>
      <c r="D3020" t="s">
        <v>4103</v>
      </c>
      <c r="E3020" s="28" t="s">
        <v>890</v>
      </c>
      <c r="F3020" t="s">
        <v>566</v>
      </c>
      <c r="G3020" t="s">
        <v>88</v>
      </c>
      <c r="M3020" s="28" t="s">
        <v>549</v>
      </c>
      <c r="N3020" t="s">
        <v>313</v>
      </c>
    </row>
    <row r="3021" spans="1:14" hidden="1" x14ac:dyDescent="0.25">
      <c r="A3021" t="s">
        <v>8600</v>
      </c>
      <c r="B3021" t="s">
        <v>2602</v>
      </c>
      <c r="C3021" t="s">
        <v>2603</v>
      </c>
      <c r="D3021" t="s">
        <v>2604</v>
      </c>
      <c r="E3021" s="28" t="s">
        <v>896</v>
      </c>
      <c r="F3021" t="s">
        <v>170</v>
      </c>
      <c r="G3021" t="s">
        <v>74</v>
      </c>
      <c r="M3021" s="28" t="s">
        <v>507</v>
      </c>
      <c r="N3021" t="s">
        <v>313</v>
      </c>
    </row>
    <row r="3022" spans="1:14" hidden="1" x14ac:dyDescent="0.25">
      <c r="A3022" t="s">
        <v>11318</v>
      </c>
      <c r="B3022" t="s">
        <v>11319</v>
      </c>
      <c r="C3022" t="s">
        <v>11320</v>
      </c>
      <c r="D3022" t="s">
        <v>11321</v>
      </c>
      <c r="E3022" s="28" t="s">
        <v>890</v>
      </c>
      <c r="F3022" t="s">
        <v>6584</v>
      </c>
      <c r="G3022" t="s">
        <v>84</v>
      </c>
      <c r="M3022" s="28" t="s">
        <v>14223</v>
      </c>
      <c r="N3022" t="s">
        <v>313</v>
      </c>
    </row>
    <row r="3023" spans="1:14" hidden="1" x14ac:dyDescent="0.25">
      <c r="A3023" t="s">
        <v>13049</v>
      </c>
      <c r="B3023" t="s">
        <v>13050</v>
      </c>
      <c r="C3023" t="s">
        <v>1854</v>
      </c>
      <c r="D3023" t="s">
        <v>13051</v>
      </c>
      <c r="E3023" s="28" t="s">
        <v>890</v>
      </c>
      <c r="F3023" t="s">
        <v>617</v>
      </c>
      <c r="G3023" t="s">
        <v>15</v>
      </c>
      <c r="M3023" s="28" t="s">
        <v>613</v>
      </c>
      <c r="N3023" t="s">
        <v>313</v>
      </c>
    </row>
    <row r="3024" spans="1:14" hidden="1" x14ac:dyDescent="0.25">
      <c r="A3024" t="s">
        <v>9708</v>
      </c>
      <c r="B3024" t="s">
        <v>4972</v>
      </c>
      <c r="C3024" t="s">
        <v>1180</v>
      </c>
      <c r="D3024" t="s">
        <v>4973</v>
      </c>
      <c r="E3024" s="28" t="s">
        <v>890</v>
      </c>
      <c r="F3024" t="s">
        <v>13348</v>
      </c>
      <c r="G3024" t="s">
        <v>15</v>
      </c>
      <c r="M3024" s="28" t="s">
        <v>613</v>
      </c>
      <c r="N3024" t="s">
        <v>313</v>
      </c>
    </row>
    <row r="3025" spans="1:14" hidden="1" x14ac:dyDescent="0.25">
      <c r="A3025" t="s">
        <v>9707</v>
      </c>
      <c r="B3025" t="s">
        <v>4970</v>
      </c>
      <c r="C3025" t="s">
        <v>4603</v>
      </c>
      <c r="D3025" t="s">
        <v>4971</v>
      </c>
      <c r="E3025" s="28" t="s">
        <v>896</v>
      </c>
      <c r="F3025" t="s">
        <v>771</v>
      </c>
      <c r="G3025" t="s">
        <v>15</v>
      </c>
      <c r="M3025" s="28" t="s">
        <v>613</v>
      </c>
      <c r="N3025" t="s">
        <v>313</v>
      </c>
    </row>
    <row r="3026" spans="1:14" hidden="1" x14ac:dyDescent="0.25">
      <c r="A3026" t="s">
        <v>12992</v>
      </c>
      <c r="B3026" t="s">
        <v>12993</v>
      </c>
      <c r="C3026" t="s">
        <v>4764</v>
      </c>
      <c r="D3026" t="s">
        <v>12994</v>
      </c>
      <c r="E3026" s="28" t="s">
        <v>890</v>
      </c>
      <c r="F3026" t="s">
        <v>4635</v>
      </c>
      <c r="G3026" t="s">
        <v>15</v>
      </c>
      <c r="M3026" s="28" t="s">
        <v>613</v>
      </c>
      <c r="N3026" t="s">
        <v>313</v>
      </c>
    </row>
    <row r="3027" spans="1:14" hidden="1" x14ac:dyDescent="0.25">
      <c r="A3027" t="s">
        <v>11341</v>
      </c>
      <c r="B3027" t="s">
        <v>11339</v>
      </c>
      <c r="C3027" t="s">
        <v>2237</v>
      </c>
      <c r="D3027" t="s">
        <v>11342</v>
      </c>
      <c r="E3027" s="28" t="s">
        <v>890</v>
      </c>
      <c r="F3027" t="s">
        <v>6584</v>
      </c>
      <c r="G3027" t="s">
        <v>84</v>
      </c>
      <c r="M3027" s="28" t="s">
        <v>14223</v>
      </c>
      <c r="N3027" t="s">
        <v>313</v>
      </c>
    </row>
    <row r="3028" spans="1:14" hidden="1" x14ac:dyDescent="0.25">
      <c r="A3028" t="s">
        <v>11338</v>
      </c>
      <c r="B3028" t="s">
        <v>11339</v>
      </c>
      <c r="C3028" t="s">
        <v>11264</v>
      </c>
      <c r="D3028" t="s">
        <v>11340</v>
      </c>
      <c r="E3028" s="28" t="s">
        <v>896</v>
      </c>
      <c r="F3028" t="s">
        <v>6584</v>
      </c>
      <c r="G3028" t="s">
        <v>84</v>
      </c>
      <c r="M3028" s="28" t="s">
        <v>14223</v>
      </c>
      <c r="N3028" t="s">
        <v>313</v>
      </c>
    </row>
    <row r="3029" spans="1:14" hidden="1" x14ac:dyDescent="0.25">
      <c r="A3029" t="s">
        <v>11128</v>
      </c>
      <c r="B3029" t="s">
        <v>11129</v>
      </c>
      <c r="C3029" t="s">
        <v>10956</v>
      </c>
      <c r="D3029" t="s">
        <v>11130</v>
      </c>
      <c r="E3029" s="28" t="s">
        <v>896</v>
      </c>
      <c r="F3029" t="s">
        <v>11127</v>
      </c>
      <c r="G3029" t="s">
        <v>84</v>
      </c>
      <c r="M3029" s="28" t="s">
        <v>14223</v>
      </c>
      <c r="N3029" t="s">
        <v>313</v>
      </c>
    </row>
    <row r="3030" spans="1:14" hidden="1" x14ac:dyDescent="0.25">
      <c r="A3030" t="s">
        <v>9706</v>
      </c>
      <c r="B3030" t="s">
        <v>4968</v>
      </c>
      <c r="C3030" t="s">
        <v>4549</v>
      </c>
      <c r="D3030" t="s">
        <v>4969</v>
      </c>
      <c r="E3030" s="28" t="s">
        <v>896</v>
      </c>
      <c r="F3030" t="s">
        <v>14114</v>
      </c>
      <c r="G3030" t="s">
        <v>15</v>
      </c>
      <c r="M3030" s="28" t="s">
        <v>613</v>
      </c>
      <c r="N3030" t="s">
        <v>313</v>
      </c>
    </row>
    <row r="3031" spans="1:14" hidden="1" x14ac:dyDescent="0.25">
      <c r="A3031" t="s">
        <v>9703</v>
      </c>
      <c r="B3031" t="s">
        <v>4962</v>
      </c>
      <c r="C3031" t="s">
        <v>4963</v>
      </c>
      <c r="D3031" t="s">
        <v>4964</v>
      </c>
      <c r="E3031" s="28" t="s">
        <v>890</v>
      </c>
      <c r="F3031" t="s">
        <v>651</v>
      </c>
      <c r="G3031" t="s">
        <v>15</v>
      </c>
      <c r="M3031" s="28" t="s">
        <v>613</v>
      </c>
      <c r="N3031" t="s">
        <v>313</v>
      </c>
    </row>
    <row r="3032" spans="1:14" hidden="1" x14ac:dyDescent="0.25">
      <c r="A3032" t="s">
        <v>9704</v>
      </c>
      <c r="B3032" t="s">
        <v>4962</v>
      </c>
      <c r="C3032" t="s">
        <v>4965</v>
      </c>
      <c r="D3032" t="s">
        <v>4966</v>
      </c>
      <c r="E3032" s="28" t="s">
        <v>896</v>
      </c>
      <c r="F3032" t="s">
        <v>195</v>
      </c>
      <c r="G3032" t="s">
        <v>15</v>
      </c>
      <c r="M3032" s="28" t="s">
        <v>613</v>
      </c>
      <c r="N3032" t="s">
        <v>313</v>
      </c>
    </row>
    <row r="3033" spans="1:14" hidden="1" x14ac:dyDescent="0.25">
      <c r="A3033" t="s">
        <v>9705</v>
      </c>
      <c r="B3033" t="s">
        <v>4962</v>
      </c>
      <c r="C3033" t="s">
        <v>2184</v>
      </c>
      <c r="D3033" t="s">
        <v>4967</v>
      </c>
      <c r="E3033" s="28" t="s">
        <v>890</v>
      </c>
      <c r="F3033" t="s">
        <v>654</v>
      </c>
      <c r="G3033" t="s">
        <v>15</v>
      </c>
      <c r="M3033" s="28" t="s">
        <v>613</v>
      </c>
      <c r="N3033" t="s">
        <v>313</v>
      </c>
    </row>
    <row r="3034" spans="1:14" hidden="1" x14ac:dyDescent="0.25">
      <c r="A3034" t="s">
        <v>9702</v>
      </c>
      <c r="B3034" t="s">
        <v>4960</v>
      </c>
      <c r="C3034" t="s">
        <v>4753</v>
      </c>
      <c r="D3034" t="s">
        <v>4961</v>
      </c>
      <c r="E3034" s="28" t="s">
        <v>896</v>
      </c>
      <c r="F3034" t="s">
        <v>4621</v>
      </c>
      <c r="G3034" t="s">
        <v>15</v>
      </c>
      <c r="M3034" s="28" t="s">
        <v>613</v>
      </c>
      <c r="N3034" t="s">
        <v>313</v>
      </c>
    </row>
    <row r="3035" spans="1:14" hidden="1" x14ac:dyDescent="0.25">
      <c r="A3035" t="s">
        <v>14369</v>
      </c>
      <c r="B3035" t="s">
        <v>14370</v>
      </c>
      <c r="C3035" t="s">
        <v>14371</v>
      </c>
      <c r="D3035" t="s">
        <v>14372</v>
      </c>
      <c r="E3035" s="28" t="s">
        <v>896</v>
      </c>
      <c r="F3035" t="s">
        <v>415</v>
      </c>
      <c r="G3035" t="s">
        <v>11</v>
      </c>
      <c r="M3035" s="28" t="s">
        <v>413</v>
      </c>
      <c r="N3035" t="s">
        <v>313</v>
      </c>
    </row>
    <row r="3036" spans="1:14" hidden="1" x14ac:dyDescent="0.25">
      <c r="A3036" t="s">
        <v>9301</v>
      </c>
      <c r="B3036" t="s">
        <v>4104</v>
      </c>
      <c r="C3036" t="s">
        <v>4105</v>
      </c>
      <c r="D3036" t="s">
        <v>4106</v>
      </c>
      <c r="E3036" s="28" t="s">
        <v>890</v>
      </c>
      <c r="F3036" t="s">
        <v>891</v>
      </c>
      <c r="G3036" t="s">
        <v>88</v>
      </c>
      <c r="M3036" s="28" t="s">
        <v>549</v>
      </c>
      <c r="N3036" t="s">
        <v>313</v>
      </c>
    </row>
    <row r="3037" spans="1:14" hidden="1" x14ac:dyDescent="0.25">
      <c r="A3037" t="s">
        <v>9302</v>
      </c>
      <c r="B3037" t="s">
        <v>4107</v>
      </c>
      <c r="C3037" t="s">
        <v>3738</v>
      </c>
      <c r="D3037" t="s">
        <v>4108</v>
      </c>
      <c r="E3037" s="28" t="s">
        <v>896</v>
      </c>
      <c r="F3037" t="s">
        <v>577</v>
      </c>
      <c r="G3037" t="s">
        <v>88</v>
      </c>
      <c r="M3037" s="28" t="s">
        <v>549</v>
      </c>
      <c r="N3037" t="s">
        <v>313</v>
      </c>
    </row>
    <row r="3038" spans="1:14" hidden="1" x14ac:dyDescent="0.25">
      <c r="A3038" t="s">
        <v>9303</v>
      </c>
      <c r="B3038" t="s">
        <v>4109</v>
      </c>
      <c r="C3038" t="s">
        <v>2095</v>
      </c>
      <c r="D3038" t="s">
        <v>4110</v>
      </c>
      <c r="E3038" s="28" t="s">
        <v>890</v>
      </c>
      <c r="F3038" t="s">
        <v>891</v>
      </c>
      <c r="G3038" t="s">
        <v>88</v>
      </c>
      <c r="M3038" s="28" t="s">
        <v>549</v>
      </c>
      <c r="N3038" t="s">
        <v>313</v>
      </c>
    </row>
    <row r="3039" spans="1:14" hidden="1" x14ac:dyDescent="0.25">
      <c r="A3039" t="s">
        <v>9304</v>
      </c>
      <c r="B3039" t="s">
        <v>4111</v>
      </c>
      <c r="C3039" t="s">
        <v>4112</v>
      </c>
      <c r="D3039" t="s">
        <v>4113</v>
      </c>
      <c r="E3039" s="28" t="s">
        <v>890</v>
      </c>
      <c r="F3039" t="s">
        <v>891</v>
      </c>
      <c r="G3039" t="s">
        <v>88</v>
      </c>
      <c r="M3039" s="28" t="s">
        <v>549</v>
      </c>
      <c r="N3039" t="s">
        <v>313</v>
      </c>
    </row>
    <row r="3040" spans="1:14" hidden="1" x14ac:dyDescent="0.25">
      <c r="A3040" t="s">
        <v>9305</v>
      </c>
      <c r="B3040" t="s">
        <v>4114</v>
      </c>
      <c r="C3040" t="s">
        <v>3651</v>
      </c>
      <c r="D3040" t="s">
        <v>4115</v>
      </c>
      <c r="E3040" s="28" t="s">
        <v>890</v>
      </c>
      <c r="F3040" t="s">
        <v>891</v>
      </c>
      <c r="G3040" t="s">
        <v>88</v>
      </c>
      <c r="M3040" s="28" t="s">
        <v>549</v>
      </c>
      <c r="N3040" t="s">
        <v>313</v>
      </c>
    </row>
    <row r="3041" spans="1:14" hidden="1" x14ac:dyDescent="0.25">
      <c r="A3041" t="s">
        <v>13310</v>
      </c>
      <c r="B3041" t="s">
        <v>13311</v>
      </c>
      <c r="C3041" t="s">
        <v>1060</v>
      </c>
      <c r="D3041" t="s">
        <v>13312</v>
      </c>
      <c r="E3041" s="28" t="s">
        <v>896</v>
      </c>
      <c r="F3041" t="s">
        <v>6584</v>
      </c>
      <c r="G3041" t="s">
        <v>84</v>
      </c>
      <c r="M3041" s="28" t="s">
        <v>14223</v>
      </c>
      <c r="N3041" t="s">
        <v>313</v>
      </c>
    </row>
    <row r="3042" spans="1:14" hidden="1" x14ac:dyDescent="0.25">
      <c r="A3042" t="s">
        <v>10791</v>
      </c>
      <c r="B3042" t="s">
        <v>7310</v>
      </c>
      <c r="C3042" t="s">
        <v>7311</v>
      </c>
      <c r="D3042" t="s">
        <v>7312</v>
      </c>
      <c r="E3042" s="28" t="s">
        <v>890</v>
      </c>
      <c r="F3042" t="s">
        <v>7301</v>
      </c>
      <c r="G3042" t="s">
        <v>7297</v>
      </c>
      <c r="M3042" s="28" t="s">
        <v>14245</v>
      </c>
    </row>
    <row r="3043" spans="1:14" hidden="1" x14ac:dyDescent="0.25">
      <c r="A3043" t="s">
        <v>9306</v>
      </c>
      <c r="B3043" t="s">
        <v>4116</v>
      </c>
      <c r="C3043" t="s">
        <v>4117</v>
      </c>
      <c r="D3043" t="s">
        <v>4118</v>
      </c>
      <c r="E3043" s="28" t="s">
        <v>896</v>
      </c>
      <c r="F3043" t="s">
        <v>891</v>
      </c>
      <c r="G3043" t="s">
        <v>88</v>
      </c>
      <c r="M3043" s="28" t="s">
        <v>549</v>
      </c>
      <c r="N3043" t="s">
        <v>313</v>
      </c>
    </row>
    <row r="3044" spans="1:14" hidden="1" x14ac:dyDescent="0.25">
      <c r="A3044" t="s">
        <v>9307</v>
      </c>
      <c r="B3044" t="s">
        <v>4119</v>
      </c>
      <c r="C3044" t="s">
        <v>3044</v>
      </c>
      <c r="D3044" t="s">
        <v>4120</v>
      </c>
      <c r="E3044" s="28" t="s">
        <v>896</v>
      </c>
      <c r="F3044" t="s">
        <v>597</v>
      </c>
      <c r="G3044" t="s">
        <v>88</v>
      </c>
      <c r="M3044" s="28" t="s">
        <v>549</v>
      </c>
      <c r="N3044" t="s">
        <v>313</v>
      </c>
    </row>
    <row r="3045" spans="1:14" hidden="1" x14ac:dyDescent="0.25">
      <c r="A3045" t="s">
        <v>13483</v>
      </c>
      <c r="B3045" t="s">
        <v>13484</v>
      </c>
      <c r="C3045" t="s">
        <v>13485</v>
      </c>
      <c r="D3045" t="s">
        <v>13486</v>
      </c>
      <c r="E3045" s="28" t="s">
        <v>890</v>
      </c>
      <c r="F3045" t="s">
        <v>13487</v>
      </c>
      <c r="G3045" t="s">
        <v>21</v>
      </c>
      <c r="M3045" s="28" t="s">
        <v>791</v>
      </c>
      <c r="N3045" t="s">
        <v>313</v>
      </c>
    </row>
    <row r="3046" spans="1:14" hidden="1" x14ac:dyDescent="0.25">
      <c r="A3046" t="s">
        <v>9308</v>
      </c>
      <c r="B3046" t="s">
        <v>4121</v>
      </c>
      <c r="C3046" t="s">
        <v>1103</v>
      </c>
      <c r="D3046" t="s">
        <v>4122</v>
      </c>
      <c r="E3046" s="28" t="s">
        <v>890</v>
      </c>
      <c r="F3046" t="s">
        <v>182</v>
      </c>
      <c r="G3046" t="s">
        <v>88</v>
      </c>
      <c r="M3046" s="28" t="s">
        <v>549</v>
      </c>
      <c r="N3046" t="s">
        <v>313</v>
      </c>
    </row>
    <row r="3047" spans="1:14" hidden="1" x14ac:dyDescent="0.25">
      <c r="A3047" t="s">
        <v>9309</v>
      </c>
      <c r="B3047" t="s">
        <v>4123</v>
      </c>
      <c r="C3047" t="s">
        <v>2111</v>
      </c>
      <c r="D3047" t="s">
        <v>4124</v>
      </c>
      <c r="E3047" s="28" t="s">
        <v>896</v>
      </c>
      <c r="F3047" t="s">
        <v>891</v>
      </c>
      <c r="G3047" t="s">
        <v>88</v>
      </c>
      <c r="M3047" s="28" t="s">
        <v>549</v>
      </c>
      <c r="N3047" t="s">
        <v>313</v>
      </c>
    </row>
    <row r="3048" spans="1:14" hidden="1" x14ac:dyDescent="0.25">
      <c r="A3048" t="s">
        <v>9310</v>
      </c>
      <c r="B3048" t="s">
        <v>4125</v>
      </c>
      <c r="C3048" t="s">
        <v>4126</v>
      </c>
      <c r="D3048" t="s">
        <v>4127</v>
      </c>
      <c r="E3048" s="28" t="s">
        <v>890</v>
      </c>
      <c r="F3048" t="s">
        <v>891</v>
      </c>
      <c r="G3048" t="s">
        <v>88</v>
      </c>
      <c r="M3048" s="28" t="s">
        <v>549</v>
      </c>
      <c r="N3048" t="s">
        <v>313</v>
      </c>
    </row>
    <row r="3049" spans="1:14" hidden="1" x14ac:dyDescent="0.25">
      <c r="A3049" t="s">
        <v>12499</v>
      </c>
      <c r="B3049" t="s">
        <v>4128</v>
      </c>
      <c r="C3049" t="s">
        <v>12500</v>
      </c>
      <c r="D3049" t="s">
        <v>4130</v>
      </c>
      <c r="E3049" s="28" t="s">
        <v>930</v>
      </c>
      <c r="F3049" t="s">
        <v>609</v>
      </c>
      <c r="G3049" t="s">
        <v>88</v>
      </c>
      <c r="M3049" s="28" t="s">
        <v>549</v>
      </c>
      <c r="N3049" t="s">
        <v>313</v>
      </c>
    </row>
    <row r="3050" spans="1:14" hidden="1" x14ac:dyDescent="0.25">
      <c r="A3050" t="s">
        <v>12498</v>
      </c>
      <c r="B3050" t="s">
        <v>4128</v>
      </c>
      <c r="C3050" t="s">
        <v>4383</v>
      </c>
      <c r="D3050" t="s">
        <v>4129</v>
      </c>
      <c r="E3050" s="28" t="s">
        <v>896</v>
      </c>
      <c r="F3050" t="s">
        <v>609</v>
      </c>
      <c r="G3050" t="s">
        <v>88</v>
      </c>
      <c r="M3050" s="28" t="s">
        <v>549</v>
      </c>
      <c r="N3050" t="s">
        <v>313</v>
      </c>
    </row>
    <row r="3051" spans="1:14" hidden="1" x14ac:dyDescent="0.25">
      <c r="A3051" t="s">
        <v>9311</v>
      </c>
      <c r="B3051" t="s">
        <v>4131</v>
      </c>
      <c r="C3051" t="s">
        <v>4132</v>
      </c>
      <c r="D3051" t="s">
        <v>4133</v>
      </c>
      <c r="E3051" s="28" t="s">
        <v>890</v>
      </c>
      <c r="F3051" t="s">
        <v>891</v>
      </c>
      <c r="G3051" t="s">
        <v>88</v>
      </c>
      <c r="M3051" s="28" t="s">
        <v>549</v>
      </c>
      <c r="N3051" t="s">
        <v>313</v>
      </c>
    </row>
    <row r="3052" spans="1:14" hidden="1" x14ac:dyDescent="0.25">
      <c r="A3052" t="s">
        <v>9312</v>
      </c>
      <c r="B3052" t="s">
        <v>4134</v>
      </c>
      <c r="C3052" t="s">
        <v>2108</v>
      </c>
      <c r="D3052" t="s">
        <v>4135</v>
      </c>
      <c r="E3052" s="28" t="s">
        <v>1023</v>
      </c>
      <c r="F3052" t="s">
        <v>891</v>
      </c>
      <c r="G3052" t="s">
        <v>88</v>
      </c>
      <c r="M3052" s="28" t="s">
        <v>549</v>
      </c>
      <c r="N3052" t="s">
        <v>313</v>
      </c>
    </row>
    <row r="3053" spans="1:14" hidden="1" x14ac:dyDescent="0.25">
      <c r="A3053" t="s">
        <v>9313</v>
      </c>
      <c r="B3053" t="s">
        <v>4134</v>
      </c>
      <c r="C3053" t="s">
        <v>3036</v>
      </c>
      <c r="D3053" t="s">
        <v>4136</v>
      </c>
      <c r="E3053" s="28" t="s">
        <v>896</v>
      </c>
      <c r="F3053" t="s">
        <v>588</v>
      </c>
      <c r="G3053" t="s">
        <v>88</v>
      </c>
      <c r="M3053" s="28" t="s">
        <v>549</v>
      </c>
      <c r="N3053" t="s">
        <v>313</v>
      </c>
    </row>
    <row r="3054" spans="1:14" hidden="1" x14ac:dyDescent="0.25">
      <c r="A3054" t="s">
        <v>8681</v>
      </c>
      <c r="B3054" t="s">
        <v>2810</v>
      </c>
      <c r="C3054" t="s">
        <v>2811</v>
      </c>
      <c r="D3054" t="s">
        <v>2812</v>
      </c>
      <c r="E3054" s="28" t="s">
        <v>896</v>
      </c>
      <c r="F3054" t="s">
        <v>2625</v>
      </c>
      <c r="G3054" t="s">
        <v>74</v>
      </c>
      <c r="M3054" s="28" t="s">
        <v>507</v>
      </c>
      <c r="N3054" t="s">
        <v>313</v>
      </c>
    </row>
    <row r="3055" spans="1:14" hidden="1" x14ac:dyDescent="0.25">
      <c r="A3055" t="s">
        <v>14178</v>
      </c>
      <c r="B3055" t="s">
        <v>14179</v>
      </c>
      <c r="C3055" t="s">
        <v>14180</v>
      </c>
      <c r="D3055" t="s">
        <v>14181</v>
      </c>
      <c r="E3055" s="28" t="s">
        <v>1177</v>
      </c>
      <c r="F3055" t="s">
        <v>516</v>
      </c>
      <c r="G3055" t="s">
        <v>74</v>
      </c>
      <c r="M3055" s="28" t="s">
        <v>507</v>
      </c>
      <c r="N3055" t="s">
        <v>313</v>
      </c>
    </row>
    <row r="3056" spans="1:14" hidden="1" x14ac:dyDescent="0.25">
      <c r="A3056" t="s">
        <v>14182</v>
      </c>
      <c r="B3056" t="s">
        <v>14183</v>
      </c>
      <c r="C3056" t="s">
        <v>4603</v>
      </c>
      <c r="D3056" t="s">
        <v>14184</v>
      </c>
      <c r="E3056" s="28" t="s">
        <v>896</v>
      </c>
      <c r="F3056" t="s">
        <v>14119</v>
      </c>
      <c r="G3056" t="s">
        <v>15</v>
      </c>
      <c r="M3056" s="28" t="s">
        <v>613</v>
      </c>
      <c r="N3056" t="s">
        <v>313</v>
      </c>
    </row>
    <row r="3057" spans="1:14" hidden="1" x14ac:dyDescent="0.25">
      <c r="A3057" t="s">
        <v>13929</v>
      </c>
      <c r="B3057" t="s">
        <v>13930</v>
      </c>
      <c r="C3057" t="s">
        <v>4784</v>
      </c>
      <c r="D3057" t="s">
        <v>13931</v>
      </c>
      <c r="E3057" s="28" t="s">
        <v>896</v>
      </c>
      <c r="F3057" t="s">
        <v>4685</v>
      </c>
      <c r="G3057" t="s">
        <v>15</v>
      </c>
      <c r="M3057" s="28" t="s">
        <v>613</v>
      </c>
      <c r="N3057" t="s">
        <v>313</v>
      </c>
    </row>
    <row r="3058" spans="1:14" hidden="1" x14ac:dyDescent="0.25">
      <c r="A3058" t="s">
        <v>9701</v>
      </c>
      <c r="B3058" t="s">
        <v>4958</v>
      </c>
      <c r="C3058" t="s">
        <v>999</v>
      </c>
      <c r="D3058" t="s">
        <v>4959</v>
      </c>
      <c r="E3058" s="28" t="s">
        <v>896</v>
      </c>
      <c r="F3058" t="s">
        <v>4601</v>
      </c>
      <c r="G3058" t="s">
        <v>15</v>
      </c>
      <c r="M3058" s="28" t="s">
        <v>613</v>
      </c>
      <c r="N3058" t="s">
        <v>313</v>
      </c>
    </row>
    <row r="3059" spans="1:14" hidden="1" x14ac:dyDescent="0.25">
      <c r="A3059" t="s">
        <v>13932</v>
      </c>
      <c r="B3059" t="s">
        <v>13933</v>
      </c>
      <c r="C3059" t="s">
        <v>6569</v>
      </c>
      <c r="D3059" t="s">
        <v>13934</v>
      </c>
      <c r="E3059" s="28" t="s">
        <v>890</v>
      </c>
      <c r="F3059" t="s">
        <v>2568</v>
      </c>
      <c r="G3059" t="s">
        <v>11</v>
      </c>
      <c r="M3059" s="28" t="s">
        <v>413</v>
      </c>
      <c r="N3059" t="s">
        <v>313</v>
      </c>
    </row>
    <row r="3060" spans="1:14" hidden="1" x14ac:dyDescent="0.25">
      <c r="A3060" t="s">
        <v>9512</v>
      </c>
      <c r="B3060" t="s">
        <v>4526</v>
      </c>
      <c r="C3060" t="s">
        <v>4527</v>
      </c>
      <c r="D3060" t="s">
        <v>11683</v>
      </c>
      <c r="E3060" s="28" t="s">
        <v>890</v>
      </c>
      <c r="F3060" t="s">
        <v>4528</v>
      </c>
      <c r="G3060" t="s">
        <v>13302</v>
      </c>
      <c r="M3060" s="28" t="s">
        <v>11680</v>
      </c>
      <c r="N3060" t="s">
        <v>11680</v>
      </c>
    </row>
    <row r="3061" spans="1:14" hidden="1" x14ac:dyDescent="0.25">
      <c r="A3061" t="s">
        <v>9700</v>
      </c>
      <c r="B3061" t="s">
        <v>4956</v>
      </c>
      <c r="C3061" t="s">
        <v>2582</v>
      </c>
      <c r="D3061" t="s">
        <v>4957</v>
      </c>
      <c r="E3061" s="28" t="s">
        <v>890</v>
      </c>
      <c r="F3061" t="s">
        <v>730</v>
      </c>
      <c r="G3061" t="s">
        <v>15</v>
      </c>
      <c r="M3061" s="28" t="s">
        <v>613</v>
      </c>
      <c r="N3061" t="s">
        <v>313</v>
      </c>
    </row>
    <row r="3062" spans="1:14" hidden="1" x14ac:dyDescent="0.25">
      <c r="A3062" t="s">
        <v>9314</v>
      </c>
      <c r="B3062" t="s">
        <v>4137</v>
      </c>
      <c r="C3062" t="s">
        <v>3031</v>
      </c>
      <c r="D3062" t="s">
        <v>4138</v>
      </c>
      <c r="E3062" s="28" t="s">
        <v>890</v>
      </c>
      <c r="F3062" t="s">
        <v>588</v>
      </c>
      <c r="G3062" t="s">
        <v>88</v>
      </c>
      <c r="M3062" s="28" t="s">
        <v>549</v>
      </c>
      <c r="N3062" t="s">
        <v>313</v>
      </c>
    </row>
    <row r="3063" spans="1:14" hidden="1" x14ac:dyDescent="0.25">
      <c r="A3063" t="s">
        <v>13318</v>
      </c>
      <c r="B3063" t="s">
        <v>13319</v>
      </c>
      <c r="C3063" t="s">
        <v>7163</v>
      </c>
      <c r="D3063" t="s">
        <v>13320</v>
      </c>
      <c r="E3063" s="28" t="s">
        <v>890</v>
      </c>
      <c r="F3063" t="s">
        <v>2957</v>
      </c>
      <c r="G3063" t="s">
        <v>84</v>
      </c>
      <c r="M3063" s="28" t="s">
        <v>14223</v>
      </c>
      <c r="N3063" t="s">
        <v>313</v>
      </c>
    </row>
    <row r="3064" spans="1:14" hidden="1" x14ac:dyDescent="0.25">
      <c r="A3064" t="s">
        <v>9699</v>
      </c>
      <c r="B3064" t="s">
        <v>4954</v>
      </c>
      <c r="C3064" t="s">
        <v>4857</v>
      </c>
      <c r="D3064" t="s">
        <v>4955</v>
      </c>
      <c r="E3064" s="28" t="s">
        <v>896</v>
      </c>
      <c r="F3064" t="s">
        <v>676</v>
      </c>
      <c r="G3064" t="s">
        <v>15</v>
      </c>
      <c r="M3064" s="28" t="s">
        <v>613</v>
      </c>
      <c r="N3064" t="s">
        <v>313</v>
      </c>
    </row>
    <row r="3065" spans="1:14" hidden="1" x14ac:dyDescent="0.25">
      <c r="A3065" t="s">
        <v>9698</v>
      </c>
      <c r="B3065" t="s">
        <v>4952</v>
      </c>
      <c r="C3065" t="s">
        <v>4553</v>
      </c>
      <c r="D3065" t="s">
        <v>4953</v>
      </c>
      <c r="E3065" s="28" t="s">
        <v>896</v>
      </c>
      <c r="F3065" t="s">
        <v>197</v>
      </c>
      <c r="G3065" t="s">
        <v>15</v>
      </c>
      <c r="M3065" s="28" t="s">
        <v>613</v>
      </c>
      <c r="N3065" t="s">
        <v>313</v>
      </c>
    </row>
    <row r="3066" spans="1:14" hidden="1" x14ac:dyDescent="0.25">
      <c r="A3066" t="s">
        <v>14373</v>
      </c>
      <c r="B3066" t="s">
        <v>14374</v>
      </c>
      <c r="C3066" t="s">
        <v>2717</v>
      </c>
      <c r="D3066" t="s">
        <v>14375</v>
      </c>
      <c r="E3066" s="28" t="s">
        <v>890</v>
      </c>
      <c r="F3066" t="s">
        <v>690</v>
      </c>
      <c r="G3066" t="s">
        <v>15</v>
      </c>
      <c r="M3066" s="28" t="s">
        <v>613</v>
      </c>
      <c r="N3066" t="s">
        <v>313</v>
      </c>
    </row>
    <row r="3067" spans="1:14" hidden="1" x14ac:dyDescent="0.25">
      <c r="A3067" t="s">
        <v>8686</v>
      </c>
      <c r="B3067" t="s">
        <v>2822</v>
      </c>
      <c r="C3067" t="s">
        <v>2823</v>
      </c>
      <c r="D3067" t="s">
        <v>2824</v>
      </c>
      <c r="E3067" s="28" t="s">
        <v>890</v>
      </c>
      <c r="F3067" t="s">
        <v>2625</v>
      </c>
      <c r="G3067" t="s">
        <v>74</v>
      </c>
      <c r="M3067" s="28" t="s">
        <v>507</v>
      </c>
      <c r="N3067" t="s">
        <v>313</v>
      </c>
    </row>
    <row r="3068" spans="1:14" hidden="1" x14ac:dyDescent="0.25">
      <c r="A3068" t="s">
        <v>8205</v>
      </c>
      <c r="B3068" t="s">
        <v>1628</v>
      </c>
      <c r="C3068" t="s">
        <v>1629</v>
      </c>
      <c r="D3068" t="s">
        <v>1630</v>
      </c>
      <c r="E3068" s="28" t="s">
        <v>890</v>
      </c>
      <c r="F3068" t="s">
        <v>349</v>
      </c>
      <c r="G3068" t="s">
        <v>43</v>
      </c>
      <c r="M3068" s="28" t="s">
        <v>14205</v>
      </c>
    </row>
    <row r="3069" spans="1:14" hidden="1" x14ac:dyDescent="0.25">
      <c r="A3069" t="s">
        <v>8495</v>
      </c>
      <c r="B3069" t="s">
        <v>2353</v>
      </c>
      <c r="C3069" t="s">
        <v>1123</v>
      </c>
      <c r="D3069" t="s">
        <v>2354</v>
      </c>
      <c r="E3069" s="28" t="s">
        <v>930</v>
      </c>
      <c r="F3069" t="s">
        <v>408</v>
      </c>
      <c r="G3069" t="s">
        <v>65</v>
      </c>
      <c r="M3069" s="28" t="s">
        <v>14209</v>
      </c>
    </row>
    <row r="3070" spans="1:14" hidden="1" x14ac:dyDescent="0.25">
      <c r="A3070" t="s">
        <v>9697</v>
      </c>
      <c r="B3070" t="s">
        <v>4950</v>
      </c>
      <c r="C3070" t="s">
        <v>4821</v>
      </c>
      <c r="D3070" t="s">
        <v>4951</v>
      </c>
      <c r="E3070" s="28" t="s">
        <v>896</v>
      </c>
      <c r="F3070" t="s">
        <v>4555</v>
      </c>
      <c r="G3070" t="s">
        <v>15</v>
      </c>
      <c r="M3070" s="28" t="s">
        <v>613</v>
      </c>
      <c r="N3070" t="s">
        <v>313</v>
      </c>
    </row>
    <row r="3071" spans="1:14" hidden="1" x14ac:dyDescent="0.25">
      <c r="A3071" t="s">
        <v>14376</v>
      </c>
      <c r="B3071" t="s">
        <v>14377</v>
      </c>
      <c r="C3071" t="s">
        <v>1094</v>
      </c>
      <c r="D3071" t="s">
        <v>14378</v>
      </c>
      <c r="E3071" s="28" t="s">
        <v>896</v>
      </c>
      <c r="F3071" t="s">
        <v>891</v>
      </c>
      <c r="G3071" t="s">
        <v>11</v>
      </c>
      <c r="M3071" s="28" t="s">
        <v>413</v>
      </c>
      <c r="N3071" t="s">
        <v>313</v>
      </c>
    </row>
    <row r="3072" spans="1:14" hidden="1" x14ac:dyDescent="0.25">
      <c r="A3072" t="s">
        <v>9696</v>
      </c>
      <c r="B3072" t="s">
        <v>4948</v>
      </c>
      <c r="C3072" t="s">
        <v>4535</v>
      </c>
      <c r="D3072" t="s">
        <v>4949</v>
      </c>
      <c r="E3072" s="28" t="s">
        <v>896</v>
      </c>
      <c r="F3072" t="s">
        <v>2598</v>
      </c>
      <c r="G3072" t="s">
        <v>15</v>
      </c>
      <c r="M3072" s="28" t="s">
        <v>613</v>
      </c>
      <c r="N3072" t="s">
        <v>313</v>
      </c>
    </row>
    <row r="3073" spans="1:14" hidden="1" x14ac:dyDescent="0.25">
      <c r="A3073" t="s">
        <v>8004</v>
      </c>
      <c r="B3073" t="s">
        <v>1078</v>
      </c>
      <c r="C3073" t="s">
        <v>1079</v>
      </c>
      <c r="D3073" t="s">
        <v>1080</v>
      </c>
      <c r="E3073" s="28" t="s">
        <v>890</v>
      </c>
      <c r="F3073" t="s">
        <v>275</v>
      </c>
      <c r="G3073" t="s">
        <v>31</v>
      </c>
      <c r="M3073" s="28" t="s">
        <v>278</v>
      </c>
      <c r="N3073" t="s">
        <v>279</v>
      </c>
    </row>
    <row r="3074" spans="1:14" hidden="1" x14ac:dyDescent="0.25">
      <c r="A3074" t="s">
        <v>9695</v>
      </c>
      <c r="B3074" t="s">
        <v>4946</v>
      </c>
      <c r="C3074" t="s">
        <v>4557</v>
      </c>
      <c r="D3074" t="s">
        <v>4947</v>
      </c>
      <c r="E3074" s="28" t="s">
        <v>890</v>
      </c>
      <c r="F3074" t="s">
        <v>752</v>
      </c>
      <c r="G3074" t="s">
        <v>15</v>
      </c>
      <c r="M3074" s="28" t="s">
        <v>613</v>
      </c>
      <c r="N3074" t="s">
        <v>313</v>
      </c>
    </row>
    <row r="3075" spans="1:14" hidden="1" x14ac:dyDescent="0.25">
      <c r="A3075" t="s">
        <v>9694</v>
      </c>
      <c r="B3075" t="s">
        <v>4944</v>
      </c>
      <c r="C3075" t="s">
        <v>1084</v>
      </c>
      <c r="D3075" t="s">
        <v>4945</v>
      </c>
      <c r="E3075" s="28" t="s">
        <v>890</v>
      </c>
      <c r="F3075" t="s">
        <v>4685</v>
      </c>
      <c r="G3075" t="s">
        <v>15</v>
      </c>
      <c r="M3075" s="28" t="s">
        <v>613</v>
      </c>
      <c r="N3075" t="s">
        <v>313</v>
      </c>
    </row>
    <row r="3076" spans="1:14" hidden="1" x14ac:dyDescent="0.25">
      <c r="A3076" t="s">
        <v>10678</v>
      </c>
      <c r="B3076" t="s">
        <v>7037</v>
      </c>
      <c r="C3076" t="s">
        <v>7038</v>
      </c>
      <c r="D3076" t="s">
        <v>7039</v>
      </c>
      <c r="E3076" s="28" t="s">
        <v>890</v>
      </c>
      <c r="F3076" t="s">
        <v>6901</v>
      </c>
      <c r="G3076" t="s">
        <v>6896</v>
      </c>
      <c r="M3076" s="28" t="s">
        <v>6897</v>
      </c>
      <c r="N3076" t="s">
        <v>279</v>
      </c>
    </row>
    <row r="3077" spans="1:14" hidden="1" x14ac:dyDescent="0.25">
      <c r="A3077" t="s">
        <v>9315</v>
      </c>
      <c r="B3077" t="s">
        <v>4139</v>
      </c>
      <c r="C3077" t="s">
        <v>3563</v>
      </c>
      <c r="D3077" t="s">
        <v>4140</v>
      </c>
      <c r="E3077" s="28" t="s">
        <v>890</v>
      </c>
      <c r="F3077" t="s">
        <v>891</v>
      </c>
      <c r="G3077" t="s">
        <v>88</v>
      </c>
      <c r="M3077" s="28" t="s">
        <v>549</v>
      </c>
      <c r="N3077" t="s">
        <v>313</v>
      </c>
    </row>
    <row r="3078" spans="1:14" hidden="1" x14ac:dyDescent="0.25">
      <c r="A3078" t="s">
        <v>10581</v>
      </c>
      <c r="B3078" t="s">
        <v>6816</v>
      </c>
      <c r="C3078" t="s">
        <v>1738</v>
      </c>
      <c r="D3078" t="s">
        <v>6817</v>
      </c>
      <c r="E3078" s="28" t="s">
        <v>896</v>
      </c>
      <c r="F3078" t="s">
        <v>6631</v>
      </c>
      <c r="G3078" t="s">
        <v>137</v>
      </c>
      <c r="M3078" s="28" t="s">
        <v>805</v>
      </c>
      <c r="N3078" t="s">
        <v>313</v>
      </c>
    </row>
    <row r="3079" spans="1:14" hidden="1" x14ac:dyDescent="0.25">
      <c r="A3079" t="s">
        <v>14608</v>
      </c>
      <c r="B3079" t="s">
        <v>1430</v>
      </c>
      <c r="C3079" t="s">
        <v>1309</v>
      </c>
      <c r="D3079" t="s">
        <v>14682</v>
      </c>
      <c r="E3079" s="28" t="s">
        <v>890</v>
      </c>
      <c r="F3079" t="s">
        <v>324</v>
      </c>
      <c r="G3079" t="s">
        <v>38</v>
      </c>
      <c r="M3079" s="28"/>
    </row>
    <row r="3080" spans="1:14" hidden="1" x14ac:dyDescent="0.25">
      <c r="A3080" t="s">
        <v>8123</v>
      </c>
      <c r="B3080" t="s">
        <v>1430</v>
      </c>
      <c r="C3080" t="s">
        <v>1415</v>
      </c>
      <c r="D3080" t="s">
        <v>1431</v>
      </c>
      <c r="E3080" s="28" t="s">
        <v>890</v>
      </c>
      <c r="F3080" t="s">
        <v>324</v>
      </c>
      <c r="G3080" t="s">
        <v>38</v>
      </c>
      <c r="M3080" s="28"/>
    </row>
    <row r="3081" spans="1:14" hidden="1" x14ac:dyDescent="0.25">
      <c r="A3081" t="s">
        <v>8189</v>
      </c>
      <c r="B3081" t="s">
        <v>1550</v>
      </c>
      <c r="C3081" t="s">
        <v>1591</v>
      </c>
      <c r="D3081" t="s">
        <v>1592</v>
      </c>
      <c r="E3081" s="28" t="s">
        <v>890</v>
      </c>
      <c r="F3081" t="s">
        <v>324</v>
      </c>
      <c r="G3081" t="s">
        <v>38</v>
      </c>
      <c r="M3081" s="28"/>
    </row>
    <row r="3082" spans="1:14" hidden="1" x14ac:dyDescent="0.25">
      <c r="A3082" t="s">
        <v>8170</v>
      </c>
      <c r="B3082" t="s">
        <v>1550</v>
      </c>
      <c r="C3082" t="s">
        <v>1424</v>
      </c>
      <c r="D3082" t="s">
        <v>1551</v>
      </c>
      <c r="E3082" s="28" t="s">
        <v>930</v>
      </c>
      <c r="F3082" t="s">
        <v>324</v>
      </c>
      <c r="G3082" t="s">
        <v>38</v>
      </c>
      <c r="M3082" s="28"/>
    </row>
    <row r="3083" spans="1:14" hidden="1" x14ac:dyDescent="0.25">
      <c r="A3083" t="s">
        <v>11768</v>
      </c>
      <c r="B3083" t="s">
        <v>11769</v>
      </c>
      <c r="C3083" t="s">
        <v>11714</v>
      </c>
      <c r="D3083" t="s">
        <v>11770</v>
      </c>
      <c r="E3083" s="28" t="s">
        <v>896</v>
      </c>
      <c r="F3083" t="s">
        <v>13198</v>
      </c>
      <c r="G3083" t="s">
        <v>81</v>
      </c>
      <c r="M3083" s="28" t="s">
        <v>530</v>
      </c>
      <c r="N3083" t="s">
        <v>313</v>
      </c>
    </row>
    <row r="3084" spans="1:14" hidden="1" x14ac:dyDescent="0.25">
      <c r="A3084" t="s">
        <v>8206</v>
      </c>
      <c r="B3084" t="s">
        <v>1631</v>
      </c>
      <c r="C3084" t="s">
        <v>1632</v>
      </c>
      <c r="D3084" t="s">
        <v>1633</v>
      </c>
      <c r="E3084" s="28" t="s">
        <v>896</v>
      </c>
      <c r="F3084" t="s">
        <v>349</v>
      </c>
      <c r="G3084" t="s">
        <v>43</v>
      </c>
      <c r="M3084" s="28" t="s">
        <v>14205</v>
      </c>
    </row>
    <row r="3085" spans="1:14" hidden="1" x14ac:dyDescent="0.25">
      <c r="A3085" t="s">
        <v>8207</v>
      </c>
      <c r="B3085" t="s">
        <v>1631</v>
      </c>
      <c r="C3085" t="s">
        <v>1634</v>
      </c>
      <c r="D3085" t="s">
        <v>1635</v>
      </c>
      <c r="E3085" s="28" t="s">
        <v>896</v>
      </c>
      <c r="F3085" t="s">
        <v>349</v>
      </c>
      <c r="G3085" t="s">
        <v>43</v>
      </c>
      <c r="M3085" s="28" t="s">
        <v>14205</v>
      </c>
    </row>
    <row r="3086" spans="1:14" hidden="1" x14ac:dyDescent="0.25">
      <c r="A3086" t="s">
        <v>14551</v>
      </c>
      <c r="B3086" t="s">
        <v>14552</v>
      </c>
      <c r="C3086" t="s">
        <v>999</v>
      </c>
      <c r="D3086" t="s">
        <v>14553</v>
      </c>
      <c r="E3086" s="28" t="s">
        <v>1177</v>
      </c>
      <c r="F3086" t="s">
        <v>746</v>
      </c>
      <c r="G3086" t="s">
        <v>15</v>
      </c>
      <c r="M3086" s="28" t="s">
        <v>613</v>
      </c>
      <c r="N3086" t="s">
        <v>313</v>
      </c>
    </row>
    <row r="3087" spans="1:14" hidden="1" x14ac:dyDescent="0.25">
      <c r="A3087" t="s">
        <v>12530</v>
      </c>
      <c r="B3087" t="s">
        <v>12531</v>
      </c>
      <c r="C3087" t="s">
        <v>12532</v>
      </c>
      <c r="D3087" t="s">
        <v>12533</v>
      </c>
      <c r="E3087" s="28" t="s">
        <v>896</v>
      </c>
      <c r="F3087" t="s">
        <v>891</v>
      </c>
      <c r="G3087" t="s">
        <v>88</v>
      </c>
      <c r="M3087" s="28" t="s">
        <v>549</v>
      </c>
      <c r="N3087" t="s">
        <v>313</v>
      </c>
    </row>
    <row r="3088" spans="1:14" hidden="1" x14ac:dyDescent="0.25">
      <c r="A3088" t="s">
        <v>8665</v>
      </c>
      <c r="B3088" t="s">
        <v>2773</v>
      </c>
      <c r="C3088" t="s">
        <v>2774</v>
      </c>
      <c r="D3088" t="s">
        <v>2775</v>
      </c>
      <c r="E3088" s="28" t="s">
        <v>890</v>
      </c>
      <c r="F3088" t="s">
        <v>523</v>
      </c>
      <c r="G3088" t="s">
        <v>74</v>
      </c>
      <c r="M3088" s="28" t="s">
        <v>507</v>
      </c>
      <c r="N3088" t="s">
        <v>313</v>
      </c>
    </row>
    <row r="3089" spans="1:14" hidden="1" x14ac:dyDescent="0.25">
      <c r="A3089" t="s">
        <v>10526</v>
      </c>
      <c r="B3089" t="s">
        <v>2773</v>
      </c>
      <c r="C3089" t="s">
        <v>1719</v>
      </c>
      <c r="D3089" t="s">
        <v>6718</v>
      </c>
      <c r="E3089" s="28" t="s">
        <v>890</v>
      </c>
      <c r="F3089" t="s">
        <v>197</v>
      </c>
      <c r="G3089" t="s">
        <v>137</v>
      </c>
      <c r="M3089" s="28" t="s">
        <v>805</v>
      </c>
      <c r="N3089" t="s">
        <v>313</v>
      </c>
    </row>
    <row r="3090" spans="1:14" hidden="1" x14ac:dyDescent="0.25">
      <c r="A3090" t="s">
        <v>8335</v>
      </c>
      <c r="B3090" t="s">
        <v>1966</v>
      </c>
      <c r="C3090" t="s">
        <v>1967</v>
      </c>
      <c r="D3090" t="s">
        <v>1968</v>
      </c>
      <c r="E3090" s="28" t="s">
        <v>896</v>
      </c>
      <c r="F3090" t="s">
        <v>1965</v>
      </c>
      <c r="G3090" t="s">
        <v>43</v>
      </c>
      <c r="M3090" s="28" t="s">
        <v>14205</v>
      </c>
    </row>
    <row r="3091" spans="1:14" hidden="1" x14ac:dyDescent="0.25">
      <c r="A3091" t="s">
        <v>9693</v>
      </c>
      <c r="B3091" t="s">
        <v>4941</v>
      </c>
      <c r="C3091" t="s">
        <v>1616</v>
      </c>
      <c r="D3091" t="s">
        <v>4942</v>
      </c>
      <c r="E3091" s="28" t="s">
        <v>896</v>
      </c>
      <c r="F3091" t="s">
        <v>4943</v>
      </c>
      <c r="G3091" t="s">
        <v>15</v>
      </c>
      <c r="M3091" s="28" t="s">
        <v>613</v>
      </c>
      <c r="N3091" t="s">
        <v>313</v>
      </c>
    </row>
    <row r="3092" spans="1:14" hidden="1" x14ac:dyDescent="0.25">
      <c r="A3092" t="s">
        <v>14379</v>
      </c>
      <c r="B3092" t="s">
        <v>14380</v>
      </c>
      <c r="C3092" t="s">
        <v>1058</v>
      </c>
      <c r="D3092" t="s">
        <v>14381</v>
      </c>
      <c r="E3092" s="28" t="s">
        <v>890</v>
      </c>
      <c r="F3092" t="s">
        <v>2568</v>
      </c>
      <c r="G3092" t="s">
        <v>11</v>
      </c>
      <c r="M3092" s="28" t="s">
        <v>413</v>
      </c>
      <c r="N3092" t="s">
        <v>313</v>
      </c>
    </row>
    <row r="3093" spans="1:14" hidden="1" x14ac:dyDescent="0.25">
      <c r="A3093" t="s">
        <v>14382</v>
      </c>
      <c r="B3093" t="s">
        <v>14380</v>
      </c>
      <c r="C3093" t="s">
        <v>14196</v>
      </c>
      <c r="D3093" t="s">
        <v>14383</v>
      </c>
      <c r="E3093" s="28" t="s">
        <v>1177</v>
      </c>
      <c r="F3093" t="s">
        <v>14384</v>
      </c>
      <c r="G3093" t="s">
        <v>11</v>
      </c>
      <c r="M3093" s="28" t="s">
        <v>413</v>
      </c>
      <c r="N3093" t="s">
        <v>313</v>
      </c>
    </row>
    <row r="3094" spans="1:14" hidden="1" x14ac:dyDescent="0.25">
      <c r="A3094" t="s">
        <v>9692</v>
      </c>
      <c r="B3094" t="s">
        <v>4939</v>
      </c>
      <c r="C3094" t="s">
        <v>2919</v>
      </c>
      <c r="D3094" t="s">
        <v>4940</v>
      </c>
      <c r="E3094" s="28" t="s">
        <v>890</v>
      </c>
      <c r="F3094" t="s">
        <v>4843</v>
      </c>
      <c r="G3094" t="s">
        <v>15</v>
      </c>
      <c r="M3094" s="28" t="s">
        <v>613</v>
      </c>
      <c r="N3094" t="s">
        <v>313</v>
      </c>
    </row>
    <row r="3095" spans="1:14" hidden="1" x14ac:dyDescent="0.25">
      <c r="A3095" t="s">
        <v>8346</v>
      </c>
      <c r="B3095" t="s">
        <v>1998</v>
      </c>
      <c r="C3095" t="s">
        <v>1999</v>
      </c>
      <c r="D3095" t="s">
        <v>2000</v>
      </c>
      <c r="E3095" s="28" t="s">
        <v>890</v>
      </c>
      <c r="F3095" t="s">
        <v>383</v>
      </c>
      <c r="G3095" t="s">
        <v>47</v>
      </c>
      <c r="M3095" s="28" t="s">
        <v>13542</v>
      </c>
    </row>
    <row r="3096" spans="1:14" hidden="1" x14ac:dyDescent="0.25">
      <c r="A3096" t="s">
        <v>13935</v>
      </c>
      <c r="B3096" t="s">
        <v>13936</v>
      </c>
      <c r="C3096" t="s">
        <v>2586</v>
      </c>
      <c r="D3096" t="s">
        <v>13937</v>
      </c>
      <c r="E3096" s="28" t="s">
        <v>890</v>
      </c>
      <c r="F3096" t="s">
        <v>429</v>
      </c>
      <c r="G3096" t="s">
        <v>11</v>
      </c>
      <c r="M3096" s="28" t="s">
        <v>413</v>
      </c>
      <c r="N3096" t="s">
        <v>313</v>
      </c>
    </row>
    <row r="3097" spans="1:14" hidden="1" x14ac:dyDescent="0.25">
      <c r="A3097" t="s">
        <v>8246</v>
      </c>
      <c r="B3097" t="s">
        <v>1743</v>
      </c>
      <c r="C3097" t="s">
        <v>1744</v>
      </c>
      <c r="D3097" t="s">
        <v>1745</v>
      </c>
      <c r="E3097" s="28" t="s">
        <v>896</v>
      </c>
      <c r="F3097" t="s">
        <v>891</v>
      </c>
      <c r="G3097" t="s">
        <v>43</v>
      </c>
      <c r="M3097" s="28" t="s">
        <v>14205</v>
      </c>
    </row>
    <row r="3098" spans="1:14" hidden="1" x14ac:dyDescent="0.25">
      <c r="A3098" t="s">
        <v>8468</v>
      </c>
      <c r="B3098" t="s">
        <v>2285</v>
      </c>
      <c r="C3098" t="s">
        <v>1150</v>
      </c>
      <c r="D3098" t="s">
        <v>2286</v>
      </c>
      <c r="E3098" s="28" t="s">
        <v>890</v>
      </c>
      <c r="F3098" t="s">
        <v>408</v>
      </c>
      <c r="G3098" t="s">
        <v>65</v>
      </c>
      <c r="M3098" s="28" t="s">
        <v>14209</v>
      </c>
    </row>
    <row r="3099" spans="1:14" hidden="1" x14ac:dyDescent="0.25">
      <c r="A3099" t="s">
        <v>13938</v>
      </c>
      <c r="B3099" t="s">
        <v>13939</v>
      </c>
      <c r="C3099" t="s">
        <v>4726</v>
      </c>
      <c r="D3099" t="s">
        <v>13940</v>
      </c>
      <c r="E3099" s="28" t="s">
        <v>1023</v>
      </c>
      <c r="F3099" t="s">
        <v>4837</v>
      </c>
      <c r="G3099" t="s">
        <v>15</v>
      </c>
      <c r="M3099" s="28" t="s">
        <v>613</v>
      </c>
      <c r="N3099" t="s">
        <v>313</v>
      </c>
    </row>
    <row r="3100" spans="1:14" hidden="1" x14ac:dyDescent="0.25">
      <c r="A3100" t="s">
        <v>8490</v>
      </c>
      <c r="B3100" t="s">
        <v>2343</v>
      </c>
      <c r="C3100" t="s">
        <v>1179</v>
      </c>
      <c r="D3100" t="s">
        <v>2344</v>
      </c>
      <c r="E3100" s="28" t="s">
        <v>930</v>
      </c>
      <c r="F3100" t="s">
        <v>408</v>
      </c>
      <c r="G3100" t="s">
        <v>65</v>
      </c>
      <c r="M3100" s="28" t="s">
        <v>14209</v>
      </c>
    </row>
    <row r="3101" spans="1:14" hidden="1" x14ac:dyDescent="0.25">
      <c r="A3101" t="s">
        <v>10470</v>
      </c>
      <c r="B3101" t="s">
        <v>6593</v>
      </c>
      <c r="C3101" t="s">
        <v>6594</v>
      </c>
      <c r="D3101" t="s">
        <v>6595</v>
      </c>
      <c r="E3101" s="28" t="s">
        <v>890</v>
      </c>
      <c r="F3101" t="s">
        <v>6576</v>
      </c>
      <c r="G3101" t="s">
        <v>131</v>
      </c>
      <c r="M3101" s="28" t="s">
        <v>14242</v>
      </c>
    </row>
    <row r="3102" spans="1:14" hidden="1" x14ac:dyDescent="0.25">
      <c r="A3102" t="s">
        <v>10676</v>
      </c>
      <c r="B3102" t="s">
        <v>7031</v>
      </c>
      <c r="C3102" t="s">
        <v>7032</v>
      </c>
      <c r="D3102" t="s">
        <v>7033</v>
      </c>
      <c r="E3102" s="28" t="s">
        <v>890</v>
      </c>
      <c r="F3102" t="s">
        <v>255</v>
      </c>
      <c r="G3102" t="s">
        <v>6896</v>
      </c>
      <c r="M3102" s="28" t="s">
        <v>6897</v>
      </c>
      <c r="N3102" t="s">
        <v>279</v>
      </c>
    </row>
    <row r="3103" spans="1:14" hidden="1" x14ac:dyDescent="0.25">
      <c r="A3103" t="s">
        <v>10675</v>
      </c>
      <c r="B3103" t="s">
        <v>6962</v>
      </c>
      <c r="C3103" t="s">
        <v>7029</v>
      </c>
      <c r="D3103" t="s">
        <v>7030</v>
      </c>
      <c r="E3103" s="28" t="s">
        <v>890</v>
      </c>
      <c r="F3103" t="s">
        <v>255</v>
      </c>
      <c r="G3103" t="s">
        <v>6896</v>
      </c>
      <c r="M3103" s="28" t="s">
        <v>6897</v>
      </c>
      <c r="N3103" t="s">
        <v>279</v>
      </c>
    </row>
    <row r="3104" spans="1:14" hidden="1" x14ac:dyDescent="0.25">
      <c r="A3104" t="s">
        <v>10648</v>
      </c>
      <c r="B3104" t="s">
        <v>6962</v>
      </c>
      <c r="C3104" t="s">
        <v>6963</v>
      </c>
      <c r="D3104" t="s">
        <v>6964</v>
      </c>
      <c r="E3104" s="28" t="s">
        <v>890</v>
      </c>
      <c r="F3104" t="s">
        <v>6901</v>
      </c>
      <c r="G3104" t="s">
        <v>6896</v>
      </c>
      <c r="M3104" s="28" t="s">
        <v>6897</v>
      </c>
      <c r="N3104" t="s">
        <v>279</v>
      </c>
    </row>
    <row r="3105" spans="1:14" hidden="1" x14ac:dyDescent="0.25">
      <c r="A3105" t="s">
        <v>9691</v>
      </c>
      <c r="B3105" t="s">
        <v>4935</v>
      </c>
      <c r="C3105" t="s">
        <v>4936</v>
      </c>
      <c r="D3105" t="s">
        <v>4937</v>
      </c>
      <c r="E3105" s="28" t="s">
        <v>896</v>
      </c>
      <c r="F3105" t="s">
        <v>4938</v>
      </c>
      <c r="G3105" t="s">
        <v>15</v>
      </c>
      <c r="M3105" s="28" t="s">
        <v>613</v>
      </c>
      <c r="N3105" t="s">
        <v>313</v>
      </c>
    </row>
    <row r="3106" spans="1:14" hidden="1" x14ac:dyDescent="0.25">
      <c r="A3106" t="s">
        <v>9316</v>
      </c>
      <c r="B3106" t="s">
        <v>4141</v>
      </c>
      <c r="C3106" t="s">
        <v>3031</v>
      </c>
      <c r="D3106" t="s">
        <v>4142</v>
      </c>
      <c r="E3106" s="28" t="s">
        <v>896</v>
      </c>
      <c r="F3106" t="s">
        <v>891</v>
      </c>
      <c r="G3106" t="s">
        <v>88</v>
      </c>
      <c r="M3106" s="28" t="s">
        <v>549</v>
      </c>
      <c r="N3106" t="s">
        <v>313</v>
      </c>
    </row>
    <row r="3107" spans="1:14" hidden="1" x14ac:dyDescent="0.25">
      <c r="A3107" t="s">
        <v>9690</v>
      </c>
      <c r="B3107" t="s">
        <v>4933</v>
      </c>
      <c r="C3107" t="s">
        <v>2619</v>
      </c>
      <c r="D3107" t="s">
        <v>4934</v>
      </c>
      <c r="E3107" s="28" t="s">
        <v>890</v>
      </c>
      <c r="F3107" t="s">
        <v>227</v>
      </c>
      <c r="G3107" t="s">
        <v>15</v>
      </c>
      <c r="M3107" s="28" t="s">
        <v>613</v>
      </c>
      <c r="N3107" t="s">
        <v>313</v>
      </c>
    </row>
    <row r="3108" spans="1:14" hidden="1" x14ac:dyDescent="0.25">
      <c r="A3108" t="s">
        <v>11376</v>
      </c>
      <c r="B3108" t="s">
        <v>11377</v>
      </c>
      <c r="C3108" t="s">
        <v>11378</v>
      </c>
      <c r="D3108" t="s">
        <v>11379</v>
      </c>
      <c r="E3108" s="28" t="s">
        <v>896</v>
      </c>
      <c r="F3108" t="s">
        <v>6584</v>
      </c>
      <c r="G3108" t="s">
        <v>84</v>
      </c>
      <c r="M3108" s="28" t="s">
        <v>14223</v>
      </c>
      <c r="N3108" t="s">
        <v>313</v>
      </c>
    </row>
    <row r="3109" spans="1:14" hidden="1" x14ac:dyDescent="0.25">
      <c r="A3109" t="s">
        <v>13303</v>
      </c>
      <c r="B3109" t="s">
        <v>13304</v>
      </c>
      <c r="C3109" t="s">
        <v>1527</v>
      </c>
      <c r="D3109" t="s">
        <v>13305</v>
      </c>
      <c r="E3109" s="28" t="s">
        <v>896</v>
      </c>
      <c r="F3109" t="s">
        <v>174</v>
      </c>
      <c r="G3109" t="s">
        <v>81</v>
      </c>
      <c r="M3109" s="28" t="s">
        <v>530</v>
      </c>
      <c r="N3109" t="s">
        <v>313</v>
      </c>
    </row>
    <row r="3110" spans="1:14" hidden="1" x14ac:dyDescent="0.25">
      <c r="A3110" t="s">
        <v>12722</v>
      </c>
      <c r="B3110" t="s">
        <v>12723</v>
      </c>
      <c r="C3110" t="s">
        <v>2638</v>
      </c>
      <c r="D3110" t="s">
        <v>12724</v>
      </c>
      <c r="E3110" s="28" t="s">
        <v>890</v>
      </c>
      <c r="F3110" t="s">
        <v>519</v>
      </c>
      <c r="G3110" t="s">
        <v>74</v>
      </c>
      <c r="M3110" s="28" t="s">
        <v>507</v>
      </c>
      <c r="N3110" t="s">
        <v>313</v>
      </c>
    </row>
    <row r="3111" spans="1:14" hidden="1" x14ac:dyDescent="0.25">
      <c r="A3111" t="s">
        <v>13300</v>
      </c>
      <c r="B3111" t="s">
        <v>12726</v>
      </c>
      <c r="C3111" t="s">
        <v>912</v>
      </c>
      <c r="D3111" t="s">
        <v>13301</v>
      </c>
      <c r="E3111" s="28" t="s">
        <v>1177</v>
      </c>
      <c r="F3111" t="s">
        <v>516</v>
      </c>
      <c r="G3111" t="s">
        <v>74</v>
      </c>
      <c r="M3111" s="28" t="s">
        <v>507</v>
      </c>
      <c r="N3111" t="s">
        <v>313</v>
      </c>
    </row>
    <row r="3112" spans="1:14" hidden="1" x14ac:dyDescent="0.25">
      <c r="A3112" t="s">
        <v>12725</v>
      </c>
      <c r="B3112" t="s">
        <v>12726</v>
      </c>
      <c r="C3112" t="s">
        <v>2638</v>
      </c>
      <c r="D3112" t="s">
        <v>12727</v>
      </c>
      <c r="E3112" s="28" t="s">
        <v>1177</v>
      </c>
      <c r="F3112" t="s">
        <v>516</v>
      </c>
      <c r="G3112" t="s">
        <v>74</v>
      </c>
      <c r="M3112" s="28" t="s">
        <v>507</v>
      </c>
      <c r="N3112" t="s">
        <v>313</v>
      </c>
    </row>
    <row r="3113" spans="1:14" hidden="1" x14ac:dyDescent="0.25">
      <c r="A3113" t="s">
        <v>10527</v>
      </c>
      <c r="B3113" t="s">
        <v>6719</v>
      </c>
      <c r="C3113" t="s">
        <v>6671</v>
      </c>
      <c r="D3113" t="s">
        <v>6720</v>
      </c>
      <c r="E3113" s="28" t="s">
        <v>896</v>
      </c>
      <c r="F3113" t="s">
        <v>891</v>
      </c>
      <c r="G3113" t="s">
        <v>137</v>
      </c>
      <c r="M3113" s="28" t="s">
        <v>805</v>
      </c>
      <c r="N3113" t="s">
        <v>313</v>
      </c>
    </row>
    <row r="3114" spans="1:14" hidden="1" x14ac:dyDescent="0.25">
      <c r="A3114" t="s">
        <v>11243</v>
      </c>
      <c r="B3114" t="s">
        <v>11244</v>
      </c>
      <c r="C3114" t="s">
        <v>1527</v>
      </c>
      <c r="D3114" t="s">
        <v>11245</v>
      </c>
      <c r="E3114" s="28" t="s">
        <v>890</v>
      </c>
      <c r="F3114" t="s">
        <v>182</v>
      </c>
      <c r="G3114" t="s">
        <v>84</v>
      </c>
      <c r="M3114" s="28" t="s">
        <v>14223</v>
      </c>
      <c r="N3114" t="s">
        <v>313</v>
      </c>
    </row>
    <row r="3115" spans="1:14" hidden="1" x14ac:dyDescent="0.25">
      <c r="A3115" t="s">
        <v>10773</v>
      </c>
      <c r="B3115" t="s">
        <v>7265</v>
      </c>
      <c r="C3115" t="s">
        <v>1099</v>
      </c>
      <c r="D3115" t="s">
        <v>7266</v>
      </c>
      <c r="E3115" s="28" t="s">
        <v>896</v>
      </c>
      <c r="F3115" t="s">
        <v>7258</v>
      </c>
      <c r="G3115" t="s">
        <v>152</v>
      </c>
      <c r="M3115" s="28"/>
    </row>
    <row r="3116" spans="1:14" hidden="1" x14ac:dyDescent="0.25">
      <c r="A3116" t="s">
        <v>9689</v>
      </c>
      <c r="B3116" t="s">
        <v>4931</v>
      </c>
      <c r="C3116" t="s">
        <v>4606</v>
      </c>
      <c r="D3116" t="s">
        <v>4932</v>
      </c>
      <c r="E3116" s="28" t="s">
        <v>896</v>
      </c>
      <c r="F3116" t="s">
        <v>4596</v>
      </c>
      <c r="G3116" t="s">
        <v>15</v>
      </c>
      <c r="M3116" s="28" t="s">
        <v>613</v>
      </c>
      <c r="N3116" t="s">
        <v>313</v>
      </c>
    </row>
    <row r="3117" spans="1:14" hidden="1" x14ac:dyDescent="0.25">
      <c r="A3117" t="s">
        <v>9688</v>
      </c>
      <c r="B3117" t="s">
        <v>4929</v>
      </c>
      <c r="C3117" t="s">
        <v>4557</v>
      </c>
      <c r="D3117" t="s">
        <v>4930</v>
      </c>
      <c r="E3117" s="28" t="s">
        <v>896</v>
      </c>
      <c r="F3117" t="s">
        <v>679</v>
      </c>
      <c r="G3117" t="s">
        <v>15</v>
      </c>
      <c r="M3117" s="28" t="s">
        <v>613</v>
      </c>
      <c r="N3117" t="s">
        <v>313</v>
      </c>
    </row>
    <row r="3118" spans="1:14" hidden="1" x14ac:dyDescent="0.25">
      <c r="A3118" t="s">
        <v>9687</v>
      </c>
      <c r="B3118" t="s">
        <v>4927</v>
      </c>
      <c r="C3118" t="s">
        <v>4719</v>
      </c>
      <c r="D3118" t="s">
        <v>4928</v>
      </c>
      <c r="E3118" s="28" t="s">
        <v>896</v>
      </c>
      <c r="F3118" t="s">
        <v>679</v>
      </c>
      <c r="G3118" t="s">
        <v>15</v>
      </c>
      <c r="M3118" s="28" t="s">
        <v>613</v>
      </c>
      <c r="N3118" t="s">
        <v>313</v>
      </c>
    </row>
    <row r="3119" spans="1:14" hidden="1" x14ac:dyDescent="0.25">
      <c r="A3119" t="s">
        <v>8670</v>
      </c>
      <c r="B3119" t="s">
        <v>2788</v>
      </c>
      <c r="C3119" t="s">
        <v>2789</v>
      </c>
      <c r="D3119" t="s">
        <v>2790</v>
      </c>
      <c r="E3119" s="28" t="s">
        <v>890</v>
      </c>
      <c r="F3119" t="s">
        <v>158</v>
      </c>
      <c r="G3119" t="s">
        <v>74</v>
      </c>
      <c r="M3119" s="28" t="s">
        <v>507</v>
      </c>
      <c r="N3119" t="s">
        <v>313</v>
      </c>
    </row>
    <row r="3120" spans="1:14" hidden="1" x14ac:dyDescent="0.25">
      <c r="A3120" t="s">
        <v>11985</v>
      </c>
      <c r="B3120" t="s">
        <v>11986</v>
      </c>
      <c r="C3120" t="s">
        <v>11987</v>
      </c>
      <c r="D3120" t="s">
        <v>11988</v>
      </c>
      <c r="E3120" s="28" t="s">
        <v>1023</v>
      </c>
      <c r="F3120" t="s">
        <v>813</v>
      </c>
      <c r="G3120" t="s">
        <v>137</v>
      </c>
      <c r="M3120" s="28" t="s">
        <v>805</v>
      </c>
      <c r="N3120" t="s">
        <v>313</v>
      </c>
    </row>
    <row r="3121" spans="1:14" hidden="1" x14ac:dyDescent="0.25">
      <c r="A3121" t="s">
        <v>12001</v>
      </c>
      <c r="B3121" t="s">
        <v>11986</v>
      </c>
      <c r="C3121" t="s">
        <v>996</v>
      </c>
      <c r="D3121" t="s">
        <v>12002</v>
      </c>
      <c r="E3121" s="28" t="s">
        <v>1023</v>
      </c>
      <c r="F3121" t="s">
        <v>813</v>
      </c>
      <c r="G3121" t="s">
        <v>137</v>
      </c>
      <c r="M3121" s="28" t="s">
        <v>805</v>
      </c>
      <c r="N3121" t="s">
        <v>313</v>
      </c>
    </row>
    <row r="3122" spans="1:14" hidden="1" x14ac:dyDescent="0.25">
      <c r="A3122" t="s">
        <v>12634</v>
      </c>
      <c r="B3122" t="s">
        <v>932</v>
      </c>
      <c r="C3122" t="s">
        <v>2627</v>
      </c>
      <c r="D3122" t="s">
        <v>12635</v>
      </c>
      <c r="E3122" s="28" t="s">
        <v>896</v>
      </c>
      <c r="F3122" t="s">
        <v>12631</v>
      </c>
      <c r="G3122" t="s">
        <v>137</v>
      </c>
      <c r="M3122" s="28" t="s">
        <v>805</v>
      </c>
      <c r="N3122" t="s">
        <v>313</v>
      </c>
    </row>
    <row r="3123" spans="1:14" hidden="1" x14ac:dyDescent="0.25">
      <c r="A3123" t="s">
        <v>9686</v>
      </c>
      <c r="B3123" t="s">
        <v>4924</v>
      </c>
      <c r="C3123" t="s">
        <v>4925</v>
      </c>
      <c r="D3123" t="s">
        <v>4926</v>
      </c>
      <c r="E3123" s="28" t="s">
        <v>896</v>
      </c>
      <c r="F3123" t="s">
        <v>4601</v>
      </c>
      <c r="G3123" t="s">
        <v>15</v>
      </c>
      <c r="M3123" s="28" t="s">
        <v>613</v>
      </c>
      <c r="N3123" t="s">
        <v>313</v>
      </c>
    </row>
    <row r="3124" spans="1:14" hidden="1" x14ac:dyDescent="0.25">
      <c r="A3124" t="s">
        <v>9685</v>
      </c>
      <c r="B3124" t="s">
        <v>4921</v>
      </c>
      <c r="C3124" t="s">
        <v>4922</v>
      </c>
      <c r="D3124" t="s">
        <v>4923</v>
      </c>
      <c r="E3124" s="28" t="s">
        <v>896</v>
      </c>
      <c r="F3124" t="s">
        <v>746</v>
      </c>
      <c r="G3124" t="s">
        <v>15</v>
      </c>
      <c r="M3124" s="28" t="s">
        <v>613</v>
      </c>
      <c r="N3124" t="s">
        <v>313</v>
      </c>
    </row>
    <row r="3125" spans="1:14" hidden="1" x14ac:dyDescent="0.25">
      <c r="A3125" t="s">
        <v>9683</v>
      </c>
      <c r="B3125" t="s">
        <v>4918</v>
      </c>
      <c r="C3125" t="s">
        <v>2582</v>
      </c>
      <c r="D3125" t="s">
        <v>4919</v>
      </c>
      <c r="E3125" s="28" t="s">
        <v>890</v>
      </c>
      <c r="F3125" t="s">
        <v>212</v>
      </c>
      <c r="G3125" t="s">
        <v>15</v>
      </c>
      <c r="M3125" s="28" t="s">
        <v>613</v>
      </c>
      <c r="N3125" t="s">
        <v>313</v>
      </c>
    </row>
    <row r="3126" spans="1:14" hidden="1" x14ac:dyDescent="0.25">
      <c r="A3126" t="s">
        <v>9684</v>
      </c>
      <c r="B3126" t="s">
        <v>4918</v>
      </c>
      <c r="C3126" t="s">
        <v>1180</v>
      </c>
      <c r="D3126" t="s">
        <v>4920</v>
      </c>
      <c r="E3126" s="28" t="s">
        <v>896</v>
      </c>
      <c r="F3126" t="s">
        <v>212</v>
      </c>
      <c r="G3126" t="s">
        <v>15</v>
      </c>
      <c r="M3126" s="28" t="s">
        <v>613</v>
      </c>
      <c r="N3126" t="s">
        <v>313</v>
      </c>
    </row>
    <row r="3127" spans="1:14" hidden="1" x14ac:dyDescent="0.25">
      <c r="A3127" t="s">
        <v>9682</v>
      </c>
      <c r="B3127" t="s">
        <v>4915</v>
      </c>
      <c r="C3127" t="s">
        <v>4916</v>
      </c>
      <c r="D3127" t="s">
        <v>4917</v>
      </c>
      <c r="E3127" s="28" t="s">
        <v>896</v>
      </c>
      <c r="F3127" t="s">
        <v>4555</v>
      </c>
      <c r="G3127" t="s">
        <v>15</v>
      </c>
      <c r="M3127" s="28" t="s">
        <v>613</v>
      </c>
      <c r="N3127" t="s">
        <v>313</v>
      </c>
    </row>
    <row r="3128" spans="1:14" hidden="1" x14ac:dyDescent="0.25">
      <c r="A3128" t="s">
        <v>9681</v>
      </c>
      <c r="B3128" t="s">
        <v>4912</v>
      </c>
      <c r="C3128" t="s">
        <v>2619</v>
      </c>
      <c r="D3128" t="s">
        <v>4914</v>
      </c>
      <c r="E3128" s="28" t="s">
        <v>896</v>
      </c>
      <c r="F3128" t="s">
        <v>643</v>
      </c>
      <c r="G3128" t="s">
        <v>15</v>
      </c>
      <c r="M3128" s="28" t="s">
        <v>613</v>
      </c>
      <c r="N3128" t="s">
        <v>313</v>
      </c>
    </row>
    <row r="3129" spans="1:14" hidden="1" x14ac:dyDescent="0.25">
      <c r="A3129" t="s">
        <v>9680</v>
      </c>
      <c r="B3129" t="s">
        <v>4912</v>
      </c>
      <c r="C3129" t="s">
        <v>4557</v>
      </c>
      <c r="D3129" t="s">
        <v>4913</v>
      </c>
      <c r="E3129" s="28" t="s">
        <v>890</v>
      </c>
      <c r="F3129" t="s">
        <v>643</v>
      </c>
      <c r="G3129" t="s">
        <v>15</v>
      </c>
      <c r="M3129" s="28" t="s">
        <v>613</v>
      </c>
      <c r="N3129" t="s">
        <v>313</v>
      </c>
    </row>
    <row r="3130" spans="1:14" hidden="1" x14ac:dyDescent="0.25">
      <c r="A3130" t="s">
        <v>13046</v>
      </c>
      <c r="B3130" t="s">
        <v>13047</v>
      </c>
      <c r="C3130" t="s">
        <v>4553</v>
      </c>
      <c r="D3130" t="s">
        <v>13048</v>
      </c>
      <c r="E3130" s="28" t="s">
        <v>896</v>
      </c>
      <c r="F3130" t="s">
        <v>662</v>
      </c>
      <c r="G3130" t="s">
        <v>15</v>
      </c>
      <c r="M3130" s="28" t="s">
        <v>613</v>
      </c>
      <c r="N3130" t="s">
        <v>313</v>
      </c>
    </row>
    <row r="3131" spans="1:14" hidden="1" x14ac:dyDescent="0.25">
      <c r="A3131" t="s">
        <v>12061</v>
      </c>
      <c r="B3131" t="s">
        <v>12062</v>
      </c>
      <c r="C3131" t="s">
        <v>7336</v>
      </c>
      <c r="D3131" t="s">
        <v>12063</v>
      </c>
      <c r="E3131" s="28" t="s">
        <v>890</v>
      </c>
      <c r="F3131" t="s">
        <v>263</v>
      </c>
      <c r="G3131" t="s">
        <v>157</v>
      </c>
      <c r="M3131" s="28" t="s">
        <v>840</v>
      </c>
      <c r="N3131" t="s">
        <v>382</v>
      </c>
    </row>
    <row r="3132" spans="1:14" hidden="1" x14ac:dyDescent="0.25">
      <c r="A3132" t="s">
        <v>9679</v>
      </c>
      <c r="B3132" t="s">
        <v>4910</v>
      </c>
      <c r="C3132" t="s">
        <v>2792</v>
      </c>
      <c r="D3132" t="s">
        <v>4911</v>
      </c>
      <c r="E3132" s="28" t="s">
        <v>896</v>
      </c>
      <c r="F3132" t="s">
        <v>2850</v>
      </c>
      <c r="G3132" t="s">
        <v>15</v>
      </c>
      <c r="M3132" s="28" t="s">
        <v>613</v>
      </c>
      <c r="N3132" t="s">
        <v>313</v>
      </c>
    </row>
    <row r="3133" spans="1:14" hidden="1" x14ac:dyDescent="0.25">
      <c r="A3133" t="s">
        <v>14385</v>
      </c>
      <c r="B3133" t="s">
        <v>14386</v>
      </c>
      <c r="C3133" t="s">
        <v>1227</v>
      </c>
      <c r="D3133" t="s">
        <v>14387</v>
      </c>
      <c r="E3133" s="28" t="s">
        <v>890</v>
      </c>
      <c r="F3133" t="s">
        <v>280</v>
      </c>
      <c r="G3133" t="s">
        <v>31</v>
      </c>
      <c r="M3133" s="28" t="s">
        <v>278</v>
      </c>
      <c r="N3133" t="s">
        <v>279</v>
      </c>
    </row>
    <row r="3134" spans="1:14" hidden="1" x14ac:dyDescent="0.25">
      <c r="A3134" t="s">
        <v>14388</v>
      </c>
      <c r="B3134" t="s">
        <v>14386</v>
      </c>
      <c r="C3134" t="s">
        <v>2442</v>
      </c>
      <c r="D3134" t="s">
        <v>14554</v>
      </c>
      <c r="E3134" s="28" t="s">
        <v>1177</v>
      </c>
      <c r="F3134" t="s">
        <v>280</v>
      </c>
      <c r="G3134" t="s">
        <v>31</v>
      </c>
      <c r="M3134" s="28" t="s">
        <v>278</v>
      </c>
      <c r="N3134" t="s">
        <v>279</v>
      </c>
    </row>
    <row r="3135" spans="1:14" hidden="1" x14ac:dyDescent="0.25">
      <c r="A3135" t="s">
        <v>11166</v>
      </c>
      <c r="B3135" t="s">
        <v>11167</v>
      </c>
      <c r="C3135" t="s">
        <v>1357</v>
      </c>
      <c r="D3135" t="s">
        <v>11168</v>
      </c>
      <c r="E3135" s="28" t="s">
        <v>890</v>
      </c>
      <c r="F3135" t="s">
        <v>11526</v>
      </c>
      <c r="G3135" t="s">
        <v>84</v>
      </c>
      <c r="M3135" s="28" t="s">
        <v>14223</v>
      </c>
      <c r="N3135" t="s">
        <v>313</v>
      </c>
    </row>
    <row r="3136" spans="1:14" hidden="1" x14ac:dyDescent="0.25">
      <c r="A3136" t="s">
        <v>9678</v>
      </c>
      <c r="B3136" t="s">
        <v>4907</v>
      </c>
      <c r="C3136" t="s">
        <v>1483</v>
      </c>
      <c r="D3136" t="s">
        <v>4908</v>
      </c>
      <c r="E3136" s="28" t="s">
        <v>890</v>
      </c>
      <c r="F3136" t="s">
        <v>4909</v>
      </c>
      <c r="G3136" t="s">
        <v>15</v>
      </c>
      <c r="M3136" s="28" t="s">
        <v>613</v>
      </c>
      <c r="N3136" t="s">
        <v>313</v>
      </c>
    </row>
    <row r="3137" spans="1:14" hidden="1" x14ac:dyDescent="0.25">
      <c r="A3137" t="s">
        <v>9677</v>
      </c>
      <c r="B3137" t="s">
        <v>4905</v>
      </c>
      <c r="C3137" t="s">
        <v>4536</v>
      </c>
      <c r="D3137" t="s">
        <v>4906</v>
      </c>
      <c r="E3137" s="28" t="s">
        <v>890</v>
      </c>
      <c r="F3137" t="s">
        <v>4596</v>
      </c>
      <c r="G3137" t="s">
        <v>15</v>
      </c>
      <c r="M3137" s="28" t="s">
        <v>613</v>
      </c>
      <c r="N3137" t="s">
        <v>313</v>
      </c>
    </row>
    <row r="3138" spans="1:14" hidden="1" x14ac:dyDescent="0.25">
      <c r="A3138" t="s">
        <v>9676</v>
      </c>
      <c r="B3138" t="s">
        <v>4903</v>
      </c>
      <c r="C3138" t="s">
        <v>999</v>
      </c>
      <c r="D3138" t="s">
        <v>4904</v>
      </c>
      <c r="E3138" s="28" t="s">
        <v>890</v>
      </c>
      <c r="F3138" t="s">
        <v>623</v>
      </c>
      <c r="G3138" t="s">
        <v>15</v>
      </c>
      <c r="M3138" s="28" t="s">
        <v>613</v>
      </c>
      <c r="N3138" t="s">
        <v>313</v>
      </c>
    </row>
    <row r="3139" spans="1:14" hidden="1" x14ac:dyDescent="0.25">
      <c r="A3139" t="s">
        <v>9317</v>
      </c>
      <c r="B3139" t="s">
        <v>4143</v>
      </c>
      <c r="C3139" t="s">
        <v>1103</v>
      </c>
      <c r="D3139" t="s">
        <v>4144</v>
      </c>
      <c r="E3139" s="28" t="s">
        <v>890</v>
      </c>
      <c r="F3139" t="s">
        <v>891</v>
      </c>
      <c r="G3139" t="s">
        <v>88</v>
      </c>
      <c r="M3139" s="28" t="s">
        <v>549</v>
      </c>
      <c r="N3139" t="s">
        <v>313</v>
      </c>
    </row>
    <row r="3140" spans="1:14" hidden="1" x14ac:dyDescent="0.25">
      <c r="A3140" t="s">
        <v>13941</v>
      </c>
      <c r="B3140" t="s">
        <v>13942</v>
      </c>
      <c r="C3140" t="s">
        <v>1905</v>
      </c>
      <c r="D3140" t="s">
        <v>13943</v>
      </c>
      <c r="E3140" s="28" t="s">
        <v>896</v>
      </c>
      <c r="F3140" t="s">
        <v>12865</v>
      </c>
      <c r="G3140" t="s">
        <v>15</v>
      </c>
      <c r="M3140" s="28" t="s">
        <v>613</v>
      </c>
      <c r="N3140" t="s">
        <v>313</v>
      </c>
    </row>
    <row r="3141" spans="1:14" hidden="1" x14ac:dyDescent="0.25">
      <c r="A3141" t="s">
        <v>9675</v>
      </c>
      <c r="B3141" t="s">
        <v>4901</v>
      </c>
      <c r="C3141" t="s">
        <v>4777</v>
      </c>
      <c r="D3141" t="s">
        <v>4902</v>
      </c>
      <c r="E3141" s="28" t="s">
        <v>896</v>
      </c>
      <c r="F3141" t="s">
        <v>727</v>
      </c>
      <c r="G3141" t="s">
        <v>15</v>
      </c>
      <c r="M3141" s="28" t="s">
        <v>613</v>
      </c>
      <c r="N3141" t="s">
        <v>313</v>
      </c>
    </row>
    <row r="3142" spans="1:14" hidden="1" x14ac:dyDescent="0.25">
      <c r="A3142" t="s">
        <v>10624</v>
      </c>
      <c r="B3142" t="s">
        <v>6892</v>
      </c>
      <c r="C3142" t="s">
        <v>6893</v>
      </c>
      <c r="D3142" t="s">
        <v>6894</v>
      </c>
      <c r="E3142" s="28" t="s">
        <v>896</v>
      </c>
      <c r="F3142" t="s">
        <v>6895</v>
      </c>
      <c r="G3142" t="s">
        <v>6896</v>
      </c>
      <c r="M3142" s="28" t="s">
        <v>6897</v>
      </c>
      <c r="N3142" t="s">
        <v>279</v>
      </c>
    </row>
    <row r="3143" spans="1:14" hidden="1" x14ac:dyDescent="0.25">
      <c r="A3143" t="s">
        <v>12995</v>
      </c>
      <c r="B3143" t="s">
        <v>12996</v>
      </c>
      <c r="C3143" t="s">
        <v>4606</v>
      </c>
      <c r="D3143" t="s">
        <v>12997</v>
      </c>
      <c r="E3143" s="28" t="s">
        <v>896</v>
      </c>
      <c r="F3143" t="s">
        <v>724</v>
      </c>
      <c r="G3143" t="s">
        <v>15</v>
      </c>
      <c r="M3143" s="28" t="s">
        <v>613</v>
      </c>
      <c r="N3143" t="s">
        <v>313</v>
      </c>
    </row>
    <row r="3144" spans="1:14" hidden="1" x14ac:dyDescent="0.25">
      <c r="A3144" t="s">
        <v>7952</v>
      </c>
      <c r="B3144" t="s">
        <v>931</v>
      </c>
      <c r="C3144" t="s">
        <v>932</v>
      </c>
      <c r="D3144" t="s">
        <v>933</v>
      </c>
      <c r="E3144" s="28" t="s">
        <v>890</v>
      </c>
      <c r="F3144" t="s">
        <v>897</v>
      </c>
      <c r="G3144" t="s">
        <v>28</v>
      </c>
      <c r="M3144" s="28" t="s">
        <v>14241</v>
      </c>
      <c r="N3144" t="s">
        <v>14206</v>
      </c>
    </row>
    <row r="3145" spans="1:14" hidden="1" x14ac:dyDescent="0.25">
      <c r="A3145" t="s">
        <v>12070</v>
      </c>
      <c r="B3145" t="s">
        <v>7508</v>
      </c>
      <c r="C3145" t="s">
        <v>1119</v>
      </c>
      <c r="D3145" t="s">
        <v>7509</v>
      </c>
      <c r="E3145" s="28" t="s">
        <v>930</v>
      </c>
      <c r="F3145" t="s">
        <v>881</v>
      </c>
      <c r="G3145" t="s">
        <v>157</v>
      </c>
      <c r="M3145" s="28" t="s">
        <v>840</v>
      </c>
      <c r="N3145" t="s">
        <v>382</v>
      </c>
    </row>
    <row r="3146" spans="1:14" hidden="1" x14ac:dyDescent="0.25">
      <c r="A3146" t="s">
        <v>8124</v>
      </c>
      <c r="B3146" t="s">
        <v>1432</v>
      </c>
      <c r="C3146" t="s">
        <v>1418</v>
      </c>
      <c r="D3146" t="s">
        <v>1433</v>
      </c>
      <c r="E3146" s="28" t="s">
        <v>890</v>
      </c>
      <c r="F3146" t="s">
        <v>69</v>
      </c>
      <c r="G3146" t="s">
        <v>38</v>
      </c>
      <c r="M3146" s="28"/>
    </row>
    <row r="3147" spans="1:14" hidden="1" x14ac:dyDescent="0.25">
      <c r="A3147" t="s">
        <v>8238</v>
      </c>
      <c r="B3147" t="s">
        <v>1721</v>
      </c>
      <c r="C3147" t="s">
        <v>1722</v>
      </c>
      <c r="D3147" t="s">
        <v>1723</v>
      </c>
      <c r="E3147" s="28" t="s">
        <v>890</v>
      </c>
      <c r="F3147" t="s">
        <v>891</v>
      </c>
      <c r="G3147" t="s">
        <v>43</v>
      </c>
      <c r="M3147" s="28" t="s">
        <v>14205</v>
      </c>
    </row>
    <row r="3148" spans="1:14" hidden="1" x14ac:dyDescent="0.25">
      <c r="A3148" t="s">
        <v>9318</v>
      </c>
      <c r="B3148" t="s">
        <v>4145</v>
      </c>
      <c r="C3148" t="s">
        <v>4146</v>
      </c>
      <c r="D3148" t="s">
        <v>4147</v>
      </c>
      <c r="E3148" s="28" t="s">
        <v>890</v>
      </c>
      <c r="F3148" t="s">
        <v>891</v>
      </c>
      <c r="G3148" t="s">
        <v>88</v>
      </c>
      <c r="M3148" s="28" t="s">
        <v>549</v>
      </c>
      <c r="N3148" t="s">
        <v>313</v>
      </c>
    </row>
    <row r="3149" spans="1:14" hidden="1" x14ac:dyDescent="0.25">
      <c r="A3149" t="s">
        <v>9674</v>
      </c>
      <c r="B3149" t="s">
        <v>4899</v>
      </c>
      <c r="C3149" t="s">
        <v>2919</v>
      </c>
      <c r="D3149" t="s">
        <v>4900</v>
      </c>
      <c r="E3149" s="28" t="s">
        <v>896</v>
      </c>
      <c r="F3149" t="s">
        <v>712</v>
      </c>
      <c r="G3149" t="s">
        <v>15</v>
      </c>
      <c r="M3149" s="28" t="s">
        <v>613</v>
      </c>
      <c r="N3149" t="s">
        <v>313</v>
      </c>
    </row>
    <row r="3150" spans="1:14" hidden="1" x14ac:dyDescent="0.25">
      <c r="A3150" t="s">
        <v>13379</v>
      </c>
      <c r="B3150" t="s">
        <v>13380</v>
      </c>
      <c r="C3150" t="s">
        <v>4606</v>
      </c>
      <c r="D3150" t="s">
        <v>13381</v>
      </c>
      <c r="E3150" s="28" t="s">
        <v>896</v>
      </c>
      <c r="F3150" t="s">
        <v>225</v>
      </c>
      <c r="G3150" t="s">
        <v>15</v>
      </c>
      <c r="M3150" s="28" t="s">
        <v>613</v>
      </c>
      <c r="N3150" t="s">
        <v>313</v>
      </c>
    </row>
    <row r="3151" spans="1:14" hidden="1" x14ac:dyDescent="0.25">
      <c r="A3151" t="s">
        <v>14555</v>
      </c>
      <c r="B3151" t="s">
        <v>14556</v>
      </c>
      <c r="C3151" t="s">
        <v>1444</v>
      </c>
      <c r="D3151" t="s">
        <v>14557</v>
      </c>
      <c r="E3151" s="28" t="s">
        <v>896</v>
      </c>
      <c r="F3151" t="s">
        <v>14558</v>
      </c>
      <c r="G3151" t="s">
        <v>38</v>
      </c>
      <c r="M3151" s="28"/>
    </row>
    <row r="3152" spans="1:14" hidden="1" x14ac:dyDescent="0.25">
      <c r="A3152" t="s">
        <v>8569</v>
      </c>
      <c r="B3152" t="s">
        <v>2536</v>
      </c>
      <c r="C3152" t="s">
        <v>2478</v>
      </c>
      <c r="D3152" t="s">
        <v>2537</v>
      </c>
      <c r="E3152" s="28" t="s">
        <v>896</v>
      </c>
      <c r="F3152" t="s">
        <v>891</v>
      </c>
      <c r="G3152" t="s">
        <v>11</v>
      </c>
      <c r="M3152" s="28" t="s">
        <v>413</v>
      </c>
      <c r="N3152" t="s">
        <v>313</v>
      </c>
    </row>
    <row r="3153" spans="1:14" hidden="1" x14ac:dyDescent="0.25">
      <c r="A3153" t="s">
        <v>10588</v>
      </c>
      <c r="B3153" t="s">
        <v>6537</v>
      </c>
      <c r="C3153" t="s">
        <v>6823</v>
      </c>
      <c r="D3153" t="s">
        <v>12013</v>
      </c>
      <c r="E3153" s="28" t="s">
        <v>896</v>
      </c>
      <c r="F3153" t="s">
        <v>799</v>
      </c>
      <c r="G3153" t="s">
        <v>98</v>
      </c>
      <c r="M3153" s="28" t="s">
        <v>820</v>
      </c>
      <c r="N3153" t="s">
        <v>313</v>
      </c>
    </row>
    <row r="3154" spans="1:14" hidden="1" x14ac:dyDescent="0.25">
      <c r="A3154" t="s">
        <v>10850</v>
      </c>
      <c r="B3154" t="s">
        <v>6537</v>
      </c>
      <c r="C3154" t="s">
        <v>2651</v>
      </c>
      <c r="D3154" t="s">
        <v>7441</v>
      </c>
      <c r="E3154" s="28" t="s">
        <v>930</v>
      </c>
      <c r="F3154" t="s">
        <v>179</v>
      </c>
      <c r="G3154" t="s">
        <v>157</v>
      </c>
      <c r="M3154" s="28" t="s">
        <v>840</v>
      </c>
      <c r="N3154" t="s">
        <v>382</v>
      </c>
    </row>
    <row r="3155" spans="1:14" hidden="1" x14ac:dyDescent="0.25">
      <c r="A3155" t="s">
        <v>11932</v>
      </c>
      <c r="B3155" t="s">
        <v>6537</v>
      </c>
      <c r="C3155" t="s">
        <v>1067</v>
      </c>
      <c r="D3155" t="s">
        <v>6538</v>
      </c>
      <c r="E3155" s="28" t="s">
        <v>896</v>
      </c>
      <c r="F3155" t="s">
        <v>252</v>
      </c>
      <c r="G3155" t="s">
        <v>129</v>
      </c>
      <c r="M3155" s="28" t="s">
        <v>802</v>
      </c>
      <c r="N3155" t="s">
        <v>313</v>
      </c>
    </row>
    <row r="3156" spans="1:14" hidden="1" x14ac:dyDescent="0.25">
      <c r="A3156" t="s">
        <v>10849</v>
      </c>
      <c r="B3156" t="s">
        <v>6537</v>
      </c>
      <c r="C3156" t="s">
        <v>7439</v>
      </c>
      <c r="D3156" t="s">
        <v>7440</v>
      </c>
      <c r="E3156" s="28" t="s">
        <v>890</v>
      </c>
      <c r="F3156" t="s">
        <v>179</v>
      </c>
      <c r="G3156" t="s">
        <v>157</v>
      </c>
      <c r="M3156" s="28" t="s">
        <v>840</v>
      </c>
      <c r="N3156" t="s">
        <v>382</v>
      </c>
    </row>
    <row r="3157" spans="1:14" hidden="1" x14ac:dyDescent="0.25">
      <c r="A3157" t="s">
        <v>10528</v>
      </c>
      <c r="B3157" t="s">
        <v>6721</v>
      </c>
      <c r="C3157" t="s">
        <v>1738</v>
      </c>
      <c r="D3157" t="s">
        <v>6722</v>
      </c>
      <c r="E3157" s="28" t="s">
        <v>896</v>
      </c>
      <c r="F3157" t="s">
        <v>253</v>
      </c>
      <c r="G3157" t="s">
        <v>137</v>
      </c>
      <c r="M3157" s="28" t="s">
        <v>805</v>
      </c>
      <c r="N3157" t="s">
        <v>313</v>
      </c>
    </row>
    <row r="3158" spans="1:14" hidden="1" x14ac:dyDescent="0.25">
      <c r="A3158" t="s">
        <v>14559</v>
      </c>
      <c r="B3158" t="s">
        <v>14560</v>
      </c>
      <c r="C3158" t="s">
        <v>1269</v>
      </c>
      <c r="D3158" t="s">
        <v>14561</v>
      </c>
      <c r="E3158" s="28" t="s">
        <v>1023</v>
      </c>
      <c r="F3158" t="s">
        <v>516</v>
      </c>
      <c r="G3158" t="s">
        <v>74</v>
      </c>
      <c r="M3158" s="28" t="s">
        <v>507</v>
      </c>
      <c r="N3158" t="s">
        <v>313</v>
      </c>
    </row>
    <row r="3159" spans="1:14" hidden="1" x14ac:dyDescent="0.25">
      <c r="A3159" t="s">
        <v>9673</v>
      </c>
      <c r="B3159" t="s">
        <v>4896</v>
      </c>
      <c r="C3159" t="s">
        <v>4897</v>
      </c>
      <c r="D3159" t="s">
        <v>4898</v>
      </c>
      <c r="E3159" s="28" t="s">
        <v>896</v>
      </c>
      <c r="F3159" t="s">
        <v>216</v>
      </c>
      <c r="G3159" t="s">
        <v>15</v>
      </c>
      <c r="M3159" s="28" t="s">
        <v>613</v>
      </c>
      <c r="N3159" t="s">
        <v>313</v>
      </c>
    </row>
    <row r="3160" spans="1:14" hidden="1" x14ac:dyDescent="0.25">
      <c r="A3160" t="s">
        <v>9319</v>
      </c>
      <c r="B3160" t="s">
        <v>4148</v>
      </c>
      <c r="C3160" t="s">
        <v>3034</v>
      </c>
      <c r="D3160" t="s">
        <v>4149</v>
      </c>
      <c r="E3160" s="28" t="s">
        <v>890</v>
      </c>
      <c r="F3160" t="s">
        <v>891</v>
      </c>
      <c r="G3160" t="s">
        <v>88</v>
      </c>
      <c r="M3160" s="28" t="s">
        <v>549</v>
      </c>
      <c r="N3160" t="s">
        <v>313</v>
      </c>
    </row>
    <row r="3161" spans="1:14" hidden="1" x14ac:dyDescent="0.25">
      <c r="A3161" t="s">
        <v>8234</v>
      </c>
      <c r="B3161" t="s">
        <v>1709</v>
      </c>
      <c r="C3161" t="s">
        <v>1710</v>
      </c>
      <c r="D3161" t="s">
        <v>1711</v>
      </c>
      <c r="E3161" s="28" t="s">
        <v>890</v>
      </c>
      <c r="F3161" t="s">
        <v>891</v>
      </c>
      <c r="G3161" t="s">
        <v>43</v>
      </c>
      <c r="M3161" s="28" t="s">
        <v>14205</v>
      </c>
    </row>
    <row r="3162" spans="1:14" hidden="1" x14ac:dyDescent="0.25">
      <c r="A3162" t="s">
        <v>8357</v>
      </c>
      <c r="B3162" t="s">
        <v>2025</v>
      </c>
      <c r="C3162" t="s">
        <v>2026</v>
      </c>
      <c r="D3162" t="s">
        <v>2027</v>
      </c>
      <c r="E3162" s="28" t="s">
        <v>890</v>
      </c>
      <c r="F3162" t="s">
        <v>389</v>
      </c>
      <c r="G3162" t="s">
        <v>47</v>
      </c>
      <c r="M3162" s="28" t="s">
        <v>13542</v>
      </c>
    </row>
    <row r="3163" spans="1:14" hidden="1" x14ac:dyDescent="0.25">
      <c r="A3163" t="s">
        <v>9672</v>
      </c>
      <c r="B3163" t="s">
        <v>4894</v>
      </c>
      <c r="C3163" t="s">
        <v>4557</v>
      </c>
      <c r="D3163" t="s">
        <v>4895</v>
      </c>
      <c r="E3163" s="28" t="s">
        <v>896</v>
      </c>
      <c r="F3163" t="s">
        <v>231</v>
      </c>
      <c r="G3163" t="s">
        <v>15</v>
      </c>
      <c r="M3163" s="28" t="s">
        <v>613</v>
      </c>
      <c r="N3163" t="s">
        <v>313</v>
      </c>
    </row>
    <row r="3164" spans="1:14" hidden="1" x14ac:dyDescent="0.25">
      <c r="A3164" t="s">
        <v>9670</v>
      </c>
      <c r="B3164" t="s">
        <v>4890</v>
      </c>
      <c r="C3164" t="s">
        <v>4553</v>
      </c>
      <c r="D3164" t="s">
        <v>4891</v>
      </c>
      <c r="E3164" s="28" t="s">
        <v>890</v>
      </c>
      <c r="F3164" t="s">
        <v>2598</v>
      </c>
      <c r="G3164" t="s">
        <v>15</v>
      </c>
      <c r="M3164" s="28" t="s">
        <v>613</v>
      </c>
      <c r="N3164" t="s">
        <v>313</v>
      </c>
    </row>
    <row r="3165" spans="1:14" hidden="1" x14ac:dyDescent="0.25">
      <c r="A3165" t="s">
        <v>9671</v>
      </c>
      <c r="B3165" t="s">
        <v>4890</v>
      </c>
      <c r="C3165" t="s">
        <v>4892</v>
      </c>
      <c r="D3165" t="s">
        <v>4893</v>
      </c>
      <c r="E3165" s="28" t="s">
        <v>896</v>
      </c>
      <c r="F3165" t="s">
        <v>4635</v>
      </c>
      <c r="G3165" t="s">
        <v>15</v>
      </c>
      <c r="M3165" s="28" t="s">
        <v>613</v>
      </c>
      <c r="N3165" t="s">
        <v>313</v>
      </c>
    </row>
    <row r="3166" spans="1:14" hidden="1" x14ac:dyDescent="0.25">
      <c r="A3166" t="s">
        <v>9669</v>
      </c>
      <c r="B3166" t="s">
        <v>4888</v>
      </c>
      <c r="C3166" t="s">
        <v>4857</v>
      </c>
      <c r="D3166" t="s">
        <v>4889</v>
      </c>
      <c r="E3166" s="28" t="s">
        <v>890</v>
      </c>
      <c r="F3166" t="s">
        <v>4685</v>
      </c>
      <c r="G3166" t="s">
        <v>15</v>
      </c>
      <c r="M3166" s="28" t="s">
        <v>613</v>
      </c>
      <c r="N3166" t="s">
        <v>313</v>
      </c>
    </row>
    <row r="3167" spans="1:14" hidden="1" x14ac:dyDescent="0.25">
      <c r="A3167" t="s">
        <v>13297</v>
      </c>
      <c r="B3167" t="s">
        <v>13298</v>
      </c>
      <c r="C3167" t="s">
        <v>2606</v>
      </c>
      <c r="D3167" t="s">
        <v>13299</v>
      </c>
      <c r="E3167" s="28" t="s">
        <v>890</v>
      </c>
      <c r="F3167" t="s">
        <v>11665</v>
      </c>
      <c r="G3167" t="s">
        <v>74</v>
      </c>
      <c r="M3167" s="28" t="s">
        <v>507</v>
      </c>
      <c r="N3167" t="s">
        <v>313</v>
      </c>
    </row>
    <row r="3168" spans="1:14" hidden="1" x14ac:dyDescent="0.25">
      <c r="A3168" t="s">
        <v>8637</v>
      </c>
      <c r="B3168" t="s">
        <v>2699</v>
      </c>
      <c r="C3168" t="s">
        <v>2638</v>
      </c>
      <c r="D3168" t="s">
        <v>2700</v>
      </c>
      <c r="E3168" s="28" t="s">
        <v>890</v>
      </c>
      <c r="F3168" t="s">
        <v>510</v>
      </c>
      <c r="G3168" t="s">
        <v>74</v>
      </c>
      <c r="M3168" s="28" t="s">
        <v>507</v>
      </c>
      <c r="N3168" t="s">
        <v>313</v>
      </c>
    </row>
    <row r="3169" spans="1:14" hidden="1" x14ac:dyDescent="0.25">
      <c r="A3169" t="s">
        <v>9668</v>
      </c>
      <c r="B3169" t="s">
        <v>4886</v>
      </c>
      <c r="C3169" t="s">
        <v>1224</v>
      </c>
      <c r="D3169" t="s">
        <v>4887</v>
      </c>
      <c r="E3169" s="28" t="s">
        <v>890</v>
      </c>
      <c r="F3169" t="s">
        <v>746</v>
      </c>
      <c r="G3169" t="s">
        <v>15</v>
      </c>
      <c r="M3169" s="28" t="s">
        <v>613</v>
      </c>
      <c r="N3169" t="s">
        <v>313</v>
      </c>
    </row>
    <row r="3170" spans="1:14" hidden="1" x14ac:dyDescent="0.25">
      <c r="A3170" t="s">
        <v>9667</v>
      </c>
      <c r="B3170" t="s">
        <v>4884</v>
      </c>
      <c r="C3170" t="s">
        <v>4668</v>
      </c>
      <c r="D3170" t="s">
        <v>4885</v>
      </c>
      <c r="E3170" s="28" t="s">
        <v>896</v>
      </c>
      <c r="F3170" t="s">
        <v>771</v>
      </c>
      <c r="G3170" t="s">
        <v>15</v>
      </c>
      <c r="M3170" s="28" t="s">
        <v>613</v>
      </c>
      <c r="N3170" t="s">
        <v>313</v>
      </c>
    </row>
    <row r="3171" spans="1:14" hidden="1" x14ac:dyDescent="0.25">
      <c r="A3171" t="s">
        <v>13944</v>
      </c>
      <c r="B3171" t="s">
        <v>13945</v>
      </c>
      <c r="C3171" t="s">
        <v>4841</v>
      </c>
      <c r="D3171" t="s">
        <v>13946</v>
      </c>
      <c r="E3171" s="28" t="s">
        <v>890</v>
      </c>
      <c r="F3171" t="s">
        <v>659</v>
      </c>
      <c r="G3171" t="s">
        <v>15</v>
      </c>
      <c r="M3171" s="28" t="s">
        <v>613</v>
      </c>
      <c r="N3171" t="s">
        <v>313</v>
      </c>
    </row>
    <row r="3172" spans="1:14" hidden="1" x14ac:dyDescent="0.25">
      <c r="A3172" t="s">
        <v>8556</v>
      </c>
      <c r="B3172" t="s">
        <v>2499</v>
      </c>
      <c r="C3172" t="s">
        <v>1156</v>
      </c>
      <c r="D3172" t="s">
        <v>2500</v>
      </c>
      <c r="E3172" s="28" t="s">
        <v>896</v>
      </c>
      <c r="F3172" t="s">
        <v>2568</v>
      </c>
      <c r="G3172" t="s">
        <v>11</v>
      </c>
      <c r="M3172" s="28" t="s">
        <v>413</v>
      </c>
      <c r="N3172" t="s">
        <v>313</v>
      </c>
    </row>
    <row r="3173" spans="1:14" hidden="1" x14ac:dyDescent="0.25">
      <c r="A3173" t="s">
        <v>11650</v>
      </c>
      <c r="B3173" t="s">
        <v>11651</v>
      </c>
      <c r="C3173" t="s">
        <v>1676</v>
      </c>
      <c r="D3173" t="s">
        <v>2640</v>
      </c>
      <c r="E3173" s="28" t="s">
        <v>890</v>
      </c>
      <c r="F3173" t="s">
        <v>13276</v>
      </c>
      <c r="G3173" t="s">
        <v>74</v>
      </c>
      <c r="M3173" s="28" t="s">
        <v>507</v>
      </c>
      <c r="N3173" t="s">
        <v>313</v>
      </c>
    </row>
    <row r="3174" spans="1:14" hidden="1" x14ac:dyDescent="0.25">
      <c r="A3174" t="s">
        <v>10529</v>
      </c>
      <c r="B3174" t="s">
        <v>1181</v>
      </c>
      <c r="C3174" t="s">
        <v>1832</v>
      </c>
      <c r="D3174" t="s">
        <v>6723</v>
      </c>
      <c r="E3174" s="28" t="s">
        <v>896</v>
      </c>
      <c r="F3174" t="s">
        <v>891</v>
      </c>
      <c r="G3174" t="s">
        <v>137</v>
      </c>
      <c r="M3174" s="28" t="s">
        <v>805</v>
      </c>
      <c r="N3174" t="s">
        <v>313</v>
      </c>
    </row>
    <row r="3175" spans="1:14" hidden="1" x14ac:dyDescent="0.25">
      <c r="A3175" t="s">
        <v>8682</v>
      </c>
      <c r="B3175" t="s">
        <v>1181</v>
      </c>
      <c r="C3175" t="s">
        <v>2813</v>
      </c>
      <c r="D3175" t="s">
        <v>2814</v>
      </c>
      <c r="E3175" s="28" t="s">
        <v>1177</v>
      </c>
      <c r="F3175" t="s">
        <v>2625</v>
      </c>
      <c r="G3175" t="s">
        <v>74</v>
      </c>
      <c r="M3175" s="28" t="s">
        <v>507</v>
      </c>
      <c r="N3175" t="s">
        <v>313</v>
      </c>
    </row>
    <row r="3176" spans="1:14" hidden="1" x14ac:dyDescent="0.25">
      <c r="A3176" t="s">
        <v>8684</v>
      </c>
      <c r="B3176" t="s">
        <v>1181</v>
      </c>
      <c r="C3176" t="s">
        <v>2818</v>
      </c>
      <c r="D3176" t="s">
        <v>2819</v>
      </c>
      <c r="E3176" s="28" t="s">
        <v>1023</v>
      </c>
      <c r="F3176" t="s">
        <v>2625</v>
      </c>
      <c r="G3176" t="s">
        <v>74</v>
      </c>
      <c r="M3176" s="28" t="s">
        <v>507</v>
      </c>
      <c r="N3176" t="s">
        <v>313</v>
      </c>
    </row>
    <row r="3177" spans="1:14" hidden="1" x14ac:dyDescent="0.25">
      <c r="A3177" t="s">
        <v>8679</v>
      </c>
      <c r="B3177" t="s">
        <v>1181</v>
      </c>
      <c r="C3177" t="s">
        <v>2805</v>
      </c>
      <c r="D3177" t="s">
        <v>2806</v>
      </c>
      <c r="E3177" s="28" t="s">
        <v>890</v>
      </c>
      <c r="F3177" t="s">
        <v>2625</v>
      </c>
      <c r="G3177" t="s">
        <v>74</v>
      </c>
      <c r="M3177" s="28" t="s">
        <v>507</v>
      </c>
      <c r="N3177" t="s">
        <v>313</v>
      </c>
    </row>
    <row r="3178" spans="1:14" hidden="1" x14ac:dyDescent="0.25">
      <c r="A3178" t="s">
        <v>10625</v>
      </c>
      <c r="B3178" t="s">
        <v>6898</v>
      </c>
      <c r="C3178" t="s">
        <v>6899</v>
      </c>
      <c r="D3178" t="s">
        <v>6900</v>
      </c>
      <c r="E3178" s="28" t="s">
        <v>890</v>
      </c>
      <c r="F3178" t="s">
        <v>6901</v>
      </c>
      <c r="G3178" t="s">
        <v>6896</v>
      </c>
      <c r="M3178" s="28" t="s">
        <v>6897</v>
      </c>
      <c r="N3178" t="s">
        <v>279</v>
      </c>
    </row>
    <row r="3179" spans="1:14" hidden="1" x14ac:dyDescent="0.25">
      <c r="A3179" t="s">
        <v>9666</v>
      </c>
      <c r="B3179" t="s">
        <v>4882</v>
      </c>
      <c r="C3179" t="s">
        <v>1616</v>
      </c>
      <c r="D3179" t="s">
        <v>4883</v>
      </c>
      <c r="E3179" s="28" t="s">
        <v>890</v>
      </c>
      <c r="F3179" t="s">
        <v>662</v>
      </c>
      <c r="G3179" t="s">
        <v>15</v>
      </c>
      <c r="M3179" s="28" t="s">
        <v>613</v>
      </c>
      <c r="N3179" t="s">
        <v>313</v>
      </c>
    </row>
    <row r="3180" spans="1:14" hidden="1" x14ac:dyDescent="0.25">
      <c r="A3180" t="s">
        <v>7989</v>
      </c>
      <c r="B3180" t="s">
        <v>1026</v>
      </c>
      <c r="C3180" t="s">
        <v>1032</v>
      </c>
      <c r="D3180" t="s">
        <v>1033</v>
      </c>
      <c r="E3180" s="28" t="s">
        <v>1023</v>
      </c>
      <c r="F3180" t="s">
        <v>1018</v>
      </c>
      <c r="G3180" t="s">
        <v>28</v>
      </c>
      <c r="M3180" s="28" t="s">
        <v>14241</v>
      </c>
      <c r="N3180" t="s">
        <v>14206</v>
      </c>
    </row>
    <row r="3181" spans="1:14" hidden="1" x14ac:dyDescent="0.25">
      <c r="A3181" t="s">
        <v>13947</v>
      </c>
      <c r="B3181" t="s">
        <v>1026</v>
      </c>
      <c r="C3181" t="s">
        <v>926</v>
      </c>
      <c r="D3181" t="s">
        <v>13948</v>
      </c>
      <c r="E3181" s="28" t="s">
        <v>896</v>
      </c>
      <c r="F3181" t="s">
        <v>13217</v>
      </c>
      <c r="G3181" t="s">
        <v>14185</v>
      </c>
      <c r="M3181" s="28" t="s">
        <v>613</v>
      </c>
      <c r="N3181" t="s">
        <v>313</v>
      </c>
    </row>
    <row r="3182" spans="1:14" hidden="1" x14ac:dyDescent="0.25">
      <c r="A3182" t="s">
        <v>13947</v>
      </c>
      <c r="B3182" t="s">
        <v>1026</v>
      </c>
      <c r="C3182" t="s">
        <v>926</v>
      </c>
      <c r="D3182" t="s">
        <v>13948</v>
      </c>
      <c r="E3182" s="28" t="s">
        <v>896</v>
      </c>
      <c r="F3182" t="s">
        <v>13217</v>
      </c>
      <c r="G3182" t="s">
        <v>15</v>
      </c>
      <c r="M3182" s="28" t="s">
        <v>613</v>
      </c>
      <c r="N3182" t="s">
        <v>313</v>
      </c>
    </row>
    <row r="3183" spans="1:14" hidden="1" x14ac:dyDescent="0.25">
      <c r="A3183" t="s">
        <v>7995</v>
      </c>
      <c r="B3183" t="s">
        <v>1026</v>
      </c>
      <c r="C3183" t="s">
        <v>1047</v>
      </c>
      <c r="D3183" t="s">
        <v>1048</v>
      </c>
      <c r="E3183" s="28" t="s">
        <v>890</v>
      </c>
      <c r="F3183" t="s">
        <v>1018</v>
      </c>
      <c r="G3183" t="s">
        <v>28</v>
      </c>
      <c r="M3183" s="28" t="s">
        <v>14241</v>
      </c>
      <c r="N3183" t="s">
        <v>14206</v>
      </c>
    </row>
    <row r="3184" spans="1:14" hidden="1" x14ac:dyDescent="0.25">
      <c r="A3184" t="s">
        <v>9665</v>
      </c>
      <c r="B3184" t="s">
        <v>1026</v>
      </c>
      <c r="C3184" t="s">
        <v>4808</v>
      </c>
      <c r="D3184" t="s">
        <v>4881</v>
      </c>
      <c r="E3184" s="28" t="s">
        <v>890</v>
      </c>
      <c r="F3184" t="s">
        <v>615</v>
      </c>
      <c r="G3184" t="s">
        <v>15</v>
      </c>
      <c r="M3184" s="28" t="s">
        <v>613</v>
      </c>
      <c r="N3184" t="s">
        <v>313</v>
      </c>
    </row>
    <row r="3185" spans="1:14" hidden="1" x14ac:dyDescent="0.25">
      <c r="A3185" t="s">
        <v>14186</v>
      </c>
      <c r="B3185" t="s">
        <v>1026</v>
      </c>
      <c r="C3185" t="s">
        <v>4553</v>
      </c>
      <c r="D3185" t="s">
        <v>14187</v>
      </c>
      <c r="E3185" s="28" t="s">
        <v>1177</v>
      </c>
      <c r="F3185" t="s">
        <v>225</v>
      </c>
      <c r="G3185" t="s">
        <v>15</v>
      </c>
      <c r="M3185" s="28" t="s">
        <v>613</v>
      </c>
      <c r="N3185" t="s">
        <v>313</v>
      </c>
    </row>
    <row r="3186" spans="1:14" hidden="1" x14ac:dyDescent="0.25">
      <c r="A3186" t="s">
        <v>7992</v>
      </c>
      <c r="B3186" t="s">
        <v>1026</v>
      </c>
      <c r="C3186" t="s">
        <v>1040</v>
      </c>
      <c r="D3186" t="s">
        <v>1041</v>
      </c>
      <c r="E3186" s="28" t="s">
        <v>1023</v>
      </c>
      <c r="F3186" t="s">
        <v>1018</v>
      </c>
      <c r="G3186" t="s">
        <v>28</v>
      </c>
      <c r="M3186" s="28" t="s">
        <v>14241</v>
      </c>
      <c r="N3186" t="s">
        <v>14206</v>
      </c>
    </row>
    <row r="3187" spans="1:14" hidden="1" x14ac:dyDescent="0.25">
      <c r="A3187" t="s">
        <v>7987</v>
      </c>
      <c r="B3187" t="s">
        <v>1026</v>
      </c>
      <c r="C3187" t="s">
        <v>1027</v>
      </c>
      <c r="D3187" t="s">
        <v>1028</v>
      </c>
      <c r="E3187" s="28" t="s">
        <v>896</v>
      </c>
      <c r="F3187" t="s">
        <v>1018</v>
      </c>
      <c r="G3187" t="s">
        <v>28</v>
      </c>
      <c r="M3187" s="28" t="s">
        <v>14241</v>
      </c>
      <c r="N3187" t="s">
        <v>14206</v>
      </c>
    </row>
    <row r="3188" spans="1:14" hidden="1" x14ac:dyDescent="0.25">
      <c r="A3188" t="s">
        <v>12998</v>
      </c>
      <c r="B3188" t="s">
        <v>4879</v>
      </c>
      <c r="C3188" t="s">
        <v>12999</v>
      </c>
      <c r="D3188" t="s">
        <v>13000</v>
      </c>
      <c r="E3188" s="28" t="s">
        <v>1177</v>
      </c>
      <c r="F3188" t="s">
        <v>4679</v>
      </c>
      <c r="G3188" t="s">
        <v>15</v>
      </c>
      <c r="M3188" s="28" t="s">
        <v>613</v>
      </c>
      <c r="N3188" t="s">
        <v>313</v>
      </c>
    </row>
    <row r="3189" spans="1:14" hidden="1" x14ac:dyDescent="0.25">
      <c r="A3189" t="s">
        <v>9664</v>
      </c>
      <c r="B3189" t="s">
        <v>4879</v>
      </c>
      <c r="C3189" t="s">
        <v>2184</v>
      </c>
      <c r="D3189" t="s">
        <v>4880</v>
      </c>
      <c r="E3189" s="28" t="s">
        <v>890</v>
      </c>
      <c r="F3189" t="s">
        <v>4679</v>
      </c>
      <c r="G3189" t="s">
        <v>15</v>
      </c>
      <c r="M3189" s="28" t="s">
        <v>613</v>
      </c>
      <c r="N3189" t="s">
        <v>313</v>
      </c>
    </row>
    <row r="3190" spans="1:14" hidden="1" x14ac:dyDescent="0.25">
      <c r="A3190" t="s">
        <v>11037</v>
      </c>
      <c r="B3190" t="s">
        <v>11038</v>
      </c>
      <c r="C3190" t="s">
        <v>2254</v>
      </c>
      <c r="D3190" t="s">
        <v>11039</v>
      </c>
      <c r="E3190" s="28" t="s">
        <v>896</v>
      </c>
      <c r="F3190" t="s">
        <v>6584</v>
      </c>
      <c r="G3190" t="s">
        <v>84</v>
      </c>
      <c r="M3190" s="28" t="s">
        <v>14223</v>
      </c>
      <c r="N3190" t="s">
        <v>313</v>
      </c>
    </row>
    <row r="3191" spans="1:14" hidden="1" x14ac:dyDescent="0.25">
      <c r="A3191" t="s">
        <v>8125</v>
      </c>
      <c r="B3191" t="s">
        <v>1434</v>
      </c>
      <c r="C3191" t="s">
        <v>1408</v>
      </c>
      <c r="D3191" t="s">
        <v>1435</v>
      </c>
      <c r="E3191" s="28" t="s">
        <v>896</v>
      </c>
      <c r="F3191" t="s">
        <v>78</v>
      </c>
      <c r="G3191" t="s">
        <v>38</v>
      </c>
      <c r="M3191" s="28"/>
    </row>
    <row r="3192" spans="1:14" hidden="1" x14ac:dyDescent="0.25">
      <c r="A3192" t="s">
        <v>14389</v>
      </c>
      <c r="B3192" t="s">
        <v>7286</v>
      </c>
      <c r="C3192" t="s">
        <v>7289</v>
      </c>
      <c r="D3192" t="s">
        <v>13949</v>
      </c>
      <c r="E3192" s="28" t="s">
        <v>890</v>
      </c>
      <c r="F3192" t="s">
        <v>535</v>
      </c>
      <c r="G3192" t="s">
        <v>81</v>
      </c>
      <c r="M3192" s="28" t="s">
        <v>530</v>
      </c>
      <c r="N3192" t="s">
        <v>313</v>
      </c>
    </row>
    <row r="3193" spans="1:14" hidden="1" x14ac:dyDescent="0.25">
      <c r="A3193" t="s">
        <v>14390</v>
      </c>
      <c r="B3193" t="s">
        <v>7286</v>
      </c>
      <c r="C3193" t="s">
        <v>7290</v>
      </c>
      <c r="D3193" t="s">
        <v>13950</v>
      </c>
      <c r="E3193" s="28" t="s">
        <v>890</v>
      </c>
      <c r="F3193" t="s">
        <v>535</v>
      </c>
      <c r="G3193" t="s">
        <v>81</v>
      </c>
      <c r="M3193" s="28" t="s">
        <v>530</v>
      </c>
      <c r="N3193" t="s">
        <v>313</v>
      </c>
    </row>
    <row r="3194" spans="1:14" hidden="1" x14ac:dyDescent="0.25">
      <c r="A3194" t="s">
        <v>10783</v>
      </c>
      <c r="B3194" t="s">
        <v>7286</v>
      </c>
      <c r="C3194" t="s">
        <v>7287</v>
      </c>
      <c r="D3194" t="s">
        <v>7288</v>
      </c>
      <c r="E3194" s="28" t="s">
        <v>890</v>
      </c>
      <c r="F3194" t="s">
        <v>324</v>
      </c>
      <c r="G3194" t="s">
        <v>154</v>
      </c>
      <c r="M3194" s="28" t="s">
        <v>14284</v>
      </c>
      <c r="N3194" t="s">
        <v>14285</v>
      </c>
    </row>
    <row r="3195" spans="1:14" hidden="1" x14ac:dyDescent="0.25">
      <c r="A3195" t="s">
        <v>10784</v>
      </c>
      <c r="B3195" t="s">
        <v>7286</v>
      </c>
      <c r="C3195" t="s">
        <v>7291</v>
      </c>
      <c r="D3195" t="s">
        <v>7292</v>
      </c>
      <c r="E3195" s="28" t="s">
        <v>930</v>
      </c>
      <c r="F3195" t="s">
        <v>12052</v>
      </c>
      <c r="G3195" t="s">
        <v>154</v>
      </c>
      <c r="M3195" s="28" t="s">
        <v>14284</v>
      </c>
      <c r="N3195" t="s">
        <v>14285</v>
      </c>
    </row>
    <row r="3196" spans="1:14" hidden="1" x14ac:dyDescent="0.25">
      <c r="A3196" t="s">
        <v>9320</v>
      </c>
      <c r="B3196" t="s">
        <v>4150</v>
      </c>
      <c r="C3196" t="s">
        <v>3694</v>
      </c>
      <c r="D3196" t="s">
        <v>4151</v>
      </c>
      <c r="E3196" s="28" t="s">
        <v>890</v>
      </c>
      <c r="F3196" t="s">
        <v>891</v>
      </c>
      <c r="G3196" t="s">
        <v>88</v>
      </c>
      <c r="M3196" s="28" t="s">
        <v>549</v>
      </c>
      <c r="N3196" t="s">
        <v>313</v>
      </c>
    </row>
    <row r="3197" spans="1:14" hidden="1" x14ac:dyDescent="0.25">
      <c r="A3197" t="s">
        <v>9321</v>
      </c>
      <c r="B3197" t="s">
        <v>4152</v>
      </c>
      <c r="C3197" t="s">
        <v>4153</v>
      </c>
      <c r="D3197" t="s">
        <v>4154</v>
      </c>
      <c r="E3197" s="28" t="s">
        <v>890</v>
      </c>
      <c r="F3197" t="s">
        <v>891</v>
      </c>
      <c r="G3197" t="s">
        <v>88</v>
      </c>
      <c r="M3197" s="28" t="s">
        <v>549</v>
      </c>
      <c r="N3197" t="s">
        <v>313</v>
      </c>
    </row>
    <row r="3198" spans="1:14" hidden="1" x14ac:dyDescent="0.25">
      <c r="A3198" t="s">
        <v>9322</v>
      </c>
      <c r="B3198" t="s">
        <v>4155</v>
      </c>
      <c r="C3198" t="s">
        <v>4156</v>
      </c>
      <c r="D3198" t="s">
        <v>4157</v>
      </c>
      <c r="E3198" s="28" t="s">
        <v>896</v>
      </c>
      <c r="F3198" t="s">
        <v>891</v>
      </c>
      <c r="G3198" t="s">
        <v>88</v>
      </c>
      <c r="M3198" s="28" t="s">
        <v>549</v>
      </c>
      <c r="N3198" t="s">
        <v>313</v>
      </c>
    </row>
    <row r="3199" spans="1:14" hidden="1" x14ac:dyDescent="0.25">
      <c r="A3199" t="s">
        <v>9323</v>
      </c>
      <c r="B3199" t="s">
        <v>4158</v>
      </c>
      <c r="C3199" t="s">
        <v>3025</v>
      </c>
      <c r="D3199" t="s">
        <v>4159</v>
      </c>
      <c r="E3199" s="28" t="s">
        <v>1023</v>
      </c>
      <c r="F3199" t="s">
        <v>891</v>
      </c>
      <c r="G3199" t="s">
        <v>88</v>
      </c>
      <c r="M3199" s="28" t="s">
        <v>549</v>
      </c>
      <c r="N3199" t="s">
        <v>313</v>
      </c>
    </row>
    <row r="3200" spans="1:14" hidden="1" x14ac:dyDescent="0.25">
      <c r="A3200" t="s">
        <v>9324</v>
      </c>
      <c r="B3200" t="s">
        <v>4160</v>
      </c>
      <c r="C3200" t="s">
        <v>4161</v>
      </c>
      <c r="D3200" t="s">
        <v>4162</v>
      </c>
      <c r="E3200" s="28" t="s">
        <v>896</v>
      </c>
      <c r="F3200" t="s">
        <v>891</v>
      </c>
      <c r="G3200" t="s">
        <v>88</v>
      </c>
      <c r="M3200" s="28" t="s">
        <v>549</v>
      </c>
      <c r="N3200" t="s">
        <v>313</v>
      </c>
    </row>
    <row r="3201" spans="1:14" hidden="1" x14ac:dyDescent="0.25">
      <c r="A3201" t="s">
        <v>10878</v>
      </c>
      <c r="B3201" t="s">
        <v>7521</v>
      </c>
      <c r="C3201" t="s">
        <v>6547</v>
      </c>
      <c r="D3201" t="s">
        <v>7522</v>
      </c>
      <c r="E3201" s="28" t="s">
        <v>896</v>
      </c>
      <c r="F3201" t="s">
        <v>7516</v>
      </c>
      <c r="G3201" t="s">
        <v>162</v>
      </c>
      <c r="M3201" s="28" t="s">
        <v>7517</v>
      </c>
      <c r="N3201" t="s">
        <v>313</v>
      </c>
    </row>
    <row r="3202" spans="1:14" hidden="1" x14ac:dyDescent="0.25">
      <c r="A3202" t="s">
        <v>14391</v>
      </c>
      <c r="B3202" t="s">
        <v>14392</v>
      </c>
      <c r="C3202" t="s">
        <v>1038</v>
      </c>
      <c r="D3202" t="s">
        <v>12486</v>
      </c>
      <c r="E3202" s="28" t="s">
        <v>1177</v>
      </c>
      <c r="F3202" t="s">
        <v>14215</v>
      </c>
      <c r="G3202" t="s">
        <v>81</v>
      </c>
      <c r="M3202" s="28" t="s">
        <v>530</v>
      </c>
      <c r="N3202" t="s">
        <v>313</v>
      </c>
    </row>
    <row r="3203" spans="1:14" hidden="1" x14ac:dyDescent="0.25">
      <c r="A3203" t="s">
        <v>11771</v>
      </c>
      <c r="B3203" t="s">
        <v>11772</v>
      </c>
      <c r="C3203" t="s">
        <v>2836</v>
      </c>
      <c r="D3203" t="s">
        <v>11773</v>
      </c>
      <c r="E3203" s="28" t="s">
        <v>896</v>
      </c>
      <c r="F3203" t="s">
        <v>14211</v>
      </c>
      <c r="G3203" t="s">
        <v>81</v>
      </c>
      <c r="M3203" s="28" t="s">
        <v>530</v>
      </c>
      <c r="N3203" t="s">
        <v>313</v>
      </c>
    </row>
    <row r="3204" spans="1:14" hidden="1" x14ac:dyDescent="0.25">
      <c r="A3204" t="s">
        <v>12573</v>
      </c>
      <c r="B3204" t="s">
        <v>12574</v>
      </c>
      <c r="C3204" t="s">
        <v>4603</v>
      </c>
      <c r="D3204" t="s">
        <v>12575</v>
      </c>
      <c r="E3204" s="28" t="s">
        <v>896</v>
      </c>
      <c r="F3204" t="s">
        <v>197</v>
      </c>
      <c r="G3204" t="s">
        <v>15</v>
      </c>
      <c r="M3204" s="28" t="s">
        <v>613</v>
      </c>
      <c r="N3204" t="s">
        <v>313</v>
      </c>
    </row>
    <row r="3205" spans="1:14" hidden="1" x14ac:dyDescent="0.25">
      <c r="A3205" t="s">
        <v>13506</v>
      </c>
      <c r="B3205" t="s">
        <v>6899</v>
      </c>
      <c r="C3205" t="s">
        <v>13507</v>
      </c>
      <c r="D3205" t="s">
        <v>13508</v>
      </c>
      <c r="E3205" s="28" t="s">
        <v>1177</v>
      </c>
      <c r="F3205" t="s">
        <v>6901</v>
      </c>
      <c r="G3205" t="s">
        <v>6896</v>
      </c>
      <c r="M3205" s="28" t="s">
        <v>6897</v>
      </c>
      <c r="N3205" t="s">
        <v>279</v>
      </c>
    </row>
    <row r="3206" spans="1:14" hidden="1" x14ac:dyDescent="0.25">
      <c r="A3206" t="s">
        <v>13951</v>
      </c>
      <c r="B3206" t="s">
        <v>13952</v>
      </c>
      <c r="C3206" t="s">
        <v>13953</v>
      </c>
      <c r="D3206" t="s">
        <v>13954</v>
      </c>
      <c r="E3206" s="28" t="s">
        <v>1177</v>
      </c>
      <c r="F3206" t="s">
        <v>324</v>
      </c>
      <c r="G3206" t="s">
        <v>38</v>
      </c>
      <c r="M3206" s="28"/>
    </row>
    <row r="3207" spans="1:14" hidden="1" x14ac:dyDescent="0.25">
      <c r="A3207" t="s">
        <v>11169</v>
      </c>
      <c r="B3207" t="s">
        <v>11170</v>
      </c>
      <c r="C3207" t="s">
        <v>1222</v>
      </c>
      <c r="D3207" t="s">
        <v>11171</v>
      </c>
      <c r="E3207" s="28" t="s">
        <v>890</v>
      </c>
      <c r="F3207" t="s">
        <v>11526</v>
      </c>
      <c r="G3207" t="s">
        <v>84</v>
      </c>
      <c r="M3207" s="28" t="s">
        <v>14223</v>
      </c>
      <c r="N3207" t="s">
        <v>313</v>
      </c>
    </row>
    <row r="3208" spans="1:14" hidden="1" x14ac:dyDescent="0.25">
      <c r="A3208" t="s">
        <v>11172</v>
      </c>
      <c r="B3208" t="s">
        <v>11170</v>
      </c>
      <c r="C3208" t="s">
        <v>2332</v>
      </c>
      <c r="D3208" t="s">
        <v>11173</v>
      </c>
      <c r="E3208" s="28" t="s">
        <v>896</v>
      </c>
      <c r="F3208" t="s">
        <v>11526</v>
      </c>
      <c r="G3208" t="s">
        <v>84</v>
      </c>
      <c r="M3208" s="28" t="s">
        <v>14223</v>
      </c>
      <c r="N3208" t="s">
        <v>313</v>
      </c>
    </row>
    <row r="3209" spans="1:14" hidden="1" x14ac:dyDescent="0.25">
      <c r="A3209" t="s">
        <v>8372</v>
      </c>
      <c r="B3209" t="s">
        <v>2057</v>
      </c>
      <c r="C3209" t="s">
        <v>1156</v>
      </c>
      <c r="D3209" t="s">
        <v>2058</v>
      </c>
      <c r="E3209" s="28" t="s">
        <v>890</v>
      </c>
      <c r="F3209" t="s">
        <v>395</v>
      </c>
      <c r="G3209" t="s">
        <v>47</v>
      </c>
      <c r="M3209" s="28" t="s">
        <v>13542</v>
      </c>
    </row>
    <row r="3210" spans="1:14" hidden="1" x14ac:dyDescent="0.25">
      <c r="A3210" t="s">
        <v>8660</v>
      </c>
      <c r="B3210" t="s">
        <v>2759</v>
      </c>
      <c r="C3210" t="s">
        <v>2760</v>
      </c>
      <c r="D3210" t="s">
        <v>2761</v>
      </c>
      <c r="E3210" s="28" t="s">
        <v>890</v>
      </c>
      <c r="F3210" t="s">
        <v>519</v>
      </c>
      <c r="G3210" t="s">
        <v>74</v>
      </c>
      <c r="M3210" s="28" t="s">
        <v>507</v>
      </c>
      <c r="N3210" t="s">
        <v>313</v>
      </c>
    </row>
    <row r="3211" spans="1:14" hidden="1" x14ac:dyDescent="0.25">
      <c r="A3211" t="s">
        <v>12718</v>
      </c>
      <c r="B3211" t="s">
        <v>12719</v>
      </c>
      <c r="C3211" t="s">
        <v>12720</v>
      </c>
      <c r="D3211" t="s">
        <v>12721</v>
      </c>
      <c r="E3211" s="28" t="s">
        <v>890</v>
      </c>
      <c r="F3211" t="s">
        <v>165</v>
      </c>
      <c r="G3211" t="s">
        <v>74</v>
      </c>
      <c r="M3211" s="28" t="s">
        <v>507</v>
      </c>
      <c r="N3211" t="s">
        <v>313</v>
      </c>
    </row>
    <row r="3212" spans="1:14" hidden="1" x14ac:dyDescent="0.25">
      <c r="A3212" t="s">
        <v>11604</v>
      </c>
      <c r="B3212" t="s">
        <v>7442</v>
      </c>
      <c r="C3212" t="s">
        <v>1269</v>
      </c>
      <c r="D3212" t="s">
        <v>11605</v>
      </c>
      <c r="E3212" s="28" t="s">
        <v>890</v>
      </c>
      <c r="F3212" t="s">
        <v>14210</v>
      </c>
      <c r="G3212" t="s">
        <v>11</v>
      </c>
      <c r="M3212" s="28" t="s">
        <v>413</v>
      </c>
      <c r="N3212" t="s">
        <v>313</v>
      </c>
    </row>
    <row r="3213" spans="1:14" hidden="1" x14ac:dyDescent="0.25">
      <c r="A3213" t="s">
        <v>10851</v>
      </c>
      <c r="B3213" t="s">
        <v>7442</v>
      </c>
      <c r="C3213" t="s">
        <v>2549</v>
      </c>
      <c r="D3213" t="s">
        <v>7443</v>
      </c>
      <c r="E3213" s="28" t="s">
        <v>890</v>
      </c>
      <c r="F3213" t="s">
        <v>263</v>
      </c>
      <c r="G3213" t="s">
        <v>157</v>
      </c>
      <c r="M3213" s="28" t="s">
        <v>840</v>
      </c>
      <c r="N3213" t="s">
        <v>382</v>
      </c>
    </row>
    <row r="3214" spans="1:14" hidden="1" x14ac:dyDescent="0.25">
      <c r="A3214" t="s">
        <v>9663</v>
      </c>
      <c r="B3214" t="s">
        <v>4875</v>
      </c>
      <c r="C3214" t="s">
        <v>4777</v>
      </c>
      <c r="D3214" t="s">
        <v>4878</v>
      </c>
      <c r="E3214" s="28" t="s">
        <v>896</v>
      </c>
      <c r="F3214" t="s">
        <v>231</v>
      </c>
      <c r="G3214" t="s">
        <v>15</v>
      </c>
      <c r="M3214" s="28" t="s">
        <v>613</v>
      </c>
      <c r="N3214" t="s">
        <v>313</v>
      </c>
    </row>
    <row r="3215" spans="1:14" hidden="1" x14ac:dyDescent="0.25">
      <c r="A3215" t="s">
        <v>9662</v>
      </c>
      <c r="B3215" t="s">
        <v>4875</v>
      </c>
      <c r="C3215" t="s">
        <v>4876</v>
      </c>
      <c r="D3215" t="s">
        <v>4877</v>
      </c>
      <c r="E3215" s="28" t="s">
        <v>890</v>
      </c>
      <c r="F3215" t="s">
        <v>13562</v>
      </c>
      <c r="G3215" t="s">
        <v>15</v>
      </c>
      <c r="M3215" s="28" t="s">
        <v>613</v>
      </c>
      <c r="N3215" t="s">
        <v>313</v>
      </c>
    </row>
    <row r="3216" spans="1:14" hidden="1" x14ac:dyDescent="0.25">
      <c r="A3216" t="s">
        <v>14393</v>
      </c>
      <c r="B3216" t="s">
        <v>14394</v>
      </c>
      <c r="C3216" t="s">
        <v>1978</v>
      </c>
      <c r="D3216" t="s">
        <v>11774</v>
      </c>
      <c r="E3216" s="28" t="s">
        <v>1177</v>
      </c>
      <c r="F3216" t="s">
        <v>14215</v>
      </c>
      <c r="G3216" t="s">
        <v>81</v>
      </c>
      <c r="M3216" s="28" t="s">
        <v>530</v>
      </c>
      <c r="N3216" t="s">
        <v>313</v>
      </c>
    </row>
    <row r="3217" spans="1:14" hidden="1" x14ac:dyDescent="0.25">
      <c r="A3217" t="s">
        <v>14395</v>
      </c>
      <c r="B3217" t="s">
        <v>14394</v>
      </c>
      <c r="C3217" t="s">
        <v>4871</v>
      </c>
      <c r="D3217" t="s">
        <v>11775</v>
      </c>
      <c r="E3217" s="28" t="s">
        <v>896</v>
      </c>
      <c r="F3217" t="s">
        <v>14215</v>
      </c>
      <c r="G3217" t="s">
        <v>81</v>
      </c>
      <c r="M3217" s="28" t="s">
        <v>530</v>
      </c>
      <c r="N3217" t="s">
        <v>313</v>
      </c>
    </row>
    <row r="3218" spans="1:14" hidden="1" x14ac:dyDescent="0.25">
      <c r="A3218" t="s">
        <v>11366</v>
      </c>
      <c r="B3218" t="s">
        <v>11367</v>
      </c>
      <c r="C3218" t="s">
        <v>1165</v>
      </c>
      <c r="D3218" t="s">
        <v>11368</v>
      </c>
      <c r="E3218" s="28" t="s">
        <v>896</v>
      </c>
      <c r="F3218" t="s">
        <v>11369</v>
      </c>
      <c r="G3218" t="s">
        <v>84</v>
      </c>
      <c r="M3218" s="28" t="s">
        <v>14223</v>
      </c>
      <c r="N3218" t="s">
        <v>313</v>
      </c>
    </row>
    <row r="3219" spans="1:14" hidden="1" x14ac:dyDescent="0.25">
      <c r="A3219" t="s">
        <v>8165</v>
      </c>
      <c r="B3219" t="s">
        <v>1538</v>
      </c>
      <c r="C3219" t="s">
        <v>950</v>
      </c>
      <c r="D3219" t="s">
        <v>1539</v>
      </c>
      <c r="E3219" s="28" t="s">
        <v>890</v>
      </c>
      <c r="F3219" t="s">
        <v>324</v>
      </c>
      <c r="G3219" t="s">
        <v>38</v>
      </c>
      <c r="M3219" s="28"/>
    </row>
    <row r="3220" spans="1:14" hidden="1" x14ac:dyDescent="0.25">
      <c r="A3220" t="s">
        <v>11598</v>
      </c>
      <c r="B3220" t="s">
        <v>11599</v>
      </c>
      <c r="C3220" t="s">
        <v>1352</v>
      </c>
      <c r="D3220" t="s">
        <v>11600</v>
      </c>
      <c r="E3220" s="28" t="s">
        <v>890</v>
      </c>
      <c r="F3220" t="s">
        <v>69</v>
      </c>
      <c r="G3220" t="s">
        <v>38</v>
      </c>
      <c r="M3220" s="28"/>
    </row>
    <row r="3221" spans="1:14" hidden="1" x14ac:dyDescent="0.25">
      <c r="A3221" t="s">
        <v>8710</v>
      </c>
      <c r="B3221" t="s">
        <v>2883</v>
      </c>
      <c r="C3221" t="s">
        <v>1352</v>
      </c>
      <c r="D3221" t="s">
        <v>2884</v>
      </c>
      <c r="E3221" s="28" t="s">
        <v>890</v>
      </c>
      <c r="F3221" t="s">
        <v>535</v>
      </c>
      <c r="G3221" t="s">
        <v>81</v>
      </c>
      <c r="M3221" s="28" t="s">
        <v>530</v>
      </c>
      <c r="N3221" t="s">
        <v>313</v>
      </c>
    </row>
    <row r="3222" spans="1:14" hidden="1" x14ac:dyDescent="0.25">
      <c r="A3222" t="s">
        <v>9661</v>
      </c>
      <c r="B3222" t="s">
        <v>4873</v>
      </c>
      <c r="C3222" t="s">
        <v>4606</v>
      </c>
      <c r="D3222" t="s">
        <v>4874</v>
      </c>
      <c r="E3222" s="28" t="s">
        <v>930</v>
      </c>
      <c r="F3222" t="s">
        <v>214</v>
      </c>
      <c r="G3222" t="s">
        <v>15</v>
      </c>
      <c r="M3222" s="28" t="s">
        <v>613</v>
      </c>
      <c r="N3222" t="s">
        <v>313</v>
      </c>
    </row>
    <row r="3223" spans="1:14" hidden="1" x14ac:dyDescent="0.25">
      <c r="A3223" t="s">
        <v>9325</v>
      </c>
      <c r="B3223" t="s">
        <v>4163</v>
      </c>
      <c r="C3223" t="s">
        <v>3036</v>
      </c>
      <c r="D3223" t="s">
        <v>4164</v>
      </c>
      <c r="E3223" s="28" t="s">
        <v>890</v>
      </c>
      <c r="F3223" t="s">
        <v>550</v>
      </c>
      <c r="G3223" t="s">
        <v>88</v>
      </c>
      <c r="M3223" s="28" t="s">
        <v>549</v>
      </c>
      <c r="N3223" t="s">
        <v>313</v>
      </c>
    </row>
    <row r="3224" spans="1:14" hidden="1" x14ac:dyDescent="0.25">
      <c r="A3224" t="s">
        <v>14562</v>
      </c>
      <c r="B3224" t="s">
        <v>13956</v>
      </c>
      <c r="C3224" t="s">
        <v>12968</v>
      </c>
      <c r="D3224" t="s">
        <v>14563</v>
      </c>
      <c r="E3224" s="28" t="s">
        <v>890</v>
      </c>
      <c r="F3224" t="s">
        <v>676</v>
      </c>
      <c r="G3224" t="s">
        <v>15</v>
      </c>
      <c r="M3224" s="28" t="s">
        <v>613</v>
      </c>
      <c r="N3224" t="s">
        <v>313</v>
      </c>
    </row>
    <row r="3225" spans="1:14" hidden="1" x14ac:dyDescent="0.25">
      <c r="A3225" t="s">
        <v>13955</v>
      </c>
      <c r="B3225" t="s">
        <v>13956</v>
      </c>
      <c r="C3225" t="s">
        <v>1086</v>
      </c>
      <c r="D3225" t="s">
        <v>13957</v>
      </c>
      <c r="E3225" s="28" t="s">
        <v>1177</v>
      </c>
      <c r="F3225" t="s">
        <v>676</v>
      </c>
      <c r="G3225" t="s">
        <v>15</v>
      </c>
      <c r="M3225" s="28" t="s">
        <v>613</v>
      </c>
      <c r="N3225" t="s">
        <v>313</v>
      </c>
    </row>
    <row r="3226" spans="1:14" hidden="1" x14ac:dyDescent="0.25">
      <c r="A3226" t="s">
        <v>8667</v>
      </c>
      <c r="B3226" t="s">
        <v>2779</v>
      </c>
      <c r="C3226" t="s">
        <v>2780</v>
      </c>
      <c r="D3226" t="s">
        <v>2781</v>
      </c>
      <c r="E3226" s="28" t="s">
        <v>890</v>
      </c>
      <c r="F3226" t="s">
        <v>523</v>
      </c>
      <c r="G3226" t="s">
        <v>74</v>
      </c>
      <c r="M3226" s="28" t="s">
        <v>507</v>
      </c>
      <c r="N3226" t="s">
        <v>313</v>
      </c>
    </row>
    <row r="3227" spans="1:14" hidden="1" x14ac:dyDescent="0.25">
      <c r="A3227" t="s">
        <v>11776</v>
      </c>
      <c r="B3227" t="s">
        <v>11777</v>
      </c>
      <c r="C3227" t="s">
        <v>1365</v>
      </c>
      <c r="D3227" t="s">
        <v>11778</v>
      </c>
      <c r="E3227" s="28" t="s">
        <v>896</v>
      </c>
      <c r="F3227" t="s">
        <v>535</v>
      </c>
      <c r="G3227" t="s">
        <v>81</v>
      </c>
      <c r="M3227" s="28" t="s">
        <v>530</v>
      </c>
      <c r="N3227" t="s">
        <v>313</v>
      </c>
    </row>
    <row r="3228" spans="1:14" hidden="1" x14ac:dyDescent="0.25">
      <c r="A3228" t="s">
        <v>9659</v>
      </c>
      <c r="B3228" t="s">
        <v>4869</v>
      </c>
      <c r="C3228" t="s">
        <v>4553</v>
      </c>
      <c r="D3228" t="s">
        <v>4870</v>
      </c>
      <c r="E3228" s="28" t="s">
        <v>896</v>
      </c>
      <c r="F3228" t="s">
        <v>4837</v>
      </c>
      <c r="G3228" t="s">
        <v>15</v>
      </c>
      <c r="M3228" s="28" t="s">
        <v>613</v>
      </c>
      <c r="N3228" t="s">
        <v>313</v>
      </c>
    </row>
    <row r="3229" spans="1:14" hidden="1" x14ac:dyDescent="0.25">
      <c r="A3229" t="s">
        <v>9660</v>
      </c>
      <c r="B3229" t="s">
        <v>4869</v>
      </c>
      <c r="C3229" t="s">
        <v>4871</v>
      </c>
      <c r="D3229" t="s">
        <v>4872</v>
      </c>
      <c r="E3229" s="28" t="s">
        <v>1023</v>
      </c>
      <c r="F3229" t="s">
        <v>4837</v>
      </c>
      <c r="G3229" t="s">
        <v>15</v>
      </c>
      <c r="M3229" s="28" t="s">
        <v>613</v>
      </c>
      <c r="N3229" t="s">
        <v>313</v>
      </c>
    </row>
    <row r="3230" spans="1:14" hidden="1" x14ac:dyDescent="0.25">
      <c r="A3230" t="s">
        <v>13958</v>
      </c>
      <c r="B3230" t="s">
        <v>13959</v>
      </c>
      <c r="C3230" t="s">
        <v>13960</v>
      </c>
      <c r="D3230" t="s">
        <v>13961</v>
      </c>
      <c r="E3230" s="28" t="s">
        <v>896</v>
      </c>
      <c r="F3230" t="s">
        <v>4685</v>
      </c>
      <c r="G3230" t="s">
        <v>15</v>
      </c>
      <c r="M3230" s="28" t="s">
        <v>613</v>
      </c>
      <c r="N3230" t="s">
        <v>313</v>
      </c>
    </row>
    <row r="3231" spans="1:14" hidden="1" x14ac:dyDescent="0.25">
      <c r="A3231" t="s">
        <v>13962</v>
      </c>
      <c r="B3231" t="s">
        <v>13959</v>
      </c>
      <c r="C3231" t="s">
        <v>2582</v>
      </c>
      <c r="D3231" t="s">
        <v>13963</v>
      </c>
      <c r="E3231" s="28" t="s">
        <v>896</v>
      </c>
      <c r="F3231" t="s">
        <v>724</v>
      </c>
      <c r="G3231" t="s">
        <v>15</v>
      </c>
      <c r="M3231" s="28" t="s">
        <v>613</v>
      </c>
      <c r="N3231" t="s">
        <v>313</v>
      </c>
    </row>
    <row r="3232" spans="1:14" hidden="1" x14ac:dyDescent="0.25">
      <c r="A3232" t="s">
        <v>9658</v>
      </c>
      <c r="B3232" t="s">
        <v>4867</v>
      </c>
      <c r="C3232" t="s">
        <v>974</v>
      </c>
      <c r="D3232" t="s">
        <v>4868</v>
      </c>
      <c r="E3232" s="28" t="s">
        <v>890</v>
      </c>
      <c r="F3232" t="s">
        <v>625</v>
      </c>
      <c r="G3232" t="s">
        <v>15</v>
      </c>
      <c r="M3232" s="28" t="s">
        <v>613</v>
      </c>
      <c r="N3232" t="s">
        <v>313</v>
      </c>
    </row>
    <row r="3233" spans="1:14" hidden="1" x14ac:dyDescent="0.25">
      <c r="A3233" t="s">
        <v>9326</v>
      </c>
      <c r="B3233" t="s">
        <v>4165</v>
      </c>
      <c r="C3233" t="s">
        <v>4166</v>
      </c>
      <c r="D3233" t="s">
        <v>4167</v>
      </c>
      <c r="E3233" s="28" t="s">
        <v>890</v>
      </c>
      <c r="F3233" t="s">
        <v>891</v>
      </c>
      <c r="G3233" t="s">
        <v>88</v>
      </c>
      <c r="M3233" s="28" t="s">
        <v>549</v>
      </c>
      <c r="N3233" t="s">
        <v>313</v>
      </c>
    </row>
    <row r="3234" spans="1:14" hidden="1" x14ac:dyDescent="0.25">
      <c r="A3234" t="s">
        <v>8318</v>
      </c>
      <c r="B3234" t="s">
        <v>1923</v>
      </c>
      <c r="C3234" t="s">
        <v>1880</v>
      </c>
      <c r="D3234" t="s">
        <v>1924</v>
      </c>
      <c r="E3234" s="28" t="s">
        <v>896</v>
      </c>
      <c r="F3234" t="s">
        <v>1641</v>
      </c>
      <c r="G3234" t="s">
        <v>43</v>
      </c>
      <c r="M3234" s="28" t="s">
        <v>14205</v>
      </c>
    </row>
    <row r="3235" spans="1:14" hidden="1" x14ac:dyDescent="0.25">
      <c r="A3235" t="s">
        <v>11966</v>
      </c>
      <c r="B3235" t="s">
        <v>6757</v>
      </c>
      <c r="C3235" t="s">
        <v>6740</v>
      </c>
      <c r="D3235" t="s">
        <v>11967</v>
      </c>
      <c r="E3235" s="28" t="s">
        <v>1023</v>
      </c>
      <c r="F3235" t="s">
        <v>813</v>
      </c>
      <c r="G3235" t="s">
        <v>137</v>
      </c>
      <c r="M3235" s="28" t="s">
        <v>805</v>
      </c>
      <c r="N3235" t="s">
        <v>313</v>
      </c>
    </row>
    <row r="3236" spans="1:14" hidden="1" x14ac:dyDescent="0.25">
      <c r="A3236" t="s">
        <v>10548</v>
      </c>
      <c r="B3236" t="s">
        <v>6757</v>
      </c>
      <c r="C3236" t="s">
        <v>1885</v>
      </c>
      <c r="D3236" t="s">
        <v>6758</v>
      </c>
      <c r="E3236" s="28" t="s">
        <v>896</v>
      </c>
      <c r="F3236" t="s">
        <v>891</v>
      </c>
      <c r="G3236" t="s">
        <v>137</v>
      </c>
      <c r="M3236" s="28" t="s">
        <v>805</v>
      </c>
      <c r="N3236" t="s">
        <v>313</v>
      </c>
    </row>
    <row r="3237" spans="1:14" hidden="1" x14ac:dyDescent="0.25">
      <c r="A3237" t="s">
        <v>10879</v>
      </c>
      <c r="B3237" t="s">
        <v>2442</v>
      </c>
      <c r="C3237" t="s">
        <v>1269</v>
      </c>
      <c r="D3237" t="s">
        <v>7523</v>
      </c>
      <c r="E3237" s="28" t="s">
        <v>896</v>
      </c>
      <c r="F3237" t="s">
        <v>679</v>
      </c>
      <c r="G3237" t="s">
        <v>162</v>
      </c>
      <c r="M3237" s="28" t="s">
        <v>7517</v>
      </c>
      <c r="N3237" t="s">
        <v>313</v>
      </c>
    </row>
    <row r="3238" spans="1:14" hidden="1" x14ac:dyDescent="0.25">
      <c r="A3238" t="s">
        <v>14564</v>
      </c>
      <c r="B3238" t="s">
        <v>2442</v>
      </c>
      <c r="C3238" t="s">
        <v>14565</v>
      </c>
      <c r="D3238" t="s">
        <v>14566</v>
      </c>
      <c r="E3238" s="28" t="s">
        <v>896</v>
      </c>
      <c r="F3238" t="s">
        <v>7516</v>
      </c>
      <c r="G3238" t="s">
        <v>162</v>
      </c>
      <c r="M3238" s="28" t="s">
        <v>7517</v>
      </c>
      <c r="N3238" t="s">
        <v>313</v>
      </c>
    </row>
    <row r="3239" spans="1:14" hidden="1" x14ac:dyDescent="0.25">
      <c r="A3239" t="s">
        <v>8756</v>
      </c>
      <c r="B3239" t="s">
        <v>2987</v>
      </c>
      <c r="C3239" t="s">
        <v>2968</v>
      </c>
      <c r="D3239" t="s">
        <v>2988</v>
      </c>
      <c r="E3239" s="28" t="s">
        <v>896</v>
      </c>
      <c r="F3239" t="s">
        <v>543</v>
      </c>
      <c r="G3239" t="s">
        <v>86</v>
      </c>
      <c r="M3239" s="28" t="s">
        <v>546</v>
      </c>
      <c r="N3239" t="s">
        <v>313</v>
      </c>
    </row>
    <row r="3240" spans="1:14" hidden="1" x14ac:dyDescent="0.25">
      <c r="A3240" t="s">
        <v>8631</v>
      </c>
      <c r="B3240" t="s">
        <v>2684</v>
      </c>
      <c r="C3240" t="s">
        <v>2685</v>
      </c>
      <c r="D3240" t="s">
        <v>2686</v>
      </c>
      <c r="E3240" s="28" t="s">
        <v>896</v>
      </c>
      <c r="F3240" t="s">
        <v>165</v>
      </c>
      <c r="G3240" t="s">
        <v>74</v>
      </c>
      <c r="M3240" s="28" t="s">
        <v>507</v>
      </c>
      <c r="N3240" t="s">
        <v>313</v>
      </c>
    </row>
    <row r="3241" spans="1:14" hidden="1" x14ac:dyDescent="0.25">
      <c r="A3241" t="s">
        <v>10852</v>
      </c>
      <c r="B3241" t="s">
        <v>7444</v>
      </c>
      <c r="C3241" t="s">
        <v>2429</v>
      </c>
      <c r="D3241" t="s">
        <v>7445</v>
      </c>
      <c r="E3241" s="28" t="s">
        <v>890</v>
      </c>
      <c r="F3241" t="s">
        <v>846</v>
      </c>
      <c r="G3241" t="s">
        <v>157</v>
      </c>
      <c r="M3241" s="28" t="s">
        <v>840</v>
      </c>
      <c r="N3241" t="s">
        <v>382</v>
      </c>
    </row>
    <row r="3242" spans="1:14" hidden="1" x14ac:dyDescent="0.25">
      <c r="A3242" t="s">
        <v>8046</v>
      </c>
      <c r="B3242" t="s">
        <v>1229</v>
      </c>
      <c r="C3242" t="s">
        <v>1230</v>
      </c>
      <c r="D3242" t="s">
        <v>1231</v>
      </c>
      <c r="E3242" s="28" t="s">
        <v>896</v>
      </c>
      <c r="F3242" t="s">
        <v>39</v>
      </c>
      <c r="G3242" t="s">
        <v>34</v>
      </c>
      <c r="M3242" s="28" t="s">
        <v>12353</v>
      </c>
      <c r="N3242" t="s">
        <v>313</v>
      </c>
    </row>
    <row r="3243" spans="1:14" hidden="1" x14ac:dyDescent="0.25">
      <c r="A3243" t="s">
        <v>14567</v>
      </c>
      <c r="B3243" t="s">
        <v>14568</v>
      </c>
      <c r="C3243" t="s">
        <v>14569</v>
      </c>
      <c r="D3243" t="s">
        <v>14570</v>
      </c>
      <c r="E3243" s="28" t="s">
        <v>890</v>
      </c>
      <c r="F3243" t="s">
        <v>13487</v>
      </c>
      <c r="G3243" t="s">
        <v>21</v>
      </c>
      <c r="M3243" s="28" t="s">
        <v>791</v>
      </c>
      <c r="N3243" t="s">
        <v>313</v>
      </c>
    </row>
    <row r="3244" spans="1:14" hidden="1" x14ac:dyDescent="0.25">
      <c r="A3244" t="s">
        <v>13964</v>
      </c>
      <c r="B3244" t="s">
        <v>13965</v>
      </c>
      <c r="C3244" t="s">
        <v>4730</v>
      </c>
      <c r="D3244" t="s">
        <v>13966</v>
      </c>
      <c r="E3244" s="28" t="s">
        <v>1177</v>
      </c>
      <c r="F3244" t="s">
        <v>13562</v>
      </c>
      <c r="G3244" t="s">
        <v>15</v>
      </c>
      <c r="M3244" s="28" t="s">
        <v>613</v>
      </c>
      <c r="N3244" t="s">
        <v>313</v>
      </c>
    </row>
    <row r="3245" spans="1:14" hidden="1" x14ac:dyDescent="0.25">
      <c r="A3245" t="s">
        <v>13001</v>
      </c>
      <c r="B3245" t="s">
        <v>13002</v>
      </c>
      <c r="C3245" t="s">
        <v>13003</v>
      </c>
      <c r="D3245" t="s">
        <v>13004</v>
      </c>
      <c r="E3245" s="28" t="s">
        <v>896</v>
      </c>
      <c r="F3245" t="s">
        <v>752</v>
      </c>
      <c r="G3245" t="s">
        <v>15</v>
      </c>
      <c r="M3245" s="28" t="s">
        <v>613</v>
      </c>
      <c r="N3245" t="s">
        <v>313</v>
      </c>
    </row>
    <row r="3246" spans="1:14" hidden="1" x14ac:dyDescent="0.25">
      <c r="A3246" t="s">
        <v>12559</v>
      </c>
      <c r="B3246" t="s">
        <v>4864</v>
      </c>
      <c r="C3246" t="s">
        <v>2919</v>
      </c>
      <c r="D3246" t="s">
        <v>12560</v>
      </c>
      <c r="E3246" s="28" t="s">
        <v>1023</v>
      </c>
      <c r="F3246" t="s">
        <v>688</v>
      </c>
      <c r="G3246" t="s">
        <v>15</v>
      </c>
      <c r="M3246" s="28" t="s">
        <v>613</v>
      </c>
      <c r="N3246" t="s">
        <v>313</v>
      </c>
    </row>
    <row r="3247" spans="1:14" hidden="1" x14ac:dyDescent="0.25">
      <c r="A3247" t="s">
        <v>9656</v>
      </c>
      <c r="B3247" t="s">
        <v>4864</v>
      </c>
      <c r="C3247" t="s">
        <v>1556</v>
      </c>
      <c r="D3247" t="s">
        <v>4865</v>
      </c>
      <c r="E3247" s="28" t="s">
        <v>896</v>
      </c>
      <c r="F3247" t="s">
        <v>688</v>
      </c>
      <c r="G3247" t="s">
        <v>15</v>
      </c>
      <c r="M3247" s="28" t="s">
        <v>613</v>
      </c>
      <c r="N3247" t="s">
        <v>313</v>
      </c>
    </row>
    <row r="3248" spans="1:14" hidden="1" x14ac:dyDescent="0.25">
      <c r="A3248" t="s">
        <v>9657</v>
      </c>
      <c r="B3248" t="s">
        <v>4864</v>
      </c>
      <c r="C3248" t="s">
        <v>4655</v>
      </c>
      <c r="D3248" t="s">
        <v>4866</v>
      </c>
      <c r="E3248" s="28" t="s">
        <v>1023</v>
      </c>
      <c r="F3248" t="s">
        <v>746</v>
      </c>
      <c r="G3248" t="s">
        <v>15</v>
      </c>
      <c r="M3248" s="28" t="s">
        <v>613</v>
      </c>
      <c r="N3248" t="s">
        <v>313</v>
      </c>
    </row>
    <row r="3249" spans="1:14" hidden="1" x14ac:dyDescent="0.25">
      <c r="A3249" t="s">
        <v>14683</v>
      </c>
      <c r="B3249" t="s">
        <v>14684</v>
      </c>
      <c r="C3249" t="s">
        <v>14685</v>
      </c>
      <c r="D3249" t="s">
        <v>14686</v>
      </c>
      <c r="E3249" s="28" t="s">
        <v>1023</v>
      </c>
      <c r="F3249" t="s">
        <v>688</v>
      </c>
      <c r="G3249" t="s">
        <v>15</v>
      </c>
      <c r="M3249" s="28" t="s">
        <v>613</v>
      </c>
      <c r="N3249" t="s">
        <v>313</v>
      </c>
    </row>
    <row r="3250" spans="1:14" hidden="1" x14ac:dyDescent="0.25">
      <c r="A3250" t="s">
        <v>14687</v>
      </c>
      <c r="B3250" t="s">
        <v>14688</v>
      </c>
      <c r="C3250" t="s">
        <v>14689</v>
      </c>
      <c r="D3250" t="s">
        <v>14690</v>
      </c>
      <c r="E3250" s="28" t="s">
        <v>1023</v>
      </c>
      <c r="F3250" t="s">
        <v>688</v>
      </c>
      <c r="G3250" t="s">
        <v>15</v>
      </c>
      <c r="M3250" s="28" t="s">
        <v>613</v>
      </c>
      <c r="N3250" t="s">
        <v>313</v>
      </c>
    </row>
    <row r="3251" spans="1:14" hidden="1" x14ac:dyDescent="0.25">
      <c r="A3251" t="s">
        <v>9655</v>
      </c>
      <c r="B3251" t="s">
        <v>4861</v>
      </c>
      <c r="C3251" t="s">
        <v>4862</v>
      </c>
      <c r="D3251" t="s">
        <v>4863</v>
      </c>
      <c r="E3251" s="28" t="s">
        <v>896</v>
      </c>
      <c r="F3251" t="s">
        <v>643</v>
      </c>
      <c r="G3251" t="s">
        <v>15</v>
      </c>
      <c r="M3251" s="28" t="s">
        <v>613</v>
      </c>
      <c r="N3251" t="s">
        <v>313</v>
      </c>
    </row>
    <row r="3252" spans="1:14" hidden="1" x14ac:dyDescent="0.25">
      <c r="A3252" t="s">
        <v>13005</v>
      </c>
      <c r="B3252" t="s">
        <v>13006</v>
      </c>
      <c r="C3252" t="s">
        <v>1180</v>
      </c>
      <c r="D3252" t="s">
        <v>13007</v>
      </c>
      <c r="E3252" s="28" t="s">
        <v>890</v>
      </c>
      <c r="F3252" t="s">
        <v>705</v>
      </c>
      <c r="G3252" t="s">
        <v>15</v>
      </c>
      <c r="M3252" s="28" t="s">
        <v>613</v>
      </c>
      <c r="N3252" t="s">
        <v>313</v>
      </c>
    </row>
    <row r="3253" spans="1:14" hidden="1" x14ac:dyDescent="0.25">
      <c r="A3253" t="s">
        <v>9654</v>
      </c>
      <c r="B3253" t="s">
        <v>4859</v>
      </c>
      <c r="C3253" t="s">
        <v>1180</v>
      </c>
      <c r="D3253" t="s">
        <v>4860</v>
      </c>
      <c r="E3253" s="28" t="s">
        <v>896</v>
      </c>
      <c r="F3253" t="s">
        <v>4635</v>
      </c>
      <c r="G3253" t="s">
        <v>15</v>
      </c>
      <c r="M3253" s="28" t="s">
        <v>613</v>
      </c>
      <c r="N3253" t="s">
        <v>313</v>
      </c>
    </row>
    <row r="3254" spans="1:14" hidden="1" x14ac:dyDescent="0.25">
      <c r="A3254" t="s">
        <v>13967</v>
      </c>
      <c r="B3254" t="s">
        <v>13424</v>
      </c>
      <c r="C3254" t="s">
        <v>4640</v>
      </c>
      <c r="D3254" t="s">
        <v>13425</v>
      </c>
      <c r="E3254" s="28" t="s">
        <v>896</v>
      </c>
      <c r="F3254" t="s">
        <v>243</v>
      </c>
      <c r="G3254" t="s">
        <v>15</v>
      </c>
      <c r="M3254" s="28" t="s">
        <v>613</v>
      </c>
      <c r="N3254" t="s">
        <v>313</v>
      </c>
    </row>
    <row r="3255" spans="1:14" hidden="1" x14ac:dyDescent="0.25">
      <c r="A3255" t="s">
        <v>8326</v>
      </c>
      <c r="B3255" t="s">
        <v>1944</v>
      </c>
      <c r="C3255" t="s">
        <v>938</v>
      </c>
      <c r="D3255" t="s">
        <v>1945</v>
      </c>
      <c r="E3255" s="28" t="s">
        <v>890</v>
      </c>
      <c r="F3255" t="s">
        <v>369</v>
      </c>
      <c r="G3255" t="s">
        <v>43</v>
      </c>
      <c r="M3255" s="28" t="s">
        <v>14205</v>
      </c>
    </row>
    <row r="3256" spans="1:14" hidden="1" x14ac:dyDescent="0.25">
      <c r="A3256" t="s">
        <v>9653</v>
      </c>
      <c r="B3256" t="s">
        <v>4856</v>
      </c>
      <c r="C3256" t="s">
        <v>4857</v>
      </c>
      <c r="D3256" t="s">
        <v>4858</v>
      </c>
      <c r="E3256" s="28" t="s">
        <v>896</v>
      </c>
      <c r="F3256" t="s">
        <v>231</v>
      </c>
      <c r="G3256" t="s">
        <v>15</v>
      </c>
      <c r="M3256" s="28" t="s">
        <v>613</v>
      </c>
      <c r="N3256" t="s">
        <v>313</v>
      </c>
    </row>
    <row r="3257" spans="1:14" hidden="1" x14ac:dyDescent="0.25">
      <c r="A3257" t="s">
        <v>9652</v>
      </c>
      <c r="B3257" t="s">
        <v>4854</v>
      </c>
      <c r="C3257" t="s">
        <v>2582</v>
      </c>
      <c r="D3257" t="s">
        <v>4855</v>
      </c>
      <c r="E3257" s="28" t="s">
        <v>890</v>
      </c>
      <c r="F3257" t="s">
        <v>4837</v>
      </c>
      <c r="G3257" t="s">
        <v>15</v>
      </c>
      <c r="M3257" s="28" t="s">
        <v>613</v>
      </c>
      <c r="N3257" t="s">
        <v>313</v>
      </c>
    </row>
    <row r="3258" spans="1:14" hidden="1" x14ac:dyDescent="0.25">
      <c r="A3258" t="s">
        <v>9651</v>
      </c>
      <c r="B3258" t="s">
        <v>4851</v>
      </c>
      <c r="C3258" t="s">
        <v>4852</v>
      </c>
      <c r="D3258" t="s">
        <v>4853</v>
      </c>
      <c r="E3258" s="28" t="s">
        <v>896</v>
      </c>
      <c r="F3258" t="s">
        <v>208</v>
      </c>
      <c r="G3258" t="s">
        <v>15</v>
      </c>
      <c r="M3258" s="28" t="s">
        <v>613</v>
      </c>
      <c r="N3258" t="s">
        <v>313</v>
      </c>
    </row>
    <row r="3259" spans="1:14" hidden="1" x14ac:dyDescent="0.25">
      <c r="A3259" t="s">
        <v>9650</v>
      </c>
      <c r="B3259" t="s">
        <v>4849</v>
      </c>
      <c r="C3259" t="s">
        <v>926</v>
      </c>
      <c r="D3259" t="s">
        <v>4850</v>
      </c>
      <c r="E3259" s="28" t="s">
        <v>896</v>
      </c>
      <c r="F3259" t="s">
        <v>730</v>
      </c>
      <c r="G3259" t="s">
        <v>15</v>
      </c>
      <c r="M3259" s="28" t="s">
        <v>613</v>
      </c>
      <c r="N3259" t="s">
        <v>313</v>
      </c>
    </row>
    <row r="3260" spans="1:14" hidden="1" x14ac:dyDescent="0.25">
      <c r="A3260" t="s">
        <v>13968</v>
      </c>
      <c r="B3260" t="s">
        <v>13969</v>
      </c>
      <c r="C3260" t="s">
        <v>13970</v>
      </c>
      <c r="D3260" t="s">
        <v>13971</v>
      </c>
      <c r="E3260" s="28" t="s">
        <v>890</v>
      </c>
      <c r="F3260" t="s">
        <v>13348</v>
      </c>
      <c r="G3260" t="s">
        <v>15</v>
      </c>
      <c r="M3260" s="28" t="s">
        <v>613</v>
      </c>
      <c r="N3260" t="s">
        <v>313</v>
      </c>
    </row>
    <row r="3261" spans="1:14" hidden="1" x14ac:dyDescent="0.25">
      <c r="A3261" t="s">
        <v>10853</v>
      </c>
      <c r="B3261" t="s">
        <v>2989</v>
      </c>
      <c r="C3261" t="s">
        <v>926</v>
      </c>
      <c r="D3261" t="s">
        <v>7446</v>
      </c>
      <c r="E3261" s="28" t="s">
        <v>890</v>
      </c>
      <c r="F3261" t="s">
        <v>263</v>
      </c>
      <c r="G3261" t="s">
        <v>157</v>
      </c>
      <c r="M3261" s="28" t="s">
        <v>840</v>
      </c>
      <c r="N3261" t="s">
        <v>382</v>
      </c>
    </row>
    <row r="3262" spans="1:14" hidden="1" x14ac:dyDescent="0.25">
      <c r="A3262" t="s">
        <v>10577</v>
      </c>
      <c r="B3262" t="s">
        <v>2989</v>
      </c>
      <c r="C3262" t="s">
        <v>1673</v>
      </c>
      <c r="D3262" t="s">
        <v>6810</v>
      </c>
      <c r="E3262" s="28" t="s">
        <v>1023</v>
      </c>
      <c r="F3262" t="s">
        <v>12661</v>
      </c>
      <c r="G3262" t="s">
        <v>137</v>
      </c>
      <c r="M3262" s="28" t="s">
        <v>805</v>
      </c>
      <c r="N3262" t="s">
        <v>313</v>
      </c>
    </row>
    <row r="3263" spans="1:14" hidden="1" x14ac:dyDescent="0.25">
      <c r="A3263" t="s">
        <v>10530</v>
      </c>
      <c r="B3263" t="s">
        <v>2989</v>
      </c>
      <c r="C3263" t="s">
        <v>1676</v>
      </c>
      <c r="D3263" t="s">
        <v>6724</v>
      </c>
      <c r="E3263" s="28" t="s">
        <v>896</v>
      </c>
      <c r="F3263" t="s">
        <v>12661</v>
      </c>
      <c r="G3263" t="s">
        <v>137</v>
      </c>
      <c r="M3263" s="28" t="s">
        <v>805</v>
      </c>
      <c r="N3263" t="s">
        <v>313</v>
      </c>
    </row>
    <row r="3264" spans="1:14" hidden="1" x14ac:dyDescent="0.25">
      <c r="A3264" t="s">
        <v>10531</v>
      </c>
      <c r="B3264" t="s">
        <v>2989</v>
      </c>
      <c r="C3264" t="s">
        <v>2638</v>
      </c>
      <c r="D3264" t="s">
        <v>6725</v>
      </c>
      <c r="E3264" s="28" t="s">
        <v>890</v>
      </c>
      <c r="F3264" t="s">
        <v>4670</v>
      </c>
      <c r="G3264" t="s">
        <v>137</v>
      </c>
      <c r="M3264" s="28" t="s">
        <v>805</v>
      </c>
      <c r="N3264" t="s">
        <v>313</v>
      </c>
    </row>
    <row r="3265" spans="1:14" hidden="1" x14ac:dyDescent="0.25">
      <c r="A3265" t="s">
        <v>14691</v>
      </c>
      <c r="B3265" t="s">
        <v>2989</v>
      </c>
      <c r="C3265" t="s">
        <v>14692</v>
      </c>
      <c r="D3265" t="s">
        <v>6774</v>
      </c>
      <c r="E3265" s="28" t="s">
        <v>1177</v>
      </c>
      <c r="F3265" t="s">
        <v>813</v>
      </c>
      <c r="G3265" t="s">
        <v>137</v>
      </c>
      <c r="M3265" s="28" t="s">
        <v>805</v>
      </c>
      <c r="N3265" t="s">
        <v>313</v>
      </c>
    </row>
    <row r="3266" spans="1:14" hidden="1" x14ac:dyDescent="0.25">
      <c r="A3266" t="s">
        <v>8757</v>
      </c>
      <c r="B3266" t="s">
        <v>2989</v>
      </c>
      <c r="C3266" t="s">
        <v>1519</v>
      </c>
      <c r="D3266" t="s">
        <v>2990</v>
      </c>
      <c r="E3266" s="28" t="s">
        <v>896</v>
      </c>
      <c r="F3266" t="s">
        <v>891</v>
      </c>
      <c r="G3266" t="s">
        <v>86</v>
      </c>
      <c r="M3266" s="28" t="s">
        <v>546</v>
      </c>
      <c r="N3266" t="s">
        <v>313</v>
      </c>
    </row>
    <row r="3267" spans="1:14" hidden="1" x14ac:dyDescent="0.25">
      <c r="A3267" t="s">
        <v>10562</v>
      </c>
      <c r="B3267" t="s">
        <v>2989</v>
      </c>
      <c r="C3267" t="s">
        <v>996</v>
      </c>
      <c r="D3267" t="s">
        <v>6783</v>
      </c>
      <c r="E3267" s="28" t="s">
        <v>930</v>
      </c>
      <c r="F3267" t="s">
        <v>813</v>
      </c>
      <c r="G3267" t="s">
        <v>137</v>
      </c>
      <c r="M3267" s="28" t="s">
        <v>805</v>
      </c>
      <c r="N3267" t="s">
        <v>313</v>
      </c>
    </row>
    <row r="3268" spans="1:14" hidden="1" x14ac:dyDescent="0.25">
      <c r="A3268" t="s">
        <v>14396</v>
      </c>
      <c r="B3268" t="s">
        <v>14397</v>
      </c>
      <c r="C3268" t="s">
        <v>1269</v>
      </c>
      <c r="D3268" t="s">
        <v>13972</v>
      </c>
      <c r="E3268" s="28" t="s">
        <v>896</v>
      </c>
      <c r="F3268" t="s">
        <v>13552</v>
      </c>
      <c r="G3268" t="s">
        <v>81</v>
      </c>
      <c r="M3268" s="28" t="s">
        <v>530</v>
      </c>
      <c r="N3268" t="s">
        <v>313</v>
      </c>
    </row>
    <row r="3269" spans="1:14" hidden="1" x14ac:dyDescent="0.25">
      <c r="A3269" t="s">
        <v>9327</v>
      </c>
      <c r="B3269" t="s">
        <v>4168</v>
      </c>
      <c r="C3269" t="s">
        <v>4169</v>
      </c>
      <c r="D3269" t="s">
        <v>4170</v>
      </c>
      <c r="E3269" s="28" t="s">
        <v>890</v>
      </c>
      <c r="F3269" t="s">
        <v>609</v>
      </c>
      <c r="G3269" t="s">
        <v>88</v>
      </c>
      <c r="M3269" s="28" t="s">
        <v>549</v>
      </c>
      <c r="N3269" t="s">
        <v>313</v>
      </c>
    </row>
    <row r="3270" spans="1:14" hidden="1" x14ac:dyDescent="0.25">
      <c r="A3270" t="s">
        <v>8388</v>
      </c>
      <c r="B3270" t="s">
        <v>2094</v>
      </c>
      <c r="C3270" t="s">
        <v>2095</v>
      </c>
      <c r="D3270" t="s">
        <v>2096</v>
      </c>
      <c r="E3270" s="28" t="s">
        <v>890</v>
      </c>
      <c r="F3270" t="s">
        <v>398</v>
      </c>
      <c r="G3270" t="s">
        <v>60</v>
      </c>
      <c r="M3270" s="28" t="s">
        <v>14207</v>
      </c>
    </row>
    <row r="3271" spans="1:14" hidden="1" x14ac:dyDescent="0.25">
      <c r="A3271" t="s">
        <v>8389</v>
      </c>
      <c r="B3271" t="s">
        <v>2094</v>
      </c>
      <c r="C3271" t="s">
        <v>1123</v>
      </c>
      <c r="D3271" t="s">
        <v>2097</v>
      </c>
      <c r="E3271" s="28" t="s">
        <v>890</v>
      </c>
      <c r="F3271" t="s">
        <v>398</v>
      </c>
      <c r="G3271" t="s">
        <v>60</v>
      </c>
      <c r="M3271" s="28" t="s">
        <v>14207</v>
      </c>
    </row>
    <row r="3272" spans="1:14" hidden="1" x14ac:dyDescent="0.25">
      <c r="A3272" t="s">
        <v>8390</v>
      </c>
      <c r="B3272" t="s">
        <v>2094</v>
      </c>
      <c r="C3272" t="s">
        <v>2098</v>
      </c>
      <c r="D3272" t="s">
        <v>2099</v>
      </c>
      <c r="E3272" s="28" t="s">
        <v>890</v>
      </c>
      <c r="F3272" t="s">
        <v>398</v>
      </c>
      <c r="G3272" t="s">
        <v>60</v>
      </c>
      <c r="M3272" s="28" t="s">
        <v>14207</v>
      </c>
    </row>
    <row r="3273" spans="1:14" hidden="1" x14ac:dyDescent="0.25">
      <c r="A3273" t="s">
        <v>8391</v>
      </c>
      <c r="B3273" t="s">
        <v>2094</v>
      </c>
      <c r="C3273" t="s">
        <v>2100</v>
      </c>
      <c r="D3273" t="s">
        <v>2101</v>
      </c>
      <c r="E3273" s="28" t="s">
        <v>890</v>
      </c>
      <c r="F3273" t="s">
        <v>398</v>
      </c>
      <c r="G3273" t="s">
        <v>60</v>
      </c>
      <c r="M3273" s="28" t="s">
        <v>14207</v>
      </c>
    </row>
    <row r="3274" spans="1:14" hidden="1" x14ac:dyDescent="0.25">
      <c r="A3274" t="s">
        <v>11112</v>
      </c>
      <c r="B3274" t="s">
        <v>11113</v>
      </c>
      <c r="C3274" t="s">
        <v>1202</v>
      </c>
      <c r="D3274" t="s">
        <v>11114</v>
      </c>
      <c r="E3274" s="28" t="s">
        <v>896</v>
      </c>
      <c r="F3274" t="s">
        <v>11115</v>
      </c>
      <c r="G3274" t="s">
        <v>84</v>
      </c>
      <c r="M3274" s="28" t="s">
        <v>14223</v>
      </c>
      <c r="N3274" t="s">
        <v>313</v>
      </c>
    </row>
    <row r="3275" spans="1:14" hidden="1" x14ac:dyDescent="0.25">
      <c r="A3275" t="s">
        <v>13450</v>
      </c>
      <c r="B3275" t="s">
        <v>13083</v>
      </c>
      <c r="C3275" t="s">
        <v>13082</v>
      </c>
      <c r="D3275" t="s">
        <v>13084</v>
      </c>
      <c r="E3275" s="28" t="s">
        <v>890</v>
      </c>
      <c r="F3275" t="s">
        <v>783</v>
      </c>
      <c r="G3275" t="s">
        <v>110</v>
      </c>
      <c r="M3275" s="28" t="s">
        <v>13563</v>
      </c>
      <c r="N3275" t="s">
        <v>279</v>
      </c>
    </row>
    <row r="3276" spans="1:14" hidden="1" x14ac:dyDescent="0.25">
      <c r="A3276" t="s">
        <v>9649</v>
      </c>
      <c r="B3276" t="s">
        <v>4847</v>
      </c>
      <c r="C3276" t="s">
        <v>1969</v>
      </c>
      <c r="D3276" t="s">
        <v>4848</v>
      </c>
      <c r="E3276" s="28" t="s">
        <v>896</v>
      </c>
      <c r="F3276" t="s">
        <v>688</v>
      </c>
      <c r="G3276" t="s">
        <v>15</v>
      </c>
      <c r="M3276" s="28" t="s">
        <v>613</v>
      </c>
      <c r="N3276" t="s">
        <v>313</v>
      </c>
    </row>
    <row r="3277" spans="1:14" hidden="1" x14ac:dyDescent="0.25">
      <c r="A3277" t="s">
        <v>13973</v>
      </c>
      <c r="B3277" t="s">
        <v>4847</v>
      </c>
      <c r="C3277" t="s">
        <v>13974</v>
      </c>
      <c r="D3277" t="s">
        <v>13975</v>
      </c>
      <c r="E3277" s="28" t="s">
        <v>1177</v>
      </c>
      <c r="F3277" t="s">
        <v>688</v>
      </c>
      <c r="G3277" t="s">
        <v>15</v>
      </c>
      <c r="M3277" s="28" t="s">
        <v>613</v>
      </c>
      <c r="N3277" t="s">
        <v>313</v>
      </c>
    </row>
    <row r="3278" spans="1:14" hidden="1" x14ac:dyDescent="0.25">
      <c r="A3278" t="s">
        <v>9648</v>
      </c>
      <c r="B3278" t="s">
        <v>4844</v>
      </c>
      <c r="C3278" t="s">
        <v>4845</v>
      </c>
      <c r="D3278" t="s">
        <v>4846</v>
      </c>
      <c r="E3278" s="28" t="s">
        <v>896</v>
      </c>
      <c r="F3278" t="s">
        <v>212</v>
      </c>
      <c r="G3278" t="s">
        <v>15</v>
      </c>
      <c r="M3278" s="28" t="s">
        <v>613</v>
      </c>
      <c r="N3278" t="s">
        <v>313</v>
      </c>
    </row>
    <row r="3279" spans="1:14" hidden="1" x14ac:dyDescent="0.25">
      <c r="A3279" t="s">
        <v>11001</v>
      </c>
      <c r="B3279" t="s">
        <v>11002</v>
      </c>
      <c r="C3279" t="s">
        <v>11003</v>
      </c>
      <c r="D3279" t="s">
        <v>11004</v>
      </c>
      <c r="E3279" s="28" t="s">
        <v>896</v>
      </c>
      <c r="F3279" t="s">
        <v>10963</v>
      </c>
      <c r="G3279" t="s">
        <v>84</v>
      </c>
      <c r="M3279" s="28" t="s">
        <v>14223</v>
      </c>
      <c r="N3279" t="s">
        <v>313</v>
      </c>
    </row>
    <row r="3280" spans="1:14" hidden="1" x14ac:dyDescent="0.25">
      <c r="A3280" t="s">
        <v>14398</v>
      </c>
      <c r="B3280" t="s">
        <v>14399</v>
      </c>
      <c r="C3280" t="s">
        <v>1334</v>
      </c>
      <c r="D3280" t="s">
        <v>13976</v>
      </c>
      <c r="E3280" s="28" t="s">
        <v>890</v>
      </c>
      <c r="F3280" t="s">
        <v>13814</v>
      </c>
      <c r="G3280" t="s">
        <v>81</v>
      </c>
      <c r="M3280" s="28" t="s">
        <v>530</v>
      </c>
      <c r="N3280" t="s">
        <v>313</v>
      </c>
    </row>
    <row r="3281" spans="1:14" hidden="1" x14ac:dyDescent="0.25">
      <c r="A3281" t="s">
        <v>8214</v>
      </c>
      <c r="B3281" t="s">
        <v>1655</v>
      </c>
      <c r="C3281" t="s">
        <v>1656</v>
      </c>
      <c r="D3281" t="s">
        <v>1657</v>
      </c>
      <c r="E3281" s="28" t="s">
        <v>896</v>
      </c>
      <c r="F3281" t="s">
        <v>891</v>
      </c>
      <c r="G3281" t="s">
        <v>43</v>
      </c>
      <c r="M3281" s="28" t="s">
        <v>14205</v>
      </c>
    </row>
    <row r="3282" spans="1:14" hidden="1" x14ac:dyDescent="0.25">
      <c r="A3282" t="s">
        <v>13977</v>
      </c>
      <c r="B3282" t="s">
        <v>13978</v>
      </c>
      <c r="C3282" t="s">
        <v>1103</v>
      </c>
      <c r="D3282" t="s">
        <v>13979</v>
      </c>
      <c r="E3282" s="28"/>
      <c r="F3282" t="s">
        <v>891</v>
      </c>
      <c r="G3282" t="s">
        <v>60</v>
      </c>
      <c r="M3282" s="28" t="s">
        <v>14207</v>
      </c>
    </row>
    <row r="3283" spans="1:14" hidden="1" x14ac:dyDescent="0.25">
      <c r="A3283" t="s">
        <v>13008</v>
      </c>
      <c r="B3283" t="s">
        <v>13009</v>
      </c>
      <c r="C3283" t="s">
        <v>2184</v>
      </c>
      <c r="D3283" t="s">
        <v>13010</v>
      </c>
      <c r="E3283" s="28" t="s">
        <v>896</v>
      </c>
      <c r="F3283" t="s">
        <v>4635</v>
      </c>
      <c r="G3283" t="s">
        <v>15</v>
      </c>
      <c r="M3283" s="28" t="s">
        <v>613</v>
      </c>
      <c r="N3283" t="s">
        <v>313</v>
      </c>
    </row>
    <row r="3284" spans="1:14" hidden="1" x14ac:dyDescent="0.25">
      <c r="A3284" t="s">
        <v>9647</v>
      </c>
      <c r="B3284" t="s">
        <v>4838</v>
      </c>
      <c r="C3284" t="s">
        <v>894</v>
      </c>
      <c r="D3284" t="s">
        <v>4840</v>
      </c>
      <c r="E3284" s="28" t="s">
        <v>890</v>
      </c>
      <c r="F3284" t="s">
        <v>755</v>
      </c>
      <c r="G3284" t="s">
        <v>15</v>
      </c>
      <c r="M3284" s="28" t="s">
        <v>613</v>
      </c>
      <c r="N3284" t="s">
        <v>313</v>
      </c>
    </row>
    <row r="3285" spans="1:14" hidden="1" x14ac:dyDescent="0.25">
      <c r="A3285" t="s">
        <v>9646</v>
      </c>
      <c r="B3285" t="s">
        <v>4838</v>
      </c>
      <c r="C3285" t="s">
        <v>4777</v>
      </c>
      <c r="D3285" t="s">
        <v>4839</v>
      </c>
      <c r="E3285" s="28" t="s">
        <v>890</v>
      </c>
      <c r="F3285" t="s">
        <v>755</v>
      </c>
      <c r="G3285" t="s">
        <v>15</v>
      </c>
      <c r="M3285" s="28" t="s">
        <v>613</v>
      </c>
      <c r="N3285" t="s">
        <v>313</v>
      </c>
    </row>
    <row r="3286" spans="1:14" hidden="1" x14ac:dyDescent="0.25">
      <c r="A3286" t="s">
        <v>13058</v>
      </c>
      <c r="B3286" t="s">
        <v>13059</v>
      </c>
      <c r="C3286" t="s">
        <v>5259</v>
      </c>
      <c r="D3286" t="s">
        <v>13060</v>
      </c>
      <c r="E3286" s="28" t="s">
        <v>890</v>
      </c>
      <c r="F3286" t="s">
        <v>676</v>
      </c>
      <c r="G3286" t="s">
        <v>15</v>
      </c>
      <c r="M3286" s="28" t="s">
        <v>613</v>
      </c>
      <c r="N3286" t="s">
        <v>313</v>
      </c>
    </row>
    <row r="3287" spans="1:14" hidden="1" x14ac:dyDescent="0.25">
      <c r="A3287" t="s">
        <v>14188</v>
      </c>
      <c r="B3287" t="s">
        <v>14189</v>
      </c>
      <c r="C3287" t="s">
        <v>7372</v>
      </c>
      <c r="D3287" t="s">
        <v>14190</v>
      </c>
      <c r="E3287" s="28" t="s">
        <v>890</v>
      </c>
      <c r="F3287" t="s">
        <v>263</v>
      </c>
      <c r="G3287" t="s">
        <v>157</v>
      </c>
      <c r="M3287" s="28" t="s">
        <v>840</v>
      </c>
      <c r="N3287" t="s">
        <v>382</v>
      </c>
    </row>
    <row r="3288" spans="1:14" hidden="1" x14ac:dyDescent="0.25">
      <c r="A3288" t="s">
        <v>9645</v>
      </c>
      <c r="B3288" t="s">
        <v>4834</v>
      </c>
      <c r="C3288" t="s">
        <v>4835</v>
      </c>
      <c r="D3288" t="s">
        <v>4836</v>
      </c>
      <c r="E3288" s="28" t="s">
        <v>896</v>
      </c>
      <c r="F3288" t="s">
        <v>12554</v>
      </c>
      <c r="G3288" t="s">
        <v>15</v>
      </c>
      <c r="M3288" s="28" t="s">
        <v>613</v>
      </c>
      <c r="N3288" t="s">
        <v>313</v>
      </c>
    </row>
    <row r="3289" spans="1:14" hidden="1" x14ac:dyDescent="0.25">
      <c r="A3289" t="s">
        <v>9644</v>
      </c>
      <c r="B3289" t="s">
        <v>4832</v>
      </c>
      <c r="C3289" t="s">
        <v>4726</v>
      </c>
      <c r="D3289" t="s">
        <v>4833</v>
      </c>
      <c r="E3289" s="28" t="s">
        <v>896</v>
      </c>
      <c r="F3289" t="s">
        <v>688</v>
      </c>
      <c r="G3289" t="s">
        <v>15</v>
      </c>
      <c r="M3289" s="28" t="s">
        <v>613</v>
      </c>
      <c r="N3289" t="s">
        <v>313</v>
      </c>
    </row>
    <row r="3290" spans="1:14" hidden="1" x14ac:dyDescent="0.25">
      <c r="A3290" t="s">
        <v>9643</v>
      </c>
      <c r="B3290" t="s">
        <v>4829</v>
      </c>
      <c r="C3290" t="s">
        <v>4830</v>
      </c>
      <c r="D3290" t="s">
        <v>4831</v>
      </c>
      <c r="E3290" s="28" t="s">
        <v>896</v>
      </c>
      <c r="F3290" t="s">
        <v>662</v>
      </c>
      <c r="G3290" t="s">
        <v>15</v>
      </c>
      <c r="M3290" s="28" t="s">
        <v>613</v>
      </c>
      <c r="N3290" t="s">
        <v>313</v>
      </c>
    </row>
    <row r="3291" spans="1:14" hidden="1" x14ac:dyDescent="0.25">
      <c r="A3291" t="s">
        <v>8291</v>
      </c>
      <c r="B3291" t="s">
        <v>1847</v>
      </c>
      <c r="C3291" t="s">
        <v>1848</v>
      </c>
      <c r="D3291" t="s">
        <v>1849</v>
      </c>
      <c r="E3291" s="28" t="s">
        <v>896</v>
      </c>
      <c r="F3291" t="s">
        <v>360</v>
      </c>
      <c r="G3291" t="s">
        <v>43</v>
      </c>
      <c r="M3291" s="28" t="s">
        <v>14205</v>
      </c>
    </row>
    <row r="3292" spans="1:14" hidden="1" x14ac:dyDescent="0.25">
      <c r="A3292" t="s">
        <v>14571</v>
      </c>
      <c r="B3292" t="s">
        <v>14572</v>
      </c>
      <c r="C3292" t="s">
        <v>1527</v>
      </c>
      <c r="D3292" t="s">
        <v>14573</v>
      </c>
      <c r="E3292" s="28" t="s">
        <v>896</v>
      </c>
      <c r="F3292" t="s">
        <v>324</v>
      </c>
      <c r="G3292" t="s">
        <v>38</v>
      </c>
      <c r="M3292" s="28"/>
    </row>
    <row r="3293" spans="1:14" hidden="1" x14ac:dyDescent="0.25">
      <c r="A3293" t="s">
        <v>11219</v>
      </c>
      <c r="B3293" t="s">
        <v>11220</v>
      </c>
      <c r="C3293" t="s">
        <v>1442</v>
      </c>
      <c r="D3293" t="s">
        <v>11221</v>
      </c>
      <c r="E3293" s="28" t="s">
        <v>890</v>
      </c>
      <c r="F3293" t="s">
        <v>11222</v>
      </c>
      <c r="G3293" t="s">
        <v>84</v>
      </c>
      <c r="M3293" s="28" t="s">
        <v>14223</v>
      </c>
      <c r="N3293" t="s">
        <v>313</v>
      </c>
    </row>
    <row r="3294" spans="1:14" hidden="1" x14ac:dyDescent="0.25">
      <c r="A3294" t="s">
        <v>11131</v>
      </c>
      <c r="B3294" t="s">
        <v>11132</v>
      </c>
      <c r="C3294" t="s">
        <v>1227</v>
      </c>
      <c r="D3294" t="s">
        <v>11133</v>
      </c>
      <c r="E3294" s="28" t="s">
        <v>896</v>
      </c>
      <c r="F3294" t="s">
        <v>11127</v>
      </c>
      <c r="G3294" t="s">
        <v>84</v>
      </c>
      <c r="M3294" s="28" t="s">
        <v>14223</v>
      </c>
      <c r="N3294" t="s">
        <v>313</v>
      </c>
    </row>
    <row r="3295" spans="1:14" hidden="1" x14ac:dyDescent="0.25">
      <c r="A3295" t="s">
        <v>8126</v>
      </c>
      <c r="B3295" t="s">
        <v>1436</v>
      </c>
      <c r="C3295" t="s">
        <v>1123</v>
      </c>
      <c r="D3295" t="s">
        <v>1437</v>
      </c>
      <c r="E3295" s="28" t="s">
        <v>896</v>
      </c>
      <c r="F3295" t="s">
        <v>654</v>
      </c>
      <c r="G3295" t="s">
        <v>38</v>
      </c>
      <c r="M3295" s="28"/>
    </row>
    <row r="3296" spans="1:14" hidden="1" x14ac:dyDescent="0.25">
      <c r="A3296" t="s">
        <v>8127</v>
      </c>
      <c r="B3296" t="s">
        <v>1436</v>
      </c>
      <c r="C3296" t="s">
        <v>1438</v>
      </c>
      <c r="D3296" t="s">
        <v>1439</v>
      </c>
      <c r="E3296" s="28" t="s">
        <v>890</v>
      </c>
      <c r="F3296" t="s">
        <v>331</v>
      </c>
      <c r="G3296" t="s">
        <v>38</v>
      </c>
      <c r="M3296" s="28"/>
    </row>
    <row r="3297" spans="1:14" hidden="1" x14ac:dyDescent="0.25">
      <c r="A3297" t="s">
        <v>8184</v>
      </c>
      <c r="B3297" t="s">
        <v>1436</v>
      </c>
      <c r="C3297" t="s">
        <v>1581</v>
      </c>
      <c r="D3297" t="s">
        <v>1582</v>
      </c>
      <c r="E3297" s="28" t="s">
        <v>930</v>
      </c>
      <c r="F3297" t="s">
        <v>331</v>
      </c>
      <c r="G3297" t="s">
        <v>38</v>
      </c>
      <c r="M3297" s="28"/>
    </row>
    <row r="3298" spans="1:14" hidden="1" x14ac:dyDescent="0.25">
      <c r="A3298" t="s">
        <v>8128</v>
      </c>
      <c r="B3298" t="s">
        <v>1436</v>
      </c>
      <c r="C3298" t="s">
        <v>1440</v>
      </c>
      <c r="D3298" t="s">
        <v>1441</v>
      </c>
      <c r="E3298" s="28" t="s">
        <v>890</v>
      </c>
      <c r="F3298" t="s">
        <v>331</v>
      </c>
      <c r="G3298" t="s">
        <v>38</v>
      </c>
      <c r="M3298" s="28"/>
    </row>
    <row r="3299" spans="1:14" hidden="1" x14ac:dyDescent="0.25">
      <c r="A3299" t="s">
        <v>14574</v>
      </c>
      <c r="B3299" t="s">
        <v>1436</v>
      </c>
      <c r="C3299" t="s">
        <v>12388</v>
      </c>
      <c r="D3299" t="s">
        <v>14575</v>
      </c>
      <c r="E3299" s="28" t="s">
        <v>1023</v>
      </c>
      <c r="F3299" t="s">
        <v>331</v>
      </c>
      <c r="G3299" t="s">
        <v>38</v>
      </c>
      <c r="M3299" s="28"/>
    </row>
    <row r="3300" spans="1:14" hidden="1" x14ac:dyDescent="0.25">
      <c r="A3300" t="s">
        <v>8129</v>
      </c>
      <c r="B3300" t="s">
        <v>1436</v>
      </c>
      <c r="C3300" t="s">
        <v>1442</v>
      </c>
      <c r="D3300" t="s">
        <v>1443</v>
      </c>
      <c r="E3300" s="28" t="s">
        <v>896</v>
      </c>
      <c r="F3300" t="s">
        <v>789</v>
      </c>
      <c r="G3300" t="s">
        <v>38</v>
      </c>
      <c r="M3300" s="28"/>
    </row>
    <row r="3301" spans="1:14" hidden="1" x14ac:dyDescent="0.25">
      <c r="A3301" t="s">
        <v>8203</v>
      </c>
      <c r="B3301" t="s">
        <v>1436</v>
      </c>
      <c r="C3301" t="s">
        <v>1461</v>
      </c>
      <c r="D3301" t="s">
        <v>1624</v>
      </c>
      <c r="E3301" s="28" t="s">
        <v>1177</v>
      </c>
      <c r="F3301" t="s">
        <v>331</v>
      </c>
      <c r="G3301" t="s">
        <v>38</v>
      </c>
      <c r="M3301" s="28"/>
    </row>
    <row r="3302" spans="1:14" hidden="1" x14ac:dyDescent="0.25">
      <c r="A3302" t="s">
        <v>8130</v>
      </c>
      <c r="B3302" t="s">
        <v>1436</v>
      </c>
      <c r="C3302" t="s">
        <v>1444</v>
      </c>
      <c r="D3302" t="s">
        <v>1445</v>
      </c>
      <c r="E3302" s="28" t="s">
        <v>890</v>
      </c>
      <c r="F3302" t="s">
        <v>654</v>
      </c>
      <c r="G3302" t="s">
        <v>38</v>
      </c>
      <c r="M3302" s="28"/>
    </row>
    <row r="3303" spans="1:14" hidden="1" x14ac:dyDescent="0.25">
      <c r="A3303" t="s">
        <v>12760</v>
      </c>
      <c r="B3303" t="s">
        <v>12757</v>
      </c>
      <c r="C3303" t="s">
        <v>1179</v>
      </c>
      <c r="D3303" t="s">
        <v>12761</v>
      </c>
      <c r="E3303" s="28" t="s">
        <v>896</v>
      </c>
      <c r="F3303" t="s">
        <v>7516</v>
      </c>
      <c r="G3303" t="s">
        <v>125</v>
      </c>
      <c r="M3303" s="28" t="s">
        <v>6491</v>
      </c>
      <c r="N3303" t="s">
        <v>313</v>
      </c>
    </row>
    <row r="3304" spans="1:14" hidden="1" x14ac:dyDescent="0.25">
      <c r="A3304" t="s">
        <v>12756</v>
      </c>
      <c r="B3304" t="s">
        <v>12757</v>
      </c>
      <c r="C3304" t="s">
        <v>12758</v>
      </c>
      <c r="D3304" t="s">
        <v>12759</v>
      </c>
      <c r="E3304" s="28" t="s">
        <v>890</v>
      </c>
      <c r="F3304" t="s">
        <v>343</v>
      </c>
      <c r="G3304" t="s">
        <v>125</v>
      </c>
      <c r="M3304" s="28" t="s">
        <v>6491</v>
      </c>
      <c r="N3304" t="s">
        <v>313</v>
      </c>
    </row>
    <row r="3305" spans="1:14" hidden="1" x14ac:dyDescent="0.25">
      <c r="A3305" t="s">
        <v>12358</v>
      </c>
      <c r="B3305" t="s">
        <v>12359</v>
      </c>
      <c r="C3305" t="s">
        <v>1269</v>
      </c>
      <c r="D3305" t="s">
        <v>12360</v>
      </c>
      <c r="E3305" s="28" t="s">
        <v>890</v>
      </c>
      <c r="F3305" t="s">
        <v>39</v>
      </c>
      <c r="G3305" t="s">
        <v>34</v>
      </c>
      <c r="M3305" s="28" t="s">
        <v>12353</v>
      </c>
      <c r="N3305" t="s">
        <v>313</v>
      </c>
    </row>
    <row r="3306" spans="1:14" hidden="1" x14ac:dyDescent="0.25">
      <c r="A3306" t="s">
        <v>11195</v>
      </c>
      <c r="B3306" t="s">
        <v>11196</v>
      </c>
      <c r="C3306" t="s">
        <v>1194</v>
      </c>
      <c r="D3306" t="s">
        <v>11197</v>
      </c>
      <c r="E3306" s="28" t="s">
        <v>896</v>
      </c>
      <c r="F3306" t="s">
        <v>182</v>
      </c>
      <c r="G3306" t="s">
        <v>84</v>
      </c>
      <c r="M3306" s="28" t="s">
        <v>14223</v>
      </c>
      <c r="N3306" t="s">
        <v>313</v>
      </c>
    </row>
    <row r="3307" spans="1:14" hidden="1" x14ac:dyDescent="0.25">
      <c r="A3307" t="s">
        <v>11204</v>
      </c>
      <c r="B3307" t="s">
        <v>11205</v>
      </c>
      <c r="C3307" t="s">
        <v>11051</v>
      </c>
      <c r="D3307" t="s">
        <v>11206</v>
      </c>
      <c r="E3307" s="28" t="s">
        <v>896</v>
      </c>
      <c r="F3307" t="s">
        <v>182</v>
      </c>
      <c r="G3307" t="s">
        <v>84</v>
      </c>
      <c r="M3307" s="28" t="s">
        <v>14223</v>
      </c>
      <c r="N3307" t="s">
        <v>313</v>
      </c>
    </row>
    <row r="3308" spans="1:14" hidden="1" x14ac:dyDescent="0.25">
      <c r="A3308" t="s">
        <v>9642</v>
      </c>
      <c r="B3308" t="s">
        <v>4827</v>
      </c>
      <c r="C3308" t="s">
        <v>894</v>
      </c>
      <c r="D3308" t="s">
        <v>4828</v>
      </c>
      <c r="E3308" s="28" t="s">
        <v>896</v>
      </c>
      <c r="F3308" t="s">
        <v>651</v>
      </c>
      <c r="G3308" t="s">
        <v>15</v>
      </c>
      <c r="M3308" s="28" t="s">
        <v>613</v>
      </c>
      <c r="N3308" t="s">
        <v>313</v>
      </c>
    </row>
    <row r="3309" spans="1:14" hidden="1" x14ac:dyDescent="0.25">
      <c r="A3309" t="s">
        <v>9641</v>
      </c>
      <c r="B3309" t="s">
        <v>4825</v>
      </c>
      <c r="C3309" t="s">
        <v>2582</v>
      </c>
      <c r="D3309" t="s">
        <v>4826</v>
      </c>
      <c r="E3309" s="28" t="s">
        <v>890</v>
      </c>
      <c r="F3309" t="s">
        <v>4586</v>
      </c>
      <c r="G3309" t="s">
        <v>15</v>
      </c>
      <c r="M3309" s="28" t="s">
        <v>613</v>
      </c>
      <c r="N3309" t="s">
        <v>313</v>
      </c>
    </row>
    <row r="3310" spans="1:14" hidden="1" x14ac:dyDescent="0.25">
      <c r="A3310" t="s">
        <v>9640</v>
      </c>
      <c r="B3310" t="s">
        <v>4823</v>
      </c>
      <c r="C3310" t="s">
        <v>4600</v>
      </c>
      <c r="D3310" t="s">
        <v>4824</v>
      </c>
      <c r="E3310" s="28" t="s">
        <v>896</v>
      </c>
      <c r="F3310" t="s">
        <v>617</v>
      </c>
      <c r="G3310" t="s">
        <v>15</v>
      </c>
      <c r="M3310" s="28" t="s">
        <v>613</v>
      </c>
      <c r="N3310" t="s">
        <v>313</v>
      </c>
    </row>
    <row r="3311" spans="1:14" hidden="1" x14ac:dyDescent="0.25">
      <c r="A3311" t="s">
        <v>12569</v>
      </c>
      <c r="B3311" t="s">
        <v>12570</v>
      </c>
      <c r="C3311" t="s">
        <v>4871</v>
      </c>
      <c r="D3311" t="s">
        <v>12571</v>
      </c>
      <c r="E3311" s="28" t="s">
        <v>890</v>
      </c>
      <c r="F3311" t="s">
        <v>12572</v>
      </c>
      <c r="G3311" t="s">
        <v>15</v>
      </c>
      <c r="M3311" s="28" t="s">
        <v>613</v>
      </c>
      <c r="N3311" t="s">
        <v>313</v>
      </c>
    </row>
    <row r="3312" spans="1:14" hidden="1" x14ac:dyDescent="0.25">
      <c r="A3312" t="s">
        <v>9639</v>
      </c>
      <c r="B3312" t="s">
        <v>4820</v>
      </c>
      <c r="C3312" t="s">
        <v>4821</v>
      </c>
      <c r="D3312" t="s">
        <v>4822</v>
      </c>
      <c r="E3312" s="28" t="s">
        <v>896</v>
      </c>
      <c r="F3312" t="s">
        <v>625</v>
      </c>
      <c r="G3312" t="s">
        <v>15</v>
      </c>
      <c r="M3312" s="28" t="s">
        <v>613</v>
      </c>
      <c r="N3312" t="s">
        <v>313</v>
      </c>
    </row>
    <row r="3313" spans="1:14" hidden="1" x14ac:dyDescent="0.25">
      <c r="A3313" t="s">
        <v>10854</v>
      </c>
      <c r="B3313" t="s">
        <v>7447</v>
      </c>
      <c r="C3313" t="s">
        <v>2529</v>
      </c>
      <c r="D3313" t="s">
        <v>7448</v>
      </c>
      <c r="E3313" s="28" t="s">
        <v>890</v>
      </c>
      <c r="F3313" t="s">
        <v>863</v>
      </c>
      <c r="G3313" t="s">
        <v>157</v>
      </c>
      <c r="M3313" s="28" t="s">
        <v>840</v>
      </c>
      <c r="N3313" t="s">
        <v>382</v>
      </c>
    </row>
    <row r="3314" spans="1:14" hidden="1" x14ac:dyDescent="0.25">
      <c r="A3314" t="s">
        <v>13520</v>
      </c>
      <c r="B3314" t="s">
        <v>7447</v>
      </c>
      <c r="C3314" t="s">
        <v>1150</v>
      </c>
      <c r="D3314" t="s">
        <v>13521</v>
      </c>
      <c r="E3314" s="28"/>
      <c r="F3314" t="s">
        <v>863</v>
      </c>
      <c r="G3314" t="s">
        <v>157</v>
      </c>
      <c r="M3314" s="28" t="s">
        <v>840</v>
      </c>
      <c r="N3314" t="s">
        <v>382</v>
      </c>
    </row>
    <row r="3315" spans="1:14" hidden="1" x14ac:dyDescent="0.25">
      <c r="A3315" t="s">
        <v>11098</v>
      </c>
      <c r="B3315" t="s">
        <v>11099</v>
      </c>
      <c r="C3315" t="s">
        <v>2855</v>
      </c>
      <c r="D3315" t="s">
        <v>11100</v>
      </c>
      <c r="E3315" s="28" t="s">
        <v>896</v>
      </c>
      <c r="F3315" t="s">
        <v>11080</v>
      </c>
      <c r="G3315" t="s">
        <v>84</v>
      </c>
      <c r="M3315" s="28" t="s">
        <v>14223</v>
      </c>
      <c r="N3315" t="s">
        <v>313</v>
      </c>
    </row>
    <row r="3316" spans="1:14" hidden="1" x14ac:dyDescent="0.25">
      <c r="A3316" t="s">
        <v>11101</v>
      </c>
      <c r="B3316" t="s">
        <v>11099</v>
      </c>
      <c r="C3316" t="s">
        <v>1123</v>
      </c>
      <c r="D3316" t="s">
        <v>11102</v>
      </c>
      <c r="E3316" s="28" t="s">
        <v>890</v>
      </c>
      <c r="F3316" t="s">
        <v>11080</v>
      </c>
      <c r="G3316" t="s">
        <v>84</v>
      </c>
      <c r="M3316" s="28" t="s">
        <v>14223</v>
      </c>
      <c r="N3316" t="s">
        <v>313</v>
      </c>
    </row>
    <row r="3317" spans="1:14" hidden="1" x14ac:dyDescent="0.25">
      <c r="A3317" t="s">
        <v>11421</v>
      </c>
      <c r="B3317" t="s">
        <v>11099</v>
      </c>
      <c r="C3317" t="s">
        <v>2963</v>
      </c>
      <c r="D3317" t="s">
        <v>11422</v>
      </c>
      <c r="E3317" s="28" t="s">
        <v>930</v>
      </c>
      <c r="F3317" t="s">
        <v>1106</v>
      </c>
      <c r="G3317" t="s">
        <v>84</v>
      </c>
      <c r="M3317" s="28" t="s">
        <v>14223</v>
      </c>
      <c r="N3317" t="s">
        <v>313</v>
      </c>
    </row>
    <row r="3318" spans="1:14" hidden="1" x14ac:dyDescent="0.25">
      <c r="A3318" t="s">
        <v>11257</v>
      </c>
      <c r="B3318" t="s">
        <v>11099</v>
      </c>
      <c r="C3318" t="s">
        <v>1421</v>
      </c>
      <c r="D3318" t="s">
        <v>11258</v>
      </c>
      <c r="E3318" s="28" t="s">
        <v>890</v>
      </c>
      <c r="F3318" t="s">
        <v>11080</v>
      </c>
      <c r="G3318" t="s">
        <v>84</v>
      </c>
      <c r="M3318" s="28" t="s">
        <v>14223</v>
      </c>
      <c r="N3318" t="s">
        <v>313</v>
      </c>
    </row>
    <row r="3319" spans="1:14" hidden="1" x14ac:dyDescent="0.25">
      <c r="A3319" t="s">
        <v>11103</v>
      </c>
      <c r="B3319" t="s">
        <v>11099</v>
      </c>
      <c r="C3319" t="s">
        <v>1202</v>
      </c>
      <c r="D3319" t="s">
        <v>11104</v>
      </c>
      <c r="E3319" s="28" t="s">
        <v>896</v>
      </c>
      <c r="F3319" t="s">
        <v>11080</v>
      </c>
      <c r="G3319" t="s">
        <v>84</v>
      </c>
      <c r="M3319" s="28" t="s">
        <v>14223</v>
      </c>
      <c r="N3319" t="s">
        <v>313</v>
      </c>
    </row>
    <row r="3320" spans="1:14" hidden="1" x14ac:dyDescent="0.25">
      <c r="A3320" t="s">
        <v>11306</v>
      </c>
      <c r="B3320" t="s">
        <v>11307</v>
      </c>
      <c r="C3320" t="s">
        <v>1421</v>
      </c>
      <c r="D3320" t="s">
        <v>11308</v>
      </c>
      <c r="E3320" s="28" t="s">
        <v>890</v>
      </c>
      <c r="F3320" t="s">
        <v>10975</v>
      </c>
      <c r="G3320" t="s">
        <v>84</v>
      </c>
      <c r="M3320" s="28" t="s">
        <v>14223</v>
      </c>
      <c r="N3320" t="s">
        <v>313</v>
      </c>
    </row>
    <row r="3321" spans="1:14" hidden="1" x14ac:dyDescent="0.25">
      <c r="A3321" t="s">
        <v>8047</v>
      </c>
      <c r="B3321" t="s">
        <v>1232</v>
      </c>
      <c r="C3321" t="s">
        <v>1233</v>
      </c>
      <c r="D3321" t="s">
        <v>1234</v>
      </c>
      <c r="E3321" s="28" t="s">
        <v>890</v>
      </c>
      <c r="F3321" t="s">
        <v>39</v>
      </c>
      <c r="G3321" t="s">
        <v>34</v>
      </c>
      <c r="M3321" s="28" t="s">
        <v>12353</v>
      </c>
      <c r="N3321" t="s">
        <v>313</v>
      </c>
    </row>
    <row r="3322" spans="1:14" hidden="1" x14ac:dyDescent="0.25">
      <c r="A3322" t="s">
        <v>9328</v>
      </c>
      <c r="B3322" t="s">
        <v>4171</v>
      </c>
      <c r="C3322" t="s">
        <v>1266</v>
      </c>
      <c r="D3322" t="s">
        <v>4172</v>
      </c>
      <c r="E3322" s="28" t="s">
        <v>890</v>
      </c>
      <c r="F3322" t="s">
        <v>891</v>
      </c>
      <c r="G3322" t="s">
        <v>88</v>
      </c>
      <c r="M3322" s="28" t="s">
        <v>549</v>
      </c>
      <c r="N3322" t="s">
        <v>313</v>
      </c>
    </row>
    <row r="3323" spans="1:14" hidden="1" x14ac:dyDescent="0.25">
      <c r="A3323" t="s">
        <v>11040</v>
      </c>
      <c r="B3323" t="s">
        <v>11041</v>
      </c>
      <c r="C3323" t="s">
        <v>2638</v>
      </c>
      <c r="D3323" t="s">
        <v>11042</v>
      </c>
      <c r="E3323" s="28" t="s">
        <v>890</v>
      </c>
      <c r="F3323" t="s">
        <v>6584</v>
      </c>
      <c r="G3323" t="s">
        <v>84</v>
      </c>
      <c r="M3323" s="28" t="s">
        <v>14223</v>
      </c>
      <c r="N3323" t="s">
        <v>313</v>
      </c>
    </row>
    <row r="3324" spans="1:14" hidden="1" x14ac:dyDescent="0.25">
      <c r="A3324" t="s">
        <v>10993</v>
      </c>
      <c r="B3324" t="s">
        <v>10994</v>
      </c>
      <c r="C3324" t="s">
        <v>1179</v>
      </c>
      <c r="D3324" t="s">
        <v>10995</v>
      </c>
      <c r="E3324" s="28" t="s">
        <v>896</v>
      </c>
      <c r="F3324" t="s">
        <v>10975</v>
      </c>
      <c r="G3324" t="s">
        <v>84</v>
      </c>
      <c r="M3324" s="28" t="s">
        <v>14223</v>
      </c>
      <c r="N3324" t="s">
        <v>313</v>
      </c>
    </row>
    <row r="3325" spans="1:14" hidden="1" x14ac:dyDescent="0.25">
      <c r="A3325" t="s">
        <v>10570</v>
      </c>
      <c r="B3325" t="s">
        <v>6796</v>
      </c>
      <c r="C3325" t="s">
        <v>1530</v>
      </c>
      <c r="D3325" t="s">
        <v>6797</v>
      </c>
      <c r="E3325" s="28" t="s">
        <v>930</v>
      </c>
      <c r="F3325" t="s">
        <v>813</v>
      </c>
      <c r="G3325" t="s">
        <v>137</v>
      </c>
      <c r="M3325" s="28" t="s">
        <v>805</v>
      </c>
      <c r="N3325" t="s">
        <v>313</v>
      </c>
    </row>
    <row r="3326" spans="1:14" hidden="1" x14ac:dyDescent="0.25">
      <c r="A3326" t="s">
        <v>8048</v>
      </c>
      <c r="B3326" t="s">
        <v>1235</v>
      </c>
      <c r="C3326" t="s">
        <v>1236</v>
      </c>
      <c r="D3326" t="s">
        <v>1237</v>
      </c>
      <c r="E3326" s="28" t="s">
        <v>896</v>
      </c>
      <c r="F3326" t="s">
        <v>39</v>
      </c>
      <c r="G3326" t="s">
        <v>34</v>
      </c>
      <c r="M3326" s="28" t="s">
        <v>12353</v>
      </c>
      <c r="N3326" t="s">
        <v>313</v>
      </c>
    </row>
    <row r="3327" spans="1:14" hidden="1" x14ac:dyDescent="0.25">
      <c r="A3327" t="s">
        <v>11070</v>
      </c>
      <c r="B3327" t="s">
        <v>10989</v>
      </c>
      <c r="C3327" t="s">
        <v>2181</v>
      </c>
      <c r="D3327" t="s">
        <v>11071</v>
      </c>
      <c r="E3327" s="28" t="s">
        <v>890</v>
      </c>
      <c r="F3327" t="s">
        <v>10963</v>
      </c>
      <c r="G3327" t="s">
        <v>84</v>
      </c>
      <c r="M3327" s="28" t="s">
        <v>14223</v>
      </c>
      <c r="N3327" t="s">
        <v>313</v>
      </c>
    </row>
    <row r="3328" spans="1:14" hidden="1" x14ac:dyDescent="0.25">
      <c r="A3328" t="s">
        <v>10991</v>
      </c>
      <c r="B3328" t="s">
        <v>10989</v>
      </c>
      <c r="C3328" t="s">
        <v>5157</v>
      </c>
      <c r="D3328" t="s">
        <v>10992</v>
      </c>
      <c r="E3328" s="28" t="s">
        <v>890</v>
      </c>
      <c r="F3328" t="s">
        <v>182</v>
      </c>
      <c r="G3328" t="s">
        <v>84</v>
      </c>
      <c r="M3328" s="28" t="s">
        <v>14223</v>
      </c>
      <c r="N3328" t="s">
        <v>313</v>
      </c>
    </row>
    <row r="3329" spans="1:14" hidden="1" x14ac:dyDescent="0.25">
      <c r="A3329" t="s">
        <v>10988</v>
      </c>
      <c r="B3329" t="s">
        <v>10989</v>
      </c>
      <c r="C3329" t="s">
        <v>1199</v>
      </c>
      <c r="D3329" t="s">
        <v>10990</v>
      </c>
      <c r="E3329" s="28" t="s">
        <v>890</v>
      </c>
      <c r="F3329" t="s">
        <v>6584</v>
      </c>
      <c r="G3329" t="s">
        <v>84</v>
      </c>
      <c r="M3329" s="28" t="s">
        <v>14223</v>
      </c>
      <c r="N3329" t="s">
        <v>313</v>
      </c>
    </row>
    <row r="3330" spans="1:14" hidden="1" x14ac:dyDescent="0.25">
      <c r="A3330" t="s">
        <v>10471</v>
      </c>
      <c r="B3330" t="s">
        <v>6596</v>
      </c>
      <c r="C3330" t="s">
        <v>1224</v>
      </c>
      <c r="D3330" t="s">
        <v>6597</v>
      </c>
      <c r="E3330" s="28" t="s">
        <v>890</v>
      </c>
      <c r="F3330" t="s">
        <v>6598</v>
      </c>
      <c r="G3330" t="s">
        <v>131</v>
      </c>
      <c r="M3330" s="28" t="s">
        <v>14242</v>
      </c>
    </row>
    <row r="3331" spans="1:14" hidden="1" x14ac:dyDescent="0.25">
      <c r="A3331" t="s">
        <v>9638</v>
      </c>
      <c r="B3331" t="s">
        <v>4817</v>
      </c>
      <c r="C3331" t="s">
        <v>4818</v>
      </c>
      <c r="D3331" t="s">
        <v>4819</v>
      </c>
      <c r="E3331" s="28" t="s">
        <v>890</v>
      </c>
      <c r="F3331" t="s">
        <v>4679</v>
      </c>
      <c r="G3331" t="s">
        <v>15</v>
      </c>
      <c r="M3331" s="28" t="s">
        <v>613</v>
      </c>
      <c r="N3331" t="s">
        <v>313</v>
      </c>
    </row>
    <row r="3332" spans="1:14" hidden="1" x14ac:dyDescent="0.25">
      <c r="A3332" t="s">
        <v>9637</v>
      </c>
      <c r="B3332" t="s">
        <v>4814</v>
      </c>
      <c r="C3332" t="s">
        <v>4556</v>
      </c>
      <c r="D3332" t="s">
        <v>4816</v>
      </c>
      <c r="E3332" s="28" t="s">
        <v>890</v>
      </c>
      <c r="F3332" t="s">
        <v>4601</v>
      </c>
      <c r="G3332" t="s">
        <v>15</v>
      </c>
      <c r="M3332" s="28" t="s">
        <v>613</v>
      </c>
      <c r="N3332" t="s">
        <v>313</v>
      </c>
    </row>
    <row r="3333" spans="1:14" hidden="1" x14ac:dyDescent="0.25">
      <c r="A3333" t="s">
        <v>9636</v>
      </c>
      <c r="B3333" t="s">
        <v>4814</v>
      </c>
      <c r="C3333" t="s">
        <v>2184</v>
      </c>
      <c r="D3333" t="s">
        <v>4815</v>
      </c>
      <c r="E3333" s="28" t="s">
        <v>896</v>
      </c>
      <c r="F3333" t="s">
        <v>4601</v>
      </c>
      <c r="G3333" t="s">
        <v>15</v>
      </c>
      <c r="M3333" s="28" t="s">
        <v>613</v>
      </c>
      <c r="N3333" t="s">
        <v>313</v>
      </c>
    </row>
    <row r="3334" spans="1:14" hidden="1" x14ac:dyDescent="0.25">
      <c r="A3334" t="s">
        <v>9635</v>
      </c>
      <c r="B3334" t="s">
        <v>4812</v>
      </c>
      <c r="C3334" t="s">
        <v>4440</v>
      </c>
      <c r="D3334" t="s">
        <v>4813</v>
      </c>
      <c r="E3334" s="28" t="s">
        <v>896</v>
      </c>
      <c r="F3334" t="s">
        <v>4586</v>
      </c>
      <c r="G3334" t="s">
        <v>15</v>
      </c>
      <c r="M3334" s="28" t="s">
        <v>613</v>
      </c>
      <c r="N3334" t="s">
        <v>313</v>
      </c>
    </row>
    <row r="3335" spans="1:14" hidden="1" x14ac:dyDescent="0.25">
      <c r="A3335" t="s">
        <v>9634</v>
      </c>
      <c r="B3335" t="s">
        <v>4810</v>
      </c>
      <c r="C3335" t="s">
        <v>4808</v>
      </c>
      <c r="D3335" t="s">
        <v>4811</v>
      </c>
      <c r="E3335" s="28" t="s">
        <v>896</v>
      </c>
      <c r="F3335" t="s">
        <v>763</v>
      </c>
      <c r="G3335" t="s">
        <v>15</v>
      </c>
      <c r="M3335" s="28" t="s">
        <v>613</v>
      </c>
      <c r="N3335" t="s">
        <v>313</v>
      </c>
    </row>
    <row r="3336" spans="1:14" hidden="1" x14ac:dyDescent="0.25">
      <c r="A3336" t="s">
        <v>8585</v>
      </c>
      <c r="B3336" t="s">
        <v>2489</v>
      </c>
      <c r="C3336" t="s">
        <v>1222</v>
      </c>
      <c r="D3336" t="s">
        <v>2571</v>
      </c>
      <c r="E3336" s="28" t="s">
        <v>1023</v>
      </c>
      <c r="F3336" t="s">
        <v>2568</v>
      </c>
      <c r="G3336" t="s">
        <v>11</v>
      </c>
      <c r="M3336" s="28" t="s">
        <v>413</v>
      </c>
      <c r="N3336" t="s">
        <v>313</v>
      </c>
    </row>
    <row r="3337" spans="1:14" hidden="1" x14ac:dyDescent="0.25">
      <c r="A3337" t="s">
        <v>12080</v>
      </c>
      <c r="B3337" t="s">
        <v>2489</v>
      </c>
      <c r="C3337" t="s">
        <v>7437</v>
      </c>
      <c r="D3337" t="s">
        <v>12081</v>
      </c>
      <c r="E3337" s="28" t="s">
        <v>890</v>
      </c>
      <c r="F3337" t="s">
        <v>883</v>
      </c>
      <c r="G3337" t="s">
        <v>157</v>
      </c>
      <c r="M3337" s="28" t="s">
        <v>840</v>
      </c>
      <c r="N3337" t="s">
        <v>382</v>
      </c>
    </row>
    <row r="3338" spans="1:14" hidden="1" x14ac:dyDescent="0.25">
      <c r="A3338" t="s">
        <v>8551</v>
      </c>
      <c r="B3338" t="s">
        <v>2489</v>
      </c>
      <c r="C3338" t="s">
        <v>1400</v>
      </c>
      <c r="D3338" t="s">
        <v>2490</v>
      </c>
      <c r="E3338" s="28" t="s">
        <v>896</v>
      </c>
      <c r="F3338" t="s">
        <v>2568</v>
      </c>
      <c r="G3338" t="s">
        <v>11</v>
      </c>
      <c r="M3338" s="28" t="s">
        <v>413</v>
      </c>
      <c r="N3338" t="s">
        <v>313</v>
      </c>
    </row>
    <row r="3339" spans="1:14" hidden="1" x14ac:dyDescent="0.25">
      <c r="A3339" t="s">
        <v>11935</v>
      </c>
      <c r="B3339" t="s">
        <v>6543</v>
      </c>
      <c r="C3339" t="s">
        <v>1104</v>
      </c>
      <c r="D3339" t="s">
        <v>6544</v>
      </c>
      <c r="E3339" s="28" t="s">
        <v>890</v>
      </c>
      <c r="F3339" t="s">
        <v>252</v>
      </c>
      <c r="G3339" t="s">
        <v>129</v>
      </c>
      <c r="M3339" s="28" t="s">
        <v>802</v>
      </c>
      <c r="N3339" t="s">
        <v>313</v>
      </c>
    </row>
    <row r="3340" spans="1:14" hidden="1" x14ac:dyDescent="0.25">
      <c r="A3340" t="s">
        <v>11790</v>
      </c>
      <c r="B3340" t="s">
        <v>11791</v>
      </c>
      <c r="C3340" t="s">
        <v>3300</v>
      </c>
      <c r="D3340" t="s">
        <v>11792</v>
      </c>
      <c r="E3340" s="28" t="s">
        <v>896</v>
      </c>
      <c r="F3340" t="s">
        <v>891</v>
      </c>
      <c r="G3340" t="s">
        <v>88</v>
      </c>
      <c r="M3340" s="28" t="s">
        <v>549</v>
      </c>
      <c r="N3340" t="s">
        <v>313</v>
      </c>
    </row>
    <row r="3341" spans="1:14" hidden="1" x14ac:dyDescent="0.25">
      <c r="A3341" t="s">
        <v>9329</v>
      </c>
      <c r="B3341" t="s">
        <v>4173</v>
      </c>
      <c r="C3341" t="s">
        <v>3034</v>
      </c>
      <c r="D3341" t="s">
        <v>4174</v>
      </c>
      <c r="E3341" s="28" t="s">
        <v>896</v>
      </c>
      <c r="F3341" t="s">
        <v>891</v>
      </c>
      <c r="G3341" t="s">
        <v>88</v>
      </c>
      <c r="M3341" s="28" t="s">
        <v>549</v>
      </c>
      <c r="N3341" t="s">
        <v>313</v>
      </c>
    </row>
    <row r="3342" spans="1:14" hidden="1" x14ac:dyDescent="0.25">
      <c r="A3342" t="s">
        <v>8149</v>
      </c>
      <c r="B3342" t="s">
        <v>1496</v>
      </c>
      <c r="C3342" t="s">
        <v>1497</v>
      </c>
      <c r="D3342" t="s">
        <v>1498</v>
      </c>
      <c r="E3342" s="28" t="s">
        <v>930</v>
      </c>
      <c r="F3342" t="s">
        <v>328</v>
      </c>
      <c r="G3342" t="s">
        <v>38</v>
      </c>
      <c r="M3342" s="28"/>
    </row>
    <row r="3343" spans="1:14" hidden="1" x14ac:dyDescent="0.25">
      <c r="A3343" t="s">
        <v>11095</v>
      </c>
      <c r="B3343" t="s">
        <v>11096</v>
      </c>
      <c r="C3343" t="s">
        <v>11078</v>
      </c>
      <c r="D3343" t="s">
        <v>11097</v>
      </c>
      <c r="E3343" s="28" t="s">
        <v>896</v>
      </c>
      <c r="F3343" t="s">
        <v>11080</v>
      </c>
      <c r="G3343" t="s">
        <v>84</v>
      </c>
      <c r="M3343" s="28" t="s">
        <v>14223</v>
      </c>
      <c r="N3343" t="s">
        <v>313</v>
      </c>
    </row>
    <row r="3344" spans="1:14" hidden="1" x14ac:dyDescent="0.25">
      <c r="A3344" t="s">
        <v>9633</v>
      </c>
      <c r="B3344" t="s">
        <v>4807</v>
      </c>
      <c r="C3344" t="s">
        <v>4808</v>
      </c>
      <c r="D3344" t="s">
        <v>4809</v>
      </c>
      <c r="E3344" s="28" t="s">
        <v>896</v>
      </c>
      <c r="F3344" t="s">
        <v>651</v>
      </c>
      <c r="G3344" t="s">
        <v>15</v>
      </c>
      <c r="M3344" s="28" t="s">
        <v>613</v>
      </c>
      <c r="N3344" t="s">
        <v>313</v>
      </c>
    </row>
    <row r="3345" spans="1:14" hidden="1" x14ac:dyDescent="0.25">
      <c r="A3345" t="s">
        <v>10996</v>
      </c>
      <c r="B3345" t="s">
        <v>10997</v>
      </c>
      <c r="C3345" t="s">
        <v>10998</v>
      </c>
      <c r="D3345" t="s">
        <v>10999</v>
      </c>
      <c r="E3345" s="28" t="s">
        <v>896</v>
      </c>
      <c r="F3345" t="s">
        <v>11000</v>
      </c>
      <c r="G3345" t="s">
        <v>84</v>
      </c>
      <c r="M3345" s="28" t="s">
        <v>14223</v>
      </c>
      <c r="N3345" t="s">
        <v>313</v>
      </c>
    </row>
    <row r="3346" spans="1:14" hidden="1" x14ac:dyDescent="0.25">
      <c r="A3346" t="s">
        <v>12632</v>
      </c>
      <c r="B3346" t="s">
        <v>6726</v>
      </c>
      <c r="C3346" t="s">
        <v>11987</v>
      </c>
      <c r="D3346" t="s">
        <v>12633</v>
      </c>
      <c r="E3346" s="28" t="s">
        <v>1177</v>
      </c>
      <c r="F3346" t="s">
        <v>12661</v>
      </c>
      <c r="G3346" t="s">
        <v>137</v>
      </c>
      <c r="M3346" s="28" t="s">
        <v>805</v>
      </c>
      <c r="N3346" t="s">
        <v>313</v>
      </c>
    </row>
    <row r="3347" spans="1:14" hidden="1" x14ac:dyDescent="0.25">
      <c r="A3347" t="s">
        <v>10532</v>
      </c>
      <c r="B3347" t="s">
        <v>6726</v>
      </c>
      <c r="C3347" t="s">
        <v>1639</v>
      </c>
      <c r="D3347" t="s">
        <v>6727</v>
      </c>
      <c r="E3347" s="28" t="s">
        <v>896</v>
      </c>
      <c r="F3347" t="s">
        <v>12661</v>
      </c>
      <c r="G3347" t="s">
        <v>137</v>
      </c>
      <c r="M3347" s="28" t="s">
        <v>805</v>
      </c>
      <c r="N3347" t="s">
        <v>313</v>
      </c>
    </row>
    <row r="3348" spans="1:14" hidden="1" x14ac:dyDescent="0.25">
      <c r="A3348" t="s">
        <v>9632</v>
      </c>
      <c r="B3348" t="s">
        <v>4805</v>
      </c>
      <c r="C3348" t="s">
        <v>4440</v>
      </c>
      <c r="D3348" t="s">
        <v>4806</v>
      </c>
      <c r="E3348" s="28" t="s">
        <v>890</v>
      </c>
      <c r="F3348" t="s">
        <v>750</v>
      </c>
      <c r="G3348" t="s">
        <v>15</v>
      </c>
      <c r="M3348" s="28" t="s">
        <v>613</v>
      </c>
      <c r="N3348" t="s">
        <v>313</v>
      </c>
    </row>
    <row r="3349" spans="1:14" hidden="1" x14ac:dyDescent="0.25">
      <c r="A3349" t="s">
        <v>7997</v>
      </c>
      <c r="B3349" t="s">
        <v>1051</v>
      </c>
      <c r="C3349" t="s">
        <v>1052</v>
      </c>
      <c r="D3349" t="s">
        <v>1053</v>
      </c>
      <c r="E3349" s="28" t="s">
        <v>896</v>
      </c>
      <c r="F3349" t="s">
        <v>1018</v>
      </c>
      <c r="G3349" t="s">
        <v>28</v>
      </c>
      <c r="M3349" s="28" t="s">
        <v>14241</v>
      </c>
      <c r="N3349" t="s">
        <v>14206</v>
      </c>
    </row>
    <row r="3350" spans="1:14" hidden="1" x14ac:dyDescent="0.25">
      <c r="A3350" t="s">
        <v>10759</v>
      </c>
      <c r="B3350" t="s">
        <v>7228</v>
      </c>
      <c r="C3350" t="s">
        <v>1424</v>
      </c>
      <c r="D3350" t="s">
        <v>7229</v>
      </c>
      <c r="E3350" s="28" t="s">
        <v>1023</v>
      </c>
      <c r="F3350" t="s">
        <v>6895</v>
      </c>
      <c r="G3350" t="s">
        <v>6896</v>
      </c>
      <c r="M3350" s="28" t="s">
        <v>6897</v>
      </c>
      <c r="N3350" t="s">
        <v>279</v>
      </c>
    </row>
    <row r="3351" spans="1:14" hidden="1" x14ac:dyDescent="0.25">
      <c r="A3351" t="s">
        <v>9631</v>
      </c>
      <c r="B3351" t="s">
        <v>4803</v>
      </c>
      <c r="C3351" t="s">
        <v>2772</v>
      </c>
      <c r="D3351" t="s">
        <v>4804</v>
      </c>
      <c r="E3351" s="28" t="s">
        <v>890</v>
      </c>
      <c r="F3351" t="s">
        <v>685</v>
      </c>
      <c r="G3351" t="s">
        <v>15</v>
      </c>
      <c r="M3351" s="28" t="s">
        <v>613</v>
      </c>
      <c r="N3351" t="s">
        <v>313</v>
      </c>
    </row>
    <row r="3352" spans="1:14" hidden="1" x14ac:dyDescent="0.25">
      <c r="A3352" t="s">
        <v>9630</v>
      </c>
      <c r="B3352" t="s">
        <v>4800</v>
      </c>
      <c r="C3352" t="s">
        <v>4603</v>
      </c>
      <c r="D3352" t="s">
        <v>4801</v>
      </c>
      <c r="E3352" s="28" t="s">
        <v>890</v>
      </c>
      <c r="F3352" t="s">
        <v>4802</v>
      </c>
      <c r="G3352" t="s">
        <v>15</v>
      </c>
      <c r="M3352" s="28" t="s">
        <v>613</v>
      </c>
      <c r="N3352" t="s">
        <v>313</v>
      </c>
    </row>
    <row r="3353" spans="1:14" hidden="1" x14ac:dyDescent="0.25">
      <c r="A3353" t="s">
        <v>12402</v>
      </c>
      <c r="B3353" t="s">
        <v>12403</v>
      </c>
      <c r="C3353" t="s">
        <v>12404</v>
      </c>
      <c r="D3353" t="s">
        <v>12405</v>
      </c>
      <c r="E3353" s="28" t="s">
        <v>1023</v>
      </c>
      <c r="F3353" t="s">
        <v>326</v>
      </c>
      <c r="G3353" t="s">
        <v>38</v>
      </c>
      <c r="M3353" s="28"/>
    </row>
    <row r="3354" spans="1:14" hidden="1" x14ac:dyDescent="0.25">
      <c r="A3354" t="s">
        <v>9629</v>
      </c>
      <c r="B3354" t="s">
        <v>2789</v>
      </c>
      <c r="C3354" t="s">
        <v>1574</v>
      </c>
      <c r="D3354" t="s">
        <v>4799</v>
      </c>
      <c r="E3354" s="28" t="s">
        <v>896</v>
      </c>
      <c r="F3354" t="s">
        <v>13348</v>
      </c>
      <c r="G3354" t="s">
        <v>15</v>
      </c>
      <c r="M3354" s="28" t="s">
        <v>613</v>
      </c>
      <c r="N3354" t="s">
        <v>313</v>
      </c>
    </row>
    <row r="3355" spans="1:14" hidden="1" x14ac:dyDescent="0.25">
      <c r="A3355" t="s">
        <v>9628</v>
      </c>
      <c r="B3355" t="s">
        <v>1905</v>
      </c>
      <c r="C3355" t="s">
        <v>4640</v>
      </c>
      <c r="D3355" t="s">
        <v>4798</v>
      </c>
      <c r="E3355" s="28" t="s">
        <v>896</v>
      </c>
      <c r="F3355" t="s">
        <v>231</v>
      </c>
      <c r="G3355" t="s">
        <v>15</v>
      </c>
      <c r="M3355" s="28" t="s">
        <v>613</v>
      </c>
      <c r="N3355" t="s">
        <v>313</v>
      </c>
    </row>
    <row r="3356" spans="1:14" hidden="1" x14ac:dyDescent="0.25">
      <c r="A3356" t="s">
        <v>9330</v>
      </c>
      <c r="B3356" t="s">
        <v>4175</v>
      </c>
      <c r="C3356" t="s">
        <v>3036</v>
      </c>
      <c r="D3356" t="s">
        <v>4176</v>
      </c>
      <c r="E3356" s="28" t="s">
        <v>890</v>
      </c>
      <c r="F3356" t="s">
        <v>891</v>
      </c>
      <c r="G3356" t="s">
        <v>88</v>
      </c>
      <c r="M3356" s="28" t="s">
        <v>549</v>
      </c>
      <c r="N3356" t="s">
        <v>313</v>
      </c>
    </row>
    <row r="3357" spans="1:14" hidden="1" x14ac:dyDescent="0.25">
      <c r="A3357" t="s">
        <v>9627</v>
      </c>
      <c r="B3357" t="s">
        <v>4796</v>
      </c>
      <c r="C3357" t="s">
        <v>2515</v>
      </c>
      <c r="D3357" t="s">
        <v>4797</v>
      </c>
      <c r="E3357" s="28" t="s">
        <v>890</v>
      </c>
      <c r="F3357" t="s">
        <v>685</v>
      </c>
      <c r="G3357" t="s">
        <v>15</v>
      </c>
      <c r="M3357" s="28" t="s">
        <v>613</v>
      </c>
      <c r="N3357" t="s">
        <v>313</v>
      </c>
    </row>
    <row r="3358" spans="1:14" hidden="1" x14ac:dyDescent="0.25">
      <c r="A3358" t="s">
        <v>8131</v>
      </c>
      <c r="B3358" t="s">
        <v>1446</v>
      </c>
      <c r="C3358" t="s">
        <v>1447</v>
      </c>
      <c r="D3358" t="s">
        <v>1448</v>
      </c>
      <c r="E3358" s="28" t="s">
        <v>896</v>
      </c>
      <c r="F3358" t="s">
        <v>343</v>
      </c>
      <c r="G3358" t="s">
        <v>38</v>
      </c>
      <c r="M3358" s="28"/>
    </row>
    <row r="3359" spans="1:14" hidden="1" x14ac:dyDescent="0.25">
      <c r="A3359" t="s">
        <v>9331</v>
      </c>
      <c r="B3359" t="s">
        <v>4177</v>
      </c>
      <c r="C3359" t="s">
        <v>3233</v>
      </c>
      <c r="D3359" t="s">
        <v>4178</v>
      </c>
      <c r="E3359" s="28" t="s">
        <v>890</v>
      </c>
      <c r="F3359" t="s">
        <v>564</v>
      </c>
      <c r="G3359" t="s">
        <v>88</v>
      </c>
      <c r="M3359" s="28" t="s">
        <v>549</v>
      </c>
      <c r="N3359" t="s">
        <v>313</v>
      </c>
    </row>
    <row r="3360" spans="1:14" hidden="1" x14ac:dyDescent="0.25">
      <c r="A3360" t="s">
        <v>9626</v>
      </c>
      <c r="B3360" t="s">
        <v>4794</v>
      </c>
      <c r="C3360" t="s">
        <v>1084</v>
      </c>
      <c r="D3360" t="s">
        <v>4795</v>
      </c>
      <c r="E3360" s="28" t="s">
        <v>896</v>
      </c>
      <c r="F3360" t="s">
        <v>195</v>
      </c>
      <c r="G3360" t="s">
        <v>15</v>
      </c>
      <c r="M3360" s="28" t="s">
        <v>613</v>
      </c>
      <c r="N3360" t="s">
        <v>313</v>
      </c>
    </row>
    <row r="3361" spans="1:14" hidden="1" x14ac:dyDescent="0.25">
      <c r="A3361" t="s">
        <v>8353</v>
      </c>
      <c r="B3361" t="s">
        <v>2011</v>
      </c>
      <c r="C3361" t="s">
        <v>2016</v>
      </c>
      <c r="D3361" t="s">
        <v>2017</v>
      </c>
      <c r="E3361" s="28" t="s">
        <v>890</v>
      </c>
      <c r="F3361" t="s">
        <v>389</v>
      </c>
      <c r="G3361" t="s">
        <v>47</v>
      </c>
      <c r="M3361" s="28" t="s">
        <v>13542</v>
      </c>
    </row>
    <row r="3362" spans="1:14" hidden="1" x14ac:dyDescent="0.25">
      <c r="A3362" t="s">
        <v>8361</v>
      </c>
      <c r="B3362" t="s">
        <v>2011</v>
      </c>
      <c r="C3362" t="s">
        <v>1134</v>
      </c>
      <c r="D3362" t="s">
        <v>2034</v>
      </c>
      <c r="E3362" s="28" t="s">
        <v>896</v>
      </c>
      <c r="F3362" t="s">
        <v>389</v>
      </c>
      <c r="G3362" t="s">
        <v>47</v>
      </c>
      <c r="M3362" s="28" t="s">
        <v>13542</v>
      </c>
    </row>
    <row r="3363" spans="1:14" hidden="1" x14ac:dyDescent="0.25">
      <c r="A3363" t="s">
        <v>8354</v>
      </c>
      <c r="B3363" t="s">
        <v>2011</v>
      </c>
      <c r="C3363" t="s">
        <v>1174</v>
      </c>
      <c r="D3363" t="s">
        <v>2018</v>
      </c>
      <c r="E3363" s="28" t="s">
        <v>890</v>
      </c>
      <c r="F3363" t="s">
        <v>389</v>
      </c>
      <c r="G3363" t="s">
        <v>47</v>
      </c>
      <c r="M3363" s="28" t="s">
        <v>13542</v>
      </c>
    </row>
    <row r="3364" spans="1:14" hidden="1" x14ac:dyDescent="0.25">
      <c r="A3364" t="s">
        <v>8351</v>
      </c>
      <c r="B3364" t="s">
        <v>2011</v>
      </c>
      <c r="C3364" t="s">
        <v>1061</v>
      </c>
      <c r="D3364" t="s">
        <v>2012</v>
      </c>
      <c r="E3364" s="28" t="s">
        <v>896</v>
      </c>
      <c r="F3364" t="s">
        <v>389</v>
      </c>
      <c r="G3364" t="s">
        <v>47</v>
      </c>
      <c r="M3364" s="28" t="s">
        <v>13542</v>
      </c>
    </row>
    <row r="3365" spans="1:14" hidden="1" x14ac:dyDescent="0.25">
      <c r="A3365" t="s">
        <v>9332</v>
      </c>
      <c r="B3365" t="s">
        <v>4179</v>
      </c>
      <c r="C3365" t="s">
        <v>2108</v>
      </c>
      <c r="D3365" t="s">
        <v>4180</v>
      </c>
      <c r="E3365" s="28" t="s">
        <v>896</v>
      </c>
      <c r="F3365" t="s">
        <v>891</v>
      </c>
      <c r="G3365" t="s">
        <v>88</v>
      </c>
      <c r="M3365" s="28" t="s">
        <v>549</v>
      </c>
      <c r="N3365" t="s">
        <v>313</v>
      </c>
    </row>
    <row r="3366" spans="1:14" hidden="1" x14ac:dyDescent="0.25">
      <c r="A3366" t="s">
        <v>9625</v>
      </c>
      <c r="B3366" t="s">
        <v>4791</v>
      </c>
      <c r="C3366" t="s">
        <v>4792</v>
      </c>
      <c r="D3366" t="s">
        <v>4793</v>
      </c>
      <c r="E3366" s="28" t="s">
        <v>896</v>
      </c>
      <c r="F3366" t="s">
        <v>730</v>
      </c>
      <c r="G3366" t="s">
        <v>15</v>
      </c>
      <c r="M3366" s="28" t="s">
        <v>613</v>
      </c>
      <c r="N3366" t="s">
        <v>313</v>
      </c>
    </row>
    <row r="3367" spans="1:14" hidden="1" x14ac:dyDescent="0.25">
      <c r="A3367" t="s">
        <v>8369</v>
      </c>
      <c r="B3367" t="s">
        <v>2050</v>
      </c>
      <c r="C3367" t="s">
        <v>2051</v>
      </c>
      <c r="D3367" t="s">
        <v>2052</v>
      </c>
      <c r="E3367" s="28" t="s">
        <v>890</v>
      </c>
      <c r="F3367" t="s">
        <v>395</v>
      </c>
      <c r="G3367" t="s">
        <v>47</v>
      </c>
      <c r="M3367" s="28" t="s">
        <v>13542</v>
      </c>
    </row>
    <row r="3368" spans="1:14" hidden="1" x14ac:dyDescent="0.25">
      <c r="A3368" t="s">
        <v>10723</v>
      </c>
      <c r="B3368" t="s">
        <v>7140</v>
      </c>
      <c r="C3368" t="s">
        <v>7141</v>
      </c>
      <c r="D3368" t="s">
        <v>7142</v>
      </c>
      <c r="E3368" s="28" t="s">
        <v>890</v>
      </c>
      <c r="F3368" t="s">
        <v>6901</v>
      </c>
      <c r="G3368" t="s">
        <v>6896</v>
      </c>
      <c r="M3368" s="28" t="s">
        <v>6897</v>
      </c>
      <c r="N3368" t="s">
        <v>279</v>
      </c>
    </row>
    <row r="3369" spans="1:14" hidden="1" x14ac:dyDescent="0.25">
      <c r="A3369" t="s">
        <v>10712</v>
      </c>
      <c r="B3369" t="s">
        <v>7111</v>
      </c>
      <c r="C3369" t="s">
        <v>7114</v>
      </c>
      <c r="D3369" t="s">
        <v>7115</v>
      </c>
      <c r="E3369" s="28" t="s">
        <v>930</v>
      </c>
      <c r="F3369" t="s">
        <v>6895</v>
      </c>
      <c r="G3369" t="s">
        <v>6896</v>
      </c>
      <c r="M3369" s="28" t="s">
        <v>6897</v>
      </c>
      <c r="N3369" t="s">
        <v>279</v>
      </c>
    </row>
    <row r="3370" spans="1:14" hidden="1" x14ac:dyDescent="0.25">
      <c r="A3370" t="s">
        <v>10711</v>
      </c>
      <c r="B3370" t="s">
        <v>7111</v>
      </c>
      <c r="C3370" t="s">
        <v>7112</v>
      </c>
      <c r="D3370" t="s">
        <v>7113</v>
      </c>
      <c r="E3370" s="28" t="s">
        <v>896</v>
      </c>
      <c r="F3370" t="s">
        <v>6895</v>
      </c>
      <c r="G3370" t="s">
        <v>6896</v>
      </c>
      <c r="M3370" s="28" t="s">
        <v>6897</v>
      </c>
      <c r="N3370" t="s">
        <v>279</v>
      </c>
    </row>
    <row r="3371" spans="1:14" hidden="1" x14ac:dyDescent="0.25">
      <c r="A3371" t="s">
        <v>10713</v>
      </c>
      <c r="B3371" t="s">
        <v>7111</v>
      </c>
      <c r="C3371" t="s">
        <v>7116</v>
      </c>
      <c r="D3371" t="s">
        <v>7117</v>
      </c>
      <c r="E3371" s="28" t="s">
        <v>1023</v>
      </c>
      <c r="F3371" t="s">
        <v>6895</v>
      </c>
      <c r="G3371" t="s">
        <v>6896</v>
      </c>
      <c r="M3371" s="28" t="s">
        <v>6897</v>
      </c>
      <c r="N3371" t="s">
        <v>279</v>
      </c>
    </row>
    <row r="3372" spans="1:14" hidden="1" x14ac:dyDescent="0.25">
      <c r="A3372" t="s">
        <v>12450</v>
      </c>
      <c r="B3372" t="s">
        <v>12451</v>
      </c>
      <c r="C3372" t="s">
        <v>2522</v>
      </c>
      <c r="D3372" t="s">
        <v>12452</v>
      </c>
      <c r="E3372" s="28" t="s">
        <v>896</v>
      </c>
      <c r="F3372" t="s">
        <v>14210</v>
      </c>
      <c r="G3372" t="s">
        <v>11</v>
      </c>
      <c r="M3372" s="28" t="s">
        <v>413</v>
      </c>
      <c r="N3372" t="s">
        <v>313</v>
      </c>
    </row>
    <row r="3373" spans="1:14" hidden="1" x14ac:dyDescent="0.25">
      <c r="A3373" t="s">
        <v>10855</v>
      </c>
      <c r="B3373" t="s">
        <v>7451</v>
      </c>
      <c r="C3373" t="s">
        <v>1421</v>
      </c>
      <c r="D3373" t="s">
        <v>7452</v>
      </c>
      <c r="E3373" s="28" t="s">
        <v>890</v>
      </c>
      <c r="F3373" t="s">
        <v>13980</v>
      </c>
      <c r="G3373" t="s">
        <v>157</v>
      </c>
      <c r="M3373" s="28" t="s">
        <v>840</v>
      </c>
      <c r="N3373" t="s">
        <v>382</v>
      </c>
    </row>
    <row r="3374" spans="1:14" hidden="1" x14ac:dyDescent="0.25">
      <c r="A3374" t="s">
        <v>8400</v>
      </c>
      <c r="B3374" t="s">
        <v>2124</v>
      </c>
      <c r="C3374" t="s">
        <v>2125</v>
      </c>
      <c r="D3374" t="s">
        <v>2126</v>
      </c>
      <c r="E3374" s="28" t="s">
        <v>890</v>
      </c>
      <c r="F3374" t="s">
        <v>891</v>
      </c>
      <c r="G3374" t="s">
        <v>60</v>
      </c>
      <c r="M3374" s="28" t="s">
        <v>14207</v>
      </c>
    </row>
    <row r="3375" spans="1:14" hidden="1" x14ac:dyDescent="0.25">
      <c r="A3375" t="s">
        <v>13459</v>
      </c>
      <c r="B3375" t="s">
        <v>13460</v>
      </c>
      <c r="C3375" t="s">
        <v>13461</v>
      </c>
      <c r="D3375" t="s">
        <v>13462</v>
      </c>
      <c r="E3375" s="28" t="s">
        <v>896</v>
      </c>
      <c r="F3375" t="s">
        <v>786</v>
      </c>
      <c r="G3375" t="s">
        <v>110</v>
      </c>
      <c r="M3375" s="28" t="s">
        <v>13563</v>
      </c>
      <c r="N3375" t="s">
        <v>279</v>
      </c>
    </row>
    <row r="3376" spans="1:14" hidden="1" x14ac:dyDescent="0.25">
      <c r="A3376" t="s">
        <v>10856</v>
      </c>
      <c r="B3376" t="s">
        <v>7453</v>
      </c>
      <c r="C3376" t="s">
        <v>1519</v>
      </c>
      <c r="D3376" t="s">
        <v>7454</v>
      </c>
      <c r="E3376" s="28" t="s">
        <v>896</v>
      </c>
      <c r="F3376" t="s">
        <v>846</v>
      </c>
      <c r="G3376" t="s">
        <v>157</v>
      </c>
      <c r="M3376" s="28" t="s">
        <v>840</v>
      </c>
      <c r="N3376" t="s">
        <v>382</v>
      </c>
    </row>
    <row r="3377" spans="1:14" hidden="1" x14ac:dyDescent="0.25">
      <c r="A3377" t="s">
        <v>7953</v>
      </c>
      <c r="B3377" t="s">
        <v>934</v>
      </c>
      <c r="C3377" t="s">
        <v>935</v>
      </c>
      <c r="D3377" t="s">
        <v>936</v>
      </c>
      <c r="E3377" s="28" t="s">
        <v>896</v>
      </c>
      <c r="F3377" t="s">
        <v>897</v>
      </c>
      <c r="G3377" t="s">
        <v>28</v>
      </c>
      <c r="M3377" s="28" t="s">
        <v>14241</v>
      </c>
      <c r="N3377" t="s">
        <v>14206</v>
      </c>
    </row>
    <row r="3378" spans="1:14" hidden="1" x14ac:dyDescent="0.25">
      <c r="A3378" t="s">
        <v>7975</v>
      </c>
      <c r="B3378" t="s">
        <v>934</v>
      </c>
      <c r="C3378" t="s">
        <v>994</v>
      </c>
      <c r="D3378" t="s">
        <v>995</v>
      </c>
      <c r="E3378" s="28" t="s">
        <v>930</v>
      </c>
      <c r="F3378" t="s">
        <v>897</v>
      </c>
      <c r="G3378" t="s">
        <v>28</v>
      </c>
      <c r="M3378" s="28" t="s">
        <v>14241</v>
      </c>
      <c r="N3378" t="s">
        <v>14206</v>
      </c>
    </row>
    <row r="3379" spans="1:14" hidden="1" x14ac:dyDescent="0.25">
      <c r="A3379" t="s">
        <v>7976</v>
      </c>
      <c r="B3379" t="s">
        <v>934</v>
      </c>
      <c r="C3379" t="s">
        <v>996</v>
      </c>
      <c r="D3379" t="s">
        <v>997</v>
      </c>
      <c r="E3379" s="28" t="s">
        <v>890</v>
      </c>
      <c r="F3379" t="s">
        <v>897</v>
      </c>
      <c r="G3379" t="s">
        <v>28</v>
      </c>
      <c r="M3379" s="28" t="s">
        <v>14241</v>
      </c>
      <c r="N3379" t="s">
        <v>14206</v>
      </c>
    </row>
    <row r="3380" spans="1:14" hidden="1" x14ac:dyDescent="0.25">
      <c r="A3380" t="s">
        <v>8529</v>
      </c>
      <c r="B3380" t="s">
        <v>2436</v>
      </c>
      <c r="C3380" t="s">
        <v>1224</v>
      </c>
      <c r="D3380" t="s">
        <v>2437</v>
      </c>
      <c r="E3380" s="28" t="s">
        <v>890</v>
      </c>
      <c r="F3380" t="s">
        <v>13265</v>
      </c>
      <c r="G3380" t="s">
        <v>11</v>
      </c>
      <c r="M3380" s="28" t="s">
        <v>413</v>
      </c>
      <c r="N3380" t="s">
        <v>313</v>
      </c>
    </row>
    <row r="3381" spans="1:14" hidden="1" x14ac:dyDescent="0.25">
      <c r="A3381" t="s">
        <v>13011</v>
      </c>
      <c r="B3381" t="s">
        <v>4788</v>
      </c>
      <c r="C3381" t="s">
        <v>4557</v>
      </c>
      <c r="D3381" t="s">
        <v>13012</v>
      </c>
      <c r="E3381" s="28" t="s">
        <v>1177</v>
      </c>
      <c r="F3381" t="s">
        <v>662</v>
      </c>
      <c r="G3381" t="s">
        <v>15</v>
      </c>
      <c r="M3381" s="28" t="s">
        <v>613</v>
      </c>
      <c r="N3381" t="s">
        <v>313</v>
      </c>
    </row>
    <row r="3382" spans="1:14" hidden="1" x14ac:dyDescent="0.25">
      <c r="A3382" t="s">
        <v>9624</v>
      </c>
      <c r="B3382" t="s">
        <v>4788</v>
      </c>
      <c r="C3382" t="s">
        <v>4789</v>
      </c>
      <c r="D3382" t="s">
        <v>4790</v>
      </c>
      <c r="E3382" s="28" t="s">
        <v>896</v>
      </c>
      <c r="F3382" t="s">
        <v>662</v>
      </c>
      <c r="G3382" t="s">
        <v>15</v>
      </c>
      <c r="M3382" s="28" t="s">
        <v>613</v>
      </c>
      <c r="N3382" t="s">
        <v>313</v>
      </c>
    </row>
    <row r="3383" spans="1:14" hidden="1" x14ac:dyDescent="0.25">
      <c r="A3383" t="s">
        <v>13382</v>
      </c>
      <c r="B3383" t="s">
        <v>13383</v>
      </c>
      <c r="C3383" t="s">
        <v>4440</v>
      </c>
      <c r="D3383" t="s">
        <v>13384</v>
      </c>
      <c r="E3383" s="28" t="s">
        <v>890</v>
      </c>
      <c r="F3383" t="s">
        <v>4601</v>
      </c>
      <c r="G3383" t="s">
        <v>15</v>
      </c>
      <c r="M3383" s="28" t="s">
        <v>613</v>
      </c>
      <c r="N3383" t="s">
        <v>313</v>
      </c>
    </row>
    <row r="3384" spans="1:14" hidden="1" x14ac:dyDescent="0.25">
      <c r="A3384" t="s">
        <v>9333</v>
      </c>
      <c r="B3384" t="s">
        <v>4181</v>
      </c>
      <c r="C3384" t="s">
        <v>3285</v>
      </c>
      <c r="D3384" t="s">
        <v>4182</v>
      </c>
      <c r="E3384" s="28" t="s">
        <v>896</v>
      </c>
      <c r="F3384" t="s">
        <v>891</v>
      </c>
      <c r="G3384" t="s">
        <v>88</v>
      </c>
      <c r="M3384" s="28" t="s">
        <v>549</v>
      </c>
      <c r="N3384" t="s">
        <v>313</v>
      </c>
    </row>
    <row r="3385" spans="1:14" hidden="1" x14ac:dyDescent="0.25">
      <c r="A3385" t="s">
        <v>9623</v>
      </c>
      <c r="B3385" t="s">
        <v>4786</v>
      </c>
      <c r="C3385" t="s">
        <v>2582</v>
      </c>
      <c r="D3385" t="s">
        <v>4787</v>
      </c>
      <c r="E3385" s="28" t="s">
        <v>896</v>
      </c>
      <c r="F3385" t="s">
        <v>690</v>
      </c>
      <c r="G3385" t="s">
        <v>15</v>
      </c>
      <c r="M3385" s="28" t="s">
        <v>613</v>
      </c>
      <c r="N3385" t="s">
        <v>313</v>
      </c>
    </row>
    <row r="3386" spans="1:14" hidden="1" x14ac:dyDescent="0.25">
      <c r="A3386" t="s">
        <v>9622</v>
      </c>
      <c r="B3386" t="s">
        <v>4783</v>
      </c>
      <c r="C3386" t="s">
        <v>4784</v>
      </c>
      <c r="D3386" t="s">
        <v>4785</v>
      </c>
      <c r="E3386" s="28" t="s">
        <v>890</v>
      </c>
      <c r="F3386" t="s">
        <v>688</v>
      </c>
      <c r="G3386" t="s">
        <v>15</v>
      </c>
      <c r="M3386" s="28" t="s">
        <v>613</v>
      </c>
      <c r="N3386" t="s">
        <v>313</v>
      </c>
    </row>
    <row r="3387" spans="1:14" hidden="1" x14ac:dyDescent="0.25">
      <c r="A3387" t="s">
        <v>13395</v>
      </c>
      <c r="B3387" t="s">
        <v>13396</v>
      </c>
      <c r="C3387" t="s">
        <v>4676</v>
      </c>
      <c r="D3387" t="s">
        <v>13397</v>
      </c>
      <c r="E3387" s="28" t="s">
        <v>890</v>
      </c>
      <c r="F3387" t="s">
        <v>13217</v>
      </c>
      <c r="G3387" t="s">
        <v>15</v>
      </c>
      <c r="M3387" s="28" t="s">
        <v>613</v>
      </c>
      <c r="N3387" t="s">
        <v>313</v>
      </c>
    </row>
    <row r="3388" spans="1:14" hidden="1" x14ac:dyDescent="0.25">
      <c r="A3388" t="s">
        <v>10534</v>
      </c>
      <c r="B3388" t="s">
        <v>6728</v>
      </c>
      <c r="C3388" t="s">
        <v>2712</v>
      </c>
      <c r="D3388" t="s">
        <v>6730</v>
      </c>
      <c r="E3388" s="28" t="s">
        <v>890</v>
      </c>
      <c r="F3388" t="s">
        <v>891</v>
      </c>
      <c r="G3388" t="s">
        <v>137</v>
      </c>
      <c r="M3388" s="28" t="s">
        <v>805</v>
      </c>
      <c r="N3388" t="s">
        <v>313</v>
      </c>
    </row>
    <row r="3389" spans="1:14" hidden="1" x14ac:dyDescent="0.25">
      <c r="A3389" t="s">
        <v>10535</v>
      </c>
      <c r="B3389" t="s">
        <v>6728</v>
      </c>
      <c r="C3389" t="s">
        <v>6731</v>
      </c>
      <c r="D3389" t="s">
        <v>6732</v>
      </c>
      <c r="E3389" s="28" t="s">
        <v>896</v>
      </c>
      <c r="F3389" t="s">
        <v>12661</v>
      </c>
      <c r="G3389" t="s">
        <v>137</v>
      </c>
      <c r="M3389" s="28" t="s">
        <v>805</v>
      </c>
      <c r="N3389" t="s">
        <v>313</v>
      </c>
    </row>
    <row r="3390" spans="1:14" hidden="1" x14ac:dyDescent="0.25">
      <c r="A3390" t="s">
        <v>10537</v>
      </c>
      <c r="B3390" t="s">
        <v>6728</v>
      </c>
      <c r="C3390" t="s">
        <v>6677</v>
      </c>
      <c r="D3390" t="s">
        <v>6735</v>
      </c>
      <c r="E3390" s="28" t="s">
        <v>896</v>
      </c>
      <c r="F3390" t="s">
        <v>12661</v>
      </c>
      <c r="G3390" t="s">
        <v>137</v>
      </c>
      <c r="M3390" s="28" t="s">
        <v>805</v>
      </c>
      <c r="N3390" t="s">
        <v>313</v>
      </c>
    </row>
    <row r="3391" spans="1:14" hidden="1" x14ac:dyDescent="0.25">
      <c r="A3391" t="s">
        <v>10536</v>
      </c>
      <c r="B3391" t="s">
        <v>6728</v>
      </c>
      <c r="C3391" t="s">
        <v>6733</v>
      </c>
      <c r="D3391" t="s">
        <v>6734</v>
      </c>
      <c r="E3391" s="28" t="s">
        <v>890</v>
      </c>
      <c r="F3391" t="s">
        <v>891</v>
      </c>
      <c r="G3391" t="s">
        <v>137</v>
      </c>
      <c r="M3391" s="28" t="s">
        <v>805</v>
      </c>
      <c r="N3391" t="s">
        <v>313</v>
      </c>
    </row>
    <row r="3392" spans="1:14" hidden="1" x14ac:dyDescent="0.25">
      <c r="A3392" t="s">
        <v>10558</v>
      </c>
      <c r="B3392" t="s">
        <v>6728</v>
      </c>
      <c r="C3392" t="s">
        <v>6776</v>
      </c>
      <c r="D3392" t="s">
        <v>6777</v>
      </c>
      <c r="E3392" s="28" t="s">
        <v>930</v>
      </c>
      <c r="F3392" t="s">
        <v>6644</v>
      </c>
      <c r="G3392" t="s">
        <v>137</v>
      </c>
      <c r="M3392" s="28" t="s">
        <v>805</v>
      </c>
      <c r="N3392" t="s">
        <v>313</v>
      </c>
    </row>
    <row r="3393" spans="1:14" hidden="1" x14ac:dyDescent="0.25">
      <c r="A3393" t="s">
        <v>10550</v>
      </c>
      <c r="B3393" t="s">
        <v>6728</v>
      </c>
      <c r="C3393" t="s">
        <v>6671</v>
      </c>
      <c r="D3393" t="s">
        <v>6761</v>
      </c>
      <c r="E3393" s="28" t="s">
        <v>896</v>
      </c>
      <c r="F3393" t="s">
        <v>6644</v>
      </c>
      <c r="G3393" t="s">
        <v>137</v>
      </c>
      <c r="M3393" s="28" t="s">
        <v>805</v>
      </c>
      <c r="N3393" t="s">
        <v>313</v>
      </c>
    </row>
    <row r="3394" spans="1:14" hidden="1" x14ac:dyDescent="0.25">
      <c r="A3394" t="s">
        <v>10533</v>
      </c>
      <c r="B3394" t="s">
        <v>6728</v>
      </c>
      <c r="C3394" t="s">
        <v>1719</v>
      </c>
      <c r="D3394" t="s">
        <v>6729</v>
      </c>
      <c r="E3394" s="28" t="s">
        <v>896</v>
      </c>
      <c r="F3394" t="s">
        <v>253</v>
      </c>
      <c r="G3394" t="s">
        <v>137</v>
      </c>
      <c r="M3394" s="28" t="s">
        <v>805</v>
      </c>
      <c r="N3394" t="s">
        <v>313</v>
      </c>
    </row>
    <row r="3395" spans="1:14" hidden="1" x14ac:dyDescent="0.25">
      <c r="A3395" t="s">
        <v>9621</v>
      </c>
      <c r="B3395" t="s">
        <v>4780</v>
      </c>
      <c r="C3395" t="s">
        <v>4781</v>
      </c>
      <c r="D3395" t="s">
        <v>4782</v>
      </c>
      <c r="E3395" s="28" t="s">
        <v>890</v>
      </c>
      <c r="F3395" t="s">
        <v>654</v>
      </c>
      <c r="G3395" t="s">
        <v>15</v>
      </c>
      <c r="M3395" s="28" t="s">
        <v>613</v>
      </c>
      <c r="N3395" t="s">
        <v>313</v>
      </c>
    </row>
    <row r="3396" spans="1:14" hidden="1" x14ac:dyDescent="0.25">
      <c r="A3396" t="s">
        <v>9619</v>
      </c>
      <c r="B3396" t="s">
        <v>4776</v>
      </c>
      <c r="C3396" t="s">
        <v>4777</v>
      </c>
      <c r="D3396" t="s">
        <v>4778</v>
      </c>
      <c r="E3396" s="28" t="s">
        <v>896</v>
      </c>
      <c r="F3396" t="s">
        <v>241</v>
      </c>
      <c r="G3396" t="s">
        <v>15</v>
      </c>
      <c r="M3396" s="28" t="s">
        <v>613</v>
      </c>
      <c r="N3396" t="s">
        <v>313</v>
      </c>
    </row>
    <row r="3397" spans="1:14" hidden="1" x14ac:dyDescent="0.25">
      <c r="A3397" t="s">
        <v>9620</v>
      </c>
      <c r="B3397" t="s">
        <v>4776</v>
      </c>
      <c r="C3397" t="s">
        <v>4603</v>
      </c>
      <c r="D3397" t="s">
        <v>4779</v>
      </c>
      <c r="E3397" s="28" t="s">
        <v>896</v>
      </c>
      <c r="F3397" t="s">
        <v>4638</v>
      </c>
      <c r="G3397" t="s">
        <v>15</v>
      </c>
      <c r="M3397" s="28" t="s">
        <v>613</v>
      </c>
      <c r="N3397" t="s">
        <v>313</v>
      </c>
    </row>
    <row r="3398" spans="1:14" hidden="1" x14ac:dyDescent="0.25">
      <c r="A3398" t="s">
        <v>8230</v>
      </c>
      <c r="B3398" t="s">
        <v>1699</v>
      </c>
      <c r="C3398" t="s">
        <v>1700</v>
      </c>
      <c r="D3398" t="s">
        <v>1701</v>
      </c>
      <c r="E3398" s="28" t="s">
        <v>896</v>
      </c>
      <c r="F3398" t="s">
        <v>1678</v>
      </c>
      <c r="G3398" t="s">
        <v>43</v>
      </c>
      <c r="M3398" s="28" t="s">
        <v>14205</v>
      </c>
    </row>
    <row r="3399" spans="1:14" hidden="1" x14ac:dyDescent="0.25">
      <c r="A3399" t="s">
        <v>11638</v>
      </c>
      <c r="B3399" t="s">
        <v>11639</v>
      </c>
      <c r="C3399" t="s">
        <v>1981</v>
      </c>
      <c r="D3399" t="s">
        <v>11640</v>
      </c>
      <c r="E3399" s="28" t="s">
        <v>896</v>
      </c>
      <c r="F3399" t="s">
        <v>891</v>
      </c>
      <c r="G3399" t="s">
        <v>11</v>
      </c>
      <c r="M3399" s="28" t="s">
        <v>413</v>
      </c>
      <c r="N3399" t="s">
        <v>313</v>
      </c>
    </row>
    <row r="3400" spans="1:14" hidden="1" x14ac:dyDescent="0.25">
      <c r="A3400" t="s">
        <v>9618</v>
      </c>
      <c r="B3400" t="s">
        <v>4774</v>
      </c>
      <c r="C3400" t="s">
        <v>974</v>
      </c>
      <c r="D3400" t="s">
        <v>4775</v>
      </c>
      <c r="E3400" s="28" t="s">
        <v>896</v>
      </c>
      <c r="F3400" t="s">
        <v>4601</v>
      </c>
      <c r="G3400" t="s">
        <v>15</v>
      </c>
      <c r="M3400" s="28" t="s">
        <v>613</v>
      </c>
      <c r="N3400" t="s">
        <v>313</v>
      </c>
    </row>
    <row r="3401" spans="1:14" hidden="1" x14ac:dyDescent="0.25">
      <c r="A3401" t="s">
        <v>9617</v>
      </c>
      <c r="B3401" t="s">
        <v>4771</v>
      </c>
      <c r="C3401" t="s">
        <v>4772</v>
      </c>
      <c r="D3401" t="s">
        <v>4773</v>
      </c>
      <c r="E3401" s="28" t="s">
        <v>890</v>
      </c>
      <c r="F3401" t="s">
        <v>693</v>
      </c>
      <c r="G3401" t="s">
        <v>15</v>
      </c>
      <c r="M3401" s="28" t="s">
        <v>613</v>
      </c>
      <c r="N3401" t="s">
        <v>313</v>
      </c>
    </row>
    <row r="3402" spans="1:14" hidden="1" x14ac:dyDescent="0.25">
      <c r="A3402" t="s">
        <v>13981</v>
      </c>
      <c r="B3402" t="s">
        <v>12045</v>
      </c>
      <c r="C3402" t="s">
        <v>1088</v>
      </c>
      <c r="D3402" t="s">
        <v>13982</v>
      </c>
      <c r="E3402" s="28" t="s">
        <v>890</v>
      </c>
      <c r="F3402" t="s">
        <v>415</v>
      </c>
      <c r="G3402" t="s">
        <v>11</v>
      </c>
      <c r="M3402" s="28" t="s">
        <v>413</v>
      </c>
      <c r="N3402" t="s">
        <v>313</v>
      </c>
    </row>
    <row r="3403" spans="1:14" hidden="1" x14ac:dyDescent="0.25">
      <c r="A3403" t="s">
        <v>12044</v>
      </c>
      <c r="B3403" t="s">
        <v>12045</v>
      </c>
      <c r="C3403" t="s">
        <v>12046</v>
      </c>
      <c r="D3403" t="s">
        <v>12047</v>
      </c>
      <c r="E3403" s="28" t="s">
        <v>896</v>
      </c>
      <c r="F3403" t="s">
        <v>6895</v>
      </c>
      <c r="G3403" t="s">
        <v>6896</v>
      </c>
      <c r="M3403" s="28" t="s">
        <v>6897</v>
      </c>
      <c r="N3403" t="s">
        <v>279</v>
      </c>
    </row>
    <row r="3404" spans="1:14" hidden="1" x14ac:dyDescent="0.25">
      <c r="A3404" t="s">
        <v>12048</v>
      </c>
      <c r="B3404" t="s">
        <v>12045</v>
      </c>
      <c r="C3404" t="s">
        <v>12049</v>
      </c>
      <c r="D3404" t="s">
        <v>12050</v>
      </c>
      <c r="E3404" s="28" t="s">
        <v>930</v>
      </c>
      <c r="F3404" t="s">
        <v>12051</v>
      </c>
      <c r="G3404" t="s">
        <v>6896</v>
      </c>
      <c r="M3404" s="28" t="s">
        <v>6897</v>
      </c>
      <c r="N3404" t="s">
        <v>279</v>
      </c>
    </row>
    <row r="3405" spans="1:14" hidden="1" x14ac:dyDescent="0.25">
      <c r="A3405" t="s">
        <v>9334</v>
      </c>
      <c r="B3405" t="s">
        <v>4183</v>
      </c>
      <c r="C3405" t="s">
        <v>2095</v>
      </c>
      <c r="D3405" t="s">
        <v>4184</v>
      </c>
      <c r="E3405" s="28" t="s">
        <v>890</v>
      </c>
      <c r="F3405" t="s">
        <v>891</v>
      </c>
      <c r="G3405" t="s">
        <v>88</v>
      </c>
      <c r="M3405" s="28" t="s">
        <v>549</v>
      </c>
      <c r="N3405" t="s">
        <v>313</v>
      </c>
    </row>
    <row r="3406" spans="1:14" hidden="1" x14ac:dyDescent="0.25">
      <c r="A3406" t="s">
        <v>9335</v>
      </c>
      <c r="B3406" t="s">
        <v>4185</v>
      </c>
      <c r="C3406" t="s">
        <v>3654</v>
      </c>
      <c r="D3406" t="s">
        <v>4186</v>
      </c>
      <c r="E3406" s="28" t="s">
        <v>890</v>
      </c>
      <c r="F3406" t="s">
        <v>564</v>
      </c>
      <c r="G3406" t="s">
        <v>88</v>
      </c>
      <c r="M3406" s="28" t="s">
        <v>549</v>
      </c>
      <c r="N3406" t="s">
        <v>313</v>
      </c>
    </row>
    <row r="3407" spans="1:14" hidden="1" x14ac:dyDescent="0.25">
      <c r="A3407" t="s">
        <v>9336</v>
      </c>
      <c r="B3407" t="s">
        <v>4185</v>
      </c>
      <c r="C3407" t="s">
        <v>3083</v>
      </c>
      <c r="D3407" t="s">
        <v>4187</v>
      </c>
      <c r="E3407" s="28" t="s">
        <v>890</v>
      </c>
      <c r="F3407" t="s">
        <v>564</v>
      </c>
      <c r="G3407" t="s">
        <v>88</v>
      </c>
      <c r="M3407" s="28" t="s">
        <v>549</v>
      </c>
      <c r="N3407" t="s">
        <v>313</v>
      </c>
    </row>
    <row r="3408" spans="1:14" hidden="1" x14ac:dyDescent="0.25">
      <c r="A3408" t="s">
        <v>9337</v>
      </c>
      <c r="B3408" t="s">
        <v>4188</v>
      </c>
      <c r="C3408" t="s">
        <v>2155</v>
      </c>
      <c r="D3408" t="s">
        <v>4189</v>
      </c>
      <c r="E3408" s="28" t="s">
        <v>1023</v>
      </c>
      <c r="F3408" t="s">
        <v>891</v>
      </c>
      <c r="G3408" t="s">
        <v>88</v>
      </c>
      <c r="M3408" s="28" t="s">
        <v>549</v>
      </c>
      <c r="N3408" t="s">
        <v>313</v>
      </c>
    </row>
    <row r="3409" spans="1:14" hidden="1" x14ac:dyDescent="0.25">
      <c r="A3409" t="s">
        <v>9338</v>
      </c>
      <c r="B3409" t="s">
        <v>4188</v>
      </c>
      <c r="C3409" t="s">
        <v>3036</v>
      </c>
      <c r="D3409" t="s">
        <v>4190</v>
      </c>
      <c r="E3409" s="28" t="s">
        <v>890</v>
      </c>
      <c r="F3409" t="s">
        <v>550</v>
      </c>
      <c r="G3409" t="s">
        <v>88</v>
      </c>
      <c r="M3409" s="28" t="s">
        <v>549</v>
      </c>
      <c r="N3409" t="s">
        <v>313</v>
      </c>
    </row>
    <row r="3410" spans="1:14" hidden="1" x14ac:dyDescent="0.25">
      <c r="A3410" t="s">
        <v>9616</v>
      </c>
      <c r="B3410" t="s">
        <v>4768</v>
      </c>
      <c r="C3410" t="s">
        <v>4676</v>
      </c>
      <c r="D3410" t="s">
        <v>4770</v>
      </c>
      <c r="E3410" s="28" t="s">
        <v>890</v>
      </c>
      <c r="F3410" t="s">
        <v>14114</v>
      </c>
      <c r="G3410" t="s">
        <v>15</v>
      </c>
      <c r="M3410" s="28" t="s">
        <v>613</v>
      </c>
      <c r="N3410" t="s">
        <v>313</v>
      </c>
    </row>
    <row r="3411" spans="1:14" hidden="1" x14ac:dyDescent="0.25">
      <c r="A3411" t="s">
        <v>9615</v>
      </c>
      <c r="B3411" t="s">
        <v>4768</v>
      </c>
      <c r="C3411" t="s">
        <v>4606</v>
      </c>
      <c r="D3411" t="s">
        <v>4769</v>
      </c>
      <c r="E3411" s="28" t="s">
        <v>890</v>
      </c>
      <c r="F3411" t="s">
        <v>227</v>
      </c>
      <c r="G3411" t="s">
        <v>15</v>
      </c>
      <c r="M3411" s="28" t="s">
        <v>613</v>
      </c>
      <c r="N3411" t="s">
        <v>313</v>
      </c>
    </row>
    <row r="3412" spans="1:14" hidden="1" x14ac:dyDescent="0.25">
      <c r="A3412" t="s">
        <v>8015</v>
      </c>
      <c r="B3412" t="s">
        <v>1116</v>
      </c>
      <c r="C3412" t="s">
        <v>1117</v>
      </c>
      <c r="D3412" t="s">
        <v>1118</v>
      </c>
      <c r="E3412" s="28" t="s">
        <v>896</v>
      </c>
      <c r="F3412" t="s">
        <v>291</v>
      </c>
      <c r="G3412" t="s">
        <v>31</v>
      </c>
      <c r="M3412" s="28" t="s">
        <v>278</v>
      </c>
      <c r="N3412" t="s">
        <v>279</v>
      </c>
    </row>
    <row r="3413" spans="1:14" hidden="1" x14ac:dyDescent="0.25">
      <c r="A3413" t="s">
        <v>14693</v>
      </c>
      <c r="B3413" t="s">
        <v>14694</v>
      </c>
      <c r="C3413" t="s">
        <v>2619</v>
      </c>
      <c r="D3413" t="s">
        <v>14695</v>
      </c>
      <c r="E3413" s="28" t="s">
        <v>896</v>
      </c>
      <c r="F3413" t="s">
        <v>12865</v>
      </c>
      <c r="G3413" t="s">
        <v>15</v>
      </c>
      <c r="M3413" s="28" t="s">
        <v>613</v>
      </c>
      <c r="N3413" t="s">
        <v>313</v>
      </c>
    </row>
    <row r="3414" spans="1:14" hidden="1" x14ac:dyDescent="0.25">
      <c r="A3414" t="s">
        <v>11779</v>
      </c>
      <c r="B3414" t="s">
        <v>11780</v>
      </c>
      <c r="C3414" t="s">
        <v>1459</v>
      </c>
      <c r="D3414" t="s">
        <v>11781</v>
      </c>
      <c r="E3414" s="28" t="s">
        <v>896</v>
      </c>
      <c r="F3414" t="s">
        <v>891</v>
      </c>
      <c r="G3414" t="s">
        <v>81</v>
      </c>
      <c r="M3414" s="28" t="s">
        <v>530</v>
      </c>
      <c r="N3414" t="s">
        <v>313</v>
      </c>
    </row>
    <row r="3415" spans="1:14" hidden="1" x14ac:dyDescent="0.25">
      <c r="A3415" t="s">
        <v>9339</v>
      </c>
      <c r="B3415" t="s">
        <v>4191</v>
      </c>
      <c r="C3415" t="s">
        <v>1153</v>
      </c>
      <c r="D3415" t="s">
        <v>4192</v>
      </c>
      <c r="E3415" s="28" t="s">
        <v>890</v>
      </c>
      <c r="F3415" t="s">
        <v>891</v>
      </c>
      <c r="G3415" t="s">
        <v>88</v>
      </c>
      <c r="M3415" s="28" t="s">
        <v>549</v>
      </c>
      <c r="N3415" t="s">
        <v>313</v>
      </c>
    </row>
    <row r="3416" spans="1:14" hidden="1" x14ac:dyDescent="0.25">
      <c r="A3416" t="s">
        <v>9340</v>
      </c>
      <c r="B3416" t="s">
        <v>4193</v>
      </c>
      <c r="C3416" t="s">
        <v>3044</v>
      </c>
      <c r="D3416" t="s">
        <v>4194</v>
      </c>
      <c r="E3416" s="28" t="s">
        <v>896</v>
      </c>
      <c r="F3416" t="s">
        <v>891</v>
      </c>
      <c r="G3416" t="s">
        <v>88</v>
      </c>
      <c r="M3416" s="28" t="s">
        <v>549</v>
      </c>
      <c r="N3416" t="s">
        <v>313</v>
      </c>
    </row>
    <row r="3417" spans="1:14" hidden="1" x14ac:dyDescent="0.25">
      <c r="A3417" t="s">
        <v>8542</v>
      </c>
      <c r="B3417" t="s">
        <v>2467</v>
      </c>
      <c r="C3417" t="s">
        <v>2468</v>
      </c>
      <c r="D3417" t="s">
        <v>2469</v>
      </c>
      <c r="E3417" s="28" t="s">
        <v>896</v>
      </c>
      <c r="F3417" t="s">
        <v>479</v>
      </c>
      <c r="G3417" t="s">
        <v>11</v>
      </c>
      <c r="M3417" s="28" t="s">
        <v>413</v>
      </c>
      <c r="N3417" t="s">
        <v>313</v>
      </c>
    </row>
    <row r="3418" spans="1:14" hidden="1" x14ac:dyDescent="0.25">
      <c r="A3418" t="s">
        <v>8565</v>
      </c>
      <c r="B3418" t="s">
        <v>2467</v>
      </c>
      <c r="C3418" t="s">
        <v>2524</v>
      </c>
      <c r="D3418" t="s">
        <v>2525</v>
      </c>
      <c r="E3418" s="28" t="s">
        <v>1023</v>
      </c>
      <c r="F3418" t="s">
        <v>479</v>
      </c>
      <c r="G3418" t="s">
        <v>11</v>
      </c>
      <c r="M3418" s="28" t="s">
        <v>413</v>
      </c>
      <c r="N3418" t="s">
        <v>313</v>
      </c>
    </row>
    <row r="3419" spans="1:14" hidden="1" x14ac:dyDescent="0.25">
      <c r="A3419" t="s">
        <v>9341</v>
      </c>
      <c r="B3419" t="s">
        <v>4195</v>
      </c>
      <c r="C3419" t="s">
        <v>3044</v>
      </c>
      <c r="D3419" t="s">
        <v>4196</v>
      </c>
      <c r="E3419" s="28" t="s">
        <v>896</v>
      </c>
      <c r="F3419" t="s">
        <v>891</v>
      </c>
      <c r="G3419" t="s">
        <v>88</v>
      </c>
      <c r="M3419" s="28" t="s">
        <v>549</v>
      </c>
      <c r="N3419" t="s">
        <v>313</v>
      </c>
    </row>
    <row r="3420" spans="1:14" hidden="1" x14ac:dyDescent="0.25">
      <c r="A3420" t="s">
        <v>9342</v>
      </c>
      <c r="B3420" t="s">
        <v>4197</v>
      </c>
      <c r="C3420" t="s">
        <v>3034</v>
      </c>
      <c r="D3420" t="s">
        <v>4198</v>
      </c>
      <c r="E3420" s="28" t="s">
        <v>896</v>
      </c>
      <c r="F3420" t="s">
        <v>11562</v>
      </c>
      <c r="G3420" t="s">
        <v>88</v>
      </c>
      <c r="M3420" s="28" t="s">
        <v>549</v>
      </c>
      <c r="N3420" t="s">
        <v>313</v>
      </c>
    </row>
    <row r="3421" spans="1:14" hidden="1" x14ac:dyDescent="0.25">
      <c r="A3421" t="s">
        <v>9343</v>
      </c>
      <c r="B3421" t="s">
        <v>4197</v>
      </c>
      <c r="C3421" t="s">
        <v>3044</v>
      </c>
      <c r="D3421" t="s">
        <v>4199</v>
      </c>
      <c r="E3421" s="28" t="s">
        <v>896</v>
      </c>
      <c r="F3421" t="s">
        <v>891</v>
      </c>
      <c r="G3421" t="s">
        <v>88</v>
      </c>
      <c r="M3421" s="28" t="s">
        <v>549</v>
      </c>
      <c r="N3421" t="s">
        <v>313</v>
      </c>
    </row>
    <row r="3422" spans="1:14" hidden="1" x14ac:dyDescent="0.25">
      <c r="A3422" t="s">
        <v>9344</v>
      </c>
      <c r="B3422" t="s">
        <v>4200</v>
      </c>
      <c r="C3422" t="s">
        <v>3044</v>
      </c>
      <c r="D3422" t="s">
        <v>4201</v>
      </c>
      <c r="E3422" s="28" t="s">
        <v>890</v>
      </c>
      <c r="F3422" t="s">
        <v>566</v>
      </c>
      <c r="G3422" t="s">
        <v>88</v>
      </c>
      <c r="M3422" s="28" t="s">
        <v>549</v>
      </c>
      <c r="N3422" t="s">
        <v>313</v>
      </c>
    </row>
    <row r="3423" spans="1:14" hidden="1" x14ac:dyDescent="0.25">
      <c r="A3423" t="s">
        <v>9345</v>
      </c>
      <c r="B3423" t="s">
        <v>4202</v>
      </c>
      <c r="C3423" t="s">
        <v>3025</v>
      </c>
      <c r="D3423" t="s">
        <v>4203</v>
      </c>
      <c r="E3423" s="28" t="s">
        <v>1023</v>
      </c>
      <c r="F3423" t="s">
        <v>554</v>
      </c>
      <c r="G3423" t="s">
        <v>88</v>
      </c>
      <c r="M3423" s="28" t="s">
        <v>549</v>
      </c>
      <c r="N3423" t="s">
        <v>313</v>
      </c>
    </row>
    <row r="3424" spans="1:14" hidden="1" x14ac:dyDescent="0.25">
      <c r="A3424" t="s">
        <v>12541</v>
      </c>
      <c r="B3424" t="s">
        <v>12542</v>
      </c>
      <c r="C3424" t="s">
        <v>12543</v>
      </c>
      <c r="D3424" t="s">
        <v>12544</v>
      </c>
      <c r="E3424" s="28" t="s">
        <v>1023</v>
      </c>
      <c r="F3424" t="s">
        <v>554</v>
      </c>
      <c r="G3424" t="s">
        <v>88</v>
      </c>
      <c r="M3424" s="28" t="s">
        <v>549</v>
      </c>
      <c r="N3424" t="s">
        <v>313</v>
      </c>
    </row>
    <row r="3425" spans="1:14" hidden="1" x14ac:dyDescent="0.25">
      <c r="A3425" t="s">
        <v>9346</v>
      </c>
      <c r="B3425" t="s">
        <v>4204</v>
      </c>
      <c r="C3425" t="s">
        <v>3201</v>
      </c>
      <c r="D3425" t="s">
        <v>4205</v>
      </c>
      <c r="E3425" s="28" t="s">
        <v>896</v>
      </c>
      <c r="F3425" t="s">
        <v>556</v>
      </c>
      <c r="G3425" t="s">
        <v>88</v>
      </c>
      <c r="M3425" s="28" t="s">
        <v>549</v>
      </c>
      <c r="N3425" t="s">
        <v>313</v>
      </c>
    </row>
    <row r="3426" spans="1:14" hidden="1" x14ac:dyDescent="0.25">
      <c r="A3426" t="s">
        <v>13983</v>
      </c>
      <c r="B3426" t="s">
        <v>4204</v>
      </c>
      <c r="C3426" t="s">
        <v>3044</v>
      </c>
      <c r="D3426" t="s">
        <v>13984</v>
      </c>
      <c r="E3426" s="28" t="s">
        <v>1023</v>
      </c>
      <c r="F3426" t="s">
        <v>556</v>
      </c>
      <c r="G3426" t="s">
        <v>88</v>
      </c>
      <c r="M3426" s="28" t="s">
        <v>549</v>
      </c>
      <c r="N3426" t="s">
        <v>313</v>
      </c>
    </row>
    <row r="3427" spans="1:14" hidden="1" x14ac:dyDescent="0.25">
      <c r="A3427" t="s">
        <v>11246</v>
      </c>
      <c r="B3427" t="s">
        <v>11247</v>
      </c>
      <c r="C3427" t="s">
        <v>11248</v>
      </c>
      <c r="D3427" t="s">
        <v>11249</v>
      </c>
      <c r="E3427" s="28" t="s">
        <v>890</v>
      </c>
      <c r="F3427" t="s">
        <v>181</v>
      </c>
      <c r="G3427" t="s">
        <v>84</v>
      </c>
      <c r="M3427" s="28" t="s">
        <v>14223</v>
      </c>
      <c r="N3427" t="s">
        <v>313</v>
      </c>
    </row>
    <row r="3428" spans="1:14" hidden="1" x14ac:dyDescent="0.25">
      <c r="A3428" t="s">
        <v>8573</v>
      </c>
      <c r="B3428" t="s">
        <v>2545</v>
      </c>
      <c r="C3428" t="s">
        <v>1126</v>
      </c>
      <c r="D3428" t="s">
        <v>2546</v>
      </c>
      <c r="E3428" s="28" t="s">
        <v>890</v>
      </c>
      <c r="F3428" t="s">
        <v>473</v>
      </c>
      <c r="G3428" t="s">
        <v>11</v>
      </c>
      <c r="M3428" s="28" t="s">
        <v>413</v>
      </c>
      <c r="N3428" t="s">
        <v>313</v>
      </c>
    </row>
    <row r="3429" spans="1:14" hidden="1" x14ac:dyDescent="0.25">
      <c r="A3429" t="s">
        <v>9614</v>
      </c>
      <c r="B3429" t="s">
        <v>4766</v>
      </c>
      <c r="C3429" t="s">
        <v>909</v>
      </c>
      <c r="D3429" t="s">
        <v>4767</v>
      </c>
      <c r="E3429" s="28" t="s">
        <v>896</v>
      </c>
      <c r="F3429" t="s">
        <v>654</v>
      </c>
      <c r="G3429" t="s">
        <v>15</v>
      </c>
      <c r="M3429" s="28" t="s">
        <v>613</v>
      </c>
      <c r="N3429" t="s">
        <v>313</v>
      </c>
    </row>
    <row r="3430" spans="1:14" hidden="1" x14ac:dyDescent="0.25">
      <c r="A3430" t="s">
        <v>14400</v>
      </c>
      <c r="B3430" t="s">
        <v>14401</v>
      </c>
      <c r="C3430" t="s">
        <v>2522</v>
      </c>
      <c r="D3430" t="s">
        <v>14402</v>
      </c>
      <c r="E3430" s="28" t="s">
        <v>896</v>
      </c>
      <c r="F3430" t="s">
        <v>14210</v>
      </c>
      <c r="G3430" t="s">
        <v>11</v>
      </c>
      <c r="M3430" s="28" t="s">
        <v>413</v>
      </c>
      <c r="N3430" t="s">
        <v>313</v>
      </c>
    </row>
    <row r="3431" spans="1:14" hidden="1" x14ac:dyDescent="0.25">
      <c r="A3431" t="s">
        <v>11455</v>
      </c>
      <c r="B3431" t="s">
        <v>11456</v>
      </c>
      <c r="C3431" t="s">
        <v>11457</v>
      </c>
      <c r="D3431" t="s">
        <v>11458</v>
      </c>
      <c r="E3431" s="28" t="s">
        <v>896</v>
      </c>
      <c r="F3431" t="s">
        <v>6490</v>
      </c>
      <c r="G3431" t="s">
        <v>125</v>
      </c>
      <c r="M3431" s="28" t="s">
        <v>6491</v>
      </c>
      <c r="N3431" t="s">
        <v>313</v>
      </c>
    </row>
    <row r="3432" spans="1:14" hidden="1" x14ac:dyDescent="0.25">
      <c r="A3432" t="s">
        <v>10857</v>
      </c>
      <c r="B3432" t="s">
        <v>7455</v>
      </c>
      <c r="C3432" t="s">
        <v>2329</v>
      </c>
      <c r="D3432" t="s">
        <v>7456</v>
      </c>
      <c r="E3432" s="28" t="s">
        <v>896</v>
      </c>
      <c r="F3432" t="s">
        <v>843</v>
      </c>
      <c r="G3432" t="s">
        <v>157</v>
      </c>
      <c r="M3432" s="28" t="s">
        <v>840</v>
      </c>
      <c r="N3432" t="s">
        <v>382</v>
      </c>
    </row>
    <row r="3433" spans="1:14" hidden="1" x14ac:dyDescent="0.25">
      <c r="A3433" t="s">
        <v>11488</v>
      </c>
      <c r="B3433" t="s">
        <v>7455</v>
      </c>
      <c r="C3433" t="s">
        <v>1143</v>
      </c>
      <c r="D3433" t="s">
        <v>11489</v>
      </c>
      <c r="E3433" s="28" t="s">
        <v>890</v>
      </c>
      <c r="F3433" t="s">
        <v>831</v>
      </c>
      <c r="G3433" t="s">
        <v>145</v>
      </c>
      <c r="M3433" s="28" t="s">
        <v>13222</v>
      </c>
      <c r="N3433" t="s">
        <v>313</v>
      </c>
    </row>
    <row r="3434" spans="1:14" hidden="1" x14ac:dyDescent="0.25">
      <c r="A3434" t="s">
        <v>13985</v>
      </c>
      <c r="B3434" t="s">
        <v>7455</v>
      </c>
      <c r="C3434" t="s">
        <v>1174</v>
      </c>
      <c r="D3434" t="s">
        <v>13986</v>
      </c>
      <c r="E3434" s="28" t="s">
        <v>890</v>
      </c>
      <c r="F3434" t="s">
        <v>891</v>
      </c>
      <c r="G3434" t="s">
        <v>11</v>
      </c>
      <c r="M3434" s="28" t="s">
        <v>413</v>
      </c>
      <c r="N3434" t="s">
        <v>313</v>
      </c>
    </row>
    <row r="3435" spans="1:14" hidden="1" x14ac:dyDescent="0.25">
      <c r="A3435" t="s">
        <v>9347</v>
      </c>
      <c r="B3435" t="s">
        <v>4206</v>
      </c>
      <c r="C3435" t="s">
        <v>4207</v>
      </c>
      <c r="D3435" t="s">
        <v>4208</v>
      </c>
      <c r="E3435" s="28" t="s">
        <v>896</v>
      </c>
      <c r="F3435" t="s">
        <v>891</v>
      </c>
      <c r="G3435" t="s">
        <v>88</v>
      </c>
      <c r="M3435" s="28" t="s">
        <v>549</v>
      </c>
      <c r="N3435" t="s">
        <v>313</v>
      </c>
    </row>
    <row r="3436" spans="1:14" hidden="1" x14ac:dyDescent="0.25">
      <c r="A3436" t="s">
        <v>9348</v>
      </c>
      <c r="B3436" t="s">
        <v>4209</v>
      </c>
      <c r="C3436" t="s">
        <v>1184</v>
      </c>
      <c r="D3436" t="s">
        <v>4210</v>
      </c>
      <c r="E3436" s="28" t="s">
        <v>890</v>
      </c>
      <c r="F3436" t="s">
        <v>891</v>
      </c>
      <c r="G3436" t="s">
        <v>88</v>
      </c>
      <c r="M3436" s="28" t="s">
        <v>549</v>
      </c>
      <c r="N3436" t="s">
        <v>313</v>
      </c>
    </row>
    <row r="3437" spans="1:14" hidden="1" x14ac:dyDescent="0.25">
      <c r="A3437" t="s">
        <v>10568</v>
      </c>
      <c r="B3437" t="s">
        <v>6791</v>
      </c>
      <c r="C3437" t="s">
        <v>1639</v>
      </c>
      <c r="D3437" t="s">
        <v>6792</v>
      </c>
      <c r="E3437" s="28" t="s">
        <v>896</v>
      </c>
      <c r="F3437" t="s">
        <v>6644</v>
      </c>
      <c r="G3437" t="s">
        <v>137</v>
      </c>
      <c r="M3437" s="28" t="s">
        <v>805</v>
      </c>
      <c r="N3437" t="s">
        <v>313</v>
      </c>
    </row>
    <row r="3438" spans="1:14" hidden="1" x14ac:dyDescent="0.25">
      <c r="A3438" t="s">
        <v>9349</v>
      </c>
      <c r="B3438" t="s">
        <v>4211</v>
      </c>
      <c r="C3438" t="s">
        <v>3021</v>
      </c>
      <c r="D3438" t="s">
        <v>4212</v>
      </c>
      <c r="E3438" s="28" t="s">
        <v>896</v>
      </c>
      <c r="F3438" t="s">
        <v>547</v>
      </c>
      <c r="G3438" t="s">
        <v>88</v>
      </c>
      <c r="M3438" s="28" t="s">
        <v>549</v>
      </c>
      <c r="N3438" t="s">
        <v>313</v>
      </c>
    </row>
    <row r="3439" spans="1:14" hidden="1" x14ac:dyDescent="0.25">
      <c r="A3439" t="s">
        <v>8392</v>
      </c>
      <c r="B3439" t="s">
        <v>2102</v>
      </c>
      <c r="C3439" t="s">
        <v>1103</v>
      </c>
      <c r="D3439" t="s">
        <v>2103</v>
      </c>
      <c r="E3439" s="28" t="s">
        <v>890</v>
      </c>
      <c r="F3439" t="s">
        <v>398</v>
      </c>
      <c r="G3439" t="s">
        <v>60</v>
      </c>
      <c r="M3439" s="28" t="s">
        <v>14207</v>
      </c>
    </row>
    <row r="3440" spans="1:14" hidden="1" x14ac:dyDescent="0.25">
      <c r="A3440" t="s">
        <v>10674</v>
      </c>
      <c r="B3440" t="s">
        <v>6917</v>
      </c>
      <c r="C3440" t="s">
        <v>1309</v>
      </c>
      <c r="D3440" t="s">
        <v>7028</v>
      </c>
      <c r="E3440" s="28" t="s">
        <v>890</v>
      </c>
      <c r="F3440" t="s">
        <v>6895</v>
      </c>
      <c r="G3440" t="s">
        <v>6896</v>
      </c>
      <c r="M3440" s="28" t="s">
        <v>6897</v>
      </c>
      <c r="N3440" t="s">
        <v>279</v>
      </c>
    </row>
    <row r="3441" spans="1:14" hidden="1" x14ac:dyDescent="0.25">
      <c r="A3441" t="s">
        <v>10673</v>
      </c>
      <c r="B3441" t="s">
        <v>6917</v>
      </c>
      <c r="C3441" t="s">
        <v>950</v>
      </c>
      <c r="D3441" t="s">
        <v>7027</v>
      </c>
      <c r="E3441" s="28" t="s">
        <v>896</v>
      </c>
      <c r="F3441" t="s">
        <v>6895</v>
      </c>
      <c r="G3441" t="s">
        <v>6896</v>
      </c>
      <c r="M3441" s="28" t="s">
        <v>6897</v>
      </c>
      <c r="N3441" t="s">
        <v>279</v>
      </c>
    </row>
    <row r="3442" spans="1:14" hidden="1" x14ac:dyDescent="0.25">
      <c r="A3442" t="s">
        <v>10631</v>
      </c>
      <c r="B3442" t="s">
        <v>6917</v>
      </c>
      <c r="C3442" t="s">
        <v>6918</v>
      </c>
      <c r="D3442" t="s">
        <v>6919</v>
      </c>
      <c r="E3442" s="28" t="s">
        <v>890</v>
      </c>
      <c r="F3442" t="s">
        <v>6901</v>
      </c>
      <c r="G3442" t="s">
        <v>6896</v>
      </c>
      <c r="M3442" s="28" t="s">
        <v>6897</v>
      </c>
      <c r="N3442" t="s">
        <v>279</v>
      </c>
    </row>
    <row r="3443" spans="1:14" hidden="1" x14ac:dyDescent="0.25">
      <c r="A3443" t="s">
        <v>13013</v>
      </c>
      <c r="B3443" t="s">
        <v>13014</v>
      </c>
      <c r="C3443" t="s">
        <v>4536</v>
      </c>
      <c r="D3443" t="s">
        <v>13015</v>
      </c>
      <c r="E3443" s="28" t="s">
        <v>890</v>
      </c>
      <c r="F3443" t="s">
        <v>4586</v>
      </c>
      <c r="G3443" t="s">
        <v>15</v>
      </c>
      <c r="M3443" s="28" t="s">
        <v>613</v>
      </c>
      <c r="N3443" t="s">
        <v>313</v>
      </c>
    </row>
    <row r="3444" spans="1:14" hidden="1" x14ac:dyDescent="0.25">
      <c r="A3444" t="s">
        <v>9613</v>
      </c>
      <c r="B3444" t="s">
        <v>4763</v>
      </c>
      <c r="C3444" t="s">
        <v>4764</v>
      </c>
      <c r="D3444" t="s">
        <v>4765</v>
      </c>
      <c r="E3444" s="28" t="s">
        <v>896</v>
      </c>
      <c r="F3444" t="s">
        <v>690</v>
      </c>
      <c r="G3444" t="s">
        <v>15</v>
      </c>
      <c r="M3444" s="28" t="s">
        <v>613</v>
      </c>
      <c r="N3444" t="s">
        <v>313</v>
      </c>
    </row>
    <row r="3445" spans="1:14" hidden="1" x14ac:dyDescent="0.25">
      <c r="A3445" t="s">
        <v>9612</v>
      </c>
      <c r="B3445" t="s">
        <v>4761</v>
      </c>
      <c r="C3445" t="s">
        <v>974</v>
      </c>
      <c r="D3445" t="s">
        <v>4762</v>
      </c>
      <c r="E3445" s="28" t="s">
        <v>896</v>
      </c>
      <c r="F3445" t="s">
        <v>617</v>
      </c>
      <c r="G3445" t="s">
        <v>15</v>
      </c>
      <c r="M3445" s="28" t="s">
        <v>613</v>
      </c>
      <c r="N3445" t="s">
        <v>313</v>
      </c>
    </row>
    <row r="3446" spans="1:14" hidden="1" x14ac:dyDescent="0.25">
      <c r="A3446" t="s">
        <v>8132</v>
      </c>
      <c r="B3446" t="s">
        <v>1449</v>
      </c>
      <c r="C3446" t="s">
        <v>1450</v>
      </c>
      <c r="D3446" t="s">
        <v>1451</v>
      </c>
      <c r="E3446" s="28" t="s">
        <v>890</v>
      </c>
      <c r="F3446" t="s">
        <v>326</v>
      </c>
      <c r="G3446" t="s">
        <v>38</v>
      </c>
      <c r="M3446" s="28"/>
    </row>
    <row r="3447" spans="1:14" hidden="1" x14ac:dyDescent="0.25">
      <c r="A3447" t="s">
        <v>10392</v>
      </c>
      <c r="B3447" t="s">
        <v>6352</v>
      </c>
      <c r="C3447" t="s">
        <v>6353</v>
      </c>
      <c r="D3447" t="s">
        <v>6354</v>
      </c>
      <c r="E3447" s="28" t="s">
        <v>890</v>
      </c>
      <c r="F3447" t="s">
        <v>11563</v>
      </c>
      <c r="G3447" t="s">
        <v>110</v>
      </c>
      <c r="M3447" s="28" t="s">
        <v>13563</v>
      </c>
      <c r="N3447" t="s">
        <v>279</v>
      </c>
    </row>
    <row r="3448" spans="1:14" hidden="1" x14ac:dyDescent="0.25">
      <c r="A3448" t="s">
        <v>9611</v>
      </c>
      <c r="B3448" t="s">
        <v>4759</v>
      </c>
      <c r="C3448" t="s">
        <v>4549</v>
      </c>
      <c r="D3448" t="s">
        <v>4760</v>
      </c>
      <c r="E3448" s="28" t="s">
        <v>896</v>
      </c>
      <c r="F3448" t="s">
        <v>708</v>
      </c>
      <c r="G3448" t="s">
        <v>15</v>
      </c>
      <c r="M3448" s="28" t="s">
        <v>613</v>
      </c>
      <c r="N3448" t="s">
        <v>313</v>
      </c>
    </row>
    <row r="3449" spans="1:14" hidden="1" x14ac:dyDescent="0.25">
      <c r="A3449" t="s">
        <v>8673</v>
      </c>
      <c r="B3449" t="s">
        <v>2681</v>
      </c>
      <c r="C3449" t="s">
        <v>2794</v>
      </c>
      <c r="D3449" t="s">
        <v>2795</v>
      </c>
      <c r="E3449" s="28" t="s">
        <v>890</v>
      </c>
      <c r="F3449" t="s">
        <v>165</v>
      </c>
      <c r="G3449" t="s">
        <v>74</v>
      </c>
      <c r="M3449" s="28" t="s">
        <v>507</v>
      </c>
      <c r="N3449" t="s">
        <v>313</v>
      </c>
    </row>
    <row r="3450" spans="1:14" x14ac:dyDescent="0.25">
      <c r="A3450" t="s">
        <v>8630</v>
      </c>
      <c r="B3450" t="s">
        <v>2681</v>
      </c>
      <c r="C3450" t="s">
        <v>2682</v>
      </c>
      <c r="D3450" t="s">
        <v>2683</v>
      </c>
      <c r="E3450" s="28" t="s">
        <v>896</v>
      </c>
      <c r="F3450" t="s">
        <v>11495</v>
      </c>
      <c r="G3450" t="s">
        <v>74</v>
      </c>
      <c r="M3450" s="28" t="s">
        <v>507</v>
      </c>
      <c r="N3450" t="s">
        <v>313</v>
      </c>
    </row>
    <row r="3451" spans="1:14" hidden="1" x14ac:dyDescent="0.25">
      <c r="A3451" t="s">
        <v>7961</v>
      </c>
      <c r="B3451" t="s">
        <v>958</v>
      </c>
      <c r="C3451" t="s">
        <v>938</v>
      </c>
      <c r="D3451" t="s">
        <v>959</v>
      </c>
      <c r="E3451" s="28" t="s">
        <v>890</v>
      </c>
      <c r="F3451" t="s">
        <v>32</v>
      </c>
      <c r="G3451" t="s">
        <v>28</v>
      </c>
      <c r="M3451" s="28" t="s">
        <v>14241</v>
      </c>
      <c r="N3451" t="s">
        <v>14206</v>
      </c>
    </row>
    <row r="3452" spans="1:14" hidden="1" x14ac:dyDescent="0.25">
      <c r="A3452" t="s">
        <v>9609</v>
      </c>
      <c r="B3452" t="s">
        <v>4755</v>
      </c>
      <c r="C3452" t="s">
        <v>906</v>
      </c>
      <c r="D3452" t="s">
        <v>4756</v>
      </c>
      <c r="E3452" s="28" t="s">
        <v>896</v>
      </c>
      <c r="F3452" t="s">
        <v>201</v>
      </c>
      <c r="G3452" t="s">
        <v>15</v>
      </c>
      <c r="M3452" s="28" t="s">
        <v>613</v>
      </c>
      <c r="N3452" t="s">
        <v>313</v>
      </c>
    </row>
    <row r="3453" spans="1:14" hidden="1" x14ac:dyDescent="0.25">
      <c r="A3453" t="s">
        <v>9610</v>
      </c>
      <c r="B3453" t="s">
        <v>4755</v>
      </c>
      <c r="C3453" t="s">
        <v>4757</v>
      </c>
      <c r="D3453" t="s">
        <v>4758</v>
      </c>
      <c r="E3453" s="28" t="s">
        <v>890</v>
      </c>
      <c r="F3453" t="s">
        <v>201</v>
      </c>
      <c r="G3453" t="s">
        <v>15</v>
      </c>
      <c r="M3453" s="28" t="s">
        <v>613</v>
      </c>
      <c r="N3453" t="s">
        <v>313</v>
      </c>
    </row>
    <row r="3454" spans="1:14" hidden="1" x14ac:dyDescent="0.25">
      <c r="A3454" t="s">
        <v>14696</v>
      </c>
      <c r="B3454" t="s">
        <v>14697</v>
      </c>
      <c r="C3454" t="s">
        <v>894</v>
      </c>
      <c r="D3454" t="s">
        <v>14698</v>
      </c>
      <c r="E3454" s="28" t="s">
        <v>896</v>
      </c>
      <c r="F3454" t="s">
        <v>737</v>
      </c>
      <c r="G3454" t="s">
        <v>15</v>
      </c>
      <c r="M3454" s="28" t="s">
        <v>613</v>
      </c>
      <c r="N3454" t="s">
        <v>313</v>
      </c>
    </row>
    <row r="3455" spans="1:14" hidden="1" x14ac:dyDescent="0.25">
      <c r="A3455" t="s">
        <v>11430</v>
      </c>
      <c r="B3455" t="s">
        <v>11431</v>
      </c>
      <c r="C3455" t="s">
        <v>11432</v>
      </c>
      <c r="D3455" t="s">
        <v>11433</v>
      </c>
      <c r="E3455" s="28" t="s">
        <v>890</v>
      </c>
      <c r="F3455" t="s">
        <v>2957</v>
      </c>
      <c r="G3455" t="s">
        <v>84</v>
      </c>
      <c r="M3455" s="28" t="s">
        <v>14223</v>
      </c>
      <c r="N3455" t="s">
        <v>313</v>
      </c>
    </row>
    <row r="3456" spans="1:14" hidden="1" x14ac:dyDescent="0.25">
      <c r="A3456" t="s">
        <v>7966</v>
      </c>
      <c r="B3456" t="s">
        <v>971</v>
      </c>
      <c r="C3456" t="s">
        <v>972</v>
      </c>
      <c r="D3456" t="s">
        <v>973</v>
      </c>
      <c r="E3456" s="28" t="s">
        <v>890</v>
      </c>
      <c r="F3456" t="s">
        <v>966</v>
      </c>
      <c r="G3456" t="s">
        <v>28</v>
      </c>
      <c r="M3456" s="28" t="s">
        <v>14241</v>
      </c>
      <c r="N3456" t="s">
        <v>14206</v>
      </c>
    </row>
    <row r="3457" spans="1:14" hidden="1" x14ac:dyDescent="0.25">
      <c r="A3457" t="s">
        <v>8478</v>
      </c>
      <c r="B3457" t="s">
        <v>2308</v>
      </c>
      <c r="C3457" t="s">
        <v>2309</v>
      </c>
      <c r="D3457" t="s">
        <v>2310</v>
      </c>
      <c r="E3457" s="28" t="s">
        <v>890</v>
      </c>
      <c r="F3457" t="s">
        <v>408</v>
      </c>
      <c r="G3457" t="s">
        <v>65</v>
      </c>
      <c r="M3457" s="28" t="s">
        <v>14209</v>
      </c>
    </row>
    <row r="3458" spans="1:14" hidden="1" x14ac:dyDescent="0.25">
      <c r="A3458" t="s">
        <v>8722</v>
      </c>
      <c r="B3458" t="s">
        <v>2890</v>
      </c>
      <c r="C3458" t="s">
        <v>1088</v>
      </c>
      <c r="D3458" t="s">
        <v>2907</v>
      </c>
      <c r="E3458" s="28" t="s">
        <v>1023</v>
      </c>
      <c r="F3458" t="s">
        <v>328</v>
      </c>
      <c r="G3458" t="s">
        <v>81</v>
      </c>
      <c r="M3458" s="28" t="s">
        <v>530</v>
      </c>
      <c r="N3458" t="s">
        <v>313</v>
      </c>
    </row>
    <row r="3459" spans="1:14" hidden="1" x14ac:dyDescent="0.25">
      <c r="A3459" t="s">
        <v>8714</v>
      </c>
      <c r="B3459" t="s">
        <v>2890</v>
      </c>
      <c r="C3459" t="s">
        <v>2891</v>
      </c>
      <c r="D3459" t="s">
        <v>2892</v>
      </c>
      <c r="E3459" s="28" t="s">
        <v>890</v>
      </c>
      <c r="F3459" t="s">
        <v>328</v>
      </c>
      <c r="G3459" t="s">
        <v>81</v>
      </c>
      <c r="M3459" s="28" t="s">
        <v>530</v>
      </c>
      <c r="N3459" t="s">
        <v>313</v>
      </c>
    </row>
    <row r="3460" spans="1:14" hidden="1" x14ac:dyDescent="0.25">
      <c r="A3460" t="s">
        <v>8737</v>
      </c>
      <c r="B3460" t="s">
        <v>2941</v>
      </c>
      <c r="C3460" t="s">
        <v>1444</v>
      </c>
      <c r="D3460" t="s">
        <v>2942</v>
      </c>
      <c r="E3460" s="28" t="s">
        <v>890</v>
      </c>
      <c r="F3460" t="s">
        <v>334</v>
      </c>
      <c r="G3460" t="s">
        <v>81</v>
      </c>
      <c r="M3460" s="28" t="s">
        <v>530</v>
      </c>
      <c r="N3460" t="s">
        <v>313</v>
      </c>
    </row>
    <row r="3461" spans="1:14" hidden="1" x14ac:dyDescent="0.25">
      <c r="A3461" t="s">
        <v>9608</v>
      </c>
      <c r="B3461" t="s">
        <v>4752</v>
      </c>
      <c r="C3461" t="s">
        <v>4753</v>
      </c>
      <c r="D3461" t="s">
        <v>4754</v>
      </c>
      <c r="E3461" s="28" t="s">
        <v>896</v>
      </c>
      <c r="F3461" t="s">
        <v>708</v>
      </c>
      <c r="G3461" t="s">
        <v>15</v>
      </c>
      <c r="M3461" s="28" t="s">
        <v>613</v>
      </c>
      <c r="N3461" t="s">
        <v>313</v>
      </c>
    </row>
    <row r="3462" spans="1:14" hidden="1" x14ac:dyDescent="0.25">
      <c r="A3462" t="s">
        <v>9607</v>
      </c>
      <c r="B3462" t="s">
        <v>4750</v>
      </c>
      <c r="C3462" t="s">
        <v>2515</v>
      </c>
      <c r="D3462" t="s">
        <v>4751</v>
      </c>
      <c r="E3462" s="28" t="s">
        <v>896</v>
      </c>
      <c r="F3462" t="s">
        <v>690</v>
      </c>
      <c r="G3462" t="s">
        <v>15</v>
      </c>
      <c r="M3462" s="28" t="s">
        <v>613</v>
      </c>
      <c r="N3462" t="s">
        <v>313</v>
      </c>
    </row>
    <row r="3463" spans="1:14" hidden="1" x14ac:dyDescent="0.25">
      <c r="A3463" t="s">
        <v>8327</v>
      </c>
      <c r="B3463" t="s">
        <v>1946</v>
      </c>
      <c r="C3463" t="s">
        <v>1424</v>
      </c>
      <c r="D3463" t="s">
        <v>1947</v>
      </c>
      <c r="E3463" s="28" t="s">
        <v>890</v>
      </c>
      <c r="F3463" t="s">
        <v>891</v>
      </c>
      <c r="G3463" t="s">
        <v>43</v>
      </c>
      <c r="M3463" s="28" t="s">
        <v>14205</v>
      </c>
    </row>
    <row r="3464" spans="1:14" hidden="1" x14ac:dyDescent="0.25">
      <c r="A3464" t="s">
        <v>9350</v>
      </c>
      <c r="B3464" t="s">
        <v>4213</v>
      </c>
      <c r="C3464" t="s">
        <v>3031</v>
      </c>
      <c r="D3464" t="s">
        <v>4214</v>
      </c>
      <c r="E3464" s="28" t="s">
        <v>930</v>
      </c>
      <c r="F3464" t="s">
        <v>562</v>
      </c>
      <c r="G3464" t="s">
        <v>88</v>
      </c>
      <c r="M3464" s="28" t="s">
        <v>549</v>
      </c>
      <c r="N3464" t="s">
        <v>313</v>
      </c>
    </row>
    <row r="3465" spans="1:14" hidden="1" x14ac:dyDescent="0.25">
      <c r="A3465" t="s">
        <v>9351</v>
      </c>
      <c r="B3465" t="s">
        <v>4213</v>
      </c>
      <c r="C3465" t="s">
        <v>3201</v>
      </c>
      <c r="D3465" t="s">
        <v>4215</v>
      </c>
      <c r="E3465" s="28" t="s">
        <v>890</v>
      </c>
      <c r="F3465" t="s">
        <v>562</v>
      </c>
      <c r="G3465" t="s">
        <v>88</v>
      </c>
      <c r="M3465" s="28" t="s">
        <v>549</v>
      </c>
      <c r="N3465" t="s">
        <v>313</v>
      </c>
    </row>
    <row r="3466" spans="1:14" hidden="1" x14ac:dyDescent="0.25">
      <c r="A3466" t="s">
        <v>9352</v>
      </c>
      <c r="B3466" t="s">
        <v>4213</v>
      </c>
      <c r="C3466" t="s">
        <v>3025</v>
      </c>
      <c r="D3466" t="s">
        <v>4216</v>
      </c>
      <c r="E3466" s="28" t="s">
        <v>890</v>
      </c>
      <c r="F3466" t="s">
        <v>891</v>
      </c>
      <c r="G3466" t="s">
        <v>88</v>
      </c>
      <c r="M3466" s="28" t="s">
        <v>549</v>
      </c>
      <c r="N3466" t="s">
        <v>313</v>
      </c>
    </row>
    <row r="3467" spans="1:14" hidden="1" x14ac:dyDescent="0.25">
      <c r="A3467" t="s">
        <v>13987</v>
      </c>
      <c r="B3467" t="s">
        <v>13988</v>
      </c>
      <c r="C3467" t="s">
        <v>4808</v>
      </c>
      <c r="D3467" t="s">
        <v>13989</v>
      </c>
      <c r="E3467" s="28" t="s">
        <v>1177</v>
      </c>
      <c r="F3467" t="s">
        <v>746</v>
      </c>
      <c r="G3467" t="s">
        <v>15</v>
      </c>
      <c r="M3467" s="28" t="s">
        <v>613</v>
      </c>
      <c r="N3467" t="s">
        <v>313</v>
      </c>
    </row>
    <row r="3468" spans="1:14" hidden="1" x14ac:dyDescent="0.25">
      <c r="A3468" t="s">
        <v>9353</v>
      </c>
      <c r="B3468" t="s">
        <v>4217</v>
      </c>
      <c r="C3468" t="s">
        <v>3021</v>
      </c>
      <c r="D3468" t="s">
        <v>4218</v>
      </c>
      <c r="E3468" s="28" t="s">
        <v>930</v>
      </c>
      <c r="F3468" t="s">
        <v>566</v>
      </c>
      <c r="G3468" t="s">
        <v>88</v>
      </c>
      <c r="M3468" s="28" t="s">
        <v>549</v>
      </c>
      <c r="N3468" t="s">
        <v>313</v>
      </c>
    </row>
    <row r="3469" spans="1:14" hidden="1" x14ac:dyDescent="0.25">
      <c r="A3469" t="s">
        <v>9354</v>
      </c>
      <c r="B3469" t="s">
        <v>4217</v>
      </c>
      <c r="C3469" t="s">
        <v>4219</v>
      </c>
      <c r="D3469" t="s">
        <v>4220</v>
      </c>
      <c r="E3469" s="28" t="s">
        <v>890</v>
      </c>
      <c r="F3469" t="s">
        <v>566</v>
      </c>
      <c r="G3469" t="s">
        <v>88</v>
      </c>
      <c r="M3469" s="28" t="s">
        <v>549</v>
      </c>
      <c r="N3469" t="s">
        <v>313</v>
      </c>
    </row>
    <row r="3470" spans="1:14" hidden="1" x14ac:dyDescent="0.25">
      <c r="A3470" t="s">
        <v>10538</v>
      </c>
      <c r="B3470" t="s">
        <v>6736</v>
      </c>
      <c r="C3470" t="s">
        <v>6737</v>
      </c>
      <c r="D3470" t="s">
        <v>6738</v>
      </c>
      <c r="E3470" s="28" t="s">
        <v>890</v>
      </c>
      <c r="F3470" t="s">
        <v>6644</v>
      </c>
      <c r="G3470" t="s">
        <v>137</v>
      </c>
      <c r="M3470" s="28" t="s">
        <v>805</v>
      </c>
      <c r="N3470" t="s">
        <v>313</v>
      </c>
    </row>
    <row r="3471" spans="1:14" hidden="1" x14ac:dyDescent="0.25">
      <c r="A3471" t="s">
        <v>9606</v>
      </c>
      <c r="B3471" t="s">
        <v>4747</v>
      </c>
      <c r="C3471" t="s">
        <v>4748</v>
      </c>
      <c r="D3471" t="s">
        <v>4749</v>
      </c>
      <c r="E3471" s="28" t="s">
        <v>896</v>
      </c>
      <c r="F3471" t="s">
        <v>4610</v>
      </c>
      <c r="G3471" t="s">
        <v>15</v>
      </c>
      <c r="M3471" s="28" t="s">
        <v>613</v>
      </c>
      <c r="N3471" t="s">
        <v>313</v>
      </c>
    </row>
    <row r="3472" spans="1:14" hidden="1" x14ac:dyDescent="0.25">
      <c r="A3472" t="s">
        <v>13385</v>
      </c>
      <c r="B3472" t="s">
        <v>13386</v>
      </c>
      <c r="C3472" t="s">
        <v>13387</v>
      </c>
      <c r="D3472" t="s">
        <v>13388</v>
      </c>
      <c r="E3472" s="28" t="s">
        <v>890</v>
      </c>
      <c r="F3472" t="s">
        <v>243</v>
      </c>
      <c r="G3472" t="s">
        <v>15</v>
      </c>
      <c r="M3472" s="28" t="s">
        <v>613</v>
      </c>
      <c r="N3472" t="s">
        <v>313</v>
      </c>
    </row>
    <row r="3473" spans="1:14" hidden="1" x14ac:dyDescent="0.25">
      <c r="A3473" t="s">
        <v>8479</v>
      </c>
      <c r="B3473" t="s">
        <v>2311</v>
      </c>
      <c r="C3473" t="s">
        <v>2312</v>
      </c>
      <c r="D3473" t="s">
        <v>2313</v>
      </c>
      <c r="E3473" s="28" t="s">
        <v>890</v>
      </c>
      <c r="F3473" t="s">
        <v>408</v>
      </c>
      <c r="G3473" t="s">
        <v>65</v>
      </c>
      <c r="M3473" s="28" t="s">
        <v>14209</v>
      </c>
    </row>
    <row r="3474" spans="1:14" hidden="1" x14ac:dyDescent="0.25">
      <c r="A3474" t="s">
        <v>9355</v>
      </c>
      <c r="B3474" t="s">
        <v>4221</v>
      </c>
      <c r="C3474" t="s">
        <v>2108</v>
      </c>
      <c r="D3474" t="s">
        <v>4222</v>
      </c>
      <c r="E3474" s="28" t="s">
        <v>890</v>
      </c>
      <c r="F3474" t="s">
        <v>579</v>
      </c>
      <c r="G3474" t="s">
        <v>88</v>
      </c>
      <c r="M3474" s="28" t="s">
        <v>549</v>
      </c>
      <c r="N3474" t="s">
        <v>313</v>
      </c>
    </row>
    <row r="3475" spans="1:14" hidden="1" x14ac:dyDescent="0.25">
      <c r="A3475" t="s">
        <v>8295</v>
      </c>
      <c r="B3475" t="s">
        <v>1858</v>
      </c>
      <c r="C3475" t="s">
        <v>1084</v>
      </c>
      <c r="D3475" t="s">
        <v>1859</v>
      </c>
      <c r="E3475" s="28" t="s">
        <v>896</v>
      </c>
      <c r="F3475" t="s">
        <v>349</v>
      </c>
      <c r="G3475" t="s">
        <v>43</v>
      </c>
      <c r="M3475" s="28" t="s">
        <v>14205</v>
      </c>
    </row>
    <row r="3476" spans="1:14" hidden="1" x14ac:dyDescent="0.25">
      <c r="A3476" t="s">
        <v>13321</v>
      </c>
      <c r="B3476" t="s">
        <v>13322</v>
      </c>
      <c r="C3476" t="s">
        <v>4658</v>
      </c>
      <c r="D3476" t="s">
        <v>13323</v>
      </c>
      <c r="E3476" s="28" t="s">
        <v>890</v>
      </c>
      <c r="F3476" t="s">
        <v>11357</v>
      </c>
      <c r="G3476" t="s">
        <v>84</v>
      </c>
      <c r="M3476" s="28" t="s">
        <v>14223</v>
      </c>
      <c r="N3476" t="s">
        <v>313</v>
      </c>
    </row>
    <row r="3477" spans="1:14" hidden="1" x14ac:dyDescent="0.25">
      <c r="A3477" t="s">
        <v>11927</v>
      </c>
      <c r="B3477" t="s">
        <v>6527</v>
      </c>
      <c r="C3477" t="s">
        <v>6526</v>
      </c>
      <c r="D3477" t="s">
        <v>6528</v>
      </c>
      <c r="E3477" s="28" t="s">
        <v>890</v>
      </c>
      <c r="F3477" t="s">
        <v>819</v>
      </c>
      <c r="G3477" t="s">
        <v>129</v>
      </c>
      <c r="M3477" s="28" t="s">
        <v>802</v>
      </c>
      <c r="N3477" t="s">
        <v>313</v>
      </c>
    </row>
    <row r="3478" spans="1:14" hidden="1" x14ac:dyDescent="0.25">
      <c r="A3478" t="s">
        <v>13990</v>
      </c>
      <c r="B3478" t="s">
        <v>13991</v>
      </c>
      <c r="C3478" t="s">
        <v>4857</v>
      </c>
      <c r="D3478" t="s">
        <v>13992</v>
      </c>
      <c r="E3478" s="28" t="s">
        <v>896</v>
      </c>
      <c r="F3478" t="s">
        <v>676</v>
      </c>
      <c r="G3478" t="s">
        <v>15</v>
      </c>
      <c r="M3478" s="28" t="s">
        <v>613</v>
      </c>
      <c r="N3478" t="s">
        <v>313</v>
      </c>
    </row>
    <row r="3479" spans="1:14" hidden="1" x14ac:dyDescent="0.25">
      <c r="A3479" t="s">
        <v>9604</v>
      </c>
      <c r="B3479" t="s">
        <v>4744</v>
      </c>
      <c r="C3479" t="s">
        <v>2619</v>
      </c>
      <c r="D3479" t="s">
        <v>4745</v>
      </c>
      <c r="E3479" s="28" t="s">
        <v>930</v>
      </c>
      <c r="F3479" t="s">
        <v>4551</v>
      </c>
      <c r="G3479" t="s">
        <v>15</v>
      </c>
      <c r="M3479" s="28" t="s">
        <v>613</v>
      </c>
      <c r="N3479" t="s">
        <v>313</v>
      </c>
    </row>
    <row r="3480" spans="1:14" hidden="1" x14ac:dyDescent="0.25">
      <c r="A3480" t="s">
        <v>9605</v>
      </c>
      <c r="B3480" t="s">
        <v>4744</v>
      </c>
      <c r="C3480" t="s">
        <v>4557</v>
      </c>
      <c r="D3480" t="s">
        <v>4746</v>
      </c>
      <c r="E3480" s="28" t="s">
        <v>896</v>
      </c>
      <c r="F3480" t="s">
        <v>4551</v>
      </c>
      <c r="G3480" t="s">
        <v>15</v>
      </c>
      <c r="M3480" s="28" t="s">
        <v>613</v>
      </c>
      <c r="N3480" t="s">
        <v>313</v>
      </c>
    </row>
    <row r="3481" spans="1:14" hidden="1" x14ac:dyDescent="0.25">
      <c r="A3481" t="s">
        <v>9356</v>
      </c>
      <c r="B3481" t="s">
        <v>4223</v>
      </c>
      <c r="C3481" t="s">
        <v>2108</v>
      </c>
      <c r="D3481" t="s">
        <v>4224</v>
      </c>
      <c r="E3481" s="28" t="s">
        <v>1023</v>
      </c>
      <c r="F3481" t="s">
        <v>891</v>
      </c>
      <c r="G3481" t="s">
        <v>88</v>
      </c>
      <c r="M3481" s="28" t="s">
        <v>549</v>
      </c>
      <c r="N3481" t="s">
        <v>313</v>
      </c>
    </row>
    <row r="3482" spans="1:14" hidden="1" x14ac:dyDescent="0.25">
      <c r="A3482" t="s">
        <v>10617</v>
      </c>
      <c r="B3482" t="s">
        <v>6878</v>
      </c>
      <c r="C3482" t="s">
        <v>1043</v>
      </c>
      <c r="D3482" t="s">
        <v>6879</v>
      </c>
      <c r="E3482" s="28" t="s">
        <v>896</v>
      </c>
      <c r="F3482" t="s">
        <v>831</v>
      </c>
      <c r="G3482" t="s">
        <v>145</v>
      </c>
      <c r="M3482" s="28" t="s">
        <v>13222</v>
      </c>
      <c r="N3482" t="s">
        <v>313</v>
      </c>
    </row>
    <row r="3483" spans="1:14" hidden="1" x14ac:dyDescent="0.25">
      <c r="A3483" t="s">
        <v>14191</v>
      </c>
      <c r="B3483" t="s">
        <v>14192</v>
      </c>
      <c r="C3483" t="s">
        <v>4557</v>
      </c>
      <c r="D3483" t="s">
        <v>14193</v>
      </c>
      <c r="E3483" s="28" t="s">
        <v>896</v>
      </c>
      <c r="F3483" t="s">
        <v>4648</v>
      </c>
      <c r="G3483" t="s">
        <v>15</v>
      </c>
      <c r="M3483" s="28" t="s">
        <v>613</v>
      </c>
      <c r="N3483" t="s">
        <v>313</v>
      </c>
    </row>
    <row r="3484" spans="1:14" hidden="1" x14ac:dyDescent="0.25">
      <c r="A3484" t="s">
        <v>9357</v>
      </c>
      <c r="B3484" t="s">
        <v>4225</v>
      </c>
      <c r="C3484" t="s">
        <v>4226</v>
      </c>
      <c r="D3484" t="s">
        <v>4227</v>
      </c>
      <c r="E3484" s="28" t="s">
        <v>1177</v>
      </c>
      <c r="F3484" t="s">
        <v>582</v>
      </c>
      <c r="G3484" t="s">
        <v>88</v>
      </c>
      <c r="M3484" s="28" t="s">
        <v>549</v>
      </c>
      <c r="N3484" t="s">
        <v>313</v>
      </c>
    </row>
    <row r="3485" spans="1:14" hidden="1" x14ac:dyDescent="0.25">
      <c r="A3485" t="s">
        <v>9358</v>
      </c>
      <c r="B3485" t="s">
        <v>4225</v>
      </c>
      <c r="C3485" t="s">
        <v>3762</v>
      </c>
      <c r="D3485" t="s">
        <v>4228</v>
      </c>
      <c r="E3485" s="28" t="s">
        <v>896</v>
      </c>
      <c r="F3485" t="s">
        <v>891</v>
      </c>
      <c r="G3485" t="s">
        <v>88</v>
      </c>
      <c r="M3485" s="28" t="s">
        <v>549</v>
      </c>
      <c r="N3485" t="s">
        <v>313</v>
      </c>
    </row>
    <row r="3486" spans="1:14" hidden="1" x14ac:dyDescent="0.25">
      <c r="A3486" t="s">
        <v>8436</v>
      </c>
      <c r="B3486" t="s">
        <v>2211</v>
      </c>
      <c r="C3486" t="s">
        <v>2216</v>
      </c>
      <c r="D3486" t="s">
        <v>2217</v>
      </c>
      <c r="E3486" s="28" t="s">
        <v>890</v>
      </c>
      <c r="F3486" t="s">
        <v>408</v>
      </c>
      <c r="G3486" t="s">
        <v>65</v>
      </c>
      <c r="M3486" s="28" t="s">
        <v>14209</v>
      </c>
    </row>
    <row r="3487" spans="1:14" hidden="1" x14ac:dyDescent="0.25">
      <c r="A3487" t="s">
        <v>8447</v>
      </c>
      <c r="B3487" t="s">
        <v>2211</v>
      </c>
      <c r="C3487" t="s">
        <v>1194</v>
      </c>
      <c r="D3487" t="s">
        <v>2244</v>
      </c>
      <c r="E3487" s="28" t="s">
        <v>896</v>
      </c>
      <c r="F3487" t="s">
        <v>408</v>
      </c>
      <c r="G3487" t="s">
        <v>65</v>
      </c>
      <c r="M3487" s="28" t="s">
        <v>14209</v>
      </c>
    </row>
    <row r="3488" spans="1:14" hidden="1" x14ac:dyDescent="0.25">
      <c r="A3488" t="s">
        <v>8434</v>
      </c>
      <c r="B3488" t="s">
        <v>2211</v>
      </c>
      <c r="C3488" t="s">
        <v>2212</v>
      </c>
      <c r="D3488" t="s">
        <v>2213</v>
      </c>
      <c r="E3488" s="28" t="s">
        <v>890</v>
      </c>
      <c r="F3488" t="s">
        <v>408</v>
      </c>
      <c r="G3488" t="s">
        <v>65</v>
      </c>
      <c r="M3488" s="28" t="s">
        <v>14209</v>
      </c>
    </row>
    <row r="3489" spans="1:14" hidden="1" x14ac:dyDescent="0.25">
      <c r="A3489" t="s">
        <v>8435</v>
      </c>
      <c r="B3489" t="s">
        <v>2211</v>
      </c>
      <c r="C3489" t="s">
        <v>2214</v>
      </c>
      <c r="D3489" t="s">
        <v>2215</v>
      </c>
      <c r="E3489" s="28" t="s">
        <v>890</v>
      </c>
      <c r="F3489" t="s">
        <v>408</v>
      </c>
      <c r="G3489" t="s">
        <v>65</v>
      </c>
      <c r="M3489" s="28" t="s">
        <v>14209</v>
      </c>
    </row>
    <row r="3490" spans="1:14" hidden="1" x14ac:dyDescent="0.25">
      <c r="A3490" t="s">
        <v>8437</v>
      </c>
      <c r="B3490" t="s">
        <v>2211</v>
      </c>
      <c r="C3490" t="s">
        <v>2205</v>
      </c>
      <c r="D3490" t="s">
        <v>2218</v>
      </c>
      <c r="E3490" s="28" t="s">
        <v>890</v>
      </c>
      <c r="F3490" t="s">
        <v>408</v>
      </c>
      <c r="G3490" t="s">
        <v>65</v>
      </c>
      <c r="M3490" s="28" t="s">
        <v>14209</v>
      </c>
    </row>
    <row r="3491" spans="1:14" hidden="1" x14ac:dyDescent="0.25">
      <c r="A3491" t="s">
        <v>13016</v>
      </c>
      <c r="B3491" t="s">
        <v>13017</v>
      </c>
      <c r="C3491" t="s">
        <v>4726</v>
      </c>
      <c r="D3491" t="s">
        <v>13018</v>
      </c>
      <c r="E3491" s="28" t="s">
        <v>890</v>
      </c>
      <c r="F3491" t="s">
        <v>13019</v>
      </c>
      <c r="G3491" t="s">
        <v>15</v>
      </c>
      <c r="M3491" s="28" t="s">
        <v>613</v>
      </c>
      <c r="N3491" t="s">
        <v>313</v>
      </c>
    </row>
    <row r="3492" spans="1:14" hidden="1" x14ac:dyDescent="0.25">
      <c r="A3492" t="s">
        <v>8470</v>
      </c>
      <c r="B3492" t="s">
        <v>2289</v>
      </c>
      <c r="C3492" t="s">
        <v>2205</v>
      </c>
      <c r="D3492" t="s">
        <v>2290</v>
      </c>
      <c r="E3492" s="28" t="s">
        <v>890</v>
      </c>
      <c r="F3492" t="s">
        <v>408</v>
      </c>
      <c r="G3492" t="s">
        <v>65</v>
      </c>
      <c r="M3492" s="28" t="s">
        <v>14209</v>
      </c>
    </row>
    <row r="3493" spans="1:14" hidden="1" x14ac:dyDescent="0.25">
      <c r="A3493" t="s">
        <v>14403</v>
      </c>
      <c r="B3493" t="s">
        <v>14404</v>
      </c>
      <c r="C3493" t="s">
        <v>1477</v>
      </c>
      <c r="D3493" t="s">
        <v>11782</v>
      </c>
      <c r="E3493" s="28" t="s">
        <v>896</v>
      </c>
      <c r="F3493" t="s">
        <v>13198</v>
      </c>
      <c r="G3493" t="s">
        <v>81</v>
      </c>
      <c r="M3493" s="28" t="s">
        <v>530</v>
      </c>
      <c r="N3493" t="s">
        <v>313</v>
      </c>
    </row>
    <row r="3494" spans="1:14" hidden="1" x14ac:dyDescent="0.25">
      <c r="A3494" t="s">
        <v>9359</v>
      </c>
      <c r="B3494" t="s">
        <v>4229</v>
      </c>
      <c r="C3494" t="s">
        <v>3034</v>
      </c>
      <c r="D3494" t="s">
        <v>4230</v>
      </c>
      <c r="E3494" s="28" t="s">
        <v>890</v>
      </c>
      <c r="F3494" t="s">
        <v>891</v>
      </c>
      <c r="G3494" t="s">
        <v>88</v>
      </c>
      <c r="M3494" s="28" t="s">
        <v>549</v>
      </c>
      <c r="N3494" t="s">
        <v>313</v>
      </c>
    </row>
    <row r="3495" spans="1:14" hidden="1" x14ac:dyDescent="0.25">
      <c r="A3495" t="s">
        <v>9360</v>
      </c>
      <c r="B3495" t="s">
        <v>4231</v>
      </c>
      <c r="C3495" t="s">
        <v>4049</v>
      </c>
      <c r="D3495" t="s">
        <v>4232</v>
      </c>
      <c r="E3495" s="28" t="s">
        <v>890</v>
      </c>
      <c r="F3495" t="s">
        <v>891</v>
      </c>
      <c r="G3495" t="s">
        <v>88</v>
      </c>
      <c r="M3495" s="28" t="s">
        <v>549</v>
      </c>
      <c r="N3495" t="s">
        <v>313</v>
      </c>
    </row>
    <row r="3496" spans="1:14" hidden="1" x14ac:dyDescent="0.25">
      <c r="A3496" t="s">
        <v>9361</v>
      </c>
      <c r="B3496" t="s">
        <v>4233</v>
      </c>
      <c r="C3496" t="s">
        <v>4234</v>
      </c>
      <c r="D3496" t="s">
        <v>4235</v>
      </c>
      <c r="E3496" s="28" t="s">
        <v>890</v>
      </c>
      <c r="F3496" t="s">
        <v>891</v>
      </c>
      <c r="G3496" t="s">
        <v>88</v>
      </c>
      <c r="M3496" s="28" t="s">
        <v>549</v>
      </c>
      <c r="N3496" t="s">
        <v>313</v>
      </c>
    </row>
    <row r="3497" spans="1:14" hidden="1" x14ac:dyDescent="0.25">
      <c r="A3497" t="s">
        <v>9362</v>
      </c>
      <c r="B3497" t="s">
        <v>4236</v>
      </c>
      <c r="C3497" t="s">
        <v>3031</v>
      </c>
      <c r="D3497" t="s">
        <v>4237</v>
      </c>
      <c r="E3497" s="28" t="s">
        <v>896</v>
      </c>
      <c r="F3497" t="s">
        <v>552</v>
      </c>
      <c r="G3497" t="s">
        <v>88</v>
      </c>
      <c r="M3497" s="28" t="s">
        <v>549</v>
      </c>
      <c r="N3497" t="s">
        <v>313</v>
      </c>
    </row>
    <row r="3498" spans="1:14" hidden="1" x14ac:dyDescent="0.25">
      <c r="A3498" t="s">
        <v>9363</v>
      </c>
      <c r="B3498" t="s">
        <v>4238</v>
      </c>
      <c r="C3498" t="s">
        <v>3488</v>
      </c>
      <c r="D3498" t="s">
        <v>4239</v>
      </c>
      <c r="E3498" s="28" t="s">
        <v>890</v>
      </c>
      <c r="F3498" t="s">
        <v>891</v>
      </c>
      <c r="G3498" t="s">
        <v>88</v>
      </c>
      <c r="M3498" s="28" t="s">
        <v>549</v>
      </c>
      <c r="N3498" t="s">
        <v>313</v>
      </c>
    </row>
    <row r="3499" spans="1:14" hidden="1" x14ac:dyDescent="0.25">
      <c r="A3499" t="s">
        <v>9364</v>
      </c>
      <c r="B3499" t="s">
        <v>4240</v>
      </c>
      <c r="C3499" t="s">
        <v>3021</v>
      </c>
      <c r="D3499" t="s">
        <v>4241</v>
      </c>
      <c r="E3499" s="28" t="s">
        <v>890</v>
      </c>
      <c r="F3499" t="s">
        <v>566</v>
      </c>
      <c r="G3499" t="s">
        <v>88</v>
      </c>
      <c r="M3499" s="28" t="s">
        <v>549</v>
      </c>
      <c r="N3499" t="s">
        <v>313</v>
      </c>
    </row>
    <row r="3500" spans="1:14" hidden="1" x14ac:dyDescent="0.25">
      <c r="A3500" t="s">
        <v>9365</v>
      </c>
      <c r="B3500" t="s">
        <v>4242</v>
      </c>
      <c r="C3500" t="s">
        <v>1172</v>
      </c>
      <c r="D3500" t="s">
        <v>4243</v>
      </c>
      <c r="E3500" s="28" t="s">
        <v>890</v>
      </c>
      <c r="F3500" t="s">
        <v>891</v>
      </c>
      <c r="G3500" t="s">
        <v>88</v>
      </c>
      <c r="M3500" s="28" t="s">
        <v>549</v>
      </c>
      <c r="N3500" t="s">
        <v>313</v>
      </c>
    </row>
    <row r="3501" spans="1:14" hidden="1" x14ac:dyDescent="0.25">
      <c r="A3501" t="s">
        <v>9366</v>
      </c>
      <c r="B3501" t="s">
        <v>4244</v>
      </c>
      <c r="C3501" t="s">
        <v>3738</v>
      </c>
      <c r="D3501" t="s">
        <v>4245</v>
      </c>
      <c r="E3501" s="28" t="s">
        <v>890</v>
      </c>
      <c r="F3501" t="s">
        <v>891</v>
      </c>
      <c r="G3501" t="s">
        <v>88</v>
      </c>
      <c r="M3501" s="28" t="s">
        <v>549</v>
      </c>
      <c r="N3501" t="s">
        <v>313</v>
      </c>
    </row>
    <row r="3502" spans="1:14" hidden="1" x14ac:dyDescent="0.25">
      <c r="A3502" t="s">
        <v>9500</v>
      </c>
      <c r="B3502" t="s">
        <v>4244</v>
      </c>
      <c r="C3502" t="s">
        <v>3087</v>
      </c>
      <c r="D3502" t="s">
        <v>4497</v>
      </c>
      <c r="E3502" s="28" t="s">
        <v>896</v>
      </c>
      <c r="F3502" t="s">
        <v>554</v>
      </c>
      <c r="G3502" t="s">
        <v>88</v>
      </c>
      <c r="M3502" s="28" t="s">
        <v>549</v>
      </c>
      <c r="N3502" t="s">
        <v>313</v>
      </c>
    </row>
    <row r="3503" spans="1:14" hidden="1" x14ac:dyDescent="0.25">
      <c r="A3503" t="s">
        <v>9602</v>
      </c>
      <c r="B3503" t="s">
        <v>4741</v>
      </c>
      <c r="C3503" t="s">
        <v>4440</v>
      </c>
      <c r="D3503" t="s">
        <v>4742</v>
      </c>
      <c r="E3503" s="28" t="s">
        <v>896</v>
      </c>
      <c r="F3503" t="s">
        <v>4610</v>
      </c>
      <c r="G3503" t="s">
        <v>15</v>
      </c>
      <c r="M3503" s="28" t="s">
        <v>613</v>
      </c>
      <c r="N3503" t="s">
        <v>313</v>
      </c>
    </row>
    <row r="3504" spans="1:14" hidden="1" x14ac:dyDescent="0.25">
      <c r="A3504" t="s">
        <v>9603</v>
      </c>
      <c r="B3504" t="s">
        <v>4741</v>
      </c>
      <c r="C3504" t="s">
        <v>4719</v>
      </c>
      <c r="D3504" t="s">
        <v>4743</v>
      </c>
      <c r="E3504" s="28" t="s">
        <v>890</v>
      </c>
      <c r="F3504" t="s">
        <v>4610</v>
      </c>
      <c r="G3504" t="s">
        <v>15</v>
      </c>
      <c r="M3504" s="28" t="s">
        <v>613</v>
      </c>
      <c r="N3504" t="s">
        <v>313</v>
      </c>
    </row>
    <row r="3505" spans="1:14" hidden="1" x14ac:dyDescent="0.25">
      <c r="A3505" t="s">
        <v>8530</v>
      </c>
      <c r="B3505" t="s">
        <v>2438</v>
      </c>
      <c r="C3505" t="s">
        <v>1993</v>
      </c>
      <c r="D3505" t="s">
        <v>2439</v>
      </c>
      <c r="E3505" s="28" t="s">
        <v>890</v>
      </c>
      <c r="F3505" t="s">
        <v>14210</v>
      </c>
      <c r="G3505" t="s">
        <v>11</v>
      </c>
      <c r="M3505" s="28" t="s">
        <v>413</v>
      </c>
      <c r="N3505" t="s">
        <v>313</v>
      </c>
    </row>
    <row r="3506" spans="1:14" hidden="1" x14ac:dyDescent="0.25">
      <c r="A3506" t="s">
        <v>11400</v>
      </c>
      <c r="B3506" t="s">
        <v>11401</v>
      </c>
      <c r="C3506" t="s">
        <v>1494</v>
      </c>
      <c r="D3506" t="s">
        <v>11402</v>
      </c>
      <c r="E3506" s="28" t="s">
        <v>896</v>
      </c>
      <c r="F3506" t="s">
        <v>4586</v>
      </c>
      <c r="G3506" t="s">
        <v>84</v>
      </c>
      <c r="M3506" s="28" t="s">
        <v>14223</v>
      </c>
      <c r="N3506" t="s">
        <v>313</v>
      </c>
    </row>
    <row r="3507" spans="1:14" hidden="1" x14ac:dyDescent="0.25">
      <c r="A3507" t="s">
        <v>9367</v>
      </c>
      <c r="B3507" t="s">
        <v>4246</v>
      </c>
      <c r="C3507" t="s">
        <v>3021</v>
      </c>
      <c r="D3507" t="s">
        <v>4247</v>
      </c>
      <c r="E3507" s="28" t="s">
        <v>890</v>
      </c>
      <c r="F3507" t="s">
        <v>554</v>
      </c>
      <c r="G3507" t="s">
        <v>88</v>
      </c>
      <c r="M3507" s="28" t="s">
        <v>549</v>
      </c>
      <c r="N3507" t="s">
        <v>313</v>
      </c>
    </row>
    <row r="3508" spans="1:14" hidden="1" x14ac:dyDescent="0.25">
      <c r="A3508" t="s">
        <v>14405</v>
      </c>
      <c r="B3508" t="s">
        <v>14406</v>
      </c>
      <c r="C3508" t="s">
        <v>11783</v>
      </c>
      <c r="D3508" t="s">
        <v>11784</v>
      </c>
      <c r="E3508" s="28" t="s">
        <v>890</v>
      </c>
      <c r="F3508" t="s">
        <v>13201</v>
      </c>
      <c r="G3508" t="s">
        <v>81</v>
      </c>
      <c r="M3508" s="28" t="s">
        <v>530</v>
      </c>
      <c r="N3508" t="s">
        <v>313</v>
      </c>
    </row>
    <row r="3509" spans="1:14" hidden="1" x14ac:dyDescent="0.25">
      <c r="A3509" t="s">
        <v>11867</v>
      </c>
      <c r="B3509" t="s">
        <v>11868</v>
      </c>
      <c r="C3509" t="s">
        <v>1616</v>
      </c>
      <c r="D3509" t="s">
        <v>11869</v>
      </c>
      <c r="E3509" s="28" t="s">
        <v>896</v>
      </c>
      <c r="F3509" t="s">
        <v>11870</v>
      </c>
      <c r="G3509" t="s">
        <v>15</v>
      </c>
      <c r="M3509" s="28" t="s">
        <v>613</v>
      </c>
      <c r="N3509" t="s">
        <v>313</v>
      </c>
    </row>
    <row r="3510" spans="1:14" hidden="1" x14ac:dyDescent="0.25">
      <c r="A3510" t="s">
        <v>13993</v>
      </c>
      <c r="B3510" t="s">
        <v>13994</v>
      </c>
      <c r="C3510" t="s">
        <v>1172</v>
      </c>
      <c r="D3510" t="s">
        <v>13995</v>
      </c>
      <c r="E3510" s="28" t="s">
        <v>890</v>
      </c>
      <c r="F3510" t="s">
        <v>435</v>
      </c>
      <c r="G3510" t="s">
        <v>11</v>
      </c>
      <c r="M3510" s="28" t="s">
        <v>413</v>
      </c>
      <c r="N3510" t="s">
        <v>313</v>
      </c>
    </row>
    <row r="3511" spans="1:14" hidden="1" x14ac:dyDescent="0.25">
      <c r="A3511" t="s">
        <v>13996</v>
      </c>
      <c r="B3511" t="s">
        <v>13994</v>
      </c>
      <c r="C3511" t="s">
        <v>13997</v>
      </c>
      <c r="D3511" t="s">
        <v>13998</v>
      </c>
      <c r="E3511" s="28" t="s">
        <v>896</v>
      </c>
      <c r="F3511" t="s">
        <v>435</v>
      </c>
      <c r="G3511" t="s">
        <v>11</v>
      </c>
      <c r="M3511" s="28" t="s">
        <v>413</v>
      </c>
      <c r="N3511" t="s">
        <v>313</v>
      </c>
    </row>
    <row r="3512" spans="1:14" hidden="1" x14ac:dyDescent="0.25">
      <c r="A3512" t="s">
        <v>11841</v>
      </c>
      <c r="B3512" t="s">
        <v>11842</v>
      </c>
      <c r="C3512" t="s">
        <v>3036</v>
      </c>
      <c r="D3512" t="s">
        <v>11843</v>
      </c>
      <c r="E3512" s="28" t="s">
        <v>890</v>
      </c>
      <c r="F3512" t="s">
        <v>554</v>
      </c>
      <c r="G3512" t="s">
        <v>88</v>
      </c>
      <c r="M3512" s="28" t="s">
        <v>549</v>
      </c>
      <c r="N3512" t="s">
        <v>313</v>
      </c>
    </row>
    <row r="3513" spans="1:14" hidden="1" x14ac:dyDescent="0.25">
      <c r="A3513" t="s">
        <v>9368</v>
      </c>
      <c r="B3513" t="s">
        <v>4248</v>
      </c>
      <c r="C3513" t="s">
        <v>1172</v>
      </c>
      <c r="D3513" t="s">
        <v>4249</v>
      </c>
      <c r="E3513" s="28" t="s">
        <v>1023</v>
      </c>
      <c r="F3513" t="s">
        <v>891</v>
      </c>
      <c r="G3513" t="s">
        <v>88</v>
      </c>
      <c r="M3513" s="28" t="s">
        <v>549</v>
      </c>
      <c r="N3513" t="s">
        <v>313</v>
      </c>
    </row>
    <row r="3514" spans="1:14" hidden="1" x14ac:dyDescent="0.25">
      <c r="A3514" t="s">
        <v>9369</v>
      </c>
      <c r="B3514" t="s">
        <v>4248</v>
      </c>
      <c r="C3514" t="s">
        <v>3563</v>
      </c>
      <c r="D3514" t="s">
        <v>4250</v>
      </c>
      <c r="E3514" s="28" t="s">
        <v>1023</v>
      </c>
      <c r="F3514" t="s">
        <v>891</v>
      </c>
      <c r="G3514" t="s">
        <v>88</v>
      </c>
      <c r="M3514" s="28" t="s">
        <v>549</v>
      </c>
      <c r="N3514" t="s">
        <v>313</v>
      </c>
    </row>
    <row r="3515" spans="1:14" hidden="1" x14ac:dyDescent="0.25">
      <c r="A3515" t="s">
        <v>9370</v>
      </c>
      <c r="B3515" t="s">
        <v>4251</v>
      </c>
      <c r="C3515" t="s">
        <v>3298</v>
      </c>
      <c r="D3515" t="s">
        <v>4252</v>
      </c>
      <c r="E3515" s="28" t="s">
        <v>890</v>
      </c>
      <c r="F3515" t="s">
        <v>891</v>
      </c>
      <c r="G3515" t="s">
        <v>88</v>
      </c>
      <c r="M3515" s="28" t="s">
        <v>549</v>
      </c>
      <c r="N3515" t="s">
        <v>313</v>
      </c>
    </row>
    <row r="3516" spans="1:14" hidden="1" x14ac:dyDescent="0.25">
      <c r="A3516" t="s">
        <v>8133</v>
      </c>
      <c r="B3516" t="s">
        <v>1452</v>
      </c>
      <c r="C3516" t="s">
        <v>1453</v>
      </c>
      <c r="D3516" t="s">
        <v>1454</v>
      </c>
      <c r="E3516" s="28" t="s">
        <v>896</v>
      </c>
      <c r="F3516" t="s">
        <v>69</v>
      </c>
      <c r="G3516" t="s">
        <v>38</v>
      </c>
      <c r="M3516" s="28"/>
    </row>
    <row r="3517" spans="1:14" hidden="1" x14ac:dyDescent="0.25">
      <c r="A3517" t="s">
        <v>11951</v>
      </c>
      <c r="B3517" t="s">
        <v>2507</v>
      </c>
      <c r="C3517" t="s">
        <v>6569</v>
      </c>
      <c r="D3517" t="s">
        <v>6570</v>
      </c>
      <c r="E3517" s="28" t="s">
        <v>890</v>
      </c>
      <c r="F3517" t="s">
        <v>799</v>
      </c>
      <c r="G3517" t="s">
        <v>129</v>
      </c>
      <c r="M3517" s="28" t="s">
        <v>802</v>
      </c>
      <c r="N3517" t="s">
        <v>313</v>
      </c>
    </row>
    <row r="3518" spans="1:14" hidden="1" x14ac:dyDescent="0.25">
      <c r="A3518" t="s">
        <v>11484</v>
      </c>
      <c r="B3518" t="s">
        <v>2507</v>
      </c>
      <c r="C3518" t="s">
        <v>1124</v>
      </c>
      <c r="D3518" t="s">
        <v>11485</v>
      </c>
      <c r="E3518" s="28"/>
      <c r="F3518" t="s">
        <v>2424</v>
      </c>
      <c r="G3518" t="s">
        <v>145</v>
      </c>
      <c r="M3518" s="28" t="s">
        <v>13222</v>
      </c>
      <c r="N3518" t="s">
        <v>313</v>
      </c>
    </row>
    <row r="3519" spans="1:14" hidden="1" x14ac:dyDescent="0.25">
      <c r="A3519" t="s">
        <v>11950</v>
      </c>
      <c r="B3519" t="s">
        <v>2507</v>
      </c>
      <c r="C3519" t="s">
        <v>1105</v>
      </c>
      <c r="D3519" t="s">
        <v>11483</v>
      </c>
      <c r="E3519" s="28" t="s">
        <v>890</v>
      </c>
      <c r="F3519" t="s">
        <v>799</v>
      </c>
      <c r="G3519" t="s">
        <v>129</v>
      </c>
      <c r="M3519" s="28" t="s">
        <v>802</v>
      </c>
      <c r="N3519" t="s">
        <v>313</v>
      </c>
    </row>
    <row r="3520" spans="1:14" hidden="1" x14ac:dyDescent="0.25">
      <c r="A3520" t="s">
        <v>11270</v>
      </c>
      <c r="B3520" t="s">
        <v>11271</v>
      </c>
      <c r="C3520" t="s">
        <v>1194</v>
      </c>
      <c r="D3520" t="s">
        <v>11272</v>
      </c>
      <c r="E3520" s="28" t="s">
        <v>896</v>
      </c>
      <c r="F3520" t="s">
        <v>644</v>
      </c>
      <c r="G3520" t="s">
        <v>84</v>
      </c>
      <c r="M3520" s="28" t="s">
        <v>14223</v>
      </c>
      <c r="N3520" t="s">
        <v>313</v>
      </c>
    </row>
    <row r="3521" spans="1:14" hidden="1" x14ac:dyDescent="0.25">
      <c r="A3521" t="s">
        <v>11295</v>
      </c>
      <c r="B3521" t="s">
        <v>11271</v>
      </c>
      <c r="C3521" t="s">
        <v>11296</v>
      </c>
      <c r="D3521" t="s">
        <v>11297</v>
      </c>
      <c r="E3521" s="28" t="s">
        <v>896</v>
      </c>
      <c r="F3521" t="s">
        <v>644</v>
      </c>
      <c r="G3521" t="s">
        <v>84</v>
      </c>
      <c r="M3521" s="28" t="s">
        <v>14223</v>
      </c>
      <c r="N3521" t="s">
        <v>313</v>
      </c>
    </row>
    <row r="3522" spans="1:14" hidden="1" x14ac:dyDescent="0.25">
      <c r="A3522" t="s">
        <v>10882</v>
      </c>
      <c r="B3522" t="s">
        <v>7527</v>
      </c>
      <c r="C3522" t="s">
        <v>1156</v>
      </c>
      <c r="D3522" t="s">
        <v>7528</v>
      </c>
      <c r="E3522" s="28" t="s">
        <v>896</v>
      </c>
      <c r="F3522" t="s">
        <v>2415</v>
      </c>
      <c r="G3522" t="s">
        <v>162</v>
      </c>
      <c r="M3522" s="28" t="s">
        <v>7517</v>
      </c>
      <c r="N3522" t="s">
        <v>313</v>
      </c>
    </row>
    <row r="3523" spans="1:14" hidden="1" x14ac:dyDescent="0.25">
      <c r="A3523" t="s">
        <v>9371</v>
      </c>
      <c r="B3523" t="s">
        <v>4253</v>
      </c>
      <c r="C3523" t="s">
        <v>2111</v>
      </c>
      <c r="D3523" t="s">
        <v>4254</v>
      </c>
      <c r="E3523" s="28" t="s">
        <v>890</v>
      </c>
      <c r="F3523" t="s">
        <v>891</v>
      </c>
      <c r="G3523" t="s">
        <v>88</v>
      </c>
      <c r="M3523" s="28" t="s">
        <v>549</v>
      </c>
      <c r="N3523" t="s">
        <v>313</v>
      </c>
    </row>
    <row r="3524" spans="1:14" hidden="1" x14ac:dyDescent="0.25">
      <c r="A3524" t="s">
        <v>9372</v>
      </c>
      <c r="B3524" t="s">
        <v>4253</v>
      </c>
      <c r="C3524" t="s">
        <v>3021</v>
      </c>
      <c r="D3524" t="s">
        <v>4255</v>
      </c>
      <c r="E3524" s="28" t="s">
        <v>930</v>
      </c>
      <c r="F3524" t="s">
        <v>891</v>
      </c>
      <c r="G3524" t="s">
        <v>88</v>
      </c>
      <c r="M3524" s="28" t="s">
        <v>549</v>
      </c>
      <c r="N3524" t="s">
        <v>313</v>
      </c>
    </row>
    <row r="3525" spans="1:14" hidden="1" x14ac:dyDescent="0.25">
      <c r="A3525" t="s">
        <v>9373</v>
      </c>
      <c r="B3525" t="s">
        <v>4253</v>
      </c>
      <c r="C3525" t="s">
        <v>3158</v>
      </c>
      <c r="D3525" t="s">
        <v>4256</v>
      </c>
      <c r="E3525" s="28" t="s">
        <v>896</v>
      </c>
      <c r="F3525" t="s">
        <v>891</v>
      </c>
      <c r="G3525" t="s">
        <v>88</v>
      </c>
      <c r="M3525" s="28" t="s">
        <v>549</v>
      </c>
      <c r="N3525" t="s">
        <v>313</v>
      </c>
    </row>
    <row r="3526" spans="1:14" hidden="1" x14ac:dyDescent="0.25">
      <c r="A3526" t="s">
        <v>11043</v>
      </c>
      <c r="B3526" t="s">
        <v>11044</v>
      </c>
      <c r="C3526" t="s">
        <v>1227</v>
      </c>
      <c r="D3526" t="s">
        <v>11045</v>
      </c>
      <c r="E3526" s="28" t="s">
        <v>890</v>
      </c>
      <c r="F3526" t="s">
        <v>6584</v>
      </c>
      <c r="G3526" t="s">
        <v>84</v>
      </c>
      <c r="M3526" s="28" t="s">
        <v>14223</v>
      </c>
      <c r="N3526" t="s">
        <v>313</v>
      </c>
    </row>
    <row r="3527" spans="1:14" hidden="1" x14ac:dyDescent="0.25">
      <c r="A3527" t="s">
        <v>9601</v>
      </c>
      <c r="B3527" t="s">
        <v>4739</v>
      </c>
      <c r="C3527" t="s">
        <v>4658</v>
      </c>
      <c r="D3527" t="s">
        <v>4740</v>
      </c>
      <c r="E3527" s="28" t="s">
        <v>896</v>
      </c>
      <c r="F3527" t="s">
        <v>212</v>
      </c>
      <c r="G3527" t="s">
        <v>15</v>
      </c>
      <c r="M3527" s="28" t="s">
        <v>613</v>
      </c>
      <c r="N3527" t="s">
        <v>313</v>
      </c>
    </row>
    <row r="3528" spans="1:14" hidden="1" x14ac:dyDescent="0.25">
      <c r="A3528" t="s">
        <v>10858</v>
      </c>
      <c r="B3528" t="s">
        <v>7457</v>
      </c>
      <c r="C3528" t="s">
        <v>7458</v>
      </c>
      <c r="D3528" t="s">
        <v>7459</v>
      </c>
      <c r="E3528" s="28" t="s">
        <v>890</v>
      </c>
      <c r="F3528" t="s">
        <v>263</v>
      </c>
      <c r="G3528" t="s">
        <v>157</v>
      </c>
      <c r="M3528" s="28" t="s">
        <v>840</v>
      </c>
      <c r="N3528" t="s">
        <v>382</v>
      </c>
    </row>
    <row r="3529" spans="1:14" hidden="1" x14ac:dyDescent="0.25">
      <c r="A3529" t="s">
        <v>9374</v>
      </c>
      <c r="B3529" t="s">
        <v>4257</v>
      </c>
      <c r="C3529" t="s">
        <v>3646</v>
      </c>
      <c r="D3529" t="s">
        <v>4258</v>
      </c>
      <c r="E3529" s="28" t="s">
        <v>890</v>
      </c>
      <c r="F3529" t="s">
        <v>891</v>
      </c>
      <c r="G3529" t="s">
        <v>88</v>
      </c>
      <c r="M3529" s="28" t="s">
        <v>549</v>
      </c>
      <c r="N3529" t="s">
        <v>313</v>
      </c>
    </row>
    <row r="3530" spans="1:14" hidden="1" x14ac:dyDescent="0.25">
      <c r="A3530" t="s">
        <v>9375</v>
      </c>
      <c r="B3530" t="s">
        <v>4259</v>
      </c>
      <c r="C3530" t="s">
        <v>3974</v>
      </c>
      <c r="D3530" t="s">
        <v>4260</v>
      </c>
      <c r="E3530" s="28" t="s">
        <v>930</v>
      </c>
      <c r="F3530" t="s">
        <v>891</v>
      </c>
      <c r="G3530" t="s">
        <v>88</v>
      </c>
      <c r="M3530" s="28" t="s">
        <v>549</v>
      </c>
      <c r="N3530" t="s">
        <v>313</v>
      </c>
    </row>
    <row r="3531" spans="1:14" hidden="1" x14ac:dyDescent="0.25">
      <c r="A3531" t="s">
        <v>9376</v>
      </c>
      <c r="B3531" t="s">
        <v>4261</v>
      </c>
      <c r="C3531" t="s">
        <v>3539</v>
      </c>
      <c r="D3531" t="s">
        <v>4262</v>
      </c>
      <c r="E3531" s="28" t="s">
        <v>890</v>
      </c>
      <c r="F3531" t="s">
        <v>552</v>
      </c>
      <c r="G3531" t="s">
        <v>88</v>
      </c>
      <c r="M3531" s="28" t="s">
        <v>549</v>
      </c>
      <c r="N3531" t="s">
        <v>313</v>
      </c>
    </row>
    <row r="3532" spans="1:14" hidden="1" x14ac:dyDescent="0.25">
      <c r="A3532" t="s">
        <v>9377</v>
      </c>
      <c r="B3532" t="s">
        <v>4261</v>
      </c>
      <c r="C3532" t="s">
        <v>3099</v>
      </c>
      <c r="D3532" t="s">
        <v>4263</v>
      </c>
      <c r="E3532" s="28" t="s">
        <v>890</v>
      </c>
      <c r="F3532" t="s">
        <v>552</v>
      </c>
      <c r="G3532" t="s">
        <v>88</v>
      </c>
      <c r="M3532" s="28" t="s">
        <v>549</v>
      </c>
      <c r="N3532" t="s">
        <v>313</v>
      </c>
    </row>
    <row r="3533" spans="1:14" hidden="1" x14ac:dyDescent="0.25">
      <c r="A3533" t="s">
        <v>13336</v>
      </c>
      <c r="B3533" t="s">
        <v>13337</v>
      </c>
      <c r="C3533" t="s">
        <v>3031</v>
      </c>
      <c r="D3533" t="s">
        <v>13338</v>
      </c>
      <c r="E3533" s="28" t="s">
        <v>890</v>
      </c>
      <c r="F3533" t="s">
        <v>554</v>
      </c>
      <c r="G3533" t="s">
        <v>88</v>
      </c>
      <c r="M3533" s="28" t="s">
        <v>549</v>
      </c>
      <c r="N3533" t="s">
        <v>313</v>
      </c>
    </row>
    <row r="3534" spans="1:14" hidden="1" x14ac:dyDescent="0.25">
      <c r="A3534" t="s">
        <v>9600</v>
      </c>
      <c r="B3534" t="s">
        <v>4737</v>
      </c>
      <c r="C3534" t="s">
        <v>4440</v>
      </c>
      <c r="D3534" t="s">
        <v>4738</v>
      </c>
      <c r="E3534" s="28" t="s">
        <v>896</v>
      </c>
      <c r="F3534" t="s">
        <v>4635</v>
      </c>
      <c r="G3534" t="s">
        <v>15</v>
      </c>
      <c r="M3534" s="28" t="s">
        <v>613</v>
      </c>
      <c r="N3534" t="s">
        <v>313</v>
      </c>
    </row>
    <row r="3535" spans="1:14" hidden="1" x14ac:dyDescent="0.25">
      <c r="A3535" t="s">
        <v>8060</v>
      </c>
      <c r="B3535" t="s">
        <v>1263</v>
      </c>
      <c r="C3535" t="s">
        <v>1264</v>
      </c>
      <c r="D3535" t="s">
        <v>1265</v>
      </c>
      <c r="E3535" s="28" t="s">
        <v>896</v>
      </c>
      <c r="F3535" t="s">
        <v>315</v>
      </c>
      <c r="G3535" t="s">
        <v>34</v>
      </c>
      <c r="M3535" s="28" t="s">
        <v>12353</v>
      </c>
      <c r="N3535" t="s">
        <v>313</v>
      </c>
    </row>
    <row r="3536" spans="1:14" hidden="1" x14ac:dyDescent="0.25">
      <c r="A3536" t="s">
        <v>8061</v>
      </c>
      <c r="B3536" t="s">
        <v>1263</v>
      </c>
      <c r="C3536" t="s">
        <v>1266</v>
      </c>
      <c r="D3536" t="s">
        <v>1267</v>
      </c>
      <c r="E3536" s="28" t="s">
        <v>890</v>
      </c>
      <c r="F3536" t="s">
        <v>315</v>
      </c>
      <c r="G3536" t="s">
        <v>34</v>
      </c>
      <c r="M3536" s="28" t="s">
        <v>12353</v>
      </c>
      <c r="N3536" t="s">
        <v>313</v>
      </c>
    </row>
    <row r="3537" spans="1:14" hidden="1" x14ac:dyDescent="0.25">
      <c r="A3537" t="s">
        <v>10859</v>
      </c>
      <c r="B3537" t="s">
        <v>7460</v>
      </c>
      <c r="C3537" t="s">
        <v>1119</v>
      </c>
      <c r="D3537" t="s">
        <v>7461</v>
      </c>
      <c r="E3537" s="28" t="s">
        <v>896</v>
      </c>
      <c r="F3537" t="s">
        <v>848</v>
      </c>
      <c r="G3537" t="s">
        <v>157</v>
      </c>
      <c r="M3537" s="28" t="s">
        <v>840</v>
      </c>
      <c r="N3537" t="s">
        <v>382</v>
      </c>
    </row>
    <row r="3538" spans="1:14" hidden="1" x14ac:dyDescent="0.25">
      <c r="A3538" t="s">
        <v>14699</v>
      </c>
      <c r="B3538" t="s">
        <v>2549</v>
      </c>
      <c r="C3538" t="s">
        <v>14700</v>
      </c>
      <c r="D3538" t="s">
        <v>14701</v>
      </c>
      <c r="E3538" s="28" t="s">
        <v>896</v>
      </c>
      <c r="F3538" t="s">
        <v>14614</v>
      </c>
      <c r="G3538" t="s">
        <v>131</v>
      </c>
      <c r="M3538" s="28" t="s">
        <v>14242</v>
      </c>
    </row>
    <row r="3539" spans="1:14" hidden="1" x14ac:dyDescent="0.25">
      <c r="A3539" t="s">
        <v>13999</v>
      </c>
      <c r="B3539" t="s">
        <v>2127</v>
      </c>
      <c r="C3539" t="s">
        <v>2082</v>
      </c>
      <c r="D3539" t="s">
        <v>14000</v>
      </c>
      <c r="E3539" s="28"/>
      <c r="F3539" t="s">
        <v>398</v>
      </c>
      <c r="G3539" t="s">
        <v>60</v>
      </c>
      <c r="M3539" s="28" t="s">
        <v>14207</v>
      </c>
    </row>
    <row r="3540" spans="1:14" hidden="1" x14ac:dyDescent="0.25">
      <c r="A3540" t="s">
        <v>9599</v>
      </c>
      <c r="B3540" t="s">
        <v>4735</v>
      </c>
      <c r="C3540" t="s">
        <v>4557</v>
      </c>
      <c r="D3540" t="s">
        <v>4736</v>
      </c>
      <c r="E3540" s="28" t="s">
        <v>890</v>
      </c>
      <c r="F3540" t="s">
        <v>688</v>
      </c>
      <c r="G3540" t="s">
        <v>15</v>
      </c>
      <c r="M3540" s="28" t="s">
        <v>613</v>
      </c>
      <c r="N3540" t="s">
        <v>313</v>
      </c>
    </row>
    <row r="3541" spans="1:14" hidden="1" x14ac:dyDescent="0.25">
      <c r="A3541" t="s">
        <v>9598</v>
      </c>
      <c r="B3541" t="s">
        <v>4733</v>
      </c>
      <c r="C3541" t="s">
        <v>4719</v>
      </c>
      <c r="D3541" t="s">
        <v>4734</v>
      </c>
      <c r="E3541" s="28" t="s">
        <v>890</v>
      </c>
      <c r="F3541" t="s">
        <v>225</v>
      </c>
      <c r="G3541" t="s">
        <v>15</v>
      </c>
      <c r="M3541" s="28" t="s">
        <v>613</v>
      </c>
      <c r="N3541" t="s">
        <v>313</v>
      </c>
    </row>
    <row r="3542" spans="1:14" hidden="1" x14ac:dyDescent="0.25">
      <c r="A3542" t="s">
        <v>10663</v>
      </c>
      <c r="B3542" t="s">
        <v>7001</v>
      </c>
      <c r="C3542" t="s">
        <v>7002</v>
      </c>
      <c r="D3542" t="s">
        <v>7003</v>
      </c>
      <c r="E3542" s="28" t="s">
        <v>890</v>
      </c>
      <c r="F3542" t="s">
        <v>255</v>
      </c>
      <c r="G3542" t="s">
        <v>6896</v>
      </c>
      <c r="M3542" s="28" t="s">
        <v>6897</v>
      </c>
      <c r="N3542" t="s">
        <v>279</v>
      </c>
    </row>
    <row r="3543" spans="1:14" hidden="1" x14ac:dyDescent="0.25">
      <c r="A3543" t="s">
        <v>10637</v>
      </c>
      <c r="B3543" t="s">
        <v>6931</v>
      </c>
      <c r="C3543" t="s">
        <v>6934</v>
      </c>
      <c r="D3543" t="s">
        <v>6935</v>
      </c>
      <c r="E3543" s="28" t="s">
        <v>890</v>
      </c>
      <c r="F3543" t="s">
        <v>6901</v>
      </c>
      <c r="G3543" t="s">
        <v>6896</v>
      </c>
      <c r="M3543" s="28" t="s">
        <v>6897</v>
      </c>
      <c r="N3543" t="s">
        <v>279</v>
      </c>
    </row>
    <row r="3544" spans="1:14" hidden="1" x14ac:dyDescent="0.25">
      <c r="A3544" t="s">
        <v>10636</v>
      </c>
      <c r="B3544" t="s">
        <v>6931</v>
      </c>
      <c r="C3544" t="s">
        <v>6932</v>
      </c>
      <c r="D3544" t="s">
        <v>6933</v>
      </c>
      <c r="E3544" s="28" t="s">
        <v>890</v>
      </c>
      <c r="F3544" t="s">
        <v>6901</v>
      </c>
      <c r="G3544" t="s">
        <v>6896</v>
      </c>
      <c r="M3544" s="28" t="s">
        <v>6897</v>
      </c>
      <c r="N3544" t="s">
        <v>279</v>
      </c>
    </row>
    <row r="3545" spans="1:14" hidden="1" x14ac:dyDescent="0.25">
      <c r="A3545" t="s">
        <v>10412</v>
      </c>
      <c r="B3545" t="s">
        <v>6380</v>
      </c>
      <c r="C3545" t="s">
        <v>6407</v>
      </c>
      <c r="D3545" t="s">
        <v>6408</v>
      </c>
      <c r="E3545" s="28" t="s">
        <v>890</v>
      </c>
      <c r="F3545" t="s">
        <v>6365</v>
      </c>
      <c r="G3545" t="s">
        <v>119</v>
      </c>
      <c r="M3545" s="28"/>
    </row>
    <row r="3546" spans="1:14" hidden="1" x14ac:dyDescent="0.25">
      <c r="A3546" t="s">
        <v>10402</v>
      </c>
      <c r="B3546" t="s">
        <v>6380</v>
      </c>
      <c r="C3546" t="s">
        <v>6381</v>
      </c>
      <c r="D3546" t="s">
        <v>6382</v>
      </c>
      <c r="E3546" s="28" t="s">
        <v>890</v>
      </c>
      <c r="F3546" t="s">
        <v>6365</v>
      </c>
      <c r="G3546" t="s">
        <v>119</v>
      </c>
      <c r="M3546" s="28"/>
    </row>
    <row r="3547" spans="1:14" hidden="1" x14ac:dyDescent="0.25">
      <c r="A3547" t="s">
        <v>10383</v>
      </c>
      <c r="B3547" t="s">
        <v>1652</v>
      </c>
      <c r="C3547" t="s">
        <v>6329</v>
      </c>
      <c r="D3547" t="s">
        <v>6330</v>
      </c>
      <c r="E3547" s="28" t="s">
        <v>890</v>
      </c>
      <c r="F3547" t="s">
        <v>11563</v>
      </c>
      <c r="G3547" t="s">
        <v>110</v>
      </c>
      <c r="M3547" s="28" t="s">
        <v>13563</v>
      </c>
      <c r="N3547" t="s">
        <v>279</v>
      </c>
    </row>
    <row r="3548" spans="1:14" hidden="1" x14ac:dyDescent="0.25">
      <c r="A3548" t="s">
        <v>8213</v>
      </c>
      <c r="B3548" t="s">
        <v>1652</v>
      </c>
      <c r="C3548" t="s">
        <v>1653</v>
      </c>
      <c r="D3548" t="s">
        <v>1654</v>
      </c>
      <c r="E3548" s="28" t="s">
        <v>896</v>
      </c>
      <c r="F3548" t="s">
        <v>369</v>
      </c>
      <c r="G3548" t="s">
        <v>43</v>
      </c>
      <c r="M3548" s="28" t="s">
        <v>14205</v>
      </c>
    </row>
    <row r="3549" spans="1:14" hidden="1" x14ac:dyDescent="0.25">
      <c r="A3549" t="s">
        <v>10479</v>
      </c>
      <c r="B3549" t="s">
        <v>6619</v>
      </c>
      <c r="C3549" t="s">
        <v>6620</v>
      </c>
      <c r="D3549" t="s">
        <v>6621</v>
      </c>
      <c r="E3549" s="28" t="s">
        <v>890</v>
      </c>
      <c r="F3549" t="s">
        <v>6604</v>
      </c>
      <c r="G3549" t="s">
        <v>131</v>
      </c>
      <c r="M3549" s="28" t="s">
        <v>14242</v>
      </c>
    </row>
    <row r="3550" spans="1:14" hidden="1" x14ac:dyDescent="0.25">
      <c r="A3550" t="s">
        <v>14194</v>
      </c>
      <c r="B3550" t="s">
        <v>14195</v>
      </c>
      <c r="C3550" t="s">
        <v>14196</v>
      </c>
      <c r="D3550" t="s">
        <v>14197</v>
      </c>
      <c r="E3550" s="28" t="s">
        <v>890</v>
      </c>
      <c r="F3550" t="s">
        <v>263</v>
      </c>
      <c r="G3550" t="s">
        <v>157</v>
      </c>
      <c r="M3550" s="28" t="s">
        <v>840</v>
      </c>
      <c r="N3550" t="s">
        <v>382</v>
      </c>
    </row>
    <row r="3551" spans="1:14" hidden="1" x14ac:dyDescent="0.25">
      <c r="A3551" t="s">
        <v>8416</v>
      </c>
      <c r="B3551" t="s">
        <v>2168</v>
      </c>
      <c r="C3551" t="s">
        <v>2169</v>
      </c>
      <c r="D3551" t="s">
        <v>2170</v>
      </c>
      <c r="E3551" s="28" t="s">
        <v>890</v>
      </c>
      <c r="F3551" t="s">
        <v>398</v>
      </c>
      <c r="G3551" t="s">
        <v>60</v>
      </c>
      <c r="M3551" s="28" t="s">
        <v>14207</v>
      </c>
    </row>
    <row r="3552" spans="1:14" hidden="1" x14ac:dyDescent="0.25">
      <c r="A3552" t="s">
        <v>9378</v>
      </c>
      <c r="B3552" t="s">
        <v>3351</v>
      </c>
      <c r="C3552" t="s">
        <v>3034</v>
      </c>
      <c r="D3552" t="s">
        <v>4264</v>
      </c>
      <c r="E3552" s="28" t="s">
        <v>890</v>
      </c>
      <c r="F3552" t="s">
        <v>891</v>
      </c>
      <c r="G3552" t="s">
        <v>88</v>
      </c>
      <c r="M3552" s="28" t="s">
        <v>549</v>
      </c>
      <c r="N3552" t="s">
        <v>313</v>
      </c>
    </row>
    <row r="3553" spans="1:14" hidden="1" x14ac:dyDescent="0.25">
      <c r="A3553" t="s">
        <v>9379</v>
      </c>
      <c r="B3553" t="s">
        <v>4265</v>
      </c>
      <c r="C3553" t="s">
        <v>3025</v>
      </c>
      <c r="D3553" t="s">
        <v>4266</v>
      </c>
      <c r="E3553" s="28" t="s">
        <v>890</v>
      </c>
      <c r="F3553" t="s">
        <v>891</v>
      </c>
      <c r="G3553" t="s">
        <v>88</v>
      </c>
      <c r="M3553" s="28" t="s">
        <v>549</v>
      </c>
      <c r="N3553" t="s">
        <v>313</v>
      </c>
    </row>
    <row r="3554" spans="1:14" hidden="1" x14ac:dyDescent="0.25">
      <c r="A3554" t="s">
        <v>9380</v>
      </c>
      <c r="B3554" t="s">
        <v>4265</v>
      </c>
      <c r="C3554" t="s">
        <v>3491</v>
      </c>
      <c r="D3554" t="s">
        <v>4267</v>
      </c>
      <c r="E3554" s="28" t="s">
        <v>896</v>
      </c>
      <c r="F3554" t="s">
        <v>13206</v>
      </c>
      <c r="G3554" t="s">
        <v>88</v>
      </c>
      <c r="M3554" s="28" t="s">
        <v>549</v>
      </c>
      <c r="N3554" t="s">
        <v>313</v>
      </c>
    </row>
    <row r="3555" spans="1:14" hidden="1" x14ac:dyDescent="0.25">
      <c r="A3555" t="s">
        <v>9511</v>
      </c>
      <c r="B3555" t="s">
        <v>4522</v>
      </c>
      <c r="C3555" t="s">
        <v>4523</v>
      </c>
      <c r="D3555" t="s">
        <v>4524</v>
      </c>
      <c r="E3555" s="28" t="s">
        <v>890</v>
      </c>
      <c r="F3555" t="s">
        <v>4525</v>
      </c>
      <c r="G3555" t="s">
        <v>93</v>
      </c>
      <c r="M3555" s="28" t="s">
        <v>14240</v>
      </c>
    </row>
    <row r="3556" spans="1:14" hidden="1" x14ac:dyDescent="0.25">
      <c r="A3556" t="s">
        <v>10781</v>
      </c>
      <c r="B3556" t="s">
        <v>7281</v>
      </c>
      <c r="C3556" t="s">
        <v>1058</v>
      </c>
      <c r="D3556" t="s">
        <v>7282</v>
      </c>
      <c r="E3556" s="28" t="s">
        <v>896</v>
      </c>
      <c r="F3556" t="s">
        <v>891</v>
      </c>
      <c r="G3556" t="s">
        <v>152</v>
      </c>
      <c r="M3556" s="28"/>
    </row>
    <row r="3557" spans="1:14" hidden="1" x14ac:dyDescent="0.25">
      <c r="A3557" t="s">
        <v>10432</v>
      </c>
      <c r="B3557" t="s">
        <v>6452</v>
      </c>
      <c r="C3557" t="s">
        <v>6453</v>
      </c>
      <c r="D3557" t="s">
        <v>6454</v>
      </c>
      <c r="E3557" s="28" t="s">
        <v>890</v>
      </c>
      <c r="F3557" t="s">
        <v>4679</v>
      </c>
      <c r="G3557" t="s">
        <v>21</v>
      </c>
      <c r="M3557" s="28" t="s">
        <v>791</v>
      </c>
      <c r="N3557" t="s">
        <v>313</v>
      </c>
    </row>
    <row r="3558" spans="1:14" hidden="1" x14ac:dyDescent="0.25">
      <c r="A3558" t="s">
        <v>9596</v>
      </c>
      <c r="B3558" t="s">
        <v>4729</v>
      </c>
      <c r="C3558" t="s">
        <v>4730</v>
      </c>
      <c r="D3558" t="s">
        <v>4731</v>
      </c>
      <c r="E3558" s="28" t="s">
        <v>890</v>
      </c>
      <c r="F3558" t="s">
        <v>4596</v>
      </c>
      <c r="G3558" t="s">
        <v>15</v>
      </c>
      <c r="M3558" s="28" t="s">
        <v>613</v>
      </c>
      <c r="N3558" t="s">
        <v>313</v>
      </c>
    </row>
    <row r="3559" spans="1:14" hidden="1" x14ac:dyDescent="0.25">
      <c r="A3559" t="s">
        <v>9597</v>
      </c>
      <c r="B3559" t="s">
        <v>4729</v>
      </c>
      <c r="C3559" t="s">
        <v>4582</v>
      </c>
      <c r="D3559" t="s">
        <v>4732</v>
      </c>
      <c r="E3559" s="28" t="s">
        <v>896</v>
      </c>
      <c r="F3559" t="s">
        <v>4596</v>
      </c>
      <c r="G3559" t="s">
        <v>15</v>
      </c>
      <c r="M3559" s="28" t="s">
        <v>613</v>
      </c>
      <c r="N3559" t="s">
        <v>313</v>
      </c>
    </row>
    <row r="3560" spans="1:14" hidden="1" x14ac:dyDescent="0.25">
      <c r="A3560" t="s">
        <v>13446</v>
      </c>
      <c r="B3560" t="s">
        <v>13073</v>
      </c>
      <c r="C3560" t="s">
        <v>13072</v>
      </c>
      <c r="D3560" t="s">
        <v>13074</v>
      </c>
      <c r="E3560" s="28" t="s">
        <v>890</v>
      </c>
      <c r="F3560" t="s">
        <v>786</v>
      </c>
      <c r="G3560" t="s">
        <v>110</v>
      </c>
      <c r="M3560" s="28" t="s">
        <v>13563</v>
      </c>
      <c r="N3560" t="s">
        <v>279</v>
      </c>
    </row>
    <row r="3561" spans="1:14" hidden="1" x14ac:dyDescent="0.25">
      <c r="A3561" t="s">
        <v>9595</v>
      </c>
      <c r="B3561" t="s">
        <v>4725</v>
      </c>
      <c r="C3561" t="s">
        <v>1978</v>
      </c>
      <c r="D3561" t="s">
        <v>4728</v>
      </c>
      <c r="E3561" s="28" t="s">
        <v>890</v>
      </c>
      <c r="F3561" t="s">
        <v>4648</v>
      </c>
      <c r="G3561" t="s">
        <v>15</v>
      </c>
      <c r="M3561" s="28" t="s">
        <v>613</v>
      </c>
      <c r="N3561" t="s">
        <v>313</v>
      </c>
    </row>
    <row r="3562" spans="1:14" hidden="1" x14ac:dyDescent="0.25">
      <c r="A3562" t="s">
        <v>9594</v>
      </c>
      <c r="B3562" t="s">
        <v>4725</v>
      </c>
      <c r="C3562" t="s">
        <v>4726</v>
      </c>
      <c r="D3562" t="s">
        <v>4727</v>
      </c>
      <c r="E3562" s="28" t="s">
        <v>896</v>
      </c>
      <c r="F3562" t="s">
        <v>4648</v>
      </c>
      <c r="G3562" t="s">
        <v>15</v>
      </c>
      <c r="M3562" s="28" t="s">
        <v>613</v>
      </c>
      <c r="N3562" t="s">
        <v>313</v>
      </c>
    </row>
    <row r="3563" spans="1:14" hidden="1" x14ac:dyDescent="0.25">
      <c r="A3563" t="s">
        <v>10630</v>
      </c>
      <c r="B3563" t="s">
        <v>6914</v>
      </c>
      <c r="C3563" t="s">
        <v>6915</v>
      </c>
      <c r="D3563" t="s">
        <v>6916</v>
      </c>
      <c r="E3563" s="28" t="s">
        <v>896</v>
      </c>
      <c r="F3563" t="s">
        <v>6901</v>
      </c>
      <c r="G3563" t="s">
        <v>6896</v>
      </c>
      <c r="M3563" s="28" t="s">
        <v>6897</v>
      </c>
      <c r="N3563" t="s">
        <v>279</v>
      </c>
    </row>
    <row r="3564" spans="1:14" hidden="1" x14ac:dyDescent="0.25">
      <c r="A3564" t="s">
        <v>13469</v>
      </c>
      <c r="B3564" t="s">
        <v>13470</v>
      </c>
      <c r="C3564" t="s">
        <v>13471</v>
      </c>
      <c r="D3564" t="s">
        <v>13472</v>
      </c>
      <c r="E3564" s="28" t="s">
        <v>1023</v>
      </c>
      <c r="F3564" t="s">
        <v>786</v>
      </c>
      <c r="G3564" t="s">
        <v>110</v>
      </c>
      <c r="M3564" s="28" t="s">
        <v>13563</v>
      </c>
      <c r="N3564" t="s">
        <v>279</v>
      </c>
    </row>
    <row r="3565" spans="1:14" hidden="1" x14ac:dyDescent="0.25">
      <c r="A3565" t="s">
        <v>13436</v>
      </c>
      <c r="B3565" t="s">
        <v>13437</v>
      </c>
      <c r="C3565" t="s">
        <v>13438</v>
      </c>
      <c r="D3565" t="s">
        <v>13439</v>
      </c>
      <c r="E3565" s="28" t="s">
        <v>896</v>
      </c>
      <c r="F3565" t="s">
        <v>11578</v>
      </c>
      <c r="G3565" t="s">
        <v>110</v>
      </c>
      <c r="M3565" s="28" t="s">
        <v>13563</v>
      </c>
      <c r="N3565" t="s">
        <v>279</v>
      </c>
    </row>
    <row r="3566" spans="1:14" hidden="1" x14ac:dyDescent="0.25">
      <c r="A3566" t="s">
        <v>14702</v>
      </c>
      <c r="B3566" t="s">
        <v>4723</v>
      </c>
      <c r="C3566" t="s">
        <v>4730</v>
      </c>
      <c r="D3566" t="s">
        <v>14703</v>
      </c>
      <c r="E3566" s="28" t="s">
        <v>890</v>
      </c>
      <c r="F3566" t="s">
        <v>14704</v>
      </c>
      <c r="G3566" t="s">
        <v>15</v>
      </c>
      <c r="M3566" s="28" t="s">
        <v>613</v>
      </c>
      <c r="N3566" t="s">
        <v>313</v>
      </c>
    </row>
    <row r="3567" spans="1:14" hidden="1" x14ac:dyDescent="0.25">
      <c r="A3567" t="s">
        <v>9593</v>
      </c>
      <c r="B3567" t="s">
        <v>4723</v>
      </c>
      <c r="C3567" t="s">
        <v>909</v>
      </c>
      <c r="D3567" t="s">
        <v>4724</v>
      </c>
      <c r="E3567" s="28" t="s">
        <v>896</v>
      </c>
      <c r="F3567" t="s">
        <v>4621</v>
      </c>
      <c r="G3567" t="s">
        <v>15</v>
      </c>
      <c r="M3567" s="28" t="s">
        <v>613</v>
      </c>
      <c r="N3567" t="s">
        <v>313</v>
      </c>
    </row>
    <row r="3568" spans="1:14" hidden="1" x14ac:dyDescent="0.25">
      <c r="A3568" t="s">
        <v>9592</v>
      </c>
      <c r="B3568" t="s">
        <v>4721</v>
      </c>
      <c r="C3568" t="s">
        <v>4640</v>
      </c>
      <c r="D3568" t="s">
        <v>4722</v>
      </c>
      <c r="E3568" s="28" t="s">
        <v>896</v>
      </c>
      <c r="F3568" t="s">
        <v>13217</v>
      </c>
      <c r="G3568" t="s">
        <v>15</v>
      </c>
      <c r="M3568" s="28" t="s">
        <v>613</v>
      </c>
      <c r="N3568" t="s">
        <v>313</v>
      </c>
    </row>
    <row r="3569" spans="1:14" hidden="1" x14ac:dyDescent="0.25">
      <c r="A3569" t="s">
        <v>10739</v>
      </c>
      <c r="B3569" t="s">
        <v>6936</v>
      </c>
      <c r="C3569" t="s">
        <v>7180</v>
      </c>
      <c r="D3569" t="s">
        <v>7181</v>
      </c>
      <c r="E3569" s="28" t="s">
        <v>896</v>
      </c>
      <c r="F3569" t="s">
        <v>6895</v>
      </c>
      <c r="G3569" t="s">
        <v>6896</v>
      </c>
      <c r="M3569" s="28" t="s">
        <v>6897</v>
      </c>
      <c r="N3569" t="s">
        <v>279</v>
      </c>
    </row>
    <row r="3570" spans="1:14" hidden="1" x14ac:dyDescent="0.25">
      <c r="A3570" t="s">
        <v>10671</v>
      </c>
      <c r="B3570" t="s">
        <v>6936</v>
      </c>
      <c r="C3570" t="s">
        <v>7022</v>
      </c>
      <c r="D3570" t="s">
        <v>7023</v>
      </c>
      <c r="E3570" s="28" t="s">
        <v>896</v>
      </c>
      <c r="F3570" t="s">
        <v>6895</v>
      </c>
      <c r="G3570" t="s">
        <v>6896</v>
      </c>
      <c r="M3570" s="28" t="s">
        <v>6897</v>
      </c>
      <c r="N3570" t="s">
        <v>279</v>
      </c>
    </row>
    <row r="3571" spans="1:14" hidden="1" x14ac:dyDescent="0.25">
      <c r="A3571" t="s">
        <v>10699</v>
      </c>
      <c r="B3571" t="s">
        <v>6936</v>
      </c>
      <c r="C3571" t="s">
        <v>7088</v>
      </c>
      <c r="D3571" t="s">
        <v>7089</v>
      </c>
      <c r="E3571" s="28" t="s">
        <v>890</v>
      </c>
      <c r="F3571" t="s">
        <v>4508</v>
      </c>
      <c r="G3571" t="s">
        <v>6896</v>
      </c>
      <c r="M3571" s="28" t="s">
        <v>6897</v>
      </c>
      <c r="N3571" t="s">
        <v>279</v>
      </c>
    </row>
    <row r="3572" spans="1:14" hidden="1" x14ac:dyDescent="0.25">
      <c r="A3572" t="s">
        <v>10690</v>
      </c>
      <c r="B3572" t="s">
        <v>6936</v>
      </c>
      <c r="C3572" t="s">
        <v>7065</v>
      </c>
      <c r="D3572" t="s">
        <v>7066</v>
      </c>
      <c r="E3572" s="28" t="s">
        <v>896</v>
      </c>
      <c r="F3572" t="s">
        <v>6895</v>
      </c>
      <c r="G3572" t="s">
        <v>6896</v>
      </c>
      <c r="M3572" s="28" t="s">
        <v>6897</v>
      </c>
      <c r="N3572" t="s">
        <v>279</v>
      </c>
    </row>
    <row r="3573" spans="1:14" hidden="1" x14ac:dyDescent="0.25">
      <c r="A3573" t="s">
        <v>10638</v>
      </c>
      <c r="B3573" t="s">
        <v>6936</v>
      </c>
      <c r="C3573" t="s">
        <v>6937</v>
      </c>
      <c r="D3573" t="s">
        <v>6938</v>
      </c>
      <c r="E3573" s="28" t="s">
        <v>890</v>
      </c>
      <c r="F3573" t="s">
        <v>6901</v>
      </c>
      <c r="G3573" t="s">
        <v>6896</v>
      </c>
      <c r="M3573" s="28" t="s">
        <v>6897</v>
      </c>
      <c r="N3573" t="s">
        <v>279</v>
      </c>
    </row>
    <row r="3574" spans="1:14" hidden="1" x14ac:dyDescent="0.25">
      <c r="A3574" t="s">
        <v>10753</v>
      </c>
      <c r="B3574" t="s">
        <v>6936</v>
      </c>
      <c r="C3574" t="s">
        <v>7214</v>
      </c>
      <c r="D3574" t="s">
        <v>7215</v>
      </c>
      <c r="E3574" s="28" t="s">
        <v>890</v>
      </c>
      <c r="F3574" t="s">
        <v>7062</v>
      </c>
      <c r="G3574" t="s">
        <v>6896</v>
      </c>
      <c r="M3574" s="28" t="s">
        <v>6897</v>
      </c>
      <c r="N3574" t="s">
        <v>279</v>
      </c>
    </row>
    <row r="3575" spans="1:14" hidden="1" x14ac:dyDescent="0.25">
      <c r="A3575" t="s">
        <v>10740</v>
      </c>
      <c r="B3575" t="s">
        <v>6936</v>
      </c>
      <c r="C3575" t="s">
        <v>7182</v>
      </c>
      <c r="D3575" t="s">
        <v>7183</v>
      </c>
      <c r="E3575" s="28" t="s">
        <v>896</v>
      </c>
      <c r="F3575" t="s">
        <v>6895</v>
      </c>
      <c r="G3575" t="s">
        <v>6896</v>
      </c>
      <c r="M3575" s="28" t="s">
        <v>6897</v>
      </c>
      <c r="N3575" t="s">
        <v>279</v>
      </c>
    </row>
    <row r="3576" spans="1:14" hidden="1" x14ac:dyDescent="0.25">
      <c r="A3576" t="s">
        <v>10735</v>
      </c>
      <c r="B3576" t="s">
        <v>6936</v>
      </c>
      <c r="C3576" t="s">
        <v>7171</v>
      </c>
      <c r="D3576" t="s">
        <v>7172</v>
      </c>
      <c r="E3576" s="28" t="s">
        <v>930</v>
      </c>
      <c r="F3576" t="s">
        <v>6895</v>
      </c>
      <c r="G3576" t="s">
        <v>6896</v>
      </c>
      <c r="M3576" s="28" t="s">
        <v>6897</v>
      </c>
      <c r="N3576" t="s">
        <v>279</v>
      </c>
    </row>
    <row r="3577" spans="1:14" hidden="1" x14ac:dyDescent="0.25">
      <c r="A3577" t="s">
        <v>14001</v>
      </c>
      <c r="B3577" t="s">
        <v>6337</v>
      </c>
      <c r="C3577" t="s">
        <v>14002</v>
      </c>
      <c r="D3577" t="s">
        <v>14003</v>
      </c>
      <c r="E3577" s="28" t="s">
        <v>896</v>
      </c>
      <c r="F3577" t="s">
        <v>786</v>
      </c>
      <c r="G3577" t="s">
        <v>110</v>
      </c>
      <c r="M3577" s="28" t="s">
        <v>13563</v>
      </c>
      <c r="N3577" t="s">
        <v>279</v>
      </c>
    </row>
    <row r="3578" spans="1:14" hidden="1" x14ac:dyDescent="0.25">
      <c r="A3578" t="s">
        <v>13445</v>
      </c>
      <c r="B3578" t="s">
        <v>6337</v>
      </c>
      <c r="C3578" t="s">
        <v>13070</v>
      </c>
      <c r="D3578" t="s">
        <v>13071</v>
      </c>
      <c r="E3578" s="28" t="s">
        <v>896</v>
      </c>
      <c r="F3578" t="s">
        <v>786</v>
      </c>
      <c r="G3578" t="s">
        <v>110</v>
      </c>
      <c r="M3578" s="28" t="s">
        <v>13563</v>
      </c>
      <c r="N3578" t="s">
        <v>279</v>
      </c>
    </row>
    <row r="3579" spans="1:14" hidden="1" x14ac:dyDescent="0.25">
      <c r="A3579" t="s">
        <v>10400</v>
      </c>
      <c r="B3579" t="s">
        <v>6337</v>
      </c>
      <c r="C3579" t="s">
        <v>6375</v>
      </c>
      <c r="D3579" t="s">
        <v>6376</v>
      </c>
      <c r="E3579" s="28" t="s">
        <v>890</v>
      </c>
      <c r="F3579" t="s">
        <v>11563</v>
      </c>
      <c r="G3579" t="s">
        <v>110</v>
      </c>
      <c r="M3579" s="28" t="s">
        <v>13563</v>
      </c>
      <c r="N3579" t="s">
        <v>279</v>
      </c>
    </row>
    <row r="3580" spans="1:14" hidden="1" x14ac:dyDescent="0.25">
      <c r="A3580" t="s">
        <v>12596</v>
      </c>
      <c r="B3580" t="s">
        <v>6337</v>
      </c>
      <c r="C3580" t="s">
        <v>12597</v>
      </c>
      <c r="D3580" t="s">
        <v>12598</v>
      </c>
      <c r="E3580" s="28" t="s">
        <v>890</v>
      </c>
      <c r="F3580" t="s">
        <v>11889</v>
      </c>
      <c r="G3580" t="s">
        <v>110</v>
      </c>
      <c r="M3580" s="28" t="s">
        <v>13563</v>
      </c>
      <c r="N3580" t="s">
        <v>279</v>
      </c>
    </row>
    <row r="3581" spans="1:14" hidden="1" x14ac:dyDescent="0.25">
      <c r="A3581" t="s">
        <v>10386</v>
      </c>
      <c r="B3581" t="s">
        <v>6337</v>
      </c>
      <c r="C3581" t="s">
        <v>6338</v>
      </c>
      <c r="D3581" t="s">
        <v>6339</v>
      </c>
      <c r="E3581" s="28" t="s">
        <v>896</v>
      </c>
      <c r="F3581" t="s">
        <v>6336</v>
      </c>
      <c r="G3581" t="s">
        <v>110</v>
      </c>
      <c r="M3581" s="28" t="s">
        <v>13563</v>
      </c>
      <c r="N3581" t="s">
        <v>279</v>
      </c>
    </row>
    <row r="3582" spans="1:14" hidden="1" x14ac:dyDescent="0.25">
      <c r="A3582" t="s">
        <v>9591</v>
      </c>
      <c r="B3582" t="s">
        <v>4718</v>
      </c>
      <c r="C3582" t="s">
        <v>4719</v>
      </c>
      <c r="D3582" t="s">
        <v>4720</v>
      </c>
      <c r="E3582" s="28" t="s">
        <v>890</v>
      </c>
      <c r="F3582" t="s">
        <v>4802</v>
      </c>
      <c r="G3582" t="s">
        <v>15</v>
      </c>
      <c r="M3582" s="28" t="s">
        <v>613</v>
      </c>
      <c r="N3582" t="s">
        <v>313</v>
      </c>
    </row>
    <row r="3583" spans="1:14" hidden="1" x14ac:dyDescent="0.25">
      <c r="A3583" t="s">
        <v>14004</v>
      </c>
      <c r="B3583" t="s">
        <v>14005</v>
      </c>
      <c r="C3583" t="s">
        <v>1483</v>
      </c>
      <c r="D3583" t="s">
        <v>14006</v>
      </c>
      <c r="E3583" s="28" t="s">
        <v>896</v>
      </c>
      <c r="F3583" t="s">
        <v>2850</v>
      </c>
      <c r="G3583" t="s">
        <v>15</v>
      </c>
      <c r="M3583" s="28" t="s">
        <v>613</v>
      </c>
      <c r="N3583" t="s">
        <v>313</v>
      </c>
    </row>
    <row r="3584" spans="1:14" hidden="1" x14ac:dyDescent="0.25">
      <c r="A3584" t="s">
        <v>8005</v>
      </c>
      <c r="B3584" t="s">
        <v>1083</v>
      </c>
      <c r="C3584" t="s">
        <v>1084</v>
      </c>
      <c r="D3584" t="s">
        <v>1085</v>
      </c>
      <c r="E3584" s="28" t="s">
        <v>896</v>
      </c>
      <c r="F3584" t="s">
        <v>286</v>
      </c>
      <c r="G3584" t="s">
        <v>31</v>
      </c>
      <c r="M3584" s="28" t="s">
        <v>278</v>
      </c>
      <c r="N3584" t="s">
        <v>279</v>
      </c>
    </row>
    <row r="3585" spans="1:14" hidden="1" x14ac:dyDescent="0.25">
      <c r="A3585" t="s">
        <v>8134</v>
      </c>
      <c r="B3585" t="s">
        <v>1455</v>
      </c>
      <c r="C3585" t="s">
        <v>1456</v>
      </c>
      <c r="D3585" t="s">
        <v>1457</v>
      </c>
      <c r="E3585" s="28" t="s">
        <v>890</v>
      </c>
      <c r="F3585" t="s">
        <v>57</v>
      </c>
      <c r="G3585" t="s">
        <v>38</v>
      </c>
      <c r="M3585" s="28"/>
    </row>
    <row r="3586" spans="1:14" hidden="1" x14ac:dyDescent="0.25">
      <c r="A3586" t="s">
        <v>11612</v>
      </c>
      <c r="B3586" t="s">
        <v>11613</v>
      </c>
      <c r="C3586" t="s">
        <v>2419</v>
      </c>
      <c r="D3586" t="s">
        <v>11614</v>
      </c>
      <c r="E3586" s="28" t="s">
        <v>896</v>
      </c>
      <c r="F3586" t="s">
        <v>105</v>
      </c>
      <c r="G3586" t="s">
        <v>11</v>
      </c>
      <c r="M3586" s="28" t="s">
        <v>413</v>
      </c>
      <c r="N3586" t="s">
        <v>313</v>
      </c>
    </row>
    <row r="3587" spans="1:14" hidden="1" x14ac:dyDescent="0.25">
      <c r="A3587" t="s">
        <v>9590</v>
      </c>
      <c r="B3587" t="s">
        <v>4716</v>
      </c>
      <c r="C3587" t="s">
        <v>4582</v>
      </c>
      <c r="D3587" t="s">
        <v>4717</v>
      </c>
      <c r="E3587" s="28" t="s">
        <v>896</v>
      </c>
      <c r="F3587" t="s">
        <v>4621</v>
      </c>
      <c r="G3587" t="s">
        <v>15</v>
      </c>
      <c r="M3587" s="28" t="s">
        <v>613</v>
      </c>
      <c r="N3587" t="s">
        <v>313</v>
      </c>
    </row>
    <row r="3588" spans="1:14" hidden="1" x14ac:dyDescent="0.25">
      <c r="A3588" t="s">
        <v>9381</v>
      </c>
      <c r="B3588" t="s">
        <v>4268</v>
      </c>
      <c r="C3588" t="s">
        <v>3061</v>
      </c>
      <c r="D3588" t="s">
        <v>4269</v>
      </c>
      <c r="E3588" s="28" t="s">
        <v>890</v>
      </c>
      <c r="F3588" t="s">
        <v>582</v>
      </c>
      <c r="G3588" t="s">
        <v>88</v>
      </c>
      <c r="M3588" s="28" t="s">
        <v>549</v>
      </c>
      <c r="N3588" t="s">
        <v>313</v>
      </c>
    </row>
    <row r="3589" spans="1:14" hidden="1" x14ac:dyDescent="0.25">
      <c r="A3589" t="s">
        <v>9589</v>
      </c>
      <c r="B3589" t="s">
        <v>4713</v>
      </c>
      <c r="C3589" t="s">
        <v>4714</v>
      </c>
      <c r="D3589" t="s">
        <v>4715</v>
      </c>
      <c r="E3589" s="28" t="s">
        <v>896</v>
      </c>
      <c r="F3589" t="s">
        <v>4635</v>
      </c>
      <c r="G3589" t="s">
        <v>15</v>
      </c>
      <c r="M3589" s="28" t="s">
        <v>613</v>
      </c>
      <c r="N3589" t="s">
        <v>313</v>
      </c>
    </row>
    <row r="3590" spans="1:14" hidden="1" x14ac:dyDescent="0.25">
      <c r="A3590" t="s">
        <v>13020</v>
      </c>
      <c r="B3590" t="s">
        <v>13021</v>
      </c>
      <c r="C3590" t="s">
        <v>4440</v>
      </c>
      <c r="D3590" t="s">
        <v>13022</v>
      </c>
      <c r="E3590" s="28" t="s">
        <v>896</v>
      </c>
      <c r="F3590" t="s">
        <v>12865</v>
      </c>
      <c r="G3590" t="s">
        <v>15</v>
      </c>
      <c r="M3590" s="28" t="s">
        <v>613</v>
      </c>
      <c r="N3590" t="s">
        <v>313</v>
      </c>
    </row>
    <row r="3591" spans="1:14" hidden="1" x14ac:dyDescent="0.25">
      <c r="A3591" t="s">
        <v>10539</v>
      </c>
      <c r="B3591" t="s">
        <v>6739</v>
      </c>
      <c r="C3591" t="s">
        <v>6740</v>
      </c>
      <c r="D3591" t="s">
        <v>6741</v>
      </c>
      <c r="E3591" s="28" t="s">
        <v>890</v>
      </c>
      <c r="F3591" t="s">
        <v>891</v>
      </c>
      <c r="G3591" t="s">
        <v>137</v>
      </c>
      <c r="M3591" s="28" t="s">
        <v>805</v>
      </c>
      <c r="N3591" t="s">
        <v>313</v>
      </c>
    </row>
    <row r="3592" spans="1:14" hidden="1" x14ac:dyDescent="0.25">
      <c r="A3592" t="s">
        <v>9588</v>
      </c>
      <c r="B3592" t="s">
        <v>4710</v>
      </c>
      <c r="C3592" t="s">
        <v>4711</v>
      </c>
      <c r="D3592" t="s">
        <v>4712</v>
      </c>
      <c r="E3592" s="28" t="s">
        <v>890</v>
      </c>
      <c r="F3592" t="s">
        <v>4675</v>
      </c>
      <c r="G3592" t="s">
        <v>15</v>
      </c>
      <c r="M3592" s="28" t="s">
        <v>613</v>
      </c>
      <c r="N3592" t="s">
        <v>313</v>
      </c>
    </row>
    <row r="3593" spans="1:14" hidden="1" x14ac:dyDescent="0.25">
      <c r="A3593" t="s">
        <v>12087</v>
      </c>
      <c r="B3593" t="s">
        <v>2586</v>
      </c>
      <c r="C3593" t="s">
        <v>12088</v>
      </c>
      <c r="D3593" t="s">
        <v>12089</v>
      </c>
      <c r="E3593" s="28" t="s">
        <v>890</v>
      </c>
      <c r="F3593" t="s">
        <v>828</v>
      </c>
      <c r="G3593" t="s">
        <v>162</v>
      </c>
      <c r="M3593" s="28" t="s">
        <v>7517</v>
      </c>
      <c r="N3593" t="s">
        <v>313</v>
      </c>
    </row>
    <row r="3594" spans="1:14" hidden="1" x14ac:dyDescent="0.25">
      <c r="A3594" t="s">
        <v>8592</v>
      </c>
      <c r="B3594" t="s">
        <v>2586</v>
      </c>
      <c r="C3594" t="s">
        <v>1099</v>
      </c>
      <c r="D3594" t="s">
        <v>2587</v>
      </c>
      <c r="E3594" s="28" t="s">
        <v>896</v>
      </c>
      <c r="F3594" t="s">
        <v>2568</v>
      </c>
      <c r="G3594" t="s">
        <v>11</v>
      </c>
      <c r="M3594" s="28" t="s">
        <v>413</v>
      </c>
      <c r="N3594" t="s">
        <v>313</v>
      </c>
    </row>
    <row r="3595" spans="1:14" hidden="1" x14ac:dyDescent="0.25">
      <c r="A3595" t="s">
        <v>10877</v>
      </c>
      <c r="B3595" t="s">
        <v>2586</v>
      </c>
      <c r="C3595" t="s">
        <v>1519</v>
      </c>
      <c r="D3595" t="s">
        <v>7520</v>
      </c>
      <c r="E3595" s="28" t="s">
        <v>896</v>
      </c>
      <c r="F3595" t="s">
        <v>7516</v>
      </c>
      <c r="G3595" t="s">
        <v>162</v>
      </c>
      <c r="M3595" s="28" t="s">
        <v>7517</v>
      </c>
      <c r="N3595" t="s">
        <v>313</v>
      </c>
    </row>
    <row r="3596" spans="1:14" hidden="1" x14ac:dyDescent="0.25">
      <c r="A3596" t="s">
        <v>14407</v>
      </c>
      <c r="B3596" t="s">
        <v>14408</v>
      </c>
      <c r="C3596" t="s">
        <v>1090</v>
      </c>
      <c r="D3596" t="s">
        <v>14409</v>
      </c>
      <c r="E3596" s="28" t="s">
        <v>896</v>
      </c>
      <c r="F3596" t="s">
        <v>891</v>
      </c>
      <c r="G3596" t="s">
        <v>11</v>
      </c>
      <c r="M3596" s="28" t="s">
        <v>413</v>
      </c>
      <c r="N3596" t="s">
        <v>313</v>
      </c>
    </row>
    <row r="3597" spans="1:14" hidden="1" x14ac:dyDescent="0.25">
      <c r="A3597" t="s">
        <v>9587</v>
      </c>
      <c r="B3597" t="s">
        <v>4708</v>
      </c>
      <c r="C3597" t="s">
        <v>4668</v>
      </c>
      <c r="D3597" t="s">
        <v>4709</v>
      </c>
      <c r="E3597" s="28" t="s">
        <v>896</v>
      </c>
      <c r="F3597" t="s">
        <v>4555</v>
      </c>
      <c r="G3597" t="s">
        <v>15</v>
      </c>
      <c r="M3597" s="28" t="s">
        <v>613</v>
      </c>
      <c r="N3597" t="s">
        <v>313</v>
      </c>
    </row>
    <row r="3598" spans="1:14" hidden="1" x14ac:dyDescent="0.25">
      <c r="A3598" t="s">
        <v>9586</v>
      </c>
      <c r="B3598" t="s">
        <v>4706</v>
      </c>
      <c r="C3598" t="s">
        <v>2184</v>
      </c>
      <c r="D3598" t="s">
        <v>4707</v>
      </c>
      <c r="E3598" s="28" t="s">
        <v>896</v>
      </c>
      <c r="F3598" t="s">
        <v>13217</v>
      </c>
      <c r="G3598" t="s">
        <v>15</v>
      </c>
      <c r="M3598" s="28" t="s">
        <v>613</v>
      </c>
      <c r="N3598" t="s">
        <v>313</v>
      </c>
    </row>
    <row r="3599" spans="1:14" hidden="1" x14ac:dyDescent="0.25">
      <c r="A3599" t="s">
        <v>13306</v>
      </c>
      <c r="B3599" t="s">
        <v>13307</v>
      </c>
      <c r="C3599" t="s">
        <v>13308</v>
      </c>
      <c r="D3599" t="s">
        <v>13309</v>
      </c>
      <c r="E3599" s="28" t="s">
        <v>1023</v>
      </c>
      <c r="F3599" t="s">
        <v>174</v>
      </c>
      <c r="G3599" t="s">
        <v>81</v>
      </c>
      <c r="M3599" s="28" t="s">
        <v>530</v>
      </c>
      <c r="N3599" t="s">
        <v>313</v>
      </c>
    </row>
    <row r="3600" spans="1:14" hidden="1" x14ac:dyDescent="0.25">
      <c r="A3600" t="s">
        <v>8642</v>
      </c>
      <c r="B3600" t="s">
        <v>2709</v>
      </c>
      <c r="C3600" t="s">
        <v>1710</v>
      </c>
      <c r="D3600" t="s">
        <v>2710</v>
      </c>
      <c r="E3600" s="28" t="s">
        <v>896</v>
      </c>
      <c r="F3600" t="s">
        <v>513</v>
      </c>
      <c r="G3600" t="s">
        <v>74</v>
      </c>
      <c r="M3600" s="28" t="s">
        <v>507</v>
      </c>
      <c r="N3600" t="s">
        <v>313</v>
      </c>
    </row>
    <row r="3601" spans="1:14" hidden="1" x14ac:dyDescent="0.25">
      <c r="A3601" t="s">
        <v>9382</v>
      </c>
      <c r="B3601" t="s">
        <v>4270</v>
      </c>
      <c r="C3601" t="s">
        <v>3654</v>
      </c>
      <c r="D3601" t="s">
        <v>4271</v>
      </c>
      <c r="E3601" s="28" t="s">
        <v>896</v>
      </c>
      <c r="F3601" t="s">
        <v>13206</v>
      </c>
      <c r="G3601" t="s">
        <v>88</v>
      </c>
      <c r="M3601" s="28" t="s">
        <v>549</v>
      </c>
      <c r="N3601" t="s">
        <v>313</v>
      </c>
    </row>
    <row r="3602" spans="1:14" hidden="1" x14ac:dyDescent="0.25">
      <c r="A3602" t="s">
        <v>8758</v>
      </c>
      <c r="B3602" t="s">
        <v>2991</v>
      </c>
      <c r="C3602" t="s">
        <v>2992</v>
      </c>
      <c r="D3602" t="s">
        <v>2993</v>
      </c>
      <c r="E3602" s="28" t="s">
        <v>896</v>
      </c>
      <c r="F3602" t="s">
        <v>543</v>
      </c>
      <c r="G3602" t="s">
        <v>86</v>
      </c>
      <c r="M3602" s="28" t="s">
        <v>546</v>
      </c>
      <c r="N3602" t="s">
        <v>313</v>
      </c>
    </row>
    <row r="3603" spans="1:14" hidden="1" x14ac:dyDescent="0.25">
      <c r="A3603" t="s">
        <v>8759</v>
      </c>
      <c r="B3603" t="s">
        <v>2991</v>
      </c>
      <c r="C3603" t="s">
        <v>2026</v>
      </c>
      <c r="D3603" t="s">
        <v>2994</v>
      </c>
      <c r="E3603" s="28" t="s">
        <v>890</v>
      </c>
      <c r="F3603" t="s">
        <v>543</v>
      </c>
      <c r="G3603" t="s">
        <v>86</v>
      </c>
      <c r="M3603" s="28" t="s">
        <v>546</v>
      </c>
      <c r="N3603" t="s">
        <v>313</v>
      </c>
    </row>
    <row r="3604" spans="1:14" hidden="1" x14ac:dyDescent="0.25">
      <c r="A3604" t="s">
        <v>9585</v>
      </c>
      <c r="B3604" t="s">
        <v>4703</v>
      </c>
      <c r="C3604" t="s">
        <v>4704</v>
      </c>
      <c r="D3604" t="s">
        <v>4705</v>
      </c>
      <c r="E3604" s="28" t="s">
        <v>896</v>
      </c>
      <c r="F3604" t="s">
        <v>4635</v>
      </c>
      <c r="G3604" t="s">
        <v>15</v>
      </c>
      <c r="M3604" s="28" t="s">
        <v>613</v>
      </c>
      <c r="N3604" t="s">
        <v>313</v>
      </c>
    </row>
    <row r="3605" spans="1:14" hidden="1" x14ac:dyDescent="0.25">
      <c r="A3605" t="s">
        <v>12420</v>
      </c>
      <c r="B3605" t="s">
        <v>12421</v>
      </c>
      <c r="C3605" t="s">
        <v>12422</v>
      </c>
      <c r="D3605" t="s">
        <v>12423</v>
      </c>
      <c r="E3605" s="28" t="s">
        <v>890</v>
      </c>
      <c r="F3605" t="s">
        <v>369</v>
      </c>
      <c r="G3605" t="s">
        <v>43</v>
      </c>
      <c r="M3605" s="28" t="s">
        <v>14205</v>
      </c>
    </row>
    <row r="3606" spans="1:14" hidden="1" x14ac:dyDescent="0.25">
      <c r="A3606" t="s">
        <v>9383</v>
      </c>
      <c r="B3606" t="s">
        <v>4272</v>
      </c>
      <c r="C3606" t="s">
        <v>1103</v>
      </c>
      <c r="D3606" t="s">
        <v>4273</v>
      </c>
      <c r="E3606" s="28" t="s">
        <v>896</v>
      </c>
      <c r="F3606" t="s">
        <v>891</v>
      </c>
      <c r="G3606" t="s">
        <v>88</v>
      </c>
      <c r="M3606" s="28" t="s">
        <v>549</v>
      </c>
      <c r="N3606" t="s">
        <v>313</v>
      </c>
    </row>
    <row r="3607" spans="1:14" hidden="1" x14ac:dyDescent="0.25">
      <c r="A3607" t="s">
        <v>9384</v>
      </c>
      <c r="B3607" t="s">
        <v>4272</v>
      </c>
      <c r="C3607" t="s">
        <v>3036</v>
      </c>
      <c r="D3607" t="s">
        <v>4274</v>
      </c>
      <c r="E3607" s="28" t="s">
        <v>896</v>
      </c>
      <c r="F3607" t="s">
        <v>594</v>
      </c>
      <c r="G3607" t="s">
        <v>88</v>
      </c>
      <c r="M3607" s="28" t="s">
        <v>549</v>
      </c>
      <c r="N3607" t="s">
        <v>313</v>
      </c>
    </row>
    <row r="3608" spans="1:14" hidden="1" x14ac:dyDescent="0.25">
      <c r="A3608" t="s">
        <v>9584</v>
      </c>
      <c r="B3608" t="s">
        <v>4700</v>
      </c>
      <c r="C3608" t="s">
        <v>4440</v>
      </c>
      <c r="D3608" t="s">
        <v>4701</v>
      </c>
      <c r="E3608" s="28" t="s">
        <v>890</v>
      </c>
      <c r="F3608" t="s">
        <v>685</v>
      </c>
      <c r="G3608" t="s">
        <v>15</v>
      </c>
      <c r="M3608" s="28" t="s">
        <v>613</v>
      </c>
      <c r="N3608" t="s">
        <v>313</v>
      </c>
    </row>
    <row r="3609" spans="1:14" hidden="1" x14ac:dyDescent="0.25">
      <c r="A3609" t="s">
        <v>9584</v>
      </c>
      <c r="B3609" t="s">
        <v>4700</v>
      </c>
      <c r="C3609" t="s">
        <v>4440</v>
      </c>
      <c r="D3609" t="s">
        <v>4702</v>
      </c>
      <c r="E3609" s="28" t="s">
        <v>890</v>
      </c>
      <c r="F3609" t="s">
        <v>702</v>
      </c>
      <c r="G3609" t="s">
        <v>15</v>
      </c>
      <c r="M3609" s="28" t="s">
        <v>613</v>
      </c>
      <c r="N3609" t="s">
        <v>313</v>
      </c>
    </row>
    <row r="3610" spans="1:14" hidden="1" x14ac:dyDescent="0.25">
      <c r="A3610" t="s">
        <v>14007</v>
      </c>
      <c r="B3610" t="s">
        <v>4700</v>
      </c>
      <c r="C3610" t="s">
        <v>4668</v>
      </c>
      <c r="D3610" t="s">
        <v>14008</v>
      </c>
      <c r="E3610" s="28" t="s">
        <v>890</v>
      </c>
      <c r="F3610" t="s">
        <v>646</v>
      </c>
      <c r="G3610" t="s">
        <v>15</v>
      </c>
      <c r="M3610" s="28" t="s">
        <v>613</v>
      </c>
      <c r="N3610" t="s">
        <v>313</v>
      </c>
    </row>
    <row r="3611" spans="1:14" hidden="1" x14ac:dyDescent="0.25">
      <c r="A3611" t="s">
        <v>7971</v>
      </c>
      <c r="B3611" t="s">
        <v>983</v>
      </c>
      <c r="C3611" t="s">
        <v>984</v>
      </c>
      <c r="D3611" t="s">
        <v>985</v>
      </c>
      <c r="E3611" s="28" t="s">
        <v>890</v>
      </c>
      <c r="F3611" t="s">
        <v>897</v>
      </c>
      <c r="G3611" t="s">
        <v>28</v>
      </c>
      <c r="M3611" s="28" t="s">
        <v>14241</v>
      </c>
      <c r="N3611" t="s">
        <v>14206</v>
      </c>
    </row>
    <row r="3612" spans="1:14" hidden="1" x14ac:dyDescent="0.25">
      <c r="A3612" t="s">
        <v>9385</v>
      </c>
      <c r="B3612" t="s">
        <v>4275</v>
      </c>
      <c r="C3612" t="s">
        <v>3461</v>
      </c>
      <c r="D3612" t="s">
        <v>4276</v>
      </c>
      <c r="E3612" s="28" t="s">
        <v>890</v>
      </c>
      <c r="F3612" t="s">
        <v>594</v>
      </c>
      <c r="G3612" t="s">
        <v>88</v>
      </c>
      <c r="M3612" s="28" t="s">
        <v>549</v>
      </c>
      <c r="N3612" t="s">
        <v>313</v>
      </c>
    </row>
    <row r="3613" spans="1:14" hidden="1" x14ac:dyDescent="0.25">
      <c r="A3613" t="s">
        <v>8417</v>
      </c>
      <c r="B3613" t="s">
        <v>2171</v>
      </c>
      <c r="C3613" t="s">
        <v>1266</v>
      </c>
      <c r="D3613" t="s">
        <v>2172</v>
      </c>
      <c r="E3613" s="28" t="s">
        <v>890</v>
      </c>
      <c r="F3613" t="s">
        <v>398</v>
      </c>
      <c r="G3613" t="s">
        <v>60</v>
      </c>
      <c r="M3613" s="28" t="s">
        <v>14207</v>
      </c>
    </row>
    <row r="3614" spans="1:14" hidden="1" x14ac:dyDescent="0.25">
      <c r="A3614" t="s">
        <v>9386</v>
      </c>
      <c r="B3614" t="s">
        <v>4277</v>
      </c>
      <c r="C3614" t="s">
        <v>3021</v>
      </c>
      <c r="D3614" t="s">
        <v>4278</v>
      </c>
      <c r="E3614" s="28" t="s">
        <v>1023</v>
      </c>
      <c r="F3614" t="s">
        <v>891</v>
      </c>
      <c r="G3614" t="s">
        <v>88</v>
      </c>
      <c r="M3614" s="28" t="s">
        <v>549</v>
      </c>
      <c r="N3614" t="s">
        <v>313</v>
      </c>
    </row>
    <row r="3615" spans="1:14" hidden="1" x14ac:dyDescent="0.25">
      <c r="A3615" t="s">
        <v>9387</v>
      </c>
      <c r="B3615" t="s">
        <v>4277</v>
      </c>
      <c r="C3615" t="s">
        <v>3447</v>
      </c>
      <c r="D3615" t="s">
        <v>4279</v>
      </c>
      <c r="E3615" s="28" t="s">
        <v>890</v>
      </c>
      <c r="F3615" t="s">
        <v>891</v>
      </c>
      <c r="G3615" t="s">
        <v>88</v>
      </c>
      <c r="M3615" s="28" t="s">
        <v>549</v>
      </c>
      <c r="N3615" t="s">
        <v>313</v>
      </c>
    </row>
    <row r="3616" spans="1:14" hidden="1" x14ac:dyDescent="0.25">
      <c r="A3616" t="s">
        <v>9388</v>
      </c>
      <c r="B3616" t="s">
        <v>4280</v>
      </c>
      <c r="C3616" t="s">
        <v>2095</v>
      </c>
      <c r="D3616" t="s">
        <v>4281</v>
      </c>
      <c r="E3616" s="28" t="s">
        <v>896</v>
      </c>
      <c r="F3616" t="s">
        <v>891</v>
      </c>
      <c r="G3616" t="s">
        <v>88</v>
      </c>
      <c r="M3616" s="28" t="s">
        <v>549</v>
      </c>
      <c r="N3616" t="s">
        <v>313</v>
      </c>
    </row>
    <row r="3617" spans="1:14" hidden="1" x14ac:dyDescent="0.25">
      <c r="A3617" t="s">
        <v>9389</v>
      </c>
      <c r="B3617" t="s">
        <v>4282</v>
      </c>
      <c r="C3617" t="s">
        <v>3298</v>
      </c>
      <c r="D3617" t="s">
        <v>4283</v>
      </c>
      <c r="E3617" s="28" t="s">
        <v>890</v>
      </c>
      <c r="F3617" t="s">
        <v>891</v>
      </c>
      <c r="G3617" t="s">
        <v>88</v>
      </c>
      <c r="M3617" s="28" t="s">
        <v>549</v>
      </c>
      <c r="N3617" t="s">
        <v>313</v>
      </c>
    </row>
    <row r="3618" spans="1:14" hidden="1" x14ac:dyDescent="0.25">
      <c r="A3618" t="s">
        <v>9390</v>
      </c>
      <c r="B3618" t="s">
        <v>4284</v>
      </c>
      <c r="C3618" t="s">
        <v>3539</v>
      </c>
      <c r="D3618" t="s">
        <v>4285</v>
      </c>
      <c r="E3618" s="28" t="s">
        <v>896</v>
      </c>
      <c r="F3618" t="s">
        <v>891</v>
      </c>
      <c r="G3618" t="s">
        <v>88</v>
      </c>
      <c r="M3618" s="28" t="s">
        <v>549</v>
      </c>
      <c r="N3618" t="s">
        <v>313</v>
      </c>
    </row>
    <row r="3619" spans="1:14" hidden="1" x14ac:dyDescent="0.25">
      <c r="A3619" t="s">
        <v>9391</v>
      </c>
      <c r="B3619" t="s">
        <v>4284</v>
      </c>
      <c r="C3619" t="s">
        <v>3461</v>
      </c>
      <c r="D3619" t="s">
        <v>4286</v>
      </c>
      <c r="E3619" s="28" t="s">
        <v>890</v>
      </c>
      <c r="F3619" t="s">
        <v>891</v>
      </c>
      <c r="G3619" t="s">
        <v>88</v>
      </c>
      <c r="M3619" s="28" t="s">
        <v>549</v>
      </c>
      <c r="N3619" t="s">
        <v>313</v>
      </c>
    </row>
    <row r="3620" spans="1:14" hidden="1" x14ac:dyDescent="0.25">
      <c r="A3620" t="s">
        <v>8171</v>
      </c>
      <c r="B3620" t="s">
        <v>1553</v>
      </c>
      <c r="C3620" t="s">
        <v>1477</v>
      </c>
      <c r="D3620" t="s">
        <v>1554</v>
      </c>
      <c r="E3620" s="28" t="s">
        <v>890</v>
      </c>
      <c r="F3620" t="s">
        <v>324</v>
      </c>
      <c r="G3620" t="s">
        <v>38</v>
      </c>
      <c r="M3620" s="28"/>
    </row>
    <row r="3621" spans="1:14" hidden="1" x14ac:dyDescent="0.25">
      <c r="A3621" t="s">
        <v>11198</v>
      </c>
      <c r="B3621" t="s">
        <v>11199</v>
      </c>
      <c r="C3621" t="s">
        <v>2014</v>
      </c>
      <c r="D3621" t="s">
        <v>11200</v>
      </c>
      <c r="E3621" s="28" t="s">
        <v>896</v>
      </c>
      <c r="F3621" t="s">
        <v>182</v>
      </c>
      <c r="G3621" t="s">
        <v>84</v>
      </c>
      <c r="M3621" s="28" t="s">
        <v>14223</v>
      </c>
      <c r="N3621" t="s">
        <v>313</v>
      </c>
    </row>
    <row r="3622" spans="1:14" hidden="1" x14ac:dyDescent="0.25">
      <c r="A3622" t="s">
        <v>11259</v>
      </c>
      <c r="B3622" t="s">
        <v>11260</v>
      </c>
      <c r="C3622" t="s">
        <v>11139</v>
      </c>
      <c r="D3622" t="s">
        <v>11261</v>
      </c>
      <c r="E3622" s="28" t="s">
        <v>896</v>
      </c>
      <c r="F3622" t="s">
        <v>11218</v>
      </c>
      <c r="G3622" t="s">
        <v>84</v>
      </c>
      <c r="M3622" s="28" t="s">
        <v>14223</v>
      </c>
      <c r="N3622" t="s">
        <v>313</v>
      </c>
    </row>
    <row r="3623" spans="1:14" hidden="1" x14ac:dyDescent="0.25">
      <c r="A3623" t="s">
        <v>10614</v>
      </c>
      <c r="B3623" t="s">
        <v>6872</v>
      </c>
      <c r="C3623" t="s">
        <v>6569</v>
      </c>
      <c r="D3623" t="s">
        <v>6873</v>
      </c>
      <c r="E3623" s="28" t="s">
        <v>890</v>
      </c>
      <c r="F3623" t="s">
        <v>2424</v>
      </c>
      <c r="G3623" t="s">
        <v>145</v>
      </c>
      <c r="M3623" s="28" t="s">
        <v>13222</v>
      </c>
      <c r="N3623" t="s">
        <v>313</v>
      </c>
    </row>
    <row r="3624" spans="1:14" hidden="1" x14ac:dyDescent="0.25">
      <c r="A3624" t="s">
        <v>8531</v>
      </c>
      <c r="B3624" t="s">
        <v>1060</v>
      </c>
      <c r="C3624" t="s">
        <v>1132</v>
      </c>
      <c r="D3624" t="s">
        <v>2440</v>
      </c>
      <c r="E3624" s="28" t="s">
        <v>890</v>
      </c>
      <c r="F3624" t="s">
        <v>13265</v>
      </c>
      <c r="G3624" t="s">
        <v>11</v>
      </c>
      <c r="M3624" s="28" t="s">
        <v>413</v>
      </c>
      <c r="N3624" t="s">
        <v>313</v>
      </c>
    </row>
    <row r="3625" spans="1:14" hidden="1" x14ac:dyDescent="0.25">
      <c r="A3625" t="s">
        <v>14009</v>
      </c>
      <c r="B3625" t="s">
        <v>1060</v>
      </c>
      <c r="C3625" t="s">
        <v>6547</v>
      </c>
      <c r="D3625" t="s">
        <v>14010</v>
      </c>
      <c r="E3625" s="28" t="s">
        <v>890</v>
      </c>
      <c r="F3625" t="s">
        <v>13265</v>
      </c>
      <c r="G3625" t="s">
        <v>11</v>
      </c>
      <c r="M3625" s="28" t="s">
        <v>413</v>
      </c>
      <c r="N3625" t="s">
        <v>313</v>
      </c>
    </row>
    <row r="3626" spans="1:14" hidden="1" x14ac:dyDescent="0.25">
      <c r="A3626" t="s">
        <v>8000</v>
      </c>
      <c r="B3626" t="s">
        <v>1060</v>
      </c>
      <c r="C3626" t="s">
        <v>1061</v>
      </c>
      <c r="D3626" t="s">
        <v>1062</v>
      </c>
      <c r="E3626" s="28" t="s">
        <v>890</v>
      </c>
      <c r="F3626" t="s">
        <v>275</v>
      </c>
      <c r="G3626" t="s">
        <v>31</v>
      </c>
      <c r="M3626" s="28" t="s">
        <v>278</v>
      </c>
      <c r="N3626" t="s">
        <v>279</v>
      </c>
    </row>
    <row r="3627" spans="1:14" hidden="1" x14ac:dyDescent="0.25">
      <c r="A3627" t="s">
        <v>10860</v>
      </c>
      <c r="B3627" t="s">
        <v>1060</v>
      </c>
      <c r="C3627" t="s">
        <v>7462</v>
      </c>
      <c r="D3627" t="s">
        <v>7463</v>
      </c>
      <c r="E3627" s="28" t="s">
        <v>896</v>
      </c>
      <c r="F3627" t="s">
        <v>7464</v>
      </c>
      <c r="G3627" t="s">
        <v>157</v>
      </c>
      <c r="M3627" s="28" t="s">
        <v>840</v>
      </c>
      <c r="N3627" t="s">
        <v>382</v>
      </c>
    </row>
    <row r="3628" spans="1:14" hidden="1" x14ac:dyDescent="0.25">
      <c r="A3628" t="s">
        <v>12064</v>
      </c>
      <c r="B3628" t="s">
        <v>2526</v>
      </c>
      <c r="C3628" t="s">
        <v>12065</v>
      </c>
      <c r="D3628" t="s">
        <v>12066</v>
      </c>
      <c r="E3628" s="28" t="s">
        <v>890</v>
      </c>
      <c r="F3628" t="s">
        <v>263</v>
      </c>
      <c r="G3628" t="s">
        <v>157</v>
      </c>
      <c r="M3628" s="28" t="s">
        <v>840</v>
      </c>
      <c r="N3628" t="s">
        <v>382</v>
      </c>
    </row>
    <row r="3629" spans="1:14" hidden="1" x14ac:dyDescent="0.25">
      <c r="A3629" t="s">
        <v>8487</v>
      </c>
      <c r="B3629" t="s">
        <v>2334</v>
      </c>
      <c r="C3629" t="s">
        <v>2335</v>
      </c>
      <c r="D3629" t="s">
        <v>2336</v>
      </c>
      <c r="E3629" s="28" t="s">
        <v>890</v>
      </c>
      <c r="F3629" t="s">
        <v>408</v>
      </c>
      <c r="G3629" t="s">
        <v>65</v>
      </c>
      <c r="M3629" s="28" t="s">
        <v>14209</v>
      </c>
    </row>
    <row r="3630" spans="1:14" hidden="1" x14ac:dyDescent="0.25">
      <c r="A3630" t="s">
        <v>14705</v>
      </c>
      <c r="B3630" t="s">
        <v>14706</v>
      </c>
      <c r="C3630" t="s">
        <v>1132</v>
      </c>
      <c r="D3630" t="s">
        <v>14707</v>
      </c>
      <c r="E3630" s="28" t="s">
        <v>896</v>
      </c>
      <c r="F3630" t="s">
        <v>289</v>
      </c>
      <c r="G3630" t="s">
        <v>31</v>
      </c>
      <c r="M3630" s="28" t="s">
        <v>278</v>
      </c>
      <c r="N3630" t="s">
        <v>279</v>
      </c>
    </row>
    <row r="3631" spans="1:14" hidden="1" x14ac:dyDescent="0.25">
      <c r="A3631" t="s">
        <v>8349</v>
      </c>
      <c r="B3631" t="s">
        <v>2006</v>
      </c>
      <c r="C3631" t="s">
        <v>1834</v>
      </c>
      <c r="D3631" t="s">
        <v>2007</v>
      </c>
      <c r="E3631" s="28" t="s">
        <v>896</v>
      </c>
      <c r="F3631" t="s">
        <v>386</v>
      </c>
      <c r="G3631" t="s">
        <v>47</v>
      </c>
      <c r="M3631" s="28" t="s">
        <v>13542</v>
      </c>
    </row>
    <row r="3632" spans="1:14" hidden="1" x14ac:dyDescent="0.25">
      <c r="A3632" t="s">
        <v>8474</v>
      </c>
      <c r="B3632" t="s">
        <v>2299</v>
      </c>
      <c r="C3632" t="s">
        <v>2300</v>
      </c>
      <c r="D3632" t="s">
        <v>2301</v>
      </c>
      <c r="E3632" s="28" t="s">
        <v>890</v>
      </c>
      <c r="F3632" t="s">
        <v>408</v>
      </c>
      <c r="G3632" t="s">
        <v>65</v>
      </c>
      <c r="M3632" s="28" t="s">
        <v>14209</v>
      </c>
    </row>
    <row r="3633" spans="1:14" hidden="1" x14ac:dyDescent="0.25">
      <c r="A3633" t="s">
        <v>8135</v>
      </c>
      <c r="B3633" t="s">
        <v>1458</v>
      </c>
      <c r="C3633" t="s">
        <v>1459</v>
      </c>
      <c r="D3633" t="s">
        <v>1460</v>
      </c>
      <c r="E3633" s="28" t="s">
        <v>896</v>
      </c>
      <c r="F3633" t="s">
        <v>331</v>
      </c>
      <c r="G3633" t="s">
        <v>38</v>
      </c>
      <c r="M3633" s="28"/>
    </row>
    <row r="3634" spans="1:14" hidden="1" x14ac:dyDescent="0.25">
      <c r="A3634" t="s">
        <v>8136</v>
      </c>
      <c r="B3634" t="s">
        <v>1458</v>
      </c>
      <c r="C3634" t="s">
        <v>1461</v>
      </c>
      <c r="D3634" t="s">
        <v>1462</v>
      </c>
      <c r="E3634" s="28" t="s">
        <v>890</v>
      </c>
      <c r="F3634" t="s">
        <v>331</v>
      </c>
      <c r="G3634" t="s">
        <v>38</v>
      </c>
      <c r="M3634" s="28"/>
    </row>
    <row r="3635" spans="1:14" hidden="1" x14ac:dyDescent="0.25">
      <c r="A3635" t="s">
        <v>8180</v>
      </c>
      <c r="B3635" t="s">
        <v>1571</v>
      </c>
      <c r="C3635" t="s">
        <v>1408</v>
      </c>
      <c r="D3635" t="s">
        <v>1572</v>
      </c>
      <c r="E3635" s="28" t="s">
        <v>896</v>
      </c>
      <c r="F3635" t="s">
        <v>340</v>
      </c>
      <c r="G3635" t="s">
        <v>38</v>
      </c>
      <c r="M3635" s="28"/>
    </row>
    <row r="3636" spans="1:14" hidden="1" x14ac:dyDescent="0.25">
      <c r="A3636" t="s">
        <v>8419</v>
      </c>
      <c r="B3636" t="s">
        <v>2175</v>
      </c>
      <c r="C3636" t="s">
        <v>2176</v>
      </c>
      <c r="D3636" t="s">
        <v>2177</v>
      </c>
      <c r="E3636" s="28" t="s">
        <v>890</v>
      </c>
      <c r="F3636" t="s">
        <v>405</v>
      </c>
      <c r="G3636" t="s">
        <v>62</v>
      </c>
      <c r="M3636" s="28" t="s">
        <v>14208</v>
      </c>
    </row>
    <row r="3637" spans="1:14" hidden="1" x14ac:dyDescent="0.25">
      <c r="A3637" t="s">
        <v>11046</v>
      </c>
      <c r="B3637" t="s">
        <v>11047</v>
      </c>
      <c r="C3637" t="s">
        <v>1805</v>
      </c>
      <c r="D3637" t="s">
        <v>11048</v>
      </c>
      <c r="E3637" s="28" t="s">
        <v>896</v>
      </c>
      <c r="F3637" t="s">
        <v>6584</v>
      </c>
      <c r="G3637" t="s">
        <v>84</v>
      </c>
      <c r="M3637" s="28" t="s">
        <v>14223</v>
      </c>
      <c r="N3637" t="s">
        <v>313</v>
      </c>
    </row>
    <row r="3638" spans="1:14" hidden="1" x14ac:dyDescent="0.25">
      <c r="A3638" t="s">
        <v>10861</v>
      </c>
      <c r="B3638" t="s">
        <v>7465</v>
      </c>
      <c r="C3638" t="s">
        <v>1227</v>
      </c>
      <c r="D3638" t="s">
        <v>7466</v>
      </c>
      <c r="E3638" s="28" t="s">
        <v>890</v>
      </c>
      <c r="F3638" t="s">
        <v>4635</v>
      </c>
      <c r="G3638" t="s">
        <v>157</v>
      </c>
      <c r="M3638" s="28" t="s">
        <v>840</v>
      </c>
      <c r="N3638" t="s">
        <v>382</v>
      </c>
    </row>
    <row r="3639" spans="1:14" hidden="1" x14ac:dyDescent="0.25">
      <c r="A3639" t="s">
        <v>8166</v>
      </c>
      <c r="B3639" t="s">
        <v>1536</v>
      </c>
      <c r="C3639" t="s">
        <v>1121</v>
      </c>
      <c r="D3639" t="s">
        <v>1540</v>
      </c>
      <c r="E3639" s="28" t="s">
        <v>890</v>
      </c>
      <c r="F3639" t="s">
        <v>340</v>
      </c>
      <c r="G3639" t="s">
        <v>38</v>
      </c>
      <c r="M3639" s="28"/>
    </row>
    <row r="3640" spans="1:14" hidden="1" x14ac:dyDescent="0.25">
      <c r="A3640" t="s">
        <v>8164</v>
      </c>
      <c r="B3640" t="s">
        <v>1536</v>
      </c>
      <c r="C3640" t="s">
        <v>906</v>
      </c>
      <c r="D3640" t="s">
        <v>1537</v>
      </c>
      <c r="E3640" s="28" t="s">
        <v>890</v>
      </c>
      <c r="F3640" t="s">
        <v>324</v>
      </c>
      <c r="G3640" t="s">
        <v>38</v>
      </c>
      <c r="M3640" s="28"/>
    </row>
    <row r="3641" spans="1:14" hidden="1" x14ac:dyDescent="0.25">
      <c r="A3641" t="s">
        <v>9583</v>
      </c>
      <c r="B3641" t="s">
        <v>4698</v>
      </c>
      <c r="C3641" t="s">
        <v>1483</v>
      </c>
      <c r="D3641" t="s">
        <v>4699</v>
      </c>
      <c r="E3641" s="28" t="s">
        <v>896</v>
      </c>
      <c r="F3641" t="s">
        <v>231</v>
      </c>
      <c r="G3641" t="s">
        <v>15</v>
      </c>
      <c r="M3641" s="28" t="s">
        <v>613</v>
      </c>
      <c r="N3641" t="s">
        <v>313</v>
      </c>
    </row>
    <row r="3642" spans="1:14" hidden="1" x14ac:dyDescent="0.25">
      <c r="A3642" t="s">
        <v>14011</v>
      </c>
      <c r="B3642" t="s">
        <v>14012</v>
      </c>
      <c r="C3642" t="s">
        <v>14013</v>
      </c>
      <c r="D3642" t="s">
        <v>14014</v>
      </c>
      <c r="E3642" s="28" t="s">
        <v>890</v>
      </c>
      <c r="F3642" t="s">
        <v>786</v>
      </c>
      <c r="G3642" t="s">
        <v>110</v>
      </c>
      <c r="M3642" s="28" t="s">
        <v>13563</v>
      </c>
      <c r="N3642" t="s">
        <v>279</v>
      </c>
    </row>
    <row r="3643" spans="1:14" hidden="1" x14ac:dyDescent="0.25">
      <c r="A3643" t="s">
        <v>9582</v>
      </c>
      <c r="B3643" t="s">
        <v>4696</v>
      </c>
      <c r="C3643" t="s">
        <v>4663</v>
      </c>
      <c r="D3643" t="s">
        <v>4697</v>
      </c>
      <c r="E3643" s="28" t="s">
        <v>896</v>
      </c>
      <c r="F3643" t="s">
        <v>4551</v>
      </c>
      <c r="G3643" t="s">
        <v>15</v>
      </c>
      <c r="M3643" s="28" t="s">
        <v>613</v>
      </c>
      <c r="N3643" t="s">
        <v>313</v>
      </c>
    </row>
    <row r="3644" spans="1:14" hidden="1" x14ac:dyDescent="0.25">
      <c r="A3644" t="s">
        <v>10376</v>
      </c>
      <c r="B3644" t="s">
        <v>6310</v>
      </c>
      <c r="C3644" t="s">
        <v>6311</v>
      </c>
      <c r="D3644" t="s">
        <v>6312</v>
      </c>
      <c r="E3644" s="28" t="s">
        <v>890</v>
      </c>
      <c r="F3644" t="s">
        <v>6313</v>
      </c>
      <c r="G3644" t="s">
        <v>110</v>
      </c>
      <c r="M3644" s="28" t="s">
        <v>13563</v>
      </c>
      <c r="N3644" t="s">
        <v>279</v>
      </c>
    </row>
    <row r="3645" spans="1:14" hidden="1" x14ac:dyDescent="0.25">
      <c r="A3645" t="s">
        <v>11423</v>
      </c>
      <c r="B3645" t="s">
        <v>11424</v>
      </c>
      <c r="C3645" t="s">
        <v>3031</v>
      </c>
      <c r="D3645" t="s">
        <v>11425</v>
      </c>
      <c r="E3645" s="28" t="s">
        <v>890</v>
      </c>
      <c r="F3645" t="s">
        <v>2957</v>
      </c>
      <c r="G3645" t="s">
        <v>84</v>
      </c>
      <c r="M3645" s="28" t="s">
        <v>14223</v>
      </c>
      <c r="N3645" t="s">
        <v>313</v>
      </c>
    </row>
    <row r="3646" spans="1:14" hidden="1" x14ac:dyDescent="0.25">
      <c r="A3646" t="s">
        <v>9581</v>
      </c>
      <c r="B3646" t="s">
        <v>4694</v>
      </c>
      <c r="C3646" t="s">
        <v>909</v>
      </c>
      <c r="D3646" t="s">
        <v>4695</v>
      </c>
      <c r="E3646" s="28" t="s">
        <v>890</v>
      </c>
      <c r="F3646" t="s">
        <v>727</v>
      </c>
      <c r="G3646" t="s">
        <v>15</v>
      </c>
      <c r="M3646" s="28" t="s">
        <v>613</v>
      </c>
      <c r="N3646" t="s">
        <v>313</v>
      </c>
    </row>
    <row r="3647" spans="1:14" hidden="1" x14ac:dyDescent="0.25">
      <c r="A3647" t="s">
        <v>9580</v>
      </c>
      <c r="B3647" t="s">
        <v>4692</v>
      </c>
      <c r="C3647" t="s">
        <v>4440</v>
      </c>
      <c r="D3647" t="s">
        <v>4693</v>
      </c>
      <c r="E3647" s="28" t="s">
        <v>896</v>
      </c>
      <c r="F3647" t="s">
        <v>718</v>
      </c>
      <c r="G3647" t="s">
        <v>15</v>
      </c>
      <c r="M3647" s="28" t="s">
        <v>613</v>
      </c>
      <c r="N3647" t="s">
        <v>313</v>
      </c>
    </row>
    <row r="3648" spans="1:14" hidden="1" x14ac:dyDescent="0.25">
      <c r="A3648" t="s">
        <v>9579</v>
      </c>
      <c r="B3648" t="s">
        <v>2805</v>
      </c>
      <c r="C3648" t="s">
        <v>4557</v>
      </c>
      <c r="D3648" t="s">
        <v>4691</v>
      </c>
      <c r="E3648" s="28" t="s">
        <v>896</v>
      </c>
      <c r="F3648" t="s">
        <v>702</v>
      </c>
      <c r="G3648" t="s">
        <v>15</v>
      </c>
      <c r="M3648" s="28" t="s">
        <v>613</v>
      </c>
      <c r="N3648" t="s">
        <v>313</v>
      </c>
    </row>
    <row r="3649" spans="1:14" hidden="1" x14ac:dyDescent="0.25">
      <c r="A3649" t="s">
        <v>9578</v>
      </c>
      <c r="B3649" t="s">
        <v>4689</v>
      </c>
      <c r="C3649" t="s">
        <v>4570</v>
      </c>
      <c r="D3649" t="s">
        <v>4690</v>
      </c>
      <c r="E3649" s="28" t="s">
        <v>896</v>
      </c>
      <c r="F3649" t="s">
        <v>13348</v>
      </c>
      <c r="G3649" t="s">
        <v>15</v>
      </c>
      <c r="M3649" s="28" t="s">
        <v>613</v>
      </c>
      <c r="N3649" t="s">
        <v>313</v>
      </c>
    </row>
    <row r="3650" spans="1:14" hidden="1" x14ac:dyDescent="0.25">
      <c r="A3650" t="s">
        <v>9576</v>
      </c>
      <c r="B3650" t="s">
        <v>4686</v>
      </c>
      <c r="C3650" t="s">
        <v>4553</v>
      </c>
      <c r="D3650" t="s">
        <v>4687</v>
      </c>
      <c r="E3650" s="28" t="s">
        <v>896</v>
      </c>
      <c r="F3650" t="s">
        <v>638</v>
      </c>
      <c r="G3650" t="s">
        <v>15</v>
      </c>
      <c r="M3650" s="28" t="s">
        <v>613</v>
      </c>
      <c r="N3650" t="s">
        <v>313</v>
      </c>
    </row>
    <row r="3651" spans="1:14" hidden="1" x14ac:dyDescent="0.25">
      <c r="A3651" t="s">
        <v>9577</v>
      </c>
      <c r="B3651" t="s">
        <v>4686</v>
      </c>
      <c r="C3651" t="s">
        <v>2772</v>
      </c>
      <c r="D3651" t="s">
        <v>4688</v>
      </c>
      <c r="E3651" s="28" t="s">
        <v>896</v>
      </c>
      <c r="F3651" t="s">
        <v>638</v>
      </c>
      <c r="G3651" t="s">
        <v>15</v>
      </c>
      <c r="M3651" s="28" t="s">
        <v>613</v>
      </c>
      <c r="N3651" t="s">
        <v>313</v>
      </c>
    </row>
    <row r="3652" spans="1:14" hidden="1" x14ac:dyDescent="0.25">
      <c r="A3652" t="s">
        <v>9575</v>
      </c>
      <c r="B3652" t="s">
        <v>4682</v>
      </c>
      <c r="C3652" t="s">
        <v>4683</v>
      </c>
      <c r="D3652" t="s">
        <v>4684</v>
      </c>
      <c r="E3652" s="28" t="s">
        <v>896</v>
      </c>
      <c r="F3652" t="s">
        <v>688</v>
      </c>
      <c r="G3652" t="s">
        <v>15</v>
      </c>
      <c r="M3652" s="28" t="s">
        <v>613</v>
      </c>
      <c r="N3652" t="s">
        <v>313</v>
      </c>
    </row>
    <row r="3653" spans="1:14" hidden="1" x14ac:dyDescent="0.25">
      <c r="A3653" t="s">
        <v>9574</v>
      </c>
      <c r="B3653" t="s">
        <v>4680</v>
      </c>
      <c r="C3653" t="s">
        <v>4606</v>
      </c>
      <c r="D3653" t="s">
        <v>4681</v>
      </c>
      <c r="E3653" s="28" t="s">
        <v>896</v>
      </c>
      <c r="F3653" t="s">
        <v>4601</v>
      </c>
      <c r="G3653" t="s">
        <v>15</v>
      </c>
      <c r="M3653" s="28" t="s">
        <v>613</v>
      </c>
      <c r="N3653" t="s">
        <v>313</v>
      </c>
    </row>
    <row r="3654" spans="1:14" hidden="1" x14ac:dyDescent="0.25">
      <c r="A3654" t="s">
        <v>9573</v>
      </c>
      <c r="B3654" t="s">
        <v>1463</v>
      </c>
      <c r="C3654" t="s">
        <v>1084</v>
      </c>
      <c r="D3654" t="s">
        <v>4678</v>
      </c>
      <c r="E3654" s="28" t="s">
        <v>890</v>
      </c>
      <c r="F3654" t="s">
        <v>4679</v>
      </c>
      <c r="G3654" t="s">
        <v>15</v>
      </c>
      <c r="M3654" s="28" t="s">
        <v>613</v>
      </c>
      <c r="N3654" t="s">
        <v>313</v>
      </c>
    </row>
    <row r="3655" spans="1:14" hidden="1" x14ac:dyDescent="0.25">
      <c r="A3655" t="s">
        <v>7998</v>
      </c>
      <c r="B3655" t="s">
        <v>1054</v>
      </c>
      <c r="C3655" t="s">
        <v>994</v>
      </c>
      <c r="D3655" t="s">
        <v>1055</v>
      </c>
      <c r="E3655" s="28" t="s">
        <v>930</v>
      </c>
      <c r="F3655" t="s">
        <v>32</v>
      </c>
      <c r="G3655" t="s">
        <v>28</v>
      </c>
      <c r="M3655" s="28" t="s">
        <v>14241</v>
      </c>
      <c r="N3655" t="s">
        <v>14206</v>
      </c>
    </row>
    <row r="3656" spans="1:14" hidden="1" x14ac:dyDescent="0.25">
      <c r="A3656" t="s">
        <v>9572</v>
      </c>
      <c r="B3656" t="s">
        <v>4673</v>
      </c>
      <c r="C3656" t="s">
        <v>4676</v>
      </c>
      <c r="D3656" t="s">
        <v>4677</v>
      </c>
      <c r="E3656" s="28" t="s">
        <v>890</v>
      </c>
      <c r="F3656" t="s">
        <v>4675</v>
      </c>
      <c r="G3656" t="s">
        <v>15</v>
      </c>
      <c r="M3656" s="28" t="s">
        <v>613</v>
      </c>
      <c r="N3656" t="s">
        <v>313</v>
      </c>
    </row>
    <row r="3657" spans="1:14" hidden="1" x14ac:dyDescent="0.25">
      <c r="A3657" t="s">
        <v>9571</v>
      </c>
      <c r="B3657" t="s">
        <v>4673</v>
      </c>
      <c r="C3657" t="s">
        <v>4549</v>
      </c>
      <c r="D3657" t="s">
        <v>4674</v>
      </c>
      <c r="E3657" s="28" t="s">
        <v>896</v>
      </c>
      <c r="F3657" t="s">
        <v>12558</v>
      </c>
      <c r="G3657" t="s">
        <v>15</v>
      </c>
      <c r="M3657" s="28" t="s">
        <v>613</v>
      </c>
      <c r="N3657" t="s">
        <v>313</v>
      </c>
    </row>
    <row r="3658" spans="1:14" hidden="1" x14ac:dyDescent="0.25">
      <c r="A3658" t="s">
        <v>7954</v>
      </c>
      <c r="B3658" t="s">
        <v>937</v>
      </c>
      <c r="C3658" t="s">
        <v>938</v>
      </c>
      <c r="D3658" t="s">
        <v>939</v>
      </c>
      <c r="E3658" s="28" t="s">
        <v>890</v>
      </c>
      <c r="F3658" t="s">
        <v>897</v>
      </c>
      <c r="G3658" t="s">
        <v>28</v>
      </c>
      <c r="M3658" s="28" t="s">
        <v>14241</v>
      </c>
      <c r="N3658" t="s">
        <v>14206</v>
      </c>
    </row>
    <row r="3659" spans="1:14" hidden="1" x14ac:dyDescent="0.25">
      <c r="A3659" t="s">
        <v>9570</v>
      </c>
      <c r="B3659" t="s">
        <v>4671</v>
      </c>
      <c r="C3659" t="s">
        <v>4640</v>
      </c>
      <c r="D3659" t="s">
        <v>4672</v>
      </c>
      <c r="E3659" s="28" t="s">
        <v>896</v>
      </c>
      <c r="F3659" t="s">
        <v>727</v>
      </c>
      <c r="G3659" t="s">
        <v>15</v>
      </c>
      <c r="M3659" s="28" t="s">
        <v>613</v>
      </c>
      <c r="N3659" t="s">
        <v>313</v>
      </c>
    </row>
    <row r="3660" spans="1:14" hidden="1" x14ac:dyDescent="0.25">
      <c r="A3660" t="s">
        <v>10862</v>
      </c>
      <c r="B3660" t="s">
        <v>7467</v>
      </c>
      <c r="C3660" t="s">
        <v>7468</v>
      </c>
      <c r="D3660" t="s">
        <v>7469</v>
      </c>
      <c r="E3660" s="28" t="s">
        <v>896</v>
      </c>
      <c r="F3660" t="s">
        <v>857</v>
      </c>
      <c r="G3660" t="s">
        <v>157</v>
      </c>
      <c r="M3660" s="28" t="s">
        <v>840</v>
      </c>
      <c r="N3660" t="s">
        <v>382</v>
      </c>
    </row>
    <row r="3661" spans="1:14" hidden="1" x14ac:dyDescent="0.25">
      <c r="A3661" t="s">
        <v>14015</v>
      </c>
      <c r="B3661" t="s">
        <v>14016</v>
      </c>
      <c r="C3661" t="s">
        <v>4726</v>
      </c>
      <c r="D3661" t="s">
        <v>14017</v>
      </c>
      <c r="E3661" s="28" t="s">
        <v>896</v>
      </c>
      <c r="F3661" t="s">
        <v>13355</v>
      </c>
      <c r="G3661" t="s">
        <v>15</v>
      </c>
      <c r="M3661" s="28" t="s">
        <v>613</v>
      </c>
      <c r="N3661" t="s">
        <v>313</v>
      </c>
    </row>
    <row r="3662" spans="1:14" hidden="1" x14ac:dyDescent="0.25">
      <c r="A3662" t="s">
        <v>9569</v>
      </c>
      <c r="B3662" t="s">
        <v>4667</v>
      </c>
      <c r="C3662" t="s">
        <v>4668</v>
      </c>
      <c r="D3662" t="s">
        <v>4669</v>
      </c>
      <c r="E3662" s="28" t="s">
        <v>896</v>
      </c>
      <c r="F3662" t="s">
        <v>688</v>
      </c>
      <c r="G3662" t="s">
        <v>15</v>
      </c>
      <c r="M3662" s="28" t="s">
        <v>613</v>
      </c>
      <c r="N3662" t="s">
        <v>313</v>
      </c>
    </row>
    <row r="3663" spans="1:14" hidden="1" x14ac:dyDescent="0.25">
      <c r="A3663" t="s">
        <v>9392</v>
      </c>
      <c r="B3663" t="s">
        <v>4287</v>
      </c>
      <c r="C3663" t="s">
        <v>3585</v>
      </c>
      <c r="D3663" t="s">
        <v>4288</v>
      </c>
      <c r="E3663" s="28" t="s">
        <v>890</v>
      </c>
      <c r="F3663" t="s">
        <v>891</v>
      </c>
      <c r="G3663" t="s">
        <v>88</v>
      </c>
      <c r="M3663" s="28" t="s">
        <v>549</v>
      </c>
      <c r="N3663" t="s">
        <v>313</v>
      </c>
    </row>
    <row r="3664" spans="1:14" hidden="1" x14ac:dyDescent="0.25">
      <c r="A3664" t="s">
        <v>9393</v>
      </c>
      <c r="B3664" t="s">
        <v>4287</v>
      </c>
      <c r="C3664" t="s">
        <v>3044</v>
      </c>
      <c r="D3664" t="s">
        <v>4289</v>
      </c>
      <c r="E3664" s="28" t="s">
        <v>890</v>
      </c>
      <c r="F3664" t="s">
        <v>566</v>
      </c>
      <c r="G3664" t="s">
        <v>88</v>
      </c>
      <c r="M3664" s="28" t="s">
        <v>549</v>
      </c>
      <c r="N3664" t="s">
        <v>313</v>
      </c>
    </row>
    <row r="3665" spans="1:14" hidden="1" x14ac:dyDescent="0.25">
      <c r="A3665" t="s">
        <v>9394</v>
      </c>
      <c r="B3665" t="s">
        <v>4290</v>
      </c>
      <c r="C3665" t="s">
        <v>3036</v>
      </c>
      <c r="D3665" t="s">
        <v>4291</v>
      </c>
      <c r="E3665" s="28" t="s">
        <v>896</v>
      </c>
      <c r="F3665" t="s">
        <v>891</v>
      </c>
      <c r="G3665" t="s">
        <v>88</v>
      </c>
      <c r="M3665" s="28" t="s">
        <v>549</v>
      </c>
      <c r="N3665" t="s">
        <v>313</v>
      </c>
    </row>
    <row r="3666" spans="1:14" hidden="1" x14ac:dyDescent="0.25">
      <c r="A3666" t="s">
        <v>9395</v>
      </c>
      <c r="B3666" t="s">
        <v>4290</v>
      </c>
      <c r="C3666" t="s">
        <v>3702</v>
      </c>
      <c r="D3666" t="s">
        <v>4292</v>
      </c>
      <c r="E3666" s="28" t="s">
        <v>890</v>
      </c>
      <c r="F3666" t="s">
        <v>891</v>
      </c>
      <c r="G3666" t="s">
        <v>88</v>
      </c>
      <c r="M3666" s="28" t="s">
        <v>549</v>
      </c>
      <c r="N3666" t="s">
        <v>313</v>
      </c>
    </row>
    <row r="3667" spans="1:14" hidden="1" x14ac:dyDescent="0.25">
      <c r="A3667" t="s">
        <v>9568</v>
      </c>
      <c r="B3667" t="s">
        <v>4665</v>
      </c>
      <c r="C3667" t="s">
        <v>4553</v>
      </c>
      <c r="D3667" t="s">
        <v>4666</v>
      </c>
      <c r="E3667" s="28" t="s">
        <v>930</v>
      </c>
      <c r="F3667" t="s">
        <v>4610</v>
      </c>
      <c r="G3667" t="s">
        <v>15</v>
      </c>
      <c r="M3667" s="28" t="s">
        <v>613</v>
      </c>
      <c r="N3667" t="s">
        <v>313</v>
      </c>
    </row>
    <row r="3668" spans="1:14" hidden="1" x14ac:dyDescent="0.25">
      <c r="A3668" t="s">
        <v>10863</v>
      </c>
      <c r="B3668" t="s">
        <v>7470</v>
      </c>
      <c r="C3668" t="s">
        <v>1150</v>
      </c>
      <c r="D3668" t="s">
        <v>7471</v>
      </c>
      <c r="E3668" s="28" t="s">
        <v>890</v>
      </c>
      <c r="F3668" t="s">
        <v>843</v>
      </c>
      <c r="G3668" t="s">
        <v>157</v>
      </c>
      <c r="M3668" s="28" t="s">
        <v>840</v>
      </c>
      <c r="N3668" t="s">
        <v>382</v>
      </c>
    </row>
    <row r="3669" spans="1:14" hidden="1" x14ac:dyDescent="0.25">
      <c r="A3669" t="s">
        <v>9396</v>
      </c>
      <c r="B3669" t="s">
        <v>4293</v>
      </c>
      <c r="C3669" t="s">
        <v>3271</v>
      </c>
      <c r="D3669" t="s">
        <v>4294</v>
      </c>
      <c r="E3669" s="28" t="s">
        <v>890</v>
      </c>
      <c r="F3669" t="s">
        <v>11562</v>
      </c>
      <c r="G3669" t="s">
        <v>88</v>
      </c>
      <c r="M3669" s="28" t="s">
        <v>549</v>
      </c>
      <c r="N3669" t="s">
        <v>313</v>
      </c>
    </row>
    <row r="3670" spans="1:14" hidden="1" x14ac:dyDescent="0.25">
      <c r="A3670" t="s">
        <v>8312</v>
      </c>
      <c r="B3670" t="s">
        <v>1904</v>
      </c>
      <c r="C3670" t="s">
        <v>1905</v>
      </c>
      <c r="D3670" t="s">
        <v>1906</v>
      </c>
      <c r="E3670" s="28" t="s">
        <v>890</v>
      </c>
      <c r="F3670" t="s">
        <v>891</v>
      </c>
      <c r="G3670" t="s">
        <v>43</v>
      </c>
      <c r="M3670" s="28" t="s">
        <v>14205</v>
      </c>
    </row>
    <row r="3671" spans="1:14" hidden="1" x14ac:dyDescent="0.25">
      <c r="A3671" t="s">
        <v>8190</v>
      </c>
      <c r="B3671" t="s">
        <v>1593</v>
      </c>
      <c r="C3671" t="s">
        <v>1594</v>
      </c>
      <c r="D3671" t="s">
        <v>1595</v>
      </c>
      <c r="E3671" s="28" t="s">
        <v>890</v>
      </c>
      <c r="F3671" t="s">
        <v>340</v>
      </c>
      <c r="G3671" t="s">
        <v>38</v>
      </c>
      <c r="M3671" s="28"/>
    </row>
    <row r="3672" spans="1:14" hidden="1" x14ac:dyDescent="0.25">
      <c r="A3672" t="s">
        <v>9567</v>
      </c>
      <c r="B3672" t="s">
        <v>4662</v>
      </c>
      <c r="C3672" t="s">
        <v>4663</v>
      </c>
      <c r="D3672" t="s">
        <v>4664</v>
      </c>
      <c r="E3672" s="28" t="s">
        <v>896</v>
      </c>
      <c r="F3672" t="s">
        <v>625</v>
      </c>
      <c r="G3672" t="s">
        <v>15</v>
      </c>
      <c r="M3672" s="28" t="s">
        <v>613</v>
      </c>
      <c r="N3672" t="s">
        <v>313</v>
      </c>
    </row>
    <row r="3673" spans="1:14" hidden="1" x14ac:dyDescent="0.25">
      <c r="A3673" t="s">
        <v>9566</v>
      </c>
      <c r="B3673" t="s">
        <v>4660</v>
      </c>
      <c r="C3673" t="s">
        <v>2184</v>
      </c>
      <c r="D3673" t="s">
        <v>4661</v>
      </c>
      <c r="E3673" s="28" t="s">
        <v>896</v>
      </c>
      <c r="F3673" t="s">
        <v>208</v>
      </c>
      <c r="G3673" t="s">
        <v>15</v>
      </c>
      <c r="M3673" s="28" t="s">
        <v>613</v>
      </c>
      <c r="N3673" t="s">
        <v>313</v>
      </c>
    </row>
    <row r="3674" spans="1:14" hidden="1" x14ac:dyDescent="0.25">
      <c r="A3674" t="s">
        <v>9565</v>
      </c>
      <c r="B3674" t="s">
        <v>4657</v>
      </c>
      <c r="C3674" t="s">
        <v>4658</v>
      </c>
      <c r="D3674" t="s">
        <v>4659</v>
      </c>
      <c r="E3674" s="28" t="s">
        <v>1023</v>
      </c>
      <c r="F3674" t="s">
        <v>615</v>
      </c>
      <c r="G3674" t="s">
        <v>15</v>
      </c>
      <c r="M3674" s="28" t="s">
        <v>613</v>
      </c>
      <c r="N3674" t="s">
        <v>313</v>
      </c>
    </row>
    <row r="3675" spans="1:14" hidden="1" x14ac:dyDescent="0.25">
      <c r="A3675" t="s">
        <v>9397</v>
      </c>
      <c r="B3675" t="s">
        <v>4295</v>
      </c>
      <c r="C3675" t="s">
        <v>3796</v>
      </c>
      <c r="D3675" t="s">
        <v>4296</v>
      </c>
      <c r="E3675" s="28" t="s">
        <v>890</v>
      </c>
      <c r="F3675" t="s">
        <v>891</v>
      </c>
      <c r="G3675" t="s">
        <v>88</v>
      </c>
      <c r="M3675" s="28" t="s">
        <v>549</v>
      </c>
      <c r="N3675" t="s">
        <v>313</v>
      </c>
    </row>
    <row r="3676" spans="1:14" hidden="1" x14ac:dyDescent="0.25">
      <c r="A3676" t="s">
        <v>9398</v>
      </c>
      <c r="B3676" t="s">
        <v>4295</v>
      </c>
      <c r="C3676" t="s">
        <v>3021</v>
      </c>
      <c r="D3676" t="s">
        <v>4297</v>
      </c>
      <c r="E3676" s="28" t="s">
        <v>896</v>
      </c>
      <c r="F3676" t="s">
        <v>550</v>
      </c>
      <c r="G3676" t="s">
        <v>88</v>
      </c>
      <c r="M3676" s="28" t="s">
        <v>549</v>
      </c>
      <c r="N3676" t="s">
        <v>313</v>
      </c>
    </row>
    <row r="3677" spans="1:14" hidden="1" x14ac:dyDescent="0.25">
      <c r="A3677" t="s">
        <v>9399</v>
      </c>
      <c r="B3677" t="s">
        <v>4298</v>
      </c>
      <c r="C3677" t="s">
        <v>3563</v>
      </c>
      <c r="D3677" t="s">
        <v>4299</v>
      </c>
      <c r="E3677" s="28" t="s">
        <v>890</v>
      </c>
      <c r="F3677" t="s">
        <v>588</v>
      </c>
      <c r="G3677" t="s">
        <v>88</v>
      </c>
      <c r="M3677" s="28" t="s">
        <v>549</v>
      </c>
      <c r="N3677" t="s">
        <v>313</v>
      </c>
    </row>
    <row r="3678" spans="1:14" hidden="1" x14ac:dyDescent="0.25">
      <c r="A3678" t="s">
        <v>10945</v>
      </c>
      <c r="B3678" t="s">
        <v>10946</v>
      </c>
      <c r="C3678" t="s">
        <v>10947</v>
      </c>
      <c r="D3678" t="s">
        <v>10948</v>
      </c>
      <c r="E3678" s="28" t="s">
        <v>896</v>
      </c>
      <c r="F3678" t="s">
        <v>13197</v>
      </c>
      <c r="G3678" t="s">
        <v>81</v>
      </c>
      <c r="M3678" s="28" t="s">
        <v>530</v>
      </c>
      <c r="N3678" t="s">
        <v>313</v>
      </c>
    </row>
    <row r="3679" spans="1:14" hidden="1" x14ac:dyDescent="0.25">
      <c r="A3679" t="s">
        <v>9564</v>
      </c>
      <c r="B3679" t="s">
        <v>4654</v>
      </c>
      <c r="C3679" t="s">
        <v>4655</v>
      </c>
      <c r="D3679" t="s">
        <v>4656</v>
      </c>
      <c r="E3679" s="28" t="s">
        <v>896</v>
      </c>
      <c r="F3679" t="s">
        <v>662</v>
      </c>
      <c r="G3679" t="s">
        <v>15</v>
      </c>
      <c r="M3679" s="28" t="s">
        <v>613</v>
      </c>
      <c r="N3679" t="s">
        <v>313</v>
      </c>
    </row>
    <row r="3680" spans="1:14" hidden="1" x14ac:dyDescent="0.25">
      <c r="A3680" t="s">
        <v>9563</v>
      </c>
      <c r="B3680" t="s">
        <v>4652</v>
      </c>
      <c r="C3680" t="s">
        <v>1084</v>
      </c>
      <c r="D3680" t="s">
        <v>4653</v>
      </c>
      <c r="E3680" s="28" t="s">
        <v>890</v>
      </c>
      <c r="F3680" t="s">
        <v>625</v>
      </c>
      <c r="G3680" t="s">
        <v>15</v>
      </c>
      <c r="M3680" s="28" t="s">
        <v>613</v>
      </c>
      <c r="N3680" t="s">
        <v>313</v>
      </c>
    </row>
    <row r="3681" spans="1:14" hidden="1" x14ac:dyDescent="0.25">
      <c r="A3681" t="s">
        <v>9562</v>
      </c>
      <c r="B3681" t="s">
        <v>4649</v>
      </c>
      <c r="C3681" t="s">
        <v>4650</v>
      </c>
      <c r="D3681" t="s">
        <v>4651</v>
      </c>
      <c r="E3681" s="28" t="s">
        <v>890</v>
      </c>
      <c r="F3681" t="s">
        <v>197</v>
      </c>
      <c r="G3681" t="s">
        <v>15</v>
      </c>
      <c r="M3681" s="28" t="s">
        <v>613</v>
      </c>
      <c r="N3681" t="s">
        <v>313</v>
      </c>
    </row>
    <row r="3682" spans="1:14" hidden="1" x14ac:dyDescent="0.25">
      <c r="A3682" t="s">
        <v>10554</v>
      </c>
      <c r="B3682" t="s">
        <v>6768</v>
      </c>
      <c r="C3682" t="s">
        <v>1676</v>
      </c>
      <c r="D3682" t="s">
        <v>6769</v>
      </c>
      <c r="E3682" s="28" t="s">
        <v>890</v>
      </c>
      <c r="F3682" t="s">
        <v>6631</v>
      </c>
      <c r="G3682" t="s">
        <v>137</v>
      </c>
      <c r="M3682" s="28" t="s">
        <v>805</v>
      </c>
      <c r="N3682" t="s">
        <v>313</v>
      </c>
    </row>
    <row r="3683" spans="1:14" hidden="1" x14ac:dyDescent="0.25">
      <c r="A3683" t="s">
        <v>10566</v>
      </c>
      <c r="B3683" t="s">
        <v>6768</v>
      </c>
      <c r="C3683" t="s">
        <v>1885</v>
      </c>
      <c r="D3683" t="s">
        <v>6788</v>
      </c>
      <c r="E3683" s="28" t="s">
        <v>890</v>
      </c>
      <c r="F3683" t="s">
        <v>6631</v>
      </c>
      <c r="G3683" t="s">
        <v>137</v>
      </c>
      <c r="M3683" s="28" t="s">
        <v>805</v>
      </c>
      <c r="N3683" t="s">
        <v>313</v>
      </c>
    </row>
    <row r="3684" spans="1:14" hidden="1" x14ac:dyDescent="0.25">
      <c r="A3684" t="s">
        <v>10567</v>
      </c>
      <c r="B3684" t="s">
        <v>6768</v>
      </c>
      <c r="C3684" t="s">
        <v>6789</v>
      </c>
      <c r="D3684" t="s">
        <v>6790</v>
      </c>
      <c r="E3684" s="28" t="s">
        <v>930</v>
      </c>
      <c r="F3684" t="s">
        <v>6631</v>
      </c>
      <c r="G3684" t="s">
        <v>137</v>
      </c>
      <c r="M3684" s="28" t="s">
        <v>805</v>
      </c>
      <c r="N3684" t="s">
        <v>313</v>
      </c>
    </row>
    <row r="3685" spans="1:14" hidden="1" x14ac:dyDescent="0.25">
      <c r="A3685" t="s">
        <v>9561</v>
      </c>
      <c r="B3685" t="s">
        <v>4646</v>
      </c>
      <c r="C3685" t="s">
        <v>4536</v>
      </c>
      <c r="D3685" t="s">
        <v>4647</v>
      </c>
      <c r="E3685" s="28" t="s">
        <v>896</v>
      </c>
      <c r="F3685" t="s">
        <v>4648</v>
      </c>
      <c r="G3685" t="s">
        <v>15</v>
      </c>
      <c r="M3685" s="28" t="s">
        <v>613</v>
      </c>
      <c r="N3685" t="s">
        <v>313</v>
      </c>
    </row>
    <row r="3686" spans="1:14" hidden="1" x14ac:dyDescent="0.25">
      <c r="A3686" t="s">
        <v>14410</v>
      </c>
      <c r="B3686" t="s">
        <v>14411</v>
      </c>
      <c r="C3686" t="s">
        <v>1160</v>
      </c>
      <c r="D3686" t="s">
        <v>14018</v>
      </c>
      <c r="E3686" s="28" t="s">
        <v>1177</v>
      </c>
      <c r="F3686" t="s">
        <v>13635</v>
      </c>
      <c r="G3686" t="s">
        <v>81</v>
      </c>
      <c r="M3686" s="28" t="s">
        <v>530</v>
      </c>
      <c r="N3686" t="s">
        <v>313</v>
      </c>
    </row>
    <row r="3687" spans="1:14" hidden="1" x14ac:dyDescent="0.25">
      <c r="A3687" t="s">
        <v>14412</v>
      </c>
      <c r="B3687" t="s">
        <v>14411</v>
      </c>
      <c r="C3687" t="s">
        <v>1321</v>
      </c>
      <c r="D3687" t="s">
        <v>11785</v>
      </c>
      <c r="E3687" s="28" t="s">
        <v>896</v>
      </c>
      <c r="F3687" t="s">
        <v>13198</v>
      </c>
      <c r="G3687" t="s">
        <v>81</v>
      </c>
      <c r="M3687" s="28" t="s">
        <v>530</v>
      </c>
      <c r="N3687" t="s">
        <v>313</v>
      </c>
    </row>
    <row r="3688" spans="1:14" hidden="1" x14ac:dyDescent="0.25">
      <c r="A3688" t="s">
        <v>9560</v>
      </c>
      <c r="B3688" t="s">
        <v>4644</v>
      </c>
      <c r="C3688" t="s">
        <v>4549</v>
      </c>
      <c r="D3688" t="s">
        <v>4645</v>
      </c>
      <c r="E3688" s="28" t="s">
        <v>890</v>
      </c>
      <c r="F3688" t="s">
        <v>241</v>
      </c>
      <c r="G3688" t="s">
        <v>15</v>
      </c>
      <c r="M3688" s="28" t="s">
        <v>613</v>
      </c>
      <c r="N3688" t="s">
        <v>313</v>
      </c>
    </row>
    <row r="3689" spans="1:14" hidden="1" x14ac:dyDescent="0.25">
      <c r="A3689" t="s">
        <v>7936</v>
      </c>
      <c r="B3689" t="s">
        <v>2838</v>
      </c>
      <c r="C3689" t="s">
        <v>1949</v>
      </c>
      <c r="D3689" t="s">
        <v>2839</v>
      </c>
      <c r="E3689" s="28" t="s">
        <v>896</v>
      </c>
      <c r="F3689" t="s">
        <v>174</v>
      </c>
      <c r="G3689" t="s">
        <v>81</v>
      </c>
      <c r="M3689" s="28" t="s">
        <v>530</v>
      </c>
      <c r="N3689" t="s">
        <v>313</v>
      </c>
    </row>
    <row r="3690" spans="1:14" hidden="1" x14ac:dyDescent="0.25">
      <c r="A3690" t="s">
        <v>9400</v>
      </c>
      <c r="B3690" t="s">
        <v>4300</v>
      </c>
      <c r="C3690" t="s">
        <v>3044</v>
      </c>
      <c r="D3690" t="s">
        <v>4301</v>
      </c>
      <c r="E3690" s="28" t="s">
        <v>890</v>
      </c>
      <c r="F3690" t="s">
        <v>891</v>
      </c>
      <c r="G3690" t="s">
        <v>88</v>
      </c>
      <c r="M3690" s="28" t="s">
        <v>549</v>
      </c>
      <c r="N3690" t="s">
        <v>313</v>
      </c>
    </row>
    <row r="3691" spans="1:14" hidden="1" x14ac:dyDescent="0.25">
      <c r="A3691" t="s">
        <v>9401</v>
      </c>
      <c r="B3691" t="s">
        <v>4302</v>
      </c>
      <c r="C3691" t="s">
        <v>2108</v>
      </c>
      <c r="D3691" t="s">
        <v>4303</v>
      </c>
      <c r="E3691" s="28" t="s">
        <v>930</v>
      </c>
      <c r="F3691" t="s">
        <v>891</v>
      </c>
      <c r="G3691" t="s">
        <v>88</v>
      </c>
      <c r="M3691" s="28" t="s">
        <v>549</v>
      </c>
      <c r="N3691" t="s">
        <v>313</v>
      </c>
    </row>
    <row r="3692" spans="1:14" hidden="1" x14ac:dyDescent="0.25">
      <c r="A3692" t="s">
        <v>9402</v>
      </c>
      <c r="B3692" t="s">
        <v>4302</v>
      </c>
      <c r="C3692" t="s">
        <v>3009</v>
      </c>
      <c r="D3692" t="s">
        <v>4304</v>
      </c>
      <c r="E3692" s="28" t="s">
        <v>896</v>
      </c>
      <c r="F3692" t="s">
        <v>891</v>
      </c>
      <c r="G3692" t="s">
        <v>88</v>
      </c>
      <c r="M3692" s="28" t="s">
        <v>549</v>
      </c>
      <c r="N3692" t="s">
        <v>313</v>
      </c>
    </row>
    <row r="3693" spans="1:14" hidden="1" x14ac:dyDescent="0.25">
      <c r="A3693" t="s">
        <v>9403</v>
      </c>
      <c r="B3693" t="s">
        <v>4305</v>
      </c>
      <c r="C3693" t="s">
        <v>3025</v>
      </c>
      <c r="D3693" t="s">
        <v>4306</v>
      </c>
      <c r="E3693" s="28" t="s">
        <v>896</v>
      </c>
      <c r="F3693" t="s">
        <v>588</v>
      </c>
      <c r="G3693" t="s">
        <v>88</v>
      </c>
      <c r="M3693" s="28" t="s">
        <v>549</v>
      </c>
      <c r="N3693" t="s">
        <v>313</v>
      </c>
    </row>
    <row r="3694" spans="1:14" hidden="1" x14ac:dyDescent="0.25">
      <c r="A3694" t="s">
        <v>9404</v>
      </c>
      <c r="B3694" t="s">
        <v>4307</v>
      </c>
      <c r="C3694" t="s">
        <v>1224</v>
      </c>
      <c r="D3694" t="s">
        <v>4308</v>
      </c>
      <c r="E3694" s="28" t="s">
        <v>930</v>
      </c>
      <c r="F3694" t="s">
        <v>891</v>
      </c>
      <c r="G3694" t="s">
        <v>88</v>
      </c>
      <c r="M3694" s="28" t="s">
        <v>549</v>
      </c>
      <c r="N3694" t="s">
        <v>313</v>
      </c>
    </row>
    <row r="3695" spans="1:14" hidden="1" x14ac:dyDescent="0.25">
      <c r="A3695" t="s">
        <v>9405</v>
      </c>
      <c r="B3695" t="s">
        <v>4307</v>
      </c>
      <c r="C3695" t="s">
        <v>3087</v>
      </c>
      <c r="D3695" t="s">
        <v>4309</v>
      </c>
      <c r="E3695" s="28" t="s">
        <v>896</v>
      </c>
      <c r="F3695" t="s">
        <v>891</v>
      </c>
      <c r="G3695" t="s">
        <v>88</v>
      </c>
      <c r="M3695" s="28" t="s">
        <v>549</v>
      </c>
      <c r="N3695" t="s">
        <v>313</v>
      </c>
    </row>
    <row r="3696" spans="1:14" hidden="1" x14ac:dyDescent="0.25">
      <c r="A3696" t="s">
        <v>9406</v>
      </c>
      <c r="B3696" t="s">
        <v>4310</v>
      </c>
      <c r="C3696" t="s">
        <v>3330</v>
      </c>
      <c r="D3696" t="s">
        <v>4311</v>
      </c>
      <c r="E3696" s="28" t="s">
        <v>896</v>
      </c>
      <c r="F3696" t="s">
        <v>891</v>
      </c>
      <c r="G3696" t="s">
        <v>88</v>
      </c>
      <c r="M3696" s="28" t="s">
        <v>549</v>
      </c>
      <c r="N3696" t="s">
        <v>313</v>
      </c>
    </row>
    <row r="3697" spans="1:14" hidden="1" x14ac:dyDescent="0.25">
      <c r="A3697" t="s">
        <v>9407</v>
      </c>
      <c r="B3697" t="s">
        <v>4312</v>
      </c>
      <c r="C3697" t="s">
        <v>3031</v>
      </c>
      <c r="D3697" t="s">
        <v>4313</v>
      </c>
      <c r="E3697" s="28" t="s">
        <v>896</v>
      </c>
      <c r="F3697" t="s">
        <v>891</v>
      </c>
      <c r="G3697" t="s">
        <v>88</v>
      </c>
      <c r="M3697" s="28" t="s">
        <v>549</v>
      </c>
      <c r="N3697" t="s">
        <v>313</v>
      </c>
    </row>
    <row r="3698" spans="1:14" hidden="1" x14ac:dyDescent="0.25">
      <c r="A3698" t="s">
        <v>9408</v>
      </c>
      <c r="B3698" t="s">
        <v>4314</v>
      </c>
      <c r="C3698" t="s">
        <v>3651</v>
      </c>
      <c r="D3698" t="s">
        <v>4315</v>
      </c>
      <c r="E3698" s="28" t="s">
        <v>890</v>
      </c>
      <c r="F3698" t="s">
        <v>891</v>
      </c>
      <c r="G3698" t="s">
        <v>88</v>
      </c>
      <c r="M3698" s="28" t="s">
        <v>549</v>
      </c>
      <c r="N3698" t="s">
        <v>313</v>
      </c>
    </row>
    <row r="3699" spans="1:14" hidden="1" x14ac:dyDescent="0.25">
      <c r="A3699" t="s">
        <v>14576</v>
      </c>
      <c r="B3699" t="s">
        <v>1465</v>
      </c>
      <c r="C3699" t="s">
        <v>14577</v>
      </c>
      <c r="D3699" t="s">
        <v>14578</v>
      </c>
      <c r="E3699" s="28" t="s">
        <v>1177</v>
      </c>
      <c r="F3699" t="s">
        <v>324</v>
      </c>
      <c r="G3699" t="s">
        <v>38</v>
      </c>
      <c r="M3699" s="28"/>
    </row>
    <row r="3700" spans="1:14" hidden="1" x14ac:dyDescent="0.25">
      <c r="A3700" t="s">
        <v>8201</v>
      </c>
      <c r="B3700" t="s">
        <v>1465</v>
      </c>
      <c r="C3700" t="s">
        <v>1620</v>
      </c>
      <c r="D3700" t="s">
        <v>1621</v>
      </c>
      <c r="E3700" s="28" t="s">
        <v>1023</v>
      </c>
      <c r="F3700" t="s">
        <v>324</v>
      </c>
      <c r="G3700" t="s">
        <v>38</v>
      </c>
      <c r="M3700" s="28"/>
    </row>
    <row r="3701" spans="1:14" hidden="1" x14ac:dyDescent="0.25">
      <c r="A3701" t="s">
        <v>14019</v>
      </c>
      <c r="B3701" t="s">
        <v>1465</v>
      </c>
      <c r="C3701" t="s">
        <v>3646</v>
      </c>
      <c r="D3701" t="s">
        <v>14020</v>
      </c>
      <c r="E3701" s="28" t="s">
        <v>890</v>
      </c>
      <c r="F3701" t="s">
        <v>547</v>
      </c>
      <c r="G3701" t="s">
        <v>88</v>
      </c>
      <c r="M3701" s="28" t="s">
        <v>549</v>
      </c>
      <c r="N3701" t="s">
        <v>313</v>
      </c>
    </row>
    <row r="3702" spans="1:14" hidden="1" x14ac:dyDescent="0.25">
      <c r="A3702" t="s">
        <v>9409</v>
      </c>
      <c r="B3702" t="s">
        <v>4316</v>
      </c>
      <c r="C3702" t="s">
        <v>3126</v>
      </c>
      <c r="D3702" t="s">
        <v>4317</v>
      </c>
      <c r="E3702" s="28" t="s">
        <v>890</v>
      </c>
      <c r="F3702" t="s">
        <v>891</v>
      </c>
      <c r="G3702" t="s">
        <v>88</v>
      </c>
      <c r="M3702" s="28" t="s">
        <v>549</v>
      </c>
      <c r="N3702" t="s">
        <v>313</v>
      </c>
    </row>
    <row r="3703" spans="1:14" hidden="1" x14ac:dyDescent="0.25">
      <c r="A3703" t="s">
        <v>9410</v>
      </c>
      <c r="B3703" t="s">
        <v>4318</v>
      </c>
      <c r="C3703" t="s">
        <v>4319</v>
      </c>
      <c r="D3703" t="s">
        <v>4320</v>
      </c>
      <c r="E3703" s="28" t="s">
        <v>890</v>
      </c>
      <c r="F3703" t="s">
        <v>891</v>
      </c>
      <c r="G3703" t="s">
        <v>88</v>
      </c>
      <c r="M3703" s="28" t="s">
        <v>549</v>
      </c>
      <c r="N3703" t="s">
        <v>313</v>
      </c>
    </row>
    <row r="3704" spans="1:14" hidden="1" x14ac:dyDescent="0.25">
      <c r="A3704" t="s">
        <v>12525</v>
      </c>
      <c r="B3704" t="s">
        <v>4321</v>
      </c>
      <c r="C3704" t="s">
        <v>3036</v>
      </c>
      <c r="D3704" t="s">
        <v>12526</v>
      </c>
      <c r="E3704" s="28" t="s">
        <v>890</v>
      </c>
      <c r="F3704" t="s">
        <v>891</v>
      </c>
      <c r="G3704" t="s">
        <v>88</v>
      </c>
      <c r="M3704" s="28" t="s">
        <v>549</v>
      </c>
      <c r="N3704" t="s">
        <v>313</v>
      </c>
    </row>
    <row r="3705" spans="1:14" hidden="1" x14ac:dyDescent="0.25">
      <c r="A3705" t="s">
        <v>9411</v>
      </c>
      <c r="B3705" t="s">
        <v>4321</v>
      </c>
      <c r="C3705" t="s">
        <v>3044</v>
      </c>
      <c r="D3705" t="s">
        <v>4322</v>
      </c>
      <c r="E3705" s="28" t="s">
        <v>896</v>
      </c>
      <c r="F3705" t="s">
        <v>577</v>
      </c>
      <c r="G3705" t="s">
        <v>88</v>
      </c>
      <c r="M3705" s="28" t="s">
        <v>549</v>
      </c>
      <c r="N3705" t="s">
        <v>313</v>
      </c>
    </row>
    <row r="3706" spans="1:14" hidden="1" x14ac:dyDescent="0.25">
      <c r="A3706" t="s">
        <v>9412</v>
      </c>
      <c r="B3706" t="s">
        <v>4323</v>
      </c>
      <c r="C3706" t="s">
        <v>3214</v>
      </c>
      <c r="D3706" t="s">
        <v>4324</v>
      </c>
      <c r="E3706" s="28" t="s">
        <v>1023</v>
      </c>
      <c r="F3706" t="s">
        <v>891</v>
      </c>
      <c r="G3706" t="s">
        <v>88</v>
      </c>
      <c r="M3706" s="28" t="s">
        <v>549</v>
      </c>
      <c r="N3706" t="s">
        <v>313</v>
      </c>
    </row>
    <row r="3707" spans="1:14" hidden="1" x14ac:dyDescent="0.25">
      <c r="A3707" t="s">
        <v>9413</v>
      </c>
      <c r="B3707" t="s">
        <v>4323</v>
      </c>
      <c r="C3707" t="s">
        <v>3025</v>
      </c>
      <c r="D3707" t="s">
        <v>4325</v>
      </c>
      <c r="E3707" s="28" t="s">
        <v>890</v>
      </c>
      <c r="F3707" t="s">
        <v>556</v>
      </c>
      <c r="G3707" t="s">
        <v>88</v>
      </c>
      <c r="M3707" s="28" t="s">
        <v>549</v>
      </c>
      <c r="N3707" t="s">
        <v>313</v>
      </c>
    </row>
    <row r="3708" spans="1:14" hidden="1" x14ac:dyDescent="0.25">
      <c r="A3708" t="s">
        <v>9414</v>
      </c>
      <c r="B3708" t="s">
        <v>4326</v>
      </c>
      <c r="C3708" t="s">
        <v>4327</v>
      </c>
      <c r="D3708" t="s">
        <v>4328</v>
      </c>
      <c r="E3708" s="28" t="s">
        <v>890</v>
      </c>
      <c r="F3708" t="s">
        <v>891</v>
      </c>
      <c r="G3708" t="s">
        <v>88</v>
      </c>
      <c r="M3708" s="28" t="s">
        <v>549</v>
      </c>
      <c r="N3708" t="s">
        <v>313</v>
      </c>
    </row>
    <row r="3709" spans="1:14" hidden="1" x14ac:dyDescent="0.25">
      <c r="A3709" t="s">
        <v>9415</v>
      </c>
      <c r="B3709" t="s">
        <v>4329</v>
      </c>
      <c r="C3709" t="s">
        <v>3025</v>
      </c>
      <c r="D3709" t="s">
        <v>4330</v>
      </c>
      <c r="E3709" s="28" t="s">
        <v>890</v>
      </c>
      <c r="F3709" t="s">
        <v>891</v>
      </c>
      <c r="G3709" t="s">
        <v>88</v>
      </c>
      <c r="M3709" s="28" t="s">
        <v>549</v>
      </c>
      <c r="N3709" t="s">
        <v>313</v>
      </c>
    </row>
    <row r="3710" spans="1:14" hidden="1" x14ac:dyDescent="0.25">
      <c r="A3710" t="s">
        <v>9416</v>
      </c>
      <c r="B3710" t="s">
        <v>4329</v>
      </c>
      <c r="C3710" t="s">
        <v>4331</v>
      </c>
      <c r="D3710" t="s">
        <v>4332</v>
      </c>
      <c r="E3710" s="28" t="s">
        <v>890</v>
      </c>
      <c r="F3710" t="s">
        <v>891</v>
      </c>
      <c r="G3710" t="s">
        <v>88</v>
      </c>
      <c r="M3710" s="28" t="s">
        <v>549</v>
      </c>
      <c r="N3710" t="s">
        <v>313</v>
      </c>
    </row>
    <row r="3711" spans="1:14" hidden="1" x14ac:dyDescent="0.25">
      <c r="A3711" t="s">
        <v>9417</v>
      </c>
      <c r="B3711" t="s">
        <v>4333</v>
      </c>
      <c r="C3711" t="s">
        <v>4334</v>
      </c>
      <c r="D3711" t="s">
        <v>4335</v>
      </c>
      <c r="E3711" s="28" t="s">
        <v>890</v>
      </c>
      <c r="F3711" t="s">
        <v>891</v>
      </c>
      <c r="G3711" t="s">
        <v>88</v>
      </c>
      <c r="M3711" s="28" t="s">
        <v>549</v>
      </c>
      <c r="N3711" t="s">
        <v>313</v>
      </c>
    </row>
    <row r="3712" spans="1:14" hidden="1" x14ac:dyDescent="0.25">
      <c r="A3712" t="s">
        <v>9418</v>
      </c>
      <c r="B3712" t="s">
        <v>4336</v>
      </c>
      <c r="C3712" t="s">
        <v>3158</v>
      </c>
      <c r="D3712" t="s">
        <v>4337</v>
      </c>
      <c r="E3712" s="28" t="s">
        <v>890</v>
      </c>
      <c r="F3712" t="s">
        <v>891</v>
      </c>
      <c r="G3712" t="s">
        <v>88</v>
      </c>
      <c r="M3712" s="28" t="s">
        <v>549</v>
      </c>
      <c r="N3712" t="s">
        <v>313</v>
      </c>
    </row>
    <row r="3713" spans="1:14" hidden="1" x14ac:dyDescent="0.25">
      <c r="A3713" t="s">
        <v>9419</v>
      </c>
      <c r="B3713" t="s">
        <v>4338</v>
      </c>
      <c r="C3713" t="s">
        <v>4339</v>
      </c>
      <c r="D3713" t="s">
        <v>4340</v>
      </c>
      <c r="E3713" s="28" t="s">
        <v>930</v>
      </c>
      <c r="F3713" t="s">
        <v>891</v>
      </c>
      <c r="G3713" t="s">
        <v>88</v>
      </c>
      <c r="M3713" s="28" t="s">
        <v>549</v>
      </c>
      <c r="N3713" t="s">
        <v>313</v>
      </c>
    </row>
    <row r="3714" spans="1:14" hidden="1" x14ac:dyDescent="0.25">
      <c r="A3714" t="s">
        <v>9420</v>
      </c>
      <c r="B3714" t="s">
        <v>4338</v>
      </c>
      <c r="C3714" t="s">
        <v>4341</v>
      </c>
      <c r="D3714" t="s">
        <v>4342</v>
      </c>
      <c r="E3714" s="28" t="s">
        <v>930</v>
      </c>
      <c r="F3714" t="s">
        <v>891</v>
      </c>
      <c r="G3714" t="s">
        <v>88</v>
      </c>
      <c r="M3714" s="28" t="s">
        <v>549</v>
      </c>
      <c r="N3714" t="s">
        <v>313</v>
      </c>
    </row>
    <row r="3715" spans="1:14" hidden="1" x14ac:dyDescent="0.25">
      <c r="A3715" t="s">
        <v>9421</v>
      </c>
      <c r="B3715" t="s">
        <v>4343</v>
      </c>
      <c r="C3715" t="s">
        <v>4097</v>
      </c>
      <c r="D3715" t="s">
        <v>4344</v>
      </c>
      <c r="E3715" s="28" t="s">
        <v>896</v>
      </c>
      <c r="F3715" t="s">
        <v>891</v>
      </c>
      <c r="G3715" t="s">
        <v>88</v>
      </c>
      <c r="M3715" s="28" t="s">
        <v>549</v>
      </c>
      <c r="N3715" t="s">
        <v>313</v>
      </c>
    </row>
    <row r="3716" spans="1:14" hidden="1" x14ac:dyDescent="0.25">
      <c r="A3716" t="s">
        <v>9422</v>
      </c>
      <c r="B3716" t="s">
        <v>4343</v>
      </c>
      <c r="C3716" t="s">
        <v>4345</v>
      </c>
      <c r="D3716" t="s">
        <v>4346</v>
      </c>
      <c r="E3716" s="28" t="s">
        <v>890</v>
      </c>
      <c r="F3716" t="s">
        <v>891</v>
      </c>
      <c r="G3716" t="s">
        <v>88</v>
      </c>
      <c r="M3716" s="28" t="s">
        <v>549</v>
      </c>
      <c r="N3716" t="s">
        <v>313</v>
      </c>
    </row>
    <row r="3717" spans="1:14" hidden="1" x14ac:dyDescent="0.25">
      <c r="A3717" t="s">
        <v>9423</v>
      </c>
      <c r="B3717" t="s">
        <v>4347</v>
      </c>
      <c r="C3717" t="s">
        <v>3563</v>
      </c>
      <c r="D3717" t="s">
        <v>4348</v>
      </c>
      <c r="E3717" s="28" t="s">
        <v>930</v>
      </c>
      <c r="F3717" t="s">
        <v>891</v>
      </c>
      <c r="G3717" t="s">
        <v>88</v>
      </c>
      <c r="M3717" s="28" t="s">
        <v>549</v>
      </c>
      <c r="N3717" t="s">
        <v>313</v>
      </c>
    </row>
    <row r="3718" spans="1:14" hidden="1" x14ac:dyDescent="0.25">
      <c r="A3718" t="s">
        <v>8409</v>
      </c>
      <c r="B3718" t="s">
        <v>2149</v>
      </c>
      <c r="C3718" t="s">
        <v>2150</v>
      </c>
      <c r="D3718" t="s">
        <v>2151</v>
      </c>
      <c r="E3718" s="28" t="s">
        <v>890</v>
      </c>
      <c r="F3718" t="s">
        <v>398</v>
      </c>
      <c r="G3718" t="s">
        <v>60</v>
      </c>
      <c r="M3718" s="28" t="s">
        <v>14207</v>
      </c>
    </row>
    <row r="3719" spans="1:14" hidden="1" x14ac:dyDescent="0.25">
      <c r="A3719" t="s">
        <v>9424</v>
      </c>
      <c r="B3719" t="s">
        <v>4349</v>
      </c>
      <c r="C3719" t="s">
        <v>3266</v>
      </c>
      <c r="D3719" t="s">
        <v>4350</v>
      </c>
      <c r="E3719" s="28" t="s">
        <v>890</v>
      </c>
      <c r="F3719" t="s">
        <v>891</v>
      </c>
      <c r="G3719" t="s">
        <v>88</v>
      </c>
      <c r="M3719" s="28" t="s">
        <v>549</v>
      </c>
      <c r="N3719" t="s">
        <v>313</v>
      </c>
    </row>
    <row r="3720" spans="1:14" hidden="1" x14ac:dyDescent="0.25">
      <c r="A3720" t="s">
        <v>9425</v>
      </c>
      <c r="B3720" t="s">
        <v>4349</v>
      </c>
      <c r="C3720" t="s">
        <v>3034</v>
      </c>
      <c r="D3720" t="s">
        <v>4351</v>
      </c>
      <c r="E3720" s="28" t="s">
        <v>890</v>
      </c>
      <c r="F3720" t="s">
        <v>891</v>
      </c>
      <c r="G3720" t="s">
        <v>88</v>
      </c>
      <c r="M3720" s="28" t="s">
        <v>549</v>
      </c>
      <c r="N3720" t="s">
        <v>313</v>
      </c>
    </row>
    <row r="3721" spans="1:14" hidden="1" x14ac:dyDescent="0.25">
      <c r="A3721" t="s">
        <v>9426</v>
      </c>
      <c r="B3721" t="s">
        <v>4352</v>
      </c>
      <c r="C3721" t="s">
        <v>3044</v>
      </c>
      <c r="D3721" t="s">
        <v>4353</v>
      </c>
      <c r="E3721" s="28" t="s">
        <v>890</v>
      </c>
      <c r="F3721" t="s">
        <v>891</v>
      </c>
      <c r="G3721" t="s">
        <v>88</v>
      </c>
      <c r="M3721" s="28" t="s">
        <v>549</v>
      </c>
      <c r="N3721" t="s">
        <v>313</v>
      </c>
    </row>
    <row r="3722" spans="1:14" hidden="1" x14ac:dyDescent="0.25">
      <c r="A3722" t="s">
        <v>9427</v>
      </c>
      <c r="B3722" t="s">
        <v>4354</v>
      </c>
      <c r="C3722" t="s">
        <v>3009</v>
      </c>
      <c r="D3722" t="s">
        <v>4355</v>
      </c>
      <c r="E3722" s="28" t="s">
        <v>890</v>
      </c>
      <c r="F3722" t="s">
        <v>13206</v>
      </c>
      <c r="G3722" t="s">
        <v>88</v>
      </c>
      <c r="M3722" s="28" t="s">
        <v>549</v>
      </c>
      <c r="N3722" t="s">
        <v>313</v>
      </c>
    </row>
    <row r="3723" spans="1:14" hidden="1" x14ac:dyDescent="0.25">
      <c r="A3723" t="s">
        <v>10789</v>
      </c>
      <c r="B3723" t="s">
        <v>7304</v>
      </c>
      <c r="C3723" t="s">
        <v>7305</v>
      </c>
      <c r="D3723" t="s">
        <v>7306</v>
      </c>
      <c r="E3723" s="28" t="s">
        <v>930</v>
      </c>
      <c r="F3723" t="s">
        <v>7301</v>
      </c>
      <c r="G3723" t="s">
        <v>7297</v>
      </c>
      <c r="M3723" s="28" t="s">
        <v>14245</v>
      </c>
    </row>
    <row r="3724" spans="1:14" hidden="1" x14ac:dyDescent="0.25">
      <c r="A3724" t="s">
        <v>10864</v>
      </c>
      <c r="B3724" t="s">
        <v>7472</v>
      </c>
      <c r="C3724" t="s">
        <v>1579</v>
      </c>
      <c r="D3724" t="s">
        <v>7473</v>
      </c>
      <c r="E3724" s="28" t="s">
        <v>890</v>
      </c>
      <c r="F3724" t="s">
        <v>878</v>
      </c>
      <c r="G3724" t="s">
        <v>157</v>
      </c>
      <c r="M3724" s="28" t="s">
        <v>840</v>
      </c>
      <c r="N3724" t="s">
        <v>382</v>
      </c>
    </row>
    <row r="3725" spans="1:14" hidden="1" x14ac:dyDescent="0.25">
      <c r="A3725" t="s">
        <v>10865</v>
      </c>
      <c r="B3725" t="s">
        <v>7472</v>
      </c>
      <c r="C3725" t="s">
        <v>2090</v>
      </c>
      <c r="D3725" t="s">
        <v>7474</v>
      </c>
      <c r="E3725" s="28" t="s">
        <v>896</v>
      </c>
      <c r="F3725" t="s">
        <v>875</v>
      </c>
      <c r="G3725" t="s">
        <v>157</v>
      </c>
      <c r="M3725" s="28" t="s">
        <v>840</v>
      </c>
      <c r="N3725" t="s">
        <v>382</v>
      </c>
    </row>
    <row r="3726" spans="1:14" hidden="1" x14ac:dyDescent="0.25">
      <c r="A3726" t="s">
        <v>9559</v>
      </c>
      <c r="B3726" t="s">
        <v>4642</v>
      </c>
      <c r="C3726" t="s">
        <v>947</v>
      </c>
      <c r="D3726" t="s">
        <v>4643</v>
      </c>
      <c r="E3726" s="28" t="s">
        <v>896</v>
      </c>
      <c r="F3726" t="s">
        <v>752</v>
      </c>
      <c r="G3726" t="s">
        <v>15</v>
      </c>
      <c r="M3726" s="28" t="s">
        <v>613</v>
      </c>
      <c r="N3726" t="s">
        <v>313</v>
      </c>
    </row>
    <row r="3727" spans="1:14" hidden="1" x14ac:dyDescent="0.25">
      <c r="A3727" t="s">
        <v>10866</v>
      </c>
      <c r="B3727" t="s">
        <v>7475</v>
      </c>
      <c r="C3727" t="s">
        <v>1161</v>
      </c>
      <c r="D3727" t="s">
        <v>7476</v>
      </c>
      <c r="E3727" s="28" t="s">
        <v>896</v>
      </c>
      <c r="F3727" t="s">
        <v>12060</v>
      </c>
      <c r="G3727" t="s">
        <v>157</v>
      </c>
      <c r="M3727" s="28" t="s">
        <v>840</v>
      </c>
      <c r="N3727" t="s">
        <v>382</v>
      </c>
    </row>
    <row r="3728" spans="1:14" hidden="1" x14ac:dyDescent="0.25">
      <c r="A3728" t="s">
        <v>8049</v>
      </c>
      <c r="B3728" t="s">
        <v>1238</v>
      </c>
      <c r="C3728" t="s">
        <v>1239</v>
      </c>
      <c r="D3728" t="s">
        <v>1240</v>
      </c>
      <c r="E3728" s="28" t="s">
        <v>890</v>
      </c>
      <c r="F3728" t="s">
        <v>39</v>
      </c>
      <c r="G3728" t="s">
        <v>34</v>
      </c>
      <c r="M3728" s="28" t="s">
        <v>12353</v>
      </c>
      <c r="N3728" t="s">
        <v>313</v>
      </c>
    </row>
    <row r="3729" spans="1:14" hidden="1" x14ac:dyDescent="0.25">
      <c r="A3729" t="s">
        <v>8535</v>
      </c>
      <c r="B3729" t="s">
        <v>2448</v>
      </c>
      <c r="C3729" t="s">
        <v>1134</v>
      </c>
      <c r="D3729" t="s">
        <v>2449</v>
      </c>
      <c r="E3729" s="28" t="s">
        <v>896</v>
      </c>
      <c r="F3729" t="s">
        <v>105</v>
      </c>
      <c r="G3729" t="s">
        <v>11</v>
      </c>
      <c r="M3729" s="28" t="s">
        <v>413</v>
      </c>
      <c r="N3729" t="s">
        <v>313</v>
      </c>
    </row>
    <row r="3730" spans="1:14" hidden="1" x14ac:dyDescent="0.25">
      <c r="A3730" t="s">
        <v>14021</v>
      </c>
      <c r="B3730" t="s">
        <v>14022</v>
      </c>
      <c r="C3730" t="s">
        <v>2108</v>
      </c>
      <c r="D3730" t="s">
        <v>2128</v>
      </c>
      <c r="E3730" s="28" t="s">
        <v>890</v>
      </c>
      <c r="F3730" t="s">
        <v>398</v>
      </c>
      <c r="G3730" t="s">
        <v>60</v>
      </c>
      <c r="M3730" s="28" t="s">
        <v>14207</v>
      </c>
    </row>
    <row r="3731" spans="1:14" hidden="1" x14ac:dyDescent="0.25">
      <c r="A3731" t="s">
        <v>9428</v>
      </c>
      <c r="B3731" t="s">
        <v>4356</v>
      </c>
      <c r="C3731" t="s">
        <v>3031</v>
      </c>
      <c r="D3731" t="s">
        <v>4357</v>
      </c>
      <c r="E3731" s="28" t="s">
        <v>1023</v>
      </c>
      <c r="F3731" t="s">
        <v>891</v>
      </c>
      <c r="G3731" t="s">
        <v>88</v>
      </c>
      <c r="M3731" s="28" t="s">
        <v>549</v>
      </c>
      <c r="N3731" t="s">
        <v>313</v>
      </c>
    </row>
    <row r="3732" spans="1:14" hidden="1" x14ac:dyDescent="0.25">
      <c r="A3732" t="s">
        <v>9429</v>
      </c>
      <c r="B3732" t="s">
        <v>4358</v>
      </c>
      <c r="C3732" t="s">
        <v>2095</v>
      </c>
      <c r="D3732" t="s">
        <v>4359</v>
      </c>
      <c r="E3732" s="28" t="s">
        <v>890</v>
      </c>
      <c r="F3732" t="s">
        <v>891</v>
      </c>
      <c r="G3732" t="s">
        <v>88</v>
      </c>
      <c r="M3732" s="28" t="s">
        <v>549</v>
      </c>
      <c r="N3732" t="s">
        <v>313</v>
      </c>
    </row>
    <row r="3733" spans="1:14" hidden="1" x14ac:dyDescent="0.25">
      <c r="A3733" t="s">
        <v>9430</v>
      </c>
      <c r="B3733" t="s">
        <v>4360</v>
      </c>
      <c r="C3733" t="s">
        <v>3034</v>
      </c>
      <c r="D3733" t="s">
        <v>4361</v>
      </c>
      <c r="E3733" s="28" t="s">
        <v>890</v>
      </c>
      <c r="F3733" t="s">
        <v>891</v>
      </c>
      <c r="G3733" t="s">
        <v>88</v>
      </c>
      <c r="M3733" s="28" t="s">
        <v>549</v>
      </c>
      <c r="N3733" t="s">
        <v>313</v>
      </c>
    </row>
    <row r="3734" spans="1:14" hidden="1" x14ac:dyDescent="0.25">
      <c r="A3734" t="s">
        <v>9431</v>
      </c>
      <c r="B3734" t="s">
        <v>4362</v>
      </c>
      <c r="C3734" t="s">
        <v>3031</v>
      </c>
      <c r="D3734" t="s">
        <v>4363</v>
      </c>
      <c r="E3734" s="28" t="s">
        <v>890</v>
      </c>
      <c r="F3734" t="s">
        <v>891</v>
      </c>
      <c r="G3734" t="s">
        <v>88</v>
      </c>
      <c r="M3734" s="28" t="s">
        <v>549</v>
      </c>
      <c r="N3734" t="s">
        <v>313</v>
      </c>
    </row>
    <row r="3735" spans="1:14" hidden="1" x14ac:dyDescent="0.25">
      <c r="A3735" t="s">
        <v>9432</v>
      </c>
      <c r="B3735" t="s">
        <v>4364</v>
      </c>
      <c r="C3735" t="s">
        <v>3102</v>
      </c>
      <c r="D3735" t="s">
        <v>4365</v>
      </c>
      <c r="E3735" s="28" t="s">
        <v>890</v>
      </c>
      <c r="F3735" t="s">
        <v>891</v>
      </c>
      <c r="G3735" t="s">
        <v>88</v>
      </c>
      <c r="M3735" s="28" t="s">
        <v>549</v>
      </c>
      <c r="N3735" t="s">
        <v>313</v>
      </c>
    </row>
    <row r="3736" spans="1:14" hidden="1" x14ac:dyDescent="0.25">
      <c r="A3736" t="s">
        <v>9558</v>
      </c>
      <c r="B3736" t="s">
        <v>4639</v>
      </c>
      <c r="C3736" t="s">
        <v>4640</v>
      </c>
      <c r="D3736" t="s">
        <v>4641</v>
      </c>
      <c r="E3736" s="28" t="s">
        <v>890</v>
      </c>
      <c r="F3736" t="s">
        <v>708</v>
      </c>
      <c r="G3736" t="s">
        <v>15</v>
      </c>
      <c r="M3736" s="28" t="s">
        <v>613</v>
      </c>
      <c r="N3736" t="s">
        <v>313</v>
      </c>
    </row>
    <row r="3737" spans="1:14" hidden="1" x14ac:dyDescent="0.25">
      <c r="A3737" t="s">
        <v>8677</v>
      </c>
      <c r="B3737" t="s">
        <v>2801</v>
      </c>
      <c r="C3737" t="s">
        <v>1710</v>
      </c>
      <c r="D3737" t="s">
        <v>2802</v>
      </c>
      <c r="E3737" s="28" t="s">
        <v>890</v>
      </c>
      <c r="F3737" t="s">
        <v>2625</v>
      </c>
      <c r="G3737" t="s">
        <v>74</v>
      </c>
      <c r="M3737" s="28" t="s">
        <v>507</v>
      </c>
      <c r="N3737" t="s">
        <v>313</v>
      </c>
    </row>
    <row r="3738" spans="1:14" hidden="1" x14ac:dyDescent="0.25">
      <c r="A3738" t="s">
        <v>8426</v>
      </c>
      <c r="B3738" t="s">
        <v>2192</v>
      </c>
      <c r="C3738" t="s">
        <v>2193</v>
      </c>
      <c r="D3738" t="s">
        <v>2194</v>
      </c>
      <c r="E3738" s="28" t="s">
        <v>890</v>
      </c>
      <c r="F3738" t="s">
        <v>2186</v>
      </c>
      <c r="G3738" t="s">
        <v>62</v>
      </c>
      <c r="M3738" s="28" t="s">
        <v>14208</v>
      </c>
    </row>
    <row r="3739" spans="1:14" hidden="1" x14ac:dyDescent="0.25">
      <c r="A3739" t="s">
        <v>9557</v>
      </c>
      <c r="B3739" t="s">
        <v>4636</v>
      </c>
      <c r="C3739" t="s">
        <v>4549</v>
      </c>
      <c r="D3739" t="s">
        <v>4637</v>
      </c>
      <c r="E3739" s="28" t="s">
        <v>896</v>
      </c>
      <c r="F3739" t="s">
        <v>4638</v>
      </c>
      <c r="G3739" t="s">
        <v>15</v>
      </c>
      <c r="M3739" s="28" t="s">
        <v>613</v>
      </c>
      <c r="N3739" t="s">
        <v>313</v>
      </c>
    </row>
    <row r="3740" spans="1:14" hidden="1" x14ac:dyDescent="0.25">
      <c r="A3740" t="s">
        <v>10390</v>
      </c>
      <c r="B3740" t="s">
        <v>6346</v>
      </c>
      <c r="C3740" t="s">
        <v>6347</v>
      </c>
      <c r="D3740" t="s">
        <v>6348</v>
      </c>
      <c r="E3740" s="28" t="s">
        <v>890</v>
      </c>
      <c r="F3740" t="s">
        <v>11563</v>
      </c>
      <c r="G3740" t="s">
        <v>110</v>
      </c>
      <c r="M3740" s="28" t="s">
        <v>13563</v>
      </c>
      <c r="N3740" t="s">
        <v>279</v>
      </c>
    </row>
    <row r="3741" spans="1:14" hidden="1" x14ac:dyDescent="0.25">
      <c r="A3741" t="s">
        <v>8028</v>
      </c>
      <c r="B3741" t="s">
        <v>1169</v>
      </c>
      <c r="C3741" t="s">
        <v>1170</v>
      </c>
      <c r="D3741" t="s">
        <v>1171</v>
      </c>
      <c r="E3741" s="28" t="s">
        <v>890</v>
      </c>
      <c r="F3741" t="s">
        <v>275</v>
      </c>
      <c r="G3741" t="s">
        <v>31</v>
      </c>
      <c r="M3741" s="28" t="s">
        <v>278</v>
      </c>
      <c r="N3741" t="s">
        <v>279</v>
      </c>
    </row>
    <row r="3742" spans="1:14" hidden="1" x14ac:dyDescent="0.25">
      <c r="A3742" t="s">
        <v>9556</v>
      </c>
      <c r="B3742" t="s">
        <v>4633</v>
      </c>
      <c r="C3742" t="s">
        <v>4606</v>
      </c>
      <c r="D3742" t="s">
        <v>4634</v>
      </c>
      <c r="E3742" s="28" t="s">
        <v>896</v>
      </c>
      <c r="F3742" t="s">
        <v>4635</v>
      </c>
      <c r="G3742" t="s">
        <v>15</v>
      </c>
      <c r="M3742" s="28" t="s">
        <v>613</v>
      </c>
      <c r="N3742" t="s">
        <v>313</v>
      </c>
    </row>
    <row r="3743" spans="1:14" hidden="1" x14ac:dyDescent="0.25">
      <c r="A3743" t="s">
        <v>14023</v>
      </c>
      <c r="B3743" t="s">
        <v>14024</v>
      </c>
      <c r="C3743" t="s">
        <v>999</v>
      </c>
      <c r="D3743" t="s">
        <v>14025</v>
      </c>
      <c r="E3743" s="28" t="s">
        <v>1177</v>
      </c>
      <c r="F3743" t="s">
        <v>746</v>
      </c>
      <c r="G3743" t="s">
        <v>15</v>
      </c>
      <c r="M3743" s="28" t="s">
        <v>613</v>
      </c>
      <c r="N3743" t="s">
        <v>313</v>
      </c>
    </row>
    <row r="3744" spans="1:14" hidden="1" x14ac:dyDescent="0.25">
      <c r="A3744" t="s">
        <v>8420</v>
      </c>
      <c r="B3744" t="s">
        <v>2178</v>
      </c>
      <c r="C3744" t="s">
        <v>1269</v>
      </c>
      <c r="D3744" t="s">
        <v>2179</v>
      </c>
      <c r="E3744" s="28" t="s">
        <v>890</v>
      </c>
      <c r="F3744" t="s">
        <v>405</v>
      </c>
      <c r="G3744" t="s">
        <v>62</v>
      </c>
      <c r="M3744" s="28" t="s">
        <v>14208</v>
      </c>
    </row>
    <row r="3745" spans="1:14" hidden="1" x14ac:dyDescent="0.25">
      <c r="A3745" t="s">
        <v>8425</v>
      </c>
      <c r="B3745" t="s">
        <v>2178</v>
      </c>
      <c r="C3745" t="s">
        <v>2190</v>
      </c>
      <c r="D3745" t="s">
        <v>2191</v>
      </c>
      <c r="E3745" s="28" t="s">
        <v>890</v>
      </c>
      <c r="F3745" t="s">
        <v>405</v>
      </c>
      <c r="G3745" t="s">
        <v>62</v>
      </c>
      <c r="M3745" s="28" t="s">
        <v>14208</v>
      </c>
    </row>
    <row r="3746" spans="1:14" hidden="1" x14ac:dyDescent="0.25">
      <c r="A3746" t="s">
        <v>9433</v>
      </c>
      <c r="B3746" t="s">
        <v>4366</v>
      </c>
      <c r="C3746" t="s">
        <v>4367</v>
      </c>
      <c r="D3746" t="s">
        <v>4368</v>
      </c>
      <c r="E3746" s="28" t="s">
        <v>930</v>
      </c>
      <c r="F3746" t="s">
        <v>891</v>
      </c>
      <c r="G3746" t="s">
        <v>88</v>
      </c>
      <c r="M3746" s="28" t="s">
        <v>549</v>
      </c>
      <c r="N3746" t="s">
        <v>313</v>
      </c>
    </row>
    <row r="3747" spans="1:14" hidden="1" x14ac:dyDescent="0.25">
      <c r="A3747" t="s">
        <v>9434</v>
      </c>
      <c r="B3747" t="s">
        <v>4369</v>
      </c>
      <c r="C3747" t="s">
        <v>3083</v>
      </c>
      <c r="D3747" t="s">
        <v>4370</v>
      </c>
      <c r="E3747" s="28" t="s">
        <v>896</v>
      </c>
      <c r="F3747" t="s">
        <v>891</v>
      </c>
      <c r="G3747" t="s">
        <v>88</v>
      </c>
      <c r="M3747" s="28" t="s">
        <v>549</v>
      </c>
      <c r="N3747" t="s">
        <v>313</v>
      </c>
    </row>
    <row r="3748" spans="1:14" hidden="1" x14ac:dyDescent="0.25">
      <c r="A3748" t="s">
        <v>9555</v>
      </c>
      <c r="B3748" t="s">
        <v>4631</v>
      </c>
      <c r="C3748" t="s">
        <v>1032</v>
      </c>
      <c r="D3748" t="s">
        <v>4632</v>
      </c>
      <c r="E3748" s="28" t="s">
        <v>890</v>
      </c>
      <c r="F3748" t="s">
        <v>241</v>
      </c>
      <c r="G3748" t="s">
        <v>15</v>
      </c>
      <c r="M3748" s="28" t="s">
        <v>613</v>
      </c>
      <c r="N3748" t="s">
        <v>313</v>
      </c>
    </row>
    <row r="3749" spans="1:14" hidden="1" x14ac:dyDescent="0.25">
      <c r="A3749" t="s">
        <v>10867</v>
      </c>
      <c r="B3749" t="s">
        <v>7477</v>
      </c>
      <c r="C3749" t="s">
        <v>1061</v>
      </c>
      <c r="D3749" t="s">
        <v>7478</v>
      </c>
      <c r="E3749" s="28" t="s">
        <v>896</v>
      </c>
      <c r="F3749" t="s">
        <v>863</v>
      </c>
      <c r="G3749" t="s">
        <v>157</v>
      </c>
      <c r="M3749" s="28" t="s">
        <v>840</v>
      </c>
      <c r="N3749" t="s">
        <v>382</v>
      </c>
    </row>
    <row r="3750" spans="1:14" hidden="1" x14ac:dyDescent="0.25">
      <c r="A3750" t="s">
        <v>9435</v>
      </c>
      <c r="B3750" t="s">
        <v>4371</v>
      </c>
      <c r="C3750" t="s">
        <v>3021</v>
      </c>
      <c r="D3750" t="s">
        <v>4372</v>
      </c>
      <c r="E3750" s="28" t="s">
        <v>890</v>
      </c>
      <c r="F3750" t="s">
        <v>891</v>
      </c>
      <c r="G3750" t="s">
        <v>88</v>
      </c>
      <c r="M3750" s="28" t="s">
        <v>549</v>
      </c>
      <c r="N3750" t="s">
        <v>313</v>
      </c>
    </row>
    <row r="3751" spans="1:14" hidden="1" x14ac:dyDescent="0.25">
      <c r="A3751" t="s">
        <v>9436</v>
      </c>
      <c r="B3751" t="s">
        <v>4371</v>
      </c>
      <c r="C3751" t="s">
        <v>3044</v>
      </c>
      <c r="D3751" t="s">
        <v>4373</v>
      </c>
      <c r="E3751" s="28" t="s">
        <v>890</v>
      </c>
      <c r="F3751" t="s">
        <v>891</v>
      </c>
      <c r="G3751" t="s">
        <v>88</v>
      </c>
      <c r="M3751" s="28" t="s">
        <v>549</v>
      </c>
      <c r="N3751" t="s">
        <v>313</v>
      </c>
    </row>
    <row r="3752" spans="1:14" hidden="1" x14ac:dyDescent="0.25">
      <c r="A3752" t="s">
        <v>9437</v>
      </c>
      <c r="B3752" t="s">
        <v>4371</v>
      </c>
      <c r="C3752" t="s">
        <v>3025</v>
      </c>
      <c r="D3752" t="s">
        <v>4374</v>
      </c>
      <c r="E3752" s="28" t="s">
        <v>896</v>
      </c>
      <c r="F3752" t="s">
        <v>891</v>
      </c>
      <c r="G3752" t="s">
        <v>88</v>
      </c>
      <c r="M3752" s="28" t="s">
        <v>549</v>
      </c>
      <c r="N3752" t="s">
        <v>313</v>
      </c>
    </row>
    <row r="3753" spans="1:14" hidden="1" x14ac:dyDescent="0.25">
      <c r="A3753" t="s">
        <v>10540</v>
      </c>
      <c r="B3753" t="s">
        <v>6742</v>
      </c>
      <c r="C3753" t="s">
        <v>906</v>
      </c>
      <c r="D3753" t="s">
        <v>6743</v>
      </c>
      <c r="E3753" s="28" t="s">
        <v>890</v>
      </c>
      <c r="F3753" t="s">
        <v>891</v>
      </c>
      <c r="G3753" t="s">
        <v>137</v>
      </c>
      <c r="M3753" s="28" t="s">
        <v>805</v>
      </c>
      <c r="N3753" t="s">
        <v>313</v>
      </c>
    </row>
    <row r="3754" spans="1:14" hidden="1" x14ac:dyDescent="0.25">
      <c r="A3754" t="s">
        <v>8509</v>
      </c>
      <c r="B3754" t="s">
        <v>2386</v>
      </c>
      <c r="C3754" t="s">
        <v>2387</v>
      </c>
      <c r="D3754" t="s">
        <v>2388</v>
      </c>
      <c r="E3754" s="28" t="s">
        <v>930</v>
      </c>
      <c r="F3754" t="s">
        <v>408</v>
      </c>
      <c r="G3754" t="s">
        <v>65</v>
      </c>
      <c r="M3754" s="28" t="s">
        <v>14209</v>
      </c>
    </row>
    <row r="3755" spans="1:14" hidden="1" x14ac:dyDescent="0.25">
      <c r="A3755" t="s">
        <v>14026</v>
      </c>
      <c r="B3755" t="s">
        <v>14027</v>
      </c>
      <c r="C3755" t="s">
        <v>5907</v>
      </c>
      <c r="D3755" t="s">
        <v>14028</v>
      </c>
      <c r="E3755" s="28" t="s">
        <v>1177</v>
      </c>
      <c r="F3755" t="s">
        <v>764</v>
      </c>
      <c r="G3755" t="s">
        <v>15</v>
      </c>
      <c r="M3755" s="28" t="s">
        <v>613</v>
      </c>
      <c r="N3755" t="s">
        <v>313</v>
      </c>
    </row>
    <row r="3756" spans="1:14" hidden="1" x14ac:dyDescent="0.25">
      <c r="A3756" t="s">
        <v>11953</v>
      </c>
      <c r="B3756" t="s">
        <v>11954</v>
      </c>
      <c r="C3756" t="s">
        <v>11955</v>
      </c>
      <c r="D3756" t="s">
        <v>11956</v>
      </c>
      <c r="E3756" s="28" t="s">
        <v>930</v>
      </c>
      <c r="F3756" t="s">
        <v>813</v>
      </c>
      <c r="G3756" t="s">
        <v>137</v>
      </c>
      <c r="M3756" s="28" t="s">
        <v>805</v>
      </c>
      <c r="N3756" t="s">
        <v>313</v>
      </c>
    </row>
    <row r="3757" spans="1:14" hidden="1" x14ac:dyDescent="0.25">
      <c r="A3757" t="s">
        <v>9554</v>
      </c>
      <c r="B3757" t="s">
        <v>4629</v>
      </c>
      <c r="C3757" t="s">
        <v>926</v>
      </c>
      <c r="D3757" t="s">
        <v>4630</v>
      </c>
      <c r="E3757" s="28" t="s">
        <v>890</v>
      </c>
      <c r="F3757" t="s">
        <v>727</v>
      </c>
      <c r="G3757" t="s">
        <v>15</v>
      </c>
      <c r="M3757" s="28" t="s">
        <v>613</v>
      </c>
      <c r="N3757" t="s">
        <v>313</v>
      </c>
    </row>
    <row r="3758" spans="1:14" hidden="1" x14ac:dyDescent="0.25">
      <c r="A3758" t="s">
        <v>9553</v>
      </c>
      <c r="B3758" t="s">
        <v>4626</v>
      </c>
      <c r="C3758" t="s">
        <v>4627</v>
      </c>
      <c r="D3758" t="s">
        <v>4628</v>
      </c>
      <c r="E3758" s="28" t="s">
        <v>1023</v>
      </c>
      <c r="F3758" t="s">
        <v>746</v>
      </c>
      <c r="G3758" t="s">
        <v>15</v>
      </c>
      <c r="M3758" s="28" t="s">
        <v>613</v>
      </c>
      <c r="N3758" t="s">
        <v>313</v>
      </c>
    </row>
    <row r="3759" spans="1:14" hidden="1" x14ac:dyDescent="0.25">
      <c r="A3759" t="s">
        <v>13023</v>
      </c>
      <c r="B3759" t="s">
        <v>13024</v>
      </c>
      <c r="C3759" t="s">
        <v>4557</v>
      </c>
      <c r="D3759" t="s">
        <v>13025</v>
      </c>
      <c r="E3759" s="28" t="s">
        <v>890</v>
      </c>
      <c r="F3759" t="s">
        <v>4685</v>
      </c>
      <c r="G3759" t="s">
        <v>15</v>
      </c>
      <c r="M3759" s="28" t="s">
        <v>613</v>
      </c>
      <c r="N3759" t="s">
        <v>313</v>
      </c>
    </row>
    <row r="3760" spans="1:14" hidden="1" x14ac:dyDescent="0.25">
      <c r="A3760" t="s">
        <v>9438</v>
      </c>
      <c r="B3760" t="s">
        <v>4375</v>
      </c>
      <c r="C3760" t="s">
        <v>4376</v>
      </c>
      <c r="D3760" t="s">
        <v>4377</v>
      </c>
      <c r="E3760" s="28" t="s">
        <v>1023</v>
      </c>
      <c r="F3760" t="s">
        <v>891</v>
      </c>
      <c r="G3760" t="s">
        <v>88</v>
      </c>
      <c r="M3760" s="28" t="s">
        <v>549</v>
      </c>
      <c r="N3760" t="s">
        <v>313</v>
      </c>
    </row>
    <row r="3761" spans="1:14" hidden="1" x14ac:dyDescent="0.25">
      <c r="A3761" t="s">
        <v>9439</v>
      </c>
      <c r="B3761" t="s">
        <v>4375</v>
      </c>
      <c r="C3761" t="s">
        <v>4378</v>
      </c>
      <c r="D3761" t="s">
        <v>4379</v>
      </c>
      <c r="E3761" s="28" t="s">
        <v>1023</v>
      </c>
      <c r="F3761" t="s">
        <v>891</v>
      </c>
      <c r="G3761" t="s">
        <v>88</v>
      </c>
      <c r="M3761" s="28" t="s">
        <v>549</v>
      </c>
      <c r="N3761" t="s">
        <v>313</v>
      </c>
    </row>
    <row r="3762" spans="1:14" hidden="1" x14ac:dyDescent="0.25">
      <c r="A3762" t="s">
        <v>8612</v>
      </c>
      <c r="B3762" t="s">
        <v>2632</v>
      </c>
      <c r="C3762" t="s">
        <v>2633</v>
      </c>
      <c r="D3762" t="s">
        <v>2634</v>
      </c>
      <c r="E3762" s="28" t="s">
        <v>890</v>
      </c>
      <c r="F3762" t="s">
        <v>510</v>
      </c>
      <c r="G3762" t="s">
        <v>74</v>
      </c>
      <c r="M3762" s="28" t="s">
        <v>507</v>
      </c>
      <c r="N3762" t="s">
        <v>313</v>
      </c>
    </row>
    <row r="3763" spans="1:14" hidden="1" x14ac:dyDescent="0.25">
      <c r="A3763" t="s">
        <v>11669</v>
      </c>
      <c r="B3763" t="s">
        <v>11670</v>
      </c>
      <c r="C3763" t="s">
        <v>1269</v>
      </c>
      <c r="D3763" t="s">
        <v>12459</v>
      </c>
      <c r="E3763" s="28" t="s">
        <v>890</v>
      </c>
      <c r="F3763" t="s">
        <v>891</v>
      </c>
      <c r="G3763" t="s">
        <v>74</v>
      </c>
      <c r="M3763" s="28" t="s">
        <v>507</v>
      </c>
      <c r="N3763" t="s">
        <v>313</v>
      </c>
    </row>
    <row r="3764" spans="1:14" hidden="1" x14ac:dyDescent="0.25">
      <c r="A3764" t="s">
        <v>12406</v>
      </c>
      <c r="B3764" t="s">
        <v>12407</v>
      </c>
      <c r="C3764" t="s">
        <v>12408</v>
      </c>
      <c r="D3764" t="s">
        <v>12409</v>
      </c>
      <c r="E3764" s="28" t="s">
        <v>896</v>
      </c>
      <c r="F3764" t="s">
        <v>326</v>
      </c>
      <c r="G3764" t="s">
        <v>38</v>
      </c>
      <c r="M3764" s="28"/>
    </row>
    <row r="3765" spans="1:14" hidden="1" x14ac:dyDescent="0.25">
      <c r="A3765" t="s">
        <v>8137</v>
      </c>
      <c r="B3765" t="s">
        <v>1466</v>
      </c>
      <c r="C3765" t="s">
        <v>1269</v>
      </c>
      <c r="D3765" t="s">
        <v>1467</v>
      </c>
      <c r="E3765" s="28" t="s">
        <v>896</v>
      </c>
      <c r="F3765" t="s">
        <v>78</v>
      </c>
      <c r="G3765" t="s">
        <v>38</v>
      </c>
      <c r="M3765" s="28"/>
    </row>
    <row r="3766" spans="1:14" hidden="1" x14ac:dyDescent="0.25">
      <c r="A3766" t="s">
        <v>8138</v>
      </c>
      <c r="B3766" t="s">
        <v>1466</v>
      </c>
      <c r="C3766" t="s">
        <v>1468</v>
      </c>
      <c r="D3766" t="s">
        <v>1469</v>
      </c>
      <c r="E3766" s="28" t="s">
        <v>890</v>
      </c>
      <c r="F3766" t="s">
        <v>78</v>
      </c>
      <c r="G3766" t="s">
        <v>38</v>
      </c>
      <c r="M3766" s="28"/>
    </row>
    <row r="3767" spans="1:14" hidden="1" x14ac:dyDescent="0.25">
      <c r="A3767" t="s">
        <v>11479</v>
      </c>
      <c r="B3767" t="s">
        <v>11480</v>
      </c>
      <c r="C3767" t="s">
        <v>1061</v>
      </c>
      <c r="D3767" t="s">
        <v>11481</v>
      </c>
      <c r="E3767" s="28" t="s">
        <v>896</v>
      </c>
      <c r="F3767" t="s">
        <v>11482</v>
      </c>
      <c r="G3767" t="s">
        <v>125</v>
      </c>
      <c r="M3767" s="28" t="s">
        <v>6491</v>
      </c>
      <c r="N3767" t="s">
        <v>313</v>
      </c>
    </row>
    <row r="3768" spans="1:14" hidden="1" x14ac:dyDescent="0.25">
      <c r="A3768" t="s">
        <v>10460</v>
      </c>
      <c r="B3768" t="s">
        <v>6514</v>
      </c>
      <c r="C3768" t="s">
        <v>6515</v>
      </c>
      <c r="D3768" t="s">
        <v>6516</v>
      </c>
      <c r="E3768" s="28" t="s">
        <v>890</v>
      </c>
      <c r="F3768" t="s">
        <v>12618</v>
      </c>
      <c r="G3768" t="s">
        <v>125</v>
      </c>
      <c r="M3768" s="28" t="s">
        <v>6491</v>
      </c>
      <c r="N3768" t="s">
        <v>313</v>
      </c>
    </row>
    <row r="3769" spans="1:14" hidden="1" x14ac:dyDescent="0.25">
      <c r="A3769" t="s">
        <v>8139</v>
      </c>
      <c r="B3769" t="s">
        <v>1470</v>
      </c>
      <c r="C3769" t="s">
        <v>1352</v>
      </c>
      <c r="D3769" t="s">
        <v>1471</v>
      </c>
      <c r="E3769" s="28" t="s">
        <v>896</v>
      </c>
      <c r="F3769" t="s">
        <v>324</v>
      </c>
      <c r="G3769" t="s">
        <v>38</v>
      </c>
      <c r="M3769" s="28"/>
    </row>
    <row r="3770" spans="1:14" hidden="1" x14ac:dyDescent="0.25">
      <c r="A3770" t="s">
        <v>8140</v>
      </c>
      <c r="B3770" t="s">
        <v>1470</v>
      </c>
      <c r="C3770" t="s">
        <v>1472</v>
      </c>
      <c r="D3770" t="s">
        <v>1473</v>
      </c>
      <c r="E3770" s="28" t="s">
        <v>890</v>
      </c>
      <c r="F3770" t="s">
        <v>324</v>
      </c>
      <c r="G3770" t="s">
        <v>38</v>
      </c>
      <c r="M3770" s="28"/>
    </row>
    <row r="3771" spans="1:14" hidden="1" x14ac:dyDescent="0.25">
      <c r="A3771" t="s">
        <v>8177</v>
      </c>
      <c r="B3771" t="s">
        <v>1565</v>
      </c>
      <c r="C3771" t="s">
        <v>1415</v>
      </c>
      <c r="D3771" t="s">
        <v>1566</v>
      </c>
      <c r="E3771" s="28" t="s">
        <v>896</v>
      </c>
      <c r="F3771" t="s">
        <v>57</v>
      </c>
      <c r="G3771" t="s">
        <v>38</v>
      </c>
      <c r="M3771" s="28"/>
    </row>
    <row r="3772" spans="1:14" hidden="1" x14ac:dyDescent="0.25">
      <c r="A3772" t="s">
        <v>11912</v>
      </c>
      <c r="B3772" t="s">
        <v>11913</v>
      </c>
      <c r="C3772" t="s">
        <v>11914</v>
      </c>
      <c r="D3772" t="s">
        <v>11915</v>
      </c>
      <c r="E3772" s="28" t="s">
        <v>890</v>
      </c>
      <c r="F3772" t="s">
        <v>251</v>
      </c>
      <c r="G3772" t="s">
        <v>125</v>
      </c>
      <c r="M3772" s="28" t="s">
        <v>6491</v>
      </c>
      <c r="N3772" t="s">
        <v>313</v>
      </c>
    </row>
    <row r="3773" spans="1:14" hidden="1" x14ac:dyDescent="0.25">
      <c r="A3773" t="s">
        <v>10461</v>
      </c>
      <c r="B3773" t="s">
        <v>6517</v>
      </c>
      <c r="C3773" t="s">
        <v>1061</v>
      </c>
      <c r="D3773" t="s">
        <v>6518</v>
      </c>
      <c r="E3773" s="28" t="s">
        <v>896</v>
      </c>
      <c r="F3773" t="s">
        <v>251</v>
      </c>
      <c r="G3773" t="s">
        <v>125</v>
      </c>
      <c r="M3773" s="28" t="s">
        <v>6491</v>
      </c>
      <c r="N3773" t="s">
        <v>313</v>
      </c>
    </row>
    <row r="3774" spans="1:14" hidden="1" x14ac:dyDescent="0.25">
      <c r="A3774" t="s">
        <v>10462</v>
      </c>
      <c r="B3774" t="s">
        <v>6519</v>
      </c>
      <c r="C3774" t="s">
        <v>6520</v>
      </c>
      <c r="D3774" t="s">
        <v>6521</v>
      </c>
      <c r="E3774" s="28" t="s">
        <v>890</v>
      </c>
      <c r="F3774" t="s">
        <v>251</v>
      </c>
      <c r="G3774" t="s">
        <v>125</v>
      </c>
      <c r="M3774" s="28" t="s">
        <v>6491</v>
      </c>
      <c r="N3774" t="s">
        <v>313</v>
      </c>
    </row>
    <row r="3775" spans="1:14" hidden="1" x14ac:dyDescent="0.25">
      <c r="A3775" t="s">
        <v>8421</v>
      </c>
      <c r="B3775" t="s">
        <v>2180</v>
      </c>
      <c r="C3775" t="s">
        <v>2181</v>
      </c>
      <c r="D3775" t="s">
        <v>2182</v>
      </c>
      <c r="E3775" s="28" t="s">
        <v>890</v>
      </c>
      <c r="F3775" t="s">
        <v>405</v>
      </c>
      <c r="G3775" t="s">
        <v>62</v>
      </c>
      <c r="M3775" s="28" t="s">
        <v>14208</v>
      </c>
    </row>
    <row r="3776" spans="1:14" hidden="1" x14ac:dyDescent="0.25">
      <c r="A3776" t="s">
        <v>8141</v>
      </c>
      <c r="B3776" t="s">
        <v>1474</v>
      </c>
      <c r="C3776" t="s">
        <v>1269</v>
      </c>
      <c r="D3776" t="s">
        <v>1475</v>
      </c>
      <c r="E3776" s="28" t="s">
        <v>890</v>
      </c>
      <c r="F3776" t="s">
        <v>328</v>
      </c>
      <c r="G3776" t="s">
        <v>38</v>
      </c>
      <c r="M3776" s="28"/>
    </row>
    <row r="3777" spans="1:14" hidden="1" x14ac:dyDescent="0.25">
      <c r="A3777" t="s">
        <v>8142</v>
      </c>
      <c r="B3777" t="s">
        <v>1478</v>
      </c>
      <c r="C3777" t="s">
        <v>1412</v>
      </c>
      <c r="D3777" t="s">
        <v>1479</v>
      </c>
      <c r="E3777" s="28" t="s">
        <v>896</v>
      </c>
      <c r="F3777" t="s">
        <v>78</v>
      </c>
      <c r="G3777" t="s">
        <v>38</v>
      </c>
      <c r="M3777" s="28"/>
    </row>
    <row r="3778" spans="1:14" hidden="1" x14ac:dyDescent="0.25">
      <c r="A3778" t="s">
        <v>9440</v>
      </c>
      <c r="B3778" t="s">
        <v>4380</v>
      </c>
      <c r="C3778" t="s">
        <v>2111</v>
      </c>
      <c r="D3778" t="s">
        <v>4381</v>
      </c>
      <c r="E3778" s="28" t="s">
        <v>896</v>
      </c>
      <c r="F3778" t="s">
        <v>891</v>
      </c>
      <c r="G3778" t="s">
        <v>88</v>
      </c>
      <c r="M3778" s="28" t="s">
        <v>549</v>
      </c>
      <c r="N3778" t="s">
        <v>313</v>
      </c>
    </row>
    <row r="3779" spans="1:14" hidden="1" x14ac:dyDescent="0.25">
      <c r="A3779" t="s">
        <v>10555</v>
      </c>
      <c r="B3779" t="s">
        <v>6770</v>
      </c>
      <c r="C3779" t="s">
        <v>6662</v>
      </c>
      <c r="D3779" t="s">
        <v>6771</v>
      </c>
      <c r="E3779" s="28" t="s">
        <v>896</v>
      </c>
      <c r="F3779" t="s">
        <v>806</v>
      </c>
      <c r="G3779" t="s">
        <v>137</v>
      </c>
      <c r="M3779" s="28" t="s">
        <v>805</v>
      </c>
      <c r="N3779" t="s">
        <v>313</v>
      </c>
    </row>
    <row r="3780" spans="1:14" hidden="1" x14ac:dyDescent="0.25">
      <c r="A3780" t="s">
        <v>8537</v>
      </c>
      <c r="B3780" t="s">
        <v>2453</v>
      </c>
      <c r="C3780" t="s">
        <v>2454</v>
      </c>
      <c r="D3780" t="s">
        <v>2455</v>
      </c>
      <c r="E3780" s="28" t="s">
        <v>896</v>
      </c>
      <c r="F3780" t="s">
        <v>510</v>
      </c>
      <c r="G3780" t="s">
        <v>11</v>
      </c>
      <c r="M3780" s="28" t="s">
        <v>413</v>
      </c>
      <c r="N3780" t="s">
        <v>313</v>
      </c>
    </row>
    <row r="3781" spans="1:14" hidden="1" x14ac:dyDescent="0.25">
      <c r="A3781" t="s">
        <v>9552</v>
      </c>
      <c r="B3781" t="s">
        <v>4624</v>
      </c>
      <c r="C3781" t="s">
        <v>1180</v>
      </c>
      <c r="D3781" t="s">
        <v>4625</v>
      </c>
      <c r="E3781" s="28" t="s">
        <v>896</v>
      </c>
      <c r="F3781" t="s">
        <v>2598</v>
      </c>
      <c r="G3781" t="s">
        <v>15</v>
      </c>
      <c r="M3781" s="28" t="s">
        <v>613</v>
      </c>
      <c r="N3781" t="s">
        <v>313</v>
      </c>
    </row>
    <row r="3782" spans="1:14" hidden="1" x14ac:dyDescent="0.25">
      <c r="A3782" t="s">
        <v>9551</v>
      </c>
      <c r="B3782" t="s">
        <v>4622</v>
      </c>
      <c r="C3782" t="s">
        <v>2582</v>
      </c>
      <c r="D3782" t="s">
        <v>4623</v>
      </c>
      <c r="E3782" s="28" t="s">
        <v>896</v>
      </c>
      <c r="F3782" t="s">
        <v>195</v>
      </c>
      <c r="G3782" t="s">
        <v>15</v>
      </c>
      <c r="M3782" s="28" t="s">
        <v>613</v>
      </c>
      <c r="N3782" t="s">
        <v>313</v>
      </c>
    </row>
    <row r="3783" spans="1:14" hidden="1" x14ac:dyDescent="0.25">
      <c r="A3783" t="s">
        <v>9550</v>
      </c>
      <c r="B3783" t="s">
        <v>4619</v>
      </c>
      <c r="C3783" t="s">
        <v>1556</v>
      </c>
      <c r="D3783" t="s">
        <v>4620</v>
      </c>
      <c r="E3783" s="28" t="s">
        <v>896</v>
      </c>
      <c r="F3783" t="s">
        <v>4621</v>
      </c>
      <c r="G3783" t="s">
        <v>15</v>
      </c>
      <c r="M3783" s="28" t="s">
        <v>613</v>
      </c>
      <c r="N3783" t="s">
        <v>313</v>
      </c>
    </row>
    <row r="3784" spans="1:14" hidden="1" x14ac:dyDescent="0.25">
      <c r="A3784" t="s">
        <v>9441</v>
      </c>
      <c r="B3784" t="s">
        <v>4382</v>
      </c>
      <c r="C3784" t="s">
        <v>4383</v>
      </c>
      <c r="D3784" t="s">
        <v>4384</v>
      </c>
      <c r="E3784" s="28" t="s">
        <v>1023</v>
      </c>
      <c r="F3784" t="s">
        <v>891</v>
      </c>
      <c r="G3784" t="s">
        <v>88</v>
      </c>
      <c r="M3784" s="28" t="s">
        <v>549</v>
      </c>
      <c r="N3784" t="s">
        <v>313</v>
      </c>
    </row>
    <row r="3785" spans="1:14" hidden="1" x14ac:dyDescent="0.25">
      <c r="A3785" t="s">
        <v>9442</v>
      </c>
      <c r="B3785" t="s">
        <v>4385</v>
      </c>
      <c r="C3785" t="s">
        <v>4386</v>
      </c>
      <c r="D3785" t="s">
        <v>4387</v>
      </c>
      <c r="E3785" s="28" t="s">
        <v>890</v>
      </c>
      <c r="F3785" t="s">
        <v>891</v>
      </c>
      <c r="G3785" t="s">
        <v>88</v>
      </c>
      <c r="M3785" s="28" t="s">
        <v>549</v>
      </c>
      <c r="N3785" t="s">
        <v>313</v>
      </c>
    </row>
    <row r="3786" spans="1:14" hidden="1" x14ac:dyDescent="0.25">
      <c r="A3786" t="s">
        <v>9443</v>
      </c>
      <c r="B3786" t="s">
        <v>4388</v>
      </c>
      <c r="C3786" t="s">
        <v>4389</v>
      </c>
      <c r="D3786" t="s">
        <v>4390</v>
      </c>
      <c r="E3786" s="28" t="s">
        <v>890</v>
      </c>
      <c r="F3786" t="s">
        <v>891</v>
      </c>
      <c r="G3786" t="s">
        <v>88</v>
      </c>
      <c r="M3786" s="28" t="s">
        <v>549</v>
      </c>
      <c r="N3786" t="s">
        <v>313</v>
      </c>
    </row>
    <row r="3787" spans="1:14" hidden="1" x14ac:dyDescent="0.25">
      <c r="A3787" t="s">
        <v>9444</v>
      </c>
      <c r="B3787" t="s">
        <v>4391</v>
      </c>
      <c r="C3787" t="s">
        <v>3044</v>
      </c>
      <c r="D3787" t="s">
        <v>4392</v>
      </c>
      <c r="E3787" s="28" t="s">
        <v>890</v>
      </c>
      <c r="F3787" t="s">
        <v>562</v>
      </c>
      <c r="G3787" t="s">
        <v>88</v>
      </c>
      <c r="M3787" s="28" t="s">
        <v>549</v>
      </c>
      <c r="N3787" t="s">
        <v>313</v>
      </c>
    </row>
    <row r="3788" spans="1:14" hidden="1" x14ac:dyDescent="0.25">
      <c r="A3788" t="s">
        <v>9492</v>
      </c>
      <c r="B3788" t="s">
        <v>4391</v>
      </c>
      <c r="C3788" t="s">
        <v>4383</v>
      </c>
      <c r="D3788" t="s">
        <v>4480</v>
      </c>
      <c r="E3788" s="28" t="s">
        <v>890</v>
      </c>
      <c r="F3788" t="s">
        <v>891</v>
      </c>
      <c r="G3788" t="s">
        <v>88</v>
      </c>
      <c r="M3788" s="28" t="s">
        <v>549</v>
      </c>
      <c r="N3788" t="s">
        <v>313</v>
      </c>
    </row>
    <row r="3789" spans="1:14" hidden="1" x14ac:dyDescent="0.25">
      <c r="A3789" t="s">
        <v>9445</v>
      </c>
      <c r="B3789" t="s">
        <v>4391</v>
      </c>
      <c r="C3789" t="s">
        <v>3025</v>
      </c>
      <c r="D3789" t="s">
        <v>4393</v>
      </c>
      <c r="E3789" s="28" t="s">
        <v>896</v>
      </c>
      <c r="F3789" t="s">
        <v>579</v>
      </c>
      <c r="G3789" t="s">
        <v>88</v>
      </c>
      <c r="M3789" s="28" t="s">
        <v>549</v>
      </c>
      <c r="N3789" t="s">
        <v>313</v>
      </c>
    </row>
    <row r="3790" spans="1:14" hidden="1" x14ac:dyDescent="0.25">
      <c r="A3790" t="s">
        <v>12496</v>
      </c>
      <c r="B3790" t="s">
        <v>4391</v>
      </c>
      <c r="C3790" t="s">
        <v>12497</v>
      </c>
      <c r="D3790" t="s">
        <v>4394</v>
      </c>
      <c r="E3790" s="28" t="s">
        <v>896</v>
      </c>
      <c r="F3790" t="s">
        <v>891</v>
      </c>
      <c r="G3790" t="s">
        <v>88</v>
      </c>
      <c r="M3790" s="28" t="s">
        <v>549</v>
      </c>
      <c r="N3790" t="s">
        <v>313</v>
      </c>
    </row>
    <row r="3791" spans="1:14" hidden="1" x14ac:dyDescent="0.25">
      <c r="A3791" t="s">
        <v>9446</v>
      </c>
      <c r="B3791" t="s">
        <v>4391</v>
      </c>
      <c r="C3791" t="s">
        <v>2133</v>
      </c>
      <c r="D3791" t="s">
        <v>4395</v>
      </c>
      <c r="E3791" s="28" t="s">
        <v>890</v>
      </c>
      <c r="F3791" t="s">
        <v>891</v>
      </c>
      <c r="G3791" t="s">
        <v>88</v>
      </c>
      <c r="M3791" s="28" t="s">
        <v>549</v>
      </c>
      <c r="N3791" t="s">
        <v>313</v>
      </c>
    </row>
    <row r="3792" spans="1:14" hidden="1" x14ac:dyDescent="0.25">
      <c r="A3792" t="s">
        <v>9447</v>
      </c>
      <c r="B3792" t="s">
        <v>4396</v>
      </c>
      <c r="C3792" t="s">
        <v>2133</v>
      </c>
      <c r="D3792" t="s">
        <v>4397</v>
      </c>
      <c r="E3792" s="28" t="s">
        <v>896</v>
      </c>
      <c r="F3792" t="s">
        <v>594</v>
      </c>
      <c r="G3792" t="s">
        <v>88</v>
      </c>
      <c r="M3792" s="28" t="s">
        <v>549</v>
      </c>
      <c r="N3792" t="s">
        <v>313</v>
      </c>
    </row>
    <row r="3793" spans="1:14" hidden="1" x14ac:dyDescent="0.25">
      <c r="A3793" t="s">
        <v>8393</v>
      </c>
      <c r="B3793" t="s">
        <v>2104</v>
      </c>
      <c r="C3793" t="s">
        <v>2105</v>
      </c>
      <c r="D3793" t="s">
        <v>2106</v>
      </c>
      <c r="E3793" s="28" t="s">
        <v>896</v>
      </c>
      <c r="F3793" t="s">
        <v>400</v>
      </c>
      <c r="G3793" t="s">
        <v>60</v>
      </c>
      <c r="M3793" s="28" t="s">
        <v>14207</v>
      </c>
    </row>
    <row r="3794" spans="1:14" hidden="1" x14ac:dyDescent="0.25">
      <c r="A3794" t="s">
        <v>9549</v>
      </c>
      <c r="B3794" t="s">
        <v>4617</v>
      </c>
      <c r="C3794" t="s">
        <v>2619</v>
      </c>
      <c r="D3794" t="s">
        <v>4618</v>
      </c>
      <c r="E3794" s="28" t="s">
        <v>896</v>
      </c>
      <c r="F3794" t="s">
        <v>219</v>
      </c>
      <c r="G3794" t="s">
        <v>15</v>
      </c>
      <c r="M3794" s="28" t="s">
        <v>613</v>
      </c>
      <c r="N3794" t="s">
        <v>313</v>
      </c>
    </row>
    <row r="3795" spans="1:14" hidden="1" x14ac:dyDescent="0.25">
      <c r="A3795" t="s">
        <v>9448</v>
      </c>
      <c r="B3795" t="s">
        <v>4398</v>
      </c>
      <c r="C3795" t="s">
        <v>3298</v>
      </c>
      <c r="D3795" t="s">
        <v>4399</v>
      </c>
      <c r="E3795" s="28" t="s">
        <v>890</v>
      </c>
      <c r="F3795" t="s">
        <v>891</v>
      </c>
      <c r="G3795" t="s">
        <v>88</v>
      </c>
      <c r="M3795" s="28" t="s">
        <v>549</v>
      </c>
      <c r="N3795" t="s">
        <v>313</v>
      </c>
    </row>
    <row r="3796" spans="1:14" hidden="1" x14ac:dyDescent="0.25">
      <c r="A3796" t="s">
        <v>9449</v>
      </c>
      <c r="B3796" t="s">
        <v>4398</v>
      </c>
      <c r="C3796" t="s">
        <v>4024</v>
      </c>
      <c r="D3796" t="s">
        <v>4400</v>
      </c>
      <c r="E3796" s="28" t="s">
        <v>890</v>
      </c>
      <c r="F3796" t="s">
        <v>891</v>
      </c>
      <c r="G3796" t="s">
        <v>88</v>
      </c>
      <c r="M3796" s="28" t="s">
        <v>549</v>
      </c>
      <c r="N3796" t="s">
        <v>313</v>
      </c>
    </row>
    <row r="3797" spans="1:14" hidden="1" x14ac:dyDescent="0.25">
      <c r="A3797" t="s">
        <v>8402</v>
      </c>
      <c r="B3797" t="s">
        <v>2132</v>
      </c>
      <c r="C3797" t="s">
        <v>2133</v>
      </c>
      <c r="D3797" t="s">
        <v>2134</v>
      </c>
      <c r="E3797" s="28" t="s">
        <v>890</v>
      </c>
      <c r="F3797" t="s">
        <v>833</v>
      </c>
      <c r="G3797" t="s">
        <v>60</v>
      </c>
      <c r="M3797" s="28" t="s">
        <v>14207</v>
      </c>
    </row>
    <row r="3798" spans="1:14" hidden="1" x14ac:dyDescent="0.25">
      <c r="A3798" t="s">
        <v>9450</v>
      </c>
      <c r="B3798" t="s">
        <v>2132</v>
      </c>
      <c r="C3798" t="s">
        <v>3563</v>
      </c>
      <c r="D3798" t="s">
        <v>4401</v>
      </c>
      <c r="E3798" s="28" t="s">
        <v>890</v>
      </c>
      <c r="F3798" t="s">
        <v>891</v>
      </c>
      <c r="G3798" t="s">
        <v>88</v>
      </c>
      <c r="M3798" s="28" t="s">
        <v>549</v>
      </c>
      <c r="N3798" t="s">
        <v>313</v>
      </c>
    </row>
    <row r="3799" spans="1:14" hidden="1" x14ac:dyDescent="0.25">
      <c r="A3799" t="s">
        <v>9451</v>
      </c>
      <c r="B3799" t="s">
        <v>4402</v>
      </c>
      <c r="C3799" t="s">
        <v>3222</v>
      </c>
      <c r="D3799" t="s">
        <v>4403</v>
      </c>
      <c r="E3799" s="28" t="s">
        <v>896</v>
      </c>
      <c r="F3799" t="s">
        <v>891</v>
      </c>
      <c r="G3799" t="s">
        <v>88</v>
      </c>
      <c r="M3799" s="28" t="s">
        <v>549</v>
      </c>
      <c r="N3799" t="s">
        <v>313</v>
      </c>
    </row>
    <row r="3800" spans="1:14" hidden="1" x14ac:dyDescent="0.25">
      <c r="A3800" t="s">
        <v>9548</v>
      </c>
      <c r="B3800" t="s">
        <v>4615</v>
      </c>
      <c r="C3800" t="s">
        <v>1134</v>
      </c>
      <c r="D3800" t="s">
        <v>4616</v>
      </c>
      <c r="E3800" s="28" t="s">
        <v>896</v>
      </c>
      <c r="F3800" t="s">
        <v>721</v>
      </c>
      <c r="G3800" t="s">
        <v>15</v>
      </c>
      <c r="M3800" s="28" t="s">
        <v>613</v>
      </c>
      <c r="N3800" t="s">
        <v>313</v>
      </c>
    </row>
    <row r="3801" spans="1:14" hidden="1" x14ac:dyDescent="0.25">
      <c r="A3801" t="s">
        <v>9546</v>
      </c>
      <c r="B3801" t="s">
        <v>4612</v>
      </c>
      <c r="C3801" t="s">
        <v>4557</v>
      </c>
      <c r="D3801" t="s">
        <v>4613</v>
      </c>
      <c r="E3801" s="28" t="s">
        <v>890</v>
      </c>
      <c r="F3801" t="s">
        <v>688</v>
      </c>
      <c r="G3801" t="s">
        <v>15</v>
      </c>
      <c r="M3801" s="28" t="s">
        <v>613</v>
      </c>
      <c r="N3801" t="s">
        <v>313</v>
      </c>
    </row>
    <row r="3802" spans="1:14" hidden="1" x14ac:dyDescent="0.25">
      <c r="A3802" t="s">
        <v>9547</v>
      </c>
      <c r="B3802" t="s">
        <v>4612</v>
      </c>
      <c r="C3802" t="s">
        <v>4553</v>
      </c>
      <c r="D3802" t="s">
        <v>4614</v>
      </c>
      <c r="E3802" s="28" t="s">
        <v>890</v>
      </c>
      <c r="F3802" t="s">
        <v>688</v>
      </c>
      <c r="G3802" t="s">
        <v>15</v>
      </c>
      <c r="M3802" s="28" t="s">
        <v>613</v>
      </c>
      <c r="N3802" t="s">
        <v>313</v>
      </c>
    </row>
    <row r="3803" spans="1:14" hidden="1" x14ac:dyDescent="0.25">
      <c r="A3803" t="s">
        <v>13398</v>
      </c>
      <c r="B3803" t="s">
        <v>13399</v>
      </c>
      <c r="C3803" t="s">
        <v>4871</v>
      </c>
      <c r="D3803" t="s">
        <v>13400</v>
      </c>
      <c r="E3803" s="28" t="s">
        <v>896</v>
      </c>
      <c r="F3803" t="s">
        <v>13355</v>
      </c>
      <c r="G3803" t="s">
        <v>15</v>
      </c>
      <c r="M3803" s="28" t="s">
        <v>613</v>
      </c>
      <c r="N3803" t="s">
        <v>313</v>
      </c>
    </row>
    <row r="3804" spans="1:14" hidden="1" x14ac:dyDescent="0.25">
      <c r="A3804" t="s">
        <v>14029</v>
      </c>
      <c r="B3804" t="s">
        <v>14030</v>
      </c>
      <c r="C3804" t="s">
        <v>1616</v>
      </c>
      <c r="D3804" t="s">
        <v>14031</v>
      </c>
      <c r="E3804" s="28" t="s">
        <v>890</v>
      </c>
      <c r="F3804" t="s">
        <v>764</v>
      </c>
      <c r="G3804" t="s">
        <v>15</v>
      </c>
      <c r="M3804" s="28" t="s">
        <v>613</v>
      </c>
      <c r="N3804" t="s">
        <v>313</v>
      </c>
    </row>
    <row r="3805" spans="1:14" hidden="1" x14ac:dyDescent="0.25">
      <c r="A3805" t="s">
        <v>8245</v>
      </c>
      <c r="B3805" t="s">
        <v>1740</v>
      </c>
      <c r="C3805" t="s">
        <v>1741</v>
      </c>
      <c r="D3805" t="s">
        <v>1742</v>
      </c>
      <c r="E3805" s="28" t="s">
        <v>896</v>
      </c>
      <c r="F3805" t="s">
        <v>891</v>
      </c>
      <c r="G3805" t="s">
        <v>43</v>
      </c>
      <c r="M3805" s="28" t="s">
        <v>14205</v>
      </c>
    </row>
    <row r="3806" spans="1:14" hidden="1" x14ac:dyDescent="0.25">
      <c r="A3806" t="s">
        <v>8455</v>
      </c>
      <c r="B3806" t="s">
        <v>2258</v>
      </c>
      <c r="C3806" t="s">
        <v>2259</v>
      </c>
      <c r="D3806" t="s">
        <v>2260</v>
      </c>
      <c r="E3806" s="28" t="s">
        <v>896</v>
      </c>
      <c r="F3806" t="s">
        <v>408</v>
      </c>
      <c r="G3806" t="s">
        <v>65</v>
      </c>
      <c r="M3806" s="28" t="s">
        <v>14209</v>
      </c>
    </row>
    <row r="3807" spans="1:14" hidden="1" x14ac:dyDescent="0.25">
      <c r="A3807" t="s">
        <v>13415</v>
      </c>
      <c r="B3807" t="s">
        <v>13416</v>
      </c>
      <c r="C3807" t="s">
        <v>4553</v>
      </c>
      <c r="D3807" t="s">
        <v>13417</v>
      </c>
      <c r="E3807" s="28" t="s">
        <v>896</v>
      </c>
      <c r="F3807" t="s">
        <v>4685</v>
      </c>
      <c r="G3807" t="s">
        <v>15</v>
      </c>
      <c r="M3807" s="28" t="s">
        <v>613</v>
      </c>
      <c r="N3807" t="s">
        <v>313</v>
      </c>
    </row>
    <row r="3808" spans="1:14" hidden="1" x14ac:dyDescent="0.25">
      <c r="A3808" t="s">
        <v>13401</v>
      </c>
      <c r="B3808" t="s">
        <v>13402</v>
      </c>
      <c r="C3808" t="s">
        <v>4553</v>
      </c>
      <c r="D3808" t="s">
        <v>13403</v>
      </c>
      <c r="E3808" s="28" t="s">
        <v>896</v>
      </c>
      <c r="F3808" t="s">
        <v>241</v>
      </c>
      <c r="G3808" t="s">
        <v>15</v>
      </c>
      <c r="M3808" s="28" t="s">
        <v>613</v>
      </c>
      <c r="N3808" t="s">
        <v>313</v>
      </c>
    </row>
    <row r="3809" spans="1:14" hidden="1" x14ac:dyDescent="0.25">
      <c r="A3809" t="s">
        <v>9544</v>
      </c>
      <c r="B3809" t="s">
        <v>4608</v>
      </c>
      <c r="C3809" t="s">
        <v>1086</v>
      </c>
      <c r="D3809" t="s">
        <v>4609</v>
      </c>
      <c r="E3809" s="28" t="s">
        <v>890</v>
      </c>
      <c r="F3809" t="s">
        <v>4610</v>
      </c>
      <c r="G3809" t="s">
        <v>15</v>
      </c>
      <c r="M3809" s="28" t="s">
        <v>613</v>
      </c>
      <c r="N3809" t="s">
        <v>313</v>
      </c>
    </row>
    <row r="3810" spans="1:14" hidden="1" x14ac:dyDescent="0.25">
      <c r="A3810" t="s">
        <v>9545</v>
      </c>
      <c r="B3810" t="s">
        <v>4608</v>
      </c>
      <c r="C3810" t="s">
        <v>2515</v>
      </c>
      <c r="D3810" t="s">
        <v>4611</v>
      </c>
      <c r="E3810" s="28" t="s">
        <v>896</v>
      </c>
      <c r="F3810" t="s">
        <v>4551</v>
      </c>
      <c r="G3810" t="s">
        <v>15</v>
      </c>
      <c r="M3810" s="28" t="s">
        <v>613</v>
      </c>
      <c r="N3810" t="s">
        <v>313</v>
      </c>
    </row>
    <row r="3811" spans="1:14" hidden="1" x14ac:dyDescent="0.25">
      <c r="A3811" t="s">
        <v>7955</v>
      </c>
      <c r="B3811" t="s">
        <v>940</v>
      </c>
      <c r="C3811" t="s">
        <v>941</v>
      </c>
      <c r="D3811" t="s">
        <v>942</v>
      </c>
      <c r="E3811" s="28" t="s">
        <v>890</v>
      </c>
      <c r="F3811" t="s">
        <v>897</v>
      </c>
      <c r="G3811" t="s">
        <v>28</v>
      </c>
      <c r="M3811" s="28" t="s">
        <v>14241</v>
      </c>
      <c r="N3811" t="s">
        <v>14206</v>
      </c>
    </row>
    <row r="3812" spans="1:14" hidden="1" x14ac:dyDescent="0.25">
      <c r="A3812" t="s">
        <v>9452</v>
      </c>
      <c r="B3812" t="s">
        <v>4404</v>
      </c>
      <c r="C3812" t="s">
        <v>3034</v>
      </c>
      <c r="D3812" t="s">
        <v>4405</v>
      </c>
      <c r="E3812" s="28" t="s">
        <v>890</v>
      </c>
      <c r="F3812" t="s">
        <v>562</v>
      </c>
      <c r="G3812" t="s">
        <v>88</v>
      </c>
      <c r="M3812" s="28" t="s">
        <v>549</v>
      </c>
      <c r="N3812" t="s">
        <v>313</v>
      </c>
    </row>
    <row r="3813" spans="1:14" hidden="1" x14ac:dyDescent="0.25">
      <c r="A3813" t="s">
        <v>7982</v>
      </c>
      <c r="B3813" t="s">
        <v>1012</v>
      </c>
      <c r="C3813" t="s">
        <v>1013</v>
      </c>
      <c r="D3813" t="s">
        <v>1014</v>
      </c>
      <c r="E3813" s="28" t="s">
        <v>890</v>
      </c>
      <c r="F3813" t="s">
        <v>1004</v>
      </c>
      <c r="G3813" t="s">
        <v>28</v>
      </c>
      <c r="M3813" s="28" t="s">
        <v>14241</v>
      </c>
      <c r="N3813" t="s">
        <v>14206</v>
      </c>
    </row>
    <row r="3814" spans="1:14" hidden="1" x14ac:dyDescent="0.25">
      <c r="A3814" t="s">
        <v>9543</v>
      </c>
      <c r="B3814" t="s">
        <v>4605</v>
      </c>
      <c r="C3814" t="s">
        <v>4606</v>
      </c>
      <c r="D3814" t="s">
        <v>4607</v>
      </c>
      <c r="E3814" s="28" t="s">
        <v>890</v>
      </c>
      <c r="F3814" t="s">
        <v>219</v>
      </c>
      <c r="G3814" t="s">
        <v>15</v>
      </c>
      <c r="M3814" s="28" t="s">
        <v>613</v>
      </c>
      <c r="N3814" t="s">
        <v>313</v>
      </c>
    </row>
    <row r="3815" spans="1:14" hidden="1" x14ac:dyDescent="0.25">
      <c r="A3815" t="s">
        <v>8143</v>
      </c>
      <c r="B3815" t="s">
        <v>1480</v>
      </c>
      <c r="C3815" t="s">
        <v>1447</v>
      </c>
      <c r="D3815" t="s">
        <v>1481</v>
      </c>
      <c r="E3815" s="28" t="s">
        <v>896</v>
      </c>
      <c r="F3815" t="s">
        <v>78</v>
      </c>
      <c r="G3815" t="s">
        <v>38</v>
      </c>
      <c r="M3815" s="28"/>
    </row>
    <row r="3816" spans="1:14" hidden="1" x14ac:dyDescent="0.25">
      <c r="A3816" t="s">
        <v>8191</v>
      </c>
      <c r="B3816" t="s">
        <v>1596</v>
      </c>
      <c r="C3816" t="s">
        <v>1597</v>
      </c>
      <c r="D3816" t="s">
        <v>1598</v>
      </c>
      <c r="E3816" s="28" t="s">
        <v>930</v>
      </c>
      <c r="F3816" t="s">
        <v>340</v>
      </c>
      <c r="G3816" t="s">
        <v>38</v>
      </c>
      <c r="M3816" s="28"/>
    </row>
    <row r="3817" spans="1:14" hidden="1" x14ac:dyDescent="0.25">
      <c r="A3817" t="s">
        <v>9453</v>
      </c>
      <c r="B3817" t="s">
        <v>4406</v>
      </c>
      <c r="C3817" t="s">
        <v>3501</v>
      </c>
      <c r="D3817" t="s">
        <v>4407</v>
      </c>
      <c r="E3817" s="28" t="s">
        <v>890</v>
      </c>
      <c r="F3817" t="s">
        <v>891</v>
      </c>
      <c r="G3817" t="s">
        <v>88</v>
      </c>
      <c r="M3817" s="28" t="s">
        <v>549</v>
      </c>
      <c r="N3817" t="s">
        <v>313</v>
      </c>
    </row>
    <row r="3818" spans="1:14" hidden="1" x14ac:dyDescent="0.25">
      <c r="A3818" t="s">
        <v>9454</v>
      </c>
      <c r="B3818" t="s">
        <v>4408</v>
      </c>
      <c r="C3818" t="s">
        <v>3214</v>
      </c>
      <c r="D3818" t="s">
        <v>4409</v>
      </c>
      <c r="E3818" s="28" t="s">
        <v>890</v>
      </c>
      <c r="F3818" t="s">
        <v>891</v>
      </c>
      <c r="G3818" t="s">
        <v>88</v>
      </c>
      <c r="M3818" s="28" t="s">
        <v>549</v>
      </c>
      <c r="N3818" t="s">
        <v>313</v>
      </c>
    </row>
    <row r="3819" spans="1:14" hidden="1" x14ac:dyDescent="0.25">
      <c r="A3819" t="s">
        <v>14032</v>
      </c>
      <c r="B3819" t="s">
        <v>14033</v>
      </c>
      <c r="C3819" t="s">
        <v>4640</v>
      </c>
      <c r="D3819" t="s">
        <v>14034</v>
      </c>
      <c r="E3819" s="28" t="s">
        <v>890</v>
      </c>
      <c r="F3819" t="s">
        <v>12865</v>
      </c>
      <c r="G3819" t="s">
        <v>15</v>
      </c>
      <c r="M3819" s="28" t="s">
        <v>613</v>
      </c>
      <c r="N3819" t="s">
        <v>313</v>
      </c>
    </row>
    <row r="3820" spans="1:14" hidden="1" x14ac:dyDescent="0.25">
      <c r="A3820" t="s">
        <v>12410</v>
      </c>
      <c r="B3820" t="s">
        <v>12411</v>
      </c>
      <c r="C3820" t="s">
        <v>1450</v>
      </c>
      <c r="D3820" t="s">
        <v>12412</v>
      </c>
      <c r="E3820" s="28" t="s">
        <v>1023</v>
      </c>
      <c r="F3820" t="s">
        <v>12815</v>
      </c>
      <c r="G3820" t="s">
        <v>38</v>
      </c>
      <c r="M3820" s="28"/>
    </row>
    <row r="3821" spans="1:14" hidden="1" x14ac:dyDescent="0.25">
      <c r="A3821" t="s">
        <v>13229</v>
      </c>
      <c r="B3821" t="s">
        <v>13230</v>
      </c>
      <c r="C3821" t="s">
        <v>13231</v>
      </c>
      <c r="D3821" t="s">
        <v>13232</v>
      </c>
      <c r="E3821" s="28" t="s">
        <v>890</v>
      </c>
      <c r="F3821" t="s">
        <v>324</v>
      </c>
      <c r="G3821" t="s">
        <v>38</v>
      </c>
      <c r="M3821" s="28"/>
    </row>
    <row r="3822" spans="1:14" hidden="1" x14ac:dyDescent="0.25">
      <c r="A3822" t="s">
        <v>9455</v>
      </c>
      <c r="B3822" t="s">
        <v>4410</v>
      </c>
      <c r="C3822" t="s">
        <v>4411</v>
      </c>
      <c r="D3822" t="s">
        <v>4412</v>
      </c>
      <c r="E3822" s="28" t="s">
        <v>890</v>
      </c>
      <c r="F3822" t="s">
        <v>11562</v>
      </c>
      <c r="G3822" t="s">
        <v>88</v>
      </c>
      <c r="M3822" s="28" t="s">
        <v>549</v>
      </c>
      <c r="N3822" t="s">
        <v>313</v>
      </c>
    </row>
    <row r="3823" spans="1:14" hidden="1" x14ac:dyDescent="0.25">
      <c r="A3823" t="s">
        <v>9542</v>
      </c>
      <c r="B3823" t="s">
        <v>4602</v>
      </c>
      <c r="C3823" t="s">
        <v>4603</v>
      </c>
      <c r="D3823" t="s">
        <v>4604</v>
      </c>
      <c r="E3823" s="28" t="s">
        <v>890</v>
      </c>
      <c r="F3823" t="s">
        <v>201</v>
      </c>
      <c r="G3823" t="s">
        <v>15</v>
      </c>
      <c r="M3823" s="28" t="s">
        <v>613</v>
      </c>
      <c r="N3823" t="s">
        <v>313</v>
      </c>
    </row>
    <row r="3824" spans="1:14" hidden="1" x14ac:dyDescent="0.25">
      <c r="A3824" t="s">
        <v>9540</v>
      </c>
      <c r="B3824" t="s">
        <v>4597</v>
      </c>
      <c r="C3824" t="s">
        <v>4553</v>
      </c>
      <c r="D3824" t="s">
        <v>4598</v>
      </c>
      <c r="E3824" s="28" t="s">
        <v>890</v>
      </c>
      <c r="F3824" t="s">
        <v>201</v>
      </c>
      <c r="G3824" t="s">
        <v>15</v>
      </c>
      <c r="M3824" s="28" t="s">
        <v>613</v>
      </c>
      <c r="N3824" t="s">
        <v>313</v>
      </c>
    </row>
    <row r="3825" spans="1:14" hidden="1" x14ac:dyDescent="0.25">
      <c r="A3825" t="s">
        <v>9541</v>
      </c>
      <c r="B3825" t="s">
        <v>4597</v>
      </c>
      <c r="C3825" t="s">
        <v>2772</v>
      </c>
      <c r="D3825" t="s">
        <v>4599</v>
      </c>
      <c r="E3825" s="28" t="s">
        <v>896</v>
      </c>
      <c r="F3825" t="s">
        <v>201</v>
      </c>
      <c r="G3825" t="s">
        <v>15</v>
      </c>
      <c r="M3825" s="28" t="s">
        <v>613</v>
      </c>
      <c r="N3825" t="s">
        <v>313</v>
      </c>
    </row>
    <row r="3826" spans="1:14" hidden="1" x14ac:dyDescent="0.25">
      <c r="A3826" t="s">
        <v>9539</v>
      </c>
      <c r="B3826" t="s">
        <v>4594</v>
      </c>
      <c r="C3826" t="s">
        <v>974</v>
      </c>
      <c r="D3826" t="s">
        <v>4595</v>
      </c>
      <c r="E3826" s="28" t="s">
        <v>896</v>
      </c>
      <c r="F3826" t="s">
        <v>4586</v>
      </c>
      <c r="G3826" t="s">
        <v>15</v>
      </c>
      <c r="M3826" s="28" t="s">
        <v>613</v>
      </c>
      <c r="N3826" t="s">
        <v>313</v>
      </c>
    </row>
    <row r="3827" spans="1:14" hidden="1" x14ac:dyDescent="0.25">
      <c r="A3827" t="s">
        <v>9538</v>
      </c>
      <c r="B3827" t="s">
        <v>4591</v>
      </c>
      <c r="C3827" t="s">
        <v>4592</v>
      </c>
      <c r="D3827" t="s">
        <v>4593</v>
      </c>
      <c r="E3827" s="28" t="s">
        <v>896</v>
      </c>
      <c r="F3827" t="s">
        <v>771</v>
      </c>
      <c r="G3827" t="s">
        <v>15</v>
      </c>
      <c r="M3827" s="28" t="s">
        <v>613</v>
      </c>
      <c r="N3827" t="s">
        <v>313</v>
      </c>
    </row>
    <row r="3828" spans="1:14" hidden="1" x14ac:dyDescent="0.25">
      <c r="A3828" t="s">
        <v>8222</v>
      </c>
      <c r="B3828" t="s">
        <v>1679</v>
      </c>
      <c r="C3828" t="s">
        <v>1680</v>
      </c>
      <c r="D3828" t="s">
        <v>1681</v>
      </c>
      <c r="E3828" s="28" t="s">
        <v>896</v>
      </c>
      <c r="F3828" t="s">
        <v>1678</v>
      </c>
      <c r="G3828" t="s">
        <v>43</v>
      </c>
      <c r="M3828" s="28" t="s">
        <v>14205</v>
      </c>
    </row>
    <row r="3829" spans="1:14" hidden="1" x14ac:dyDescent="0.25">
      <c r="A3829" t="s">
        <v>12716</v>
      </c>
      <c r="B3829" t="s">
        <v>1679</v>
      </c>
      <c r="C3829" t="s">
        <v>2805</v>
      </c>
      <c r="D3829" t="s">
        <v>12717</v>
      </c>
      <c r="E3829" s="28" t="s">
        <v>896</v>
      </c>
      <c r="F3829" t="s">
        <v>165</v>
      </c>
      <c r="G3829" t="s">
        <v>74</v>
      </c>
      <c r="M3829" s="28" t="s">
        <v>507</v>
      </c>
      <c r="N3829" t="s">
        <v>313</v>
      </c>
    </row>
    <row r="3830" spans="1:14" hidden="1" x14ac:dyDescent="0.25">
      <c r="A3830" t="s">
        <v>10868</v>
      </c>
      <c r="B3830" t="s">
        <v>1679</v>
      </c>
      <c r="C3830" t="s">
        <v>1373</v>
      </c>
      <c r="D3830" t="s">
        <v>7479</v>
      </c>
      <c r="E3830" s="28" t="s">
        <v>890</v>
      </c>
      <c r="F3830" t="s">
        <v>863</v>
      </c>
      <c r="G3830" t="s">
        <v>157</v>
      </c>
      <c r="M3830" s="28" t="s">
        <v>840</v>
      </c>
      <c r="N3830" t="s">
        <v>382</v>
      </c>
    </row>
    <row r="3831" spans="1:14" hidden="1" x14ac:dyDescent="0.25">
      <c r="A3831" t="s">
        <v>13288</v>
      </c>
      <c r="B3831" t="s">
        <v>13289</v>
      </c>
      <c r="C3831" t="s">
        <v>13290</v>
      </c>
      <c r="D3831" t="s">
        <v>13291</v>
      </c>
      <c r="E3831" s="28" t="s">
        <v>1023</v>
      </c>
      <c r="F3831" t="s">
        <v>2625</v>
      </c>
      <c r="G3831" t="s">
        <v>74</v>
      </c>
      <c r="M3831" s="28" t="s">
        <v>507</v>
      </c>
      <c r="N3831" t="s">
        <v>313</v>
      </c>
    </row>
    <row r="3832" spans="1:14" hidden="1" x14ac:dyDescent="0.25">
      <c r="A3832" t="s">
        <v>10541</v>
      </c>
      <c r="B3832" t="s">
        <v>1762</v>
      </c>
      <c r="C3832" t="s">
        <v>6744</v>
      </c>
      <c r="D3832" t="s">
        <v>6745</v>
      </c>
      <c r="E3832" s="28" t="s">
        <v>890</v>
      </c>
      <c r="F3832" t="s">
        <v>891</v>
      </c>
      <c r="G3832" t="s">
        <v>137</v>
      </c>
      <c r="M3832" s="28" t="s">
        <v>805</v>
      </c>
      <c r="N3832" t="s">
        <v>313</v>
      </c>
    </row>
    <row r="3833" spans="1:14" hidden="1" x14ac:dyDescent="0.25">
      <c r="A3833" t="s">
        <v>8254</v>
      </c>
      <c r="B3833" t="s">
        <v>1762</v>
      </c>
      <c r="C3833" t="s">
        <v>1763</v>
      </c>
      <c r="D3833" t="s">
        <v>1764</v>
      </c>
      <c r="E3833" s="28" t="s">
        <v>890</v>
      </c>
      <c r="F3833" t="s">
        <v>891</v>
      </c>
      <c r="G3833" t="s">
        <v>43</v>
      </c>
      <c r="M3833" s="28" t="s">
        <v>14205</v>
      </c>
    </row>
    <row r="3834" spans="1:14" hidden="1" x14ac:dyDescent="0.25">
      <c r="A3834" t="s">
        <v>13407</v>
      </c>
      <c r="B3834" t="s">
        <v>13408</v>
      </c>
      <c r="C3834" t="s">
        <v>4553</v>
      </c>
      <c r="D3834" t="s">
        <v>13409</v>
      </c>
      <c r="E3834" s="28" t="s">
        <v>890</v>
      </c>
      <c r="F3834" t="s">
        <v>13208</v>
      </c>
      <c r="G3834" t="s">
        <v>15</v>
      </c>
      <c r="M3834" s="28" t="s">
        <v>613</v>
      </c>
      <c r="N3834" t="s">
        <v>313</v>
      </c>
    </row>
    <row r="3835" spans="1:14" hidden="1" x14ac:dyDescent="0.25">
      <c r="A3835" t="s">
        <v>14035</v>
      </c>
      <c r="B3835" t="s">
        <v>14036</v>
      </c>
      <c r="C3835" t="s">
        <v>14037</v>
      </c>
      <c r="D3835" t="s">
        <v>14038</v>
      </c>
      <c r="E3835" s="28" t="s">
        <v>896</v>
      </c>
      <c r="F3835" t="s">
        <v>12865</v>
      </c>
      <c r="G3835" t="s">
        <v>15</v>
      </c>
      <c r="M3835" s="28" t="s">
        <v>613</v>
      </c>
      <c r="N3835" t="s">
        <v>313</v>
      </c>
    </row>
    <row r="3836" spans="1:14" hidden="1" x14ac:dyDescent="0.25">
      <c r="A3836" t="s">
        <v>9456</v>
      </c>
      <c r="B3836" t="s">
        <v>4413</v>
      </c>
      <c r="C3836" t="s">
        <v>3068</v>
      </c>
      <c r="D3836" t="s">
        <v>4414</v>
      </c>
      <c r="E3836" s="28" t="s">
        <v>896</v>
      </c>
      <c r="F3836" t="s">
        <v>891</v>
      </c>
      <c r="G3836" t="s">
        <v>88</v>
      </c>
      <c r="M3836" s="28" t="s">
        <v>549</v>
      </c>
      <c r="N3836" t="s">
        <v>313</v>
      </c>
    </row>
    <row r="3837" spans="1:14" hidden="1" x14ac:dyDescent="0.25">
      <c r="A3837" t="s">
        <v>13026</v>
      </c>
      <c r="B3837" t="s">
        <v>4587</v>
      </c>
      <c r="C3837" t="s">
        <v>974</v>
      </c>
      <c r="D3837" t="s">
        <v>13027</v>
      </c>
      <c r="E3837" s="28" t="s">
        <v>896</v>
      </c>
      <c r="F3837" t="s">
        <v>12865</v>
      </c>
      <c r="G3837" t="s">
        <v>15</v>
      </c>
      <c r="M3837" s="28" t="s">
        <v>613</v>
      </c>
      <c r="N3837" t="s">
        <v>313</v>
      </c>
    </row>
    <row r="3838" spans="1:14" hidden="1" x14ac:dyDescent="0.25">
      <c r="A3838" t="s">
        <v>9537</v>
      </c>
      <c r="B3838" t="s">
        <v>4587</v>
      </c>
      <c r="C3838" t="s">
        <v>4588</v>
      </c>
      <c r="D3838" t="s">
        <v>4589</v>
      </c>
      <c r="E3838" s="28" t="s">
        <v>896</v>
      </c>
      <c r="F3838" t="s">
        <v>4590</v>
      </c>
      <c r="G3838" t="s">
        <v>15</v>
      </c>
      <c r="M3838" s="28" t="s">
        <v>613</v>
      </c>
      <c r="N3838" t="s">
        <v>313</v>
      </c>
    </row>
    <row r="3839" spans="1:14" hidden="1" x14ac:dyDescent="0.25">
      <c r="A3839" t="s">
        <v>8674</v>
      </c>
      <c r="B3839" t="s">
        <v>2796</v>
      </c>
      <c r="C3839" t="s">
        <v>2797</v>
      </c>
      <c r="D3839" t="s">
        <v>2798</v>
      </c>
      <c r="E3839" s="28" t="s">
        <v>1023</v>
      </c>
      <c r="F3839" t="s">
        <v>2427</v>
      </c>
      <c r="G3839" t="s">
        <v>74</v>
      </c>
      <c r="M3839" s="28" t="s">
        <v>507</v>
      </c>
      <c r="N3839" t="s">
        <v>313</v>
      </c>
    </row>
    <row r="3840" spans="1:14" hidden="1" x14ac:dyDescent="0.25">
      <c r="A3840" t="s">
        <v>14413</v>
      </c>
      <c r="B3840" t="s">
        <v>14414</v>
      </c>
      <c r="C3840" t="s">
        <v>1459</v>
      </c>
      <c r="D3840" t="s">
        <v>14039</v>
      </c>
      <c r="E3840" s="28" t="s">
        <v>890</v>
      </c>
      <c r="F3840" t="s">
        <v>13814</v>
      </c>
      <c r="G3840" t="s">
        <v>81</v>
      </c>
      <c r="M3840" s="28" t="s">
        <v>530</v>
      </c>
      <c r="N3840" t="s">
        <v>313</v>
      </c>
    </row>
    <row r="3841" spans="1:14" x14ac:dyDescent="0.25">
      <c r="A3841" t="s">
        <v>10542</v>
      </c>
      <c r="B3841" t="s">
        <v>6746</v>
      </c>
      <c r="C3841" t="s">
        <v>6747</v>
      </c>
      <c r="D3841" t="s">
        <v>6748</v>
      </c>
      <c r="E3841" s="28" t="s">
        <v>890</v>
      </c>
      <c r="F3841" t="s">
        <v>12622</v>
      </c>
      <c r="G3841" t="s">
        <v>137</v>
      </c>
      <c r="M3841" s="28" t="s">
        <v>805</v>
      </c>
      <c r="N3841" t="s">
        <v>313</v>
      </c>
    </row>
    <row r="3842" spans="1:14" hidden="1" x14ac:dyDescent="0.25">
      <c r="A3842" t="s">
        <v>9536</v>
      </c>
      <c r="B3842" t="s">
        <v>4584</v>
      </c>
      <c r="C3842" t="s">
        <v>1518</v>
      </c>
      <c r="D3842" t="s">
        <v>4585</v>
      </c>
      <c r="E3842" s="28" t="s">
        <v>890</v>
      </c>
      <c r="F3842" t="s">
        <v>14114</v>
      </c>
      <c r="G3842" t="s">
        <v>15</v>
      </c>
      <c r="M3842" s="28" t="s">
        <v>613</v>
      </c>
      <c r="N3842" t="s">
        <v>313</v>
      </c>
    </row>
    <row r="3843" spans="1:14" hidden="1" x14ac:dyDescent="0.25">
      <c r="A3843" t="s">
        <v>9535</v>
      </c>
      <c r="B3843" t="s">
        <v>4581</v>
      </c>
      <c r="C3843" t="s">
        <v>4582</v>
      </c>
      <c r="D3843" t="s">
        <v>4583</v>
      </c>
      <c r="E3843" s="28" t="s">
        <v>896</v>
      </c>
      <c r="F3843" t="s">
        <v>648</v>
      </c>
      <c r="G3843" t="s">
        <v>15</v>
      </c>
      <c r="M3843" s="28" t="s">
        <v>613</v>
      </c>
      <c r="N3843" t="s">
        <v>313</v>
      </c>
    </row>
    <row r="3844" spans="1:14" hidden="1" x14ac:dyDescent="0.25">
      <c r="A3844" t="s">
        <v>9534</v>
      </c>
      <c r="B3844" t="s">
        <v>4579</v>
      </c>
      <c r="C3844" t="s">
        <v>4440</v>
      </c>
      <c r="D3844" t="s">
        <v>4580</v>
      </c>
      <c r="E3844" s="28" t="s">
        <v>896</v>
      </c>
      <c r="F3844" t="s">
        <v>702</v>
      </c>
      <c r="G3844" t="s">
        <v>15</v>
      </c>
      <c r="M3844" s="28" t="s">
        <v>613</v>
      </c>
      <c r="N3844" t="s">
        <v>313</v>
      </c>
    </row>
    <row r="3845" spans="1:14" hidden="1" x14ac:dyDescent="0.25">
      <c r="A3845" t="s">
        <v>12413</v>
      </c>
      <c r="B3845" t="s">
        <v>12414</v>
      </c>
      <c r="C3845" t="s">
        <v>1121</v>
      </c>
      <c r="D3845" t="s">
        <v>12415</v>
      </c>
      <c r="E3845" s="28" t="s">
        <v>1177</v>
      </c>
      <c r="F3845" t="s">
        <v>324</v>
      </c>
      <c r="G3845" t="s">
        <v>38</v>
      </c>
      <c r="M3845" s="28"/>
    </row>
    <row r="3846" spans="1:14" hidden="1" x14ac:dyDescent="0.25">
      <c r="A3846" t="s">
        <v>12416</v>
      </c>
      <c r="B3846" t="s">
        <v>12414</v>
      </c>
      <c r="C3846" t="s">
        <v>1978</v>
      </c>
      <c r="D3846" t="s">
        <v>12417</v>
      </c>
      <c r="E3846" s="28" t="s">
        <v>1177</v>
      </c>
      <c r="F3846" t="s">
        <v>324</v>
      </c>
      <c r="G3846" t="s">
        <v>38</v>
      </c>
      <c r="M3846" s="28"/>
    </row>
    <row r="3847" spans="1:14" hidden="1" x14ac:dyDescent="0.25">
      <c r="A3847" t="s">
        <v>12580</v>
      </c>
      <c r="B3847" t="s">
        <v>12581</v>
      </c>
      <c r="C3847" t="s">
        <v>2772</v>
      </c>
      <c r="D3847" t="s">
        <v>12582</v>
      </c>
      <c r="E3847" s="28" t="s">
        <v>896</v>
      </c>
      <c r="F3847" t="s">
        <v>690</v>
      </c>
      <c r="G3847" t="s">
        <v>15</v>
      </c>
      <c r="M3847" s="28" t="s">
        <v>613</v>
      </c>
      <c r="N3847" t="s">
        <v>313</v>
      </c>
    </row>
    <row r="3848" spans="1:14" hidden="1" x14ac:dyDescent="0.25">
      <c r="A3848" t="s">
        <v>9533</v>
      </c>
      <c r="B3848" t="s">
        <v>4577</v>
      </c>
      <c r="C3848" t="s">
        <v>999</v>
      </c>
      <c r="D3848" t="s">
        <v>4578</v>
      </c>
      <c r="E3848" s="28" t="s">
        <v>890</v>
      </c>
      <c r="F3848" t="s">
        <v>208</v>
      </c>
      <c r="G3848" t="s">
        <v>15</v>
      </c>
      <c r="M3848" s="28" t="s">
        <v>613</v>
      </c>
      <c r="N3848" t="s">
        <v>313</v>
      </c>
    </row>
    <row r="3849" spans="1:14" hidden="1" x14ac:dyDescent="0.25">
      <c r="A3849" t="s">
        <v>8144</v>
      </c>
      <c r="B3849" t="s">
        <v>1482</v>
      </c>
      <c r="C3849" t="s">
        <v>1483</v>
      </c>
      <c r="D3849" t="s">
        <v>1484</v>
      </c>
      <c r="E3849" s="28" t="s">
        <v>890</v>
      </c>
      <c r="F3849" t="s">
        <v>170</v>
      </c>
      <c r="G3849" t="s">
        <v>38</v>
      </c>
      <c r="M3849" s="28"/>
    </row>
    <row r="3850" spans="1:14" hidden="1" x14ac:dyDescent="0.25">
      <c r="A3850" t="s">
        <v>9532</v>
      </c>
      <c r="B3850" t="s">
        <v>4575</v>
      </c>
      <c r="C3850" t="s">
        <v>999</v>
      </c>
      <c r="D3850" t="s">
        <v>4576</v>
      </c>
      <c r="E3850" s="28" t="s">
        <v>896</v>
      </c>
      <c r="F3850" t="s">
        <v>638</v>
      </c>
      <c r="G3850" t="s">
        <v>15</v>
      </c>
      <c r="M3850" s="28" t="s">
        <v>613</v>
      </c>
      <c r="N3850" t="s">
        <v>313</v>
      </c>
    </row>
    <row r="3851" spans="1:14" hidden="1" x14ac:dyDescent="0.25">
      <c r="A3851" t="s">
        <v>9457</v>
      </c>
      <c r="B3851" t="s">
        <v>4415</v>
      </c>
      <c r="C3851" t="s">
        <v>1266</v>
      </c>
      <c r="D3851" t="s">
        <v>4416</v>
      </c>
      <c r="E3851" s="28" t="s">
        <v>890</v>
      </c>
      <c r="F3851" t="s">
        <v>891</v>
      </c>
      <c r="G3851" t="s">
        <v>88</v>
      </c>
      <c r="M3851" s="28" t="s">
        <v>549</v>
      </c>
      <c r="N3851" t="s">
        <v>313</v>
      </c>
    </row>
    <row r="3852" spans="1:14" hidden="1" x14ac:dyDescent="0.25">
      <c r="A3852" t="s">
        <v>9531</v>
      </c>
      <c r="B3852" t="s">
        <v>4572</v>
      </c>
      <c r="C3852" t="s">
        <v>4573</v>
      </c>
      <c r="D3852" t="s">
        <v>4574</v>
      </c>
      <c r="E3852" s="28" t="s">
        <v>890</v>
      </c>
      <c r="F3852" t="s">
        <v>648</v>
      </c>
      <c r="G3852" t="s">
        <v>15</v>
      </c>
      <c r="M3852" s="28" t="s">
        <v>613</v>
      </c>
      <c r="N3852" t="s">
        <v>313</v>
      </c>
    </row>
    <row r="3853" spans="1:14" hidden="1" x14ac:dyDescent="0.25">
      <c r="A3853" t="s">
        <v>8694</v>
      </c>
      <c r="B3853" t="s">
        <v>2845</v>
      </c>
      <c r="C3853" t="s">
        <v>1509</v>
      </c>
      <c r="D3853" t="s">
        <v>2846</v>
      </c>
      <c r="E3853" s="28" t="s">
        <v>896</v>
      </c>
      <c r="F3853" t="s">
        <v>179</v>
      </c>
      <c r="G3853" t="s">
        <v>81</v>
      </c>
      <c r="M3853" s="28" t="s">
        <v>530</v>
      </c>
      <c r="N3853" t="s">
        <v>313</v>
      </c>
    </row>
    <row r="3854" spans="1:14" hidden="1" x14ac:dyDescent="0.25">
      <c r="A3854" t="s">
        <v>9458</v>
      </c>
      <c r="B3854" t="s">
        <v>4417</v>
      </c>
      <c r="C3854" t="s">
        <v>3068</v>
      </c>
      <c r="D3854" t="s">
        <v>4418</v>
      </c>
      <c r="E3854" s="28" t="s">
        <v>890</v>
      </c>
      <c r="F3854" t="s">
        <v>550</v>
      </c>
      <c r="G3854" t="s">
        <v>88</v>
      </c>
      <c r="M3854" s="28" t="s">
        <v>549</v>
      </c>
      <c r="N3854" t="s">
        <v>313</v>
      </c>
    </row>
    <row r="3855" spans="1:14" hidden="1" x14ac:dyDescent="0.25">
      <c r="A3855" t="s">
        <v>9459</v>
      </c>
      <c r="B3855" t="s">
        <v>4417</v>
      </c>
      <c r="C3855" t="s">
        <v>3021</v>
      </c>
      <c r="D3855" t="s">
        <v>4419</v>
      </c>
      <c r="E3855" s="28" t="s">
        <v>890</v>
      </c>
      <c r="F3855" t="s">
        <v>891</v>
      </c>
      <c r="G3855" t="s">
        <v>88</v>
      </c>
      <c r="M3855" s="28" t="s">
        <v>549</v>
      </c>
      <c r="N3855" t="s">
        <v>313</v>
      </c>
    </row>
    <row r="3856" spans="1:14" hidden="1" x14ac:dyDescent="0.25">
      <c r="A3856" t="s">
        <v>9460</v>
      </c>
      <c r="B3856" t="s">
        <v>4420</v>
      </c>
      <c r="C3856" t="s">
        <v>3330</v>
      </c>
      <c r="D3856" t="s">
        <v>4421</v>
      </c>
      <c r="E3856" s="28" t="s">
        <v>896</v>
      </c>
      <c r="F3856" t="s">
        <v>891</v>
      </c>
      <c r="G3856" t="s">
        <v>88</v>
      </c>
      <c r="M3856" s="28" t="s">
        <v>549</v>
      </c>
      <c r="N3856" t="s">
        <v>313</v>
      </c>
    </row>
    <row r="3857" spans="1:14" hidden="1" x14ac:dyDescent="0.25">
      <c r="A3857" t="s">
        <v>10595</v>
      </c>
      <c r="B3857" t="s">
        <v>6833</v>
      </c>
      <c r="C3857" t="s">
        <v>6834</v>
      </c>
      <c r="D3857" t="s">
        <v>6835</v>
      </c>
      <c r="E3857" s="28" t="s">
        <v>896</v>
      </c>
      <c r="F3857" t="s">
        <v>6836</v>
      </c>
      <c r="G3857" t="s">
        <v>141</v>
      </c>
      <c r="M3857" s="28" t="s">
        <v>14229</v>
      </c>
    </row>
    <row r="3858" spans="1:14" hidden="1" x14ac:dyDescent="0.25">
      <c r="A3858" t="s">
        <v>12027</v>
      </c>
      <c r="B3858" t="s">
        <v>6833</v>
      </c>
      <c r="C3858" t="s">
        <v>12028</v>
      </c>
      <c r="D3858" t="s">
        <v>12029</v>
      </c>
      <c r="E3858" s="28" t="s">
        <v>930</v>
      </c>
      <c r="F3858" t="s">
        <v>6836</v>
      </c>
      <c r="G3858" t="s">
        <v>141</v>
      </c>
      <c r="M3858" s="28" t="s">
        <v>14229</v>
      </c>
    </row>
    <row r="3859" spans="1:14" hidden="1" x14ac:dyDescent="0.25">
      <c r="A3859" t="s">
        <v>9461</v>
      </c>
      <c r="B3859" t="s">
        <v>4422</v>
      </c>
      <c r="C3859" t="s">
        <v>3134</v>
      </c>
      <c r="D3859" t="s">
        <v>4423</v>
      </c>
      <c r="E3859" s="28" t="s">
        <v>890</v>
      </c>
      <c r="F3859" t="s">
        <v>571</v>
      </c>
      <c r="G3859" t="s">
        <v>88</v>
      </c>
      <c r="M3859" s="28" t="s">
        <v>549</v>
      </c>
      <c r="N3859" t="s">
        <v>313</v>
      </c>
    </row>
    <row r="3860" spans="1:14" hidden="1" x14ac:dyDescent="0.25">
      <c r="A3860" t="s">
        <v>9462</v>
      </c>
      <c r="B3860" t="s">
        <v>4422</v>
      </c>
      <c r="C3860" t="s">
        <v>3034</v>
      </c>
      <c r="D3860" t="s">
        <v>4424</v>
      </c>
      <c r="E3860" s="28" t="s">
        <v>930</v>
      </c>
      <c r="F3860" t="s">
        <v>571</v>
      </c>
      <c r="G3860" t="s">
        <v>88</v>
      </c>
      <c r="M3860" s="28" t="s">
        <v>549</v>
      </c>
      <c r="N3860" t="s">
        <v>313</v>
      </c>
    </row>
    <row r="3861" spans="1:14" hidden="1" x14ac:dyDescent="0.25">
      <c r="A3861" t="s">
        <v>9463</v>
      </c>
      <c r="B3861" t="s">
        <v>4422</v>
      </c>
      <c r="C3861" t="s">
        <v>3036</v>
      </c>
      <c r="D3861" t="s">
        <v>4425</v>
      </c>
      <c r="E3861" s="28" t="s">
        <v>890</v>
      </c>
      <c r="F3861" t="s">
        <v>571</v>
      </c>
      <c r="G3861" t="s">
        <v>88</v>
      </c>
      <c r="M3861" s="28" t="s">
        <v>549</v>
      </c>
      <c r="N3861" t="s">
        <v>313</v>
      </c>
    </row>
    <row r="3862" spans="1:14" hidden="1" x14ac:dyDescent="0.25">
      <c r="A3862" t="s">
        <v>12534</v>
      </c>
      <c r="B3862" t="s">
        <v>12535</v>
      </c>
      <c r="C3862" t="s">
        <v>3651</v>
      </c>
      <c r="D3862" t="s">
        <v>12536</v>
      </c>
      <c r="E3862" s="28" t="s">
        <v>1177</v>
      </c>
      <c r="F3862" t="s">
        <v>554</v>
      </c>
      <c r="G3862" t="s">
        <v>88</v>
      </c>
      <c r="M3862" s="28" t="s">
        <v>549</v>
      </c>
      <c r="N3862" t="s">
        <v>313</v>
      </c>
    </row>
    <row r="3863" spans="1:14" hidden="1" x14ac:dyDescent="0.25">
      <c r="A3863" t="s">
        <v>9464</v>
      </c>
      <c r="B3863" t="s">
        <v>4426</v>
      </c>
      <c r="C3863" t="s">
        <v>3539</v>
      </c>
      <c r="D3863" t="s">
        <v>4427</v>
      </c>
      <c r="E3863" s="28" t="s">
        <v>896</v>
      </c>
      <c r="F3863" t="s">
        <v>891</v>
      </c>
      <c r="G3863" t="s">
        <v>88</v>
      </c>
      <c r="M3863" s="28" t="s">
        <v>549</v>
      </c>
      <c r="N3863" t="s">
        <v>313</v>
      </c>
    </row>
    <row r="3864" spans="1:14" hidden="1" x14ac:dyDescent="0.25">
      <c r="A3864" t="s">
        <v>9465</v>
      </c>
      <c r="B3864" t="s">
        <v>4428</v>
      </c>
      <c r="C3864" t="s">
        <v>1103</v>
      </c>
      <c r="D3864" t="s">
        <v>4429</v>
      </c>
      <c r="E3864" s="28" t="s">
        <v>890</v>
      </c>
      <c r="F3864" t="s">
        <v>891</v>
      </c>
      <c r="G3864" t="s">
        <v>88</v>
      </c>
      <c r="M3864" s="28" t="s">
        <v>549</v>
      </c>
      <c r="N3864" t="s">
        <v>313</v>
      </c>
    </row>
    <row r="3865" spans="1:14" hidden="1" x14ac:dyDescent="0.25">
      <c r="A3865" t="s">
        <v>9466</v>
      </c>
      <c r="B3865" t="s">
        <v>4428</v>
      </c>
      <c r="C3865" t="s">
        <v>1172</v>
      </c>
      <c r="D3865" t="s">
        <v>4430</v>
      </c>
      <c r="E3865" s="28" t="s">
        <v>930</v>
      </c>
      <c r="F3865" t="s">
        <v>891</v>
      </c>
      <c r="G3865" t="s">
        <v>88</v>
      </c>
      <c r="M3865" s="28" t="s">
        <v>549</v>
      </c>
      <c r="N3865" t="s">
        <v>313</v>
      </c>
    </row>
    <row r="3866" spans="1:14" hidden="1" x14ac:dyDescent="0.25">
      <c r="A3866" t="s">
        <v>9467</v>
      </c>
      <c r="B3866" t="s">
        <v>4428</v>
      </c>
      <c r="C3866" t="s">
        <v>3021</v>
      </c>
      <c r="D3866" t="s">
        <v>4431</v>
      </c>
      <c r="E3866" s="28" t="s">
        <v>890</v>
      </c>
      <c r="F3866" t="s">
        <v>891</v>
      </c>
      <c r="G3866" t="s">
        <v>88</v>
      </c>
      <c r="M3866" s="28" t="s">
        <v>549</v>
      </c>
      <c r="N3866" t="s">
        <v>313</v>
      </c>
    </row>
    <row r="3867" spans="1:14" hidden="1" x14ac:dyDescent="0.25">
      <c r="A3867" t="s">
        <v>9468</v>
      </c>
      <c r="B3867" t="s">
        <v>4428</v>
      </c>
      <c r="C3867" t="s">
        <v>3025</v>
      </c>
      <c r="D3867" t="s">
        <v>4432</v>
      </c>
      <c r="E3867" s="28" t="s">
        <v>896</v>
      </c>
      <c r="F3867" t="s">
        <v>891</v>
      </c>
      <c r="G3867" t="s">
        <v>88</v>
      </c>
      <c r="M3867" s="28" t="s">
        <v>549</v>
      </c>
      <c r="N3867" t="s">
        <v>313</v>
      </c>
    </row>
    <row r="3868" spans="1:14" hidden="1" x14ac:dyDescent="0.25">
      <c r="A3868" t="s">
        <v>11049</v>
      </c>
      <c r="B3868" t="s">
        <v>11050</v>
      </c>
      <c r="C3868" t="s">
        <v>11051</v>
      </c>
      <c r="D3868" t="s">
        <v>11052</v>
      </c>
      <c r="E3868" s="28" t="s">
        <v>896</v>
      </c>
      <c r="F3868" t="s">
        <v>6584</v>
      </c>
      <c r="G3868" t="s">
        <v>84</v>
      </c>
      <c r="M3868" s="28" t="s">
        <v>14223</v>
      </c>
      <c r="N3868" t="s">
        <v>313</v>
      </c>
    </row>
    <row r="3869" spans="1:14" hidden="1" x14ac:dyDescent="0.25">
      <c r="A3869" t="s">
        <v>9469</v>
      </c>
      <c r="B3869" t="s">
        <v>4433</v>
      </c>
      <c r="C3869" t="s">
        <v>3021</v>
      </c>
      <c r="D3869" t="s">
        <v>4434</v>
      </c>
      <c r="E3869" s="28" t="s">
        <v>890</v>
      </c>
      <c r="F3869" t="s">
        <v>891</v>
      </c>
      <c r="G3869" t="s">
        <v>88</v>
      </c>
      <c r="M3869" s="28" t="s">
        <v>549</v>
      </c>
      <c r="N3869" t="s">
        <v>313</v>
      </c>
    </row>
    <row r="3870" spans="1:14" hidden="1" x14ac:dyDescent="0.25">
      <c r="A3870" t="s">
        <v>13501</v>
      </c>
      <c r="B3870" t="s">
        <v>13502</v>
      </c>
      <c r="C3870" t="s">
        <v>13503</v>
      </c>
      <c r="D3870" t="s">
        <v>13504</v>
      </c>
      <c r="E3870" s="28" t="s">
        <v>890</v>
      </c>
      <c r="F3870" t="s">
        <v>6836</v>
      </c>
      <c r="G3870" t="s">
        <v>141</v>
      </c>
      <c r="M3870" s="28" t="s">
        <v>14229</v>
      </c>
    </row>
    <row r="3871" spans="1:14" hidden="1" x14ac:dyDescent="0.25">
      <c r="A3871" t="s">
        <v>9530</v>
      </c>
      <c r="B3871" t="s">
        <v>4569</v>
      </c>
      <c r="C3871" t="s">
        <v>4570</v>
      </c>
      <c r="D3871" t="s">
        <v>4571</v>
      </c>
      <c r="E3871" s="28" t="s">
        <v>896</v>
      </c>
      <c r="F3871" t="s">
        <v>615</v>
      </c>
      <c r="G3871" t="s">
        <v>15</v>
      </c>
      <c r="M3871" s="28" t="s">
        <v>613</v>
      </c>
      <c r="N3871" t="s">
        <v>313</v>
      </c>
    </row>
    <row r="3872" spans="1:14" hidden="1" x14ac:dyDescent="0.25">
      <c r="A3872" t="s">
        <v>11426</v>
      </c>
      <c r="B3872" t="s">
        <v>11427</v>
      </c>
      <c r="C3872" t="s">
        <v>11428</v>
      </c>
      <c r="D3872" t="s">
        <v>11429</v>
      </c>
      <c r="E3872" s="28" t="s">
        <v>890</v>
      </c>
      <c r="F3872" t="s">
        <v>2957</v>
      </c>
      <c r="G3872" t="s">
        <v>84</v>
      </c>
      <c r="M3872" s="28" t="s">
        <v>14223</v>
      </c>
      <c r="N3872" t="s">
        <v>313</v>
      </c>
    </row>
    <row r="3873" spans="1:14" hidden="1" x14ac:dyDescent="0.25">
      <c r="A3873" t="s">
        <v>9470</v>
      </c>
      <c r="B3873" t="s">
        <v>4435</v>
      </c>
      <c r="C3873" t="s">
        <v>4161</v>
      </c>
      <c r="D3873" t="s">
        <v>4436</v>
      </c>
      <c r="E3873" s="28" t="s">
        <v>890</v>
      </c>
      <c r="F3873" t="s">
        <v>891</v>
      </c>
      <c r="G3873" t="s">
        <v>88</v>
      </c>
      <c r="M3873" s="28" t="s">
        <v>549</v>
      </c>
      <c r="N3873" t="s">
        <v>313</v>
      </c>
    </row>
    <row r="3874" spans="1:14" hidden="1" x14ac:dyDescent="0.25">
      <c r="A3874" t="s">
        <v>9471</v>
      </c>
      <c r="B3874" t="s">
        <v>4437</v>
      </c>
      <c r="C3874" t="s">
        <v>3036</v>
      </c>
      <c r="D3874" t="s">
        <v>4438</v>
      </c>
      <c r="E3874" s="28" t="s">
        <v>896</v>
      </c>
      <c r="F3874" t="s">
        <v>547</v>
      </c>
      <c r="G3874" t="s">
        <v>88</v>
      </c>
      <c r="M3874" s="28" t="s">
        <v>549</v>
      </c>
      <c r="N3874" t="s">
        <v>313</v>
      </c>
    </row>
    <row r="3875" spans="1:14" hidden="1" x14ac:dyDescent="0.25">
      <c r="A3875" t="s">
        <v>11789</v>
      </c>
      <c r="B3875" t="s">
        <v>4439</v>
      </c>
      <c r="C3875" t="s">
        <v>2063</v>
      </c>
      <c r="D3875" t="s">
        <v>4441</v>
      </c>
      <c r="E3875" s="28" t="s">
        <v>896</v>
      </c>
      <c r="F3875" t="s">
        <v>579</v>
      </c>
      <c r="G3875" t="s">
        <v>88</v>
      </c>
      <c r="M3875" s="28" t="s">
        <v>549</v>
      </c>
      <c r="N3875" t="s">
        <v>313</v>
      </c>
    </row>
    <row r="3876" spans="1:14" hidden="1" x14ac:dyDescent="0.25">
      <c r="A3876" t="s">
        <v>9472</v>
      </c>
      <c r="B3876" t="s">
        <v>4442</v>
      </c>
      <c r="C3876" t="s">
        <v>3167</v>
      </c>
      <c r="D3876" t="s">
        <v>4443</v>
      </c>
      <c r="E3876" s="28" t="s">
        <v>896</v>
      </c>
      <c r="F3876" t="s">
        <v>891</v>
      </c>
      <c r="G3876" t="s">
        <v>88</v>
      </c>
      <c r="M3876" s="28" t="s">
        <v>549</v>
      </c>
      <c r="N3876" t="s">
        <v>313</v>
      </c>
    </row>
    <row r="3877" spans="1:14" hidden="1" x14ac:dyDescent="0.25">
      <c r="A3877" t="s">
        <v>8065</v>
      </c>
      <c r="B3877" t="s">
        <v>1274</v>
      </c>
      <c r="C3877" t="s">
        <v>1123</v>
      </c>
      <c r="D3877" t="s">
        <v>1275</v>
      </c>
      <c r="E3877" s="28" t="s">
        <v>890</v>
      </c>
      <c r="F3877" t="s">
        <v>39</v>
      </c>
      <c r="G3877" t="s">
        <v>34</v>
      </c>
      <c r="M3877" s="28" t="s">
        <v>12353</v>
      </c>
      <c r="N3877" t="s">
        <v>313</v>
      </c>
    </row>
    <row r="3878" spans="1:14" hidden="1" x14ac:dyDescent="0.25">
      <c r="A3878" t="s">
        <v>8067</v>
      </c>
      <c r="B3878" t="s">
        <v>1274</v>
      </c>
      <c r="C3878" t="s">
        <v>1278</v>
      </c>
      <c r="D3878" t="s">
        <v>1279</v>
      </c>
      <c r="E3878" s="28" t="s">
        <v>896</v>
      </c>
      <c r="F3878" t="s">
        <v>39</v>
      </c>
      <c r="G3878" t="s">
        <v>34</v>
      </c>
      <c r="M3878" s="28" t="s">
        <v>12353</v>
      </c>
      <c r="N3878" t="s">
        <v>313</v>
      </c>
    </row>
    <row r="3879" spans="1:14" hidden="1" x14ac:dyDescent="0.25">
      <c r="A3879" t="s">
        <v>9473</v>
      </c>
      <c r="B3879" t="s">
        <v>4444</v>
      </c>
      <c r="C3879" t="s">
        <v>3031</v>
      </c>
      <c r="D3879" t="s">
        <v>4445</v>
      </c>
      <c r="E3879" s="28" t="s">
        <v>896</v>
      </c>
      <c r="F3879" t="s">
        <v>891</v>
      </c>
      <c r="G3879" t="s">
        <v>88</v>
      </c>
      <c r="M3879" s="28" t="s">
        <v>549</v>
      </c>
      <c r="N3879" t="s">
        <v>313</v>
      </c>
    </row>
    <row r="3880" spans="1:14" hidden="1" x14ac:dyDescent="0.25">
      <c r="A3880" t="s">
        <v>9474</v>
      </c>
      <c r="B3880" t="s">
        <v>4444</v>
      </c>
      <c r="C3880" t="s">
        <v>3025</v>
      </c>
      <c r="D3880" t="s">
        <v>4446</v>
      </c>
      <c r="E3880" s="28" t="s">
        <v>890</v>
      </c>
      <c r="F3880" t="s">
        <v>891</v>
      </c>
      <c r="G3880" t="s">
        <v>88</v>
      </c>
      <c r="M3880" s="28" t="s">
        <v>549</v>
      </c>
      <c r="N3880" t="s">
        <v>313</v>
      </c>
    </row>
    <row r="3881" spans="1:14" hidden="1" x14ac:dyDescent="0.25">
      <c r="A3881" t="s">
        <v>9475</v>
      </c>
      <c r="B3881" t="s">
        <v>4444</v>
      </c>
      <c r="C3881" t="s">
        <v>3158</v>
      </c>
      <c r="D3881" t="s">
        <v>4447</v>
      </c>
      <c r="E3881" s="28" t="s">
        <v>890</v>
      </c>
      <c r="F3881" t="s">
        <v>891</v>
      </c>
      <c r="G3881" t="s">
        <v>88</v>
      </c>
      <c r="M3881" s="28" t="s">
        <v>549</v>
      </c>
      <c r="N3881" t="s">
        <v>313</v>
      </c>
    </row>
    <row r="3882" spans="1:14" hidden="1" x14ac:dyDescent="0.25">
      <c r="A3882" t="s">
        <v>11174</v>
      </c>
      <c r="B3882" t="s">
        <v>11006</v>
      </c>
      <c r="C3882" t="s">
        <v>11175</v>
      </c>
      <c r="D3882" t="s">
        <v>11176</v>
      </c>
      <c r="E3882" s="28" t="s">
        <v>890</v>
      </c>
      <c r="F3882" t="s">
        <v>11526</v>
      </c>
      <c r="G3882" t="s">
        <v>84</v>
      </c>
      <c r="M3882" s="28" t="s">
        <v>14223</v>
      </c>
      <c r="N3882" t="s">
        <v>313</v>
      </c>
    </row>
    <row r="3883" spans="1:14" hidden="1" x14ac:dyDescent="0.25">
      <c r="A3883" t="s">
        <v>11005</v>
      </c>
      <c r="B3883" t="s">
        <v>11006</v>
      </c>
      <c r="C3883" t="s">
        <v>2955</v>
      </c>
      <c r="D3883" t="s">
        <v>11007</v>
      </c>
      <c r="E3883" s="28" t="s">
        <v>896</v>
      </c>
      <c r="F3883" t="s">
        <v>11008</v>
      </c>
      <c r="G3883" t="s">
        <v>84</v>
      </c>
      <c r="M3883" s="28" t="s">
        <v>14223</v>
      </c>
      <c r="N3883" t="s">
        <v>313</v>
      </c>
    </row>
    <row r="3884" spans="1:14" hidden="1" x14ac:dyDescent="0.25">
      <c r="A3884" t="s">
        <v>13313</v>
      </c>
      <c r="B3884" t="s">
        <v>11006</v>
      </c>
      <c r="C3884" t="s">
        <v>1060</v>
      </c>
      <c r="D3884" t="s">
        <v>13314</v>
      </c>
      <c r="E3884" s="28" t="s">
        <v>896</v>
      </c>
      <c r="F3884" t="s">
        <v>11526</v>
      </c>
      <c r="G3884" t="s">
        <v>84</v>
      </c>
      <c r="M3884" s="28" t="s">
        <v>14223</v>
      </c>
      <c r="N3884" t="s">
        <v>313</v>
      </c>
    </row>
    <row r="3885" spans="1:14" hidden="1" x14ac:dyDescent="0.25">
      <c r="A3885" t="s">
        <v>10403</v>
      </c>
      <c r="B3885" t="s">
        <v>6383</v>
      </c>
      <c r="C3885" t="s">
        <v>6384</v>
      </c>
      <c r="D3885" t="s">
        <v>6385</v>
      </c>
      <c r="E3885" s="28" t="s">
        <v>890</v>
      </c>
      <c r="F3885" t="s">
        <v>6365</v>
      </c>
      <c r="G3885" t="s">
        <v>119</v>
      </c>
      <c r="M3885" s="28"/>
    </row>
    <row r="3886" spans="1:14" hidden="1" x14ac:dyDescent="0.25">
      <c r="A3886" t="s">
        <v>11874</v>
      </c>
      <c r="B3886" t="s">
        <v>11875</v>
      </c>
      <c r="C3886" t="s">
        <v>11876</v>
      </c>
      <c r="D3886" t="s">
        <v>11877</v>
      </c>
      <c r="E3886" s="28" t="s">
        <v>896</v>
      </c>
      <c r="F3886" t="s">
        <v>11578</v>
      </c>
      <c r="G3886" t="s">
        <v>110</v>
      </c>
      <c r="M3886" s="28" t="s">
        <v>13563</v>
      </c>
      <c r="N3886" t="s">
        <v>279</v>
      </c>
    </row>
    <row r="3887" spans="1:14" hidden="1" x14ac:dyDescent="0.25">
      <c r="A3887" t="s">
        <v>13440</v>
      </c>
      <c r="B3887" t="s">
        <v>11875</v>
      </c>
      <c r="C3887" t="s">
        <v>13441</v>
      </c>
      <c r="D3887" t="s">
        <v>13442</v>
      </c>
      <c r="E3887" s="28" t="s">
        <v>890</v>
      </c>
      <c r="F3887" t="s">
        <v>11578</v>
      </c>
      <c r="G3887" t="s">
        <v>110</v>
      </c>
      <c r="M3887" s="28" t="s">
        <v>13563</v>
      </c>
      <c r="N3887" t="s">
        <v>279</v>
      </c>
    </row>
    <row r="3888" spans="1:14" hidden="1" x14ac:dyDescent="0.25">
      <c r="A3888" t="s">
        <v>11266</v>
      </c>
      <c r="B3888" t="s">
        <v>11267</v>
      </c>
      <c r="C3888" t="s">
        <v>1058</v>
      </c>
      <c r="D3888" t="s">
        <v>11268</v>
      </c>
      <c r="E3888" s="28" t="s">
        <v>896</v>
      </c>
      <c r="F3888" t="s">
        <v>11269</v>
      </c>
      <c r="G3888" t="s">
        <v>84</v>
      </c>
      <c r="M3888" s="28" t="s">
        <v>14223</v>
      </c>
      <c r="N3888" t="s">
        <v>313</v>
      </c>
    </row>
    <row r="3889" spans="1:14" hidden="1" x14ac:dyDescent="0.25">
      <c r="A3889" t="s">
        <v>8071</v>
      </c>
      <c r="B3889" t="s">
        <v>1290</v>
      </c>
      <c r="C3889" t="s">
        <v>1285</v>
      </c>
      <c r="D3889" t="s">
        <v>1291</v>
      </c>
      <c r="E3889" s="28" t="s">
        <v>890</v>
      </c>
      <c r="F3889" t="s">
        <v>794</v>
      </c>
      <c r="G3889" t="s">
        <v>34</v>
      </c>
      <c r="M3889" s="28" t="s">
        <v>12353</v>
      </c>
      <c r="N3889" t="s">
        <v>313</v>
      </c>
    </row>
    <row r="3890" spans="1:14" hidden="1" x14ac:dyDescent="0.25">
      <c r="A3890" t="s">
        <v>10869</v>
      </c>
      <c r="B3890" t="s">
        <v>7480</v>
      </c>
      <c r="C3890" t="s">
        <v>7481</v>
      </c>
      <c r="D3890" t="s">
        <v>7482</v>
      </c>
      <c r="E3890" s="28" t="s">
        <v>890</v>
      </c>
      <c r="F3890" t="s">
        <v>4635</v>
      </c>
      <c r="G3890" t="s">
        <v>157</v>
      </c>
      <c r="M3890" s="28" t="s">
        <v>840</v>
      </c>
      <c r="N3890" t="s">
        <v>382</v>
      </c>
    </row>
    <row r="3891" spans="1:14" hidden="1" x14ac:dyDescent="0.25">
      <c r="A3891" t="s">
        <v>11134</v>
      </c>
      <c r="B3891" t="s">
        <v>11135</v>
      </c>
      <c r="C3891" t="s">
        <v>1208</v>
      </c>
      <c r="D3891" t="s">
        <v>11136</v>
      </c>
      <c r="E3891" s="28" t="s">
        <v>896</v>
      </c>
      <c r="F3891" t="s">
        <v>11127</v>
      </c>
      <c r="G3891" t="s">
        <v>84</v>
      </c>
      <c r="M3891" s="28" t="s">
        <v>14223</v>
      </c>
      <c r="N3891" t="s">
        <v>313</v>
      </c>
    </row>
    <row r="3892" spans="1:14" hidden="1" x14ac:dyDescent="0.25">
      <c r="A3892" t="s">
        <v>14415</v>
      </c>
      <c r="B3892" t="s">
        <v>14416</v>
      </c>
      <c r="C3892" t="s">
        <v>2549</v>
      </c>
      <c r="D3892" t="s">
        <v>14417</v>
      </c>
      <c r="E3892" s="28" t="s">
        <v>890</v>
      </c>
      <c r="F3892" t="s">
        <v>14210</v>
      </c>
      <c r="G3892" t="s">
        <v>11</v>
      </c>
      <c r="M3892" s="28" t="s">
        <v>413</v>
      </c>
      <c r="N3892" t="s">
        <v>313</v>
      </c>
    </row>
    <row r="3893" spans="1:14" hidden="1" x14ac:dyDescent="0.25">
      <c r="A3893" t="s">
        <v>10870</v>
      </c>
      <c r="B3893" t="s">
        <v>7483</v>
      </c>
      <c r="C3893" t="s">
        <v>1459</v>
      </c>
      <c r="D3893" t="s">
        <v>7484</v>
      </c>
      <c r="E3893" s="28" t="s">
        <v>890</v>
      </c>
      <c r="F3893" t="s">
        <v>854</v>
      </c>
      <c r="G3893" t="s">
        <v>157</v>
      </c>
      <c r="M3893" s="28" t="s">
        <v>840</v>
      </c>
      <c r="N3893" t="s">
        <v>382</v>
      </c>
    </row>
    <row r="3894" spans="1:14" hidden="1" x14ac:dyDescent="0.25">
      <c r="A3894" t="s">
        <v>8068</v>
      </c>
      <c r="B3894" t="s">
        <v>1280</v>
      </c>
      <c r="C3894" t="s">
        <v>1281</v>
      </c>
      <c r="D3894" t="s">
        <v>1282</v>
      </c>
      <c r="E3894" s="28" t="s">
        <v>930</v>
      </c>
      <c r="F3894" t="s">
        <v>35</v>
      </c>
      <c r="G3894" t="s">
        <v>34</v>
      </c>
      <c r="M3894" s="28" t="s">
        <v>12353</v>
      </c>
      <c r="N3894" t="s">
        <v>313</v>
      </c>
    </row>
    <row r="3895" spans="1:14" hidden="1" x14ac:dyDescent="0.25">
      <c r="A3895" t="s">
        <v>7958</v>
      </c>
      <c r="B3895" t="s">
        <v>949</v>
      </c>
      <c r="C3895" t="s">
        <v>950</v>
      </c>
      <c r="D3895" t="s">
        <v>951</v>
      </c>
      <c r="E3895" s="28" t="s">
        <v>890</v>
      </c>
      <c r="F3895" t="s">
        <v>32</v>
      </c>
      <c r="G3895" t="s">
        <v>28</v>
      </c>
      <c r="M3895" s="28" t="s">
        <v>14241</v>
      </c>
      <c r="N3895" t="s">
        <v>14206</v>
      </c>
    </row>
    <row r="3896" spans="1:14" hidden="1" x14ac:dyDescent="0.25">
      <c r="A3896" t="s">
        <v>12453</v>
      </c>
      <c r="B3896" t="s">
        <v>12454</v>
      </c>
      <c r="C3896" t="s">
        <v>6390</v>
      </c>
      <c r="D3896" t="s">
        <v>12455</v>
      </c>
      <c r="E3896" s="28" t="s">
        <v>1023</v>
      </c>
      <c r="F3896" t="s">
        <v>479</v>
      </c>
      <c r="G3896" t="s">
        <v>11</v>
      </c>
      <c r="M3896" s="28" t="s">
        <v>413</v>
      </c>
      <c r="N3896" t="s">
        <v>313</v>
      </c>
    </row>
    <row r="3897" spans="1:14" hidden="1" x14ac:dyDescent="0.25">
      <c r="A3897" t="s">
        <v>12068</v>
      </c>
      <c r="B3897" t="s">
        <v>7503</v>
      </c>
      <c r="C3897" t="s">
        <v>1549</v>
      </c>
      <c r="D3897" t="s">
        <v>7504</v>
      </c>
      <c r="E3897" s="28" t="s">
        <v>930</v>
      </c>
      <c r="F3897" t="s">
        <v>881</v>
      </c>
      <c r="G3897" t="s">
        <v>157</v>
      </c>
      <c r="M3897" s="28" t="s">
        <v>840</v>
      </c>
      <c r="N3897" t="s">
        <v>382</v>
      </c>
    </row>
    <row r="3898" spans="1:14" hidden="1" x14ac:dyDescent="0.25">
      <c r="A3898" t="s">
        <v>11944</v>
      </c>
      <c r="B3898" t="s">
        <v>6557</v>
      </c>
      <c r="C3898" t="s">
        <v>2959</v>
      </c>
      <c r="D3898" t="s">
        <v>6558</v>
      </c>
      <c r="E3898" s="28" t="s">
        <v>890</v>
      </c>
      <c r="F3898" t="s">
        <v>799</v>
      </c>
      <c r="G3898" t="s">
        <v>129</v>
      </c>
      <c r="M3898" s="28" t="s">
        <v>802</v>
      </c>
      <c r="N3898" t="s">
        <v>313</v>
      </c>
    </row>
    <row r="3899" spans="1:14" hidden="1" x14ac:dyDescent="0.25">
      <c r="A3899" t="s">
        <v>8350</v>
      </c>
      <c r="B3899" t="s">
        <v>2008</v>
      </c>
      <c r="C3899" t="s">
        <v>2009</v>
      </c>
      <c r="D3899" t="s">
        <v>2010</v>
      </c>
      <c r="E3899" s="28" t="s">
        <v>896</v>
      </c>
      <c r="F3899" t="s">
        <v>386</v>
      </c>
      <c r="G3899" t="s">
        <v>47</v>
      </c>
      <c r="M3899" s="28" t="s">
        <v>13542</v>
      </c>
    </row>
    <row r="3900" spans="1:14" hidden="1" x14ac:dyDescent="0.25">
      <c r="A3900" t="s">
        <v>8156</v>
      </c>
      <c r="B3900" t="s">
        <v>1516</v>
      </c>
      <c r="C3900" t="s">
        <v>1302</v>
      </c>
      <c r="D3900" t="s">
        <v>1517</v>
      </c>
      <c r="E3900" s="28" t="s">
        <v>890</v>
      </c>
      <c r="F3900" t="s">
        <v>535</v>
      </c>
      <c r="G3900" t="s">
        <v>38</v>
      </c>
      <c r="M3900" s="28"/>
    </row>
    <row r="3901" spans="1:14" hidden="1" x14ac:dyDescent="0.25">
      <c r="A3901" t="s">
        <v>11630</v>
      </c>
      <c r="B3901" t="s">
        <v>11631</v>
      </c>
      <c r="C3901" t="s">
        <v>1204</v>
      </c>
      <c r="D3901" t="s">
        <v>11632</v>
      </c>
      <c r="E3901" s="28" t="s">
        <v>896</v>
      </c>
      <c r="F3901" t="s">
        <v>2568</v>
      </c>
      <c r="G3901" t="s">
        <v>11</v>
      </c>
      <c r="M3901" s="28" t="s">
        <v>413</v>
      </c>
      <c r="N3901" t="s">
        <v>313</v>
      </c>
    </row>
    <row r="3902" spans="1:14" hidden="1" x14ac:dyDescent="0.25">
      <c r="A3902" t="s">
        <v>11288</v>
      </c>
      <c r="B3902" t="s">
        <v>11289</v>
      </c>
      <c r="C3902" t="s">
        <v>11290</v>
      </c>
      <c r="D3902" t="s">
        <v>11291</v>
      </c>
      <c r="E3902" s="28" t="s">
        <v>890</v>
      </c>
      <c r="F3902" t="s">
        <v>11141</v>
      </c>
      <c r="G3902" t="s">
        <v>84</v>
      </c>
      <c r="M3902" s="28" t="s">
        <v>14223</v>
      </c>
      <c r="N3902" t="s">
        <v>313</v>
      </c>
    </row>
    <row r="3903" spans="1:14" hidden="1" x14ac:dyDescent="0.25">
      <c r="A3903" t="s">
        <v>14418</v>
      </c>
      <c r="B3903" t="s">
        <v>14419</v>
      </c>
      <c r="C3903" t="s">
        <v>2916</v>
      </c>
      <c r="D3903" t="s">
        <v>14040</v>
      </c>
      <c r="E3903" s="28" t="s">
        <v>890</v>
      </c>
      <c r="F3903" t="s">
        <v>13635</v>
      </c>
      <c r="G3903" t="s">
        <v>81</v>
      </c>
      <c r="M3903" s="28" t="s">
        <v>530</v>
      </c>
      <c r="N3903" t="s">
        <v>313</v>
      </c>
    </row>
    <row r="3904" spans="1:14" hidden="1" x14ac:dyDescent="0.25">
      <c r="A3904" t="s">
        <v>8582</v>
      </c>
      <c r="B3904" t="s">
        <v>2564</v>
      </c>
      <c r="C3904" t="s">
        <v>2522</v>
      </c>
      <c r="D3904" t="s">
        <v>2565</v>
      </c>
      <c r="E3904" s="28" t="s">
        <v>896</v>
      </c>
      <c r="F3904" t="s">
        <v>458</v>
      </c>
      <c r="G3904" t="s">
        <v>11</v>
      </c>
      <c r="M3904" s="28" t="s">
        <v>413</v>
      </c>
      <c r="N3904" t="s">
        <v>313</v>
      </c>
    </row>
    <row r="3905" spans="1:14" hidden="1" x14ac:dyDescent="0.25">
      <c r="A3905" t="s">
        <v>14420</v>
      </c>
      <c r="B3905" t="s">
        <v>14421</v>
      </c>
      <c r="C3905" t="s">
        <v>1175</v>
      </c>
      <c r="D3905" t="s">
        <v>14422</v>
      </c>
      <c r="E3905" s="28" t="s">
        <v>896</v>
      </c>
      <c r="F3905" t="s">
        <v>13585</v>
      </c>
      <c r="G3905" t="s">
        <v>11</v>
      </c>
      <c r="M3905" s="28" t="s">
        <v>413</v>
      </c>
      <c r="N3905" t="s">
        <v>313</v>
      </c>
    </row>
    <row r="3906" spans="1:14" hidden="1" x14ac:dyDescent="0.25">
      <c r="A3906" t="s">
        <v>8027</v>
      </c>
      <c r="B3906" t="s">
        <v>1165</v>
      </c>
      <c r="C3906" t="s">
        <v>1166</v>
      </c>
      <c r="D3906" t="s">
        <v>1167</v>
      </c>
      <c r="E3906" s="28" t="s">
        <v>896</v>
      </c>
      <c r="F3906" t="s">
        <v>291</v>
      </c>
      <c r="G3906" t="s">
        <v>31</v>
      </c>
      <c r="M3906" s="28" t="s">
        <v>278</v>
      </c>
      <c r="N3906" t="s">
        <v>279</v>
      </c>
    </row>
    <row r="3907" spans="1:14" hidden="1" x14ac:dyDescent="0.25">
      <c r="A3907" t="s">
        <v>12456</v>
      </c>
      <c r="B3907" t="s">
        <v>12457</v>
      </c>
      <c r="C3907" t="s">
        <v>1204</v>
      </c>
      <c r="D3907" t="s">
        <v>12458</v>
      </c>
      <c r="E3907" s="28" t="s">
        <v>896</v>
      </c>
      <c r="F3907" t="s">
        <v>11615</v>
      </c>
      <c r="G3907" t="s">
        <v>11</v>
      </c>
      <c r="M3907" s="28" t="s">
        <v>413</v>
      </c>
      <c r="N3907" t="s">
        <v>313</v>
      </c>
    </row>
    <row r="3908" spans="1:14" hidden="1" x14ac:dyDescent="0.25">
      <c r="A3908" t="s">
        <v>8017</v>
      </c>
      <c r="B3908" t="s">
        <v>1125</v>
      </c>
      <c r="C3908" t="s">
        <v>1126</v>
      </c>
      <c r="D3908" t="s">
        <v>1127</v>
      </c>
      <c r="E3908" s="28" t="s">
        <v>890</v>
      </c>
      <c r="F3908" t="s">
        <v>286</v>
      </c>
      <c r="G3908" t="s">
        <v>31</v>
      </c>
      <c r="M3908" s="28" t="s">
        <v>278</v>
      </c>
      <c r="N3908" t="s">
        <v>279</v>
      </c>
    </row>
    <row r="3909" spans="1:14" hidden="1" x14ac:dyDescent="0.25">
      <c r="A3909" t="s">
        <v>14041</v>
      </c>
      <c r="B3909" t="s">
        <v>14042</v>
      </c>
      <c r="C3909" t="s">
        <v>14043</v>
      </c>
      <c r="D3909" t="s">
        <v>14044</v>
      </c>
      <c r="E3909" s="28" t="s">
        <v>896</v>
      </c>
      <c r="F3909" t="s">
        <v>11615</v>
      </c>
      <c r="G3909" t="s">
        <v>11</v>
      </c>
      <c r="M3909" s="28" t="s">
        <v>413</v>
      </c>
      <c r="N3909" t="s">
        <v>313</v>
      </c>
    </row>
    <row r="3910" spans="1:14" hidden="1" x14ac:dyDescent="0.25">
      <c r="A3910" t="s">
        <v>8553</v>
      </c>
      <c r="B3910" t="s">
        <v>2493</v>
      </c>
      <c r="C3910" t="s">
        <v>2494</v>
      </c>
      <c r="D3910" t="s">
        <v>2495</v>
      </c>
      <c r="E3910" s="28" t="s">
        <v>1023</v>
      </c>
      <c r="F3910" t="s">
        <v>2415</v>
      </c>
      <c r="G3910" t="s">
        <v>11</v>
      </c>
      <c r="M3910" s="28" t="s">
        <v>413</v>
      </c>
      <c r="N3910" t="s">
        <v>313</v>
      </c>
    </row>
    <row r="3911" spans="1:14" hidden="1" x14ac:dyDescent="0.25">
      <c r="A3911" t="s">
        <v>10774</v>
      </c>
      <c r="B3911" t="s">
        <v>7267</v>
      </c>
      <c r="C3911" t="s">
        <v>1179</v>
      </c>
      <c r="D3911" t="s">
        <v>7268</v>
      </c>
      <c r="E3911" s="28" t="s">
        <v>896</v>
      </c>
      <c r="F3911" t="s">
        <v>7258</v>
      </c>
      <c r="G3911" t="s">
        <v>152</v>
      </c>
      <c r="M3911" s="28"/>
    </row>
    <row r="3912" spans="1:14" hidden="1" x14ac:dyDescent="0.25">
      <c r="A3912" t="s">
        <v>10871</v>
      </c>
      <c r="B3912" t="s">
        <v>7485</v>
      </c>
      <c r="C3912" t="s">
        <v>7486</v>
      </c>
      <c r="D3912" t="s">
        <v>7487</v>
      </c>
      <c r="E3912" s="28" t="s">
        <v>890</v>
      </c>
      <c r="F3912" t="s">
        <v>263</v>
      </c>
      <c r="G3912" t="s">
        <v>157</v>
      </c>
      <c r="M3912" s="28" t="s">
        <v>840</v>
      </c>
      <c r="N3912" t="s">
        <v>382</v>
      </c>
    </row>
    <row r="3913" spans="1:14" hidden="1" x14ac:dyDescent="0.25">
      <c r="A3913" t="s">
        <v>10872</v>
      </c>
      <c r="B3913" t="s">
        <v>7488</v>
      </c>
      <c r="C3913" t="s">
        <v>7406</v>
      </c>
      <c r="D3913" t="s">
        <v>7489</v>
      </c>
      <c r="E3913" s="28" t="s">
        <v>896</v>
      </c>
      <c r="F3913" t="s">
        <v>268</v>
      </c>
      <c r="G3913" t="s">
        <v>157</v>
      </c>
      <c r="M3913" s="28" t="s">
        <v>840</v>
      </c>
      <c r="N3913" t="s">
        <v>382</v>
      </c>
    </row>
    <row r="3914" spans="1:14" hidden="1" x14ac:dyDescent="0.25">
      <c r="A3914" t="s">
        <v>14045</v>
      </c>
      <c r="B3914" t="s">
        <v>14046</v>
      </c>
      <c r="C3914" t="s">
        <v>1124</v>
      </c>
      <c r="D3914" t="s">
        <v>14047</v>
      </c>
      <c r="E3914" s="28" t="s">
        <v>896</v>
      </c>
      <c r="F3914" t="s">
        <v>891</v>
      </c>
      <c r="G3914" t="s">
        <v>11</v>
      </c>
      <c r="M3914" s="28" t="s">
        <v>413</v>
      </c>
      <c r="N3914" t="s">
        <v>313</v>
      </c>
    </row>
    <row r="3915" spans="1:14" hidden="1" x14ac:dyDescent="0.25">
      <c r="A3915" t="s">
        <v>11916</v>
      </c>
      <c r="B3915" t="s">
        <v>11917</v>
      </c>
      <c r="C3915" t="s">
        <v>11918</v>
      </c>
      <c r="D3915" t="s">
        <v>11919</v>
      </c>
      <c r="E3915" s="28" t="s">
        <v>890</v>
      </c>
      <c r="F3915" t="s">
        <v>251</v>
      </c>
      <c r="G3915" t="s">
        <v>125</v>
      </c>
      <c r="M3915" s="28" t="s">
        <v>6491</v>
      </c>
      <c r="N3915" t="s">
        <v>313</v>
      </c>
    </row>
    <row r="3916" spans="1:14" hidden="1" x14ac:dyDescent="0.25">
      <c r="A3916" t="s">
        <v>10696</v>
      </c>
      <c r="B3916" t="s">
        <v>1468</v>
      </c>
      <c r="C3916" t="s">
        <v>7081</v>
      </c>
      <c r="D3916" t="s">
        <v>7082</v>
      </c>
      <c r="E3916" s="28" t="s">
        <v>896</v>
      </c>
      <c r="F3916" t="s">
        <v>6895</v>
      </c>
      <c r="G3916" t="s">
        <v>6896</v>
      </c>
      <c r="M3916" s="28" t="s">
        <v>6897</v>
      </c>
      <c r="N3916" t="s">
        <v>279</v>
      </c>
    </row>
    <row r="3917" spans="1:14" hidden="1" x14ac:dyDescent="0.25">
      <c r="A3917" t="s">
        <v>8564</v>
      </c>
      <c r="B3917" t="s">
        <v>2519</v>
      </c>
      <c r="C3917" t="s">
        <v>2051</v>
      </c>
      <c r="D3917" t="s">
        <v>2521</v>
      </c>
      <c r="E3917" s="28" t="s">
        <v>890</v>
      </c>
      <c r="F3917" t="s">
        <v>2504</v>
      </c>
      <c r="G3917" t="s">
        <v>11</v>
      </c>
      <c r="M3917" s="28" t="s">
        <v>413</v>
      </c>
      <c r="N3917" t="s">
        <v>313</v>
      </c>
    </row>
    <row r="3918" spans="1:14" hidden="1" x14ac:dyDescent="0.25">
      <c r="A3918" t="s">
        <v>12418</v>
      </c>
      <c r="B3918" t="s">
        <v>12419</v>
      </c>
      <c r="C3918" t="s">
        <v>1330</v>
      </c>
      <c r="D3918" t="s">
        <v>1608</v>
      </c>
      <c r="E3918" s="28" t="s">
        <v>890</v>
      </c>
      <c r="F3918" t="s">
        <v>331</v>
      </c>
      <c r="G3918" t="s">
        <v>38</v>
      </c>
      <c r="M3918" s="28"/>
    </row>
    <row r="3919" spans="1:14" hidden="1" x14ac:dyDescent="0.25">
      <c r="A3919" t="s">
        <v>8444</v>
      </c>
      <c r="B3919" t="s">
        <v>2236</v>
      </c>
      <c r="C3919" t="s">
        <v>2237</v>
      </c>
      <c r="D3919" t="s">
        <v>2238</v>
      </c>
      <c r="E3919" s="28" t="s">
        <v>890</v>
      </c>
      <c r="F3919" t="s">
        <v>408</v>
      </c>
      <c r="G3919" t="s">
        <v>65</v>
      </c>
      <c r="M3919" s="28" t="s">
        <v>14209</v>
      </c>
    </row>
    <row r="3920" spans="1:14" hidden="1" x14ac:dyDescent="0.25">
      <c r="A3920" t="s">
        <v>8025</v>
      </c>
      <c r="B3920" t="s">
        <v>1155</v>
      </c>
      <c r="C3920" t="s">
        <v>1156</v>
      </c>
      <c r="D3920" t="s">
        <v>1157</v>
      </c>
      <c r="E3920" s="28" t="s">
        <v>890</v>
      </c>
      <c r="F3920" t="s">
        <v>294</v>
      </c>
      <c r="G3920" t="s">
        <v>31</v>
      </c>
      <c r="M3920" s="28" t="s">
        <v>278</v>
      </c>
      <c r="N3920" t="s">
        <v>279</v>
      </c>
    </row>
    <row r="3921" spans="1:14" hidden="1" x14ac:dyDescent="0.25">
      <c r="A3921" t="s">
        <v>11201</v>
      </c>
      <c r="B3921" t="s">
        <v>11202</v>
      </c>
      <c r="C3921" t="s">
        <v>1060</v>
      </c>
      <c r="D3921" t="s">
        <v>11203</v>
      </c>
      <c r="E3921" s="28" t="s">
        <v>896</v>
      </c>
      <c r="F3921" t="s">
        <v>182</v>
      </c>
      <c r="G3921" t="s">
        <v>84</v>
      </c>
      <c r="M3921" s="28" t="s">
        <v>14223</v>
      </c>
      <c r="N3921" t="s">
        <v>313</v>
      </c>
    </row>
    <row r="3922" spans="1:14" hidden="1" x14ac:dyDescent="0.25">
      <c r="A3922" t="s">
        <v>8050</v>
      </c>
      <c r="B3922" t="s">
        <v>1241</v>
      </c>
      <c r="C3922" t="s">
        <v>1060</v>
      </c>
      <c r="D3922" t="s">
        <v>1242</v>
      </c>
      <c r="E3922" s="28" t="s">
        <v>890</v>
      </c>
      <c r="F3922" t="s">
        <v>39</v>
      </c>
      <c r="G3922" t="s">
        <v>34</v>
      </c>
      <c r="M3922" s="28" t="s">
        <v>12353</v>
      </c>
      <c r="N3922" t="s">
        <v>313</v>
      </c>
    </row>
    <row r="3923" spans="1:14" hidden="1" x14ac:dyDescent="0.25">
      <c r="A3923" t="s">
        <v>10413</v>
      </c>
      <c r="B3923" t="s">
        <v>6409</v>
      </c>
      <c r="C3923" t="s">
        <v>6410</v>
      </c>
      <c r="D3923" t="s">
        <v>6411</v>
      </c>
      <c r="E3923" s="28" t="s">
        <v>896</v>
      </c>
      <c r="F3923" t="s">
        <v>6365</v>
      </c>
      <c r="G3923" t="s">
        <v>119</v>
      </c>
      <c r="M3923" s="28"/>
    </row>
    <row r="3924" spans="1:14" hidden="1" x14ac:dyDescent="0.25">
      <c r="A3924" t="s">
        <v>8566</v>
      </c>
      <c r="B3924" t="s">
        <v>2527</v>
      </c>
      <c r="C3924" t="s">
        <v>1067</v>
      </c>
      <c r="D3924" t="s">
        <v>2528</v>
      </c>
      <c r="E3924" s="28" t="s">
        <v>896</v>
      </c>
      <c r="F3924" t="s">
        <v>2568</v>
      </c>
      <c r="G3924" t="s">
        <v>11</v>
      </c>
      <c r="M3924" s="28" t="s">
        <v>413</v>
      </c>
      <c r="N3924" t="s">
        <v>313</v>
      </c>
    </row>
    <row r="3925" spans="1:14" hidden="1" x14ac:dyDescent="0.25">
      <c r="A3925" t="s">
        <v>8174</v>
      </c>
      <c r="B3925" t="s">
        <v>1559</v>
      </c>
      <c r="C3925" t="s">
        <v>1269</v>
      </c>
      <c r="D3925" t="s">
        <v>1560</v>
      </c>
      <c r="E3925" s="28" t="s">
        <v>896</v>
      </c>
      <c r="F3925" t="s">
        <v>326</v>
      </c>
      <c r="G3925" t="s">
        <v>38</v>
      </c>
      <c r="M3925" s="28"/>
    </row>
    <row r="3926" spans="1:14" hidden="1" x14ac:dyDescent="0.25">
      <c r="A3926" t="s">
        <v>10385</v>
      </c>
      <c r="B3926" t="s">
        <v>1159</v>
      </c>
      <c r="C3926" t="s">
        <v>6334</v>
      </c>
      <c r="D3926" t="s">
        <v>6335</v>
      </c>
      <c r="E3926" s="28" t="s">
        <v>896</v>
      </c>
      <c r="F3926" t="s">
        <v>6336</v>
      </c>
      <c r="G3926" t="s">
        <v>110</v>
      </c>
      <c r="M3926" s="28" t="s">
        <v>13563</v>
      </c>
      <c r="N3926" t="s">
        <v>279</v>
      </c>
    </row>
    <row r="3927" spans="1:14" hidden="1" x14ac:dyDescent="0.25">
      <c r="A3927" t="s">
        <v>11486</v>
      </c>
      <c r="B3927" t="s">
        <v>1159</v>
      </c>
      <c r="C3927" t="s">
        <v>7607</v>
      </c>
      <c r="D3927" t="s">
        <v>11487</v>
      </c>
      <c r="E3927" s="28" t="s">
        <v>890</v>
      </c>
      <c r="F3927" t="s">
        <v>831</v>
      </c>
      <c r="G3927" t="s">
        <v>145</v>
      </c>
      <c r="M3927" s="28" t="s">
        <v>13222</v>
      </c>
      <c r="N3927" t="s">
        <v>313</v>
      </c>
    </row>
    <row r="3928" spans="1:14" hidden="1" x14ac:dyDescent="0.25">
      <c r="A3928" t="s">
        <v>14423</v>
      </c>
      <c r="B3928" t="s">
        <v>1159</v>
      </c>
      <c r="C3928" t="s">
        <v>1269</v>
      </c>
      <c r="D3928" t="s">
        <v>14424</v>
      </c>
      <c r="E3928" s="28" t="s">
        <v>896</v>
      </c>
      <c r="F3928" t="s">
        <v>280</v>
      </c>
      <c r="G3928" t="s">
        <v>31</v>
      </c>
      <c r="M3928" s="28" t="s">
        <v>278</v>
      </c>
      <c r="N3928" t="s">
        <v>279</v>
      </c>
    </row>
    <row r="3929" spans="1:14" hidden="1" x14ac:dyDescent="0.25">
      <c r="A3929" t="s">
        <v>11434</v>
      </c>
      <c r="B3929" t="s">
        <v>11435</v>
      </c>
      <c r="C3929" t="s">
        <v>1542</v>
      </c>
      <c r="D3929" t="s">
        <v>11436</v>
      </c>
      <c r="E3929" s="28" t="s">
        <v>1023</v>
      </c>
      <c r="F3929" t="s">
        <v>2957</v>
      </c>
      <c r="G3929" t="s">
        <v>84</v>
      </c>
      <c r="M3929" s="28" t="s">
        <v>14223</v>
      </c>
      <c r="N3929" t="s">
        <v>313</v>
      </c>
    </row>
    <row r="3930" spans="1:14" hidden="1" x14ac:dyDescent="0.25">
      <c r="A3930" t="s">
        <v>8362</v>
      </c>
      <c r="B3930" t="s">
        <v>2035</v>
      </c>
      <c r="C3930" t="s">
        <v>2036</v>
      </c>
      <c r="D3930" t="s">
        <v>2037</v>
      </c>
      <c r="E3930" s="28" t="s">
        <v>890</v>
      </c>
      <c r="F3930" t="s">
        <v>389</v>
      </c>
      <c r="G3930" t="s">
        <v>47</v>
      </c>
      <c r="M3930" s="28" t="s">
        <v>13542</v>
      </c>
    </row>
    <row r="3931" spans="1:14" hidden="1" x14ac:dyDescent="0.25">
      <c r="A3931" t="s">
        <v>13475</v>
      </c>
      <c r="B3931" t="s">
        <v>13476</v>
      </c>
      <c r="C3931" t="s">
        <v>13477</v>
      </c>
      <c r="D3931" t="s">
        <v>13478</v>
      </c>
      <c r="E3931" s="28" t="s">
        <v>1023</v>
      </c>
      <c r="F3931" t="s">
        <v>792</v>
      </c>
      <c r="G3931" t="s">
        <v>21</v>
      </c>
      <c r="M3931" s="28" t="s">
        <v>791</v>
      </c>
      <c r="N3931" t="s">
        <v>313</v>
      </c>
    </row>
    <row r="3932" spans="1:14" hidden="1" x14ac:dyDescent="0.25">
      <c r="A3932" t="s">
        <v>9476</v>
      </c>
      <c r="B3932" t="s">
        <v>4448</v>
      </c>
      <c r="C3932" t="s">
        <v>3051</v>
      </c>
      <c r="D3932" t="s">
        <v>4449</v>
      </c>
      <c r="E3932" s="28" t="s">
        <v>890</v>
      </c>
      <c r="F3932" t="s">
        <v>891</v>
      </c>
      <c r="G3932" t="s">
        <v>88</v>
      </c>
      <c r="M3932" s="28" t="s">
        <v>549</v>
      </c>
      <c r="N3932" t="s">
        <v>313</v>
      </c>
    </row>
    <row r="3933" spans="1:14" hidden="1" x14ac:dyDescent="0.25">
      <c r="A3933" t="s">
        <v>9477</v>
      </c>
      <c r="B3933" t="s">
        <v>4450</v>
      </c>
      <c r="C3933" t="s">
        <v>1172</v>
      </c>
      <c r="D3933" t="s">
        <v>4451</v>
      </c>
      <c r="E3933" s="28" t="s">
        <v>890</v>
      </c>
      <c r="F3933" t="s">
        <v>891</v>
      </c>
      <c r="G3933" t="s">
        <v>88</v>
      </c>
      <c r="M3933" s="28" t="s">
        <v>549</v>
      </c>
      <c r="N3933" t="s">
        <v>313</v>
      </c>
    </row>
    <row r="3934" spans="1:14" hidden="1" x14ac:dyDescent="0.25">
      <c r="A3934" t="s">
        <v>11796</v>
      </c>
      <c r="B3934" t="s">
        <v>11794</v>
      </c>
      <c r="C3934" t="s">
        <v>3167</v>
      </c>
      <c r="D3934" t="s">
        <v>11797</v>
      </c>
      <c r="E3934" s="28" t="s">
        <v>1177</v>
      </c>
      <c r="F3934" t="s">
        <v>891</v>
      </c>
      <c r="G3934" t="s">
        <v>88</v>
      </c>
      <c r="M3934" s="28" t="s">
        <v>549</v>
      </c>
      <c r="N3934" t="s">
        <v>313</v>
      </c>
    </row>
    <row r="3935" spans="1:14" hidden="1" x14ac:dyDescent="0.25">
      <c r="A3935" t="s">
        <v>11793</v>
      </c>
      <c r="B3935" t="s">
        <v>11794</v>
      </c>
      <c r="C3935" t="s">
        <v>3636</v>
      </c>
      <c r="D3935" t="s">
        <v>11795</v>
      </c>
      <c r="E3935" s="28" t="s">
        <v>890</v>
      </c>
      <c r="F3935" t="s">
        <v>891</v>
      </c>
      <c r="G3935" t="s">
        <v>88</v>
      </c>
      <c r="M3935" s="28" t="s">
        <v>549</v>
      </c>
      <c r="N3935" t="s">
        <v>313</v>
      </c>
    </row>
    <row r="3936" spans="1:14" hidden="1" x14ac:dyDescent="0.25">
      <c r="A3936" t="s">
        <v>9478</v>
      </c>
      <c r="B3936" t="s">
        <v>4452</v>
      </c>
      <c r="C3936" t="s">
        <v>4453</v>
      </c>
      <c r="D3936" t="s">
        <v>4454</v>
      </c>
      <c r="E3936" s="28" t="s">
        <v>890</v>
      </c>
      <c r="F3936" t="s">
        <v>891</v>
      </c>
      <c r="G3936" t="s">
        <v>88</v>
      </c>
      <c r="M3936" s="28" t="s">
        <v>549</v>
      </c>
      <c r="N3936" t="s">
        <v>313</v>
      </c>
    </row>
    <row r="3937" spans="1:14" hidden="1" x14ac:dyDescent="0.25">
      <c r="A3937" t="s">
        <v>10393</v>
      </c>
      <c r="B3937" t="s">
        <v>6355</v>
      </c>
      <c r="C3937" t="s">
        <v>6356</v>
      </c>
      <c r="D3937" t="s">
        <v>6357</v>
      </c>
      <c r="E3937" s="28" t="s">
        <v>890</v>
      </c>
      <c r="F3937" t="s">
        <v>11563</v>
      </c>
      <c r="G3937" t="s">
        <v>110</v>
      </c>
      <c r="M3937" s="28" t="s">
        <v>13563</v>
      </c>
      <c r="N3937" t="s">
        <v>279</v>
      </c>
    </row>
    <row r="3938" spans="1:14" hidden="1" x14ac:dyDescent="0.25">
      <c r="A3938" t="s">
        <v>10641</v>
      </c>
      <c r="B3938" t="s">
        <v>6944</v>
      </c>
      <c r="C3938" t="s">
        <v>6945</v>
      </c>
      <c r="D3938" t="s">
        <v>6946</v>
      </c>
      <c r="E3938" s="28" t="s">
        <v>890</v>
      </c>
      <c r="F3938" t="s">
        <v>6901</v>
      </c>
      <c r="G3938" t="s">
        <v>6896</v>
      </c>
      <c r="M3938" s="28" t="s">
        <v>6897</v>
      </c>
      <c r="N3938" t="s">
        <v>279</v>
      </c>
    </row>
    <row r="3939" spans="1:14" hidden="1" x14ac:dyDescent="0.25">
      <c r="A3939" t="s">
        <v>10645</v>
      </c>
      <c r="B3939" t="s">
        <v>6944</v>
      </c>
      <c r="C3939" t="s">
        <v>6955</v>
      </c>
      <c r="D3939" t="s">
        <v>6956</v>
      </c>
      <c r="E3939" s="28" t="s">
        <v>890</v>
      </c>
      <c r="F3939" t="s">
        <v>6901</v>
      </c>
      <c r="G3939" t="s">
        <v>6896</v>
      </c>
      <c r="M3939" s="28" t="s">
        <v>6897</v>
      </c>
      <c r="N3939" t="s">
        <v>279</v>
      </c>
    </row>
    <row r="3940" spans="1:14" hidden="1" x14ac:dyDescent="0.25">
      <c r="A3940" t="s">
        <v>10411</v>
      </c>
      <c r="B3940" t="s">
        <v>6405</v>
      </c>
      <c r="C3940" t="s">
        <v>6387</v>
      </c>
      <c r="D3940" t="s">
        <v>6406</v>
      </c>
      <c r="E3940" s="28" t="s">
        <v>890</v>
      </c>
      <c r="F3940" t="s">
        <v>6365</v>
      </c>
      <c r="G3940" t="s">
        <v>119</v>
      </c>
      <c r="M3940" s="28"/>
    </row>
    <row r="3941" spans="1:14" hidden="1" x14ac:dyDescent="0.25">
      <c r="A3941" t="s">
        <v>10698</v>
      </c>
      <c r="B3941" t="s">
        <v>7085</v>
      </c>
      <c r="C3941" t="s">
        <v>7086</v>
      </c>
      <c r="D3941" t="s">
        <v>7087</v>
      </c>
      <c r="E3941" s="28" t="s">
        <v>896</v>
      </c>
      <c r="F3941" t="s">
        <v>6901</v>
      </c>
      <c r="G3941" t="s">
        <v>6896</v>
      </c>
      <c r="M3941" s="28" t="s">
        <v>6897</v>
      </c>
      <c r="N3941" t="s">
        <v>279</v>
      </c>
    </row>
    <row r="3942" spans="1:14" hidden="1" x14ac:dyDescent="0.25">
      <c r="A3942" t="s">
        <v>11284</v>
      </c>
      <c r="B3942" t="s">
        <v>11285</v>
      </c>
      <c r="C3942" t="s">
        <v>11286</v>
      </c>
      <c r="D3942" t="s">
        <v>11287</v>
      </c>
      <c r="E3942" s="28" t="s">
        <v>890</v>
      </c>
      <c r="F3942" t="s">
        <v>11269</v>
      </c>
      <c r="G3942" t="s">
        <v>84</v>
      </c>
      <c r="M3942" s="28" t="s">
        <v>14223</v>
      </c>
      <c r="N3942" t="s">
        <v>313</v>
      </c>
    </row>
    <row r="3943" spans="1:14" hidden="1" x14ac:dyDescent="0.25">
      <c r="A3943" t="s">
        <v>13466</v>
      </c>
      <c r="B3943" t="s">
        <v>13467</v>
      </c>
      <c r="C3943" t="s">
        <v>6370</v>
      </c>
      <c r="D3943" t="s">
        <v>13468</v>
      </c>
      <c r="E3943" s="28" t="s">
        <v>896</v>
      </c>
      <c r="F3943" t="s">
        <v>11563</v>
      </c>
      <c r="G3943" t="s">
        <v>110</v>
      </c>
      <c r="M3943" s="28" t="s">
        <v>13563</v>
      </c>
      <c r="N3943" t="s">
        <v>279</v>
      </c>
    </row>
    <row r="3944" spans="1:14" hidden="1" x14ac:dyDescent="0.25">
      <c r="A3944" t="s">
        <v>13063</v>
      </c>
      <c r="B3944" t="s">
        <v>13064</v>
      </c>
      <c r="C3944" t="s">
        <v>13065</v>
      </c>
      <c r="D3944" t="s">
        <v>13066</v>
      </c>
      <c r="E3944" s="28" t="s">
        <v>896</v>
      </c>
      <c r="F3944" t="s">
        <v>786</v>
      </c>
      <c r="G3944" t="s">
        <v>110</v>
      </c>
      <c r="M3944" s="28" t="s">
        <v>13563</v>
      </c>
      <c r="N3944" t="s">
        <v>279</v>
      </c>
    </row>
    <row r="3945" spans="1:14" hidden="1" x14ac:dyDescent="0.25">
      <c r="A3945" t="s">
        <v>10381</v>
      </c>
      <c r="B3945" t="s">
        <v>6324</v>
      </c>
      <c r="C3945" t="s">
        <v>6325</v>
      </c>
      <c r="D3945" t="s">
        <v>6326</v>
      </c>
      <c r="E3945" s="28" t="s">
        <v>890</v>
      </c>
      <c r="F3945" t="s">
        <v>6327</v>
      </c>
      <c r="G3945" t="s">
        <v>110</v>
      </c>
      <c r="M3945" s="28" t="s">
        <v>13563</v>
      </c>
      <c r="N3945" t="s">
        <v>279</v>
      </c>
    </row>
    <row r="3946" spans="1:14" hidden="1" x14ac:dyDescent="0.25">
      <c r="A3946" t="s">
        <v>8424</v>
      </c>
      <c r="B3946" t="s">
        <v>1077</v>
      </c>
      <c r="C3946" t="s">
        <v>1269</v>
      </c>
      <c r="D3946" t="s">
        <v>2189</v>
      </c>
      <c r="E3946" s="28" t="s">
        <v>896</v>
      </c>
      <c r="F3946" t="s">
        <v>405</v>
      </c>
      <c r="G3946" t="s">
        <v>62</v>
      </c>
      <c r="M3946" s="28" t="s">
        <v>14208</v>
      </c>
    </row>
    <row r="3947" spans="1:14" hidden="1" x14ac:dyDescent="0.25">
      <c r="A3947" t="s">
        <v>10873</v>
      </c>
      <c r="B3947" t="s">
        <v>7490</v>
      </c>
      <c r="C3947" t="s">
        <v>7491</v>
      </c>
      <c r="D3947" t="s">
        <v>7492</v>
      </c>
      <c r="E3947" s="28" t="s">
        <v>890</v>
      </c>
      <c r="F3947" t="s">
        <v>12060</v>
      </c>
      <c r="G3947" t="s">
        <v>157</v>
      </c>
      <c r="M3947" s="28" t="s">
        <v>840</v>
      </c>
      <c r="N3947" t="s">
        <v>382</v>
      </c>
    </row>
    <row r="3948" spans="1:14" hidden="1" x14ac:dyDescent="0.25">
      <c r="A3948" t="s">
        <v>10654</v>
      </c>
      <c r="B3948" t="s">
        <v>6978</v>
      </c>
      <c r="C3948" t="s">
        <v>6979</v>
      </c>
      <c r="D3948" t="s">
        <v>6980</v>
      </c>
      <c r="E3948" s="28" t="s">
        <v>896</v>
      </c>
      <c r="F3948" t="s">
        <v>6895</v>
      </c>
      <c r="G3948" t="s">
        <v>6896</v>
      </c>
      <c r="M3948" s="28" t="s">
        <v>6897</v>
      </c>
      <c r="N3948" t="s">
        <v>279</v>
      </c>
    </row>
    <row r="3949" spans="1:14" hidden="1" x14ac:dyDescent="0.25">
      <c r="A3949" t="s">
        <v>10635</v>
      </c>
      <c r="B3949" t="s">
        <v>6928</v>
      </c>
      <c r="C3949" t="s">
        <v>6929</v>
      </c>
      <c r="D3949" t="s">
        <v>6930</v>
      </c>
      <c r="E3949" s="28" t="s">
        <v>890</v>
      </c>
      <c r="F3949" t="s">
        <v>6901</v>
      </c>
      <c r="G3949" t="s">
        <v>6896</v>
      </c>
      <c r="M3949" s="28" t="s">
        <v>6897</v>
      </c>
      <c r="N3949" t="s">
        <v>279</v>
      </c>
    </row>
    <row r="3950" spans="1:14" hidden="1" x14ac:dyDescent="0.25">
      <c r="A3950" t="s">
        <v>9529</v>
      </c>
      <c r="B3950" t="s">
        <v>4567</v>
      </c>
      <c r="C3950" t="s">
        <v>1084</v>
      </c>
      <c r="D3950" t="s">
        <v>4568</v>
      </c>
      <c r="E3950" s="28" t="s">
        <v>896</v>
      </c>
      <c r="F3950" t="s">
        <v>705</v>
      </c>
      <c r="G3950" t="s">
        <v>15</v>
      </c>
      <c r="M3950" s="28" t="s">
        <v>613</v>
      </c>
      <c r="N3950" t="s">
        <v>313</v>
      </c>
    </row>
    <row r="3951" spans="1:14" hidden="1" x14ac:dyDescent="0.25">
      <c r="A3951" t="s">
        <v>9479</v>
      </c>
      <c r="B3951" t="s">
        <v>4455</v>
      </c>
      <c r="C3951" t="s">
        <v>3044</v>
      </c>
      <c r="D3951" t="s">
        <v>4456</v>
      </c>
      <c r="E3951" s="28" t="s">
        <v>896</v>
      </c>
      <c r="F3951" t="s">
        <v>891</v>
      </c>
      <c r="G3951" t="s">
        <v>88</v>
      </c>
      <c r="M3951" s="28" t="s">
        <v>549</v>
      </c>
      <c r="N3951" t="s">
        <v>313</v>
      </c>
    </row>
    <row r="3952" spans="1:14" hidden="1" x14ac:dyDescent="0.25">
      <c r="A3952" t="s">
        <v>9480</v>
      </c>
      <c r="B3952" t="s">
        <v>4457</v>
      </c>
      <c r="C3952" t="s">
        <v>3044</v>
      </c>
      <c r="D3952" t="s">
        <v>4458</v>
      </c>
      <c r="E3952" s="28" t="s">
        <v>890</v>
      </c>
      <c r="F3952" t="s">
        <v>891</v>
      </c>
      <c r="G3952" t="s">
        <v>88</v>
      </c>
      <c r="M3952" s="28" t="s">
        <v>549</v>
      </c>
      <c r="N3952" t="s">
        <v>313</v>
      </c>
    </row>
    <row r="3953" spans="1:14" hidden="1" x14ac:dyDescent="0.25">
      <c r="A3953" t="s">
        <v>9481</v>
      </c>
      <c r="B3953" t="s">
        <v>4459</v>
      </c>
      <c r="C3953" t="s">
        <v>4460</v>
      </c>
      <c r="D3953" t="s">
        <v>4461</v>
      </c>
      <c r="E3953" s="28" t="s">
        <v>890</v>
      </c>
      <c r="F3953" t="s">
        <v>891</v>
      </c>
      <c r="G3953" t="s">
        <v>88</v>
      </c>
      <c r="M3953" s="28" t="s">
        <v>549</v>
      </c>
      <c r="N3953" t="s">
        <v>313</v>
      </c>
    </row>
    <row r="3954" spans="1:14" hidden="1" x14ac:dyDescent="0.25">
      <c r="A3954" t="s">
        <v>10704</v>
      </c>
      <c r="B3954" t="s">
        <v>7100</v>
      </c>
      <c r="C3954" t="s">
        <v>2348</v>
      </c>
      <c r="D3954" t="s">
        <v>7101</v>
      </c>
      <c r="E3954" s="28" t="s">
        <v>896</v>
      </c>
      <c r="F3954" t="s">
        <v>6895</v>
      </c>
      <c r="G3954" t="s">
        <v>6896</v>
      </c>
      <c r="M3954" s="28" t="s">
        <v>6897</v>
      </c>
      <c r="N3954" t="s">
        <v>279</v>
      </c>
    </row>
    <row r="3955" spans="1:14" hidden="1" x14ac:dyDescent="0.25">
      <c r="A3955" t="s">
        <v>10682</v>
      </c>
      <c r="B3955" t="s">
        <v>7047</v>
      </c>
      <c r="C3955" t="s">
        <v>7048</v>
      </c>
      <c r="D3955" t="s">
        <v>7049</v>
      </c>
      <c r="E3955" s="28" t="s">
        <v>890</v>
      </c>
      <c r="F3955" t="s">
        <v>255</v>
      </c>
      <c r="G3955" t="s">
        <v>6896</v>
      </c>
      <c r="M3955" s="28" t="s">
        <v>6897</v>
      </c>
      <c r="N3955" t="s">
        <v>279</v>
      </c>
    </row>
    <row r="3956" spans="1:14" hidden="1" x14ac:dyDescent="0.25">
      <c r="A3956" t="s">
        <v>8699</v>
      </c>
      <c r="B3956" t="s">
        <v>2859</v>
      </c>
      <c r="C3956" t="s">
        <v>1269</v>
      </c>
      <c r="D3956" t="s">
        <v>2860</v>
      </c>
      <c r="E3956" s="28" t="s">
        <v>890</v>
      </c>
      <c r="F3956" t="s">
        <v>179</v>
      </c>
      <c r="G3956" t="s">
        <v>81</v>
      </c>
      <c r="M3956" s="28" t="s">
        <v>530</v>
      </c>
      <c r="N3956" t="s">
        <v>313</v>
      </c>
    </row>
    <row r="3957" spans="1:14" hidden="1" x14ac:dyDescent="0.25">
      <c r="A3957" t="s">
        <v>10449</v>
      </c>
      <c r="B3957" t="s">
        <v>6485</v>
      </c>
      <c r="C3957" t="s">
        <v>1038</v>
      </c>
      <c r="D3957" t="s">
        <v>6486</v>
      </c>
      <c r="E3957" s="28" t="s">
        <v>896</v>
      </c>
      <c r="F3957" t="s">
        <v>792</v>
      </c>
      <c r="G3957" t="s">
        <v>21</v>
      </c>
      <c r="M3957" s="28" t="s">
        <v>791</v>
      </c>
      <c r="N3957" t="s">
        <v>313</v>
      </c>
    </row>
    <row r="3958" spans="1:14" hidden="1" x14ac:dyDescent="0.25">
      <c r="A3958" t="s">
        <v>9526</v>
      </c>
      <c r="B3958" t="s">
        <v>4562</v>
      </c>
      <c r="C3958" t="s">
        <v>2582</v>
      </c>
      <c r="D3958" t="s">
        <v>4563</v>
      </c>
      <c r="E3958" s="28" t="s">
        <v>890</v>
      </c>
      <c r="F3958" t="s">
        <v>643</v>
      </c>
      <c r="G3958" t="s">
        <v>15</v>
      </c>
      <c r="M3958" s="28" t="s">
        <v>613</v>
      </c>
      <c r="N3958" t="s">
        <v>313</v>
      </c>
    </row>
    <row r="3959" spans="1:14" hidden="1" x14ac:dyDescent="0.25">
      <c r="A3959" t="s">
        <v>9527</v>
      </c>
      <c r="B3959" t="s">
        <v>4562</v>
      </c>
      <c r="C3959" t="s">
        <v>909</v>
      </c>
      <c r="D3959" t="s">
        <v>4564</v>
      </c>
      <c r="E3959" s="28" t="s">
        <v>890</v>
      </c>
      <c r="F3959" t="s">
        <v>620</v>
      </c>
      <c r="G3959" t="s">
        <v>15</v>
      </c>
      <c r="M3959" s="28" t="s">
        <v>613</v>
      </c>
      <c r="N3959" t="s">
        <v>313</v>
      </c>
    </row>
    <row r="3960" spans="1:14" hidden="1" x14ac:dyDescent="0.25">
      <c r="A3960" t="s">
        <v>9528</v>
      </c>
      <c r="B3960" t="s">
        <v>4562</v>
      </c>
      <c r="C3960" t="s">
        <v>4565</v>
      </c>
      <c r="D3960" t="s">
        <v>4566</v>
      </c>
      <c r="E3960" s="28" t="s">
        <v>896</v>
      </c>
      <c r="F3960" t="s">
        <v>225</v>
      </c>
      <c r="G3960" t="s">
        <v>15</v>
      </c>
      <c r="M3960" s="28" t="s">
        <v>613</v>
      </c>
      <c r="N3960" t="s">
        <v>313</v>
      </c>
    </row>
    <row r="3961" spans="1:14" hidden="1" x14ac:dyDescent="0.25">
      <c r="A3961" t="s">
        <v>10434</v>
      </c>
      <c r="B3961" t="s">
        <v>6457</v>
      </c>
      <c r="C3961" t="s">
        <v>1134</v>
      </c>
      <c r="D3961" t="s">
        <v>6458</v>
      </c>
      <c r="E3961" s="28" t="s">
        <v>896</v>
      </c>
      <c r="F3961" t="s">
        <v>794</v>
      </c>
      <c r="G3961" t="s">
        <v>21</v>
      </c>
      <c r="M3961" s="28" t="s">
        <v>791</v>
      </c>
      <c r="N3961" t="s">
        <v>313</v>
      </c>
    </row>
    <row r="3962" spans="1:14" hidden="1" x14ac:dyDescent="0.25">
      <c r="A3962" t="s">
        <v>10433</v>
      </c>
      <c r="B3962" t="s">
        <v>6455</v>
      </c>
      <c r="C3962" t="s">
        <v>6064</v>
      </c>
      <c r="D3962" t="s">
        <v>6456</v>
      </c>
      <c r="E3962" s="28" t="s">
        <v>896</v>
      </c>
      <c r="F3962" t="s">
        <v>796</v>
      </c>
      <c r="G3962" t="s">
        <v>21</v>
      </c>
      <c r="M3962" s="28" t="s">
        <v>791</v>
      </c>
      <c r="N3962" t="s">
        <v>313</v>
      </c>
    </row>
    <row r="3963" spans="1:14" hidden="1" x14ac:dyDescent="0.25">
      <c r="A3963" t="s">
        <v>9525</v>
      </c>
      <c r="B3963" t="s">
        <v>4560</v>
      </c>
      <c r="C3963" t="s">
        <v>4557</v>
      </c>
      <c r="D3963" t="s">
        <v>4561</v>
      </c>
      <c r="E3963" s="28" t="s">
        <v>896</v>
      </c>
      <c r="F3963" t="s">
        <v>208</v>
      </c>
      <c r="G3963" t="s">
        <v>15</v>
      </c>
      <c r="M3963" s="28" t="s">
        <v>613</v>
      </c>
      <c r="N3963" t="s">
        <v>313</v>
      </c>
    </row>
    <row r="3964" spans="1:14" hidden="1" x14ac:dyDescent="0.25">
      <c r="A3964" t="s">
        <v>8231</v>
      </c>
      <c r="B3964" t="s">
        <v>1702</v>
      </c>
      <c r="C3964" t="s">
        <v>1703</v>
      </c>
      <c r="D3964" t="s">
        <v>1704</v>
      </c>
      <c r="E3964" s="28" t="s">
        <v>896</v>
      </c>
      <c r="F3964" t="s">
        <v>1678</v>
      </c>
      <c r="G3964" t="s">
        <v>43</v>
      </c>
      <c r="M3964" s="28" t="s">
        <v>14205</v>
      </c>
    </row>
    <row r="3965" spans="1:14" hidden="1" x14ac:dyDescent="0.25">
      <c r="A3965" t="s">
        <v>8232</v>
      </c>
      <c r="B3965" t="s">
        <v>1702</v>
      </c>
      <c r="C3965" t="s">
        <v>1705</v>
      </c>
      <c r="D3965" t="s">
        <v>1706</v>
      </c>
      <c r="E3965" s="28" t="s">
        <v>890</v>
      </c>
      <c r="F3965" t="s">
        <v>1678</v>
      </c>
      <c r="G3965" t="s">
        <v>43</v>
      </c>
      <c r="M3965" s="28" t="s">
        <v>14205</v>
      </c>
    </row>
    <row r="3966" spans="1:14" hidden="1" x14ac:dyDescent="0.25">
      <c r="A3966" t="s">
        <v>9524</v>
      </c>
      <c r="B3966" t="s">
        <v>4558</v>
      </c>
      <c r="C3966" t="s">
        <v>4440</v>
      </c>
      <c r="D3966" t="s">
        <v>4559</v>
      </c>
      <c r="E3966" s="28" t="s">
        <v>890</v>
      </c>
      <c r="F3966" t="s">
        <v>643</v>
      </c>
      <c r="G3966" t="s">
        <v>15</v>
      </c>
      <c r="M3966" s="28" t="s">
        <v>613</v>
      </c>
      <c r="N3966" t="s">
        <v>313</v>
      </c>
    </row>
    <row r="3967" spans="1:14" hidden="1" x14ac:dyDescent="0.25">
      <c r="A3967" t="s">
        <v>8394</v>
      </c>
      <c r="B3967" t="s">
        <v>2107</v>
      </c>
      <c r="C3967" t="s">
        <v>2108</v>
      </c>
      <c r="D3967" t="s">
        <v>2109</v>
      </c>
      <c r="E3967" s="28" t="s">
        <v>896</v>
      </c>
      <c r="F3967" t="s">
        <v>398</v>
      </c>
      <c r="G3967" t="s">
        <v>60</v>
      </c>
      <c r="M3967" s="28" t="s">
        <v>14207</v>
      </c>
    </row>
    <row r="3968" spans="1:14" hidden="1" x14ac:dyDescent="0.25">
      <c r="A3968" t="s">
        <v>13028</v>
      </c>
      <c r="B3968" t="s">
        <v>13029</v>
      </c>
      <c r="C3968" t="s">
        <v>4726</v>
      </c>
      <c r="D3968" t="s">
        <v>13030</v>
      </c>
      <c r="E3968" s="28" t="s">
        <v>896</v>
      </c>
      <c r="F3968" t="s">
        <v>12554</v>
      </c>
      <c r="G3968" t="s">
        <v>15</v>
      </c>
      <c r="M3968" s="28" t="s">
        <v>613</v>
      </c>
      <c r="N3968" t="s">
        <v>313</v>
      </c>
    </row>
    <row r="3969" spans="1:14" hidden="1" x14ac:dyDescent="0.25">
      <c r="A3969" t="s">
        <v>9514</v>
      </c>
      <c r="B3969" t="s">
        <v>4531</v>
      </c>
      <c r="C3969" t="s">
        <v>4532</v>
      </c>
      <c r="D3969" t="s">
        <v>4533</v>
      </c>
      <c r="E3969" s="28" t="s">
        <v>890</v>
      </c>
      <c r="F3969" t="s">
        <v>891</v>
      </c>
      <c r="G3969" t="s">
        <v>102</v>
      </c>
      <c r="M3969" s="28"/>
    </row>
    <row r="3970" spans="1:14" hidden="1" x14ac:dyDescent="0.25">
      <c r="A3970" t="s">
        <v>9482</v>
      </c>
      <c r="B3970" t="s">
        <v>4462</v>
      </c>
      <c r="C3970" t="s">
        <v>3031</v>
      </c>
      <c r="D3970" t="s">
        <v>4463</v>
      </c>
      <c r="E3970" s="28" t="s">
        <v>890</v>
      </c>
      <c r="F3970" t="s">
        <v>564</v>
      </c>
      <c r="G3970" t="s">
        <v>88</v>
      </c>
      <c r="M3970" s="28" t="s">
        <v>549</v>
      </c>
      <c r="N3970" t="s">
        <v>313</v>
      </c>
    </row>
    <row r="3971" spans="1:14" hidden="1" x14ac:dyDescent="0.25">
      <c r="A3971" t="s">
        <v>9483</v>
      </c>
      <c r="B3971" t="s">
        <v>4462</v>
      </c>
      <c r="C3971" t="s">
        <v>3021</v>
      </c>
      <c r="D3971" t="s">
        <v>4464</v>
      </c>
      <c r="E3971" s="28" t="s">
        <v>890</v>
      </c>
      <c r="F3971" t="s">
        <v>564</v>
      </c>
      <c r="G3971" t="s">
        <v>88</v>
      </c>
      <c r="M3971" s="28" t="s">
        <v>549</v>
      </c>
      <c r="N3971" t="s">
        <v>313</v>
      </c>
    </row>
    <row r="3972" spans="1:14" hidden="1" x14ac:dyDescent="0.25">
      <c r="A3972" t="s">
        <v>9484</v>
      </c>
      <c r="B3972" t="s">
        <v>4465</v>
      </c>
      <c r="C3972" t="s">
        <v>2108</v>
      </c>
      <c r="D3972" t="s">
        <v>4466</v>
      </c>
      <c r="E3972" s="28" t="s">
        <v>896</v>
      </c>
      <c r="F3972" t="s">
        <v>577</v>
      </c>
      <c r="G3972" t="s">
        <v>88</v>
      </c>
      <c r="M3972" s="28" t="s">
        <v>549</v>
      </c>
      <c r="N3972" t="s">
        <v>313</v>
      </c>
    </row>
    <row r="3973" spans="1:14" hidden="1" x14ac:dyDescent="0.25">
      <c r="A3973" t="s">
        <v>9485</v>
      </c>
      <c r="B3973" t="s">
        <v>4467</v>
      </c>
      <c r="C3973" t="s">
        <v>4468</v>
      </c>
      <c r="D3973" t="s">
        <v>4469</v>
      </c>
      <c r="E3973" s="28" t="s">
        <v>890</v>
      </c>
      <c r="F3973" t="s">
        <v>891</v>
      </c>
      <c r="G3973" t="s">
        <v>88</v>
      </c>
      <c r="M3973" s="28" t="s">
        <v>549</v>
      </c>
      <c r="N3973" t="s">
        <v>313</v>
      </c>
    </row>
    <row r="3974" spans="1:14" hidden="1" x14ac:dyDescent="0.25">
      <c r="A3974" t="s">
        <v>9486</v>
      </c>
      <c r="B3974" t="s">
        <v>4467</v>
      </c>
      <c r="C3974" t="s">
        <v>3134</v>
      </c>
      <c r="D3974" t="s">
        <v>4470</v>
      </c>
      <c r="E3974" s="28" t="s">
        <v>890</v>
      </c>
      <c r="F3974" t="s">
        <v>891</v>
      </c>
      <c r="G3974" t="s">
        <v>88</v>
      </c>
      <c r="M3974" s="28" t="s">
        <v>549</v>
      </c>
      <c r="N3974" t="s">
        <v>313</v>
      </c>
    </row>
    <row r="3975" spans="1:14" hidden="1" x14ac:dyDescent="0.25">
      <c r="A3975" t="s">
        <v>13031</v>
      </c>
      <c r="B3975" t="s">
        <v>13032</v>
      </c>
      <c r="C3975" t="s">
        <v>4821</v>
      </c>
      <c r="D3975" t="s">
        <v>13033</v>
      </c>
      <c r="E3975" s="28" t="s">
        <v>896</v>
      </c>
      <c r="F3975" t="s">
        <v>752</v>
      </c>
      <c r="G3975" t="s">
        <v>15</v>
      </c>
      <c r="M3975" s="28" t="s">
        <v>613</v>
      </c>
      <c r="N3975" t="s">
        <v>313</v>
      </c>
    </row>
    <row r="3976" spans="1:14" hidden="1" x14ac:dyDescent="0.25">
      <c r="A3976" t="s">
        <v>7974</v>
      </c>
      <c r="B3976" t="s">
        <v>991</v>
      </c>
      <c r="C3976" t="s">
        <v>992</v>
      </c>
      <c r="D3976" t="s">
        <v>993</v>
      </c>
      <c r="E3976" s="28" t="s">
        <v>890</v>
      </c>
      <c r="F3976" t="s">
        <v>897</v>
      </c>
      <c r="G3976" t="s">
        <v>28</v>
      </c>
      <c r="M3976" s="28" t="s">
        <v>14241</v>
      </c>
      <c r="N3976" t="s">
        <v>14206</v>
      </c>
    </row>
    <row r="3977" spans="1:14" hidden="1" x14ac:dyDescent="0.25">
      <c r="A3977" t="s">
        <v>8051</v>
      </c>
      <c r="B3977" t="s">
        <v>1243</v>
      </c>
      <c r="C3977" t="s">
        <v>1061</v>
      </c>
      <c r="D3977" t="s">
        <v>1244</v>
      </c>
      <c r="E3977" s="28" t="s">
        <v>890</v>
      </c>
      <c r="F3977" t="s">
        <v>39</v>
      </c>
      <c r="G3977" t="s">
        <v>34</v>
      </c>
      <c r="M3977" s="28" t="s">
        <v>12353</v>
      </c>
      <c r="N3977" t="s">
        <v>313</v>
      </c>
    </row>
    <row r="3978" spans="1:14" hidden="1" x14ac:dyDescent="0.25">
      <c r="A3978" t="s">
        <v>11807</v>
      </c>
      <c r="B3978" t="s">
        <v>11805</v>
      </c>
      <c r="C3978" t="s">
        <v>3183</v>
      </c>
      <c r="D3978" t="s">
        <v>11808</v>
      </c>
      <c r="E3978" s="28" t="s">
        <v>1177</v>
      </c>
      <c r="F3978" t="s">
        <v>554</v>
      </c>
      <c r="G3978" t="s">
        <v>88</v>
      </c>
      <c r="M3978" s="28" t="s">
        <v>549</v>
      </c>
      <c r="N3978" t="s">
        <v>313</v>
      </c>
    </row>
    <row r="3979" spans="1:14" hidden="1" x14ac:dyDescent="0.25">
      <c r="A3979" t="s">
        <v>11804</v>
      </c>
      <c r="B3979" t="s">
        <v>11805</v>
      </c>
      <c r="C3979" t="s">
        <v>3021</v>
      </c>
      <c r="D3979" t="s">
        <v>11806</v>
      </c>
      <c r="E3979" s="28" t="s">
        <v>890</v>
      </c>
      <c r="F3979" t="s">
        <v>891</v>
      </c>
      <c r="G3979" t="s">
        <v>88</v>
      </c>
      <c r="M3979" s="28" t="s">
        <v>549</v>
      </c>
      <c r="N3979" t="s">
        <v>313</v>
      </c>
    </row>
    <row r="3980" spans="1:14" hidden="1" x14ac:dyDescent="0.25">
      <c r="A3980" t="s">
        <v>9487</v>
      </c>
      <c r="B3980" t="s">
        <v>4471</v>
      </c>
      <c r="C3980" t="s">
        <v>2095</v>
      </c>
      <c r="D3980" t="s">
        <v>4472</v>
      </c>
      <c r="E3980" s="28" t="s">
        <v>890</v>
      </c>
      <c r="F3980" t="s">
        <v>891</v>
      </c>
      <c r="G3980" t="s">
        <v>88</v>
      </c>
      <c r="M3980" s="28" t="s">
        <v>549</v>
      </c>
      <c r="N3980" t="s">
        <v>313</v>
      </c>
    </row>
    <row r="3981" spans="1:14" hidden="1" x14ac:dyDescent="0.25">
      <c r="A3981" t="s">
        <v>9488</v>
      </c>
      <c r="B3981" t="s">
        <v>4473</v>
      </c>
      <c r="C3981" t="s">
        <v>3034</v>
      </c>
      <c r="D3981" t="s">
        <v>4474</v>
      </c>
      <c r="E3981" s="28" t="s">
        <v>930</v>
      </c>
      <c r="F3981" t="s">
        <v>891</v>
      </c>
      <c r="G3981" t="s">
        <v>88</v>
      </c>
      <c r="M3981" s="28" t="s">
        <v>549</v>
      </c>
      <c r="N3981" t="s">
        <v>313</v>
      </c>
    </row>
    <row r="3982" spans="1:14" hidden="1" x14ac:dyDescent="0.25">
      <c r="A3982" t="s">
        <v>9489</v>
      </c>
      <c r="B3982" t="s">
        <v>4473</v>
      </c>
      <c r="C3982" t="s">
        <v>2133</v>
      </c>
      <c r="D3982" t="s">
        <v>4475</v>
      </c>
      <c r="E3982" s="28" t="s">
        <v>896</v>
      </c>
      <c r="F3982" t="s">
        <v>571</v>
      </c>
      <c r="G3982" t="s">
        <v>88</v>
      </c>
      <c r="M3982" s="28" t="s">
        <v>549</v>
      </c>
      <c r="N3982" t="s">
        <v>313</v>
      </c>
    </row>
    <row r="3983" spans="1:14" hidden="1" x14ac:dyDescent="0.25">
      <c r="A3983" t="s">
        <v>8395</v>
      </c>
      <c r="B3983" t="s">
        <v>2110</v>
      </c>
      <c r="C3983" t="s">
        <v>2111</v>
      </c>
      <c r="D3983" t="s">
        <v>2112</v>
      </c>
      <c r="E3983" s="28" t="s">
        <v>890</v>
      </c>
      <c r="F3983" t="s">
        <v>398</v>
      </c>
      <c r="G3983" t="s">
        <v>60</v>
      </c>
      <c r="M3983" s="28" t="s">
        <v>14207</v>
      </c>
    </row>
    <row r="3984" spans="1:14" hidden="1" x14ac:dyDescent="0.25">
      <c r="A3984" t="s">
        <v>9490</v>
      </c>
      <c r="B3984" t="s">
        <v>4476</v>
      </c>
      <c r="C3984" t="s">
        <v>3214</v>
      </c>
      <c r="D3984" t="s">
        <v>4477</v>
      </c>
      <c r="E3984" s="28" t="s">
        <v>890</v>
      </c>
      <c r="F3984" t="s">
        <v>891</v>
      </c>
      <c r="G3984" t="s">
        <v>88</v>
      </c>
      <c r="M3984" s="28" t="s">
        <v>549</v>
      </c>
      <c r="N3984" t="s">
        <v>313</v>
      </c>
    </row>
    <row r="3985" spans="1:14" hidden="1" x14ac:dyDescent="0.25">
      <c r="A3985" t="s">
        <v>9523</v>
      </c>
      <c r="B3985" t="s">
        <v>4552</v>
      </c>
      <c r="C3985" t="s">
        <v>4553</v>
      </c>
      <c r="D3985" t="s">
        <v>4554</v>
      </c>
      <c r="E3985" s="28" t="s">
        <v>896</v>
      </c>
      <c r="F3985" t="s">
        <v>4635</v>
      </c>
      <c r="G3985" t="s">
        <v>15</v>
      </c>
      <c r="M3985" s="28" t="s">
        <v>613</v>
      </c>
      <c r="N3985" t="s">
        <v>313</v>
      </c>
    </row>
    <row r="3986" spans="1:14" hidden="1" x14ac:dyDescent="0.25">
      <c r="A3986" t="s">
        <v>8396</v>
      </c>
      <c r="B3986" t="s">
        <v>2113</v>
      </c>
      <c r="C3986" t="s">
        <v>2114</v>
      </c>
      <c r="D3986" t="s">
        <v>2115</v>
      </c>
      <c r="E3986" s="28" t="s">
        <v>890</v>
      </c>
      <c r="F3986" t="s">
        <v>398</v>
      </c>
      <c r="G3986" t="s">
        <v>60</v>
      </c>
      <c r="M3986" s="28" t="s">
        <v>14207</v>
      </c>
    </row>
    <row r="3987" spans="1:14" hidden="1" x14ac:dyDescent="0.25">
      <c r="A3987" t="s">
        <v>8397</v>
      </c>
      <c r="B3987" t="s">
        <v>2113</v>
      </c>
      <c r="C3987" t="s">
        <v>2116</v>
      </c>
      <c r="D3987" t="s">
        <v>2117</v>
      </c>
      <c r="E3987" s="28" t="s">
        <v>890</v>
      </c>
      <c r="F3987" t="s">
        <v>398</v>
      </c>
      <c r="G3987" t="s">
        <v>60</v>
      </c>
      <c r="M3987" s="28" t="s">
        <v>14207</v>
      </c>
    </row>
    <row r="3988" spans="1:14" hidden="1" x14ac:dyDescent="0.25">
      <c r="A3988" t="s">
        <v>9522</v>
      </c>
      <c r="B3988" t="s">
        <v>4548</v>
      </c>
      <c r="C3988" t="s">
        <v>4549</v>
      </c>
      <c r="D3988" t="s">
        <v>4550</v>
      </c>
      <c r="E3988" s="28" t="s">
        <v>1023</v>
      </c>
      <c r="F3988" t="s">
        <v>4551</v>
      </c>
      <c r="G3988" t="s">
        <v>15</v>
      </c>
      <c r="M3988" s="28" t="s">
        <v>613</v>
      </c>
      <c r="N3988" t="s">
        <v>313</v>
      </c>
    </row>
    <row r="3989" spans="1:14" hidden="1" x14ac:dyDescent="0.25">
      <c r="A3989" t="s">
        <v>8271</v>
      </c>
      <c r="B3989" t="s">
        <v>1804</v>
      </c>
      <c r="C3989" t="s">
        <v>1805</v>
      </c>
      <c r="D3989" t="s">
        <v>1806</v>
      </c>
      <c r="E3989" s="28" t="s">
        <v>890</v>
      </c>
      <c r="F3989" t="s">
        <v>891</v>
      </c>
      <c r="G3989" t="s">
        <v>43</v>
      </c>
      <c r="M3989" s="28" t="s">
        <v>14205</v>
      </c>
    </row>
    <row r="3990" spans="1:14" hidden="1" x14ac:dyDescent="0.25">
      <c r="A3990" t="s">
        <v>9521</v>
      </c>
      <c r="B3990" t="s">
        <v>4546</v>
      </c>
      <c r="C3990" t="s">
        <v>2753</v>
      </c>
      <c r="D3990" t="s">
        <v>4547</v>
      </c>
      <c r="E3990" s="28" t="s">
        <v>890</v>
      </c>
      <c r="F3990" t="s">
        <v>771</v>
      </c>
      <c r="G3990" t="s">
        <v>15</v>
      </c>
      <c r="M3990" s="28" t="s">
        <v>613</v>
      </c>
      <c r="N3990" t="s">
        <v>313</v>
      </c>
    </row>
    <row r="3991" spans="1:14" hidden="1" x14ac:dyDescent="0.25">
      <c r="A3991" t="s">
        <v>8562</v>
      </c>
      <c r="B3991" t="s">
        <v>2514</v>
      </c>
      <c r="C3991" t="s">
        <v>2515</v>
      </c>
      <c r="D3991" t="s">
        <v>2516</v>
      </c>
      <c r="E3991" s="28" t="s">
        <v>896</v>
      </c>
      <c r="F3991" t="s">
        <v>504</v>
      </c>
      <c r="G3991" t="s">
        <v>11</v>
      </c>
      <c r="M3991" s="28" t="s">
        <v>413</v>
      </c>
      <c r="N3991" t="s">
        <v>313</v>
      </c>
    </row>
    <row r="3992" spans="1:14" hidden="1" x14ac:dyDescent="0.25">
      <c r="A3992" t="s">
        <v>8422</v>
      </c>
      <c r="B3992" t="s">
        <v>2183</v>
      </c>
      <c r="C3992" t="s">
        <v>2184</v>
      </c>
      <c r="D3992" t="s">
        <v>2185</v>
      </c>
      <c r="E3992" s="28" t="s">
        <v>896</v>
      </c>
      <c r="F3992" t="s">
        <v>2186</v>
      </c>
      <c r="G3992" t="s">
        <v>62</v>
      </c>
      <c r="M3992" s="28" t="s">
        <v>14208</v>
      </c>
    </row>
    <row r="3993" spans="1:14" hidden="1" x14ac:dyDescent="0.25">
      <c r="A3993" t="s">
        <v>10874</v>
      </c>
      <c r="B3993" t="s">
        <v>7493</v>
      </c>
      <c r="C3993" t="s">
        <v>2029</v>
      </c>
      <c r="D3993" t="s">
        <v>7494</v>
      </c>
      <c r="E3993" s="28" t="s">
        <v>896</v>
      </c>
      <c r="F3993" t="s">
        <v>268</v>
      </c>
      <c r="G3993" t="s">
        <v>157</v>
      </c>
      <c r="M3993" s="28" t="s">
        <v>840</v>
      </c>
      <c r="N3993" t="s">
        <v>382</v>
      </c>
    </row>
    <row r="3994" spans="1:14" hidden="1" x14ac:dyDescent="0.25">
      <c r="A3994" t="s">
        <v>9491</v>
      </c>
      <c r="B3994" t="s">
        <v>4478</v>
      </c>
      <c r="C3994" t="s">
        <v>3031</v>
      </c>
      <c r="D3994" t="s">
        <v>4479</v>
      </c>
      <c r="E3994" s="28" t="s">
        <v>896</v>
      </c>
      <c r="F3994" t="s">
        <v>891</v>
      </c>
      <c r="G3994" t="s">
        <v>88</v>
      </c>
      <c r="M3994" s="28" t="s">
        <v>549</v>
      </c>
      <c r="N3994" t="s">
        <v>313</v>
      </c>
    </row>
    <row r="3995" spans="1:14" hidden="1" x14ac:dyDescent="0.25">
      <c r="D3995" t="s">
        <v>14199</v>
      </c>
      <c r="E3995" s="28"/>
      <c r="M3995" s="28"/>
    </row>
  </sheetData>
  <phoneticPr fontId="29" type="noConversion"/>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O357"/>
  <sheetViews>
    <sheetView showGridLines="0" workbookViewId="0">
      <selection activeCell="D12" sqref="D12"/>
    </sheetView>
  </sheetViews>
  <sheetFormatPr defaultColWidth="11.42578125" defaultRowHeight="15" x14ac:dyDescent="0.25"/>
  <cols>
    <col min="1" max="1" width="60.85546875" bestFit="1" customWidth="1"/>
    <col min="2" max="2" width="14.85546875" bestFit="1" customWidth="1"/>
    <col min="3" max="3" width="13.140625" bestFit="1" customWidth="1"/>
    <col min="4" max="4" width="12.85546875" bestFit="1" customWidth="1"/>
    <col min="5" max="5" width="19.28515625" bestFit="1" customWidth="1"/>
    <col min="6" max="6" width="16.140625" bestFit="1" customWidth="1"/>
    <col min="7" max="14" width="4.28515625" bestFit="1" customWidth="1"/>
    <col min="15" max="20" width="5.28515625" bestFit="1" customWidth="1"/>
    <col min="21" max="21" width="8.85546875" bestFit="1" customWidth="1"/>
  </cols>
  <sheetData>
    <row r="1" spans="1:15" x14ac:dyDescent="0.25">
      <c r="A1" t="s">
        <v>270</v>
      </c>
      <c r="B1" t="s">
        <v>271</v>
      </c>
      <c r="C1" t="s">
        <v>272</v>
      </c>
      <c r="D1" t="s">
        <v>12</v>
      </c>
      <c r="E1" t="s">
        <v>273</v>
      </c>
      <c r="F1" t="s">
        <v>274</v>
      </c>
    </row>
    <row r="2" spans="1:15" x14ac:dyDescent="0.25">
      <c r="A2" t="s">
        <v>275</v>
      </c>
      <c r="B2" s="28" t="s">
        <v>276</v>
      </c>
      <c r="C2" s="28" t="s">
        <v>31</v>
      </c>
      <c r="D2" s="28" t="s">
        <v>277</v>
      </c>
      <c r="E2" s="28" t="s">
        <v>278</v>
      </c>
      <c r="F2" s="28" t="s">
        <v>279</v>
      </c>
      <c r="K2" s="28"/>
      <c r="L2" s="28"/>
      <c r="M2" s="28"/>
      <c r="N2" s="28"/>
      <c r="O2" s="28"/>
    </row>
    <row r="3" spans="1:15" x14ac:dyDescent="0.25">
      <c r="A3" t="s">
        <v>280</v>
      </c>
      <c r="B3" s="28" t="s">
        <v>281</v>
      </c>
      <c r="C3" s="28" t="s">
        <v>31</v>
      </c>
      <c r="D3" s="28" t="s">
        <v>282</v>
      </c>
      <c r="E3" s="28" t="s">
        <v>278</v>
      </c>
      <c r="F3" s="28" t="s">
        <v>279</v>
      </c>
      <c r="K3" s="28"/>
      <c r="L3" s="28"/>
      <c r="M3" s="28"/>
      <c r="N3" s="28"/>
      <c r="O3" s="28"/>
    </row>
    <row r="4" spans="1:15" x14ac:dyDescent="0.25">
      <c r="A4" t="s">
        <v>283</v>
      </c>
      <c r="B4" s="28" t="s">
        <v>284</v>
      </c>
      <c r="C4" s="28" t="s">
        <v>31</v>
      </c>
      <c r="D4" s="28" t="s">
        <v>285</v>
      </c>
      <c r="E4" s="28" t="s">
        <v>278</v>
      </c>
      <c r="F4" s="28" t="s">
        <v>279</v>
      </c>
      <c r="K4" s="28"/>
      <c r="L4" s="28"/>
      <c r="M4" s="28"/>
      <c r="N4" s="28"/>
      <c r="O4" s="28"/>
    </row>
    <row r="5" spans="1:15" x14ac:dyDescent="0.25">
      <c r="A5" t="s">
        <v>286</v>
      </c>
      <c r="B5" s="28" t="s">
        <v>287</v>
      </c>
      <c r="C5" s="28" t="s">
        <v>31</v>
      </c>
      <c r="D5" s="28" t="s">
        <v>288</v>
      </c>
      <c r="E5" s="28" t="s">
        <v>278</v>
      </c>
      <c r="F5" s="28" t="s">
        <v>279</v>
      </c>
      <c r="K5" s="28"/>
      <c r="L5" s="28"/>
      <c r="M5" s="28"/>
      <c r="N5" s="28"/>
      <c r="O5" s="28"/>
    </row>
    <row r="6" spans="1:15" x14ac:dyDescent="0.25">
      <c r="A6" t="s">
        <v>289</v>
      </c>
      <c r="B6" s="28" t="s">
        <v>211</v>
      </c>
      <c r="C6" s="28" t="s">
        <v>31</v>
      </c>
      <c r="D6" s="28" t="s">
        <v>290</v>
      </c>
      <c r="E6" s="28" t="s">
        <v>278</v>
      </c>
      <c r="F6" s="28" t="s">
        <v>279</v>
      </c>
      <c r="K6" s="28"/>
      <c r="L6" s="28"/>
      <c r="M6" s="28"/>
      <c r="N6" s="28"/>
      <c r="O6" s="28"/>
    </row>
    <row r="7" spans="1:15" x14ac:dyDescent="0.25">
      <c r="A7" t="s">
        <v>291</v>
      </c>
      <c r="B7" s="28" t="s">
        <v>292</v>
      </c>
      <c r="C7" s="28" t="s">
        <v>31</v>
      </c>
      <c r="D7" s="28" t="s">
        <v>293</v>
      </c>
      <c r="E7" s="28" t="s">
        <v>278</v>
      </c>
      <c r="F7" s="28" t="s">
        <v>279</v>
      </c>
      <c r="K7" s="28"/>
      <c r="L7" s="28"/>
      <c r="M7" s="28"/>
      <c r="N7" s="28"/>
      <c r="O7" s="28"/>
    </row>
    <row r="8" spans="1:15" x14ac:dyDescent="0.25">
      <c r="A8" t="s">
        <v>294</v>
      </c>
      <c r="B8" s="28" t="s">
        <v>295</v>
      </c>
      <c r="C8" s="28" t="s">
        <v>31</v>
      </c>
      <c r="D8" s="28" t="s">
        <v>296</v>
      </c>
      <c r="E8" s="28" t="s">
        <v>278</v>
      </c>
      <c r="F8" s="28" t="s">
        <v>279</v>
      </c>
      <c r="K8" s="28"/>
      <c r="L8" s="28"/>
      <c r="M8" s="28"/>
      <c r="N8" s="28"/>
      <c r="O8" s="28"/>
    </row>
    <row r="9" spans="1:15" x14ac:dyDescent="0.25">
      <c r="A9" t="s">
        <v>297</v>
      </c>
      <c r="B9" s="28" t="s">
        <v>298</v>
      </c>
      <c r="C9" s="28" t="s">
        <v>31</v>
      </c>
      <c r="D9" s="28" t="s">
        <v>299</v>
      </c>
      <c r="E9" s="28" t="s">
        <v>278</v>
      </c>
      <c r="F9" s="28" t="s">
        <v>279</v>
      </c>
      <c r="K9" s="28"/>
      <c r="L9" s="28"/>
      <c r="M9" s="28"/>
      <c r="N9" s="28"/>
      <c r="O9" s="28"/>
    </row>
    <row r="10" spans="1:15" x14ac:dyDescent="0.25">
      <c r="A10" t="s">
        <v>300</v>
      </c>
      <c r="B10" s="28" t="s">
        <v>301</v>
      </c>
      <c r="C10" s="28" t="s">
        <v>31</v>
      </c>
      <c r="D10" s="28" t="s">
        <v>302</v>
      </c>
      <c r="E10" s="28" t="s">
        <v>278</v>
      </c>
      <c r="F10" s="28" t="s">
        <v>279</v>
      </c>
      <c r="K10" s="28"/>
      <c r="L10" s="28"/>
      <c r="M10" s="28"/>
      <c r="N10" s="28"/>
      <c r="O10" s="28"/>
    </row>
    <row r="11" spans="1:15" x14ac:dyDescent="0.25">
      <c r="A11" t="s">
        <v>303</v>
      </c>
      <c r="B11" s="28" t="s">
        <v>304</v>
      </c>
      <c r="C11" s="28" t="s">
        <v>31</v>
      </c>
      <c r="D11" s="28" t="s">
        <v>305</v>
      </c>
      <c r="E11" s="28" t="s">
        <v>278</v>
      </c>
      <c r="F11" s="28" t="s">
        <v>279</v>
      </c>
      <c r="K11" s="28"/>
      <c r="L11" s="28"/>
      <c r="M11" s="28"/>
      <c r="N11" s="28"/>
      <c r="O11" s="28"/>
    </row>
    <row r="12" spans="1:15" x14ac:dyDescent="0.25">
      <c r="A12" t="s">
        <v>306</v>
      </c>
      <c r="B12" s="28" t="s">
        <v>307</v>
      </c>
      <c r="C12" s="28" t="s">
        <v>31</v>
      </c>
      <c r="D12" s="28" t="s">
        <v>308</v>
      </c>
      <c r="E12" s="28" t="s">
        <v>278</v>
      </c>
      <c r="F12" s="28" t="s">
        <v>279</v>
      </c>
      <c r="K12" s="28"/>
      <c r="L12" s="28"/>
      <c r="M12" s="28"/>
      <c r="N12" s="28"/>
      <c r="O12" s="28"/>
    </row>
    <row r="13" spans="1:15" x14ac:dyDescent="0.25">
      <c r="A13" t="s">
        <v>309</v>
      </c>
      <c r="B13" s="28" t="s">
        <v>310</v>
      </c>
      <c r="C13" s="28" t="s">
        <v>31</v>
      </c>
      <c r="D13" s="28" t="s">
        <v>311</v>
      </c>
      <c r="E13" s="28" t="s">
        <v>278</v>
      </c>
      <c r="F13" s="28" t="s">
        <v>279</v>
      </c>
      <c r="K13" s="28"/>
      <c r="L13" s="28"/>
      <c r="M13" s="28"/>
      <c r="N13" s="28"/>
      <c r="O13" s="28"/>
    </row>
    <row r="14" spans="1:15" x14ac:dyDescent="0.25">
      <c r="A14" t="s">
        <v>14202</v>
      </c>
      <c r="B14" s="28" t="s">
        <v>14203</v>
      </c>
      <c r="C14" s="28" t="s">
        <v>31</v>
      </c>
      <c r="D14" s="28" t="s">
        <v>14204</v>
      </c>
      <c r="E14" s="28" t="s">
        <v>278</v>
      </c>
      <c r="F14" s="28" t="s">
        <v>279</v>
      </c>
      <c r="K14" s="28"/>
      <c r="L14" s="28"/>
      <c r="M14" s="28"/>
      <c r="N14" s="28"/>
      <c r="O14" s="28"/>
    </row>
    <row r="15" spans="1:15" x14ac:dyDescent="0.25">
      <c r="A15" t="s">
        <v>35</v>
      </c>
      <c r="B15" s="28" t="s">
        <v>36</v>
      </c>
      <c r="C15" s="28" t="s">
        <v>34</v>
      </c>
      <c r="D15" s="28" t="s">
        <v>312</v>
      </c>
      <c r="E15" s="28" t="s">
        <v>12353</v>
      </c>
      <c r="F15" s="28" t="s">
        <v>313</v>
      </c>
      <c r="K15" s="28"/>
      <c r="L15" s="28"/>
      <c r="M15" s="28"/>
      <c r="N15" s="28"/>
      <c r="O15" s="28"/>
    </row>
    <row r="16" spans="1:15" x14ac:dyDescent="0.25">
      <c r="A16" t="s">
        <v>39</v>
      </c>
      <c r="B16" s="28" t="s">
        <v>40</v>
      </c>
      <c r="C16" s="28" t="s">
        <v>34</v>
      </c>
      <c r="D16" s="28" t="s">
        <v>314</v>
      </c>
      <c r="E16" s="28" t="s">
        <v>12353</v>
      </c>
      <c r="F16" s="28" t="s">
        <v>313</v>
      </c>
      <c r="K16" s="28"/>
      <c r="L16" s="28"/>
      <c r="M16" s="28"/>
      <c r="N16" s="28"/>
      <c r="O16" s="28"/>
    </row>
    <row r="17" spans="1:15" x14ac:dyDescent="0.25">
      <c r="A17" t="s">
        <v>315</v>
      </c>
      <c r="B17" s="28" t="s">
        <v>41</v>
      </c>
      <c r="C17" s="28" t="s">
        <v>34</v>
      </c>
      <c r="D17" s="28" t="s">
        <v>316</v>
      </c>
      <c r="E17" s="28" t="s">
        <v>12353</v>
      </c>
      <c r="F17" s="28" t="s">
        <v>313</v>
      </c>
      <c r="K17" s="28"/>
      <c r="L17" s="28"/>
      <c r="M17" s="28"/>
      <c r="N17" s="28"/>
      <c r="O17" s="28"/>
    </row>
    <row r="18" spans="1:15" x14ac:dyDescent="0.25">
      <c r="A18" t="s">
        <v>44</v>
      </c>
      <c r="B18" s="28" t="s">
        <v>45</v>
      </c>
      <c r="C18" s="28" t="s">
        <v>34</v>
      </c>
      <c r="D18" s="28" t="s">
        <v>317</v>
      </c>
      <c r="E18" s="28" t="s">
        <v>12353</v>
      </c>
      <c r="F18" s="28" t="s">
        <v>313</v>
      </c>
      <c r="K18" s="28"/>
      <c r="L18" s="28"/>
      <c r="M18" s="28"/>
      <c r="N18" s="28"/>
      <c r="O18" s="28"/>
    </row>
    <row r="19" spans="1:15" x14ac:dyDescent="0.25">
      <c r="A19" t="s">
        <v>48</v>
      </c>
      <c r="B19" s="28" t="s">
        <v>49</v>
      </c>
      <c r="C19" s="28" t="s">
        <v>34</v>
      </c>
      <c r="D19" s="28" t="s">
        <v>318</v>
      </c>
      <c r="E19" s="28" t="s">
        <v>12353</v>
      </c>
      <c r="F19" s="28" t="s">
        <v>313</v>
      </c>
      <c r="K19" s="28"/>
      <c r="L19" s="28"/>
      <c r="M19" s="28"/>
      <c r="N19" s="28"/>
      <c r="O19" s="28"/>
    </row>
    <row r="20" spans="1:15" x14ac:dyDescent="0.25">
      <c r="A20" t="s">
        <v>319</v>
      </c>
      <c r="B20" s="28" t="s">
        <v>320</v>
      </c>
      <c r="C20" s="28" t="s">
        <v>34</v>
      </c>
      <c r="D20" s="28" t="s">
        <v>321</v>
      </c>
      <c r="E20" s="28" t="s">
        <v>12353</v>
      </c>
      <c r="F20" s="28" t="s">
        <v>313</v>
      </c>
      <c r="K20" s="28"/>
      <c r="L20" s="28"/>
      <c r="M20" s="28"/>
      <c r="N20" s="28"/>
      <c r="O20" s="28"/>
    </row>
    <row r="21" spans="1:15" x14ac:dyDescent="0.25">
      <c r="A21" t="s">
        <v>57</v>
      </c>
      <c r="B21" s="28" t="s">
        <v>58</v>
      </c>
      <c r="C21" s="28" t="s">
        <v>38</v>
      </c>
      <c r="D21" s="28" t="s">
        <v>322</v>
      </c>
      <c r="E21" s="28" t="s">
        <v>323</v>
      </c>
      <c r="F21" s="28" t="s">
        <v>313</v>
      </c>
      <c r="K21" s="28"/>
      <c r="L21" s="28"/>
      <c r="M21" s="28"/>
      <c r="N21" s="28"/>
      <c r="O21" s="28"/>
    </row>
    <row r="22" spans="1:15" x14ac:dyDescent="0.25">
      <c r="A22" t="s">
        <v>324</v>
      </c>
      <c r="B22" s="28" t="s">
        <v>61</v>
      </c>
      <c r="C22" s="28" t="s">
        <v>38</v>
      </c>
      <c r="D22" s="28" t="s">
        <v>325</v>
      </c>
      <c r="E22" s="28" t="s">
        <v>323</v>
      </c>
      <c r="F22" s="28" t="s">
        <v>313</v>
      </c>
      <c r="K22" s="28"/>
      <c r="L22" s="28"/>
      <c r="M22" s="28"/>
      <c r="N22" s="28"/>
      <c r="O22" s="28"/>
    </row>
    <row r="23" spans="1:15" x14ac:dyDescent="0.25">
      <c r="A23" t="s">
        <v>326</v>
      </c>
      <c r="B23" s="28" t="s">
        <v>63</v>
      </c>
      <c r="C23" s="28" t="s">
        <v>38</v>
      </c>
      <c r="D23" s="28" t="s">
        <v>327</v>
      </c>
      <c r="E23" s="28" t="s">
        <v>323</v>
      </c>
      <c r="F23" s="28" t="s">
        <v>313</v>
      </c>
      <c r="K23" s="28"/>
      <c r="L23" s="28"/>
      <c r="M23" s="28"/>
      <c r="N23" s="28"/>
      <c r="O23" s="28"/>
    </row>
    <row r="24" spans="1:15" x14ac:dyDescent="0.25">
      <c r="A24" t="s">
        <v>328</v>
      </c>
      <c r="B24" s="28" t="s">
        <v>66</v>
      </c>
      <c r="C24" s="28" t="s">
        <v>38</v>
      </c>
      <c r="D24" s="28" t="s">
        <v>329</v>
      </c>
      <c r="E24" s="28" t="s">
        <v>323</v>
      </c>
      <c r="F24" s="28" t="s">
        <v>313</v>
      </c>
      <c r="K24" s="28"/>
      <c r="L24" s="28"/>
      <c r="M24" s="28"/>
      <c r="N24" s="28"/>
      <c r="O24" s="28"/>
    </row>
    <row r="25" spans="1:15" x14ac:dyDescent="0.25">
      <c r="A25" t="s">
        <v>69</v>
      </c>
      <c r="B25" s="28" t="s">
        <v>70</v>
      </c>
      <c r="C25" s="28" t="s">
        <v>38</v>
      </c>
      <c r="D25" s="28" t="s">
        <v>330</v>
      </c>
      <c r="E25" s="28" t="s">
        <v>323</v>
      </c>
      <c r="F25" s="28" t="s">
        <v>313</v>
      </c>
      <c r="K25" s="28"/>
      <c r="L25" s="28"/>
      <c r="M25" s="28"/>
      <c r="N25" s="28"/>
      <c r="O25" s="28"/>
    </row>
    <row r="26" spans="1:15" x14ac:dyDescent="0.25">
      <c r="A26" t="s">
        <v>331</v>
      </c>
      <c r="B26" s="28" t="s">
        <v>75</v>
      </c>
      <c r="C26" s="28" t="s">
        <v>38</v>
      </c>
      <c r="D26" s="28" t="s">
        <v>332</v>
      </c>
      <c r="E26" s="28" t="s">
        <v>323</v>
      </c>
      <c r="F26" s="28" t="s">
        <v>313</v>
      </c>
      <c r="K26" s="28"/>
      <c r="L26" s="28"/>
      <c r="M26" s="28"/>
      <c r="N26" s="28"/>
      <c r="O26" s="28"/>
    </row>
    <row r="27" spans="1:15" x14ac:dyDescent="0.25">
      <c r="A27" t="s">
        <v>78</v>
      </c>
      <c r="B27" s="28" t="s">
        <v>79</v>
      </c>
      <c r="C27" s="28" t="s">
        <v>38</v>
      </c>
      <c r="D27" s="28" t="s">
        <v>333</v>
      </c>
      <c r="E27" s="28" t="s">
        <v>323</v>
      </c>
      <c r="F27" s="28" t="s">
        <v>313</v>
      </c>
      <c r="K27" s="28"/>
      <c r="L27" s="28"/>
      <c r="M27" s="28"/>
      <c r="N27" s="28"/>
      <c r="O27" s="28"/>
    </row>
    <row r="28" spans="1:15" x14ac:dyDescent="0.25">
      <c r="A28" t="s">
        <v>334</v>
      </c>
      <c r="B28" s="28" t="s">
        <v>82</v>
      </c>
      <c r="C28" s="28" t="s">
        <v>38</v>
      </c>
      <c r="D28" s="28" t="s">
        <v>335</v>
      </c>
      <c r="E28" s="28" t="s">
        <v>323</v>
      </c>
      <c r="F28" s="28" t="s">
        <v>313</v>
      </c>
      <c r="K28" s="28"/>
      <c r="L28" s="28"/>
      <c r="M28" s="28"/>
      <c r="N28" s="28"/>
      <c r="O28" s="28"/>
    </row>
    <row r="29" spans="1:15" x14ac:dyDescent="0.25">
      <c r="A29" t="s">
        <v>336</v>
      </c>
      <c r="B29" s="28" t="s">
        <v>337</v>
      </c>
      <c r="C29" s="28" t="s">
        <v>38</v>
      </c>
      <c r="D29" s="28" t="s">
        <v>338</v>
      </c>
      <c r="E29" s="28" t="s">
        <v>323</v>
      </c>
      <c r="F29" s="28" t="s">
        <v>313</v>
      </c>
      <c r="K29" s="28"/>
      <c r="L29" s="28"/>
      <c r="M29" s="28"/>
      <c r="N29" s="28"/>
      <c r="O29" s="28"/>
    </row>
    <row r="30" spans="1:15" x14ac:dyDescent="0.25">
      <c r="A30" t="s">
        <v>340</v>
      </c>
      <c r="B30" s="28" t="s">
        <v>341</v>
      </c>
      <c r="C30" s="28" t="s">
        <v>38</v>
      </c>
      <c r="D30" s="28" t="s">
        <v>342</v>
      </c>
      <c r="E30" s="28" t="s">
        <v>323</v>
      </c>
      <c r="F30" s="28" t="s">
        <v>313</v>
      </c>
      <c r="K30" s="28"/>
      <c r="L30" s="28"/>
      <c r="M30" s="28"/>
      <c r="N30" s="28"/>
      <c r="O30" s="28"/>
    </row>
    <row r="31" spans="1:15" x14ac:dyDescent="0.25">
      <c r="A31" t="s">
        <v>343</v>
      </c>
      <c r="B31" s="28" t="s">
        <v>344</v>
      </c>
      <c r="C31" s="28" t="s">
        <v>38</v>
      </c>
      <c r="D31" s="28" t="s">
        <v>345</v>
      </c>
      <c r="E31" s="28" t="s">
        <v>323</v>
      </c>
      <c r="F31" s="28" t="s">
        <v>313</v>
      </c>
      <c r="K31" s="28"/>
      <c r="L31" s="28"/>
      <c r="M31" s="28"/>
      <c r="N31" s="28"/>
      <c r="O31" s="28"/>
    </row>
    <row r="32" spans="1:15" x14ac:dyDescent="0.25">
      <c r="A32" t="s">
        <v>12815</v>
      </c>
      <c r="B32" s="28" t="s">
        <v>13115</v>
      </c>
      <c r="C32" s="28" t="s">
        <v>38</v>
      </c>
      <c r="D32" s="28" t="s">
        <v>13116</v>
      </c>
      <c r="E32" s="28" t="s">
        <v>323</v>
      </c>
      <c r="F32" s="28" t="s">
        <v>313</v>
      </c>
      <c r="K32" s="28"/>
      <c r="L32" s="28"/>
      <c r="M32" s="28"/>
      <c r="N32" s="28"/>
      <c r="O32" s="28"/>
    </row>
    <row r="33" spans="1:15" x14ac:dyDescent="0.25">
      <c r="A33" t="s">
        <v>346</v>
      </c>
      <c r="B33" s="28" t="s">
        <v>347</v>
      </c>
      <c r="C33" s="28" t="s">
        <v>43</v>
      </c>
      <c r="D33" s="28" t="s">
        <v>348</v>
      </c>
      <c r="E33" s="28" t="s">
        <v>14205</v>
      </c>
      <c r="F33" s="28" t="s">
        <v>14206</v>
      </c>
      <c r="K33" s="28"/>
      <c r="L33" s="28"/>
      <c r="M33" s="28"/>
      <c r="N33" s="28"/>
      <c r="O33" s="28"/>
    </row>
    <row r="34" spans="1:15" x14ac:dyDescent="0.25">
      <c r="A34" t="s">
        <v>12646</v>
      </c>
      <c r="B34" s="28" t="s">
        <v>350</v>
      </c>
      <c r="C34" s="28" t="s">
        <v>43</v>
      </c>
      <c r="D34" s="28" t="s">
        <v>351</v>
      </c>
      <c r="E34" s="28" t="s">
        <v>14205</v>
      </c>
      <c r="F34" s="28" t="s">
        <v>14206</v>
      </c>
      <c r="K34" s="28"/>
      <c r="L34" s="28"/>
      <c r="M34" s="28"/>
      <c r="N34" s="28"/>
      <c r="O34" s="28"/>
    </row>
    <row r="35" spans="1:15" x14ac:dyDescent="0.25">
      <c r="A35" t="s">
        <v>12647</v>
      </c>
      <c r="B35" s="28" t="s">
        <v>353</v>
      </c>
      <c r="C35" s="28" t="s">
        <v>43</v>
      </c>
      <c r="D35" s="28" t="s">
        <v>354</v>
      </c>
      <c r="E35" s="28" t="s">
        <v>14205</v>
      </c>
      <c r="F35" s="28" t="s">
        <v>14206</v>
      </c>
      <c r="K35" s="28"/>
      <c r="L35" s="28"/>
      <c r="M35" s="28"/>
      <c r="N35" s="28"/>
      <c r="O35" s="28"/>
    </row>
    <row r="36" spans="1:15" x14ac:dyDescent="0.25">
      <c r="A36" t="s">
        <v>12648</v>
      </c>
      <c r="B36" s="28" t="s">
        <v>355</v>
      </c>
      <c r="C36" s="28" t="s">
        <v>43</v>
      </c>
      <c r="D36" s="28" t="s">
        <v>356</v>
      </c>
      <c r="E36" s="28" t="s">
        <v>14205</v>
      </c>
      <c r="F36" s="28" t="s">
        <v>14206</v>
      </c>
      <c r="K36" s="28"/>
      <c r="L36" s="28"/>
      <c r="M36" s="28"/>
      <c r="N36" s="28"/>
      <c r="O36" s="28"/>
    </row>
    <row r="37" spans="1:15" x14ac:dyDescent="0.25">
      <c r="A37" t="s">
        <v>12649</v>
      </c>
      <c r="B37" s="28" t="s">
        <v>358</v>
      </c>
      <c r="C37" s="28" t="s">
        <v>43</v>
      </c>
      <c r="D37" s="28" t="s">
        <v>359</v>
      </c>
      <c r="E37" s="28" t="s">
        <v>14205</v>
      </c>
      <c r="F37" s="28" t="s">
        <v>14206</v>
      </c>
      <c r="K37" s="28"/>
      <c r="L37" s="28"/>
      <c r="M37" s="28"/>
      <c r="N37" s="28"/>
      <c r="O37" s="28"/>
    </row>
    <row r="38" spans="1:15" x14ac:dyDescent="0.25">
      <c r="A38" t="s">
        <v>12650</v>
      </c>
      <c r="B38" s="28" t="s">
        <v>361</v>
      </c>
      <c r="C38" s="28" t="s">
        <v>43</v>
      </c>
      <c r="D38" s="28" t="s">
        <v>362</v>
      </c>
      <c r="E38" s="28" t="s">
        <v>14205</v>
      </c>
      <c r="F38" s="28" t="s">
        <v>14206</v>
      </c>
      <c r="K38" s="28"/>
      <c r="L38" s="28"/>
      <c r="M38" s="28"/>
      <c r="N38" s="28"/>
      <c r="O38" s="28"/>
    </row>
    <row r="39" spans="1:15" x14ac:dyDescent="0.25">
      <c r="A39" t="s">
        <v>363</v>
      </c>
      <c r="B39" s="28" t="s">
        <v>364</v>
      </c>
      <c r="C39" s="28" t="s">
        <v>43</v>
      </c>
      <c r="D39" s="28" t="s">
        <v>365</v>
      </c>
      <c r="E39" s="28" t="s">
        <v>14205</v>
      </c>
      <c r="F39" s="28" t="s">
        <v>14206</v>
      </c>
      <c r="K39" s="28"/>
      <c r="L39" s="28"/>
      <c r="M39" s="28"/>
      <c r="N39" s="28"/>
      <c r="O39" s="28"/>
    </row>
    <row r="40" spans="1:15" x14ac:dyDescent="0.25">
      <c r="A40" t="s">
        <v>366</v>
      </c>
      <c r="B40" s="28" t="s">
        <v>10892</v>
      </c>
      <c r="C40" s="28" t="s">
        <v>43</v>
      </c>
      <c r="D40" s="28" t="s">
        <v>368</v>
      </c>
      <c r="E40" s="28" t="s">
        <v>14205</v>
      </c>
      <c r="F40" s="28" t="s">
        <v>14206</v>
      </c>
      <c r="K40" s="28"/>
      <c r="L40" s="28"/>
      <c r="M40" s="28"/>
      <c r="N40" s="28"/>
      <c r="O40" s="28"/>
    </row>
    <row r="41" spans="1:15" x14ac:dyDescent="0.25">
      <c r="A41" t="s">
        <v>12651</v>
      </c>
      <c r="B41" s="28" t="s">
        <v>370</v>
      </c>
      <c r="C41" s="28" t="s">
        <v>43</v>
      </c>
      <c r="D41" s="28" t="s">
        <v>371</v>
      </c>
      <c r="E41" s="28" t="s">
        <v>14205</v>
      </c>
      <c r="F41" s="28" t="s">
        <v>14206</v>
      </c>
      <c r="K41" s="28"/>
      <c r="L41" s="28"/>
      <c r="M41" s="28"/>
      <c r="N41" s="28"/>
      <c r="O41" s="28"/>
    </row>
    <row r="42" spans="1:15" x14ac:dyDescent="0.25">
      <c r="A42" t="s">
        <v>372</v>
      </c>
      <c r="B42" s="28" t="s">
        <v>10893</v>
      </c>
      <c r="C42" s="28" t="s">
        <v>43</v>
      </c>
      <c r="D42" s="28" t="s">
        <v>373</v>
      </c>
      <c r="E42" s="28" t="s">
        <v>14205</v>
      </c>
      <c r="F42" s="28" t="s">
        <v>14206</v>
      </c>
      <c r="K42" s="28"/>
      <c r="L42" s="28"/>
      <c r="M42" s="28"/>
      <c r="N42" s="28"/>
      <c r="O42" s="28"/>
    </row>
    <row r="43" spans="1:15" x14ac:dyDescent="0.25">
      <c r="A43" t="s">
        <v>374</v>
      </c>
      <c r="B43" s="28" t="s">
        <v>10894</v>
      </c>
      <c r="C43" s="28" t="s">
        <v>43</v>
      </c>
      <c r="D43" s="28" t="s">
        <v>375</v>
      </c>
      <c r="E43" s="28" t="s">
        <v>14205</v>
      </c>
      <c r="F43" s="28" t="s">
        <v>14206</v>
      </c>
      <c r="K43" s="28"/>
      <c r="L43" s="28"/>
      <c r="M43" s="28"/>
      <c r="N43" s="28"/>
      <c r="O43" s="28"/>
    </row>
    <row r="44" spans="1:15" x14ac:dyDescent="0.25">
      <c r="A44" t="s">
        <v>12652</v>
      </c>
      <c r="B44" s="28" t="s">
        <v>12653</v>
      </c>
      <c r="C44" s="28" t="s">
        <v>43</v>
      </c>
      <c r="D44" s="28" t="s">
        <v>12654</v>
      </c>
      <c r="E44" s="28" t="s">
        <v>14205</v>
      </c>
      <c r="F44" s="28" t="s">
        <v>14206</v>
      </c>
      <c r="K44" s="28"/>
      <c r="L44" s="28"/>
      <c r="M44" s="28"/>
      <c r="N44" s="28"/>
      <c r="O44" s="28"/>
    </row>
    <row r="45" spans="1:15" x14ac:dyDescent="0.25">
      <c r="A45" t="s">
        <v>376</v>
      </c>
      <c r="B45" s="28" t="s">
        <v>377</v>
      </c>
      <c r="C45" s="28" t="s">
        <v>43</v>
      </c>
      <c r="D45" s="28" t="s">
        <v>378</v>
      </c>
      <c r="E45" s="28" t="s">
        <v>14205</v>
      </c>
      <c r="F45" s="28" t="s">
        <v>14206</v>
      </c>
      <c r="K45" s="28"/>
      <c r="L45" s="28"/>
      <c r="M45" s="28"/>
      <c r="N45" s="28"/>
      <c r="O45" s="28"/>
    </row>
    <row r="46" spans="1:15" x14ac:dyDescent="0.25">
      <c r="A46" t="s">
        <v>379</v>
      </c>
      <c r="B46" s="28" t="s">
        <v>380</v>
      </c>
      <c r="C46" s="28" t="s">
        <v>47</v>
      </c>
      <c r="D46" s="28" t="s">
        <v>381</v>
      </c>
      <c r="E46" s="28" t="s">
        <v>13542</v>
      </c>
      <c r="F46" s="28" t="s">
        <v>382</v>
      </c>
      <c r="K46" s="28"/>
      <c r="L46" s="28"/>
      <c r="M46" s="28"/>
      <c r="N46" s="28"/>
      <c r="O46" s="28"/>
    </row>
    <row r="47" spans="1:15" x14ac:dyDescent="0.25">
      <c r="A47" t="s">
        <v>383</v>
      </c>
      <c r="B47" s="28" t="s">
        <v>384</v>
      </c>
      <c r="C47" s="28" t="s">
        <v>47</v>
      </c>
      <c r="D47" s="28" t="s">
        <v>385</v>
      </c>
      <c r="E47" s="28" t="s">
        <v>13542</v>
      </c>
      <c r="F47" s="28" t="s">
        <v>382</v>
      </c>
      <c r="K47" s="28"/>
      <c r="L47" s="28"/>
      <c r="M47" s="28"/>
      <c r="N47" s="28"/>
      <c r="O47" s="28"/>
    </row>
    <row r="48" spans="1:15" x14ac:dyDescent="0.25">
      <c r="A48" t="s">
        <v>386</v>
      </c>
      <c r="B48" s="28" t="s">
        <v>387</v>
      </c>
      <c r="C48" s="28" t="s">
        <v>47</v>
      </c>
      <c r="D48" s="28" t="s">
        <v>388</v>
      </c>
      <c r="E48" s="28" t="s">
        <v>13542</v>
      </c>
      <c r="F48" s="28" t="s">
        <v>382</v>
      </c>
      <c r="K48" s="28"/>
      <c r="L48" s="28"/>
      <c r="M48" s="28"/>
      <c r="N48" s="28"/>
      <c r="O48" s="28"/>
    </row>
    <row r="49" spans="1:15" x14ac:dyDescent="0.25">
      <c r="A49" t="s">
        <v>389</v>
      </c>
      <c r="B49" s="28" t="s">
        <v>390</v>
      </c>
      <c r="C49" s="28" t="s">
        <v>47</v>
      </c>
      <c r="D49" s="28" t="s">
        <v>391</v>
      </c>
      <c r="E49" s="28" t="s">
        <v>13542</v>
      </c>
      <c r="F49" s="28" t="s">
        <v>382</v>
      </c>
      <c r="K49" s="28"/>
      <c r="L49" s="28"/>
      <c r="M49" s="28"/>
      <c r="N49" s="28"/>
      <c r="O49" s="28"/>
    </row>
    <row r="50" spans="1:15" x14ac:dyDescent="0.25">
      <c r="A50" t="s">
        <v>392</v>
      </c>
      <c r="B50" s="28" t="s">
        <v>393</v>
      </c>
      <c r="C50" s="28" t="s">
        <v>47</v>
      </c>
      <c r="D50" s="28" t="s">
        <v>394</v>
      </c>
      <c r="E50" s="28" t="s">
        <v>13542</v>
      </c>
      <c r="F50" s="28" t="s">
        <v>382</v>
      </c>
      <c r="K50" s="28"/>
      <c r="L50" s="28"/>
      <c r="M50" s="28"/>
      <c r="N50" s="28"/>
      <c r="O50" s="28"/>
    </row>
    <row r="51" spans="1:15" x14ac:dyDescent="0.25">
      <c r="A51" t="s">
        <v>395</v>
      </c>
      <c r="B51" s="28" t="s">
        <v>396</v>
      </c>
      <c r="C51" s="28" t="s">
        <v>47</v>
      </c>
      <c r="D51" s="28" t="s">
        <v>397</v>
      </c>
      <c r="E51" s="28" t="s">
        <v>13542</v>
      </c>
      <c r="F51" s="28" t="s">
        <v>382</v>
      </c>
      <c r="K51" s="28"/>
      <c r="L51" s="28"/>
      <c r="M51" s="28"/>
      <c r="N51" s="28"/>
      <c r="O51" s="28"/>
    </row>
    <row r="52" spans="1:15" x14ac:dyDescent="0.25">
      <c r="A52" t="s">
        <v>398</v>
      </c>
      <c r="B52" s="28" t="s">
        <v>89</v>
      </c>
      <c r="C52" s="28" t="s">
        <v>60</v>
      </c>
      <c r="D52" s="28" t="s">
        <v>399</v>
      </c>
      <c r="E52" s="28" t="s">
        <v>14207</v>
      </c>
      <c r="F52" s="28" t="s">
        <v>313</v>
      </c>
      <c r="K52" s="28"/>
      <c r="L52" s="28"/>
      <c r="M52" s="28"/>
      <c r="N52" s="28"/>
      <c r="O52" s="28"/>
    </row>
    <row r="53" spans="1:15" x14ac:dyDescent="0.25">
      <c r="A53" t="s">
        <v>400</v>
      </c>
      <c r="B53" s="28" t="s">
        <v>91</v>
      </c>
      <c r="C53" s="28" t="s">
        <v>60</v>
      </c>
      <c r="D53" s="28" t="s">
        <v>401</v>
      </c>
      <c r="E53" s="28" t="s">
        <v>14207</v>
      </c>
      <c r="F53" s="28" t="s">
        <v>313</v>
      </c>
      <c r="K53" s="28"/>
      <c r="L53" s="28"/>
      <c r="M53" s="28"/>
      <c r="N53" s="28"/>
      <c r="O53" s="28"/>
    </row>
    <row r="54" spans="1:15" x14ac:dyDescent="0.25">
      <c r="A54" t="s">
        <v>402</v>
      </c>
      <c r="B54" s="28" t="s">
        <v>403</v>
      </c>
      <c r="C54" s="28" t="s">
        <v>60</v>
      </c>
      <c r="D54" s="28" t="s">
        <v>404</v>
      </c>
      <c r="E54" s="28" t="s">
        <v>14207</v>
      </c>
      <c r="F54" s="28" t="s">
        <v>313</v>
      </c>
      <c r="K54" s="28"/>
      <c r="L54" s="28"/>
      <c r="M54" s="28"/>
      <c r="N54" s="28"/>
      <c r="O54" s="28"/>
    </row>
    <row r="55" spans="1:15" x14ac:dyDescent="0.25">
      <c r="A55" t="s">
        <v>405</v>
      </c>
      <c r="B55" s="28" t="s">
        <v>406</v>
      </c>
      <c r="C55" s="28" t="s">
        <v>62</v>
      </c>
      <c r="D55" s="28" t="s">
        <v>407</v>
      </c>
      <c r="E55" s="28" t="s">
        <v>14208</v>
      </c>
      <c r="F55" s="28" t="s">
        <v>313</v>
      </c>
      <c r="K55" s="28"/>
      <c r="L55" s="28"/>
      <c r="M55" s="28"/>
      <c r="N55" s="28"/>
      <c r="O55" s="28"/>
    </row>
    <row r="56" spans="1:15" x14ac:dyDescent="0.25">
      <c r="A56" t="s">
        <v>408</v>
      </c>
      <c r="B56" s="28" t="s">
        <v>409</v>
      </c>
      <c r="C56" s="28" t="s">
        <v>65</v>
      </c>
      <c r="D56" s="28" t="s">
        <v>410</v>
      </c>
      <c r="E56" s="28" t="s">
        <v>14209</v>
      </c>
      <c r="F56" s="28" t="s">
        <v>313</v>
      </c>
      <c r="K56" s="28"/>
      <c r="L56" s="28"/>
      <c r="M56" s="28"/>
      <c r="N56" s="28"/>
      <c r="O56" s="28"/>
    </row>
    <row r="57" spans="1:15" x14ac:dyDescent="0.25">
      <c r="A57" t="s">
        <v>411</v>
      </c>
      <c r="B57" s="28" t="s">
        <v>96</v>
      </c>
      <c r="C57" s="28" t="s">
        <v>11</v>
      </c>
      <c r="D57" s="28" t="s">
        <v>412</v>
      </c>
      <c r="E57" s="28" t="s">
        <v>413</v>
      </c>
      <c r="F57" s="28" t="s">
        <v>313</v>
      </c>
      <c r="K57" s="28"/>
      <c r="L57" s="28"/>
      <c r="M57" s="28"/>
      <c r="N57" s="28"/>
      <c r="O57" s="28"/>
    </row>
    <row r="58" spans="1:15" x14ac:dyDescent="0.25">
      <c r="A58" t="s">
        <v>14210</v>
      </c>
      <c r="B58" s="28" t="s">
        <v>100</v>
      </c>
      <c r="C58" s="28" t="s">
        <v>11</v>
      </c>
      <c r="D58" s="28" t="s">
        <v>414</v>
      </c>
      <c r="E58" s="28" t="s">
        <v>413</v>
      </c>
      <c r="F58" s="28" t="s">
        <v>313</v>
      </c>
      <c r="K58" s="28"/>
      <c r="L58" s="28"/>
      <c r="M58" s="28"/>
      <c r="N58" s="28"/>
      <c r="O58" s="28"/>
    </row>
    <row r="59" spans="1:15" x14ac:dyDescent="0.25">
      <c r="A59" t="s">
        <v>415</v>
      </c>
      <c r="B59" s="28" t="s">
        <v>103</v>
      </c>
      <c r="C59" s="28" t="s">
        <v>11</v>
      </c>
      <c r="D59" s="28" t="s">
        <v>416</v>
      </c>
      <c r="E59" s="28" t="s">
        <v>413</v>
      </c>
      <c r="F59" s="28" t="s">
        <v>313</v>
      </c>
      <c r="K59" s="28"/>
      <c r="L59" s="28"/>
      <c r="M59" s="28"/>
      <c r="N59" s="28"/>
      <c r="O59" s="28"/>
    </row>
    <row r="60" spans="1:15" x14ac:dyDescent="0.25">
      <c r="A60" t="s">
        <v>105</v>
      </c>
      <c r="B60" s="28" t="s">
        <v>106</v>
      </c>
      <c r="C60" s="28" t="s">
        <v>11</v>
      </c>
      <c r="D60" s="28" t="s">
        <v>417</v>
      </c>
      <c r="E60" s="28" t="s">
        <v>413</v>
      </c>
      <c r="F60" s="28" t="s">
        <v>313</v>
      </c>
      <c r="K60" s="28"/>
      <c r="L60" s="28"/>
      <c r="M60" s="28"/>
      <c r="N60" s="28"/>
      <c r="O60" s="28"/>
    </row>
    <row r="61" spans="1:15" x14ac:dyDescent="0.25">
      <c r="A61" t="s">
        <v>113</v>
      </c>
      <c r="B61" s="28" t="s">
        <v>114</v>
      </c>
      <c r="C61" s="28" t="s">
        <v>11</v>
      </c>
      <c r="D61" s="28" t="s">
        <v>418</v>
      </c>
      <c r="E61" s="28" t="s">
        <v>413</v>
      </c>
      <c r="F61" s="28" t="s">
        <v>313</v>
      </c>
      <c r="K61" s="28"/>
      <c r="L61" s="28"/>
      <c r="M61" s="28"/>
      <c r="N61" s="28"/>
      <c r="O61" s="28"/>
    </row>
    <row r="62" spans="1:15" x14ac:dyDescent="0.25">
      <c r="A62" t="s">
        <v>116</v>
      </c>
      <c r="B62" s="28" t="s">
        <v>117</v>
      </c>
      <c r="C62" s="28" t="s">
        <v>11</v>
      </c>
      <c r="D62" s="28" t="s">
        <v>419</v>
      </c>
      <c r="E62" s="28" t="s">
        <v>413</v>
      </c>
      <c r="F62" s="28" t="s">
        <v>313</v>
      </c>
      <c r="K62" s="28"/>
      <c r="L62" s="28"/>
      <c r="M62" s="28"/>
      <c r="N62" s="28"/>
      <c r="O62" s="28"/>
    </row>
    <row r="63" spans="1:15" x14ac:dyDescent="0.25">
      <c r="A63" t="s">
        <v>120</v>
      </c>
      <c r="B63" s="28" t="s">
        <v>121</v>
      </c>
      <c r="C63" s="28" t="s">
        <v>11</v>
      </c>
      <c r="D63" s="28" t="s">
        <v>420</v>
      </c>
      <c r="E63" s="28" t="s">
        <v>413</v>
      </c>
      <c r="F63" s="28" t="s">
        <v>313</v>
      </c>
      <c r="K63" s="28"/>
      <c r="L63" s="28"/>
      <c r="M63" s="28"/>
      <c r="N63" s="28"/>
      <c r="O63" s="28"/>
    </row>
    <row r="64" spans="1:15" x14ac:dyDescent="0.25">
      <c r="A64" t="s">
        <v>139</v>
      </c>
      <c r="B64" s="28" t="s">
        <v>140</v>
      </c>
      <c r="C64" s="28" t="s">
        <v>11</v>
      </c>
      <c r="D64" s="28" t="s">
        <v>421</v>
      </c>
      <c r="E64" s="28" t="s">
        <v>413</v>
      </c>
      <c r="F64" s="28" t="s">
        <v>313</v>
      </c>
      <c r="K64" s="28"/>
      <c r="L64" s="28"/>
      <c r="M64" s="28"/>
      <c r="N64" s="28"/>
      <c r="O64" s="28"/>
    </row>
    <row r="65" spans="1:15" x14ac:dyDescent="0.25">
      <c r="A65" t="s">
        <v>147</v>
      </c>
      <c r="B65" s="28" t="s">
        <v>148</v>
      </c>
      <c r="C65" s="28" t="s">
        <v>11</v>
      </c>
      <c r="D65" s="28" t="s">
        <v>422</v>
      </c>
      <c r="E65" s="28" t="s">
        <v>413</v>
      </c>
      <c r="F65" s="28" t="s">
        <v>313</v>
      </c>
      <c r="K65" s="28"/>
      <c r="L65" s="28"/>
      <c r="M65" s="28"/>
      <c r="N65" s="28"/>
      <c r="O65" s="28"/>
    </row>
    <row r="66" spans="1:15" x14ac:dyDescent="0.25">
      <c r="A66" t="s">
        <v>423</v>
      </c>
      <c r="B66" s="28" t="s">
        <v>424</v>
      </c>
      <c r="C66" s="28" t="s">
        <v>11</v>
      </c>
      <c r="D66" s="28" t="s">
        <v>425</v>
      </c>
      <c r="E66" s="28" t="s">
        <v>413</v>
      </c>
      <c r="F66" s="28" t="s">
        <v>313</v>
      </c>
      <c r="K66" s="28"/>
      <c r="L66" s="28"/>
      <c r="M66" s="28"/>
      <c r="N66" s="28"/>
      <c r="O66" s="28"/>
    </row>
    <row r="67" spans="1:15" x14ac:dyDescent="0.25">
      <c r="A67" t="s">
        <v>426</v>
      </c>
      <c r="B67" s="28" t="s">
        <v>427</v>
      </c>
      <c r="C67" s="28" t="s">
        <v>11</v>
      </c>
      <c r="D67" s="28" t="s">
        <v>428</v>
      </c>
      <c r="E67" s="28" t="s">
        <v>413</v>
      </c>
      <c r="F67" s="28" t="s">
        <v>313</v>
      </c>
      <c r="K67" s="28"/>
      <c r="L67" s="28"/>
      <c r="M67" s="28"/>
      <c r="N67" s="28"/>
      <c r="O67" s="28"/>
    </row>
    <row r="68" spans="1:15" x14ac:dyDescent="0.25">
      <c r="A68" t="s">
        <v>429</v>
      </c>
      <c r="B68" s="28" t="s">
        <v>430</v>
      </c>
      <c r="C68" s="28" t="s">
        <v>11</v>
      </c>
      <c r="D68" s="28" t="s">
        <v>431</v>
      </c>
      <c r="E68" s="28" t="s">
        <v>413</v>
      </c>
      <c r="F68" s="28" t="s">
        <v>313</v>
      </c>
      <c r="K68" s="28"/>
      <c r="L68" s="28"/>
      <c r="M68" s="28"/>
      <c r="N68" s="28"/>
      <c r="O68" s="28"/>
    </row>
    <row r="69" spans="1:15" x14ac:dyDescent="0.25">
      <c r="A69" t="s">
        <v>432</v>
      </c>
      <c r="B69" s="28" t="s">
        <v>433</v>
      </c>
      <c r="C69" s="28" t="s">
        <v>11</v>
      </c>
      <c r="D69" s="28" t="s">
        <v>434</v>
      </c>
      <c r="E69" s="28" t="s">
        <v>413</v>
      </c>
      <c r="F69" s="28" t="s">
        <v>313</v>
      </c>
      <c r="K69" s="28"/>
      <c r="L69" s="28"/>
      <c r="M69" s="28"/>
      <c r="N69" s="28"/>
      <c r="O69" s="28"/>
    </row>
    <row r="70" spans="1:15" x14ac:dyDescent="0.25">
      <c r="A70" t="s">
        <v>435</v>
      </c>
      <c r="B70" s="28" t="s">
        <v>436</v>
      </c>
      <c r="C70" s="28" t="s">
        <v>11</v>
      </c>
      <c r="D70" s="28" t="s">
        <v>437</v>
      </c>
      <c r="E70" s="28" t="s">
        <v>413</v>
      </c>
      <c r="F70" s="28" t="s">
        <v>313</v>
      </c>
      <c r="K70" s="28"/>
      <c r="L70" s="28"/>
      <c r="M70" s="28"/>
      <c r="N70" s="28"/>
      <c r="O70" s="28"/>
    </row>
    <row r="71" spans="1:15" x14ac:dyDescent="0.25">
      <c r="A71" t="s">
        <v>438</v>
      </c>
      <c r="B71" s="28" t="s">
        <v>439</v>
      </c>
      <c r="C71" s="28" t="s">
        <v>11</v>
      </c>
      <c r="D71" s="28" t="s">
        <v>440</v>
      </c>
      <c r="E71" s="28" t="s">
        <v>413</v>
      </c>
      <c r="F71" s="28" t="s">
        <v>313</v>
      </c>
      <c r="K71" s="28"/>
      <c r="L71" s="28"/>
      <c r="M71" s="28"/>
      <c r="N71" s="28"/>
      <c r="O71" s="28"/>
    </row>
    <row r="72" spans="1:15" x14ac:dyDescent="0.25">
      <c r="A72" t="s">
        <v>441</v>
      </c>
      <c r="B72" s="28" t="s">
        <v>442</v>
      </c>
      <c r="C72" s="28" t="s">
        <v>11</v>
      </c>
      <c r="D72" s="28" t="s">
        <v>443</v>
      </c>
      <c r="E72" s="28" t="s">
        <v>413</v>
      </c>
      <c r="F72" s="28" t="s">
        <v>313</v>
      </c>
      <c r="K72" s="28"/>
      <c r="L72" s="28"/>
      <c r="M72" s="28"/>
      <c r="N72" s="28"/>
      <c r="O72" s="28"/>
    </row>
    <row r="73" spans="1:15" x14ac:dyDescent="0.25">
      <c r="A73" t="s">
        <v>444</v>
      </c>
      <c r="B73" s="28" t="s">
        <v>445</v>
      </c>
      <c r="C73" s="28" t="s">
        <v>11</v>
      </c>
      <c r="D73" s="28" t="s">
        <v>446</v>
      </c>
      <c r="E73" s="28" t="s">
        <v>413</v>
      </c>
      <c r="F73" s="28" t="s">
        <v>313</v>
      </c>
      <c r="K73" s="28"/>
      <c r="L73" s="28"/>
      <c r="M73" s="28"/>
      <c r="N73" s="28"/>
      <c r="O73" s="28"/>
    </row>
    <row r="74" spans="1:15" x14ac:dyDescent="0.25">
      <c r="A74" t="s">
        <v>447</v>
      </c>
      <c r="B74" s="28" t="s">
        <v>448</v>
      </c>
      <c r="C74" s="28" t="s">
        <v>11</v>
      </c>
      <c r="D74" s="28" t="s">
        <v>449</v>
      </c>
      <c r="E74" s="28" t="s">
        <v>413</v>
      </c>
      <c r="F74" s="28" t="s">
        <v>313</v>
      </c>
      <c r="K74" s="28"/>
      <c r="L74" s="28"/>
      <c r="M74" s="28"/>
      <c r="N74" s="28"/>
      <c r="O74" s="28"/>
    </row>
    <row r="75" spans="1:15" x14ac:dyDescent="0.25">
      <c r="A75" t="s">
        <v>450</v>
      </c>
      <c r="B75" s="28" t="s">
        <v>451</v>
      </c>
      <c r="C75" s="28" t="s">
        <v>11</v>
      </c>
      <c r="D75" s="28" t="s">
        <v>452</v>
      </c>
      <c r="E75" s="28" t="s">
        <v>413</v>
      </c>
      <c r="F75" s="28" t="s">
        <v>313</v>
      </c>
      <c r="K75" s="28"/>
      <c r="L75" s="28"/>
      <c r="M75" s="28"/>
      <c r="N75" s="28"/>
      <c r="O75" s="28"/>
    </row>
    <row r="76" spans="1:15" x14ac:dyDescent="0.25">
      <c r="A76" t="s">
        <v>2568</v>
      </c>
      <c r="B76" s="28" t="s">
        <v>453</v>
      </c>
      <c r="C76" s="28" t="s">
        <v>11</v>
      </c>
      <c r="D76" s="28" t="s">
        <v>454</v>
      </c>
      <c r="E76" s="28" t="s">
        <v>413</v>
      </c>
      <c r="F76" s="28" t="s">
        <v>313</v>
      </c>
      <c r="K76" s="28"/>
      <c r="L76" s="28"/>
      <c r="M76" s="28"/>
      <c r="N76" s="28"/>
      <c r="O76" s="28"/>
    </row>
    <row r="77" spans="1:15" x14ac:dyDescent="0.25">
      <c r="A77" t="s">
        <v>455</v>
      </c>
      <c r="B77" s="28" t="s">
        <v>456</v>
      </c>
      <c r="C77" s="28" t="s">
        <v>11</v>
      </c>
      <c r="D77" s="28" t="s">
        <v>457</v>
      </c>
      <c r="E77" s="28" t="s">
        <v>413</v>
      </c>
      <c r="F77" s="28" t="s">
        <v>313</v>
      </c>
      <c r="K77" s="28"/>
      <c r="L77" s="28"/>
      <c r="M77" s="28"/>
      <c r="N77" s="28"/>
      <c r="O77" s="28"/>
    </row>
    <row r="78" spans="1:15" x14ac:dyDescent="0.25">
      <c r="A78" t="s">
        <v>458</v>
      </c>
      <c r="B78" s="28" t="s">
        <v>459</v>
      </c>
      <c r="C78" s="28" t="s">
        <v>11</v>
      </c>
      <c r="D78" s="28" t="s">
        <v>460</v>
      </c>
      <c r="E78" s="28" t="s">
        <v>413</v>
      </c>
      <c r="F78" s="28" t="s">
        <v>313</v>
      </c>
      <c r="K78" s="28"/>
      <c r="L78" s="28"/>
      <c r="M78" s="28"/>
      <c r="N78" s="28"/>
      <c r="O78" s="28"/>
    </row>
    <row r="79" spans="1:15" x14ac:dyDescent="0.25">
      <c r="A79" t="s">
        <v>461</v>
      </c>
      <c r="B79" s="28" t="s">
        <v>462</v>
      </c>
      <c r="C79" s="28" t="s">
        <v>11</v>
      </c>
      <c r="D79" s="28" t="s">
        <v>463</v>
      </c>
      <c r="E79" s="28" t="s">
        <v>413</v>
      </c>
      <c r="F79" s="28" t="s">
        <v>313</v>
      </c>
      <c r="K79" s="28"/>
      <c r="L79" s="28"/>
      <c r="M79" s="28"/>
      <c r="N79" s="28"/>
      <c r="O79" s="28"/>
    </row>
    <row r="80" spans="1:15" x14ac:dyDescent="0.25">
      <c r="A80" t="s">
        <v>464</v>
      </c>
      <c r="B80" s="28" t="s">
        <v>465</v>
      </c>
      <c r="C80" s="28" t="s">
        <v>11</v>
      </c>
      <c r="D80" s="28" t="s">
        <v>466</v>
      </c>
      <c r="E80" s="28" t="s">
        <v>413</v>
      </c>
      <c r="F80" s="28" t="s">
        <v>313</v>
      </c>
      <c r="K80" s="28"/>
      <c r="L80" s="28"/>
      <c r="M80" s="28"/>
      <c r="N80" s="28"/>
      <c r="O80" s="28"/>
    </row>
    <row r="81" spans="1:15" x14ac:dyDescent="0.25">
      <c r="A81" t="s">
        <v>467</v>
      </c>
      <c r="B81" s="28" t="s">
        <v>468</v>
      </c>
      <c r="C81" s="28" t="s">
        <v>11</v>
      </c>
      <c r="D81" s="28" t="s">
        <v>469</v>
      </c>
      <c r="E81" s="28" t="s">
        <v>413</v>
      </c>
      <c r="F81" s="28" t="s">
        <v>313</v>
      </c>
      <c r="K81" s="28"/>
      <c r="L81" s="28"/>
      <c r="M81" s="28"/>
      <c r="N81" s="28"/>
      <c r="O81" s="28"/>
    </row>
    <row r="82" spans="1:15" x14ac:dyDescent="0.25">
      <c r="A82" t="s">
        <v>470</v>
      </c>
      <c r="B82" s="28" t="s">
        <v>471</v>
      </c>
      <c r="C82" s="28" t="s">
        <v>11</v>
      </c>
      <c r="D82" s="28" t="s">
        <v>472</v>
      </c>
      <c r="E82" s="28" t="s">
        <v>413</v>
      </c>
      <c r="F82" s="28" t="s">
        <v>313</v>
      </c>
      <c r="K82" s="28"/>
      <c r="L82" s="28"/>
      <c r="M82" s="28"/>
      <c r="N82" s="28"/>
      <c r="O82" s="28"/>
    </row>
    <row r="83" spans="1:15" x14ac:dyDescent="0.25">
      <c r="A83" t="s">
        <v>473</v>
      </c>
      <c r="B83" s="28" t="s">
        <v>474</v>
      </c>
      <c r="C83" s="28" t="s">
        <v>11</v>
      </c>
      <c r="D83" s="28" t="s">
        <v>475</v>
      </c>
      <c r="E83" s="28" t="s">
        <v>413</v>
      </c>
      <c r="F83" s="28" t="s">
        <v>313</v>
      </c>
      <c r="K83" s="28"/>
      <c r="L83" s="28"/>
      <c r="M83" s="28"/>
      <c r="N83" s="28"/>
      <c r="O83" s="28"/>
    </row>
    <row r="84" spans="1:15" x14ac:dyDescent="0.25">
      <c r="A84" t="s">
        <v>476</v>
      </c>
      <c r="B84" s="28" t="s">
        <v>477</v>
      </c>
      <c r="C84" s="28" t="s">
        <v>11</v>
      </c>
      <c r="D84" s="28" t="s">
        <v>478</v>
      </c>
      <c r="E84" s="28" t="s">
        <v>413</v>
      </c>
      <c r="F84" s="28" t="s">
        <v>313</v>
      </c>
      <c r="K84" s="28"/>
      <c r="L84" s="28"/>
      <c r="M84" s="28"/>
      <c r="N84" s="28"/>
      <c r="O84" s="28"/>
    </row>
    <row r="85" spans="1:15" x14ac:dyDescent="0.25">
      <c r="A85" t="s">
        <v>479</v>
      </c>
      <c r="B85" s="28" t="s">
        <v>480</v>
      </c>
      <c r="C85" s="28" t="s">
        <v>11</v>
      </c>
      <c r="D85" s="28" t="s">
        <v>481</v>
      </c>
      <c r="E85" s="28" t="s">
        <v>413</v>
      </c>
      <c r="F85" s="28" t="s">
        <v>313</v>
      </c>
      <c r="K85" s="28"/>
      <c r="L85" s="28"/>
      <c r="M85" s="28"/>
      <c r="N85" s="28"/>
      <c r="O85" s="28"/>
    </row>
    <row r="86" spans="1:15" x14ac:dyDescent="0.25">
      <c r="A86" t="s">
        <v>482</v>
      </c>
      <c r="B86" s="28" t="s">
        <v>483</v>
      </c>
      <c r="C86" s="28" t="s">
        <v>11</v>
      </c>
      <c r="D86" s="28" t="s">
        <v>484</v>
      </c>
      <c r="E86" s="28" t="s">
        <v>413</v>
      </c>
      <c r="F86" s="28" t="s">
        <v>313</v>
      </c>
      <c r="K86" s="28"/>
      <c r="L86" s="28"/>
      <c r="M86" s="28"/>
      <c r="N86" s="28"/>
      <c r="O86" s="28"/>
    </row>
    <row r="87" spans="1:15" x14ac:dyDescent="0.25">
      <c r="A87" t="s">
        <v>485</v>
      </c>
      <c r="B87" s="28" t="s">
        <v>486</v>
      </c>
      <c r="C87" s="28" t="s">
        <v>11</v>
      </c>
      <c r="D87" s="28" t="s">
        <v>487</v>
      </c>
      <c r="E87" s="28" t="s">
        <v>413</v>
      </c>
      <c r="F87" s="28" t="s">
        <v>313</v>
      </c>
      <c r="K87" s="28"/>
      <c r="L87" s="28"/>
      <c r="M87" s="28"/>
      <c r="N87" s="28"/>
      <c r="O87" s="28"/>
    </row>
    <row r="88" spans="1:15" x14ac:dyDescent="0.25">
      <c r="A88" t="s">
        <v>488</v>
      </c>
      <c r="B88" s="28" t="s">
        <v>10895</v>
      </c>
      <c r="C88" s="28" t="s">
        <v>11</v>
      </c>
      <c r="D88" s="28" t="s">
        <v>489</v>
      </c>
      <c r="E88" s="28" t="s">
        <v>413</v>
      </c>
      <c r="F88" s="28" t="s">
        <v>313</v>
      </c>
      <c r="K88" s="28"/>
      <c r="L88" s="28"/>
      <c r="M88" s="28"/>
      <c r="N88" s="28"/>
      <c r="O88" s="28"/>
    </row>
    <row r="89" spans="1:15" x14ac:dyDescent="0.25">
      <c r="A89" t="s">
        <v>490</v>
      </c>
      <c r="B89" s="28" t="s">
        <v>491</v>
      </c>
      <c r="C89" s="28" t="s">
        <v>11</v>
      </c>
      <c r="D89" s="28" t="s">
        <v>492</v>
      </c>
      <c r="E89" s="28" t="s">
        <v>413</v>
      </c>
      <c r="F89" s="28" t="s">
        <v>313</v>
      </c>
      <c r="K89" s="28"/>
      <c r="L89" s="28"/>
      <c r="M89" s="28"/>
      <c r="N89" s="28"/>
      <c r="O89" s="28"/>
    </row>
    <row r="90" spans="1:15" x14ac:dyDescent="0.25">
      <c r="A90" t="s">
        <v>493</v>
      </c>
      <c r="B90" s="28" t="s">
        <v>494</v>
      </c>
      <c r="C90" s="28" t="s">
        <v>11</v>
      </c>
      <c r="D90" s="28" t="s">
        <v>495</v>
      </c>
      <c r="E90" s="28" t="s">
        <v>413</v>
      </c>
      <c r="F90" s="28" t="s">
        <v>313</v>
      </c>
      <c r="K90" s="28"/>
      <c r="L90" s="28"/>
      <c r="M90" s="28"/>
      <c r="N90" s="28"/>
      <c r="O90" s="28"/>
    </row>
    <row r="91" spans="1:15" x14ac:dyDescent="0.25">
      <c r="A91" t="s">
        <v>496</v>
      </c>
      <c r="B91" s="28" t="s">
        <v>497</v>
      </c>
      <c r="C91" s="28" t="s">
        <v>11</v>
      </c>
      <c r="D91" s="28" t="s">
        <v>498</v>
      </c>
      <c r="E91" s="28" t="s">
        <v>413</v>
      </c>
      <c r="F91" s="28" t="s">
        <v>313</v>
      </c>
      <c r="K91" s="28"/>
      <c r="L91" s="28"/>
      <c r="M91" s="28"/>
      <c r="N91" s="28"/>
      <c r="O91" s="28"/>
    </row>
    <row r="92" spans="1:15" x14ac:dyDescent="0.25">
      <c r="A92" t="s">
        <v>499</v>
      </c>
      <c r="B92" s="28" t="s">
        <v>500</v>
      </c>
      <c r="C92" s="28" t="s">
        <v>11</v>
      </c>
      <c r="D92" s="28" t="s">
        <v>501</v>
      </c>
      <c r="E92" s="28" t="s">
        <v>413</v>
      </c>
      <c r="F92" s="28" t="s">
        <v>313</v>
      </c>
      <c r="K92" s="28"/>
      <c r="L92" s="28"/>
      <c r="M92" s="28"/>
      <c r="N92" s="28"/>
      <c r="O92" s="28"/>
    </row>
    <row r="93" spans="1:15" x14ac:dyDescent="0.25">
      <c r="A93" t="s">
        <v>502</v>
      </c>
      <c r="B93" s="28" t="s">
        <v>10896</v>
      </c>
      <c r="C93" s="28" t="s">
        <v>11</v>
      </c>
      <c r="D93" s="28" t="s">
        <v>503</v>
      </c>
      <c r="E93" s="28" t="s">
        <v>413</v>
      </c>
      <c r="F93" s="28" t="s">
        <v>313</v>
      </c>
      <c r="K93" s="28"/>
      <c r="L93" s="28"/>
      <c r="M93" s="28"/>
      <c r="N93" s="28"/>
      <c r="O93" s="28"/>
    </row>
    <row r="94" spans="1:15" x14ac:dyDescent="0.25">
      <c r="A94" t="s">
        <v>504</v>
      </c>
      <c r="B94" s="28" t="s">
        <v>10897</v>
      </c>
      <c r="C94" s="28" t="s">
        <v>11</v>
      </c>
      <c r="D94" s="28" t="s">
        <v>505</v>
      </c>
      <c r="E94" s="28" t="s">
        <v>413</v>
      </c>
      <c r="F94" s="28" t="s">
        <v>313</v>
      </c>
      <c r="K94" s="28"/>
      <c r="L94" s="28"/>
      <c r="M94" s="28"/>
      <c r="N94" s="28"/>
      <c r="O94" s="28"/>
    </row>
    <row r="95" spans="1:15" x14ac:dyDescent="0.25">
      <c r="A95" t="s">
        <v>10898</v>
      </c>
      <c r="B95" s="28" t="s">
        <v>10899</v>
      </c>
      <c r="C95" s="28" t="s">
        <v>11</v>
      </c>
      <c r="D95" s="28" t="s">
        <v>10900</v>
      </c>
      <c r="E95" s="28" t="s">
        <v>413</v>
      </c>
      <c r="F95" s="28" t="s">
        <v>313</v>
      </c>
      <c r="K95" s="28"/>
      <c r="L95" s="28"/>
      <c r="M95" s="28"/>
      <c r="N95" s="28"/>
      <c r="O95" s="28"/>
    </row>
    <row r="96" spans="1:15" x14ac:dyDescent="0.25">
      <c r="A96" t="s">
        <v>10901</v>
      </c>
      <c r="B96" s="28" t="s">
        <v>10902</v>
      </c>
      <c r="C96" s="28" t="s">
        <v>11</v>
      </c>
      <c r="D96" s="28" t="s">
        <v>10903</v>
      </c>
      <c r="E96" s="28" t="s">
        <v>413</v>
      </c>
      <c r="F96" s="28" t="s">
        <v>313</v>
      </c>
      <c r="K96" s="28"/>
      <c r="L96" s="28"/>
      <c r="M96" s="28"/>
      <c r="N96" s="28"/>
      <c r="O96" s="28"/>
    </row>
    <row r="97" spans="1:15" x14ac:dyDescent="0.25">
      <c r="A97" t="s">
        <v>13117</v>
      </c>
      <c r="B97" s="28" t="s">
        <v>13118</v>
      </c>
      <c r="C97" s="28" t="s">
        <v>11</v>
      </c>
      <c r="D97" s="28" t="s">
        <v>13119</v>
      </c>
      <c r="E97" s="28" t="s">
        <v>413</v>
      </c>
      <c r="F97" s="28" t="s">
        <v>313</v>
      </c>
      <c r="K97" s="28"/>
      <c r="L97" s="28"/>
      <c r="M97" s="28"/>
      <c r="N97" s="28"/>
      <c r="O97" s="28"/>
    </row>
    <row r="98" spans="1:15" x14ac:dyDescent="0.25">
      <c r="A98" t="s">
        <v>13120</v>
      </c>
      <c r="B98" s="28" t="s">
        <v>13121</v>
      </c>
      <c r="C98" s="28" t="s">
        <v>11</v>
      </c>
      <c r="D98" s="28" t="s">
        <v>13122</v>
      </c>
      <c r="E98" s="28" t="s">
        <v>413</v>
      </c>
      <c r="F98" s="28" t="s">
        <v>313</v>
      </c>
      <c r="K98" s="28"/>
      <c r="L98" s="28"/>
      <c r="M98" s="28"/>
      <c r="N98" s="28"/>
      <c r="O98" s="28"/>
    </row>
    <row r="99" spans="1:15" x14ac:dyDescent="0.25">
      <c r="A99" t="s">
        <v>13265</v>
      </c>
      <c r="B99" s="28" t="s">
        <v>13186</v>
      </c>
      <c r="C99" s="28" t="s">
        <v>11</v>
      </c>
      <c r="D99" s="28" t="s">
        <v>13187</v>
      </c>
      <c r="E99" s="28" t="s">
        <v>413</v>
      </c>
      <c r="F99" s="28" t="s">
        <v>313</v>
      </c>
      <c r="K99" s="28"/>
      <c r="L99" s="28"/>
      <c r="M99" s="28"/>
      <c r="N99" s="28"/>
      <c r="O99" s="28"/>
    </row>
    <row r="100" spans="1:15" x14ac:dyDescent="0.25">
      <c r="A100" t="s">
        <v>13188</v>
      </c>
      <c r="B100" s="28" t="s">
        <v>13189</v>
      </c>
      <c r="C100" s="28" t="s">
        <v>11</v>
      </c>
      <c r="D100" s="28" t="s">
        <v>13190</v>
      </c>
      <c r="E100" s="28" t="s">
        <v>413</v>
      </c>
      <c r="F100" s="28" t="s">
        <v>313</v>
      </c>
      <c r="K100" s="28"/>
      <c r="L100" s="28"/>
      <c r="M100" s="28"/>
      <c r="N100" s="28"/>
      <c r="O100" s="28"/>
    </row>
    <row r="101" spans="1:15" x14ac:dyDescent="0.25">
      <c r="A101" t="s">
        <v>13543</v>
      </c>
      <c r="B101" s="28" t="s">
        <v>13544</v>
      </c>
      <c r="C101" s="28" t="s">
        <v>11</v>
      </c>
      <c r="D101" s="28" t="s">
        <v>13545</v>
      </c>
      <c r="E101" s="28" t="s">
        <v>413</v>
      </c>
      <c r="F101" s="28" t="s">
        <v>313</v>
      </c>
      <c r="K101" s="28"/>
      <c r="L101" s="28"/>
      <c r="M101" s="28"/>
      <c r="N101" s="28"/>
      <c r="O101" s="28"/>
    </row>
    <row r="102" spans="1:15" x14ac:dyDescent="0.25">
      <c r="A102" t="s">
        <v>13546</v>
      </c>
      <c r="B102" s="28" t="s">
        <v>13547</v>
      </c>
      <c r="C102" s="28" t="s">
        <v>11</v>
      </c>
      <c r="D102" s="28" t="s">
        <v>13548</v>
      </c>
      <c r="E102" s="28" t="s">
        <v>413</v>
      </c>
      <c r="F102" s="28" t="s">
        <v>313</v>
      </c>
      <c r="K102" s="28"/>
      <c r="L102" s="28"/>
      <c r="M102" s="28"/>
      <c r="N102" s="28"/>
      <c r="O102" s="28"/>
    </row>
    <row r="103" spans="1:15" x14ac:dyDescent="0.25">
      <c r="A103" t="s">
        <v>158</v>
      </c>
      <c r="B103" s="28" t="s">
        <v>159</v>
      </c>
      <c r="C103" s="28" t="s">
        <v>74</v>
      </c>
      <c r="D103" s="28" t="s">
        <v>506</v>
      </c>
      <c r="E103" s="28" t="s">
        <v>507</v>
      </c>
      <c r="F103" s="28" t="s">
        <v>313</v>
      </c>
      <c r="K103" s="28"/>
      <c r="L103" s="28"/>
      <c r="M103" s="28"/>
      <c r="N103" s="28"/>
      <c r="O103" s="28"/>
    </row>
    <row r="104" spans="1:15" x14ac:dyDescent="0.25">
      <c r="A104" t="s">
        <v>165</v>
      </c>
      <c r="B104" s="28" t="s">
        <v>166</v>
      </c>
      <c r="C104" s="28" t="s">
        <v>74</v>
      </c>
      <c r="D104" s="28" t="s">
        <v>508</v>
      </c>
      <c r="E104" s="28" t="s">
        <v>507</v>
      </c>
      <c r="F104" s="28" t="s">
        <v>313</v>
      </c>
      <c r="K104" s="28"/>
      <c r="L104" s="28"/>
      <c r="M104" s="28"/>
      <c r="N104" s="28"/>
      <c r="O104" s="28"/>
    </row>
    <row r="105" spans="1:15" x14ac:dyDescent="0.25">
      <c r="A105" t="s">
        <v>167</v>
      </c>
      <c r="B105" s="28" t="s">
        <v>168</v>
      </c>
      <c r="C105" s="28" t="s">
        <v>74</v>
      </c>
      <c r="D105" s="28" t="s">
        <v>509</v>
      </c>
      <c r="E105" s="28" t="s">
        <v>507</v>
      </c>
      <c r="F105" s="28" t="s">
        <v>313</v>
      </c>
      <c r="K105" s="28"/>
      <c r="L105" s="28"/>
      <c r="M105" s="28"/>
      <c r="N105" s="28"/>
      <c r="O105" s="28"/>
    </row>
    <row r="106" spans="1:15" x14ac:dyDescent="0.25">
      <c r="A106" t="s">
        <v>510</v>
      </c>
      <c r="B106" s="28" t="s">
        <v>169</v>
      </c>
      <c r="C106" s="28" t="s">
        <v>74</v>
      </c>
      <c r="D106" s="28" t="s">
        <v>511</v>
      </c>
      <c r="E106" s="28" t="s">
        <v>507</v>
      </c>
      <c r="F106" s="28" t="s">
        <v>313</v>
      </c>
      <c r="K106" s="28"/>
      <c r="L106" s="28"/>
      <c r="M106" s="28"/>
      <c r="N106" s="28"/>
      <c r="O106" s="28"/>
    </row>
    <row r="107" spans="1:15" x14ac:dyDescent="0.25">
      <c r="A107" t="s">
        <v>170</v>
      </c>
      <c r="B107" s="28" t="s">
        <v>171</v>
      </c>
      <c r="C107" s="28" t="s">
        <v>74</v>
      </c>
      <c r="D107" s="28" t="s">
        <v>512</v>
      </c>
      <c r="E107" s="28" t="s">
        <v>507</v>
      </c>
      <c r="F107" s="28" t="s">
        <v>313</v>
      </c>
      <c r="K107" s="28"/>
      <c r="L107" s="28"/>
      <c r="M107" s="28"/>
      <c r="N107" s="28"/>
      <c r="O107" s="28"/>
    </row>
    <row r="108" spans="1:15" x14ac:dyDescent="0.25">
      <c r="A108" t="s">
        <v>513</v>
      </c>
      <c r="B108" s="28" t="s">
        <v>514</v>
      </c>
      <c r="C108" s="28" t="s">
        <v>74</v>
      </c>
      <c r="D108" s="28" t="s">
        <v>515</v>
      </c>
      <c r="E108" s="28" t="s">
        <v>507</v>
      </c>
      <c r="F108" s="28" t="s">
        <v>313</v>
      </c>
      <c r="K108" s="28"/>
      <c r="L108" s="28"/>
      <c r="M108" s="28"/>
      <c r="N108" s="28"/>
      <c r="O108" s="28"/>
    </row>
    <row r="109" spans="1:15" x14ac:dyDescent="0.25">
      <c r="A109" t="s">
        <v>516</v>
      </c>
      <c r="B109" s="28" t="s">
        <v>517</v>
      </c>
      <c r="C109" s="28" t="s">
        <v>74</v>
      </c>
      <c r="D109" s="28" t="s">
        <v>518</v>
      </c>
      <c r="E109" s="28" t="s">
        <v>507</v>
      </c>
      <c r="F109" s="28" t="s">
        <v>313</v>
      </c>
      <c r="K109" s="28"/>
      <c r="L109" s="28"/>
      <c r="M109" s="28"/>
      <c r="N109" s="28"/>
      <c r="O109" s="28"/>
    </row>
    <row r="110" spans="1:15" x14ac:dyDescent="0.25">
      <c r="A110" t="s">
        <v>13191</v>
      </c>
      <c r="B110" s="28" t="s">
        <v>13192</v>
      </c>
      <c r="C110" s="28" t="s">
        <v>74</v>
      </c>
      <c r="D110" s="28" t="s">
        <v>13193</v>
      </c>
      <c r="E110" s="28" t="s">
        <v>507</v>
      </c>
      <c r="F110" s="28" t="s">
        <v>313</v>
      </c>
      <c r="K110" s="28"/>
      <c r="L110" s="28"/>
      <c r="M110" s="28"/>
      <c r="N110" s="28"/>
      <c r="O110" s="28"/>
    </row>
    <row r="111" spans="1:15" x14ac:dyDescent="0.25">
      <c r="A111" t="s">
        <v>519</v>
      </c>
      <c r="B111" s="28" t="s">
        <v>520</v>
      </c>
      <c r="C111" s="28" t="s">
        <v>74</v>
      </c>
      <c r="D111" s="28" t="s">
        <v>521</v>
      </c>
      <c r="E111" s="28" t="s">
        <v>507</v>
      </c>
      <c r="F111" s="28" t="s">
        <v>313</v>
      </c>
      <c r="K111" s="28"/>
      <c r="L111" s="28"/>
      <c r="M111" s="28"/>
      <c r="N111" s="28"/>
      <c r="O111" s="28"/>
    </row>
    <row r="112" spans="1:15" x14ac:dyDescent="0.25">
      <c r="A112" t="s">
        <v>172</v>
      </c>
      <c r="B112" s="28" t="s">
        <v>173</v>
      </c>
      <c r="C112" s="28" t="s">
        <v>74</v>
      </c>
      <c r="D112" s="28" t="s">
        <v>522</v>
      </c>
      <c r="E112" s="28" t="s">
        <v>507</v>
      </c>
      <c r="F112" s="28" t="s">
        <v>313</v>
      </c>
      <c r="K112" s="28"/>
      <c r="L112" s="28"/>
      <c r="M112" s="28"/>
      <c r="N112" s="28"/>
      <c r="O112" s="28"/>
    </row>
    <row r="113" spans="1:15" x14ac:dyDescent="0.25">
      <c r="A113" t="s">
        <v>523</v>
      </c>
      <c r="B113" s="28" t="s">
        <v>524</v>
      </c>
      <c r="C113" s="28" t="s">
        <v>74</v>
      </c>
      <c r="D113" s="28" t="s">
        <v>525</v>
      </c>
      <c r="E113" s="28" t="s">
        <v>507</v>
      </c>
      <c r="F113" s="28" t="s">
        <v>313</v>
      </c>
      <c r="K113" s="28"/>
      <c r="L113" s="28"/>
      <c r="M113" s="28"/>
      <c r="N113" s="28"/>
      <c r="O113" s="28"/>
    </row>
    <row r="114" spans="1:15" x14ac:dyDescent="0.25">
      <c r="A114" t="s">
        <v>526</v>
      </c>
      <c r="B114" s="28" t="s">
        <v>527</v>
      </c>
      <c r="C114" s="28" t="s">
        <v>74</v>
      </c>
      <c r="D114" s="28" t="s">
        <v>528</v>
      </c>
      <c r="E114" s="28" t="s">
        <v>507</v>
      </c>
      <c r="F114" s="28" t="s">
        <v>313</v>
      </c>
      <c r="K114" s="28"/>
      <c r="L114" s="28"/>
      <c r="M114" s="28"/>
      <c r="N114" s="28"/>
      <c r="O114" s="28"/>
    </row>
    <row r="115" spans="1:15" x14ac:dyDescent="0.25">
      <c r="A115" t="s">
        <v>11495</v>
      </c>
      <c r="B115" s="28" t="s">
        <v>11496</v>
      </c>
      <c r="C115" s="28" t="s">
        <v>74</v>
      </c>
      <c r="D115" s="28" t="s">
        <v>11497</v>
      </c>
      <c r="E115" s="28" t="s">
        <v>507</v>
      </c>
      <c r="F115" s="28" t="s">
        <v>313</v>
      </c>
      <c r="K115" s="28"/>
      <c r="L115" s="28"/>
      <c r="M115" s="28"/>
      <c r="N115" s="28"/>
      <c r="O115" s="28"/>
    </row>
    <row r="116" spans="1:15" x14ac:dyDescent="0.25">
      <c r="A116" t="s">
        <v>11498</v>
      </c>
      <c r="B116" s="28" t="s">
        <v>11499</v>
      </c>
      <c r="C116" s="28" t="s">
        <v>74</v>
      </c>
      <c r="D116" s="28" t="s">
        <v>11500</v>
      </c>
      <c r="E116" s="28" t="s">
        <v>507</v>
      </c>
      <c r="F116" s="28" t="s">
        <v>313</v>
      </c>
      <c r="K116" s="28"/>
      <c r="L116" s="28"/>
      <c r="M116" s="28"/>
      <c r="N116" s="28"/>
      <c r="O116" s="28"/>
    </row>
    <row r="117" spans="1:15" x14ac:dyDescent="0.25">
      <c r="A117" t="s">
        <v>13194</v>
      </c>
      <c r="B117" s="28" t="s">
        <v>13195</v>
      </c>
      <c r="C117" s="28" t="s">
        <v>7783</v>
      </c>
      <c r="D117" s="28" t="s">
        <v>13196</v>
      </c>
      <c r="E117" s="28" t="s">
        <v>11680</v>
      </c>
      <c r="F117" s="28" t="s">
        <v>11680</v>
      </c>
      <c r="K117" s="28"/>
      <c r="L117" s="28"/>
      <c r="M117" s="28"/>
      <c r="N117" s="28"/>
      <c r="O117" s="28"/>
    </row>
    <row r="118" spans="1:15" x14ac:dyDescent="0.25">
      <c r="A118" t="s">
        <v>13549</v>
      </c>
      <c r="B118" s="28" t="s">
        <v>13550</v>
      </c>
      <c r="C118" s="28" t="s">
        <v>81</v>
      </c>
      <c r="D118" s="28" t="s">
        <v>13551</v>
      </c>
      <c r="E118" s="28" t="s">
        <v>530</v>
      </c>
      <c r="F118" s="28" t="s">
        <v>313</v>
      </c>
      <c r="K118" s="28"/>
      <c r="L118" s="28"/>
      <c r="M118" s="28"/>
      <c r="N118" s="28"/>
      <c r="O118" s="28"/>
    </row>
    <row r="119" spans="1:15" x14ac:dyDescent="0.25">
      <c r="A119" t="s">
        <v>174</v>
      </c>
      <c r="B119" s="28" t="s">
        <v>175</v>
      </c>
      <c r="C119" s="28" t="s">
        <v>81</v>
      </c>
      <c r="D119" s="28" t="s">
        <v>529</v>
      </c>
      <c r="E119" s="28" t="s">
        <v>530</v>
      </c>
      <c r="F119" s="28" t="s">
        <v>313</v>
      </c>
      <c r="K119" s="28"/>
      <c r="L119" s="28"/>
      <c r="M119" s="28"/>
      <c r="N119" s="28"/>
      <c r="O119" s="28"/>
    </row>
    <row r="120" spans="1:15" x14ac:dyDescent="0.25">
      <c r="A120" t="s">
        <v>14211</v>
      </c>
      <c r="B120" s="28" t="s">
        <v>176</v>
      </c>
      <c r="C120" s="28" t="s">
        <v>81</v>
      </c>
      <c r="D120" s="28" t="s">
        <v>531</v>
      </c>
      <c r="E120" s="28" t="s">
        <v>530</v>
      </c>
      <c r="F120" s="28" t="s">
        <v>313</v>
      </c>
      <c r="K120" s="28"/>
      <c r="L120" s="28"/>
      <c r="M120" s="28"/>
      <c r="N120" s="28"/>
      <c r="O120" s="28"/>
    </row>
    <row r="121" spans="1:15" x14ac:dyDescent="0.25">
      <c r="A121" t="s">
        <v>532</v>
      </c>
      <c r="B121" s="28" t="s">
        <v>178</v>
      </c>
      <c r="C121" s="28" t="s">
        <v>81</v>
      </c>
      <c r="D121" s="28" t="s">
        <v>533</v>
      </c>
      <c r="E121" s="28" t="s">
        <v>530</v>
      </c>
      <c r="F121" s="28" t="s">
        <v>313</v>
      </c>
      <c r="K121" s="28"/>
      <c r="L121" s="28"/>
      <c r="M121" s="28"/>
      <c r="N121" s="28"/>
      <c r="O121" s="28"/>
    </row>
    <row r="122" spans="1:15" x14ac:dyDescent="0.25">
      <c r="A122" t="s">
        <v>179</v>
      </c>
      <c r="B122" s="28" t="s">
        <v>180</v>
      </c>
      <c r="C122" s="28" t="s">
        <v>81</v>
      </c>
      <c r="D122" s="28" t="s">
        <v>534</v>
      </c>
      <c r="E122" s="28" t="s">
        <v>530</v>
      </c>
      <c r="F122" s="28" t="s">
        <v>313</v>
      </c>
      <c r="K122" s="28"/>
      <c r="L122" s="28"/>
      <c r="M122" s="28"/>
      <c r="N122" s="28"/>
      <c r="O122" s="28"/>
    </row>
    <row r="123" spans="1:15" x14ac:dyDescent="0.25">
      <c r="A123" t="s">
        <v>535</v>
      </c>
      <c r="B123" s="28" t="s">
        <v>536</v>
      </c>
      <c r="C123" s="28" t="s">
        <v>81</v>
      </c>
      <c r="D123" s="28" t="s">
        <v>537</v>
      </c>
      <c r="E123" s="28" t="s">
        <v>530</v>
      </c>
      <c r="F123" s="28" t="s">
        <v>313</v>
      </c>
      <c r="K123" s="28"/>
      <c r="L123" s="28"/>
      <c r="M123" s="28"/>
      <c r="N123" s="28"/>
      <c r="O123" s="28"/>
    </row>
    <row r="124" spans="1:15" x14ac:dyDescent="0.25">
      <c r="A124" t="s">
        <v>13197</v>
      </c>
      <c r="B124" s="28" t="s">
        <v>538</v>
      </c>
      <c r="C124" s="28" t="s">
        <v>81</v>
      </c>
      <c r="D124" s="28" t="s">
        <v>539</v>
      </c>
      <c r="E124" s="28" t="s">
        <v>530</v>
      </c>
      <c r="F124" s="28" t="s">
        <v>313</v>
      </c>
      <c r="K124" s="28"/>
      <c r="L124" s="28"/>
      <c r="M124" s="28"/>
      <c r="N124" s="28"/>
      <c r="O124" s="28"/>
    </row>
    <row r="125" spans="1:15" x14ac:dyDescent="0.25">
      <c r="A125" t="s">
        <v>2951</v>
      </c>
      <c r="B125" s="28" t="s">
        <v>540</v>
      </c>
      <c r="C125" s="28" t="s">
        <v>81</v>
      </c>
      <c r="D125" s="28" t="s">
        <v>541</v>
      </c>
      <c r="E125" s="28" t="s">
        <v>530</v>
      </c>
      <c r="F125" s="28" t="s">
        <v>313</v>
      </c>
      <c r="K125" s="28"/>
      <c r="L125" s="28"/>
      <c r="M125" s="28"/>
      <c r="N125" s="28"/>
      <c r="O125" s="28"/>
    </row>
    <row r="126" spans="1:15" x14ac:dyDescent="0.25">
      <c r="A126" t="s">
        <v>14212</v>
      </c>
      <c r="B126" s="28" t="s">
        <v>13553</v>
      </c>
      <c r="C126" s="28" t="s">
        <v>81</v>
      </c>
      <c r="D126" s="28" t="s">
        <v>542</v>
      </c>
      <c r="E126" s="28" t="s">
        <v>530</v>
      </c>
      <c r="F126" s="28" t="s">
        <v>313</v>
      </c>
      <c r="K126" s="28"/>
      <c r="L126" s="28"/>
      <c r="M126" s="28"/>
      <c r="N126" s="28"/>
      <c r="O126" s="28"/>
    </row>
    <row r="127" spans="1:15" x14ac:dyDescent="0.25">
      <c r="A127" t="s">
        <v>14213</v>
      </c>
      <c r="B127" s="28" t="s">
        <v>14214</v>
      </c>
      <c r="C127" s="28" t="s">
        <v>81</v>
      </c>
      <c r="D127" s="28" t="s">
        <v>13554</v>
      </c>
      <c r="E127" s="28" t="s">
        <v>530</v>
      </c>
      <c r="F127" s="28" t="s">
        <v>313</v>
      </c>
      <c r="K127" s="28"/>
      <c r="L127" s="28"/>
      <c r="M127" s="28"/>
      <c r="N127" s="28"/>
      <c r="O127" s="28"/>
    </row>
    <row r="128" spans="1:15" x14ac:dyDescent="0.25">
      <c r="A128" t="s">
        <v>10904</v>
      </c>
      <c r="B128" s="28" t="s">
        <v>10905</v>
      </c>
      <c r="C128" s="28" t="s">
        <v>81</v>
      </c>
      <c r="D128" s="28" t="s">
        <v>10906</v>
      </c>
      <c r="E128" s="28" t="s">
        <v>530</v>
      </c>
      <c r="F128" s="28" t="s">
        <v>313</v>
      </c>
      <c r="K128" s="28"/>
      <c r="L128" s="28"/>
      <c r="M128" s="28"/>
      <c r="N128" s="28"/>
      <c r="O128" s="28"/>
    </row>
    <row r="129" spans="1:15" x14ac:dyDescent="0.25">
      <c r="A129" t="s">
        <v>13198</v>
      </c>
      <c r="B129" s="28" t="s">
        <v>13199</v>
      </c>
      <c r="C129" s="28" t="s">
        <v>81</v>
      </c>
      <c r="D129" s="28" t="s">
        <v>13200</v>
      </c>
      <c r="E129" s="28" t="s">
        <v>530</v>
      </c>
      <c r="F129" s="28" t="s">
        <v>313</v>
      </c>
      <c r="K129" s="28"/>
      <c r="L129" s="28"/>
      <c r="M129" s="28"/>
      <c r="N129" s="28"/>
      <c r="O129" s="28"/>
    </row>
    <row r="130" spans="1:15" x14ac:dyDescent="0.25">
      <c r="A130" t="s">
        <v>13201</v>
      </c>
      <c r="B130" s="28" t="s">
        <v>13202</v>
      </c>
      <c r="C130" s="28" t="s">
        <v>81</v>
      </c>
      <c r="D130" s="28" t="s">
        <v>13203</v>
      </c>
      <c r="E130" s="28" t="s">
        <v>530</v>
      </c>
      <c r="F130" s="28" t="s">
        <v>313</v>
      </c>
      <c r="K130" s="28"/>
      <c r="L130" s="28"/>
      <c r="M130" s="28"/>
      <c r="N130" s="28"/>
      <c r="O130" s="28"/>
    </row>
    <row r="131" spans="1:15" x14ac:dyDescent="0.25">
      <c r="A131" t="s">
        <v>14215</v>
      </c>
      <c r="B131" s="28" t="s">
        <v>13204</v>
      </c>
      <c r="C131" s="28" t="s">
        <v>81</v>
      </c>
      <c r="D131" s="28" t="s">
        <v>13205</v>
      </c>
      <c r="E131" s="28" t="s">
        <v>530</v>
      </c>
      <c r="F131" s="28" t="s">
        <v>313</v>
      </c>
      <c r="K131" s="28"/>
      <c r="L131" s="28"/>
      <c r="M131" s="28"/>
      <c r="N131" s="28"/>
      <c r="O131" s="28"/>
    </row>
    <row r="132" spans="1:15" x14ac:dyDescent="0.25">
      <c r="A132" t="s">
        <v>13814</v>
      </c>
      <c r="B132" s="28" t="s">
        <v>13555</v>
      </c>
      <c r="C132" s="28" t="s">
        <v>81</v>
      </c>
      <c r="D132" s="28" t="s">
        <v>13556</v>
      </c>
      <c r="E132" s="28" t="s">
        <v>530</v>
      </c>
      <c r="F132" s="28" t="s">
        <v>313</v>
      </c>
      <c r="K132" s="28"/>
      <c r="L132" s="28"/>
      <c r="M132" s="28"/>
      <c r="N132" s="28"/>
      <c r="O132" s="28"/>
    </row>
    <row r="133" spans="1:15" x14ac:dyDescent="0.25">
      <c r="A133" t="s">
        <v>14216</v>
      </c>
      <c r="B133" s="28" t="s">
        <v>13557</v>
      </c>
      <c r="C133" s="28" t="s">
        <v>81</v>
      </c>
      <c r="D133" s="28" t="s">
        <v>13558</v>
      </c>
      <c r="E133" s="28" t="s">
        <v>530</v>
      </c>
      <c r="F133" s="28" t="s">
        <v>313</v>
      </c>
      <c r="K133" s="28"/>
      <c r="L133" s="28"/>
      <c r="M133" s="28"/>
      <c r="N133" s="28"/>
      <c r="O133" s="28"/>
    </row>
    <row r="134" spans="1:15" x14ac:dyDescent="0.25">
      <c r="A134" t="s">
        <v>14217</v>
      </c>
      <c r="B134" s="28" t="s">
        <v>14218</v>
      </c>
      <c r="C134" s="28" t="s">
        <v>81</v>
      </c>
      <c r="D134" s="28" t="s">
        <v>14219</v>
      </c>
      <c r="E134" s="28" t="s">
        <v>530</v>
      </c>
      <c r="F134" s="28" t="s">
        <v>313</v>
      </c>
      <c r="K134" s="28"/>
      <c r="L134" s="28"/>
      <c r="M134" s="28"/>
      <c r="N134" s="28"/>
      <c r="O134" s="28"/>
    </row>
    <row r="135" spans="1:15" x14ac:dyDescent="0.25">
      <c r="A135" t="s">
        <v>14220</v>
      </c>
      <c r="B135" s="28" t="s">
        <v>14221</v>
      </c>
      <c r="C135" s="28" t="s">
        <v>81</v>
      </c>
      <c r="D135" s="28" t="s">
        <v>14222</v>
      </c>
      <c r="E135" s="28" t="s">
        <v>530</v>
      </c>
      <c r="F135" s="28" t="s">
        <v>313</v>
      </c>
      <c r="K135" s="28"/>
      <c r="L135" s="28"/>
      <c r="M135" s="28"/>
      <c r="N135" s="28"/>
      <c r="O135" s="28"/>
    </row>
    <row r="136" spans="1:15" x14ac:dyDescent="0.25">
      <c r="A136" t="s">
        <v>6584</v>
      </c>
      <c r="B136" s="28" t="s">
        <v>11501</v>
      </c>
      <c r="C136" s="28" t="s">
        <v>84</v>
      </c>
      <c r="D136" s="28" t="s">
        <v>11502</v>
      </c>
      <c r="E136" s="28" t="s">
        <v>14223</v>
      </c>
      <c r="F136" s="28" t="s">
        <v>313</v>
      </c>
      <c r="K136" s="28"/>
      <c r="L136" s="28"/>
      <c r="M136" s="28"/>
      <c r="N136" s="28"/>
      <c r="O136" s="28"/>
    </row>
    <row r="137" spans="1:15" x14ac:dyDescent="0.25">
      <c r="A137" t="s">
        <v>10958</v>
      </c>
      <c r="B137" s="28" t="s">
        <v>11503</v>
      </c>
      <c r="C137" s="28" t="s">
        <v>84</v>
      </c>
      <c r="D137" s="28" t="s">
        <v>11504</v>
      </c>
      <c r="E137" s="28" t="s">
        <v>14223</v>
      </c>
      <c r="F137" s="28" t="s">
        <v>313</v>
      </c>
      <c r="K137" s="28"/>
      <c r="L137" s="28"/>
      <c r="M137" s="28"/>
      <c r="N137" s="28"/>
      <c r="O137" s="28"/>
    </row>
    <row r="138" spans="1:15" x14ac:dyDescent="0.25">
      <c r="A138" t="s">
        <v>10975</v>
      </c>
      <c r="B138" s="28" t="s">
        <v>11505</v>
      </c>
      <c r="C138" s="28" t="s">
        <v>84</v>
      </c>
      <c r="D138" s="28" t="s">
        <v>11506</v>
      </c>
      <c r="E138" s="28" t="s">
        <v>14223</v>
      </c>
      <c r="F138" s="28" t="s">
        <v>313</v>
      </c>
      <c r="K138" s="28"/>
      <c r="L138" s="28"/>
      <c r="M138" s="28"/>
      <c r="N138" s="28"/>
      <c r="O138" s="28"/>
    </row>
    <row r="139" spans="1:15" x14ac:dyDescent="0.25">
      <c r="A139" t="s">
        <v>181</v>
      </c>
      <c r="B139" s="28" t="s">
        <v>11507</v>
      </c>
      <c r="C139" s="28" t="s">
        <v>84</v>
      </c>
      <c r="D139" s="28" t="s">
        <v>11508</v>
      </c>
      <c r="E139" s="28" t="s">
        <v>14223</v>
      </c>
      <c r="F139" s="28" t="s">
        <v>313</v>
      </c>
      <c r="K139" s="28"/>
      <c r="L139" s="28"/>
      <c r="M139" s="28"/>
      <c r="N139" s="28"/>
      <c r="O139" s="28"/>
    </row>
    <row r="140" spans="1:15" x14ac:dyDescent="0.25">
      <c r="A140" t="s">
        <v>11509</v>
      </c>
      <c r="B140" s="28" t="s">
        <v>11510</v>
      </c>
      <c r="C140" s="28" t="s">
        <v>84</v>
      </c>
      <c r="D140" s="28" t="s">
        <v>11511</v>
      </c>
      <c r="E140" s="28" t="s">
        <v>14223</v>
      </c>
      <c r="F140" s="28" t="s">
        <v>313</v>
      </c>
      <c r="K140" s="28"/>
      <c r="L140" s="28"/>
      <c r="M140" s="28"/>
      <c r="N140" s="28"/>
      <c r="O140" s="28"/>
    </row>
    <row r="141" spans="1:15" x14ac:dyDescent="0.25">
      <c r="A141" t="s">
        <v>11512</v>
      </c>
      <c r="B141" s="28" t="s">
        <v>11513</v>
      </c>
      <c r="C141" s="28" t="s">
        <v>84</v>
      </c>
      <c r="D141" s="28" t="s">
        <v>11514</v>
      </c>
      <c r="E141" s="28" t="s">
        <v>14223</v>
      </c>
      <c r="F141" s="28" t="s">
        <v>313</v>
      </c>
      <c r="K141" s="28"/>
      <c r="L141" s="28"/>
      <c r="M141" s="28"/>
      <c r="N141" s="28"/>
      <c r="O141" s="28"/>
    </row>
    <row r="142" spans="1:15" x14ac:dyDescent="0.25">
      <c r="A142" t="s">
        <v>11115</v>
      </c>
      <c r="B142" s="28" t="s">
        <v>11515</v>
      </c>
      <c r="C142" s="28" t="s">
        <v>84</v>
      </c>
      <c r="D142" s="28" t="s">
        <v>11516</v>
      </c>
      <c r="E142" s="28" t="s">
        <v>14223</v>
      </c>
      <c r="F142" s="28" t="s">
        <v>313</v>
      </c>
      <c r="K142" s="28"/>
      <c r="L142" s="28"/>
      <c r="M142" s="28"/>
      <c r="N142" s="28"/>
      <c r="O142" s="28"/>
    </row>
    <row r="143" spans="1:15" x14ac:dyDescent="0.25">
      <c r="A143" t="s">
        <v>11119</v>
      </c>
      <c r="B143" s="28" t="s">
        <v>11517</v>
      </c>
      <c r="C143" s="28" t="s">
        <v>84</v>
      </c>
      <c r="D143" s="28" t="s">
        <v>11518</v>
      </c>
      <c r="E143" s="28" t="s">
        <v>14223</v>
      </c>
      <c r="F143" s="28" t="s">
        <v>313</v>
      </c>
      <c r="K143" s="28"/>
      <c r="L143" s="28"/>
      <c r="M143" s="28"/>
      <c r="N143" s="28"/>
      <c r="O143" s="28"/>
    </row>
    <row r="144" spans="1:15" x14ac:dyDescent="0.25">
      <c r="A144" t="s">
        <v>11008</v>
      </c>
      <c r="B144" s="28" t="s">
        <v>11519</v>
      </c>
      <c r="C144" s="28" t="s">
        <v>84</v>
      </c>
      <c r="D144" s="28" t="s">
        <v>11520</v>
      </c>
      <c r="E144" s="28" t="s">
        <v>14223</v>
      </c>
      <c r="F144" s="28" t="s">
        <v>313</v>
      </c>
      <c r="K144" s="28"/>
      <c r="L144" s="28"/>
      <c r="M144" s="28"/>
      <c r="N144" s="28"/>
      <c r="O144" s="28"/>
    </row>
    <row r="145" spans="1:15" x14ac:dyDescent="0.25">
      <c r="A145" t="s">
        <v>182</v>
      </c>
      <c r="B145" s="28" t="s">
        <v>11521</v>
      </c>
      <c r="C145" s="28" t="s">
        <v>84</v>
      </c>
      <c r="D145" s="28" t="s">
        <v>11522</v>
      </c>
      <c r="E145" s="28" t="s">
        <v>14223</v>
      </c>
      <c r="F145" s="28" t="s">
        <v>313</v>
      </c>
      <c r="K145" s="28"/>
      <c r="L145" s="28"/>
      <c r="M145" s="28"/>
      <c r="N145" s="28"/>
      <c r="O145" s="28"/>
    </row>
    <row r="146" spans="1:15" x14ac:dyDescent="0.25">
      <c r="A146" t="s">
        <v>11523</v>
      </c>
      <c r="B146" s="28" t="s">
        <v>11524</v>
      </c>
      <c r="C146" s="28" t="s">
        <v>84</v>
      </c>
      <c r="D146" s="28" t="s">
        <v>11525</v>
      </c>
      <c r="E146" s="28" t="s">
        <v>14223</v>
      </c>
      <c r="F146" s="28" t="s">
        <v>313</v>
      </c>
      <c r="K146" s="28"/>
      <c r="L146" s="28"/>
      <c r="M146" s="28"/>
      <c r="N146" s="28"/>
      <c r="O146" s="28"/>
    </row>
    <row r="147" spans="1:15" x14ac:dyDescent="0.25">
      <c r="A147" t="s">
        <v>11526</v>
      </c>
      <c r="B147" s="28" t="s">
        <v>11527</v>
      </c>
      <c r="C147" s="28" t="s">
        <v>84</v>
      </c>
      <c r="D147" s="28" t="s">
        <v>11528</v>
      </c>
      <c r="E147" s="28" t="s">
        <v>14223</v>
      </c>
      <c r="F147" s="28" t="s">
        <v>313</v>
      </c>
      <c r="K147" s="28"/>
      <c r="L147" s="28"/>
      <c r="M147" s="28"/>
      <c r="N147" s="28"/>
      <c r="O147" s="28"/>
    </row>
    <row r="148" spans="1:15" x14ac:dyDescent="0.25">
      <c r="A148" t="s">
        <v>11185</v>
      </c>
      <c r="B148" s="28" t="s">
        <v>11529</v>
      </c>
      <c r="C148" s="28" t="s">
        <v>84</v>
      </c>
      <c r="D148" s="28" t="s">
        <v>11530</v>
      </c>
      <c r="E148" s="28" t="s">
        <v>14223</v>
      </c>
      <c r="F148" s="28" t="s">
        <v>313</v>
      </c>
      <c r="K148" s="28"/>
      <c r="L148" s="28"/>
      <c r="M148" s="28"/>
      <c r="N148" s="28"/>
      <c r="O148" s="28"/>
    </row>
    <row r="149" spans="1:15" x14ac:dyDescent="0.25">
      <c r="A149" t="s">
        <v>11531</v>
      </c>
      <c r="B149" s="28" t="s">
        <v>11532</v>
      </c>
      <c r="C149" s="28" t="s">
        <v>84</v>
      </c>
      <c r="D149" s="28" t="s">
        <v>11533</v>
      </c>
      <c r="E149" s="28" t="s">
        <v>14223</v>
      </c>
      <c r="F149" s="28" t="s">
        <v>313</v>
      </c>
      <c r="K149" s="28"/>
      <c r="L149" s="28"/>
      <c r="M149" s="28"/>
      <c r="N149" s="28"/>
      <c r="O149" s="28"/>
    </row>
    <row r="150" spans="1:15" x14ac:dyDescent="0.25">
      <c r="A150" t="s">
        <v>11211</v>
      </c>
      <c r="B150" s="28" t="s">
        <v>11534</v>
      </c>
      <c r="C150" s="28" t="s">
        <v>84</v>
      </c>
      <c r="D150" s="28" t="s">
        <v>11535</v>
      </c>
      <c r="E150" s="28" t="s">
        <v>14223</v>
      </c>
      <c r="F150" s="28" t="s">
        <v>313</v>
      </c>
      <c r="K150" s="28"/>
      <c r="L150" s="28"/>
      <c r="M150" s="28"/>
      <c r="N150" s="28"/>
      <c r="O150" s="28"/>
    </row>
    <row r="151" spans="1:15" x14ac:dyDescent="0.25">
      <c r="A151" t="s">
        <v>11536</v>
      </c>
      <c r="B151" s="28" t="s">
        <v>11537</v>
      </c>
      <c r="C151" s="28" t="s">
        <v>84</v>
      </c>
      <c r="D151" s="28" t="s">
        <v>11538</v>
      </c>
      <c r="E151" s="28" t="s">
        <v>14223</v>
      </c>
      <c r="F151" s="28" t="s">
        <v>313</v>
      </c>
      <c r="K151" s="28"/>
      <c r="L151" s="28"/>
      <c r="M151" s="28"/>
      <c r="N151" s="28"/>
      <c r="O151" s="28"/>
    </row>
    <row r="152" spans="1:15" x14ac:dyDescent="0.25">
      <c r="A152" t="s">
        <v>10983</v>
      </c>
      <c r="B152" s="28" t="s">
        <v>11539</v>
      </c>
      <c r="C152" s="28" t="s">
        <v>84</v>
      </c>
      <c r="D152" s="28" t="s">
        <v>11540</v>
      </c>
      <c r="E152" s="28" t="s">
        <v>14223</v>
      </c>
      <c r="F152" s="28" t="s">
        <v>313</v>
      </c>
      <c r="K152" s="28"/>
      <c r="L152" s="28"/>
      <c r="M152" s="28"/>
      <c r="N152" s="28"/>
      <c r="O152" s="28"/>
    </row>
    <row r="153" spans="1:15" x14ac:dyDescent="0.25">
      <c r="A153" t="s">
        <v>11000</v>
      </c>
      <c r="B153" s="28" t="s">
        <v>11541</v>
      </c>
      <c r="C153" s="28" t="s">
        <v>84</v>
      </c>
      <c r="D153" s="28" t="s">
        <v>11542</v>
      </c>
      <c r="E153" s="28" t="s">
        <v>14223</v>
      </c>
      <c r="F153" s="28" t="s">
        <v>313</v>
      </c>
      <c r="K153" s="28"/>
      <c r="L153" s="28"/>
      <c r="M153" s="28"/>
      <c r="N153" s="28"/>
      <c r="O153" s="28"/>
    </row>
    <row r="154" spans="1:15" x14ac:dyDescent="0.25">
      <c r="A154" t="s">
        <v>11218</v>
      </c>
      <c r="B154" s="28" t="s">
        <v>11543</v>
      </c>
      <c r="C154" s="28" t="s">
        <v>84</v>
      </c>
      <c r="D154" s="28" t="s">
        <v>11544</v>
      </c>
      <c r="E154" s="28" t="s">
        <v>14223</v>
      </c>
      <c r="F154" s="28" t="s">
        <v>313</v>
      </c>
      <c r="K154" s="28"/>
      <c r="L154" s="28"/>
      <c r="M154" s="28"/>
      <c r="N154" s="28"/>
      <c r="O154" s="28"/>
    </row>
    <row r="155" spans="1:15" x14ac:dyDescent="0.25">
      <c r="A155" t="s">
        <v>11222</v>
      </c>
      <c r="B155" s="28" t="s">
        <v>11545</v>
      </c>
      <c r="C155" s="28" t="s">
        <v>84</v>
      </c>
      <c r="D155" s="28" t="s">
        <v>11546</v>
      </c>
      <c r="E155" s="28" t="s">
        <v>14223</v>
      </c>
      <c r="F155" s="28" t="s">
        <v>313</v>
      </c>
      <c r="K155" s="28"/>
      <c r="L155" s="28"/>
      <c r="M155" s="28"/>
      <c r="N155" s="28"/>
      <c r="O155" s="28"/>
    </row>
    <row r="156" spans="1:15" x14ac:dyDescent="0.25">
      <c r="A156" t="s">
        <v>11269</v>
      </c>
      <c r="B156" s="28" t="s">
        <v>11547</v>
      </c>
      <c r="C156" s="28" t="s">
        <v>84</v>
      </c>
      <c r="D156" s="28" t="s">
        <v>11548</v>
      </c>
      <c r="E156" s="28" t="s">
        <v>14223</v>
      </c>
      <c r="F156" s="28" t="s">
        <v>313</v>
      </c>
      <c r="K156" s="28"/>
      <c r="L156" s="28"/>
      <c r="M156" s="28"/>
      <c r="N156" s="28"/>
      <c r="O156" s="28"/>
    </row>
    <row r="157" spans="1:15" x14ac:dyDescent="0.25">
      <c r="A157" t="s">
        <v>11302</v>
      </c>
      <c r="B157" s="28" t="s">
        <v>11549</v>
      </c>
      <c r="C157" s="28" t="s">
        <v>84</v>
      </c>
      <c r="D157" s="28" t="s">
        <v>11550</v>
      </c>
      <c r="E157" s="28" t="s">
        <v>14223</v>
      </c>
      <c r="F157" s="28" t="s">
        <v>313</v>
      </c>
      <c r="K157" s="28"/>
      <c r="L157" s="28"/>
      <c r="M157" s="28"/>
      <c r="N157" s="28"/>
      <c r="O157" s="28"/>
    </row>
    <row r="158" spans="1:15" x14ac:dyDescent="0.25">
      <c r="A158" t="s">
        <v>11357</v>
      </c>
      <c r="B158" s="28" t="s">
        <v>11551</v>
      </c>
      <c r="C158" s="28" t="s">
        <v>84</v>
      </c>
      <c r="D158" s="28" t="s">
        <v>11552</v>
      </c>
      <c r="E158" s="28" t="s">
        <v>14223</v>
      </c>
      <c r="F158" s="28" t="s">
        <v>313</v>
      </c>
      <c r="K158" s="28"/>
      <c r="L158" s="28"/>
      <c r="M158" s="28"/>
      <c r="N158" s="28"/>
      <c r="O158" s="28"/>
    </row>
    <row r="159" spans="1:15" x14ac:dyDescent="0.25">
      <c r="A159" t="s">
        <v>11369</v>
      </c>
      <c r="B159" s="28" t="s">
        <v>11553</v>
      </c>
      <c r="C159" s="28" t="s">
        <v>84</v>
      </c>
      <c r="D159" s="28" t="s">
        <v>11554</v>
      </c>
      <c r="E159" s="28" t="s">
        <v>14223</v>
      </c>
      <c r="F159" s="28" t="s">
        <v>313</v>
      </c>
      <c r="K159" s="28"/>
      <c r="L159" s="28"/>
      <c r="M159" s="28"/>
      <c r="N159" s="28"/>
      <c r="O159" s="28"/>
    </row>
    <row r="160" spans="1:15" x14ac:dyDescent="0.25">
      <c r="A160" t="s">
        <v>10963</v>
      </c>
      <c r="B160" s="28" t="s">
        <v>11555</v>
      </c>
      <c r="C160" s="28" t="s">
        <v>84</v>
      </c>
      <c r="D160" s="28" t="s">
        <v>11556</v>
      </c>
      <c r="E160" s="28" t="s">
        <v>14223</v>
      </c>
      <c r="F160" s="28" t="s">
        <v>313</v>
      </c>
      <c r="K160" s="28"/>
      <c r="L160" s="28"/>
      <c r="M160" s="28"/>
      <c r="N160" s="28"/>
      <c r="O160" s="28"/>
    </row>
    <row r="161" spans="1:15" x14ac:dyDescent="0.25">
      <c r="A161" t="s">
        <v>2957</v>
      </c>
      <c r="B161" s="28" t="s">
        <v>11557</v>
      </c>
      <c r="C161" s="28" t="s">
        <v>84</v>
      </c>
      <c r="D161" s="28" t="s">
        <v>11558</v>
      </c>
      <c r="E161" s="28" t="s">
        <v>14223</v>
      </c>
      <c r="F161" s="28" t="s">
        <v>313</v>
      </c>
      <c r="K161" s="28"/>
      <c r="L161" s="28"/>
      <c r="M161" s="28"/>
      <c r="N161" s="28"/>
      <c r="O161" s="28"/>
    </row>
    <row r="162" spans="1:15" x14ac:dyDescent="0.25">
      <c r="A162" t="s">
        <v>1106</v>
      </c>
      <c r="B162" s="28" t="s">
        <v>11559</v>
      </c>
      <c r="C162" s="28" t="s">
        <v>84</v>
      </c>
      <c r="D162" s="28" t="s">
        <v>11560</v>
      </c>
      <c r="E162" s="28" t="s">
        <v>14223</v>
      </c>
      <c r="F162" s="28" t="s">
        <v>313</v>
      </c>
      <c r="K162" s="28"/>
      <c r="L162" s="28"/>
      <c r="M162" s="28"/>
      <c r="N162" s="28"/>
      <c r="O162" s="28"/>
    </row>
    <row r="163" spans="1:15" x14ac:dyDescent="0.25">
      <c r="A163" t="s">
        <v>11280</v>
      </c>
      <c r="B163" s="28" t="s">
        <v>12655</v>
      </c>
      <c r="C163" s="28" t="s">
        <v>84</v>
      </c>
      <c r="D163" s="28" t="s">
        <v>11561</v>
      </c>
      <c r="E163" s="28" t="s">
        <v>14223</v>
      </c>
      <c r="F163" s="28" t="s">
        <v>313</v>
      </c>
      <c r="K163" s="28"/>
      <c r="L163" s="28"/>
      <c r="M163" s="28"/>
      <c r="N163" s="28"/>
      <c r="O163" s="28"/>
    </row>
    <row r="164" spans="1:15" x14ac:dyDescent="0.25">
      <c r="A164" t="s">
        <v>543</v>
      </c>
      <c r="B164" s="28" t="s">
        <v>544</v>
      </c>
      <c r="C164" s="28" t="s">
        <v>86</v>
      </c>
      <c r="D164" s="28" t="s">
        <v>545</v>
      </c>
      <c r="E164" s="28" t="s">
        <v>546</v>
      </c>
      <c r="F164" s="28" t="s">
        <v>313</v>
      </c>
      <c r="K164" s="28"/>
      <c r="L164" s="28"/>
      <c r="M164" s="28"/>
      <c r="N164" s="28"/>
      <c r="O164" s="28"/>
    </row>
    <row r="165" spans="1:15" x14ac:dyDescent="0.25">
      <c r="A165" t="s">
        <v>547</v>
      </c>
      <c r="B165" s="28" t="s">
        <v>183</v>
      </c>
      <c r="C165" s="28" t="s">
        <v>88</v>
      </c>
      <c r="D165" s="28" t="s">
        <v>548</v>
      </c>
      <c r="E165" s="28" t="s">
        <v>549</v>
      </c>
      <c r="F165" s="28" t="s">
        <v>313</v>
      </c>
      <c r="K165" s="28"/>
      <c r="L165" s="28"/>
      <c r="M165" s="28"/>
      <c r="N165" s="28"/>
      <c r="O165" s="28"/>
    </row>
    <row r="166" spans="1:15" x14ac:dyDescent="0.25">
      <c r="A166" t="s">
        <v>550</v>
      </c>
      <c r="B166" s="28" t="s">
        <v>184</v>
      </c>
      <c r="C166" s="28" t="s">
        <v>88</v>
      </c>
      <c r="D166" s="28" t="s">
        <v>551</v>
      </c>
      <c r="E166" s="28" t="s">
        <v>549</v>
      </c>
      <c r="F166" s="28" t="s">
        <v>313</v>
      </c>
      <c r="K166" s="28"/>
      <c r="L166" s="28"/>
      <c r="M166" s="28"/>
      <c r="N166" s="28"/>
      <c r="O166" s="28"/>
    </row>
    <row r="167" spans="1:15" x14ac:dyDescent="0.25">
      <c r="A167" t="s">
        <v>552</v>
      </c>
      <c r="B167" s="28" t="s">
        <v>185</v>
      </c>
      <c r="C167" s="28" t="s">
        <v>88</v>
      </c>
      <c r="D167" s="28" t="s">
        <v>553</v>
      </c>
      <c r="E167" s="28" t="s">
        <v>549</v>
      </c>
      <c r="F167" s="28" t="s">
        <v>313</v>
      </c>
      <c r="K167" s="28"/>
      <c r="L167" s="28"/>
      <c r="M167" s="28"/>
      <c r="N167" s="28"/>
      <c r="O167" s="28"/>
    </row>
    <row r="168" spans="1:15" x14ac:dyDescent="0.25">
      <c r="A168" t="s">
        <v>554</v>
      </c>
      <c r="B168" s="28" t="s">
        <v>186</v>
      </c>
      <c r="C168" s="28" t="s">
        <v>88</v>
      </c>
      <c r="D168" s="28" t="s">
        <v>555</v>
      </c>
      <c r="E168" s="28" t="s">
        <v>549</v>
      </c>
      <c r="F168" s="28" t="s">
        <v>313</v>
      </c>
      <c r="K168" s="28"/>
      <c r="L168" s="28"/>
      <c r="M168" s="28"/>
      <c r="N168" s="28"/>
      <c r="O168" s="28"/>
    </row>
    <row r="169" spans="1:15" x14ac:dyDescent="0.25">
      <c r="A169" t="s">
        <v>556</v>
      </c>
      <c r="B169" s="28" t="s">
        <v>187</v>
      </c>
      <c r="C169" s="28" t="s">
        <v>88</v>
      </c>
      <c r="D169" s="28" t="s">
        <v>557</v>
      </c>
      <c r="E169" s="28" t="s">
        <v>549</v>
      </c>
      <c r="F169" s="28" t="s">
        <v>313</v>
      </c>
      <c r="K169" s="28"/>
      <c r="L169" s="28"/>
      <c r="M169" s="28"/>
      <c r="N169" s="28"/>
      <c r="O169" s="28"/>
    </row>
    <row r="170" spans="1:15" x14ac:dyDescent="0.25">
      <c r="A170" t="s">
        <v>558</v>
      </c>
      <c r="B170" s="28" t="s">
        <v>188</v>
      </c>
      <c r="C170" s="28" t="s">
        <v>88</v>
      </c>
      <c r="D170" s="28" t="s">
        <v>559</v>
      </c>
      <c r="E170" s="28" t="s">
        <v>549</v>
      </c>
      <c r="F170" s="28" t="s">
        <v>313</v>
      </c>
      <c r="K170" s="28"/>
      <c r="L170" s="28"/>
      <c r="M170" s="28"/>
      <c r="N170" s="28"/>
      <c r="O170" s="28"/>
    </row>
    <row r="171" spans="1:15" x14ac:dyDescent="0.25">
      <c r="A171" t="s">
        <v>560</v>
      </c>
      <c r="B171" s="28" t="s">
        <v>189</v>
      </c>
      <c r="C171" s="28" t="s">
        <v>88</v>
      </c>
      <c r="D171" s="28" t="s">
        <v>561</v>
      </c>
      <c r="E171" s="28" t="s">
        <v>549</v>
      </c>
      <c r="F171" s="28" t="s">
        <v>313</v>
      </c>
      <c r="K171" s="28"/>
      <c r="L171" s="28"/>
      <c r="M171" s="28"/>
      <c r="N171" s="28"/>
      <c r="O171" s="28"/>
    </row>
    <row r="172" spans="1:15" x14ac:dyDescent="0.25">
      <c r="A172" t="s">
        <v>562</v>
      </c>
      <c r="B172" s="28" t="s">
        <v>190</v>
      </c>
      <c r="C172" s="28" t="s">
        <v>88</v>
      </c>
      <c r="D172" s="28" t="s">
        <v>563</v>
      </c>
      <c r="E172" s="28" t="s">
        <v>549</v>
      </c>
      <c r="F172" s="28" t="s">
        <v>313</v>
      </c>
      <c r="K172" s="28"/>
      <c r="L172" s="28"/>
      <c r="M172" s="28"/>
      <c r="N172" s="28"/>
      <c r="O172" s="28"/>
    </row>
    <row r="173" spans="1:15" x14ac:dyDescent="0.25">
      <c r="A173" t="s">
        <v>564</v>
      </c>
      <c r="B173" s="28" t="s">
        <v>191</v>
      </c>
      <c r="C173" s="28" t="s">
        <v>88</v>
      </c>
      <c r="D173" s="28" t="s">
        <v>565</v>
      </c>
      <c r="E173" s="28" t="s">
        <v>549</v>
      </c>
      <c r="F173" s="28" t="s">
        <v>313</v>
      </c>
      <c r="K173" s="28"/>
      <c r="L173" s="28"/>
      <c r="M173" s="28"/>
      <c r="N173" s="28"/>
      <c r="O173" s="28"/>
    </row>
    <row r="174" spans="1:15" x14ac:dyDescent="0.25">
      <c r="A174" t="s">
        <v>566</v>
      </c>
      <c r="B174" s="28" t="s">
        <v>567</v>
      </c>
      <c r="C174" s="28" t="s">
        <v>88</v>
      </c>
      <c r="D174" s="28" t="s">
        <v>568</v>
      </c>
      <c r="E174" s="28" t="s">
        <v>549</v>
      </c>
      <c r="F174" s="28" t="s">
        <v>313</v>
      </c>
      <c r="K174" s="28"/>
      <c r="L174" s="28"/>
      <c r="M174" s="28"/>
      <c r="N174" s="28"/>
      <c r="O174" s="28"/>
    </row>
    <row r="175" spans="1:15" x14ac:dyDescent="0.25">
      <c r="A175" t="s">
        <v>569</v>
      </c>
      <c r="B175" s="28" t="s">
        <v>192</v>
      </c>
      <c r="C175" s="28" t="s">
        <v>88</v>
      </c>
      <c r="D175" s="28" t="s">
        <v>570</v>
      </c>
      <c r="E175" s="28" t="s">
        <v>549</v>
      </c>
      <c r="F175" s="28" t="s">
        <v>313</v>
      </c>
      <c r="K175" s="28"/>
      <c r="L175" s="28"/>
      <c r="M175" s="28"/>
      <c r="N175" s="28"/>
      <c r="O175" s="28"/>
    </row>
    <row r="176" spans="1:15" x14ac:dyDescent="0.25">
      <c r="A176" t="s">
        <v>571</v>
      </c>
      <c r="B176" s="28" t="s">
        <v>572</v>
      </c>
      <c r="C176" s="28" t="s">
        <v>88</v>
      </c>
      <c r="D176" s="28" t="s">
        <v>573</v>
      </c>
      <c r="E176" s="28" t="s">
        <v>549</v>
      </c>
      <c r="F176" s="28" t="s">
        <v>313</v>
      </c>
      <c r="K176" s="28"/>
      <c r="L176" s="28"/>
      <c r="M176" s="28"/>
      <c r="N176" s="28"/>
      <c r="O176" s="28"/>
    </row>
    <row r="177" spans="1:15" x14ac:dyDescent="0.25">
      <c r="A177" t="s">
        <v>574</v>
      </c>
      <c r="B177" s="28" t="s">
        <v>575</v>
      </c>
      <c r="C177" s="28" t="s">
        <v>88</v>
      </c>
      <c r="D177" s="28" t="s">
        <v>576</v>
      </c>
      <c r="E177" s="28" t="s">
        <v>549</v>
      </c>
      <c r="F177" s="28" t="s">
        <v>313</v>
      </c>
      <c r="K177" s="28"/>
      <c r="L177" s="28"/>
      <c r="M177" s="28"/>
      <c r="N177" s="28"/>
      <c r="O177" s="28"/>
    </row>
    <row r="178" spans="1:15" x14ac:dyDescent="0.25">
      <c r="A178" t="s">
        <v>577</v>
      </c>
      <c r="B178" s="28" t="s">
        <v>194</v>
      </c>
      <c r="C178" s="28" t="s">
        <v>88</v>
      </c>
      <c r="D178" s="28" t="s">
        <v>578</v>
      </c>
      <c r="E178" s="28" t="s">
        <v>549</v>
      </c>
      <c r="F178" s="28" t="s">
        <v>313</v>
      </c>
      <c r="K178" s="28"/>
      <c r="L178" s="28"/>
      <c r="M178" s="28"/>
      <c r="N178" s="28"/>
      <c r="O178" s="28"/>
    </row>
    <row r="179" spans="1:15" x14ac:dyDescent="0.25">
      <c r="A179" t="s">
        <v>579</v>
      </c>
      <c r="B179" s="28" t="s">
        <v>580</v>
      </c>
      <c r="C179" s="28" t="s">
        <v>88</v>
      </c>
      <c r="D179" s="28" t="s">
        <v>581</v>
      </c>
      <c r="E179" s="28" t="s">
        <v>549</v>
      </c>
      <c r="F179" s="28" t="s">
        <v>313</v>
      </c>
      <c r="K179" s="28"/>
      <c r="L179" s="28"/>
      <c r="M179" s="28"/>
      <c r="N179" s="28"/>
      <c r="O179" s="28"/>
    </row>
    <row r="180" spans="1:15" x14ac:dyDescent="0.25">
      <c r="A180" t="s">
        <v>582</v>
      </c>
      <c r="B180" s="28" t="s">
        <v>583</v>
      </c>
      <c r="C180" s="28" t="s">
        <v>88</v>
      </c>
      <c r="D180" s="28" t="s">
        <v>584</v>
      </c>
      <c r="E180" s="28" t="s">
        <v>549</v>
      </c>
      <c r="F180" s="28" t="s">
        <v>313</v>
      </c>
      <c r="K180" s="28"/>
      <c r="L180" s="28"/>
      <c r="M180" s="28"/>
      <c r="N180" s="28"/>
      <c r="O180" s="28"/>
    </row>
    <row r="181" spans="1:15" x14ac:dyDescent="0.25">
      <c r="A181" t="s">
        <v>585</v>
      </c>
      <c r="B181" s="28" t="s">
        <v>586</v>
      </c>
      <c r="C181" s="28" t="s">
        <v>88</v>
      </c>
      <c r="D181" s="28" t="s">
        <v>587</v>
      </c>
      <c r="E181" s="28" t="s">
        <v>549</v>
      </c>
      <c r="F181" s="28" t="s">
        <v>313</v>
      </c>
      <c r="K181" s="28"/>
      <c r="L181" s="28"/>
      <c r="M181" s="28"/>
      <c r="N181" s="28"/>
      <c r="O181" s="28"/>
    </row>
    <row r="182" spans="1:15" x14ac:dyDescent="0.25">
      <c r="A182" t="s">
        <v>588</v>
      </c>
      <c r="B182" s="28" t="s">
        <v>589</v>
      </c>
      <c r="C182" s="28" t="s">
        <v>88</v>
      </c>
      <c r="D182" s="28" t="s">
        <v>590</v>
      </c>
      <c r="E182" s="28" t="s">
        <v>549</v>
      </c>
      <c r="F182" s="28" t="s">
        <v>313</v>
      </c>
      <c r="K182" s="28"/>
      <c r="L182" s="28"/>
      <c r="M182" s="28"/>
      <c r="N182" s="28"/>
      <c r="O182" s="28"/>
    </row>
    <row r="183" spans="1:15" x14ac:dyDescent="0.25">
      <c r="A183" t="s">
        <v>591</v>
      </c>
      <c r="B183" s="28" t="s">
        <v>592</v>
      </c>
      <c r="C183" s="28" t="s">
        <v>88</v>
      </c>
      <c r="D183" s="28" t="s">
        <v>593</v>
      </c>
      <c r="E183" s="28" t="s">
        <v>549</v>
      </c>
      <c r="F183" s="28" t="s">
        <v>313</v>
      </c>
      <c r="K183" s="28"/>
      <c r="L183" s="28"/>
      <c r="M183" s="28"/>
      <c r="N183" s="28"/>
      <c r="O183" s="28"/>
    </row>
    <row r="184" spans="1:15" x14ac:dyDescent="0.25">
      <c r="A184" t="s">
        <v>594</v>
      </c>
      <c r="B184" s="28" t="s">
        <v>595</v>
      </c>
      <c r="C184" s="28" t="s">
        <v>88</v>
      </c>
      <c r="D184" s="28" t="s">
        <v>596</v>
      </c>
      <c r="E184" s="28" t="s">
        <v>549</v>
      </c>
      <c r="F184" s="28" t="s">
        <v>313</v>
      </c>
      <c r="K184" s="28"/>
      <c r="L184" s="28"/>
      <c r="M184" s="28"/>
      <c r="N184" s="28"/>
      <c r="O184" s="28"/>
    </row>
    <row r="185" spans="1:15" x14ac:dyDescent="0.25">
      <c r="A185" t="s">
        <v>597</v>
      </c>
      <c r="B185" s="28" t="s">
        <v>598</v>
      </c>
      <c r="C185" s="28" t="s">
        <v>88</v>
      </c>
      <c r="D185" s="28" t="s">
        <v>599</v>
      </c>
      <c r="E185" s="28" t="s">
        <v>549</v>
      </c>
      <c r="F185" s="28" t="s">
        <v>313</v>
      </c>
      <c r="K185" s="28"/>
      <c r="L185" s="28"/>
      <c r="M185" s="28"/>
      <c r="N185" s="28"/>
      <c r="O185" s="28"/>
    </row>
    <row r="186" spans="1:15" x14ac:dyDescent="0.25">
      <c r="A186" t="s">
        <v>11562</v>
      </c>
      <c r="B186" s="28" t="s">
        <v>600</v>
      </c>
      <c r="C186" s="28" t="s">
        <v>88</v>
      </c>
      <c r="D186" s="28" t="s">
        <v>601</v>
      </c>
      <c r="E186" s="28" t="s">
        <v>549</v>
      </c>
      <c r="F186" s="28" t="s">
        <v>313</v>
      </c>
      <c r="K186" s="28"/>
      <c r="L186" s="28"/>
      <c r="M186" s="28"/>
      <c r="N186" s="28"/>
      <c r="O186" s="28"/>
    </row>
    <row r="187" spans="1:15" x14ac:dyDescent="0.25">
      <c r="A187" t="s">
        <v>602</v>
      </c>
      <c r="B187" s="28" t="s">
        <v>603</v>
      </c>
      <c r="C187" s="28" t="s">
        <v>88</v>
      </c>
      <c r="D187" s="28" t="s">
        <v>604</v>
      </c>
      <c r="E187" s="28" t="s">
        <v>549</v>
      </c>
      <c r="F187" s="28" t="s">
        <v>313</v>
      </c>
      <c r="K187" s="28"/>
      <c r="L187" s="28"/>
      <c r="M187" s="28"/>
      <c r="N187" s="28"/>
      <c r="O187" s="28"/>
    </row>
    <row r="188" spans="1:15" x14ac:dyDescent="0.25">
      <c r="A188" t="s">
        <v>13206</v>
      </c>
      <c r="B188" s="28" t="s">
        <v>13207</v>
      </c>
      <c r="C188" s="28" t="s">
        <v>88</v>
      </c>
      <c r="D188" s="28" t="s">
        <v>605</v>
      </c>
      <c r="E188" s="28" t="s">
        <v>549</v>
      </c>
      <c r="F188" s="28" t="s">
        <v>313</v>
      </c>
      <c r="K188" s="28"/>
      <c r="L188" s="28"/>
      <c r="M188" s="28"/>
      <c r="N188" s="28"/>
      <c r="O188" s="28"/>
    </row>
    <row r="189" spans="1:15" x14ac:dyDescent="0.25">
      <c r="A189" t="s">
        <v>606</v>
      </c>
      <c r="B189" s="28" t="s">
        <v>607</v>
      </c>
      <c r="C189" s="28" t="s">
        <v>88</v>
      </c>
      <c r="D189" s="28" t="s">
        <v>608</v>
      </c>
      <c r="E189" s="28" t="s">
        <v>549</v>
      </c>
      <c r="F189" s="28" t="s">
        <v>313</v>
      </c>
      <c r="K189" s="28"/>
      <c r="L189" s="28"/>
      <c r="M189" s="28"/>
      <c r="N189" s="28"/>
      <c r="O189" s="28"/>
    </row>
    <row r="190" spans="1:15" x14ac:dyDescent="0.25">
      <c r="A190" t="s">
        <v>609</v>
      </c>
      <c r="B190" s="28" t="s">
        <v>610</v>
      </c>
      <c r="C190" s="28" t="s">
        <v>88</v>
      </c>
      <c r="D190" s="28" t="s">
        <v>611</v>
      </c>
      <c r="E190" s="28" t="s">
        <v>549</v>
      </c>
      <c r="F190" s="28" t="s">
        <v>313</v>
      </c>
      <c r="K190" s="28"/>
      <c r="L190" s="28"/>
      <c r="M190" s="28"/>
      <c r="N190" s="28"/>
      <c r="O190" s="28"/>
    </row>
    <row r="191" spans="1:15" x14ac:dyDescent="0.25">
      <c r="A191" t="s">
        <v>12656</v>
      </c>
      <c r="B191" s="28" t="s">
        <v>12657</v>
      </c>
      <c r="C191" s="28" t="s">
        <v>88</v>
      </c>
      <c r="D191" s="28" t="s">
        <v>12658</v>
      </c>
      <c r="E191" s="28" t="s">
        <v>549</v>
      </c>
      <c r="F191" s="28" t="s">
        <v>313</v>
      </c>
      <c r="K191" s="28"/>
      <c r="L191" s="28"/>
      <c r="M191" s="28"/>
      <c r="N191" s="28"/>
      <c r="O191" s="28"/>
    </row>
    <row r="192" spans="1:15" x14ac:dyDescent="0.25">
      <c r="A192" t="s">
        <v>819</v>
      </c>
      <c r="B192" s="28" t="s">
        <v>11588</v>
      </c>
      <c r="C192" s="28" t="s">
        <v>98</v>
      </c>
      <c r="D192" s="28" t="s">
        <v>11589</v>
      </c>
      <c r="E192" s="28" t="s">
        <v>820</v>
      </c>
      <c r="F192" s="28" t="s">
        <v>313</v>
      </c>
      <c r="K192" s="28"/>
      <c r="L192" s="28"/>
      <c r="M192" s="28"/>
      <c r="N192" s="28"/>
      <c r="O192" s="28"/>
    </row>
    <row r="193" spans="1:15" x14ac:dyDescent="0.25">
      <c r="A193" t="s">
        <v>13559</v>
      </c>
      <c r="B193" s="28" t="s">
        <v>13560</v>
      </c>
      <c r="C193" s="28" t="s">
        <v>98</v>
      </c>
      <c r="D193" s="28" t="s">
        <v>13561</v>
      </c>
      <c r="E193" s="28" t="s">
        <v>820</v>
      </c>
      <c r="F193" s="28" t="s">
        <v>313</v>
      </c>
      <c r="K193" s="28"/>
      <c r="L193" s="28"/>
      <c r="M193" s="28"/>
      <c r="N193" s="28"/>
      <c r="O193" s="28"/>
    </row>
    <row r="194" spans="1:15" x14ac:dyDescent="0.25">
      <c r="A194" t="s">
        <v>195</v>
      </c>
      <c r="B194" s="28" t="s">
        <v>196</v>
      </c>
      <c r="C194" s="28" t="s">
        <v>15</v>
      </c>
      <c r="D194" s="28" t="s">
        <v>612</v>
      </c>
      <c r="E194" s="28" t="s">
        <v>613</v>
      </c>
      <c r="F194" s="28" t="s">
        <v>313</v>
      </c>
      <c r="K194" s="28"/>
      <c r="L194" s="28"/>
      <c r="M194" s="28"/>
      <c r="N194" s="28"/>
      <c r="O194" s="28"/>
    </row>
    <row r="195" spans="1:15" x14ac:dyDescent="0.25">
      <c r="A195" t="s">
        <v>197</v>
      </c>
      <c r="B195" s="28" t="s">
        <v>198</v>
      </c>
      <c r="C195" s="28" t="s">
        <v>15</v>
      </c>
      <c r="D195" s="28" t="s">
        <v>614</v>
      </c>
      <c r="E195" s="28" t="s">
        <v>613</v>
      </c>
      <c r="F195" s="28" t="s">
        <v>313</v>
      </c>
      <c r="K195" s="28"/>
      <c r="L195" s="28"/>
      <c r="M195" s="28"/>
      <c r="N195" s="28"/>
      <c r="O195" s="28"/>
    </row>
    <row r="196" spans="1:15" x14ac:dyDescent="0.25">
      <c r="A196" t="s">
        <v>615</v>
      </c>
      <c r="B196" s="28" t="s">
        <v>199</v>
      </c>
      <c r="C196" s="28" t="s">
        <v>15</v>
      </c>
      <c r="D196" s="28" t="s">
        <v>616</v>
      </c>
      <c r="E196" s="28" t="s">
        <v>613</v>
      </c>
      <c r="F196" s="28" t="s">
        <v>313</v>
      </c>
      <c r="K196" s="28"/>
      <c r="L196" s="28"/>
      <c r="M196" s="28"/>
      <c r="N196" s="28"/>
      <c r="O196" s="28"/>
    </row>
    <row r="197" spans="1:15" x14ac:dyDescent="0.25">
      <c r="A197" t="s">
        <v>617</v>
      </c>
      <c r="B197" s="28" t="s">
        <v>200</v>
      </c>
      <c r="C197" s="28" t="s">
        <v>15</v>
      </c>
      <c r="D197" s="28" t="s">
        <v>618</v>
      </c>
      <c r="E197" s="28" t="s">
        <v>613</v>
      </c>
      <c r="F197" s="28" t="s">
        <v>313</v>
      </c>
      <c r="K197" s="28"/>
      <c r="L197" s="28"/>
      <c r="M197" s="28"/>
      <c r="N197" s="28"/>
      <c r="O197" s="28"/>
    </row>
    <row r="198" spans="1:15" x14ac:dyDescent="0.25">
      <c r="A198" t="s">
        <v>201</v>
      </c>
      <c r="B198" s="28" t="s">
        <v>202</v>
      </c>
      <c r="C198" s="28" t="s">
        <v>15</v>
      </c>
      <c r="D198" s="28" t="s">
        <v>619</v>
      </c>
      <c r="E198" s="28" t="s">
        <v>613</v>
      </c>
      <c r="F198" s="28" t="s">
        <v>313</v>
      </c>
      <c r="K198" s="28"/>
      <c r="L198" s="28"/>
      <c r="M198" s="28"/>
      <c r="N198" s="28"/>
      <c r="O198" s="28"/>
    </row>
    <row r="199" spans="1:15" x14ac:dyDescent="0.25">
      <c r="A199" t="s">
        <v>620</v>
      </c>
      <c r="B199" s="28" t="s">
        <v>203</v>
      </c>
      <c r="C199" s="28" t="s">
        <v>15</v>
      </c>
      <c r="D199" s="28" t="s">
        <v>621</v>
      </c>
      <c r="E199" s="28" t="s">
        <v>613</v>
      </c>
      <c r="F199" s="28" t="s">
        <v>313</v>
      </c>
      <c r="K199" s="28"/>
      <c r="L199" s="28"/>
      <c r="M199" s="28"/>
      <c r="N199" s="28"/>
      <c r="O199" s="28"/>
    </row>
    <row r="200" spans="1:15" x14ac:dyDescent="0.25">
      <c r="A200" t="s">
        <v>204</v>
      </c>
      <c r="B200" s="28" t="s">
        <v>205</v>
      </c>
      <c r="C200" s="28" t="s">
        <v>15</v>
      </c>
      <c r="D200" s="28" t="s">
        <v>622</v>
      </c>
      <c r="E200" s="28" t="s">
        <v>613</v>
      </c>
      <c r="F200" s="28" t="s">
        <v>313</v>
      </c>
      <c r="K200" s="28"/>
      <c r="L200" s="28"/>
      <c r="M200" s="28"/>
      <c r="N200" s="28"/>
      <c r="O200" s="28"/>
    </row>
    <row r="201" spans="1:15" x14ac:dyDescent="0.25">
      <c r="A201" t="s">
        <v>623</v>
      </c>
      <c r="B201" s="28" t="s">
        <v>206</v>
      </c>
      <c r="C201" s="28" t="s">
        <v>15</v>
      </c>
      <c r="D201" s="28" t="s">
        <v>624</v>
      </c>
      <c r="E201" s="28" t="s">
        <v>613</v>
      </c>
      <c r="F201" s="28" t="s">
        <v>313</v>
      </c>
      <c r="K201" s="28"/>
      <c r="L201" s="28"/>
      <c r="M201" s="28"/>
      <c r="N201" s="28"/>
      <c r="O201" s="28"/>
    </row>
    <row r="202" spans="1:15" x14ac:dyDescent="0.25">
      <c r="A202" t="s">
        <v>625</v>
      </c>
      <c r="B202" s="28" t="s">
        <v>207</v>
      </c>
      <c r="C202" s="28" t="s">
        <v>15</v>
      </c>
      <c r="D202" s="28" t="s">
        <v>626</v>
      </c>
      <c r="E202" s="28" t="s">
        <v>613</v>
      </c>
      <c r="F202" s="28" t="s">
        <v>313</v>
      </c>
      <c r="K202" s="28"/>
      <c r="L202" s="28"/>
      <c r="M202" s="28"/>
      <c r="N202" s="28"/>
      <c r="O202" s="28"/>
    </row>
    <row r="203" spans="1:15" x14ac:dyDescent="0.25">
      <c r="A203" t="s">
        <v>208</v>
      </c>
      <c r="B203" s="28" t="s">
        <v>209</v>
      </c>
      <c r="C203" s="28" t="s">
        <v>15</v>
      </c>
      <c r="D203" s="28" t="s">
        <v>627</v>
      </c>
      <c r="E203" s="28" t="s">
        <v>613</v>
      </c>
      <c r="F203" s="28" t="s">
        <v>313</v>
      </c>
      <c r="K203" s="28"/>
      <c r="L203" s="28"/>
      <c r="M203" s="28"/>
      <c r="N203" s="28"/>
      <c r="O203" s="28"/>
    </row>
    <row r="204" spans="1:15" x14ac:dyDescent="0.25">
      <c r="A204" t="s">
        <v>212</v>
      </c>
      <c r="B204" s="28" t="s">
        <v>213</v>
      </c>
      <c r="C204" s="28" t="s">
        <v>15</v>
      </c>
      <c r="D204" s="28" t="s">
        <v>628</v>
      </c>
      <c r="E204" s="28" t="s">
        <v>613</v>
      </c>
      <c r="F204" s="28" t="s">
        <v>313</v>
      </c>
      <c r="K204" s="28"/>
      <c r="L204" s="28"/>
      <c r="M204" s="28"/>
      <c r="N204" s="28"/>
      <c r="O204" s="28"/>
    </row>
    <row r="205" spans="1:15" x14ac:dyDescent="0.25">
      <c r="A205" t="s">
        <v>214</v>
      </c>
      <c r="B205" s="28" t="s">
        <v>215</v>
      </c>
      <c r="C205" s="28" t="s">
        <v>15</v>
      </c>
      <c r="D205" s="28" t="s">
        <v>629</v>
      </c>
      <c r="E205" s="28" t="s">
        <v>613</v>
      </c>
      <c r="F205" s="28" t="s">
        <v>313</v>
      </c>
      <c r="K205" s="28"/>
      <c r="L205" s="28"/>
      <c r="M205" s="28"/>
      <c r="N205" s="28"/>
      <c r="O205" s="28"/>
    </row>
    <row r="206" spans="1:15" x14ac:dyDescent="0.25">
      <c r="A206" t="s">
        <v>216</v>
      </c>
      <c r="B206" s="28" t="s">
        <v>217</v>
      </c>
      <c r="C206" s="28" t="s">
        <v>15</v>
      </c>
      <c r="D206" s="28" t="s">
        <v>630</v>
      </c>
      <c r="E206" s="28" t="s">
        <v>613</v>
      </c>
      <c r="F206" s="28" t="s">
        <v>313</v>
      </c>
      <c r="K206" s="28"/>
      <c r="L206" s="28"/>
      <c r="M206" s="28"/>
      <c r="N206" s="28"/>
      <c r="O206" s="28"/>
    </row>
    <row r="207" spans="1:15" x14ac:dyDescent="0.25">
      <c r="A207" t="s">
        <v>631</v>
      </c>
      <c r="B207" s="28" t="s">
        <v>218</v>
      </c>
      <c r="C207" s="28" t="s">
        <v>15</v>
      </c>
      <c r="D207" s="28" t="s">
        <v>632</v>
      </c>
      <c r="E207" s="28" t="s">
        <v>613</v>
      </c>
      <c r="F207" s="28" t="s">
        <v>313</v>
      </c>
      <c r="K207" s="28"/>
      <c r="L207" s="28"/>
      <c r="M207" s="28"/>
      <c r="N207" s="28"/>
      <c r="O207" s="28"/>
    </row>
    <row r="208" spans="1:15" x14ac:dyDescent="0.25">
      <c r="A208" t="s">
        <v>219</v>
      </c>
      <c r="B208" s="28" t="s">
        <v>220</v>
      </c>
      <c r="C208" s="28" t="s">
        <v>15</v>
      </c>
      <c r="D208" s="28" t="s">
        <v>633</v>
      </c>
      <c r="E208" s="28" t="s">
        <v>613</v>
      </c>
      <c r="F208" s="28" t="s">
        <v>313</v>
      </c>
      <c r="K208" s="28"/>
      <c r="L208" s="28"/>
      <c r="M208" s="28"/>
      <c r="N208" s="28"/>
      <c r="O208" s="28"/>
    </row>
    <row r="209" spans="1:15" x14ac:dyDescent="0.25">
      <c r="A209" t="s">
        <v>221</v>
      </c>
      <c r="B209" s="28" t="s">
        <v>222</v>
      </c>
      <c r="C209" s="28" t="s">
        <v>15</v>
      </c>
      <c r="D209" s="28" t="s">
        <v>634</v>
      </c>
      <c r="E209" s="28" t="s">
        <v>613</v>
      </c>
      <c r="F209" s="28" t="s">
        <v>313</v>
      </c>
      <c r="K209" s="28"/>
      <c r="L209" s="28"/>
      <c r="M209" s="28"/>
      <c r="N209" s="28"/>
      <c r="O209" s="28"/>
    </row>
    <row r="210" spans="1:15" x14ac:dyDescent="0.25">
      <c r="A210" t="s">
        <v>223</v>
      </c>
      <c r="B210" s="28" t="s">
        <v>224</v>
      </c>
      <c r="C210" s="28" t="s">
        <v>15</v>
      </c>
      <c r="D210" s="28" t="s">
        <v>635</v>
      </c>
      <c r="E210" s="28" t="s">
        <v>613</v>
      </c>
      <c r="F210" s="28" t="s">
        <v>313</v>
      </c>
      <c r="K210" s="28"/>
      <c r="L210" s="28"/>
      <c r="M210" s="28"/>
      <c r="N210" s="28"/>
      <c r="O210" s="28"/>
    </row>
    <row r="211" spans="1:15" x14ac:dyDescent="0.25">
      <c r="A211" t="s">
        <v>225</v>
      </c>
      <c r="B211" s="28" t="s">
        <v>226</v>
      </c>
      <c r="C211" s="28" t="s">
        <v>15</v>
      </c>
      <c r="D211" s="28" t="s">
        <v>636</v>
      </c>
      <c r="E211" s="28" t="s">
        <v>613</v>
      </c>
      <c r="F211" s="28" t="s">
        <v>313</v>
      </c>
      <c r="K211" s="28"/>
      <c r="L211" s="28"/>
      <c r="M211" s="28"/>
      <c r="N211" s="28"/>
      <c r="O211" s="28"/>
    </row>
    <row r="212" spans="1:15" x14ac:dyDescent="0.25">
      <c r="A212" t="s">
        <v>227</v>
      </c>
      <c r="B212" s="28" t="s">
        <v>228</v>
      </c>
      <c r="C212" s="28" t="s">
        <v>15</v>
      </c>
      <c r="D212" s="28" t="s">
        <v>637</v>
      </c>
      <c r="E212" s="28" t="s">
        <v>613</v>
      </c>
      <c r="F212" s="28" t="s">
        <v>313</v>
      </c>
      <c r="K212" s="28"/>
      <c r="L212" s="28"/>
      <c r="M212" s="28"/>
      <c r="N212" s="28"/>
      <c r="O212" s="28"/>
    </row>
    <row r="213" spans="1:15" x14ac:dyDescent="0.25">
      <c r="A213" t="s">
        <v>638</v>
      </c>
      <c r="B213" s="28" t="s">
        <v>229</v>
      </c>
      <c r="C213" s="28" t="s">
        <v>15</v>
      </c>
      <c r="D213" s="28" t="s">
        <v>639</v>
      </c>
      <c r="E213" s="28" t="s">
        <v>613</v>
      </c>
      <c r="F213" s="28" t="s">
        <v>313</v>
      </c>
      <c r="K213" s="28"/>
      <c r="L213" s="28"/>
      <c r="M213" s="28"/>
      <c r="N213" s="28"/>
      <c r="O213" s="28"/>
    </row>
    <row r="214" spans="1:15" x14ac:dyDescent="0.25">
      <c r="A214" t="s">
        <v>640</v>
      </c>
      <c r="B214" s="28" t="s">
        <v>230</v>
      </c>
      <c r="C214" s="28" t="s">
        <v>15</v>
      </c>
      <c r="D214" s="28" t="s">
        <v>641</v>
      </c>
      <c r="E214" s="28" t="s">
        <v>613</v>
      </c>
      <c r="F214" s="28" t="s">
        <v>313</v>
      </c>
      <c r="K214" s="28"/>
      <c r="L214" s="28"/>
      <c r="M214" s="28"/>
      <c r="N214" s="28"/>
      <c r="O214" s="28"/>
    </row>
    <row r="215" spans="1:15" x14ac:dyDescent="0.25">
      <c r="A215" t="s">
        <v>231</v>
      </c>
      <c r="B215" s="28" t="s">
        <v>232</v>
      </c>
      <c r="C215" s="28" t="s">
        <v>15</v>
      </c>
      <c r="D215" s="28" t="s">
        <v>642</v>
      </c>
      <c r="E215" s="28" t="s">
        <v>613</v>
      </c>
      <c r="F215" s="28" t="s">
        <v>313</v>
      </c>
      <c r="K215" s="28"/>
      <c r="L215" s="28"/>
      <c r="M215" s="28"/>
      <c r="N215" s="28"/>
      <c r="O215" s="28"/>
    </row>
    <row r="216" spans="1:15" x14ac:dyDescent="0.25">
      <c r="A216" t="s">
        <v>12558</v>
      </c>
      <c r="B216" s="28" t="s">
        <v>17</v>
      </c>
      <c r="C216" s="28" t="s">
        <v>15</v>
      </c>
      <c r="D216" s="28" t="s">
        <v>16</v>
      </c>
      <c r="E216" s="28" t="s">
        <v>613</v>
      </c>
      <c r="F216" s="28" t="s">
        <v>313</v>
      </c>
      <c r="K216" s="28"/>
      <c r="L216" s="28"/>
      <c r="M216" s="28"/>
      <c r="N216" s="28"/>
      <c r="O216" s="28"/>
    </row>
    <row r="217" spans="1:15" x14ac:dyDescent="0.25">
      <c r="A217" t="s">
        <v>644</v>
      </c>
      <c r="B217" s="28" t="s">
        <v>233</v>
      </c>
      <c r="C217" s="28" t="s">
        <v>15</v>
      </c>
      <c r="D217" s="28" t="s">
        <v>645</v>
      </c>
      <c r="E217" s="28" t="s">
        <v>613</v>
      </c>
      <c r="F217" s="28" t="s">
        <v>313</v>
      </c>
      <c r="K217" s="28"/>
      <c r="L217" s="28"/>
      <c r="M217" s="28"/>
      <c r="N217" s="28"/>
      <c r="O217" s="28"/>
    </row>
    <row r="218" spans="1:15" x14ac:dyDescent="0.25">
      <c r="A218" t="s">
        <v>646</v>
      </c>
      <c r="B218" s="28" t="s">
        <v>234</v>
      </c>
      <c r="C218" s="28" t="s">
        <v>15</v>
      </c>
      <c r="D218" s="28" t="s">
        <v>647</v>
      </c>
      <c r="E218" s="28" t="s">
        <v>613</v>
      </c>
      <c r="F218" s="28" t="s">
        <v>313</v>
      </c>
      <c r="K218" s="28"/>
      <c r="L218" s="28"/>
      <c r="M218" s="28"/>
      <c r="N218" s="28"/>
      <c r="O218" s="28"/>
    </row>
    <row r="219" spans="1:15" x14ac:dyDescent="0.25">
      <c r="A219" t="s">
        <v>648</v>
      </c>
      <c r="B219" s="28" t="s">
        <v>235</v>
      </c>
      <c r="C219" s="28" t="s">
        <v>15</v>
      </c>
      <c r="D219" s="28" t="s">
        <v>649</v>
      </c>
      <c r="E219" s="28" t="s">
        <v>613</v>
      </c>
      <c r="F219" s="28" t="s">
        <v>313</v>
      </c>
      <c r="K219" s="28"/>
      <c r="L219" s="28"/>
      <c r="M219" s="28"/>
      <c r="N219" s="28"/>
      <c r="O219" s="28"/>
    </row>
    <row r="220" spans="1:15" x14ac:dyDescent="0.25">
      <c r="A220" t="s">
        <v>13562</v>
      </c>
      <c r="B220" s="28" t="s">
        <v>236</v>
      </c>
      <c r="C220" s="28" t="s">
        <v>15</v>
      </c>
      <c r="D220" s="28" t="s">
        <v>650</v>
      </c>
      <c r="E220" s="28" t="s">
        <v>613</v>
      </c>
      <c r="F220" s="28" t="s">
        <v>313</v>
      </c>
      <c r="K220" s="28"/>
      <c r="L220" s="28"/>
      <c r="M220" s="28"/>
      <c r="N220" s="28"/>
      <c r="O220" s="28"/>
    </row>
    <row r="221" spans="1:15" x14ac:dyDescent="0.25">
      <c r="A221" t="s">
        <v>651</v>
      </c>
      <c r="B221" s="28" t="s">
        <v>237</v>
      </c>
      <c r="C221" s="28" t="s">
        <v>15</v>
      </c>
      <c r="D221" s="28" t="s">
        <v>652</v>
      </c>
      <c r="E221" s="28" t="s">
        <v>613</v>
      </c>
      <c r="F221" s="28" t="s">
        <v>313</v>
      </c>
      <c r="K221" s="28"/>
      <c r="L221" s="28"/>
      <c r="M221" s="28"/>
      <c r="N221" s="28"/>
      <c r="O221" s="28"/>
    </row>
    <row r="222" spans="1:15" x14ac:dyDescent="0.25">
      <c r="A222" t="s">
        <v>239</v>
      </c>
      <c r="B222" s="28" t="s">
        <v>240</v>
      </c>
      <c r="C222" s="28" t="s">
        <v>15</v>
      </c>
      <c r="D222" s="28" t="s">
        <v>653</v>
      </c>
      <c r="E222" s="28" t="s">
        <v>613</v>
      </c>
      <c r="F222" s="28" t="s">
        <v>313</v>
      </c>
      <c r="K222" s="28"/>
      <c r="L222" s="28"/>
      <c r="M222" s="28"/>
      <c r="N222" s="28"/>
      <c r="O222" s="28"/>
    </row>
    <row r="223" spans="1:15" x14ac:dyDescent="0.25">
      <c r="A223" t="s">
        <v>654</v>
      </c>
      <c r="B223" s="28" t="s">
        <v>655</v>
      </c>
      <c r="C223" s="28" t="s">
        <v>15</v>
      </c>
      <c r="D223" s="28" t="s">
        <v>656</v>
      </c>
      <c r="E223" s="28" t="s">
        <v>613</v>
      </c>
      <c r="F223" s="28" t="s">
        <v>313</v>
      </c>
      <c r="K223" s="28"/>
      <c r="L223" s="28"/>
      <c r="M223" s="28"/>
      <c r="N223" s="28"/>
      <c r="O223" s="28"/>
    </row>
    <row r="224" spans="1:15" x14ac:dyDescent="0.25">
      <c r="A224" t="s">
        <v>241</v>
      </c>
      <c r="B224" s="28" t="s">
        <v>242</v>
      </c>
      <c r="C224" s="28" t="s">
        <v>15</v>
      </c>
      <c r="D224" s="28" t="s">
        <v>657</v>
      </c>
      <c r="E224" s="28" t="s">
        <v>613</v>
      </c>
      <c r="F224" s="28" t="s">
        <v>313</v>
      </c>
      <c r="K224" s="28"/>
      <c r="L224" s="28"/>
      <c r="M224" s="28"/>
      <c r="N224" s="28"/>
      <c r="O224" s="28"/>
    </row>
    <row r="225" spans="1:15" x14ac:dyDescent="0.25">
      <c r="A225" t="s">
        <v>13208</v>
      </c>
      <c r="B225" s="28" t="s">
        <v>13209</v>
      </c>
      <c r="C225" s="28" t="s">
        <v>15</v>
      </c>
      <c r="D225" s="28" t="s">
        <v>13210</v>
      </c>
      <c r="E225" s="28" t="s">
        <v>613</v>
      </c>
      <c r="F225" s="28" t="s">
        <v>313</v>
      </c>
      <c r="K225" s="28"/>
      <c r="L225" s="28"/>
      <c r="M225" s="28"/>
      <c r="N225" s="28"/>
      <c r="O225" s="28"/>
    </row>
    <row r="226" spans="1:15" x14ac:dyDescent="0.25">
      <c r="A226" t="s">
        <v>243</v>
      </c>
      <c r="B226" s="28" t="s">
        <v>244</v>
      </c>
      <c r="C226" s="28" t="s">
        <v>15</v>
      </c>
      <c r="D226" s="28" t="s">
        <v>658</v>
      </c>
      <c r="E226" s="28" t="s">
        <v>613</v>
      </c>
      <c r="F226" s="28" t="s">
        <v>313</v>
      </c>
      <c r="K226" s="28"/>
      <c r="L226" s="28"/>
      <c r="M226" s="28"/>
      <c r="N226" s="28"/>
      <c r="O226" s="28"/>
    </row>
    <row r="227" spans="1:15" x14ac:dyDescent="0.25">
      <c r="A227" t="s">
        <v>659</v>
      </c>
      <c r="B227" s="28" t="s">
        <v>14053</v>
      </c>
      <c r="C227" s="28" t="s">
        <v>15</v>
      </c>
      <c r="D227" s="28" t="s">
        <v>14054</v>
      </c>
      <c r="E227" s="28" t="s">
        <v>613</v>
      </c>
      <c r="F227" s="28" t="s">
        <v>313</v>
      </c>
      <c r="K227" s="28"/>
      <c r="L227" s="28"/>
      <c r="M227" s="28"/>
      <c r="N227" s="28"/>
      <c r="O227" s="28"/>
    </row>
    <row r="228" spans="1:15" x14ac:dyDescent="0.25">
      <c r="A228" t="s">
        <v>660</v>
      </c>
      <c r="B228" s="28" t="s">
        <v>246</v>
      </c>
      <c r="C228" s="28" t="s">
        <v>15</v>
      </c>
      <c r="D228" s="28" t="s">
        <v>661</v>
      </c>
      <c r="E228" s="28" t="s">
        <v>613</v>
      </c>
      <c r="F228" s="28" t="s">
        <v>313</v>
      </c>
      <c r="K228" s="28"/>
      <c r="L228" s="28"/>
      <c r="M228" s="28"/>
      <c r="N228" s="28"/>
      <c r="O228" s="28"/>
    </row>
    <row r="229" spans="1:15" x14ac:dyDescent="0.25">
      <c r="A229" t="s">
        <v>662</v>
      </c>
      <c r="B229" s="28" t="s">
        <v>247</v>
      </c>
      <c r="C229" s="28" t="s">
        <v>15</v>
      </c>
      <c r="D229" s="28" t="s">
        <v>663</v>
      </c>
      <c r="E229" s="28" t="s">
        <v>613</v>
      </c>
      <c r="F229" s="28" t="s">
        <v>313</v>
      </c>
      <c r="K229" s="28"/>
      <c r="L229" s="28"/>
      <c r="M229" s="28"/>
      <c r="N229" s="28"/>
      <c r="O229" s="28"/>
    </row>
    <row r="230" spans="1:15" x14ac:dyDescent="0.25">
      <c r="A230" t="s">
        <v>664</v>
      </c>
      <c r="B230" s="28" t="s">
        <v>665</v>
      </c>
      <c r="C230" s="28" t="s">
        <v>15</v>
      </c>
      <c r="D230" s="28" t="s">
        <v>666</v>
      </c>
      <c r="E230" s="28" t="s">
        <v>613</v>
      </c>
      <c r="F230" s="28" t="s">
        <v>313</v>
      </c>
      <c r="K230" s="28"/>
      <c r="L230" s="28"/>
      <c r="M230" s="28"/>
      <c r="N230" s="28"/>
      <c r="O230" s="28"/>
    </row>
    <row r="231" spans="1:15" x14ac:dyDescent="0.25">
      <c r="A231" t="s">
        <v>13123</v>
      </c>
      <c r="B231" s="28" t="s">
        <v>13124</v>
      </c>
      <c r="C231" s="28" t="s">
        <v>15</v>
      </c>
      <c r="D231" s="28" t="s">
        <v>14055</v>
      </c>
      <c r="E231" s="28" t="s">
        <v>613</v>
      </c>
      <c r="F231" s="28" t="s">
        <v>313</v>
      </c>
      <c r="K231" s="28"/>
      <c r="L231" s="28"/>
      <c r="M231" s="28"/>
      <c r="N231" s="28"/>
      <c r="O231" s="28"/>
    </row>
    <row r="232" spans="1:15" x14ac:dyDescent="0.25">
      <c r="A232" t="s">
        <v>667</v>
      </c>
      <c r="B232" s="28" t="s">
        <v>668</v>
      </c>
      <c r="C232" s="28" t="s">
        <v>15</v>
      </c>
      <c r="D232" s="28" t="s">
        <v>669</v>
      </c>
      <c r="E232" s="28" t="s">
        <v>613</v>
      </c>
      <c r="F232" s="28" t="s">
        <v>313</v>
      </c>
      <c r="K232" s="28"/>
      <c r="L232" s="28"/>
      <c r="M232" s="28"/>
      <c r="N232" s="28"/>
      <c r="O232" s="28"/>
    </row>
    <row r="233" spans="1:15" x14ac:dyDescent="0.25">
      <c r="A233" t="s">
        <v>13125</v>
      </c>
      <c r="B233" s="28" t="s">
        <v>13126</v>
      </c>
      <c r="C233" s="28" t="s">
        <v>15</v>
      </c>
      <c r="D233" s="28" t="s">
        <v>14056</v>
      </c>
      <c r="E233" s="28" t="s">
        <v>613</v>
      </c>
      <c r="F233" s="28" t="s">
        <v>313</v>
      </c>
      <c r="K233" s="28"/>
      <c r="L233" s="28"/>
      <c r="M233" s="28"/>
      <c r="N233" s="28"/>
      <c r="O233" s="28"/>
    </row>
    <row r="234" spans="1:15" x14ac:dyDescent="0.25">
      <c r="A234" t="s">
        <v>670</v>
      </c>
      <c r="B234" s="28" t="s">
        <v>671</v>
      </c>
      <c r="C234" s="28" t="s">
        <v>15</v>
      </c>
      <c r="D234" s="28" t="s">
        <v>672</v>
      </c>
      <c r="E234" s="28" t="s">
        <v>613</v>
      </c>
      <c r="F234" s="28" t="s">
        <v>313</v>
      </c>
      <c r="K234" s="28"/>
      <c r="L234" s="28"/>
      <c r="M234" s="28"/>
      <c r="N234" s="28"/>
      <c r="O234" s="28"/>
    </row>
    <row r="235" spans="1:15" x14ac:dyDescent="0.25">
      <c r="A235" t="s">
        <v>673</v>
      </c>
      <c r="B235" s="28" t="s">
        <v>674</v>
      </c>
      <c r="C235" s="28" t="s">
        <v>15</v>
      </c>
      <c r="D235" s="28" t="s">
        <v>675</v>
      </c>
      <c r="E235" s="28" t="s">
        <v>613</v>
      </c>
      <c r="F235" s="28" t="s">
        <v>313</v>
      </c>
      <c r="K235" s="28"/>
      <c r="L235" s="28"/>
      <c r="M235" s="28"/>
      <c r="N235" s="28"/>
      <c r="O235" s="28"/>
    </row>
    <row r="236" spans="1:15" x14ac:dyDescent="0.25">
      <c r="A236" t="s">
        <v>676</v>
      </c>
      <c r="B236" s="28" t="s">
        <v>677</v>
      </c>
      <c r="C236" s="28" t="s">
        <v>15</v>
      </c>
      <c r="D236" s="28" t="s">
        <v>678</v>
      </c>
      <c r="E236" s="28" t="s">
        <v>613</v>
      </c>
      <c r="F236" s="28" t="s">
        <v>313</v>
      </c>
      <c r="K236" s="28"/>
      <c r="L236" s="28"/>
      <c r="M236" s="28"/>
      <c r="N236" s="28"/>
      <c r="O236" s="28"/>
    </row>
    <row r="237" spans="1:15" x14ac:dyDescent="0.25">
      <c r="A237" t="s">
        <v>679</v>
      </c>
      <c r="B237" s="28" t="s">
        <v>680</v>
      </c>
      <c r="C237" s="28" t="s">
        <v>15</v>
      </c>
      <c r="D237" s="28" t="s">
        <v>681</v>
      </c>
      <c r="E237" s="28" t="s">
        <v>613</v>
      </c>
      <c r="F237" s="28" t="s">
        <v>313</v>
      </c>
      <c r="K237" s="28"/>
      <c r="L237" s="28"/>
      <c r="M237" s="28"/>
      <c r="N237" s="28"/>
      <c r="O237" s="28"/>
    </row>
    <row r="238" spans="1:15" x14ac:dyDescent="0.25">
      <c r="A238" t="s">
        <v>682</v>
      </c>
      <c r="B238" s="28" t="s">
        <v>683</v>
      </c>
      <c r="C238" s="28" t="s">
        <v>15</v>
      </c>
      <c r="D238" s="28" t="s">
        <v>684</v>
      </c>
      <c r="E238" s="28" t="s">
        <v>613</v>
      </c>
      <c r="F238" s="28" t="s">
        <v>313</v>
      </c>
      <c r="K238" s="28"/>
      <c r="L238" s="28"/>
      <c r="M238" s="28"/>
      <c r="N238" s="28"/>
      <c r="O238" s="28"/>
    </row>
    <row r="239" spans="1:15" x14ac:dyDescent="0.25">
      <c r="A239" t="s">
        <v>685</v>
      </c>
      <c r="B239" s="28" t="s">
        <v>686</v>
      </c>
      <c r="C239" s="28" t="s">
        <v>15</v>
      </c>
      <c r="D239" s="28" t="s">
        <v>687</v>
      </c>
      <c r="E239" s="28" t="s">
        <v>613</v>
      </c>
      <c r="F239" s="28" t="s">
        <v>313</v>
      </c>
      <c r="K239" s="28"/>
      <c r="L239" s="28"/>
      <c r="M239" s="28"/>
      <c r="N239" s="28"/>
      <c r="O239" s="28"/>
    </row>
    <row r="240" spans="1:15" x14ac:dyDescent="0.25">
      <c r="A240" t="s">
        <v>688</v>
      </c>
      <c r="B240" s="28" t="s">
        <v>142</v>
      </c>
      <c r="C240" s="28" t="s">
        <v>15</v>
      </c>
      <c r="D240" s="28" t="s">
        <v>689</v>
      </c>
      <c r="E240" s="28" t="s">
        <v>613</v>
      </c>
      <c r="F240" s="28" t="s">
        <v>313</v>
      </c>
      <c r="K240" s="28"/>
      <c r="L240" s="28"/>
      <c r="M240" s="28"/>
      <c r="N240" s="28"/>
      <c r="O240" s="28"/>
    </row>
    <row r="241" spans="1:15" x14ac:dyDescent="0.25">
      <c r="A241" t="s">
        <v>14057</v>
      </c>
      <c r="B241" s="28" t="s">
        <v>14058</v>
      </c>
      <c r="C241" s="28" t="s">
        <v>15</v>
      </c>
      <c r="D241" s="28" t="s">
        <v>14059</v>
      </c>
      <c r="E241" s="28" t="s">
        <v>613</v>
      </c>
      <c r="F241" s="28" t="s">
        <v>313</v>
      </c>
      <c r="K241" s="28"/>
      <c r="L241" s="28"/>
      <c r="M241" s="28"/>
      <c r="N241" s="28"/>
      <c r="O241" s="28"/>
    </row>
    <row r="242" spans="1:15" x14ac:dyDescent="0.25">
      <c r="A242" t="s">
        <v>690</v>
      </c>
      <c r="B242" s="28" t="s">
        <v>691</v>
      </c>
      <c r="C242" s="28" t="s">
        <v>15</v>
      </c>
      <c r="D242" s="28" t="s">
        <v>692</v>
      </c>
      <c r="E242" s="28" t="s">
        <v>613</v>
      </c>
      <c r="F242" s="28" t="s">
        <v>313</v>
      </c>
      <c r="K242" s="28"/>
      <c r="L242" s="28"/>
      <c r="M242" s="28"/>
      <c r="N242" s="28"/>
      <c r="O242" s="28"/>
    </row>
    <row r="243" spans="1:15" x14ac:dyDescent="0.25">
      <c r="A243" t="s">
        <v>693</v>
      </c>
      <c r="B243" s="28" t="s">
        <v>14224</v>
      </c>
      <c r="C243" s="28" t="s">
        <v>15</v>
      </c>
      <c r="D243" s="28" t="s">
        <v>14225</v>
      </c>
      <c r="E243" s="28" t="s">
        <v>613</v>
      </c>
      <c r="F243" s="28" t="s">
        <v>313</v>
      </c>
      <c r="K243" s="28"/>
      <c r="L243" s="28"/>
      <c r="M243" s="28"/>
      <c r="N243" s="28"/>
      <c r="O243" s="28"/>
    </row>
    <row r="244" spans="1:15" x14ac:dyDescent="0.25">
      <c r="A244" t="s">
        <v>14060</v>
      </c>
      <c r="B244" s="28" t="s">
        <v>14061</v>
      </c>
      <c r="C244" s="28" t="s">
        <v>15</v>
      </c>
      <c r="D244" s="28" t="s">
        <v>14062</v>
      </c>
      <c r="E244" s="28" t="s">
        <v>613</v>
      </c>
      <c r="F244" s="28" t="s">
        <v>313</v>
      </c>
      <c r="K244" s="28"/>
      <c r="L244" s="28"/>
      <c r="M244" s="28"/>
      <c r="N244" s="28"/>
      <c r="O244" s="28"/>
    </row>
    <row r="245" spans="1:15" x14ac:dyDescent="0.25">
      <c r="A245" t="s">
        <v>14063</v>
      </c>
      <c r="B245" s="28" t="s">
        <v>14064</v>
      </c>
      <c r="C245" s="28" t="s">
        <v>15</v>
      </c>
      <c r="D245" s="28" t="s">
        <v>14065</v>
      </c>
      <c r="E245" s="28" t="s">
        <v>613</v>
      </c>
      <c r="F245" s="28" t="s">
        <v>313</v>
      </c>
      <c r="K245" s="28"/>
      <c r="L245" s="28"/>
      <c r="M245" s="28"/>
      <c r="N245" s="28"/>
      <c r="O245" s="28"/>
    </row>
    <row r="246" spans="1:15" x14ac:dyDescent="0.25">
      <c r="A246" t="s">
        <v>14066</v>
      </c>
      <c r="B246" s="28" t="s">
        <v>14067</v>
      </c>
      <c r="C246" s="28" t="s">
        <v>15</v>
      </c>
      <c r="D246" s="28" t="s">
        <v>14068</v>
      </c>
      <c r="E246" s="28" t="s">
        <v>613</v>
      </c>
      <c r="F246" s="28" t="s">
        <v>313</v>
      </c>
      <c r="K246" s="28"/>
      <c r="L246" s="28"/>
      <c r="M246" s="28"/>
      <c r="N246" s="28"/>
      <c r="O246" s="28"/>
    </row>
    <row r="247" spans="1:15" x14ac:dyDescent="0.25">
      <c r="A247" t="s">
        <v>694</v>
      </c>
      <c r="B247" s="28" t="s">
        <v>695</v>
      </c>
      <c r="C247" s="28" t="s">
        <v>15</v>
      </c>
      <c r="D247" s="28" t="s">
        <v>696</v>
      </c>
      <c r="E247" s="28" t="s">
        <v>613</v>
      </c>
      <c r="F247" s="28" t="s">
        <v>313</v>
      </c>
      <c r="K247" s="28"/>
      <c r="L247" s="28"/>
      <c r="M247" s="28"/>
      <c r="N247" s="28"/>
      <c r="O247" s="28"/>
    </row>
    <row r="248" spans="1:15" x14ac:dyDescent="0.25">
      <c r="A248" t="s">
        <v>698</v>
      </c>
      <c r="B248" s="28" t="s">
        <v>699</v>
      </c>
      <c r="C248" s="28" t="s">
        <v>15</v>
      </c>
      <c r="D248" s="28" t="s">
        <v>700</v>
      </c>
      <c r="E248" s="28" t="s">
        <v>613</v>
      </c>
      <c r="F248" s="28" t="s">
        <v>313</v>
      </c>
      <c r="K248" s="28"/>
      <c r="L248" s="28"/>
      <c r="M248" s="28"/>
      <c r="N248" s="28"/>
      <c r="O248" s="28"/>
    </row>
    <row r="249" spans="1:15" x14ac:dyDescent="0.25">
      <c r="A249" t="s">
        <v>702</v>
      </c>
      <c r="B249" s="28" t="s">
        <v>703</v>
      </c>
      <c r="C249" s="28" t="s">
        <v>15</v>
      </c>
      <c r="D249" s="28" t="s">
        <v>704</v>
      </c>
      <c r="E249" s="28" t="s">
        <v>613</v>
      </c>
      <c r="F249" s="28" t="s">
        <v>313</v>
      </c>
      <c r="K249" s="28"/>
      <c r="L249" s="28"/>
      <c r="M249" s="28"/>
      <c r="N249" s="28"/>
      <c r="O249" s="28"/>
    </row>
    <row r="250" spans="1:15" x14ac:dyDescent="0.25">
      <c r="A250" t="s">
        <v>705</v>
      </c>
      <c r="B250" s="28" t="s">
        <v>706</v>
      </c>
      <c r="C250" s="28" t="s">
        <v>15</v>
      </c>
      <c r="D250" s="28" t="s">
        <v>707</v>
      </c>
      <c r="E250" s="28" t="s">
        <v>613</v>
      </c>
      <c r="F250" s="28" t="s">
        <v>313</v>
      </c>
      <c r="K250" s="28"/>
      <c r="L250" s="28"/>
      <c r="M250" s="28"/>
      <c r="N250" s="28"/>
      <c r="O250" s="28"/>
    </row>
    <row r="251" spans="1:15" x14ac:dyDescent="0.25">
      <c r="A251" t="s">
        <v>708</v>
      </c>
      <c r="B251" s="28" t="s">
        <v>709</v>
      </c>
      <c r="C251" s="28" t="s">
        <v>15</v>
      </c>
      <c r="D251" s="28" t="s">
        <v>710</v>
      </c>
      <c r="E251" s="28" t="s">
        <v>613</v>
      </c>
      <c r="F251" s="28" t="s">
        <v>313</v>
      </c>
      <c r="K251" s="28"/>
      <c r="L251" s="28"/>
      <c r="M251" s="28"/>
      <c r="N251" s="28"/>
      <c r="O251" s="28"/>
    </row>
    <row r="252" spans="1:15" x14ac:dyDescent="0.25">
      <c r="A252" t="s">
        <v>10907</v>
      </c>
      <c r="B252" s="28" t="s">
        <v>697</v>
      </c>
      <c r="C252" s="28" t="s">
        <v>15</v>
      </c>
      <c r="D252" s="28" t="s">
        <v>711</v>
      </c>
      <c r="E252" s="28" t="s">
        <v>613</v>
      </c>
      <c r="F252" s="28" t="s">
        <v>313</v>
      </c>
      <c r="K252" s="28"/>
      <c r="L252" s="28"/>
      <c r="M252" s="28"/>
      <c r="N252" s="28"/>
      <c r="O252" s="28"/>
    </row>
    <row r="253" spans="1:15" x14ac:dyDescent="0.25">
      <c r="A253" t="s">
        <v>712</v>
      </c>
      <c r="B253" s="28" t="s">
        <v>713</v>
      </c>
      <c r="C253" s="28" t="s">
        <v>15</v>
      </c>
      <c r="D253" s="28" t="s">
        <v>714</v>
      </c>
      <c r="E253" s="28" t="s">
        <v>613</v>
      </c>
      <c r="F253" s="28" t="s">
        <v>313</v>
      </c>
      <c r="K253" s="28"/>
      <c r="L253" s="28"/>
      <c r="M253" s="28"/>
      <c r="N253" s="28"/>
      <c r="O253" s="28"/>
    </row>
    <row r="254" spans="1:15" x14ac:dyDescent="0.25">
      <c r="A254" t="s">
        <v>715</v>
      </c>
      <c r="B254" s="28" t="s">
        <v>716</v>
      </c>
      <c r="C254" s="28" t="s">
        <v>15</v>
      </c>
      <c r="D254" s="28" t="s">
        <v>717</v>
      </c>
      <c r="E254" s="28" t="s">
        <v>613</v>
      </c>
      <c r="F254" s="28" t="s">
        <v>313</v>
      </c>
      <c r="K254" s="28"/>
      <c r="L254" s="28"/>
      <c r="M254" s="28"/>
      <c r="N254" s="28"/>
      <c r="O254" s="28"/>
    </row>
    <row r="255" spans="1:15" x14ac:dyDescent="0.25">
      <c r="A255" t="s">
        <v>718</v>
      </c>
      <c r="B255" s="28" t="s">
        <v>719</v>
      </c>
      <c r="C255" s="28" t="s">
        <v>15</v>
      </c>
      <c r="D255" s="28" t="s">
        <v>720</v>
      </c>
      <c r="E255" s="28" t="s">
        <v>613</v>
      </c>
      <c r="F255" s="28" t="s">
        <v>313</v>
      </c>
      <c r="K255" s="28"/>
      <c r="L255" s="28"/>
      <c r="M255" s="28"/>
      <c r="N255" s="28"/>
      <c r="O255" s="28"/>
    </row>
    <row r="256" spans="1:15" x14ac:dyDescent="0.25">
      <c r="A256" t="s">
        <v>721</v>
      </c>
      <c r="B256" s="28" t="s">
        <v>722</v>
      </c>
      <c r="C256" s="28" t="s">
        <v>15</v>
      </c>
      <c r="D256" s="28" t="s">
        <v>723</v>
      </c>
      <c r="E256" s="28" t="s">
        <v>613</v>
      </c>
      <c r="F256" s="28" t="s">
        <v>313</v>
      </c>
      <c r="K256" s="28"/>
      <c r="L256" s="28"/>
      <c r="M256" s="28"/>
      <c r="N256" s="28"/>
      <c r="O256" s="28"/>
    </row>
    <row r="257" spans="1:15" x14ac:dyDescent="0.25">
      <c r="A257" t="s">
        <v>724</v>
      </c>
      <c r="B257" s="28" t="s">
        <v>725</v>
      </c>
      <c r="C257" s="28" t="s">
        <v>15</v>
      </c>
      <c r="D257" s="28" t="s">
        <v>726</v>
      </c>
      <c r="E257" s="28" t="s">
        <v>613</v>
      </c>
      <c r="F257" s="28" t="s">
        <v>313</v>
      </c>
      <c r="K257" s="28"/>
      <c r="L257" s="28"/>
      <c r="M257" s="28"/>
      <c r="N257" s="28"/>
      <c r="O257" s="28"/>
    </row>
    <row r="258" spans="1:15" x14ac:dyDescent="0.25">
      <c r="A258" t="s">
        <v>727</v>
      </c>
      <c r="B258" s="28" t="s">
        <v>728</v>
      </c>
      <c r="C258" s="28" t="s">
        <v>15</v>
      </c>
      <c r="D258" s="28" t="s">
        <v>729</v>
      </c>
      <c r="E258" s="28" t="s">
        <v>613</v>
      </c>
      <c r="F258" s="28" t="s">
        <v>313</v>
      </c>
      <c r="K258" s="28"/>
      <c r="L258" s="28"/>
      <c r="M258" s="28"/>
      <c r="N258" s="28"/>
      <c r="O258" s="28"/>
    </row>
    <row r="259" spans="1:15" x14ac:dyDescent="0.25">
      <c r="A259" t="s">
        <v>730</v>
      </c>
      <c r="B259" s="28" t="s">
        <v>731</v>
      </c>
      <c r="C259" s="28" t="s">
        <v>15</v>
      </c>
      <c r="D259" s="28" t="s">
        <v>732</v>
      </c>
      <c r="E259" s="28" t="s">
        <v>613</v>
      </c>
      <c r="F259" s="28" t="s">
        <v>313</v>
      </c>
      <c r="K259" s="28"/>
      <c r="L259" s="28"/>
      <c r="M259" s="28"/>
      <c r="N259" s="28"/>
      <c r="O259" s="28"/>
    </row>
    <row r="260" spans="1:15" x14ac:dyDescent="0.25">
      <c r="A260" t="s">
        <v>734</v>
      </c>
      <c r="B260" s="28" t="s">
        <v>735</v>
      </c>
      <c r="C260" s="28" t="s">
        <v>15</v>
      </c>
      <c r="D260" s="28" t="s">
        <v>736</v>
      </c>
      <c r="E260" s="28" t="s">
        <v>613</v>
      </c>
      <c r="F260" s="28" t="s">
        <v>313</v>
      </c>
      <c r="K260" s="28"/>
      <c r="L260" s="28"/>
      <c r="M260" s="28"/>
      <c r="N260" s="28"/>
      <c r="O260" s="28"/>
    </row>
    <row r="261" spans="1:15" x14ac:dyDescent="0.25">
      <c r="A261" t="s">
        <v>737</v>
      </c>
      <c r="B261" s="28" t="s">
        <v>738</v>
      </c>
      <c r="C261" s="28" t="s">
        <v>15</v>
      </c>
      <c r="D261" s="28" t="s">
        <v>739</v>
      </c>
      <c r="E261" s="28" t="s">
        <v>613</v>
      </c>
      <c r="F261" s="28" t="s">
        <v>313</v>
      </c>
      <c r="K261" s="28"/>
      <c r="L261" s="28"/>
      <c r="M261" s="28"/>
      <c r="N261" s="28"/>
      <c r="O261" s="28"/>
    </row>
    <row r="262" spans="1:15" x14ac:dyDescent="0.25">
      <c r="A262" t="s">
        <v>740</v>
      </c>
      <c r="B262" s="28" t="s">
        <v>741</v>
      </c>
      <c r="C262" s="28" t="s">
        <v>15</v>
      </c>
      <c r="D262" s="28" t="s">
        <v>742</v>
      </c>
      <c r="E262" s="28" t="s">
        <v>613</v>
      </c>
      <c r="F262" s="28" t="s">
        <v>313</v>
      </c>
      <c r="K262" s="28"/>
      <c r="L262" s="28"/>
      <c r="M262" s="28"/>
      <c r="N262" s="28"/>
      <c r="O262" s="28"/>
    </row>
    <row r="263" spans="1:15" x14ac:dyDescent="0.25">
      <c r="A263" t="s">
        <v>743</v>
      </c>
      <c r="B263" s="28" t="s">
        <v>744</v>
      </c>
      <c r="C263" s="28" t="s">
        <v>15</v>
      </c>
      <c r="D263" s="28" t="s">
        <v>745</v>
      </c>
      <c r="E263" s="28" t="s">
        <v>613</v>
      </c>
      <c r="F263" s="28" t="s">
        <v>313</v>
      </c>
      <c r="K263" s="28"/>
      <c r="L263" s="28"/>
      <c r="M263" s="28"/>
      <c r="N263" s="28"/>
      <c r="O263" s="28"/>
    </row>
    <row r="264" spans="1:15" x14ac:dyDescent="0.25">
      <c r="A264" t="s">
        <v>14069</v>
      </c>
      <c r="B264" s="28" t="s">
        <v>14070</v>
      </c>
      <c r="C264" s="28" t="s">
        <v>15</v>
      </c>
      <c r="D264" s="28" t="s">
        <v>14071</v>
      </c>
      <c r="E264" s="28" t="s">
        <v>613</v>
      </c>
      <c r="F264" s="28" t="s">
        <v>313</v>
      </c>
      <c r="K264" s="28"/>
      <c r="L264" s="28"/>
      <c r="M264" s="28"/>
      <c r="N264" s="28"/>
      <c r="O264" s="28"/>
    </row>
    <row r="265" spans="1:15" x14ac:dyDescent="0.25">
      <c r="A265" t="s">
        <v>746</v>
      </c>
      <c r="B265" s="28" t="s">
        <v>747</v>
      </c>
      <c r="C265" s="28" t="s">
        <v>15</v>
      </c>
      <c r="D265" s="28" t="s">
        <v>748</v>
      </c>
      <c r="E265" s="28" t="s">
        <v>613</v>
      </c>
      <c r="F265" s="28" t="s">
        <v>313</v>
      </c>
      <c r="K265" s="28"/>
      <c r="L265" s="28"/>
      <c r="M265" s="28"/>
      <c r="N265" s="28"/>
      <c r="O265" s="28"/>
    </row>
    <row r="266" spans="1:15" x14ac:dyDescent="0.25">
      <c r="A266" t="s">
        <v>210</v>
      </c>
      <c r="B266" s="28" t="s">
        <v>733</v>
      </c>
      <c r="C266" s="28" t="s">
        <v>15</v>
      </c>
      <c r="D266" s="28" t="s">
        <v>749</v>
      </c>
      <c r="E266" s="28" t="s">
        <v>613</v>
      </c>
      <c r="F266" s="28" t="s">
        <v>313</v>
      </c>
      <c r="K266" s="28"/>
      <c r="L266" s="28"/>
      <c r="M266" s="28"/>
      <c r="N266" s="28"/>
      <c r="O266" s="28"/>
    </row>
    <row r="267" spans="1:15" x14ac:dyDescent="0.25">
      <c r="A267" t="s">
        <v>750</v>
      </c>
      <c r="B267" s="28" t="s">
        <v>238</v>
      </c>
      <c r="C267" s="28" t="s">
        <v>15</v>
      </c>
      <c r="D267" s="28" t="s">
        <v>751</v>
      </c>
      <c r="E267" s="28" t="s">
        <v>613</v>
      </c>
      <c r="F267" s="28" t="s">
        <v>313</v>
      </c>
      <c r="K267" s="28"/>
      <c r="L267" s="28"/>
      <c r="M267" s="28"/>
      <c r="N267" s="28"/>
      <c r="O267" s="28"/>
    </row>
    <row r="268" spans="1:15" x14ac:dyDescent="0.25">
      <c r="A268" t="s">
        <v>752</v>
      </c>
      <c r="B268" s="28" t="s">
        <v>753</v>
      </c>
      <c r="C268" s="28" t="s">
        <v>15</v>
      </c>
      <c r="D268" s="28" t="s">
        <v>754</v>
      </c>
      <c r="E268" s="28" t="s">
        <v>613</v>
      </c>
      <c r="F268" s="28" t="s">
        <v>313</v>
      </c>
      <c r="K268" s="28"/>
      <c r="L268" s="28"/>
      <c r="M268" s="28"/>
      <c r="N268" s="28"/>
      <c r="O268" s="28"/>
    </row>
    <row r="269" spans="1:15" x14ac:dyDescent="0.25">
      <c r="A269" t="s">
        <v>755</v>
      </c>
      <c r="B269" s="28" t="s">
        <v>245</v>
      </c>
      <c r="C269" s="28" t="s">
        <v>15</v>
      </c>
      <c r="D269" s="28" t="s">
        <v>756</v>
      </c>
      <c r="E269" s="28" t="s">
        <v>613</v>
      </c>
      <c r="F269" s="28" t="s">
        <v>313</v>
      </c>
      <c r="K269" s="28"/>
      <c r="L269" s="28"/>
      <c r="M269" s="28"/>
      <c r="N269" s="28"/>
      <c r="O269" s="28"/>
    </row>
    <row r="270" spans="1:15" x14ac:dyDescent="0.25">
      <c r="A270" t="s">
        <v>14072</v>
      </c>
      <c r="B270" s="28" t="s">
        <v>14073</v>
      </c>
      <c r="C270" s="28" t="s">
        <v>15</v>
      </c>
      <c r="D270" s="28" t="s">
        <v>14074</v>
      </c>
      <c r="E270" s="28" t="s">
        <v>613</v>
      </c>
      <c r="F270" s="28" t="s">
        <v>313</v>
      </c>
      <c r="K270" s="28"/>
      <c r="L270" s="28"/>
      <c r="M270" s="28"/>
      <c r="N270" s="28"/>
      <c r="O270" s="28"/>
    </row>
    <row r="271" spans="1:15" x14ac:dyDescent="0.25">
      <c r="A271" t="s">
        <v>14075</v>
      </c>
      <c r="B271" s="28" t="s">
        <v>14076</v>
      </c>
      <c r="C271" s="28" t="s">
        <v>15</v>
      </c>
      <c r="D271" s="28" t="s">
        <v>14077</v>
      </c>
      <c r="E271" s="28" t="s">
        <v>613</v>
      </c>
      <c r="F271" s="28" t="s">
        <v>313</v>
      </c>
      <c r="K271" s="28"/>
      <c r="L271" s="28"/>
      <c r="M271" s="28"/>
      <c r="N271" s="28"/>
      <c r="O271" s="28"/>
    </row>
    <row r="272" spans="1:15" x14ac:dyDescent="0.25">
      <c r="A272" t="s">
        <v>13127</v>
      </c>
      <c r="B272" s="28" t="s">
        <v>13128</v>
      </c>
      <c r="C272" s="28" t="s">
        <v>15</v>
      </c>
      <c r="D272" s="28" t="s">
        <v>14078</v>
      </c>
      <c r="E272" s="28" t="s">
        <v>613</v>
      </c>
      <c r="F272" s="28" t="s">
        <v>313</v>
      </c>
      <c r="K272" s="28"/>
      <c r="L272" s="28"/>
      <c r="M272" s="28"/>
      <c r="N272" s="28"/>
      <c r="O272" s="28"/>
    </row>
    <row r="273" spans="1:15" x14ac:dyDescent="0.25">
      <c r="A273" t="s">
        <v>757</v>
      </c>
      <c r="B273" s="28" t="s">
        <v>758</v>
      </c>
      <c r="C273" s="28" t="s">
        <v>15</v>
      </c>
      <c r="D273" s="28" t="s">
        <v>759</v>
      </c>
      <c r="E273" s="28" t="s">
        <v>613</v>
      </c>
      <c r="F273" s="28" t="s">
        <v>313</v>
      </c>
      <c r="K273" s="28"/>
      <c r="L273" s="28"/>
      <c r="M273" s="28"/>
      <c r="N273" s="28"/>
      <c r="O273" s="28"/>
    </row>
    <row r="274" spans="1:15" x14ac:dyDescent="0.25">
      <c r="A274" t="s">
        <v>760</v>
      </c>
      <c r="B274" s="28" t="s">
        <v>193</v>
      </c>
      <c r="C274" s="28" t="s">
        <v>15</v>
      </c>
      <c r="D274" s="28" t="s">
        <v>761</v>
      </c>
      <c r="E274" s="28" t="s">
        <v>613</v>
      </c>
      <c r="F274" s="28" t="s">
        <v>313</v>
      </c>
      <c r="K274" s="28"/>
      <c r="L274" s="28"/>
      <c r="M274" s="28"/>
      <c r="N274" s="28"/>
      <c r="O274" s="28"/>
    </row>
    <row r="275" spans="1:15" x14ac:dyDescent="0.25">
      <c r="A275" t="s">
        <v>14079</v>
      </c>
      <c r="B275" s="28" t="s">
        <v>14080</v>
      </c>
      <c r="C275" s="28" t="s">
        <v>15</v>
      </c>
      <c r="D275" s="28" t="s">
        <v>14081</v>
      </c>
      <c r="E275" s="28" t="s">
        <v>613</v>
      </c>
      <c r="F275" s="28" t="s">
        <v>313</v>
      </c>
      <c r="K275" s="28"/>
      <c r="L275" s="28"/>
      <c r="M275" s="28"/>
      <c r="N275" s="28"/>
      <c r="O275" s="28"/>
    </row>
    <row r="276" spans="1:15" x14ac:dyDescent="0.25">
      <c r="A276" t="s">
        <v>764</v>
      </c>
      <c r="B276" s="28" t="s">
        <v>765</v>
      </c>
      <c r="C276" s="28" t="s">
        <v>15</v>
      </c>
      <c r="D276" s="28" t="s">
        <v>766</v>
      </c>
      <c r="E276" s="28" t="s">
        <v>613</v>
      </c>
      <c r="F276" s="28" t="s">
        <v>313</v>
      </c>
      <c r="K276" s="28"/>
      <c r="L276" s="28"/>
      <c r="M276" s="28"/>
      <c r="N276" s="28"/>
      <c r="O276" s="28"/>
    </row>
    <row r="277" spans="1:15" x14ac:dyDescent="0.25">
      <c r="A277" t="s">
        <v>768</v>
      </c>
      <c r="B277" s="28" t="s">
        <v>769</v>
      </c>
      <c r="C277" s="28" t="s">
        <v>15</v>
      </c>
      <c r="D277" s="28" t="s">
        <v>770</v>
      </c>
      <c r="E277" s="28" t="s">
        <v>613</v>
      </c>
      <c r="F277" s="28" t="s">
        <v>313</v>
      </c>
      <c r="K277" s="28"/>
      <c r="L277" s="28"/>
      <c r="M277" s="28"/>
      <c r="N277" s="28"/>
      <c r="O277" s="28"/>
    </row>
    <row r="278" spans="1:15" x14ac:dyDescent="0.25">
      <c r="A278" t="s">
        <v>771</v>
      </c>
      <c r="B278" s="28" t="s">
        <v>762</v>
      </c>
      <c r="C278" s="28" t="s">
        <v>15</v>
      </c>
      <c r="D278" s="28" t="s">
        <v>772</v>
      </c>
      <c r="E278" s="28" t="s">
        <v>613</v>
      </c>
      <c r="F278" s="28" t="s">
        <v>313</v>
      </c>
      <c r="K278" s="28"/>
      <c r="L278" s="28"/>
      <c r="M278" s="28"/>
      <c r="N278" s="28"/>
      <c r="O278" s="28"/>
    </row>
    <row r="279" spans="1:15" x14ac:dyDescent="0.25">
      <c r="A279" t="s">
        <v>773</v>
      </c>
      <c r="B279" s="28" t="s">
        <v>265</v>
      </c>
      <c r="C279" s="28" t="s">
        <v>15</v>
      </c>
      <c r="D279" s="28" t="s">
        <v>774</v>
      </c>
      <c r="E279" s="28" t="s">
        <v>613</v>
      </c>
      <c r="F279" s="28" t="s">
        <v>313</v>
      </c>
      <c r="K279" s="28"/>
      <c r="L279" s="28"/>
      <c r="M279" s="28"/>
      <c r="N279" s="28"/>
      <c r="O279" s="28"/>
    </row>
    <row r="280" spans="1:15" x14ac:dyDescent="0.25">
      <c r="A280" t="s">
        <v>775</v>
      </c>
      <c r="B280" s="28" t="s">
        <v>776</v>
      </c>
      <c r="C280" s="28" t="s">
        <v>15</v>
      </c>
      <c r="D280" s="28" t="s">
        <v>777</v>
      </c>
      <c r="E280" s="28" t="s">
        <v>613</v>
      </c>
      <c r="F280" s="28" t="s">
        <v>313</v>
      </c>
      <c r="K280" s="28"/>
      <c r="L280" s="28"/>
      <c r="M280" s="28"/>
      <c r="N280" s="28"/>
      <c r="O280" s="28"/>
    </row>
    <row r="281" spans="1:15" x14ac:dyDescent="0.25">
      <c r="A281" t="s">
        <v>778</v>
      </c>
      <c r="B281" s="28" t="s">
        <v>767</v>
      </c>
      <c r="C281" s="28" t="s">
        <v>15</v>
      </c>
      <c r="D281" s="28" t="s">
        <v>779</v>
      </c>
      <c r="E281" s="28" t="s">
        <v>613</v>
      </c>
      <c r="F281" s="28" t="s">
        <v>313</v>
      </c>
      <c r="K281" s="28"/>
      <c r="L281" s="28"/>
      <c r="M281" s="28"/>
      <c r="N281" s="28"/>
      <c r="O281" s="28"/>
    </row>
    <row r="282" spans="1:15" x14ac:dyDescent="0.25">
      <c r="A282" t="s">
        <v>780</v>
      </c>
      <c r="B282" s="28" t="s">
        <v>781</v>
      </c>
      <c r="C282" s="28" t="s">
        <v>15</v>
      </c>
      <c r="D282" s="28" t="s">
        <v>782</v>
      </c>
      <c r="E282" s="28" t="s">
        <v>613</v>
      </c>
      <c r="F282" s="28" t="s">
        <v>313</v>
      </c>
      <c r="K282" s="28"/>
      <c r="L282" s="28"/>
      <c r="M282" s="28"/>
      <c r="N282" s="28"/>
      <c r="O282" s="28"/>
    </row>
    <row r="283" spans="1:15" x14ac:dyDescent="0.25">
      <c r="A283" t="s">
        <v>13211</v>
      </c>
      <c r="B283" s="28" t="s">
        <v>13212</v>
      </c>
      <c r="C283" s="28" t="s">
        <v>15</v>
      </c>
      <c r="D283" s="28" t="s">
        <v>13213</v>
      </c>
      <c r="E283" s="28" t="s">
        <v>613</v>
      </c>
      <c r="F283" s="28" t="s">
        <v>313</v>
      </c>
      <c r="K283" s="28"/>
      <c r="L283" s="28"/>
      <c r="M283" s="28"/>
      <c r="N283" s="28"/>
      <c r="O283" s="28"/>
    </row>
    <row r="284" spans="1:15" x14ac:dyDescent="0.25">
      <c r="A284" t="s">
        <v>14082</v>
      </c>
      <c r="B284" s="28" t="s">
        <v>14083</v>
      </c>
      <c r="C284" s="28" t="s">
        <v>15</v>
      </c>
      <c r="D284" s="28" t="s">
        <v>14084</v>
      </c>
      <c r="E284" s="28" t="s">
        <v>613</v>
      </c>
      <c r="F284" s="28" t="s">
        <v>313</v>
      </c>
      <c r="K284" s="28"/>
      <c r="L284" s="28"/>
      <c r="M284" s="28"/>
      <c r="N284" s="28"/>
      <c r="O284" s="28"/>
    </row>
    <row r="285" spans="1:15" x14ac:dyDescent="0.25">
      <c r="A285" t="s">
        <v>13129</v>
      </c>
      <c r="B285" s="28" t="s">
        <v>13130</v>
      </c>
      <c r="C285" s="28" t="s">
        <v>15</v>
      </c>
      <c r="D285" s="28" t="s">
        <v>13131</v>
      </c>
      <c r="E285" s="28" t="s">
        <v>613</v>
      </c>
      <c r="F285" s="28" t="s">
        <v>313</v>
      </c>
      <c r="K285" s="28"/>
      <c r="L285" s="28"/>
      <c r="M285" s="28"/>
      <c r="N285" s="28"/>
      <c r="O285" s="28"/>
    </row>
    <row r="286" spans="1:15" x14ac:dyDescent="0.25">
      <c r="A286" t="s">
        <v>12554</v>
      </c>
      <c r="B286" s="28" t="s">
        <v>13132</v>
      </c>
      <c r="C286" s="28" t="s">
        <v>15</v>
      </c>
      <c r="D286" s="28" t="s">
        <v>13133</v>
      </c>
      <c r="E286" s="28" t="s">
        <v>613</v>
      </c>
      <c r="F286" s="28" t="s">
        <v>313</v>
      </c>
      <c r="K286" s="28"/>
      <c r="L286" s="28"/>
      <c r="M286" s="28"/>
      <c r="N286" s="28"/>
      <c r="O286" s="28"/>
    </row>
    <row r="287" spans="1:15" x14ac:dyDescent="0.25">
      <c r="A287" t="s">
        <v>13134</v>
      </c>
      <c r="B287" s="28" t="s">
        <v>13214</v>
      </c>
      <c r="C287" s="28" t="s">
        <v>15</v>
      </c>
      <c r="D287" s="28" t="s">
        <v>13135</v>
      </c>
      <c r="E287" s="28" t="s">
        <v>613</v>
      </c>
      <c r="F287" s="28" t="s">
        <v>313</v>
      </c>
      <c r="K287" s="28"/>
      <c r="L287" s="28"/>
      <c r="M287" s="28"/>
      <c r="N287" s="28"/>
      <c r="O287" s="28"/>
    </row>
    <row r="288" spans="1:15" x14ac:dyDescent="0.25">
      <c r="A288" t="s">
        <v>13215</v>
      </c>
      <c r="B288" s="28" t="s">
        <v>12653</v>
      </c>
      <c r="C288" s="28" t="s">
        <v>15</v>
      </c>
      <c r="D288" s="28" t="s">
        <v>13216</v>
      </c>
      <c r="E288" s="28" t="s">
        <v>613</v>
      </c>
      <c r="F288" s="28" t="s">
        <v>313</v>
      </c>
      <c r="K288" s="28"/>
      <c r="L288" s="28"/>
      <c r="M288" s="28"/>
      <c r="N288" s="28"/>
      <c r="O288" s="28"/>
    </row>
    <row r="289" spans="1:15" x14ac:dyDescent="0.25">
      <c r="A289" t="s">
        <v>13217</v>
      </c>
      <c r="B289" s="28" t="s">
        <v>13218</v>
      </c>
      <c r="C289" s="28" t="s">
        <v>15</v>
      </c>
      <c r="D289" s="28" t="s">
        <v>13219</v>
      </c>
      <c r="E289" s="28" t="s">
        <v>613</v>
      </c>
      <c r="F289" s="28" t="s">
        <v>313</v>
      </c>
      <c r="K289" s="28"/>
      <c r="L289" s="28"/>
      <c r="M289" s="28"/>
      <c r="N289" s="28"/>
      <c r="O289" s="28"/>
    </row>
    <row r="290" spans="1:15" x14ac:dyDescent="0.25">
      <c r="A290" t="s">
        <v>14085</v>
      </c>
      <c r="B290" s="28" t="s">
        <v>14086</v>
      </c>
      <c r="C290" s="28" t="s">
        <v>15</v>
      </c>
      <c r="D290" s="28" t="s">
        <v>14087</v>
      </c>
      <c r="E290" s="28" t="s">
        <v>613</v>
      </c>
      <c r="F290" s="28" t="s">
        <v>313</v>
      </c>
      <c r="K290" s="28"/>
      <c r="L290" s="28"/>
      <c r="M290" s="28"/>
      <c r="N290" s="28"/>
      <c r="O290" s="28"/>
    </row>
    <row r="291" spans="1:15" x14ac:dyDescent="0.25">
      <c r="A291" t="s">
        <v>14088</v>
      </c>
      <c r="B291" s="28" t="s">
        <v>701</v>
      </c>
      <c r="C291" s="28" t="s">
        <v>15</v>
      </c>
      <c r="D291" s="28" t="s">
        <v>14089</v>
      </c>
      <c r="E291" s="28" t="s">
        <v>613</v>
      </c>
      <c r="F291" s="28" t="s">
        <v>313</v>
      </c>
      <c r="K291" s="28"/>
      <c r="L291" s="28"/>
      <c r="M291" s="28"/>
      <c r="N291" s="28"/>
      <c r="O291" s="28"/>
    </row>
    <row r="292" spans="1:15" x14ac:dyDescent="0.25">
      <c r="A292" t="s">
        <v>14090</v>
      </c>
      <c r="B292" s="28" t="s">
        <v>14091</v>
      </c>
      <c r="C292" s="28" t="s">
        <v>15</v>
      </c>
      <c r="D292" s="28" t="s">
        <v>14092</v>
      </c>
      <c r="E292" s="28" t="s">
        <v>613</v>
      </c>
      <c r="F292" s="28" t="s">
        <v>313</v>
      </c>
      <c r="K292" s="28"/>
      <c r="L292" s="28"/>
      <c r="M292" s="28"/>
      <c r="N292" s="28"/>
      <c r="O292" s="28"/>
    </row>
    <row r="293" spans="1:15" x14ac:dyDescent="0.25">
      <c r="A293" t="s">
        <v>14093</v>
      </c>
      <c r="B293" s="28" t="s">
        <v>265</v>
      </c>
      <c r="C293" s="28" t="s">
        <v>15</v>
      </c>
      <c r="D293" s="28" t="s">
        <v>14094</v>
      </c>
      <c r="E293" s="28" t="s">
        <v>613</v>
      </c>
      <c r="F293" s="28" t="s">
        <v>313</v>
      </c>
      <c r="K293" s="28"/>
      <c r="L293" s="28"/>
      <c r="M293" s="28"/>
      <c r="N293" s="28"/>
      <c r="O293" s="28"/>
    </row>
    <row r="294" spans="1:15" x14ac:dyDescent="0.25">
      <c r="A294" t="s">
        <v>783</v>
      </c>
      <c r="B294" s="28" t="s">
        <v>784</v>
      </c>
      <c r="C294" s="28" t="s">
        <v>110</v>
      </c>
      <c r="D294" s="28" t="s">
        <v>785</v>
      </c>
      <c r="E294" s="28" t="s">
        <v>13563</v>
      </c>
      <c r="F294" s="28" t="s">
        <v>279</v>
      </c>
      <c r="K294" s="28"/>
      <c r="L294" s="28"/>
      <c r="M294" s="28"/>
      <c r="N294" s="28"/>
      <c r="O294" s="28"/>
    </row>
    <row r="295" spans="1:15" x14ac:dyDescent="0.25">
      <c r="A295" t="s">
        <v>11576</v>
      </c>
      <c r="B295" s="28" t="s">
        <v>11577</v>
      </c>
      <c r="C295" s="28" t="s">
        <v>110</v>
      </c>
      <c r="D295" s="28" t="s">
        <v>12659</v>
      </c>
      <c r="E295" s="28" t="s">
        <v>13563</v>
      </c>
      <c r="F295" s="28" t="s">
        <v>279</v>
      </c>
      <c r="K295" s="28"/>
      <c r="L295" s="28"/>
      <c r="M295" s="28"/>
      <c r="N295" s="28"/>
      <c r="O295" s="28"/>
    </row>
    <row r="296" spans="1:15" x14ac:dyDescent="0.25">
      <c r="A296" t="s">
        <v>11578</v>
      </c>
      <c r="B296" s="28" t="s">
        <v>11579</v>
      </c>
      <c r="C296" s="28" t="s">
        <v>110</v>
      </c>
      <c r="D296" s="28" t="s">
        <v>12660</v>
      </c>
      <c r="E296" s="28" t="s">
        <v>13563</v>
      </c>
      <c r="F296" s="28" t="s">
        <v>279</v>
      </c>
      <c r="K296" s="28"/>
      <c r="L296" s="28"/>
      <c r="M296" s="28"/>
      <c r="N296" s="28"/>
      <c r="O296" s="28"/>
    </row>
    <row r="297" spans="1:15" x14ac:dyDescent="0.25">
      <c r="A297" t="s">
        <v>11563</v>
      </c>
      <c r="B297" s="28" t="s">
        <v>11564</v>
      </c>
      <c r="C297" s="28" t="s">
        <v>110</v>
      </c>
      <c r="D297" s="28" t="s">
        <v>11565</v>
      </c>
      <c r="E297" s="28" t="s">
        <v>13563</v>
      </c>
      <c r="F297" s="28" t="s">
        <v>279</v>
      </c>
      <c r="K297" s="28"/>
      <c r="L297" s="28"/>
      <c r="M297" s="28"/>
      <c r="N297" s="28"/>
      <c r="O297" s="28"/>
    </row>
    <row r="298" spans="1:15" x14ac:dyDescent="0.25">
      <c r="A298" t="s">
        <v>6327</v>
      </c>
      <c r="B298" s="28" t="s">
        <v>11566</v>
      </c>
      <c r="C298" s="28" t="s">
        <v>110</v>
      </c>
      <c r="D298" s="28" t="s">
        <v>11567</v>
      </c>
      <c r="E298" s="28" t="s">
        <v>13563</v>
      </c>
      <c r="F298" s="28" t="s">
        <v>279</v>
      </c>
      <c r="K298" s="28"/>
      <c r="L298" s="28"/>
      <c r="M298" s="28"/>
      <c r="N298" s="28"/>
      <c r="O298" s="28"/>
    </row>
    <row r="299" spans="1:15" x14ac:dyDescent="0.25">
      <c r="A299" t="s">
        <v>786</v>
      </c>
      <c r="B299" s="28" t="s">
        <v>787</v>
      </c>
      <c r="C299" s="28" t="s">
        <v>110</v>
      </c>
      <c r="D299" s="28" t="s">
        <v>788</v>
      </c>
      <c r="E299" s="28" t="s">
        <v>13563</v>
      </c>
      <c r="F299" s="28" t="s">
        <v>279</v>
      </c>
      <c r="K299" s="28"/>
      <c r="L299" s="28"/>
      <c r="M299" s="28"/>
      <c r="N299" s="28"/>
      <c r="O299" s="28"/>
    </row>
    <row r="300" spans="1:15" x14ac:dyDescent="0.25">
      <c r="A300" t="s">
        <v>6313</v>
      </c>
      <c r="B300" s="28" t="s">
        <v>11568</v>
      </c>
      <c r="C300" s="28" t="s">
        <v>110</v>
      </c>
      <c r="D300" s="28" t="s">
        <v>11569</v>
      </c>
      <c r="E300" s="28" t="s">
        <v>13563</v>
      </c>
      <c r="F300" s="28" t="s">
        <v>279</v>
      </c>
      <c r="K300" s="28"/>
      <c r="L300" s="28"/>
      <c r="M300" s="28"/>
      <c r="N300" s="28"/>
      <c r="O300" s="28"/>
    </row>
    <row r="301" spans="1:15" x14ac:dyDescent="0.25">
      <c r="A301" t="s">
        <v>11570</v>
      </c>
      <c r="B301" s="28" t="s">
        <v>11571</v>
      </c>
      <c r="C301" s="28" t="s">
        <v>110</v>
      </c>
      <c r="D301" s="28" t="s">
        <v>11572</v>
      </c>
      <c r="E301" s="28" t="s">
        <v>13563</v>
      </c>
      <c r="F301" s="28" t="s">
        <v>279</v>
      </c>
      <c r="K301" s="28"/>
      <c r="L301" s="28"/>
      <c r="M301" s="28"/>
      <c r="N301" s="28"/>
      <c r="O301" s="28"/>
    </row>
    <row r="302" spans="1:15" x14ac:dyDescent="0.25">
      <c r="A302" t="s">
        <v>11573</v>
      </c>
      <c r="B302" s="28" t="s">
        <v>11574</v>
      </c>
      <c r="C302" s="28" t="s">
        <v>110</v>
      </c>
      <c r="D302" s="28" t="s">
        <v>11575</v>
      </c>
      <c r="E302" s="28" t="s">
        <v>13563</v>
      </c>
      <c r="F302" s="28" t="s">
        <v>279</v>
      </c>
      <c r="K302" s="28"/>
      <c r="L302" s="28"/>
      <c r="M302" s="28"/>
      <c r="N302" s="28"/>
      <c r="O302" s="28"/>
    </row>
    <row r="303" spans="1:15" x14ac:dyDescent="0.25">
      <c r="A303" t="s">
        <v>14226</v>
      </c>
      <c r="B303" s="28" t="s">
        <v>14227</v>
      </c>
      <c r="C303" s="28" t="s">
        <v>110</v>
      </c>
      <c r="D303" s="28" t="s">
        <v>14228</v>
      </c>
      <c r="E303" s="28" t="s">
        <v>13563</v>
      </c>
      <c r="F303" s="28" t="s">
        <v>279</v>
      </c>
      <c r="K303" s="28"/>
      <c r="L303" s="28"/>
      <c r="M303" s="28"/>
      <c r="N303" s="28"/>
      <c r="O303" s="28"/>
    </row>
    <row r="304" spans="1:15" x14ac:dyDescent="0.25">
      <c r="A304" t="s">
        <v>789</v>
      </c>
      <c r="B304" s="28" t="s">
        <v>248</v>
      </c>
      <c r="C304" s="28" t="s">
        <v>21</v>
      </c>
      <c r="D304" s="28" t="s">
        <v>790</v>
      </c>
      <c r="E304" s="28" t="s">
        <v>791</v>
      </c>
      <c r="F304" s="28" t="s">
        <v>313</v>
      </c>
      <c r="K304" s="28"/>
      <c r="L304" s="28"/>
      <c r="M304" s="28"/>
      <c r="N304" s="28"/>
      <c r="O304" s="28"/>
    </row>
    <row r="305" spans="1:15" x14ac:dyDescent="0.25">
      <c r="A305" t="s">
        <v>792</v>
      </c>
      <c r="B305" s="28" t="s">
        <v>249</v>
      </c>
      <c r="C305" s="28" t="s">
        <v>21</v>
      </c>
      <c r="D305" s="28" t="s">
        <v>793</v>
      </c>
      <c r="E305" s="28" t="s">
        <v>791</v>
      </c>
      <c r="F305" s="28" t="s">
        <v>313</v>
      </c>
      <c r="K305" s="28"/>
      <c r="L305" s="28"/>
      <c r="M305" s="28"/>
      <c r="N305" s="28"/>
      <c r="O305" s="28"/>
    </row>
    <row r="306" spans="1:15" x14ac:dyDescent="0.25">
      <c r="A306" t="s">
        <v>794</v>
      </c>
      <c r="B306" s="28" t="s">
        <v>250</v>
      </c>
      <c r="C306" s="28" t="s">
        <v>21</v>
      </c>
      <c r="D306" s="28" t="s">
        <v>795</v>
      </c>
      <c r="E306" s="28" t="s">
        <v>791</v>
      </c>
      <c r="F306" s="28" t="s">
        <v>313</v>
      </c>
      <c r="K306" s="28"/>
      <c r="L306" s="28"/>
      <c r="M306" s="28"/>
      <c r="N306" s="28"/>
      <c r="O306" s="28"/>
    </row>
    <row r="307" spans="1:15" x14ac:dyDescent="0.25">
      <c r="A307" t="s">
        <v>796</v>
      </c>
      <c r="B307" s="28" t="s">
        <v>797</v>
      </c>
      <c r="C307" s="28" t="s">
        <v>21</v>
      </c>
      <c r="D307" s="28" t="s">
        <v>798</v>
      </c>
      <c r="E307" s="28" t="s">
        <v>791</v>
      </c>
      <c r="F307" s="28" t="s">
        <v>313</v>
      </c>
      <c r="K307" s="28"/>
      <c r="L307" s="28"/>
      <c r="M307" s="28"/>
      <c r="N307" s="28"/>
      <c r="O307" s="28"/>
    </row>
    <row r="308" spans="1:15" x14ac:dyDescent="0.25">
      <c r="A308" t="s">
        <v>251</v>
      </c>
      <c r="B308" s="28" t="s">
        <v>11580</v>
      </c>
      <c r="C308" s="28" t="s">
        <v>125</v>
      </c>
      <c r="D308" s="28" t="s">
        <v>11581</v>
      </c>
      <c r="E308" s="28" t="s">
        <v>6491</v>
      </c>
      <c r="F308" s="28" t="s">
        <v>313</v>
      </c>
      <c r="K308" s="28"/>
      <c r="L308" s="28"/>
      <c r="M308" s="28"/>
      <c r="N308" s="28"/>
      <c r="O308" s="28"/>
    </row>
    <row r="309" spans="1:15" x14ac:dyDescent="0.25">
      <c r="A309" t="s">
        <v>11451</v>
      </c>
      <c r="B309" s="28" t="s">
        <v>11582</v>
      </c>
      <c r="C309" s="28" t="s">
        <v>125</v>
      </c>
      <c r="D309" s="28" t="s">
        <v>11583</v>
      </c>
      <c r="E309" s="28" t="s">
        <v>6491</v>
      </c>
      <c r="F309" s="28" t="s">
        <v>313</v>
      </c>
      <c r="K309" s="28"/>
      <c r="L309" s="28"/>
      <c r="M309" s="28"/>
      <c r="N309" s="28"/>
      <c r="O309" s="28"/>
    </row>
    <row r="310" spans="1:15" x14ac:dyDescent="0.25">
      <c r="A310" t="s">
        <v>6490</v>
      </c>
      <c r="B310" s="28" t="s">
        <v>11584</v>
      </c>
      <c r="C310" s="28" t="s">
        <v>125</v>
      </c>
      <c r="D310" s="28" t="s">
        <v>11585</v>
      </c>
      <c r="E310" s="28" t="s">
        <v>6491</v>
      </c>
      <c r="F310" s="28" t="s">
        <v>313</v>
      </c>
      <c r="K310" s="28"/>
      <c r="L310" s="28"/>
      <c r="M310" s="28"/>
      <c r="N310" s="28"/>
      <c r="O310" s="28"/>
    </row>
    <row r="311" spans="1:15" x14ac:dyDescent="0.25">
      <c r="A311" t="s">
        <v>252</v>
      </c>
      <c r="B311" s="28" t="s">
        <v>13220</v>
      </c>
      <c r="C311" s="28" t="s">
        <v>129</v>
      </c>
      <c r="D311" s="28" t="s">
        <v>13221</v>
      </c>
      <c r="E311" s="28" t="s">
        <v>802</v>
      </c>
      <c r="F311" s="28" t="s">
        <v>313</v>
      </c>
      <c r="K311" s="28"/>
      <c r="L311" s="28"/>
      <c r="M311" s="28"/>
      <c r="N311" s="28"/>
      <c r="O311" s="28"/>
    </row>
    <row r="312" spans="1:15" x14ac:dyDescent="0.25">
      <c r="A312" t="s">
        <v>799</v>
      </c>
      <c r="B312" s="28" t="s">
        <v>800</v>
      </c>
      <c r="C312" s="28" t="s">
        <v>129</v>
      </c>
      <c r="D312" s="28" t="s">
        <v>801</v>
      </c>
      <c r="E312" s="28" t="s">
        <v>802</v>
      </c>
      <c r="F312" s="28" t="s">
        <v>313</v>
      </c>
      <c r="K312" s="28"/>
      <c r="L312" s="28"/>
      <c r="M312" s="28"/>
      <c r="N312" s="28"/>
      <c r="O312" s="28"/>
    </row>
    <row r="313" spans="1:15" x14ac:dyDescent="0.25">
      <c r="A313" t="s">
        <v>803</v>
      </c>
      <c r="B313" s="28" t="s">
        <v>367</v>
      </c>
      <c r="C313" s="28" t="s">
        <v>137</v>
      </c>
      <c r="D313" s="28" t="s">
        <v>804</v>
      </c>
      <c r="E313" s="28" t="s">
        <v>805</v>
      </c>
      <c r="F313" s="28" t="s">
        <v>313</v>
      </c>
      <c r="K313" s="28"/>
      <c r="L313" s="28"/>
      <c r="M313" s="28"/>
      <c r="N313" s="28"/>
      <c r="O313" s="28"/>
    </row>
    <row r="314" spans="1:15" x14ac:dyDescent="0.25">
      <c r="A314" t="s">
        <v>806</v>
      </c>
      <c r="B314" s="28" t="s">
        <v>807</v>
      </c>
      <c r="C314" s="28" t="s">
        <v>137</v>
      </c>
      <c r="D314" s="28" t="s">
        <v>808</v>
      </c>
      <c r="E314" s="28" t="s">
        <v>805</v>
      </c>
      <c r="F314" s="28" t="s">
        <v>313</v>
      </c>
      <c r="K314" s="28"/>
      <c r="L314" s="28"/>
      <c r="M314" s="28"/>
      <c r="N314" s="28"/>
      <c r="O314" s="28"/>
    </row>
    <row r="315" spans="1:15" x14ac:dyDescent="0.25">
      <c r="A315" t="s">
        <v>12661</v>
      </c>
      <c r="B315" s="28" t="s">
        <v>13564</v>
      </c>
      <c r="C315" s="28" t="s">
        <v>137</v>
      </c>
      <c r="D315" s="28" t="s">
        <v>809</v>
      </c>
      <c r="E315" s="28" t="s">
        <v>805</v>
      </c>
      <c r="F315" s="28" t="s">
        <v>313</v>
      </c>
      <c r="K315" s="28"/>
      <c r="L315" s="28"/>
      <c r="M315" s="28"/>
      <c r="N315" s="28"/>
      <c r="O315" s="28"/>
    </row>
    <row r="316" spans="1:15" x14ac:dyDescent="0.25">
      <c r="A316" t="s">
        <v>810</v>
      </c>
      <c r="B316" s="28" t="s">
        <v>811</v>
      </c>
      <c r="C316" s="28" t="s">
        <v>137</v>
      </c>
      <c r="D316" s="28" t="s">
        <v>812</v>
      </c>
      <c r="E316" s="28" t="s">
        <v>805</v>
      </c>
      <c r="F316" s="28" t="s">
        <v>313</v>
      </c>
      <c r="K316" s="28"/>
      <c r="L316" s="28"/>
      <c r="M316" s="28"/>
      <c r="N316" s="28"/>
      <c r="O316" s="28"/>
    </row>
    <row r="317" spans="1:15" x14ac:dyDescent="0.25">
      <c r="A317" t="s">
        <v>813</v>
      </c>
      <c r="B317" s="28" t="s">
        <v>814</v>
      </c>
      <c r="C317" s="28" t="s">
        <v>137</v>
      </c>
      <c r="D317" s="28" t="s">
        <v>815</v>
      </c>
      <c r="E317" s="28" t="s">
        <v>805</v>
      </c>
      <c r="F317" s="28" t="s">
        <v>313</v>
      </c>
      <c r="K317" s="28"/>
      <c r="L317" s="28"/>
      <c r="M317" s="28"/>
      <c r="N317" s="28"/>
      <c r="O317" s="28"/>
    </row>
    <row r="318" spans="1:15" x14ac:dyDescent="0.25">
      <c r="A318" t="s">
        <v>816</v>
      </c>
      <c r="B318" s="28" t="s">
        <v>817</v>
      </c>
      <c r="C318" s="28" t="s">
        <v>137</v>
      </c>
      <c r="D318" s="28" t="s">
        <v>818</v>
      </c>
      <c r="E318" s="28" t="s">
        <v>805</v>
      </c>
      <c r="F318" s="28" t="s">
        <v>313</v>
      </c>
      <c r="K318" s="28"/>
      <c r="L318" s="28"/>
      <c r="M318" s="28"/>
      <c r="N318" s="28"/>
      <c r="O318" s="28"/>
    </row>
    <row r="319" spans="1:15" x14ac:dyDescent="0.25">
      <c r="A319" t="s">
        <v>6631</v>
      </c>
      <c r="B319" s="28" t="s">
        <v>11586</v>
      </c>
      <c r="C319" s="28" t="s">
        <v>137</v>
      </c>
      <c r="D319" s="28" t="s">
        <v>11587</v>
      </c>
      <c r="E319" s="28" t="s">
        <v>805</v>
      </c>
      <c r="F319" s="28" t="s">
        <v>313</v>
      </c>
      <c r="K319" s="28"/>
      <c r="L319" s="28"/>
      <c r="M319" s="28"/>
      <c r="N319" s="28"/>
      <c r="O319" s="28"/>
    </row>
    <row r="320" spans="1:15" x14ac:dyDescent="0.25">
      <c r="A320" t="s">
        <v>12662</v>
      </c>
      <c r="B320" s="28" t="s">
        <v>13565</v>
      </c>
      <c r="C320" s="28" t="s">
        <v>137</v>
      </c>
      <c r="D320" s="28" t="s">
        <v>12663</v>
      </c>
      <c r="E320" s="28" t="s">
        <v>805</v>
      </c>
      <c r="F320" s="28" t="s">
        <v>313</v>
      </c>
      <c r="K320" s="28"/>
      <c r="L320" s="28"/>
      <c r="M320" s="28"/>
      <c r="N320" s="28"/>
      <c r="O320" s="28"/>
    </row>
    <row r="321" spans="1:15" x14ac:dyDescent="0.25">
      <c r="A321" t="s">
        <v>6836</v>
      </c>
      <c r="B321" s="28" t="s">
        <v>10908</v>
      </c>
      <c r="C321" s="28" t="s">
        <v>141</v>
      </c>
      <c r="D321" s="28" t="s">
        <v>10909</v>
      </c>
      <c r="E321" s="28" t="s">
        <v>14229</v>
      </c>
      <c r="F321" s="28" t="s">
        <v>313</v>
      </c>
      <c r="K321" s="28"/>
      <c r="L321" s="28"/>
      <c r="M321" s="28"/>
      <c r="N321" s="28"/>
      <c r="O321" s="28"/>
    </row>
    <row r="322" spans="1:15" x14ac:dyDescent="0.25">
      <c r="A322" t="s">
        <v>828</v>
      </c>
      <c r="B322" s="28" t="s">
        <v>829</v>
      </c>
      <c r="C322" s="28" t="s">
        <v>145</v>
      </c>
      <c r="D322" s="28" t="s">
        <v>830</v>
      </c>
      <c r="E322" s="28" t="s">
        <v>13222</v>
      </c>
      <c r="F322" s="28" t="s">
        <v>313</v>
      </c>
      <c r="K322" s="28"/>
      <c r="L322" s="28"/>
      <c r="M322" s="28"/>
      <c r="N322" s="28"/>
      <c r="O322" s="28"/>
    </row>
    <row r="323" spans="1:15" x14ac:dyDescent="0.25">
      <c r="A323" t="s">
        <v>831</v>
      </c>
      <c r="B323" s="28" t="s">
        <v>254</v>
      </c>
      <c r="C323" s="28" t="s">
        <v>145</v>
      </c>
      <c r="D323" s="28" t="s">
        <v>832</v>
      </c>
      <c r="E323" s="28" t="s">
        <v>13222</v>
      </c>
      <c r="F323" s="28" t="s">
        <v>313</v>
      </c>
    </row>
    <row r="324" spans="1:15" x14ac:dyDescent="0.25">
      <c r="A324" t="s">
        <v>833</v>
      </c>
      <c r="B324" s="28" t="s">
        <v>834</v>
      </c>
      <c r="C324" s="28" t="s">
        <v>145</v>
      </c>
      <c r="D324" s="28" t="s">
        <v>835</v>
      </c>
      <c r="E324" s="28" t="s">
        <v>13222</v>
      </c>
      <c r="F324" s="28" t="s">
        <v>313</v>
      </c>
    </row>
    <row r="325" spans="1:15" x14ac:dyDescent="0.25">
      <c r="A325" t="s">
        <v>836</v>
      </c>
      <c r="B325" s="28" t="s">
        <v>837</v>
      </c>
      <c r="C325" s="28" t="s">
        <v>145</v>
      </c>
      <c r="D325" s="28" t="s">
        <v>838</v>
      </c>
      <c r="E325" s="28" t="s">
        <v>13222</v>
      </c>
      <c r="F325" s="28" t="s">
        <v>313</v>
      </c>
    </row>
    <row r="326" spans="1:15" x14ac:dyDescent="0.25">
      <c r="A326" t="s">
        <v>6901</v>
      </c>
      <c r="B326" s="28" t="s">
        <v>12664</v>
      </c>
      <c r="C326" s="28" t="s">
        <v>6896</v>
      </c>
      <c r="D326" s="28" t="s">
        <v>12665</v>
      </c>
      <c r="E326" s="28" t="s">
        <v>6897</v>
      </c>
      <c r="F326" s="28" t="s">
        <v>279</v>
      </c>
    </row>
    <row r="327" spans="1:15" x14ac:dyDescent="0.25">
      <c r="A327" t="s">
        <v>255</v>
      </c>
      <c r="B327" s="28" t="s">
        <v>12666</v>
      </c>
      <c r="C327" s="28" t="s">
        <v>6896</v>
      </c>
      <c r="D327" s="28" t="s">
        <v>12667</v>
      </c>
      <c r="E327" s="28" t="s">
        <v>6897</v>
      </c>
      <c r="F327" s="28" t="s">
        <v>279</v>
      </c>
    </row>
    <row r="328" spans="1:15" x14ac:dyDescent="0.25">
      <c r="A328" t="s">
        <v>6895</v>
      </c>
      <c r="B328" s="28" t="s">
        <v>12668</v>
      </c>
      <c r="C328" s="28" t="s">
        <v>6896</v>
      </c>
      <c r="D328" s="28" t="s">
        <v>12669</v>
      </c>
      <c r="E328" s="28" t="s">
        <v>6897</v>
      </c>
      <c r="F328" s="28" t="s">
        <v>279</v>
      </c>
    </row>
    <row r="329" spans="1:15" x14ac:dyDescent="0.25">
      <c r="A329" t="s">
        <v>256</v>
      </c>
      <c r="B329" s="28" t="s">
        <v>12670</v>
      </c>
      <c r="C329" s="28" t="s">
        <v>6896</v>
      </c>
      <c r="D329" s="28" t="s">
        <v>12671</v>
      </c>
      <c r="E329" s="28" t="s">
        <v>6897</v>
      </c>
      <c r="F329" s="28" t="s">
        <v>279</v>
      </c>
    </row>
    <row r="330" spans="1:15" x14ac:dyDescent="0.25">
      <c r="A330" t="s">
        <v>7062</v>
      </c>
      <c r="B330" s="28" t="s">
        <v>12672</v>
      </c>
      <c r="C330" s="28" t="s">
        <v>6896</v>
      </c>
      <c r="D330" s="28" t="s">
        <v>12673</v>
      </c>
      <c r="E330" s="28" t="s">
        <v>6897</v>
      </c>
      <c r="F330" s="28" t="s">
        <v>279</v>
      </c>
    </row>
    <row r="331" spans="1:15" x14ac:dyDescent="0.25">
      <c r="A331" t="s">
        <v>257</v>
      </c>
      <c r="B331" s="28" t="s">
        <v>258</v>
      </c>
      <c r="C331" s="28" t="s">
        <v>152</v>
      </c>
      <c r="D331" s="28" t="s">
        <v>821</v>
      </c>
      <c r="E331" s="28" t="s">
        <v>822</v>
      </c>
      <c r="F331" s="28" t="s">
        <v>313</v>
      </c>
    </row>
    <row r="332" spans="1:15" x14ac:dyDescent="0.25">
      <c r="A332" t="s">
        <v>823</v>
      </c>
      <c r="B332" s="28" t="s">
        <v>824</v>
      </c>
      <c r="C332" s="28" t="s">
        <v>152</v>
      </c>
      <c r="D332" s="28" t="s">
        <v>825</v>
      </c>
      <c r="E332" s="28" t="s">
        <v>822</v>
      </c>
      <c r="F332" s="28" t="s">
        <v>313</v>
      </c>
    </row>
    <row r="333" spans="1:15" x14ac:dyDescent="0.25">
      <c r="A333" t="s">
        <v>826</v>
      </c>
      <c r="B333" s="28" t="s">
        <v>177</v>
      </c>
      <c r="C333" s="28" t="s">
        <v>152</v>
      </c>
      <c r="D333" s="28" t="s">
        <v>827</v>
      </c>
      <c r="E333" s="28" t="s">
        <v>822</v>
      </c>
      <c r="F333" s="28" t="s">
        <v>313</v>
      </c>
    </row>
    <row r="334" spans="1:15" x14ac:dyDescent="0.25">
      <c r="A334" t="s">
        <v>7301</v>
      </c>
      <c r="B334" s="28" t="s">
        <v>10910</v>
      </c>
      <c r="C334" s="28" t="s">
        <v>7298</v>
      </c>
      <c r="D334" s="28" t="s">
        <v>10911</v>
      </c>
      <c r="E334" s="28"/>
      <c r="F334" s="28"/>
    </row>
    <row r="335" spans="1:15" x14ac:dyDescent="0.25">
      <c r="A335" t="s">
        <v>259</v>
      </c>
      <c r="B335" s="28" t="s">
        <v>260</v>
      </c>
      <c r="C335" s="28" t="s">
        <v>157</v>
      </c>
      <c r="D335" s="28" t="s">
        <v>839</v>
      </c>
      <c r="E335" s="28" t="s">
        <v>840</v>
      </c>
      <c r="F335" s="28" t="s">
        <v>382</v>
      </c>
    </row>
    <row r="336" spans="1:15" x14ac:dyDescent="0.25">
      <c r="A336" t="s">
        <v>841</v>
      </c>
      <c r="B336" s="28" t="s">
        <v>261</v>
      </c>
      <c r="C336" s="28" t="s">
        <v>157</v>
      </c>
      <c r="D336" s="28" t="s">
        <v>842</v>
      </c>
      <c r="E336" s="28" t="s">
        <v>840</v>
      </c>
      <c r="F336" s="28" t="s">
        <v>382</v>
      </c>
    </row>
    <row r="337" spans="1:6" x14ac:dyDescent="0.25">
      <c r="A337" t="s">
        <v>843</v>
      </c>
      <c r="B337" s="28" t="s">
        <v>262</v>
      </c>
      <c r="C337" s="28" t="s">
        <v>157</v>
      </c>
      <c r="D337" s="28" t="s">
        <v>844</v>
      </c>
      <c r="E337" s="28" t="s">
        <v>840</v>
      </c>
      <c r="F337" s="28" t="s">
        <v>382</v>
      </c>
    </row>
    <row r="338" spans="1:6" x14ac:dyDescent="0.25">
      <c r="A338" t="s">
        <v>263</v>
      </c>
      <c r="B338" s="28" t="s">
        <v>264</v>
      </c>
      <c r="C338" s="28" t="s">
        <v>157</v>
      </c>
      <c r="D338" s="28" t="s">
        <v>845</v>
      </c>
      <c r="E338" s="28" t="s">
        <v>840</v>
      </c>
      <c r="F338" s="28" t="s">
        <v>382</v>
      </c>
    </row>
    <row r="339" spans="1:6" x14ac:dyDescent="0.25">
      <c r="A339" t="s">
        <v>846</v>
      </c>
      <c r="B339" s="28" t="s">
        <v>266</v>
      </c>
      <c r="C339" s="28" t="s">
        <v>157</v>
      </c>
      <c r="D339" s="28" t="s">
        <v>847</v>
      </c>
      <c r="E339" s="28" t="s">
        <v>840</v>
      </c>
      <c r="F339" s="28" t="s">
        <v>382</v>
      </c>
    </row>
    <row r="340" spans="1:6" x14ac:dyDescent="0.25">
      <c r="A340" t="s">
        <v>848</v>
      </c>
      <c r="B340" s="28" t="s">
        <v>267</v>
      </c>
      <c r="C340" s="28" t="s">
        <v>157</v>
      </c>
      <c r="D340" s="28" t="s">
        <v>849</v>
      </c>
      <c r="E340" s="28" t="s">
        <v>840</v>
      </c>
      <c r="F340" s="28" t="s">
        <v>382</v>
      </c>
    </row>
    <row r="341" spans="1:6" x14ac:dyDescent="0.25">
      <c r="A341" t="s">
        <v>268</v>
      </c>
      <c r="B341" s="28" t="s">
        <v>269</v>
      </c>
      <c r="C341" s="28" t="s">
        <v>157</v>
      </c>
      <c r="D341" s="28" t="s">
        <v>850</v>
      </c>
      <c r="E341" s="28" t="s">
        <v>840</v>
      </c>
      <c r="F341" s="28" t="s">
        <v>382</v>
      </c>
    </row>
    <row r="342" spans="1:6" x14ac:dyDescent="0.25">
      <c r="A342" t="s">
        <v>851</v>
      </c>
      <c r="B342" s="28" t="s">
        <v>852</v>
      </c>
      <c r="C342" s="28" t="s">
        <v>157</v>
      </c>
      <c r="D342" s="28" t="s">
        <v>853</v>
      </c>
      <c r="E342" s="28" t="s">
        <v>840</v>
      </c>
      <c r="F342" s="28" t="s">
        <v>382</v>
      </c>
    </row>
    <row r="343" spans="1:6" x14ac:dyDescent="0.25">
      <c r="A343" t="s">
        <v>854</v>
      </c>
      <c r="B343" s="28" t="s">
        <v>855</v>
      </c>
      <c r="C343" s="28" t="s">
        <v>157</v>
      </c>
      <c r="D343" s="28" t="s">
        <v>856</v>
      </c>
      <c r="E343" s="28" t="s">
        <v>840</v>
      </c>
      <c r="F343" s="28" t="s">
        <v>382</v>
      </c>
    </row>
    <row r="344" spans="1:6" x14ac:dyDescent="0.25">
      <c r="A344" t="s">
        <v>857</v>
      </c>
      <c r="B344" s="28" t="s">
        <v>858</v>
      </c>
      <c r="C344" s="28" t="s">
        <v>157</v>
      </c>
      <c r="D344" s="28" t="s">
        <v>859</v>
      </c>
      <c r="E344" s="28" t="s">
        <v>840</v>
      </c>
      <c r="F344" s="28" t="s">
        <v>382</v>
      </c>
    </row>
    <row r="345" spans="1:6" x14ac:dyDescent="0.25">
      <c r="A345" t="s">
        <v>860</v>
      </c>
      <c r="B345" s="28" t="s">
        <v>861</v>
      </c>
      <c r="C345" s="28" t="s">
        <v>157</v>
      </c>
      <c r="D345" s="28" t="s">
        <v>862</v>
      </c>
      <c r="E345" s="28" t="s">
        <v>840</v>
      </c>
      <c r="F345" s="28" t="s">
        <v>382</v>
      </c>
    </row>
    <row r="346" spans="1:6" x14ac:dyDescent="0.25">
      <c r="A346" t="s">
        <v>863</v>
      </c>
      <c r="B346" s="28" t="s">
        <v>864</v>
      </c>
      <c r="C346" s="28" t="s">
        <v>157</v>
      </c>
      <c r="D346" s="28" t="s">
        <v>865</v>
      </c>
      <c r="E346" s="28" t="s">
        <v>840</v>
      </c>
      <c r="F346" s="28" t="s">
        <v>382</v>
      </c>
    </row>
    <row r="347" spans="1:6" x14ac:dyDescent="0.25">
      <c r="A347" t="s">
        <v>866</v>
      </c>
      <c r="B347" s="28" t="s">
        <v>867</v>
      </c>
      <c r="C347" s="28" t="s">
        <v>157</v>
      </c>
      <c r="D347" s="28" t="s">
        <v>868</v>
      </c>
      <c r="E347" s="28" t="s">
        <v>840</v>
      </c>
      <c r="F347" s="28" t="s">
        <v>382</v>
      </c>
    </row>
    <row r="348" spans="1:6" x14ac:dyDescent="0.25">
      <c r="A348" t="s">
        <v>869</v>
      </c>
      <c r="B348" s="28" t="s">
        <v>870</v>
      </c>
      <c r="C348" s="28" t="s">
        <v>157</v>
      </c>
      <c r="D348" s="28" t="s">
        <v>871</v>
      </c>
      <c r="E348" s="28" t="s">
        <v>840</v>
      </c>
      <c r="F348" s="28" t="s">
        <v>382</v>
      </c>
    </row>
    <row r="349" spans="1:6" x14ac:dyDescent="0.25">
      <c r="A349" t="s">
        <v>872</v>
      </c>
      <c r="B349" s="28" t="s">
        <v>873</v>
      </c>
      <c r="C349" s="28" t="s">
        <v>157</v>
      </c>
      <c r="D349" s="28" t="s">
        <v>874</v>
      </c>
      <c r="E349" s="28" t="s">
        <v>840</v>
      </c>
      <c r="F349" s="28" t="s">
        <v>382</v>
      </c>
    </row>
    <row r="350" spans="1:6" x14ac:dyDescent="0.25">
      <c r="A350" t="s">
        <v>875</v>
      </c>
      <c r="B350" s="28" t="s">
        <v>876</v>
      </c>
      <c r="C350" s="28" t="s">
        <v>157</v>
      </c>
      <c r="D350" s="28" t="s">
        <v>877</v>
      </c>
      <c r="E350" s="28" t="s">
        <v>840</v>
      </c>
      <c r="F350" s="28" t="s">
        <v>382</v>
      </c>
    </row>
    <row r="351" spans="1:6" x14ac:dyDescent="0.25">
      <c r="A351" t="s">
        <v>878</v>
      </c>
      <c r="B351" s="28" t="s">
        <v>879</v>
      </c>
      <c r="C351" s="28" t="s">
        <v>157</v>
      </c>
      <c r="D351" s="28" t="s">
        <v>880</v>
      </c>
      <c r="E351" s="28" t="s">
        <v>840</v>
      </c>
      <c r="F351" s="28" t="s">
        <v>382</v>
      </c>
    </row>
    <row r="352" spans="1:6" x14ac:dyDescent="0.25">
      <c r="A352" t="s">
        <v>881</v>
      </c>
      <c r="B352" s="28" t="s">
        <v>10912</v>
      </c>
      <c r="C352" s="28" t="s">
        <v>157</v>
      </c>
      <c r="D352" s="28" t="s">
        <v>882</v>
      </c>
      <c r="E352" s="28" t="s">
        <v>840</v>
      </c>
      <c r="F352" s="28" t="s">
        <v>382</v>
      </c>
    </row>
    <row r="353" spans="1:6" x14ac:dyDescent="0.25">
      <c r="A353" t="s">
        <v>883</v>
      </c>
      <c r="B353" s="28" t="s">
        <v>10913</v>
      </c>
      <c r="C353" s="28" t="s">
        <v>157</v>
      </c>
      <c r="D353" s="28" t="s">
        <v>884</v>
      </c>
      <c r="E353" s="28" t="s">
        <v>840</v>
      </c>
      <c r="F353" s="28" t="s">
        <v>382</v>
      </c>
    </row>
    <row r="354" spans="1:6" x14ac:dyDescent="0.25">
      <c r="A354" t="s">
        <v>7516</v>
      </c>
      <c r="B354" s="28" t="s">
        <v>13136</v>
      </c>
      <c r="C354" s="28" t="s">
        <v>162</v>
      </c>
      <c r="D354" s="28" t="s">
        <v>13137</v>
      </c>
      <c r="E354" s="28" t="s">
        <v>7517</v>
      </c>
      <c r="F354" s="28" t="s">
        <v>313</v>
      </c>
    </row>
    <row r="355" spans="1:6" x14ac:dyDescent="0.25">
      <c r="A355" t="s">
        <v>13138</v>
      </c>
      <c r="B355" s="28" t="s">
        <v>13139</v>
      </c>
      <c r="C355" s="28" t="s">
        <v>162</v>
      </c>
      <c r="D355" s="28" t="s">
        <v>13140</v>
      </c>
      <c r="E355" s="28" t="s">
        <v>7517</v>
      </c>
      <c r="F355" s="28" t="s">
        <v>313</v>
      </c>
    </row>
    <row r="356" spans="1:6" x14ac:dyDescent="0.25">
      <c r="A356" t="s">
        <v>13141</v>
      </c>
      <c r="B356" s="28" t="s">
        <v>13142</v>
      </c>
      <c r="C356" s="28" t="s">
        <v>162</v>
      </c>
      <c r="D356" s="28" t="s">
        <v>13143</v>
      </c>
      <c r="E356" s="28" t="s">
        <v>7517</v>
      </c>
      <c r="F356" s="28" t="s">
        <v>313</v>
      </c>
    </row>
    <row r="357" spans="1:6" x14ac:dyDescent="0.25">
      <c r="A357" t="s">
        <v>13144</v>
      </c>
      <c r="B357" s="28" t="s">
        <v>13145</v>
      </c>
      <c r="C357" s="28" t="s">
        <v>162</v>
      </c>
      <c r="D357" s="28" t="s">
        <v>13146</v>
      </c>
      <c r="E357" s="28" t="s">
        <v>7517</v>
      </c>
      <c r="F357" s="28" t="s">
        <v>313</v>
      </c>
    </row>
  </sheetData>
  <phoneticPr fontId="29" type="noConversion"/>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B220-8287-4C2B-98F7-9661C94DE6E9}">
  <sheetPr codeName="Feuil16"/>
  <dimension ref="A2:B3997"/>
  <sheetViews>
    <sheetView showGridLines="0" workbookViewId="0">
      <selection activeCell="B12" sqref="B12"/>
    </sheetView>
  </sheetViews>
  <sheetFormatPr defaultColWidth="11.42578125" defaultRowHeight="15" x14ac:dyDescent="0.25"/>
  <cols>
    <col min="1" max="1" width="51.7109375" bestFit="1" customWidth="1"/>
    <col min="2" max="2" width="40.5703125" bestFit="1" customWidth="1"/>
  </cols>
  <sheetData>
    <row r="2" spans="1:2" s="401" customFormat="1" ht="18.75" x14ac:dyDescent="0.3">
      <c r="A2" s="402" t="s">
        <v>12780</v>
      </c>
    </row>
    <row r="3" spans="1:2" ht="18.75" x14ac:dyDescent="0.3">
      <c r="A3" s="400" t="s">
        <v>12778</v>
      </c>
    </row>
    <row r="4" spans="1:2" ht="18.75" x14ac:dyDescent="0.3">
      <c r="A4" s="400" t="s">
        <v>12779</v>
      </c>
    </row>
    <row r="6" spans="1:2" x14ac:dyDescent="0.25">
      <c r="A6" s="396" t="s">
        <v>270</v>
      </c>
      <c r="B6" s="396" t="s">
        <v>7937</v>
      </c>
    </row>
    <row r="7" spans="1:2" x14ac:dyDescent="0.25">
      <c r="A7" t="s">
        <v>11185</v>
      </c>
      <c r="B7" t="s">
        <v>12842</v>
      </c>
    </row>
    <row r="8" spans="1:2" x14ac:dyDescent="0.25">
      <c r="A8" t="s">
        <v>11369</v>
      </c>
      <c r="B8" t="s">
        <v>11366</v>
      </c>
    </row>
    <row r="9" spans="1:2" x14ac:dyDescent="0.25">
      <c r="A9" t="s">
        <v>1965</v>
      </c>
      <c r="B9" t="s">
        <v>8334</v>
      </c>
    </row>
    <row r="10" spans="1:2" x14ac:dyDescent="0.25">
      <c r="A10" t="s">
        <v>1965</v>
      </c>
      <c r="B10" t="s">
        <v>8335</v>
      </c>
    </row>
    <row r="11" spans="1:2" x14ac:dyDescent="0.25">
      <c r="A11" t="s">
        <v>11563</v>
      </c>
      <c r="B11" t="s">
        <v>10399</v>
      </c>
    </row>
    <row r="12" spans="1:2" x14ac:dyDescent="0.25">
      <c r="A12" t="s">
        <v>11563</v>
      </c>
      <c r="B12" t="s">
        <v>12609</v>
      </c>
    </row>
    <row r="13" spans="1:2" x14ac:dyDescent="0.25">
      <c r="A13" t="s">
        <v>11563</v>
      </c>
      <c r="B13" t="s">
        <v>10398</v>
      </c>
    </row>
    <row r="14" spans="1:2" x14ac:dyDescent="0.25">
      <c r="A14" t="s">
        <v>11563</v>
      </c>
      <c r="B14" t="s">
        <v>13061</v>
      </c>
    </row>
    <row r="15" spans="1:2" x14ac:dyDescent="0.25">
      <c r="A15" t="s">
        <v>11563</v>
      </c>
      <c r="B15" t="s">
        <v>10392</v>
      </c>
    </row>
    <row r="16" spans="1:2" x14ac:dyDescent="0.25">
      <c r="A16" t="s">
        <v>11563</v>
      </c>
      <c r="B16" t="s">
        <v>10393</v>
      </c>
    </row>
    <row r="17" spans="1:2" x14ac:dyDescent="0.25">
      <c r="A17" t="s">
        <v>11563</v>
      </c>
      <c r="B17" t="s">
        <v>10400</v>
      </c>
    </row>
    <row r="18" spans="1:2" x14ac:dyDescent="0.25">
      <c r="A18" t="s">
        <v>11563</v>
      </c>
      <c r="B18" t="s">
        <v>10383</v>
      </c>
    </row>
    <row r="19" spans="1:2" x14ac:dyDescent="0.25">
      <c r="A19" t="s">
        <v>11563</v>
      </c>
      <c r="B19" t="s">
        <v>10391</v>
      </c>
    </row>
    <row r="20" spans="1:2" x14ac:dyDescent="0.25">
      <c r="A20" t="s">
        <v>11563</v>
      </c>
      <c r="B20" t="s">
        <v>10377</v>
      </c>
    </row>
    <row r="21" spans="1:2" x14ac:dyDescent="0.25">
      <c r="A21" t="s">
        <v>11563</v>
      </c>
      <c r="B21" t="s">
        <v>10390</v>
      </c>
    </row>
    <row r="22" spans="1:2" x14ac:dyDescent="0.25">
      <c r="A22" t="s">
        <v>11563</v>
      </c>
      <c r="B22" t="s">
        <v>13451</v>
      </c>
    </row>
    <row r="23" spans="1:2" x14ac:dyDescent="0.25">
      <c r="A23" t="s">
        <v>11563</v>
      </c>
      <c r="B23" t="s">
        <v>13466</v>
      </c>
    </row>
    <row r="24" spans="1:2" x14ac:dyDescent="0.25">
      <c r="A24" t="s">
        <v>516</v>
      </c>
      <c r="B24" t="s">
        <v>12480</v>
      </c>
    </row>
    <row r="25" spans="1:2" x14ac:dyDescent="0.25">
      <c r="A25" t="s">
        <v>516</v>
      </c>
      <c r="B25" t="s">
        <v>12725</v>
      </c>
    </row>
    <row r="26" spans="1:2" x14ac:dyDescent="0.25">
      <c r="A26" t="s">
        <v>516</v>
      </c>
      <c r="B26" t="s">
        <v>12825</v>
      </c>
    </row>
    <row r="27" spans="1:2" x14ac:dyDescent="0.25">
      <c r="A27" t="s">
        <v>516</v>
      </c>
      <c r="B27" t="s">
        <v>12827</v>
      </c>
    </row>
    <row r="28" spans="1:2" x14ac:dyDescent="0.25">
      <c r="A28" t="s">
        <v>516</v>
      </c>
      <c r="B28" t="s">
        <v>12830</v>
      </c>
    </row>
    <row r="29" spans="1:2" x14ac:dyDescent="0.25">
      <c r="A29" t="s">
        <v>516</v>
      </c>
      <c r="B29" t="s">
        <v>12834</v>
      </c>
    </row>
    <row r="30" spans="1:2" x14ac:dyDescent="0.25">
      <c r="A30" t="s">
        <v>516</v>
      </c>
      <c r="B30" t="s">
        <v>12836</v>
      </c>
    </row>
    <row r="31" spans="1:2" x14ac:dyDescent="0.25">
      <c r="A31" t="s">
        <v>516</v>
      </c>
      <c r="B31" t="s">
        <v>13295</v>
      </c>
    </row>
    <row r="32" spans="1:2" x14ac:dyDescent="0.25">
      <c r="A32" t="s">
        <v>516</v>
      </c>
      <c r="B32" t="s">
        <v>13300</v>
      </c>
    </row>
    <row r="33" spans="1:2" x14ac:dyDescent="0.25">
      <c r="A33" t="s">
        <v>516</v>
      </c>
      <c r="B33" t="s">
        <v>13734</v>
      </c>
    </row>
    <row r="34" spans="1:2" x14ac:dyDescent="0.25">
      <c r="A34" t="s">
        <v>516</v>
      </c>
      <c r="B34" t="s">
        <v>14135</v>
      </c>
    </row>
    <row r="35" spans="1:2" x14ac:dyDescent="0.25">
      <c r="A35" t="s">
        <v>516</v>
      </c>
      <c r="B35" t="s">
        <v>14178</v>
      </c>
    </row>
    <row r="36" spans="1:2" x14ac:dyDescent="0.25">
      <c r="A36" t="s">
        <v>516</v>
      </c>
      <c r="B36" t="s">
        <v>14526</v>
      </c>
    </row>
    <row r="37" spans="1:2" x14ac:dyDescent="0.25">
      <c r="A37" t="s">
        <v>516</v>
      </c>
      <c r="B37" t="s">
        <v>14559</v>
      </c>
    </row>
    <row r="38" spans="1:2" x14ac:dyDescent="0.25">
      <c r="A38" t="s">
        <v>562</v>
      </c>
      <c r="B38" t="s">
        <v>9350</v>
      </c>
    </row>
    <row r="39" spans="1:2" x14ac:dyDescent="0.25">
      <c r="A39" t="s">
        <v>562</v>
      </c>
      <c r="B39" t="s">
        <v>9351</v>
      </c>
    </row>
    <row r="40" spans="1:2" x14ac:dyDescent="0.25">
      <c r="A40" t="s">
        <v>562</v>
      </c>
      <c r="B40" t="s">
        <v>9452</v>
      </c>
    </row>
    <row r="41" spans="1:2" x14ac:dyDescent="0.25">
      <c r="A41" t="s">
        <v>562</v>
      </c>
      <c r="B41" t="s">
        <v>9444</v>
      </c>
    </row>
    <row r="42" spans="1:2" x14ac:dyDescent="0.25">
      <c r="A42" t="s">
        <v>2598</v>
      </c>
      <c r="B42" t="s">
        <v>9871</v>
      </c>
    </row>
    <row r="43" spans="1:2" x14ac:dyDescent="0.25">
      <c r="A43" t="s">
        <v>2598</v>
      </c>
      <c r="B43" t="s">
        <v>10128</v>
      </c>
    </row>
    <row r="44" spans="1:2" x14ac:dyDescent="0.25">
      <c r="A44" t="s">
        <v>2598</v>
      </c>
      <c r="B44" t="s">
        <v>8598</v>
      </c>
    </row>
    <row r="45" spans="1:2" x14ac:dyDescent="0.25">
      <c r="A45" t="s">
        <v>2598</v>
      </c>
      <c r="B45" t="s">
        <v>10173</v>
      </c>
    </row>
    <row r="46" spans="1:2" x14ac:dyDescent="0.25">
      <c r="A46" t="s">
        <v>2598</v>
      </c>
      <c r="B46" t="s">
        <v>9696</v>
      </c>
    </row>
    <row r="47" spans="1:2" x14ac:dyDescent="0.25">
      <c r="A47" t="s">
        <v>2598</v>
      </c>
      <c r="B47" t="s">
        <v>10313</v>
      </c>
    </row>
    <row r="48" spans="1:2" x14ac:dyDescent="0.25">
      <c r="A48" t="s">
        <v>2598</v>
      </c>
      <c r="B48" t="s">
        <v>9670</v>
      </c>
    </row>
    <row r="49" spans="1:2" x14ac:dyDescent="0.25">
      <c r="A49" t="s">
        <v>2598</v>
      </c>
      <c r="B49" t="s">
        <v>9767</v>
      </c>
    </row>
    <row r="50" spans="1:2" x14ac:dyDescent="0.25">
      <c r="A50" t="s">
        <v>2598</v>
      </c>
      <c r="B50" t="s">
        <v>9872</v>
      </c>
    </row>
    <row r="51" spans="1:2" x14ac:dyDescent="0.25">
      <c r="A51" t="s">
        <v>2598</v>
      </c>
      <c r="B51" t="s">
        <v>10129</v>
      </c>
    </row>
    <row r="52" spans="1:2" x14ac:dyDescent="0.25">
      <c r="A52" t="s">
        <v>2598</v>
      </c>
      <c r="B52" t="s">
        <v>9552</v>
      </c>
    </row>
    <row r="53" spans="1:2" x14ac:dyDescent="0.25">
      <c r="A53" t="s">
        <v>195</v>
      </c>
      <c r="B53" t="s">
        <v>9911</v>
      </c>
    </row>
    <row r="54" spans="1:2" x14ac:dyDescent="0.25">
      <c r="A54" t="s">
        <v>195</v>
      </c>
      <c r="B54" t="s">
        <v>10248</v>
      </c>
    </row>
    <row r="55" spans="1:2" x14ac:dyDescent="0.25">
      <c r="A55" t="s">
        <v>195</v>
      </c>
      <c r="B55" t="s">
        <v>9626</v>
      </c>
    </row>
    <row r="56" spans="1:2" x14ac:dyDescent="0.25">
      <c r="A56" t="s">
        <v>195</v>
      </c>
      <c r="B56" t="s">
        <v>9858</v>
      </c>
    </row>
    <row r="57" spans="1:2" x14ac:dyDescent="0.25">
      <c r="A57" t="s">
        <v>195</v>
      </c>
      <c r="B57" t="s">
        <v>9551</v>
      </c>
    </row>
    <row r="58" spans="1:2" x14ac:dyDescent="0.25">
      <c r="A58" t="s">
        <v>195</v>
      </c>
      <c r="B58" t="s">
        <v>9704</v>
      </c>
    </row>
    <row r="59" spans="1:2" x14ac:dyDescent="0.25">
      <c r="A59" t="s">
        <v>195</v>
      </c>
      <c r="B59" t="s">
        <v>10271</v>
      </c>
    </row>
    <row r="60" spans="1:2" x14ac:dyDescent="0.25">
      <c r="A60" t="s">
        <v>195</v>
      </c>
      <c r="B60" t="s">
        <v>10156</v>
      </c>
    </row>
    <row r="61" spans="1:2" x14ac:dyDescent="0.25">
      <c r="A61" t="s">
        <v>195</v>
      </c>
      <c r="B61" t="s">
        <v>10065</v>
      </c>
    </row>
    <row r="62" spans="1:2" x14ac:dyDescent="0.25">
      <c r="A62" t="s">
        <v>195</v>
      </c>
      <c r="B62" t="s">
        <v>10074</v>
      </c>
    </row>
    <row r="63" spans="1:2" x14ac:dyDescent="0.25">
      <c r="A63" t="s">
        <v>6327</v>
      </c>
      <c r="B63" t="s">
        <v>10381</v>
      </c>
    </row>
    <row r="64" spans="1:2" x14ac:dyDescent="0.25">
      <c r="A64" t="s">
        <v>1004</v>
      </c>
      <c r="B64" t="s">
        <v>7980</v>
      </c>
    </row>
    <row r="65" spans="1:2" x14ac:dyDescent="0.25">
      <c r="A65" t="s">
        <v>1004</v>
      </c>
      <c r="B65" t="s">
        <v>7981</v>
      </c>
    </row>
    <row r="66" spans="1:2" x14ac:dyDescent="0.25">
      <c r="A66" t="s">
        <v>1004</v>
      </c>
      <c r="B66" t="s">
        <v>7985</v>
      </c>
    </row>
    <row r="67" spans="1:2" x14ac:dyDescent="0.25">
      <c r="A67" t="s">
        <v>1004</v>
      </c>
      <c r="B67" t="s">
        <v>7982</v>
      </c>
    </row>
    <row r="68" spans="1:2" x14ac:dyDescent="0.25">
      <c r="A68" t="s">
        <v>1004</v>
      </c>
      <c r="B68" t="s">
        <v>7978</v>
      </c>
    </row>
    <row r="69" spans="1:2" x14ac:dyDescent="0.25">
      <c r="A69" t="s">
        <v>1004</v>
      </c>
      <c r="B69" t="s">
        <v>7979</v>
      </c>
    </row>
    <row r="70" spans="1:2" x14ac:dyDescent="0.25">
      <c r="A70" t="s">
        <v>172</v>
      </c>
      <c r="B70" t="s">
        <v>8655</v>
      </c>
    </row>
    <row r="71" spans="1:2" x14ac:dyDescent="0.25">
      <c r="A71" t="s">
        <v>172</v>
      </c>
      <c r="B71" t="s">
        <v>11654</v>
      </c>
    </row>
    <row r="72" spans="1:2" x14ac:dyDescent="0.25">
      <c r="A72" t="s">
        <v>172</v>
      </c>
      <c r="B72" t="s">
        <v>8668</v>
      </c>
    </row>
    <row r="73" spans="1:2" x14ac:dyDescent="0.25">
      <c r="A73" t="s">
        <v>172</v>
      </c>
      <c r="B73" t="s">
        <v>12473</v>
      </c>
    </row>
    <row r="74" spans="1:2" x14ac:dyDescent="0.25">
      <c r="A74" t="s">
        <v>172</v>
      </c>
      <c r="B74" t="s">
        <v>8654</v>
      </c>
    </row>
    <row r="75" spans="1:2" x14ac:dyDescent="0.25">
      <c r="A75" t="s">
        <v>172</v>
      </c>
      <c r="B75" t="s">
        <v>8603</v>
      </c>
    </row>
    <row r="76" spans="1:2" x14ac:dyDescent="0.25">
      <c r="A76" t="s">
        <v>172</v>
      </c>
      <c r="B76" t="s">
        <v>11648</v>
      </c>
    </row>
    <row r="77" spans="1:2" x14ac:dyDescent="0.25">
      <c r="A77" t="s">
        <v>172</v>
      </c>
      <c r="B77" t="s">
        <v>8611</v>
      </c>
    </row>
    <row r="78" spans="1:2" x14ac:dyDescent="0.25">
      <c r="A78" t="s">
        <v>172</v>
      </c>
      <c r="B78" t="s">
        <v>11645</v>
      </c>
    </row>
    <row r="79" spans="1:2" x14ac:dyDescent="0.25">
      <c r="A79" t="s">
        <v>172</v>
      </c>
      <c r="B79" t="s">
        <v>8614</v>
      </c>
    </row>
    <row r="80" spans="1:2" x14ac:dyDescent="0.25">
      <c r="A80" t="s">
        <v>172</v>
      </c>
      <c r="B80" t="s">
        <v>8672</v>
      </c>
    </row>
    <row r="81" spans="1:2" x14ac:dyDescent="0.25">
      <c r="A81" t="s">
        <v>172</v>
      </c>
      <c r="B81" t="s">
        <v>8601</v>
      </c>
    </row>
    <row r="82" spans="1:2" x14ac:dyDescent="0.25">
      <c r="A82" t="s">
        <v>172</v>
      </c>
      <c r="B82" t="s">
        <v>8656</v>
      </c>
    </row>
    <row r="83" spans="1:2" x14ac:dyDescent="0.25">
      <c r="A83" t="s">
        <v>172</v>
      </c>
      <c r="B83" t="s">
        <v>8616</v>
      </c>
    </row>
    <row r="84" spans="1:2" x14ac:dyDescent="0.25">
      <c r="A84" t="s">
        <v>172</v>
      </c>
      <c r="B84" t="s">
        <v>8653</v>
      </c>
    </row>
    <row r="85" spans="1:2" x14ac:dyDescent="0.25">
      <c r="A85" t="s">
        <v>7253</v>
      </c>
      <c r="B85" t="s">
        <v>10768</v>
      </c>
    </row>
    <row r="86" spans="1:2" x14ac:dyDescent="0.25">
      <c r="A86" t="s">
        <v>7253</v>
      </c>
      <c r="B86" t="s">
        <v>10769</v>
      </c>
    </row>
    <row r="87" spans="1:2" x14ac:dyDescent="0.25">
      <c r="A87" t="s">
        <v>7301</v>
      </c>
      <c r="B87" t="s">
        <v>10790</v>
      </c>
    </row>
    <row r="88" spans="1:2" x14ac:dyDescent="0.25">
      <c r="A88" t="s">
        <v>7301</v>
      </c>
      <c r="B88" t="s">
        <v>10791</v>
      </c>
    </row>
    <row r="89" spans="1:2" x14ac:dyDescent="0.25">
      <c r="A89" t="s">
        <v>7301</v>
      </c>
      <c r="B89" t="s">
        <v>10788</v>
      </c>
    </row>
    <row r="90" spans="1:2" x14ac:dyDescent="0.25">
      <c r="A90" t="s">
        <v>7301</v>
      </c>
      <c r="B90" t="s">
        <v>10789</v>
      </c>
    </row>
    <row r="91" spans="1:2" x14ac:dyDescent="0.25">
      <c r="A91" t="s">
        <v>7301</v>
      </c>
      <c r="B91" t="s">
        <v>10787</v>
      </c>
    </row>
    <row r="92" spans="1:2" x14ac:dyDescent="0.25">
      <c r="A92" t="s">
        <v>662</v>
      </c>
      <c r="B92" t="s">
        <v>9643</v>
      </c>
    </row>
    <row r="93" spans="1:2" x14ac:dyDescent="0.25">
      <c r="A93" t="s">
        <v>662</v>
      </c>
      <c r="B93" t="s">
        <v>9741</v>
      </c>
    </row>
    <row r="94" spans="1:2" x14ac:dyDescent="0.25">
      <c r="A94" t="s">
        <v>662</v>
      </c>
      <c r="B94" t="s">
        <v>10309</v>
      </c>
    </row>
    <row r="95" spans="1:2" x14ac:dyDescent="0.25">
      <c r="A95" t="s">
        <v>662</v>
      </c>
      <c r="B95" t="s">
        <v>9994</v>
      </c>
    </row>
    <row r="96" spans="1:2" x14ac:dyDescent="0.25">
      <c r="A96" t="s">
        <v>662</v>
      </c>
      <c r="B96" t="s">
        <v>9624</v>
      </c>
    </row>
    <row r="97" spans="1:2" x14ac:dyDescent="0.25">
      <c r="A97" t="s">
        <v>662</v>
      </c>
      <c r="B97" t="s">
        <v>12576</v>
      </c>
    </row>
    <row r="98" spans="1:2" x14ac:dyDescent="0.25">
      <c r="A98" t="s">
        <v>662</v>
      </c>
      <c r="B98" t="s">
        <v>9995</v>
      </c>
    </row>
    <row r="99" spans="1:2" x14ac:dyDescent="0.25">
      <c r="A99" t="s">
        <v>662</v>
      </c>
      <c r="B99" t="s">
        <v>9666</v>
      </c>
    </row>
    <row r="100" spans="1:2" x14ac:dyDescent="0.25">
      <c r="A100" t="s">
        <v>662</v>
      </c>
      <c r="B100" t="s">
        <v>10026</v>
      </c>
    </row>
    <row r="101" spans="1:2" x14ac:dyDescent="0.25">
      <c r="A101" t="s">
        <v>662</v>
      </c>
      <c r="B101" t="s">
        <v>10268</v>
      </c>
    </row>
    <row r="102" spans="1:2" x14ac:dyDescent="0.25">
      <c r="A102" t="s">
        <v>662</v>
      </c>
      <c r="B102" t="s">
        <v>9734</v>
      </c>
    </row>
    <row r="103" spans="1:2" x14ac:dyDescent="0.25">
      <c r="A103" t="s">
        <v>662</v>
      </c>
      <c r="B103" t="s">
        <v>9962</v>
      </c>
    </row>
    <row r="104" spans="1:2" x14ac:dyDescent="0.25">
      <c r="A104" t="s">
        <v>662</v>
      </c>
      <c r="B104" t="s">
        <v>10285</v>
      </c>
    </row>
    <row r="105" spans="1:2" x14ac:dyDescent="0.25">
      <c r="A105" t="s">
        <v>662</v>
      </c>
      <c r="B105" t="s">
        <v>10138</v>
      </c>
    </row>
    <row r="106" spans="1:2" x14ac:dyDescent="0.25">
      <c r="A106" t="s">
        <v>662</v>
      </c>
      <c r="B106" t="s">
        <v>10230</v>
      </c>
    </row>
    <row r="107" spans="1:2" x14ac:dyDescent="0.25">
      <c r="A107" t="s">
        <v>662</v>
      </c>
      <c r="B107" t="s">
        <v>9564</v>
      </c>
    </row>
    <row r="108" spans="1:2" x14ac:dyDescent="0.25">
      <c r="A108" t="s">
        <v>662</v>
      </c>
      <c r="B108" t="s">
        <v>9984</v>
      </c>
    </row>
    <row r="109" spans="1:2" x14ac:dyDescent="0.25">
      <c r="A109" t="s">
        <v>662</v>
      </c>
      <c r="B109" t="s">
        <v>10152</v>
      </c>
    </row>
    <row r="110" spans="1:2" x14ac:dyDescent="0.25">
      <c r="A110" t="s">
        <v>662</v>
      </c>
      <c r="B110" t="s">
        <v>13011</v>
      </c>
    </row>
    <row r="111" spans="1:2" x14ac:dyDescent="0.25">
      <c r="A111" t="s">
        <v>662</v>
      </c>
      <c r="B111" t="s">
        <v>13046</v>
      </c>
    </row>
    <row r="112" spans="1:2" x14ac:dyDescent="0.25">
      <c r="A112" t="s">
        <v>662</v>
      </c>
      <c r="B112" t="s">
        <v>13566</v>
      </c>
    </row>
    <row r="113" spans="1:2" x14ac:dyDescent="0.25">
      <c r="A113" t="s">
        <v>662</v>
      </c>
      <c r="B113" t="s">
        <v>13688</v>
      </c>
    </row>
    <row r="114" spans="1:2" x14ac:dyDescent="0.25">
      <c r="A114" t="s">
        <v>662</v>
      </c>
      <c r="B114" t="s">
        <v>13756</v>
      </c>
    </row>
    <row r="115" spans="1:2" x14ac:dyDescent="0.25">
      <c r="A115" t="s">
        <v>662</v>
      </c>
      <c r="B115" t="s">
        <v>13818</v>
      </c>
    </row>
    <row r="116" spans="1:2" x14ac:dyDescent="0.25">
      <c r="A116" t="s">
        <v>2625</v>
      </c>
      <c r="B116" t="s">
        <v>8609</v>
      </c>
    </row>
    <row r="117" spans="1:2" x14ac:dyDescent="0.25">
      <c r="A117" t="s">
        <v>2625</v>
      </c>
      <c r="B117" t="s">
        <v>8683</v>
      </c>
    </row>
    <row r="118" spans="1:2" x14ac:dyDescent="0.25">
      <c r="A118" t="s">
        <v>2625</v>
      </c>
      <c r="B118" t="s">
        <v>8681</v>
      </c>
    </row>
    <row r="119" spans="1:2" x14ac:dyDescent="0.25">
      <c r="A119" t="s">
        <v>2625</v>
      </c>
      <c r="B119" t="s">
        <v>8677</v>
      </c>
    </row>
    <row r="120" spans="1:2" x14ac:dyDescent="0.25">
      <c r="A120" t="s">
        <v>2625</v>
      </c>
      <c r="B120" t="s">
        <v>8682</v>
      </c>
    </row>
    <row r="121" spans="1:2" x14ac:dyDescent="0.25">
      <c r="A121" t="s">
        <v>2625</v>
      </c>
      <c r="B121" t="s">
        <v>8684</v>
      </c>
    </row>
    <row r="122" spans="1:2" x14ac:dyDescent="0.25">
      <c r="A122" t="s">
        <v>2625</v>
      </c>
      <c r="B122" t="s">
        <v>8686</v>
      </c>
    </row>
    <row r="123" spans="1:2" x14ac:dyDescent="0.25">
      <c r="A123" t="s">
        <v>2625</v>
      </c>
      <c r="B123" t="s">
        <v>8687</v>
      </c>
    </row>
    <row r="124" spans="1:2" x14ac:dyDescent="0.25">
      <c r="A124" t="s">
        <v>2625</v>
      </c>
      <c r="B124" t="s">
        <v>8679</v>
      </c>
    </row>
    <row r="125" spans="1:2" x14ac:dyDescent="0.25">
      <c r="A125" t="s">
        <v>2625</v>
      </c>
      <c r="B125" t="s">
        <v>8680</v>
      </c>
    </row>
    <row r="126" spans="1:2" x14ac:dyDescent="0.25">
      <c r="A126" t="s">
        <v>2625</v>
      </c>
      <c r="B126" t="s">
        <v>12820</v>
      </c>
    </row>
    <row r="127" spans="1:2" x14ac:dyDescent="0.25">
      <c r="A127" t="s">
        <v>2625</v>
      </c>
      <c r="B127" t="s">
        <v>13288</v>
      </c>
    </row>
    <row r="128" spans="1:2" x14ac:dyDescent="0.25">
      <c r="A128" t="s">
        <v>2625</v>
      </c>
      <c r="B128" t="s">
        <v>14165</v>
      </c>
    </row>
    <row r="129" spans="1:2" x14ac:dyDescent="0.25">
      <c r="A129" t="s">
        <v>897</v>
      </c>
      <c r="B129" t="s">
        <v>7970</v>
      </c>
    </row>
    <row r="130" spans="1:2" x14ac:dyDescent="0.25">
      <c r="A130" t="s">
        <v>897</v>
      </c>
      <c r="B130" t="s">
        <v>7969</v>
      </c>
    </row>
    <row r="131" spans="1:2" x14ac:dyDescent="0.25">
      <c r="A131" t="s">
        <v>897</v>
      </c>
      <c r="B131" t="s">
        <v>7972</v>
      </c>
    </row>
    <row r="132" spans="1:2" x14ac:dyDescent="0.25">
      <c r="A132" t="s">
        <v>897</v>
      </c>
      <c r="B132" t="s">
        <v>7943</v>
      </c>
    </row>
    <row r="133" spans="1:2" x14ac:dyDescent="0.25">
      <c r="A133" t="s">
        <v>897</v>
      </c>
      <c r="B133" t="s">
        <v>7950</v>
      </c>
    </row>
    <row r="134" spans="1:2" x14ac:dyDescent="0.25">
      <c r="A134" t="s">
        <v>897</v>
      </c>
      <c r="B134" t="s">
        <v>7977</v>
      </c>
    </row>
    <row r="135" spans="1:2" x14ac:dyDescent="0.25">
      <c r="A135" t="s">
        <v>897</v>
      </c>
      <c r="B135" t="s">
        <v>7953</v>
      </c>
    </row>
    <row r="136" spans="1:2" x14ac:dyDescent="0.25">
      <c r="A136" t="s">
        <v>897</v>
      </c>
      <c r="B136" t="s">
        <v>7939</v>
      </c>
    </row>
    <row r="137" spans="1:2" x14ac:dyDescent="0.25">
      <c r="A137" t="s">
        <v>897</v>
      </c>
      <c r="B137" t="s">
        <v>7954</v>
      </c>
    </row>
    <row r="138" spans="1:2" x14ac:dyDescent="0.25">
      <c r="A138" t="s">
        <v>897</v>
      </c>
      <c r="B138" t="s">
        <v>7994</v>
      </c>
    </row>
    <row r="139" spans="1:2" x14ac:dyDescent="0.25">
      <c r="A139" t="s">
        <v>897</v>
      </c>
      <c r="B139" t="s">
        <v>7940</v>
      </c>
    </row>
    <row r="140" spans="1:2" x14ac:dyDescent="0.25">
      <c r="A140" t="s">
        <v>897</v>
      </c>
      <c r="B140" t="s">
        <v>7945</v>
      </c>
    </row>
    <row r="141" spans="1:2" x14ac:dyDescent="0.25">
      <c r="A141" t="s">
        <v>897</v>
      </c>
      <c r="B141" t="s">
        <v>7941</v>
      </c>
    </row>
    <row r="142" spans="1:2" x14ac:dyDescent="0.25">
      <c r="A142" t="s">
        <v>897</v>
      </c>
      <c r="B142" t="s">
        <v>7946</v>
      </c>
    </row>
    <row r="143" spans="1:2" x14ac:dyDescent="0.25">
      <c r="A143" t="s">
        <v>897</v>
      </c>
      <c r="B143" t="s">
        <v>7955</v>
      </c>
    </row>
    <row r="144" spans="1:2" x14ac:dyDescent="0.25">
      <c r="A144" t="s">
        <v>897</v>
      </c>
      <c r="B144" t="s">
        <v>7986</v>
      </c>
    </row>
    <row r="145" spans="1:2" x14ac:dyDescent="0.25">
      <c r="A145" t="s">
        <v>897</v>
      </c>
      <c r="B145" t="s">
        <v>7974</v>
      </c>
    </row>
    <row r="146" spans="1:2" x14ac:dyDescent="0.25">
      <c r="A146" t="s">
        <v>897</v>
      </c>
      <c r="B146" t="s">
        <v>7948</v>
      </c>
    </row>
    <row r="147" spans="1:2" x14ac:dyDescent="0.25">
      <c r="A147" t="s">
        <v>897</v>
      </c>
      <c r="B147" t="s">
        <v>7967</v>
      </c>
    </row>
    <row r="148" spans="1:2" x14ac:dyDescent="0.25">
      <c r="A148" t="s">
        <v>897</v>
      </c>
      <c r="B148" t="s">
        <v>7984</v>
      </c>
    </row>
    <row r="149" spans="1:2" x14ac:dyDescent="0.25">
      <c r="A149" t="s">
        <v>897</v>
      </c>
      <c r="B149" t="s">
        <v>7949</v>
      </c>
    </row>
    <row r="150" spans="1:2" x14ac:dyDescent="0.25">
      <c r="A150" t="s">
        <v>897</v>
      </c>
      <c r="B150" t="s">
        <v>7942</v>
      </c>
    </row>
    <row r="151" spans="1:2" x14ac:dyDescent="0.25">
      <c r="A151" t="s">
        <v>897</v>
      </c>
      <c r="B151" t="s">
        <v>7944</v>
      </c>
    </row>
    <row r="152" spans="1:2" x14ac:dyDescent="0.25">
      <c r="A152" t="s">
        <v>897</v>
      </c>
      <c r="B152" t="s">
        <v>7951</v>
      </c>
    </row>
    <row r="153" spans="1:2" x14ac:dyDescent="0.25">
      <c r="A153" t="s">
        <v>897</v>
      </c>
      <c r="B153" t="s">
        <v>7973</v>
      </c>
    </row>
    <row r="154" spans="1:2" x14ac:dyDescent="0.25">
      <c r="A154" t="s">
        <v>897</v>
      </c>
      <c r="B154" t="s">
        <v>7952</v>
      </c>
    </row>
    <row r="155" spans="1:2" x14ac:dyDescent="0.25">
      <c r="A155" t="s">
        <v>897</v>
      </c>
      <c r="B155" t="s">
        <v>7975</v>
      </c>
    </row>
    <row r="156" spans="1:2" x14ac:dyDescent="0.25">
      <c r="A156" t="s">
        <v>897</v>
      </c>
      <c r="B156" t="s">
        <v>7968</v>
      </c>
    </row>
    <row r="157" spans="1:2" x14ac:dyDescent="0.25">
      <c r="A157" t="s">
        <v>897</v>
      </c>
      <c r="B157" t="s">
        <v>7976</v>
      </c>
    </row>
    <row r="158" spans="1:2" x14ac:dyDescent="0.25">
      <c r="A158" t="s">
        <v>897</v>
      </c>
      <c r="B158" t="s">
        <v>7971</v>
      </c>
    </row>
    <row r="159" spans="1:2" x14ac:dyDescent="0.25">
      <c r="A159" t="s">
        <v>897</v>
      </c>
      <c r="B159" t="s">
        <v>7947</v>
      </c>
    </row>
    <row r="160" spans="1:2" x14ac:dyDescent="0.25">
      <c r="A160" t="s">
        <v>212</v>
      </c>
      <c r="B160" t="s">
        <v>9648</v>
      </c>
    </row>
    <row r="161" spans="1:2" x14ac:dyDescent="0.25">
      <c r="A161" t="s">
        <v>212</v>
      </c>
      <c r="B161" t="s">
        <v>9683</v>
      </c>
    </row>
    <row r="162" spans="1:2" x14ac:dyDescent="0.25">
      <c r="A162" t="s">
        <v>212</v>
      </c>
      <c r="B162" t="s">
        <v>10012</v>
      </c>
    </row>
    <row r="163" spans="1:2" x14ac:dyDescent="0.25">
      <c r="A163" t="s">
        <v>212</v>
      </c>
      <c r="B163" t="s">
        <v>10195</v>
      </c>
    </row>
    <row r="164" spans="1:2" x14ac:dyDescent="0.25">
      <c r="A164" t="s">
        <v>212</v>
      </c>
      <c r="B164" t="s">
        <v>13711</v>
      </c>
    </row>
    <row r="165" spans="1:2" x14ac:dyDescent="0.25">
      <c r="A165" t="s">
        <v>212</v>
      </c>
      <c r="B165" t="s">
        <v>9601</v>
      </c>
    </row>
    <row r="166" spans="1:2" x14ac:dyDescent="0.25">
      <c r="A166" t="s">
        <v>212</v>
      </c>
      <c r="B166" t="s">
        <v>10055</v>
      </c>
    </row>
    <row r="167" spans="1:2" x14ac:dyDescent="0.25">
      <c r="A167" t="s">
        <v>212</v>
      </c>
      <c r="B167" t="s">
        <v>9684</v>
      </c>
    </row>
    <row r="168" spans="1:2" x14ac:dyDescent="0.25">
      <c r="A168" t="s">
        <v>4601</v>
      </c>
      <c r="B168" t="s">
        <v>10368</v>
      </c>
    </row>
    <row r="169" spans="1:2" x14ac:dyDescent="0.25">
      <c r="A169" t="s">
        <v>4601</v>
      </c>
      <c r="B169" t="s">
        <v>9701</v>
      </c>
    </row>
    <row r="170" spans="1:2" x14ac:dyDescent="0.25">
      <c r="A170" t="s">
        <v>4601</v>
      </c>
      <c r="B170" t="s">
        <v>9637</v>
      </c>
    </row>
    <row r="171" spans="1:2" x14ac:dyDescent="0.25">
      <c r="A171" t="s">
        <v>4601</v>
      </c>
      <c r="B171" t="s">
        <v>10101</v>
      </c>
    </row>
    <row r="172" spans="1:2" x14ac:dyDescent="0.25">
      <c r="A172" t="s">
        <v>4601</v>
      </c>
      <c r="B172" t="s">
        <v>10347</v>
      </c>
    </row>
    <row r="173" spans="1:2" x14ac:dyDescent="0.25">
      <c r="A173" t="s">
        <v>4601</v>
      </c>
      <c r="B173" t="s">
        <v>9686</v>
      </c>
    </row>
    <row r="174" spans="1:2" x14ac:dyDescent="0.25">
      <c r="A174" t="s">
        <v>4601</v>
      </c>
      <c r="B174" t="s">
        <v>10100</v>
      </c>
    </row>
    <row r="175" spans="1:2" x14ac:dyDescent="0.25">
      <c r="A175" t="s">
        <v>4601</v>
      </c>
      <c r="B175" t="s">
        <v>9636</v>
      </c>
    </row>
    <row r="176" spans="1:2" x14ac:dyDescent="0.25">
      <c r="A176" t="s">
        <v>4601</v>
      </c>
      <c r="B176" t="s">
        <v>10187</v>
      </c>
    </row>
    <row r="177" spans="1:2" x14ac:dyDescent="0.25">
      <c r="A177" t="s">
        <v>4601</v>
      </c>
      <c r="B177" t="s">
        <v>9618</v>
      </c>
    </row>
    <row r="178" spans="1:2" x14ac:dyDescent="0.25">
      <c r="A178" t="s">
        <v>4601</v>
      </c>
      <c r="B178" t="s">
        <v>9574</v>
      </c>
    </row>
    <row r="179" spans="1:2" x14ac:dyDescent="0.25">
      <c r="A179" t="s">
        <v>4601</v>
      </c>
      <c r="B179" t="s">
        <v>9893</v>
      </c>
    </row>
    <row r="180" spans="1:2" x14ac:dyDescent="0.25">
      <c r="A180" t="s">
        <v>4601</v>
      </c>
      <c r="B180" t="s">
        <v>13382</v>
      </c>
    </row>
    <row r="181" spans="1:2" x14ac:dyDescent="0.25">
      <c r="A181" t="s">
        <v>4555</v>
      </c>
      <c r="B181" t="s">
        <v>9682</v>
      </c>
    </row>
    <row r="182" spans="1:2" x14ac:dyDescent="0.25">
      <c r="A182" t="s">
        <v>4555</v>
      </c>
      <c r="B182" t="s">
        <v>9848</v>
      </c>
    </row>
    <row r="183" spans="1:2" x14ac:dyDescent="0.25">
      <c r="A183" t="s">
        <v>4555</v>
      </c>
      <c r="B183" t="s">
        <v>10076</v>
      </c>
    </row>
    <row r="184" spans="1:2" x14ac:dyDescent="0.25">
      <c r="A184" t="s">
        <v>4555</v>
      </c>
      <c r="B184" t="s">
        <v>9587</v>
      </c>
    </row>
    <row r="185" spans="1:2" x14ac:dyDescent="0.25">
      <c r="A185" t="s">
        <v>4555</v>
      </c>
      <c r="B185" t="s">
        <v>9887</v>
      </c>
    </row>
    <row r="186" spans="1:2" x14ac:dyDescent="0.25">
      <c r="A186" t="s">
        <v>4555</v>
      </c>
      <c r="B186" t="s">
        <v>10042</v>
      </c>
    </row>
    <row r="187" spans="1:2" x14ac:dyDescent="0.25">
      <c r="A187" t="s">
        <v>4555</v>
      </c>
      <c r="B187" t="s">
        <v>9763</v>
      </c>
    </row>
    <row r="188" spans="1:2" x14ac:dyDescent="0.25">
      <c r="A188" t="s">
        <v>4555</v>
      </c>
      <c r="B188" t="s">
        <v>9765</v>
      </c>
    </row>
    <row r="189" spans="1:2" x14ac:dyDescent="0.25">
      <c r="A189" t="s">
        <v>4555</v>
      </c>
      <c r="B189" t="s">
        <v>9780</v>
      </c>
    </row>
    <row r="190" spans="1:2" x14ac:dyDescent="0.25">
      <c r="A190" t="s">
        <v>4555</v>
      </c>
      <c r="B190" t="s">
        <v>10274</v>
      </c>
    </row>
    <row r="191" spans="1:2" x14ac:dyDescent="0.25">
      <c r="A191" t="s">
        <v>4555</v>
      </c>
      <c r="B191" t="s">
        <v>9796</v>
      </c>
    </row>
    <row r="192" spans="1:2" x14ac:dyDescent="0.25">
      <c r="A192" t="s">
        <v>4555</v>
      </c>
      <c r="B192" t="s">
        <v>9764</v>
      </c>
    </row>
    <row r="193" spans="1:2" x14ac:dyDescent="0.25">
      <c r="A193" t="s">
        <v>4555</v>
      </c>
      <c r="B193" t="s">
        <v>9779</v>
      </c>
    </row>
    <row r="194" spans="1:2" x14ac:dyDescent="0.25">
      <c r="A194" t="s">
        <v>4555</v>
      </c>
      <c r="B194" t="s">
        <v>10191</v>
      </c>
    </row>
    <row r="195" spans="1:2" x14ac:dyDescent="0.25">
      <c r="A195" t="s">
        <v>4555</v>
      </c>
      <c r="B195" t="s">
        <v>10192</v>
      </c>
    </row>
    <row r="196" spans="1:2" x14ac:dyDescent="0.25">
      <c r="A196" t="s">
        <v>4555</v>
      </c>
      <c r="B196" t="s">
        <v>9773</v>
      </c>
    </row>
    <row r="197" spans="1:2" x14ac:dyDescent="0.25">
      <c r="A197" t="s">
        <v>4555</v>
      </c>
      <c r="B197" t="s">
        <v>9697</v>
      </c>
    </row>
    <row r="198" spans="1:2" x14ac:dyDescent="0.25">
      <c r="A198" t="s">
        <v>4555</v>
      </c>
      <c r="B198" t="s">
        <v>12919</v>
      </c>
    </row>
    <row r="199" spans="1:2" x14ac:dyDescent="0.25">
      <c r="A199" t="s">
        <v>4555</v>
      </c>
      <c r="B199" t="s">
        <v>12921</v>
      </c>
    </row>
    <row r="200" spans="1:2" x14ac:dyDescent="0.25">
      <c r="A200" t="s">
        <v>654</v>
      </c>
      <c r="B200" t="s">
        <v>10225</v>
      </c>
    </row>
    <row r="201" spans="1:2" x14ac:dyDescent="0.25">
      <c r="A201" t="s">
        <v>654</v>
      </c>
      <c r="B201" t="s">
        <v>10126</v>
      </c>
    </row>
    <row r="202" spans="1:2" x14ac:dyDescent="0.25">
      <c r="A202" t="s">
        <v>654</v>
      </c>
      <c r="B202" t="s">
        <v>8126</v>
      </c>
    </row>
    <row r="203" spans="1:2" x14ac:dyDescent="0.25">
      <c r="A203" t="s">
        <v>654</v>
      </c>
      <c r="B203" t="s">
        <v>10000</v>
      </c>
    </row>
    <row r="204" spans="1:2" x14ac:dyDescent="0.25">
      <c r="A204" t="s">
        <v>654</v>
      </c>
      <c r="B204" t="s">
        <v>12556</v>
      </c>
    </row>
    <row r="205" spans="1:2" x14ac:dyDescent="0.25">
      <c r="A205" t="s">
        <v>654</v>
      </c>
      <c r="B205" t="s">
        <v>9621</v>
      </c>
    </row>
    <row r="206" spans="1:2" x14ac:dyDescent="0.25">
      <c r="A206" t="s">
        <v>654</v>
      </c>
      <c r="B206" t="s">
        <v>8922</v>
      </c>
    </row>
    <row r="207" spans="1:2" x14ac:dyDescent="0.25">
      <c r="A207" t="s">
        <v>654</v>
      </c>
      <c r="B207" t="s">
        <v>10027</v>
      </c>
    </row>
    <row r="208" spans="1:2" x14ac:dyDescent="0.25">
      <c r="A208" t="s">
        <v>654</v>
      </c>
      <c r="B208" t="s">
        <v>10243</v>
      </c>
    </row>
    <row r="209" spans="1:2" x14ac:dyDescent="0.25">
      <c r="A209" t="s">
        <v>654</v>
      </c>
      <c r="B209" t="s">
        <v>9705</v>
      </c>
    </row>
    <row r="210" spans="1:2" x14ac:dyDescent="0.25">
      <c r="A210" t="s">
        <v>654</v>
      </c>
      <c r="B210" t="s">
        <v>9916</v>
      </c>
    </row>
    <row r="211" spans="1:2" x14ac:dyDescent="0.25">
      <c r="A211" t="s">
        <v>654</v>
      </c>
      <c r="B211" t="s">
        <v>9614</v>
      </c>
    </row>
    <row r="212" spans="1:2" x14ac:dyDescent="0.25">
      <c r="A212" t="s">
        <v>654</v>
      </c>
      <c r="B212" t="s">
        <v>8130</v>
      </c>
    </row>
    <row r="213" spans="1:2" x14ac:dyDescent="0.25">
      <c r="A213" t="s">
        <v>654</v>
      </c>
      <c r="B213" t="s">
        <v>9793</v>
      </c>
    </row>
    <row r="214" spans="1:2" x14ac:dyDescent="0.25">
      <c r="A214" t="s">
        <v>693</v>
      </c>
      <c r="B214" t="s">
        <v>9829</v>
      </c>
    </row>
    <row r="215" spans="1:2" x14ac:dyDescent="0.25">
      <c r="A215" t="s">
        <v>693</v>
      </c>
      <c r="B215" t="s">
        <v>9617</v>
      </c>
    </row>
    <row r="216" spans="1:2" x14ac:dyDescent="0.25">
      <c r="A216" t="s">
        <v>693</v>
      </c>
      <c r="B216" t="s">
        <v>10032</v>
      </c>
    </row>
    <row r="217" spans="1:2" x14ac:dyDescent="0.25">
      <c r="A217" t="s">
        <v>693</v>
      </c>
      <c r="B217" t="s">
        <v>11442</v>
      </c>
    </row>
    <row r="218" spans="1:2" x14ac:dyDescent="0.25">
      <c r="A218" t="s">
        <v>693</v>
      </c>
      <c r="B218" t="s">
        <v>9729</v>
      </c>
    </row>
    <row r="219" spans="1:2" x14ac:dyDescent="0.25">
      <c r="A219" t="s">
        <v>693</v>
      </c>
      <c r="B219" t="s">
        <v>9935</v>
      </c>
    </row>
    <row r="220" spans="1:2" x14ac:dyDescent="0.25">
      <c r="A220" t="s">
        <v>693</v>
      </c>
      <c r="B220" t="s">
        <v>13846</v>
      </c>
    </row>
    <row r="221" spans="1:2" x14ac:dyDescent="0.25">
      <c r="A221" t="s">
        <v>579</v>
      </c>
      <c r="B221" t="s">
        <v>11789</v>
      </c>
    </row>
    <row r="222" spans="1:2" x14ac:dyDescent="0.25">
      <c r="A222" t="s">
        <v>579</v>
      </c>
      <c r="B222" t="s">
        <v>9011</v>
      </c>
    </row>
    <row r="223" spans="1:2" x14ac:dyDescent="0.25">
      <c r="A223" t="s">
        <v>579</v>
      </c>
      <c r="B223" t="s">
        <v>9064</v>
      </c>
    </row>
    <row r="224" spans="1:2" x14ac:dyDescent="0.25">
      <c r="A224" t="s">
        <v>579</v>
      </c>
      <c r="B224" t="s">
        <v>8947</v>
      </c>
    </row>
    <row r="225" spans="1:2" x14ac:dyDescent="0.25">
      <c r="A225" t="s">
        <v>579</v>
      </c>
      <c r="B225" t="s">
        <v>9012</v>
      </c>
    </row>
    <row r="226" spans="1:2" x14ac:dyDescent="0.25">
      <c r="A226" t="s">
        <v>579</v>
      </c>
      <c r="B226" t="s">
        <v>9355</v>
      </c>
    </row>
    <row r="227" spans="1:2" x14ac:dyDescent="0.25">
      <c r="A227" t="s">
        <v>579</v>
      </c>
      <c r="B227" t="s">
        <v>8971</v>
      </c>
    </row>
    <row r="228" spans="1:2" x14ac:dyDescent="0.25">
      <c r="A228" t="s">
        <v>579</v>
      </c>
      <c r="B228" t="s">
        <v>8770</v>
      </c>
    </row>
    <row r="229" spans="1:2" x14ac:dyDescent="0.25">
      <c r="A229" t="s">
        <v>579</v>
      </c>
      <c r="B229" t="s">
        <v>11838</v>
      </c>
    </row>
    <row r="230" spans="1:2" x14ac:dyDescent="0.25">
      <c r="A230" t="s">
        <v>579</v>
      </c>
      <c r="B230" t="s">
        <v>9186</v>
      </c>
    </row>
    <row r="231" spans="1:2" x14ac:dyDescent="0.25">
      <c r="A231" t="s">
        <v>579</v>
      </c>
      <c r="B231" t="s">
        <v>8772</v>
      </c>
    </row>
    <row r="232" spans="1:2" x14ac:dyDescent="0.25">
      <c r="A232" t="s">
        <v>579</v>
      </c>
      <c r="B232" t="s">
        <v>9445</v>
      </c>
    </row>
    <row r="233" spans="1:2" x14ac:dyDescent="0.25">
      <c r="A233" t="s">
        <v>579</v>
      </c>
      <c r="B233" t="s">
        <v>9102</v>
      </c>
    </row>
    <row r="234" spans="1:2" x14ac:dyDescent="0.25">
      <c r="A234" t="s">
        <v>579</v>
      </c>
      <c r="B234" t="s">
        <v>9147</v>
      </c>
    </row>
    <row r="235" spans="1:2" x14ac:dyDescent="0.25">
      <c r="A235" t="s">
        <v>579</v>
      </c>
      <c r="B235" t="s">
        <v>13324</v>
      </c>
    </row>
    <row r="236" spans="1:2" x14ac:dyDescent="0.25">
      <c r="A236" t="s">
        <v>547</v>
      </c>
      <c r="B236" t="s">
        <v>9263</v>
      </c>
    </row>
    <row r="237" spans="1:2" x14ac:dyDescent="0.25">
      <c r="A237" t="s">
        <v>547</v>
      </c>
      <c r="B237" t="s">
        <v>8851</v>
      </c>
    </row>
    <row r="238" spans="1:2" x14ac:dyDescent="0.25">
      <c r="A238" t="s">
        <v>547</v>
      </c>
      <c r="B238" t="s">
        <v>9236</v>
      </c>
    </row>
    <row r="239" spans="1:2" x14ac:dyDescent="0.25">
      <c r="A239" t="s">
        <v>547</v>
      </c>
      <c r="B239" t="s">
        <v>9194</v>
      </c>
    </row>
    <row r="240" spans="1:2" x14ac:dyDescent="0.25">
      <c r="A240" t="s">
        <v>547</v>
      </c>
      <c r="B240" t="s">
        <v>9471</v>
      </c>
    </row>
    <row r="241" spans="1:2" x14ac:dyDescent="0.25">
      <c r="A241" t="s">
        <v>547</v>
      </c>
      <c r="B241" t="s">
        <v>9349</v>
      </c>
    </row>
    <row r="242" spans="1:2" x14ac:dyDescent="0.25">
      <c r="A242" t="s">
        <v>547</v>
      </c>
      <c r="B242" t="s">
        <v>9229</v>
      </c>
    </row>
    <row r="243" spans="1:2" x14ac:dyDescent="0.25">
      <c r="A243" t="s">
        <v>547</v>
      </c>
      <c r="B243" t="s">
        <v>8939</v>
      </c>
    </row>
    <row r="244" spans="1:2" x14ac:dyDescent="0.25">
      <c r="A244" t="s">
        <v>547</v>
      </c>
      <c r="B244" t="s">
        <v>11084</v>
      </c>
    </row>
    <row r="245" spans="1:2" x14ac:dyDescent="0.25">
      <c r="A245" t="s">
        <v>547</v>
      </c>
      <c r="B245" t="s">
        <v>14019</v>
      </c>
    </row>
    <row r="246" spans="1:2" x14ac:dyDescent="0.25">
      <c r="A246" t="s">
        <v>702</v>
      </c>
      <c r="B246" t="s">
        <v>10018</v>
      </c>
    </row>
    <row r="247" spans="1:2" x14ac:dyDescent="0.25">
      <c r="A247" t="s">
        <v>702</v>
      </c>
      <c r="B247" t="s">
        <v>9579</v>
      </c>
    </row>
    <row r="248" spans="1:2" x14ac:dyDescent="0.25">
      <c r="A248" t="s">
        <v>702</v>
      </c>
      <c r="B248" t="s">
        <v>9584</v>
      </c>
    </row>
    <row r="249" spans="1:2" x14ac:dyDescent="0.25">
      <c r="A249" t="s">
        <v>702</v>
      </c>
      <c r="B249" t="s">
        <v>9534</v>
      </c>
    </row>
    <row r="250" spans="1:2" x14ac:dyDescent="0.25">
      <c r="A250" t="s">
        <v>702</v>
      </c>
      <c r="B250" t="s">
        <v>9745</v>
      </c>
    </row>
    <row r="251" spans="1:2" x14ac:dyDescent="0.25">
      <c r="A251" t="s">
        <v>702</v>
      </c>
      <c r="B251" t="s">
        <v>10008</v>
      </c>
    </row>
    <row r="252" spans="1:2" x14ac:dyDescent="0.25">
      <c r="A252" t="s">
        <v>702</v>
      </c>
      <c r="B252" t="s">
        <v>9953</v>
      </c>
    </row>
    <row r="253" spans="1:2" x14ac:dyDescent="0.25">
      <c r="A253" t="s">
        <v>702</v>
      </c>
      <c r="B253" t="s">
        <v>10370</v>
      </c>
    </row>
    <row r="254" spans="1:2" x14ac:dyDescent="0.25">
      <c r="A254" t="s">
        <v>702</v>
      </c>
      <c r="B254" t="s">
        <v>9902</v>
      </c>
    </row>
    <row r="255" spans="1:2" x14ac:dyDescent="0.25">
      <c r="A255" t="s">
        <v>702</v>
      </c>
      <c r="B255" t="s">
        <v>10111</v>
      </c>
    </row>
    <row r="256" spans="1:2" x14ac:dyDescent="0.25">
      <c r="A256" t="s">
        <v>702</v>
      </c>
      <c r="B256" t="s">
        <v>9889</v>
      </c>
    </row>
    <row r="257" spans="1:2" x14ac:dyDescent="0.25">
      <c r="A257" t="s">
        <v>702</v>
      </c>
      <c r="B257" t="s">
        <v>12753</v>
      </c>
    </row>
    <row r="258" spans="1:2" x14ac:dyDescent="0.25">
      <c r="A258" t="s">
        <v>702</v>
      </c>
      <c r="B258" t="s">
        <v>10063</v>
      </c>
    </row>
    <row r="259" spans="1:2" x14ac:dyDescent="0.25">
      <c r="A259" t="s">
        <v>702</v>
      </c>
      <c r="B259" t="s">
        <v>10344</v>
      </c>
    </row>
    <row r="260" spans="1:2" x14ac:dyDescent="0.25">
      <c r="A260" t="s">
        <v>702</v>
      </c>
      <c r="B260" t="s">
        <v>9857</v>
      </c>
    </row>
    <row r="261" spans="1:2" x14ac:dyDescent="0.25">
      <c r="A261" t="s">
        <v>702</v>
      </c>
      <c r="B261" t="s">
        <v>10371</v>
      </c>
    </row>
    <row r="262" spans="1:2" x14ac:dyDescent="0.25">
      <c r="A262" t="s">
        <v>702</v>
      </c>
      <c r="B262" t="s">
        <v>10037</v>
      </c>
    </row>
    <row r="263" spans="1:2" x14ac:dyDescent="0.25">
      <c r="A263" t="s">
        <v>702</v>
      </c>
      <c r="B263" t="s">
        <v>10047</v>
      </c>
    </row>
    <row r="264" spans="1:2" x14ac:dyDescent="0.25">
      <c r="A264" t="s">
        <v>702</v>
      </c>
      <c r="B264" t="s">
        <v>9967</v>
      </c>
    </row>
    <row r="265" spans="1:2" x14ac:dyDescent="0.25">
      <c r="A265" t="s">
        <v>702</v>
      </c>
      <c r="B265" t="s">
        <v>10258</v>
      </c>
    </row>
    <row r="266" spans="1:2" x14ac:dyDescent="0.25">
      <c r="A266" t="s">
        <v>702</v>
      </c>
      <c r="B266" t="s">
        <v>13607</v>
      </c>
    </row>
    <row r="267" spans="1:2" x14ac:dyDescent="0.25">
      <c r="A267" t="s">
        <v>702</v>
      </c>
      <c r="B267" t="s">
        <v>10251</v>
      </c>
    </row>
    <row r="268" spans="1:2" x14ac:dyDescent="0.25">
      <c r="A268" t="s">
        <v>702</v>
      </c>
      <c r="B268" t="s">
        <v>10196</v>
      </c>
    </row>
    <row r="269" spans="1:2" x14ac:dyDescent="0.25">
      <c r="A269" t="s">
        <v>702</v>
      </c>
      <c r="B269" t="s">
        <v>13363</v>
      </c>
    </row>
    <row r="270" spans="1:2" x14ac:dyDescent="0.25">
      <c r="A270" t="s">
        <v>702</v>
      </c>
      <c r="B270" t="s">
        <v>13848</v>
      </c>
    </row>
    <row r="271" spans="1:2" x14ac:dyDescent="0.25">
      <c r="A271" t="s">
        <v>7404</v>
      </c>
      <c r="B271" t="s">
        <v>10847</v>
      </c>
    </row>
    <row r="272" spans="1:2" x14ac:dyDescent="0.25">
      <c r="A272" t="s">
        <v>7404</v>
      </c>
      <c r="B272" t="s">
        <v>10834</v>
      </c>
    </row>
    <row r="273" spans="1:2" x14ac:dyDescent="0.25">
      <c r="A273" t="s">
        <v>7404</v>
      </c>
      <c r="B273" t="s">
        <v>10835</v>
      </c>
    </row>
    <row r="274" spans="1:2" x14ac:dyDescent="0.25">
      <c r="A274" t="s">
        <v>328</v>
      </c>
      <c r="B274" t="s">
        <v>8161</v>
      </c>
    </row>
    <row r="275" spans="1:2" x14ac:dyDescent="0.25">
      <c r="A275" t="s">
        <v>328</v>
      </c>
      <c r="B275" t="s">
        <v>10844</v>
      </c>
    </row>
    <row r="276" spans="1:2" x14ac:dyDescent="0.25">
      <c r="A276" t="s">
        <v>328</v>
      </c>
      <c r="B276" t="s">
        <v>8151</v>
      </c>
    </row>
    <row r="277" spans="1:2" x14ac:dyDescent="0.25">
      <c r="A277" t="s">
        <v>328</v>
      </c>
      <c r="B277" t="s">
        <v>10916</v>
      </c>
    </row>
    <row r="278" spans="1:2" x14ac:dyDescent="0.25">
      <c r="A278" t="s">
        <v>328</v>
      </c>
      <c r="B278" t="s">
        <v>14604</v>
      </c>
    </row>
    <row r="279" spans="1:2" x14ac:dyDescent="0.25">
      <c r="A279" t="s">
        <v>328</v>
      </c>
      <c r="B279" t="s">
        <v>8777</v>
      </c>
    </row>
    <row r="280" spans="1:2" x14ac:dyDescent="0.25">
      <c r="A280" t="s">
        <v>328</v>
      </c>
      <c r="B280" t="s">
        <v>8141</v>
      </c>
    </row>
    <row r="281" spans="1:2" x14ac:dyDescent="0.25">
      <c r="A281" t="s">
        <v>328</v>
      </c>
      <c r="B281" t="s">
        <v>8091</v>
      </c>
    </row>
    <row r="282" spans="1:2" x14ac:dyDescent="0.25">
      <c r="A282" t="s">
        <v>328</v>
      </c>
      <c r="B282" t="s">
        <v>8074</v>
      </c>
    </row>
    <row r="283" spans="1:2" x14ac:dyDescent="0.25">
      <c r="A283" t="s">
        <v>328</v>
      </c>
      <c r="B283" t="s">
        <v>12366</v>
      </c>
    </row>
    <row r="284" spans="1:2" x14ac:dyDescent="0.25">
      <c r="A284" t="s">
        <v>328</v>
      </c>
      <c r="B284" t="s">
        <v>8115</v>
      </c>
    </row>
    <row r="285" spans="1:2" x14ac:dyDescent="0.25">
      <c r="A285" t="s">
        <v>328</v>
      </c>
      <c r="B285" t="s">
        <v>8149</v>
      </c>
    </row>
    <row r="286" spans="1:2" x14ac:dyDescent="0.25">
      <c r="A286" t="s">
        <v>328</v>
      </c>
      <c r="B286" t="s">
        <v>8162</v>
      </c>
    </row>
    <row r="287" spans="1:2" x14ac:dyDescent="0.25">
      <c r="A287" t="s">
        <v>328</v>
      </c>
      <c r="B287" t="s">
        <v>8098</v>
      </c>
    </row>
    <row r="288" spans="1:2" x14ac:dyDescent="0.25">
      <c r="A288" t="s">
        <v>328</v>
      </c>
      <c r="B288" t="s">
        <v>8146</v>
      </c>
    </row>
    <row r="289" spans="1:2" x14ac:dyDescent="0.25">
      <c r="A289" t="s">
        <v>328</v>
      </c>
      <c r="B289" t="s">
        <v>8722</v>
      </c>
    </row>
    <row r="290" spans="1:2" x14ac:dyDescent="0.25">
      <c r="A290" t="s">
        <v>328</v>
      </c>
      <c r="B290" t="s">
        <v>8120</v>
      </c>
    </row>
    <row r="291" spans="1:2" x14ac:dyDescent="0.25">
      <c r="A291" t="s">
        <v>328</v>
      </c>
      <c r="B291" t="s">
        <v>8713</v>
      </c>
    </row>
    <row r="292" spans="1:2" x14ac:dyDescent="0.25">
      <c r="A292" t="s">
        <v>328</v>
      </c>
      <c r="B292" t="s">
        <v>8148</v>
      </c>
    </row>
    <row r="293" spans="1:2" x14ac:dyDescent="0.25">
      <c r="A293" t="s">
        <v>328</v>
      </c>
      <c r="B293" t="s">
        <v>8121</v>
      </c>
    </row>
    <row r="294" spans="1:2" x14ac:dyDescent="0.25">
      <c r="A294" t="s">
        <v>328</v>
      </c>
      <c r="B294" t="s">
        <v>8119</v>
      </c>
    </row>
    <row r="295" spans="1:2" x14ac:dyDescent="0.25">
      <c r="A295" t="s">
        <v>328</v>
      </c>
      <c r="B295" t="s">
        <v>8721</v>
      </c>
    </row>
    <row r="296" spans="1:2" x14ac:dyDescent="0.25">
      <c r="A296" t="s">
        <v>328</v>
      </c>
      <c r="B296" t="s">
        <v>8714</v>
      </c>
    </row>
    <row r="297" spans="1:2" x14ac:dyDescent="0.25">
      <c r="A297" t="s">
        <v>328</v>
      </c>
      <c r="B297" t="s">
        <v>8589</v>
      </c>
    </row>
    <row r="298" spans="1:2" x14ac:dyDescent="0.25">
      <c r="A298" t="s">
        <v>328</v>
      </c>
      <c r="B298" t="s">
        <v>8088</v>
      </c>
    </row>
    <row r="299" spans="1:2" x14ac:dyDescent="0.25">
      <c r="A299" t="s">
        <v>328</v>
      </c>
      <c r="B299" t="s">
        <v>14445</v>
      </c>
    </row>
    <row r="300" spans="1:2" x14ac:dyDescent="0.25">
      <c r="A300" t="s">
        <v>328</v>
      </c>
      <c r="B300" t="s">
        <v>14521</v>
      </c>
    </row>
    <row r="301" spans="1:2" x14ac:dyDescent="0.25">
      <c r="A301" t="s">
        <v>14114</v>
      </c>
      <c r="B301" t="s">
        <v>10229</v>
      </c>
    </row>
    <row r="302" spans="1:2" x14ac:dyDescent="0.25">
      <c r="A302" t="s">
        <v>14114</v>
      </c>
      <c r="B302" t="s">
        <v>9536</v>
      </c>
    </row>
    <row r="303" spans="1:2" x14ac:dyDescent="0.25">
      <c r="A303" t="s">
        <v>14114</v>
      </c>
      <c r="B303" t="s">
        <v>9914</v>
      </c>
    </row>
    <row r="304" spans="1:2" x14ac:dyDescent="0.25">
      <c r="A304" t="s">
        <v>14114</v>
      </c>
      <c r="B304" t="s">
        <v>10221</v>
      </c>
    </row>
    <row r="305" spans="1:2" x14ac:dyDescent="0.25">
      <c r="A305" t="s">
        <v>14114</v>
      </c>
      <c r="B305" t="s">
        <v>9616</v>
      </c>
    </row>
    <row r="306" spans="1:2" x14ac:dyDescent="0.25">
      <c r="A306" t="s">
        <v>14114</v>
      </c>
      <c r="B306" t="s">
        <v>9706</v>
      </c>
    </row>
    <row r="307" spans="1:2" x14ac:dyDescent="0.25">
      <c r="A307" t="s">
        <v>14114</v>
      </c>
      <c r="B307" t="s">
        <v>13815</v>
      </c>
    </row>
    <row r="308" spans="1:2" x14ac:dyDescent="0.25">
      <c r="A308" t="s">
        <v>1627</v>
      </c>
      <c r="B308" t="s">
        <v>8285</v>
      </c>
    </row>
    <row r="309" spans="1:2" x14ac:dyDescent="0.25">
      <c r="A309" t="s">
        <v>1627</v>
      </c>
      <c r="B309" t="s">
        <v>8286</v>
      </c>
    </row>
    <row r="310" spans="1:2" x14ac:dyDescent="0.25">
      <c r="A310" t="s">
        <v>1627</v>
      </c>
      <c r="B310" t="s">
        <v>8308</v>
      </c>
    </row>
    <row r="311" spans="1:2" x14ac:dyDescent="0.25">
      <c r="A311" t="s">
        <v>1627</v>
      </c>
      <c r="B311" t="s">
        <v>8307</v>
      </c>
    </row>
    <row r="312" spans="1:2" x14ac:dyDescent="0.25">
      <c r="A312" t="s">
        <v>1627</v>
      </c>
      <c r="B312" t="s">
        <v>8204</v>
      </c>
    </row>
    <row r="313" spans="1:2" x14ac:dyDescent="0.25">
      <c r="A313" t="s">
        <v>1627</v>
      </c>
      <c r="B313" t="s">
        <v>8299</v>
      </c>
    </row>
    <row r="314" spans="1:2" x14ac:dyDescent="0.25">
      <c r="A314" t="s">
        <v>1627</v>
      </c>
      <c r="B314" t="s">
        <v>8306</v>
      </c>
    </row>
    <row r="315" spans="1:2" x14ac:dyDescent="0.25">
      <c r="A315" t="s">
        <v>1627</v>
      </c>
      <c r="B315" t="s">
        <v>8309</v>
      </c>
    </row>
    <row r="316" spans="1:2" x14ac:dyDescent="0.25">
      <c r="A316" t="s">
        <v>1627</v>
      </c>
      <c r="B316" t="s">
        <v>8288</v>
      </c>
    </row>
    <row r="317" spans="1:2" x14ac:dyDescent="0.25">
      <c r="A317" t="s">
        <v>4679</v>
      </c>
      <c r="B317" t="s">
        <v>10019</v>
      </c>
    </row>
    <row r="318" spans="1:2" x14ac:dyDescent="0.25">
      <c r="A318" t="s">
        <v>4679</v>
      </c>
      <c r="B318" t="s">
        <v>9932</v>
      </c>
    </row>
    <row r="319" spans="1:2" x14ac:dyDescent="0.25">
      <c r="A319" t="s">
        <v>4679</v>
      </c>
      <c r="B319" t="s">
        <v>10252</v>
      </c>
    </row>
    <row r="320" spans="1:2" x14ac:dyDescent="0.25">
      <c r="A320" t="s">
        <v>4679</v>
      </c>
      <c r="B320" t="s">
        <v>9786</v>
      </c>
    </row>
    <row r="321" spans="1:2" x14ac:dyDescent="0.25">
      <c r="A321" t="s">
        <v>4679</v>
      </c>
      <c r="B321" t="s">
        <v>9638</v>
      </c>
    </row>
    <row r="322" spans="1:2" x14ac:dyDescent="0.25">
      <c r="A322" t="s">
        <v>4679</v>
      </c>
      <c r="B322" t="s">
        <v>9931</v>
      </c>
    </row>
    <row r="323" spans="1:2" x14ac:dyDescent="0.25">
      <c r="A323" t="s">
        <v>4679</v>
      </c>
      <c r="B323" t="s">
        <v>9929</v>
      </c>
    </row>
    <row r="324" spans="1:2" x14ac:dyDescent="0.25">
      <c r="A324" t="s">
        <v>4679</v>
      </c>
      <c r="B324" t="s">
        <v>9811</v>
      </c>
    </row>
    <row r="325" spans="1:2" x14ac:dyDescent="0.25">
      <c r="A325" t="s">
        <v>4679</v>
      </c>
      <c r="B325" t="s">
        <v>10146</v>
      </c>
    </row>
    <row r="326" spans="1:2" x14ac:dyDescent="0.25">
      <c r="A326" t="s">
        <v>4679</v>
      </c>
      <c r="B326" t="s">
        <v>9930</v>
      </c>
    </row>
    <row r="327" spans="1:2" x14ac:dyDescent="0.25">
      <c r="A327" t="s">
        <v>4679</v>
      </c>
      <c r="B327" t="s">
        <v>9910</v>
      </c>
    </row>
    <row r="328" spans="1:2" x14ac:dyDescent="0.25">
      <c r="A328" t="s">
        <v>4679</v>
      </c>
      <c r="B328" t="s">
        <v>9573</v>
      </c>
    </row>
    <row r="329" spans="1:2" x14ac:dyDescent="0.25">
      <c r="A329" t="s">
        <v>4679</v>
      </c>
      <c r="B329" t="s">
        <v>10432</v>
      </c>
    </row>
    <row r="330" spans="1:2" x14ac:dyDescent="0.25">
      <c r="A330" t="s">
        <v>4679</v>
      </c>
      <c r="B330" t="s">
        <v>9664</v>
      </c>
    </row>
    <row r="331" spans="1:2" x14ac:dyDescent="0.25">
      <c r="A331" t="s">
        <v>4679</v>
      </c>
      <c r="B331" t="s">
        <v>10162</v>
      </c>
    </row>
    <row r="332" spans="1:2" x14ac:dyDescent="0.25">
      <c r="A332" t="s">
        <v>4679</v>
      </c>
      <c r="B332" t="s">
        <v>9738</v>
      </c>
    </row>
    <row r="333" spans="1:2" x14ac:dyDescent="0.25">
      <c r="A333" t="s">
        <v>4679</v>
      </c>
      <c r="B333" t="s">
        <v>9876</v>
      </c>
    </row>
    <row r="334" spans="1:2" x14ac:dyDescent="0.25">
      <c r="A334" t="s">
        <v>4679</v>
      </c>
      <c r="B334" t="s">
        <v>10066</v>
      </c>
    </row>
    <row r="335" spans="1:2" x14ac:dyDescent="0.25">
      <c r="A335" t="s">
        <v>4679</v>
      </c>
      <c r="B335" t="s">
        <v>12889</v>
      </c>
    </row>
    <row r="336" spans="1:2" x14ac:dyDescent="0.25">
      <c r="A336" t="s">
        <v>4679</v>
      </c>
      <c r="B336" t="s">
        <v>12892</v>
      </c>
    </row>
    <row r="337" spans="1:2" x14ac:dyDescent="0.25">
      <c r="A337" t="s">
        <v>4679</v>
      </c>
      <c r="B337" t="s">
        <v>12998</v>
      </c>
    </row>
    <row r="338" spans="1:2" x14ac:dyDescent="0.25">
      <c r="A338" t="s">
        <v>158</v>
      </c>
      <c r="B338" t="s">
        <v>8676</v>
      </c>
    </row>
    <row r="339" spans="1:2" x14ac:dyDescent="0.25">
      <c r="A339" t="s">
        <v>158</v>
      </c>
      <c r="B339" t="s">
        <v>8661</v>
      </c>
    </row>
    <row r="340" spans="1:2" x14ac:dyDescent="0.25">
      <c r="A340" t="s">
        <v>158</v>
      </c>
      <c r="B340" t="s">
        <v>8658</v>
      </c>
    </row>
    <row r="341" spans="1:2" x14ac:dyDescent="0.25">
      <c r="A341" t="s">
        <v>158</v>
      </c>
      <c r="B341" t="s">
        <v>8649</v>
      </c>
    </row>
    <row r="342" spans="1:2" x14ac:dyDescent="0.25">
      <c r="A342" t="s">
        <v>158</v>
      </c>
      <c r="B342" t="s">
        <v>8663</v>
      </c>
    </row>
    <row r="343" spans="1:2" x14ac:dyDescent="0.25">
      <c r="A343" t="s">
        <v>158</v>
      </c>
      <c r="B343" t="s">
        <v>8662</v>
      </c>
    </row>
    <row r="344" spans="1:2" x14ac:dyDescent="0.25">
      <c r="A344" t="s">
        <v>158</v>
      </c>
      <c r="B344" t="s">
        <v>8599</v>
      </c>
    </row>
    <row r="345" spans="1:2" x14ac:dyDescent="0.25">
      <c r="A345" t="s">
        <v>158</v>
      </c>
      <c r="B345" t="s">
        <v>8675</v>
      </c>
    </row>
    <row r="346" spans="1:2" x14ac:dyDescent="0.25">
      <c r="A346" t="s">
        <v>158</v>
      </c>
      <c r="B346" t="s">
        <v>8670</v>
      </c>
    </row>
    <row r="347" spans="1:2" x14ac:dyDescent="0.25">
      <c r="A347" t="s">
        <v>158</v>
      </c>
      <c r="B347" t="s">
        <v>13277</v>
      </c>
    </row>
    <row r="348" spans="1:2" x14ac:dyDescent="0.25">
      <c r="A348" t="s">
        <v>158</v>
      </c>
      <c r="B348" t="s">
        <v>13281</v>
      </c>
    </row>
    <row r="349" spans="1:2" x14ac:dyDescent="0.25">
      <c r="A349" t="s">
        <v>158</v>
      </c>
      <c r="B349" t="s">
        <v>13284</v>
      </c>
    </row>
    <row r="350" spans="1:2" x14ac:dyDescent="0.25">
      <c r="A350" t="s">
        <v>4528</v>
      </c>
      <c r="B350" t="s">
        <v>9512</v>
      </c>
    </row>
    <row r="351" spans="1:2" x14ac:dyDescent="0.25">
      <c r="A351" t="s">
        <v>4528</v>
      </c>
      <c r="B351" t="s">
        <v>9513</v>
      </c>
    </row>
    <row r="352" spans="1:2" x14ac:dyDescent="0.25">
      <c r="A352" t="s">
        <v>252</v>
      </c>
      <c r="B352" t="s">
        <v>11935</v>
      </c>
    </row>
    <row r="353" spans="1:2" x14ac:dyDescent="0.25">
      <c r="A353" t="s">
        <v>252</v>
      </c>
      <c r="B353" t="s">
        <v>11928</v>
      </c>
    </row>
    <row r="354" spans="1:2" x14ac:dyDescent="0.25">
      <c r="A354" t="s">
        <v>252</v>
      </c>
      <c r="B354" t="s">
        <v>11929</v>
      </c>
    </row>
    <row r="355" spans="1:2" x14ac:dyDescent="0.25">
      <c r="A355" t="s">
        <v>252</v>
      </c>
      <c r="B355" t="s">
        <v>11933</v>
      </c>
    </row>
    <row r="356" spans="1:2" x14ac:dyDescent="0.25">
      <c r="A356" t="s">
        <v>252</v>
      </c>
      <c r="B356" t="s">
        <v>11936</v>
      </c>
    </row>
    <row r="357" spans="1:2" x14ac:dyDescent="0.25">
      <c r="A357" t="s">
        <v>252</v>
      </c>
      <c r="B357" t="s">
        <v>11940</v>
      </c>
    </row>
    <row r="358" spans="1:2" x14ac:dyDescent="0.25">
      <c r="A358" t="s">
        <v>252</v>
      </c>
      <c r="B358" t="s">
        <v>11942</v>
      </c>
    </row>
    <row r="359" spans="1:2" x14ac:dyDescent="0.25">
      <c r="A359" t="s">
        <v>252</v>
      </c>
      <c r="B359" t="s">
        <v>11930</v>
      </c>
    </row>
    <row r="360" spans="1:2" x14ac:dyDescent="0.25">
      <c r="A360" t="s">
        <v>252</v>
      </c>
      <c r="B360" t="s">
        <v>11932</v>
      </c>
    </row>
    <row r="361" spans="1:2" x14ac:dyDescent="0.25">
      <c r="A361" t="s">
        <v>252</v>
      </c>
      <c r="B361" t="s">
        <v>13093</v>
      </c>
    </row>
    <row r="362" spans="1:2" x14ac:dyDescent="0.25">
      <c r="A362" t="s">
        <v>252</v>
      </c>
      <c r="B362" t="s">
        <v>13097</v>
      </c>
    </row>
    <row r="363" spans="1:2" x14ac:dyDescent="0.25">
      <c r="A363" t="s">
        <v>4635</v>
      </c>
      <c r="B363" t="s">
        <v>9951</v>
      </c>
    </row>
    <row r="364" spans="1:2" x14ac:dyDescent="0.25">
      <c r="A364" t="s">
        <v>4635</v>
      </c>
      <c r="B364" t="s">
        <v>9926</v>
      </c>
    </row>
    <row r="365" spans="1:2" x14ac:dyDescent="0.25">
      <c r="A365" t="s">
        <v>4635</v>
      </c>
      <c r="B365" t="s">
        <v>10288</v>
      </c>
    </row>
    <row r="366" spans="1:2" x14ac:dyDescent="0.25">
      <c r="A366" t="s">
        <v>4635</v>
      </c>
      <c r="B366" t="s">
        <v>10241</v>
      </c>
    </row>
    <row r="367" spans="1:2" x14ac:dyDescent="0.25">
      <c r="A367" t="s">
        <v>4635</v>
      </c>
      <c r="B367" t="s">
        <v>10094</v>
      </c>
    </row>
    <row r="368" spans="1:2" x14ac:dyDescent="0.25">
      <c r="A368" t="s">
        <v>4635</v>
      </c>
      <c r="B368" t="s">
        <v>9737</v>
      </c>
    </row>
    <row r="369" spans="1:2" x14ac:dyDescent="0.25">
      <c r="A369" t="s">
        <v>4635</v>
      </c>
      <c r="B369" t="s">
        <v>9600</v>
      </c>
    </row>
    <row r="370" spans="1:2" x14ac:dyDescent="0.25">
      <c r="A370" t="s">
        <v>4635</v>
      </c>
      <c r="B370" t="s">
        <v>10806</v>
      </c>
    </row>
    <row r="371" spans="1:2" x14ac:dyDescent="0.25">
      <c r="A371" t="s">
        <v>4635</v>
      </c>
      <c r="B371" t="s">
        <v>10197</v>
      </c>
    </row>
    <row r="372" spans="1:2" x14ac:dyDescent="0.25">
      <c r="A372" t="s">
        <v>4635</v>
      </c>
      <c r="B372" t="s">
        <v>10125</v>
      </c>
    </row>
    <row r="373" spans="1:2" x14ac:dyDescent="0.25">
      <c r="A373" t="s">
        <v>4635</v>
      </c>
      <c r="B373" t="s">
        <v>10315</v>
      </c>
    </row>
    <row r="374" spans="1:2" x14ac:dyDescent="0.25">
      <c r="A374" t="s">
        <v>4635</v>
      </c>
      <c r="B374" t="s">
        <v>9726</v>
      </c>
    </row>
    <row r="375" spans="1:2" x14ac:dyDescent="0.25">
      <c r="A375" t="s">
        <v>4635</v>
      </c>
      <c r="B375" t="s">
        <v>10280</v>
      </c>
    </row>
    <row r="376" spans="1:2" x14ac:dyDescent="0.25">
      <c r="A376" t="s">
        <v>4635</v>
      </c>
      <c r="B376" t="s">
        <v>10136</v>
      </c>
    </row>
    <row r="377" spans="1:2" x14ac:dyDescent="0.25">
      <c r="A377" t="s">
        <v>4635</v>
      </c>
      <c r="B377" t="s">
        <v>9523</v>
      </c>
    </row>
    <row r="378" spans="1:2" x14ac:dyDescent="0.25">
      <c r="A378" t="s">
        <v>4635</v>
      </c>
      <c r="B378" t="s">
        <v>10318</v>
      </c>
    </row>
    <row r="379" spans="1:2" x14ac:dyDescent="0.25">
      <c r="A379" t="s">
        <v>4635</v>
      </c>
      <c r="B379" t="s">
        <v>9940</v>
      </c>
    </row>
    <row r="380" spans="1:2" x14ac:dyDescent="0.25">
      <c r="A380" t="s">
        <v>4635</v>
      </c>
      <c r="B380" t="s">
        <v>9585</v>
      </c>
    </row>
    <row r="381" spans="1:2" x14ac:dyDescent="0.25">
      <c r="A381" t="s">
        <v>4635</v>
      </c>
      <c r="B381" t="s">
        <v>9918</v>
      </c>
    </row>
    <row r="382" spans="1:2" x14ac:dyDescent="0.25">
      <c r="A382" t="s">
        <v>4635</v>
      </c>
      <c r="B382" t="s">
        <v>10011</v>
      </c>
    </row>
    <row r="383" spans="1:2" x14ac:dyDescent="0.25">
      <c r="A383" t="s">
        <v>4635</v>
      </c>
      <c r="B383" t="s">
        <v>9589</v>
      </c>
    </row>
    <row r="384" spans="1:2" x14ac:dyDescent="0.25">
      <c r="A384" t="s">
        <v>4635</v>
      </c>
      <c r="B384" t="s">
        <v>9736</v>
      </c>
    </row>
    <row r="385" spans="1:2" x14ac:dyDescent="0.25">
      <c r="A385" t="s">
        <v>4635</v>
      </c>
      <c r="B385" t="s">
        <v>10176</v>
      </c>
    </row>
    <row r="386" spans="1:2" x14ac:dyDescent="0.25">
      <c r="A386" t="s">
        <v>4635</v>
      </c>
      <c r="B386" t="s">
        <v>9671</v>
      </c>
    </row>
    <row r="387" spans="1:2" x14ac:dyDescent="0.25">
      <c r="A387" t="s">
        <v>4635</v>
      </c>
      <c r="B387" t="s">
        <v>10861</v>
      </c>
    </row>
    <row r="388" spans="1:2" x14ac:dyDescent="0.25">
      <c r="A388" t="s">
        <v>4635</v>
      </c>
      <c r="B388" t="s">
        <v>10811</v>
      </c>
    </row>
    <row r="389" spans="1:2" x14ac:dyDescent="0.25">
      <c r="A389" t="s">
        <v>4635</v>
      </c>
      <c r="B389" t="s">
        <v>10792</v>
      </c>
    </row>
    <row r="390" spans="1:2" x14ac:dyDescent="0.25">
      <c r="A390" t="s">
        <v>4635</v>
      </c>
      <c r="B390" t="s">
        <v>9817</v>
      </c>
    </row>
    <row r="391" spans="1:2" x14ac:dyDescent="0.25">
      <c r="A391" t="s">
        <v>4635</v>
      </c>
      <c r="B391" t="s">
        <v>10231</v>
      </c>
    </row>
    <row r="392" spans="1:2" x14ac:dyDescent="0.25">
      <c r="A392" t="s">
        <v>4635</v>
      </c>
      <c r="B392" t="s">
        <v>10200</v>
      </c>
    </row>
    <row r="393" spans="1:2" x14ac:dyDescent="0.25">
      <c r="A393" t="s">
        <v>4635</v>
      </c>
      <c r="B393" t="s">
        <v>9556</v>
      </c>
    </row>
    <row r="394" spans="1:2" x14ac:dyDescent="0.25">
      <c r="A394" t="s">
        <v>4635</v>
      </c>
      <c r="B394" t="s">
        <v>10096</v>
      </c>
    </row>
    <row r="395" spans="1:2" x14ac:dyDescent="0.25">
      <c r="A395" t="s">
        <v>4635</v>
      </c>
      <c r="B395" t="s">
        <v>10035</v>
      </c>
    </row>
    <row r="396" spans="1:2" x14ac:dyDescent="0.25">
      <c r="A396" t="s">
        <v>4635</v>
      </c>
      <c r="B396" t="s">
        <v>9730</v>
      </c>
    </row>
    <row r="397" spans="1:2" x14ac:dyDescent="0.25">
      <c r="A397" t="s">
        <v>4635</v>
      </c>
      <c r="B397" t="s">
        <v>10319</v>
      </c>
    </row>
    <row r="398" spans="1:2" x14ac:dyDescent="0.25">
      <c r="A398" t="s">
        <v>4635</v>
      </c>
      <c r="B398" t="s">
        <v>9654</v>
      </c>
    </row>
    <row r="399" spans="1:2" x14ac:dyDescent="0.25">
      <c r="A399" t="s">
        <v>4635</v>
      </c>
      <c r="B399" t="s">
        <v>10869</v>
      </c>
    </row>
    <row r="400" spans="1:2" x14ac:dyDescent="0.25">
      <c r="A400" t="s">
        <v>4635</v>
      </c>
      <c r="B400" t="s">
        <v>12909</v>
      </c>
    </row>
    <row r="401" spans="1:2" x14ac:dyDescent="0.25">
      <c r="A401" t="s">
        <v>4635</v>
      </c>
      <c r="B401" t="s">
        <v>12922</v>
      </c>
    </row>
    <row r="402" spans="1:2" x14ac:dyDescent="0.25">
      <c r="A402" t="s">
        <v>4635</v>
      </c>
      <c r="B402" t="s">
        <v>12945</v>
      </c>
    </row>
    <row r="403" spans="1:2" x14ac:dyDescent="0.25">
      <c r="A403" t="s">
        <v>4635</v>
      </c>
      <c r="B403" t="s">
        <v>12979</v>
      </c>
    </row>
    <row r="404" spans="1:2" x14ac:dyDescent="0.25">
      <c r="A404" t="s">
        <v>4635</v>
      </c>
      <c r="B404" t="s">
        <v>12981</v>
      </c>
    </row>
    <row r="405" spans="1:2" x14ac:dyDescent="0.25">
      <c r="A405" t="s">
        <v>4635</v>
      </c>
      <c r="B405" t="s">
        <v>12992</v>
      </c>
    </row>
    <row r="406" spans="1:2" x14ac:dyDescent="0.25">
      <c r="A406" t="s">
        <v>4635</v>
      </c>
      <c r="B406" t="s">
        <v>13008</v>
      </c>
    </row>
    <row r="407" spans="1:2" x14ac:dyDescent="0.25">
      <c r="A407" t="s">
        <v>4635</v>
      </c>
      <c r="B407" t="s">
        <v>13725</v>
      </c>
    </row>
    <row r="408" spans="1:2" x14ac:dyDescent="0.25">
      <c r="A408" t="s">
        <v>4635</v>
      </c>
      <c r="B408" t="s">
        <v>13923</v>
      </c>
    </row>
    <row r="409" spans="1:2" x14ac:dyDescent="0.25">
      <c r="A409" t="s">
        <v>843</v>
      </c>
      <c r="B409" t="s">
        <v>12053</v>
      </c>
    </row>
    <row r="410" spans="1:2" x14ac:dyDescent="0.25">
      <c r="A410" t="s">
        <v>843</v>
      </c>
      <c r="B410" t="s">
        <v>10838</v>
      </c>
    </row>
    <row r="411" spans="1:2" x14ac:dyDescent="0.25">
      <c r="A411" t="s">
        <v>843</v>
      </c>
      <c r="B411" t="s">
        <v>12076</v>
      </c>
    </row>
    <row r="412" spans="1:2" x14ac:dyDescent="0.25">
      <c r="A412" t="s">
        <v>843</v>
      </c>
      <c r="B412" t="s">
        <v>10815</v>
      </c>
    </row>
    <row r="413" spans="1:2" x14ac:dyDescent="0.25">
      <c r="A413" t="s">
        <v>843</v>
      </c>
      <c r="B413" t="s">
        <v>10857</v>
      </c>
    </row>
    <row r="414" spans="1:2" x14ac:dyDescent="0.25">
      <c r="A414" t="s">
        <v>843</v>
      </c>
      <c r="B414" t="s">
        <v>10813</v>
      </c>
    </row>
    <row r="415" spans="1:2" x14ac:dyDescent="0.25">
      <c r="A415" t="s">
        <v>843</v>
      </c>
      <c r="B415" t="s">
        <v>10863</v>
      </c>
    </row>
    <row r="416" spans="1:2" x14ac:dyDescent="0.25">
      <c r="A416" t="s">
        <v>843</v>
      </c>
      <c r="B416" t="s">
        <v>14145</v>
      </c>
    </row>
    <row r="417" spans="1:2" x14ac:dyDescent="0.25">
      <c r="A417" t="s">
        <v>197</v>
      </c>
      <c r="B417" t="s">
        <v>10360</v>
      </c>
    </row>
    <row r="418" spans="1:2" x14ac:dyDescent="0.25">
      <c r="A418" t="s">
        <v>197</v>
      </c>
      <c r="B418" t="s">
        <v>8874</v>
      </c>
    </row>
    <row r="419" spans="1:2" x14ac:dyDescent="0.25">
      <c r="A419" t="s">
        <v>197</v>
      </c>
      <c r="B419" t="s">
        <v>10155</v>
      </c>
    </row>
    <row r="420" spans="1:2" x14ac:dyDescent="0.25">
      <c r="A420" t="s">
        <v>197</v>
      </c>
      <c r="B420" t="s">
        <v>10038</v>
      </c>
    </row>
    <row r="421" spans="1:2" x14ac:dyDescent="0.25">
      <c r="A421" t="s">
        <v>197</v>
      </c>
      <c r="B421" t="s">
        <v>10362</v>
      </c>
    </row>
    <row r="422" spans="1:2" x14ac:dyDescent="0.25">
      <c r="A422" t="s">
        <v>197</v>
      </c>
      <c r="B422" t="s">
        <v>10090</v>
      </c>
    </row>
    <row r="423" spans="1:2" x14ac:dyDescent="0.25">
      <c r="A423" t="s">
        <v>197</v>
      </c>
      <c r="B423" t="s">
        <v>10212</v>
      </c>
    </row>
    <row r="424" spans="1:2" x14ac:dyDescent="0.25">
      <c r="A424" t="s">
        <v>197</v>
      </c>
      <c r="B424" t="s">
        <v>10059</v>
      </c>
    </row>
    <row r="425" spans="1:2" x14ac:dyDescent="0.25">
      <c r="A425" t="s">
        <v>197</v>
      </c>
      <c r="B425" t="s">
        <v>9838</v>
      </c>
    </row>
    <row r="426" spans="1:2" x14ac:dyDescent="0.25">
      <c r="A426" t="s">
        <v>197</v>
      </c>
      <c r="B426" t="s">
        <v>9717</v>
      </c>
    </row>
    <row r="427" spans="1:2" x14ac:dyDescent="0.25">
      <c r="A427" t="s">
        <v>197</v>
      </c>
      <c r="B427" t="s">
        <v>9698</v>
      </c>
    </row>
    <row r="428" spans="1:2" x14ac:dyDescent="0.25">
      <c r="A428" t="s">
        <v>197</v>
      </c>
      <c r="B428" t="s">
        <v>9744</v>
      </c>
    </row>
    <row r="429" spans="1:2" x14ac:dyDescent="0.25">
      <c r="A429" t="s">
        <v>197</v>
      </c>
      <c r="B429" t="s">
        <v>9562</v>
      </c>
    </row>
    <row r="430" spans="1:2" x14ac:dyDescent="0.25">
      <c r="A430" t="s">
        <v>197</v>
      </c>
      <c r="B430" t="s">
        <v>10336</v>
      </c>
    </row>
    <row r="431" spans="1:2" x14ac:dyDescent="0.25">
      <c r="A431" t="s">
        <v>197</v>
      </c>
      <c r="B431" t="s">
        <v>10203</v>
      </c>
    </row>
    <row r="432" spans="1:2" x14ac:dyDescent="0.25">
      <c r="A432" t="s">
        <v>197</v>
      </c>
      <c r="B432" t="s">
        <v>10234</v>
      </c>
    </row>
    <row r="433" spans="1:2" x14ac:dyDescent="0.25">
      <c r="A433" t="s">
        <v>197</v>
      </c>
      <c r="B433" t="s">
        <v>9925</v>
      </c>
    </row>
    <row r="434" spans="1:2" x14ac:dyDescent="0.25">
      <c r="A434" t="s">
        <v>197</v>
      </c>
      <c r="B434" t="s">
        <v>9917</v>
      </c>
    </row>
    <row r="435" spans="1:2" x14ac:dyDescent="0.25">
      <c r="A435" t="s">
        <v>197</v>
      </c>
      <c r="B435" t="s">
        <v>10177</v>
      </c>
    </row>
    <row r="436" spans="1:2" x14ac:dyDescent="0.25">
      <c r="A436" t="s">
        <v>197</v>
      </c>
      <c r="B436" t="s">
        <v>12573</v>
      </c>
    </row>
    <row r="437" spans="1:2" x14ac:dyDescent="0.25">
      <c r="A437" t="s">
        <v>197</v>
      </c>
      <c r="B437" t="s">
        <v>9809</v>
      </c>
    </row>
    <row r="438" spans="1:2" x14ac:dyDescent="0.25">
      <c r="A438" t="s">
        <v>197</v>
      </c>
      <c r="B438" t="s">
        <v>13610</v>
      </c>
    </row>
    <row r="439" spans="1:2" x14ac:dyDescent="0.25">
      <c r="A439" t="s">
        <v>197</v>
      </c>
      <c r="B439" t="s">
        <v>9853</v>
      </c>
    </row>
    <row r="440" spans="1:2" x14ac:dyDescent="0.25">
      <c r="A440" t="s">
        <v>197</v>
      </c>
      <c r="B440" t="s">
        <v>10526</v>
      </c>
    </row>
    <row r="441" spans="1:2" x14ac:dyDescent="0.25">
      <c r="A441" t="s">
        <v>197</v>
      </c>
      <c r="B441" t="s">
        <v>10335</v>
      </c>
    </row>
    <row r="442" spans="1:2" x14ac:dyDescent="0.25">
      <c r="A442" t="s">
        <v>197</v>
      </c>
      <c r="B442" t="s">
        <v>10069</v>
      </c>
    </row>
    <row r="443" spans="1:2" x14ac:dyDescent="0.25">
      <c r="A443" t="s">
        <v>197</v>
      </c>
      <c r="B443" t="s">
        <v>13357</v>
      </c>
    </row>
    <row r="444" spans="1:2" x14ac:dyDescent="0.25">
      <c r="A444" t="s">
        <v>794</v>
      </c>
      <c r="B444" t="s">
        <v>8097</v>
      </c>
    </row>
    <row r="445" spans="1:2" x14ac:dyDescent="0.25">
      <c r="A445" t="s">
        <v>794</v>
      </c>
      <c r="B445" t="s">
        <v>10414</v>
      </c>
    </row>
    <row r="446" spans="1:2" x14ac:dyDescent="0.25">
      <c r="A446" t="s">
        <v>794</v>
      </c>
      <c r="B446" t="s">
        <v>8062</v>
      </c>
    </row>
    <row r="447" spans="1:2" x14ac:dyDescent="0.25">
      <c r="A447" t="s">
        <v>794</v>
      </c>
      <c r="B447" t="s">
        <v>11906</v>
      </c>
    </row>
    <row r="448" spans="1:2" x14ac:dyDescent="0.25">
      <c r="A448" t="s">
        <v>794</v>
      </c>
      <c r="B448" t="s">
        <v>10424</v>
      </c>
    </row>
    <row r="449" spans="1:2" x14ac:dyDescent="0.25">
      <c r="A449" t="s">
        <v>794</v>
      </c>
      <c r="B449" t="s">
        <v>11900</v>
      </c>
    </row>
    <row r="450" spans="1:2" x14ac:dyDescent="0.25">
      <c r="A450" t="s">
        <v>794</v>
      </c>
      <c r="B450" t="s">
        <v>10431</v>
      </c>
    </row>
    <row r="451" spans="1:2" x14ac:dyDescent="0.25">
      <c r="A451" t="s">
        <v>794</v>
      </c>
      <c r="B451" t="s">
        <v>10434</v>
      </c>
    </row>
    <row r="452" spans="1:2" x14ac:dyDescent="0.25">
      <c r="A452" t="s">
        <v>794</v>
      </c>
      <c r="B452" t="s">
        <v>10420</v>
      </c>
    </row>
    <row r="453" spans="1:2" x14ac:dyDescent="0.25">
      <c r="A453" t="s">
        <v>794</v>
      </c>
      <c r="B453" t="s">
        <v>8071</v>
      </c>
    </row>
    <row r="454" spans="1:2" x14ac:dyDescent="0.25">
      <c r="A454" t="s">
        <v>794</v>
      </c>
      <c r="B454" t="s">
        <v>11903</v>
      </c>
    </row>
    <row r="455" spans="1:2" x14ac:dyDescent="0.25">
      <c r="A455" t="s">
        <v>794</v>
      </c>
      <c r="B455" t="s">
        <v>10422</v>
      </c>
    </row>
    <row r="456" spans="1:2" x14ac:dyDescent="0.25">
      <c r="A456" t="s">
        <v>794</v>
      </c>
      <c r="B456" t="s">
        <v>11899</v>
      </c>
    </row>
    <row r="457" spans="1:2" x14ac:dyDescent="0.25">
      <c r="A457" t="s">
        <v>794</v>
      </c>
      <c r="B457" t="s">
        <v>10435</v>
      </c>
    </row>
    <row r="458" spans="1:2" x14ac:dyDescent="0.25">
      <c r="A458" t="s">
        <v>794</v>
      </c>
      <c r="B458" t="s">
        <v>8101</v>
      </c>
    </row>
    <row r="459" spans="1:2" x14ac:dyDescent="0.25">
      <c r="A459" t="s">
        <v>794</v>
      </c>
      <c r="B459" t="s">
        <v>13479</v>
      </c>
    </row>
    <row r="460" spans="1:2" x14ac:dyDescent="0.25">
      <c r="A460" t="s">
        <v>10975</v>
      </c>
      <c r="B460" t="s">
        <v>11225</v>
      </c>
    </row>
    <row r="461" spans="1:2" x14ac:dyDescent="0.25">
      <c r="A461" t="s">
        <v>10975</v>
      </c>
      <c r="B461" t="s">
        <v>11009</v>
      </c>
    </row>
    <row r="462" spans="1:2" x14ac:dyDescent="0.25">
      <c r="A462" t="s">
        <v>10975</v>
      </c>
      <c r="B462" t="s">
        <v>10972</v>
      </c>
    </row>
    <row r="463" spans="1:2" x14ac:dyDescent="0.25">
      <c r="A463" t="s">
        <v>10975</v>
      </c>
      <c r="B463" t="s">
        <v>10993</v>
      </c>
    </row>
    <row r="464" spans="1:2" x14ac:dyDescent="0.25">
      <c r="A464" t="s">
        <v>10975</v>
      </c>
      <c r="B464" t="s">
        <v>11306</v>
      </c>
    </row>
    <row r="465" spans="1:2" x14ac:dyDescent="0.25">
      <c r="A465" t="s">
        <v>10975</v>
      </c>
      <c r="B465" t="s">
        <v>11303</v>
      </c>
    </row>
    <row r="466" spans="1:2" x14ac:dyDescent="0.25">
      <c r="A466" t="s">
        <v>10975</v>
      </c>
      <c r="B466" t="s">
        <v>11062</v>
      </c>
    </row>
    <row r="467" spans="1:2" x14ac:dyDescent="0.25">
      <c r="A467" t="s">
        <v>1872</v>
      </c>
      <c r="B467" t="s">
        <v>8323</v>
      </c>
    </row>
    <row r="468" spans="1:2" x14ac:dyDescent="0.25">
      <c r="A468" t="s">
        <v>1872</v>
      </c>
      <c r="B468" t="s">
        <v>8324</v>
      </c>
    </row>
    <row r="469" spans="1:2" x14ac:dyDescent="0.25">
      <c r="A469" t="s">
        <v>1872</v>
      </c>
      <c r="B469" t="s">
        <v>8300</v>
      </c>
    </row>
    <row r="470" spans="1:2" x14ac:dyDescent="0.25">
      <c r="A470" t="s">
        <v>429</v>
      </c>
      <c r="B470" t="s">
        <v>13713</v>
      </c>
    </row>
    <row r="471" spans="1:2" x14ac:dyDescent="0.25">
      <c r="A471" t="s">
        <v>429</v>
      </c>
      <c r="B471" t="s">
        <v>13912</v>
      </c>
    </row>
    <row r="472" spans="1:2" x14ac:dyDescent="0.25">
      <c r="A472" t="s">
        <v>429</v>
      </c>
      <c r="B472" t="s">
        <v>13935</v>
      </c>
    </row>
    <row r="473" spans="1:2" x14ac:dyDescent="0.25">
      <c r="A473" t="s">
        <v>2084</v>
      </c>
      <c r="B473" t="s">
        <v>8383</v>
      </c>
    </row>
    <row r="474" spans="1:2" x14ac:dyDescent="0.25">
      <c r="A474" t="s">
        <v>182</v>
      </c>
      <c r="B474" t="s">
        <v>9308</v>
      </c>
    </row>
    <row r="475" spans="1:2" x14ac:dyDescent="0.25">
      <c r="A475" t="s">
        <v>182</v>
      </c>
      <c r="B475" t="s">
        <v>11362</v>
      </c>
    </row>
    <row r="476" spans="1:2" x14ac:dyDescent="0.25">
      <c r="A476" t="s">
        <v>182</v>
      </c>
      <c r="B476" t="s">
        <v>11195</v>
      </c>
    </row>
    <row r="477" spans="1:2" x14ac:dyDescent="0.25">
      <c r="A477" t="s">
        <v>182</v>
      </c>
      <c r="B477" t="s">
        <v>11189</v>
      </c>
    </row>
    <row r="478" spans="1:2" x14ac:dyDescent="0.25">
      <c r="A478" t="s">
        <v>182</v>
      </c>
      <c r="B478" t="s">
        <v>11243</v>
      </c>
    </row>
    <row r="479" spans="1:2" x14ac:dyDescent="0.25">
      <c r="A479" t="s">
        <v>182</v>
      </c>
      <c r="B479" t="s">
        <v>10991</v>
      </c>
    </row>
    <row r="480" spans="1:2" x14ac:dyDescent="0.25">
      <c r="A480" t="s">
        <v>182</v>
      </c>
      <c r="B480" t="s">
        <v>11186</v>
      </c>
    </row>
    <row r="481" spans="1:2" x14ac:dyDescent="0.25">
      <c r="A481" t="s">
        <v>182</v>
      </c>
      <c r="B481" t="s">
        <v>11192</v>
      </c>
    </row>
    <row r="482" spans="1:2" x14ac:dyDescent="0.25">
      <c r="A482" t="s">
        <v>182</v>
      </c>
      <c r="B482" t="s">
        <v>11204</v>
      </c>
    </row>
    <row r="483" spans="1:2" x14ac:dyDescent="0.25">
      <c r="A483" t="s">
        <v>182</v>
      </c>
      <c r="B483" t="s">
        <v>11159</v>
      </c>
    </row>
    <row r="484" spans="1:2" x14ac:dyDescent="0.25">
      <c r="A484" t="s">
        <v>182</v>
      </c>
      <c r="B484" t="s">
        <v>11198</v>
      </c>
    </row>
    <row r="485" spans="1:2" x14ac:dyDescent="0.25">
      <c r="A485" t="s">
        <v>182</v>
      </c>
      <c r="B485" t="s">
        <v>11201</v>
      </c>
    </row>
    <row r="486" spans="1:2" x14ac:dyDescent="0.25">
      <c r="A486" t="s">
        <v>182</v>
      </c>
      <c r="B486" t="s">
        <v>11228</v>
      </c>
    </row>
    <row r="487" spans="1:2" x14ac:dyDescent="0.25">
      <c r="A487" t="s">
        <v>2186</v>
      </c>
      <c r="B487" t="s">
        <v>9507</v>
      </c>
    </row>
    <row r="488" spans="1:2" x14ac:dyDescent="0.25">
      <c r="A488" t="s">
        <v>2186</v>
      </c>
      <c r="B488" t="s">
        <v>8426</v>
      </c>
    </row>
    <row r="489" spans="1:2" x14ac:dyDescent="0.25">
      <c r="A489" t="s">
        <v>2186</v>
      </c>
      <c r="B489" t="s">
        <v>9508</v>
      </c>
    </row>
    <row r="490" spans="1:2" x14ac:dyDescent="0.25">
      <c r="A490" t="s">
        <v>2186</v>
      </c>
      <c r="B490" t="s">
        <v>8422</v>
      </c>
    </row>
    <row r="491" spans="1:2" x14ac:dyDescent="0.25">
      <c r="A491" t="s">
        <v>2186</v>
      </c>
      <c r="B491" t="s">
        <v>9510</v>
      </c>
    </row>
    <row r="492" spans="1:2" x14ac:dyDescent="0.25">
      <c r="A492" t="s">
        <v>32</v>
      </c>
      <c r="B492" t="s">
        <v>7958</v>
      </c>
    </row>
    <row r="493" spans="1:2" x14ac:dyDescent="0.25">
      <c r="A493" t="s">
        <v>32</v>
      </c>
      <c r="B493" t="s">
        <v>7962</v>
      </c>
    </row>
    <row r="494" spans="1:2" x14ac:dyDescent="0.25">
      <c r="A494" t="s">
        <v>32</v>
      </c>
      <c r="B494" t="s">
        <v>7961</v>
      </c>
    </row>
    <row r="495" spans="1:2" x14ac:dyDescent="0.25">
      <c r="A495" t="s">
        <v>32</v>
      </c>
      <c r="B495" t="s">
        <v>7957</v>
      </c>
    </row>
    <row r="496" spans="1:2" x14ac:dyDescent="0.25">
      <c r="A496" t="s">
        <v>32</v>
      </c>
      <c r="B496" t="s">
        <v>7959</v>
      </c>
    </row>
    <row r="497" spans="1:2" x14ac:dyDescent="0.25">
      <c r="A497" t="s">
        <v>32</v>
      </c>
      <c r="B497" t="s">
        <v>7956</v>
      </c>
    </row>
    <row r="498" spans="1:2" x14ac:dyDescent="0.25">
      <c r="A498" t="s">
        <v>32</v>
      </c>
      <c r="B498" t="s">
        <v>7960</v>
      </c>
    </row>
    <row r="499" spans="1:2" x14ac:dyDescent="0.25">
      <c r="A499" t="s">
        <v>32</v>
      </c>
      <c r="B499" t="s">
        <v>7998</v>
      </c>
    </row>
    <row r="500" spans="1:2" x14ac:dyDescent="0.25">
      <c r="A500" t="s">
        <v>623</v>
      </c>
      <c r="B500" t="s">
        <v>9934</v>
      </c>
    </row>
    <row r="501" spans="1:2" x14ac:dyDescent="0.25">
      <c r="A501" t="s">
        <v>623</v>
      </c>
      <c r="B501" t="s">
        <v>9845</v>
      </c>
    </row>
    <row r="502" spans="1:2" x14ac:dyDescent="0.25">
      <c r="A502" t="s">
        <v>623</v>
      </c>
      <c r="B502" t="s">
        <v>8418</v>
      </c>
    </row>
    <row r="503" spans="1:2" x14ac:dyDescent="0.25">
      <c r="A503" t="s">
        <v>623</v>
      </c>
      <c r="B503" t="s">
        <v>9676</v>
      </c>
    </row>
    <row r="504" spans="1:2" x14ac:dyDescent="0.25">
      <c r="A504" t="s">
        <v>623</v>
      </c>
      <c r="B504" t="s">
        <v>10180</v>
      </c>
    </row>
    <row r="505" spans="1:2" x14ac:dyDescent="0.25">
      <c r="A505" t="s">
        <v>623</v>
      </c>
      <c r="B505" t="s">
        <v>9721</v>
      </c>
    </row>
    <row r="506" spans="1:2" x14ac:dyDescent="0.25">
      <c r="A506" t="s">
        <v>623</v>
      </c>
      <c r="B506" t="s">
        <v>10223</v>
      </c>
    </row>
    <row r="507" spans="1:2" x14ac:dyDescent="0.25">
      <c r="A507" t="s">
        <v>623</v>
      </c>
      <c r="B507" t="s">
        <v>13844</v>
      </c>
    </row>
    <row r="508" spans="1:2" x14ac:dyDescent="0.25">
      <c r="A508" t="s">
        <v>623</v>
      </c>
      <c r="B508" t="s">
        <v>14615</v>
      </c>
    </row>
    <row r="509" spans="1:2" x14ac:dyDescent="0.25">
      <c r="A509" t="s">
        <v>623</v>
      </c>
      <c r="B509" t="s">
        <v>14618</v>
      </c>
    </row>
    <row r="510" spans="1:2" x14ac:dyDescent="0.25">
      <c r="A510" t="s">
        <v>12572</v>
      </c>
      <c r="B510" t="s">
        <v>12569</v>
      </c>
    </row>
    <row r="511" spans="1:2" x14ac:dyDescent="0.25">
      <c r="A511" t="s">
        <v>379</v>
      </c>
      <c r="B511" t="s">
        <v>8344</v>
      </c>
    </row>
    <row r="512" spans="1:2" x14ac:dyDescent="0.25">
      <c r="A512" t="s">
        <v>379</v>
      </c>
      <c r="B512" t="s">
        <v>8341</v>
      </c>
    </row>
    <row r="513" spans="1:2" x14ac:dyDescent="0.25">
      <c r="A513" t="s">
        <v>379</v>
      </c>
      <c r="B513" t="s">
        <v>8343</v>
      </c>
    </row>
    <row r="514" spans="1:2" x14ac:dyDescent="0.25">
      <c r="A514" t="s">
        <v>379</v>
      </c>
      <c r="B514" t="s">
        <v>8340</v>
      </c>
    </row>
    <row r="515" spans="1:2" x14ac:dyDescent="0.25">
      <c r="A515" t="s">
        <v>379</v>
      </c>
      <c r="B515" t="s">
        <v>8342</v>
      </c>
    </row>
    <row r="516" spans="1:2" x14ac:dyDescent="0.25">
      <c r="A516" t="s">
        <v>875</v>
      </c>
      <c r="B516" t="s">
        <v>10841</v>
      </c>
    </row>
    <row r="517" spans="1:2" x14ac:dyDescent="0.25">
      <c r="A517" t="s">
        <v>875</v>
      </c>
      <c r="B517" t="s">
        <v>10843</v>
      </c>
    </row>
    <row r="518" spans="1:2" x14ac:dyDescent="0.25">
      <c r="A518" t="s">
        <v>875</v>
      </c>
      <c r="B518" t="s">
        <v>10801</v>
      </c>
    </row>
    <row r="519" spans="1:2" x14ac:dyDescent="0.25">
      <c r="A519" t="s">
        <v>875</v>
      </c>
      <c r="B519" t="s">
        <v>10865</v>
      </c>
    </row>
    <row r="520" spans="1:2" x14ac:dyDescent="0.25">
      <c r="A520" t="s">
        <v>294</v>
      </c>
      <c r="B520" t="s">
        <v>8023</v>
      </c>
    </row>
    <row r="521" spans="1:2" x14ac:dyDescent="0.25">
      <c r="A521" t="s">
        <v>294</v>
      </c>
      <c r="B521" t="s">
        <v>8025</v>
      </c>
    </row>
    <row r="522" spans="1:2" x14ac:dyDescent="0.25">
      <c r="A522" t="s">
        <v>510</v>
      </c>
      <c r="B522" t="s">
        <v>8612</v>
      </c>
    </row>
    <row r="523" spans="1:2" x14ac:dyDescent="0.25">
      <c r="A523" t="s">
        <v>510</v>
      </c>
      <c r="B523" t="s">
        <v>8537</v>
      </c>
    </row>
    <row r="524" spans="1:2" x14ac:dyDescent="0.25">
      <c r="A524" t="s">
        <v>510</v>
      </c>
      <c r="B524" t="s">
        <v>8519</v>
      </c>
    </row>
    <row r="525" spans="1:2" x14ac:dyDescent="0.25">
      <c r="A525" t="s">
        <v>510</v>
      </c>
      <c r="B525" t="s">
        <v>8606</v>
      </c>
    </row>
    <row r="526" spans="1:2" x14ac:dyDescent="0.25">
      <c r="A526" t="s">
        <v>510</v>
      </c>
      <c r="B526" t="s">
        <v>8622</v>
      </c>
    </row>
    <row r="527" spans="1:2" x14ac:dyDescent="0.25">
      <c r="A527" t="s">
        <v>510</v>
      </c>
      <c r="B527" t="s">
        <v>8604</v>
      </c>
    </row>
    <row r="528" spans="1:2" x14ac:dyDescent="0.25">
      <c r="A528" t="s">
        <v>510</v>
      </c>
      <c r="B528" t="s">
        <v>8516</v>
      </c>
    </row>
    <row r="529" spans="1:2" x14ac:dyDescent="0.25">
      <c r="A529" t="s">
        <v>510</v>
      </c>
      <c r="B529" t="s">
        <v>8637</v>
      </c>
    </row>
    <row r="530" spans="1:2" x14ac:dyDescent="0.25">
      <c r="A530" t="s">
        <v>510</v>
      </c>
      <c r="B530" t="s">
        <v>8605</v>
      </c>
    </row>
    <row r="531" spans="1:2" x14ac:dyDescent="0.25">
      <c r="A531" t="s">
        <v>510</v>
      </c>
      <c r="B531" t="s">
        <v>8619</v>
      </c>
    </row>
    <row r="532" spans="1:2" x14ac:dyDescent="0.25">
      <c r="A532" t="s">
        <v>7516</v>
      </c>
      <c r="B532" t="s">
        <v>10876</v>
      </c>
    </row>
    <row r="533" spans="1:2" x14ac:dyDescent="0.25">
      <c r="A533" t="s">
        <v>7516</v>
      </c>
      <c r="B533" t="s">
        <v>10875</v>
      </c>
    </row>
    <row r="534" spans="1:2" x14ac:dyDescent="0.25">
      <c r="A534" t="s">
        <v>7516</v>
      </c>
      <c r="B534" t="s">
        <v>12084</v>
      </c>
    </row>
    <row r="535" spans="1:2" x14ac:dyDescent="0.25">
      <c r="A535" t="s">
        <v>7516</v>
      </c>
      <c r="B535" t="s">
        <v>12126</v>
      </c>
    </row>
    <row r="536" spans="1:2" x14ac:dyDescent="0.25">
      <c r="A536" t="s">
        <v>7516</v>
      </c>
      <c r="B536" t="s">
        <v>12760</v>
      </c>
    </row>
    <row r="537" spans="1:2" x14ac:dyDescent="0.25">
      <c r="A537" t="s">
        <v>7516</v>
      </c>
      <c r="B537" t="s">
        <v>10885</v>
      </c>
    </row>
    <row r="538" spans="1:2" x14ac:dyDescent="0.25">
      <c r="A538" t="s">
        <v>7516</v>
      </c>
      <c r="B538" t="s">
        <v>10878</v>
      </c>
    </row>
    <row r="539" spans="1:2" x14ac:dyDescent="0.25">
      <c r="A539" t="s">
        <v>7516</v>
      </c>
      <c r="B539" t="s">
        <v>12106</v>
      </c>
    </row>
    <row r="540" spans="1:2" x14ac:dyDescent="0.25">
      <c r="A540" t="s">
        <v>7516</v>
      </c>
      <c r="B540" t="s">
        <v>10884</v>
      </c>
    </row>
    <row r="541" spans="1:2" x14ac:dyDescent="0.25">
      <c r="A541" t="s">
        <v>7516</v>
      </c>
      <c r="B541" t="s">
        <v>10877</v>
      </c>
    </row>
    <row r="542" spans="1:2" x14ac:dyDescent="0.25">
      <c r="A542" t="s">
        <v>7516</v>
      </c>
      <c r="B542" t="s">
        <v>10883</v>
      </c>
    </row>
    <row r="543" spans="1:2" x14ac:dyDescent="0.25">
      <c r="A543" t="s">
        <v>7516</v>
      </c>
      <c r="B543" t="s">
        <v>14564</v>
      </c>
    </row>
    <row r="544" spans="1:2" x14ac:dyDescent="0.25">
      <c r="A544" t="s">
        <v>4621</v>
      </c>
      <c r="B544" t="s">
        <v>10017</v>
      </c>
    </row>
    <row r="545" spans="1:2" x14ac:dyDescent="0.25">
      <c r="A545" t="s">
        <v>4621</v>
      </c>
      <c r="B545" t="s">
        <v>9778</v>
      </c>
    </row>
    <row r="546" spans="1:2" x14ac:dyDescent="0.25">
      <c r="A546" t="s">
        <v>4621</v>
      </c>
      <c r="B546" t="s">
        <v>9702</v>
      </c>
    </row>
    <row r="547" spans="1:2" x14ac:dyDescent="0.25">
      <c r="A547" t="s">
        <v>4621</v>
      </c>
      <c r="B547" t="s">
        <v>10168</v>
      </c>
    </row>
    <row r="548" spans="1:2" x14ac:dyDescent="0.25">
      <c r="A548" t="s">
        <v>4621</v>
      </c>
      <c r="B548" t="s">
        <v>9590</v>
      </c>
    </row>
    <row r="549" spans="1:2" x14ac:dyDescent="0.25">
      <c r="A549" t="s">
        <v>4621</v>
      </c>
      <c r="B549" t="s">
        <v>14299</v>
      </c>
    </row>
    <row r="550" spans="1:2" x14ac:dyDescent="0.25">
      <c r="A550" t="s">
        <v>4621</v>
      </c>
      <c r="B550" t="s">
        <v>9593</v>
      </c>
    </row>
    <row r="551" spans="1:2" x14ac:dyDescent="0.25">
      <c r="A551" t="s">
        <v>4621</v>
      </c>
      <c r="B551" t="s">
        <v>9550</v>
      </c>
    </row>
    <row r="552" spans="1:2" x14ac:dyDescent="0.25">
      <c r="A552" t="s">
        <v>4621</v>
      </c>
      <c r="B552" t="s">
        <v>10139</v>
      </c>
    </row>
    <row r="553" spans="1:2" x14ac:dyDescent="0.25">
      <c r="A553" t="s">
        <v>4621</v>
      </c>
      <c r="B553" t="s">
        <v>9869</v>
      </c>
    </row>
    <row r="554" spans="1:2" x14ac:dyDescent="0.25">
      <c r="A554" t="s">
        <v>4621</v>
      </c>
      <c r="B554" t="s">
        <v>9968</v>
      </c>
    </row>
    <row r="555" spans="1:2" x14ac:dyDescent="0.25">
      <c r="A555" t="s">
        <v>878</v>
      </c>
      <c r="B555" t="s">
        <v>10802</v>
      </c>
    </row>
    <row r="556" spans="1:2" x14ac:dyDescent="0.25">
      <c r="A556" t="s">
        <v>878</v>
      </c>
      <c r="B556" t="s">
        <v>10864</v>
      </c>
    </row>
    <row r="557" spans="1:2" x14ac:dyDescent="0.25">
      <c r="A557" t="s">
        <v>878</v>
      </c>
      <c r="B557" t="s">
        <v>10840</v>
      </c>
    </row>
    <row r="558" spans="1:2" x14ac:dyDescent="0.25">
      <c r="A558" t="s">
        <v>878</v>
      </c>
      <c r="B558" t="s">
        <v>10820</v>
      </c>
    </row>
    <row r="559" spans="1:2" x14ac:dyDescent="0.25">
      <c r="A559" t="s">
        <v>878</v>
      </c>
      <c r="B559" t="s">
        <v>10828</v>
      </c>
    </row>
    <row r="560" spans="1:2" x14ac:dyDescent="0.25">
      <c r="A560" t="s">
        <v>4670</v>
      </c>
      <c r="B560" t="s">
        <v>10160</v>
      </c>
    </row>
    <row r="561" spans="1:2" x14ac:dyDescent="0.25">
      <c r="A561" t="s">
        <v>4670</v>
      </c>
      <c r="B561" t="s">
        <v>10531</v>
      </c>
    </row>
    <row r="562" spans="1:2" x14ac:dyDescent="0.25">
      <c r="A562" t="s">
        <v>4670</v>
      </c>
      <c r="B562" t="s">
        <v>10161</v>
      </c>
    </row>
    <row r="563" spans="1:2" x14ac:dyDescent="0.25">
      <c r="A563" t="s">
        <v>4670</v>
      </c>
      <c r="B563" t="s">
        <v>10516</v>
      </c>
    </row>
    <row r="564" spans="1:2" x14ac:dyDescent="0.25">
      <c r="A564" t="s">
        <v>201</v>
      </c>
      <c r="B564" t="s">
        <v>9756</v>
      </c>
    </row>
    <row r="565" spans="1:2" x14ac:dyDescent="0.25">
      <c r="A565" t="s">
        <v>201</v>
      </c>
      <c r="B565" t="s">
        <v>10282</v>
      </c>
    </row>
    <row r="566" spans="1:2" x14ac:dyDescent="0.25">
      <c r="A566" t="s">
        <v>201</v>
      </c>
      <c r="B566" t="s">
        <v>10022</v>
      </c>
    </row>
    <row r="567" spans="1:2" x14ac:dyDescent="0.25">
      <c r="A567" t="s">
        <v>201</v>
      </c>
      <c r="B567" t="s">
        <v>9827</v>
      </c>
    </row>
    <row r="568" spans="1:2" x14ac:dyDescent="0.25">
      <c r="A568" t="s">
        <v>201</v>
      </c>
      <c r="B568" t="s">
        <v>9609</v>
      </c>
    </row>
    <row r="569" spans="1:2" x14ac:dyDescent="0.25">
      <c r="A569" t="s">
        <v>201</v>
      </c>
      <c r="B569" t="s">
        <v>8089</v>
      </c>
    </row>
    <row r="570" spans="1:2" x14ac:dyDescent="0.25">
      <c r="A570" t="s">
        <v>201</v>
      </c>
      <c r="B570" t="s">
        <v>10259</v>
      </c>
    </row>
    <row r="571" spans="1:2" x14ac:dyDescent="0.25">
      <c r="A571" t="s">
        <v>201</v>
      </c>
      <c r="B571" t="s">
        <v>9873</v>
      </c>
    </row>
    <row r="572" spans="1:2" x14ac:dyDescent="0.25">
      <c r="A572" t="s">
        <v>201</v>
      </c>
      <c r="B572" t="s">
        <v>9540</v>
      </c>
    </row>
    <row r="573" spans="1:2" x14ac:dyDescent="0.25">
      <c r="A573" t="s">
        <v>201</v>
      </c>
      <c r="B573" t="s">
        <v>9610</v>
      </c>
    </row>
    <row r="574" spans="1:2" x14ac:dyDescent="0.25">
      <c r="A574" t="s">
        <v>201</v>
      </c>
      <c r="B574" t="s">
        <v>8112</v>
      </c>
    </row>
    <row r="575" spans="1:2" x14ac:dyDescent="0.25">
      <c r="A575" t="s">
        <v>201</v>
      </c>
      <c r="B575" t="s">
        <v>10088</v>
      </c>
    </row>
    <row r="576" spans="1:2" x14ac:dyDescent="0.25">
      <c r="A576" t="s">
        <v>201</v>
      </c>
      <c r="B576" t="s">
        <v>10089</v>
      </c>
    </row>
    <row r="577" spans="1:2" x14ac:dyDescent="0.25">
      <c r="A577" t="s">
        <v>201</v>
      </c>
      <c r="B577" t="s">
        <v>10281</v>
      </c>
    </row>
    <row r="578" spans="1:2" x14ac:dyDescent="0.25">
      <c r="A578" t="s">
        <v>201</v>
      </c>
      <c r="B578" t="s">
        <v>9874</v>
      </c>
    </row>
    <row r="579" spans="1:2" x14ac:dyDescent="0.25">
      <c r="A579" t="s">
        <v>201</v>
      </c>
      <c r="B579" t="s">
        <v>9770</v>
      </c>
    </row>
    <row r="580" spans="1:2" x14ac:dyDescent="0.25">
      <c r="A580" t="s">
        <v>201</v>
      </c>
      <c r="B580" t="s">
        <v>9542</v>
      </c>
    </row>
    <row r="581" spans="1:2" x14ac:dyDescent="0.25">
      <c r="A581" t="s">
        <v>201</v>
      </c>
      <c r="B581" t="s">
        <v>10118</v>
      </c>
    </row>
    <row r="582" spans="1:2" x14ac:dyDescent="0.25">
      <c r="A582" t="s">
        <v>201</v>
      </c>
      <c r="B582" t="s">
        <v>9541</v>
      </c>
    </row>
    <row r="583" spans="1:2" x14ac:dyDescent="0.25">
      <c r="A583" t="s">
        <v>201</v>
      </c>
      <c r="B583" t="s">
        <v>12742</v>
      </c>
    </row>
    <row r="584" spans="1:2" x14ac:dyDescent="0.25">
      <c r="A584" t="s">
        <v>201</v>
      </c>
      <c r="B584" t="s">
        <v>10087</v>
      </c>
    </row>
    <row r="585" spans="1:2" x14ac:dyDescent="0.25">
      <c r="A585" t="s">
        <v>201</v>
      </c>
      <c r="B585" t="s">
        <v>14142</v>
      </c>
    </row>
    <row r="586" spans="1:2" x14ac:dyDescent="0.25">
      <c r="A586" t="s">
        <v>216</v>
      </c>
      <c r="B586" t="s">
        <v>9673</v>
      </c>
    </row>
    <row r="587" spans="1:2" x14ac:dyDescent="0.25">
      <c r="A587" t="s">
        <v>216</v>
      </c>
      <c r="B587" t="s">
        <v>9861</v>
      </c>
    </row>
    <row r="588" spans="1:2" x14ac:dyDescent="0.25">
      <c r="A588" t="s">
        <v>216</v>
      </c>
      <c r="B588" t="s">
        <v>9775</v>
      </c>
    </row>
    <row r="589" spans="1:2" x14ac:dyDescent="0.25">
      <c r="A589" t="s">
        <v>216</v>
      </c>
      <c r="B589" t="s">
        <v>9760</v>
      </c>
    </row>
    <row r="590" spans="1:2" x14ac:dyDescent="0.25">
      <c r="A590" t="s">
        <v>216</v>
      </c>
      <c r="B590" t="s">
        <v>10058</v>
      </c>
    </row>
    <row r="591" spans="1:2" x14ac:dyDescent="0.25">
      <c r="A591" t="s">
        <v>216</v>
      </c>
      <c r="B591" t="s">
        <v>10148</v>
      </c>
    </row>
    <row r="592" spans="1:2" x14ac:dyDescent="0.25">
      <c r="A592" t="s">
        <v>216</v>
      </c>
      <c r="B592" t="s">
        <v>9834</v>
      </c>
    </row>
    <row r="593" spans="1:2" x14ac:dyDescent="0.25">
      <c r="A593" t="s">
        <v>216</v>
      </c>
      <c r="B593" t="s">
        <v>13693</v>
      </c>
    </row>
    <row r="594" spans="1:2" x14ac:dyDescent="0.25">
      <c r="A594" t="s">
        <v>216</v>
      </c>
      <c r="B594" t="s">
        <v>13743</v>
      </c>
    </row>
    <row r="595" spans="1:2" x14ac:dyDescent="0.25">
      <c r="A595" t="s">
        <v>6631</v>
      </c>
      <c r="B595" t="s">
        <v>10483</v>
      </c>
    </row>
    <row r="596" spans="1:2" x14ac:dyDescent="0.25">
      <c r="A596" t="s">
        <v>6631</v>
      </c>
      <c r="B596" t="s">
        <v>10549</v>
      </c>
    </row>
    <row r="597" spans="1:2" x14ac:dyDescent="0.25">
      <c r="A597" t="s">
        <v>6631</v>
      </c>
      <c r="B597" t="s">
        <v>10523</v>
      </c>
    </row>
    <row r="598" spans="1:2" x14ac:dyDescent="0.25">
      <c r="A598" t="s">
        <v>6631</v>
      </c>
      <c r="B598" t="s">
        <v>10512</v>
      </c>
    </row>
    <row r="599" spans="1:2" x14ac:dyDescent="0.25">
      <c r="A599" t="s">
        <v>6631</v>
      </c>
      <c r="B599" t="s">
        <v>10581</v>
      </c>
    </row>
    <row r="600" spans="1:2" x14ac:dyDescent="0.25">
      <c r="A600" t="s">
        <v>6631</v>
      </c>
      <c r="B600" t="s">
        <v>10579</v>
      </c>
    </row>
    <row r="601" spans="1:2" x14ac:dyDescent="0.25">
      <c r="A601" t="s">
        <v>6631</v>
      </c>
      <c r="B601" t="s">
        <v>10554</v>
      </c>
    </row>
    <row r="602" spans="1:2" x14ac:dyDescent="0.25">
      <c r="A602" t="s">
        <v>6631</v>
      </c>
      <c r="B602" t="s">
        <v>10578</v>
      </c>
    </row>
    <row r="603" spans="1:2" x14ac:dyDescent="0.25">
      <c r="A603" t="s">
        <v>6631</v>
      </c>
      <c r="B603" t="s">
        <v>10551</v>
      </c>
    </row>
    <row r="604" spans="1:2" x14ac:dyDescent="0.25">
      <c r="A604" t="s">
        <v>6631</v>
      </c>
      <c r="B604" t="s">
        <v>10547</v>
      </c>
    </row>
    <row r="605" spans="1:2" x14ac:dyDescent="0.25">
      <c r="A605" t="s">
        <v>6631</v>
      </c>
      <c r="B605" t="s">
        <v>10507</v>
      </c>
    </row>
    <row r="606" spans="1:2" x14ac:dyDescent="0.25">
      <c r="A606" t="s">
        <v>6631</v>
      </c>
      <c r="B606" t="s">
        <v>10580</v>
      </c>
    </row>
    <row r="607" spans="1:2" x14ac:dyDescent="0.25">
      <c r="A607" t="s">
        <v>6631</v>
      </c>
      <c r="B607" t="s">
        <v>10574</v>
      </c>
    </row>
    <row r="608" spans="1:2" x14ac:dyDescent="0.25">
      <c r="A608" t="s">
        <v>6631</v>
      </c>
      <c r="B608" t="s">
        <v>10566</v>
      </c>
    </row>
    <row r="609" spans="1:2" x14ac:dyDescent="0.25">
      <c r="A609" t="s">
        <v>6631</v>
      </c>
      <c r="B609" t="s">
        <v>10487</v>
      </c>
    </row>
    <row r="610" spans="1:2" x14ac:dyDescent="0.25">
      <c r="A610" t="s">
        <v>6631</v>
      </c>
      <c r="B610" t="s">
        <v>10567</v>
      </c>
    </row>
    <row r="611" spans="1:2" x14ac:dyDescent="0.25">
      <c r="A611" t="s">
        <v>532</v>
      </c>
      <c r="B611" t="s">
        <v>14269</v>
      </c>
    </row>
    <row r="612" spans="1:2" x14ac:dyDescent="0.25">
      <c r="A612" t="s">
        <v>532</v>
      </c>
      <c r="B612" t="s">
        <v>14367</v>
      </c>
    </row>
    <row r="613" spans="1:2" x14ac:dyDescent="0.25">
      <c r="A613" t="s">
        <v>532</v>
      </c>
      <c r="B613" t="s">
        <v>8718</v>
      </c>
    </row>
    <row r="614" spans="1:2" x14ac:dyDescent="0.25">
      <c r="A614" t="s">
        <v>532</v>
      </c>
      <c r="B614" t="s">
        <v>10782</v>
      </c>
    </row>
    <row r="615" spans="1:2" x14ac:dyDescent="0.25">
      <c r="A615" t="s">
        <v>532</v>
      </c>
      <c r="B615" t="s">
        <v>10786</v>
      </c>
    </row>
    <row r="616" spans="1:2" x14ac:dyDescent="0.25">
      <c r="A616" t="s">
        <v>532</v>
      </c>
      <c r="B616" t="s">
        <v>10785</v>
      </c>
    </row>
    <row r="617" spans="1:2" x14ac:dyDescent="0.25">
      <c r="A617" t="s">
        <v>532</v>
      </c>
      <c r="B617" t="s">
        <v>8707</v>
      </c>
    </row>
    <row r="618" spans="1:2" x14ac:dyDescent="0.25">
      <c r="A618" t="s">
        <v>309</v>
      </c>
      <c r="B618" t="s">
        <v>8021</v>
      </c>
    </row>
    <row r="619" spans="1:2" x14ac:dyDescent="0.25">
      <c r="A619" t="s">
        <v>12661</v>
      </c>
      <c r="B619" t="s">
        <v>10496</v>
      </c>
    </row>
    <row r="620" spans="1:2" x14ac:dyDescent="0.25">
      <c r="A620" t="s">
        <v>12661</v>
      </c>
      <c r="B620" t="s">
        <v>10577</v>
      </c>
    </row>
    <row r="621" spans="1:2" x14ac:dyDescent="0.25">
      <c r="A621" t="s">
        <v>12661</v>
      </c>
      <c r="B621" t="s">
        <v>10535</v>
      </c>
    </row>
    <row r="622" spans="1:2" x14ac:dyDescent="0.25">
      <c r="A622" t="s">
        <v>12661</v>
      </c>
      <c r="B622" t="s">
        <v>10530</v>
      </c>
    </row>
    <row r="623" spans="1:2" x14ac:dyDescent="0.25">
      <c r="A623" t="s">
        <v>12661</v>
      </c>
      <c r="B623" t="s">
        <v>10482</v>
      </c>
    </row>
    <row r="624" spans="1:2" x14ac:dyDescent="0.25">
      <c r="A624" t="s">
        <v>12661</v>
      </c>
      <c r="B624" t="s">
        <v>10537</v>
      </c>
    </row>
    <row r="625" spans="1:2" x14ac:dyDescent="0.25">
      <c r="A625" t="s">
        <v>12661</v>
      </c>
      <c r="B625" t="s">
        <v>12632</v>
      </c>
    </row>
    <row r="626" spans="1:2" x14ac:dyDescent="0.25">
      <c r="A626" t="s">
        <v>12661</v>
      </c>
      <c r="B626" t="s">
        <v>10502</v>
      </c>
    </row>
    <row r="627" spans="1:2" x14ac:dyDescent="0.25">
      <c r="A627" t="s">
        <v>12661</v>
      </c>
      <c r="B627" t="s">
        <v>10532</v>
      </c>
    </row>
    <row r="628" spans="1:2" x14ac:dyDescent="0.25">
      <c r="A628" t="s">
        <v>12661</v>
      </c>
      <c r="B628" t="s">
        <v>10544</v>
      </c>
    </row>
    <row r="629" spans="1:2" x14ac:dyDescent="0.25">
      <c r="A629" t="s">
        <v>12661</v>
      </c>
      <c r="B629" t="s">
        <v>10556</v>
      </c>
    </row>
    <row r="630" spans="1:2" x14ac:dyDescent="0.25">
      <c r="A630" t="s">
        <v>12661</v>
      </c>
      <c r="B630" t="s">
        <v>10569</v>
      </c>
    </row>
    <row r="631" spans="1:2" x14ac:dyDescent="0.25">
      <c r="A631" t="s">
        <v>12661</v>
      </c>
      <c r="B631" t="s">
        <v>10503</v>
      </c>
    </row>
    <row r="632" spans="1:2" x14ac:dyDescent="0.25">
      <c r="A632" t="s">
        <v>12661</v>
      </c>
      <c r="B632" t="s">
        <v>14105</v>
      </c>
    </row>
    <row r="633" spans="1:2" x14ac:dyDescent="0.25">
      <c r="A633" t="s">
        <v>803</v>
      </c>
      <c r="B633" t="s">
        <v>10552</v>
      </c>
    </row>
    <row r="634" spans="1:2" x14ac:dyDescent="0.25">
      <c r="A634" t="s">
        <v>1018</v>
      </c>
      <c r="B634" t="s">
        <v>7989</v>
      </c>
    </row>
    <row r="635" spans="1:2" x14ac:dyDescent="0.25">
      <c r="A635" t="s">
        <v>1018</v>
      </c>
      <c r="B635" t="s">
        <v>7993</v>
      </c>
    </row>
    <row r="636" spans="1:2" x14ac:dyDescent="0.25">
      <c r="A636" t="s">
        <v>1018</v>
      </c>
      <c r="B636" t="s">
        <v>7995</v>
      </c>
    </row>
    <row r="637" spans="1:2" x14ac:dyDescent="0.25">
      <c r="A637" t="s">
        <v>1018</v>
      </c>
      <c r="B637" t="s">
        <v>7992</v>
      </c>
    </row>
    <row r="638" spans="1:2" x14ac:dyDescent="0.25">
      <c r="A638" t="s">
        <v>1018</v>
      </c>
      <c r="B638" t="s">
        <v>7997</v>
      </c>
    </row>
    <row r="639" spans="1:2" x14ac:dyDescent="0.25">
      <c r="A639" t="s">
        <v>1018</v>
      </c>
      <c r="B639" t="s">
        <v>7996</v>
      </c>
    </row>
    <row r="640" spans="1:2" x14ac:dyDescent="0.25">
      <c r="A640" t="s">
        <v>1018</v>
      </c>
      <c r="B640" t="s">
        <v>7988</v>
      </c>
    </row>
    <row r="641" spans="1:2" x14ac:dyDescent="0.25">
      <c r="A641" t="s">
        <v>1018</v>
      </c>
      <c r="B641" t="s">
        <v>7987</v>
      </c>
    </row>
    <row r="642" spans="1:2" x14ac:dyDescent="0.25">
      <c r="A642" t="s">
        <v>1018</v>
      </c>
      <c r="B642" t="s">
        <v>7983</v>
      </c>
    </row>
    <row r="643" spans="1:2" x14ac:dyDescent="0.25">
      <c r="A643" t="s">
        <v>1018</v>
      </c>
      <c r="B643" t="s">
        <v>7991</v>
      </c>
    </row>
    <row r="644" spans="1:2" x14ac:dyDescent="0.25">
      <c r="A644" t="s">
        <v>1018</v>
      </c>
      <c r="B644" t="s">
        <v>7990</v>
      </c>
    </row>
    <row r="645" spans="1:2" x14ac:dyDescent="0.25">
      <c r="A645" t="s">
        <v>174</v>
      </c>
      <c r="B645" t="s">
        <v>8111</v>
      </c>
    </row>
    <row r="646" spans="1:2" x14ac:dyDescent="0.25">
      <c r="A646" t="s">
        <v>174</v>
      </c>
      <c r="B646" t="s">
        <v>8690</v>
      </c>
    </row>
    <row r="647" spans="1:2" x14ac:dyDescent="0.25">
      <c r="A647" t="s">
        <v>174</v>
      </c>
      <c r="B647" t="s">
        <v>8740</v>
      </c>
    </row>
    <row r="648" spans="1:2" x14ac:dyDescent="0.25">
      <c r="A648" t="s">
        <v>174</v>
      </c>
      <c r="B648" t="s">
        <v>8712</v>
      </c>
    </row>
    <row r="649" spans="1:2" x14ac:dyDescent="0.25">
      <c r="A649" t="s">
        <v>174</v>
      </c>
      <c r="B649" t="s">
        <v>7936</v>
      </c>
    </row>
    <row r="650" spans="1:2" x14ac:dyDescent="0.25">
      <c r="A650" t="s">
        <v>174</v>
      </c>
      <c r="B650" t="s">
        <v>8691</v>
      </c>
    </row>
    <row r="651" spans="1:2" x14ac:dyDescent="0.25">
      <c r="A651" t="s">
        <v>174</v>
      </c>
      <c r="B651" t="s">
        <v>13303</v>
      </c>
    </row>
    <row r="652" spans="1:2" x14ac:dyDescent="0.25">
      <c r="A652" t="s">
        <v>174</v>
      </c>
      <c r="B652" t="s">
        <v>13306</v>
      </c>
    </row>
    <row r="653" spans="1:2" x14ac:dyDescent="0.25">
      <c r="A653" t="s">
        <v>11615</v>
      </c>
      <c r="B653" t="s">
        <v>8587</v>
      </c>
    </row>
    <row r="654" spans="1:2" x14ac:dyDescent="0.25">
      <c r="A654" t="s">
        <v>11615</v>
      </c>
      <c r="B654" t="s">
        <v>12440</v>
      </c>
    </row>
    <row r="655" spans="1:2" x14ac:dyDescent="0.25">
      <c r="A655" t="s">
        <v>11615</v>
      </c>
      <c r="B655" t="s">
        <v>8568</v>
      </c>
    </row>
    <row r="656" spans="1:2" x14ac:dyDescent="0.25">
      <c r="A656" t="s">
        <v>11615</v>
      </c>
      <c r="B656" t="s">
        <v>8574</v>
      </c>
    </row>
    <row r="657" spans="1:2" x14ac:dyDescent="0.25">
      <c r="A657" t="s">
        <v>11615</v>
      </c>
      <c r="B657" t="s">
        <v>12456</v>
      </c>
    </row>
    <row r="658" spans="1:2" x14ac:dyDescent="0.25">
      <c r="A658" t="s">
        <v>11615</v>
      </c>
      <c r="B658" t="s">
        <v>11641</v>
      </c>
    </row>
    <row r="659" spans="1:2" x14ac:dyDescent="0.25">
      <c r="A659" t="s">
        <v>11615</v>
      </c>
      <c r="B659" t="s">
        <v>8581</v>
      </c>
    </row>
    <row r="660" spans="1:2" x14ac:dyDescent="0.25">
      <c r="A660" t="s">
        <v>11615</v>
      </c>
      <c r="B660" t="s">
        <v>13586</v>
      </c>
    </row>
    <row r="661" spans="1:2" x14ac:dyDescent="0.25">
      <c r="A661" t="s">
        <v>11615</v>
      </c>
      <c r="B661" t="s">
        <v>13776</v>
      </c>
    </row>
    <row r="662" spans="1:2" x14ac:dyDescent="0.25">
      <c r="A662" t="s">
        <v>11615</v>
      </c>
      <c r="B662" t="s">
        <v>14041</v>
      </c>
    </row>
    <row r="663" spans="1:2" x14ac:dyDescent="0.25">
      <c r="A663" t="s">
        <v>846</v>
      </c>
      <c r="B663" t="s">
        <v>10852</v>
      </c>
    </row>
    <row r="664" spans="1:2" x14ac:dyDescent="0.25">
      <c r="A664" t="s">
        <v>846</v>
      </c>
      <c r="B664" t="s">
        <v>10856</v>
      </c>
    </row>
    <row r="665" spans="1:2" x14ac:dyDescent="0.25">
      <c r="A665" t="s">
        <v>12060</v>
      </c>
      <c r="B665" t="s">
        <v>10818</v>
      </c>
    </row>
    <row r="666" spans="1:2" x14ac:dyDescent="0.25">
      <c r="A666" t="s">
        <v>12060</v>
      </c>
      <c r="B666" t="s">
        <v>10873</v>
      </c>
    </row>
    <row r="667" spans="1:2" x14ac:dyDescent="0.25">
      <c r="A667" t="s">
        <v>12060</v>
      </c>
      <c r="B667" t="s">
        <v>10866</v>
      </c>
    </row>
    <row r="668" spans="1:2" x14ac:dyDescent="0.25">
      <c r="A668" t="s">
        <v>12060</v>
      </c>
      <c r="B668" t="s">
        <v>10822</v>
      </c>
    </row>
    <row r="669" spans="1:2" x14ac:dyDescent="0.25">
      <c r="A669" t="s">
        <v>1678</v>
      </c>
      <c r="B669" t="s">
        <v>8225</v>
      </c>
    </row>
    <row r="670" spans="1:2" x14ac:dyDescent="0.25">
      <c r="A670" t="s">
        <v>1678</v>
      </c>
      <c r="B670" t="s">
        <v>8222</v>
      </c>
    </row>
    <row r="671" spans="1:2" x14ac:dyDescent="0.25">
      <c r="A671" t="s">
        <v>1678</v>
      </c>
      <c r="B671" t="s">
        <v>8233</v>
      </c>
    </row>
    <row r="672" spans="1:2" x14ac:dyDescent="0.25">
      <c r="A672" t="s">
        <v>1678</v>
      </c>
      <c r="B672" t="s">
        <v>8229</v>
      </c>
    </row>
    <row r="673" spans="1:2" x14ac:dyDescent="0.25">
      <c r="A673" t="s">
        <v>1678</v>
      </c>
      <c r="B673" t="s">
        <v>8236</v>
      </c>
    </row>
    <row r="674" spans="1:2" x14ac:dyDescent="0.25">
      <c r="A674" t="s">
        <v>1678</v>
      </c>
      <c r="B674" t="s">
        <v>8221</v>
      </c>
    </row>
    <row r="675" spans="1:2" x14ac:dyDescent="0.25">
      <c r="A675" t="s">
        <v>1678</v>
      </c>
      <c r="B675" t="s">
        <v>8230</v>
      </c>
    </row>
    <row r="676" spans="1:2" x14ac:dyDescent="0.25">
      <c r="A676" t="s">
        <v>1678</v>
      </c>
      <c r="B676" t="s">
        <v>8231</v>
      </c>
    </row>
    <row r="677" spans="1:2" x14ac:dyDescent="0.25">
      <c r="A677" t="s">
        <v>1678</v>
      </c>
      <c r="B677" t="s">
        <v>8235</v>
      </c>
    </row>
    <row r="678" spans="1:2" x14ac:dyDescent="0.25">
      <c r="A678" t="s">
        <v>1678</v>
      </c>
      <c r="B678" t="s">
        <v>8232</v>
      </c>
    </row>
    <row r="679" spans="1:2" x14ac:dyDescent="0.25">
      <c r="A679" t="s">
        <v>1903</v>
      </c>
      <c r="B679" t="s">
        <v>8338</v>
      </c>
    </row>
    <row r="680" spans="1:2" x14ac:dyDescent="0.25">
      <c r="A680" t="s">
        <v>1903</v>
      </c>
      <c r="B680" t="s">
        <v>8337</v>
      </c>
    </row>
    <row r="681" spans="1:2" x14ac:dyDescent="0.25">
      <c r="A681" t="s">
        <v>1903</v>
      </c>
      <c r="B681" t="s">
        <v>8311</v>
      </c>
    </row>
    <row r="682" spans="1:2" x14ac:dyDescent="0.25">
      <c r="A682" t="s">
        <v>1903</v>
      </c>
      <c r="B682" t="s">
        <v>8336</v>
      </c>
    </row>
    <row r="683" spans="1:2" x14ac:dyDescent="0.25">
      <c r="A683" t="s">
        <v>857</v>
      </c>
      <c r="B683" t="s">
        <v>10862</v>
      </c>
    </row>
    <row r="684" spans="1:2" x14ac:dyDescent="0.25">
      <c r="A684" t="s">
        <v>857</v>
      </c>
      <c r="B684" t="s">
        <v>13522</v>
      </c>
    </row>
    <row r="685" spans="1:2" x14ac:dyDescent="0.25">
      <c r="A685" t="s">
        <v>349</v>
      </c>
      <c r="B685" t="s">
        <v>8283</v>
      </c>
    </row>
    <row r="686" spans="1:2" x14ac:dyDescent="0.25">
      <c r="A686" t="s">
        <v>349</v>
      </c>
      <c r="B686" t="s">
        <v>8310</v>
      </c>
    </row>
    <row r="687" spans="1:2" x14ac:dyDescent="0.25">
      <c r="A687" t="s">
        <v>349</v>
      </c>
      <c r="B687" t="s">
        <v>8298</v>
      </c>
    </row>
    <row r="688" spans="1:2" x14ac:dyDescent="0.25">
      <c r="A688" t="s">
        <v>349</v>
      </c>
      <c r="B688" t="s">
        <v>8275</v>
      </c>
    </row>
    <row r="689" spans="1:2" x14ac:dyDescent="0.25">
      <c r="A689" t="s">
        <v>349</v>
      </c>
      <c r="B689" t="s">
        <v>8280</v>
      </c>
    </row>
    <row r="690" spans="1:2" x14ac:dyDescent="0.25">
      <c r="A690" t="s">
        <v>349</v>
      </c>
      <c r="B690" t="s">
        <v>8282</v>
      </c>
    </row>
    <row r="691" spans="1:2" x14ac:dyDescent="0.25">
      <c r="A691" t="s">
        <v>349</v>
      </c>
      <c r="B691" t="s">
        <v>8290</v>
      </c>
    </row>
    <row r="692" spans="1:2" x14ac:dyDescent="0.25">
      <c r="A692" t="s">
        <v>349</v>
      </c>
      <c r="B692" t="s">
        <v>8295</v>
      </c>
    </row>
    <row r="693" spans="1:2" x14ac:dyDescent="0.25">
      <c r="A693" t="s">
        <v>349</v>
      </c>
      <c r="B693" t="s">
        <v>8205</v>
      </c>
    </row>
    <row r="694" spans="1:2" x14ac:dyDescent="0.25">
      <c r="A694" t="s">
        <v>349</v>
      </c>
      <c r="B694" t="s">
        <v>8206</v>
      </c>
    </row>
    <row r="695" spans="1:2" x14ac:dyDescent="0.25">
      <c r="A695" t="s">
        <v>349</v>
      </c>
      <c r="B695" t="s">
        <v>8289</v>
      </c>
    </row>
    <row r="696" spans="1:2" x14ac:dyDescent="0.25">
      <c r="A696" t="s">
        <v>349</v>
      </c>
      <c r="B696" t="s">
        <v>8207</v>
      </c>
    </row>
    <row r="697" spans="1:2" x14ac:dyDescent="0.25">
      <c r="A697" t="s">
        <v>349</v>
      </c>
      <c r="B697" t="s">
        <v>8277</v>
      </c>
    </row>
    <row r="698" spans="1:2" x14ac:dyDescent="0.25">
      <c r="A698" t="s">
        <v>349</v>
      </c>
      <c r="B698" t="s">
        <v>8287</v>
      </c>
    </row>
    <row r="699" spans="1:2" x14ac:dyDescent="0.25">
      <c r="A699" t="s">
        <v>349</v>
      </c>
      <c r="B699" t="s">
        <v>8218</v>
      </c>
    </row>
    <row r="700" spans="1:2" x14ac:dyDescent="0.25">
      <c r="A700" t="s">
        <v>349</v>
      </c>
      <c r="B700" t="s">
        <v>8281</v>
      </c>
    </row>
    <row r="701" spans="1:2" x14ac:dyDescent="0.25">
      <c r="A701" t="s">
        <v>349</v>
      </c>
      <c r="B701" t="s">
        <v>14535</v>
      </c>
    </row>
    <row r="702" spans="1:2" x14ac:dyDescent="0.25">
      <c r="A702" t="s">
        <v>11870</v>
      </c>
      <c r="B702" t="s">
        <v>9776</v>
      </c>
    </row>
    <row r="703" spans="1:2" x14ac:dyDescent="0.25">
      <c r="A703" t="s">
        <v>11870</v>
      </c>
      <c r="B703" t="s">
        <v>9525</v>
      </c>
    </row>
    <row r="704" spans="1:2" x14ac:dyDescent="0.25">
      <c r="A704" t="s">
        <v>11870</v>
      </c>
      <c r="B704" t="s">
        <v>8692</v>
      </c>
    </row>
    <row r="705" spans="1:2" x14ac:dyDescent="0.25">
      <c r="A705" t="s">
        <v>11870</v>
      </c>
      <c r="B705" t="s">
        <v>9533</v>
      </c>
    </row>
    <row r="706" spans="1:2" x14ac:dyDescent="0.25">
      <c r="A706" t="s">
        <v>11870</v>
      </c>
      <c r="B706" t="s">
        <v>10220</v>
      </c>
    </row>
    <row r="707" spans="1:2" x14ac:dyDescent="0.25">
      <c r="A707" t="s">
        <v>11870</v>
      </c>
      <c r="B707" t="s">
        <v>11867</v>
      </c>
    </row>
    <row r="708" spans="1:2" x14ac:dyDescent="0.25">
      <c r="A708" t="s">
        <v>11870</v>
      </c>
      <c r="B708" t="s">
        <v>11871</v>
      </c>
    </row>
    <row r="709" spans="1:2" x14ac:dyDescent="0.25">
      <c r="A709" t="s">
        <v>11870</v>
      </c>
      <c r="B709" t="s">
        <v>10227</v>
      </c>
    </row>
    <row r="710" spans="1:2" x14ac:dyDescent="0.25">
      <c r="A710" t="s">
        <v>11870</v>
      </c>
      <c r="B710" t="s">
        <v>9651</v>
      </c>
    </row>
    <row r="711" spans="1:2" x14ac:dyDescent="0.25">
      <c r="A711" t="s">
        <v>11870</v>
      </c>
      <c r="B711" t="s">
        <v>9724</v>
      </c>
    </row>
    <row r="712" spans="1:2" x14ac:dyDescent="0.25">
      <c r="A712" t="s">
        <v>11870</v>
      </c>
      <c r="B712" t="s">
        <v>10277</v>
      </c>
    </row>
    <row r="713" spans="1:2" x14ac:dyDescent="0.25">
      <c r="A713" t="s">
        <v>11870</v>
      </c>
      <c r="B713" t="s">
        <v>9566</v>
      </c>
    </row>
    <row r="714" spans="1:2" x14ac:dyDescent="0.25">
      <c r="A714" t="s">
        <v>11870</v>
      </c>
      <c r="B714" t="s">
        <v>8689</v>
      </c>
    </row>
    <row r="715" spans="1:2" x14ac:dyDescent="0.25">
      <c r="A715" t="s">
        <v>11870</v>
      </c>
      <c r="B715" t="s">
        <v>10202</v>
      </c>
    </row>
    <row r="716" spans="1:2" x14ac:dyDescent="0.25">
      <c r="A716" t="s">
        <v>11870</v>
      </c>
      <c r="B716" t="s">
        <v>9847</v>
      </c>
    </row>
    <row r="717" spans="1:2" x14ac:dyDescent="0.25">
      <c r="A717" t="s">
        <v>11870</v>
      </c>
      <c r="B717" t="s">
        <v>10051</v>
      </c>
    </row>
    <row r="718" spans="1:2" x14ac:dyDescent="0.25">
      <c r="A718" t="s">
        <v>11870</v>
      </c>
      <c r="B718" t="s">
        <v>10278</v>
      </c>
    </row>
    <row r="719" spans="1:2" x14ac:dyDescent="0.25">
      <c r="A719" t="s">
        <v>11870</v>
      </c>
      <c r="B719" t="s">
        <v>10331</v>
      </c>
    </row>
    <row r="720" spans="1:2" x14ac:dyDescent="0.25">
      <c r="A720" t="s">
        <v>11870</v>
      </c>
      <c r="B720" t="s">
        <v>10316</v>
      </c>
    </row>
    <row r="721" spans="1:2" x14ac:dyDescent="0.25">
      <c r="A721" t="s">
        <v>11870</v>
      </c>
      <c r="B721" t="s">
        <v>13043</v>
      </c>
    </row>
    <row r="722" spans="1:2" x14ac:dyDescent="0.25">
      <c r="A722" t="s">
        <v>4638</v>
      </c>
      <c r="B722" t="s">
        <v>9896</v>
      </c>
    </row>
    <row r="723" spans="1:2" x14ac:dyDescent="0.25">
      <c r="A723" t="s">
        <v>4638</v>
      </c>
      <c r="B723" t="s">
        <v>9766</v>
      </c>
    </row>
    <row r="724" spans="1:2" x14ac:dyDescent="0.25">
      <c r="A724" t="s">
        <v>4638</v>
      </c>
      <c r="B724" t="s">
        <v>10250</v>
      </c>
    </row>
    <row r="725" spans="1:2" x14ac:dyDescent="0.25">
      <c r="A725" t="s">
        <v>4638</v>
      </c>
      <c r="B725" t="s">
        <v>10295</v>
      </c>
    </row>
    <row r="726" spans="1:2" x14ac:dyDescent="0.25">
      <c r="A726" t="s">
        <v>4638</v>
      </c>
      <c r="B726" t="s">
        <v>9974</v>
      </c>
    </row>
    <row r="727" spans="1:2" x14ac:dyDescent="0.25">
      <c r="A727" t="s">
        <v>4638</v>
      </c>
      <c r="B727" t="s">
        <v>10366</v>
      </c>
    </row>
    <row r="728" spans="1:2" x14ac:dyDescent="0.25">
      <c r="A728" t="s">
        <v>4638</v>
      </c>
      <c r="B728" t="s">
        <v>9620</v>
      </c>
    </row>
    <row r="729" spans="1:2" x14ac:dyDescent="0.25">
      <c r="A729" t="s">
        <v>4638</v>
      </c>
      <c r="B729" t="s">
        <v>9803</v>
      </c>
    </row>
    <row r="730" spans="1:2" x14ac:dyDescent="0.25">
      <c r="A730" t="s">
        <v>4638</v>
      </c>
      <c r="B730" t="s">
        <v>9557</v>
      </c>
    </row>
    <row r="731" spans="1:2" x14ac:dyDescent="0.25">
      <c r="A731" t="s">
        <v>4638</v>
      </c>
      <c r="B731" t="s">
        <v>9772</v>
      </c>
    </row>
    <row r="732" spans="1:2" x14ac:dyDescent="0.25">
      <c r="A732" t="s">
        <v>813</v>
      </c>
      <c r="B732" t="s">
        <v>11961</v>
      </c>
    </row>
    <row r="733" spans="1:2" x14ac:dyDescent="0.25">
      <c r="A733" t="s">
        <v>813</v>
      </c>
      <c r="B733" t="s">
        <v>11998</v>
      </c>
    </row>
    <row r="734" spans="1:2" x14ac:dyDescent="0.25">
      <c r="A734" t="s">
        <v>813</v>
      </c>
      <c r="B734" t="s">
        <v>11959</v>
      </c>
    </row>
    <row r="735" spans="1:2" x14ac:dyDescent="0.25">
      <c r="A735" t="s">
        <v>813</v>
      </c>
      <c r="B735" t="s">
        <v>10570</v>
      </c>
    </row>
    <row r="736" spans="1:2" x14ac:dyDescent="0.25">
      <c r="A736" t="s">
        <v>813</v>
      </c>
      <c r="B736" t="s">
        <v>11966</v>
      </c>
    </row>
    <row r="737" spans="1:2" x14ac:dyDescent="0.25">
      <c r="A737" t="s">
        <v>813</v>
      </c>
      <c r="B737" t="s">
        <v>10576</v>
      </c>
    </row>
    <row r="738" spans="1:2" x14ac:dyDescent="0.25">
      <c r="A738" t="s">
        <v>813</v>
      </c>
      <c r="B738" t="s">
        <v>10488</v>
      </c>
    </row>
    <row r="739" spans="1:2" x14ac:dyDescent="0.25">
      <c r="A739" t="s">
        <v>813</v>
      </c>
      <c r="B739" t="s">
        <v>11970</v>
      </c>
    </row>
    <row r="740" spans="1:2" x14ac:dyDescent="0.25">
      <c r="A740" t="s">
        <v>813</v>
      </c>
      <c r="B740" t="s">
        <v>10572</v>
      </c>
    </row>
    <row r="741" spans="1:2" x14ac:dyDescent="0.25">
      <c r="A741" t="s">
        <v>813</v>
      </c>
      <c r="B741" t="s">
        <v>11996</v>
      </c>
    </row>
    <row r="742" spans="1:2" x14ac:dyDescent="0.25">
      <c r="A742" t="s">
        <v>813</v>
      </c>
      <c r="B742" t="s">
        <v>11953</v>
      </c>
    </row>
    <row r="743" spans="1:2" x14ac:dyDescent="0.25">
      <c r="A743" t="s">
        <v>813</v>
      </c>
      <c r="B743" t="s">
        <v>11979</v>
      </c>
    </row>
    <row r="744" spans="1:2" x14ac:dyDescent="0.25">
      <c r="A744" t="s">
        <v>813</v>
      </c>
      <c r="B744" t="s">
        <v>10563</v>
      </c>
    </row>
    <row r="745" spans="1:2" x14ac:dyDescent="0.25">
      <c r="A745" t="s">
        <v>813</v>
      </c>
      <c r="B745" t="s">
        <v>12003</v>
      </c>
    </row>
    <row r="746" spans="1:2" x14ac:dyDescent="0.25">
      <c r="A746" t="s">
        <v>813</v>
      </c>
      <c r="B746" t="s">
        <v>11989</v>
      </c>
    </row>
    <row r="747" spans="1:2" x14ac:dyDescent="0.25">
      <c r="A747" t="s">
        <v>813</v>
      </c>
      <c r="B747" t="s">
        <v>11957</v>
      </c>
    </row>
    <row r="748" spans="1:2" x14ac:dyDescent="0.25">
      <c r="A748" t="s">
        <v>813</v>
      </c>
      <c r="B748" t="s">
        <v>11975</v>
      </c>
    </row>
    <row r="749" spans="1:2" x14ac:dyDescent="0.25">
      <c r="A749" t="s">
        <v>813</v>
      </c>
      <c r="B749" t="s">
        <v>11983</v>
      </c>
    </row>
    <row r="750" spans="1:2" x14ac:dyDescent="0.25">
      <c r="A750" t="s">
        <v>813</v>
      </c>
      <c r="B750" t="s">
        <v>10564</v>
      </c>
    </row>
    <row r="751" spans="1:2" x14ac:dyDescent="0.25">
      <c r="A751" t="s">
        <v>813</v>
      </c>
      <c r="B751" t="s">
        <v>10565</v>
      </c>
    </row>
    <row r="752" spans="1:2" x14ac:dyDescent="0.25">
      <c r="A752" t="s">
        <v>813</v>
      </c>
      <c r="B752" t="s">
        <v>11968</v>
      </c>
    </row>
    <row r="753" spans="1:2" x14ac:dyDescent="0.25">
      <c r="A753" t="s">
        <v>813</v>
      </c>
      <c r="B753" t="s">
        <v>11985</v>
      </c>
    </row>
    <row r="754" spans="1:2" x14ac:dyDescent="0.25">
      <c r="A754" t="s">
        <v>813</v>
      </c>
      <c r="B754" t="s">
        <v>11994</v>
      </c>
    </row>
    <row r="755" spans="1:2" x14ac:dyDescent="0.25">
      <c r="A755" t="s">
        <v>813</v>
      </c>
      <c r="B755" t="s">
        <v>11972</v>
      </c>
    </row>
    <row r="756" spans="1:2" x14ac:dyDescent="0.25">
      <c r="A756" t="s">
        <v>813</v>
      </c>
      <c r="B756" t="s">
        <v>10560</v>
      </c>
    </row>
    <row r="757" spans="1:2" x14ac:dyDescent="0.25">
      <c r="A757" t="s">
        <v>813</v>
      </c>
      <c r="B757" t="s">
        <v>11963</v>
      </c>
    </row>
    <row r="758" spans="1:2" x14ac:dyDescent="0.25">
      <c r="A758" t="s">
        <v>813</v>
      </c>
      <c r="B758" t="s">
        <v>10575</v>
      </c>
    </row>
    <row r="759" spans="1:2" x14ac:dyDescent="0.25">
      <c r="A759" t="s">
        <v>813</v>
      </c>
      <c r="B759" t="s">
        <v>10561</v>
      </c>
    </row>
    <row r="760" spans="1:2" x14ac:dyDescent="0.25">
      <c r="A760" t="s">
        <v>813</v>
      </c>
      <c r="B760" t="s">
        <v>12005</v>
      </c>
    </row>
    <row r="761" spans="1:2" x14ac:dyDescent="0.25">
      <c r="A761" t="s">
        <v>813</v>
      </c>
      <c r="B761" t="s">
        <v>12001</v>
      </c>
    </row>
    <row r="762" spans="1:2" x14ac:dyDescent="0.25">
      <c r="A762" t="s">
        <v>813</v>
      </c>
      <c r="B762" t="s">
        <v>10562</v>
      </c>
    </row>
    <row r="763" spans="1:2" x14ac:dyDescent="0.25">
      <c r="A763" t="s">
        <v>813</v>
      </c>
      <c r="B763" t="s">
        <v>14235</v>
      </c>
    </row>
    <row r="764" spans="1:2" x14ac:dyDescent="0.25">
      <c r="A764" t="s">
        <v>813</v>
      </c>
      <c r="B764" t="s">
        <v>14631</v>
      </c>
    </row>
    <row r="765" spans="1:2" x14ac:dyDescent="0.25">
      <c r="A765" t="s">
        <v>813</v>
      </c>
      <c r="B765" t="s">
        <v>14670</v>
      </c>
    </row>
    <row r="766" spans="1:2" x14ac:dyDescent="0.25">
      <c r="A766" t="s">
        <v>813</v>
      </c>
      <c r="B766" t="s">
        <v>14691</v>
      </c>
    </row>
    <row r="767" spans="1:2" x14ac:dyDescent="0.25">
      <c r="A767" t="s">
        <v>708</v>
      </c>
      <c r="B767" t="s">
        <v>10270</v>
      </c>
    </row>
    <row r="768" spans="1:2" x14ac:dyDescent="0.25">
      <c r="A768" t="s">
        <v>708</v>
      </c>
      <c r="B768" t="s">
        <v>9608</v>
      </c>
    </row>
    <row r="769" spans="1:2" x14ac:dyDescent="0.25">
      <c r="A769" t="s">
        <v>708</v>
      </c>
      <c r="B769" t="s">
        <v>9892</v>
      </c>
    </row>
    <row r="770" spans="1:2" x14ac:dyDescent="0.25">
      <c r="A770" t="s">
        <v>708</v>
      </c>
      <c r="B770" t="s">
        <v>9901</v>
      </c>
    </row>
    <row r="771" spans="1:2" x14ac:dyDescent="0.25">
      <c r="A771" t="s">
        <v>708</v>
      </c>
      <c r="B771" t="s">
        <v>10137</v>
      </c>
    </row>
    <row r="772" spans="1:2" x14ac:dyDescent="0.25">
      <c r="A772" t="s">
        <v>708</v>
      </c>
      <c r="B772" t="s">
        <v>9558</v>
      </c>
    </row>
    <row r="773" spans="1:2" x14ac:dyDescent="0.25">
      <c r="A773" t="s">
        <v>708</v>
      </c>
      <c r="B773" t="s">
        <v>9611</v>
      </c>
    </row>
    <row r="774" spans="1:2" x14ac:dyDescent="0.25">
      <c r="A774" t="s">
        <v>708</v>
      </c>
      <c r="B774" t="s">
        <v>13808</v>
      </c>
    </row>
    <row r="775" spans="1:2" x14ac:dyDescent="0.25">
      <c r="A775" t="s">
        <v>708</v>
      </c>
      <c r="B775" t="s">
        <v>14448</v>
      </c>
    </row>
    <row r="776" spans="1:2" x14ac:dyDescent="0.25">
      <c r="A776" t="s">
        <v>708</v>
      </c>
      <c r="B776" t="s">
        <v>14455</v>
      </c>
    </row>
    <row r="777" spans="1:2" x14ac:dyDescent="0.25">
      <c r="A777" t="s">
        <v>708</v>
      </c>
      <c r="B777" t="s">
        <v>14474</v>
      </c>
    </row>
    <row r="778" spans="1:2" x14ac:dyDescent="0.25">
      <c r="A778" t="s">
        <v>708</v>
      </c>
      <c r="B778" t="s">
        <v>14538</v>
      </c>
    </row>
    <row r="779" spans="1:2" x14ac:dyDescent="0.25">
      <c r="A779" t="s">
        <v>231</v>
      </c>
      <c r="B779" t="s">
        <v>9672</v>
      </c>
    </row>
    <row r="780" spans="1:2" x14ac:dyDescent="0.25">
      <c r="A780" t="s">
        <v>231</v>
      </c>
      <c r="B780" t="s">
        <v>9751</v>
      </c>
    </row>
    <row r="781" spans="1:2" x14ac:dyDescent="0.25">
      <c r="A781" t="s">
        <v>231</v>
      </c>
      <c r="B781" t="s">
        <v>10352</v>
      </c>
    </row>
    <row r="782" spans="1:2" x14ac:dyDescent="0.25">
      <c r="A782" t="s">
        <v>231</v>
      </c>
      <c r="B782" t="s">
        <v>10098</v>
      </c>
    </row>
    <row r="783" spans="1:2" x14ac:dyDescent="0.25">
      <c r="A783" t="s">
        <v>231</v>
      </c>
      <c r="B783" t="s">
        <v>9797</v>
      </c>
    </row>
    <row r="784" spans="1:2" x14ac:dyDescent="0.25">
      <c r="A784" t="s">
        <v>231</v>
      </c>
      <c r="B784" t="s">
        <v>9961</v>
      </c>
    </row>
    <row r="785" spans="1:2" x14ac:dyDescent="0.25">
      <c r="A785" t="s">
        <v>231</v>
      </c>
      <c r="B785" t="s">
        <v>9663</v>
      </c>
    </row>
    <row r="786" spans="1:2" x14ac:dyDescent="0.25">
      <c r="A786" t="s">
        <v>231</v>
      </c>
      <c r="B786" t="s">
        <v>10171</v>
      </c>
    </row>
    <row r="787" spans="1:2" x14ac:dyDescent="0.25">
      <c r="A787" t="s">
        <v>231</v>
      </c>
      <c r="B787" t="s">
        <v>9653</v>
      </c>
    </row>
    <row r="788" spans="1:2" x14ac:dyDescent="0.25">
      <c r="A788" t="s">
        <v>231</v>
      </c>
      <c r="B788" t="s">
        <v>12589</v>
      </c>
    </row>
    <row r="789" spans="1:2" x14ac:dyDescent="0.25">
      <c r="A789" t="s">
        <v>231</v>
      </c>
      <c r="B789" t="s">
        <v>9823</v>
      </c>
    </row>
    <row r="790" spans="1:2" x14ac:dyDescent="0.25">
      <c r="A790" t="s">
        <v>231</v>
      </c>
      <c r="B790" t="s">
        <v>9628</v>
      </c>
    </row>
    <row r="791" spans="1:2" x14ac:dyDescent="0.25">
      <c r="A791" t="s">
        <v>231</v>
      </c>
      <c r="B791" t="s">
        <v>10273</v>
      </c>
    </row>
    <row r="792" spans="1:2" x14ac:dyDescent="0.25">
      <c r="A792" t="s">
        <v>231</v>
      </c>
      <c r="B792" t="s">
        <v>9885</v>
      </c>
    </row>
    <row r="793" spans="1:2" x14ac:dyDescent="0.25">
      <c r="A793" t="s">
        <v>231</v>
      </c>
      <c r="B793" t="s">
        <v>9583</v>
      </c>
    </row>
    <row r="794" spans="1:2" x14ac:dyDescent="0.25">
      <c r="A794" t="s">
        <v>231</v>
      </c>
      <c r="B794" t="s">
        <v>9862</v>
      </c>
    </row>
    <row r="795" spans="1:2" x14ac:dyDescent="0.25">
      <c r="A795" t="s">
        <v>231</v>
      </c>
      <c r="B795" t="s">
        <v>12878</v>
      </c>
    </row>
    <row r="796" spans="1:2" x14ac:dyDescent="0.25">
      <c r="A796" t="s">
        <v>231</v>
      </c>
      <c r="B796" t="s">
        <v>13902</v>
      </c>
    </row>
    <row r="797" spans="1:2" x14ac:dyDescent="0.25">
      <c r="A797" t="s">
        <v>405</v>
      </c>
      <c r="B797" t="s">
        <v>8423</v>
      </c>
    </row>
    <row r="798" spans="1:2" x14ac:dyDescent="0.25">
      <c r="A798" t="s">
        <v>405</v>
      </c>
      <c r="B798" t="s">
        <v>8420</v>
      </c>
    </row>
    <row r="799" spans="1:2" x14ac:dyDescent="0.25">
      <c r="A799" t="s">
        <v>405</v>
      </c>
      <c r="B799" t="s">
        <v>8424</v>
      </c>
    </row>
    <row r="800" spans="1:2" x14ac:dyDescent="0.25">
      <c r="A800" t="s">
        <v>405</v>
      </c>
      <c r="B800" t="s">
        <v>8421</v>
      </c>
    </row>
    <row r="801" spans="1:2" x14ac:dyDescent="0.25">
      <c r="A801" t="s">
        <v>405</v>
      </c>
      <c r="B801" t="s">
        <v>8419</v>
      </c>
    </row>
    <row r="802" spans="1:2" x14ac:dyDescent="0.25">
      <c r="A802" t="s">
        <v>405</v>
      </c>
      <c r="B802" t="s">
        <v>8429</v>
      </c>
    </row>
    <row r="803" spans="1:2" x14ac:dyDescent="0.25">
      <c r="A803" t="s">
        <v>405</v>
      </c>
      <c r="B803" t="s">
        <v>8425</v>
      </c>
    </row>
    <row r="804" spans="1:2" x14ac:dyDescent="0.25">
      <c r="A804" t="s">
        <v>405</v>
      </c>
      <c r="B804" t="s">
        <v>8428</v>
      </c>
    </row>
    <row r="805" spans="1:2" x14ac:dyDescent="0.25">
      <c r="A805" t="s">
        <v>405</v>
      </c>
      <c r="B805" t="s">
        <v>8427</v>
      </c>
    </row>
    <row r="806" spans="1:2" x14ac:dyDescent="0.25">
      <c r="A806" t="s">
        <v>799</v>
      </c>
      <c r="B806" t="s">
        <v>10588</v>
      </c>
    </row>
    <row r="807" spans="1:2" x14ac:dyDescent="0.25">
      <c r="A807" t="s">
        <v>799</v>
      </c>
      <c r="B807" t="s">
        <v>11951</v>
      </c>
    </row>
    <row r="808" spans="1:2" x14ac:dyDescent="0.25">
      <c r="A808" t="s">
        <v>799</v>
      </c>
      <c r="B808" t="s">
        <v>11952</v>
      </c>
    </row>
    <row r="809" spans="1:2" x14ac:dyDescent="0.25">
      <c r="A809" t="s">
        <v>799</v>
      </c>
      <c r="B809" t="s">
        <v>12020</v>
      </c>
    </row>
    <row r="810" spans="1:2" x14ac:dyDescent="0.25">
      <c r="A810" t="s">
        <v>799</v>
      </c>
      <c r="B810" t="s">
        <v>11944</v>
      </c>
    </row>
    <row r="811" spans="1:2" x14ac:dyDescent="0.25">
      <c r="A811" t="s">
        <v>799</v>
      </c>
      <c r="B811" t="s">
        <v>11946</v>
      </c>
    </row>
    <row r="812" spans="1:2" x14ac:dyDescent="0.25">
      <c r="A812" t="s">
        <v>799</v>
      </c>
      <c r="B812" t="s">
        <v>11949</v>
      </c>
    </row>
    <row r="813" spans="1:2" x14ac:dyDescent="0.25">
      <c r="A813" t="s">
        <v>799</v>
      </c>
      <c r="B813" t="s">
        <v>10589</v>
      </c>
    </row>
    <row r="814" spans="1:2" x14ac:dyDescent="0.25">
      <c r="A814" t="s">
        <v>799</v>
      </c>
      <c r="B814" t="s">
        <v>11945</v>
      </c>
    </row>
    <row r="815" spans="1:2" x14ac:dyDescent="0.25">
      <c r="A815" t="s">
        <v>799</v>
      </c>
      <c r="B815" t="s">
        <v>11947</v>
      </c>
    </row>
    <row r="816" spans="1:2" x14ac:dyDescent="0.25">
      <c r="A816" t="s">
        <v>799</v>
      </c>
      <c r="B816" t="s">
        <v>11948</v>
      </c>
    </row>
    <row r="817" spans="1:2" x14ac:dyDescent="0.25">
      <c r="A817" t="s">
        <v>799</v>
      </c>
      <c r="B817" t="s">
        <v>11950</v>
      </c>
    </row>
    <row r="818" spans="1:2" x14ac:dyDescent="0.25">
      <c r="A818" t="s">
        <v>799</v>
      </c>
      <c r="B818" t="s">
        <v>13089</v>
      </c>
    </row>
    <row r="819" spans="1:2" x14ac:dyDescent="0.25">
      <c r="A819" t="s">
        <v>799</v>
      </c>
      <c r="B819" t="s">
        <v>13100</v>
      </c>
    </row>
    <row r="820" spans="1:2" x14ac:dyDescent="0.25">
      <c r="A820" t="s">
        <v>799</v>
      </c>
      <c r="B820" t="s">
        <v>13657</v>
      </c>
    </row>
    <row r="821" spans="1:2" x14ac:dyDescent="0.25">
      <c r="A821" t="s">
        <v>4525</v>
      </c>
      <c r="B821" t="s">
        <v>9511</v>
      </c>
    </row>
    <row r="822" spans="1:2" x14ac:dyDescent="0.25">
      <c r="A822" t="s">
        <v>833</v>
      </c>
      <c r="B822" t="s">
        <v>10605</v>
      </c>
    </row>
    <row r="823" spans="1:2" x14ac:dyDescent="0.25">
      <c r="A823" t="s">
        <v>833</v>
      </c>
      <c r="B823" t="s">
        <v>8402</v>
      </c>
    </row>
    <row r="824" spans="1:2" x14ac:dyDescent="0.25">
      <c r="A824" t="s">
        <v>2424</v>
      </c>
      <c r="B824" t="s">
        <v>10612</v>
      </c>
    </row>
    <row r="825" spans="1:2" x14ac:dyDescent="0.25">
      <c r="A825" t="s">
        <v>2424</v>
      </c>
      <c r="B825" t="s">
        <v>10621</v>
      </c>
    </row>
    <row r="826" spans="1:2" x14ac:dyDescent="0.25">
      <c r="A826" t="s">
        <v>2424</v>
      </c>
      <c r="B826" t="s">
        <v>10614</v>
      </c>
    </row>
    <row r="827" spans="1:2" x14ac:dyDescent="0.25">
      <c r="A827" t="s">
        <v>2424</v>
      </c>
      <c r="B827" t="s">
        <v>10616</v>
      </c>
    </row>
    <row r="828" spans="1:2" x14ac:dyDescent="0.25">
      <c r="A828" t="s">
        <v>2424</v>
      </c>
      <c r="B828" t="s">
        <v>10608</v>
      </c>
    </row>
    <row r="829" spans="1:2" x14ac:dyDescent="0.25">
      <c r="A829" t="s">
        <v>2424</v>
      </c>
      <c r="B829" t="s">
        <v>11484</v>
      </c>
    </row>
    <row r="830" spans="1:2" x14ac:dyDescent="0.25">
      <c r="A830" t="s">
        <v>2424</v>
      </c>
      <c r="B830" t="s">
        <v>10604</v>
      </c>
    </row>
    <row r="831" spans="1:2" x14ac:dyDescent="0.25">
      <c r="A831" t="s">
        <v>6490</v>
      </c>
      <c r="B831" t="s">
        <v>11459</v>
      </c>
    </row>
    <row r="832" spans="1:2" x14ac:dyDescent="0.25">
      <c r="A832" t="s">
        <v>6490</v>
      </c>
      <c r="B832" t="s">
        <v>11455</v>
      </c>
    </row>
    <row r="833" spans="1:2" x14ac:dyDescent="0.25">
      <c r="A833" t="s">
        <v>6490</v>
      </c>
      <c r="B833" t="s">
        <v>11476</v>
      </c>
    </row>
    <row r="834" spans="1:2" x14ac:dyDescent="0.25">
      <c r="A834" t="s">
        <v>6490</v>
      </c>
      <c r="B834" t="s">
        <v>11466</v>
      </c>
    </row>
    <row r="835" spans="1:2" x14ac:dyDescent="0.25">
      <c r="A835" t="s">
        <v>6490</v>
      </c>
      <c r="B835" t="s">
        <v>11462</v>
      </c>
    </row>
    <row r="836" spans="1:2" x14ac:dyDescent="0.25">
      <c r="A836" t="s">
        <v>6490</v>
      </c>
      <c r="B836" t="s">
        <v>10456</v>
      </c>
    </row>
    <row r="837" spans="1:2" x14ac:dyDescent="0.25">
      <c r="A837" t="s">
        <v>6490</v>
      </c>
      <c r="B837" t="s">
        <v>10459</v>
      </c>
    </row>
    <row r="838" spans="1:2" x14ac:dyDescent="0.25">
      <c r="A838" t="s">
        <v>6490</v>
      </c>
      <c r="B838" t="s">
        <v>12619</v>
      </c>
    </row>
    <row r="839" spans="1:2" x14ac:dyDescent="0.25">
      <c r="A839" t="s">
        <v>6490</v>
      </c>
      <c r="B839" t="s">
        <v>11473</v>
      </c>
    </row>
    <row r="840" spans="1:2" x14ac:dyDescent="0.25">
      <c r="A840" t="s">
        <v>255</v>
      </c>
      <c r="B840" t="s">
        <v>10659</v>
      </c>
    </row>
    <row r="841" spans="1:2" x14ac:dyDescent="0.25">
      <c r="A841" t="s">
        <v>255</v>
      </c>
      <c r="B841" t="s">
        <v>10675</v>
      </c>
    </row>
    <row r="842" spans="1:2" x14ac:dyDescent="0.25">
      <c r="A842" t="s">
        <v>255</v>
      </c>
      <c r="B842" t="s">
        <v>10655</v>
      </c>
    </row>
    <row r="843" spans="1:2" x14ac:dyDescent="0.25">
      <c r="A843" t="s">
        <v>255</v>
      </c>
      <c r="B843" t="s">
        <v>10662</v>
      </c>
    </row>
    <row r="844" spans="1:2" x14ac:dyDescent="0.25">
      <c r="A844" t="s">
        <v>255</v>
      </c>
      <c r="B844" t="s">
        <v>10664</v>
      </c>
    </row>
    <row r="845" spans="1:2" x14ac:dyDescent="0.25">
      <c r="A845" t="s">
        <v>255</v>
      </c>
      <c r="B845" t="s">
        <v>10681</v>
      </c>
    </row>
    <row r="846" spans="1:2" x14ac:dyDescent="0.25">
      <c r="A846" t="s">
        <v>255</v>
      </c>
      <c r="B846" t="s">
        <v>10682</v>
      </c>
    </row>
    <row r="847" spans="1:2" x14ac:dyDescent="0.25">
      <c r="A847" t="s">
        <v>255</v>
      </c>
      <c r="B847" t="s">
        <v>10660</v>
      </c>
    </row>
    <row r="848" spans="1:2" x14ac:dyDescent="0.25">
      <c r="A848" t="s">
        <v>255</v>
      </c>
      <c r="B848" t="s">
        <v>10658</v>
      </c>
    </row>
    <row r="849" spans="1:2" x14ac:dyDescent="0.25">
      <c r="A849" t="s">
        <v>255</v>
      </c>
      <c r="B849" t="s">
        <v>10663</v>
      </c>
    </row>
    <row r="850" spans="1:2" x14ac:dyDescent="0.25">
      <c r="A850" t="s">
        <v>255</v>
      </c>
      <c r="B850" t="s">
        <v>10676</v>
      </c>
    </row>
    <row r="851" spans="1:2" x14ac:dyDescent="0.25">
      <c r="A851" t="s">
        <v>255</v>
      </c>
      <c r="B851" t="s">
        <v>10656</v>
      </c>
    </row>
    <row r="852" spans="1:2" x14ac:dyDescent="0.25">
      <c r="A852" t="s">
        <v>255</v>
      </c>
      <c r="B852" t="s">
        <v>10661</v>
      </c>
    </row>
    <row r="853" spans="1:2" x14ac:dyDescent="0.25">
      <c r="A853" t="s">
        <v>255</v>
      </c>
      <c r="B853" t="s">
        <v>10657</v>
      </c>
    </row>
    <row r="854" spans="1:2" x14ac:dyDescent="0.25">
      <c r="A854" t="s">
        <v>255</v>
      </c>
      <c r="B854" t="s">
        <v>10677</v>
      </c>
    </row>
    <row r="855" spans="1:2" x14ac:dyDescent="0.25">
      <c r="A855" t="s">
        <v>11218</v>
      </c>
      <c r="B855" t="s">
        <v>11259</v>
      </c>
    </row>
    <row r="856" spans="1:2" x14ac:dyDescent="0.25">
      <c r="A856" t="s">
        <v>11218</v>
      </c>
      <c r="B856" t="s">
        <v>11215</v>
      </c>
    </row>
    <row r="857" spans="1:2" x14ac:dyDescent="0.25">
      <c r="A857" t="s">
        <v>10983</v>
      </c>
      <c r="B857" t="s">
        <v>10979</v>
      </c>
    </row>
    <row r="858" spans="1:2" x14ac:dyDescent="0.25">
      <c r="A858" t="s">
        <v>543</v>
      </c>
      <c r="B858" t="s">
        <v>8758</v>
      </c>
    </row>
    <row r="859" spans="1:2" x14ac:dyDescent="0.25">
      <c r="A859" t="s">
        <v>543</v>
      </c>
      <c r="B859" t="s">
        <v>8744</v>
      </c>
    </row>
    <row r="860" spans="1:2" x14ac:dyDescent="0.25">
      <c r="A860" t="s">
        <v>543</v>
      </c>
      <c r="B860" t="s">
        <v>8753</v>
      </c>
    </row>
    <row r="861" spans="1:2" x14ac:dyDescent="0.25">
      <c r="A861" t="s">
        <v>543</v>
      </c>
      <c r="B861" t="s">
        <v>8748</v>
      </c>
    </row>
    <row r="862" spans="1:2" x14ac:dyDescent="0.25">
      <c r="A862" t="s">
        <v>543</v>
      </c>
      <c r="B862" t="s">
        <v>8751</v>
      </c>
    </row>
    <row r="863" spans="1:2" x14ac:dyDescent="0.25">
      <c r="A863" t="s">
        <v>543</v>
      </c>
      <c r="B863" t="s">
        <v>8756</v>
      </c>
    </row>
    <row r="864" spans="1:2" x14ac:dyDescent="0.25">
      <c r="A864" t="s">
        <v>543</v>
      </c>
      <c r="B864" t="s">
        <v>8759</v>
      </c>
    </row>
    <row r="865" spans="1:2" x14ac:dyDescent="0.25">
      <c r="A865" t="s">
        <v>543</v>
      </c>
      <c r="B865" t="s">
        <v>8743</v>
      </c>
    </row>
    <row r="866" spans="1:2" x14ac:dyDescent="0.25">
      <c r="A866" t="s">
        <v>543</v>
      </c>
      <c r="B866" t="s">
        <v>8745</v>
      </c>
    </row>
    <row r="867" spans="1:2" x14ac:dyDescent="0.25">
      <c r="A867" t="s">
        <v>543</v>
      </c>
      <c r="B867" t="s">
        <v>8754</v>
      </c>
    </row>
    <row r="868" spans="1:2" x14ac:dyDescent="0.25">
      <c r="A868" t="s">
        <v>543</v>
      </c>
      <c r="B868" t="s">
        <v>8750</v>
      </c>
    </row>
    <row r="869" spans="1:2" x14ac:dyDescent="0.25">
      <c r="A869" t="s">
        <v>543</v>
      </c>
      <c r="B869" t="s">
        <v>8749</v>
      </c>
    </row>
    <row r="870" spans="1:2" x14ac:dyDescent="0.25">
      <c r="A870" t="s">
        <v>543</v>
      </c>
      <c r="B870" t="s">
        <v>8746</v>
      </c>
    </row>
    <row r="871" spans="1:2" x14ac:dyDescent="0.25">
      <c r="A871" t="s">
        <v>11562</v>
      </c>
      <c r="B871" t="s">
        <v>8911</v>
      </c>
    </row>
    <row r="872" spans="1:2" x14ac:dyDescent="0.25">
      <c r="A872" t="s">
        <v>11562</v>
      </c>
      <c r="B872" t="s">
        <v>8901</v>
      </c>
    </row>
    <row r="873" spans="1:2" x14ac:dyDescent="0.25">
      <c r="A873" t="s">
        <v>11562</v>
      </c>
      <c r="B873" t="s">
        <v>9496</v>
      </c>
    </row>
    <row r="874" spans="1:2" x14ac:dyDescent="0.25">
      <c r="A874" t="s">
        <v>11562</v>
      </c>
      <c r="B874" t="s">
        <v>9342</v>
      </c>
    </row>
    <row r="875" spans="1:2" x14ac:dyDescent="0.25">
      <c r="A875" t="s">
        <v>11562</v>
      </c>
      <c r="B875" t="s">
        <v>8839</v>
      </c>
    </row>
    <row r="876" spans="1:2" x14ac:dyDescent="0.25">
      <c r="A876" t="s">
        <v>11562</v>
      </c>
      <c r="B876" t="s">
        <v>8905</v>
      </c>
    </row>
    <row r="877" spans="1:2" x14ac:dyDescent="0.25">
      <c r="A877" t="s">
        <v>11562</v>
      </c>
      <c r="B877" t="s">
        <v>8840</v>
      </c>
    </row>
    <row r="878" spans="1:2" x14ac:dyDescent="0.25">
      <c r="A878" t="s">
        <v>11562</v>
      </c>
      <c r="B878" t="s">
        <v>8841</v>
      </c>
    </row>
    <row r="879" spans="1:2" x14ac:dyDescent="0.25">
      <c r="A879" t="s">
        <v>11562</v>
      </c>
      <c r="B879" t="s">
        <v>9396</v>
      </c>
    </row>
    <row r="880" spans="1:2" x14ac:dyDescent="0.25">
      <c r="A880" t="s">
        <v>11562</v>
      </c>
      <c r="B880" t="s">
        <v>9455</v>
      </c>
    </row>
    <row r="881" spans="1:2" x14ac:dyDescent="0.25">
      <c r="A881" t="s">
        <v>11562</v>
      </c>
      <c r="B881" t="s">
        <v>9497</v>
      </c>
    </row>
    <row r="882" spans="1:2" x14ac:dyDescent="0.25">
      <c r="A882" t="s">
        <v>643</v>
      </c>
      <c r="B882" t="s">
        <v>9681</v>
      </c>
    </row>
    <row r="883" spans="1:2" x14ac:dyDescent="0.25">
      <c r="A883" t="s">
        <v>643</v>
      </c>
      <c r="B883" t="s">
        <v>9810</v>
      </c>
    </row>
    <row r="884" spans="1:2" x14ac:dyDescent="0.25">
      <c r="A884" t="s">
        <v>643</v>
      </c>
      <c r="B884" t="s">
        <v>9680</v>
      </c>
    </row>
    <row r="885" spans="1:2" x14ac:dyDescent="0.25">
      <c r="A885" t="s">
        <v>643</v>
      </c>
      <c r="B885" t="s">
        <v>9524</v>
      </c>
    </row>
    <row r="886" spans="1:2" x14ac:dyDescent="0.25">
      <c r="A886" t="s">
        <v>643</v>
      </c>
      <c r="B886" t="s">
        <v>8610</v>
      </c>
    </row>
    <row r="887" spans="1:2" x14ac:dyDescent="0.25">
      <c r="A887" t="s">
        <v>643</v>
      </c>
      <c r="B887" t="s">
        <v>9655</v>
      </c>
    </row>
    <row r="888" spans="1:2" x14ac:dyDescent="0.25">
      <c r="A888" t="s">
        <v>643</v>
      </c>
      <c r="B888" t="s">
        <v>9915</v>
      </c>
    </row>
    <row r="889" spans="1:2" x14ac:dyDescent="0.25">
      <c r="A889" t="s">
        <v>643</v>
      </c>
      <c r="B889" t="s">
        <v>9526</v>
      </c>
    </row>
    <row r="890" spans="1:2" x14ac:dyDescent="0.25">
      <c r="A890" t="s">
        <v>643</v>
      </c>
      <c r="B890" t="s">
        <v>22</v>
      </c>
    </row>
    <row r="891" spans="1:2" x14ac:dyDescent="0.25">
      <c r="A891" t="s">
        <v>643</v>
      </c>
      <c r="B891" t="s">
        <v>9571</v>
      </c>
    </row>
    <row r="892" spans="1:2" x14ac:dyDescent="0.25">
      <c r="A892" t="s">
        <v>643</v>
      </c>
      <c r="B892" t="s">
        <v>8106</v>
      </c>
    </row>
    <row r="893" spans="1:2" x14ac:dyDescent="0.25">
      <c r="A893" t="s">
        <v>643</v>
      </c>
      <c r="B893" t="s">
        <v>13</v>
      </c>
    </row>
    <row r="894" spans="1:2" x14ac:dyDescent="0.25">
      <c r="A894" t="s">
        <v>643</v>
      </c>
      <c r="B894" t="s">
        <v>10080</v>
      </c>
    </row>
    <row r="895" spans="1:2" x14ac:dyDescent="0.25">
      <c r="A895" t="s">
        <v>643</v>
      </c>
      <c r="B895" t="s">
        <v>12894</v>
      </c>
    </row>
    <row r="896" spans="1:2" x14ac:dyDescent="0.25">
      <c r="A896" t="s">
        <v>643</v>
      </c>
      <c r="B896" t="s">
        <v>14099</v>
      </c>
    </row>
    <row r="897" spans="1:2" x14ac:dyDescent="0.25">
      <c r="A897" t="s">
        <v>398</v>
      </c>
      <c r="B897" t="s">
        <v>8388</v>
      </c>
    </row>
    <row r="898" spans="1:2" x14ac:dyDescent="0.25">
      <c r="A898" t="s">
        <v>398</v>
      </c>
      <c r="B898" t="s">
        <v>8409</v>
      </c>
    </row>
    <row r="899" spans="1:2" x14ac:dyDescent="0.25">
      <c r="A899" t="s">
        <v>398</v>
      </c>
      <c r="B899" t="s">
        <v>8408</v>
      </c>
    </row>
    <row r="900" spans="1:2" x14ac:dyDescent="0.25">
      <c r="A900" t="s">
        <v>398</v>
      </c>
      <c r="B900" t="s">
        <v>8377</v>
      </c>
    </row>
    <row r="901" spans="1:2" x14ac:dyDescent="0.25">
      <c r="A901" t="s">
        <v>398</v>
      </c>
      <c r="B901" t="s">
        <v>8411</v>
      </c>
    </row>
    <row r="902" spans="1:2" x14ac:dyDescent="0.25">
      <c r="A902" t="s">
        <v>398</v>
      </c>
      <c r="B902" t="s">
        <v>8401</v>
      </c>
    </row>
    <row r="903" spans="1:2" x14ac:dyDescent="0.25">
      <c r="A903" t="s">
        <v>398</v>
      </c>
      <c r="B903" t="s">
        <v>8385</v>
      </c>
    </row>
    <row r="904" spans="1:2" x14ac:dyDescent="0.25">
      <c r="A904" t="s">
        <v>398</v>
      </c>
      <c r="B904" t="s">
        <v>8392</v>
      </c>
    </row>
    <row r="905" spans="1:2" x14ac:dyDescent="0.25">
      <c r="A905" t="s">
        <v>398</v>
      </c>
      <c r="B905" t="s">
        <v>8389</v>
      </c>
    </row>
    <row r="906" spans="1:2" x14ac:dyDescent="0.25">
      <c r="A906" t="s">
        <v>398</v>
      </c>
      <c r="B906" t="s">
        <v>8406</v>
      </c>
    </row>
    <row r="907" spans="1:2" x14ac:dyDescent="0.25">
      <c r="A907" t="s">
        <v>398</v>
      </c>
      <c r="B907" t="s">
        <v>8395</v>
      </c>
    </row>
    <row r="908" spans="1:2" x14ac:dyDescent="0.25">
      <c r="A908" t="s">
        <v>398</v>
      </c>
      <c r="B908" t="s">
        <v>8394</v>
      </c>
    </row>
    <row r="909" spans="1:2" x14ac:dyDescent="0.25">
      <c r="A909" t="s">
        <v>398</v>
      </c>
      <c r="B909" t="s">
        <v>8413</v>
      </c>
    </row>
    <row r="910" spans="1:2" x14ac:dyDescent="0.25">
      <c r="A910" t="s">
        <v>398</v>
      </c>
      <c r="B910" t="s">
        <v>8380</v>
      </c>
    </row>
    <row r="911" spans="1:2" x14ac:dyDescent="0.25">
      <c r="A911" t="s">
        <v>398</v>
      </c>
      <c r="B911" t="s">
        <v>8405</v>
      </c>
    </row>
    <row r="912" spans="1:2" x14ac:dyDescent="0.25">
      <c r="A912" t="s">
        <v>398</v>
      </c>
      <c r="B912" t="s">
        <v>8381</v>
      </c>
    </row>
    <row r="913" spans="1:2" x14ac:dyDescent="0.25">
      <c r="A913" t="s">
        <v>398</v>
      </c>
      <c r="B913" t="s">
        <v>8414</v>
      </c>
    </row>
    <row r="914" spans="1:2" x14ac:dyDescent="0.25">
      <c r="A914" t="s">
        <v>398</v>
      </c>
      <c r="B914" t="s">
        <v>8410</v>
      </c>
    </row>
    <row r="915" spans="1:2" x14ac:dyDescent="0.25">
      <c r="A915" t="s">
        <v>398</v>
      </c>
      <c r="B915" t="s">
        <v>8417</v>
      </c>
    </row>
    <row r="916" spans="1:2" x14ac:dyDescent="0.25">
      <c r="A916" t="s">
        <v>398</v>
      </c>
      <c r="B916" t="s">
        <v>8416</v>
      </c>
    </row>
    <row r="917" spans="1:2" x14ac:dyDescent="0.25">
      <c r="A917" t="s">
        <v>398</v>
      </c>
      <c r="B917" t="s">
        <v>8403</v>
      </c>
    </row>
    <row r="918" spans="1:2" x14ac:dyDescent="0.25">
      <c r="A918" t="s">
        <v>398</v>
      </c>
      <c r="B918" t="s">
        <v>8390</v>
      </c>
    </row>
    <row r="919" spans="1:2" x14ac:dyDescent="0.25">
      <c r="A919" t="s">
        <v>398</v>
      </c>
      <c r="B919" t="s">
        <v>8379</v>
      </c>
    </row>
    <row r="920" spans="1:2" x14ac:dyDescent="0.25">
      <c r="A920" t="s">
        <v>398</v>
      </c>
      <c r="B920" t="s">
        <v>8407</v>
      </c>
    </row>
    <row r="921" spans="1:2" x14ac:dyDescent="0.25">
      <c r="A921" t="s">
        <v>398</v>
      </c>
      <c r="B921" t="s">
        <v>8404</v>
      </c>
    </row>
    <row r="922" spans="1:2" x14ac:dyDescent="0.25">
      <c r="A922" t="s">
        <v>398</v>
      </c>
      <c r="B922" t="s">
        <v>8391</v>
      </c>
    </row>
    <row r="923" spans="1:2" x14ac:dyDescent="0.25">
      <c r="A923" t="s">
        <v>398</v>
      </c>
      <c r="B923" t="s">
        <v>8396</v>
      </c>
    </row>
    <row r="924" spans="1:2" x14ac:dyDescent="0.25">
      <c r="A924" t="s">
        <v>398</v>
      </c>
      <c r="B924" t="s">
        <v>8415</v>
      </c>
    </row>
    <row r="925" spans="1:2" x14ac:dyDescent="0.25">
      <c r="A925" t="s">
        <v>398</v>
      </c>
      <c r="B925" t="s">
        <v>8378</v>
      </c>
    </row>
    <row r="926" spans="1:2" x14ac:dyDescent="0.25">
      <c r="A926" t="s">
        <v>398</v>
      </c>
      <c r="B926" t="s">
        <v>8397</v>
      </c>
    </row>
    <row r="927" spans="1:2" x14ac:dyDescent="0.25">
      <c r="A927" t="s">
        <v>398</v>
      </c>
      <c r="B927" t="s">
        <v>13770</v>
      </c>
    </row>
    <row r="928" spans="1:2" x14ac:dyDescent="0.25">
      <c r="A928" t="s">
        <v>398</v>
      </c>
      <c r="B928" t="s">
        <v>13999</v>
      </c>
    </row>
    <row r="929" spans="1:2" x14ac:dyDescent="0.25">
      <c r="A929" t="s">
        <v>398</v>
      </c>
      <c r="B929" t="s">
        <v>14021</v>
      </c>
    </row>
    <row r="930" spans="1:2" x14ac:dyDescent="0.25">
      <c r="A930" t="s">
        <v>2903</v>
      </c>
      <c r="B930" t="s">
        <v>8719</v>
      </c>
    </row>
    <row r="931" spans="1:2" x14ac:dyDescent="0.25">
      <c r="A931" t="s">
        <v>582</v>
      </c>
      <c r="B931" t="s">
        <v>9105</v>
      </c>
    </row>
    <row r="932" spans="1:2" x14ac:dyDescent="0.25">
      <c r="A932" t="s">
        <v>582</v>
      </c>
      <c r="B932" t="s">
        <v>9216</v>
      </c>
    </row>
    <row r="933" spans="1:2" x14ac:dyDescent="0.25">
      <c r="A933" t="s">
        <v>582</v>
      </c>
      <c r="B933" t="s">
        <v>12740</v>
      </c>
    </row>
    <row r="934" spans="1:2" x14ac:dyDescent="0.25">
      <c r="A934" t="s">
        <v>582</v>
      </c>
      <c r="B934" t="s">
        <v>9357</v>
      </c>
    </row>
    <row r="935" spans="1:2" x14ac:dyDescent="0.25">
      <c r="A935" t="s">
        <v>582</v>
      </c>
      <c r="B935" t="s">
        <v>9381</v>
      </c>
    </row>
    <row r="936" spans="1:2" x14ac:dyDescent="0.25">
      <c r="A936" t="s">
        <v>582</v>
      </c>
      <c r="B936" t="s">
        <v>9217</v>
      </c>
    </row>
    <row r="937" spans="1:2" x14ac:dyDescent="0.25">
      <c r="A937" t="s">
        <v>6830</v>
      </c>
      <c r="B937" t="s">
        <v>10593</v>
      </c>
    </row>
    <row r="938" spans="1:2" x14ac:dyDescent="0.25">
      <c r="A938" t="s">
        <v>6830</v>
      </c>
      <c r="B938" t="s">
        <v>10583</v>
      </c>
    </row>
    <row r="939" spans="1:2" x14ac:dyDescent="0.25">
      <c r="A939" t="s">
        <v>519</v>
      </c>
      <c r="B939" t="s">
        <v>8602</v>
      </c>
    </row>
    <row r="940" spans="1:2" x14ac:dyDescent="0.25">
      <c r="A940" t="s">
        <v>519</v>
      </c>
      <c r="B940" t="s">
        <v>8660</v>
      </c>
    </row>
    <row r="941" spans="1:2" x14ac:dyDescent="0.25">
      <c r="A941" t="s">
        <v>519</v>
      </c>
      <c r="B941" t="s">
        <v>8638</v>
      </c>
    </row>
    <row r="942" spans="1:2" x14ac:dyDescent="0.25">
      <c r="A942" t="s">
        <v>519</v>
      </c>
      <c r="B942" t="s">
        <v>8666</v>
      </c>
    </row>
    <row r="943" spans="1:2" x14ac:dyDescent="0.25">
      <c r="A943" t="s">
        <v>519</v>
      </c>
      <c r="B943" t="s">
        <v>8648</v>
      </c>
    </row>
    <row r="944" spans="1:2" x14ac:dyDescent="0.25">
      <c r="A944" t="s">
        <v>519</v>
      </c>
      <c r="B944" t="s">
        <v>12722</v>
      </c>
    </row>
    <row r="945" spans="1:2" x14ac:dyDescent="0.25">
      <c r="A945" t="s">
        <v>519</v>
      </c>
      <c r="B945" t="s">
        <v>8647</v>
      </c>
    </row>
    <row r="946" spans="1:2" x14ac:dyDescent="0.25">
      <c r="A946" t="s">
        <v>617</v>
      </c>
      <c r="B946" t="s">
        <v>10142</v>
      </c>
    </row>
    <row r="947" spans="1:2" x14ac:dyDescent="0.25">
      <c r="A947" t="s">
        <v>617</v>
      </c>
      <c r="B947" t="s">
        <v>10323</v>
      </c>
    </row>
    <row r="948" spans="1:2" x14ac:dyDescent="0.25">
      <c r="A948" t="s">
        <v>617</v>
      </c>
      <c r="B948" t="s">
        <v>8997</v>
      </c>
    </row>
    <row r="949" spans="1:2" x14ac:dyDescent="0.25">
      <c r="A949" t="s">
        <v>617</v>
      </c>
      <c r="B949" t="s">
        <v>9640</v>
      </c>
    </row>
    <row r="950" spans="1:2" x14ac:dyDescent="0.25">
      <c r="A950" t="s">
        <v>617</v>
      </c>
      <c r="B950" t="s">
        <v>9612</v>
      </c>
    </row>
    <row r="951" spans="1:2" x14ac:dyDescent="0.25">
      <c r="A951" t="s">
        <v>617</v>
      </c>
      <c r="B951" t="s">
        <v>10103</v>
      </c>
    </row>
    <row r="952" spans="1:2" x14ac:dyDescent="0.25">
      <c r="A952" t="s">
        <v>617</v>
      </c>
      <c r="B952" t="s">
        <v>13049</v>
      </c>
    </row>
    <row r="953" spans="1:2" x14ac:dyDescent="0.25">
      <c r="A953" t="s">
        <v>2951</v>
      </c>
      <c r="B953" t="s">
        <v>12490</v>
      </c>
    </row>
    <row r="954" spans="1:2" x14ac:dyDescent="0.25">
      <c r="A954" t="s">
        <v>2951</v>
      </c>
      <c r="B954" t="s">
        <v>10939</v>
      </c>
    </row>
    <row r="955" spans="1:2" x14ac:dyDescent="0.25">
      <c r="A955" t="s">
        <v>2951</v>
      </c>
      <c r="B955" t="s">
        <v>8741</v>
      </c>
    </row>
    <row r="956" spans="1:2" x14ac:dyDescent="0.25">
      <c r="A956" t="s">
        <v>2951</v>
      </c>
      <c r="B956" t="s">
        <v>11763</v>
      </c>
    </row>
    <row r="957" spans="1:2" x14ac:dyDescent="0.25">
      <c r="A957" t="s">
        <v>2951</v>
      </c>
      <c r="B957" t="s">
        <v>8186</v>
      </c>
    </row>
    <row r="958" spans="1:2" x14ac:dyDescent="0.25">
      <c r="A958" t="s">
        <v>2951</v>
      </c>
      <c r="B958" t="s">
        <v>14335</v>
      </c>
    </row>
    <row r="959" spans="1:2" x14ac:dyDescent="0.25">
      <c r="A959" t="s">
        <v>2951</v>
      </c>
      <c r="B959" t="s">
        <v>12484</v>
      </c>
    </row>
    <row r="960" spans="1:2" x14ac:dyDescent="0.25">
      <c r="A960" t="s">
        <v>891</v>
      </c>
      <c r="B960" t="s">
        <v>10529</v>
      </c>
    </row>
    <row r="961" spans="1:2" x14ac:dyDescent="0.25">
      <c r="A961" t="s">
        <v>891</v>
      </c>
      <c r="B961" t="s">
        <v>12430</v>
      </c>
    </row>
    <row r="962" spans="1:2" x14ac:dyDescent="0.25">
      <c r="A962" t="s">
        <v>891</v>
      </c>
      <c r="B962" t="s">
        <v>9032</v>
      </c>
    </row>
    <row r="963" spans="1:2" x14ac:dyDescent="0.25">
      <c r="A963" t="s">
        <v>891</v>
      </c>
      <c r="B963" t="s">
        <v>8983</v>
      </c>
    </row>
    <row r="964" spans="1:2" x14ac:dyDescent="0.25">
      <c r="A964" t="s">
        <v>891</v>
      </c>
      <c r="B964" t="s">
        <v>9034</v>
      </c>
    </row>
    <row r="965" spans="1:2" x14ac:dyDescent="0.25">
      <c r="A965" t="s">
        <v>891</v>
      </c>
      <c r="B965" t="s">
        <v>9244</v>
      </c>
    </row>
    <row r="966" spans="1:2" x14ac:dyDescent="0.25">
      <c r="A966" t="s">
        <v>891</v>
      </c>
      <c r="B966" t="s">
        <v>9406</v>
      </c>
    </row>
    <row r="967" spans="1:2" x14ac:dyDescent="0.25">
      <c r="A967" t="s">
        <v>891</v>
      </c>
      <c r="B967" t="s">
        <v>9460</v>
      </c>
    </row>
    <row r="968" spans="1:2" x14ac:dyDescent="0.25">
      <c r="A968" t="s">
        <v>891</v>
      </c>
      <c r="B968" t="s">
        <v>9041</v>
      </c>
    </row>
    <row r="969" spans="1:2" x14ac:dyDescent="0.25">
      <c r="A969" t="s">
        <v>891</v>
      </c>
      <c r="B969" t="s">
        <v>9007</v>
      </c>
    </row>
    <row r="970" spans="1:2" x14ac:dyDescent="0.25">
      <c r="A970" t="s">
        <v>891</v>
      </c>
      <c r="B970" t="s">
        <v>8256</v>
      </c>
    </row>
    <row r="971" spans="1:2" x14ac:dyDescent="0.25">
      <c r="A971" t="s">
        <v>891</v>
      </c>
      <c r="B971" t="s">
        <v>10925</v>
      </c>
    </row>
    <row r="972" spans="1:2" x14ac:dyDescent="0.25">
      <c r="A972" t="s">
        <v>891</v>
      </c>
      <c r="B972" t="s">
        <v>9176</v>
      </c>
    </row>
    <row r="973" spans="1:2" x14ac:dyDescent="0.25">
      <c r="A973" t="s">
        <v>891</v>
      </c>
      <c r="B973" t="s">
        <v>11788</v>
      </c>
    </row>
    <row r="974" spans="1:2" x14ac:dyDescent="0.25">
      <c r="A974" t="s">
        <v>891</v>
      </c>
      <c r="B974" t="s">
        <v>8798</v>
      </c>
    </row>
    <row r="975" spans="1:2" x14ac:dyDescent="0.25">
      <c r="A975" t="s">
        <v>891</v>
      </c>
      <c r="B975" t="s">
        <v>8821</v>
      </c>
    </row>
    <row r="976" spans="1:2" x14ac:dyDescent="0.25">
      <c r="A976" t="s">
        <v>891</v>
      </c>
      <c r="B976" t="s">
        <v>8865</v>
      </c>
    </row>
    <row r="977" spans="1:2" x14ac:dyDescent="0.25">
      <c r="A977" t="s">
        <v>891</v>
      </c>
      <c r="B977" t="s">
        <v>9053</v>
      </c>
    </row>
    <row r="978" spans="1:2" x14ac:dyDescent="0.25">
      <c r="A978" t="s">
        <v>891</v>
      </c>
      <c r="B978" t="s">
        <v>9185</v>
      </c>
    </row>
    <row r="979" spans="1:2" x14ac:dyDescent="0.25">
      <c r="A979" t="s">
        <v>891</v>
      </c>
      <c r="B979" t="s">
        <v>9190</v>
      </c>
    </row>
    <row r="980" spans="1:2" x14ac:dyDescent="0.25">
      <c r="A980" t="s">
        <v>891</v>
      </c>
      <c r="B980" t="s">
        <v>9282</v>
      </c>
    </row>
    <row r="981" spans="1:2" x14ac:dyDescent="0.25">
      <c r="A981" t="s">
        <v>891</v>
      </c>
      <c r="B981" t="s">
        <v>9303</v>
      </c>
    </row>
    <row r="982" spans="1:2" x14ac:dyDescent="0.25">
      <c r="A982" t="s">
        <v>891</v>
      </c>
      <c r="B982" t="s">
        <v>9334</v>
      </c>
    </row>
    <row r="983" spans="1:2" x14ac:dyDescent="0.25">
      <c r="A983" t="s">
        <v>891</v>
      </c>
      <c r="B983" t="s">
        <v>9388</v>
      </c>
    </row>
    <row r="984" spans="1:2" x14ac:dyDescent="0.25">
      <c r="A984" t="s">
        <v>891</v>
      </c>
      <c r="B984" t="s">
        <v>9429</v>
      </c>
    </row>
    <row r="985" spans="1:2" x14ac:dyDescent="0.25">
      <c r="A985" t="s">
        <v>891</v>
      </c>
      <c r="B985" t="s">
        <v>9487</v>
      </c>
    </row>
    <row r="986" spans="1:2" x14ac:dyDescent="0.25">
      <c r="A986" t="s">
        <v>891</v>
      </c>
      <c r="B986" t="s">
        <v>9443</v>
      </c>
    </row>
    <row r="987" spans="1:2" x14ac:dyDescent="0.25">
      <c r="A987" t="s">
        <v>891</v>
      </c>
      <c r="B987" t="s">
        <v>8855</v>
      </c>
    </row>
    <row r="988" spans="1:2" x14ac:dyDescent="0.25">
      <c r="A988" t="s">
        <v>891</v>
      </c>
      <c r="B988" t="s">
        <v>8284</v>
      </c>
    </row>
    <row r="989" spans="1:2" x14ac:dyDescent="0.25">
      <c r="A989" t="s">
        <v>891</v>
      </c>
      <c r="B989" t="s">
        <v>9298</v>
      </c>
    </row>
    <row r="990" spans="1:2" x14ac:dyDescent="0.25">
      <c r="A990" t="s">
        <v>891</v>
      </c>
      <c r="B990" t="s">
        <v>9421</v>
      </c>
    </row>
    <row r="991" spans="1:2" x14ac:dyDescent="0.25">
      <c r="A991" t="s">
        <v>891</v>
      </c>
      <c r="B991" t="s">
        <v>8988</v>
      </c>
    </row>
    <row r="992" spans="1:2" x14ac:dyDescent="0.25">
      <c r="A992" t="s">
        <v>891</v>
      </c>
      <c r="B992" t="s">
        <v>9363</v>
      </c>
    </row>
    <row r="993" spans="1:2" x14ac:dyDescent="0.25">
      <c r="A993" t="s">
        <v>891</v>
      </c>
      <c r="B993" t="s">
        <v>9114</v>
      </c>
    </row>
    <row r="994" spans="1:2" x14ac:dyDescent="0.25">
      <c r="A994" t="s">
        <v>891</v>
      </c>
      <c r="B994" t="s">
        <v>9144</v>
      </c>
    </row>
    <row r="995" spans="1:2" x14ac:dyDescent="0.25">
      <c r="A995" t="s">
        <v>891</v>
      </c>
      <c r="B995" t="s">
        <v>12511</v>
      </c>
    </row>
    <row r="996" spans="1:2" x14ac:dyDescent="0.25">
      <c r="A996" t="s">
        <v>891</v>
      </c>
      <c r="B996" t="s">
        <v>9205</v>
      </c>
    </row>
    <row r="997" spans="1:2" x14ac:dyDescent="0.25">
      <c r="A997" t="s">
        <v>891</v>
      </c>
      <c r="B997" t="s">
        <v>9366</v>
      </c>
    </row>
    <row r="998" spans="1:2" x14ac:dyDescent="0.25">
      <c r="A998" t="s">
        <v>891</v>
      </c>
      <c r="B998" t="s">
        <v>8985</v>
      </c>
    </row>
    <row r="999" spans="1:2" x14ac:dyDescent="0.25">
      <c r="A999" t="s">
        <v>891</v>
      </c>
      <c r="B999" t="s">
        <v>10553</v>
      </c>
    </row>
    <row r="1000" spans="1:2" x14ac:dyDescent="0.25">
      <c r="A1000" t="s">
        <v>891</v>
      </c>
      <c r="B1000" t="s">
        <v>10559</v>
      </c>
    </row>
    <row r="1001" spans="1:2" x14ac:dyDescent="0.25">
      <c r="A1001" t="s">
        <v>891</v>
      </c>
      <c r="B1001" t="s">
        <v>9202</v>
      </c>
    </row>
    <row r="1002" spans="1:2" x14ac:dyDescent="0.25">
      <c r="A1002" t="s">
        <v>891</v>
      </c>
      <c r="B1002" t="s">
        <v>9246</v>
      </c>
    </row>
    <row r="1003" spans="1:2" x14ac:dyDescent="0.25">
      <c r="A1003" t="s">
        <v>891</v>
      </c>
      <c r="B1003" t="s">
        <v>9254</v>
      </c>
    </row>
    <row r="1004" spans="1:2" x14ac:dyDescent="0.25">
      <c r="A1004" t="s">
        <v>891</v>
      </c>
      <c r="B1004" t="s">
        <v>10928</v>
      </c>
    </row>
    <row r="1005" spans="1:2" x14ac:dyDescent="0.25">
      <c r="A1005" t="s">
        <v>891</v>
      </c>
      <c r="B1005" t="s">
        <v>8596</v>
      </c>
    </row>
    <row r="1006" spans="1:2" x14ac:dyDescent="0.25">
      <c r="A1006" t="s">
        <v>891</v>
      </c>
      <c r="B1006" t="s">
        <v>9089</v>
      </c>
    </row>
    <row r="1007" spans="1:2" x14ac:dyDescent="0.25">
      <c r="A1007" t="s">
        <v>891</v>
      </c>
      <c r="B1007" t="s">
        <v>9337</v>
      </c>
    </row>
    <row r="1008" spans="1:2" x14ac:dyDescent="0.25">
      <c r="A1008" t="s">
        <v>891</v>
      </c>
      <c r="B1008" t="s">
        <v>10539</v>
      </c>
    </row>
    <row r="1009" spans="1:2" x14ac:dyDescent="0.25">
      <c r="A1009" t="s">
        <v>891</v>
      </c>
      <c r="B1009" t="s">
        <v>9062</v>
      </c>
    </row>
    <row r="1010" spans="1:2" x14ac:dyDescent="0.25">
      <c r="A1010" t="s">
        <v>891</v>
      </c>
      <c r="B1010" t="s">
        <v>9270</v>
      </c>
    </row>
    <row r="1011" spans="1:2" x14ac:dyDescent="0.25">
      <c r="A1011" t="s">
        <v>891</v>
      </c>
      <c r="B1011" t="s">
        <v>9390</v>
      </c>
    </row>
    <row r="1012" spans="1:2" x14ac:dyDescent="0.25">
      <c r="A1012" t="s">
        <v>891</v>
      </c>
      <c r="B1012" t="s">
        <v>9464</v>
      </c>
    </row>
    <row r="1013" spans="1:2" x14ac:dyDescent="0.25">
      <c r="A1013" t="s">
        <v>891</v>
      </c>
      <c r="B1013" t="s">
        <v>8791</v>
      </c>
    </row>
    <row r="1014" spans="1:2" x14ac:dyDescent="0.25">
      <c r="A1014" t="s">
        <v>891</v>
      </c>
      <c r="B1014" t="s">
        <v>9025</v>
      </c>
    </row>
    <row r="1015" spans="1:2" x14ac:dyDescent="0.25">
      <c r="A1015" t="s">
        <v>891</v>
      </c>
      <c r="B1015" t="s">
        <v>9182</v>
      </c>
    </row>
    <row r="1016" spans="1:2" x14ac:dyDescent="0.25">
      <c r="A1016" t="s">
        <v>891</v>
      </c>
      <c r="B1016" t="s">
        <v>9456</v>
      </c>
    </row>
    <row r="1017" spans="1:2" x14ac:dyDescent="0.25">
      <c r="A1017" t="s">
        <v>891</v>
      </c>
      <c r="B1017" t="s">
        <v>9251</v>
      </c>
    </row>
    <row r="1018" spans="1:2" x14ac:dyDescent="0.25">
      <c r="A1018" t="s">
        <v>891</v>
      </c>
      <c r="B1018" t="s">
        <v>9142</v>
      </c>
    </row>
    <row r="1019" spans="1:2" x14ac:dyDescent="0.25">
      <c r="A1019" t="s">
        <v>891</v>
      </c>
      <c r="B1019" t="s">
        <v>9164</v>
      </c>
    </row>
    <row r="1020" spans="1:2" x14ac:dyDescent="0.25">
      <c r="A1020" t="s">
        <v>891</v>
      </c>
      <c r="B1020" t="s">
        <v>9397</v>
      </c>
    </row>
    <row r="1021" spans="1:2" x14ac:dyDescent="0.25">
      <c r="A1021" t="s">
        <v>891</v>
      </c>
      <c r="B1021" t="s">
        <v>8862</v>
      </c>
    </row>
    <row r="1022" spans="1:2" x14ac:dyDescent="0.25">
      <c r="A1022" t="s">
        <v>891</v>
      </c>
      <c r="B1022" t="s">
        <v>9031</v>
      </c>
    </row>
    <row r="1023" spans="1:2" x14ac:dyDescent="0.25">
      <c r="A1023" t="s">
        <v>891</v>
      </c>
      <c r="B1023" t="s">
        <v>9033</v>
      </c>
    </row>
    <row r="1024" spans="1:2" x14ac:dyDescent="0.25">
      <c r="A1024" t="s">
        <v>891</v>
      </c>
      <c r="B1024" t="s">
        <v>9451</v>
      </c>
    </row>
    <row r="1025" spans="1:2" x14ac:dyDescent="0.25">
      <c r="A1025" t="s">
        <v>891</v>
      </c>
      <c r="B1025" t="s">
        <v>9165</v>
      </c>
    </row>
    <row r="1026" spans="1:2" x14ac:dyDescent="0.25">
      <c r="A1026" t="s">
        <v>891</v>
      </c>
      <c r="B1026" t="s">
        <v>9485</v>
      </c>
    </row>
    <row r="1027" spans="1:2" x14ac:dyDescent="0.25">
      <c r="A1027" t="s">
        <v>891</v>
      </c>
      <c r="B1027" t="s">
        <v>9199</v>
      </c>
    </row>
    <row r="1028" spans="1:2" x14ac:dyDescent="0.25">
      <c r="A1028" t="s">
        <v>891</v>
      </c>
      <c r="B1028" t="s">
        <v>8953</v>
      </c>
    </row>
    <row r="1029" spans="1:2" x14ac:dyDescent="0.25">
      <c r="A1029" t="s">
        <v>891</v>
      </c>
      <c r="B1029" t="s">
        <v>9438</v>
      </c>
    </row>
    <row r="1030" spans="1:2" x14ac:dyDescent="0.25">
      <c r="A1030" t="s">
        <v>891</v>
      </c>
      <c r="B1030" t="s">
        <v>11741</v>
      </c>
    </row>
    <row r="1031" spans="1:2" x14ac:dyDescent="0.25">
      <c r="A1031" t="s">
        <v>891</v>
      </c>
      <c r="B1031" t="s">
        <v>9021</v>
      </c>
    </row>
    <row r="1032" spans="1:2" x14ac:dyDescent="0.25">
      <c r="A1032" t="s">
        <v>891</v>
      </c>
      <c r="B1032" t="s">
        <v>9417</v>
      </c>
    </row>
    <row r="1033" spans="1:2" x14ac:dyDescent="0.25">
      <c r="A1033" t="s">
        <v>891</v>
      </c>
      <c r="B1033" t="s">
        <v>12505</v>
      </c>
    </row>
    <row r="1034" spans="1:2" x14ac:dyDescent="0.25">
      <c r="A1034" t="s">
        <v>891</v>
      </c>
      <c r="B1034" t="s">
        <v>8909</v>
      </c>
    </row>
    <row r="1035" spans="1:2" x14ac:dyDescent="0.25">
      <c r="A1035" t="s">
        <v>891</v>
      </c>
      <c r="B1035" t="s">
        <v>8931</v>
      </c>
    </row>
    <row r="1036" spans="1:2" x14ac:dyDescent="0.25">
      <c r="A1036" t="s">
        <v>891</v>
      </c>
      <c r="B1036" t="s">
        <v>8973</v>
      </c>
    </row>
    <row r="1037" spans="1:2" x14ac:dyDescent="0.25">
      <c r="A1037" t="s">
        <v>891</v>
      </c>
      <c r="B1037" t="s">
        <v>8979</v>
      </c>
    </row>
    <row r="1038" spans="1:2" x14ac:dyDescent="0.25">
      <c r="A1038" t="s">
        <v>891</v>
      </c>
      <c r="B1038" t="s">
        <v>9075</v>
      </c>
    </row>
    <row r="1039" spans="1:2" x14ac:dyDescent="0.25">
      <c r="A1039" t="s">
        <v>891</v>
      </c>
      <c r="B1039" t="s">
        <v>9196</v>
      </c>
    </row>
    <row r="1040" spans="1:2" x14ac:dyDescent="0.25">
      <c r="A1040" t="s">
        <v>891</v>
      </c>
      <c r="B1040" t="s">
        <v>9257</v>
      </c>
    </row>
    <row r="1041" spans="1:2" x14ac:dyDescent="0.25">
      <c r="A1041" t="s">
        <v>891</v>
      </c>
      <c r="B1041" t="s">
        <v>9486</v>
      </c>
    </row>
    <row r="1042" spans="1:2" x14ac:dyDescent="0.25">
      <c r="A1042" t="s">
        <v>891</v>
      </c>
      <c r="B1042" t="s">
        <v>8817</v>
      </c>
    </row>
    <row r="1043" spans="1:2" x14ac:dyDescent="0.25">
      <c r="A1043" t="s">
        <v>891</v>
      </c>
      <c r="B1043" t="s">
        <v>8760</v>
      </c>
    </row>
    <row r="1044" spans="1:2" x14ac:dyDescent="0.25">
      <c r="A1044" t="s">
        <v>891</v>
      </c>
      <c r="B1044" t="s">
        <v>12448</v>
      </c>
    </row>
    <row r="1045" spans="1:2" x14ac:dyDescent="0.25">
      <c r="A1045" t="s">
        <v>891</v>
      </c>
      <c r="B1045" t="s">
        <v>8538</v>
      </c>
    </row>
    <row r="1046" spans="1:2" x14ac:dyDescent="0.25">
      <c r="A1046" t="s">
        <v>891</v>
      </c>
      <c r="B1046" t="s">
        <v>10540</v>
      </c>
    </row>
    <row r="1047" spans="1:2" x14ac:dyDescent="0.25">
      <c r="A1047" t="s">
        <v>891</v>
      </c>
      <c r="B1047" t="s">
        <v>8844</v>
      </c>
    </row>
    <row r="1048" spans="1:2" x14ac:dyDescent="0.25">
      <c r="A1048" t="s">
        <v>891</v>
      </c>
      <c r="B1048" t="s">
        <v>8893</v>
      </c>
    </row>
    <row r="1049" spans="1:2" x14ac:dyDescent="0.25">
      <c r="A1049" t="s">
        <v>891</v>
      </c>
      <c r="B1049" t="s">
        <v>9293</v>
      </c>
    </row>
    <row r="1050" spans="1:2" x14ac:dyDescent="0.25">
      <c r="A1050" t="s">
        <v>891</v>
      </c>
      <c r="B1050" t="s">
        <v>8834</v>
      </c>
    </row>
    <row r="1051" spans="1:2" x14ac:dyDescent="0.25">
      <c r="A1051" t="s">
        <v>891</v>
      </c>
      <c r="B1051" t="s">
        <v>9292</v>
      </c>
    </row>
    <row r="1052" spans="1:2" x14ac:dyDescent="0.25">
      <c r="A1052" t="s">
        <v>891</v>
      </c>
      <c r="B1052" t="s">
        <v>8849</v>
      </c>
    </row>
    <row r="1053" spans="1:2" x14ac:dyDescent="0.25">
      <c r="A1053" t="s">
        <v>891</v>
      </c>
      <c r="B1053" t="s">
        <v>9404</v>
      </c>
    </row>
    <row r="1054" spans="1:2" x14ac:dyDescent="0.25">
      <c r="A1054" t="s">
        <v>891</v>
      </c>
      <c r="B1054" t="s">
        <v>9057</v>
      </c>
    </row>
    <row r="1055" spans="1:2" x14ac:dyDescent="0.25">
      <c r="A1055" t="s">
        <v>891</v>
      </c>
      <c r="B1055" t="s">
        <v>8768</v>
      </c>
    </row>
    <row r="1056" spans="1:2" x14ac:dyDescent="0.25">
      <c r="A1056" t="s">
        <v>891</v>
      </c>
      <c r="B1056" t="s">
        <v>11718</v>
      </c>
    </row>
    <row r="1057" spans="1:2" x14ac:dyDescent="0.25">
      <c r="A1057" t="s">
        <v>891</v>
      </c>
      <c r="B1057" t="s">
        <v>8781</v>
      </c>
    </row>
    <row r="1058" spans="1:2" x14ac:dyDescent="0.25">
      <c r="A1058" t="s">
        <v>891</v>
      </c>
      <c r="B1058" t="s">
        <v>8795</v>
      </c>
    </row>
    <row r="1059" spans="1:2" x14ac:dyDescent="0.25">
      <c r="A1059" t="s">
        <v>891</v>
      </c>
      <c r="B1059" t="s">
        <v>8809</v>
      </c>
    </row>
    <row r="1060" spans="1:2" x14ac:dyDescent="0.25">
      <c r="A1060" t="s">
        <v>891</v>
      </c>
      <c r="B1060" t="s">
        <v>8883</v>
      </c>
    </row>
    <row r="1061" spans="1:2" x14ac:dyDescent="0.25">
      <c r="A1061" t="s">
        <v>891</v>
      </c>
      <c r="B1061" t="s">
        <v>8899</v>
      </c>
    </row>
    <row r="1062" spans="1:2" x14ac:dyDescent="0.25">
      <c r="A1062" t="s">
        <v>891</v>
      </c>
      <c r="B1062" t="s">
        <v>8902</v>
      </c>
    </row>
    <row r="1063" spans="1:2" x14ac:dyDescent="0.25">
      <c r="A1063" t="s">
        <v>891</v>
      </c>
      <c r="B1063" t="s">
        <v>8998</v>
      </c>
    </row>
    <row r="1064" spans="1:2" x14ac:dyDescent="0.25">
      <c r="A1064" t="s">
        <v>891</v>
      </c>
      <c r="B1064" t="s">
        <v>9022</v>
      </c>
    </row>
    <row r="1065" spans="1:2" x14ac:dyDescent="0.25">
      <c r="A1065" t="s">
        <v>891</v>
      </c>
      <c r="B1065" t="s">
        <v>9090</v>
      </c>
    </row>
    <row r="1066" spans="1:2" x14ac:dyDescent="0.25">
      <c r="A1066" t="s">
        <v>891</v>
      </c>
      <c r="B1066" t="s">
        <v>9283</v>
      </c>
    </row>
    <row r="1067" spans="1:2" x14ac:dyDescent="0.25">
      <c r="A1067" t="s">
        <v>891</v>
      </c>
      <c r="B1067" t="s">
        <v>9299</v>
      </c>
    </row>
    <row r="1068" spans="1:2" x14ac:dyDescent="0.25">
      <c r="A1068" t="s">
        <v>891</v>
      </c>
      <c r="B1068" t="s">
        <v>9317</v>
      </c>
    </row>
    <row r="1069" spans="1:2" x14ac:dyDescent="0.25">
      <c r="A1069" t="s">
        <v>891</v>
      </c>
      <c r="B1069" t="s">
        <v>9383</v>
      </c>
    </row>
    <row r="1070" spans="1:2" x14ac:dyDescent="0.25">
      <c r="A1070" t="s">
        <v>891</v>
      </c>
      <c r="B1070" t="s">
        <v>9465</v>
      </c>
    </row>
    <row r="1071" spans="1:2" x14ac:dyDescent="0.25">
      <c r="A1071" t="s">
        <v>891</v>
      </c>
      <c r="B1071" t="s">
        <v>12443</v>
      </c>
    </row>
    <row r="1072" spans="1:2" x14ac:dyDescent="0.25">
      <c r="A1072" t="s">
        <v>891</v>
      </c>
      <c r="B1072" t="s">
        <v>12023</v>
      </c>
    </row>
    <row r="1073" spans="1:2" x14ac:dyDescent="0.25">
      <c r="A1073" t="s">
        <v>891</v>
      </c>
      <c r="B1073" t="s">
        <v>8945</v>
      </c>
    </row>
    <row r="1074" spans="1:2" x14ac:dyDescent="0.25">
      <c r="A1074" t="s">
        <v>891</v>
      </c>
      <c r="B1074" t="s">
        <v>12424</v>
      </c>
    </row>
    <row r="1075" spans="1:2" x14ac:dyDescent="0.25">
      <c r="A1075" t="s">
        <v>891</v>
      </c>
      <c r="B1075" t="s">
        <v>9290</v>
      </c>
    </row>
    <row r="1076" spans="1:2" x14ac:dyDescent="0.25">
      <c r="A1076" t="s">
        <v>891</v>
      </c>
      <c r="B1076" t="s">
        <v>9258</v>
      </c>
    </row>
    <row r="1077" spans="1:2" x14ac:dyDescent="0.25">
      <c r="A1077" t="s">
        <v>891</v>
      </c>
      <c r="B1077" t="s">
        <v>8329</v>
      </c>
    </row>
    <row r="1078" spans="1:2" x14ac:dyDescent="0.25">
      <c r="A1078" t="s">
        <v>891</v>
      </c>
      <c r="B1078" t="s">
        <v>11638</v>
      </c>
    </row>
    <row r="1079" spans="1:2" x14ac:dyDescent="0.25">
      <c r="A1079" t="s">
        <v>891</v>
      </c>
      <c r="B1079" t="s">
        <v>11669</v>
      </c>
    </row>
    <row r="1080" spans="1:2" x14ac:dyDescent="0.25">
      <c r="A1080" t="s">
        <v>891</v>
      </c>
      <c r="B1080" t="s">
        <v>9110</v>
      </c>
    </row>
    <row r="1081" spans="1:2" x14ac:dyDescent="0.25">
      <c r="A1081" t="s">
        <v>891</v>
      </c>
      <c r="B1081" t="s">
        <v>8907</v>
      </c>
    </row>
    <row r="1082" spans="1:2" x14ac:dyDescent="0.25">
      <c r="A1082" t="s">
        <v>891</v>
      </c>
      <c r="B1082" t="s">
        <v>9097</v>
      </c>
    </row>
    <row r="1083" spans="1:2" x14ac:dyDescent="0.25">
      <c r="A1083" t="s">
        <v>891</v>
      </c>
      <c r="B1083" t="s">
        <v>8774</v>
      </c>
    </row>
    <row r="1084" spans="1:2" x14ac:dyDescent="0.25">
      <c r="A1084" t="s">
        <v>891</v>
      </c>
      <c r="B1084" t="s">
        <v>8824</v>
      </c>
    </row>
    <row r="1085" spans="1:2" x14ac:dyDescent="0.25">
      <c r="A1085" t="s">
        <v>891</v>
      </c>
      <c r="B1085" t="s">
        <v>8876</v>
      </c>
    </row>
    <row r="1086" spans="1:2" x14ac:dyDescent="0.25">
      <c r="A1086" t="s">
        <v>891</v>
      </c>
      <c r="B1086" t="s">
        <v>8887</v>
      </c>
    </row>
    <row r="1087" spans="1:2" x14ac:dyDescent="0.25">
      <c r="A1087" t="s">
        <v>891</v>
      </c>
      <c r="B1087" t="s">
        <v>8906</v>
      </c>
    </row>
    <row r="1088" spans="1:2" x14ac:dyDescent="0.25">
      <c r="A1088" t="s">
        <v>891</v>
      </c>
      <c r="B1088" t="s">
        <v>8929</v>
      </c>
    </row>
    <row r="1089" spans="1:2" x14ac:dyDescent="0.25">
      <c r="A1089" t="s">
        <v>891</v>
      </c>
      <c r="B1089" t="s">
        <v>9173</v>
      </c>
    </row>
    <row r="1090" spans="1:2" x14ac:dyDescent="0.25">
      <c r="A1090" t="s">
        <v>891</v>
      </c>
      <c r="B1090" t="s">
        <v>8991</v>
      </c>
    </row>
    <row r="1091" spans="1:2" x14ac:dyDescent="0.25">
      <c r="A1091" t="s">
        <v>891</v>
      </c>
      <c r="B1091" t="s">
        <v>9002</v>
      </c>
    </row>
    <row r="1092" spans="1:2" x14ac:dyDescent="0.25">
      <c r="A1092" t="s">
        <v>891</v>
      </c>
      <c r="B1092" t="s">
        <v>9013</v>
      </c>
    </row>
    <row r="1093" spans="1:2" x14ac:dyDescent="0.25">
      <c r="A1093" t="s">
        <v>891</v>
      </c>
      <c r="B1093" t="s">
        <v>9045</v>
      </c>
    </row>
    <row r="1094" spans="1:2" x14ac:dyDescent="0.25">
      <c r="A1094" t="s">
        <v>891</v>
      </c>
      <c r="B1094" t="s">
        <v>9051</v>
      </c>
    </row>
    <row r="1095" spans="1:2" x14ac:dyDescent="0.25">
      <c r="A1095" t="s">
        <v>891</v>
      </c>
      <c r="B1095" t="s">
        <v>9091</v>
      </c>
    </row>
    <row r="1096" spans="1:2" x14ac:dyDescent="0.25">
      <c r="A1096" t="s">
        <v>891</v>
      </c>
      <c r="B1096" t="s">
        <v>9120</v>
      </c>
    </row>
    <row r="1097" spans="1:2" x14ac:dyDescent="0.25">
      <c r="A1097" t="s">
        <v>891</v>
      </c>
      <c r="B1097" t="s">
        <v>9130</v>
      </c>
    </row>
    <row r="1098" spans="1:2" x14ac:dyDescent="0.25">
      <c r="A1098" t="s">
        <v>891</v>
      </c>
      <c r="B1098" t="s">
        <v>9139</v>
      </c>
    </row>
    <row r="1099" spans="1:2" x14ac:dyDescent="0.25">
      <c r="A1099" t="s">
        <v>891</v>
      </c>
      <c r="B1099" t="s">
        <v>9154</v>
      </c>
    </row>
    <row r="1100" spans="1:2" x14ac:dyDescent="0.25">
      <c r="A1100" t="s">
        <v>891</v>
      </c>
      <c r="B1100" t="s">
        <v>9187</v>
      </c>
    </row>
    <row r="1101" spans="1:2" x14ac:dyDescent="0.25">
      <c r="A1101" t="s">
        <v>891</v>
      </c>
      <c r="B1101" t="s">
        <v>9192</v>
      </c>
    </row>
    <row r="1102" spans="1:2" x14ac:dyDescent="0.25">
      <c r="A1102" t="s">
        <v>891</v>
      </c>
      <c r="B1102" t="s">
        <v>9234</v>
      </c>
    </row>
    <row r="1103" spans="1:2" x14ac:dyDescent="0.25">
      <c r="A1103" t="s">
        <v>891</v>
      </c>
      <c r="B1103" t="s">
        <v>9316</v>
      </c>
    </row>
    <row r="1104" spans="1:2" x14ac:dyDescent="0.25">
      <c r="A1104" t="s">
        <v>891</v>
      </c>
      <c r="B1104" t="s">
        <v>9174</v>
      </c>
    </row>
    <row r="1105" spans="1:2" x14ac:dyDescent="0.25">
      <c r="A1105" t="s">
        <v>891</v>
      </c>
      <c r="B1105" t="s">
        <v>9407</v>
      </c>
    </row>
    <row r="1106" spans="1:2" x14ac:dyDescent="0.25">
      <c r="A1106" t="s">
        <v>891</v>
      </c>
      <c r="B1106" t="s">
        <v>9428</v>
      </c>
    </row>
    <row r="1107" spans="1:2" x14ac:dyDescent="0.25">
      <c r="A1107" t="s">
        <v>891</v>
      </c>
      <c r="B1107" t="s">
        <v>9431</v>
      </c>
    </row>
    <row r="1108" spans="1:2" x14ac:dyDescent="0.25">
      <c r="A1108" t="s">
        <v>891</v>
      </c>
      <c r="B1108" t="s">
        <v>9473</v>
      </c>
    </row>
    <row r="1109" spans="1:2" x14ac:dyDescent="0.25">
      <c r="A1109" t="s">
        <v>891</v>
      </c>
      <c r="B1109" t="s">
        <v>9491</v>
      </c>
    </row>
    <row r="1110" spans="1:2" x14ac:dyDescent="0.25">
      <c r="A1110" t="s">
        <v>891</v>
      </c>
      <c r="B1110" t="s">
        <v>9245</v>
      </c>
    </row>
    <row r="1111" spans="1:2" x14ac:dyDescent="0.25">
      <c r="A1111" t="s">
        <v>891</v>
      </c>
      <c r="B1111" t="s">
        <v>8769</v>
      </c>
    </row>
    <row r="1112" spans="1:2" x14ac:dyDescent="0.25">
      <c r="A1112" t="s">
        <v>891</v>
      </c>
      <c r="B1112" t="s">
        <v>8866</v>
      </c>
    </row>
    <row r="1113" spans="1:2" x14ac:dyDescent="0.25">
      <c r="A1113" t="s">
        <v>891</v>
      </c>
      <c r="B1113" t="s">
        <v>8921</v>
      </c>
    </row>
    <row r="1114" spans="1:2" x14ac:dyDescent="0.25">
      <c r="A1114" t="s">
        <v>891</v>
      </c>
      <c r="B1114" t="s">
        <v>8923</v>
      </c>
    </row>
    <row r="1115" spans="1:2" x14ac:dyDescent="0.25">
      <c r="A1115" t="s">
        <v>891</v>
      </c>
      <c r="B1115" t="s">
        <v>11849</v>
      </c>
    </row>
    <row r="1116" spans="1:2" x14ac:dyDescent="0.25">
      <c r="A1116" t="s">
        <v>891</v>
      </c>
      <c r="B1116" t="s">
        <v>8938</v>
      </c>
    </row>
    <row r="1117" spans="1:2" x14ac:dyDescent="0.25">
      <c r="A1117" t="s">
        <v>891</v>
      </c>
      <c r="B1117" t="s">
        <v>8944</v>
      </c>
    </row>
    <row r="1118" spans="1:2" x14ac:dyDescent="0.25">
      <c r="A1118" t="s">
        <v>891</v>
      </c>
      <c r="B1118" t="s">
        <v>9006</v>
      </c>
    </row>
    <row r="1119" spans="1:2" x14ac:dyDescent="0.25">
      <c r="A1119" t="s">
        <v>891</v>
      </c>
      <c r="B1119" t="s">
        <v>9052</v>
      </c>
    </row>
    <row r="1120" spans="1:2" x14ac:dyDescent="0.25">
      <c r="A1120" t="s">
        <v>891</v>
      </c>
      <c r="B1120" t="s">
        <v>9108</v>
      </c>
    </row>
    <row r="1121" spans="1:2" x14ac:dyDescent="0.25">
      <c r="A1121" t="s">
        <v>891</v>
      </c>
      <c r="B1121" t="s">
        <v>9239</v>
      </c>
    </row>
    <row r="1122" spans="1:2" x14ac:dyDescent="0.25">
      <c r="A1122" t="s">
        <v>891</v>
      </c>
      <c r="B1122" t="s">
        <v>9240</v>
      </c>
    </row>
    <row r="1123" spans="1:2" x14ac:dyDescent="0.25">
      <c r="A1123" t="s">
        <v>891</v>
      </c>
      <c r="B1123" t="s">
        <v>9365</v>
      </c>
    </row>
    <row r="1124" spans="1:2" x14ac:dyDescent="0.25">
      <c r="A1124" t="s">
        <v>891</v>
      </c>
      <c r="B1124" t="s">
        <v>9368</v>
      </c>
    </row>
    <row r="1125" spans="1:2" x14ac:dyDescent="0.25">
      <c r="A1125" t="s">
        <v>891</v>
      </c>
      <c r="B1125" t="s">
        <v>9466</v>
      </c>
    </row>
    <row r="1126" spans="1:2" x14ac:dyDescent="0.25">
      <c r="A1126" t="s">
        <v>891</v>
      </c>
      <c r="B1126" t="s">
        <v>9477</v>
      </c>
    </row>
    <row r="1127" spans="1:2" x14ac:dyDescent="0.25">
      <c r="A1127" t="s">
        <v>891</v>
      </c>
      <c r="B1127" t="s">
        <v>9424</v>
      </c>
    </row>
    <row r="1128" spans="1:2" x14ac:dyDescent="0.25">
      <c r="A1128" t="s">
        <v>891</v>
      </c>
      <c r="B1128" t="s">
        <v>8856</v>
      </c>
    </row>
    <row r="1129" spans="1:2" x14ac:dyDescent="0.25">
      <c r="A1129" t="s">
        <v>891</v>
      </c>
      <c r="B1129" t="s">
        <v>8975</v>
      </c>
    </row>
    <row r="1130" spans="1:2" x14ac:dyDescent="0.25">
      <c r="A1130" t="s">
        <v>891</v>
      </c>
      <c r="B1130" t="s">
        <v>9088</v>
      </c>
    </row>
    <row r="1131" spans="1:2" x14ac:dyDescent="0.25">
      <c r="A1131" t="s">
        <v>891</v>
      </c>
      <c r="B1131" t="s">
        <v>9179</v>
      </c>
    </row>
    <row r="1132" spans="1:2" x14ac:dyDescent="0.25">
      <c r="A1132" t="s">
        <v>891</v>
      </c>
      <c r="B1132" t="s">
        <v>8773</v>
      </c>
    </row>
    <row r="1133" spans="1:2" x14ac:dyDescent="0.25">
      <c r="A1133" t="s">
        <v>891</v>
      </c>
      <c r="B1133" t="s">
        <v>9320</v>
      </c>
    </row>
    <row r="1134" spans="1:2" x14ac:dyDescent="0.25">
      <c r="A1134" t="s">
        <v>891</v>
      </c>
      <c r="B1134" t="s">
        <v>9109</v>
      </c>
    </row>
    <row r="1135" spans="1:2" x14ac:dyDescent="0.25">
      <c r="A1135" t="s">
        <v>891</v>
      </c>
      <c r="B1135" t="s">
        <v>8228</v>
      </c>
    </row>
    <row r="1136" spans="1:2" x14ac:dyDescent="0.25">
      <c r="A1136" t="s">
        <v>891</v>
      </c>
      <c r="B1136" t="s">
        <v>9318</v>
      </c>
    </row>
    <row r="1137" spans="1:2" x14ac:dyDescent="0.25">
      <c r="A1137" t="s">
        <v>891</v>
      </c>
      <c r="B1137" t="s">
        <v>9177</v>
      </c>
    </row>
    <row r="1138" spans="1:2" x14ac:dyDescent="0.25">
      <c r="A1138" t="s">
        <v>891</v>
      </c>
      <c r="B1138" t="s">
        <v>9392</v>
      </c>
    </row>
    <row r="1139" spans="1:2" x14ac:dyDescent="0.25">
      <c r="A1139" t="s">
        <v>891</v>
      </c>
      <c r="B1139" t="s">
        <v>11856</v>
      </c>
    </row>
    <row r="1140" spans="1:2" x14ac:dyDescent="0.25">
      <c r="A1140" t="s">
        <v>891</v>
      </c>
      <c r="B1140" t="s">
        <v>9095</v>
      </c>
    </row>
    <row r="1141" spans="1:2" x14ac:dyDescent="0.25">
      <c r="A1141" t="s">
        <v>891</v>
      </c>
      <c r="B1141" t="s">
        <v>8868</v>
      </c>
    </row>
    <row r="1142" spans="1:2" x14ac:dyDescent="0.25">
      <c r="A1142" t="s">
        <v>891</v>
      </c>
      <c r="B1142" t="s">
        <v>9360</v>
      </c>
    </row>
    <row r="1143" spans="1:2" x14ac:dyDescent="0.25">
      <c r="A1143" t="s">
        <v>891</v>
      </c>
      <c r="B1143" t="s">
        <v>8836</v>
      </c>
    </row>
    <row r="1144" spans="1:2" x14ac:dyDescent="0.25">
      <c r="A1144" t="s">
        <v>891</v>
      </c>
      <c r="B1144" t="s">
        <v>8956</v>
      </c>
    </row>
    <row r="1145" spans="1:2" x14ac:dyDescent="0.25">
      <c r="A1145" t="s">
        <v>891</v>
      </c>
      <c r="B1145" t="s">
        <v>8960</v>
      </c>
    </row>
    <row r="1146" spans="1:2" x14ac:dyDescent="0.25">
      <c r="A1146" t="s">
        <v>891</v>
      </c>
      <c r="B1146" t="s">
        <v>9472</v>
      </c>
    </row>
    <row r="1147" spans="1:2" x14ac:dyDescent="0.25">
      <c r="A1147" t="s">
        <v>891</v>
      </c>
      <c r="B1147" t="s">
        <v>11796</v>
      </c>
    </row>
    <row r="1148" spans="1:2" x14ac:dyDescent="0.25">
      <c r="A1148" t="s">
        <v>891</v>
      </c>
      <c r="B1148" t="s">
        <v>9077</v>
      </c>
    </row>
    <row r="1149" spans="1:2" x14ac:dyDescent="0.25">
      <c r="A1149" t="s">
        <v>891</v>
      </c>
      <c r="B1149" t="s">
        <v>9242</v>
      </c>
    </row>
    <row r="1150" spans="1:2" x14ac:dyDescent="0.25">
      <c r="A1150" t="s">
        <v>891</v>
      </c>
      <c r="B1150" t="s">
        <v>8301</v>
      </c>
    </row>
    <row r="1151" spans="1:2" x14ac:dyDescent="0.25">
      <c r="A1151" t="s">
        <v>891</v>
      </c>
      <c r="B1151" t="s">
        <v>8910</v>
      </c>
    </row>
    <row r="1152" spans="1:2" x14ac:dyDescent="0.25">
      <c r="A1152" t="s">
        <v>891</v>
      </c>
      <c r="B1152" t="s">
        <v>9481</v>
      </c>
    </row>
    <row r="1153" spans="1:2" x14ac:dyDescent="0.25">
      <c r="A1153" t="s">
        <v>891</v>
      </c>
      <c r="B1153" t="s">
        <v>12517</v>
      </c>
    </row>
    <row r="1154" spans="1:2" x14ac:dyDescent="0.25">
      <c r="A1154" t="s">
        <v>891</v>
      </c>
      <c r="B1154" t="s">
        <v>8858</v>
      </c>
    </row>
    <row r="1155" spans="1:2" x14ac:dyDescent="0.25">
      <c r="A1155" t="s">
        <v>891</v>
      </c>
      <c r="B1155" t="s">
        <v>9222</v>
      </c>
    </row>
    <row r="1156" spans="1:2" x14ac:dyDescent="0.25">
      <c r="A1156" t="s">
        <v>891</v>
      </c>
      <c r="B1156" t="s">
        <v>9265</v>
      </c>
    </row>
    <row r="1157" spans="1:2" x14ac:dyDescent="0.25">
      <c r="A1157" t="s">
        <v>891</v>
      </c>
      <c r="B1157" t="s">
        <v>11779</v>
      </c>
    </row>
    <row r="1158" spans="1:2" x14ac:dyDescent="0.25">
      <c r="A1158" t="s">
        <v>891</v>
      </c>
      <c r="B1158" t="s">
        <v>8894</v>
      </c>
    </row>
    <row r="1159" spans="1:2" x14ac:dyDescent="0.25">
      <c r="A1159" t="s">
        <v>891</v>
      </c>
      <c r="B1159" t="s">
        <v>9181</v>
      </c>
    </row>
    <row r="1160" spans="1:2" x14ac:dyDescent="0.25">
      <c r="A1160" t="s">
        <v>891</v>
      </c>
      <c r="B1160" t="s">
        <v>8897</v>
      </c>
    </row>
    <row r="1161" spans="1:2" x14ac:dyDescent="0.25">
      <c r="A1161" t="s">
        <v>891</v>
      </c>
      <c r="B1161" t="s">
        <v>9168</v>
      </c>
    </row>
    <row r="1162" spans="1:2" x14ac:dyDescent="0.25">
      <c r="A1162" t="s">
        <v>891</v>
      </c>
      <c r="B1162" t="s">
        <v>9370</v>
      </c>
    </row>
    <row r="1163" spans="1:2" x14ac:dyDescent="0.25">
      <c r="A1163" t="s">
        <v>891</v>
      </c>
      <c r="B1163" t="s">
        <v>9389</v>
      </c>
    </row>
    <row r="1164" spans="1:2" x14ac:dyDescent="0.25">
      <c r="A1164" t="s">
        <v>891</v>
      </c>
      <c r="B1164" t="s">
        <v>9448</v>
      </c>
    </row>
    <row r="1165" spans="1:2" x14ac:dyDescent="0.25">
      <c r="A1165" t="s">
        <v>891</v>
      </c>
      <c r="B1165" t="s">
        <v>9442</v>
      </c>
    </row>
    <row r="1166" spans="1:2" x14ac:dyDescent="0.25">
      <c r="A1166" t="s">
        <v>891</v>
      </c>
      <c r="B1166" t="s">
        <v>9167</v>
      </c>
    </row>
    <row r="1167" spans="1:2" x14ac:dyDescent="0.25">
      <c r="A1167" t="s">
        <v>891</v>
      </c>
      <c r="B1167" t="s">
        <v>9235</v>
      </c>
    </row>
    <row r="1168" spans="1:2" x14ac:dyDescent="0.25">
      <c r="A1168" t="s">
        <v>891</v>
      </c>
      <c r="B1168" t="s">
        <v>9305</v>
      </c>
    </row>
    <row r="1169" spans="1:2" x14ac:dyDescent="0.25">
      <c r="A1169" t="s">
        <v>891</v>
      </c>
      <c r="B1169" t="s">
        <v>9408</v>
      </c>
    </row>
    <row r="1170" spans="1:2" x14ac:dyDescent="0.25">
      <c r="A1170" t="s">
        <v>891</v>
      </c>
      <c r="B1170" t="s">
        <v>8208</v>
      </c>
    </row>
    <row r="1171" spans="1:2" x14ac:dyDescent="0.25">
      <c r="A1171" t="s">
        <v>891</v>
      </c>
      <c r="B1171" t="s">
        <v>10780</v>
      </c>
    </row>
    <row r="1172" spans="1:2" x14ac:dyDescent="0.25">
      <c r="A1172" t="s">
        <v>891</v>
      </c>
      <c r="B1172" t="s">
        <v>8248</v>
      </c>
    </row>
    <row r="1173" spans="1:2" x14ac:dyDescent="0.25">
      <c r="A1173" t="s">
        <v>891</v>
      </c>
      <c r="B1173" t="s">
        <v>11852</v>
      </c>
    </row>
    <row r="1174" spans="1:2" x14ac:dyDescent="0.25">
      <c r="A1174" t="s">
        <v>891</v>
      </c>
      <c r="B1174" t="s">
        <v>8239</v>
      </c>
    </row>
    <row r="1175" spans="1:2" x14ac:dyDescent="0.25">
      <c r="A1175" t="s">
        <v>891</v>
      </c>
      <c r="B1175" t="s">
        <v>8970</v>
      </c>
    </row>
    <row r="1176" spans="1:2" x14ac:dyDescent="0.25">
      <c r="A1176" t="s">
        <v>891</v>
      </c>
      <c r="B1176" t="s">
        <v>8989</v>
      </c>
    </row>
    <row r="1177" spans="1:2" x14ac:dyDescent="0.25">
      <c r="A1177" t="s">
        <v>891</v>
      </c>
      <c r="B1177" t="s">
        <v>9220</v>
      </c>
    </row>
    <row r="1178" spans="1:2" x14ac:dyDescent="0.25">
      <c r="A1178" t="s">
        <v>891</v>
      </c>
      <c r="B1178" t="s">
        <v>8251</v>
      </c>
    </row>
    <row r="1179" spans="1:2" x14ac:dyDescent="0.25">
      <c r="A1179" t="s">
        <v>891</v>
      </c>
      <c r="B1179" t="s">
        <v>9324</v>
      </c>
    </row>
    <row r="1180" spans="1:2" x14ac:dyDescent="0.25">
      <c r="A1180" t="s">
        <v>891</v>
      </c>
      <c r="B1180" t="s">
        <v>9470</v>
      </c>
    </row>
    <row r="1181" spans="1:2" x14ac:dyDescent="0.25">
      <c r="A1181" t="s">
        <v>891</v>
      </c>
      <c r="B1181" t="s">
        <v>9111</v>
      </c>
    </row>
    <row r="1182" spans="1:2" x14ac:dyDescent="0.25">
      <c r="A1182" t="s">
        <v>891</v>
      </c>
      <c r="B1182" t="s">
        <v>10513</v>
      </c>
    </row>
    <row r="1183" spans="1:2" x14ac:dyDescent="0.25">
      <c r="A1183" t="s">
        <v>891</v>
      </c>
      <c r="B1183" t="s">
        <v>8234</v>
      </c>
    </row>
    <row r="1184" spans="1:2" x14ac:dyDescent="0.25">
      <c r="A1184" t="s">
        <v>891</v>
      </c>
      <c r="B1184" t="s">
        <v>14320</v>
      </c>
    </row>
    <row r="1185" spans="1:2" x14ac:dyDescent="0.25">
      <c r="A1185" t="s">
        <v>891</v>
      </c>
      <c r="B1185" t="s">
        <v>8771</v>
      </c>
    </row>
    <row r="1186" spans="1:2" x14ac:dyDescent="0.25">
      <c r="A1186" t="s">
        <v>891</v>
      </c>
      <c r="B1186" t="s">
        <v>9321</v>
      </c>
    </row>
    <row r="1187" spans="1:2" x14ac:dyDescent="0.25">
      <c r="A1187" t="s">
        <v>891</v>
      </c>
      <c r="B1187" t="s">
        <v>8242</v>
      </c>
    </row>
    <row r="1188" spans="1:2" x14ac:dyDescent="0.25">
      <c r="A1188" t="s">
        <v>891</v>
      </c>
      <c r="B1188" t="s">
        <v>8563</v>
      </c>
    </row>
    <row r="1189" spans="1:2" x14ac:dyDescent="0.25">
      <c r="A1189" t="s">
        <v>891</v>
      </c>
      <c r="B1189" t="s">
        <v>8848</v>
      </c>
    </row>
    <row r="1190" spans="1:2" x14ac:dyDescent="0.25">
      <c r="A1190" t="s">
        <v>891</v>
      </c>
      <c r="B1190" t="s">
        <v>8900</v>
      </c>
    </row>
    <row r="1191" spans="1:2" x14ac:dyDescent="0.25">
      <c r="A1191" t="s">
        <v>891</v>
      </c>
      <c r="B1191" t="s">
        <v>9227</v>
      </c>
    </row>
    <row r="1192" spans="1:2" x14ac:dyDescent="0.25">
      <c r="A1192" t="s">
        <v>891</v>
      </c>
      <c r="B1192" t="s">
        <v>9361</v>
      </c>
    </row>
    <row r="1193" spans="1:2" x14ac:dyDescent="0.25">
      <c r="A1193" t="s">
        <v>891</v>
      </c>
      <c r="B1193" t="s">
        <v>8775</v>
      </c>
    </row>
    <row r="1194" spans="1:2" x14ac:dyDescent="0.25">
      <c r="A1194" t="s">
        <v>891</v>
      </c>
      <c r="B1194" t="s">
        <v>8805</v>
      </c>
    </row>
    <row r="1195" spans="1:2" x14ac:dyDescent="0.25">
      <c r="A1195" t="s">
        <v>891</v>
      </c>
      <c r="B1195" t="s">
        <v>8810</v>
      </c>
    </row>
    <row r="1196" spans="1:2" x14ac:dyDescent="0.25">
      <c r="A1196" t="s">
        <v>891</v>
      </c>
      <c r="B1196" t="s">
        <v>12514</v>
      </c>
    </row>
    <row r="1197" spans="1:2" x14ac:dyDescent="0.25">
      <c r="A1197" t="s">
        <v>891</v>
      </c>
      <c r="B1197" t="s">
        <v>8870</v>
      </c>
    </row>
    <row r="1198" spans="1:2" x14ac:dyDescent="0.25">
      <c r="A1198" t="s">
        <v>891</v>
      </c>
      <c r="B1198" t="s">
        <v>8872</v>
      </c>
    </row>
    <row r="1199" spans="1:2" x14ac:dyDescent="0.25">
      <c r="A1199" t="s">
        <v>891</v>
      </c>
      <c r="B1199" t="s">
        <v>8928</v>
      </c>
    </row>
    <row r="1200" spans="1:2" x14ac:dyDescent="0.25">
      <c r="A1200" t="s">
        <v>891</v>
      </c>
      <c r="B1200" t="s">
        <v>8980</v>
      </c>
    </row>
    <row r="1201" spans="1:2" x14ac:dyDescent="0.25">
      <c r="A1201" t="s">
        <v>891</v>
      </c>
      <c r="B1201" t="s">
        <v>9030</v>
      </c>
    </row>
    <row r="1202" spans="1:2" x14ac:dyDescent="0.25">
      <c r="A1202" t="s">
        <v>891</v>
      </c>
      <c r="B1202" t="s">
        <v>9035</v>
      </c>
    </row>
    <row r="1203" spans="1:2" x14ac:dyDescent="0.25">
      <c r="A1203" t="s">
        <v>891</v>
      </c>
      <c r="B1203" t="s">
        <v>9037</v>
      </c>
    </row>
    <row r="1204" spans="1:2" x14ac:dyDescent="0.25">
      <c r="A1204" t="s">
        <v>891</v>
      </c>
      <c r="B1204" t="s">
        <v>9081</v>
      </c>
    </row>
    <row r="1205" spans="1:2" x14ac:dyDescent="0.25">
      <c r="A1205" t="s">
        <v>891</v>
      </c>
      <c r="B1205" t="s">
        <v>9112</v>
      </c>
    </row>
    <row r="1206" spans="1:2" x14ac:dyDescent="0.25">
      <c r="A1206" t="s">
        <v>891</v>
      </c>
      <c r="B1206" t="s">
        <v>8812</v>
      </c>
    </row>
    <row r="1207" spans="1:2" x14ac:dyDescent="0.25">
      <c r="A1207" t="s">
        <v>891</v>
      </c>
      <c r="B1207" t="s">
        <v>9146</v>
      </c>
    </row>
    <row r="1208" spans="1:2" x14ac:dyDescent="0.25">
      <c r="A1208" t="s">
        <v>891</v>
      </c>
      <c r="B1208" t="s">
        <v>8813</v>
      </c>
    </row>
    <row r="1209" spans="1:2" x14ac:dyDescent="0.25">
      <c r="A1209" t="s">
        <v>891</v>
      </c>
      <c r="B1209" t="s">
        <v>9193</v>
      </c>
    </row>
    <row r="1210" spans="1:2" x14ac:dyDescent="0.25">
      <c r="A1210" t="s">
        <v>891</v>
      </c>
      <c r="B1210" t="s">
        <v>9212</v>
      </c>
    </row>
    <row r="1211" spans="1:2" x14ac:dyDescent="0.25">
      <c r="A1211" t="s">
        <v>891</v>
      </c>
      <c r="B1211" t="s">
        <v>9223</v>
      </c>
    </row>
    <row r="1212" spans="1:2" x14ac:dyDescent="0.25">
      <c r="A1212" t="s">
        <v>891</v>
      </c>
      <c r="B1212" t="s">
        <v>9249</v>
      </c>
    </row>
    <row r="1213" spans="1:2" x14ac:dyDescent="0.25">
      <c r="A1213" t="s">
        <v>891</v>
      </c>
      <c r="B1213" t="s">
        <v>9255</v>
      </c>
    </row>
    <row r="1214" spans="1:2" x14ac:dyDescent="0.25">
      <c r="A1214" t="s">
        <v>891</v>
      </c>
      <c r="B1214" t="s">
        <v>9259</v>
      </c>
    </row>
    <row r="1215" spans="1:2" x14ac:dyDescent="0.25">
      <c r="A1215" t="s">
        <v>891</v>
      </c>
      <c r="B1215" t="s">
        <v>9281</v>
      </c>
    </row>
    <row r="1216" spans="1:2" x14ac:dyDescent="0.25">
      <c r="A1216" t="s">
        <v>891</v>
      </c>
      <c r="B1216" t="s">
        <v>9319</v>
      </c>
    </row>
    <row r="1217" spans="1:2" x14ac:dyDescent="0.25">
      <c r="A1217" t="s">
        <v>891</v>
      </c>
      <c r="B1217" t="s">
        <v>9329</v>
      </c>
    </row>
    <row r="1218" spans="1:2" x14ac:dyDescent="0.25">
      <c r="A1218" t="s">
        <v>891</v>
      </c>
      <c r="B1218" t="s">
        <v>9359</v>
      </c>
    </row>
    <row r="1219" spans="1:2" x14ac:dyDescent="0.25">
      <c r="A1219" t="s">
        <v>891</v>
      </c>
      <c r="B1219" t="s">
        <v>9378</v>
      </c>
    </row>
    <row r="1220" spans="1:2" x14ac:dyDescent="0.25">
      <c r="A1220" t="s">
        <v>891</v>
      </c>
      <c r="B1220" t="s">
        <v>9425</v>
      </c>
    </row>
    <row r="1221" spans="1:2" x14ac:dyDescent="0.25">
      <c r="A1221" t="s">
        <v>891</v>
      </c>
      <c r="B1221" t="s">
        <v>9430</v>
      </c>
    </row>
    <row r="1222" spans="1:2" x14ac:dyDescent="0.25">
      <c r="A1222" t="s">
        <v>891</v>
      </c>
      <c r="B1222" t="s">
        <v>9488</v>
      </c>
    </row>
    <row r="1223" spans="1:2" x14ac:dyDescent="0.25">
      <c r="A1223" t="s">
        <v>891</v>
      </c>
      <c r="B1223" t="s">
        <v>8786</v>
      </c>
    </row>
    <row r="1224" spans="1:2" x14ac:dyDescent="0.25">
      <c r="A1224" t="s">
        <v>891</v>
      </c>
      <c r="B1224" t="s">
        <v>8959</v>
      </c>
    </row>
    <row r="1225" spans="1:2" x14ac:dyDescent="0.25">
      <c r="A1225" t="s">
        <v>891</v>
      </c>
      <c r="B1225" t="s">
        <v>8761</v>
      </c>
    </row>
    <row r="1226" spans="1:2" x14ac:dyDescent="0.25">
      <c r="A1226" t="s">
        <v>891</v>
      </c>
      <c r="B1226" t="s">
        <v>8948</v>
      </c>
    </row>
    <row r="1227" spans="1:2" x14ac:dyDescent="0.25">
      <c r="A1227" t="s">
        <v>891</v>
      </c>
      <c r="B1227" t="s">
        <v>8969</v>
      </c>
    </row>
    <row r="1228" spans="1:2" x14ac:dyDescent="0.25">
      <c r="A1228" t="s">
        <v>891</v>
      </c>
      <c r="B1228" t="s">
        <v>9184</v>
      </c>
    </row>
    <row r="1229" spans="1:2" x14ac:dyDescent="0.25">
      <c r="A1229" t="s">
        <v>891</v>
      </c>
      <c r="B1229" t="s">
        <v>9195</v>
      </c>
    </row>
    <row r="1230" spans="1:2" x14ac:dyDescent="0.25">
      <c r="A1230" t="s">
        <v>891</v>
      </c>
      <c r="B1230" t="s">
        <v>9268</v>
      </c>
    </row>
    <row r="1231" spans="1:2" x14ac:dyDescent="0.25">
      <c r="A1231" t="s">
        <v>891</v>
      </c>
      <c r="B1231" t="s">
        <v>9309</v>
      </c>
    </row>
    <row r="1232" spans="1:2" x14ac:dyDescent="0.25">
      <c r="A1232" t="s">
        <v>891</v>
      </c>
      <c r="B1232" t="s">
        <v>9371</v>
      </c>
    </row>
    <row r="1233" spans="1:2" x14ac:dyDescent="0.25">
      <c r="A1233" t="s">
        <v>891</v>
      </c>
      <c r="B1233" t="s">
        <v>9440</v>
      </c>
    </row>
    <row r="1234" spans="1:2" x14ac:dyDescent="0.25">
      <c r="A1234" t="s">
        <v>891</v>
      </c>
      <c r="B1234" t="s">
        <v>10543</v>
      </c>
    </row>
    <row r="1235" spans="1:2" x14ac:dyDescent="0.25">
      <c r="A1235" t="s">
        <v>891</v>
      </c>
      <c r="B1235" t="s">
        <v>8252</v>
      </c>
    </row>
    <row r="1236" spans="1:2" x14ac:dyDescent="0.25">
      <c r="A1236" t="s">
        <v>891</v>
      </c>
      <c r="B1236" t="s">
        <v>8792</v>
      </c>
    </row>
    <row r="1237" spans="1:2" x14ac:dyDescent="0.25">
      <c r="A1237" t="s">
        <v>891</v>
      </c>
      <c r="B1237" t="s">
        <v>9501</v>
      </c>
    </row>
    <row r="1238" spans="1:2" x14ac:dyDescent="0.25">
      <c r="A1238" t="s">
        <v>891</v>
      </c>
      <c r="B1238" t="s">
        <v>9014</v>
      </c>
    </row>
    <row r="1239" spans="1:2" x14ac:dyDescent="0.25">
      <c r="A1239" t="s">
        <v>891</v>
      </c>
      <c r="B1239" t="s">
        <v>9023</v>
      </c>
    </row>
    <row r="1240" spans="1:2" x14ac:dyDescent="0.25">
      <c r="A1240" t="s">
        <v>891</v>
      </c>
      <c r="B1240" t="s">
        <v>9044</v>
      </c>
    </row>
    <row r="1241" spans="1:2" x14ac:dyDescent="0.25">
      <c r="A1241" t="s">
        <v>891</v>
      </c>
      <c r="B1241" t="s">
        <v>9133</v>
      </c>
    </row>
    <row r="1242" spans="1:2" x14ac:dyDescent="0.25">
      <c r="A1242" t="s">
        <v>891</v>
      </c>
      <c r="B1242" t="s">
        <v>9145</v>
      </c>
    </row>
    <row r="1243" spans="1:2" x14ac:dyDescent="0.25">
      <c r="A1243" t="s">
        <v>891</v>
      </c>
      <c r="B1243" t="s">
        <v>9218</v>
      </c>
    </row>
    <row r="1244" spans="1:2" x14ac:dyDescent="0.25">
      <c r="A1244" t="s">
        <v>891</v>
      </c>
      <c r="B1244" t="s">
        <v>9312</v>
      </c>
    </row>
    <row r="1245" spans="1:2" x14ac:dyDescent="0.25">
      <c r="A1245" t="s">
        <v>891</v>
      </c>
      <c r="B1245" t="s">
        <v>9332</v>
      </c>
    </row>
    <row r="1246" spans="1:2" x14ac:dyDescent="0.25">
      <c r="A1246" t="s">
        <v>891</v>
      </c>
      <c r="B1246" t="s">
        <v>9356</v>
      </c>
    </row>
    <row r="1247" spans="1:2" x14ac:dyDescent="0.25">
      <c r="A1247" t="s">
        <v>891</v>
      </c>
      <c r="B1247" t="s">
        <v>9401</v>
      </c>
    </row>
    <row r="1248" spans="1:2" x14ac:dyDescent="0.25">
      <c r="A1248" t="s">
        <v>891</v>
      </c>
      <c r="B1248" t="s">
        <v>8913</v>
      </c>
    </row>
    <row r="1249" spans="1:2" x14ac:dyDescent="0.25">
      <c r="A1249" t="s">
        <v>891</v>
      </c>
      <c r="B1249" t="s">
        <v>10541</v>
      </c>
    </row>
    <row r="1250" spans="1:2" x14ac:dyDescent="0.25">
      <c r="A1250" t="s">
        <v>891</v>
      </c>
      <c r="B1250" t="s">
        <v>9169</v>
      </c>
    </row>
    <row r="1251" spans="1:2" x14ac:dyDescent="0.25">
      <c r="A1251" t="s">
        <v>891</v>
      </c>
      <c r="B1251" t="s">
        <v>8257</v>
      </c>
    </row>
    <row r="1252" spans="1:2" x14ac:dyDescent="0.25">
      <c r="A1252" t="s">
        <v>891</v>
      </c>
      <c r="B1252" t="s">
        <v>9439</v>
      </c>
    </row>
    <row r="1253" spans="1:2" x14ac:dyDescent="0.25">
      <c r="A1253" t="s">
        <v>891</v>
      </c>
      <c r="B1253" t="s">
        <v>8950</v>
      </c>
    </row>
    <row r="1254" spans="1:2" x14ac:dyDescent="0.25">
      <c r="A1254" t="s">
        <v>891</v>
      </c>
      <c r="B1254" t="s">
        <v>9347</v>
      </c>
    </row>
    <row r="1255" spans="1:2" x14ac:dyDescent="0.25">
      <c r="A1255" t="s">
        <v>891</v>
      </c>
      <c r="B1255" t="s">
        <v>9410</v>
      </c>
    </row>
    <row r="1256" spans="1:2" x14ac:dyDescent="0.25">
      <c r="A1256" t="s">
        <v>891</v>
      </c>
      <c r="B1256" t="s">
        <v>7938</v>
      </c>
    </row>
    <row r="1257" spans="1:2" x14ac:dyDescent="0.25">
      <c r="A1257" t="s">
        <v>891</v>
      </c>
      <c r="B1257" t="s">
        <v>9304</v>
      </c>
    </row>
    <row r="1258" spans="1:2" x14ac:dyDescent="0.25">
      <c r="A1258" t="s">
        <v>891</v>
      </c>
      <c r="B1258" t="s">
        <v>8880</v>
      </c>
    </row>
    <row r="1259" spans="1:2" x14ac:dyDescent="0.25">
      <c r="A1259" t="s">
        <v>891</v>
      </c>
      <c r="B1259" t="s">
        <v>9066</v>
      </c>
    </row>
    <row r="1260" spans="1:2" x14ac:dyDescent="0.25">
      <c r="A1260" t="s">
        <v>891</v>
      </c>
      <c r="B1260" t="s">
        <v>9074</v>
      </c>
    </row>
    <row r="1261" spans="1:2" x14ac:dyDescent="0.25">
      <c r="A1261" t="s">
        <v>891</v>
      </c>
      <c r="B1261" t="s">
        <v>9161</v>
      </c>
    </row>
    <row r="1262" spans="1:2" x14ac:dyDescent="0.25">
      <c r="A1262" t="s">
        <v>891</v>
      </c>
      <c r="B1262" t="s">
        <v>11822</v>
      </c>
    </row>
    <row r="1263" spans="1:2" x14ac:dyDescent="0.25">
      <c r="A1263" t="s">
        <v>891</v>
      </c>
      <c r="B1263" t="s">
        <v>9219</v>
      </c>
    </row>
    <row r="1264" spans="1:2" x14ac:dyDescent="0.25">
      <c r="A1264" t="s">
        <v>891</v>
      </c>
      <c r="B1264" t="s">
        <v>8776</v>
      </c>
    </row>
    <row r="1265" spans="1:2" x14ac:dyDescent="0.25">
      <c r="A1265" t="s">
        <v>891</v>
      </c>
      <c r="B1265" t="s">
        <v>8825</v>
      </c>
    </row>
    <row r="1266" spans="1:2" x14ac:dyDescent="0.25">
      <c r="A1266" t="s">
        <v>891</v>
      </c>
      <c r="B1266" t="s">
        <v>8838</v>
      </c>
    </row>
    <row r="1267" spans="1:2" x14ac:dyDescent="0.25">
      <c r="A1267" t="s">
        <v>891</v>
      </c>
      <c r="B1267" t="s">
        <v>8850</v>
      </c>
    </row>
    <row r="1268" spans="1:2" x14ac:dyDescent="0.25">
      <c r="A1268" t="s">
        <v>891</v>
      </c>
      <c r="B1268" t="s">
        <v>8854</v>
      </c>
    </row>
    <row r="1269" spans="1:2" x14ac:dyDescent="0.25">
      <c r="A1269" t="s">
        <v>891</v>
      </c>
      <c r="B1269" t="s">
        <v>9150</v>
      </c>
    </row>
    <row r="1270" spans="1:2" x14ac:dyDescent="0.25">
      <c r="A1270" t="s">
        <v>891</v>
      </c>
      <c r="B1270" t="s">
        <v>8886</v>
      </c>
    </row>
    <row r="1271" spans="1:2" x14ac:dyDescent="0.25">
      <c r="A1271" t="s">
        <v>891</v>
      </c>
      <c r="B1271" t="s">
        <v>8917</v>
      </c>
    </row>
    <row r="1272" spans="1:2" x14ac:dyDescent="0.25">
      <c r="A1272" t="s">
        <v>891</v>
      </c>
      <c r="B1272" t="s">
        <v>9151</v>
      </c>
    </row>
    <row r="1273" spans="1:2" x14ac:dyDescent="0.25">
      <c r="A1273" t="s">
        <v>891</v>
      </c>
      <c r="B1273" t="s">
        <v>8951</v>
      </c>
    </row>
    <row r="1274" spans="1:2" x14ac:dyDescent="0.25">
      <c r="A1274" t="s">
        <v>891</v>
      </c>
      <c r="B1274" t="s">
        <v>8976</v>
      </c>
    </row>
    <row r="1275" spans="1:2" x14ac:dyDescent="0.25">
      <c r="A1275" t="s">
        <v>891</v>
      </c>
      <c r="B1275" t="s">
        <v>9055</v>
      </c>
    </row>
    <row r="1276" spans="1:2" x14ac:dyDescent="0.25">
      <c r="A1276" t="s">
        <v>891</v>
      </c>
      <c r="B1276" t="s">
        <v>9065</v>
      </c>
    </row>
    <row r="1277" spans="1:2" x14ac:dyDescent="0.25">
      <c r="A1277" t="s">
        <v>891</v>
      </c>
      <c r="B1277" t="s">
        <v>9103</v>
      </c>
    </row>
    <row r="1278" spans="1:2" x14ac:dyDescent="0.25">
      <c r="A1278" t="s">
        <v>891</v>
      </c>
      <c r="B1278" t="s">
        <v>9131</v>
      </c>
    </row>
    <row r="1279" spans="1:2" x14ac:dyDescent="0.25">
      <c r="A1279" t="s">
        <v>891</v>
      </c>
      <c r="B1279" t="s">
        <v>9163</v>
      </c>
    </row>
    <row r="1280" spans="1:2" x14ac:dyDescent="0.25">
      <c r="A1280" t="s">
        <v>891</v>
      </c>
      <c r="B1280" t="s">
        <v>9201</v>
      </c>
    </row>
    <row r="1281" spans="1:2" x14ac:dyDescent="0.25">
      <c r="A1281" t="s">
        <v>891</v>
      </c>
      <c r="B1281" t="s">
        <v>9271</v>
      </c>
    </row>
    <row r="1282" spans="1:2" x14ac:dyDescent="0.25">
      <c r="A1282" t="s">
        <v>891</v>
      </c>
      <c r="B1282" t="s">
        <v>9330</v>
      </c>
    </row>
    <row r="1283" spans="1:2" x14ac:dyDescent="0.25">
      <c r="A1283" t="s">
        <v>891</v>
      </c>
      <c r="B1283" t="s">
        <v>9394</v>
      </c>
    </row>
    <row r="1284" spans="1:2" x14ac:dyDescent="0.25">
      <c r="A1284" t="s">
        <v>891</v>
      </c>
      <c r="B1284" t="s">
        <v>12525</v>
      </c>
    </row>
    <row r="1285" spans="1:2" x14ac:dyDescent="0.25">
      <c r="A1285" t="s">
        <v>891</v>
      </c>
      <c r="B1285" t="s">
        <v>8869</v>
      </c>
    </row>
    <row r="1286" spans="1:2" x14ac:dyDescent="0.25">
      <c r="A1286" t="s">
        <v>891</v>
      </c>
      <c r="B1286" t="s">
        <v>8986</v>
      </c>
    </row>
    <row r="1287" spans="1:2" x14ac:dyDescent="0.25">
      <c r="A1287" t="s">
        <v>891</v>
      </c>
      <c r="B1287" t="s">
        <v>9206</v>
      </c>
    </row>
    <row r="1288" spans="1:2" x14ac:dyDescent="0.25">
      <c r="A1288" t="s">
        <v>891</v>
      </c>
      <c r="B1288" t="s">
        <v>9306</v>
      </c>
    </row>
    <row r="1289" spans="1:2" x14ac:dyDescent="0.25">
      <c r="A1289" t="s">
        <v>891</v>
      </c>
      <c r="B1289" t="s">
        <v>9311</v>
      </c>
    </row>
    <row r="1290" spans="1:2" x14ac:dyDescent="0.25">
      <c r="A1290" t="s">
        <v>891</v>
      </c>
      <c r="B1290" t="s">
        <v>10534</v>
      </c>
    </row>
    <row r="1291" spans="1:2" x14ac:dyDescent="0.25">
      <c r="A1291" t="s">
        <v>891</v>
      </c>
      <c r="B1291" t="s">
        <v>10495</v>
      </c>
    </row>
    <row r="1292" spans="1:2" x14ac:dyDescent="0.25">
      <c r="A1292" t="s">
        <v>891</v>
      </c>
      <c r="B1292" t="s">
        <v>8250</v>
      </c>
    </row>
    <row r="1293" spans="1:2" x14ac:dyDescent="0.25">
      <c r="A1293" t="s">
        <v>891</v>
      </c>
      <c r="B1293" t="s">
        <v>10491</v>
      </c>
    </row>
    <row r="1294" spans="1:2" x14ac:dyDescent="0.25">
      <c r="A1294" t="s">
        <v>891</v>
      </c>
      <c r="B1294" t="s">
        <v>8244</v>
      </c>
    </row>
    <row r="1295" spans="1:2" x14ac:dyDescent="0.25">
      <c r="A1295" t="s">
        <v>891</v>
      </c>
      <c r="B1295" t="s">
        <v>9160</v>
      </c>
    </row>
    <row r="1296" spans="1:2" x14ac:dyDescent="0.25">
      <c r="A1296" t="s">
        <v>891</v>
      </c>
      <c r="B1296" t="s">
        <v>8615</v>
      </c>
    </row>
    <row r="1297" spans="1:2" x14ac:dyDescent="0.25">
      <c r="A1297" t="s">
        <v>891</v>
      </c>
      <c r="B1297" t="s">
        <v>10511</v>
      </c>
    </row>
    <row r="1298" spans="1:2" x14ac:dyDescent="0.25">
      <c r="A1298" t="s">
        <v>891</v>
      </c>
      <c r="B1298" t="s">
        <v>8317</v>
      </c>
    </row>
    <row r="1299" spans="1:2" x14ac:dyDescent="0.25">
      <c r="A1299" t="s">
        <v>891</v>
      </c>
      <c r="B1299" t="s">
        <v>8224</v>
      </c>
    </row>
    <row r="1300" spans="1:2" x14ac:dyDescent="0.25">
      <c r="A1300" t="s">
        <v>891</v>
      </c>
      <c r="B1300" t="s">
        <v>8212</v>
      </c>
    </row>
    <row r="1301" spans="1:2" x14ac:dyDescent="0.25">
      <c r="A1301" t="s">
        <v>891</v>
      </c>
      <c r="B1301" t="s">
        <v>8787</v>
      </c>
    </row>
    <row r="1302" spans="1:2" x14ac:dyDescent="0.25">
      <c r="A1302" t="s">
        <v>891</v>
      </c>
      <c r="B1302" t="s">
        <v>11830</v>
      </c>
    </row>
    <row r="1303" spans="1:2" x14ac:dyDescent="0.25">
      <c r="A1303" t="s">
        <v>891</v>
      </c>
      <c r="B1303" t="s">
        <v>8843</v>
      </c>
    </row>
    <row r="1304" spans="1:2" x14ac:dyDescent="0.25">
      <c r="A1304" t="s">
        <v>891</v>
      </c>
      <c r="B1304" t="s">
        <v>11814</v>
      </c>
    </row>
    <row r="1305" spans="1:2" x14ac:dyDescent="0.25">
      <c r="A1305" t="s">
        <v>891</v>
      </c>
      <c r="B1305" t="s">
        <v>8952</v>
      </c>
    </row>
    <row r="1306" spans="1:2" x14ac:dyDescent="0.25">
      <c r="A1306" t="s">
        <v>891</v>
      </c>
      <c r="B1306" t="s">
        <v>8955</v>
      </c>
    </row>
    <row r="1307" spans="1:2" x14ac:dyDescent="0.25">
      <c r="A1307" t="s">
        <v>891</v>
      </c>
      <c r="B1307" t="s">
        <v>9060</v>
      </c>
    </row>
    <row r="1308" spans="1:2" x14ac:dyDescent="0.25">
      <c r="A1308" t="s">
        <v>891</v>
      </c>
      <c r="B1308" t="s">
        <v>9100</v>
      </c>
    </row>
    <row r="1309" spans="1:2" x14ac:dyDescent="0.25">
      <c r="A1309" t="s">
        <v>891</v>
      </c>
      <c r="B1309" t="s">
        <v>9124</v>
      </c>
    </row>
    <row r="1310" spans="1:2" x14ac:dyDescent="0.25">
      <c r="A1310" t="s">
        <v>891</v>
      </c>
      <c r="B1310" t="s">
        <v>9148</v>
      </c>
    </row>
    <row r="1311" spans="1:2" x14ac:dyDescent="0.25">
      <c r="A1311" t="s">
        <v>891</v>
      </c>
      <c r="B1311" t="s">
        <v>9178</v>
      </c>
    </row>
    <row r="1312" spans="1:2" x14ac:dyDescent="0.25">
      <c r="A1312" t="s">
        <v>891</v>
      </c>
      <c r="B1312" t="s">
        <v>9294</v>
      </c>
    </row>
    <row r="1313" spans="1:2" x14ac:dyDescent="0.25">
      <c r="A1313" t="s">
        <v>891</v>
      </c>
      <c r="B1313" t="s">
        <v>9372</v>
      </c>
    </row>
    <row r="1314" spans="1:2" x14ac:dyDescent="0.25">
      <c r="A1314" t="s">
        <v>891</v>
      </c>
      <c r="B1314" t="s">
        <v>9386</v>
      </c>
    </row>
    <row r="1315" spans="1:2" x14ac:dyDescent="0.25">
      <c r="A1315" t="s">
        <v>891</v>
      </c>
      <c r="B1315" t="s">
        <v>9435</v>
      </c>
    </row>
    <row r="1316" spans="1:2" x14ac:dyDescent="0.25">
      <c r="A1316" t="s">
        <v>891</v>
      </c>
      <c r="B1316" t="s">
        <v>9459</v>
      </c>
    </row>
    <row r="1317" spans="1:2" x14ac:dyDescent="0.25">
      <c r="A1317" t="s">
        <v>891</v>
      </c>
      <c r="B1317" t="s">
        <v>9467</v>
      </c>
    </row>
    <row r="1318" spans="1:2" x14ac:dyDescent="0.25">
      <c r="A1318" t="s">
        <v>891</v>
      </c>
      <c r="B1318" t="s">
        <v>9469</v>
      </c>
    </row>
    <row r="1319" spans="1:2" x14ac:dyDescent="0.25">
      <c r="A1319" t="s">
        <v>891</v>
      </c>
      <c r="B1319" t="s">
        <v>11804</v>
      </c>
    </row>
    <row r="1320" spans="1:2" x14ac:dyDescent="0.25">
      <c r="A1320" t="s">
        <v>891</v>
      </c>
      <c r="B1320" t="s">
        <v>11793</v>
      </c>
    </row>
    <row r="1321" spans="1:2" x14ac:dyDescent="0.25">
      <c r="A1321" t="s">
        <v>891</v>
      </c>
      <c r="B1321" t="s">
        <v>8867</v>
      </c>
    </row>
    <row r="1322" spans="1:2" x14ac:dyDescent="0.25">
      <c r="A1322" t="s">
        <v>891</v>
      </c>
      <c r="B1322" t="s">
        <v>8793</v>
      </c>
    </row>
    <row r="1323" spans="1:2" x14ac:dyDescent="0.25">
      <c r="A1323" t="s">
        <v>891</v>
      </c>
      <c r="B1323" t="s">
        <v>8863</v>
      </c>
    </row>
    <row r="1324" spans="1:2" x14ac:dyDescent="0.25">
      <c r="A1324" t="s">
        <v>891</v>
      </c>
      <c r="B1324" t="s">
        <v>8891</v>
      </c>
    </row>
    <row r="1325" spans="1:2" x14ac:dyDescent="0.25">
      <c r="A1325" t="s">
        <v>891</v>
      </c>
      <c r="B1325" t="s">
        <v>8914</v>
      </c>
    </row>
    <row r="1326" spans="1:2" x14ac:dyDescent="0.25">
      <c r="A1326" t="s">
        <v>891</v>
      </c>
      <c r="B1326" t="s">
        <v>9024</v>
      </c>
    </row>
    <row r="1327" spans="1:2" x14ac:dyDescent="0.25">
      <c r="A1327" t="s">
        <v>891</v>
      </c>
      <c r="B1327" t="s">
        <v>9080</v>
      </c>
    </row>
    <row r="1328" spans="1:2" x14ac:dyDescent="0.25">
      <c r="A1328" t="s">
        <v>891</v>
      </c>
      <c r="B1328" t="s">
        <v>9171</v>
      </c>
    </row>
    <row r="1329" spans="1:2" x14ac:dyDescent="0.25">
      <c r="A1329" t="s">
        <v>891</v>
      </c>
      <c r="B1329" t="s">
        <v>9339</v>
      </c>
    </row>
    <row r="1330" spans="1:2" x14ac:dyDescent="0.25">
      <c r="A1330" t="s">
        <v>891</v>
      </c>
      <c r="B1330" t="s">
        <v>9132</v>
      </c>
    </row>
    <row r="1331" spans="1:2" x14ac:dyDescent="0.25">
      <c r="A1331" t="s">
        <v>891</v>
      </c>
      <c r="B1331" t="s">
        <v>8808</v>
      </c>
    </row>
    <row r="1332" spans="1:2" x14ac:dyDescent="0.25">
      <c r="A1332" t="s">
        <v>891</v>
      </c>
      <c r="B1332" t="s">
        <v>9287</v>
      </c>
    </row>
    <row r="1333" spans="1:2" x14ac:dyDescent="0.25">
      <c r="A1333" t="s">
        <v>891</v>
      </c>
      <c r="B1333" t="s">
        <v>9432</v>
      </c>
    </row>
    <row r="1334" spans="1:2" x14ac:dyDescent="0.25">
      <c r="A1334" t="s">
        <v>891</v>
      </c>
      <c r="B1334" t="s">
        <v>8949</v>
      </c>
    </row>
    <row r="1335" spans="1:2" x14ac:dyDescent="0.25">
      <c r="A1335" t="s">
        <v>891</v>
      </c>
      <c r="B1335" t="s">
        <v>9072</v>
      </c>
    </row>
    <row r="1336" spans="1:2" x14ac:dyDescent="0.25">
      <c r="A1336" t="s">
        <v>891</v>
      </c>
      <c r="B1336" t="s">
        <v>12482</v>
      </c>
    </row>
    <row r="1337" spans="1:2" x14ac:dyDescent="0.25">
      <c r="A1337" t="s">
        <v>891</v>
      </c>
      <c r="B1337" t="s">
        <v>14363</v>
      </c>
    </row>
    <row r="1338" spans="1:2" x14ac:dyDescent="0.25">
      <c r="A1338" t="s">
        <v>891</v>
      </c>
      <c r="B1338" t="s">
        <v>8238</v>
      </c>
    </row>
    <row r="1339" spans="1:2" x14ac:dyDescent="0.25">
      <c r="A1339" t="s">
        <v>891</v>
      </c>
      <c r="B1339" t="s">
        <v>8243</v>
      </c>
    </row>
    <row r="1340" spans="1:2" x14ac:dyDescent="0.25">
      <c r="A1340" t="s">
        <v>891</v>
      </c>
      <c r="B1340" t="s">
        <v>9207</v>
      </c>
    </row>
    <row r="1341" spans="1:2" x14ac:dyDescent="0.25">
      <c r="A1341" t="s">
        <v>891</v>
      </c>
      <c r="B1341" t="s">
        <v>9395</v>
      </c>
    </row>
    <row r="1342" spans="1:2" x14ac:dyDescent="0.25">
      <c r="A1342" t="s">
        <v>891</v>
      </c>
      <c r="B1342" t="s">
        <v>8330</v>
      </c>
    </row>
    <row r="1343" spans="1:2" x14ac:dyDescent="0.25">
      <c r="A1343" t="s">
        <v>891</v>
      </c>
      <c r="B1343" t="s">
        <v>8327</v>
      </c>
    </row>
    <row r="1344" spans="1:2" x14ac:dyDescent="0.25">
      <c r="A1344" t="s">
        <v>891</v>
      </c>
      <c r="B1344" t="s">
        <v>10505</v>
      </c>
    </row>
    <row r="1345" spans="1:2" x14ac:dyDescent="0.25">
      <c r="A1345" t="s">
        <v>891</v>
      </c>
      <c r="B1345" t="s">
        <v>10536</v>
      </c>
    </row>
    <row r="1346" spans="1:2" x14ac:dyDescent="0.25">
      <c r="A1346" t="s">
        <v>891</v>
      </c>
      <c r="B1346" t="s">
        <v>8245</v>
      </c>
    </row>
    <row r="1347" spans="1:2" x14ac:dyDescent="0.25">
      <c r="A1347" t="s">
        <v>891</v>
      </c>
      <c r="B1347" t="s">
        <v>8249</v>
      </c>
    </row>
    <row r="1348" spans="1:2" x14ac:dyDescent="0.25">
      <c r="A1348" t="s">
        <v>891</v>
      </c>
      <c r="B1348" t="s">
        <v>8227</v>
      </c>
    </row>
    <row r="1349" spans="1:2" x14ac:dyDescent="0.25">
      <c r="A1349" t="s">
        <v>891</v>
      </c>
      <c r="B1349" t="s">
        <v>9422</v>
      </c>
    </row>
    <row r="1350" spans="1:2" x14ac:dyDescent="0.25">
      <c r="A1350" t="s">
        <v>891</v>
      </c>
      <c r="B1350" t="s">
        <v>8569</v>
      </c>
    </row>
    <row r="1351" spans="1:2" x14ac:dyDescent="0.25">
      <c r="A1351" t="s">
        <v>891</v>
      </c>
      <c r="B1351" t="s">
        <v>9143</v>
      </c>
    </row>
    <row r="1352" spans="1:2" x14ac:dyDescent="0.25">
      <c r="A1352" t="s">
        <v>891</v>
      </c>
      <c r="B1352" t="s">
        <v>8996</v>
      </c>
    </row>
    <row r="1353" spans="1:2" x14ac:dyDescent="0.25">
      <c r="A1353" t="s">
        <v>891</v>
      </c>
      <c r="B1353" t="s">
        <v>9123</v>
      </c>
    </row>
    <row r="1354" spans="1:2" x14ac:dyDescent="0.25">
      <c r="A1354" t="s">
        <v>891</v>
      </c>
      <c r="B1354" t="s">
        <v>9453</v>
      </c>
    </row>
    <row r="1355" spans="1:2" x14ac:dyDescent="0.25">
      <c r="A1355" t="s">
        <v>891</v>
      </c>
      <c r="B1355" t="s">
        <v>9127</v>
      </c>
    </row>
    <row r="1356" spans="1:2" x14ac:dyDescent="0.25">
      <c r="A1356" t="s">
        <v>891</v>
      </c>
      <c r="B1356" t="s">
        <v>8240</v>
      </c>
    </row>
    <row r="1357" spans="1:2" x14ac:dyDescent="0.25">
      <c r="A1357" t="s">
        <v>891</v>
      </c>
      <c r="B1357" t="s">
        <v>8255</v>
      </c>
    </row>
    <row r="1358" spans="1:2" x14ac:dyDescent="0.25">
      <c r="A1358" t="s">
        <v>891</v>
      </c>
      <c r="B1358" t="s">
        <v>8246</v>
      </c>
    </row>
    <row r="1359" spans="1:2" x14ac:dyDescent="0.25">
      <c r="A1359" t="s">
        <v>891</v>
      </c>
      <c r="B1359" t="s">
        <v>8296</v>
      </c>
    </row>
    <row r="1360" spans="1:2" x14ac:dyDescent="0.25">
      <c r="A1360" t="s">
        <v>891</v>
      </c>
      <c r="B1360" t="s">
        <v>8253</v>
      </c>
    </row>
    <row r="1361" spans="1:2" x14ac:dyDescent="0.25">
      <c r="A1361" t="s">
        <v>891</v>
      </c>
      <c r="B1361" t="s">
        <v>8271</v>
      </c>
    </row>
    <row r="1362" spans="1:2" x14ac:dyDescent="0.25">
      <c r="A1362" t="s">
        <v>891</v>
      </c>
      <c r="B1362" t="s">
        <v>11859</v>
      </c>
    </row>
    <row r="1363" spans="1:2" x14ac:dyDescent="0.25">
      <c r="A1363" t="s">
        <v>891</v>
      </c>
      <c r="B1363" t="s">
        <v>9232</v>
      </c>
    </row>
    <row r="1364" spans="1:2" x14ac:dyDescent="0.25">
      <c r="A1364" t="s">
        <v>891</v>
      </c>
      <c r="B1364" t="s">
        <v>9375</v>
      </c>
    </row>
    <row r="1365" spans="1:2" x14ac:dyDescent="0.25">
      <c r="A1365" t="s">
        <v>891</v>
      </c>
      <c r="B1365" t="s">
        <v>9189</v>
      </c>
    </row>
    <row r="1366" spans="1:2" x14ac:dyDescent="0.25">
      <c r="A1366" t="s">
        <v>891</v>
      </c>
      <c r="B1366" t="s">
        <v>9414</v>
      </c>
    </row>
    <row r="1367" spans="1:2" x14ac:dyDescent="0.25">
      <c r="A1367" t="s">
        <v>891</v>
      </c>
      <c r="B1367" t="s">
        <v>8831</v>
      </c>
    </row>
    <row r="1368" spans="1:2" x14ac:dyDescent="0.25">
      <c r="A1368" t="s">
        <v>891</v>
      </c>
      <c r="B1368" t="s">
        <v>8857</v>
      </c>
    </row>
    <row r="1369" spans="1:2" x14ac:dyDescent="0.25">
      <c r="A1369" t="s">
        <v>891</v>
      </c>
      <c r="B1369" t="s">
        <v>8908</v>
      </c>
    </row>
    <row r="1370" spans="1:2" x14ac:dyDescent="0.25">
      <c r="A1370" t="s">
        <v>891</v>
      </c>
      <c r="B1370" t="s">
        <v>9328</v>
      </c>
    </row>
    <row r="1371" spans="1:2" x14ac:dyDescent="0.25">
      <c r="A1371" t="s">
        <v>891</v>
      </c>
      <c r="B1371" t="s">
        <v>9457</v>
      </c>
    </row>
    <row r="1372" spans="1:2" x14ac:dyDescent="0.25">
      <c r="A1372" t="s">
        <v>891</v>
      </c>
      <c r="B1372" t="s">
        <v>12522</v>
      </c>
    </row>
    <row r="1373" spans="1:2" x14ac:dyDescent="0.25">
      <c r="A1373" t="s">
        <v>891</v>
      </c>
      <c r="B1373" t="s">
        <v>8579</v>
      </c>
    </row>
    <row r="1374" spans="1:2" x14ac:dyDescent="0.25">
      <c r="A1374" t="s">
        <v>891</v>
      </c>
      <c r="B1374" t="s">
        <v>8898</v>
      </c>
    </row>
    <row r="1375" spans="1:2" x14ac:dyDescent="0.25">
      <c r="A1375" t="s">
        <v>891</v>
      </c>
      <c r="B1375" t="s">
        <v>11790</v>
      </c>
    </row>
    <row r="1376" spans="1:2" x14ac:dyDescent="0.25">
      <c r="A1376" t="s">
        <v>891</v>
      </c>
      <c r="B1376" t="s">
        <v>8543</v>
      </c>
    </row>
    <row r="1377" spans="1:2" x14ac:dyDescent="0.25">
      <c r="A1377" t="s">
        <v>891</v>
      </c>
      <c r="B1377" t="s">
        <v>8217</v>
      </c>
    </row>
    <row r="1378" spans="1:2" x14ac:dyDescent="0.25">
      <c r="A1378" t="s">
        <v>891</v>
      </c>
      <c r="B1378" t="s">
        <v>10504</v>
      </c>
    </row>
    <row r="1379" spans="1:2" x14ac:dyDescent="0.25">
      <c r="A1379" t="s">
        <v>891</v>
      </c>
      <c r="B1379" t="s">
        <v>8331</v>
      </c>
    </row>
    <row r="1380" spans="1:2" x14ac:dyDescent="0.25">
      <c r="A1380" t="s">
        <v>891</v>
      </c>
      <c r="B1380" t="s">
        <v>9158</v>
      </c>
    </row>
    <row r="1381" spans="1:2" x14ac:dyDescent="0.25">
      <c r="A1381" t="s">
        <v>891</v>
      </c>
      <c r="B1381" t="s">
        <v>8788</v>
      </c>
    </row>
    <row r="1382" spans="1:2" x14ac:dyDescent="0.25">
      <c r="A1382" t="s">
        <v>891</v>
      </c>
      <c r="B1382" t="s">
        <v>8861</v>
      </c>
    </row>
    <row r="1383" spans="1:2" x14ac:dyDescent="0.25">
      <c r="A1383" t="s">
        <v>891</v>
      </c>
      <c r="B1383" t="s">
        <v>8888</v>
      </c>
    </row>
    <row r="1384" spans="1:2" x14ac:dyDescent="0.25">
      <c r="A1384" t="s">
        <v>891</v>
      </c>
      <c r="B1384" t="s">
        <v>8904</v>
      </c>
    </row>
    <row r="1385" spans="1:2" x14ac:dyDescent="0.25">
      <c r="A1385" t="s">
        <v>891</v>
      </c>
      <c r="B1385" t="s">
        <v>9116</v>
      </c>
    </row>
    <row r="1386" spans="1:2" x14ac:dyDescent="0.25">
      <c r="A1386" t="s">
        <v>891</v>
      </c>
      <c r="B1386" t="s">
        <v>9140</v>
      </c>
    </row>
    <row r="1387" spans="1:2" x14ac:dyDescent="0.25">
      <c r="A1387" t="s">
        <v>891</v>
      </c>
      <c r="B1387" t="s">
        <v>9141</v>
      </c>
    </row>
    <row r="1388" spans="1:2" x14ac:dyDescent="0.25">
      <c r="A1388" t="s">
        <v>891</v>
      </c>
      <c r="B1388" t="s">
        <v>9149</v>
      </c>
    </row>
    <row r="1389" spans="1:2" x14ac:dyDescent="0.25">
      <c r="A1389" t="s">
        <v>891</v>
      </c>
      <c r="B1389" t="s">
        <v>9243</v>
      </c>
    </row>
    <row r="1390" spans="1:2" x14ac:dyDescent="0.25">
      <c r="A1390" t="s">
        <v>891</v>
      </c>
      <c r="B1390" t="s">
        <v>9253</v>
      </c>
    </row>
    <row r="1391" spans="1:2" x14ac:dyDescent="0.25">
      <c r="A1391" t="s">
        <v>891</v>
      </c>
      <c r="B1391" t="s">
        <v>9004</v>
      </c>
    </row>
    <row r="1392" spans="1:2" x14ac:dyDescent="0.25">
      <c r="A1392" t="s">
        <v>891</v>
      </c>
      <c r="B1392" t="s">
        <v>9230</v>
      </c>
    </row>
    <row r="1393" spans="1:2" x14ac:dyDescent="0.25">
      <c r="A1393" t="s">
        <v>891</v>
      </c>
      <c r="B1393" t="s">
        <v>9412</v>
      </c>
    </row>
    <row r="1394" spans="1:2" x14ac:dyDescent="0.25">
      <c r="A1394" t="s">
        <v>891</v>
      </c>
      <c r="B1394" t="s">
        <v>9454</v>
      </c>
    </row>
    <row r="1395" spans="1:2" x14ac:dyDescent="0.25">
      <c r="A1395" t="s">
        <v>891</v>
      </c>
      <c r="B1395" t="s">
        <v>9490</v>
      </c>
    </row>
    <row r="1396" spans="1:2" x14ac:dyDescent="0.25">
      <c r="A1396" t="s">
        <v>891</v>
      </c>
      <c r="B1396" t="s">
        <v>14257</v>
      </c>
    </row>
    <row r="1397" spans="1:2" x14ac:dyDescent="0.25">
      <c r="A1397" t="s">
        <v>891</v>
      </c>
      <c r="B1397" t="s">
        <v>8962</v>
      </c>
    </row>
    <row r="1398" spans="1:2" x14ac:dyDescent="0.25">
      <c r="A1398" t="s">
        <v>891</v>
      </c>
      <c r="B1398" t="s">
        <v>8814</v>
      </c>
    </row>
    <row r="1399" spans="1:2" x14ac:dyDescent="0.25">
      <c r="A1399" t="s">
        <v>891</v>
      </c>
      <c r="B1399" t="s">
        <v>9082</v>
      </c>
    </row>
    <row r="1400" spans="1:2" x14ac:dyDescent="0.25">
      <c r="A1400" t="s">
        <v>891</v>
      </c>
      <c r="B1400" t="s">
        <v>9419</v>
      </c>
    </row>
    <row r="1401" spans="1:2" x14ac:dyDescent="0.25">
      <c r="A1401" t="s">
        <v>891</v>
      </c>
      <c r="B1401" t="s">
        <v>9286</v>
      </c>
    </row>
    <row r="1402" spans="1:2" x14ac:dyDescent="0.25">
      <c r="A1402" t="s">
        <v>891</v>
      </c>
      <c r="B1402" t="s">
        <v>8892</v>
      </c>
    </row>
    <row r="1403" spans="1:2" x14ac:dyDescent="0.25">
      <c r="A1403" t="s">
        <v>891</v>
      </c>
      <c r="B1403" t="s">
        <v>8981</v>
      </c>
    </row>
    <row r="1404" spans="1:2" x14ac:dyDescent="0.25">
      <c r="A1404" t="s">
        <v>891</v>
      </c>
      <c r="B1404" t="s">
        <v>8984</v>
      </c>
    </row>
    <row r="1405" spans="1:2" x14ac:dyDescent="0.25">
      <c r="A1405" t="s">
        <v>891</v>
      </c>
      <c r="B1405" t="s">
        <v>9333</v>
      </c>
    </row>
    <row r="1406" spans="1:2" x14ac:dyDescent="0.25">
      <c r="A1406" t="s">
        <v>891</v>
      </c>
      <c r="B1406" t="s">
        <v>9019</v>
      </c>
    </row>
    <row r="1407" spans="1:2" x14ac:dyDescent="0.25">
      <c r="A1407" t="s">
        <v>891</v>
      </c>
      <c r="B1407" t="s">
        <v>9310</v>
      </c>
    </row>
    <row r="1408" spans="1:2" x14ac:dyDescent="0.25">
      <c r="A1408" t="s">
        <v>891</v>
      </c>
      <c r="B1408" t="s">
        <v>10485</v>
      </c>
    </row>
    <row r="1409" spans="1:2" x14ac:dyDescent="0.25">
      <c r="A1409" t="s">
        <v>891</v>
      </c>
      <c r="B1409" t="s">
        <v>10508</v>
      </c>
    </row>
    <row r="1410" spans="1:2" x14ac:dyDescent="0.25">
      <c r="A1410" t="s">
        <v>891</v>
      </c>
      <c r="B1410" t="s">
        <v>12446</v>
      </c>
    </row>
    <row r="1411" spans="1:2" x14ac:dyDescent="0.25">
      <c r="A1411" t="s">
        <v>891</v>
      </c>
      <c r="B1411" t="s">
        <v>8400</v>
      </c>
    </row>
    <row r="1412" spans="1:2" x14ac:dyDescent="0.25">
      <c r="A1412" t="s">
        <v>891</v>
      </c>
      <c r="B1412" t="s">
        <v>9073</v>
      </c>
    </row>
    <row r="1413" spans="1:2" x14ac:dyDescent="0.25">
      <c r="A1413" t="s">
        <v>891</v>
      </c>
      <c r="B1413" t="s">
        <v>9005</v>
      </c>
    </row>
    <row r="1414" spans="1:2" x14ac:dyDescent="0.25">
      <c r="A1414" t="s">
        <v>891</v>
      </c>
      <c r="B1414" t="s">
        <v>8780</v>
      </c>
    </row>
    <row r="1415" spans="1:2" x14ac:dyDescent="0.25">
      <c r="A1415" t="s">
        <v>891</v>
      </c>
      <c r="B1415" t="s">
        <v>8794</v>
      </c>
    </row>
    <row r="1416" spans="1:2" x14ac:dyDescent="0.25">
      <c r="A1416" t="s">
        <v>891</v>
      </c>
      <c r="B1416" t="s">
        <v>8806</v>
      </c>
    </row>
    <row r="1417" spans="1:2" x14ac:dyDescent="0.25">
      <c r="A1417" t="s">
        <v>891</v>
      </c>
      <c r="B1417" t="s">
        <v>8815</v>
      </c>
    </row>
    <row r="1418" spans="1:2" x14ac:dyDescent="0.25">
      <c r="A1418" t="s">
        <v>891</v>
      </c>
      <c r="B1418" t="s">
        <v>8826</v>
      </c>
    </row>
    <row r="1419" spans="1:2" x14ac:dyDescent="0.25">
      <c r="A1419" t="s">
        <v>891</v>
      </c>
      <c r="B1419" t="s">
        <v>8924</v>
      </c>
    </row>
    <row r="1420" spans="1:2" x14ac:dyDescent="0.25">
      <c r="A1420" t="s">
        <v>891</v>
      </c>
      <c r="B1420" t="s">
        <v>8925</v>
      </c>
    </row>
    <row r="1421" spans="1:2" x14ac:dyDescent="0.25">
      <c r="A1421" t="s">
        <v>891</v>
      </c>
      <c r="B1421" t="s">
        <v>8926</v>
      </c>
    </row>
    <row r="1422" spans="1:2" x14ac:dyDescent="0.25">
      <c r="A1422" t="s">
        <v>891</v>
      </c>
      <c r="B1422" t="s">
        <v>8930</v>
      </c>
    </row>
    <row r="1423" spans="1:2" x14ac:dyDescent="0.25">
      <c r="A1423" t="s">
        <v>891</v>
      </c>
      <c r="B1423" t="s">
        <v>8933</v>
      </c>
    </row>
    <row r="1424" spans="1:2" x14ac:dyDescent="0.25">
      <c r="A1424" t="s">
        <v>891</v>
      </c>
      <c r="B1424" t="s">
        <v>12527</v>
      </c>
    </row>
    <row r="1425" spans="1:2" x14ac:dyDescent="0.25">
      <c r="A1425" t="s">
        <v>891</v>
      </c>
      <c r="B1425" t="s">
        <v>8993</v>
      </c>
    </row>
    <row r="1426" spans="1:2" x14ac:dyDescent="0.25">
      <c r="A1426" t="s">
        <v>891</v>
      </c>
      <c r="B1426" t="s">
        <v>9026</v>
      </c>
    </row>
    <row r="1427" spans="1:2" x14ac:dyDescent="0.25">
      <c r="A1427" t="s">
        <v>891</v>
      </c>
      <c r="B1427" t="s">
        <v>9029</v>
      </c>
    </row>
    <row r="1428" spans="1:2" x14ac:dyDescent="0.25">
      <c r="A1428" t="s">
        <v>891</v>
      </c>
      <c r="B1428" t="s">
        <v>9036</v>
      </c>
    </row>
    <row r="1429" spans="1:2" x14ac:dyDescent="0.25">
      <c r="A1429" t="s">
        <v>891</v>
      </c>
      <c r="B1429" t="s">
        <v>9046</v>
      </c>
    </row>
    <row r="1430" spans="1:2" x14ac:dyDescent="0.25">
      <c r="A1430" t="s">
        <v>891</v>
      </c>
      <c r="B1430" t="s">
        <v>9067</v>
      </c>
    </row>
    <row r="1431" spans="1:2" x14ac:dyDescent="0.25">
      <c r="A1431" t="s">
        <v>891</v>
      </c>
      <c r="B1431" t="s">
        <v>9101</v>
      </c>
    </row>
    <row r="1432" spans="1:2" x14ac:dyDescent="0.25">
      <c r="A1432" t="s">
        <v>891</v>
      </c>
      <c r="B1432" t="s">
        <v>9117</v>
      </c>
    </row>
    <row r="1433" spans="1:2" x14ac:dyDescent="0.25">
      <c r="A1433" t="s">
        <v>891</v>
      </c>
      <c r="B1433" t="s">
        <v>9122</v>
      </c>
    </row>
    <row r="1434" spans="1:2" x14ac:dyDescent="0.25">
      <c r="A1434" t="s">
        <v>891</v>
      </c>
      <c r="B1434" t="s">
        <v>9137</v>
      </c>
    </row>
    <row r="1435" spans="1:2" x14ac:dyDescent="0.25">
      <c r="A1435" t="s">
        <v>891</v>
      </c>
      <c r="B1435" t="s">
        <v>9138</v>
      </c>
    </row>
    <row r="1436" spans="1:2" x14ac:dyDescent="0.25">
      <c r="A1436" t="s">
        <v>891</v>
      </c>
      <c r="B1436" t="s">
        <v>9170</v>
      </c>
    </row>
    <row r="1437" spans="1:2" x14ac:dyDescent="0.25">
      <c r="A1437" t="s">
        <v>891</v>
      </c>
      <c r="B1437" t="s">
        <v>9180</v>
      </c>
    </row>
    <row r="1438" spans="1:2" x14ac:dyDescent="0.25">
      <c r="A1438" t="s">
        <v>891</v>
      </c>
      <c r="B1438" t="s">
        <v>11819</v>
      </c>
    </row>
    <row r="1439" spans="1:2" x14ac:dyDescent="0.25">
      <c r="A1439" t="s">
        <v>891</v>
      </c>
      <c r="B1439" t="s">
        <v>9211</v>
      </c>
    </row>
    <row r="1440" spans="1:2" x14ac:dyDescent="0.25">
      <c r="A1440" t="s">
        <v>891</v>
      </c>
      <c r="B1440" t="s">
        <v>9225</v>
      </c>
    </row>
    <row r="1441" spans="1:2" x14ac:dyDescent="0.25">
      <c r="A1441" t="s">
        <v>891</v>
      </c>
      <c r="B1441" t="s">
        <v>9231</v>
      </c>
    </row>
    <row r="1442" spans="1:2" x14ac:dyDescent="0.25">
      <c r="A1442" t="s">
        <v>891</v>
      </c>
      <c r="B1442" t="s">
        <v>9233</v>
      </c>
    </row>
    <row r="1443" spans="1:2" x14ac:dyDescent="0.25">
      <c r="A1443" t="s">
        <v>891</v>
      </c>
      <c r="B1443" t="s">
        <v>9250</v>
      </c>
    </row>
    <row r="1444" spans="1:2" x14ac:dyDescent="0.25">
      <c r="A1444" t="s">
        <v>891</v>
      </c>
      <c r="B1444" t="s">
        <v>9267</v>
      </c>
    </row>
    <row r="1445" spans="1:2" x14ac:dyDescent="0.25">
      <c r="A1445" t="s">
        <v>891</v>
      </c>
      <c r="B1445" t="s">
        <v>9276</v>
      </c>
    </row>
    <row r="1446" spans="1:2" x14ac:dyDescent="0.25">
      <c r="A1446" t="s">
        <v>891</v>
      </c>
      <c r="B1446" t="s">
        <v>9340</v>
      </c>
    </row>
    <row r="1447" spans="1:2" x14ac:dyDescent="0.25">
      <c r="A1447" t="s">
        <v>891</v>
      </c>
      <c r="B1447" t="s">
        <v>9341</v>
      </c>
    </row>
    <row r="1448" spans="1:2" x14ac:dyDescent="0.25">
      <c r="A1448" t="s">
        <v>891</v>
      </c>
      <c r="B1448" t="s">
        <v>9343</v>
      </c>
    </row>
    <row r="1449" spans="1:2" x14ac:dyDescent="0.25">
      <c r="A1449" t="s">
        <v>891</v>
      </c>
      <c r="B1449" t="s">
        <v>9400</v>
      </c>
    </row>
    <row r="1450" spans="1:2" x14ac:dyDescent="0.25">
      <c r="A1450" t="s">
        <v>891</v>
      </c>
      <c r="B1450" t="s">
        <v>9426</v>
      </c>
    </row>
    <row r="1451" spans="1:2" x14ac:dyDescent="0.25">
      <c r="A1451" t="s">
        <v>891</v>
      </c>
      <c r="B1451" t="s">
        <v>9436</v>
      </c>
    </row>
    <row r="1452" spans="1:2" x14ac:dyDescent="0.25">
      <c r="A1452" t="s">
        <v>891</v>
      </c>
      <c r="B1452" t="s">
        <v>9479</v>
      </c>
    </row>
    <row r="1453" spans="1:2" x14ac:dyDescent="0.25">
      <c r="A1453" t="s">
        <v>891</v>
      </c>
      <c r="B1453" t="s">
        <v>9480</v>
      </c>
    </row>
    <row r="1454" spans="1:2" x14ac:dyDescent="0.25">
      <c r="A1454" t="s">
        <v>891</v>
      </c>
      <c r="B1454" t="s">
        <v>9086</v>
      </c>
    </row>
    <row r="1455" spans="1:2" x14ac:dyDescent="0.25">
      <c r="A1455" t="s">
        <v>891</v>
      </c>
      <c r="B1455" t="s">
        <v>9441</v>
      </c>
    </row>
    <row r="1456" spans="1:2" x14ac:dyDescent="0.25">
      <c r="A1456" t="s">
        <v>891</v>
      </c>
      <c r="B1456" t="s">
        <v>9492</v>
      </c>
    </row>
    <row r="1457" spans="1:2" x14ac:dyDescent="0.25">
      <c r="A1457" t="s">
        <v>891</v>
      </c>
      <c r="B1457" t="s">
        <v>8322</v>
      </c>
    </row>
    <row r="1458" spans="1:2" x14ac:dyDescent="0.25">
      <c r="A1458" t="s">
        <v>891</v>
      </c>
      <c r="B1458" t="s">
        <v>10527</v>
      </c>
    </row>
    <row r="1459" spans="1:2" x14ac:dyDescent="0.25">
      <c r="A1459" t="s">
        <v>891</v>
      </c>
      <c r="B1459" t="s">
        <v>9237</v>
      </c>
    </row>
    <row r="1460" spans="1:2" x14ac:dyDescent="0.25">
      <c r="A1460" t="s">
        <v>891</v>
      </c>
      <c r="B1460" t="s">
        <v>9514</v>
      </c>
    </row>
    <row r="1461" spans="1:2" x14ac:dyDescent="0.25">
      <c r="A1461" t="s">
        <v>891</v>
      </c>
      <c r="B1461" t="s">
        <v>8994</v>
      </c>
    </row>
    <row r="1462" spans="1:2" x14ac:dyDescent="0.25">
      <c r="A1462" t="s">
        <v>891</v>
      </c>
      <c r="B1462" t="s">
        <v>9084</v>
      </c>
    </row>
    <row r="1463" spans="1:2" x14ac:dyDescent="0.25">
      <c r="A1463" t="s">
        <v>891</v>
      </c>
      <c r="B1463" t="s">
        <v>12501</v>
      </c>
    </row>
    <row r="1464" spans="1:2" x14ac:dyDescent="0.25">
      <c r="A1464" t="s">
        <v>891</v>
      </c>
      <c r="B1464" t="s">
        <v>12496</v>
      </c>
    </row>
    <row r="1465" spans="1:2" x14ac:dyDescent="0.25">
      <c r="A1465" t="s">
        <v>891</v>
      </c>
      <c r="B1465" t="s">
        <v>8796</v>
      </c>
    </row>
    <row r="1466" spans="1:2" x14ac:dyDescent="0.25">
      <c r="A1466" t="s">
        <v>891</v>
      </c>
      <c r="B1466" t="s">
        <v>8816</v>
      </c>
    </row>
    <row r="1467" spans="1:2" x14ac:dyDescent="0.25">
      <c r="A1467" t="s">
        <v>891</v>
      </c>
      <c r="B1467" t="s">
        <v>8845</v>
      </c>
    </row>
    <row r="1468" spans="1:2" x14ac:dyDescent="0.25">
      <c r="A1468" t="s">
        <v>891</v>
      </c>
      <c r="B1468" t="s">
        <v>8916</v>
      </c>
    </row>
    <row r="1469" spans="1:2" x14ac:dyDescent="0.25">
      <c r="A1469" t="s">
        <v>891</v>
      </c>
      <c r="B1469" t="s">
        <v>8958</v>
      </c>
    </row>
    <row r="1470" spans="1:2" x14ac:dyDescent="0.25">
      <c r="A1470" t="s">
        <v>891</v>
      </c>
      <c r="B1470" t="s">
        <v>8995</v>
      </c>
    </row>
    <row r="1471" spans="1:2" x14ac:dyDescent="0.25">
      <c r="A1471" t="s">
        <v>891</v>
      </c>
      <c r="B1471" t="s">
        <v>9018</v>
      </c>
    </row>
    <row r="1472" spans="1:2" x14ac:dyDescent="0.25">
      <c r="A1472" t="s">
        <v>891</v>
      </c>
      <c r="B1472" t="s">
        <v>9106</v>
      </c>
    </row>
    <row r="1473" spans="1:2" x14ac:dyDescent="0.25">
      <c r="A1473" t="s">
        <v>891</v>
      </c>
      <c r="B1473" t="s">
        <v>9113</v>
      </c>
    </row>
    <row r="1474" spans="1:2" x14ac:dyDescent="0.25">
      <c r="A1474" t="s">
        <v>891</v>
      </c>
      <c r="B1474" t="s">
        <v>9136</v>
      </c>
    </row>
    <row r="1475" spans="1:2" x14ac:dyDescent="0.25">
      <c r="A1475" t="s">
        <v>891</v>
      </c>
      <c r="B1475" t="s">
        <v>9166</v>
      </c>
    </row>
    <row r="1476" spans="1:2" x14ac:dyDescent="0.25">
      <c r="A1476" t="s">
        <v>891</v>
      </c>
      <c r="B1476" t="s">
        <v>9241</v>
      </c>
    </row>
    <row r="1477" spans="1:2" x14ac:dyDescent="0.25">
      <c r="A1477" t="s">
        <v>891</v>
      </c>
      <c r="B1477" t="s">
        <v>9269</v>
      </c>
    </row>
    <row r="1478" spans="1:2" x14ac:dyDescent="0.25">
      <c r="A1478" t="s">
        <v>891</v>
      </c>
      <c r="B1478" t="s">
        <v>9323</v>
      </c>
    </row>
    <row r="1479" spans="1:2" x14ac:dyDescent="0.25">
      <c r="A1479" t="s">
        <v>891</v>
      </c>
      <c r="B1479" t="s">
        <v>9352</v>
      </c>
    </row>
    <row r="1480" spans="1:2" x14ac:dyDescent="0.25">
      <c r="A1480" t="s">
        <v>891</v>
      </c>
      <c r="B1480" t="s">
        <v>9379</v>
      </c>
    </row>
    <row r="1481" spans="1:2" x14ac:dyDescent="0.25">
      <c r="A1481" t="s">
        <v>891</v>
      </c>
      <c r="B1481" t="s">
        <v>9415</v>
      </c>
    </row>
    <row r="1482" spans="1:2" x14ac:dyDescent="0.25">
      <c r="A1482" t="s">
        <v>891</v>
      </c>
      <c r="B1482" t="s">
        <v>9437</v>
      </c>
    </row>
    <row r="1483" spans="1:2" x14ac:dyDescent="0.25">
      <c r="A1483" t="s">
        <v>891</v>
      </c>
      <c r="B1483" t="s">
        <v>9468</v>
      </c>
    </row>
    <row r="1484" spans="1:2" x14ac:dyDescent="0.25">
      <c r="A1484" t="s">
        <v>891</v>
      </c>
      <c r="B1484" t="s">
        <v>9474</v>
      </c>
    </row>
    <row r="1485" spans="1:2" x14ac:dyDescent="0.25">
      <c r="A1485" t="s">
        <v>891</v>
      </c>
      <c r="B1485" t="s">
        <v>8927</v>
      </c>
    </row>
    <row r="1486" spans="1:2" x14ac:dyDescent="0.25">
      <c r="A1486" t="s">
        <v>891</v>
      </c>
      <c r="B1486" t="s">
        <v>8885</v>
      </c>
    </row>
    <row r="1487" spans="1:2" x14ac:dyDescent="0.25">
      <c r="A1487" t="s">
        <v>891</v>
      </c>
      <c r="B1487" t="s">
        <v>8763</v>
      </c>
    </row>
    <row r="1488" spans="1:2" x14ac:dyDescent="0.25">
      <c r="A1488" t="s">
        <v>891</v>
      </c>
      <c r="B1488" t="s">
        <v>8576</v>
      </c>
    </row>
    <row r="1489" spans="1:2" x14ac:dyDescent="0.25">
      <c r="A1489" t="s">
        <v>891</v>
      </c>
      <c r="B1489" t="s">
        <v>9204</v>
      </c>
    </row>
    <row r="1490" spans="1:2" x14ac:dyDescent="0.25">
      <c r="A1490" t="s">
        <v>891</v>
      </c>
      <c r="B1490" t="s">
        <v>9238</v>
      </c>
    </row>
    <row r="1491" spans="1:2" x14ac:dyDescent="0.25">
      <c r="A1491" t="s">
        <v>891</v>
      </c>
      <c r="B1491" t="s">
        <v>8226</v>
      </c>
    </row>
    <row r="1492" spans="1:2" x14ac:dyDescent="0.25">
      <c r="A1492" t="s">
        <v>891</v>
      </c>
      <c r="B1492" t="s">
        <v>8297</v>
      </c>
    </row>
    <row r="1493" spans="1:2" x14ac:dyDescent="0.25">
      <c r="A1493" t="s">
        <v>891</v>
      </c>
      <c r="B1493" t="s">
        <v>10493</v>
      </c>
    </row>
    <row r="1494" spans="1:2" x14ac:dyDescent="0.25">
      <c r="A1494" t="s">
        <v>891</v>
      </c>
      <c r="B1494" t="s">
        <v>10500</v>
      </c>
    </row>
    <row r="1495" spans="1:2" x14ac:dyDescent="0.25">
      <c r="A1495" t="s">
        <v>891</v>
      </c>
      <c r="B1495" t="s">
        <v>10524</v>
      </c>
    </row>
    <row r="1496" spans="1:2" x14ac:dyDescent="0.25">
      <c r="A1496" t="s">
        <v>891</v>
      </c>
      <c r="B1496" t="s">
        <v>8833</v>
      </c>
    </row>
    <row r="1497" spans="1:2" x14ac:dyDescent="0.25">
      <c r="A1497" t="s">
        <v>891</v>
      </c>
      <c r="B1497" t="s">
        <v>9188</v>
      </c>
    </row>
    <row r="1498" spans="1:2" x14ac:dyDescent="0.25">
      <c r="A1498" t="s">
        <v>891</v>
      </c>
      <c r="B1498" t="s">
        <v>9373</v>
      </c>
    </row>
    <row r="1499" spans="1:2" x14ac:dyDescent="0.25">
      <c r="A1499" t="s">
        <v>891</v>
      </c>
      <c r="B1499" t="s">
        <v>9418</v>
      </c>
    </row>
    <row r="1500" spans="1:2" x14ac:dyDescent="0.25">
      <c r="A1500" t="s">
        <v>891</v>
      </c>
      <c r="B1500" t="s">
        <v>9475</v>
      </c>
    </row>
    <row r="1501" spans="1:2" x14ac:dyDescent="0.25">
      <c r="A1501" t="s">
        <v>891</v>
      </c>
      <c r="B1501" t="s">
        <v>10548</v>
      </c>
    </row>
    <row r="1502" spans="1:2" x14ac:dyDescent="0.25">
      <c r="A1502" t="s">
        <v>891</v>
      </c>
      <c r="B1502" t="s">
        <v>9119</v>
      </c>
    </row>
    <row r="1503" spans="1:2" x14ac:dyDescent="0.25">
      <c r="A1503" t="s">
        <v>891</v>
      </c>
      <c r="B1503" t="s">
        <v>8827</v>
      </c>
    </row>
    <row r="1504" spans="1:2" x14ac:dyDescent="0.25">
      <c r="A1504" t="s">
        <v>891</v>
      </c>
      <c r="B1504" t="s">
        <v>9050</v>
      </c>
    </row>
    <row r="1505" spans="1:2" x14ac:dyDescent="0.25">
      <c r="A1505" t="s">
        <v>891</v>
      </c>
      <c r="B1505" t="s">
        <v>8974</v>
      </c>
    </row>
    <row r="1506" spans="1:2" x14ac:dyDescent="0.25">
      <c r="A1506" t="s">
        <v>891</v>
      </c>
      <c r="B1506" t="s">
        <v>9028</v>
      </c>
    </row>
    <row r="1507" spans="1:2" x14ac:dyDescent="0.25">
      <c r="A1507" t="s">
        <v>891</v>
      </c>
      <c r="B1507" t="s">
        <v>9063</v>
      </c>
    </row>
    <row r="1508" spans="1:2" x14ac:dyDescent="0.25">
      <c r="A1508" t="s">
        <v>891</v>
      </c>
      <c r="B1508" t="s">
        <v>11832</v>
      </c>
    </row>
    <row r="1509" spans="1:2" x14ac:dyDescent="0.25">
      <c r="A1509" t="s">
        <v>891</v>
      </c>
      <c r="B1509" t="s">
        <v>9391</v>
      </c>
    </row>
    <row r="1510" spans="1:2" x14ac:dyDescent="0.25">
      <c r="A1510" t="s">
        <v>891</v>
      </c>
      <c r="B1510" t="s">
        <v>9449</v>
      </c>
    </row>
    <row r="1511" spans="1:2" x14ac:dyDescent="0.25">
      <c r="A1511" t="s">
        <v>891</v>
      </c>
      <c r="B1511" t="s">
        <v>10546</v>
      </c>
    </row>
    <row r="1512" spans="1:2" x14ac:dyDescent="0.25">
      <c r="A1512" t="s">
        <v>891</v>
      </c>
      <c r="B1512" t="s">
        <v>8790</v>
      </c>
    </row>
    <row r="1513" spans="1:2" x14ac:dyDescent="0.25">
      <c r="A1513" t="s">
        <v>891</v>
      </c>
      <c r="B1513" t="s">
        <v>8932</v>
      </c>
    </row>
    <row r="1514" spans="1:2" x14ac:dyDescent="0.25">
      <c r="A1514" t="s">
        <v>891</v>
      </c>
      <c r="B1514" t="s">
        <v>8767</v>
      </c>
    </row>
    <row r="1515" spans="1:2" x14ac:dyDescent="0.25">
      <c r="A1515" t="s">
        <v>891</v>
      </c>
      <c r="B1515" t="s">
        <v>8882</v>
      </c>
    </row>
    <row r="1516" spans="1:2" x14ac:dyDescent="0.25">
      <c r="A1516" t="s">
        <v>891</v>
      </c>
      <c r="B1516" t="s">
        <v>9221</v>
      </c>
    </row>
    <row r="1517" spans="1:2" x14ac:dyDescent="0.25">
      <c r="A1517" t="s">
        <v>891</v>
      </c>
      <c r="B1517" t="s">
        <v>12530</v>
      </c>
    </row>
    <row r="1518" spans="1:2" x14ac:dyDescent="0.25">
      <c r="A1518" t="s">
        <v>891</v>
      </c>
      <c r="B1518" t="s">
        <v>10451</v>
      </c>
    </row>
    <row r="1519" spans="1:2" x14ac:dyDescent="0.25">
      <c r="A1519" t="s">
        <v>891</v>
      </c>
      <c r="B1519" t="s">
        <v>8259</v>
      </c>
    </row>
    <row r="1520" spans="1:2" x14ac:dyDescent="0.25">
      <c r="A1520" t="s">
        <v>891</v>
      </c>
      <c r="B1520" t="s">
        <v>10931</v>
      </c>
    </row>
    <row r="1521" spans="1:2" x14ac:dyDescent="0.25">
      <c r="A1521" t="s">
        <v>891</v>
      </c>
      <c r="B1521" t="s">
        <v>9203</v>
      </c>
    </row>
    <row r="1522" spans="1:2" x14ac:dyDescent="0.25">
      <c r="A1522" t="s">
        <v>891</v>
      </c>
      <c r="B1522" t="s">
        <v>10781</v>
      </c>
    </row>
    <row r="1523" spans="1:2" x14ac:dyDescent="0.25">
      <c r="A1523" t="s">
        <v>891</v>
      </c>
      <c r="B1523" t="s">
        <v>10492</v>
      </c>
    </row>
    <row r="1524" spans="1:2" x14ac:dyDescent="0.25">
      <c r="A1524" t="s">
        <v>891</v>
      </c>
      <c r="B1524" t="s">
        <v>11721</v>
      </c>
    </row>
    <row r="1525" spans="1:2" x14ac:dyDescent="0.25">
      <c r="A1525" t="s">
        <v>891</v>
      </c>
      <c r="B1525" t="s">
        <v>10520</v>
      </c>
    </row>
    <row r="1526" spans="1:2" x14ac:dyDescent="0.25">
      <c r="A1526" t="s">
        <v>891</v>
      </c>
      <c r="B1526" t="s">
        <v>10498</v>
      </c>
    </row>
    <row r="1527" spans="1:2" x14ac:dyDescent="0.25">
      <c r="A1527" t="s">
        <v>891</v>
      </c>
      <c r="B1527" t="s">
        <v>10514</v>
      </c>
    </row>
    <row r="1528" spans="1:2" x14ac:dyDescent="0.25">
      <c r="A1528" t="s">
        <v>891</v>
      </c>
      <c r="B1528" t="s">
        <v>8214</v>
      </c>
    </row>
    <row r="1529" spans="1:2" x14ac:dyDescent="0.25">
      <c r="A1529" t="s">
        <v>891</v>
      </c>
      <c r="B1529" t="s">
        <v>8586</v>
      </c>
    </row>
    <row r="1530" spans="1:2" x14ac:dyDescent="0.25">
      <c r="A1530" t="s">
        <v>891</v>
      </c>
      <c r="B1530" t="s">
        <v>9020</v>
      </c>
    </row>
    <row r="1531" spans="1:2" x14ac:dyDescent="0.25">
      <c r="A1531" t="s">
        <v>891</v>
      </c>
      <c r="B1531" t="s">
        <v>8237</v>
      </c>
    </row>
    <row r="1532" spans="1:2" x14ac:dyDescent="0.25">
      <c r="A1532" t="s">
        <v>891</v>
      </c>
      <c r="B1532" t="s">
        <v>8312</v>
      </c>
    </row>
    <row r="1533" spans="1:2" x14ac:dyDescent="0.25">
      <c r="A1533" t="s">
        <v>891</v>
      </c>
      <c r="B1533" t="s">
        <v>9301</v>
      </c>
    </row>
    <row r="1534" spans="1:2" x14ac:dyDescent="0.25">
      <c r="A1534" t="s">
        <v>891</v>
      </c>
      <c r="B1534" t="s">
        <v>9094</v>
      </c>
    </row>
    <row r="1535" spans="1:2" x14ac:dyDescent="0.25">
      <c r="A1535" t="s">
        <v>891</v>
      </c>
      <c r="B1535" t="s">
        <v>11844</v>
      </c>
    </row>
    <row r="1536" spans="1:2" x14ac:dyDescent="0.25">
      <c r="A1536" t="s">
        <v>891</v>
      </c>
      <c r="B1536" t="s">
        <v>9280</v>
      </c>
    </row>
    <row r="1537" spans="1:2" x14ac:dyDescent="0.25">
      <c r="A1537" t="s">
        <v>891</v>
      </c>
      <c r="B1537" t="s">
        <v>8782</v>
      </c>
    </row>
    <row r="1538" spans="1:2" x14ac:dyDescent="0.25">
      <c r="A1538" t="s">
        <v>891</v>
      </c>
      <c r="B1538" t="s">
        <v>9278</v>
      </c>
    </row>
    <row r="1539" spans="1:2" x14ac:dyDescent="0.25">
      <c r="A1539" t="s">
        <v>891</v>
      </c>
      <c r="B1539" t="s">
        <v>8807</v>
      </c>
    </row>
    <row r="1540" spans="1:2" x14ac:dyDescent="0.25">
      <c r="A1540" t="s">
        <v>891</v>
      </c>
      <c r="B1540" t="s">
        <v>9152</v>
      </c>
    </row>
    <row r="1541" spans="1:2" x14ac:dyDescent="0.25">
      <c r="A1541" t="s">
        <v>891</v>
      </c>
      <c r="B1541" t="s">
        <v>9210</v>
      </c>
    </row>
    <row r="1542" spans="1:2" x14ac:dyDescent="0.25">
      <c r="A1542" t="s">
        <v>891</v>
      </c>
      <c r="B1542" t="s">
        <v>9266</v>
      </c>
    </row>
    <row r="1543" spans="1:2" x14ac:dyDescent="0.25">
      <c r="A1543" t="s">
        <v>891</v>
      </c>
      <c r="B1543" t="s">
        <v>9126</v>
      </c>
    </row>
    <row r="1544" spans="1:2" x14ac:dyDescent="0.25">
      <c r="A1544" t="s">
        <v>891</v>
      </c>
      <c r="B1544" t="s">
        <v>9358</v>
      </c>
    </row>
    <row r="1545" spans="1:2" x14ac:dyDescent="0.25">
      <c r="A1545" t="s">
        <v>891</v>
      </c>
      <c r="B1545" t="s">
        <v>8990</v>
      </c>
    </row>
    <row r="1546" spans="1:2" x14ac:dyDescent="0.25">
      <c r="A1546" t="s">
        <v>891</v>
      </c>
      <c r="B1546" t="s">
        <v>9279</v>
      </c>
    </row>
    <row r="1547" spans="1:2" x14ac:dyDescent="0.25">
      <c r="A1547" t="s">
        <v>891</v>
      </c>
      <c r="B1547" t="s">
        <v>8799</v>
      </c>
    </row>
    <row r="1548" spans="1:2" x14ac:dyDescent="0.25">
      <c r="A1548" t="s">
        <v>891</v>
      </c>
      <c r="B1548" t="s">
        <v>8954</v>
      </c>
    </row>
    <row r="1549" spans="1:2" x14ac:dyDescent="0.25">
      <c r="A1549" t="s">
        <v>891</v>
      </c>
      <c r="B1549" t="s">
        <v>9214</v>
      </c>
    </row>
    <row r="1550" spans="1:2" x14ac:dyDescent="0.25">
      <c r="A1550" t="s">
        <v>891</v>
      </c>
      <c r="B1550" t="s">
        <v>9434</v>
      </c>
    </row>
    <row r="1551" spans="1:2" x14ac:dyDescent="0.25">
      <c r="A1551" t="s">
        <v>891</v>
      </c>
      <c r="B1551" t="s">
        <v>9348</v>
      </c>
    </row>
    <row r="1552" spans="1:2" x14ac:dyDescent="0.25">
      <c r="A1552" t="s">
        <v>891</v>
      </c>
      <c r="B1552" t="s">
        <v>8820</v>
      </c>
    </row>
    <row r="1553" spans="1:2" x14ac:dyDescent="0.25">
      <c r="A1553" t="s">
        <v>891</v>
      </c>
      <c r="B1553" t="s">
        <v>9197</v>
      </c>
    </row>
    <row r="1554" spans="1:2" x14ac:dyDescent="0.25">
      <c r="A1554" t="s">
        <v>891</v>
      </c>
      <c r="B1554" t="s">
        <v>8736</v>
      </c>
    </row>
    <row r="1555" spans="1:2" x14ac:dyDescent="0.25">
      <c r="A1555" t="s">
        <v>891</v>
      </c>
      <c r="B1555" t="s">
        <v>12437</v>
      </c>
    </row>
    <row r="1556" spans="1:2" x14ac:dyDescent="0.25">
      <c r="A1556" t="s">
        <v>891</v>
      </c>
      <c r="B1556" t="s">
        <v>9107</v>
      </c>
    </row>
    <row r="1557" spans="1:2" x14ac:dyDescent="0.25">
      <c r="A1557" t="s">
        <v>891</v>
      </c>
      <c r="B1557" t="s">
        <v>9322</v>
      </c>
    </row>
    <row r="1558" spans="1:2" x14ac:dyDescent="0.25">
      <c r="A1558" t="s">
        <v>891</v>
      </c>
      <c r="B1558" t="s">
        <v>9374</v>
      </c>
    </row>
    <row r="1559" spans="1:2" x14ac:dyDescent="0.25">
      <c r="A1559" t="s">
        <v>891</v>
      </c>
      <c r="B1559" t="s">
        <v>8818</v>
      </c>
    </row>
    <row r="1560" spans="1:2" x14ac:dyDescent="0.25">
      <c r="A1560" t="s">
        <v>891</v>
      </c>
      <c r="B1560" t="s">
        <v>9416</v>
      </c>
    </row>
    <row r="1561" spans="1:2" x14ac:dyDescent="0.25">
      <c r="A1561" t="s">
        <v>891</v>
      </c>
      <c r="B1561" t="s">
        <v>8968</v>
      </c>
    </row>
    <row r="1562" spans="1:2" x14ac:dyDescent="0.25">
      <c r="A1562" t="s">
        <v>891</v>
      </c>
      <c r="B1562" t="s">
        <v>9387</v>
      </c>
    </row>
    <row r="1563" spans="1:2" x14ac:dyDescent="0.25">
      <c r="A1563" t="s">
        <v>891</v>
      </c>
      <c r="B1563" t="s">
        <v>8837</v>
      </c>
    </row>
    <row r="1564" spans="1:2" x14ac:dyDescent="0.25">
      <c r="A1564" t="s">
        <v>891</v>
      </c>
      <c r="B1564" t="s">
        <v>8982</v>
      </c>
    </row>
    <row r="1565" spans="1:2" x14ac:dyDescent="0.25">
      <c r="A1565" t="s">
        <v>891</v>
      </c>
      <c r="B1565" t="s">
        <v>9083</v>
      </c>
    </row>
    <row r="1566" spans="1:2" x14ac:dyDescent="0.25">
      <c r="A1566" t="s">
        <v>891</v>
      </c>
      <c r="B1566" t="s">
        <v>8766</v>
      </c>
    </row>
    <row r="1567" spans="1:2" x14ac:dyDescent="0.25">
      <c r="A1567" t="s">
        <v>891</v>
      </c>
      <c r="B1567" t="s">
        <v>9172</v>
      </c>
    </row>
    <row r="1568" spans="1:2" x14ac:dyDescent="0.25">
      <c r="A1568" t="s">
        <v>891</v>
      </c>
      <c r="B1568" t="s">
        <v>9208</v>
      </c>
    </row>
    <row r="1569" spans="1:2" x14ac:dyDescent="0.25">
      <c r="A1569" t="s">
        <v>891</v>
      </c>
      <c r="B1569" t="s">
        <v>9256</v>
      </c>
    </row>
    <row r="1570" spans="1:2" x14ac:dyDescent="0.25">
      <c r="A1570" t="s">
        <v>891</v>
      </c>
      <c r="B1570" t="s">
        <v>9402</v>
      </c>
    </row>
    <row r="1571" spans="1:2" x14ac:dyDescent="0.25">
      <c r="A1571" t="s">
        <v>891</v>
      </c>
      <c r="B1571" t="s">
        <v>9042</v>
      </c>
    </row>
    <row r="1572" spans="1:2" x14ac:dyDescent="0.25">
      <c r="A1572" t="s">
        <v>891</v>
      </c>
      <c r="B1572" t="s">
        <v>8302</v>
      </c>
    </row>
    <row r="1573" spans="1:2" x14ac:dyDescent="0.25">
      <c r="A1573" t="s">
        <v>891</v>
      </c>
      <c r="B1573" t="s">
        <v>8783</v>
      </c>
    </row>
    <row r="1574" spans="1:2" x14ac:dyDescent="0.25">
      <c r="A1574" t="s">
        <v>891</v>
      </c>
      <c r="B1574" t="s">
        <v>9476</v>
      </c>
    </row>
    <row r="1575" spans="1:2" x14ac:dyDescent="0.25">
      <c r="A1575" t="s">
        <v>891</v>
      </c>
      <c r="B1575" t="s">
        <v>9209</v>
      </c>
    </row>
    <row r="1576" spans="1:2" x14ac:dyDescent="0.25">
      <c r="A1576" t="s">
        <v>891</v>
      </c>
      <c r="B1576" t="s">
        <v>9433</v>
      </c>
    </row>
    <row r="1577" spans="1:2" x14ac:dyDescent="0.25">
      <c r="A1577" t="s">
        <v>891</v>
      </c>
      <c r="B1577" t="s">
        <v>8757</v>
      </c>
    </row>
    <row r="1578" spans="1:2" x14ac:dyDescent="0.25">
      <c r="A1578" t="s">
        <v>891</v>
      </c>
      <c r="B1578" t="s">
        <v>9175</v>
      </c>
    </row>
    <row r="1579" spans="1:2" x14ac:dyDescent="0.25">
      <c r="A1579" t="s">
        <v>891</v>
      </c>
      <c r="B1579" t="s">
        <v>8819</v>
      </c>
    </row>
    <row r="1580" spans="1:2" x14ac:dyDescent="0.25">
      <c r="A1580" t="s">
        <v>891</v>
      </c>
      <c r="B1580" t="s">
        <v>9125</v>
      </c>
    </row>
    <row r="1581" spans="1:2" x14ac:dyDescent="0.25">
      <c r="A1581" t="s">
        <v>891</v>
      </c>
      <c r="B1581" t="s">
        <v>9288</v>
      </c>
    </row>
    <row r="1582" spans="1:2" x14ac:dyDescent="0.25">
      <c r="A1582" t="s">
        <v>891</v>
      </c>
      <c r="B1582" t="s">
        <v>9409</v>
      </c>
    </row>
    <row r="1583" spans="1:2" x14ac:dyDescent="0.25">
      <c r="A1583" t="s">
        <v>891</v>
      </c>
      <c r="B1583" t="s">
        <v>9040</v>
      </c>
    </row>
    <row r="1584" spans="1:2" x14ac:dyDescent="0.25">
      <c r="A1584" t="s">
        <v>891</v>
      </c>
      <c r="B1584" t="s">
        <v>11824</v>
      </c>
    </row>
    <row r="1585" spans="1:2" x14ac:dyDescent="0.25">
      <c r="A1585" t="s">
        <v>891</v>
      </c>
      <c r="B1585" t="s">
        <v>9494</v>
      </c>
    </row>
    <row r="1586" spans="1:2" x14ac:dyDescent="0.25">
      <c r="A1586" t="s">
        <v>891</v>
      </c>
      <c r="B1586" t="s">
        <v>8247</v>
      </c>
    </row>
    <row r="1587" spans="1:2" x14ac:dyDescent="0.25">
      <c r="A1587" t="s">
        <v>891</v>
      </c>
      <c r="B1587" t="s">
        <v>9326</v>
      </c>
    </row>
    <row r="1588" spans="1:2" x14ac:dyDescent="0.25">
      <c r="A1588" t="s">
        <v>891</v>
      </c>
      <c r="B1588" t="s">
        <v>8789</v>
      </c>
    </row>
    <row r="1589" spans="1:2" x14ac:dyDescent="0.25">
      <c r="A1589" t="s">
        <v>891</v>
      </c>
      <c r="B1589" t="s">
        <v>8811</v>
      </c>
    </row>
    <row r="1590" spans="1:2" x14ac:dyDescent="0.25">
      <c r="A1590" t="s">
        <v>891</v>
      </c>
      <c r="B1590" t="s">
        <v>8889</v>
      </c>
    </row>
    <row r="1591" spans="1:2" x14ac:dyDescent="0.25">
      <c r="A1591" t="s">
        <v>891</v>
      </c>
      <c r="B1591" t="s">
        <v>9155</v>
      </c>
    </row>
    <row r="1592" spans="1:2" x14ac:dyDescent="0.25">
      <c r="A1592" t="s">
        <v>891</v>
      </c>
      <c r="B1592" t="s">
        <v>12520</v>
      </c>
    </row>
    <row r="1593" spans="1:2" x14ac:dyDescent="0.25">
      <c r="A1593" t="s">
        <v>891</v>
      </c>
      <c r="B1593" t="s">
        <v>9215</v>
      </c>
    </row>
    <row r="1594" spans="1:2" x14ac:dyDescent="0.25">
      <c r="A1594" t="s">
        <v>891</v>
      </c>
      <c r="B1594" t="s">
        <v>9252</v>
      </c>
    </row>
    <row r="1595" spans="1:2" x14ac:dyDescent="0.25">
      <c r="A1595" t="s">
        <v>891</v>
      </c>
      <c r="B1595" t="s">
        <v>9446</v>
      </c>
    </row>
    <row r="1596" spans="1:2" x14ac:dyDescent="0.25">
      <c r="A1596" t="s">
        <v>891</v>
      </c>
      <c r="B1596" t="s">
        <v>8957</v>
      </c>
    </row>
    <row r="1597" spans="1:2" x14ac:dyDescent="0.25">
      <c r="A1597" t="s">
        <v>891</v>
      </c>
      <c r="B1597" t="s">
        <v>9198</v>
      </c>
    </row>
    <row r="1598" spans="1:2" x14ac:dyDescent="0.25">
      <c r="A1598" t="s">
        <v>891</v>
      </c>
      <c r="B1598" t="s">
        <v>11847</v>
      </c>
    </row>
    <row r="1599" spans="1:2" x14ac:dyDescent="0.25">
      <c r="A1599" t="s">
        <v>891</v>
      </c>
      <c r="B1599" t="s">
        <v>9405</v>
      </c>
    </row>
    <row r="1600" spans="1:2" x14ac:dyDescent="0.25">
      <c r="A1600" t="s">
        <v>891</v>
      </c>
      <c r="B1600" t="s">
        <v>9495</v>
      </c>
    </row>
    <row r="1601" spans="1:2" x14ac:dyDescent="0.25">
      <c r="A1601" t="s">
        <v>891</v>
      </c>
      <c r="B1601" t="s">
        <v>9027</v>
      </c>
    </row>
    <row r="1602" spans="1:2" x14ac:dyDescent="0.25">
      <c r="A1602" t="s">
        <v>891</v>
      </c>
      <c r="B1602" t="s">
        <v>9315</v>
      </c>
    </row>
    <row r="1603" spans="1:2" x14ac:dyDescent="0.25">
      <c r="A1603" t="s">
        <v>891</v>
      </c>
      <c r="B1603" t="s">
        <v>9369</v>
      </c>
    </row>
    <row r="1604" spans="1:2" x14ac:dyDescent="0.25">
      <c r="A1604" t="s">
        <v>891</v>
      </c>
      <c r="B1604" t="s">
        <v>9423</v>
      </c>
    </row>
    <row r="1605" spans="1:2" x14ac:dyDescent="0.25">
      <c r="A1605" t="s">
        <v>891</v>
      </c>
      <c r="B1605" t="s">
        <v>9450</v>
      </c>
    </row>
    <row r="1606" spans="1:2" x14ac:dyDescent="0.25">
      <c r="A1606" t="s">
        <v>891</v>
      </c>
      <c r="B1606" t="s">
        <v>9420</v>
      </c>
    </row>
    <row r="1607" spans="1:2" x14ac:dyDescent="0.25">
      <c r="A1607" t="s">
        <v>891</v>
      </c>
      <c r="B1607" t="s">
        <v>8895</v>
      </c>
    </row>
    <row r="1608" spans="1:2" x14ac:dyDescent="0.25">
      <c r="A1608" t="s">
        <v>891</v>
      </c>
      <c r="B1608" t="s">
        <v>8254</v>
      </c>
    </row>
    <row r="1609" spans="1:2" x14ac:dyDescent="0.25">
      <c r="A1609" t="s">
        <v>891</v>
      </c>
      <c r="B1609" t="s">
        <v>9478</v>
      </c>
    </row>
    <row r="1610" spans="1:2" x14ac:dyDescent="0.25">
      <c r="A1610" t="s">
        <v>891</v>
      </c>
      <c r="B1610" t="s">
        <v>8241</v>
      </c>
    </row>
    <row r="1611" spans="1:2" x14ac:dyDescent="0.25">
      <c r="A1611" t="s">
        <v>891</v>
      </c>
      <c r="B1611" t="s">
        <v>8258</v>
      </c>
    </row>
    <row r="1612" spans="1:2" x14ac:dyDescent="0.25">
      <c r="A1612" t="s">
        <v>891</v>
      </c>
      <c r="B1612" t="s">
        <v>10821</v>
      </c>
    </row>
    <row r="1613" spans="1:2" x14ac:dyDescent="0.25">
      <c r="A1613" t="s">
        <v>891</v>
      </c>
      <c r="B1613" t="s">
        <v>14502</v>
      </c>
    </row>
    <row r="1614" spans="1:2" x14ac:dyDescent="0.25">
      <c r="A1614" t="s">
        <v>891</v>
      </c>
      <c r="B1614" t="s">
        <v>9502</v>
      </c>
    </row>
    <row r="1615" spans="1:2" x14ac:dyDescent="0.25">
      <c r="A1615" t="s">
        <v>891</v>
      </c>
      <c r="B1615" t="s">
        <v>12537</v>
      </c>
    </row>
    <row r="1616" spans="1:2" x14ac:dyDescent="0.25">
      <c r="A1616" t="s">
        <v>891</v>
      </c>
      <c r="B1616" t="s">
        <v>12812</v>
      </c>
    </row>
    <row r="1617" spans="1:2" x14ac:dyDescent="0.25">
      <c r="A1617" t="s">
        <v>891</v>
      </c>
      <c r="B1617" t="s">
        <v>12851</v>
      </c>
    </row>
    <row r="1618" spans="1:2" x14ac:dyDescent="0.25">
      <c r="A1618" t="s">
        <v>891</v>
      </c>
      <c r="B1618" t="s">
        <v>13621</v>
      </c>
    </row>
    <row r="1619" spans="1:2" x14ac:dyDescent="0.25">
      <c r="A1619" t="s">
        <v>891</v>
      </c>
      <c r="B1619" t="s">
        <v>13653</v>
      </c>
    </row>
    <row r="1620" spans="1:2" x14ac:dyDescent="0.25">
      <c r="A1620" t="s">
        <v>891</v>
      </c>
      <c r="B1620" t="s">
        <v>14277</v>
      </c>
    </row>
    <row r="1621" spans="1:2" x14ac:dyDescent="0.25">
      <c r="A1621" t="s">
        <v>891</v>
      </c>
      <c r="B1621" t="s">
        <v>13708</v>
      </c>
    </row>
    <row r="1622" spans="1:2" x14ac:dyDescent="0.25">
      <c r="A1622" t="s">
        <v>891</v>
      </c>
      <c r="B1622" t="s">
        <v>14286</v>
      </c>
    </row>
    <row r="1623" spans="1:2" x14ac:dyDescent="0.25">
      <c r="A1623" t="s">
        <v>891</v>
      </c>
      <c r="B1623" t="s">
        <v>14288</v>
      </c>
    </row>
    <row r="1624" spans="1:2" x14ac:dyDescent="0.25">
      <c r="A1624" t="s">
        <v>891</v>
      </c>
      <c r="B1624" t="s">
        <v>14289</v>
      </c>
    </row>
    <row r="1625" spans="1:2" x14ac:dyDescent="0.25">
      <c r="A1625" t="s">
        <v>891</v>
      </c>
      <c r="B1625" t="s">
        <v>14290</v>
      </c>
    </row>
    <row r="1626" spans="1:2" x14ac:dyDescent="0.25">
      <c r="A1626" t="s">
        <v>891</v>
      </c>
      <c r="B1626" t="s">
        <v>14302</v>
      </c>
    </row>
    <row r="1627" spans="1:2" x14ac:dyDescent="0.25">
      <c r="A1627" t="s">
        <v>891</v>
      </c>
      <c r="B1627" t="s">
        <v>13746</v>
      </c>
    </row>
    <row r="1628" spans="1:2" x14ac:dyDescent="0.25">
      <c r="A1628" t="s">
        <v>891</v>
      </c>
      <c r="B1628" t="s">
        <v>13749</v>
      </c>
    </row>
    <row r="1629" spans="1:2" x14ac:dyDescent="0.25">
      <c r="A1629" t="s">
        <v>891</v>
      </c>
      <c r="B1629" t="s">
        <v>13810</v>
      </c>
    </row>
    <row r="1630" spans="1:2" x14ac:dyDescent="0.25">
      <c r="A1630" t="s">
        <v>891</v>
      </c>
      <c r="B1630" t="s">
        <v>13977</v>
      </c>
    </row>
    <row r="1631" spans="1:2" x14ac:dyDescent="0.25">
      <c r="A1631" t="s">
        <v>891</v>
      </c>
      <c r="B1631" t="s">
        <v>13985</v>
      </c>
    </row>
    <row r="1632" spans="1:2" x14ac:dyDescent="0.25">
      <c r="A1632" t="s">
        <v>891</v>
      </c>
      <c r="B1632" t="s">
        <v>14045</v>
      </c>
    </row>
    <row r="1633" spans="1:2" x14ac:dyDescent="0.25">
      <c r="A1633" t="s">
        <v>891</v>
      </c>
      <c r="B1633" t="s">
        <v>14122</v>
      </c>
    </row>
    <row r="1634" spans="1:2" x14ac:dyDescent="0.25">
      <c r="A1634" t="s">
        <v>891</v>
      </c>
      <c r="B1634" t="s">
        <v>14155</v>
      </c>
    </row>
    <row r="1635" spans="1:2" x14ac:dyDescent="0.25">
      <c r="A1635" t="s">
        <v>891</v>
      </c>
      <c r="B1635" t="s">
        <v>14171</v>
      </c>
    </row>
    <row r="1636" spans="1:2" x14ac:dyDescent="0.25">
      <c r="A1636" t="s">
        <v>891</v>
      </c>
      <c r="B1636" t="s">
        <v>14251</v>
      </c>
    </row>
    <row r="1637" spans="1:2" x14ac:dyDescent="0.25">
      <c r="A1637" t="s">
        <v>891</v>
      </c>
      <c r="B1637" t="s">
        <v>14314</v>
      </c>
    </row>
    <row r="1638" spans="1:2" x14ac:dyDescent="0.25">
      <c r="A1638" t="s">
        <v>891</v>
      </c>
      <c r="B1638" t="s">
        <v>14376</v>
      </c>
    </row>
    <row r="1639" spans="1:2" x14ac:dyDescent="0.25">
      <c r="A1639" t="s">
        <v>891</v>
      </c>
      <c r="B1639" t="s">
        <v>14407</v>
      </c>
    </row>
    <row r="1640" spans="1:2" x14ac:dyDescent="0.25">
      <c r="A1640" t="s">
        <v>891</v>
      </c>
      <c r="B1640" t="s">
        <v>14442</v>
      </c>
    </row>
    <row r="1641" spans="1:2" x14ac:dyDescent="0.25">
      <c r="A1641" t="s">
        <v>891</v>
      </c>
      <c r="B1641" t="s">
        <v>14457</v>
      </c>
    </row>
    <row r="1642" spans="1:2" x14ac:dyDescent="0.25">
      <c r="A1642" t="s">
        <v>891</v>
      </c>
      <c r="B1642" t="s">
        <v>14467</v>
      </c>
    </row>
    <row r="1643" spans="1:2" x14ac:dyDescent="0.25">
      <c r="A1643" t="s">
        <v>891</v>
      </c>
      <c r="B1643" t="s">
        <v>14484</v>
      </c>
    </row>
    <row r="1644" spans="1:2" x14ac:dyDescent="0.25">
      <c r="A1644" t="s">
        <v>891</v>
      </c>
      <c r="B1644" t="s">
        <v>14488</v>
      </c>
    </row>
    <row r="1645" spans="1:2" x14ac:dyDescent="0.25">
      <c r="A1645" t="s">
        <v>891</v>
      </c>
      <c r="B1645" t="s">
        <v>14492</v>
      </c>
    </row>
    <row r="1646" spans="1:2" x14ac:dyDescent="0.25">
      <c r="A1646" t="s">
        <v>891</v>
      </c>
      <c r="B1646" t="s">
        <v>14496</v>
      </c>
    </row>
    <row r="1647" spans="1:2" x14ac:dyDescent="0.25">
      <c r="A1647" t="s">
        <v>891</v>
      </c>
      <c r="B1647" t="s">
        <v>14505</v>
      </c>
    </row>
    <row r="1648" spans="1:2" x14ac:dyDescent="0.25">
      <c r="A1648" t="s">
        <v>891</v>
      </c>
      <c r="B1648" t="s">
        <v>14509</v>
      </c>
    </row>
    <row r="1649" spans="1:2" x14ac:dyDescent="0.25">
      <c r="A1649" t="s">
        <v>891</v>
      </c>
      <c r="B1649" t="s">
        <v>14514</v>
      </c>
    </row>
    <row r="1650" spans="1:2" x14ac:dyDescent="0.25">
      <c r="A1650" t="s">
        <v>891</v>
      </c>
      <c r="B1650" t="s">
        <v>14518</v>
      </c>
    </row>
    <row r="1651" spans="1:2" x14ac:dyDescent="0.25">
      <c r="A1651" t="s">
        <v>891</v>
      </c>
      <c r="B1651" t="s">
        <v>14524</v>
      </c>
    </row>
    <row r="1652" spans="1:2" x14ac:dyDescent="0.25">
      <c r="A1652" t="s">
        <v>891</v>
      </c>
      <c r="B1652" t="s">
        <v>14667</v>
      </c>
    </row>
    <row r="1653" spans="1:2" x14ac:dyDescent="0.25">
      <c r="A1653" t="s">
        <v>891</v>
      </c>
      <c r="B1653" t="s">
        <v>14679</v>
      </c>
    </row>
    <row r="1654" spans="1:2" x14ac:dyDescent="0.25">
      <c r="A1654" t="s">
        <v>357</v>
      </c>
      <c r="B1654" t="s">
        <v>8278</v>
      </c>
    </row>
    <row r="1655" spans="1:2" x14ac:dyDescent="0.25">
      <c r="A1655" t="s">
        <v>535</v>
      </c>
      <c r="B1655" t="s">
        <v>14389</v>
      </c>
    </row>
    <row r="1656" spans="1:2" x14ac:dyDescent="0.25">
      <c r="A1656" t="s">
        <v>535</v>
      </c>
      <c r="B1656" t="s">
        <v>8156</v>
      </c>
    </row>
    <row r="1657" spans="1:2" x14ac:dyDescent="0.25">
      <c r="A1657" t="s">
        <v>535</v>
      </c>
      <c r="B1657" t="s">
        <v>11737</v>
      </c>
    </row>
    <row r="1658" spans="1:2" x14ac:dyDescent="0.25">
      <c r="A1658" t="s">
        <v>535</v>
      </c>
      <c r="B1658" t="s">
        <v>14390</v>
      </c>
    </row>
    <row r="1659" spans="1:2" x14ac:dyDescent="0.25">
      <c r="A1659" t="s">
        <v>535</v>
      </c>
      <c r="B1659" t="s">
        <v>8095</v>
      </c>
    </row>
    <row r="1660" spans="1:2" x14ac:dyDescent="0.25">
      <c r="A1660" t="s">
        <v>535</v>
      </c>
      <c r="B1660" t="s">
        <v>8709</v>
      </c>
    </row>
    <row r="1661" spans="1:2" x14ac:dyDescent="0.25">
      <c r="A1661" t="s">
        <v>535</v>
      </c>
      <c r="B1661" t="s">
        <v>11776</v>
      </c>
    </row>
    <row r="1662" spans="1:2" x14ac:dyDescent="0.25">
      <c r="A1662" t="s">
        <v>535</v>
      </c>
      <c r="B1662" t="s">
        <v>14607</v>
      </c>
    </row>
    <row r="1663" spans="1:2" x14ac:dyDescent="0.25">
      <c r="A1663" t="s">
        <v>535</v>
      </c>
      <c r="B1663" t="s">
        <v>11748</v>
      </c>
    </row>
    <row r="1664" spans="1:2" x14ac:dyDescent="0.25">
      <c r="A1664" t="s">
        <v>535</v>
      </c>
      <c r="B1664" t="s">
        <v>8710</v>
      </c>
    </row>
    <row r="1665" spans="1:2" x14ac:dyDescent="0.25">
      <c r="A1665" t="s">
        <v>535</v>
      </c>
      <c r="B1665" t="s">
        <v>8711</v>
      </c>
    </row>
    <row r="1666" spans="1:2" x14ac:dyDescent="0.25">
      <c r="A1666" t="s">
        <v>535</v>
      </c>
      <c r="B1666" t="s">
        <v>8715</v>
      </c>
    </row>
    <row r="1667" spans="1:2" x14ac:dyDescent="0.25">
      <c r="A1667" t="s">
        <v>535</v>
      </c>
      <c r="B1667" t="s">
        <v>8739</v>
      </c>
    </row>
    <row r="1668" spans="1:2" x14ac:dyDescent="0.25">
      <c r="A1668" t="s">
        <v>535</v>
      </c>
      <c r="B1668" t="s">
        <v>9054</v>
      </c>
    </row>
    <row r="1669" spans="1:2" x14ac:dyDescent="0.25">
      <c r="A1669" t="s">
        <v>535</v>
      </c>
      <c r="B1669" t="s">
        <v>8708</v>
      </c>
    </row>
    <row r="1670" spans="1:2" x14ac:dyDescent="0.25">
      <c r="A1670" t="s">
        <v>535</v>
      </c>
      <c r="B1670" t="s">
        <v>8717</v>
      </c>
    </row>
    <row r="1671" spans="1:2" x14ac:dyDescent="0.25">
      <c r="A1671" t="s">
        <v>535</v>
      </c>
      <c r="B1671" t="s">
        <v>10784</v>
      </c>
    </row>
    <row r="1672" spans="1:2" x14ac:dyDescent="0.25">
      <c r="A1672" t="s">
        <v>179</v>
      </c>
      <c r="B1672" t="s">
        <v>8697</v>
      </c>
    </row>
    <row r="1673" spans="1:2" x14ac:dyDescent="0.25">
      <c r="A1673" t="s">
        <v>179</v>
      </c>
      <c r="B1673" t="s">
        <v>8698</v>
      </c>
    </row>
    <row r="1674" spans="1:2" x14ac:dyDescent="0.25">
      <c r="A1674" t="s">
        <v>179</v>
      </c>
      <c r="B1674" t="s">
        <v>8720</v>
      </c>
    </row>
    <row r="1675" spans="1:2" x14ac:dyDescent="0.25">
      <c r="A1675" t="s">
        <v>179</v>
      </c>
      <c r="B1675" t="s">
        <v>8699</v>
      </c>
    </row>
    <row r="1676" spans="1:2" x14ac:dyDescent="0.25">
      <c r="A1676" t="s">
        <v>179</v>
      </c>
      <c r="B1676" t="s">
        <v>10949</v>
      </c>
    </row>
    <row r="1677" spans="1:2" x14ac:dyDescent="0.25">
      <c r="A1677" t="s">
        <v>179</v>
      </c>
      <c r="B1677" t="s">
        <v>8693</v>
      </c>
    </row>
    <row r="1678" spans="1:2" x14ac:dyDescent="0.25">
      <c r="A1678" t="s">
        <v>179</v>
      </c>
      <c r="B1678" t="s">
        <v>8725</v>
      </c>
    </row>
    <row r="1679" spans="1:2" x14ac:dyDescent="0.25">
      <c r="A1679" t="s">
        <v>179</v>
      </c>
      <c r="B1679" t="s">
        <v>10850</v>
      </c>
    </row>
    <row r="1680" spans="1:2" x14ac:dyDescent="0.25">
      <c r="A1680" t="s">
        <v>179</v>
      </c>
      <c r="B1680" t="s">
        <v>8696</v>
      </c>
    </row>
    <row r="1681" spans="1:2" x14ac:dyDescent="0.25">
      <c r="A1681" t="s">
        <v>179</v>
      </c>
      <c r="B1681" t="s">
        <v>8702</v>
      </c>
    </row>
    <row r="1682" spans="1:2" x14ac:dyDescent="0.25">
      <c r="A1682" t="s">
        <v>179</v>
      </c>
      <c r="B1682" t="s">
        <v>8701</v>
      </c>
    </row>
    <row r="1683" spans="1:2" x14ac:dyDescent="0.25">
      <c r="A1683" t="s">
        <v>179</v>
      </c>
      <c r="B1683" t="s">
        <v>8694</v>
      </c>
    </row>
    <row r="1684" spans="1:2" x14ac:dyDescent="0.25">
      <c r="A1684" t="s">
        <v>179</v>
      </c>
      <c r="B1684" t="s">
        <v>10849</v>
      </c>
    </row>
    <row r="1685" spans="1:2" x14ac:dyDescent="0.25">
      <c r="A1685" t="s">
        <v>221</v>
      </c>
      <c r="B1685" t="s">
        <v>10256</v>
      </c>
    </row>
    <row r="1686" spans="1:2" x14ac:dyDescent="0.25">
      <c r="A1686" t="s">
        <v>221</v>
      </c>
      <c r="B1686" t="s">
        <v>9938</v>
      </c>
    </row>
    <row r="1687" spans="1:2" x14ac:dyDescent="0.25">
      <c r="A1687" t="s">
        <v>221</v>
      </c>
      <c r="B1687" t="s">
        <v>10144</v>
      </c>
    </row>
    <row r="1688" spans="1:2" x14ac:dyDescent="0.25">
      <c r="A1688" t="s">
        <v>221</v>
      </c>
      <c r="B1688" t="s">
        <v>9855</v>
      </c>
    </row>
    <row r="1689" spans="1:2" x14ac:dyDescent="0.25">
      <c r="A1689" t="s">
        <v>221</v>
      </c>
      <c r="B1689" t="s">
        <v>11864</v>
      </c>
    </row>
    <row r="1690" spans="1:2" x14ac:dyDescent="0.25">
      <c r="A1690" t="s">
        <v>221</v>
      </c>
      <c r="B1690" t="s">
        <v>9856</v>
      </c>
    </row>
    <row r="1691" spans="1:2" x14ac:dyDescent="0.25">
      <c r="A1691" t="s">
        <v>221</v>
      </c>
      <c r="B1691" t="s">
        <v>10216</v>
      </c>
    </row>
    <row r="1692" spans="1:2" x14ac:dyDescent="0.25">
      <c r="A1692" t="s">
        <v>221</v>
      </c>
      <c r="B1692" t="s">
        <v>9877</v>
      </c>
    </row>
    <row r="1693" spans="1:2" x14ac:dyDescent="0.25">
      <c r="A1693" t="s">
        <v>221</v>
      </c>
      <c r="B1693" t="s">
        <v>10205</v>
      </c>
    </row>
    <row r="1694" spans="1:2" x14ac:dyDescent="0.25">
      <c r="A1694" t="s">
        <v>221</v>
      </c>
      <c r="B1694" t="s">
        <v>10457</v>
      </c>
    </row>
    <row r="1695" spans="1:2" x14ac:dyDescent="0.25">
      <c r="A1695" t="s">
        <v>221</v>
      </c>
      <c r="B1695" t="s">
        <v>9890</v>
      </c>
    </row>
    <row r="1696" spans="1:2" x14ac:dyDescent="0.25">
      <c r="A1696" t="s">
        <v>221</v>
      </c>
      <c r="B1696" t="s">
        <v>9725</v>
      </c>
    </row>
    <row r="1697" spans="1:2" x14ac:dyDescent="0.25">
      <c r="A1697" t="s">
        <v>221</v>
      </c>
      <c r="B1697" t="s">
        <v>10021</v>
      </c>
    </row>
    <row r="1698" spans="1:2" x14ac:dyDescent="0.25">
      <c r="A1698" t="s">
        <v>221</v>
      </c>
      <c r="B1698" t="s">
        <v>10206</v>
      </c>
    </row>
    <row r="1699" spans="1:2" x14ac:dyDescent="0.25">
      <c r="A1699" t="s">
        <v>221</v>
      </c>
      <c r="B1699" t="s">
        <v>11862</v>
      </c>
    </row>
    <row r="1700" spans="1:2" x14ac:dyDescent="0.25">
      <c r="A1700" t="s">
        <v>221</v>
      </c>
      <c r="B1700" t="s">
        <v>9709</v>
      </c>
    </row>
    <row r="1701" spans="1:2" x14ac:dyDescent="0.25">
      <c r="A1701" t="s">
        <v>221</v>
      </c>
      <c r="B1701" t="s">
        <v>13037</v>
      </c>
    </row>
    <row r="1702" spans="1:2" x14ac:dyDescent="0.25">
      <c r="A1702" t="s">
        <v>221</v>
      </c>
      <c r="B1702" t="s">
        <v>13515</v>
      </c>
    </row>
    <row r="1703" spans="1:2" x14ac:dyDescent="0.25">
      <c r="A1703" t="s">
        <v>221</v>
      </c>
      <c r="B1703" t="s">
        <v>14470</v>
      </c>
    </row>
    <row r="1704" spans="1:2" x14ac:dyDescent="0.25">
      <c r="A1704" t="s">
        <v>6638</v>
      </c>
      <c r="B1704" t="s">
        <v>10497</v>
      </c>
    </row>
    <row r="1705" spans="1:2" x14ac:dyDescent="0.25">
      <c r="A1705" t="s">
        <v>12495</v>
      </c>
      <c r="B1705" t="s">
        <v>12348</v>
      </c>
    </row>
    <row r="1706" spans="1:2" x14ac:dyDescent="0.25">
      <c r="A1706" t="s">
        <v>831</v>
      </c>
      <c r="B1706" t="s">
        <v>12642</v>
      </c>
    </row>
    <row r="1707" spans="1:2" x14ac:dyDescent="0.25">
      <c r="A1707" t="s">
        <v>831</v>
      </c>
      <c r="B1707" t="s">
        <v>10600</v>
      </c>
    </row>
    <row r="1708" spans="1:2" x14ac:dyDescent="0.25">
      <c r="A1708" t="s">
        <v>831</v>
      </c>
      <c r="B1708" t="s">
        <v>10607</v>
      </c>
    </row>
    <row r="1709" spans="1:2" x14ac:dyDescent="0.25">
      <c r="A1709" t="s">
        <v>831</v>
      </c>
      <c r="B1709" t="s">
        <v>10617</v>
      </c>
    </row>
    <row r="1710" spans="1:2" x14ac:dyDescent="0.25">
      <c r="A1710" t="s">
        <v>831</v>
      </c>
      <c r="B1710" t="s">
        <v>11486</v>
      </c>
    </row>
    <row r="1711" spans="1:2" x14ac:dyDescent="0.25">
      <c r="A1711" t="s">
        <v>831</v>
      </c>
      <c r="B1711" t="s">
        <v>10603</v>
      </c>
    </row>
    <row r="1712" spans="1:2" x14ac:dyDescent="0.25">
      <c r="A1712" t="s">
        <v>831</v>
      </c>
      <c r="B1712" t="s">
        <v>11490</v>
      </c>
    </row>
    <row r="1713" spans="1:2" x14ac:dyDescent="0.25">
      <c r="A1713" t="s">
        <v>831</v>
      </c>
      <c r="B1713" t="s">
        <v>10602</v>
      </c>
    </row>
    <row r="1714" spans="1:2" x14ac:dyDescent="0.25">
      <c r="A1714" t="s">
        <v>831</v>
      </c>
      <c r="B1714" t="s">
        <v>10598</v>
      </c>
    </row>
    <row r="1715" spans="1:2" x14ac:dyDescent="0.25">
      <c r="A1715" t="s">
        <v>831</v>
      </c>
      <c r="B1715" t="s">
        <v>10610</v>
      </c>
    </row>
    <row r="1716" spans="1:2" x14ac:dyDescent="0.25">
      <c r="A1716" t="s">
        <v>831</v>
      </c>
      <c r="B1716" t="s">
        <v>11493</v>
      </c>
    </row>
    <row r="1717" spans="1:2" x14ac:dyDescent="0.25">
      <c r="A1717" t="s">
        <v>831</v>
      </c>
      <c r="B1717" t="s">
        <v>10613</v>
      </c>
    </row>
    <row r="1718" spans="1:2" x14ac:dyDescent="0.25">
      <c r="A1718" t="s">
        <v>831</v>
      </c>
      <c r="B1718" t="s">
        <v>12036</v>
      </c>
    </row>
    <row r="1719" spans="1:2" x14ac:dyDescent="0.25">
      <c r="A1719" t="s">
        <v>831</v>
      </c>
      <c r="B1719" t="s">
        <v>10611</v>
      </c>
    </row>
    <row r="1720" spans="1:2" x14ac:dyDescent="0.25">
      <c r="A1720" t="s">
        <v>831</v>
      </c>
      <c r="B1720" t="s">
        <v>10615</v>
      </c>
    </row>
    <row r="1721" spans="1:2" x14ac:dyDescent="0.25">
      <c r="A1721" t="s">
        <v>831</v>
      </c>
      <c r="B1721" t="s">
        <v>11488</v>
      </c>
    </row>
    <row r="1722" spans="1:2" x14ac:dyDescent="0.25">
      <c r="A1722" t="s">
        <v>831</v>
      </c>
      <c r="B1722" t="s">
        <v>10596</v>
      </c>
    </row>
    <row r="1723" spans="1:2" x14ac:dyDescent="0.25">
      <c r="A1723" t="s">
        <v>831</v>
      </c>
      <c r="B1723" t="s">
        <v>10597</v>
      </c>
    </row>
    <row r="1724" spans="1:2" x14ac:dyDescent="0.25">
      <c r="A1724" t="s">
        <v>831</v>
      </c>
      <c r="B1724" t="s">
        <v>10619</v>
      </c>
    </row>
    <row r="1725" spans="1:2" x14ac:dyDescent="0.25">
      <c r="A1725" t="s">
        <v>831</v>
      </c>
      <c r="B1725" t="s">
        <v>10601</v>
      </c>
    </row>
    <row r="1726" spans="1:2" x14ac:dyDescent="0.25">
      <c r="A1726" t="s">
        <v>831</v>
      </c>
      <c r="B1726" t="s">
        <v>10599</v>
      </c>
    </row>
    <row r="1727" spans="1:2" x14ac:dyDescent="0.25">
      <c r="A1727" t="s">
        <v>831</v>
      </c>
      <c r="B1727" t="s">
        <v>13103</v>
      </c>
    </row>
    <row r="1728" spans="1:2" x14ac:dyDescent="0.25">
      <c r="A1728" t="s">
        <v>12040</v>
      </c>
      <c r="B1728" t="s">
        <v>12038</v>
      </c>
    </row>
    <row r="1729" spans="1:2" x14ac:dyDescent="0.25">
      <c r="A1729" t="s">
        <v>10958</v>
      </c>
      <c r="B1729" t="s">
        <v>10954</v>
      </c>
    </row>
    <row r="1730" spans="1:2" x14ac:dyDescent="0.25">
      <c r="A1730" t="s">
        <v>556</v>
      </c>
      <c r="B1730" t="s">
        <v>9087</v>
      </c>
    </row>
    <row r="1731" spans="1:2" x14ac:dyDescent="0.25">
      <c r="A1731" t="s">
        <v>556</v>
      </c>
      <c r="B1731" t="s">
        <v>9043</v>
      </c>
    </row>
    <row r="1732" spans="1:2" x14ac:dyDescent="0.25">
      <c r="A1732" t="s">
        <v>556</v>
      </c>
      <c r="B1732" t="s">
        <v>8764</v>
      </c>
    </row>
    <row r="1733" spans="1:2" x14ac:dyDescent="0.25">
      <c r="A1733" t="s">
        <v>556</v>
      </c>
      <c r="B1733" t="s">
        <v>9248</v>
      </c>
    </row>
    <row r="1734" spans="1:2" x14ac:dyDescent="0.25">
      <c r="A1734" t="s">
        <v>556</v>
      </c>
      <c r="B1734" t="s">
        <v>9159</v>
      </c>
    </row>
    <row r="1735" spans="1:2" x14ac:dyDescent="0.25">
      <c r="A1735" t="s">
        <v>556</v>
      </c>
      <c r="B1735" t="s">
        <v>9346</v>
      </c>
    </row>
    <row r="1736" spans="1:2" x14ac:dyDescent="0.25">
      <c r="A1736" t="s">
        <v>556</v>
      </c>
      <c r="B1736" t="s">
        <v>9121</v>
      </c>
    </row>
    <row r="1737" spans="1:2" x14ac:dyDescent="0.25">
      <c r="A1737" t="s">
        <v>556</v>
      </c>
      <c r="B1737" t="s">
        <v>8943</v>
      </c>
    </row>
    <row r="1738" spans="1:2" x14ac:dyDescent="0.25">
      <c r="A1738" t="s">
        <v>556</v>
      </c>
      <c r="B1738" t="s">
        <v>8977</v>
      </c>
    </row>
    <row r="1739" spans="1:2" x14ac:dyDescent="0.25">
      <c r="A1739" t="s">
        <v>556</v>
      </c>
      <c r="B1739" t="s">
        <v>9413</v>
      </c>
    </row>
    <row r="1740" spans="1:2" x14ac:dyDescent="0.25">
      <c r="A1740" t="s">
        <v>556</v>
      </c>
      <c r="B1740" t="s">
        <v>8835</v>
      </c>
    </row>
    <row r="1741" spans="1:2" x14ac:dyDescent="0.25">
      <c r="A1741" t="s">
        <v>556</v>
      </c>
      <c r="B1741" t="s">
        <v>9135</v>
      </c>
    </row>
    <row r="1742" spans="1:2" x14ac:dyDescent="0.25">
      <c r="A1742" t="s">
        <v>556</v>
      </c>
      <c r="B1742" t="s">
        <v>8801</v>
      </c>
    </row>
    <row r="1743" spans="1:2" x14ac:dyDescent="0.25">
      <c r="A1743" t="s">
        <v>556</v>
      </c>
      <c r="B1743" t="s">
        <v>10594</v>
      </c>
    </row>
    <row r="1744" spans="1:2" x14ac:dyDescent="0.25">
      <c r="A1744" t="s">
        <v>556</v>
      </c>
      <c r="B1744" t="s">
        <v>13983</v>
      </c>
    </row>
    <row r="1745" spans="1:2" x14ac:dyDescent="0.25">
      <c r="A1745" t="s">
        <v>836</v>
      </c>
      <c r="B1745" t="s">
        <v>12033</v>
      </c>
    </row>
    <row r="1746" spans="1:2" x14ac:dyDescent="0.25">
      <c r="A1746" t="s">
        <v>836</v>
      </c>
      <c r="B1746" t="s">
        <v>10622</v>
      </c>
    </row>
    <row r="1747" spans="1:2" x14ac:dyDescent="0.25">
      <c r="A1747" t="s">
        <v>836</v>
      </c>
      <c r="B1747" t="s">
        <v>10609</v>
      </c>
    </row>
    <row r="1748" spans="1:2" x14ac:dyDescent="0.25">
      <c r="A1748" t="s">
        <v>836</v>
      </c>
      <c r="B1748" t="s">
        <v>10623</v>
      </c>
    </row>
    <row r="1749" spans="1:2" x14ac:dyDescent="0.25">
      <c r="A1749" t="s">
        <v>836</v>
      </c>
      <c r="B1749" t="s">
        <v>12030</v>
      </c>
    </row>
    <row r="1750" spans="1:2" x14ac:dyDescent="0.25">
      <c r="A1750" t="s">
        <v>836</v>
      </c>
      <c r="B1750" t="s">
        <v>13104</v>
      </c>
    </row>
    <row r="1751" spans="1:2" x14ac:dyDescent="0.25">
      <c r="A1751" t="s">
        <v>854</v>
      </c>
      <c r="B1751" t="s">
        <v>10814</v>
      </c>
    </row>
    <row r="1752" spans="1:2" x14ac:dyDescent="0.25">
      <c r="A1752" t="s">
        <v>854</v>
      </c>
      <c r="B1752" t="s">
        <v>10829</v>
      </c>
    </row>
    <row r="1753" spans="1:2" x14ac:dyDescent="0.25">
      <c r="A1753" t="s">
        <v>854</v>
      </c>
      <c r="B1753" t="s">
        <v>10819</v>
      </c>
    </row>
    <row r="1754" spans="1:2" x14ac:dyDescent="0.25">
      <c r="A1754" t="s">
        <v>854</v>
      </c>
      <c r="B1754" t="s">
        <v>10870</v>
      </c>
    </row>
    <row r="1755" spans="1:2" x14ac:dyDescent="0.25">
      <c r="A1755" t="s">
        <v>854</v>
      </c>
      <c r="B1755" t="s">
        <v>10831</v>
      </c>
    </row>
    <row r="1756" spans="1:2" x14ac:dyDescent="0.25">
      <c r="A1756" t="s">
        <v>854</v>
      </c>
      <c r="B1756" t="s">
        <v>10846</v>
      </c>
    </row>
    <row r="1757" spans="1:2" x14ac:dyDescent="0.25">
      <c r="A1757" t="s">
        <v>854</v>
      </c>
      <c r="B1757" t="s">
        <v>10845</v>
      </c>
    </row>
    <row r="1758" spans="1:2" x14ac:dyDescent="0.25">
      <c r="A1758" t="s">
        <v>806</v>
      </c>
      <c r="B1758" t="s">
        <v>12623</v>
      </c>
    </row>
    <row r="1759" spans="1:2" x14ac:dyDescent="0.25">
      <c r="A1759" t="s">
        <v>806</v>
      </c>
      <c r="B1759" t="s">
        <v>10484</v>
      </c>
    </row>
    <row r="1760" spans="1:2" x14ac:dyDescent="0.25">
      <c r="A1760" t="s">
        <v>806</v>
      </c>
      <c r="B1760" t="s">
        <v>10499</v>
      </c>
    </row>
    <row r="1761" spans="1:2" x14ac:dyDescent="0.25">
      <c r="A1761" t="s">
        <v>806</v>
      </c>
      <c r="B1761" t="s">
        <v>10486</v>
      </c>
    </row>
    <row r="1762" spans="1:2" x14ac:dyDescent="0.25">
      <c r="A1762" t="s">
        <v>806</v>
      </c>
      <c r="B1762" t="s">
        <v>10490</v>
      </c>
    </row>
    <row r="1763" spans="1:2" x14ac:dyDescent="0.25">
      <c r="A1763" t="s">
        <v>806</v>
      </c>
      <c r="B1763" t="s">
        <v>10518</v>
      </c>
    </row>
    <row r="1764" spans="1:2" x14ac:dyDescent="0.25">
      <c r="A1764" t="s">
        <v>806</v>
      </c>
      <c r="B1764" t="s">
        <v>10573</v>
      </c>
    </row>
    <row r="1765" spans="1:2" x14ac:dyDescent="0.25">
      <c r="A1765" t="s">
        <v>806</v>
      </c>
      <c r="B1765" t="s">
        <v>10521</v>
      </c>
    </row>
    <row r="1766" spans="1:2" x14ac:dyDescent="0.25">
      <c r="A1766" t="s">
        <v>806</v>
      </c>
      <c r="B1766" t="s">
        <v>10517</v>
      </c>
    </row>
    <row r="1767" spans="1:2" x14ac:dyDescent="0.25">
      <c r="A1767" t="s">
        <v>806</v>
      </c>
      <c r="B1767" t="s">
        <v>10555</v>
      </c>
    </row>
    <row r="1768" spans="1:2" x14ac:dyDescent="0.25">
      <c r="A1768" t="s">
        <v>11451</v>
      </c>
      <c r="B1768" t="s">
        <v>11447</v>
      </c>
    </row>
    <row r="1769" spans="1:2" x14ac:dyDescent="0.25">
      <c r="A1769" t="s">
        <v>11451</v>
      </c>
      <c r="B1769" t="s">
        <v>11452</v>
      </c>
    </row>
    <row r="1770" spans="1:2" x14ac:dyDescent="0.25">
      <c r="A1770" t="s">
        <v>389</v>
      </c>
      <c r="B1770" t="s">
        <v>8358</v>
      </c>
    </row>
    <row r="1771" spans="1:2" x14ac:dyDescent="0.25">
      <c r="A1771" t="s">
        <v>389</v>
      </c>
      <c r="B1771" t="s">
        <v>8362</v>
      </c>
    </row>
    <row r="1772" spans="1:2" x14ac:dyDescent="0.25">
      <c r="A1772" t="s">
        <v>389</v>
      </c>
      <c r="B1772" t="s">
        <v>8353</v>
      </c>
    </row>
    <row r="1773" spans="1:2" x14ac:dyDescent="0.25">
      <c r="A1773" t="s">
        <v>389</v>
      </c>
      <c r="B1773" t="s">
        <v>8366</v>
      </c>
    </row>
    <row r="1774" spans="1:2" x14ac:dyDescent="0.25">
      <c r="A1774" t="s">
        <v>389</v>
      </c>
      <c r="B1774" t="s">
        <v>8359</v>
      </c>
    </row>
    <row r="1775" spans="1:2" x14ac:dyDescent="0.25">
      <c r="A1775" t="s">
        <v>389</v>
      </c>
      <c r="B1775" t="s">
        <v>8360</v>
      </c>
    </row>
    <row r="1776" spans="1:2" x14ac:dyDescent="0.25">
      <c r="A1776" t="s">
        <v>389</v>
      </c>
      <c r="B1776" t="s">
        <v>8356</v>
      </c>
    </row>
    <row r="1777" spans="1:2" x14ac:dyDescent="0.25">
      <c r="A1777" t="s">
        <v>389</v>
      </c>
      <c r="B1777" t="s">
        <v>8363</v>
      </c>
    </row>
    <row r="1778" spans="1:2" x14ac:dyDescent="0.25">
      <c r="A1778" t="s">
        <v>389</v>
      </c>
      <c r="B1778" t="s">
        <v>8361</v>
      </c>
    </row>
    <row r="1779" spans="1:2" x14ac:dyDescent="0.25">
      <c r="A1779" t="s">
        <v>389</v>
      </c>
      <c r="B1779" t="s">
        <v>8357</v>
      </c>
    </row>
    <row r="1780" spans="1:2" x14ac:dyDescent="0.25">
      <c r="A1780" t="s">
        <v>389</v>
      </c>
      <c r="B1780" t="s">
        <v>8354</v>
      </c>
    </row>
    <row r="1781" spans="1:2" x14ac:dyDescent="0.25">
      <c r="A1781" t="s">
        <v>389</v>
      </c>
      <c r="B1781" t="s">
        <v>8364</v>
      </c>
    </row>
    <row r="1782" spans="1:2" x14ac:dyDescent="0.25">
      <c r="A1782" t="s">
        <v>389</v>
      </c>
      <c r="B1782" t="s">
        <v>8351</v>
      </c>
    </row>
    <row r="1783" spans="1:2" x14ac:dyDescent="0.25">
      <c r="A1783" t="s">
        <v>389</v>
      </c>
      <c r="B1783" t="s">
        <v>8355</v>
      </c>
    </row>
    <row r="1784" spans="1:2" x14ac:dyDescent="0.25">
      <c r="A1784" t="s">
        <v>389</v>
      </c>
      <c r="B1784" t="s">
        <v>8365</v>
      </c>
    </row>
    <row r="1785" spans="1:2" x14ac:dyDescent="0.25">
      <c r="A1785" t="s">
        <v>389</v>
      </c>
      <c r="B1785" t="s">
        <v>8352</v>
      </c>
    </row>
    <row r="1786" spans="1:2" x14ac:dyDescent="0.25">
      <c r="A1786" t="s">
        <v>6365</v>
      </c>
      <c r="B1786" t="s">
        <v>10413</v>
      </c>
    </row>
    <row r="1787" spans="1:2" x14ac:dyDescent="0.25">
      <c r="A1787" t="s">
        <v>6365</v>
      </c>
      <c r="B1787" t="s">
        <v>10408</v>
      </c>
    </row>
    <row r="1788" spans="1:2" x14ac:dyDescent="0.25">
      <c r="A1788" t="s">
        <v>6365</v>
      </c>
      <c r="B1788" t="s">
        <v>10410</v>
      </c>
    </row>
    <row r="1789" spans="1:2" x14ac:dyDescent="0.25">
      <c r="A1789" t="s">
        <v>6365</v>
      </c>
      <c r="B1789" t="s">
        <v>10405</v>
      </c>
    </row>
    <row r="1790" spans="1:2" x14ac:dyDescent="0.25">
      <c r="A1790" t="s">
        <v>6365</v>
      </c>
      <c r="B1790" t="s">
        <v>10401</v>
      </c>
    </row>
    <row r="1791" spans="1:2" x14ac:dyDescent="0.25">
      <c r="A1791" t="s">
        <v>6365</v>
      </c>
      <c r="B1791" t="s">
        <v>10406</v>
      </c>
    </row>
    <row r="1792" spans="1:2" x14ac:dyDescent="0.25">
      <c r="A1792" t="s">
        <v>6365</v>
      </c>
      <c r="B1792" t="s">
        <v>10404</v>
      </c>
    </row>
    <row r="1793" spans="1:2" x14ac:dyDescent="0.25">
      <c r="A1793" t="s">
        <v>6365</v>
      </c>
      <c r="B1793" t="s">
        <v>10409</v>
      </c>
    </row>
    <row r="1794" spans="1:2" x14ac:dyDescent="0.25">
      <c r="A1794" t="s">
        <v>6365</v>
      </c>
      <c r="B1794" t="s">
        <v>10411</v>
      </c>
    </row>
    <row r="1795" spans="1:2" x14ac:dyDescent="0.25">
      <c r="A1795" t="s">
        <v>6365</v>
      </c>
      <c r="B1795" t="s">
        <v>10407</v>
      </c>
    </row>
    <row r="1796" spans="1:2" x14ac:dyDescent="0.25">
      <c r="A1796" t="s">
        <v>6365</v>
      </c>
      <c r="B1796" t="s">
        <v>10412</v>
      </c>
    </row>
    <row r="1797" spans="1:2" x14ac:dyDescent="0.25">
      <c r="A1797" t="s">
        <v>6365</v>
      </c>
      <c r="B1797" t="s">
        <v>10403</v>
      </c>
    </row>
    <row r="1798" spans="1:2" x14ac:dyDescent="0.25">
      <c r="A1798" t="s">
        <v>6365</v>
      </c>
      <c r="B1798" t="s">
        <v>10402</v>
      </c>
    </row>
    <row r="1799" spans="1:2" x14ac:dyDescent="0.25">
      <c r="A1799" t="s">
        <v>792</v>
      </c>
      <c r="B1799" t="s">
        <v>10447</v>
      </c>
    </row>
    <row r="1800" spans="1:2" x14ac:dyDescent="0.25">
      <c r="A1800" t="s">
        <v>792</v>
      </c>
      <c r="B1800" t="s">
        <v>10446</v>
      </c>
    </row>
    <row r="1801" spans="1:2" x14ac:dyDescent="0.25">
      <c r="A1801" t="s">
        <v>792</v>
      </c>
      <c r="B1801" t="s">
        <v>10440</v>
      </c>
    </row>
    <row r="1802" spans="1:2" x14ac:dyDescent="0.25">
      <c r="A1802" t="s">
        <v>792</v>
      </c>
      <c r="B1802" t="s">
        <v>10449</v>
      </c>
    </row>
    <row r="1803" spans="1:2" x14ac:dyDescent="0.25">
      <c r="A1803" t="s">
        <v>792</v>
      </c>
      <c r="B1803" t="s">
        <v>10429</v>
      </c>
    </row>
    <row r="1804" spans="1:2" x14ac:dyDescent="0.25">
      <c r="A1804" t="s">
        <v>792</v>
      </c>
      <c r="B1804" t="s">
        <v>10445</v>
      </c>
    </row>
    <row r="1805" spans="1:2" x14ac:dyDescent="0.25">
      <c r="A1805" t="s">
        <v>792</v>
      </c>
      <c r="B1805" t="s">
        <v>13475</v>
      </c>
    </row>
    <row r="1806" spans="1:2" x14ac:dyDescent="0.25">
      <c r="A1806" t="s">
        <v>12618</v>
      </c>
      <c r="B1806" t="s">
        <v>10460</v>
      </c>
    </row>
    <row r="1807" spans="1:2" x14ac:dyDescent="0.25">
      <c r="A1807" t="s">
        <v>2504</v>
      </c>
      <c r="B1807" t="s">
        <v>8564</v>
      </c>
    </row>
    <row r="1808" spans="1:2" x14ac:dyDescent="0.25">
      <c r="A1808" t="s">
        <v>2504</v>
      </c>
      <c r="B1808" t="s">
        <v>8567</v>
      </c>
    </row>
    <row r="1809" spans="1:2" x14ac:dyDescent="0.25">
      <c r="A1809" t="s">
        <v>2504</v>
      </c>
      <c r="B1809" t="s">
        <v>8558</v>
      </c>
    </row>
    <row r="1810" spans="1:2" x14ac:dyDescent="0.25">
      <c r="A1810" t="s">
        <v>828</v>
      </c>
      <c r="B1810" t="s">
        <v>12087</v>
      </c>
    </row>
    <row r="1811" spans="1:2" x14ac:dyDescent="0.25">
      <c r="A1811" t="s">
        <v>828</v>
      </c>
      <c r="B1811" t="s">
        <v>8339</v>
      </c>
    </row>
    <row r="1812" spans="1:2" x14ac:dyDescent="0.25">
      <c r="A1812" t="s">
        <v>1909</v>
      </c>
      <c r="B1812" t="s">
        <v>8313</v>
      </c>
    </row>
    <row r="1813" spans="1:2" x14ac:dyDescent="0.25">
      <c r="A1813" t="s">
        <v>7464</v>
      </c>
      <c r="B1813" t="s">
        <v>10860</v>
      </c>
    </row>
    <row r="1814" spans="1:2" x14ac:dyDescent="0.25">
      <c r="A1814" t="s">
        <v>7424</v>
      </c>
      <c r="B1814" t="s">
        <v>10842</v>
      </c>
    </row>
    <row r="1815" spans="1:2" x14ac:dyDescent="0.25">
      <c r="A1815" t="s">
        <v>819</v>
      </c>
      <c r="B1815" t="s">
        <v>10590</v>
      </c>
    </row>
    <row r="1816" spans="1:2" x14ac:dyDescent="0.25">
      <c r="A1816" t="s">
        <v>819</v>
      </c>
      <c r="B1816" t="s">
        <v>11927</v>
      </c>
    </row>
    <row r="1817" spans="1:2" x14ac:dyDescent="0.25">
      <c r="A1817" t="s">
        <v>819</v>
      </c>
      <c r="B1817" t="s">
        <v>10591</v>
      </c>
    </row>
    <row r="1818" spans="1:2" x14ac:dyDescent="0.25">
      <c r="A1818" t="s">
        <v>819</v>
      </c>
      <c r="B1818" t="s">
        <v>12639</v>
      </c>
    </row>
    <row r="1819" spans="1:2" x14ac:dyDescent="0.25">
      <c r="A1819" t="s">
        <v>819</v>
      </c>
      <c r="B1819" t="s">
        <v>11941</v>
      </c>
    </row>
    <row r="1820" spans="1:2" x14ac:dyDescent="0.25">
      <c r="A1820" t="s">
        <v>819</v>
      </c>
      <c r="B1820" t="s">
        <v>10592</v>
      </c>
    </row>
    <row r="1821" spans="1:2" x14ac:dyDescent="0.25">
      <c r="A1821" t="s">
        <v>819</v>
      </c>
      <c r="B1821" t="s">
        <v>8597</v>
      </c>
    </row>
    <row r="1822" spans="1:2" x14ac:dyDescent="0.25">
      <c r="A1822" t="s">
        <v>819</v>
      </c>
      <c r="B1822" t="s">
        <v>10584</v>
      </c>
    </row>
    <row r="1823" spans="1:2" x14ac:dyDescent="0.25">
      <c r="A1823" t="s">
        <v>819</v>
      </c>
      <c r="B1823" t="s">
        <v>8557</v>
      </c>
    </row>
    <row r="1824" spans="1:2" x14ac:dyDescent="0.25">
      <c r="A1824" t="s">
        <v>819</v>
      </c>
      <c r="B1824" t="s">
        <v>10586</v>
      </c>
    </row>
    <row r="1825" spans="1:2" x14ac:dyDescent="0.25">
      <c r="A1825" t="s">
        <v>819</v>
      </c>
      <c r="B1825" t="s">
        <v>11926</v>
      </c>
    </row>
    <row r="1826" spans="1:2" x14ac:dyDescent="0.25">
      <c r="A1826" t="s">
        <v>819</v>
      </c>
      <c r="B1826" t="s">
        <v>11633</v>
      </c>
    </row>
    <row r="1827" spans="1:2" x14ac:dyDescent="0.25">
      <c r="A1827" t="s">
        <v>819</v>
      </c>
      <c r="B1827" t="s">
        <v>10587</v>
      </c>
    </row>
    <row r="1828" spans="1:2" x14ac:dyDescent="0.25">
      <c r="A1828" t="s">
        <v>819</v>
      </c>
      <c r="B1828" t="s">
        <v>10585</v>
      </c>
    </row>
    <row r="1829" spans="1:2" x14ac:dyDescent="0.25">
      <c r="A1829" t="s">
        <v>819</v>
      </c>
      <c r="B1829" t="s">
        <v>13779</v>
      </c>
    </row>
    <row r="1830" spans="1:2" x14ac:dyDescent="0.25">
      <c r="A1830" t="s">
        <v>819</v>
      </c>
      <c r="B1830" t="s">
        <v>13920</v>
      </c>
    </row>
    <row r="1831" spans="1:2" x14ac:dyDescent="0.25">
      <c r="A1831" t="s">
        <v>11119</v>
      </c>
      <c r="B1831" t="s">
        <v>11120</v>
      </c>
    </row>
    <row r="1832" spans="1:2" x14ac:dyDescent="0.25">
      <c r="A1832" t="s">
        <v>11119</v>
      </c>
      <c r="B1832" t="s">
        <v>11116</v>
      </c>
    </row>
    <row r="1833" spans="1:2" x14ac:dyDescent="0.25">
      <c r="A1833" t="s">
        <v>69</v>
      </c>
      <c r="B1833" t="s">
        <v>8124</v>
      </c>
    </row>
    <row r="1834" spans="1:2" x14ac:dyDescent="0.25">
      <c r="A1834" t="s">
        <v>69</v>
      </c>
      <c r="B1834" t="s">
        <v>8133</v>
      </c>
    </row>
    <row r="1835" spans="1:2" x14ac:dyDescent="0.25">
      <c r="A1835" t="s">
        <v>69</v>
      </c>
      <c r="B1835" t="s">
        <v>8072</v>
      </c>
    </row>
    <row r="1836" spans="1:2" x14ac:dyDescent="0.25">
      <c r="A1836" t="s">
        <v>69</v>
      </c>
      <c r="B1836" t="s">
        <v>8073</v>
      </c>
    </row>
    <row r="1837" spans="1:2" x14ac:dyDescent="0.25">
      <c r="A1837" t="s">
        <v>69</v>
      </c>
      <c r="B1837" t="s">
        <v>8192</v>
      </c>
    </row>
    <row r="1838" spans="1:2" x14ac:dyDescent="0.25">
      <c r="A1838" t="s">
        <v>69</v>
      </c>
      <c r="B1838" t="s">
        <v>8117</v>
      </c>
    </row>
    <row r="1839" spans="1:2" x14ac:dyDescent="0.25">
      <c r="A1839" t="s">
        <v>69</v>
      </c>
      <c r="B1839" t="s">
        <v>8087</v>
      </c>
    </row>
    <row r="1840" spans="1:2" x14ac:dyDescent="0.25">
      <c r="A1840" t="s">
        <v>69</v>
      </c>
      <c r="B1840" t="s">
        <v>8092</v>
      </c>
    </row>
    <row r="1841" spans="1:2" x14ac:dyDescent="0.25">
      <c r="A1841" t="s">
        <v>69</v>
      </c>
      <c r="B1841" t="s">
        <v>11598</v>
      </c>
    </row>
    <row r="1842" spans="1:2" x14ac:dyDescent="0.25">
      <c r="A1842" t="s">
        <v>69</v>
      </c>
      <c r="B1842" t="s">
        <v>8105</v>
      </c>
    </row>
    <row r="1843" spans="1:2" x14ac:dyDescent="0.25">
      <c r="A1843" t="s">
        <v>69</v>
      </c>
      <c r="B1843" t="s">
        <v>8085</v>
      </c>
    </row>
    <row r="1844" spans="1:2" x14ac:dyDescent="0.25">
      <c r="A1844" t="s">
        <v>6901</v>
      </c>
      <c r="B1844" t="s">
        <v>10626</v>
      </c>
    </row>
    <row r="1845" spans="1:2" x14ac:dyDescent="0.25">
      <c r="A1845" t="s">
        <v>6901</v>
      </c>
      <c r="B1845" t="s">
        <v>10678</v>
      </c>
    </row>
    <row r="1846" spans="1:2" x14ac:dyDescent="0.25">
      <c r="A1846" t="s">
        <v>6901</v>
      </c>
      <c r="B1846" t="s">
        <v>10698</v>
      </c>
    </row>
    <row r="1847" spans="1:2" x14ac:dyDescent="0.25">
      <c r="A1847" t="s">
        <v>6901</v>
      </c>
      <c r="B1847" t="s">
        <v>10647</v>
      </c>
    </row>
    <row r="1848" spans="1:2" x14ac:dyDescent="0.25">
      <c r="A1848" t="s">
        <v>6901</v>
      </c>
      <c r="B1848" t="s">
        <v>10652</v>
      </c>
    </row>
    <row r="1849" spans="1:2" x14ac:dyDescent="0.25">
      <c r="A1849" t="s">
        <v>6901</v>
      </c>
      <c r="B1849" t="s">
        <v>10641</v>
      </c>
    </row>
    <row r="1850" spans="1:2" x14ac:dyDescent="0.25">
      <c r="A1850" t="s">
        <v>6901</v>
      </c>
      <c r="B1850" t="s">
        <v>10724</v>
      </c>
    </row>
    <row r="1851" spans="1:2" x14ac:dyDescent="0.25">
      <c r="A1851" t="s">
        <v>6901</v>
      </c>
      <c r="B1851" t="s">
        <v>10642</v>
      </c>
    </row>
    <row r="1852" spans="1:2" x14ac:dyDescent="0.25">
      <c r="A1852" t="s">
        <v>6901</v>
      </c>
      <c r="B1852" t="s">
        <v>10648</v>
      </c>
    </row>
    <row r="1853" spans="1:2" x14ac:dyDescent="0.25">
      <c r="A1853" t="s">
        <v>6901</v>
      </c>
      <c r="B1853" t="s">
        <v>10645</v>
      </c>
    </row>
    <row r="1854" spans="1:2" x14ac:dyDescent="0.25">
      <c r="A1854" t="s">
        <v>6901</v>
      </c>
      <c r="B1854" t="s">
        <v>10728</v>
      </c>
    </row>
    <row r="1855" spans="1:2" x14ac:dyDescent="0.25">
      <c r="A1855" t="s">
        <v>6901</v>
      </c>
      <c r="B1855" t="s">
        <v>10718</v>
      </c>
    </row>
    <row r="1856" spans="1:2" x14ac:dyDescent="0.25">
      <c r="A1856" t="s">
        <v>6901</v>
      </c>
      <c r="B1856" t="s">
        <v>10723</v>
      </c>
    </row>
    <row r="1857" spans="1:2" x14ac:dyDescent="0.25">
      <c r="A1857" t="s">
        <v>6901</v>
      </c>
      <c r="B1857" t="s">
        <v>10634</v>
      </c>
    </row>
    <row r="1858" spans="1:2" x14ac:dyDescent="0.25">
      <c r="A1858" t="s">
        <v>6901</v>
      </c>
      <c r="B1858" t="s">
        <v>10734</v>
      </c>
    </row>
    <row r="1859" spans="1:2" x14ac:dyDescent="0.25">
      <c r="A1859" t="s">
        <v>6901</v>
      </c>
      <c r="B1859" t="s">
        <v>10720</v>
      </c>
    </row>
    <row r="1860" spans="1:2" x14ac:dyDescent="0.25">
      <c r="A1860" t="s">
        <v>6901</v>
      </c>
      <c r="B1860" t="s">
        <v>10731</v>
      </c>
    </row>
    <row r="1861" spans="1:2" x14ac:dyDescent="0.25">
      <c r="A1861" t="s">
        <v>6901</v>
      </c>
      <c r="B1861" t="s">
        <v>10767</v>
      </c>
    </row>
    <row r="1862" spans="1:2" x14ac:dyDescent="0.25">
      <c r="A1862" t="s">
        <v>6901</v>
      </c>
      <c r="B1862" t="s">
        <v>10730</v>
      </c>
    </row>
    <row r="1863" spans="1:2" x14ac:dyDescent="0.25">
      <c r="A1863" t="s">
        <v>6901</v>
      </c>
      <c r="B1863" t="s">
        <v>10717</v>
      </c>
    </row>
    <row r="1864" spans="1:2" x14ac:dyDescent="0.25">
      <c r="A1864" t="s">
        <v>6901</v>
      </c>
      <c r="B1864" t="s">
        <v>10722</v>
      </c>
    </row>
    <row r="1865" spans="1:2" x14ac:dyDescent="0.25">
      <c r="A1865" t="s">
        <v>6901</v>
      </c>
      <c r="B1865" t="s">
        <v>10667</v>
      </c>
    </row>
    <row r="1866" spans="1:2" x14ac:dyDescent="0.25">
      <c r="A1866" t="s">
        <v>6901</v>
      </c>
      <c r="B1866" t="s">
        <v>10679</v>
      </c>
    </row>
    <row r="1867" spans="1:2" x14ac:dyDescent="0.25">
      <c r="A1867" t="s">
        <v>6901</v>
      </c>
      <c r="B1867" t="s">
        <v>10632</v>
      </c>
    </row>
    <row r="1868" spans="1:2" x14ac:dyDescent="0.25">
      <c r="A1868" t="s">
        <v>6901</v>
      </c>
      <c r="B1868" t="s">
        <v>10695</v>
      </c>
    </row>
    <row r="1869" spans="1:2" x14ac:dyDescent="0.25">
      <c r="A1869" t="s">
        <v>6901</v>
      </c>
      <c r="B1869" t="s">
        <v>10630</v>
      </c>
    </row>
    <row r="1870" spans="1:2" x14ac:dyDescent="0.25">
      <c r="A1870" t="s">
        <v>6901</v>
      </c>
      <c r="B1870" t="s">
        <v>10635</v>
      </c>
    </row>
    <row r="1871" spans="1:2" x14ac:dyDescent="0.25">
      <c r="A1871" t="s">
        <v>6901</v>
      </c>
      <c r="B1871" t="s">
        <v>10737</v>
      </c>
    </row>
    <row r="1872" spans="1:2" x14ac:dyDescent="0.25">
      <c r="A1872" t="s">
        <v>6901</v>
      </c>
      <c r="B1872" t="s">
        <v>10643</v>
      </c>
    </row>
    <row r="1873" spans="1:2" x14ac:dyDescent="0.25">
      <c r="A1873" t="s">
        <v>6901</v>
      </c>
      <c r="B1873" t="s">
        <v>10646</v>
      </c>
    </row>
    <row r="1874" spans="1:2" x14ac:dyDescent="0.25">
      <c r="A1874" t="s">
        <v>6901</v>
      </c>
      <c r="B1874" t="s">
        <v>10639</v>
      </c>
    </row>
    <row r="1875" spans="1:2" x14ac:dyDescent="0.25">
      <c r="A1875" t="s">
        <v>6901</v>
      </c>
      <c r="B1875" t="s">
        <v>10633</v>
      </c>
    </row>
    <row r="1876" spans="1:2" x14ac:dyDescent="0.25">
      <c r="A1876" t="s">
        <v>6901</v>
      </c>
      <c r="B1876" t="s">
        <v>10644</v>
      </c>
    </row>
    <row r="1877" spans="1:2" x14ac:dyDescent="0.25">
      <c r="A1877" t="s">
        <v>6901</v>
      </c>
      <c r="B1877" t="s">
        <v>10629</v>
      </c>
    </row>
    <row r="1878" spans="1:2" x14ac:dyDescent="0.25">
      <c r="A1878" t="s">
        <v>6901</v>
      </c>
      <c r="B1878" t="s">
        <v>10738</v>
      </c>
    </row>
    <row r="1879" spans="1:2" x14ac:dyDescent="0.25">
      <c r="A1879" t="s">
        <v>6901</v>
      </c>
      <c r="B1879" t="s">
        <v>10627</v>
      </c>
    </row>
    <row r="1880" spans="1:2" x14ac:dyDescent="0.25">
      <c r="A1880" t="s">
        <v>6901</v>
      </c>
      <c r="B1880" t="s">
        <v>10628</v>
      </c>
    </row>
    <row r="1881" spans="1:2" x14ac:dyDescent="0.25">
      <c r="A1881" t="s">
        <v>6901</v>
      </c>
      <c r="B1881" t="s">
        <v>10748</v>
      </c>
    </row>
    <row r="1882" spans="1:2" x14ac:dyDescent="0.25">
      <c r="A1882" t="s">
        <v>6901</v>
      </c>
      <c r="B1882" t="s">
        <v>10747</v>
      </c>
    </row>
    <row r="1883" spans="1:2" x14ac:dyDescent="0.25">
      <c r="A1883" t="s">
        <v>6901</v>
      </c>
      <c r="B1883" t="s">
        <v>10640</v>
      </c>
    </row>
    <row r="1884" spans="1:2" x14ac:dyDescent="0.25">
      <c r="A1884" t="s">
        <v>6901</v>
      </c>
      <c r="B1884" t="s">
        <v>10653</v>
      </c>
    </row>
    <row r="1885" spans="1:2" x14ac:dyDescent="0.25">
      <c r="A1885" t="s">
        <v>6901</v>
      </c>
      <c r="B1885" t="s">
        <v>10721</v>
      </c>
    </row>
    <row r="1886" spans="1:2" x14ac:dyDescent="0.25">
      <c r="A1886" t="s">
        <v>6901</v>
      </c>
      <c r="B1886" t="s">
        <v>10625</v>
      </c>
    </row>
    <row r="1887" spans="1:2" x14ac:dyDescent="0.25">
      <c r="A1887" t="s">
        <v>6901</v>
      </c>
      <c r="B1887" t="s">
        <v>10700</v>
      </c>
    </row>
    <row r="1888" spans="1:2" x14ac:dyDescent="0.25">
      <c r="A1888" t="s">
        <v>6901</v>
      </c>
      <c r="B1888" t="s">
        <v>10638</v>
      </c>
    </row>
    <row r="1889" spans="1:2" x14ac:dyDescent="0.25">
      <c r="A1889" t="s">
        <v>6901</v>
      </c>
      <c r="B1889" t="s">
        <v>10732</v>
      </c>
    </row>
    <row r="1890" spans="1:2" x14ac:dyDescent="0.25">
      <c r="A1890" t="s">
        <v>6901</v>
      </c>
      <c r="B1890" t="s">
        <v>10637</v>
      </c>
    </row>
    <row r="1891" spans="1:2" x14ac:dyDescent="0.25">
      <c r="A1891" t="s">
        <v>6901</v>
      </c>
      <c r="B1891" t="s">
        <v>10649</v>
      </c>
    </row>
    <row r="1892" spans="1:2" x14ac:dyDescent="0.25">
      <c r="A1892" t="s">
        <v>6901</v>
      </c>
      <c r="B1892" t="s">
        <v>10636</v>
      </c>
    </row>
    <row r="1893" spans="1:2" x14ac:dyDescent="0.25">
      <c r="A1893" t="s">
        <v>6901</v>
      </c>
      <c r="B1893" t="s">
        <v>10702</v>
      </c>
    </row>
    <row r="1894" spans="1:2" x14ac:dyDescent="0.25">
      <c r="A1894" t="s">
        <v>6901</v>
      </c>
      <c r="B1894" t="s">
        <v>10650</v>
      </c>
    </row>
    <row r="1895" spans="1:2" x14ac:dyDescent="0.25">
      <c r="A1895" t="s">
        <v>6901</v>
      </c>
      <c r="B1895" t="s">
        <v>10703</v>
      </c>
    </row>
    <row r="1896" spans="1:2" x14ac:dyDescent="0.25">
      <c r="A1896" t="s">
        <v>6901</v>
      </c>
      <c r="B1896" t="s">
        <v>10631</v>
      </c>
    </row>
    <row r="1897" spans="1:2" x14ac:dyDescent="0.25">
      <c r="A1897" t="s">
        <v>6901</v>
      </c>
      <c r="B1897" t="s">
        <v>10727</v>
      </c>
    </row>
    <row r="1898" spans="1:2" x14ac:dyDescent="0.25">
      <c r="A1898" t="s">
        <v>6901</v>
      </c>
      <c r="B1898" t="s">
        <v>10651</v>
      </c>
    </row>
    <row r="1899" spans="1:2" x14ac:dyDescent="0.25">
      <c r="A1899" t="s">
        <v>6901</v>
      </c>
      <c r="B1899" t="s">
        <v>10725</v>
      </c>
    </row>
    <row r="1900" spans="1:2" x14ac:dyDescent="0.25">
      <c r="A1900" t="s">
        <v>6901</v>
      </c>
      <c r="B1900" t="s">
        <v>10668</v>
      </c>
    </row>
    <row r="1901" spans="1:2" x14ac:dyDescent="0.25">
      <c r="A1901" t="s">
        <v>6901</v>
      </c>
      <c r="B1901" t="s">
        <v>10669</v>
      </c>
    </row>
    <row r="1902" spans="1:2" x14ac:dyDescent="0.25">
      <c r="A1902" t="s">
        <v>6901</v>
      </c>
      <c r="B1902" t="s">
        <v>10680</v>
      </c>
    </row>
    <row r="1903" spans="1:2" x14ac:dyDescent="0.25">
      <c r="A1903" t="s">
        <v>6901</v>
      </c>
      <c r="B1903" t="s">
        <v>13506</v>
      </c>
    </row>
    <row r="1904" spans="1:2" x14ac:dyDescent="0.25">
      <c r="A1904" t="s">
        <v>869</v>
      </c>
      <c r="B1904" t="s">
        <v>10793</v>
      </c>
    </row>
    <row r="1905" spans="1:2" x14ac:dyDescent="0.25">
      <c r="A1905" t="s">
        <v>869</v>
      </c>
      <c r="B1905" t="s">
        <v>14107</v>
      </c>
    </row>
    <row r="1906" spans="1:2" x14ac:dyDescent="0.25">
      <c r="A1906" t="s">
        <v>7062</v>
      </c>
      <c r="B1906" t="s">
        <v>10755</v>
      </c>
    </row>
    <row r="1907" spans="1:2" x14ac:dyDescent="0.25">
      <c r="A1907" t="s">
        <v>7062</v>
      </c>
      <c r="B1907" t="s">
        <v>10764</v>
      </c>
    </row>
    <row r="1908" spans="1:2" x14ac:dyDescent="0.25">
      <c r="A1908" t="s">
        <v>7062</v>
      </c>
      <c r="B1908" t="s">
        <v>10751</v>
      </c>
    </row>
    <row r="1909" spans="1:2" x14ac:dyDescent="0.25">
      <c r="A1909" t="s">
        <v>7062</v>
      </c>
      <c r="B1909" t="s">
        <v>10763</v>
      </c>
    </row>
    <row r="1910" spans="1:2" x14ac:dyDescent="0.25">
      <c r="A1910" t="s">
        <v>7062</v>
      </c>
      <c r="B1910" t="s">
        <v>10754</v>
      </c>
    </row>
    <row r="1911" spans="1:2" x14ac:dyDescent="0.25">
      <c r="A1911" t="s">
        <v>7062</v>
      </c>
      <c r="B1911" t="s">
        <v>10742</v>
      </c>
    </row>
    <row r="1912" spans="1:2" x14ac:dyDescent="0.25">
      <c r="A1912" t="s">
        <v>7062</v>
      </c>
      <c r="B1912" t="s">
        <v>10765</v>
      </c>
    </row>
    <row r="1913" spans="1:2" x14ac:dyDescent="0.25">
      <c r="A1913" t="s">
        <v>7062</v>
      </c>
      <c r="B1913" t="s">
        <v>10743</v>
      </c>
    </row>
    <row r="1914" spans="1:2" x14ac:dyDescent="0.25">
      <c r="A1914" t="s">
        <v>7062</v>
      </c>
      <c r="B1914" t="s">
        <v>10761</v>
      </c>
    </row>
    <row r="1915" spans="1:2" x14ac:dyDescent="0.25">
      <c r="A1915" t="s">
        <v>7062</v>
      </c>
      <c r="B1915" t="s">
        <v>10749</v>
      </c>
    </row>
    <row r="1916" spans="1:2" x14ac:dyDescent="0.25">
      <c r="A1916" t="s">
        <v>7062</v>
      </c>
      <c r="B1916" t="s">
        <v>10750</v>
      </c>
    </row>
    <row r="1917" spans="1:2" x14ac:dyDescent="0.25">
      <c r="A1917" t="s">
        <v>7062</v>
      </c>
      <c r="B1917" t="s">
        <v>10688</v>
      </c>
    </row>
    <row r="1918" spans="1:2" x14ac:dyDescent="0.25">
      <c r="A1918" t="s">
        <v>7062</v>
      </c>
      <c r="B1918" t="s">
        <v>10689</v>
      </c>
    </row>
    <row r="1919" spans="1:2" x14ac:dyDescent="0.25">
      <c r="A1919" t="s">
        <v>7062</v>
      </c>
      <c r="B1919" t="s">
        <v>10741</v>
      </c>
    </row>
    <row r="1920" spans="1:2" x14ac:dyDescent="0.25">
      <c r="A1920" t="s">
        <v>7062</v>
      </c>
      <c r="B1920" t="s">
        <v>10744</v>
      </c>
    </row>
    <row r="1921" spans="1:2" x14ac:dyDescent="0.25">
      <c r="A1921" t="s">
        <v>7062</v>
      </c>
      <c r="B1921" t="s">
        <v>10753</v>
      </c>
    </row>
    <row r="1922" spans="1:2" x14ac:dyDescent="0.25">
      <c r="A1922" t="s">
        <v>7062</v>
      </c>
      <c r="B1922" t="s">
        <v>10756</v>
      </c>
    </row>
    <row r="1923" spans="1:2" x14ac:dyDescent="0.25">
      <c r="A1923" t="s">
        <v>7062</v>
      </c>
      <c r="B1923" t="s">
        <v>10762</v>
      </c>
    </row>
    <row r="1924" spans="1:2" x14ac:dyDescent="0.25">
      <c r="A1924" t="s">
        <v>7062</v>
      </c>
      <c r="B1924" t="s">
        <v>10766</v>
      </c>
    </row>
    <row r="1925" spans="1:2" x14ac:dyDescent="0.25">
      <c r="A1925" t="s">
        <v>415</v>
      </c>
      <c r="B1925" t="s">
        <v>8521</v>
      </c>
    </row>
    <row r="1926" spans="1:2" x14ac:dyDescent="0.25">
      <c r="A1926" t="s">
        <v>415</v>
      </c>
      <c r="B1926" t="s">
        <v>8571</v>
      </c>
    </row>
    <row r="1927" spans="1:2" x14ac:dyDescent="0.25">
      <c r="A1927" t="s">
        <v>415</v>
      </c>
      <c r="B1927" t="s">
        <v>12434</v>
      </c>
    </row>
    <row r="1928" spans="1:2" x14ac:dyDescent="0.25">
      <c r="A1928" t="s">
        <v>415</v>
      </c>
      <c r="B1928" t="s">
        <v>8545</v>
      </c>
    </row>
    <row r="1929" spans="1:2" x14ac:dyDescent="0.25">
      <c r="A1929" t="s">
        <v>415</v>
      </c>
      <c r="B1929" t="s">
        <v>8547</v>
      </c>
    </row>
    <row r="1930" spans="1:2" x14ac:dyDescent="0.25">
      <c r="A1930" t="s">
        <v>415</v>
      </c>
      <c r="B1930" t="s">
        <v>8513</v>
      </c>
    </row>
    <row r="1931" spans="1:2" x14ac:dyDescent="0.25">
      <c r="A1931" t="s">
        <v>415</v>
      </c>
      <c r="B1931" t="s">
        <v>8546</v>
      </c>
    </row>
    <row r="1932" spans="1:2" x14ac:dyDescent="0.25">
      <c r="A1932" t="s">
        <v>415</v>
      </c>
      <c r="B1932" t="s">
        <v>11636</v>
      </c>
    </row>
    <row r="1933" spans="1:2" x14ac:dyDescent="0.25">
      <c r="A1933" t="s">
        <v>415</v>
      </c>
      <c r="B1933" t="s">
        <v>8107</v>
      </c>
    </row>
    <row r="1934" spans="1:2" x14ac:dyDescent="0.25">
      <c r="A1934" t="s">
        <v>415</v>
      </c>
      <c r="B1934" t="s">
        <v>8523</v>
      </c>
    </row>
    <row r="1935" spans="1:2" x14ac:dyDescent="0.25">
      <c r="A1935" t="s">
        <v>415</v>
      </c>
      <c r="B1935" t="s">
        <v>10477</v>
      </c>
    </row>
    <row r="1936" spans="1:2" x14ac:dyDescent="0.25">
      <c r="A1936" t="s">
        <v>415</v>
      </c>
      <c r="B1936" t="s">
        <v>8514</v>
      </c>
    </row>
    <row r="1937" spans="1:2" x14ac:dyDescent="0.25">
      <c r="A1937" t="s">
        <v>415</v>
      </c>
      <c r="B1937" t="s">
        <v>12090</v>
      </c>
    </row>
    <row r="1938" spans="1:2" x14ac:dyDescent="0.25">
      <c r="A1938" t="s">
        <v>415</v>
      </c>
      <c r="B1938" t="s">
        <v>13241</v>
      </c>
    </row>
    <row r="1939" spans="1:2" x14ac:dyDescent="0.25">
      <c r="A1939" t="s">
        <v>415</v>
      </c>
      <c r="B1939" t="s">
        <v>13243</v>
      </c>
    </row>
    <row r="1940" spans="1:2" x14ac:dyDescent="0.25">
      <c r="A1940" t="s">
        <v>415</v>
      </c>
      <c r="B1940" t="s">
        <v>13246</v>
      </c>
    </row>
    <row r="1941" spans="1:2" x14ac:dyDescent="0.25">
      <c r="A1941" t="s">
        <v>415</v>
      </c>
      <c r="B1941" t="s">
        <v>13248</v>
      </c>
    </row>
    <row r="1942" spans="1:2" x14ac:dyDescent="0.25">
      <c r="A1942" t="s">
        <v>415</v>
      </c>
      <c r="B1942" t="s">
        <v>13262</v>
      </c>
    </row>
    <row r="1943" spans="1:2" x14ac:dyDescent="0.25">
      <c r="A1943" t="s">
        <v>415</v>
      </c>
      <c r="B1943" t="s">
        <v>13266</v>
      </c>
    </row>
    <row r="1944" spans="1:2" x14ac:dyDescent="0.25">
      <c r="A1944" t="s">
        <v>415</v>
      </c>
      <c r="B1944" t="s">
        <v>13269</v>
      </c>
    </row>
    <row r="1945" spans="1:2" x14ac:dyDescent="0.25">
      <c r="A1945" t="s">
        <v>415</v>
      </c>
      <c r="B1945" t="s">
        <v>13273</v>
      </c>
    </row>
    <row r="1946" spans="1:2" x14ac:dyDescent="0.25">
      <c r="A1946" t="s">
        <v>415</v>
      </c>
      <c r="B1946" t="s">
        <v>13642</v>
      </c>
    </row>
    <row r="1947" spans="1:2" x14ac:dyDescent="0.25">
      <c r="A1947" t="s">
        <v>415</v>
      </c>
      <c r="B1947" t="s">
        <v>13894</v>
      </c>
    </row>
    <row r="1948" spans="1:2" x14ac:dyDescent="0.25">
      <c r="A1948" t="s">
        <v>415</v>
      </c>
      <c r="B1948" t="s">
        <v>13897</v>
      </c>
    </row>
    <row r="1949" spans="1:2" x14ac:dyDescent="0.25">
      <c r="A1949" t="s">
        <v>415</v>
      </c>
      <c r="B1949" t="s">
        <v>13981</v>
      </c>
    </row>
    <row r="1950" spans="1:2" x14ac:dyDescent="0.25">
      <c r="A1950" t="s">
        <v>415</v>
      </c>
      <c r="B1950" t="s">
        <v>14369</v>
      </c>
    </row>
    <row r="1951" spans="1:2" x14ac:dyDescent="0.25">
      <c r="A1951" t="s">
        <v>11127</v>
      </c>
      <c r="B1951" t="s">
        <v>11128</v>
      </c>
    </row>
    <row r="1952" spans="1:2" x14ac:dyDescent="0.25">
      <c r="A1952" t="s">
        <v>11127</v>
      </c>
      <c r="B1952" t="s">
        <v>11134</v>
      </c>
    </row>
    <row r="1953" spans="1:2" x14ac:dyDescent="0.25">
      <c r="A1953" t="s">
        <v>11127</v>
      </c>
      <c r="B1953" t="s">
        <v>11131</v>
      </c>
    </row>
    <row r="1954" spans="1:2" x14ac:dyDescent="0.25">
      <c r="A1954" t="s">
        <v>11127</v>
      </c>
      <c r="B1954" t="s">
        <v>11124</v>
      </c>
    </row>
    <row r="1955" spans="1:2" x14ac:dyDescent="0.25">
      <c r="A1955" t="s">
        <v>2555</v>
      </c>
      <c r="B1955" t="s">
        <v>8577</v>
      </c>
    </row>
    <row r="1956" spans="1:2" x14ac:dyDescent="0.25">
      <c r="A1956" t="s">
        <v>6598</v>
      </c>
      <c r="B1956" t="s">
        <v>10471</v>
      </c>
    </row>
    <row r="1957" spans="1:2" x14ac:dyDescent="0.25">
      <c r="A1957" t="s">
        <v>6598</v>
      </c>
      <c r="B1957" t="s">
        <v>10472</v>
      </c>
    </row>
    <row r="1958" spans="1:2" x14ac:dyDescent="0.25">
      <c r="A1958" t="s">
        <v>6836</v>
      </c>
      <c r="B1958" t="s">
        <v>10595</v>
      </c>
    </row>
    <row r="1959" spans="1:2" x14ac:dyDescent="0.25">
      <c r="A1959" t="s">
        <v>6836</v>
      </c>
      <c r="B1959" t="s">
        <v>12027</v>
      </c>
    </row>
    <row r="1960" spans="1:2" x14ac:dyDescent="0.25">
      <c r="A1960" t="s">
        <v>6836</v>
      </c>
      <c r="B1960" t="s">
        <v>13489</v>
      </c>
    </row>
    <row r="1961" spans="1:2" x14ac:dyDescent="0.25">
      <c r="A1961" t="s">
        <v>6836</v>
      </c>
      <c r="B1961" t="s">
        <v>13493</v>
      </c>
    </row>
    <row r="1962" spans="1:2" x14ac:dyDescent="0.25">
      <c r="A1962" t="s">
        <v>6836</v>
      </c>
      <c r="B1962" t="s">
        <v>13497</v>
      </c>
    </row>
    <row r="1963" spans="1:2" x14ac:dyDescent="0.25">
      <c r="A1963" t="s">
        <v>6836</v>
      </c>
      <c r="B1963" t="s">
        <v>13501</v>
      </c>
    </row>
    <row r="1964" spans="1:2" x14ac:dyDescent="0.25">
      <c r="A1964" t="s">
        <v>566</v>
      </c>
      <c r="B1964" t="s">
        <v>8946</v>
      </c>
    </row>
    <row r="1965" spans="1:2" x14ac:dyDescent="0.25">
      <c r="A1965" t="s">
        <v>566</v>
      </c>
      <c r="B1965" t="s">
        <v>11786</v>
      </c>
    </row>
    <row r="1966" spans="1:2" x14ac:dyDescent="0.25">
      <c r="A1966" t="s">
        <v>566</v>
      </c>
      <c r="B1966" t="s">
        <v>9300</v>
      </c>
    </row>
    <row r="1967" spans="1:2" x14ac:dyDescent="0.25">
      <c r="A1967" t="s">
        <v>566</v>
      </c>
      <c r="B1967" t="s">
        <v>8918</v>
      </c>
    </row>
    <row r="1968" spans="1:2" x14ac:dyDescent="0.25">
      <c r="A1968" t="s">
        <v>566</v>
      </c>
      <c r="B1968" t="s">
        <v>9353</v>
      </c>
    </row>
    <row r="1969" spans="1:2" x14ac:dyDescent="0.25">
      <c r="A1969" t="s">
        <v>566</v>
      </c>
      <c r="B1969" t="s">
        <v>9364</v>
      </c>
    </row>
    <row r="1970" spans="1:2" x14ac:dyDescent="0.25">
      <c r="A1970" t="s">
        <v>566</v>
      </c>
      <c r="B1970" t="s">
        <v>8919</v>
      </c>
    </row>
    <row r="1971" spans="1:2" x14ac:dyDescent="0.25">
      <c r="A1971" t="s">
        <v>566</v>
      </c>
      <c r="B1971" t="s">
        <v>9354</v>
      </c>
    </row>
    <row r="1972" spans="1:2" x14ac:dyDescent="0.25">
      <c r="A1972" t="s">
        <v>566</v>
      </c>
      <c r="B1972" t="s">
        <v>9009</v>
      </c>
    </row>
    <row r="1973" spans="1:2" x14ac:dyDescent="0.25">
      <c r="A1973" t="s">
        <v>566</v>
      </c>
      <c r="B1973" t="s">
        <v>8762</v>
      </c>
    </row>
    <row r="1974" spans="1:2" x14ac:dyDescent="0.25">
      <c r="A1974" t="s">
        <v>566</v>
      </c>
      <c r="B1974" t="s">
        <v>9344</v>
      </c>
    </row>
    <row r="1975" spans="1:2" x14ac:dyDescent="0.25">
      <c r="A1975" t="s">
        <v>566</v>
      </c>
      <c r="B1975" t="s">
        <v>9393</v>
      </c>
    </row>
    <row r="1976" spans="1:2" x14ac:dyDescent="0.25">
      <c r="A1976" t="s">
        <v>566</v>
      </c>
      <c r="B1976" t="s">
        <v>9157</v>
      </c>
    </row>
    <row r="1977" spans="1:2" x14ac:dyDescent="0.25">
      <c r="A1977" t="s">
        <v>566</v>
      </c>
      <c r="B1977" t="s">
        <v>8920</v>
      </c>
    </row>
    <row r="1978" spans="1:2" x14ac:dyDescent="0.25">
      <c r="A1978" t="s">
        <v>402</v>
      </c>
      <c r="B1978" t="s">
        <v>8412</v>
      </c>
    </row>
    <row r="1979" spans="1:2" x14ac:dyDescent="0.25">
      <c r="A1979" t="s">
        <v>408</v>
      </c>
      <c r="B1979" t="s">
        <v>8492</v>
      </c>
    </row>
    <row r="1980" spans="1:2" x14ac:dyDescent="0.25">
      <c r="A1980" t="s">
        <v>408</v>
      </c>
      <c r="B1980" t="s">
        <v>8459</v>
      </c>
    </row>
    <row r="1981" spans="1:2" x14ac:dyDescent="0.25">
      <c r="A1981" t="s">
        <v>408</v>
      </c>
      <c r="B1981" t="s">
        <v>8439</v>
      </c>
    </row>
    <row r="1982" spans="1:2" x14ac:dyDescent="0.25">
      <c r="A1982" t="s">
        <v>408</v>
      </c>
      <c r="B1982" t="s">
        <v>8479</v>
      </c>
    </row>
    <row r="1983" spans="1:2" x14ac:dyDescent="0.25">
      <c r="A1983" t="s">
        <v>408</v>
      </c>
      <c r="B1983" t="s">
        <v>8436</v>
      </c>
    </row>
    <row r="1984" spans="1:2" x14ac:dyDescent="0.25">
      <c r="A1984" t="s">
        <v>408</v>
      </c>
      <c r="B1984" t="s">
        <v>8484</v>
      </c>
    </row>
    <row r="1985" spans="1:2" x14ac:dyDescent="0.25">
      <c r="A1985" t="s">
        <v>408</v>
      </c>
      <c r="B1985" t="s">
        <v>8454</v>
      </c>
    </row>
    <row r="1986" spans="1:2" x14ac:dyDescent="0.25">
      <c r="A1986" t="s">
        <v>408</v>
      </c>
      <c r="B1986" t="s">
        <v>8504</v>
      </c>
    </row>
    <row r="1987" spans="1:2" x14ac:dyDescent="0.25">
      <c r="A1987" t="s">
        <v>408</v>
      </c>
      <c r="B1987" t="s">
        <v>8494</v>
      </c>
    </row>
    <row r="1988" spans="1:2" x14ac:dyDescent="0.25">
      <c r="A1988" t="s">
        <v>408</v>
      </c>
      <c r="B1988" t="s">
        <v>8505</v>
      </c>
    </row>
    <row r="1989" spans="1:2" x14ac:dyDescent="0.25">
      <c r="A1989" t="s">
        <v>408</v>
      </c>
      <c r="B1989" t="s">
        <v>8471</v>
      </c>
    </row>
    <row r="1990" spans="1:2" x14ac:dyDescent="0.25">
      <c r="A1990" t="s">
        <v>408</v>
      </c>
      <c r="B1990" t="s">
        <v>8483</v>
      </c>
    </row>
    <row r="1991" spans="1:2" x14ac:dyDescent="0.25">
      <c r="A1991" t="s">
        <v>408</v>
      </c>
      <c r="B1991" t="s">
        <v>8448</v>
      </c>
    </row>
    <row r="1992" spans="1:2" x14ac:dyDescent="0.25">
      <c r="A1992" t="s">
        <v>408</v>
      </c>
      <c r="B1992" t="s">
        <v>8476</v>
      </c>
    </row>
    <row r="1993" spans="1:2" x14ac:dyDescent="0.25">
      <c r="A1993" t="s">
        <v>408</v>
      </c>
      <c r="B1993" t="s">
        <v>8495</v>
      </c>
    </row>
    <row r="1994" spans="1:2" x14ac:dyDescent="0.25">
      <c r="A1994" t="s">
        <v>408</v>
      </c>
      <c r="B1994" t="s">
        <v>8446</v>
      </c>
    </row>
    <row r="1995" spans="1:2" x14ac:dyDescent="0.25">
      <c r="A1995" t="s">
        <v>408</v>
      </c>
      <c r="B1995" t="s">
        <v>8478</v>
      </c>
    </row>
    <row r="1996" spans="1:2" x14ac:dyDescent="0.25">
      <c r="A1996" t="s">
        <v>408</v>
      </c>
      <c r="B1996" t="s">
        <v>8480</v>
      </c>
    </row>
    <row r="1997" spans="1:2" x14ac:dyDescent="0.25">
      <c r="A1997" t="s">
        <v>408</v>
      </c>
      <c r="B1997" t="s">
        <v>8475</v>
      </c>
    </row>
    <row r="1998" spans="1:2" x14ac:dyDescent="0.25">
      <c r="A1998" t="s">
        <v>408</v>
      </c>
      <c r="B1998" t="s">
        <v>8447</v>
      </c>
    </row>
    <row r="1999" spans="1:2" x14ac:dyDescent="0.25">
      <c r="A1999" t="s">
        <v>408</v>
      </c>
      <c r="B1999" t="s">
        <v>8455</v>
      </c>
    </row>
    <row r="2000" spans="1:2" x14ac:dyDescent="0.25">
      <c r="A2000" t="s">
        <v>408</v>
      </c>
      <c r="B2000" t="s">
        <v>8486</v>
      </c>
    </row>
    <row r="2001" spans="1:2" x14ac:dyDescent="0.25">
      <c r="A2001" t="s">
        <v>408</v>
      </c>
      <c r="B2001" t="s">
        <v>8487</v>
      </c>
    </row>
    <row r="2002" spans="1:2" x14ac:dyDescent="0.25">
      <c r="A2002" t="s">
        <v>408</v>
      </c>
      <c r="B2002" t="s">
        <v>8452</v>
      </c>
    </row>
    <row r="2003" spans="1:2" x14ac:dyDescent="0.25">
      <c r="A2003" t="s">
        <v>408</v>
      </c>
      <c r="B2003" t="s">
        <v>8434</v>
      </c>
    </row>
    <row r="2004" spans="1:2" x14ac:dyDescent="0.25">
      <c r="A2004" t="s">
        <v>408</v>
      </c>
      <c r="B2004" t="s">
        <v>8438</v>
      </c>
    </row>
    <row r="2005" spans="1:2" x14ac:dyDescent="0.25">
      <c r="A2005" t="s">
        <v>408</v>
      </c>
      <c r="B2005" t="s">
        <v>8506</v>
      </c>
    </row>
    <row r="2006" spans="1:2" x14ac:dyDescent="0.25">
      <c r="A2006" t="s">
        <v>408</v>
      </c>
      <c r="B2006" t="s">
        <v>8466</v>
      </c>
    </row>
    <row r="2007" spans="1:2" x14ac:dyDescent="0.25">
      <c r="A2007" t="s">
        <v>408</v>
      </c>
      <c r="B2007" t="s">
        <v>8485</v>
      </c>
    </row>
    <row r="2008" spans="1:2" x14ac:dyDescent="0.25">
      <c r="A2008" t="s">
        <v>408</v>
      </c>
      <c r="B2008" t="s">
        <v>8501</v>
      </c>
    </row>
    <row r="2009" spans="1:2" x14ac:dyDescent="0.25">
      <c r="A2009" t="s">
        <v>408</v>
      </c>
      <c r="B2009" t="s">
        <v>8442</v>
      </c>
    </row>
    <row r="2010" spans="1:2" x14ac:dyDescent="0.25">
      <c r="A2010" t="s">
        <v>408</v>
      </c>
      <c r="B2010" t="s">
        <v>8489</v>
      </c>
    </row>
    <row r="2011" spans="1:2" x14ac:dyDescent="0.25">
      <c r="A2011" t="s">
        <v>408</v>
      </c>
      <c r="B2011" t="s">
        <v>8450</v>
      </c>
    </row>
    <row r="2012" spans="1:2" x14ac:dyDescent="0.25">
      <c r="A2012" t="s">
        <v>408</v>
      </c>
      <c r="B2012" t="s">
        <v>8508</v>
      </c>
    </row>
    <row r="2013" spans="1:2" x14ac:dyDescent="0.25">
      <c r="A2013" t="s">
        <v>408</v>
      </c>
      <c r="B2013" t="s">
        <v>8473</v>
      </c>
    </row>
    <row r="2014" spans="1:2" x14ac:dyDescent="0.25">
      <c r="A2014" t="s">
        <v>408</v>
      </c>
      <c r="B2014" t="s">
        <v>8435</v>
      </c>
    </row>
    <row r="2015" spans="1:2" x14ac:dyDescent="0.25">
      <c r="A2015" t="s">
        <v>408</v>
      </c>
      <c r="B2015" t="s">
        <v>8488</v>
      </c>
    </row>
    <row r="2016" spans="1:2" x14ac:dyDescent="0.25">
      <c r="A2016" t="s">
        <v>408</v>
      </c>
      <c r="B2016" t="s">
        <v>8445</v>
      </c>
    </row>
    <row r="2017" spans="1:2" x14ac:dyDescent="0.25">
      <c r="A2017" t="s">
        <v>408</v>
      </c>
      <c r="B2017" t="s">
        <v>8497</v>
      </c>
    </row>
    <row r="2018" spans="1:2" x14ac:dyDescent="0.25">
      <c r="A2018" t="s">
        <v>408</v>
      </c>
      <c r="B2018" t="s">
        <v>8481</v>
      </c>
    </row>
    <row r="2019" spans="1:2" x14ac:dyDescent="0.25">
      <c r="A2019" t="s">
        <v>408</v>
      </c>
      <c r="B2019" t="s">
        <v>8443</v>
      </c>
    </row>
    <row r="2020" spans="1:2" x14ac:dyDescent="0.25">
      <c r="A2020" t="s">
        <v>408</v>
      </c>
      <c r="B2020" t="s">
        <v>8499</v>
      </c>
    </row>
    <row r="2021" spans="1:2" x14ac:dyDescent="0.25">
      <c r="A2021" t="s">
        <v>408</v>
      </c>
      <c r="B2021" t="s">
        <v>8456</v>
      </c>
    </row>
    <row r="2022" spans="1:2" x14ac:dyDescent="0.25">
      <c r="A2022" t="s">
        <v>408</v>
      </c>
      <c r="B2022" t="s">
        <v>8457</v>
      </c>
    </row>
    <row r="2023" spans="1:2" x14ac:dyDescent="0.25">
      <c r="A2023" t="s">
        <v>408</v>
      </c>
      <c r="B2023" t="s">
        <v>8512</v>
      </c>
    </row>
    <row r="2024" spans="1:2" x14ac:dyDescent="0.25">
      <c r="A2024" t="s">
        <v>408</v>
      </c>
      <c r="B2024" t="s">
        <v>8472</v>
      </c>
    </row>
    <row r="2025" spans="1:2" x14ac:dyDescent="0.25">
      <c r="A2025" t="s">
        <v>408</v>
      </c>
      <c r="B2025" t="s">
        <v>8490</v>
      </c>
    </row>
    <row r="2026" spans="1:2" x14ac:dyDescent="0.25">
      <c r="A2026" t="s">
        <v>408</v>
      </c>
      <c r="B2026" t="s">
        <v>8449</v>
      </c>
    </row>
    <row r="2027" spans="1:2" x14ac:dyDescent="0.25">
      <c r="A2027" t="s">
        <v>408</v>
      </c>
      <c r="B2027" t="s">
        <v>8509</v>
      </c>
    </row>
    <row r="2028" spans="1:2" x14ac:dyDescent="0.25">
      <c r="A2028" t="s">
        <v>408</v>
      </c>
      <c r="B2028" t="s">
        <v>8461</v>
      </c>
    </row>
    <row r="2029" spans="1:2" x14ac:dyDescent="0.25">
      <c r="A2029" t="s">
        <v>408</v>
      </c>
      <c r="B2029" t="s">
        <v>8491</v>
      </c>
    </row>
    <row r="2030" spans="1:2" x14ac:dyDescent="0.25">
      <c r="A2030" t="s">
        <v>408</v>
      </c>
      <c r="B2030" t="s">
        <v>8493</v>
      </c>
    </row>
    <row r="2031" spans="1:2" x14ac:dyDescent="0.25">
      <c r="A2031" t="s">
        <v>408</v>
      </c>
      <c r="B2031" t="s">
        <v>8503</v>
      </c>
    </row>
    <row r="2032" spans="1:2" x14ac:dyDescent="0.25">
      <c r="A2032" t="s">
        <v>408</v>
      </c>
      <c r="B2032" t="s">
        <v>8507</v>
      </c>
    </row>
    <row r="2033" spans="1:2" x14ac:dyDescent="0.25">
      <c r="A2033" t="s">
        <v>408</v>
      </c>
      <c r="B2033" t="s">
        <v>8502</v>
      </c>
    </row>
    <row r="2034" spans="1:2" x14ac:dyDescent="0.25">
      <c r="A2034" t="s">
        <v>408</v>
      </c>
      <c r="B2034" t="s">
        <v>8468</v>
      </c>
    </row>
    <row r="2035" spans="1:2" x14ac:dyDescent="0.25">
      <c r="A2035" t="s">
        <v>408</v>
      </c>
      <c r="B2035" t="s">
        <v>8444</v>
      </c>
    </row>
    <row r="2036" spans="1:2" x14ac:dyDescent="0.25">
      <c r="A2036" t="s">
        <v>408</v>
      </c>
      <c r="B2036" t="s">
        <v>8482</v>
      </c>
    </row>
    <row r="2037" spans="1:2" x14ac:dyDescent="0.25">
      <c r="A2037" t="s">
        <v>408</v>
      </c>
      <c r="B2037" t="s">
        <v>8462</v>
      </c>
    </row>
    <row r="2038" spans="1:2" x14ac:dyDescent="0.25">
      <c r="A2038" t="s">
        <v>408</v>
      </c>
      <c r="B2038" t="s">
        <v>8469</v>
      </c>
    </row>
    <row r="2039" spans="1:2" x14ac:dyDescent="0.25">
      <c r="A2039" t="s">
        <v>408</v>
      </c>
      <c r="B2039" t="s">
        <v>8464</v>
      </c>
    </row>
    <row r="2040" spans="1:2" x14ac:dyDescent="0.25">
      <c r="A2040" t="s">
        <v>408</v>
      </c>
      <c r="B2040" t="s">
        <v>8433</v>
      </c>
    </row>
    <row r="2041" spans="1:2" x14ac:dyDescent="0.25">
      <c r="A2041" t="s">
        <v>408</v>
      </c>
      <c r="B2041" t="s">
        <v>8498</v>
      </c>
    </row>
    <row r="2042" spans="1:2" x14ac:dyDescent="0.25">
      <c r="A2042" t="s">
        <v>408</v>
      </c>
      <c r="B2042" t="s">
        <v>8437</v>
      </c>
    </row>
    <row r="2043" spans="1:2" x14ac:dyDescent="0.25">
      <c r="A2043" t="s">
        <v>408</v>
      </c>
      <c r="B2043" t="s">
        <v>8470</v>
      </c>
    </row>
    <row r="2044" spans="1:2" x14ac:dyDescent="0.25">
      <c r="A2044" t="s">
        <v>408</v>
      </c>
      <c r="B2044" t="s">
        <v>8474</v>
      </c>
    </row>
    <row r="2045" spans="1:2" x14ac:dyDescent="0.25">
      <c r="A2045" t="s">
        <v>408</v>
      </c>
      <c r="B2045" t="s">
        <v>8511</v>
      </c>
    </row>
    <row r="2046" spans="1:2" x14ac:dyDescent="0.25">
      <c r="A2046" t="s">
        <v>408</v>
      </c>
      <c r="B2046" t="s">
        <v>8463</v>
      </c>
    </row>
    <row r="2047" spans="1:2" x14ac:dyDescent="0.25">
      <c r="A2047" t="s">
        <v>408</v>
      </c>
      <c r="B2047" t="s">
        <v>8453</v>
      </c>
    </row>
    <row r="2048" spans="1:2" x14ac:dyDescent="0.25">
      <c r="A2048" t="s">
        <v>408</v>
      </c>
      <c r="B2048" t="s">
        <v>8465</v>
      </c>
    </row>
    <row r="2049" spans="1:2" x14ac:dyDescent="0.25">
      <c r="A2049" t="s">
        <v>408</v>
      </c>
      <c r="B2049" t="s">
        <v>8467</v>
      </c>
    </row>
    <row r="2050" spans="1:2" x14ac:dyDescent="0.25">
      <c r="A2050" t="s">
        <v>408</v>
      </c>
      <c r="B2050" t="s">
        <v>8430</v>
      </c>
    </row>
    <row r="2051" spans="1:2" x14ac:dyDescent="0.25">
      <c r="A2051" t="s">
        <v>408</v>
      </c>
      <c r="B2051" t="s">
        <v>8451</v>
      </c>
    </row>
    <row r="2052" spans="1:2" x14ac:dyDescent="0.25">
      <c r="A2052" t="s">
        <v>408</v>
      </c>
      <c r="B2052" t="s">
        <v>8496</v>
      </c>
    </row>
    <row r="2053" spans="1:2" x14ac:dyDescent="0.25">
      <c r="A2053" t="s">
        <v>408</v>
      </c>
      <c r="B2053" t="s">
        <v>8510</v>
      </c>
    </row>
    <row r="2054" spans="1:2" x14ac:dyDescent="0.25">
      <c r="A2054" t="s">
        <v>408</v>
      </c>
      <c r="B2054" t="s">
        <v>8441</v>
      </c>
    </row>
    <row r="2055" spans="1:2" x14ac:dyDescent="0.25">
      <c r="A2055" t="s">
        <v>408</v>
      </c>
      <c r="B2055" t="s">
        <v>8440</v>
      </c>
    </row>
    <row r="2056" spans="1:2" x14ac:dyDescent="0.25">
      <c r="A2056" t="s">
        <v>408</v>
      </c>
      <c r="B2056" t="s">
        <v>8500</v>
      </c>
    </row>
    <row r="2057" spans="1:2" x14ac:dyDescent="0.25">
      <c r="A2057" t="s">
        <v>408</v>
      </c>
      <c r="B2057" t="s">
        <v>8477</v>
      </c>
    </row>
    <row r="2058" spans="1:2" x14ac:dyDescent="0.25">
      <c r="A2058" t="s">
        <v>408</v>
      </c>
      <c r="B2058" t="s">
        <v>8458</v>
      </c>
    </row>
    <row r="2059" spans="1:2" x14ac:dyDescent="0.25">
      <c r="A2059" t="s">
        <v>408</v>
      </c>
      <c r="B2059" t="s">
        <v>8460</v>
      </c>
    </row>
    <row r="2060" spans="1:2" x14ac:dyDescent="0.25">
      <c r="A2060" t="s">
        <v>496</v>
      </c>
      <c r="B2060" t="s">
        <v>8580</v>
      </c>
    </row>
    <row r="2061" spans="1:2" x14ac:dyDescent="0.25">
      <c r="A2061" t="s">
        <v>638</v>
      </c>
      <c r="B2061" t="s">
        <v>10020</v>
      </c>
    </row>
    <row r="2062" spans="1:2" x14ac:dyDescent="0.25">
      <c r="A2062" t="s">
        <v>638</v>
      </c>
      <c r="B2062" t="s">
        <v>9532</v>
      </c>
    </row>
    <row r="2063" spans="1:2" x14ac:dyDescent="0.25">
      <c r="A2063" t="s">
        <v>638</v>
      </c>
      <c r="B2063" t="s">
        <v>9920</v>
      </c>
    </row>
    <row r="2064" spans="1:2" x14ac:dyDescent="0.25">
      <c r="A2064" t="s">
        <v>638</v>
      </c>
      <c r="B2064" t="s">
        <v>9576</v>
      </c>
    </row>
    <row r="2065" spans="1:2" x14ac:dyDescent="0.25">
      <c r="A2065" t="s">
        <v>638</v>
      </c>
      <c r="B2065" t="s">
        <v>9998</v>
      </c>
    </row>
    <row r="2066" spans="1:2" x14ac:dyDescent="0.25">
      <c r="A2066" t="s">
        <v>638</v>
      </c>
      <c r="B2066" t="s">
        <v>9577</v>
      </c>
    </row>
    <row r="2067" spans="1:2" x14ac:dyDescent="0.25">
      <c r="A2067" t="s">
        <v>638</v>
      </c>
      <c r="B2067" t="s">
        <v>10186</v>
      </c>
    </row>
    <row r="2068" spans="1:2" x14ac:dyDescent="0.25">
      <c r="A2068" t="s">
        <v>823</v>
      </c>
      <c r="B2068" t="s">
        <v>10776</v>
      </c>
    </row>
    <row r="2069" spans="1:2" x14ac:dyDescent="0.25">
      <c r="A2069" t="s">
        <v>2415</v>
      </c>
      <c r="B2069" t="s">
        <v>12109</v>
      </c>
    </row>
    <row r="2070" spans="1:2" x14ac:dyDescent="0.25">
      <c r="A2070" t="s">
        <v>2415</v>
      </c>
      <c r="B2070" t="s">
        <v>12101</v>
      </c>
    </row>
    <row r="2071" spans="1:2" x14ac:dyDescent="0.25">
      <c r="A2071" t="s">
        <v>2415</v>
      </c>
      <c r="B2071" t="s">
        <v>8553</v>
      </c>
    </row>
    <row r="2072" spans="1:2" x14ac:dyDescent="0.25">
      <c r="A2072" t="s">
        <v>2415</v>
      </c>
      <c r="B2072" t="s">
        <v>12103</v>
      </c>
    </row>
    <row r="2073" spans="1:2" x14ac:dyDescent="0.25">
      <c r="A2073" t="s">
        <v>2415</v>
      </c>
      <c r="B2073" t="s">
        <v>12122</v>
      </c>
    </row>
    <row r="2074" spans="1:2" x14ac:dyDescent="0.25">
      <c r="A2074" t="s">
        <v>2415</v>
      </c>
      <c r="B2074" t="s">
        <v>12118</v>
      </c>
    </row>
    <row r="2075" spans="1:2" x14ac:dyDescent="0.25">
      <c r="A2075" t="s">
        <v>2415</v>
      </c>
      <c r="B2075" t="s">
        <v>10882</v>
      </c>
    </row>
    <row r="2076" spans="1:2" x14ac:dyDescent="0.25">
      <c r="A2076" t="s">
        <v>2415</v>
      </c>
      <c r="B2076" t="s">
        <v>12096</v>
      </c>
    </row>
    <row r="2077" spans="1:2" x14ac:dyDescent="0.25">
      <c r="A2077" t="s">
        <v>11629</v>
      </c>
      <c r="B2077" t="s">
        <v>11626</v>
      </c>
    </row>
    <row r="2078" spans="1:2" x14ac:dyDescent="0.25">
      <c r="A2078" t="s">
        <v>504</v>
      </c>
      <c r="B2078" t="s">
        <v>8562</v>
      </c>
    </row>
    <row r="2079" spans="1:2" x14ac:dyDescent="0.25">
      <c r="A2079" t="s">
        <v>504</v>
      </c>
      <c r="B2079" t="s">
        <v>8595</v>
      </c>
    </row>
    <row r="2080" spans="1:2" x14ac:dyDescent="0.25">
      <c r="A2080" t="s">
        <v>504</v>
      </c>
      <c r="B2080" t="s">
        <v>13603</v>
      </c>
    </row>
    <row r="2081" spans="1:2" x14ac:dyDescent="0.25">
      <c r="A2081" t="s">
        <v>504</v>
      </c>
      <c r="B2081" t="s">
        <v>14120</v>
      </c>
    </row>
    <row r="2082" spans="1:2" x14ac:dyDescent="0.25">
      <c r="A2082" t="s">
        <v>504</v>
      </c>
      <c r="B2082" t="s">
        <v>14148</v>
      </c>
    </row>
    <row r="2083" spans="1:2" x14ac:dyDescent="0.25">
      <c r="A2083" t="s">
        <v>504</v>
      </c>
      <c r="B2083" t="s">
        <v>14236</v>
      </c>
    </row>
    <row r="2084" spans="1:2" x14ac:dyDescent="0.25">
      <c r="A2084" t="s">
        <v>504</v>
      </c>
      <c r="B2084" t="s">
        <v>14322</v>
      </c>
    </row>
    <row r="2085" spans="1:2" x14ac:dyDescent="0.25">
      <c r="A2085" t="s">
        <v>369</v>
      </c>
      <c r="B2085" t="s">
        <v>8215</v>
      </c>
    </row>
    <row r="2086" spans="1:2" x14ac:dyDescent="0.25">
      <c r="A2086" t="s">
        <v>369</v>
      </c>
      <c r="B2086" t="s">
        <v>12420</v>
      </c>
    </row>
    <row r="2087" spans="1:2" x14ac:dyDescent="0.25">
      <c r="A2087" t="s">
        <v>369</v>
      </c>
      <c r="B2087" t="s">
        <v>8326</v>
      </c>
    </row>
    <row r="2088" spans="1:2" x14ac:dyDescent="0.25">
      <c r="A2088" t="s">
        <v>369</v>
      </c>
      <c r="B2088" t="s">
        <v>8274</v>
      </c>
    </row>
    <row r="2089" spans="1:2" x14ac:dyDescent="0.25">
      <c r="A2089" t="s">
        <v>369</v>
      </c>
      <c r="B2089" t="s">
        <v>8211</v>
      </c>
    </row>
    <row r="2090" spans="1:2" x14ac:dyDescent="0.25">
      <c r="A2090" t="s">
        <v>369</v>
      </c>
      <c r="B2090" t="s">
        <v>8305</v>
      </c>
    </row>
    <row r="2091" spans="1:2" x14ac:dyDescent="0.25">
      <c r="A2091" t="s">
        <v>369</v>
      </c>
      <c r="B2091" t="s">
        <v>8328</v>
      </c>
    </row>
    <row r="2092" spans="1:2" x14ac:dyDescent="0.25">
      <c r="A2092" t="s">
        <v>369</v>
      </c>
      <c r="B2092" t="s">
        <v>8213</v>
      </c>
    </row>
    <row r="2093" spans="1:2" x14ac:dyDescent="0.25">
      <c r="A2093" t="s">
        <v>369</v>
      </c>
      <c r="B2093" t="s">
        <v>8273</v>
      </c>
    </row>
    <row r="2094" spans="1:2" x14ac:dyDescent="0.25">
      <c r="A2094" t="s">
        <v>848</v>
      </c>
      <c r="B2094" t="s">
        <v>10797</v>
      </c>
    </row>
    <row r="2095" spans="1:2" x14ac:dyDescent="0.25">
      <c r="A2095" t="s">
        <v>848</v>
      </c>
      <c r="B2095" t="s">
        <v>10859</v>
      </c>
    </row>
    <row r="2096" spans="1:2" x14ac:dyDescent="0.25">
      <c r="A2096" t="s">
        <v>339</v>
      </c>
      <c r="B2096" t="s">
        <v>8175</v>
      </c>
    </row>
    <row r="2097" spans="1:2" x14ac:dyDescent="0.25">
      <c r="A2097" t="s">
        <v>165</v>
      </c>
      <c r="B2097" t="s">
        <v>12475</v>
      </c>
    </row>
    <row r="2098" spans="1:2" x14ac:dyDescent="0.25">
      <c r="A2098" t="s">
        <v>165</v>
      </c>
      <c r="B2098" t="s">
        <v>8634</v>
      </c>
    </row>
    <row r="2099" spans="1:2" x14ac:dyDescent="0.25">
      <c r="A2099" t="s">
        <v>165</v>
      </c>
      <c r="B2099" t="s">
        <v>12718</v>
      </c>
    </row>
    <row r="2100" spans="1:2" x14ac:dyDescent="0.25">
      <c r="A2100" t="s">
        <v>165</v>
      </c>
      <c r="B2100" t="s">
        <v>8632</v>
      </c>
    </row>
    <row r="2101" spans="1:2" x14ac:dyDescent="0.25">
      <c r="A2101" t="s">
        <v>165</v>
      </c>
      <c r="B2101" t="s">
        <v>8669</v>
      </c>
    </row>
    <row r="2102" spans="1:2" x14ac:dyDescent="0.25">
      <c r="A2102" t="s">
        <v>165</v>
      </c>
      <c r="B2102" t="s">
        <v>8673</v>
      </c>
    </row>
    <row r="2103" spans="1:2" x14ac:dyDescent="0.25">
      <c r="A2103" t="s">
        <v>165</v>
      </c>
      <c r="B2103" t="s">
        <v>8626</v>
      </c>
    </row>
    <row r="2104" spans="1:2" x14ac:dyDescent="0.25">
      <c r="A2104" t="s">
        <v>165</v>
      </c>
      <c r="B2104" t="s">
        <v>8631</v>
      </c>
    </row>
    <row r="2105" spans="1:2" x14ac:dyDescent="0.25">
      <c r="A2105" t="s">
        <v>165</v>
      </c>
      <c r="B2105" t="s">
        <v>12728</v>
      </c>
    </row>
    <row r="2106" spans="1:2" x14ac:dyDescent="0.25">
      <c r="A2106" t="s">
        <v>165</v>
      </c>
      <c r="B2106" t="s">
        <v>8608</v>
      </c>
    </row>
    <row r="2107" spans="1:2" x14ac:dyDescent="0.25">
      <c r="A2107" t="s">
        <v>165</v>
      </c>
      <c r="B2107" t="s">
        <v>8613</v>
      </c>
    </row>
    <row r="2108" spans="1:2" x14ac:dyDescent="0.25">
      <c r="A2108" t="s">
        <v>165</v>
      </c>
      <c r="B2108" t="s">
        <v>12716</v>
      </c>
    </row>
    <row r="2109" spans="1:2" x14ac:dyDescent="0.25">
      <c r="A2109" t="s">
        <v>721</v>
      </c>
      <c r="B2109" t="s">
        <v>9710</v>
      </c>
    </row>
    <row r="2110" spans="1:2" x14ac:dyDescent="0.25">
      <c r="A2110" t="s">
        <v>721</v>
      </c>
      <c r="B2110" t="s">
        <v>10249</v>
      </c>
    </row>
    <row r="2111" spans="1:2" x14ac:dyDescent="0.25">
      <c r="A2111" t="s">
        <v>721</v>
      </c>
      <c r="B2111" t="s">
        <v>9548</v>
      </c>
    </row>
    <row r="2112" spans="1:2" x14ac:dyDescent="0.25">
      <c r="A2112" t="s">
        <v>721</v>
      </c>
      <c r="B2112" t="s">
        <v>10232</v>
      </c>
    </row>
    <row r="2113" spans="1:2" x14ac:dyDescent="0.25">
      <c r="A2113" t="s">
        <v>721</v>
      </c>
      <c r="B2113" t="s">
        <v>9959</v>
      </c>
    </row>
    <row r="2114" spans="1:2" x14ac:dyDescent="0.25">
      <c r="A2114" t="s">
        <v>721</v>
      </c>
      <c r="B2114" t="s">
        <v>9964</v>
      </c>
    </row>
    <row r="2115" spans="1:2" x14ac:dyDescent="0.25">
      <c r="A2115" t="s">
        <v>721</v>
      </c>
      <c r="B2115" t="s">
        <v>9850</v>
      </c>
    </row>
    <row r="2116" spans="1:2" x14ac:dyDescent="0.25">
      <c r="A2116" t="s">
        <v>721</v>
      </c>
      <c r="B2116" t="s">
        <v>9836</v>
      </c>
    </row>
    <row r="2117" spans="1:2" x14ac:dyDescent="0.25">
      <c r="A2117" t="s">
        <v>721</v>
      </c>
      <c r="B2117" t="s">
        <v>13875</v>
      </c>
    </row>
    <row r="2118" spans="1:2" x14ac:dyDescent="0.25">
      <c r="A2118" t="s">
        <v>966</v>
      </c>
      <c r="B2118" t="s">
        <v>7964</v>
      </c>
    </row>
    <row r="2119" spans="1:2" x14ac:dyDescent="0.25">
      <c r="A2119" t="s">
        <v>966</v>
      </c>
      <c r="B2119" t="s">
        <v>7966</v>
      </c>
    </row>
    <row r="2120" spans="1:2" x14ac:dyDescent="0.25">
      <c r="A2120" t="s">
        <v>966</v>
      </c>
      <c r="B2120" t="s">
        <v>7965</v>
      </c>
    </row>
    <row r="2121" spans="1:2" x14ac:dyDescent="0.25">
      <c r="A2121" t="s">
        <v>966</v>
      </c>
      <c r="B2121" t="s">
        <v>7963</v>
      </c>
    </row>
    <row r="2122" spans="1:2" x14ac:dyDescent="0.25">
      <c r="A2122" t="s">
        <v>263</v>
      </c>
      <c r="B2122" t="s">
        <v>10804</v>
      </c>
    </row>
    <row r="2123" spans="1:2" x14ac:dyDescent="0.25">
      <c r="A2123" t="s">
        <v>263</v>
      </c>
      <c r="B2123" t="s">
        <v>12073</v>
      </c>
    </row>
    <row r="2124" spans="1:2" x14ac:dyDescent="0.25">
      <c r="A2124" t="s">
        <v>263</v>
      </c>
      <c r="B2124" t="s">
        <v>10824</v>
      </c>
    </row>
    <row r="2125" spans="1:2" x14ac:dyDescent="0.25">
      <c r="A2125" t="s">
        <v>263</v>
      </c>
      <c r="B2125" t="s">
        <v>12064</v>
      </c>
    </row>
    <row r="2126" spans="1:2" x14ac:dyDescent="0.25">
      <c r="A2126" t="s">
        <v>263</v>
      </c>
      <c r="B2126" t="s">
        <v>10853</v>
      </c>
    </row>
    <row r="2127" spans="1:2" x14ac:dyDescent="0.25">
      <c r="A2127" t="s">
        <v>263</v>
      </c>
      <c r="B2127" t="s">
        <v>10871</v>
      </c>
    </row>
    <row r="2128" spans="1:2" x14ac:dyDescent="0.25">
      <c r="A2128" t="s">
        <v>263</v>
      </c>
      <c r="B2128" t="s">
        <v>10832</v>
      </c>
    </row>
    <row r="2129" spans="1:2" x14ac:dyDescent="0.25">
      <c r="A2129" t="s">
        <v>263</v>
      </c>
      <c r="B2129" t="s">
        <v>10848</v>
      </c>
    </row>
    <row r="2130" spans="1:2" x14ac:dyDescent="0.25">
      <c r="A2130" t="s">
        <v>263</v>
      </c>
      <c r="B2130" t="s">
        <v>10858</v>
      </c>
    </row>
    <row r="2131" spans="1:2" x14ac:dyDescent="0.25">
      <c r="A2131" t="s">
        <v>263</v>
      </c>
      <c r="B2131" t="s">
        <v>10794</v>
      </c>
    </row>
    <row r="2132" spans="1:2" x14ac:dyDescent="0.25">
      <c r="A2132" t="s">
        <v>263</v>
      </c>
      <c r="B2132" t="s">
        <v>12072</v>
      </c>
    </row>
    <row r="2133" spans="1:2" x14ac:dyDescent="0.25">
      <c r="A2133" t="s">
        <v>263</v>
      </c>
      <c r="B2133" t="s">
        <v>12078</v>
      </c>
    </row>
    <row r="2134" spans="1:2" x14ac:dyDescent="0.25">
      <c r="A2134" t="s">
        <v>263</v>
      </c>
      <c r="B2134" t="s">
        <v>10803</v>
      </c>
    </row>
    <row r="2135" spans="1:2" x14ac:dyDescent="0.25">
      <c r="A2135" t="s">
        <v>263</v>
      </c>
      <c r="B2135" t="s">
        <v>12061</v>
      </c>
    </row>
    <row r="2136" spans="1:2" x14ac:dyDescent="0.25">
      <c r="A2136" t="s">
        <v>263</v>
      </c>
      <c r="B2136" t="s">
        <v>10851</v>
      </c>
    </row>
    <row r="2137" spans="1:2" x14ac:dyDescent="0.25">
      <c r="A2137" t="s">
        <v>263</v>
      </c>
      <c r="B2137" t="s">
        <v>10836</v>
      </c>
    </row>
    <row r="2138" spans="1:2" x14ac:dyDescent="0.25">
      <c r="A2138" t="s">
        <v>263</v>
      </c>
      <c r="B2138" t="s">
        <v>10810</v>
      </c>
    </row>
    <row r="2139" spans="1:2" x14ac:dyDescent="0.25">
      <c r="A2139" t="s">
        <v>263</v>
      </c>
      <c r="B2139" t="s">
        <v>14152</v>
      </c>
    </row>
    <row r="2140" spans="1:2" x14ac:dyDescent="0.25">
      <c r="A2140" t="s">
        <v>263</v>
      </c>
      <c r="B2140" t="s">
        <v>14158</v>
      </c>
    </row>
    <row r="2141" spans="1:2" x14ac:dyDescent="0.25">
      <c r="A2141" t="s">
        <v>263</v>
      </c>
      <c r="B2141" t="s">
        <v>14162</v>
      </c>
    </row>
    <row r="2142" spans="1:2" x14ac:dyDescent="0.25">
      <c r="A2142" t="s">
        <v>263</v>
      </c>
      <c r="B2142" t="s">
        <v>14188</v>
      </c>
    </row>
    <row r="2143" spans="1:2" x14ac:dyDescent="0.25">
      <c r="A2143" t="s">
        <v>263</v>
      </c>
      <c r="B2143" t="s">
        <v>14194</v>
      </c>
    </row>
    <row r="2144" spans="1:2" x14ac:dyDescent="0.25">
      <c r="A2144" t="s">
        <v>644</v>
      </c>
      <c r="B2144" t="s">
        <v>10359</v>
      </c>
    </row>
    <row r="2145" spans="1:2" x14ac:dyDescent="0.25">
      <c r="A2145" t="s">
        <v>644</v>
      </c>
      <c r="B2145" t="s">
        <v>10369</v>
      </c>
    </row>
    <row r="2146" spans="1:2" x14ac:dyDescent="0.25">
      <c r="A2146" t="s">
        <v>644</v>
      </c>
      <c r="B2146" t="s">
        <v>10085</v>
      </c>
    </row>
    <row r="2147" spans="1:2" x14ac:dyDescent="0.25">
      <c r="A2147" t="s">
        <v>644</v>
      </c>
      <c r="B2147" t="s">
        <v>9832</v>
      </c>
    </row>
    <row r="2148" spans="1:2" x14ac:dyDescent="0.25">
      <c r="A2148" t="s">
        <v>644</v>
      </c>
      <c r="B2148" t="s">
        <v>11270</v>
      </c>
    </row>
    <row r="2149" spans="1:2" x14ac:dyDescent="0.25">
      <c r="A2149" t="s">
        <v>644</v>
      </c>
      <c r="B2149" t="s">
        <v>10253</v>
      </c>
    </row>
    <row r="2150" spans="1:2" x14ac:dyDescent="0.25">
      <c r="A2150" t="s">
        <v>644</v>
      </c>
      <c r="B2150" t="s">
        <v>9843</v>
      </c>
    </row>
    <row r="2151" spans="1:2" x14ac:dyDescent="0.25">
      <c r="A2151" t="s">
        <v>644</v>
      </c>
      <c r="B2151" t="s">
        <v>8104</v>
      </c>
    </row>
    <row r="2152" spans="1:2" x14ac:dyDescent="0.25">
      <c r="A2152" t="s">
        <v>644</v>
      </c>
      <c r="B2152" t="s">
        <v>8122</v>
      </c>
    </row>
    <row r="2153" spans="1:2" x14ac:dyDescent="0.25">
      <c r="A2153" t="s">
        <v>644</v>
      </c>
      <c r="B2153" t="s">
        <v>9844</v>
      </c>
    </row>
    <row r="2154" spans="1:2" x14ac:dyDescent="0.25">
      <c r="A2154" t="s">
        <v>644</v>
      </c>
      <c r="B2154" t="s">
        <v>10149</v>
      </c>
    </row>
    <row r="2155" spans="1:2" x14ac:dyDescent="0.25">
      <c r="A2155" t="s">
        <v>644</v>
      </c>
      <c r="B2155" t="s">
        <v>8200</v>
      </c>
    </row>
    <row r="2156" spans="1:2" x14ac:dyDescent="0.25">
      <c r="A2156" t="s">
        <v>644</v>
      </c>
      <c r="B2156" t="s">
        <v>10275</v>
      </c>
    </row>
    <row r="2157" spans="1:2" x14ac:dyDescent="0.25">
      <c r="A2157" t="s">
        <v>644</v>
      </c>
      <c r="B2157" t="s">
        <v>10350</v>
      </c>
    </row>
    <row r="2158" spans="1:2" x14ac:dyDescent="0.25">
      <c r="A2158" t="s">
        <v>644</v>
      </c>
      <c r="B2158" t="s">
        <v>11295</v>
      </c>
    </row>
    <row r="2159" spans="1:2" x14ac:dyDescent="0.25">
      <c r="A2159" t="s">
        <v>275</v>
      </c>
      <c r="B2159" t="s">
        <v>8001</v>
      </c>
    </row>
    <row r="2160" spans="1:2" x14ac:dyDescent="0.25">
      <c r="A2160" t="s">
        <v>275</v>
      </c>
      <c r="B2160" t="s">
        <v>8004</v>
      </c>
    </row>
    <row r="2161" spans="1:2" x14ac:dyDescent="0.25">
      <c r="A2161" t="s">
        <v>275</v>
      </c>
      <c r="B2161" t="s">
        <v>8028</v>
      </c>
    </row>
    <row r="2162" spans="1:2" x14ac:dyDescent="0.25">
      <c r="A2162" t="s">
        <v>275</v>
      </c>
      <c r="B2162" t="s">
        <v>8000</v>
      </c>
    </row>
    <row r="2163" spans="1:2" x14ac:dyDescent="0.25">
      <c r="A2163" t="s">
        <v>4909</v>
      </c>
      <c r="B2163" t="s">
        <v>9781</v>
      </c>
    </row>
    <row r="2164" spans="1:2" x14ac:dyDescent="0.25">
      <c r="A2164" t="s">
        <v>4909</v>
      </c>
      <c r="B2164" t="s">
        <v>9980</v>
      </c>
    </row>
    <row r="2165" spans="1:2" x14ac:dyDescent="0.25">
      <c r="A2165" t="s">
        <v>4909</v>
      </c>
      <c r="B2165" t="s">
        <v>10246</v>
      </c>
    </row>
    <row r="2166" spans="1:2" x14ac:dyDescent="0.25">
      <c r="A2166" t="s">
        <v>4909</v>
      </c>
      <c r="B2166" t="s">
        <v>9969</v>
      </c>
    </row>
    <row r="2167" spans="1:2" x14ac:dyDescent="0.25">
      <c r="A2167" t="s">
        <v>4909</v>
      </c>
      <c r="B2167" t="s">
        <v>10365</v>
      </c>
    </row>
    <row r="2168" spans="1:2" x14ac:dyDescent="0.25">
      <c r="A2168" t="s">
        <v>4909</v>
      </c>
      <c r="B2168" t="s">
        <v>9782</v>
      </c>
    </row>
    <row r="2169" spans="1:2" x14ac:dyDescent="0.25">
      <c r="A2169" t="s">
        <v>4909</v>
      </c>
      <c r="B2169" t="s">
        <v>9866</v>
      </c>
    </row>
    <row r="2170" spans="1:2" x14ac:dyDescent="0.25">
      <c r="A2170" t="s">
        <v>4909</v>
      </c>
      <c r="B2170" t="s">
        <v>9846</v>
      </c>
    </row>
    <row r="2171" spans="1:2" x14ac:dyDescent="0.25">
      <c r="A2171" t="s">
        <v>4909</v>
      </c>
      <c r="B2171" t="s">
        <v>9840</v>
      </c>
    </row>
    <row r="2172" spans="1:2" x14ac:dyDescent="0.25">
      <c r="A2172" t="s">
        <v>4909</v>
      </c>
      <c r="B2172" t="s">
        <v>9841</v>
      </c>
    </row>
    <row r="2173" spans="1:2" x14ac:dyDescent="0.25">
      <c r="A2173" t="s">
        <v>4909</v>
      </c>
      <c r="B2173" t="s">
        <v>9948</v>
      </c>
    </row>
    <row r="2174" spans="1:2" x14ac:dyDescent="0.25">
      <c r="A2174" t="s">
        <v>4909</v>
      </c>
      <c r="B2174" t="s">
        <v>9981</v>
      </c>
    </row>
    <row r="2175" spans="1:2" x14ac:dyDescent="0.25">
      <c r="A2175" t="s">
        <v>4909</v>
      </c>
      <c r="B2175" t="s">
        <v>10324</v>
      </c>
    </row>
    <row r="2176" spans="1:2" x14ac:dyDescent="0.25">
      <c r="A2176" t="s">
        <v>4909</v>
      </c>
      <c r="B2176" t="s">
        <v>10247</v>
      </c>
    </row>
    <row r="2177" spans="1:2" x14ac:dyDescent="0.25">
      <c r="A2177" t="s">
        <v>4909</v>
      </c>
      <c r="B2177" t="s">
        <v>9783</v>
      </c>
    </row>
    <row r="2178" spans="1:2" x14ac:dyDescent="0.25">
      <c r="A2178" t="s">
        <v>4909</v>
      </c>
      <c r="B2178" t="s">
        <v>9944</v>
      </c>
    </row>
    <row r="2179" spans="1:2" x14ac:dyDescent="0.25">
      <c r="A2179" t="s">
        <v>4909</v>
      </c>
      <c r="B2179" t="s">
        <v>10140</v>
      </c>
    </row>
    <row r="2180" spans="1:2" x14ac:dyDescent="0.25">
      <c r="A2180" t="s">
        <v>4909</v>
      </c>
      <c r="B2180" t="s">
        <v>9678</v>
      </c>
    </row>
    <row r="2181" spans="1:2" x14ac:dyDescent="0.25">
      <c r="A2181" t="s">
        <v>11269</v>
      </c>
      <c r="B2181" t="s">
        <v>11281</v>
      </c>
    </row>
    <row r="2182" spans="1:2" x14ac:dyDescent="0.25">
      <c r="A2182" t="s">
        <v>11269</v>
      </c>
      <c r="B2182" t="s">
        <v>11266</v>
      </c>
    </row>
    <row r="2183" spans="1:2" x14ac:dyDescent="0.25">
      <c r="A2183" t="s">
        <v>11269</v>
      </c>
      <c r="B2183" t="s">
        <v>11284</v>
      </c>
    </row>
    <row r="2184" spans="1:2" x14ac:dyDescent="0.25">
      <c r="A2184" t="s">
        <v>2427</v>
      </c>
      <c r="B2184" t="s">
        <v>8525</v>
      </c>
    </row>
    <row r="2185" spans="1:2" x14ac:dyDescent="0.25">
      <c r="A2185" t="s">
        <v>2427</v>
      </c>
      <c r="B2185" t="s">
        <v>8145</v>
      </c>
    </row>
    <row r="2186" spans="1:2" x14ac:dyDescent="0.25">
      <c r="A2186" t="s">
        <v>2427</v>
      </c>
      <c r="B2186" t="s">
        <v>8674</v>
      </c>
    </row>
    <row r="2187" spans="1:2" x14ac:dyDescent="0.25">
      <c r="A2187" t="s">
        <v>2427</v>
      </c>
      <c r="B2187" t="s">
        <v>8685</v>
      </c>
    </row>
    <row r="2188" spans="1:2" x14ac:dyDescent="0.25">
      <c r="A2188" t="s">
        <v>2427</v>
      </c>
      <c r="B2188" t="s">
        <v>8618</v>
      </c>
    </row>
    <row r="2189" spans="1:2" x14ac:dyDescent="0.25">
      <c r="A2189" t="s">
        <v>2427</v>
      </c>
      <c r="B2189" t="s">
        <v>8620</v>
      </c>
    </row>
    <row r="2190" spans="1:2" x14ac:dyDescent="0.25">
      <c r="A2190" t="s">
        <v>2427</v>
      </c>
      <c r="B2190" t="s">
        <v>8645</v>
      </c>
    </row>
    <row r="2191" spans="1:2" x14ac:dyDescent="0.25">
      <c r="A2191" t="s">
        <v>2427</v>
      </c>
      <c r="B2191" t="s">
        <v>8621</v>
      </c>
    </row>
    <row r="2192" spans="1:2" x14ac:dyDescent="0.25">
      <c r="A2192" t="s">
        <v>881</v>
      </c>
      <c r="B2192" t="s">
        <v>12071</v>
      </c>
    </row>
    <row r="2193" spans="1:2" x14ac:dyDescent="0.25">
      <c r="A2193" t="s">
        <v>881</v>
      </c>
      <c r="B2193" t="s">
        <v>12069</v>
      </c>
    </row>
    <row r="2194" spans="1:2" x14ac:dyDescent="0.25">
      <c r="A2194" t="s">
        <v>881</v>
      </c>
      <c r="B2194" t="s">
        <v>12070</v>
      </c>
    </row>
    <row r="2195" spans="1:2" x14ac:dyDescent="0.25">
      <c r="A2195" t="s">
        <v>881</v>
      </c>
      <c r="B2195" t="s">
        <v>12068</v>
      </c>
    </row>
    <row r="2196" spans="1:2" x14ac:dyDescent="0.25">
      <c r="A2196" t="s">
        <v>881</v>
      </c>
      <c r="B2196" t="s">
        <v>12067</v>
      </c>
    </row>
    <row r="2197" spans="1:2" x14ac:dyDescent="0.25">
      <c r="A2197" t="s">
        <v>881</v>
      </c>
      <c r="B2197" t="s">
        <v>13900</v>
      </c>
    </row>
    <row r="2198" spans="1:2" x14ac:dyDescent="0.25">
      <c r="A2198" t="s">
        <v>251</v>
      </c>
      <c r="B2198" t="s">
        <v>10462</v>
      </c>
    </row>
    <row r="2199" spans="1:2" x14ac:dyDescent="0.25">
      <c r="A2199" t="s">
        <v>251</v>
      </c>
      <c r="B2199" t="s">
        <v>11912</v>
      </c>
    </row>
    <row r="2200" spans="1:2" x14ac:dyDescent="0.25">
      <c r="A2200" t="s">
        <v>251</v>
      </c>
      <c r="B2200" t="s">
        <v>11916</v>
      </c>
    </row>
    <row r="2201" spans="1:2" x14ac:dyDescent="0.25">
      <c r="A2201" t="s">
        <v>251</v>
      </c>
      <c r="B2201" t="s">
        <v>11923</v>
      </c>
    </row>
    <row r="2202" spans="1:2" x14ac:dyDescent="0.25">
      <c r="A2202" t="s">
        <v>251</v>
      </c>
      <c r="B2202" t="s">
        <v>10461</v>
      </c>
    </row>
    <row r="2203" spans="1:2" x14ac:dyDescent="0.25">
      <c r="A2203" t="s">
        <v>251</v>
      </c>
      <c r="B2203" t="s">
        <v>11920</v>
      </c>
    </row>
    <row r="2204" spans="1:2" x14ac:dyDescent="0.25">
      <c r="A2204" t="s">
        <v>400</v>
      </c>
      <c r="B2204" t="s">
        <v>8376</v>
      </c>
    </row>
    <row r="2205" spans="1:2" x14ac:dyDescent="0.25">
      <c r="A2205" t="s">
        <v>400</v>
      </c>
      <c r="B2205" t="s">
        <v>8398</v>
      </c>
    </row>
    <row r="2206" spans="1:2" x14ac:dyDescent="0.25">
      <c r="A2206" t="s">
        <v>400</v>
      </c>
      <c r="B2206" t="s">
        <v>8387</v>
      </c>
    </row>
    <row r="2207" spans="1:2" x14ac:dyDescent="0.25">
      <c r="A2207" t="s">
        <v>400</v>
      </c>
      <c r="B2207" t="s">
        <v>8393</v>
      </c>
    </row>
    <row r="2208" spans="1:2" x14ac:dyDescent="0.25">
      <c r="A2208" t="s">
        <v>400</v>
      </c>
      <c r="B2208" t="s">
        <v>8384</v>
      </c>
    </row>
    <row r="2209" spans="1:2" x14ac:dyDescent="0.25">
      <c r="A2209" t="s">
        <v>400</v>
      </c>
      <c r="B2209" t="s">
        <v>8382</v>
      </c>
    </row>
    <row r="2210" spans="1:2" x14ac:dyDescent="0.25">
      <c r="A2210" t="s">
        <v>400</v>
      </c>
      <c r="B2210" t="s">
        <v>8399</v>
      </c>
    </row>
    <row r="2211" spans="1:2" x14ac:dyDescent="0.25">
      <c r="A2211" t="s">
        <v>400</v>
      </c>
      <c r="B2211" t="s">
        <v>13600</v>
      </c>
    </row>
    <row r="2212" spans="1:2" x14ac:dyDescent="0.25">
      <c r="A2212" t="s">
        <v>400</v>
      </c>
      <c r="B2212" t="s">
        <v>13773</v>
      </c>
    </row>
    <row r="2213" spans="1:2" x14ac:dyDescent="0.25">
      <c r="A2213" t="s">
        <v>597</v>
      </c>
      <c r="B2213" t="s">
        <v>9226</v>
      </c>
    </row>
    <row r="2214" spans="1:2" x14ac:dyDescent="0.25">
      <c r="A2214" t="s">
        <v>597</v>
      </c>
      <c r="B2214" t="s">
        <v>8873</v>
      </c>
    </row>
    <row r="2215" spans="1:2" x14ac:dyDescent="0.25">
      <c r="A2215" t="s">
        <v>597</v>
      </c>
      <c r="B2215" t="s">
        <v>8963</v>
      </c>
    </row>
    <row r="2216" spans="1:2" x14ac:dyDescent="0.25">
      <c r="A2216" t="s">
        <v>597</v>
      </c>
      <c r="B2216" t="s">
        <v>8822</v>
      </c>
    </row>
    <row r="2217" spans="1:2" x14ac:dyDescent="0.25">
      <c r="A2217" t="s">
        <v>597</v>
      </c>
      <c r="B2217" t="s">
        <v>11827</v>
      </c>
    </row>
    <row r="2218" spans="1:2" x14ac:dyDescent="0.25">
      <c r="A2218" t="s">
        <v>597</v>
      </c>
      <c r="B2218" t="s">
        <v>9049</v>
      </c>
    </row>
    <row r="2219" spans="1:2" x14ac:dyDescent="0.25">
      <c r="A2219" t="s">
        <v>597</v>
      </c>
      <c r="B2219" t="s">
        <v>8823</v>
      </c>
    </row>
    <row r="2220" spans="1:2" x14ac:dyDescent="0.25">
      <c r="A2220" t="s">
        <v>597</v>
      </c>
      <c r="B2220" t="s">
        <v>8987</v>
      </c>
    </row>
    <row r="2221" spans="1:2" x14ac:dyDescent="0.25">
      <c r="A2221" t="s">
        <v>597</v>
      </c>
      <c r="B2221" t="s">
        <v>9039</v>
      </c>
    </row>
    <row r="2222" spans="1:2" x14ac:dyDescent="0.25">
      <c r="A2222" t="s">
        <v>597</v>
      </c>
      <c r="B2222" t="s">
        <v>8964</v>
      </c>
    </row>
    <row r="2223" spans="1:2" x14ac:dyDescent="0.25">
      <c r="A2223" t="s">
        <v>597</v>
      </c>
      <c r="B2223" t="s">
        <v>9058</v>
      </c>
    </row>
    <row r="2224" spans="1:2" x14ac:dyDescent="0.25">
      <c r="A2224" t="s">
        <v>597</v>
      </c>
      <c r="B2224" t="s">
        <v>9228</v>
      </c>
    </row>
    <row r="2225" spans="1:2" x14ac:dyDescent="0.25">
      <c r="A2225" t="s">
        <v>597</v>
      </c>
      <c r="B2225" t="s">
        <v>9247</v>
      </c>
    </row>
    <row r="2226" spans="1:2" x14ac:dyDescent="0.25">
      <c r="A2226" t="s">
        <v>597</v>
      </c>
      <c r="B2226" t="s">
        <v>8965</v>
      </c>
    </row>
    <row r="2227" spans="1:2" x14ac:dyDescent="0.25">
      <c r="A2227" t="s">
        <v>597</v>
      </c>
      <c r="B2227" t="s">
        <v>8875</v>
      </c>
    </row>
    <row r="2228" spans="1:2" x14ac:dyDescent="0.25">
      <c r="A2228" t="s">
        <v>597</v>
      </c>
      <c r="B2228" t="s">
        <v>9307</v>
      </c>
    </row>
    <row r="2229" spans="1:2" x14ac:dyDescent="0.25">
      <c r="A2229" t="s">
        <v>597</v>
      </c>
      <c r="B2229" t="s">
        <v>9048</v>
      </c>
    </row>
    <row r="2230" spans="1:2" x14ac:dyDescent="0.25">
      <c r="A2230" t="s">
        <v>597</v>
      </c>
      <c r="B2230" t="s">
        <v>9115</v>
      </c>
    </row>
    <row r="2231" spans="1:2" x14ac:dyDescent="0.25">
      <c r="A2231" t="s">
        <v>597</v>
      </c>
      <c r="B2231" t="s">
        <v>9061</v>
      </c>
    </row>
    <row r="2232" spans="1:2" x14ac:dyDescent="0.25">
      <c r="A2232" t="s">
        <v>597</v>
      </c>
      <c r="B2232" t="s">
        <v>8966</v>
      </c>
    </row>
    <row r="2233" spans="1:2" x14ac:dyDescent="0.25">
      <c r="A2233" t="s">
        <v>597</v>
      </c>
      <c r="B2233" t="s">
        <v>8967</v>
      </c>
    </row>
    <row r="2234" spans="1:2" x14ac:dyDescent="0.25">
      <c r="A2234" t="s">
        <v>597</v>
      </c>
      <c r="B2234" t="s">
        <v>9099</v>
      </c>
    </row>
    <row r="2235" spans="1:2" x14ac:dyDescent="0.25">
      <c r="A2235" t="s">
        <v>597</v>
      </c>
      <c r="B2235" t="s">
        <v>12855</v>
      </c>
    </row>
    <row r="2236" spans="1:2" x14ac:dyDescent="0.25">
      <c r="A2236" t="s">
        <v>7386</v>
      </c>
      <c r="B2236" t="s">
        <v>10825</v>
      </c>
    </row>
    <row r="2237" spans="1:2" x14ac:dyDescent="0.25">
      <c r="A2237" t="s">
        <v>7386</v>
      </c>
      <c r="B2237" t="s">
        <v>10826</v>
      </c>
    </row>
    <row r="2238" spans="1:2" x14ac:dyDescent="0.25">
      <c r="A2238" t="s">
        <v>6542</v>
      </c>
      <c r="B2238" t="s">
        <v>11934</v>
      </c>
    </row>
    <row r="2239" spans="1:2" x14ac:dyDescent="0.25">
      <c r="A2239" t="s">
        <v>863</v>
      </c>
      <c r="B2239" t="s">
        <v>10854</v>
      </c>
    </row>
    <row r="2240" spans="1:2" x14ac:dyDescent="0.25">
      <c r="A2240" t="s">
        <v>863</v>
      </c>
      <c r="B2240" t="s">
        <v>10867</v>
      </c>
    </row>
    <row r="2241" spans="1:2" x14ac:dyDescent="0.25">
      <c r="A2241" t="s">
        <v>863</v>
      </c>
      <c r="B2241" t="s">
        <v>10868</v>
      </c>
    </row>
    <row r="2242" spans="1:2" x14ac:dyDescent="0.25">
      <c r="A2242" t="s">
        <v>863</v>
      </c>
      <c r="B2242" t="s">
        <v>13520</v>
      </c>
    </row>
    <row r="2243" spans="1:2" x14ac:dyDescent="0.25">
      <c r="A2243" t="s">
        <v>283</v>
      </c>
      <c r="B2243" t="s">
        <v>8026</v>
      </c>
    </row>
    <row r="2244" spans="1:2" x14ac:dyDescent="0.25">
      <c r="A2244" t="s">
        <v>283</v>
      </c>
      <c r="B2244" t="s">
        <v>8014</v>
      </c>
    </row>
    <row r="2245" spans="1:2" x14ac:dyDescent="0.25">
      <c r="A2245" t="s">
        <v>283</v>
      </c>
      <c r="B2245" t="s">
        <v>8003</v>
      </c>
    </row>
    <row r="2246" spans="1:2" x14ac:dyDescent="0.25">
      <c r="A2246" t="s">
        <v>283</v>
      </c>
      <c r="B2246" t="s">
        <v>8007</v>
      </c>
    </row>
    <row r="2247" spans="1:2" x14ac:dyDescent="0.25">
      <c r="A2247" t="s">
        <v>283</v>
      </c>
      <c r="B2247" t="s">
        <v>8009</v>
      </c>
    </row>
    <row r="2248" spans="1:2" x14ac:dyDescent="0.25">
      <c r="A2248" t="s">
        <v>283</v>
      </c>
      <c r="B2248" t="s">
        <v>8012</v>
      </c>
    </row>
    <row r="2249" spans="1:2" x14ac:dyDescent="0.25">
      <c r="A2249" t="s">
        <v>283</v>
      </c>
      <c r="B2249" t="s">
        <v>8032</v>
      </c>
    </row>
    <row r="2250" spans="1:2" x14ac:dyDescent="0.25">
      <c r="A2250" t="s">
        <v>283</v>
      </c>
      <c r="B2250" t="s">
        <v>8006</v>
      </c>
    </row>
    <row r="2251" spans="1:2" x14ac:dyDescent="0.25">
      <c r="A2251" t="s">
        <v>283</v>
      </c>
      <c r="B2251" t="s">
        <v>7999</v>
      </c>
    </row>
    <row r="2252" spans="1:2" x14ac:dyDescent="0.25">
      <c r="A2252" t="s">
        <v>283</v>
      </c>
      <c r="B2252" t="s">
        <v>10914</v>
      </c>
    </row>
    <row r="2253" spans="1:2" x14ac:dyDescent="0.25">
      <c r="A2253" t="s">
        <v>283</v>
      </c>
      <c r="B2253" t="s">
        <v>14532</v>
      </c>
    </row>
    <row r="2254" spans="1:2" x14ac:dyDescent="0.25">
      <c r="A2254" t="s">
        <v>12645</v>
      </c>
      <c r="B2254" t="s">
        <v>10795</v>
      </c>
    </row>
    <row r="2255" spans="1:2" x14ac:dyDescent="0.25">
      <c r="A2255" t="s">
        <v>303</v>
      </c>
      <c r="B2255" t="s">
        <v>8018</v>
      </c>
    </row>
    <row r="2256" spans="1:2" x14ac:dyDescent="0.25">
      <c r="A2256" t="s">
        <v>303</v>
      </c>
      <c r="B2256" t="s">
        <v>8010</v>
      </c>
    </row>
    <row r="2257" spans="1:2" x14ac:dyDescent="0.25">
      <c r="A2257" t="s">
        <v>303</v>
      </c>
      <c r="B2257" t="s">
        <v>14499</v>
      </c>
    </row>
    <row r="2258" spans="1:2" x14ac:dyDescent="0.25">
      <c r="A2258" t="s">
        <v>7411</v>
      </c>
      <c r="B2258" t="s">
        <v>10837</v>
      </c>
    </row>
    <row r="2259" spans="1:2" x14ac:dyDescent="0.25">
      <c r="A2259" t="s">
        <v>750</v>
      </c>
      <c r="B2259" t="s">
        <v>9632</v>
      </c>
    </row>
    <row r="2260" spans="1:2" x14ac:dyDescent="0.25">
      <c r="A2260" t="s">
        <v>750</v>
      </c>
      <c r="B2260" t="s">
        <v>9894</v>
      </c>
    </row>
    <row r="2261" spans="1:2" x14ac:dyDescent="0.25">
      <c r="A2261" t="s">
        <v>750</v>
      </c>
      <c r="B2261" t="s">
        <v>13677</v>
      </c>
    </row>
    <row r="2262" spans="1:2" x14ac:dyDescent="0.25">
      <c r="A2262" t="s">
        <v>750</v>
      </c>
      <c r="B2262" t="s">
        <v>9860</v>
      </c>
    </row>
    <row r="2263" spans="1:2" x14ac:dyDescent="0.25">
      <c r="A2263" t="s">
        <v>750</v>
      </c>
      <c r="B2263" t="s">
        <v>9954</v>
      </c>
    </row>
    <row r="2264" spans="1:2" x14ac:dyDescent="0.25">
      <c r="A2264" t="s">
        <v>750</v>
      </c>
      <c r="B2264" t="s">
        <v>9949</v>
      </c>
    </row>
    <row r="2265" spans="1:2" x14ac:dyDescent="0.25">
      <c r="A2265" t="s">
        <v>750</v>
      </c>
      <c r="B2265" t="s">
        <v>10009</v>
      </c>
    </row>
    <row r="2266" spans="1:2" x14ac:dyDescent="0.25">
      <c r="A2266" t="s">
        <v>750</v>
      </c>
      <c r="B2266" t="s">
        <v>13696</v>
      </c>
    </row>
    <row r="2267" spans="1:2" x14ac:dyDescent="0.25">
      <c r="A2267" t="s">
        <v>564</v>
      </c>
      <c r="B2267" t="s">
        <v>9016</v>
      </c>
    </row>
    <row r="2268" spans="1:2" x14ac:dyDescent="0.25">
      <c r="A2268" t="s">
        <v>564</v>
      </c>
      <c r="B2268" t="s">
        <v>8942</v>
      </c>
    </row>
    <row r="2269" spans="1:2" x14ac:dyDescent="0.25">
      <c r="A2269" t="s">
        <v>564</v>
      </c>
      <c r="B2269" t="s">
        <v>9275</v>
      </c>
    </row>
    <row r="2270" spans="1:2" x14ac:dyDescent="0.25">
      <c r="A2270" t="s">
        <v>564</v>
      </c>
      <c r="B2270" t="s">
        <v>9482</v>
      </c>
    </row>
    <row r="2271" spans="1:2" x14ac:dyDescent="0.25">
      <c r="A2271" t="s">
        <v>564</v>
      </c>
      <c r="B2271" t="s">
        <v>8832</v>
      </c>
    </row>
    <row r="2272" spans="1:2" x14ac:dyDescent="0.25">
      <c r="A2272" t="s">
        <v>564</v>
      </c>
      <c r="B2272" t="s">
        <v>11835</v>
      </c>
    </row>
    <row r="2273" spans="1:2" x14ac:dyDescent="0.25">
      <c r="A2273" t="s">
        <v>564</v>
      </c>
      <c r="B2273" t="s">
        <v>9059</v>
      </c>
    </row>
    <row r="2274" spans="1:2" x14ac:dyDescent="0.25">
      <c r="A2274" t="s">
        <v>564</v>
      </c>
      <c r="B2274" t="s">
        <v>9483</v>
      </c>
    </row>
    <row r="2275" spans="1:2" x14ac:dyDescent="0.25">
      <c r="A2275" t="s">
        <v>564</v>
      </c>
      <c r="B2275" t="s">
        <v>9331</v>
      </c>
    </row>
    <row r="2276" spans="1:2" x14ac:dyDescent="0.25">
      <c r="A2276" t="s">
        <v>564</v>
      </c>
      <c r="B2276" t="s">
        <v>9335</v>
      </c>
    </row>
    <row r="2277" spans="1:2" x14ac:dyDescent="0.25">
      <c r="A2277" t="s">
        <v>564</v>
      </c>
      <c r="B2277" t="s">
        <v>9118</v>
      </c>
    </row>
    <row r="2278" spans="1:2" x14ac:dyDescent="0.25">
      <c r="A2278" t="s">
        <v>564</v>
      </c>
      <c r="B2278" t="s">
        <v>9264</v>
      </c>
    </row>
    <row r="2279" spans="1:2" x14ac:dyDescent="0.25">
      <c r="A2279" t="s">
        <v>564</v>
      </c>
      <c r="B2279" t="s">
        <v>9134</v>
      </c>
    </row>
    <row r="2280" spans="1:2" x14ac:dyDescent="0.25">
      <c r="A2280" t="s">
        <v>564</v>
      </c>
      <c r="B2280" t="s">
        <v>9277</v>
      </c>
    </row>
    <row r="2281" spans="1:2" x14ac:dyDescent="0.25">
      <c r="A2281" t="s">
        <v>564</v>
      </c>
      <c r="B2281" t="s">
        <v>9336</v>
      </c>
    </row>
    <row r="2282" spans="1:2" x14ac:dyDescent="0.25">
      <c r="A2282" t="s">
        <v>564</v>
      </c>
      <c r="B2282" t="s">
        <v>8934</v>
      </c>
    </row>
    <row r="2283" spans="1:2" x14ac:dyDescent="0.25">
      <c r="A2283" t="s">
        <v>564</v>
      </c>
      <c r="B2283" t="s">
        <v>8779</v>
      </c>
    </row>
    <row r="2284" spans="1:2" x14ac:dyDescent="0.25">
      <c r="A2284" t="s">
        <v>564</v>
      </c>
      <c r="B2284" t="s">
        <v>14648</v>
      </c>
    </row>
    <row r="2285" spans="1:2" x14ac:dyDescent="0.25">
      <c r="A2285" t="s">
        <v>253</v>
      </c>
      <c r="B2285" t="s">
        <v>10545</v>
      </c>
    </row>
    <row r="2286" spans="1:2" x14ac:dyDescent="0.25">
      <c r="A2286" t="s">
        <v>253</v>
      </c>
      <c r="B2286" t="s">
        <v>10528</v>
      </c>
    </row>
    <row r="2287" spans="1:2" x14ac:dyDescent="0.25">
      <c r="A2287" t="s">
        <v>253</v>
      </c>
      <c r="B2287" t="s">
        <v>10533</v>
      </c>
    </row>
    <row r="2288" spans="1:2" x14ac:dyDescent="0.25">
      <c r="A2288" t="s">
        <v>11576</v>
      </c>
      <c r="B2288" t="s">
        <v>11886</v>
      </c>
    </row>
    <row r="2289" spans="1:2" x14ac:dyDescent="0.25">
      <c r="A2289" t="s">
        <v>11576</v>
      </c>
      <c r="B2289" t="s">
        <v>11882</v>
      </c>
    </row>
    <row r="2290" spans="1:2" x14ac:dyDescent="0.25">
      <c r="A2290" t="s">
        <v>11578</v>
      </c>
      <c r="B2290" t="s">
        <v>11874</v>
      </c>
    </row>
    <row r="2291" spans="1:2" x14ac:dyDescent="0.25">
      <c r="A2291" t="s">
        <v>11578</v>
      </c>
      <c r="B2291" t="s">
        <v>11878</v>
      </c>
    </row>
    <row r="2292" spans="1:2" x14ac:dyDescent="0.25">
      <c r="A2292" t="s">
        <v>11578</v>
      </c>
      <c r="B2292" t="s">
        <v>13429</v>
      </c>
    </row>
    <row r="2293" spans="1:2" x14ac:dyDescent="0.25">
      <c r="A2293" t="s">
        <v>11578</v>
      </c>
      <c r="B2293" t="s">
        <v>13433</v>
      </c>
    </row>
    <row r="2294" spans="1:2" x14ac:dyDescent="0.25">
      <c r="A2294" t="s">
        <v>11578</v>
      </c>
      <c r="B2294" t="s">
        <v>13436</v>
      </c>
    </row>
    <row r="2295" spans="1:2" x14ac:dyDescent="0.25">
      <c r="A2295" t="s">
        <v>11578</v>
      </c>
      <c r="B2295" t="s">
        <v>13440</v>
      </c>
    </row>
    <row r="2296" spans="1:2" x14ac:dyDescent="0.25">
      <c r="A2296" t="s">
        <v>883</v>
      </c>
      <c r="B2296" t="s">
        <v>12080</v>
      </c>
    </row>
    <row r="2297" spans="1:2" x14ac:dyDescent="0.25">
      <c r="A2297" t="s">
        <v>883</v>
      </c>
      <c r="B2297" t="s">
        <v>12082</v>
      </c>
    </row>
    <row r="2298" spans="1:2" x14ac:dyDescent="0.25">
      <c r="A2298" t="s">
        <v>883</v>
      </c>
      <c r="B2298" t="s">
        <v>13519</v>
      </c>
    </row>
    <row r="2299" spans="1:2" x14ac:dyDescent="0.25">
      <c r="A2299" t="s">
        <v>883</v>
      </c>
      <c r="B2299" t="s">
        <v>13837</v>
      </c>
    </row>
    <row r="2300" spans="1:2" x14ac:dyDescent="0.25">
      <c r="A2300" t="s">
        <v>883</v>
      </c>
      <c r="B2300" t="s">
        <v>14102</v>
      </c>
    </row>
    <row r="2301" spans="1:2" x14ac:dyDescent="0.25">
      <c r="A2301" t="s">
        <v>883</v>
      </c>
      <c r="B2301" t="s">
        <v>14133</v>
      </c>
    </row>
    <row r="2302" spans="1:2" x14ac:dyDescent="0.25">
      <c r="A2302" t="s">
        <v>780</v>
      </c>
      <c r="B2302" t="s">
        <v>9942</v>
      </c>
    </row>
    <row r="2303" spans="1:2" x14ac:dyDescent="0.25">
      <c r="A2303" t="s">
        <v>780</v>
      </c>
      <c r="B2303" t="s">
        <v>10164</v>
      </c>
    </row>
    <row r="2304" spans="1:2" x14ac:dyDescent="0.25">
      <c r="A2304" t="s">
        <v>780</v>
      </c>
      <c r="B2304" t="s">
        <v>9870</v>
      </c>
    </row>
    <row r="2305" spans="1:2" x14ac:dyDescent="0.25">
      <c r="A2305" t="s">
        <v>780</v>
      </c>
      <c r="B2305" t="s">
        <v>12564</v>
      </c>
    </row>
    <row r="2306" spans="1:2" x14ac:dyDescent="0.25">
      <c r="A2306" t="s">
        <v>780</v>
      </c>
      <c r="B2306" t="s">
        <v>10084</v>
      </c>
    </row>
    <row r="2307" spans="1:2" x14ac:dyDescent="0.25">
      <c r="A2307" t="s">
        <v>594</v>
      </c>
      <c r="B2307" t="s">
        <v>8765</v>
      </c>
    </row>
    <row r="2308" spans="1:2" x14ac:dyDescent="0.25">
      <c r="A2308" t="s">
        <v>594</v>
      </c>
      <c r="B2308" t="s">
        <v>9503</v>
      </c>
    </row>
    <row r="2309" spans="1:2" x14ac:dyDescent="0.25">
      <c r="A2309" t="s">
        <v>594</v>
      </c>
      <c r="B2309" t="s">
        <v>8935</v>
      </c>
    </row>
    <row r="2310" spans="1:2" x14ac:dyDescent="0.25">
      <c r="A2310" t="s">
        <v>594</v>
      </c>
      <c r="B2310" t="s">
        <v>9384</v>
      </c>
    </row>
    <row r="2311" spans="1:2" x14ac:dyDescent="0.25">
      <c r="A2311" t="s">
        <v>594</v>
      </c>
      <c r="B2311" t="s">
        <v>9504</v>
      </c>
    </row>
    <row r="2312" spans="1:2" x14ac:dyDescent="0.25">
      <c r="A2312" t="s">
        <v>594</v>
      </c>
      <c r="B2312" t="s">
        <v>8936</v>
      </c>
    </row>
    <row r="2313" spans="1:2" x14ac:dyDescent="0.25">
      <c r="A2313" t="s">
        <v>594</v>
      </c>
      <c r="B2313" t="s">
        <v>9385</v>
      </c>
    </row>
    <row r="2314" spans="1:2" x14ac:dyDescent="0.25">
      <c r="A2314" t="s">
        <v>594</v>
      </c>
      <c r="B2314" t="s">
        <v>8937</v>
      </c>
    </row>
    <row r="2315" spans="1:2" x14ac:dyDescent="0.25">
      <c r="A2315" t="s">
        <v>594</v>
      </c>
      <c r="B2315" t="s">
        <v>9447</v>
      </c>
    </row>
    <row r="2316" spans="1:2" x14ac:dyDescent="0.25">
      <c r="A2316" t="s">
        <v>219</v>
      </c>
      <c r="B2316" t="s">
        <v>9549</v>
      </c>
    </row>
    <row r="2317" spans="1:2" x14ac:dyDescent="0.25">
      <c r="A2317" t="s">
        <v>219</v>
      </c>
      <c r="B2317" t="s">
        <v>9993</v>
      </c>
    </row>
    <row r="2318" spans="1:2" x14ac:dyDescent="0.25">
      <c r="A2318" t="s">
        <v>219</v>
      </c>
      <c r="B2318" t="s">
        <v>10208</v>
      </c>
    </row>
    <row r="2319" spans="1:2" x14ac:dyDescent="0.25">
      <c r="A2319" t="s">
        <v>219</v>
      </c>
      <c r="B2319" t="s">
        <v>9543</v>
      </c>
    </row>
    <row r="2320" spans="1:2" x14ac:dyDescent="0.25">
      <c r="A2320" t="s">
        <v>219</v>
      </c>
      <c r="B2320" t="s">
        <v>9774</v>
      </c>
    </row>
    <row r="2321" spans="1:2" x14ac:dyDescent="0.25">
      <c r="A2321" t="s">
        <v>4586</v>
      </c>
      <c r="B2321" t="s">
        <v>10367</v>
      </c>
    </row>
    <row r="2322" spans="1:2" x14ac:dyDescent="0.25">
      <c r="A2322" t="s">
        <v>4586</v>
      </c>
      <c r="B2322" t="s">
        <v>9635</v>
      </c>
    </row>
    <row r="2323" spans="1:2" x14ac:dyDescent="0.25">
      <c r="A2323" t="s">
        <v>4586</v>
      </c>
      <c r="B2323" t="s">
        <v>10110</v>
      </c>
    </row>
    <row r="2324" spans="1:2" x14ac:dyDescent="0.25">
      <c r="A2324" t="s">
        <v>4586</v>
      </c>
      <c r="B2324" t="s">
        <v>10114</v>
      </c>
    </row>
    <row r="2325" spans="1:2" x14ac:dyDescent="0.25">
      <c r="A2325" t="s">
        <v>4586</v>
      </c>
      <c r="B2325" t="s">
        <v>9742</v>
      </c>
    </row>
    <row r="2326" spans="1:2" x14ac:dyDescent="0.25">
      <c r="A2326" t="s">
        <v>4586</v>
      </c>
      <c r="B2326" t="s">
        <v>10185</v>
      </c>
    </row>
    <row r="2327" spans="1:2" x14ac:dyDescent="0.25">
      <c r="A2327" t="s">
        <v>4586</v>
      </c>
      <c r="B2327" t="s">
        <v>10132</v>
      </c>
    </row>
    <row r="2328" spans="1:2" x14ac:dyDescent="0.25">
      <c r="A2328" t="s">
        <v>4586</v>
      </c>
      <c r="B2328" t="s">
        <v>10113</v>
      </c>
    </row>
    <row r="2329" spans="1:2" x14ac:dyDescent="0.25">
      <c r="A2329" t="s">
        <v>4586</v>
      </c>
      <c r="B2329" t="s">
        <v>9731</v>
      </c>
    </row>
    <row r="2330" spans="1:2" x14ac:dyDescent="0.25">
      <c r="A2330" t="s">
        <v>4586</v>
      </c>
      <c r="B2330" t="s">
        <v>9641</v>
      </c>
    </row>
    <row r="2331" spans="1:2" x14ac:dyDescent="0.25">
      <c r="A2331" t="s">
        <v>4586</v>
      </c>
      <c r="B2331" t="s">
        <v>11400</v>
      </c>
    </row>
    <row r="2332" spans="1:2" x14ac:dyDescent="0.25">
      <c r="A2332" t="s">
        <v>4586</v>
      </c>
      <c r="B2332" t="s">
        <v>9539</v>
      </c>
    </row>
    <row r="2333" spans="1:2" x14ac:dyDescent="0.25">
      <c r="A2333" t="s">
        <v>4586</v>
      </c>
      <c r="B2333" t="s">
        <v>10298</v>
      </c>
    </row>
    <row r="2334" spans="1:2" x14ac:dyDescent="0.25">
      <c r="A2334" t="s">
        <v>4586</v>
      </c>
      <c r="B2334" t="s">
        <v>9747</v>
      </c>
    </row>
    <row r="2335" spans="1:2" x14ac:dyDescent="0.25">
      <c r="A2335" t="s">
        <v>4586</v>
      </c>
      <c r="B2335" t="s">
        <v>10169</v>
      </c>
    </row>
    <row r="2336" spans="1:2" x14ac:dyDescent="0.25">
      <c r="A2336" t="s">
        <v>4586</v>
      </c>
      <c r="B2336" t="s">
        <v>10121</v>
      </c>
    </row>
    <row r="2337" spans="1:2" x14ac:dyDescent="0.25">
      <c r="A2337" t="s">
        <v>4586</v>
      </c>
      <c r="B2337" t="s">
        <v>13013</v>
      </c>
    </row>
    <row r="2338" spans="1:2" x14ac:dyDescent="0.25">
      <c r="A2338" t="s">
        <v>552</v>
      </c>
      <c r="B2338" t="s">
        <v>9376</v>
      </c>
    </row>
    <row r="2339" spans="1:2" x14ac:dyDescent="0.25">
      <c r="A2339" t="s">
        <v>552</v>
      </c>
      <c r="B2339" t="s">
        <v>9362</v>
      </c>
    </row>
    <row r="2340" spans="1:2" x14ac:dyDescent="0.25">
      <c r="A2340" t="s">
        <v>552</v>
      </c>
      <c r="B2340" t="s">
        <v>9038</v>
      </c>
    </row>
    <row r="2341" spans="1:2" x14ac:dyDescent="0.25">
      <c r="A2341" t="s">
        <v>552</v>
      </c>
      <c r="B2341" t="s">
        <v>8778</v>
      </c>
    </row>
    <row r="2342" spans="1:2" x14ac:dyDescent="0.25">
      <c r="A2342" t="s">
        <v>552</v>
      </c>
      <c r="B2342" t="s">
        <v>9047</v>
      </c>
    </row>
    <row r="2343" spans="1:2" x14ac:dyDescent="0.25">
      <c r="A2343" t="s">
        <v>552</v>
      </c>
      <c r="B2343" t="s">
        <v>9224</v>
      </c>
    </row>
    <row r="2344" spans="1:2" x14ac:dyDescent="0.25">
      <c r="A2344" t="s">
        <v>552</v>
      </c>
      <c r="B2344" t="s">
        <v>9096</v>
      </c>
    </row>
    <row r="2345" spans="1:2" x14ac:dyDescent="0.25">
      <c r="A2345" t="s">
        <v>552</v>
      </c>
      <c r="B2345" t="s">
        <v>9017</v>
      </c>
    </row>
    <row r="2346" spans="1:2" x14ac:dyDescent="0.25">
      <c r="A2346" t="s">
        <v>552</v>
      </c>
      <c r="B2346" t="s">
        <v>9377</v>
      </c>
    </row>
    <row r="2347" spans="1:2" x14ac:dyDescent="0.25">
      <c r="A2347" t="s">
        <v>552</v>
      </c>
      <c r="B2347" t="s">
        <v>12846</v>
      </c>
    </row>
    <row r="2348" spans="1:2" x14ac:dyDescent="0.25">
      <c r="A2348" t="s">
        <v>552</v>
      </c>
      <c r="B2348" t="s">
        <v>13325</v>
      </c>
    </row>
    <row r="2349" spans="1:2" x14ac:dyDescent="0.25">
      <c r="A2349" t="s">
        <v>6604</v>
      </c>
      <c r="B2349" t="s">
        <v>10479</v>
      </c>
    </row>
    <row r="2350" spans="1:2" x14ac:dyDescent="0.25">
      <c r="A2350" t="s">
        <v>6604</v>
      </c>
      <c r="B2350" t="s">
        <v>10473</v>
      </c>
    </row>
    <row r="2351" spans="1:2" x14ac:dyDescent="0.25">
      <c r="A2351" t="s">
        <v>6604</v>
      </c>
      <c r="B2351" t="s">
        <v>10480</v>
      </c>
    </row>
    <row r="2352" spans="1:2" x14ac:dyDescent="0.25">
      <c r="A2352" t="s">
        <v>6604</v>
      </c>
      <c r="B2352" t="s">
        <v>10474</v>
      </c>
    </row>
    <row r="2353" spans="1:2" x14ac:dyDescent="0.25">
      <c r="A2353" t="s">
        <v>6604</v>
      </c>
      <c r="B2353" t="s">
        <v>10478</v>
      </c>
    </row>
    <row r="2354" spans="1:2" x14ac:dyDescent="0.25">
      <c r="A2354" t="s">
        <v>6604</v>
      </c>
      <c r="B2354" t="s">
        <v>10476</v>
      </c>
    </row>
    <row r="2355" spans="1:2" x14ac:dyDescent="0.25">
      <c r="A2355" t="s">
        <v>571</v>
      </c>
      <c r="B2355" t="s">
        <v>8871</v>
      </c>
    </row>
    <row r="2356" spans="1:2" x14ac:dyDescent="0.25">
      <c r="A2356" t="s">
        <v>571</v>
      </c>
      <c r="B2356" t="s">
        <v>9461</v>
      </c>
    </row>
    <row r="2357" spans="1:2" x14ac:dyDescent="0.25">
      <c r="A2357" t="s">
        <v>571</v>
      </c>
      <c r="B2357" t="s">
        <v>8879</v>
      </c>
    </row>
    <row r="2358" spans="1:2" x14ac:dyDescent="0.25">
      <c r="A2358" t="s">
        <v>571</v>
      </c>
      <c r="B2358" t="s">
        <v>9078</v>
      </c>
    </row>
    <row r="2359" spans="1:2" x14ac:dyDescent="0.25">
      <c r="A2359" t="s">
        <v>571</v>
      </c>
      <c r="B2359" t="s">
        <v>9076</v>
      </c>
    </row>
    <row r="2360" spans="1:2" x14ac:dyDescent="0.25">
      <c r="A2360" t="s">
        <v>571</v>
      </c>
      <c r="B2360" t="s">
        <v>9274</v>
      </c>
    </row>
    <row r="2361" spans="1:2" x14ac:dyDescent="0.25">
      <c r="A2361" t="s">
        <v>571</v>
      </c>
      <c r="B2361" t="s">
        <v>8828</v>
      </c>
    </row>
    <row r="2362" spans="1:2" x14ac:dyDescent="0.25">
      <c r="A2362" t="s">
        <v>571</v>
      </c>
      <c r="B2362" t="s">
        <v>9003</v>
      </c>
    </row>
    <row r="2363" spans="1:2" x14ac:dyDescent="0.25">
      <c r="A2363" t="s">
        <v>571</v>
      </c>
      <c r="B2363" t="s">
        <v>9462</v>
      </c>
    </row>
    <row r="2364" spans="1:2" x14ac:dyDescent="0.25">
      <c r="A2364" t="s">
        <v>571</v>
      </c>
      <c r="B2364" t="s">
        <v>9463</v>
      </c>
    </row>
    <row r="2365" spans="1:2" x14ac:dyDescent="0.25">
      <c r="A2365" t="s">
        <v>571</v>
      </c>
      <c r="B2365" t="s">
        <v>8992</v>
      </c>
    </row>
    <row r="2366" spans="1:2" x14ac:dyDescent="0.25">
      <c r="A2366" t="s">
        <v>571</v>
      </c>
      <c r="B2366" t="s">
        <v>8881</v>
      </c>
    </row>
    <row r="2367" spans="1:2" x14ac:dyDescent="0.25">
      <c r="A2367" t="s">
        <v>571</v>
      </c>
      <c r="B2367" t="s">
        <v>9079</v>
      </c>
    </row>
    <row r="2368" spans="1:2" x14ac:dyDescent="0.25">
      <c r="A2368" t="s">
        <v>571</v>
      </c>
      <c r="B2368" t="s">
        <v>9489</v>
      </c>
    </row>
    <row r="2369" spans="1:2" x14ac:dyDescent="0.25">
      <c r="A2369" t="s">
        <v>473</v>
      </c>
      <c r="B2369" t="s">
        <v>8573</v>
      </c>
    </row>
    <row r="2370" spans="1:2" x14ac:dyDescent="0.25">
      <c r="A2370" t="s">
        <v>2509</v>
      </c>
      <c r="B2370" t="s">
        <v>8559</v>
      </c>
    </row>
    <row r="2371" spans="1:2" x14ac:dyDescent="0.25">
      <c r="A2371" t="s">
        <v>13201</v>
      </c>
      <c r="B2371" t="s">
        <v>14307</v>
      </c>
    </row>
    <row r="2372" spans="1:2" x14ac:dyDescent="0.25">
      <c r="A2372" t="s">
        <v>13201</v>
      </c>
      <c r="B2372" t="s">
        <v>14328</v>
      </c>
    </row>
    <row r="2373" spans="1:2" x14ac:dyDescent="0.25">
      <c r="A2373" t="s">
        <v>13201</v>
      </c>
      <c r="B2373" t="s">
        <v>14317</v>
      </c>
    </row>
    <row r="2374" spans="1:2" x14ac:dyDescent="0.25">
      <c r="A2374" t="s">
        <v>13201</v>
      </c>
      <c r="B2374" t="s">
        <v>14405</v>
      </c>
    </row>
    <row r="2375" spans="1:2" x14ac:dyDescent="0.25">
      <c r="A2375" t="s">
        <v>13201</v>
      </c>
      <c r="B2375" t="s">
        <v>14319</v>
      </c>
    </row>
    <row r="2376" spans="1:2" x14ac:dyDescent="0.25">
      <c r="A2376" t="s">
        <v>13201</v>
      </c>
      <c r="B2376" t="s">
        <v>14309</v>
      </c>
    </row>
    <row r="2377" spans="1:2" x14ac:dyDescent="0.25">
      <c r="A2377" t="s">
        <v>6699</v>
      </c>
      <c r="B2377" t="s">
        <v>10515</v>
      </c>
    </row>
    <row r="2378" spans="1:2" x14ac:dyDescent="0.25">
      <c r="A2378" t="s">
        <v>6699</v>
      </c>
      <c r="B2378" t="s">
        <v>10519</v>
      </c>
    </row>
    <row r="2379" spans="1:2" x14ac:dyDescent="0.25">
      <c r="A2379" t="s">
        <v>746</v>
      </c>
      <c r="B2379" t="s">
        <v>10239</v>
      </c>
    </row>
    <row r="2380" spans="1:2" x14ac:dyDescent="0.25">
      <c r="A2380" t="s">
        <v>746</v>
      </c>
      <c r="B2380" t="s">
        <v>10108</v>
      </c>
    </row>
    <row r="2381" spans="1:2" x14ac:dyDescent="0.25">
      <c r="A2381" t="s">
        <v>746</v>
      </c>
      <c r="B2381" t="s">
        <v>10007</v>
      </c>
    </row>
    <row r="2382" spans="1:2" x14ac:dyDescent="0.25">
      <c r="A2382" t="s">
        <v>746</v>
      </c>
      <c r="B2382" t="s">
        <v>10052</v>
      </c>
    </row>
    <row r="2383" spans="1:2" x14ac:dyDescent="0.25">
      <c r="A2383" t="s">
        <v>746</v>
      </c>
      <c r="B2383" t="s">
        <v>9668</v>
      </c>
    </row>
    <row r="2384" spans="1:2" x14ac:dyDescent="0.25">
      <c r="A2384" t="s">
        <v>746</v>
      </c>
      <c r="B2384" t="s">
        <v>9815</v>
      </c>
    </row>
    <row r="2385" spans="1:2" x14ac:dyDescent="0.25">
      <c r="A2385" t="s">
        <v>746</v>
      </c>
      <c r="B2385" t="s">
        <v>10341</v>
      </c>
    </row>
    <row r="2386" spans="1:2" x14ac:dyDescent="0.25">
      <c r="A2386" t="s">
        <v>746</v>
      </c>
      <c r="B2386" t="s">
        <v>9991</v>
      </c>
    </row>
    <row r="2387" spans="1:2" x14ac:dyDescent="0.25">
      <c r="A2387" t="s">
        <v>746</v>
      </c>
      <c r="B2387" t="s">
        <v>9990</v>
      </c>
    </row>
    <row r="2388" spans="1:2" x14ac:dyDescent="0.25">
      <c r="A2388" t="s">
        <v>746</v>
      </c>
      <c r="B2388" t="s">
        <v>10233</v>
      </c>
    </row>
    <row r="2389" spans="1:2" x14ac:dyDescent="0.25">
      <c r="A2389" t="s">
        <v>746</v>
      </c>
      <c r="B2389" t="s">
        <v>10210</v>
      </c>
    </row>
    <row r="2390" spans="1:2" x14ac:dyDescent="0.25">
      <c r="A2390" t="s">
        <v>746</v>
      </c>
      <c r="B2390" t="s">
        <v>10060</v>
      </c>
    </row>
    <row r="2391" spans="1:2" x14ac:dyDescent="0.25">
      <c r="A2391" t="s">
        <v>746</v>
      </c>
      <c r="B2391" t="s">
        <v>10293</v>
      </c>
    </row>
    <row r="2392" spans="1:2" x14ac:dyDescent="0.25">
      <c r="A2392" t="s">
        <v>746</v>
      </c>
      <c r="B2392" t="s">
        <v>9685</v>
      </c>
    </row>
    <row r="2393" spans="1:2" x14ac:dyDescent="0.25">
      <c r="A2393" t="s">
        <v>746</v>
      </c>
      <c r="B2393" t="s">
        <v>9924</v>
      </c>
    </row>
    <row r="2394" spans="1:2" x14ac:dyDescent="0.25">
      <c r="A2394" t="s">
        <v>746</v>
      </c>
      <c r="B2394" t="s">
        <v>10292</v>
      </c>
    </row>
    <row r="2395" spans="1:2" x14ac:dyDescent="0.25">
      <c r="A2395" t="s">
        <v>746</v>
      </c>
      <c r="B2395" t="s">
        <v>9553</v>
      </c>
    </row>
    <row r="2396" spans="1:2" x14ac:dyDescent="0.25">
      <c r="A2396" t="s">
        <v>746</v>
      </c>
      <c r="B2396" t="s">
        <v>9657</v>
      </c>
    </row>
    <row r="2397" spans="1:2" x14ac:dyDescent="0.25">
      <c r="A2397" t="s">
        <v>746</v>
      </c>
      <c r="B2397" t="s">
        <v>13361</v>
      </c>
    </row>
    <row r="2398" spans="1:2" x14ac:dyDescent="0.25">
      <c r="A2398" t="s">
        <v>746</v>
      </c>
      <c r="B2398" t="s">
        <v>13572</v>
      </c>
    </row>
    <row r="2399" spans="1:2" x14ac:dyDescent="0.25">
      <c r="A2399" t="s">
        <v>746</v>
      </c>
      <c r="B2399" t="s">
        <v>13905</v>
      </c>
    </row>
    <row r="2400" spans="1:2" x14ac:dyDescent="0.25">
      <c r="A2400" t="s">
        <v>746</v>
      </c>
      <c r="B2400" t="s">
        <v>13909</v>
      </c>
    </row>
    <row r="2401" spans="1:2" x14ac:dyDescent="0.25">
      <c r="A2401" t="s">
        <v>746</v>
      </c>
      <c r="B2401" t="s">
        <v>13987</v>
      </c>
    </row>
    <row r="2402" spans="1:2" x14ac:dyDescent="0.25">
      <c r="A2402" t="s">
        <v>746</v>
      </c>
      <c r="B2402" t="s">
        <v>14023</v>
      </c>
    </row>
    <row r="2403" spans="1:2" x14ac:dyDescent="0.25">
      <c r="A2403" t="s">
        <v>746</v>
      </c>
      <c r="B2403" t="s">
        <v>14551</v>
      </c>
    </row>
    <row r="2404" spans="1:2" x14ac:dyDescent="0.25">
      <c r="A2404" t="s">
        <v>1818</v>
      </c>
      <c r="B2404" t="s">
        <v>8276</v>
      </c>
    </row>
    <row r="2405" spans="1:2" x14ac:dyDescent="0.25">
      <c r="A2405" t="s">
        <v>72</v>
      </c>
      <c r="B2405" t="s">
        <v>8431</v>
      </c>
    </row>
    <row r="2406" spans="1:2" x14ac:dyDescent="0.25">
      <c r="A2406" t="s">
        <v>554</v>
      </c>
      <c r="B2406" t="s">
        <v>8829</v>
      </c>
    </row>
    <row r="2407" spans="1:2" x14ac:dyDescent="0.25">
      <c r="A2407" t="s">
        <v>554</v>
      </c>
      <c r="B2407" t="s">
        <v>8877</v>
      </c>
    </row>
    <row r="2408" spans="1:2" x14ac:dyDescent="0.25">
      <c r="A2408" t="s">
        <v>554</v>
      </c>
      <c r="B2408" t="s">
        <v>9001</v>
      </c>
    </row>
    <row r="2409" spans="1:2" x14ac:dyDescent="0.25">
      <c r="A2409" t="s">
        <v>554</v>
      </c>
      <c r="B2409" t="s">
        <v>9056</v>
      </c>
    </row>
    <row r="2410" spans="1:2" x14ac:dyDescent="0.25">
      <c r="A2410" t="s">
        <v>554</v>
      </c>
      <c r="B2410" t="s">
        <v>9069</v>
      </c>
    </row>
    <row r="2411" spans="1:2" x14ac:dyDescent="0.25">
      <c r="A2411" t="s">
        <v>554</v>
      </c>
      <c r="B2411" t="s">
        <v>11807</v>
      </c>
    </row>
    <row r="2412" spans="1:2" x14ac:dyDescent="0.25">
      <c r="A2412" t="s">
        <v>554</v>
      </c>
      <c r="B2412" t="s">
        <v>9070</v>
      </c>
    </row>
    <row r="2413" spans="1:2" x14ac:dyDescent="0.25">
      <c r="A2413" t="s">
        <v>554</v>
      </c>
      <c r="B2413" t="s">
        <v>8830</v>
      </c>
    </row>
    <row r="2414" spans="1:2" x14ac:dyDescent="0.25">
      <c r="A2414" t="s">
        <v>554</v>
      </c>
      <c r="B2414" t="s">
        <v>8853</v>
      </c>
    </row>
    <row r="2415" spans="1:2" x14ac:dyDescent="0.25">
      <c r="A2415" t="s">
        <v>554</v>
      </c>
      <c r="B2415" t="s">
        <v>9071</v>
      </c>
    </row>
    <row r="2416" spans="1:2" x14ac:dyDescent="0.25">
      <c r="A2416" t="s">
        <v>554</v>
      </c>
      <c r="B2416" t="s">
        <v>12534</v>
      </c>
    </row>
    <row r="2417" spans="1:2" x14ac:dyDescent="0.25">
      <c r="A2417" t="s">
        <v>554</v>
      </c>
      <c r="B2417" t="s">
        <v>8878</v>
      </c>
    </row>
    <row r="2418" spans="1:2" x14ac:dyDescent="0.25">
      <c r="A2418" t="s">
        <v>554</v>
      </c>
      <c r="B2418" t="s">
        <v>8884</v>
      </c>
    </row>
    <row r="2419" spans="1:2" x14ac:dyDescent="0.25">
      <c r="A2419" t="s">
        <v>554</v>
      </c>
      <c r="B2419" t="s">
        <v>9000</v>
      </c>
    </row>
    <row r="2420" spans="1:2" x14ac:dyDescent="0.25">
      <c r="A2420" t="s">
        <v>554</v>
      </c>
      <c r="B2420" t="s">
        <v>12548</v>
      </c>
    </row>
    <row r="2421" spans="1:2" x14ac:dyDescent="0.25">
      <c r="A2421" t="s">
        <v>554</v>
      </c>
      <c r="B2421" t="s">
        <v>12550</v>
      </c>
    </row>
    <row r="2422" spans="1:2" x14ac:dyDescent="0.25">
      <c r="A2422" t="s">
        <v>554</v>
      </c>
      <c r="B2422" t="s">
        <v>12508</v>
      </c>
    </row>
    <row r="2423" spans="1:2" x14ac:dyDescent="0.25">
      <c r="A2423" t="s">
        <v>554</v>
      </c>
      <c r="B2423" t="s">
        <v>11841</v>
      </c>
    </row>
    <row r="2424" spans="1:2" x14ac:dyDescent="0.25">
      <c r="A2424" t="s">
        <v>554</v>
      </c>
      <c r="B2424" t="s">
        <v>11812</v>
      </c>
    </row>
    <row r="2425" spans="1:2" x14ac:dyDescent="0.25">
      <c r="A2425" t="s">
        <v>554</v>
      </c>
      <c r="B2425" t="s">
        <v>9367</v>
      </c>
    </row>
    <row r="2426" spans="1:2" x14ac:dyDescent="0.25">
      <c r="A2426" t="s">
        <v>554</v>
      </c>
      <c r="B2426" t="s">
        <v>9129</v>
      </c>
    </row>
    <row r="2427" spans="1:2" x14ac:dyDescent="0.25">
      <c r="A2427" t="s">
        <v>554</v>
      </c>
      <c r="B2427" t="s">
        <v>8859</v>
      </c>
    </row>
    <row r="2428" spans="1:2" x14ac:dyDescent="0.25">
      <c r="A2428" t="s">
        <v>554</v>
      </c>
      <c r="B2428" t="s">
        <v>8802</v>
      </c>
    </row>
    <row r="2429" spans="1:2" x14ac:dyDescent="0.25">
      <c r="A2429" t="s">
        <v>554</v>
      </c>
      <c r="B2429" t="s">
        <v>8803</v>
      </c>
    </row>
    <row r="2430" spans="1:2" x14ac:dyDescent="0.25">
      <c r="A2430" t="s">
        <v>554</v>
      </c>
      <c r="B2430" t="s">
        <v>12541</v>
      </c>
    </row>
    <row r="2431" spans="1:2" x14ac:dyDescent="0.25">
      <c r="A2431" t="s">
        <v>554</v>
      </c>
      <c r="B2431" t="s">
        <v>11809</v>
      </c>
    </row>
    <row r="2432" spans="1:2" x14ac:dyDescent="0.25">
      <c r="A2432" t="s">
        <v>554</v>
      </c>
      <c r="B2432" t="s">
        <v>9345</v>
      </c>
    </row>
    <row r="2433" spans="1:2" x14ac:dyDescent="0.25">
      <c r="A2433" t="s">
        <v>554</v>
      </c>
      <c r="B2433" t="s">
        <v>9128</v>
      </c>
    </row>
    <row r="2434" spans="1:2" x14ac:dyDescent="0.25">
      <c r="A2434" t="s">
        <v>554</v>
      </c>
      <c r="B2434" t="s">
        <v>12545</v>
      </c>
    </row>
    <row r="2435" spans="1:2" x14ac:dyDescent="0.25">
      <c r="A2435" t="s">
        <v>554</v>
      </c>
      <c r="B2435" t="s">
        <v>8978</v>
      </c>
    </row>
    <row r="2436" spans="1:2" x14ac:dyDescent="0.25">
      <c r="A2436" t="s">
        <v>554</v>
      </c>
      <c r="B2436" t="s">
        <v>9162</v>
      </c>
    </row>
    <row r="2437" spans="1:2" x14ac:dyDescent="0.25">
      <c r="A2437" t="s">
        <v>554</v>
      </c>
      <c r="B2437" t="s">
        <v>8999</v>
      </c>
    </row>
    <row r="2438" spans="1:2" x14ac:dyDescent="0.25">
      <c r="A2438" t="s">
        <v>554</v>
      </c>
      <c r="B2438" t="s">
        <v>10425</v>
      </c>
    </row>
    <row r="2439" spans="1:2" x14ac:dyDescent="0.25">
      <c r="A2439" t="s">
        <v>554</v>
      </c>
      <c r="B2439" t="s">
        <v>9500</v>
      </c>
    </row>
    <row r="2440" spans="1:2" x14ac:dyDescent="0.25">
      <c r="A2440" t="s">
        <v>554</v>
      </c>
      <c r="B2440" t="s">
        <v>12849</v>
      </c>
    </row>
    <row r="2441" spans="1:2" x14ac:dyDescent="0.25">
      <c r="A2441" t="s">
        <v>554</v>
      </c>
      <c r="B2441" t="s">
        <v>12857</v>
      </c>
    </row>
    <row r="2442" spans="1:2" x14ac:dyDescent="0.25">
      <c r="A2442" t="s">
        <v>554</v>
      </c>
      <c r="B2442" t="s">
        <v>13336</v>
      </c>
    </row>
    <row r="2443" spans="1:2" x14ac:dyDescent="0.25">
      <c r="A2443" t="s">
        <v>11890</v>
      </c>
      <c r="B2443" t="s">
        <v>14342</v>
      </c>
    </row>
    <row r="2444" spans="1:2" x14ac:dyDescent="0.25">
      <c r="A2444" t="s">
        <v>11890</v>
      </c>
      <c r="B2444" t="s">
        <v>13443</v>
      </c>
    </row>
    <row r="2445" spans="1:2" x14ac:dyDescent="0.25">
      <c r="A2445" t="s">
        <v>1907</v>
      </c>
      <c r="B2445" t="s">
        <v>8315</v>
      </c>
    </row>
    <row r="2446" spans="1:2" x14ac:dyDescent="0.25">
      <c r="A2446" t="s">
        <v>1907</v>
      </c>
      <c r="B2446" t="s">
        <v>8314</v>
      </c>
    </row>
    <row r="2447" spans="1:2" x14ac:dyDescent="0.25">
      <c r="A2447" t="s">
        <v>1645</v>
      </c>
      <c r="B2447" t="s">
        <v>8279</v>
      </c>
    </row>
    <row r="2448" spans="1:2" x14ac:dyDescent="0.25">
      <c r="A2448" t="s">
        <v>1645</v>
      </c>
      <c r="B2448" t="s">
        <v>8333</v>
      </c>
    </row>
    <row r="2449" spans="1:2" x14ac:dyDescent="0.25">
      <c r="A2449" t="s">
        <v>1645</v>
      </c>
      <c r="B2449" t="s">
        <v>8265</v>
      </c>
    </row>
    <row r="2450" spans="1:2" x14ac:dyDescent="0.25">
      <c r="A2450" t="s">
        <v>1645</v>
      </c>
      <c r="B2450" t="s">
        <v>8293</v>
      </c>
    </row>
    <row r="2451" spans="1:2" x14ac:dyDescent="0.25">
      <c r="A2451" t="s">
        <v>1645</v>
      </c>
      <c r="B2451" t="s">
        <v>8263</v>
      </c>
    </row>
    <row r="2452" spans="1:2" x14ac:dyDescent="0.25">
      <c r="A2452" t="s">
        <v>1645</v>
      </c>
      <c r="B2452" t="s">
        <v>8216</v>
      </c>
    </row>
    <row r="2453" spans="1:2" x14ac:dyDescent="0.25">
      <c r="A2453" t="s">
        <v>1645</v>
      </c>
      <c r="B2453" t="s">
        <v>8332</v>
      </c>
    </row>
    <row r="2454" spans="1:2" x14ac:dyDescent="0.25">
      <c r="A2454" t="s">
        <v>1645</v>
      </c>
      <c r="B2454" t="s">
        <v>8210</v>
      </c>
    </row>
    <row r="2455" spans="1:2" x14ac:dyDescent="0.25">
      <c r="A2455" t="s">
        <v>352</v>
      </c>
      <c r="B2455" t="s">
        <v>8223</v>
      </c>
    </row>
    <row r="2456" spans="1:2" x14ac:dyDescent="0.25">
      <c r="A2456" t="s">
        <v>352</v>
      </c>
      <c r="B2456" t="s">
        <v>8220</v>
      </c>
    </row>
    <row r="2457" spans="1:2" x14ac:dyDescent="0.25">
      <c r="A2457" t="s">
        <v>352</v>
      </c>
      <c r="B2457" t="s">
        <v>8219</v>
      </c>
    </row>
    <row r="2458" spans="1:2" x14ac:dyDescent="0.25">
      <c r="A2458" t="s">
        <v>11211</v>
      </c>
      <c r="B2458" t="s">
        <v>11207</v>
      </c>
    </row>
    <row r="2459" spans="1:2" x14ac:dyDescent="0.25">
      <c r="A2459" t="s">
        <v>4837</v>
      </c>
      <c r="B2459" t="s">
        <v>9986</v>
      </c>
    </row>
    <row r="2460" spans="1:2" x14ac:dyDescent="0.25">
      <c r="A2460" t="s">
        <v>4837</v>
      </c>
      <c r="B2460" t="s">
        <v>10095</v>
      </c>
    </row>
    <row r="2461" spans="1:2" x14ac:dyDescent="0.25">
      <c r="A2461" t="s">
        <v>4837</v>
      </c>
      <c r="B2461" t="s">
        <v>12747</v>
      </c>
    </row>
    <row r="2462" spans="1:2" x14ac:dyDescent="0.25">
      <c r="A2462" t="s">
        <v>4837</v>
      </c>
      <c r="B2462" t="s">
        <v>9825</v>
      </c>
    </row>
    <row r="2463" spans="1:2" x14ac:dyDescent="0.25">
      <c r="A2463" t="s">
        <v>4837</v>
      </c>
      <c r="B2463" t="s">
        <v>9659</v>
      </c>
    </row>
    <row r="2464" spans="1:2" x14ac:dyDescent="0.25">
      <c r="A2464" t="s">
        <v>4837</v>
      </c>
      <c r="B2464" t="s">
        <v>9660</v>
      </c>
    </row>
    <row r="2465" spans="1:2" x14ac:dyDescent="0.25">
      <c r="A2465" t="s">
        <v>4837</v>
      </c>
      <c r="B2465" t="s">
        <v>9985</v>
      </c>
    </row>
    <row r="2466" spans="1:2" x14ac:dyDescent="0.25">
      <c r="A2466" t="s">
        <v>4837</v>
      </c>
      <c r="B2466" t="s">
        <v>9652</v>
      </c>
    </row>
    <row r="2467" spans="1:2" x14ac:dyDescent="0.25">
      <c r="A2467" t="s">
        <v>4837</v>
      </c>
      <c r="B2467" t="s">
        <v>9987</v>
      </c>
    </row>
    <row r="2468" spans="1:2" x14ac:dyDescent="0.25">
      <c r="A2468" t="s">
        <v>4837</v>
      </c>
      <c r="B2468" t="s">
        <v>9945</v>
      </c>
    </row>
    <row r="2469" spans="1:2" x14ac:dyDescent="0.25">
      <c r="A2469" t="s">
        <v>4837</v>
      </c>
      <c r="B2469" t="s">
        <v>10099</v>
      </c>
    </row>
    <row r="2470" spans="1:2" x14ac:dyDescent="0.25">
      <c r="A2470" t="s">
        <v>4837</v>
      </c>
      <c r="B2470" t="s">
        <v>12862</v>
      </c>
    </row>
    <row r="2471" spans="1:2" x14ac:dyDescent="0.25">
      <c r="A2471" t="s">
        <v>4837</v>
      </c>
      <c r="B2471" t="s">
        <v>12901</v>
      </c>
    </row>
    <row r="2472" spans="1:2" x14ac:dyDescent="0.25">
      <c r="A2472" t="s">
        <v>4837</v>
      </c>
      <c r="B2472" t="s">
        <v>12914</v>
      </c>
    </row>
    <row r="2473" spans="1:2" x14ac:dyDescent="0.25">
      <c r="A2473" t="s">
        <v>4837</v>
      </c>
      <c r="B2473" t="s">
        <v>12933</v>
      </c>
    </row>
    <row r="2474" spans="1:2" x14ac:dyDescent="0.25">
      <c r="A2474" t="s">
        <v>4837</v>
      </c>
      <c r="B2474" t="s">
        <v>13342</v>
      </c>
    </row>
    <row r="2475" spans="1:2" x14ac:dyDescent="0.25">
      <c r="A2475" t="s">
        <v>4837</v>
      </c>
      <c r="B2475" t="s">
        <v>13679</v>
      </c>
    </row>
    <row r="2476" spans="1:2" x14ac:dyDescent="0.25">
      <c r="A2476" t="s">
        <v>4837</v>
      </c>
      <c r="B2476" t="s">
        <v>13832</v>
      </c>
    </row>
    <row r="2477" spans="1:2" x14ac:dyDescent="0.25">
      <c r="A2477" t="s">
        <v>4837</v>
      </c>
      <c r="B2477" t="s">
        <v>13882</v>
      </c>
    </row>
    <row r="2478" spans="1:2" x14ac:dyDescent="0.25">
      <c r="A2478" t="s">
        <v>4837</v>
      </c>
      <c r="B2478" t="s">
        <v>13884</v>
      </c>
    </row>
    <row r="2479" spans="1:2" x14ac:dyDescent="0.25">
      <c r="A2479" t="s">
        <v>4837</v>
      </c>
      <c r="B2479" t="s">
        <v>13938</v>
      </c>
    </row>
    <row r="2480" spans="1:2" x14ac:dyDescent="0.25">
      <c r="A2480" t="s">
        <v>11665</v>
      </c>
      <c r="B2480" t="s">
        <v>11666</v>
      </c>
    </row>
    <row r="2481" spans="1:2" x14ac:dyDescent="0.25">
      <c r="A2481" t="s">
        <v>11665</v>
      </c>
      <c r="B2481" t="s">
        <v>11663</v>
      </c>
    </row>
    <row r="2482" spans="1:2" x14ac:dyDescent="0.25">
      <c r="A2482" t="s">
        <v>11665</v>
      </c>
      <c r="B2482" t="s">
        <v>12477</v>
      </c>
    </row>
    <row r="2483" spans="1:2" x14ac:dyDescent="0.25">
      <c r="A2483" t="s">
        <v>11665</v>
      </c>
      <c r="B2483" t="s">
        <v>8636</v>
      </c>
    </row>
    <row r="2484" spans="1:2" x14ac:dyDescent="0.25">
      <c r="A2484" t="s">
        <v>11665</v>
      </c>
      <c r="B2484" t="s">
        <v>8652</v>
      </c>
    </row>
    <row r="2485" spans="1:2" x14ac:dyDescent="0.25">
      <c r="A2485" t="s">
        <v>11665</v>
      </c>
      <c r="B2485" t="s">
        <v>13297</v>
      </c>
    </row>
    <row r="2486" spans="1:2" x14ac:dyDescent="0.25">
      <c r="A2486" t="s">
        <v>241</v>
      </c>
      <c r="B2486" t="s">
        <v>10297</v>
      </c>
    </row>
    <row r="2487" spans="1:2" x14ac:dyDescent="0.25">
      <c r="A2487" t="s">
        <v>241</v>
      </c>
      <c r="B2487" t="s">
        <v>9822</v>
      </c>
    </row>
    <row r="2488" spans="1:2" x14ac:dyDescent="0.25">
      <c r="A2488" t="s">
        <v>241</v>
      </c>
      <c r="B2488" t="s">
        <v>9555</v>
      </c>
    </row>
    <row r="2489" spans="1:2" x14ac:dyDescent="0.25">
      <c r="A2489" t="s">
        <v>241</v>
      </c>
      <c r="B2489" t="s">
        <v>9619</v>
      </c>
    </row>
    <row r="2490" spans="1:2" x14ac:dyDescent="0.25">
      <c r="A2490" t="s">
        <v>241</v>
      </c>
      <c r="B2490" t="s">
        <v>10198</v>
      </c>
    </row>
    <row r="2491" spans="1:2" x14ac:dyDescent="0.25">
      <c r="A2491" t="s">
        <v>241</v>
      </c>
      <c r="B2491" t="s">
        <v>9739</v>
      </c>
    </row>
    <row r="2492" spans="1:2" x14ac:dyDescent="0.25">
      <c r="A2492" t="s">
        <v>241</v>
      </c>
      <c r="B2492" t="s">
        <v>13369</v>
      </c>
    </row>
    <row r="2493" spans="1:2" x14ac:dyDescent="0.25">
      <c r="A2493" t="s">
        <v>241</v>
      </c>
      <c r="B2493" t="s">
        <v>10039</v>
      </c>
    </row>
    <row r="2494" spans="1:2" x14ac:dyDescent="0.25">
      <c r="A2494" t="s">
        <v>241</v>
      </c>
      <c r="B2494" t="s">
        <v>9560</v>
      </c>
    </row>
    <row r="2495" spans="1:2" x14ac:dyDescent="0.25">
      <c r="A2495" t="s">
        <v>241</v>
      </c>
      <c r="B2495" t="s">
        <v>10034</v>
      </c>
    </row>
    <row r="2496" spans="1:2" x14ac:dyDescent="0.25">
      <c r="A2496" t="s">
        <v>241</v>
      </c>
      <c r="B2496" t="s">
        <v>13339</v>
      </c>
    </row>
    <row r="2497" spans="1:2" x14ac:dyDescent="0.25">
      <c r="A2497" t="s">
        <v>241</v>
      </c>
      <c r="B2497" t="s">
        <v>13401</v>
      </c>
    </row>
    <row r="2498" spans="1:2" x14ac:dyDescent="0.25">
      <c r="A2498" t="s">
        <v>241</v>
      </c>
      <c r="B2498" t="s">
        <v>13886</v>
      </c>
    </row>
    <row r="2499" spans="1:2" x14ac:dyDescent="0.25">
      <c r="A2499" t="s">
        <v>241</v>
      </c>
      <c r="B2499" t="s">
        <v>14628</v>
      </c>
    </row>
    <row r="2500" spans="1:2" x14ac:dyDescent="0.25">
      <c r="A2500" t="s">
        <v>214</v>
      </c>
      <c r="B2500" t="s">
        <v>10033</v>
      </c>
    </row>
    <row r="2501" spans="1:2" x14ac:dyDescent="0.25">
      <c r="A2501" t="s">
        <v>214</v>
      </c>
      <c r="B2501" t="s">
        <v>10163</v>
      </c>
    </row>
    <row r="2502" spans="1:2" x14ac:dyDescent="0.25">
      <c r="A2502" t="s">
        <v>214</v>
      </c>
      <c r="B2502" t="s">
        <v>10262</v>
      </c>
    </row>
    <row r="2503" spans="1:2" x14ac:dyDescent="0.25">
      <c r="A2503" t="s">
        <v>214</v>
      </c>
      <c r="B2503" t="s">
        <v>9903</v>
      </c>
    </row>
    <row r="2504" spans="1:2" x14ac:dyDescent="0.25">
      <c r="A2504" t="s">
        <v>214</v>
      </c>
      <c r="B2504" t="s">
        <v>10265</v>
      </c>
    </row>
    <row r="2505" spans="1:2" x14ac:dyDescent="0.25">
      <c r="A2505" t="s">
        <v>214</v>
      </c>
      <c r="B2505" t="s">
        <v>9907</v>
      </c>
    </row>
    <row r="2506" spans="1:2" x14ac:dyDescent="0.25">
      <c r="A2506" t="s">
        <v>214</v>
      </c>
      <c r="B2506" t="s">
        <v>9908</v>
      </c>
    </row>
    <row r="2507" spans="1:2" x14ac:dyDescent="0.25">
      <c r="A2507" t="s">
        <v>214</v>
      </c>
      <c r="B2507" t="s">
        <v>10079</v>
      </c>
    </row>
    <row r="2508" spans="1:2" x14ac:dyDescent="0.25">
      <c r="A2508" t="s">
        <v>214</v>
      </c>
      <c r="B2508" t="s">
        <v>9661</v>
      </c>
    </row>
    <row r="2509" spans="1:2" x14ac:dyDescent="0.25">
      <c r="A2509" t="s">
        <v>214</v>
      </c>
      <c r="B2509" t="s">
        <v>10264</v>
      </c>
    </row>
    <row r="2510" spans="1:2" x14ac:dyDescent="0.25">
      <c r="A2510" t="s">
        <v>214</v>
      </c>
      <c r="B2510" t="s">
        <v>12874</v>
      </c>
    </row>
    <row r="2511" spans="1:2" x14ac:dyDescent="0.25">
      <c r="A2511" t="s">
        <v>214</v>
      </c>
      <c r="B2511" t="s">
        <v>12876</v>
      </c>
    </row>
    <row r="2512" spans="1:2" x14ac:dyDescent="0.25">
      <c r="A2512" t="s">
        <v>523</v>
      </c>
      <c r="B2512" t="s">
        <v>8671</v>
      </c>
    </row>
    <row r="2513" spans="1:2" x14ac:dyDescent="0.25">
      <c r="A2513" t="s">
        <v>523</v>
      </c>
      <c r="B2513" t="s">
        <v>8688</v>
      </c>
    </row>
    <row r="2514" spans="1:2" x14ac:dyDescent="0.25">
      <c r="A2514" t="s">
        <v>523</v>
      </c>
      <c r="B2514" t="s">
        <v>8667</v>
      </c>
    </row>
    <row r="2515" spans="1:2" x14ac:dyDescent="0.25">
      <c r="A2515" t="s">
        <v>523</v>
      </c>
      <c r="B2515" t="s">
        <v>11672</v>
      </c>
    </row>
    <row r="2516" spans="1:2" x14ac:dyDescent="0.25">
      <c r="A2516" t="s">
        <v>523</v>
      </c>
      <c r="B2516" t="s">
        <v>8665</v>
      </c>
    </row>
    <row r="2517" spans="1:2" x14ac:dyDescent="0.25">
      <c r="A2517" t="s">
        <v>523</v>
      </c>
      <c r="B2517" t="s">
        <v>8650</v>
      </c>
    </row>
    <row r="2518" spans="1:2" x14ac:dyDescent="0.25">
      <c r="A2518" t="s">
        <v>523</v>
      </c>
      <c r="B2518" t="s">
        <v>8644</v>
      </c>
    </row>
    <row r="2519" spans="1:2" x14ac:dyDescent="0.25">
      <c r="A2519" t="s">
        <v>676</v>
      </c>
      <c r="B2519" t="s">
        <v>10127</v>
      </c>
    </row>
    <row r="2520" spans="1:2" x14ac:dyDescent="0.25">
      <c r="A2520" t="s">
        <v>676</v>
      </c>
      <c r="B2520" t="s">
        <v>10145</v>
      </c>
    </row>
    <row r="2521" spans="1:2" x14ac:dyDescent="0.25">
      <c r="A2521" t="s">
        <v>676</v>
      </c>
      <c r="B2521" t="s">
        <v>10174</v>
      </c>
    </row>
    <row r="2522" spans="1:2" x14ac:dyDescent="0.25">
      <c r="A2522" t="s">
        <v>676</v>
      </c>
      <c r="B2522" t="s">
        <v>9723</v>
      </c>
    </row>
    <row r="2523" spans="1:2" x14ac:dyDescent="0.25">
      <c r="A2523" t="s">
        <v>676</v>
      </c>
      <c r="B2523" t="s">
        <v>10040</v>
      </c>
    </row>
    <row r="2524" spans="1:2" x14ac:dyDescent="0.25">
      <c r="A2524" t="s">
        <v>676</v>
      </c>
      <c r="B2524" t="s">
        <v>10041</v>
      </c>
    </row>
    <row r="2525" spans="1:2" x14ac:dyDescent="0.25">
      <c r="A2525" t="s">
        <v>676</v>
      </c>
      <c r="B2525" t="s">
        <v>10358</v>
      </c>
    </row>
    <row r="2526" spans="1:2" x14ac:dyDescent="0.25">
      <c r="A2526" t="s">
        <v>676</v>
      </c>
      <c r="B2526" t="s">
        <v>9699</v>
      </c>
    </row>
    <row r="2527" spans="1:2" x14ac:dyDescent="0.25">
      <c r="A2527" t="s">
        <v>676</v>
      </c>
      <c r="B2527" t="s">
        <v>12586</v>
      </c>
    </row>
    <row r="2528" spans="1:2" x14ac:dyDescent="0.25">
      <c r="A2528" t="s">
        <v>676</v>
      </c>
      <c r="B2528" t="s">
        <v>10175</v>
      </c>
    </row>
    <row r="2529" spans="1:2" x14ac:dyDescent="0.25">
      <c r="A2529" t="s">
        <v>676</v>
      </c>
      <c r="B2529" t="s">
        <v>10325</v>
      </c>
    </row>
    <row r="2530" spans="1:2" x14ac:dyDescent="0.25">
      <c r="A2530" t="s">
        <v>676</v>
      </c>
      <c r="B2530" t="s">
        <v>12859</v>
      </c>
    </row>
    <row r="2531" spans="1:2" x14ac:dyDescent="0.25">
      <c r="A2531" t="s">
        <v>676</v>
      </c>
      <c r="B2531" t="s">
        <v>12898</v>
      </c>
    </row>
    <row r="2532" spans="1:2" x14ac:dyDescent="0.25">
      <c r="A2532" t="s">
        <v>676</v>
      </c>
      <c r="B2532" t="s">
        <v>12917</v>
      </c>
    </row>
    <row r="2533" spans="1:2" x14ac:dyDescent="0.25">
      <c r="A2533" t="s">
        <v>676</v>
      </c>
      <c r="B2533" t="s">
        <v>12977</v>
      </c>
    </row>
    <row r="2534" spans="1:2" x14ac:dyDescent="0.25">
      <c r="A2534" t="s">
        <v>676</v>
      </c>
      <c r="B2534" t="s">
        <v>13058</v>
      </c>
    </row>
    <row r="2535" spans="1:2" x14ac:dyDescent="0.25">
      <c r="A2535" t="s">
        <v>676</v>
      </c>
      <c r="B2535" t="s">
        <v>13577</v>
      </c>
    </row>
    <row r="2536" spans="1:2" x14ac:dyDescent="0.25">
      <c r="A2536" t="s">
        <v>676</v>
      </c>
      <c r="B2536" t="s">
        <v>13631</v>
      </c>
    </row>
    <row r="2537" spans="1:2" x14ac:dyDescent="0.25">
      <c r="A2537" t="s">
        <v>676</v>
      </c>
      <c r="B2537" t="s">
        <v>13682</v>
      </c>
    </row>
    <row r="2538" spans="1:2" x14ac:dyDescent="0.25">
      <c r="A2538" t="s">
        <v>676</v>
      </c>
      <c r="B2538" t="s">
        <v>13825</v>
      </c>
    </row>
    <row r="2539" spans="1:2" x14ac:dyDescent="0.25">
      <c r="A2539" t="s">
        <v>676</v>
      </c>
      <c r="B2539" t="s">
        <v>13917</v>
      </c>
    </row>
    <row r="2540" spans="1:2" x14ac:dyDescent="0.25">
      <c r="A2540" t="s">
        <v>676</v>
      </c>
      <c r="B2540" t="s">
        <v>13955</v>
      </c>
    </row>
    <row r="2541" spans="1:2" x14ac:dyDescent="0.25">
      <c r="A2541" t="s">
        <v>676</v>
      </c>
      <c r="B2541" t="s">
        <v>13990</v>
      </c>
    </row>
    <row r="2542" spans="1:2" x14ac:dyDescent="0.25">
      <c r="A2542" t="s">
        <v>676</v>
      </c>
      <c r="B2542" t="s">
        <v>14460</v>
      </c>
    </row>
    <row r="2543" spans="1:2" x14ac:dyDescent="0.25">
      <c r="A2543" t="s">
        <v>676</v>
      </c>
      <c r="B2543" t="s">
        <v>14529</v>
      </c>
    </row>
    <row r="2544" spans="1:2" x14ac:dyDescent="0.25">
      <c r="A2544" t="s">
        <v>676</v>
      </c>
      <c r="B2544" t="s">
        <v>14562</v>
      </c>
    </row>
    <row r="2545" spans="1:2" x14ac:dyDescent="0.25">
      <c r="A2545" t="s">
        <v>12631</v>
      </c>
      <c r="B2545" t="s">
        <v>12636</v>
      </c>
    </row>
    <row r="2546" spans="1:2" x14ac:dyDescent="0.25">
      <c r="A2546" t="s">
        <v>12631</v>
      </c>
      <c r="B2546" t="s">
        <v>12634</v>
      </c>
    </row>
    <row r="2547" spans="1:2" x14ac:dyDescent="0.25">
      <c r="A2547" t="s">
        <v>12631</v>
      </c>
      <c r="B2547" t="s">
        <v>12627</v>
      </c>
    </row>
    <row r="2548" spans="1:2" x14ac:dyDescent="0.25">
      <c r="A2548" t="s">
        <v>1106</v>
      </c>
      <c r="B2548" t="s">
        <v>11414</v>
      </c>
    </row>
    <row r="2549" spans="1:2" x14ac:dyDescent="0.25">
      <c r="A2549" t="s">
        <v>1106</v>
      </c>
      <c r="B2549" t="s">
        <v>11421</v>
      </c>
    </row>
    <row r="2550" spans="1:2" x14ac:dyDescent="0.25">
      <c r="A2550" t="s">
        <v>1106</v>
      </c>
      <c r="B2550" t="s">
        <v>11343</v>
      </c>
    </row>
    <row r="2551" spans="1:2" x14ac:dyDescent="0.25">
      <c r="A2551" t="s">
        <v>1106</v>
      </c>
      <c r="B2551" t="s">
        <v>12843</v>
      </c>
    </row>
    <row r="2552" spans="1:2" x14ac:dyDescent="0.25">
      <c r="A2552" t="s">
        <v>1106</v>
      </c>
      <c r="B2552" t="s">
        <v>14663</v>
      </c>
    </row>
    <row r="2553" spans="1:2" x14ac:dyDescent="0.25">
      <c r="A2553" t="s">
        <v>659</v>
      </c>
      <c r="B2553" t="s">
        <v>12561</v>
      </c>
    </row>
    <row r="2554" spans="1:2" x14ac:dyDescent="0.25">
      <c r="A2554" t="s">
        <v>659</v>
      </c>
      <c r="B2554" t="s">
        <v>10109</v>
      </c>
    </row>
    <row r="2555" spans="1:2" x14ac:dyDescent="0.25">
      <c r="A2555" t="s">
        <v>659</v>
      </c>
      <c r="B2555" t="s">
        <v>9851</v>
      </c>
    </row>
    <row r="2556" spans="1:2" x14ac:dyDescent="0.25">
      <c r="A2556" t="s">
        <v>659</v>
      </c>
      <c r="B2556" t="s">
        <v>13644</v>
      </c>
    </row>
    <row r="2557" spans="1:2" x14ac:dyDescent="0.25">
      <c r="A2557" t="s">
        <v>659</v>
      </c>
      <c r="B2557" t="s">
        <v>13617</v>
      </c>
    </row>
    <row r="2558" spans="1:2" x14ac:dyDescent="0.25">
      <c r="A2558" t="s">
        <v>659</v>
      </c>
      <c r="B2558" t="s">
        <v>13944</v>
      </c>
    </row>
    <row r="2559" spans="1:2" x14ac:dyDescent="0.25">
      <c r="A2559" t="s">
        <v>755</v>
      </c>
      <c r="B2559" t="s">
        <v>10235</v>
      </c>
    </row>
    <row r="2560" spans="1:2" x14ac:dyDescent="0.25">
      <c r="A2560" t="s">
        <v>755</v>
      </c>
      <c r="B2560" t="s">
        <v>10064</v>
      </c>
    </row>
    <row r="2561" spans="1:2" x14ac:dyDescent="0.25">
      <c r="A2561" t="s">
        <v>755</v>
      </c>
      <c r="B2561" t="s">
        <v>9891</v>
      </c>
    </row>
    <row r="2562" spans="1:2" x14ac:dyDescent="0.25">
      <c r="A2562" t="s">
        <v>755</v>
      </c>
      <c r="B2562" t="s">
        <v>10004</v>
      </c>
    </row>
    <row r="2563" spans="1:2" x14ac:dyDescent="0.25">
      <c r="A2563" t="s">
        <v>755</v>
      </c>
      <c r="B2563" t="s">
        <v>9647</v>
      </c>
    </row>
    <row r="2564" spans="1:2" x14ac:dyDescent="0.25">
      <c r="A2564" t="s">
        <v>755</v>
      </c>
      <c r="B2564" t="s">
        <v>9646</v>
      </c>
    </row>
    <row r="2565" spans="1:2" x14ac:dyDescent="0.25">
      <c r="A2565" t="s">
        <v>755</v>
      </c>
      <c r="B2565" t="s">
        <v>10044</v>
      </c>
    </row>
    <row r="2566" spans="1:2" x14ac:dyDescent="0.25">
      <c r="A2566" t="s">
        <v>755</v>
      </c>
      <c r="B2566" t="s">
        <v>9712</v>
      </c>
    </row>
    <row r="2567" spans="1:2" x14ac:dyDescent="0.25">
      <c r="A2567" t="s">
        <v>755</v>
      </c>
      <c r="B2567" t="s">
        <v>9711</v>
      </c>
    </row>
    <row r="2568" spans="1:2" x14ac:dyDescent="0.25">
      <c r="A2568" t="s">
        <v>755</v>
      </c>
      <c r="B2568" t="s">
        <v>9913</v>
      </c>
    </row>
    <row r="2569" spans="1:2" x14ac:dyDescent="0.25">
      <c r="A2569" t="s">
        <v>755</v>
      </c>
      <c r="B2569" t="s">
        <v>10131</v>
      </c>
    </row>
    <row r="2570" spans="1:2" x14ac:dyDescent="0.25">
      <c r="A2570" t="s">
        <v>755</v>
      </c>
      <c r="B2570" t="s">
        <v>10340</v>
      </c>
    </row>
    <row r="2571" spans="1:2" x14ac:dyDescent="0.25">
      <c r="A2571" t="s">
        <v>755</v>
      </c>
      <c r="B2571" t="s">
        <v>12983</v>
      </c>
    </row>
    <row r="2572" spans="1:2" x14ac:dyDescent="0.25">
      <c r="A2572" t="s">
        <v>705</v>
      </c>
      <c r="B2572" t="s">
        <v>9788</v>
      </c>
    </row>
    <row r="2573" spans="1:2" x14ac:dyDescent="0.25">
      <c r="A2573" t="s">
        <v>705</v>
      </c>
      <c r="B2573" t="s">
        <v>10072</v>
      </c>
    </row>
    <row r="2574" spans="1:2" x14ac:dyDescent="0.25">
      <c r="A2574" t="s">
        <v>705</v>
      </c>
      <c r="B2574" t="s">
        <v>10294</v>
      </c>
    </row>
    <row r="2575" spans="1:2" x14ac:dyDescent="0.25">
      <c r="A2575" t="s">
        <v>705</v>
      </c>
      <c r="B2575" t="s">
        <v>9789</v>
      </c>
    </row>
    <row r="2576" spans="1:2" x14ac:dyDescent="0.25">
      <c r="A2576" t="s">
        <v>705</v>
      </c>
      <c r="B2576" t="s">
        <v>9746</v>
      </c>
    </row>
    <row r="2577" spans="1:2" x14ac:dyDescent="0.25">
      <c r="A2577" t="s">
        <v>705</v>
      </c>
      <c r="B2577" t="s">
        <v>10073</v>
      </c>
    </row>
    <row r="2578" spans="1:2" x14ac:dyDescent="0.25">
      <c r="A2578" t="s">
        <v>705</v>
      </c>
      <c r="B2578" t="s">
        <v>9529</v>
      </c>
    </row>
    <row r="2579" spans="1:2" x14ac:dyDescent="0.25">
      <c r="A2579" t="s">
        <v>705</v>
      </c>
      <c r="B2579" t="s">
        <v>10078</v>
      </c>
    </row>
    <row r="2580" spans="1:2" x14ac:dyDescent="0.25">
      <c r="A2580" t="s">
        <v>705</v>
      </c>
      <c r="B2580" t="s">
        <v>13005</v>
      </c>
    </row>
    <row r="2581" spans="1:2" x14ac:dyDescent="0.25">
      <c r="A2581" t="s">
        <v>646</v>
      </c>
      <c r="B2581" t="s">
        <v>9752</v>
      </c>
    </row>
    <row r="2582" spans="1:2" x14ac:dyDescent="0.25">
      <c r="A2582" t="s">
        <v>646</v>
      </c>
      <c r="B2582" t="s">
        <v>9960</v>
      </c>
    </row>
    <row r="2583" spans="1:2" x14ac:dyDescent="0.25">
      <c r="A2583" t="s">
        <v>646</v>
      </c>
      <c r="B2583" t="s">
        <v>11065</v>
      </c>
    </row>
    <row r="2584" spans="1:2" x14ac:dyDescent="0.25">
      <c r="A2584" t="s">
        <v>646</v>
      </c>
      <c r="B2584" t="s">
        <v>9950</v>
      </c>
    </row>
    <row r="2585" spans="1:2" x14ac:dyDescent="0.25">
      <c r="A2585" t="s">
        <v>646</v>
      </c>
      <c r="B2585" t="s">
        <v>11068</v>
      </c>
    </row>
    <row r="2586" spans="1:2" x14ac:dyDescent="0.25">
      <c r="A2586" t="s">
        <v>646</v>
      </c>
      <c r="B2586" t="s">
        <v>12938</v>
      </c>
    </row>
    <row r="2587" spans="1:2" x14ac:dyDescent="0.25">
      <c r="A2587" t="s">
        <v>646</v>
      </c>
      <c r="B2587" t="s">
        <v>12948</v>
      </c>
    </row>
    <row r="2588" spans="1:2" x14ac:dyDescent="0.25">
      <c r="A2588" t="s">
        <v>646</v>
      </c>
      <c r="B2588" t="s">
        <v>14007</v>
      </c>
    </row>
    <row r="2589" spans="1:2" x14ac:dyDescent="0.25">
      <c r="A2589" t="s">
        <v>57</v>
      </c>
      <c r="B2589" t="s">
        <v>8102</v>
      </c>
    </row>
    <row r="2590" spans="1:2" x14ac:dyDescent="0.25">
      <c r="A2590" t="s">
        <v>57</v>
      </c>
      <c r="B2590" t="s">
        <v>8078</v>
      </c>
    </row>
    <row r="2591" spans="1:2" x14ac:dyDescent="0.25">
      <c r="A2591" t="s">
        <v>57</v>
      </c>
      <c r="B2591" t="s">
        <v>8094</v>
      </c>
    </row>
    <row r="2592" spans="1:2" x14ac:dyDescent="0.25">
      <c r="A2592" t="s">
        <v>57</v>
      </c>
      <c r="B2592" t="s">
        <v>8199</v>
      </c>
    </row>
    <row r="2593" spans="1:2" x14ac:dyDescent="0.25">
      <c r="A2593" t="s">
        <v>57</v>
      </c>
      <c r="B2593" t="s">
        <v>10453</v>
      </c>
    </row>
    <row r="2594" spans="1:2" x14ac:dyDescent="0.25">
      <c r="A2594" t="s">
        <v>57</v>
      </c>
      <c r="B2594" t="s">
        <v>8177</v>
      </c>
    </row>
    <row r="2595" spans="1:2" x14ac:dyDescent="0.25">
      <c r="A2595" t="s">
        <v>57</v>
      </c>
      <c r="B2595" t="s">
        <v>8080</v>
      </c>
    </row>
    <row r="2596" spans="1:2" x14ac:dyDescent="0.25">
      <c r="A2596" t="s">
        <v>57</v>
      </c>
      <c r="B2596" t="s">
        <v>8082</v>
      </c>
    </row>
    <row r="2597" spans="1:2" x14ac:dyDescent="0.25">
      <c r="A2597" t="s">
        <v>57</v>
      </c>
      <c r="B2597" t="s">
        <v>8134</v>
      </c>
    </row>
    <row r="2598" spans="1:2" x14ac:dyDescent="0.25">
      <c r="A2598" t="s">
        <v>57</v>
      </c>
      <c r="B2598" t="s">
        <v>8090</v>
      </c>
    </row>
    <row r="2599" spans="1:2" x14ac:dyDescent="0.25">
      <c r="A2599" t="s">
        <v>259</v>
      </c>
      <c r="B2599" t="s">
        <v>10807</v>
      </c>
    </row>
    <row r="2600" spans="1:2" x14ac:dyDescent="0.25">
      <c r="A2600" t="s">
        <v>259</v>
      </c>
      <c r="B2600" t="s">
        <v>10808</v>
      </c>
    </row>
    <row r="2601" spans="1:2" x14ac:dyDescent="0.25">
      <c r="A2601" t="s">
        <v>259</v>
      </c>
      <c r="B2601" t="s">
        <v>10805</v>
      </c>
    </row>
    <row r="2602" spans="1:2" x14ac:dyDescent="0.25">
      <c r="A2602" t="s">
        <v>360</v>
      </c>
      <c r="B2602" t="s">
        <v>8303</v>
      </c>
    </row>
    <row r="2603" spans="1:2" x14ac:dyDescent="0.25">
      <c r="A2603" t="s">
        <v>360</v>
      </c>
      <c r="B2603" t="s">
        <v>8291</v>
      </c>
    </row>
    <row r="2604" spans="1:2" x14ac:dyDescent="0.25">
      <c r="A2604" t="s">
        <v>360</v>
      </c>
      <c r="B2604" t="s">
        <v>8319</v>
      </c>
    </row>
    <row r="2605" spans="1:2" x14ac:dyDescent="0.25">
      <c r="A2605" t="s">
        <v>360</v>
      </c>
      <c r="B2605" t="s">
        <v>8292</v>
      </c>
    </row>
    <row r="2606" spans="1:2" x14ac:dyDescent="0.25">
      <c r="A2606" t="s">
        <v>360</v>
      </c>
      <c r="B2606" t="s">
        <v>8294</v>
      </c>
    </row>
    <row r="2607" spans="1:2" x14ac:dyDescent="0.25">
      <c r="A2607" t="s">
        <v>360</v>
      </c>
      <c r="B2607" t="s">
        <v>8321</v>
      </c>
    </row>
    <row r="2608" spans="1:2" x14ac:dyDescent="0.25">
      <c r="A2608" t="s">
        <v>360</v>
      </c>
      <c r="B2608" t="s">
        <v>8320</v>
      </c>
    </row>
    <row r="2609" spans="1:2" x14ac:dyDescent="0.25">
      <c r="A2609" t="s">
        <v>360</v>
      </c>
      <c r="B2609" t="s">
        <v>8325</v>
      </c>
    </row>
    <row r="2610" spans="1:2" x14ac:dyDescent="0.25">
      <c r="A2610" t="s">
        <v>1919</v>
      </c>
      <c r="B2610" t="s">
        <v>12426</v>
      </c>
    </row>
    <row r="2611" spans="1:2" x14ac:dyDescent="0.25">
      <c r="A2611" t="s">
        <v>1919</v>
      </c>
      <c r="B2611" t="s">
        <v>8316</v>
      </c>
    </row>
    <row r="2612" spans="1:2" x14ac:dyDescent="0.25">
      <c r="A2612" t="s">
        <v>4508</v>
      </c>
      <c r="B2612" t="s">
        <v>9505</v>
      </c>
    </row>
    <row r="2613" spans="1:2" x14ac:dyDescent="0.25">
      <c r="A2613" t="s">
        <v>4508</v>
      </c>
      <c r="B2613" t="s">
        <v>10760</v>
      </c>
    </row>
    <row r="2614" spans="1:2" x14ac:dyDescent="0.25">
      <c r="A2614" t="s">
        <v>4508</v>
      </c>
      <c r="B2614" t="s">
        <v>10687</v>
      </c>
    </row>
    <row r="2615" spans="1:2" x14ac:dyDescent="0.25">
      <c r="A2615" t="s">
        <v>4508</v>
      </c>
      <c r="B2615" t="s">
        <v>10686</v>
      </c>
    </row>
    <row r="2616" spans="1:2" x14ac:dyDescent="0.25">
      <c r="A2616" t="s">
        <v>4508</v>
      </c>
      <c r="B2616" t="s">
        <v>10699</v>
      </c>
    </row>
    <row r="2617" spans="1:2" x14ac:dyDescent="0.25">
      <c r="A2617" t="s">
        <v>4508</v>
      </c>
      <c r="B2617" t="s">
        <v>9506</v>
      </c>
    </row>
    <row r="2618" spans="1:2" x14ac:dyDescent="0.25">
      <c r="A2618" t="s">
        <v>631</v>
      </c>
      <c r="B2618" t="s">
        <v>8607</v>
      </c>
    </row>
    <row r="2619" spans="1:2" x14ac:dyDescent="0.25">
      <c r="A2619" t="s">
        <v>631</v>
      </c>
      <c r="B2619" t="s">
        <v>9794</v>
      </c>
    </row>
    <row r="2620" spans="1:2" x14ac:dyDescent="0.25">
      <c r="A2620" t="s">
        <v>631</v>
      </c>
      <c r="B2620" t="s">
        <v>10093</v>
      </c>
    </row>
    <row r="2621" spans="1:2" x14ac:dyDescent="0.25">
      <c r="A2621" t="s">
        <v>631</v>
      </c>
      <c r="B2621" t="s">
        <v>10070</v>
      </c>
    </row>
    <row r="2622" spans="1:2" x14ac:dyDescent="0.25">
      <c r="A2622" t="s">
        <v>631</v>
      </c>
      <c r="B2622" t="s">
        <v>10427</v>
      </c>
    </row>
    <row r="2623" spans="1:2" x14ac:dyDescent="0.25">
      <c r="A2623" t="s">
        <v>631</v>
      </c>
      <c r="B2623" t="s">
        <v>13864</v>
      </c>
    </row>
    <row r="2624" spans="1:2" x14ac:dyDescent="0.25">
      <c r="A2624" t="s">
        <v>631</v>
      </c>
      <c r="B2624" t="s">
        <v>10179</v>
      </c>
    </row>
    <row r="2625" spans="1:2" x14ac:dyDescent="0.25">
      <c r="A2625" t="s">
        <v>631</v>
      </c>
      <c r="B2625" t="s">
        <v>10054</v>
      </c>
    </row>
    <row r="2626" spans="1:2" x14ac:dyDescent="0.25">
      <c r="A2626" t="s">
        <v>631</v>
      </c>
      <c r="B2626" t="s">
        <v>10296</v>
      </c>
    </row>
    <row r="2627" spans="1:2" x14ac:dyDescent="0.25">
      <c r="A2627" t="s">
        <v>631</v>
      </c>
      <c r="B2627" t="s">
        <v>10304</v>
      </c>
    </row>
    <row r="2628" spans="1:2" x14ac:dyDescent="0.25">
      <c r="A2628" t="s">
        <v>326</v>
      </c>
      <c r="B2628" t="s">
        <v>12402</v>
      </c>
    </row>
    <row r="2629" spans="1:2" x14ac:dyDescent="0.25">
      <c r="A2629" t="s">
        <v>326</v>
      </c>
      <c r="B2629" t="s">
        <v>12406</v>
      </c>
    </row>
    <row r="2630" spans="1:2" x14ac:dyDescent="0.25">
      <c r="A2630" t="s">
        <v>326</v>
      </c>
      <c r="B2630" t="s">
        <v>12395</v>
      </c>
    </row>
    <row r="2631" spans="1:2" x14ac:dyDescent="0.25">
      <c r="A2631" t="s">
        <v>326</v>
      </c>
      <c r="B2631" t="s">
        <v>8174</v>
      </c>
    </row>
    <row r="2632" spans="1:2" x14ac:dyDescent="0.25">
      <c r="A2632" t="s">
        <v>326</v>
      </c>
      <c r="B2632" t="s">
        <v>8113</v>
      </c>
    </row>
    <row r="2633" spans="1:2" x14ac:dyDescent="0.25">
      <c r="A2633" t="s">
        <v>326</v>
      </c>
      <c r="B2633" t="s">
        <v>8081</v>
      </c>
    </row>
    <row r="2634" spans="1:2" x14ac:dyDescent="0.25">
      <c r="A2634" t="s">
        <v>326</v>
      </c>
      <c r="B2634" t="s">
        <v>8132</v>
      </c>
    </row>
    <row r="2635" spans="1:2" x14ac:dyDescent="0.25">
      <c r="A2635" t="s">
        <v>326</v>
      </c>
      <c r="B2635" t="s">
        <v>8163</v>
      </c>
    </row>
    <row r="2636" spans="1:2" x14ac:dyDescent="0.25">
      <c r="A2636" t="s">
        <v>11000</v>
      </c>
      <c r="B2636" t="s">
        <v>10996</v>
      </c>
    </row>
    <row r="2637" spans="1:2" x14ac:dyDescent="0.25">
      <c r="A2637" t="s">
        <v>4943</v>
      </c>
      <c r="B2637" t="s">
        <v>9693</v>
      </c>
    </row>
    <row r="2638" spans="1:2" x14ac:dyDescent="0.25">
      <c r="A2638" t="s">
        <v>4943</v>
      </c>
      <c r="B2638" t="s">
        <v>9912</v>
      </c>
    </row>
    <row r="2639" spans="1:2" x14ac:dyDescent="0.25">
      <c r="A2639" t="s">
        <v>4943</v>
      </c>
      <c r="B2639" t="s">
        <v>10181</v>
      </c>
    </row>
    <row r="2640" spans="1:2" x14ac:dyDescent="0.25">
      <c r="A2640" t="s">
        <v>4943</v>
      </c>
      <c r="B2640" t="s">
        <v>10141</v>
      </c>
    </row>
    <row r="2641" spans="1:2" x14ac:dyDescent="0.25">
      <c r="A2641" t="s">
        <v>4943</v>
      </c>
      <c r="B2641" t="s">
        <v>14096</v>
      </c>
    </row>
    <row r="2642" spans="1:2" x14ac:dyDescent="0.25">
      <c r="A2642" t="s">
        <v>4943</v>
      </c>
      <c r="B2642" t="s">
        <v>14115</v>
      </c>
    </row>
    <row r="2643" spans="1:2" x14ac:dyDescent="0.25">
      <c r="A2643" t="s">
        <v>4943</v>
      </c>
      <c r="B2643" t="s">
        <v>14125</v>
      </c>
    </row>
    <row r="2644" spans="1:2" x14ac:dyDescent="0.25">
      <c r="A2644" t="s">
        <v>4943</v>
      </c>
      <c r="B2644" t="s">
        <v>14182</v>
      </c>
    </row>
    <row r="2645" spans="1:2" x14ac:dyDescent="0.25">
      <c r="A2645" t="s">
        <v>4610</v>
      </c>
      <c r="B2645" t="s">
        <v>10357</v>
      </c>
    </row>
    <row r="2646" spans="1:2" x14ac:dyDescent="0.25">
      <c r="A2646" t="s">
        <v>4610</v>
      </c>
      <c r="B2646" t="s">
        <v>10130</v>
      </c>
    </row>
    <row r="2647" spans="1:2" x14ac:dyDescent="0.25">
      <c r="A2647" t="s">
        <v>4610</v>
      </c>
      <c r="B2647" t="s">
        <v>9865</v>
      </c>
    </row>
    <row r="2648" spans="1:2" x14ac:dyDescent="0.25">
      <c r="A2648" t="s">
        <v>4610</v>
      </c>
      <c r="B2648" t="s">
        <v>9791</v>
      </c>
    </row>
    <row r="2649" spans="1:2" x14ac:dyDescent="0.25">
      <c r="A2649" t="s">
        <v>4610</v>
      </c>
      <c r="B2649" t="s">
        <v>9602</v>
      </c>
    </row>
    <row r="2650" spans="1:2" x14ac:dyDescent="0.25">
      <c r="A2650" t="s">
        <v>4610</v>
      </c>
      <c r="B2650" t="s">
        <v>9979</v>
      </c>
    </row>
    <row r="2651" spans="1:2" x14ac:dyDescent="0.25">
      <c r="A2651" t="s">
        <v>4610</v>
      </c>
      <c r="B2651" t="s">
        <v>9544</v>
      </c>
    </row>
    <row r="2652" spans="1:2" x14ac:dyDescent="0.25">
      <c r="A2652" t="s">
        <v>4610</v>
      </c>
      <c r="B2652" t="s">
        <v>10045</v>
      </c>
    </row>
    <row r="2653" spans="1:2" x14ac:dyDescent="0.25">
      <c r="A2653" t="s">
        <v>4610</v>
      </c>
      <c r="B2653" t="s">
        <v>9900</v>
      </c>
    </row>
    <row r="2654" spans="1:2" x14ac:dyDescent="0.25">
      <c r="A2654" t="s">
        <v>4610</v>
      </c>
      <c r="B2654" t="s">
        <v>9568</v>
      </c>
    </row>
    <row r="2655" spans="1:2" x14ac:dyDescent="0.25">
      <c r="A2655" t="s">
        <v>4610</v>
      </c>
      <c r="B2655" t="s">
        <v>9973</v>
      </c>
    </row>
    <row r="2656" spans="1:2" x14ac:dyDescent="0.25">
      <c r="A2656" t="s">
        <v>4610</v>
      </c>
      <c r="B2656" t="s">
        <v>10311</v>
      </c>
    </row>
    <row r="2657" spans="1:2" x14ac:dyDescent="0.25">
      <c r="A2657" t="s">
        <v>4610</v>
      </c>
      <c r="B2657" t="s">
        <v>9972</v>
      </c>
    </row>
    <row r="2658" spans="1:2" x14ac:dyDescent="0.25">
      <c r="A2658" t="s">
        <v>4610</v>
      </c>
      <c r="B2658" t="s">
        <v>9859</v>
      </c>
    </row>
    <row r="2659" spans="1:2" x14ac:dyDescent="0.25">
      <c r="A2659" t="s">
        <v>4610</v>
      </c>
      <c r="B2659" t="s">
        <v>10207</v>
      </c>
    </row>
    <row r="2660" spans="1:2" x14ac:dyDescent="0.25">
      <c r="A2660" t="s">
        <v>4610</v>
      </c>
      <c r="B2660" t="s">
        <v>9606</v>
      </c>
    </row>
    <row r="2661" spans="1:2" x14ac:dyDescent="0.25">
      <c r="A2661" t="s">
        <v>4610</v>
      </c>
      <c r="B2661" t="s">
        <v>9971</v>
      </c>
    </row>
    <row r="2662" spans="1:2" x14ac:dyDescent="0.25">
      <c r="A2662" t="s">
        <v>4610</v>
      </c>
      <c r="B2662" t="s">
        <v>9882</v>
      </c>
    </row>
    <row r="2663" spans="1:2" x14ac:dyDescent="0.25">
      <c r="A2663" t="s">
        <v>4610</v>
      </c>
      <c r="B2663" t="s">
        <v>9839</v>
      </c>
    </row>
    <row r="2664" spans="1:2" x14ac:dyDescent="0.25">
      <c r="A2664" t="s">
        <v>4610</v>
      </c>
      <c r="B2664" t="s">
        <v>9603</v>
      </c>
    </row>
    <row r="2665" spans="1:2" x14ac:dyDescent="0.25">
      <c r="A2665" t="s">
        <v>4610</v>
      </c>
      <c r="B2665" t="s">
        <v>10153</v>
      </c>
    </row>
    <row r="2666" spans="1:2" x14ac:dyDescent="0.25">
      <c r="A2666" t="s">
        <v>4610</v>
      </c>
      <c r="B2666" t="s">
        <v>9732</v>
      </c>
    </row>
    <row r="2667" spans="1:2" x14ac:dyDescent="0.25">
      <c r="A2667" t="s">
        <v>4610</v>
      </c>
      <c r="B2667" t="s">
        <v>9970</v>
      </c>
    </row>
    <row r="2668" spans="1:2" x14ac:dyDescent="0.25">
      <c r="A2668" t="s">
        <v>4610</v>
      </c>
      <c r="B2668" t="s">
        <v>10620</v>
      </c>
    </row>
    <row r="2669" spans="1:2" x14ac:dyDescent="0.25">
      <c r="A2669" t="s">
        <v>4610</v>
      </c>
      <c r="B2669" t="s">
        <v>10257</v>
      </c>
    </row>
    <row r="2670" spans="1:2" x14ac:dyDescent="0.25">
      <c r="A2670" t="s">
        <v>4610</v>
      </c>
      <c r="B2670" t="s">
        <v>10056</v>
      </c>
    </row>
    <row r="2671" spans="1:2" x14ac:dyDescent="0.25">
      <c r="A2671" t="s">
        <v>4610</v>
      </c>
      <c r="B2671" t="s">
        <v>9800</v>
      </c>
    </row>
    <row r="2672" spans="1:2" x14ac:dyDescent="0.25">
      <c r="A2672" t="s">
        <v>4610</v>
      </c>
      <c r="B2672" t="s">
        <v>13372</v>
      </c>
    </row>
    <row r="2673" spans="1:2" x14ac:dyDescent="0.25">
      <c r="A2673" t="s">
        <v>4610</v>
      </c>
      <c r="B2673" t="s">
        <v>13392</v>
      </c>
    </row>
    <row r="2674" spans="1:2" x14ac:dyDescent="0.25">
      <c r="A2674" t="s">
        <v>727</v>
      </c>
      <c r="B2674" t="s">
        <v>10269</v>
      </c>
    </row>
    <row r="2675" spans="1:2" x14ac:dyDescent="0.25">
      <c r="A2675" t="s">
        <v>727</v>
      </c>
      <c r="B2675" t="s">
        <v>9928</v>
      </c>
    </row>
    <row r="2676" spans="1:2" x14ac:dyDescent="0.25">
      <c r="A2676" t="s">
        <v>727</v>
      </c>
      <c r="B2676" t="s">
        <v>10244</v>
      </c>
    </row>
    <row r="2677" spans="1:2" x14ac:dyDescent="0.25">
      <c r="A2677" t="s">
        <v>727</v>
      </c>
      <c r="B2677" t="s">
        <v>9554</v>
      </c>
    </row>
    <row r="2678" spans="1:2" x14ac:dyDescent="0.25">
      <c r="A2678" t="s">
        <v>727</v>
      </c>
      <c r="B2678" t="s">
        <v>10300</v>
      </c>
    </row>
    <row r="2679" spans="1:2" x14ac:dyDescent="0.25">
      <c r="A2679" t="s">
        <v>727</v>
      </c>
      <c r="B2679" t="s">
        <v>10154</v>
      </c>
    </row>
    <row r="2680" spans="1:2" x14ac:dyDescent="0.25">
      <c r="A2680" t="s">
        <v>727</v>
      </c>
      <c r="B2680" t="s">
        <v>9515</v>
      </c>
    </row>
    <row r="2681" spans="1:2" x14ac:dyDescent="0.25">
      <c r="A2681" t="s">
        <v>727</v>
      </c>
      <c r="B2681" t="s">
        <v>10023</v>
      </c>
    </row>
    <row r="2682" spans="1:2" x14ac:dyDescent="0.25">
      <c r="A2682" t="s">
        <v>727</v>
      </c>
      <c r="B2682" t="s">
        <v>10245</v>
      </c>
    </row>
    <row r="2683" spans="1:2" x14ac:dyDescent="0.25">
      <c r="A2683" t="s">
        <v>727</v>
      </c>
      <c r="B2683" t="s">
        <v>10363</v>
      </c>
    </row>
    <row r="2684" spans="1:2" x14ac:dyDescent="0.25">
      <c r="A2684" t="s">
        <v>727</v>
      </c>
      <c r="B2684" t="s">
        <v>9675</v>
      </c>
    </row>
    <row r="2685" spans="1:2" x14ac:dyDescent="0.25">
      <c r="A2685" t="s">
        <v>727</v>
      </c>
      <c r="B2685" t="s">
        <v>14494</v>
      </c>
    </row>
    <row r="2686" spans="1:2" x14ac:dyDescent="0.25">
      <c r="A2686" t="s">
        <v>727</v>
      </c>
      <c r="B2686" t="s">
        <v>9748</v>
      </c>
    </row>
    <row r="2687" spans="1:2" x14ac:dyDescent="0.25">
      <c r="A2687" t="s">
        <v>727</v>
      </c>
      <c r="B2687" t="s">
        <v>10305</v>
      </c>
    </row>
    <row r="2688" spans="1:2" x14ac:dyDescent="0.25">
      <c r="A2688" t="s">
        <v>727</v>
      </c>
      <c r="B2688" t="s">
        <v>9720</v>
      </c>
    </row>
    <row r="2689" spans="1:2" x14ac:dyDescent="0.25">
      <c r="A2689" t="s">
        <v>727</v>
      </c>
      <c r="B2689" t="s">
        <v>9784</v>
      </c>
    </row>
    <row r="2690" spans="1:2" x14ac:dyDescent="0.25">
      <c r="A2690" t="s">
        <v>727</v>
      </c>
      <c r="B2690" t="s">
        <v>9570</v>
      </c>
    </row>
    <row r="2691" spans="1:2" x14ac:dyDescent="0.25">
      <c r="A2691" t="s">
        <v>727</v>
      </c>
      <c r="B2691" t="s">
        <v>9581</v>
      </c>
    </row>
    <row r="2692" spans="1:2" x14ac:dyDescent="0.25">
      <c r="A2692" t="s">
        <v>727</v>
      </c>
      <c r="B2692" t="s">
        <v>10260</v>
      </c>
    </row>
    <row r="2693" spans="1:2" x14ac:dyDescent="0.25">
      <c r="A2693" t="s">
        <v>727</v>
      </c>
      <c r="B2693" t="s">
        <v>10119</v>
      </c>
    </row>
    <row r="2694" spans="1:2" x14ac:dyDescent="0.25">
      <c r="A2694" t="s">
        <v>324</v>
      </c>
      <c r="B2694" t="s">
        <v>8147</v>
      </c>
    </row>
    <row r="2695" spans="1:2" x14ac:dyDescent="0.25">
      <c r="A2695" t="s">
        <v>324</v>
      </c>
      <c r="B2695" t="s">
        <v>12413</v>
      </c>
    </row>
    <row r="2696" spans="1:2" x14ac:dyDescent="0.25">
      <c r="A2696" t="s">
        <v>324</v>
      </c>
      <c r="B2696" t="s">
        <v>8164</v>
      </c>
    </row>
    <row r="2697" spans="1:2" x14ac:dyDescent="0.25">
      <c r="A2697" t="s">
        <v>324</v>
      </c>
      <c r="B2697" t="s">
        <v>8183</v>
      </c>
    </row>
    <row r="2698" spans="1:2" x14ac:dyDescent="0.25">
      <c r="A2698" t="s">
        <v>324</v>
      </c>
      <c r="B2698" t="s">
        <v>8154</v>
      </c>
    </row>
    <row r="2699" spans="1:2" x14ac:dyDescent="0.25">
      <c r="A2699" t="s">
        <v>324</v>
      </c>
      <c r="B2699" t="s">
        <v>8188</v>
      </c>
    </row>
    <row r="2700" spans="1:2" x14ac:dyDescent="0.25">
      <c r="A2700" t="s">
        <v>324</v>
      </c>
      <c r="B2700" t="s">
        <v>8165</v>
      </c>
    </row>
    <row r="2701" spans="1:2" x14ac:dyDescent="0.25">
      <c r="A2701" t="s">
        <v>324</v>
      </c>
      <c r="B2701" t="s">
        <v>8075</v>
      </c>
    </row>
    <row r="2702" spans="1:2" x14ac:dyDescent="0.25">
      <c r="A2702" t="s">
        <v>324</v>
      </c>
      <c r="B2702" t="s">
        <v>8086</v>
      </c>
    </row>
    <row r="2703" spans="1:2" x14ac:dyDescent="0.25">
      <c r="A2703" t="s">
        <v>324</v>
      </c>
      <c r="B2703" t="s">
        <v>8076</v>
      </c>
    </row>
    <row r="2704" spans="1:2" x14ac:dyDescent="0.25">
      <c r="A2704" t="s">
        <v>324</v>
      </c>
      <c r="B2704" t="s">
        <v>12416</v>
      </c>
    </row>
    <row r="2705" spans="1:2" x14ac:dyDescent="0.25">
      <c r="A2705" t="s">
        <v>324</v>
      </c>
      <c r="B2705" t="s">
        <v>8189</v>
      </c>
    </row>
    <row r="2706" spans="1:2" x14ac:dyDescent="0.25">
      <c r="A2706" t="s">
        <v>324</v>
      </c>
      <c r="B2706" t="s">
        <v>11590</v>
      </c>
    </row>
    <row r="2707" spans="1:2" x14ac:dyDescent="0.25">
      <c r="A2707" t="s">
        <v>324</v>
      </c>
      <c r="B2707" t="s">
        <v>12373</v>
      </c>
    </row>
    <row r="2708" spans="1:2" x14ac:dyDescent="0.25">
      <c r="A2708" t="s">
        <v>324</v>
      </c>
      <c r="B2708" t="s">
        <v>8171</v>
      </c>
    </row>
    <row r="2709" spans="1:2" x14ac:dyDescent="0.25">
      <c r="A2709" t="s">
        <v>324</v>
      </c>
      <c r="B2709" t="s">
        <v>12377</v>
      </c>
    </row>
    <row r="2710" spans="1:2" x14ac:dyDescent="0.25">
      <c r="A2710" t="s">
        <v>324</v>
      </c>
      <c r="B2710" t="s">
        <v>8185</v>
      </c>
    </row>
    <row r="2711" spans="1:2" x14ac:dyDescent="0.25">
      <c r="A2711" t="s">
        <v>324</v>
      </c>
      <c r="B2711" t="s">
        <v>8103</v>
      </c>
    </row>
    <row r="2712" spans="1:2" x14ac:dyDescent="0.25">
      <c r="A2712" t="s">
        <v>324</v>
      </c>
      <c r="B2712" t="s">
        <v>8109</v>
      </c>
    </row>
    <row r="2713" spans="1:2" x14ac:dyDescent="0.25">
      <c r="A2713" t="s">
        <v>324</v>
      </c>
      <c r="B2713" t="s">
        <v>8083</v>
      </c>
    </row>
    <row r="2714" spans="1:2" x14ac:dyDescent="0.25">
      <c r="A2714" t="s">
        <v>324</v>
      </c>
      <c r="B2714" t="s">
        <v>8110</v>
      </c>
    </row>
    <row r="2715" spans="1:2" x14ac:dyDescent="0.25">
      <c r="A2715" t="s">
        <v>324</v>
      </c>
      <c r="B2715" t="s">
        <v>8201</v>
      </c>
    </row>
    <row r="2716" spans="1:2" x14ac:dyDescent="0.25">
      <c r="A2716" t="s">
        <v>324</v>
      </c>
      <c r="B2716" t="s">
        <v>8170</v>
      </c>
    </row>
    <row r="2717" spans="1:2" x14ac:dyDescent="0.25">
      <c r="A2717" t="s">
        <v>324</v>
      </c>
      <c r="B2717" t="s">
        <v>8196</v>
      </c>
    </row>
    <row r="2718" spans="1:2" x14ac:dyDescent="0.25">
      <c r="A2718" t="s">
        <v>324</v>
      </c>
      <c r="B2718" t="s">
        <v>12380</v>
      </c>
    </row>
    <row r="2719" spans="1:2" x14ac:dyDescent="0.25">
      <c r="A2719" t="s">
        <v>324</v>
      </c>
      <c r="B2719" t="s">
        <v>8123</v>
      </c>
    </row>
    <row r="2720" spans="1:2" x14ac:dyDescent="0.25">
      <c r="A2720" t="s">
        <v>324</v>
      </c>
      <c r="B2720" t="s">
        <v>10783</v>
      </c>
    </row>
    <row r="2721" spans="1:2" x14ac:dyDescent="0.25">
      <c r="A2721" t="s">
        <v>324</v>
      </c>
      <c r="B2721" t="s">
        <v>8182</v>
      </c>
    </row>
    <row r="2722" spans="1:2" x14ac:dyDescent="0.25">
      <c r="A2722" t="s">
        <v>324</v>
      </c>
      <c r="B2722" t="s">
        <v>8167</v>
      </c>
    </row>
    <row r="2723" spans="1:2" x14ac:dyDescent="0.25">
      <c r="A2723" t="s">
        <v>324</v>
      </c>
      <c r="B2723" t="s">
        <v>8139</v>
      </c>
    </row>
    <row r="2724" spans="1:2" x14ac:dyDescent="0.25">
      <c r="A2724" t="s">
        <v>324</v>
      </c>
      <c r="B2724" t="s">
        <v>8140</v>
      </c>
    </row>
    <row r="2725" spans="1:2" x14ac:dyDescent="0.25">
      <c r="A2725" t="s">
        <v>324</v>
      </c>
      <c r="B2725" t="s">
        <v>8172</v>
      </c>
    </row>
    <row r="2726" spans="1:2" x14ac:dyDescent="0.25">
      <c r="A2726" t="s">
        <v>324</v>
      </c>
      <c r="B2726" t="s">
        <v>8202</v>
      </c>
    </row>
    <row r="2727" spans="1:2" x14ac:dyDescent="0.25">
      <c r="A2727" t="s">
        <v>324</v>
      </c>
      <c r="B2727" t="s">
        <v>13229</v>
      </c>
    </row>
    <row r="2728" spans="1:2" x14ac:dyDescent="0.25">
      <c r="A2728" t="s">
        <v>324</v>
      </c>
      <c r="B2728" t="s">
        <v>13951</v>
      </c>
    </row>
    <row r="2729" spans="1:2" x14ac:dyDescent="0.25">
      <c r="A2729" t="s">
        <v>324</v>
      </c>
      <c r="B2729" t="s">
        <v>14464</v>
      </c>
    </row>
    <row r="2730" spans="1:2" x14ac:dyDescent="0.25">
      <c r="A2730" t="s">
        <v>324</v>
      </c>
      <c r="B2730" t="s">
        <v>14571</v>
      </c>
    </row>
    <row r="2731" spans="1:2" x14ac:dyDescent="0.25">
      <c r="A2731" t="s">
        <v>324</v>
      </c>
      <c r="B2731" t="s">
        <v>14576</v>
      </c>
    </row>
    <row r="2732" spans="1:2" x14ac:dyDescent="0.25">
      <c r="A2732" t="s">
        <v>324</v>
      </c>
      <c r="B2732" t="s">
        <v>14608</v>
      </c>
    </row>
    <row r="2733" spans="1:2" x14ac:dyDescent="0.25">
      <c r="A2733" t="s">
        <v>11302</v>
      </c>
      <c r="B2733" t="s">
        <v>11298</v>
      </c>
    </row>
    <row r="2734" spans="1:2" x14ac:dyDescent="0.25">
      <c r="A2734" t="s">
        <v>11302</v>
      </c>
      <c r="B2734" t="s">
        <v>11329</v>
      </c>
    </row>
    <row r="2735" spans="1:2" x14ac:dyDescent="0.25">
      <c r="A2735" t="s">
        <v>11302</v>
      </c>
      <c r="B2735" t="s">
        <v>11335</v>
      </c>
    </row>
    <row r="2736" spans="1:2" x14ac:dyDescent="0.25">
      <c r="A2736" t="s">
        <v>11302</v>
      </c>
      <c r="B2736" t="s">
        <v>11322</v>
      </c>
    </row>
    <row r="2737" spans="1:2" x14ac:dyDescent="0.25">
      <c r="A2737" t="s">
        <v>6336</v>
      </c>
      <c r="B2737" t="s">
        <v>10385</v>
      </c>
    </row>
    <row r="2738" spans="1:2" x14ac:dyDescent="0.25">
      <c r="A2738" t="s">
        <v>6336</v>
      </c>
      <c r="B2738" t="s">
        <v>10386</v>
      </c>
    </row>
    <row r="2739" spans="1:2" x14ac:dyDescent="0.25">
      <c r="A2739" t="s">
        <v>2850</v>
      </c>
      <c r="B2739" t="s">
        <v>9679</v>
      </c>
    </row>
    <row r="2740" spans="1:2" x14ac:dyDescent="0.25">
      <c r="A2740" t="s">
        <v>2850</v>
      </c>
      <c r="B2740" t="s">
        <v>12750</v>
      </c>
    </row>
    <row r="2741" spans="1:2" x14ac:dyDescent="0.25">
      <c r="A2741" t="s">
        <v>2850</v>
      </c>
      <c r="B2741" t="s">
        <v>10172</v>
      </c>
    </row>
    <row r="2742" spans="1:2" x14ac:dyDescent="0.25">
      <c r="A2742" t="s">
        <v>2850</v>
      </c>
      <c r="B2742" t="s">
        <v>10158</v>
      </c>
    </row>
    <row r="2743" spans="1:2" x14ac:dyDescent="0.25">
      <c r="A2743" t="s">
        <v>2850</v>
      </c>
      <c r="B2743" t="s">
        <v>10240</v>
      </c>
    </row>
    <row r="2744" spans="1:2" x14ac:dyDescent="0.25">
      <c r="A2744" t="s">
        <v>2850</v>
      </c>
      <c r="B2744" t="s">
        <v>9828</v>
      </c>
    </row>
    <row r="2745" spans="1:2" x14ac:dyDescent="0.25">
      <c r="A2745" t="s">
        <v>2850</v>
      </c>
      <c r="B2745" t="s">
        <v>10102</v>
      </c>
    </row>
    <row r="2746" spans="1:2" x14ac:dyDescent="0.25">
      <c r="A2746" t="s">
        <v>2850</v>
      </c>
      <c r="B2746" t="s">
        <v>9957</v>
      </c>
    </row>
    <row r="2747" spans="1:2" x14ac:dyDescent="0.25">
      <c r="A2747" t="s">
        <v>2850</v>
      </c>
      <c r="B2747" t="s">
        <v>9933</v>
      </c>
    </row>
    <row r="2748" spans="1:2" x14ac:dyDescent="0.25">
      <c r="A2748" t="s">
        <v>2850</v>
      </c>
      <c r="B2748" t="s">
        <v>9899</v>
      </c>
    </row>
    <row r="2749" spans="1:2" x14ac:dyDescent="0.25">
      <c r="A2749" t="s">
        <v>2850</v>
      </c>
      <c r="B2749" t="s">
        <v>9812</v>
      </c>
    </row>
    <row r="2750" spans="1:2" x14ac:dyDescent="0.25">
      <c r="A2750" t="s">
        <v>2850</v>
      </c>
      <c r="B2750" t="s">
        <v>13754</v>
      </c>
    </row>
    <row r="2751" spans="1:2" x14ac:dyDescent="0.25">
      <c r="A2751" t="s">
        <v>2850</v>
      </c>
      <c r="B2751" t="s">
        <v>14004</v>
      </c>
    </row>
    <row r="2752" spans="1:2" x14ac:dyDescent="0.25">
      <c r="A2752" t="s">
        <v>6644</v>
      </c>
      <c r="B2752" t="s">
        <v>10522</v>
      </c>
    </row>
    <row r="2753" spans="1:2" x14ac:dyDescent="0.25">
      <c r="A2753" t="s">
        <v>6644</v>
      </c>
      <c r="B2753" t="s">
        <v>10571</v>
      </c>
    </row>
    <row r="2754" spans="1:2" x14ac:dyDescent="0.25">
      <c r="A2754" t="s">
        <v>6644</v>
      </c>
      <c r="B2754" t="s">
        <v>10510</v>
      </c>
    </row>
    <row r="2755" spans="1:2" x14ac:dyDescent="0.25">
      <c r="A2755" t="s">
        <v>6644</v>
      </c>
      <c r="B2755" t="s">
        <v>10489</v>
      </c>
    </row>
    <row r="2756" spans="1:2" x14ac:dyDescent="0.25">
      <c r="A2756" t="s">
        <v>6644</v>
      </c>
      <c r="B2756" t="s">
        <v>10558</v>
      </c>
    </row>
    <row r="2757" spans="1:2" x14ac:dyDescent="0.25">
      <c r="A2757" t="s">
        <v>6644</v>
      </c>
      <c r="B2757" t="s">
        <v>10494</v>
      </c>
    </row>
    <row r="2758" spans="1:2" x14ac:dyDescent="0.25">
      <c r="A2758" t="s">
        <v>6644</v>
      </c>
      <c r="B2758" t="s">
        <v>10557</v>
      </c>
    </row>
    <row r="2759" spans="1:2" x14ac:dyDescent="0.25">
      <c r="A2759" t="s">
        <v>6644</v>
      </c>
      <c r="B2759" t="s">
        <v>10550</v>
      </c>
    </row>
    <row r="2760" spans="1:2" x14ac:dyDescent="0.25">
      <c r="A2760" t="s">
        <v>6644</v>
      </c>
      <c r="B2760" t="s">
        <v>10568</v>
      </c>
    </row>
    <row r="2761" spans="1:2" x14ac:dyDescent="0.25">
      <c r="A2761" t="s">
        <v>6644</v>
      </c>
      <c r="B2761" t="s">
        <v>10538</v>
      </c>
    </row>
    <row r="2762" spans="1:2" x14ac:dyDescent="0.25">
      <c r="A2762" t="s">
        <v>743</v>
      </c>
      <c r="B2762" t="s">
        <v>10123</v>
      </c>
    </row>
    <row r="2763" spans="1:2" x14ac:dyDescent="0.25">
      <c r="A2763" t="s">
        <v>743</v>
      </c>
      <c r="B2763" t="s">
        <v>10036</v>
      </c>
    </row>
    <row r="2764" spans="1:2" x14ac:dyDescent="0.25">
      <c r="A2764" t="s">
        <v>743</v>
      </c>
      <c r="B2764" t="s">
        <v>10062</v>
      </c>
    </row>
    <row r="2765" spans="1:2" x14ac:dyDescent="0.25">
      <c r="A2765" t="s">
        <v>743</v>
      </c>
      <c r="B2765" t="s">
        <v>10188</v>
      </c>
    </row>
    <row r="2766" spans="1:2" x14ac:dyDescent="0.25">
      <c r="A2766" t="s">
        <v>743</v>
      </c>
      <c r="B2766" t="s">
        <v>10061</v>
      </c>
    </row>
    <row r="2767" spans="1:2" x14ac:dyDescent="0.25">
      <c r="A2767" t="s">
        <v>743</v>
      </c>
      <c r="B2767" t="s">
        <v>9802</v>
      </c>
    </row>
    <row r="2768" spans="1:2" x14ac:dyDescent="0.25">
      <c r="A2768" t="s">
        <v>743</v>
      </c>
      <c r="B2768" t="s">
        <v>10122</v>
      </c>
    </row>
    <row r="2769" spans="1:2" x14ac:dyDescent="0.25">
      <c r="A2769" t="s">
        <v>743</v>
      </c>
      <c r="B2769" t="s">
        <v>9808</v>
      </c>
    </row>
    <row r="2770" spans="1:2" x14ac:dyDescent="0.25">
      <c r="A2770" t="s">
        <v>6313</v>
      </c>
      <c r="B2770" t="s">
        <v>10387</v>
      </c>
    </row>
    <row r="2771" spans="1:2" x14ac:dyDescent="0.25">
      <c r="A2771" t="s">
        <v>6313</v>
      </c>
      <c r="B2771" t="s">
        <v>10388</v>
      </c>
    </row>
    <row r="2772" spans="1:2" x14ac:dyDescent="0.25">
      <c r="A2772" t="s">
        <v>6313</v>
      </c>
      <c r="B2772" t="s">
        <v>10395</v>
      </c>
    </row>
    <row r="2773" spans="1:2" x14ac:dyDescent="0.25">
      <c r="A2773" t="s">
        <v>6313</v>
      </c>
      <c r="B2773" t="s">
        <v>10396</v>
      </c>
    </row>
    <row r="2774" spans="1:2" x14ac:dyDescent="0.25">
      <c r="A2774" t="s">
        <v>6313</v>
      </c>
      <c r="B2774" t="s">
        <v>10376</v>
      </c>
    </row>
    <row r="2775" spans="1:2" x14ac:dyDescent="0.25">
      <c r="A2775" t="s">
        <v>6313</v>
      </c>
      <c r="B2775" t="s">
        <v>10389</v>
      </c>
    </row>
    <row r="2776" spans="1:2" x14ac:dyDescent="0.25">
      <c r="A2776" t="s">
        <v>679</v>
      </c>
      <c r="B2776" t="s">
        <v>9937</v>
      </c>
    </row>
    <row r="2777" spans="1:2" x14ac:dyDescent="0.25">
      <c r="A2777" t="s">
        <v>679</v>
      </c>
      <c r="B2777" t="s">
        <v>9688</v>
      </c>
    </row>
    <row r="2778" spans="1:2" x14ac:dyDescent="0.25">
      <c r="A2778" t="s">
        <v>679</v>
      </c>
      <c r="B2778" t="s">
        <v>10199</v>
      </c>
    </row>
    <row r="2779" spans="1:2" x14ac:dyDescent="0.25">
      <c r="A2779" t="s">
        <v>679</v>
      </c>
      <c r="B2779" t="s">
        <v>10886</v>
      </c>
    </row>
    <row r="2780" spans="1:2" x14ac:dyDescent="0.25">
      <c r="A2780" t="s">
        <v>679</v>
      </c>
      <c r="B2780" t="s">
        <v>10879</v>
      </c>
    </row>
    <row r="2781" spans="1:2" x14ac:dyDescent="0.25">
      <c r="A2781" t="s">
        <v>679</v>
      </c>
      <c r="B2781" t="s">
        <v>9749</v>
      </c>
    </row>
    <row r="2782" spans="1:2" x14ac:dyDescent="0.25">
      <c r="A2782" t="s">
        <v>679</v>
      </c>
      <c r="B2782" t="s">
        <v>10881</v>
      </c>
    </row>
    <row r="2783" spans="1:2" x14ac:dyDescent="0.25">
      <c r="A2783" t="s">
        <v>679</v>
      </c>
      <c r="B2783" t="s">
        <v>9687</v>
      </c>
    </row>
    <row r="2784" spans="1:2" x14ac:dyDescent="0.25">
      <c r="A2784" t="s">
        <v>679</v>
      </c>
      <c r="B2784" t="s">
        <v>13651</v>
      </c>
    </row>
    <row r="2785" spans="1:2" x14ac:dyDescent="0.25">
      <c r="A2785" t="s">
        <v>763</v>
      </c>
      <c r="B2785" t="s">
        <v>10010</v>
      </c>
    </row>
    <row r="2786" spans="1:2" x14ac:dyDescent="0.25">
      <c r="A2786" t="s">
        <v>763</v>
      </c>
      <c r="B2786" t="s">
        <v>9634</v>
      </c>
    </row>
    <row r="2787" spans="1:2" x14ac:dyDescent="0.25">
      <c r="A2787" t="s">
        <v>763</v>
      </c>
      <c r="B2787" t="s">
        <v>10284</v>
      </c>
    </row>
    <row r="2788" spans="1:2" x14ac:dyDescent="0.25">
      <c r="A2788" t="s">
        <v>4590</v>
      </c>
      <c r="B2788" t="s">
        <v>9863</v>
      </c>
    </row>
    <row r="2789" spans="1:2" x14ac:dyDescent="0.25">
      <c r="A2789" t="s">
        <v>4590</v>
      </c>
      <c r="B2789" t="s">
        <v>10077</v>
      </c>
    </row>
    <row r="2790" spans="1:2" x14ac:dyDescent="0.25">
      <c r="A2790" t="s">
        <v>4590</v>
      </c>
      <c r="B2790" t="s">
        <v>10194</v>
      </c>
    </row>
    <row r="2791" spans="1:2" x14ac:dyDescent="0.25">
      <c r="A2791" t="s">
        <v>4590</v>
      </c>
      <c r="B2791" t="s">
        <v>10302</v>
      </c>
    </row>
    <row r="2792" spans="1:2" x14ac:dyDescent="0.25">
      <c r="A2792" t="s">
        <v>4590</v>
      </c>
      <c r="B2792" t="s">
        <v>10013</v>
      </c>
    </row>
    <row r="2793" spans="1:2" x14ac:dyDescent="0.25">
      <c r="A2793" t="s">
        <v>4590</v>
      </c>
      <c r="B2793" t="s">
        <v>9798</v>
      </c>
    </row>
    <row r="2794" spans="1:2" x14ac:dyDescent="0.25">
      <c r="A2794" t="s">
        <v>4590</v>
      </c>
      <c r="B2794" t="s">
        <v>10193</v>
      </c>
    </row>
    <row r="2795" spans="1:2" x14ac:dyDescent="0.25">
      <c r="A2795" t="s">
        <v>4590</v>
      </c>
      <c r="B2795" t="s">
        <v>9864</v>
      </c>
    </row>
    <row r="2796" spans="1:2" x14ac:dyDescent="0.25">
      <c r="A2796" t="s">
        <v>4590</v>
      </c>
      <c r="B2796" t="s">
        <v>10092</v>
      </c>
    </row>
    <row r="2797" spans="1:2" x14ac:dyDescent="0.25">
      <c r="A2797" t="s">
        <v>4590</v>
      </c>
      <c r="B2797" t="s">
        <v>9759</v>
      </c>
    </row>
    <row r="2798" spans="1:2" x14ac:dyDescent="0.25">
      <c r="A2798" t="s">
        <v>4590</v>
      </c>
      <c r="B2798" t="s">
        <v>9537</v>
      </c>
    </row>
    <row r="2799" spans="1:2" x14ac:dyDescent="0.25">
      <c r="A2799" t="s">
        <v>4590</v>
      </c>
      <c r="B2799" t="s">
        <v>14611</v>
      </c>
    </row>
    <row r="2800" spans="1:2" x14ac:dyDescent="0.25">
      <c r="A2800" t="s">
        <v>4590</v>
      </c>
      <c r="B2800" t="s">
        <v>12904</v>
      </c>
    </row>
    <row r="2801" spans="1:2" x14ac:dyDescent="0.25">
      <c r="A2801" t="s">
        <v>4590</v>
      </c>
      <c r="B2801" t="s">
        <v>13625</v>
      </c>
    </row>
    <row r="2802" spans="1:2" x14ac:dyDescent="0.25">
      <c r="A2802" t="s">
        <v>4590</v>
      </c>
      <c r="B2802" t="s">
        <v>14620</v>
      </c>
    </row>
    <row r="2803" spans="1:2" x14ac:dyDescent="0.25">
      <c r="A2803" t="s">
        <v>688</v>
      </c>
      <c r="B2803" t="s">
        <v>10228</v>
      </c>
    </row>
    <row r="2804" spans="1:2" x14ac:dyDescent="0.25">
      <c r="A2804" t="s">
        <v>688</v>
      </c>
      <c r="B2804" t="s">
        <v>9599</v>
      </c>
    </row>
    <row r="2805" spans="1:2" x14ac:dyDescent="0.25">
      <c r="A2805" t="s">
        <v>688</v>
      </c>
      <c r="B2805" t="s">
        <v>9546</v>
      </c>
    </row>
    <row r="2806" spans="1:2" x14ac:dyDescent="0.25">
      <c r="A2806" t="s">
        <v>688</v>
      </c>
      <c r="B2806" t="s">
        <v>9958</v>
      </c>
    </row>
    <row r="2807" spans="1:2" x14ac:dyDescent="0.25">
      <c r="A2807" t="s">
        <v>688</v>
      </c>
      <c r="B2807" t="s">
        <v>9517</v>
      </c>
    </row>
    <row r="2808" spans="1:2" x14ac:dyDescent="0.25">
      <c r="A2808" t="s">
        <v>688</v>
      </c>
      <c r="B2808" t="s">
        <v>9649</v>
      </c>
    </row>
    <row r="2809" spans="1:2" x14ac:dyDescent="0.25">
      <c r="A2809" t="s">
        <v>688</v>
      </c>
      <c r="B2809" t="s">
        <v>10159</v>
      </c>
    </row>
    <row r="2810" spans="1:2" x14ac:dyDescent="0.25">
      <c r="A2810" t="s">
        <v>688</v>
      </c>
      <c r="B2810" t="s">
        <v>10068</v>
      </c>
    </row>
    <row r="2811" spans="1:2" x14ac:dyDescent="0.25">
      <c r="A2811" t="s">
        <v>688</v>
      </c>
      <c r="B2811" t="s">
        <v>9518</v>
      </c>
    </row>
    <row r="2812" spans="1:2" x14ac:dyDescent="0.25">
      <c r="A2812" t="s">
        <v>688</v>
      </c>
      <c r="B2812" t="s">
        <v>10356</v>
      </c>
    </row>
    <row r="2813" spans="1:2" x14ac:dyDescent="0.25">
      <c r="A2813" t="s">
        <v>688</v>
      </c>
      <c r="B2813" t="s">
        <v>9983</v>
      </c>
    </row>
    <row r="2814" spans="1:2" x14ac:dyDescent="0.25">
      <c r="A2814" t="s">
        <v>688</v>
      </c>
      <c r="B2814" t="s">
        <v>9952</v>
      </c>
    </row>
    <row r="2815" spans="1:2" x14ac:dyDescent="0.25">
      <c r="A2815" t="s">
        <v>688</v>
      </c>
      <c r="B2815" t="s">
        <v>9569</v>
      </c>
    </row>
    <row r="2816" spans="1:2" x14ac:dyDescent="0.25">
      <c r="A2816" t="s">
        <v>688</v>
      </c>
      <c r="B2816" t="s">
        <v>10310</v>
      </c>
    </row>
    <row r="2817" spans="1:2" x14ac:dyDescent="0.25">
      <c r="A2817" t="s">
        <v>688</v>
      </c>
      <c r="B2817" t="s">
        <v>12744</v>
      </c>
    </row>
    <row r="2818" spans="1:2" x14ac:dyDescent="0.25">
      <c r="A2818" t="s">
        <v>688</v>
      </c>
      <c r="B2818" t="s">
        <v>9547</v>
      </c>
    </row>
    <row r="2819" spans="1:2" x14ac:dyDescent="0.25">
      <c r="A2819" t="s">
        <v>688</v>
      </c>
      <c r="B2819" t="s">
        <v>9819</v>
      </c>
    </row>
    <row r="2820" spans="1:2" x14ac:dyDescent="0.25">
      <c r="A2820" t="s">
        <v>688</v>
      </c>
      <c r="B2820" t="s">
        <v>10204</v>
      </c>
    </row>
    <row r="2821" spans="1:2" x14ac:dyDescent="0.25">
      <c r="A2821" t="s">
        <v>688</v>
      </c>
      <c r="B2821" t="s">
        <v>12559</v>
      </c>
    </row>
    <row r="2822" spans="1:2" x14ac:dyDescent="0.25">
      <c r="A2822" t="s">
        <v>688</v>
      </c>
      <c r="B2822" t="s">
        <v>10237</v>
      </c>
    </row>
    <row r="2823" spans="1:2" x14ac:dyDescent="0.25">
      <c r="A2823" t="s">
        <v>688</v>
      </c>
      <c r="B2823" t="s">
        <v>9895</v>
      </c>
    </row>
    <row r="2824" spans="1:2" x14ac:dyDescent="0.25">
      <c r="A2824" t="s">
        <v>688</v>
      </c>
      <c r="B2824" t="s">
        <v>9807</v>
      </c>
    </row>
    <row r="2825" spans="1:2" x14ac:dyDescent="0.25">
      <c r="A2825" t="s">
        <v>688</v>
      </c>
      <c r="B2825" t="s">
        <v>9622</v>
      </c>
    </row>
    <row r="2826" spans="1:2" x14ac:dyDescent="0.25">
      <c r="A2826" t="s">
        <v>688</v>
      </c>
      <c r="B2826" t="s">
        <v>10081</v>
      </c>
    </row>
    <row r="2827" spans="1:2" x14ac:dyDescent="0.25">
      <c r="A2827" t="s">
        <v>688</v>
      </c>
      <c r="B2827" t="s">
        <v>10067</v>
      </c>
    </row>
    <row r="2828" spans="1:2" x14ac:dyDescent="0.25">
      <c r="A2828" t="s">
        <v>688</v>
      </c>
      <c r="B2828" t="s">
        <v>9727</v>
      </c>
    </row>
    <row r="2829" spans="1:2" x14ac:dyDescent="0.25">
      <c r="A2829" t="s">
        <v>688</v>
      </c>
      <c r="B2829" t="s">
        <v>9575</v>
      </c>
    </row>
    <row r="2830" spans="1:2" x14ac:dyDescent="0.25">
      <c r="A2830" t="s">
        <v>688</v>
      </c>
      <c r="B2830" t="s">
        <v>9656</v>
      </c>
    </row>
    <row r="2831" spans="1:2" x14ac:dyDescent="0.25">
      <c r="A2831" t="s">
        <v>688</v>
      </c>
      <c r="B2831" t="s">
        <v>10006</v>
      </c>
    </row>
    <row r="2832" spans="1:2" x14ac:dyDescent="0.25">
      <c r="A2832" t="s">
        <v>688</v>
      </c>
      <c r="B2832" t="s">
        <v>9516</v>
      </c>
    </row>
    <row r="2833" spans="1:2" x14ac:dyDescent="0.25">
      <c r="A2833" t="s">
        <v>688</v>
      </c>
      <c r="B2833" t="s">
        <v>9644</v>
      </c>
    </row>
    <row r="2834" spans="1:2" x14ac:dyDescent="0.25">
      <c r="A2834" t="s">
        <v>688</v>
      </c>
      <c r="B2834" t="s">
        <v>10046</v>
      </c>
    </row>
    <row r="2835" spans="1:2" x14ac:dyDescent="0.25">
      <c r="A2835" t="s">
        <v>688</v>
      </c>
      <c r="B2835" t="s">
        <v>13376</v>
      </c>
    </row>
    <row r="2836" spans="1:2" x14ac:dyDescent="0.25">
      <c r="A2836" t="s">
        <v>688</v>
      </c>
      <c r="B2836" t="s">
        <v>13685</v>
      </c>
    </row>
    <row r="2837" spans="1:2" x14ac:dyDescent="0.25">
      <c r="A2837" t="s">
        <v>688</v>
      </c>
      <c r="B2837" t="s">
        <v>13791</v>
      </c>
    </row>
    <row r="2838" spans="1:2" x14ac:dyDescent="0.25">
      <c r="A2838" t="s">
        <v>688</v>
      </c>
      <c r="B2838" t="s">
        <v>13889</v>
      </c>
    </row>
    <row r="2839" spans="1:2" x14ac:dyDescent="0.25">
      <c r="A2839" t="s">
        <v>688</v>
      </c>
      <c r="B2839" t="s">
        <v>13973</v>
      </c>
    </row>
    <row r="2840" spans="1:2" x14ac:dyDescent="0.25">
      <c r="A2840" t="s">
        <v>688</v>
      </c>
      <c r="B2840" t="s">
        <v>14683</v>
      </c>
    </row>
    <row r="2841" spans="1:2" x14ac:dyDescent="0.25">
      <c r="A2841" t="s">
        <v>688</v>
      </c>
      <c r="B2841" t="s">
        <v>14687</v>
      </c>
    </row>
    <row r="2842" spans="1:2" x14ac:dyDescent="0.25">
      <c r="A2842" t="s">
        <v>78</v>
      </c>
      <c r="B2842" t="s">
        <v>8118</v>
      </c>
    </row>
    <row r="2843" spans="1:2" x14ac:dyDescent="0.25">
      <c r="A2843" t="s">
        <v>78</v>
      </c>
      <c r="B2843" t="s">
        <v>8116</v>
      </c>
    </row>
    <row r="2844" spans="1:2" x14ac:dyDescent="0.25">
      <c r="A2844" t="s">
        <v>78</v>
      </c>
      <c r="B2844" t="s">
        <v>8142</v>
      </c>
    </row>
    <row r="2845" spans="1:2" x14ac:dyDescent="0.25">
      <c r="A2845" t="s">
        <v>78</v>
      </c>
      <c r="B2845" t="s">
        <v>8178</v>
      </c>
    </row>
    <row r="2846" spans="1:2" x14ac:dyDescent="0.25">
      <c r="A2846" t="s">
        <v>78</v>
      </c>
      <c r="B2846" t="s">
        <v>8137</v>
      </c>
    </row>
    <row r="2847" spans="1:2" x14ac:dyDescent="0.25">
      <c r="A2847" t="s">
        <v>78</v>
      </c>
      <c r="B2847" t="s">
        <v>8108</v>
      </c>
    </row>
    <row r="2848" spans="1:2" x14ac:dyDescent="0.25">
      <c r="A2848" t="s">
        <v>78</v>
      </c>
      <c r="B2848" t="s">
        <v>8374</v>
      </c>
    </row>
    <row r="2849" spans="1:2" x14ac:dyDescent="0.25">
      <c r="A2849" t="s">
        <v>78</v>
      </c>
      <c r="B2849" t="s">
        <v>8150</v>
      </c>
    </row>
    <row r="2850" spans="1:2" x14ac:dyDescent="0.25">
      <c r="A2850" t="s">
        <v>78</v>
      </c>
      <c r="B2850" t="s">
        <v>8187</v>
      </c>
    </row>
    <row r="2851" spans="1:2" x14ac:dyDescent="0.25">
      <c r="A2851" t="s">
        <v>78</v>
      </c>
      <c r="B2851" t="s">
        <v>8198</v>
      </c>
    </row>
    <row r="2852" spans="1:2" x14ac:dyDescent="0.25">
      <c r="A2852" t="s">
        <v>78</v>
      </c>
      <c r="B2852" t="s">
        <v>8155</v>
      </c>
    </row>
    <row r="2853" spans="1:2" x14ac:dyDescent="0.25">
      <c r="A2853" t="s">
        <v>78</v>
      </c>
      <c r="B2853" t="s">
        <v>8093</v>
      </c>
    </row>
    <row r="2854" spans="1:2" x14ac:dyDescent="0.25">
      <c r="A2854" t="s">
        <v>78</v>
      </c>
      <c r="B2854" t="s">
        <v>8125</v>
      </c>
    </row>
    <row r="2855" spans="1:2" x14ac:dyDescent="0.25">
      <c r="A2855" t="s">
        <v>78</v>
      </c>
      <c r="B2855" t="s">
        <v>8143</v>
      </c>
    </row>
    <row r="2856" spans="1:2" x14ac:dyDescent="0.25">
      <c r="A2856" t="s">
        <v>78</v>
      </c>
      <c r="B2856" t="s">
        <v>8084</v>
      </c>
    </row>
    <row r="2857" spans="1:2" x14ac:dyDescent="0.25">
      <c r="A2857" t="s">
        <v>78</v>
      </c>
      <c r="B2857" t="s">
        <v>8153</v>
      </c>
    </row>
    <row r="2858" spans="1:2" x14ac:dyDescent="0.25">
      <c r="A2858" t="s">
        <v>78</v>
      </c>
      <c r="B2858" t="s">
        <v>8138</v>
      </c>
    </row>
    <row r="2859" spans="1:2" x14ac:dyDescent="0.25">
      <c r="A2859" t="s">
        <v>78</v>
      </c>
      <c r="B2859" t="s">
        <v>14477</v>
      </c>
    </row>
    <row r="2860" spans="1:2" x14ac:dyDescent="0.25">
      <c r="A2860" t="s">
        <v>513</v>
      </c>
      <c r="B2860" t="s">
        <v>8642</v>
      </c>
    </row>
    <row r="2861" spans="1:2" x14ac:dyDescent="0.25">
      <c r="A2861" t="s">
        <v>513</v>
      </c>
      <c r="B2861" t="s">
        <v>8678</v>
      </c>
    </row>
    <row r="2862" spans="1:2" x14ac:dyDescent="0.25">
      <c r="A2862" t="s">
        <v>513</v>
      </c>
      <c r="B2862" t="s">
        <v>8657</v>
      </c>
    </row>
    <row r="2863" spans="1:2" x14ac:dyDescent="0.25">
      <c r="A2863" t="s">
        <v>513</v>
      </c>
      <c r="B2863" t="s">
        <v>8639</v>
      </c>
    </row>
    <row r="2864" spans="1:2" x14ac:dyDescent="0.25">
      <c r="A2864" t="s">
        <v>5107</v>
      </c>
      <c r="B2864" t="s">
        <v>10201</v>
      </c>
    </row>
    <row r="2865" spans="1:2" x14ac:dyDescent="0.25">
      <c r="A2865" t="s">
        <v>5107</v>
      </c>
      <c r="B2865" t="s">
        <v>10317</v>
      </c>
    </row>
    <row r="2866" spans="1:2" x14ac:dyDescent="0.25">
      <c r="A2866" t="s">
        <v>5107</v>
      </c>
      <c r="B2866" t="s">
        <v>9771</v>
      </c>
    </row>
    <row r="2867" spans="1:2" x14ac:dyDescent="0.25">
      <c r="A2867" t="s">
        <v>5107</v>
      </c>
      <c r="B2867" t="s">
        <v>10276</v>
      </c>
    </row>
    <row r="2868" spans="1:2" x14ac:dyDescent="0.25">
      <c r="A2868" t="s">
        <v>5107</v>
      </c>
      <c r="B2868" t="s">
        <v>9963</v>
      </c>
    </row>
    <row r="2869" spans="1:2" x14ac:dyDescent="0.25">
      <c r="A2869" t="s">
        <v>577</v>
      </c>
      <c r="B2869" t="s">
        <v>9302</v>
      </c>
    </row>
    <row r="2870" spans="1:2" x14ac:dyDescent="0.25">
      <c r="A2870" t="s">
        <v>577</v>
      </c>
      <c r="B2870" t="s">
        <v>9296</v>
      </c>
    </row>
    <row r="2871" spans="1:2" x14ac:dyDescent="0.25">
      <c r="A2871" t="s">
        <v>577</v>
      </c>
      <c r="B2871" t="s">
        <v>8860</v>
      </c>
    </row>
    <row r="2872" spans="1:2" x14ac:dyDescent="0.25">
      <c r="A2872" t="s">
        <v>577</v>
      </c>
      <c r="B2872" t="s">
        <v>8890</v>
      </c>
    </row>
    <row r="2873" spans="1:2" x14ac:dyDescent="0.25">
      <c r="A2873" t="s">
        <v>577</v>
      </c>
      <c r="B2873" t="s">
        <v>9484</v>
      </c>
    </row>
    <row r="2874" spans="1:2" x14ac:dyDescent="0.25">
      <c r="A2874" t="s">
        <v>577</v>
      </c>
      <c r="B2874" t="s">
        <v>9297</v>
      </c>
    </row>
    <row r="2875" spans="1:2" x14ac:dyDescent="0.25">
      <c r="A2875" t="s">
        <v>577</v>
      </c>
      <c r="B2875" t="s">
        <v>9015</v>
      </c>
    </row>
    <row r="2876" spans="1:2" x14ac:dyDescent="0.25">
      <c r="A2876" t="s">
        <v>577</v>
      </c>
      <c r="B2876" t="s">
        <v>11798</v>
      </c>
    </row>
    <row r="2877" spans="1:2" x14ac:dyDescent="0.25">
      <c r="A2877" t="s">
        <v>577</v>
      </c>
      <c r="B2877" t="s">
        <v>8846</v>
      </c>
    </row>
    <row r="2878" spans="1:2" x14ac:dyDescent="0.25">
      <c r="A2878" t="s">
        <v>577</v>
      </c>
      <c r="B2878" t="s">
        <v>11801</v>
      </c>
    </row>
    <row r="2879" spans="1:2" x14ac:dyDescent="0.25">
      <c r="A2879" t="s">
        <v>577</v>
      </c>
      <c r="B2879" t="s">
        <v>9262</v>
      </c>
    </row>
    <row r="2880" spans="1:2" x14ac:dyDescent="0.25">
      <c r="A2880" t="s">
        <v>577</v>
      </c>
      <c r="B2880" t="s">
        <v>9411</v>
      </c>
    </row>
    <row r="2881" spans="1:2" x14ac:dyDescent="0.25">
      <c r="A2881" t="s">
        <v>577</v>
      </c>
      <c r="B2881" t="s">
        <v>8847</v>
      </c>
    </row>
    <row r="2882" spans="1:2" x14ac:dyDescent="0.25">
      <c r="A2882" t="s">
        <v>577</v>
      </c>
      <c r="B2882" t="s">
        <v>9260</v>
      </c>
    </row>
    <row r="2883" spans="1:2" x14ac:dyDescent="0.25">
      <c r="A2883" t="s">
        <v>577</v>
      </c>
      <c r="B2883" t="s">
        <v>9261</v>
      </c>
    </row>
    <row r="2884" spans="1:2" x14ac:dyDescent="0.25">
      <c r="A2884" t="s">
        <v>577</v>
      </c>
      <c r="B2884" t="s">
        <v>9068</v>
      </c>
    </row>
    <row r="2885" spans="1:2" x14ac:dyDescent="0.25">
      <c r="A2885" t="s">
        <v>11115</v>
      </c>
      <c r="B2885" t="s">
        <v>11112</v>
      </c>
    </row>
    <row r="2886" spans="1:2" x14ac:dyDescent="0.25">
      <c r="A2886" t="s">
        <v>1641</v>
      </c>
      <c r="B2886" t="s">
        <v>8318</v>
      </c>
    </row>
    <row r="2887" spans="1:2" x14ac:dyDescent="0.25">
      <c r="A2887" t="s">
        <v>1641</v>
      </c>
      <c r="B2887" t="s">
        <v>8270</v>
      </c>
    </row>
    <row r="2888" spans="1:2" x14ac:dyDescent="0.25">
      <c r="A2888" t="s">
        <v>1641</v>
      </c>
      <c r="B2888" t="s">
        <v>8268</v>
      </c>
    </row>
    <row r="2889" spans="1:2" x14ac:dyDescent="0.25">
      <c r="A2889" t="s">
        <v>1641</v>
      </c>
      <c r="B2889" t="s">
        <v>8264</v>
      </c>
    </row>
    <row r="2890" spans="1:2" x14ac:dyDescent="0.25">
      <c r="A2890" t="s">
        <v>1641</v>
      </c>
      <c r="B2890" t="s">
        <v>8267</v>
      </c>
    </row>
    <row r="2891" spans="1:2" x14ac:dyDescent="0.25">
      <c r="A2891" t="s">
        <v>1641</v>
      </c>
      <c r="B2891" t="s">
        <v>8260</v>
      </c>
    </row>
    <row r="2892" spans="1:2" x14ac:dyDescent="0.25">
      <c r="A2892" t="s">
        <v>1641</v>
      </c>
      <c r="B2892" t="s">
        <v>8261</v>
      </c>
    </row>
    <row r="2893" spans="1:2" x14ac:dyDescent="0.25">
      <c r="A2893" t="s">
        <v>1641</v>
      </c>
      <c r="B2893" t="s">
        <v>8272</v>
      </c>
    </row>
    <row r="2894" spans="1:2" x14ac:dyDescent="0.25">
      <c r="A2894" t="s">
        <v>1641</v>
      </c>
      <c r="B2894" t="s">
        <v>8262</v>
      </c>
    </row>
    <row r="2895" spans="1:2" x14ac:dyDescent="0.25">
      <c r="A2895" t="s">
        <v>1641</v>
      </c>
      <c r="B2895" t="s">
        <v>8209</v>
      </c>
    </row>
    <row r="2896" spans="1:2" x14ac:dyDescent="0.25">
      <c r="A2896" t="s">
        <v>1641</v>
      </c>
      <c r="B2896" t="s">
        <v>8304</v>
      </c>
    </row>
    <row r="2897" spans="1:2" x14ac:dyDescent="0.25">
      <c r="A2897" t="s">
        <v>1641</v>
      </c>
      <c r="B2897" t="s">
        <v>8269</v>
      </c>
    </row>
    <row r="2898" spans="1:2" x14ac:dyDescent="0.25">
      <c r="A2898" t="s">
        <v>1641</v>
      </c>
      <c r="B2898" t="s">
        <v>8266</v>
      </c>
    </row>
    <row r="2899" spans="1:2" x14ac:dyDescent="0.25">
      <c r="A2899" t="s">
        <v>872</v>
      </c>
      <c r="B2899" t="s">
        <v>10796</v>
      </c>
    </row>
    <row r="2900" spans="1:2" x14ac:dyDescent="0.25">
      <c r="A2900" t="s">
        <v>872</v>
      </c>
      <c r="B2900" t="s">
        <v>10827</v>
      </c>
    </row>
    <row r="2901" spans="1:2" x14ac:dyDescent="0.25">
      <c r="A2901" t="s">
        <v>4596</v>
      </c>
      <c r="B2901" t="s">
        <v>9842</v>
      </c>
    </row>
    <row r="2902" spans="1:2" x14ac:dyDescent="0.25">
      <c r="A2902" t="s">
        <v>4596</v>
      </c>
      <c r="B2902" t="s">
        <v>9596</v>
      </c>
    </row>
    <row r="2903" spans="1:2" x14ac:dyDescent="0.25">
      <c r="A2903" t="s">
        <v>4596</v>
      </c>
      <c r="B2903" t="s">
        <v>9597</v>
      </c>
    </row>
    <row r="2904" spans="1:2" x14ac:dyDescent="0.25">
      <c r="A2904" t="s">
        <v>4596</v>
      </c>
      <c r="B2904" t="s">
        <v>10312</v>
      </c>
    </row>
    <row r="2905" spans="1:2" x14ac:dyDescent="0.25">
      <c r="A2905" t="s">
        <v>4596</v>
      </c>
      <c r="B2905" t="s">
        <v>10307</v>
      </c>
    </row>
    <row r="2906" spans="1:2" x14ac:dyDescent="0.25">
      <c r="A2906" t="s">
        <v>4596</v>
      </c>
      <c r="B2906" t="s">
        <v>9785</v>
      </c>
    </row>
    <row r="2907" spans="1:2" x14ac:dyDescent="0.25">
      <c r="A2907" t="s">
        <v>4596</v>
      </c>
      <c r="B2907" t="s">
        <v>9689</v>
      </c>
    </row>
    <row r="2908" spans="1:2" x14ac:dyDescent="0.25">
      <c r="A2908" t="s">
        <v>4596</v>
      </c>
      <c r="B2908" t="s">
        <v>9677</v>
      </c>
    </row>
    <row r="2909" spans="1:2" x14ac:dyDescent="0.25">
      <c r="A2909" t="s">
        <v>4596</v>
      </c>
      <c r="B2909" t="s">
        <v>13615</v>
      </c>
    </row>
    <row r="2910" spans="1:2" x14ac:dyDescent="0.25">
      <c r="A2910" t="s">
        <v>2957</v>
      </c>
      <c r="B2910" t="s">
        <v>11407</v>
      </c>
    </row>
    <row r="2911" spans="1:2" x14ac:dyDescent="0.25">
      <c r="A2911" t="s">
        <v>2957</v>
      </c>
      <c r="B2911" t="s">
        <v>11423</v>
      </c>
    </row>
    <row r="2912" spans="1:2" x14ac:dyDescent="0.25">
      <c r="A2912" t="s">
        <v>2957</v>
      </c>
      <c r="B2912" t="s">
        <v>11276</v>
      </c>
    </row>
    <row r="2913" spans="1:2" x14ac:dyDescent="0.25">
      <c r="A2913" t="s">
        <v>2957</v>
      </c>
      <c r="B2913" t="s">
        <v>11309</v>
      </c>
    </row>
    <row r="2914" spans="1:2" x14ac:dyDescent="0.25">
      <c r="A2914" t="s">
        <v>2957</v>
      </c>
      <c r="B2914" t="s">
        <v>11430</v>
      </c>
    </row>
    <row r="2915" spans="1:2" x14ac:dyDescent="0.25">
      <c r="A2915" t="s">
        <v>2957</v>
      </c>
      <c r="B2915" t="s">
        <v>8742</v>
      </c>
    </row>
    <row r="2916" spans="1:2" x14ac:dyDescent="0.25">
      <c r="A2916" t="s">
        <v>2957</v>
      </c>
      <c r="B2916" t="s">
        <v>11426</v>
      </c>
    </row>
    <row r="2917" spans="1:2" x14ac:dyDescent="0.25">
      <c r="A2917" t="s">
        <v>2957</v>
      </c>
      <c r="B2917" t="s">
        <v>11411</v>
      </c>
    </row>
    <row r="2918" spans="1:2" x14ac:dyDescent="0.25">
      <c r="A2918" t="s">
        <v>2957</v>
      </c>
      <c r="B2918" t="s">
        <v>11434</v>
      </c>
    </row>
    <row r="2919" spans="1:2" x14ac:dyDescent="0.25">
      <c r="A2919" t="s">
        <v>2957</v>
      </c>
      <c r="B2919" t="s">
        <v>13318</v>
      </c>
    </row>
    <row r="2920" spans="1:2" x14ac:dyDescent="0.25">
      <c r="A2920" t="s">
        <v>6895</v>
      </c>
      <c r="B2920" t="s">
        <v>10704</v>
      </c>
    </row>
    <row r="2921" spans="1:2" x14ac:dyDescent="0.25">
      <c r="A2921" t="s">
        <v>6895</v>
      </c>
      <c r="B2921" t="s">
        <v>10714</v>
      </c>
    </row>
    <row r="2922" spans="1:2" x14ac:dyDescent="0.25">
      <c r="A2922" t="s">
        <v>6895</v>
      </c>
      <c r="B2922" t="s">
        <v>10739</v>
      </c>
    </row>
    <row r="2923" spans="1:2" x14ac:dyDescent="0.25">
      <c r="A2923" t="s">
        <v>6895</v>
      </c>
      <c r="B2923" t="s">
        <v>10692</v>
      </c>
    </row>
    <row r="2924" spans="1:2" x14ac:dyDescent="0.25">
      <c r="A2924" t="s">
        <v>6895</v>
      </c>
      <c r="B2924" t="s">
        <v>10697</v>
      </c>
    </row>
    <row r="2925" spans="1:2" x14ac:dyDescent="0.25">
      <c r="A2925" t="s">
        <v>6895</v>
      </c>
      <c r="B2925" t="s">
        <v>10712</v>
      </c>
    </row>
    <row r="2926" spans="1:2" x14ac:dyDescent="0.25">
      <c r="A2926" t="s">
        <v>6895</v>
      </c>
      <c r="B2926" t="s">
        <v>10683</v>
      </c>
    </row>
    <row r="2927" spans="1:2" x14ac:dyDescent="0.25">
      <c r="A2927" t="s">
        <v>6895</v>
      </c>
      <c r="B2927" t="s">
        <v>10674</v>
      </c>
    </row>
    <row r="2928" spans="1:2" x14ac:dyDescent="0.25">
      <c r="A2928" t="s">
        <v>6895</v>
      </c>
      <c r="B2928" t="s">
        <v>10705</v>
      </c>
    </row>
    <row r="2929" spans="1:2" x14ac:dyDescent="0.25">
      <c r="A2929" t="s">
        <v>6895</v>
      </c>
      <c r="B2929" t="s">
        <v>10673</v>
      </c>
    </row>
    <row r="2930" spans="1:2" x14ac:dyDescent="0.25">
      <c r="A2930" t="s">
        <v>6895</v>
      </c>
      <c r="B2930" t="s">
        <v>10710</v>
      </c>
    </row>
    <row r="2931" spans="1:2" x14ac:dyDescent="0.25">
      <c r="A2931" t="s">
        <v>6895</v>
      </c>
      <c r="B2931" t="s">
        <v>10654</v>
      </c>
    </row>
    <row r="2932" spans="1:2" x14ac:dyDescent="0.25">
      <c r="A2932" t="s">
        <v>6895</v>
      </c>
      <c r="B2932" t="s">
        <v>10729</v>
      </c>
    </row>
    <row r="2933" spans="1:2" x14ac:dyDescent="0.25">
      <c r="A2933" t="s">
        <v>6895</v>
      </c>
      <c r="B2933" t="s">
        <v>10709</v>
      </c>
    </row>
    <row r="2934" spans="1:2" x14ac:dyDescent="0.25">
      <c r="A2934" t="s">
        <v>6895</v>
      </c>
      <c r="B2934" t="s">
        <v>10711</v>
      </c>
    </row>
    <row r="2935" spans="1:2" x14ac:dyDescent="0.25">
      <c r="A2935" t="s">
        <v>6895</v>
      </c>
      <c r="B2935" t="s">
        <v>10752</v>
      </c>
    </row>
    <row r="2936" spans="1:2" x14ac:dyDescent="0.25">
      <c r="A2936" t="s">
        <v>6895</v>
      </c>
      <c r="B2936" t="s">
        <v>10716</v>
      </c>
    </row>
    <row r="2937" spans="1:2" x14ac:dyDescent="0.25">
      <c r="A2937" t="s">
        <v>6895</v>
      </c>
      <c r="B2937" t="s">
        <v>10694</v>
      </c>
    </row>
    <row r="2938" spans="1:2" x14ac:dyDescent="0.25">
      <c r="A2938" t="s">
        <v>6895</v>
      </c>
      <c r="B2938" t="s">
        <v>10733</v>
      </c>
    </row>
    <row r="2939" spans="1:2" x14ac:dyDescent="0.25">
      <c r="A2939" t="s">
        <v>6895</v>
      </c>
      <c r="B2939" t="s">
        <v>10701</v>
      </c>
    </row>
    <row r="2940" spans="1:2" x14ac:dyDescent="0.25">
      <c r="A2940" t="s">
        <v>6895</v>
      </c>
      <c r="B2940" t="s">
        <v>10707</v>
      </c>
    </row>
    <row r="2941" spans="1:2" x14ac:dyDescent="0.25">
      <c r="A2941" t="s">
        <v>6895</v>
      </c>
      <c r="B2941" t="s">
        <v>10693</v>
      </c>
    </row>
    <row r="2942" spans="1:2" x14ac:dyDescent="0.25">
      <c r="A2942" t="s">
        <v>6895</v>
      </c>
      <c r="B2942" t="s">
        <v>10708</v>
      </c>
    </row>
    <row r="2943" spans="1:2" x14ac:dyDescent="0.25">
      <c r="A2943" t="s">
        <v>6895</v>
      </c>
      <c r="B2943" t="s">
        <v>10696</v>
      </c>
    </row>
    <row r="2944" spans="1:2" x14ac:dyDescent="0.25">
      <c r="A2944" t="s">
        <v>6895</v>
      </c>
      <c r="B2944" t="s">
        <v>10757</v>
      </c>
    </row>
    <row r="2945" spans="1:2" x14ac:dyDescent="0.25">
      <c r="A2945" t="s">
        <v>6895</v>
      </c>
      <c r="B2945" t="s">
        <v>10671</v>
      </c>
    </row>
    <row r="2946" spans="1:2" x14ac:dyDescent="0.25">
      <c r="A2946" t="s">
        <v>6895</v>
      </c>
      <c r="B2946" t="s">
        <v>10759</v>
      </c>
    </row>
    <row r="2947" spans="1:2" x14ac:dyDescent="0.25">
      <c r="A2947" t="s">
        <v>6895</v>
      </c>
      <c r="B2947" t="s">
        <v>10706</v>
      </c>
    </row>
    <row r="2948" spans="1:2" x14ac:dyDescent="0.25">
      <c r="A2948" t="s">
        <v>6895</v>
      </c>
      <c r="B2948" t="s">
        <v>12044</v>
      </c>
    </row>
    <row r="2949" spans="1:2" x14ac:dyDescent="0.25">
      <c r="A2949" t="s">
        <v>6895</v>
      </c>
      <c r="B2949" t="s">
        <v>10758</v>
      </c>
    </row>
    <row r="2950" spans="1:2" x14ac:dyDescent="0.25">
      <c r="A2950" t="s">
        <v>6895</v>
      </c>
      <c r="B2950" t="s">
        <v>10672</v>
      </c>
    </row>
    <row r="2951" spans="1:2" x14ac:dyDescent="0.25">
      <c r="A2951" t="s">
        <v>6895</v>
      </c>
      <c r="B2951" t="s">
        <v>10691</v>
      </c>
    </row>
    <row r="2952" spans="1:2" x14ac:dyDescent="0.25">
      <c r="A2952" t="s">
        <v>6895</v>
      </c>
      <c r="B2952" t="s">
        <v>10690</v>
      </c>
    </row>
    <row r="2953" spans="1:2" x14ac:dyDescent="0.25">
      <c r="A2953" t="s">
        <v>6895</v>
      </c>
      <c r="B2953" t="s">
        <v>10685</v>
      </c>
    </row>
    <row r="2954" spans="1:2" x14ac:dyDescent="0.25">
      <c r="A2954" t="s">
        <v>6895</v>
      </c>
      <c r="B2954" t="s">
        <v>12048</v>
      </c>
    </row>
    <row r="2955" spans="1:2" x14ac:dyDescent="0.25">
      <c r="A2955" t="s">
        <v>6895</v>
      </c>
      <c r="B2955" t="s">
        <v>10624</v>
      </c>
    </row>
    <row r="2956" spans="1:2" x14ac:dyDescent="0.25">
      <c r="A2956" t="s">
        <v>6895</v>
      </c>
      <c r="B2956" t="s">
        <v>10713</v>
      </c>
    </row>
    <row r="2957" spans="1:2" x14ac:dyDescent="0.25">
      <c r="A2957" t="s">
        <v>6895</v>
      </c>
      <c r="B2957" t="s">
        <v>10670</v>
      </c>
    </row>
    <row r="2958" spans="1:2" x14ac:dyDescent="0.25">
      <c r="A2958" t="s">
        <v>6895</v>
      </c>
      <c r="B2958" t="s">
        <v>10726</v>
      </c>
    </row>
    <row r="2959" spans="1:2" x14ac:dyDescent="0.25">
      <c r="A2959" t="s">
        <v>6895</v>
      </c>
      <c r="B2959" t="s">
        <v>10746</v>
      </c>
    </row>
    <row r="2960" spans="1:2" x14ac:dyDescent="0.25">
      <c r="A2960" t="s">
        <v>6895</v>
      </c>
      <c r="B2960" t="s">
        <v>10736</v>
      </c>
    </row>
    <row r="2961" spans="1:2" x14ac:dyDescent="0.25">
      <c r="A2961" t="s">
        <v>6895</v>
      </c>
      <c r="B2961" t="s">
        <v>10684</v>
      </c>
    </row>
    <row r="2962" spans="1:2" x14ac:dyDescent="0.25">
      <c r="A2962" t="s">
        <v>6895</v>
      </c>
      <c r="B2962" t="s">
        <v>10715</v>
      </c>
    </row>
    <row r="2963" spans="1:2" x14ac:dyDescent="0.25">
      <c r="A2963" t="s">
        <v>6895</v>
      </c>
      <c r="B2963" t="s">
        <v>10740</v>
      </c>
    </row>
    <row r="2964" spans="1:2" x14ac:dyDescent="0.25">
      <c r="A2964" t="s">
        <v>6895</v>
      </c>
      <c r="B2964" t="s">
        <v>10735</v>
      </c>
    </row>
    <row r="2965" spans="1:2" x14ac:dyDescent="0.25">
      <c r="A2965" t="s">
        <v>6895</v>
      </c>
      <c r="B2965" t="s">
        <v>13107</v>
      </c>
    </row>
    <row r="2966" spans="1:2" x14ac:dyDescent="0.25">
      <c r="A2966" t="s">
        <v>6895</v>
      </c>
      <c r="B2966" t="s">
        <v>13111</v>
      </c>
    </row>
    <row r="2967" spans="1:2" x14ac:dyDescent="0.25">
      <c r="A2967" t="s">
        <v>6576</v>
      </c>
      <c r="B2967" t="s">
        <v>10463</v>
      </c>
    </row>
    <row r="2968" spans="1:2" x14ac:dyDescent="0.25">
      <c r="A2968" t="s">
        <v>6576</v>
      </c>
      <c r="B2968" t="s">
        <v>10470</v>
      </c>
    </row>
    <row r="2969" spans="1:2" x14ac:dyDescent="0.25">
      <c r="A2969" t="s">
        <v>6576</v>
      </c>
      <c r="B2969" t="s">
        <v>10475</v>
      </c>
    </row>
    <row r="2970" spans="1:2" x14ac:dyDescent="0.25">
      <c r="A2970" t="s">
        <v>6576</v>
      </c>
      <c r="B2970" t="s">
        <v>10469</v>
      </c>
    </row>
    <row r="2971" spans="1:2" x14ac:dyDescent="0.25">
      <c r="A2971" t="s">
        <v>6576</v>
      </c>
      <c r="B2971" t="s">
        <v>10467</v>
      </c>
    </row>
    <row r="2972" spans="1:2" x14ac:dyDescent="0.25">
      <c r="A2972" t="s">
        <v>2480</v>
      </c>
      <c r="B2972" t="s">
        <v>8555</v>
      </c>
    </row>
    <row r="2973" spans="1:2" x14ac:dyDescent="0.25">
      <c r="A2973" t="s">
        <v>2480</v>
      </c>
      <c r="B2973" t="s">
        <v>8572</v>
      </c>
    </row>
    <row r="2974" spans="1:2" x14ac:dyDescent="0.25">
      <c r="A2974" t="s">
        <v>2480</v>
      </c>
      <c r="B2974" t="s">
        <v>10922</v>
      </c>
    </row>
    <row r="2975" spans="1:2" x14ac:dyDescent="0.25">
      <c r="A2975" t="s">
        <v>2480</v>
      </c>
      <c r="B2975" t="s">
        <v>8591</v>
      </c>
    </row>
    <row r="2976" spans="1:2" x14ac:dyDescent="0.25">
      <c r="A2976" t="s">
        <v>2480</v>
      </c>
      <c r="B2976" t="s">
        <v>13647</v>
      </c>
    </row>
    <row r="2977" spans="1:2" x14ac:dyDescent="0.25">
      <c r="A2977" t="s">
        <v>2480</v>
      </c>
      <c r="B2977" t="s">
        <v>13700</v>
      </c>
    </row>
    <row r="2978" spans="1:2" x14ac:dyDescent="0.25">
      <c r="A2978" t="s">
        <v>7417</v>
      </c>
      <c r="B2978" t="s">
        <v>10839</v>
      </c>
    </row>
    <row r="2979" spans="1:2" x14ac:dyDescent="0.25">
      <c r="A2979" t="s">
        <v>447</v>
      </c>
      <c r="B2979" t="s">
        <v>10919</v>
      </c>
    </row>
    <row r="2980" spans="1:2" x14ac:dyDescent="0.25">
      <c r="A2980" t="s">
        <v>7264</v>
      </c>
      <c r="B2980" t="s">
        <v>10778</v>
      </c>
    </row>
    <row r="2981" spans="1:2" x14ac:dyDescent="0.25">
      <c r="A2981" t="s">
        <v>7264</v>
      </c>
      <c r="B2981" t="s">
        <v>10772</v>
      </c>
    </row>
    <row r="2982" spans="1:2" x14ac:dyDescent="0.25">
      <c r="A2982" t="s">
        <v>6584</v>
      </c>
      <c r="B2982" t="s">
        <v>10964</v>
      </c>
    </row>
    <row r="2983" spans="1:2" x14ac:dyDescent="0.25">
      <c r="A2983" t="s">
        <v>6584</v>
      </c>
      <c r="B2983" t="s">
        <v>11231</v>
      </c>
    </row>
    <row r="2984" spans="1:2" x14ac:dyDescent="0.25">
      <c r="A2984" t="s">
        <v>6584</v>
      </c>
      <c r="B2984" t="s">
        <v>11315</v>
      </c>
    </row>
    <row r="2985" spans="1:2" x14ac:dyDescent="0.25">
      <c r="A2985" t="s">
        <v>6584</v>
      </c>
      <c r="B2985" t="s">
        <v>11392</v>
      </c>
    </row>
    <row r="2986" spans="1:2" x14ac:dyDescent="0.25">
      <c r="A2986" t="s">
        <v>6584</v>
      </c>
      <c r="B2986" t="s">
        <v>11325</v>
      </c>
    </row>
    <row r="2987" spans="1:2" x14ac:dyDescent="0.25">
      <c r="A2987" t="s">
        <v>6584</v>
      </c>
      <c r="B2987" t="s">
        <v>11376</v>
      </c>
    </row>
    <row r="2988" spans="1:2" x14ac:dyDescent="0.25">
      <c r="A2988" t="s">
        <v>6584</v>
      </c>
      <c r="B2988" t="s">
        <v>11019</v>
      </c>
    </row>
    <row r="2989" spans="1:2" x14ac:dyDescent="0.25">
      <c r="A2989" t="s">
        <v>6584</v>
      </c>
      <c r="B2989" t="s">
        <v>11318</v>
      </c>
    </row>
    <row r="2990" spans="1:2" x14ac:dyDescent="0.25">
      <c r="A2990" t="s">
        <v>6584</v>
      </c>
      <c r="B2990" t="s">
        <v>11014</v>
      </c>
    </row>
    <row r="2991" spans="1:2" x14ac:dyDescent="0.25">
      <c r="A2991" t="s">
        <v>6584</v>
      </c>
      <c r="B2991" t="s">
        <v>11016</v>
      </c>
    </row>
    <row r="2992" spans="1:2" x14ac:dyDescent="0.25">
      <c r="A2992" t="s">
        <v>6584</v>
      </c>
      <c r="B2992" t="s">
        <v>11384</v>
      </c>
    </row>
    <row r="2993" spans="1:2" x14ac:dyDescent="0.25">
      <c r="A2993" t="s">
        <v>6584</v>
      </c>
      <c r="B2993" t="s">
        <v>11034</v>
      </c>
    </row>
    <row r="2994" spans="1:2" x14ac:dyDescent="0.25">
      <c r="A2994" t="s">
        <v>6584</v>
      </c>
      <c r="B2994" t="s">
        <v>11239</v>
      </c>
    </row>
    <row r="2995" spans="1:2" x14ac:dyDescent="0.25">
      <c r="A2995" t="s">
        <v>6584</v>
      </c>
      <c r="B2995" t="s">
        <v>11037</v>
      </c>
    </row>
    <row r="2996" spans="1:2" x14ac:dyDescent="0.25">
      <c r="A2996" t="s">
        <v>6584</v>
      </c>
      <c r="B2996" t="s">
        <v>11417</v>
      </c>
    </row>
    <row r="2997" spans="1:2" x14ac:dyDescent="0.25">
      <c r="A2997" t="s">
        <v>6584</v>
      </c>
      <c r="B2997" t="s">
        <v>11312</v>
      </c>
    </row>
    <row r="2998" spans="1:2" x14ac:dyDescent="0.25">
      <c r="A2998" t="s">
        <v>6584</v>
      </c>
      <c r="B2998" t="s">
        <v>10466</v>
      </c>
    </row>
    <row r="2999" spans="1:2" x14ac:dyDescent="0.25">
      <c r="A2999" t="s">
        <v>6584</v>
      </c>
      <c r="B2999" t="s">
        <v>10984</v>
      </c>
    </row>
    <row r="3000" spans="1:2" x14ac:dyDescent="0.25">
      <c r="A3000" t="s">
        <v>6584</v>
      </c>
      <c r="B3000" t="s">
        <v>11040</v>
      </c>
    </row>
    <row r="3001" spans="1:2" x14ac:dyDescent="0.25">
      <c r="A3001" t="s">
        <v>6584</v>
      </c>
      <c r="B3001" t="s">
        <v>11234</v>
      </c>
    </row>
    <row r="3002" spans="1:2" x14ac:dyDescent="0.25">
      <c r="A3002" t="s">
        <v>6584</v>
      </c>
      <c r="B3002" t="s">
        <v>11026</v>
      </c>
    </row>
    <row r="3003" spans="1:2" x14ac:dyDescent="0.25">
      <c r="A3003" t="s">
        <v>6584</v>
      </c>
      <c r="B3003" t="s">
        <v>11046</v>
      </c>
    </row>
    <row r="3004" spans="1:2" x14ac:dyDescent="0.25">
      <c r="A3004" t="s">
        <v>6584</v>
      </c>
      <c r="B3004" t="s">
        <v>11380</v>
      </c>
    </row>
    <row r="3005" spans="1:2" x14ac:dyDescent="0.25">
      <c r="A3005" t="s">
        <v>6584</v>
      </c>
      <c r="B3005" t="s">
        <v>11031</v>
      </c>
    </row>
    <row r="3006" spans="1:2" x14ac:dyDescent="0.25">
      <c r="A3006" t="s">
        <v>6584</v>
      </c>
      <c r="B3006" t="s">
        <v>11043</v>
      </c>
    </row>
    <row r="3007" spans="1:2" x14ac:dyDescent="0.25">
      <c r="A3007" t="s">
        <v>6584</v>
      </c>
      <c r="B3007" t="s">
        <v>11341</v>
      </c>
    </row>
    <row r="3008" spans="1:2" x14ac:dyDescent="0.25">
      <c r="A3008" t="s">
        <v>6584</v>
      </c>
      <c r="B3008" t="s">
        <v>11273</v>
      </c>
    </row>
    <row r="3009" spans="1:2" x14ac:dyDescent="0.25">
      <c r="A3009" t="s">
        <v>6584</v>
      </c>
      <c r="B3009" t="s">
        <v>11012</v>
      </c>
    </row>
    <row r="3010" spans="1:2" x14ac:dyDescent="0.25">
      <c r="A3010" t="s">
        <v>6584</v>
      </c>
      <c r="B3010" t="s">
        <v>11397</v>
      </c>
    </row>
    <row r="3011" spans="1:2" x14ac:dyDescent="0.25">
      <c r="A3011" t="s">
        <v>6584</v>
      </c>
      <c r="B3011" t="s">
        <v>11049</v>
      </c>
    </row>
    <row r="3012" spans="1:2" x14ac:dyDescent="0.25">
      <c r="A3012" t="s">
        <v>6584</v>
      </c>
      <c r="B3012" t="s">
        <v>10988</v>
      </c>
    </row>
    <row r="3013" spans="1:2" x14ac:dyDescent="0.25">
      <c r="A3013" t="s">
        <v>6584</v>
      </c>
      <c r="B3013" t="s">
        <v>11332</v>
      </c>
    </row>
    <row r="3014" spans="1:2" x14ac:dyDescent="0.25">
      <c r="A3014" t="s">
        <v>6584</v>
      </c>
      <c r="B3014" t="s">
        <v>11395</v>
      </c>
    </row>
    <row r="3015" spans="1:2" x14ac:dyDescent="0.25">
      <c r="A3015" t="s">
        <v>6584</v>
      </c>
      <c r="B3015" t="s">
        <v>11212</v>
      </c>
    </row>
    <row r="3016" spans="1:2" x14ac:dyDescent="0.25">
      <c r="A3016" t="s">
        <v>6584</v>
      </c>
      <c r="B3016" t="s">
        <v>11338</v>
      </c>
    </row>
    <row r="3017" spans="1:2" x14ac:dyDescent="0.25">
      <c r="A3017" t="s">
        <v>6584</v>
      </c>
      <c r="B3017" t="s">
        <v>12839</v>
      </c>
    </row>
    <row r="3018" spans="1:2" x14ac:dyDescent="0.25">
      <c r="A3018" t="s">
        <v>6584</v>
      </c>
      <c r="B3018" t="s">
        <v>13310</v>
      </c>
    </row>
    <row r="3019" spans="1:2" x14ac:dyDescent="0.25">
      <c r="A3019" t="s">
        <v>14220</v>
      </c>
      <c r="B3019" t="s">
        <v>14350</v>
      </c>
    </row>
    <row r="3020" spans="1:2" x14ac:dyDescent="0.25">
      <c r="A3020" t="s">
        <v>816</v>
      </c>
      <c r="B3020" t="s">
        <v>10481</v>
      </c>
    </row>
    <row r="3021" spans="1:2" x14ac:dyDescent="0.25">
      <c r="A3021" t="s">
        <v>2641</v>
      </c>
      <c r="B3021" t="s">
        <v>9909</v>
      </c>
    </row>
    <row r="3022" spans="1:2" x14ac:dyDescent="0.25">
      <c r="A3022" t="s">
        <v>2641</v>
      </c>
      <c r="B3022" t="s">
        <v>10050</v>
      </c>
    </row>
    <row r="3023" spans="1:2" x14ac:dyDescent="0.25">
      <c r="A3023" t="s">
        <v>2641</v>
      </c>
      <c r="B3023" t="s">
        <v>10328</v>
      </c>
    </row>
    <row r="3024" spans="1:2" x14ac:dyDescent="0.25">
      <c r="A3024" t="s">
        <v>2641</v>
      </c>
      <c r="B3024" t="s">
        <v>10120</v>
      </c>
    </row>
    <row r="3025" spans="1:2" x14ac:dyDescent="0.25">
      <c r="A3025" t="s">
        <v>2641</v>
      </c>
      <c r="B3025" t="s">
        <v>9761</v>
      </c>
    </row>
    <row r="3026" spans="1:2" x14ac:dyDescent="0.25">
      <c r="A3026" t="s">
        <v>4648</v>
      </c>
      <c r="B3026" t="s">
        <v>14191</v>
      </c>
    </row>
    <row r="3027" spans="1:2" x14ac:dyDescent="0.25">
      <c r="A3027" t="s">
        <v>4648</v>
      </c>
      <c r="B3027" t="s">
        <v>9595</v>
      </c>
    </row>
    <row r="3028" spans="1:2" x14ac:dyDescent="0.25">
      <c r="A3028" t="s">
        <v>4648</v>
      </c>
      <c r="B3028" t="s">
        <v>9716</v>
      </c>
    </row>
    <row r="3029" spans="1:2" x14ac:dyDescent="0.25">
      <c r="A3029" t="s">
        <v>4648</v>
      </c>
      <c r="B3029" t="s">
        <v>10112</v>
      </c>
    </row>
    <row r="3030" spans="1:2" x14ac:dyDescent="0.25">
      <c r="A3030" t="s">
        <v>4648</v>
      </c>
      <c r="B3030" t="s">
        <v>10226</v>
      </c>
    </row>
    <row r="3031" spans="1:2" x14ac:dyDescent="0.25">
      <c r="A3031" t="s">
        <v>4648</v>
      </c>
      <c r="B3031" t="s">
        <v>10437</v>
      </c>
    </row>
    <row r="3032" spans="1:2" x14ac:dyDescent="0.25">
      <c r="A3032" t="s">
        <v>4648</v>
      </c>
      <c r="B3032" t="s">
        <v>9922</v>
      </c>
    </row>
    <row r="3033" spans="1:2" x14ac:dyDescent="0.25">
      <c r="A3033" t="s">
        <v>4648</v>
      </c>
      <c r="B3033" t="s">
        <v>9816</v>
      </c>
    </row>
    <row r="3034" spans="1:2" x14ac:dyDescent="0.25">
      <c r="A3034" t="s">
        <v>4648</v>
      </c>
      <c r="B3034" t="s">
        <v>10215</v>
      </c>
    </row>
    <row r="3035" spans="1:2" x14ac:dyDescent="0.25">
      <c r="A3035" t="s">
        <v>4648</v>
      </c>
      <c r="B3035" t="s">
        <v>9735</v>
      </c>
    </row>
    <row r="3036" spans="1:2" x14ac:dyDescent="0.25">
      <c r="A3036" t="s">
        <v>4648</v>
      </c>
      <c r="B3036" t="s">
        <v>9906</v>
      </c>
    </row>
    <row r="3037" spans="1:2" x14ac:dyDescent="0.25">
      <c r="A3037" t="s">
        <v>4648</v>
      </c>
      <c r="B3037" t="s">
        <v>10213</v>
      </c>
    </row>
    <row r="3038" spans="1:2" x14ac:dyDescent="0.25">
      <c r="A3038" t="s">
        <v>4648</v>
      </c>
      <c r="B3038" t="s">
        <v>10430</v>
      </c>
    </row>
    <row r="3039" spans="1:2" x14ac:dyDescent="0.25">
      <c r="A3039" t="s">
        <v>4648</v>
      </c>
      <c r="B3039" t="s">
        <v>9921</v>
      </c>
    </row>
    <row r="3040" spans="1:2" x14ac:dyDescent="0.25">
      <c r="A3040" t="s">
        <v>4648</v>
      </c>
      <c r="B3040" t="s">
        <v>10014</v>
      </c>
    </row>
    <row r="3041" spans="1:2" x14ac:dyDescent="0.25">
      <c r="A3041" t="s">
        <v>4648</v>
      </c>
      <c r="B3041" t="s">
        <v>9905</v>
      </c>
    </row>
    <row r="3042" spans="1:2" x14ac:dyDescent="0.25">
      <c r="A3042" t="s">
        <v>4648</v>
      </c>
      <c r="B3042" t="s">
        <v>9561</v>
      </c>
    </row>
    <row r="3043" spans="1:2" x14ac:dyDescent="0.25">
      <c r="A3043" t="s">
        <v>4648</v>
      </c>
      <c r="B3043" t="s">
        <v>9594</v>
      </c>
    </row>
    <row r="3044" spans="1:2" x14ac:dyDescent="0.25">
      <c r="A3044" t="s">
        <v>4648</v>
      </c>
      <c r="B3044" t="s">
        <v>9898</v>
      </c>
    </row>
    <row r="3045" spans="1:2" x14ac:dyDescent="0.25">
      <c r="A3045" t="s">
        <v>12059</v>
      </c>
      <c r="B3045" t="s">
        <v>12056</v>
      </c>
    </row>
    <row r="3046" spans="1:2" x14ac:dyDescent="0.25">
      <c r="A3046" t="s">
        <v>204</v>
      </c>
      <c r="B3046" t="s">
        <v>9833</v>
      </c>
    </row>
    <row r="3047" spans="1:2" x14ac:dyDescent="0.25">
      <c r="A3047" t="s">
        <v>204</v>
      </c>
      <c r="B3047" t="s">
        <v>9923</v>
      </c>
    </row>
    <row r="3048" spans="1:2" x14ac:dyDescent="0.25">
      <c r="A3048" t="s">
        <v>204</v>
      </c>
      <c r="B3048" t="s">
        <v>9722</v>
      </c>
    </row>
    <row r="3049" spans="1:2" x14ac:dyDescent="0.25">
      <c r="A3049" t="s">
        <v>204</v>
      </c>
      <c r="B3049" t="s">
        <v>9801</v>
      </c>
    </row>
    <row r="3050" spans="1:2" x14ac:dyDescent="0.25">
      <c r="A3050" t="s">
        <v>204</v>
      </c>
      <c r="B3050" t="s">
        <v>10016</v>
      </c>
    </row>
    <row r="3051" spans="1:2" x14ac:dyDescent="0.25">
      <c r="A3051" t="s">
        <v>204</v>
      </c>
      <c r="B3051" t="s">
        <v>10170</v>
      </c>
    </row>
    <row r="3052" spans="1:2" x14ac:dyDescent="0.25">
      <c r="A3052" t="s">
        <v>204</v>
      </c>
      <c r="B3052" t="s">
        <v>10082</v>
      </c>
    </row>
    <row r="3053" spans="1:2" x14ac:dyDescent="0.25">
      <c r="A3053" t="s">
        <v>204</v>
      </c>
      <c r="B3053" t="s">
        <v>14632</v>
      </c>
    </row>
    <row r="3054" spans="1:2" x14ac:dyDescent="0.25">
      <c r="A3054" t="s">
        <v>331</v>
      </c>
      <c r="B3054" t="s">
        <v>11594</v>
      </c>
    </row>
    <row r="3055" spans="1:2" x14ac:dyDescent="0.25">
      <c r="A3055" t="s">
        <v>331</v>
      </c>
      <c r="B3055" t="s">
        <v>8099</v>
      </c>
    </row>
    <row r="3056" spans="1:2" x14ac:dyDescent="0.25">
      <c r="A3056" t="s">
        <v>331</v>
      </c>
      <c r="B3056" t="s">
        <v>12383</v>
      </c>
    </row>
    <row r="3057" spans="1:2" x14ac:dyDescent="0.25">
      <c r="A3057" t="s">
        <v>331</v>
      </c>
      <c r="B3057" t="s">
        <v>8135</v>
      </c>
    </row>
    <row r="3058" spans="1:2" x14ac:dyDescent="0.25">
      <c r="A3058" t="s">
        <v>331</v>
      </c>
      <c r="B3058" t="s">
        <v>8127</v>
      </c>
    </row>
    <row r="3059" spans="1:2" x14ac:dyDescent="0.25">
      <c r="A3059" t="s">
        <v>331</v>
      </c>
      <c r="B3059" t="s">
        <v>8158</v>
      </c>
    </row>
    <row r="3060" spans="1:2" x14ac:dyDescent="0.25">
      <c r="A3060" t="s">
        <v>331</v>
      </c>
      <c r="B3060" t="s">
        <v>8184</v>
      </c>
    </row>
    <row r="3061" spans="1:2" x14ac:dyDescent="0.25">
      <c r="A3061" t="s">
        <v>331</v>
      </c>
      <c r="B3061" t="s">
        <v>10450</v>
      </c>
    </row>
    <row r="3062" spans="1:2" x14ac:dyDescent="0.25">
      <c r="A3062" t="s">
        <v>331</v>
      </c>
      <c r="B3062" t="s">
        <v>8128</v>
      </c>
    </row>
    <row r="3063" spans="1:2" x14ac:dyDescent="0.25">
      <c r="A3063" t="s">
        <v>331</v>
      </c>
      <c r="B3063" t="s">
        <v>8203</v>
      </c>
    </row>
    <row r="3064" spans="1:2" x14ac:dyDescent="0.25">
      <c r="A3064" t="s">
        <v>331</v>
      </c>
      <c r="B3064" t="s">
        <v>8136</v>
      </c>
    </row>
    <row r="3065" spans="1:2" x14ac:dyDescent="0.25">
      <c r="A3065" t="s">
        <v>331</v>
      </c>
      <c r="B3065" t="s">
        <v>8157</v>
      </c>
    </row>
    <row r="3066" spans="1:2" x14ac:dyDescent="0.25">
      <c r="A3066" t="s">
        <v>331</v>
      </c>
      <c r="B3066" t="s">
        <v>8079</v>
      </c>
    </row>
    <row r="3067" spans="1:2" x14ac:dyDescent="0.25">
      <c r="A3067" t="s">
        <v>331</v>
      </c>
      <c r="B3067" t="s">
        <v>12418</v>
      </c>
    </row>
    <row r="3068" spans="1:2" x14ac:dyDescent="0.25">
      <c r="A3068" t="s">
        <v>331</v>
      </c>
      <c r="B3068" t="s">
        <v>14574</v>
      </c>
    </row>
    <row r="3069" spans="1:2" x14ac:dyDescent="0.25">
      <c r="A3069" t="s">
        <v>648</v>
      </c>
      <c r="B3069" t="s">
        <v>10157</v>
      </c>
    </row>
    <row r="3070" spans="1:2" x14ac:dyDescent="0.25">
      <c r="A3070" t="s">
        <v>648</v>
      </c>
      <c r="B3070" t="s">
        <v>10343</v>
      </c>
    </row>
    <row r="3071" spans="1:2" x14ac:dyDescent="0.25">
      <c r="A3071" t="s">
        <v>648</v>
      </c>
      <c r="B3071" t="s">
        <v>10003</v>
      </c>
    </row>
    <row r="3072" spans="1:2" x14ac:dyDescent="0.25">
      <c r="A3072" t="s">
        <v>648</v>
      </c>
      <c r="B3072" t="s">
        <v>9535</v>
      </c>
    </row>
    <row r="3073" spans="1:2" x14ac:dyDescent="0.25">
      <c r="A3073" t="s">
        <v>648</v>
      </c>
      <c r="B3073" t="s">
        <v>10075</v>
      </c>
    </row>
    <row r="3074" spans="1:2" x14ac:dyDescent="0.25">
      <c r="A3074" t="s">
        <v>648</v>
      </c>
      <c r="B3074" t="s">
        <v>10209</v>
      </c>
    </row>
    <row r="3075" spans="1:2" x14ac:dyDescent="0.25">
      <c r="A3075" t="s">
        <v>648</v>
      </c>
      <c r="B3075" t="s">
        <v>9531</v>
      </c>
    </row>
    <row r="3076" spans="1:2" x14ac:dyDescent="0.25">
      <c r="A3076" t="s">
        <v>648</v>
      </c>
      <c r="B3076" t="s">
        <v>10339</v>
      </c>
    </row>
    <row r="3077" spans="1:2" x14ac:dyDescent="0.25">
      <c r="A3077" t="s">
        <v>648</v>
      </c>
      <c r="B3077" t="s">
        <v>10135</v>
      </c>
    </row>
    <row r="3078" spans="1:2" x14ac:dyDescent="0.25">
      <c r="A3078" t="s">
        <v>648</v>
      </c>
      <c r="B3078" t="s">
        <v>9768</v>
      </c>
    </row>
    <row r="3079" spans="1:2" x14ac:dyDescent="0.25">
      <c r="A3079" t="s">
        <v>458</v>
      </c>
      <c r="B3079" t="s">
        <v>8582</v>
      </c>
    </row>
    <row r="3080" spans="1:2" x14ac:dyDescent="0.25">
      <c r="A3080" t="s">
        <v>5176</v>
      </c>
      <c r="B3080" t="s">
        <v>10184</v>
      </c>
    </row>
    <row r="3081" spans="1:2" x14ac:dyDescent="0.25">
      <c r="A3081" t="s">
        <v>5176</v>
      </c>
      <c r="B3081" t="s">
        <v>10254</v>
      </c>
    </row>
    <row r="3082" spans="1:2" x14ac:dyDescent="0.25">
      <c r="A3082" t="s">
        <v>5176</v>
      </c>
      <c r="B3082" t="s">
        <v>10334</v>
      </c>
    </row>
    <row r="3083" spans="1:2" x14ac:dyDescent="0.25">
      <c r="A3083" t="s">
        <v>5176</v>
      </c>
      <c r="B3083" t="s">
        <v>10267</v>
      </c>
    </row>
    <row r="3084" spans="1:2" x14ac:dyDescent="0.25">
      <c r="A3084" t="s">
        <v>5176</v>
      </c>
      <c r="B3084" t="s">
        <v>9804</v>
      </c>
    </row>
    <row r="3085" spans="1:2" x14ac:dyDescent="0.25">
      <c r="A3085" t="s">
        <v>5176</v>
      </c>
      <c r="B3085" t="s">
        <v>13738</v>
      </c>
    </row>
    <row r="3086" spans="1:2" x14ac:dyDescent="0.25">
      <c r="A3086" t="s">
        <v>5176</v>
      </c>
      <c r="B3086" t="s">
        <v>13741</v>
      </c>
    </row>
    <row r="3087" spans="1:2" x14ac:dyDescent="0.25">
      <c r="A3087" t="s">
        <v>5176</v>
      </c>
      <c r="B3087" t="s">
        <v>13767</v>
      </c>
    </row>
    <row r="3088" spans="1:2" x14ac:dyDescent="0.25">
      <c r="A3088" t="s">
        <v>5176</v>
      </c>
      <c r="B3088" t="s">
        <v>14639</v>
      </c>
    </row>
    <row r="3089" spans="1:2" x14ac:dyDescent="0.25">
      <c r="A3089" t="s">
        <v>11108</v>
      </c>
      <c r="B3089" t="s">
        <v>11109</v>
      </c>
    </row>
    <row r="3090" spans="1:2" x14ac:dyDescent="0.25">
      <c r="A3090" t="s">
        <v>11108</v>
      </c>
      <c r="B3090" t="s">
        <v>11105</v>
      </c>
    </row>
    <row r="3091" spans="1:2" x14ac:dyDescent="0.25">
      <c r="A3091" t="s">
        <v>11222</v>
      </c>
      <c r="B3091" t="s">
        <v>11253</v>
      </c>
    </row>
    <row r="3092" spans="1:2" x14ac:dyDescent="0.25">
      <c r="A3092" t="s">
        <v>11222</v>
      </c>
      <c r="B3092" t="s">
        <v>11292</v>
      </c>
    </row>
    <row r="3093" spans="1:2" x14ac:dyDescent="0.25">
      <c r="A3093" t="s">
        <v>11222</v>
      </c>
      <c r="B3093" t="s">
        <v>11250</v>
      </c>
    </row>
    <row r="3094" spans="1:2" x14ac:dyDescent="0.25">
      <c r="A3094" t="s">
        <v>11222</v>
      </c>
      <c r="B3094" t="s">
        <v>11352</v>
      </c>
    </row>
    <row r="3095" spans="1:2" x14ac:dyDescent="0.25">
      <c r="A3095" t="s">
        <v>11222</v>
      </c>
      <c r="B3095" t="s">
        <v>11219</v>
      </c>
    </row>
    <row r="3096" spans="1:2" x14ac:dyDescent="0.25">
      <c r="A3096" t="s">
        <v>11222</v>
      </c>
      <c r="B3096" t="s">
        <v>10880</v>
      </c>
    </row>
    <row r="3097" spans="1:2" x14ac:dyDescent="0.25">
      <c r="A3097" t="s">
        <v>615</v>
      </c>
      <c r="B3097" t="s">
        <v>10291</v>
      </c>
    </row>
    <row r="3098" spans="1:2" x14ac:dyDescent="0.25">
      <c r="A3098" t="s">
        <v>615</v>
      </c>
      <c r="B3098" t="s">
        <v>10002</v>
      </c>
    </row>
    <row r="3099" spans="1:2" x14ac:dyDescent="0.25">
      <c r="A3099" t="s">
        <v>615</v>
      </c>
      <c r="B3099" t="s">
        <v>9884</v>
      </c>
    </row>
    <row r="3100" spans="1:2" x14ac:dyDescent="0.25">
      <c r="A3100" t="s">
        <v>615</v>
      </c>
      <c r="B3100" t="s">
        <v>10104</v>
      </c>
    </row>
    <row r="3101" spans="1:2" x14ac:dyDescent="0.25">
      <c r="A3101" t="s">
        <v>615</v>
      </c>
      <c r="B3101" t="s">
        <v>10001</v>
      </c>
    </row>
    <row r="3102" spans="1:2" x14ac:dyDescent="0.25">
      <c r="A3102" t="s">
        <v>615</v>
      </c>
      <c r="B3102" t="s">
        <v>11437</v>
      </c>
    </row>
    <row r="3103" spans="1:2" x14ac:dyDescent="0.25">
      <c r="A3103" t="s">
        <v>615</v>
      </c>
      <c r="B3103" t="s">
        <v>9881</v>
      </c>
    </row>
    <row r="3104" spans="1:2" x14ac:dyDescent="0.25">
      <c r="A3104" t="s">
        <v>615</v>
      </c>
      <c r="B3104" t="s">
        <v>9665</v>
      </c>
    </row>
    <row r="3105" spans="1:2" x14ac:dyDescent="0.25">
      <c r="A3105" t="s">
        <v>615</v>
      </c>
      <c r="B3105" t="s">
        <v>9989</v>
      </c>
    </row>
    <row r="3106" spans="1:2" x14ac:dyDescent="0.25">
      <c r="A3106" t="s">
        <v>615</v>
      </c>
      <c r="B3106" t="s">
        <v>9530</v>
      </c>
    </row>
    <row r="3107" spans="1:2" x14ac:dyDescent="0.25">
      <c r="A3107" t="s">
        <v>615</v>
      </c>
      <c r="B3107" t="s">
        <v>9883</v>
      </c>
    </row>
    <row r="3108" spans="1:2" x14ac:dyDescent="0.25">
      <c r="A3108" t="s">
        <v>615</v>
      </c>
      <c r="B3108" t="s">
        <v>10345</v>
      </c>
    </row>
    <row r="3109" spans="1:2" x14ac:dyDescent="0.25">
      <c r="A3109" t="s">
        <v>615</v>
      </c>
      <c r="B3109" t="s">
        <v>9565</v>
      </c>
    </row>
    <row r="3110" spans="1:2" x14ac:dyDescent="0.25">
      <c r="A3110" t="s">
        <v>615</v>
      </c>
      <c r="B3110" t="s">
        <v>11440</v>
      </c>
    </row>
    <row r="3111" spans="1:2" x14ac:dyDescent="0.25">
      <c r="A3111" t="s">
        <v>615</v>
      </c>
      <c r="B3111" t="s">
        <v>10105</v>
      </c>
    </row>
    <row r="3112" spans="1:2" x14ac:dyDescent="0.25">
      <c r="A3112" t="s">
        <v>615</v>
      </c>
      <c r="B3112" t="s">
        <v>12958</v>
      </c>
    </row>
    <row r="3113" spans="1:2" x14ac:dyDescent="0.25">
      <c r="A3113" t="s">
        <v>615</v>
      </c>
      <c r="B3113" t="s">
        <v>14634</v>
      </c>
    </row>
    <row r="3114" spans="1:2" x14ac:dyDescent="0.25">
      <c r="A3114" t="s">
        <v>615</v>
      </c>
      <c r="B3114" t="s">
        <v>14637</v>
      </c>
    </row>
    <row r="3115" spans="1:2" x14ac:dyDescent="0.25">
      <c r="A3115" t="s">
        <v>615</v>
      </c>
      <c r="B3115" t="s">
        <v>14652</v>
      </c>
    </row>
    <row r="3116" spans="1:2" x14ac:dyDescent="0.25">
      <c r="A3116" t="s">
        <v>651</v>
      </c>
      <c r="B3116" t="s">
        <v>10107</v>
      </c>
    </row>
    <row r="3117" spans="1:2" x14ac:dyDescent="0.25">
      <c r="A3117" t="s">
        <v>651</v>
      </c>
      <c r="B3117" t="s">
        <v>9642</v>
      </c>
    </row>
    <row r="3118" spans="1:2" x14ac:dyDescent="0.25">
      <c r="A3118" t="s">
        <v>651</v>
      </c>
      <c r="B3118" t="s">
        <v>9633</v>
      </c>
    </row>
    <row r="3119" spans="1:2" x14ac:dyDescent="0.25">
      <c r="A3119" t="s">
        <v>651</v>
      </c>
      <c r="B3119" t="s">
        <v>10183</v>
      </c>
    </row>
    <row r="3120" spans="1:2" x14ac:dyDescent="0.25">
      <c r="A3120" t="s">
        <v>651</v>
      </c>
      <c r="B3120" t="s">
        <v>9703</v>
      </c>
    </row>
    <row r="3121" spans="1:2" x14ac:dyDescent="0.25">
      <c r="A3121" t="s">
        <v>651</v>
      </c>
      <c r="B3121" t="s">
        <v>10337</v>
      </c>
    </row>
    <row r="3122" spans="1:2" x14ac:dyDescent="0.25">
      <c r="A3122" t="s">
        <v>651</v>
      </c>
      <c r="B3122" t="s">
        <v>9714</v>
      </c>
    </row>
    <row r="3123" spans="1:2" x14ac:dyDescent="0.25">
      <c r="A3123" t="s">
        <v>651</v>
      </c>
      <c r="B3123" t="s">
        <v>9955</v>
      </c>
    </row>
    <row r="3124" spans="1:2" x14ac:dyDescent="0.25">
      <c r="A3124" t="s">
        <v>651</v>
      </c>
      <c r="B3124" t="s">
        <v>10219</v>
      </c>
    </row>
    <row r="3125" spans="1:2" x14ac:dyDescent="0.25">
      <c r="A3125" t="s">
        <v>651</v>
      </c>
      <c r="B3125" t="s">
        <v>9713</v>
      </c>
    </row>
    <row r="3126" spans="1:2" x14ac:dyDescent="0.25">
      <c r="A3126" t="s">
        <v>651</v>
      </c>
      <c r="B3126" t="s">
        <v>10182</v>
      </c>
    </row>
    <row r="3127" spans="1:2" x14ac:dyDescent="0.25">
      <c r="A3127" t="s">
        <v>651</v>
      </c>
      <c r="B3127" t="s">
        <v>12935</v>
      </c>
    </row>
    <row r="3128" spans="1:2" x14ac:dyDescent="0.25">
      <c r="A3128" t="s">
        <v>651</v>
      </c>
      <c r="B3128" t="s">
        <v>13829</v>
      </c>
    </row>
    <row r="3129" spans="1:2" x14ac:dyDescent="0.25">
      <c r="A3129" t="s">
        <v>7275</v>
      </c>
      <c r="B3129" t="s">
        <v>10777</v>
      </c>
    </row>
    <row r="3130" spans="1:2" x14ac:dyDescent="0.25">
      <c r="A3130" t="s">
        <v>620</v>
      </c>
      <c r="B3130" t="s">
        <v>10364</v>
      </c>
    </row>
    <row r="3131" spans="1:2" x14ac:dyDescent="0.25">
      <c r="A3131" t="s">
        <v>620</v>
      </c>
      <c r="B3131" t="s">
        <v>10030</v>
      </c>
    </row>
    <row r="3132" spans="1:2" x14ac:dyDescent="0.25">
      <c r="A3132" t="s">
        <v>620</v>
      </c>
      <c r="B3132" t="s">
        <v>9941</v>
      </c>
    </row>
    <row r="3133" spans="1:2" x14ac:dyDescent="0.25">
      <c r="A3133" t="s">
        <v>620</v>
      </c>
      <c r="B3133" t="s">
        <v>10083</v>
      </c>
    </row>
    <row r="3134" spans="1:2" x14ac:dyDescent="0.25">
      <c r="A3134" t="s">
        <v>620</v>
      </c>
      <c r="B3134" t="s">
        <v>10024</v>
      </c>
    </row>
    <row r="3135" spans="1:2" x14ac:dyDescent="0.25">
      <c r="A3135" t="s">
        <v>620</v>
      </c>
      <c r="B3135" t="s">
        <v>10272</v>
      </c>
    </row>
    <row r="3136" spans="1:2" x14ac:dyDescent="0.25">
      <c r="A3136" t="s">
        <v>620</v>
      </c>
      <c r="B3136" t="s">
        <v>10025</v>
      </c>
    </row>
    <row r="3137" spans="1:2" x14ac:dyDescent="0.25">
      <c r="A3137" t="s">
        <v>620</v>
      </c>
      <c r="B3137" t="s">
        <v>10242</v>
      </c>
    </row>
    <row r="3138" spans="1:2" x14ac:dyDescent="0.25">
      <c r="A3138" t="s">
        <v>620</v>
      </c>
      <c r="B3138" t="s">
        <v>10283</v>
      </c>
    </row>
    <row r="3139" spans="1:2" x14ac:dyDescent="0.25">
      <c r="A3139" t="s">
        <v>620</v>
      </c>
      <c r="B3139" t="s">
        <v>9527</v>
      </c>
    </row>
    <row r="3140" spans="1:2" x14ac:dyDescent="0.25">
      <c r="A3140" t="s">
        <v>11911</v>
      </c>
      <c r="B3140" t="s">
        <v>10452</v>
      </c>
    </row>
    <row r="3141" spans="1:2" x14ac:dyDescent="0.25">
      <c r="A3141" t="s">
        <v>11357</v>
      </c>
      <c r="B3141" t="s">
        <v>11370</v>
      </c>
    </row>
    <row r="3142" spans="1:2" x14ac:dyDescent="0.25">
      <c r="A3142" t="s">
        <v>11357</v>
      </c>
      <c r="B3142" t="s">
        <v>9104</v>
      </c>
    </row>
    <row r="3143" spans="1:2" x14ac:dyDescent="0.25">
      <c r="A3143" t="s">
        <v>11357</v>
      </c>
      <c r="B3143" t="s">
        <v>13315</v>
      </c>
    </row>
    <row r="3144" spans="1:2" x14ac:dyDescent="0.25">
      <c r="A3144" t="s">
        <v>11357</v>
      </c>
      <c r="B3144" t="s">
        <v>13321</v>
      </c>
    </row>
    <row r="3145" spans="1:2" x14ac:dyDescent="0.25">
      <c r="A3145" t="s">
        <v>11357</v>
      </c>
      <c r="B3145" t="s">
        <v>13366</v>
      </c>
    </row>
    <row r="3146" spans="1:2" x14ac:dyDescent="0.25">
      <c r="A3146" t="s">
        <v>11357</v>
      </c>
      <c r="B3146" t="s">
        <v>14660</v>
      </c>
    </row>
    <row r="3147" spans="1:2" x14ac:dyDescent="0.25">
      <c r="A3147" t="s">
        <v>12554</v>
      </c>
      <c r="B3147" t="s">
        <v>9826</v>
      </c>
    </row>
    <row r="3148" spans="1:2" x14ac:dyDescent="0.25">
      <c r="A3148" t="s">
        <v>12554</v>
      </c>
      <c r="B3148" t="s">
        <v>9755</v>
      </c>
    </row>
    <row r="3149" spans="1:2" x14ac:dyDescent="0.25">
      <c r="A3149" t="s">
        <v>12554</v>
      </c>
      <c r="B3149" t="s">
        <v>9645</v>
      </c>
    </row>
    <row r="3150" spans="1:2" x14ac:dyDescent="0.25">
      <c r="A3150" t="s">
        <v>12554</v>
      </c>
      <c r="B3150" t="s">
        <v>12583</v>
      </c>
    </row>
    <row r="3151" spans="1:2" x14ac:dyDescent="0.25">
      <c r="A3151" t="s">
        <v>12554</v>
      </c>
      <c r="B3151" t="s">
        <v>13028</v>
      </c>
    </row>
    <row r="3152" spans="1:2" x14ac:dyDescent="0.25">
      <c r="A3152" t="s">
        <v>12554</v>
      </c>
      <c r="B3152" t="s">
        <v>13052</v>
      </c>
    </row>
    <row r="3153" spans="1:2" x14ac:dyDescent="0.25">
      <c r="A3153" t="s">
        <v>11495</v>
      </c>
      <c r="B3153" t="s">
        <v>8643</v>
      </c>
    </row>
    <row r="3154" spans="1:2" x14ac:dyDescent="0.25">
      <c r="A3154" t="s">
        <v>11495</v>
      </c>
      <c r="B3154" t="s">
        <v>10542</v>
      </c>
    </row>
    <row r="3155" spans="1:2" x14ac:dyDescent="0.25">
      <c r="A3155" t="s">
        <v>11495</v>
      </c>
      <c r="B3155" t="s">
        <v>8651</v>
      </c>
    </row>
    <row r="3156" spans="1:2" x14ac:dyDescent="0.25">
      <c r="A3156" t="s">
        <v>11495</v>
      </c>
      <c r="B3156" t="s">
        <v>8659</v>
      </c>
    </row>
    <row r="3157" spans="1:2" x14ac:dyDescent="0.25">
      <c r="A3157" t="s">
        <v>11495</v>
      </c>
      <c r="B3157" t="s">
        <v>8630</v>
      </c>
    </row>
    <row r="3158" spans="1:2" x14ac:dyDescent="0.25">
      <c r="A3158" t="s">
        <v>11495</v>
      </c>
      <c r="B3158" t="s">
        <v>8635</v>
      </c>
    </row>
    <row r="3159" spans="1:2" x14ac:dyDescent="0.25">
      <c r="A3159" t="s">
        <v>11495</v>
      </c>
      <c r="B3159" t="s">
        <v>8664</v>
      </c>
    </row>
    <row r="3160" spans="1:2" x14ac:dyDescent="0.25">
      <c r="A3160" t="s">
        <v>11495</v>
      </c>
      <c r="B3160" t="s">
        <v>11661</v>
      </c>
    </row>
    <row r="3161" spans="1:2" x14ac:dyDescent="0.25">
      <c r="A3161" t="s">
        <v>11495</v>
      </c>
      <c r="B3161" t="s">
        <v>10506</v>
      </c>
    </row>
    <row r="3162" spans="1:2" x14ac:dyDescent="0.25">
      <c r="A3162" t="s">
        <v>11495</v>
      </c>
      <c r="B3162" t="s">
        <v>13292</v>
      </c>
    </row>
    <row r="3163" spans="1:2" x14ac:dyDescent="0.25">
      <c r="A3163" t="s">
        <v>752</v>
      </c>
      <c r="B3163" t="s">
        <v>9695</v>
      </c>
    </row>
    <row r="3164" spans="1:2" x14ac:dyDescent="0.25">
      <c r="A3164" t="s">
        <v>752</v>
      </c>
      <c r="B3164" t="s">
        <v>9559</v>
      </c>
    </row>
    <row r="3165" spans="1:2" x14ac:dyDescent="0.25">
      <c r="A3165" t="s">
        <v>752</v>
      </c>
      <c r="B3165" t="s">
        <v>9978</v>
      </c>
    </row>
    <row r="3166" spans="1:2" x14ac:dyDescent="0.25">
      <c r="A3166" t="s">
        <v>752</v>
      </c>
      <c r="B3166" t="s">
        <v>10314</v>
      </c>
    </row>
    <row r="3167" spans="1:2" x14ac:dyDescent="0.25">
      <c r="A3167" t="s">
        <v>752</v>
      </c>
      <c r="B3167" t="s">
        <v>10116</v>
      </c>
    </row>
    <row r="3168" spans="1:2" x14ac:dyDescent="0.25">
      <c r="A3168" t="s">
        <v>752</v>
      </c>
      <c r="B3168" t="s">
        <v>9982</v>
      </c>
    </row>
    <row r="3169" spans="1:2" x14ac:dyDescent="0.25">
      <c r="A3169" t="s">
        <v>752</v>
      </c>
      <c r="B3169" t="s">
        <v>9805</v>
      </c>
    </row>
    <row r="3170" spans="1:2" x14ac:dyDescent="0.25">
      <c r="A3170" t="s">
        <v>752</v>
      </c>
      <c r="B3170" t="s">
        <v>9758</v>
      </c>
    </row>
    <row r="3171" spans="1:2" x14ac:dyDescent="0.25">
      <c r="A3171" t="s">
        <v>752</v>
      </c>
      <c r="B3171" t="s">
        <v>10117</v>
      </c>
    </row>
    <row r="3172" spans="1:2" x14ac:dyDescent="0.25">
      <c r="A3172" t="s">
        <v>752</v>
      </c>
      <c r="B3172" t="s">
        <v>14294</v>
      </c>
    </row>
    <row r="3173" spans="1:2" x14ac:dyDescent="0.25">
      <c r="A3173" t="s">
        <v>752</v>
      </c>
      <c r="B3173" t="s">
        <v>9888</v>
      </c>
    </row>
    <row r="3174" spans="1:2" x14ac:dyDescent="0.25">
      <c r="A3174" t="s">
        <v>752</v>
      </c>
      <c r="B3174" t="s">
        <v>9820</v>
      </c>
    </row>
    <row r="3175" spans="1:2" x14ac:dyDescent="0.25">
      <c r="A3175" t="s">
        <v>752</v>
      </c>
      <c r="B3175" t="s">
        <v>10355</v>
      </c>
    </row>
    <row r="3176" spans="1:2" x14ac:dyDescent="0.25">
      <c r="A3176" t="s">
        <v>752</v>
      </c>
      <c r="B3176" t="s">
        <v>13001</v>
      </c>
    </row>
    <row r="3177" spans="1:2" x14ac:dyDescent="0.25">
      <c r="A3177" t="s">
        <v>752</v>
      </c>
      <c r="B3177" t="s">
        <v>13031</v>
      </c>
    </row>
    <row r="3178" spans="1:2" x14ac:dyDescent="0.25">
      <c r="A3178" t="s">
        <v>5072</v>
      </c>
      <c r="B3178" t="s">
        <v>9754</v>
      </c>
    </row>
    <row r="3179" spans="1:2" x14ac:dyDescent="0.25">
      <c r="A3179" t="s">
        <v>5072</v>
      </c>
      <c r="B3179" t="s">
        <v>12970</v>
      </c>
    </row>
    <row r="3180" spans="1:2" x14ac:dyDescent="0.25">
      <c r="A3180" t="s">
        <v>5072</v>
      </c>
      <c r="B3180" t="s">
        <v>13349</v>
      </c>
    </row>
    <row r="3181" spans="1:2" x14ac:dyDescent="0.25">
      <c r="A3181" t="s">
        <v>764</v>
      </c>
      <c r="B3181" t="s">
        <v>10115</v>
      </c>
    </row>
    <row r="3182" spans="1:2" x14ac:dyDescent="0.25">
      <c r="A3182" t="s">
        <v>764</v>
      </c>
      <c r="B3182" t="s">
        <v>9795</v>
      </c>
    </row>
    <row r="3183" spans="1:2" x14ac:dyDescent="0.25">
      <c r="A3183" t="s">
        <v>764</v>
      </c>
      <c r="B3183" t="s">
        <v>10346</v>
      </c>
    </row>
    <row r="3184" spans="1:2" x14ac:dyDescent="0.25">
      <c r="A3184" t="s">
        <v>764</v>
      </c>
      <c r="B3184" t="s">
        <v>13636</v>
      </c>
    </row>
    <row r="3185" spans="1:2" x14ac:dyDescent="0.25">
      <c r="A3185" t="s">
        <v>764</v>
      </c>
      <c r="B3185" t="s">
        <v>13802</v>
      </c>
    </row>
    <row r="3186" spans="1:2" x14ac:dyDescent="0.25">
      <c r="A3186" t="s">
        <v>764</v>
      </c>
      <c r="B3186" t="s">
        <v>13805</v>
      </c>
    </row>
    <row r="3187" spans="1:2" x14ac:dyDescent="0.25">
      <c r="A3187" t="s">
        <v>764</v>
      </c>
      <c r="B3187" t="s">
        <v>14026</v>
      </c>
    </row>
    <row r="3188" spans="1:2" x14ac:dyDescent="0.25">
      <c r="A3188" t="s">
        <v>764</v>
      </c>
      <c r="B3188" t="s">
        <v>14029</v>
      </c>
    </row>
    <row r="3189" spans="1:2" x14ac:dyDescent="0.25">
      <c r="A3189" t="s">
        <v>764</v>
      </c>
      <c r="B3189" t="s">
        <v>14452</v>
      </c>
    </row>
    <row r="3190" spans="1:2" x14ac:dyDescent="0.25">
      <c r="A3190" t="s">
        <v>10904</v>
      </c>
      <c r="B3190" t="s">
        <v>14248</v>
      </c>
    </row>
    <row r="3191" spans="1:2" x14ac:dyDescent="0.25">
      <c r="A3191" t="s">
        <v>10904</v>
      </c>
      <c r="B3191" t="s">
        <v>14349</v>
      </c>
    </row>
    <row r="3192" spans="1:2" x14ac:dyDescent="0.25">
      <c r="A3192" t="s">
        <v>10904</v>
      </c>
      <c r="B3192" t="s">
        <v>14337</v>
      </c>
    </row>
    <row r="3193" spans="1:2" x14ac:dyDescent="0.25">
      <c r="A3193" t="s">
        <v>10904</v>
      </c>
      <c r="B3193" t="s">
        <v>14250</v>
      </c>
    </row>
    <row r="3194" spans="1:2" x14ac:dyDescent="0.25">
      <c r="A3194" t="s">
        <v>10904</v>
      </c>
      <c r="B3194" t="s">
        <v>14338</v>
      </c>
    </row>
    <row r="3195" spans="1:2" x14ac:dyDescent="0.25">
      <c r="A3195" t="s">
        <v>10904</v>
      </c>
      <c r="B3195" t="s">
        <v>11692</v>
      </c>
    </row>
    <row r="3196" spans="1:2" x14ac:dyDescent="0.25">
      <c r="A3196" t="s">
        <v>10904</v>
      </c>
      <c r="B3196" t="s">
        <v>14310</v>
      </c>
    </row>
    <row r="3197" spans="1:2" x14ac:dyDescent="0.25">
      <c r="A3197" t="s">
        <v>10904</v>
      </c>
      <c r="B3197" t="s">
        <v>14312</v>
      </c>
    </row>
    <row r="3198" spans="1:2" x14ac:dyDescent="0.25">
      <c r="A3198" t="s">
        <v>10904</v>
      </c>
      <c r="B3198" t="s">
        <v>14246</v>
      </c>
    </row>
    <row r="3199" spans="1:2" x14ac:dyDescent="0.25">
      <c r="A3199" t="s">
        <v>10904</v>
      </c>
      <c r="B3199" t="s">
        <v>14275</v>
      </c>
    </row>
    <row r="3200" spans="1:2" x14ac:dyDescent="0.25">
      <c r="A3200" t="s">
        <v>10904</v>
      </c>
      <c r="B3200" t="s">
        <v>14279</v>
      </c>
    </row>
    <row r="3201" spans="1:2" x14ac:dyDescent="0.25">
      <c r="A3201" t="s">
        <v>10904</v>
      </c>
      <c r="B3201" t="s">
        <v>14261</v>
      </c>
    </row>
    <row r="3202" spans="1:2" x14ac:dyDescent="0.25">
      <c r="A3202" t="s">
        <v>289</v>
      </c>
      <c r="B3202" t="s">
        <v>14705</v>
      </c>
    </row>
    <row r="3203" spans="1:2" x14ac:dyDescent="0.25">
      <c r="A3203" t="s">
        <v>690</v>
      </c>
      <c r="B3203" t="s">
        <v>9613</v>
      </c>
    </row>
    <row r="3204" spans="1:2" x14ac:dyDescent="0.25">
      <c r="A3204" t="s">
        <v>690</v>
      </c>
      <c r="B3204" t="s">
        <v>9607</v>
      </c>
    </row>
    <row r="3205" spans="1:2" x14ac:dyDescent="0.25">
      <c r="A3205" t="s">
        <v>690</v>
      </c>
      <c r="B3205" t="s">
        <v>14373</v>
      </c>
    </row>
    <row r="3206" spans="1:2" x14ac:dyDescent="0.25">
      <c r="A3206" t="s">
        <v>690</v>
      </c>
      <c r="B3206" t="s">
        <v>13579</v>
      </c>
    </row>
    <row r="3207" spans="1:2" x14ac:dyDescent="0.25">
      <c r="A3207" t="s">
        <v>690</v>
      </c>
      <c r="B3207" t="s">
        <v>9623</v>
      </c>
    </row>
    <row r="3208" spans="1:2" x14ac:dyDescent="0.25">
      <c r="A3208" t="s">
        <v>690</v>
      </c>
      <c r="B3208" t="s">
        <v>12580</v>
      </c>
    </row>
    <row r="3209" spans="1:2" x14ac:dyDescent="0.25">
      <c r="A3209" t="s">
        <v>690</v>
      </c>
      <c r="B3209" t="s">
        <v>9867</v>
      </c>
    </row>
    <row r="3210" spans="1:2" x14ac:dyDescent="0.25">
      <c r="A3210" t="s">
        <v>690</v>
      </c>
      <c r="B3210" t="s">
        <v>10255</v>
      </c>
    </row>
    <row r="3211" spans="1:2" x14ac:dyDescent="0.25">
      <c r="A3211" t="s">
        <v>690</v>
      </c>
      <c r="B3211" t="s">
        <v>12967</v>
      </c>
    </row>
    <row r="3212" spans="1:2" x14ac:dyDescent="0.25">
      <c r="A3212" t="s">
        <v>690</v>
      </c>
      <c r="B3212" t="s">
        <v>12974</v>
      </c>
    </row>
    <row r="3213" spans="1:2" x14ac:dyDescent="0.25">
      <c r="A3213" t="s">
        <v>712</v>
      </c>
      <c r="B3213" t="s">
        <v>10353</v>
      </c>
    </row>
    <row r="3214" spans="1:2" x14ac:dyDescent="0.25">
      <c r="A3214" t="s">
        <v>712</v>
      </c>
      <c r="B3214" t="s">
        <v>9977</v>
      </c>
    </row>
    <row r="3215" spans="1:2" x14ac:dyDescent="0.25">
      <c r="A3215" t="s">
        <v>712</v>
      </c>
      <c r="B3215" t="s">
        <v>9821</v>
      </c>
    </row>
    <row r="3216" spans="1:2" x14ac:dyDescent="0.25">
      <c r="A3216" t="s">
        <v>712</v>
      </c>
      <c r="B3216" t="s">
        <v>9674</v>
      </c>
    </row>
    <row r="3217" spans="1:2" x14ac:dyDescent="0.25">
      <c r="A3217" t="s">
        <v>712</v>
      </c>
      <c r="B3217" t="s">
        <v>9965</v>
      </c>
    </row>
    <row r="3218" spans="1:2" x14ac:dyDescent="0.25">
      <c r="A3218" t="s">
        <v>712</v>
      </c>
      <c r="B3218" t="s">
        <v>10029</v>
      </c>
    </row>
    <row r="3219" spans="1:2" x14ac:dyDescent="0.25">
      <c r="A3219" t="s">
        <v>712</v>
      </c>
      <c r="B3219" t="s">
        <v>9728</v>
      </c>
    </row>
    <row r="3220" spans="1:2" x14ac:dyDescent="0.25">
      <c r="A3220" t="s">
        <v>712</v>
      </c>
      <c r="B3220" t="s">
        <v>14360</v>
      </c>
    </row>
    <row r="3221" spans="1:2" x14ac:dyDescent="0.25">
      <c r="A3221" t="s">
        <v>685</v>
      </c>
      <c r="B3221" t="s">
        <v>9584</v>
      </c>
    </row>
    <row r="3222" spans="1:2" x14ac:dyDescent="0.25">
      <c r="A3222" t="s">
        <v>685</v>
      </c>
      <c r="B3222" t="s">
        <v>9943</v>
      </c>
    </row>
    <row r="3223" spans="1:2" x14ac:dyDescent="0.25">
      <c r="A3223" t="s">
        <v>685</v>
      </c>
      <c r="B3223" t="s">
        <v>10143</v>
      </c>
    </row>
    <row r="3224" spans="1:2" x14ac:dyDescent="0.25">
      <c r="A3224" t="s">
        <v>685</v>
      </c>
      <c r="B3224" t="s">
        <v>9879</v>
      </c>
    </row>
    <row r="3225" spans="1:2" x14ac:dyDescent="0.25">
      <c r="A3225" t="s">
        <v>685</v>
      </c>
      <c r="B3225" t="s">
        <v>10332</v>
      </c>
    </row>
    <row r="3226" spans="1:2" x14ac:dyDescent="0.25">
      <c r="A3226" t="s">
        <v>685</v>
      </c>
      <c r="B3226" t="s">
        <v>9627</v>
      </c>
    </row>
    <row r="3227" spans="1:2" x14ac:dyDescent="0.25">
      <c r="A3227" t="s">
        <v>685</v>
      </c>
      <c r="B3227" t="s">
        <v>9715</v>
      </c>
    </row>
    <row r="3228" spans="1:2" x14ac:dyDescent="0.25">
      <c r="A3228" t="s">
        <v>685</v>
      </c>
      <c r="B3228" t="s">
        <v>9631</v>
      </c>
    </row>
    <row r="3229" spans="1:2" x14ac:dyDescent="0.25">
      <c r="A3229" t="s">
        <v>685</v>
      </c>
      <c r="B3229" t="s">
        <v>10333</v>
      </c>
    </row>
    <row r="3230" spans="1:2" x14ac:dyDescent="0.25">
      <c r="A3230" t="s">
        <v>7258</v>
      </c>
      <c r="B3230" t="s">
        <v>10775</v>
      </c>
    </row>
    <row r="3231" spans="1:2" x14ac:dyDescent="0.25">
      <c r="A3231" t="s">
        <v>7258</v>
      </c>
      <c r="B3231" t="s">
        <v>10774</v>
      </c>
    </row>
    <row r="3232" spans="1:2" x14ac:dyDescent="0.25">
      <c r="A3232" t="s">
        <v>7258</v>
      </c>
      <c r="B3232" t="s">
        <v>10771</v>
      </c>
    </row>
    <row r="3233" spans="1:2" x14ac:dyDescent="0.25">
      <c r="A3233" t="s">
        <v>7258</v>
      </c>
      <c r="B3233" t="s">
        <v>10773</v>
      </c>
    </row>
    <row r="3234" spans="1:2" x14ac:dyDescent="0.25">
      <c r="A3234" t="s">
        <v>7258</v>
      </c>
      <c r="B3234" t="s">
        <v>10770</v>
      </c>
    </row>
    <row r="3235" spans="1:2" x14ac:dyDescent="0.25">
      <c r="A3235" t="s">
        <v>7258</v>
      </c>
      <c r="B3235" t="s">
        <v>10779</v>
      </c>
    </row>
    <row r="3236" spans="1:2" x14ac:dyDescent="0.25">
      <c r="A3236" t="s">
        <v>773</v>
      </c>
      <c r="B3236" t="s">
        <v>10329</v>
      </c>
    </row>
    <row r="3237" spans="1:2" x14ac:dyDescent="0.25">
      <c r="A3237" t="s">
        <v>773</v>
      </c>
      <c r="B3237" t="s">
        <v>10330</v>
      </c>
    </row>
    <row r="3238" spans="1:2" x14ac:dyDescent="0.25">
      <c r="A3238" t="s">
        <v>609</v>
      </c>
      <c r="B3238" t="s">
        <v>9272</v>
      </c>
    </row>
    <row r="3239" spans="1:2" x14ac:dyDescent="0.25">
      <c r="A3239" t="s">
        <v>609</v>
      </c>
      <c r="B3239" t="s">
        <v>8784</v>
      </c>
    </row>
    <row r="3240" spans="1:2" x14ac:dyDescent="0.25">
      <c r="A3240" t="s">
        <v>609</v>
      </c>
      <c r="B3240" t="s">
        <v>11817</v>
      </c>
    </row>
    <row r="3241" spans="1:2" x14ac:dyDescent="0.25">
      <c r="A3241" t="s">
        <v>609</v>
      </c>
      <c r="B3241" t="s">
        <v>9085</v>
      </c>
    </row>
    <row r="3242" spans="1:2" x14ac:dyDescent="0.25">
      <c r="A3242" t="s">
        <v>609</v>
      </c>
      <c r="B3242" t="s">
        <v>8896</v>
      </c>
    </row>
    <row r="3243" spans="1:2" x14ac:dyDescent="0.25">
      <c r="A3243" t="s">
        <v>609</v>
      </c>
      <c r="B3243" t="s">
        <v>9284</v>
      </c>
    </row>
    <row r="3244" spans="1:2" x14ac:dyDescent="0.25">
      <c r="A3244" t="s">
        <v>609</v>
      </c>
      <c r="B3244" t="s">
        <v>9183</v>
      </c>
    </row>
    <row r="3245" spans="1:2" x14ac:dyDescent="0.25">
      <c r="A3245" t="s">
        <v>609</v>
      </c>
      <c r="B3245" t="s">
        <v>9327</v>
      </c>
    </row>
    <row r="3246" spans="1:2" x14ac:dyDescent="0.25">
      <c r="A3246" t="s">
        <v>609</v>
      </c>
      <c r="B3246" t="s">
        <v>9156</v>
      </c>
    </row>
    <row r="3247" spans="1:2" x14ac:dyDescent="0.25">
      <c r="A3247" t="s">
        <v>609</v>
      </c>
      <c r="B3247" t="s">
        <v>8972</v>
      </c>
    </row>
    <row r="3248" spans="1:2" x14ac:dyDescent="0.25">
      <c r="A3248" t="s">
        <v>609</v>
      </c>
      <c r="B3248" t="s">
        <v>8785</v>
      </c>
    </row>
    <row r="3249" spans="1:2" x14ac:dyDescent="0.25">
      <c r="A3249" t="s">
        <v>609</v>
      </c>
      <c r="B3249" t="s">
        <v>12499</v>
      </c>
    </row>
    <row r="3250" spans="1:2" x14ac:dyDescent="0.25">
      <c r="A3250" t="s">
        <v>609</v>
      </c>
      <c r="B3250" t="s">
        <v>12498</v>
      </c>
    </row>
    <row r="3251" spans="1:2" x14ac:dyDescent="0.25">
      <c r="A3251" t="s">
        <v>609</v>
      </c>
      <c r="B3251" t="s">
        <v>9273</v>
      </c>
    </row>
    <row r="3252" spans="1:2" x14ac:dyDescent="0.25">
      <c r="A3252" t="s">
        <v>455</v>
      </c>
      <c r="B3252" t="s">
        <v>12432</v>
      </c>
    </row>
    <row r="3253" spans="1:2" x14ac:dyDescent="0.25">
      <c r="A3253" t="s">
        <v>455</v>
      </c>
      <c r="B3253" t="s">
        <v>8540</v>
      </c>
    </row>
    <row r="3254" spans="1:2" x14ac:dyDescent="0.25">
      <c r="A3254" t="s">
        <v>455</v>
      </c>
      <c r="B3254" t="s">
        <v>11623</v>
      </c>
    </row>
    <row r="3255" spans="1:2" x14ac:dyDescent="0.25">
      <c r="A3255" t="s">
        <v>11080</v>
      </c>
      <c r="B3255" t="s">
        <v>11098</v>
      </c>
    </row>
    <row r="3256" spans="1:2" x14ac:dyDescent="0.25">
      <c r="A3256" t="s">
        <v>11080</v>
      </c>
      <c r="B3256" t="s">
        <v>11101</v>
      </c>
    </row>
    <row r="3257" spans="1:2" x14ac:dyDescent="0.25">
      <c r="A3257" t="s">
        <v>11080</v>
      </c>
      <c r="B3257" t="s">
        <v>11087</v>
      </c>
    </row>
    <row r="3258" spans="1:2" x14ac:dyDescent="0.25">
      <c r="A3258" t="s">
        <v>11080</v>
      </c>
      <c r="B3258" t="s">
        <v>11081</v>
      </c>
    </row>
    <row r="3259" spans="1:2" x14ac:dyDescent="0.25">
      <c r="A3259" t="s">
        <v>11080</v>
      </c>
      <c r="B3259" t="s">
        <v>11090</v>
      </c>
    </row>
    <row r="3260" spans="1:2" x14ac:dyDescent="0.25">
      <c r="A3260" t="s">
        <v>11080</v>
      </c>
      <c r="B3260" t="s">
        <v>11092</v>
      </c>
    </row>
    <row r="3261" spans="1:2" x14ac:dyDescent="0.25">
      <c r="A3261" t="s">
        <v>11080</v>
      </c>
      <c r="B3261" t="s">
        <v>11076</v>
      </c>
    </row>
    <row r="3262" spans="1:2" x14ac:dyDescent="0.25">
      <c r="A3262" t="s">
        <v>11080</v>
      </c>
      <c r="B3262" t="s">
        <v>11095</v>
      </c>
    </row>
    <row r="3263" spans="1:2" x14ac:dyDescent="0.25">
      <c r="A3263" t="s">
        <v>11080</v>
      </c>
      <c r="B3263" t="s">
        <v>11257</v>
      </c>
    </row>
    <row r="3264" spans="1:2" x14ac:dyDescent="0.25">
      <c r="A3264" t="s">
        <v>11080</v>
      </c>
      <c r="B3264" t="s">
        <v>11103</v>
      </c>
    </row>
    <row r="3265" spans="1:2" x14ac:dyDescent="0.25">
      <c r="A3265" t="s">
        <v>300</v>
      </c>
      <c r="B3265" t="s">
        <v>8016</v>
      </c>
    </row>
    <row r="3266" spans="1:2" x14ac:dyDescent="0.25">
      <c r="A3266" t="s">
        <v>300</v>
      </c>
      <c r="B3266" t="s">
        <v>8022</v>
      </c>
    </row>
    <row r="3267" spans="1:2" x14ac:dyDescent="0.25">
      <c r="A3267" t="s">
        <v>300</v>
      </c>
      <c r="B3267" t="s">
        <v>8029</v>
      </c>
    </row>
    <row r="3268" spans="1:2" x14ac:dyDescent="0.25">
      <c r="A3268" t="s">
        <v>300</v>
      </c>
      <c r="B3268" t="s">
        <v>8013</v>
      </c>
    </row>
    <row r="3269" spans="1:2" x14ac:dyDescent="0.25">
      <c r="A3269" t="s">
        <v>300</v>
      </c>
      <c r="B3269" t="s">
        <v>8024</v>
      </c>
    </row>
    <row r="3270" spans="1:2" x14ac:dyDescent="0.25">
      <c r="A3270" t="s">
        <v>300</v>
      </c>
      <c r="B3270" t="s">
        <v>8030</v>
      </c>
    </row>
    <row r="3271" spans="1:2" x14ac:dyDescent="0.25">
      <c r="A3271" t="s">
        <v>300</v>
      </c>
      <c r="B3271" t="s">
        <v>14517</v>
      </c>
    </row>
    <row r="3272" spans="1:2" x14ac:dyDescent="0.25">
      <c r="A3272" t="s">
        <v>841</v>
      </c>
      <c r="B3272" t="s">
        <v>10798</v>
      </c>
    </row>
    <row r="3273" spans="1:2" x14ac:dyDescent="0.25">
      <c r="A3273" t="s">
        <v>841</v>
      </c>
      <c r="B3273" t="s">
        <v>10833</v>
      </c>
    </row>
    <row r="3274" spans="1:2" x14ac:dyDescent="0.25">
      <c r="A3274" t="s">
        <v>841</v>
      </c>
      <c r="B3274" t="s">
        <v>10799</v>
      </c>
    </row>
    <row r="3275" spans="1:2" x14ac:dyDescent="0.25">
      <c r="A3275" t="s">
        <v>730</v>
      </c>
      <c r="B3275" t="s">
        <v>10124</v>
      </c>
    </row>
    <row r="3276" spans="1:2" x14ac:dyDescent="0.25">
      <c r="A3276" t="s">
        <v>730</v>
      </c>
      <c r="B3276" t="s">
        <v>10322</v>
      </c>
    </row>
    <row r="3277" spans="1:2" x14ac:dyDescent="0.25">
      <c r="A3277" t="s">
        <v>730</v>
      </c>
      <c r="B3277" t="s">
        <v>9650</v>
      </c>
    </row>
    <row r="3278" spans="1:2" x14ac:dyDescent="0.25">
      <c r="A3278" t="s">
        <v>730</v>
      </c>
      <c r="B3278" t="s">
        <v>9625</v>
      </c>
    </row>
    <row r="3279" spans="1:2" x14ac:dyDescent="0.25">
      <c r="A3279" t="s">
        <v>730</v>
      </c>
      <c r="B3279" t="s">
        <v>10106</v>
      </c>
    </row>
    <row r="3280" spans="1:2" x14ac:dyDescent="0.25">
      <c r="A3280" t="s">
        <v>730</v>
      </c>
      <c r="B3280" t="s">
        <v>10354</v>
      </c>
    </row>
    <row r="3281" spans="1:2" x14ac:dyDescent="0.25">
      <c r="A3281" t="s">
        <v>730</v>
      </c>
      <c r="B3281" t="s">
        <v>9700</v>
      </c>
    </row>
    <row r="3282" spans="1:2" x14ac:dyDescent="0.25">
      <c r="A3282" t="s">
        <v>730</v>
      </c>
      <c r="B3282" t="s">
        <v>10134</v>
      </c>
    </row>
    <row r="3283" spans="1:2" x14ac:dyDescent="0.25">
      <c r="A3283" t="s">
        <v>730</v>
      </c>
      <c r="B3283" t="s">
        <v>9946</v>
      </c>
    </row>
    <row r="3284" spans="1:2" x14ac:dyDescent="0.25">
      <c r="A3284" t="s">
        <v>730</v>
      </c>
      <c r="B3284" t="s">
        <v>10097</v>
      </c>
    </row>
    <row r="3285" spans="1:2" x14ac:dyDescent="0.25">
      <c r="A3285" t="s">
        <v>730</v>
      </c>
      <c r="B3285" t="s">
        <v>10236</v>
      </c>
    </row>
    <row r="3286" spans="1:2" x14ac:dyDescent="0.25">
      <c r="A3286" t="s">
        <v>730</v>
      </c>
      <c r="B3286" t="s">
        <v>9997</v>
      </c>
    </row>
    <row r="3287" spans="1:2" x14ac:dyDescent="0.25">
      <c r="A3287" t="s">
        <v>730</v>
      </c>
      <c r="B3287" t="s">
        <v>9824</v>
      </c>
    </row>
    <row r="3288" spans="1:2" x14ac:dyDescent="0.25">
      <c r="A3288" t="s">
        <v>730</v>
      </c>
      <c r="B3288" t="s">
        <v>13639</v>
      </c>
    </row>
    <row r="3289" spans="1:2" x14ac:dyDescent="0.25">
      <c r="A3289" t="s">
        <v>730</v>
      </c>
      <c r="B3289" t="s">
        <v>14232</v>
      </c>
    </row>
    <row r="3290" spans="1:2" x14ac:dyDescent="0.25">
      <c r="A3290" t="s">
        <v>334</v>
      </c>
      <c r="B3290" t="s">
        <v>10665</v>
      </c>
    </row>
    <row r="3291" spans="1:2" x14ac:dyDescent="0.25">
      <c r="A3291" t="s">
        <v>334</v>
      </c>
      <c r="B3291" t="s">
        <v>8737</v>
      </c>
    </row>
    <row r="3292" spans="1:2" x14ac:dyDescent="0.25">
      <c r="A3292" t="s">
        <v>14558</v>
      </c>
      <c r="B3292" t="s">
        <v>14555</v>
      </c>
    </row>
    <row r="3293" spans="1:2" x14ac:dyDescent="0.25">
      <c r="A3293" t="s">
        <v>35</v>
      </c>
      <c r="B3293" t="s">
        <v>8066</v>
      </c>
    </row>
    <row r="3294" spans="1:2" x14ac:dyDescent="0.25">
      <c r="A3294" t="s">
        <v>35</v>
      </c>
      <c r="B3294" t="s">
        <v>11022</v>
      </c>
    </row>
    <row r="3295" spans="1:2" x14ac:dyDescent="0.25">
      <c r="A3295" t="s">
        <v>35</v>
      </c>
      <c r="B3295" t="s">
        <v>8068</v>
      </c>
    </row>
    <row r="3296" spans="1:2" x14ac:dyDescent="0.25">
      <c r="A3296" t="s">
        <v>35</v>
      </c>
      <c r="B3296" t="s">
        <v>8070</v>
      </c>
    </row>
    <row r="3297" spans="1:2" x14ac:dyDescent="0.25">
      <c r="A3297" t="s">
        <v>35</v>
      </c>
      <c r="B3297" t="s">
        <v>8038</v>
      </c>
    </row>
    <row r="3298" spans="1:2" x14ac:dyDescent="0.25">
      <c r="A3298" t="s">
        <v>35</v>
      </c>
      <c r="B3298" t="s">
        <v>8034</v>
      </c>
    </row>
    <row r="3299" spans="1:2" x14ac:dyDescent="0.25">
      <c r="A3299" t="s">
        <v>35</v>
      </c>
      <c r="B3299" t="s">
        <v>11403</v>
      </c>
    </row>
    <row r="3300" spans="1:2" x14ac:dyDescent="0.25">
      <c r="A3300" t="s">
        <v>35</v>
      </c>
      <c r="B3300" t="s">
        <v>8039</v>
      </c>
    </row>
    <row r="3301" spans="1:2" x14ac:dyDescent="0.25">
      <c r="A3301" t="s">
        <v>35</v>
      </c>
      <c r="B3301" t="s">
        <v>8035</v>
      </c>
    </row>
    <row r="3302" spans="1:2" x14ac:dyDescent="0.25">
      <c r="A3302" t="s">
        <v>35</v>
      </c>
      <c r="B3302" t="s">
        <v>8064</v>
      </c>
    </row>
    <row r="3303" spans="1:2" x14ac:dyDescent="0.25">
      <c r="A3303" t="s">
        <v>11008</v>
      </c>
      <c r="B3303" t="s">
        <v>11005</v>
      </c>
    </row>
    <row r="3304" spans="1:2" x14ac:dyDescent="0.25">
      <c r="A3304" t="s">
        <v>11008</v>
      </c>
      <c r="B3304" t="s">
        <v>11177</v>
      </c>
    </row>
    <row r="3305" spans="1:2" x14ac:dyDescent="0.25">
      <c r="A3305" t="s">
        <v>11008</v>
      </c>
      <c r="B3305" t="s">
        <v>11358</v>
      </c>
    </row>
    <row r="3306" spans="1:2" x14ac:dyDescent="0.25">
      <c r="A3306" t="s">
        <v>11008</v>
      </c>
      <c r="B3306" t="s">
        <v>11180</v>
      </c>
    </row>
    <row r="3307" spans="1:2" x14ac:dyDescent="0.25">
      <c r="A3307" t="s">
        <v>488</v>
      </c>
      <c r="B3307" t="s">
        <v>8578</v>
      </c>
    </row>
    <row r="3308" spans="1:2" x14ac:dyDescent="0.25">
      <c r="A3308" t="s">
        <v>488</v>
      </c>
      <c r="B3308" t="s">
        <v>8590</v>
      </c>
    </row>
    <row r="3309" spans="1:2" x14ac:dyDescent="0.25">
      <c r="A3309" t="s">
        <v>588</v>
      </c>
      <c r="B3309" t="s">
        <v>9153</v>
      </c>
    </row>
    <row r="3310" spans="1:2" x14ac:dyDescent="0.25">
      <c r="A3310" t="s">
        <v>588</v>
      </c>
      <c r="B3310" t="s">
        <v>12732</v>
      </c>
    </row>
    <row r="3311" spans="1:2" x14ac:dyDescent="0.25">
      <c r="A3311" t="s">
        <v>588</v>
      </c>
      <c r="B3311" t="s">
        <v>12735</v>
      </c>
    </row>
    <row r="3312" spans="1:2" x14ac:dyDescent="0.25">
      <c r="A3312" t="s">
        <v>588</v>
      </c>
      <c r="B3312" t="s">
        <v>9314</v>
      </c>
    </row>
    <row r="3313" spans="1:2" x14ac:dyDescent="0.25">
      <c r="A3313" t="s">
        <v>588</v>
      </c>
      <c r="B3313" t="s">
        <v>12738</v>
      </c>
    </row>
    <row r="3314" spans="1:2" x14ac:dyDescent="0.25">
      <c r="A3314" t="s">
        <v>588</v>
      </c>
      <c r="B3314" t="s">
        <v>8940</v>
      </c>
    </row>
    <row r="3315" spans="1:2" x14ac:dyDescent="0.25">
      <c r="A3315" t="s">
        <v>588</v>
      </c>
      <c r="B3315" t="s">
        <v>8961</v>
      </c>
    </row>
    <row r="3316" spans="1:2" x14ac:dyDescent="0.25">
      <c r="A3316" t="s">
        <v>588</v>
      </c>
      <c r="B3316" t="s">
        <v>9313</v>
      </c>
    </row>
    <row r="3317" spans="1:2" x14ac:dyDescent="0.25">
      <c r="A3317" t="s">
        <v>588</v>
      </c>
      <c r="B3317" t="s">
        <v>8797</v>
      </c>
    </row>
    <row r="3318" spans="1:2" x14ac:dyDescent="0.25">
      <c r="A3318" t="s">
        <v>588</v>
      </c>
      <c r="B3318" t="s">
        <v>8941</v>
      </c>
    </row>
    <row r="3319" spans="1:2" x14ac:dyDescent="0.25">
      <c r="A3319" t="s">
        <v>588</v>
      </c>
      <c r="B3319" t="s">
        <v>9403</v>
      </c>
    </row>
    <row r="3320" spans="1:2" x14ac:dyDescent="0.25">
      <c r="A3320" t="s">
        <v>588</v>
      </c>
      <c r="B3320" t="s">
        <v>8852</v>
      </c>
    </row>
    <row r="3321" spans="1:2" x14ac:dyDescent="0.25">
      <c r="A3321" t="s">
        <v>588</v>
      </c>
      <c r="B3321" t="s">
        <v>9493</v>
      </c>
    </row>
    <row r="3322" spans="1:2" x14ac:dyDescent="0.25">
      <c r="A3322" t="s">
        <v>588</v>
      </c>
      <c r="B3322" t="s">
        <v>8800</v>
      </c>
    </row>
    <row r="3323" spans="1:2" x14ac:dyDescent="0.25">
      <c r="A3323" t="s">
        <v>588</v>
      </c>
      <c r="B3323" t="s">
        <v>9399</v>
      </c>
    </row>
    <row r="3324" spans="1:2" x14ac:dyDescent="0.25">
      <c r="A3324" t="s">
        <v>588</v>
      </c>
      <c r="B3324" t="s">
        <v>13326</v>
      </c>
    </row>
    <row r="3325" spans="1:2" x14ac:dyDescent="0.25">
      <c r="A3325" t="s">
        <v>588</v>
      </c>
      <c r="B3325" t="s">
        <v>13329</v>
      </c>
    </row>
    <row r="3326" spans="1:2" x14ac:dyDescent="0.25">
      <c r="A3326" t="s">
        <v>588</v>
      </c>
      <c r="B3326" t="s">
        <v>13332</v>
      </c>
    </row>
    <row r="3327" spans="1:2" x14ac:dyDescent="0.25">
      <c r="A3327" t="s">
        <v>588</v>
      </c>
      <c r="B3327" t="s">
        <v>13334</v>
      </c>
    </row>
    <row r="3328" spans="1:2" x14ac:dyDescent="0.25">
      <c r="A3328" t="s">
        <v>588</v>
      </c>
      <c r="B3328" t="s">
        <v>14169</v>
      </c>
    </row>
    <row r="3329" spans="1:2" x14ac:dyDescent="0.25">
      <c r="A3329" t="s">
        <v>588</v>
      </c>
      <c r="B3329" t="s">
        <v>14281</v>
      </c>
    </row>
    <row r="3330" spans="1:2" x14ac:dyDescent="0.25">
      <c r="A3330" t="s">
        <v>170</v>
      </c>
      <c r="B3330" t="s">
        <v>8625</v>
      </c>
    </row>
    <row r="3331" spans="1:2" x14ac:dyDescent="0.25">
      <c r="A3331" t="s">
        <v>170</v>
      </c>
      <c r="B3331" t="s">
        <v>12463</v>
      </c>
    </row>
    <row r="3332" spans="1:2" x14ac:dyDescent="0.25">
      <c r="A3332" t="s">
        <v>170</v>
      </c>
      <c r="B3332" t="s">
        <v>8633</v>
      </c>
    </row>
    <row r="3333" spans="1:2" x14ac:dyDescent="0.25">
      <c r="A3333" t="s">
        <v>170</v>
      </c>
      <c r="B3333" t="s">
        <v>8629</v>
      </c>
    </row>
    <row r="3334" spans="1:2" x14ac:dyDescent="0.25">
      <c r="A3334" t="s">
        <v>170</v>
      </c>
      <c r="B3334" t="s">
        <v>8624</v>
      </c>
    </row>
    <row r="3335" spans="1:2" x14ac:dyDescent="0.25">
      <c r="A3335" t="s">
        <v>170</v>
      </c>
      <c r="B3335" t="s">
        <v>11652</v>
      </c>
    </row>
    <row r="3336" spans="1:2" x14ac:dyDescent="0.25">
      <c r="A3336" t="s">
        <v>170</v>
      </c>
      <c r="B3336" t="s">
        <v>12460</v>
      </c>
    </row>
    <row r="3337" spans="1:2" x14ac:dyDescent="0.25">
      <c r="A3337" t="s">
        <v>170</v>
      </c>
      <c r="B3337" t="s">
        <v>8628</v>
      </c>
    </row>
    <row r="3338" spans="1:2" x14ac:dyDescent="0.25">
      <c r="A3338" t="s">
        <v>170</v>
      </c>
      <c r="B3338" t="s">
        <v>8617</v>
      </c>
    </row>
    <row r="3339" spans="1:2" x14ac:dyDescent="0.25">
      <c r="A3339" t="s">
        <v>170</v>
      </c>
      <c r="B3339" t="s">
        <v>12466</v>
      </c>
    </row>
    <row r="3340" spans="1:2" x14ac:dyDescent="0.25">
      <c r="A3340" t="s">
        <v>170</v>
      </c>
      <c r="B3340" t="s">
        <v>11659</v>
      </c>
    </row>
    <row r="3341" spans="1:2" x14ac:dyDescent="0.25">
      <c r="A3341" t="s">
        <v>170</v>
      </c>
      <c r="B3341" t="s">
        <v>11655</v>
      </c>
    </row>
    <row r="3342" spans="1:2" x14ac:dyDescent="0.25">
      <c r="A3342" t="s">
        <v>170</v>
      </c>
      <c r="B3342" t="s">
        <v>11657</v>
      </c>
    </row>
    <row r="3343" spans="1:2" x14ac:dyDescent="0.25">
      <c r="A3343" t="s">
        <v>170</v>
      </c>
      <c r="B3343" t="s">
        <v>8752</v>
      </c>
    </row>
    <row r="3344" spans="1:2" x14ac:dyDescent="0.25">
      <c r="A3344" t="s">
        <v>170</v>
      </c>
      <c r="B3344" t="s">
        <v>8747</v>
      </c>
    </row>
    <row r="3345" spans="1:2" x14ac:dyDescent="0.25">
      <c r="A3345" t="s">
        <v>170</v>
      </c>
      <c r="B3345" t="s">
        <v>8096</v>
      </c>
    </row>
    <row r="3346" spans="1:2" x14ac:dyDescent="0.25">
      <c r="A3346" t="s">
        <v>170</v>
      </c>
      <c r="B3346" t="s">
        <v>8623</v>
      </c>
    </row>
    <row r="3347" spans="1:2" x14ac:dyDescent="0.25">
      <c r="A3347" t="s">
        <v>170</v>
      </c>
      <c r="B3347" t="s">
        <v>8627</v>
      </c>
    </row>
    <row r="3348" spans="1:2" x14ac:dyDescent="0.25">
      <c r="A3348" t="s">
        <v>170</v>
      </c>
      <c r="B3348" t="s">
        <v>12469</v>
      </c>
    </row>
    <row r="3349" spans="1:2" x14ac:dyDescent="0.25">
      <c r="A3349" t="s">
        <v>170</v>
      </c>
      <c r="B3349" t="s">
        <v>8646</v>
      </c>
    </row>
    <row r="3350" spans="1:2" x14ac:dyDescent="0.25">
      <c r="A3350" t="s">
        <v>170</v>
      </c>
      <c r="B3350" t="s">
        <v>10525</v>
      </c>
    </row>
    <row r="3351" spans="1:2" x14ac:dyDescent="0.25">
      <c r="A3351" t="s">
        <v>170</v>
      </c>
      <c r="B3351" t="s">
        <v>8144</v>
      </c>
    </row>
    <row r="3352" spans="1:2" x14ac:dyDescent="0.25">
      <c r="A3352" t="s">
        <v>170</v>
      </c>
      <c r="B3352" t="s">
        <v>8724</v>
      </c>
    </row>
    <row r="3353" spans="1:2" x14ac:dyDescent="0.25">
      <c r="A3353" t="s">
        <v>170</v>
      </c>
      <c r="B3353" t="s">
        <v>8600</v>
      </c>
    </row>
    <row r="3354" spans="1:2" x14ac:dyDescent="0.25">
      <c r="A3354" t="s">
        <v>11889</v>
      </c>
      <c r="B3354" t="s">
        <v>10394</v>
      </c>
    </row>
    <row r="3355" spans="1:2" x14ac:dyDescent="0.25">
      <c r="A3355" t="s">
        <v>11889</v>
      </c>
      <c r="B3355" t="s">
        <v>10382</v>
      </c>
    </row>
    <row r="3356" spans="1:2" x14ac:dyDescent="0.25">
      <c r="A3356" t="s">
        <v>11889</v>
      </c>
      <c r="B3356" t="s">
        <v>12592</v>
      </c>
    </row>
    <row r="3357" spans="1:2" x14ac:dyDescent="0.25">
      <c r="A3357" t="s">
        <v>11889</v>
      </c>
      <c r="B3357" t="s">
        <v>10384</v>
      </c>
    </row>
    <row r="3358" spans="1:2" x14ac:dyDescent="0.25">
      <c r="A3358" t="s">
        <v>11889</v>
      </c>
      <c r="B3358" t="s">
        <v>12596</v>
      </c>
    </row>
    <row r="3359" spans="1:2" x14ac:dyDescent="0.25">
      <c r="A3359" t="s">
        <v>11889</v>
      </c>
      <c r="B3359" t="s">
        <v>10380</v>
      </c>
    </row>
    <row r="3360" spans="1:2" x14ac:dyDescent="0.25">
      <c r="A3360" t="s">
        <v>11889</v>
      </c>
      <c r="B3360" t="s">
        <v>14345</v>
      </c>
    </row>
    <row r="3361" spans="1:2" x14ac:dyDescent="0.25">
      <c r="A3361" t="s">
        <v>11482</v>
      </c>
      <c r="B3361" t="s">
        <v>11479</v>
      </c>
    </row>
    <row r="3362" spans="1:2" x14ac:dyDescent="0.25">
      <c r="A3362" t="s">
        <v>395</v>
      </c>
      <c r="B3362" t="s">
        <v>8373</v>
      </c>
    </row>
    <row r="3363" spans="1:2" x14ac:dyDescent="0.25">
      <c r="A3363" t="s">
        <v>395</v>
      </c>
      <c r="B3363" t="s">
        <v>8370</v>
      </c>
    </row>
    <row r="3364" spans="1:2" x14ac:dyDescent="0.25">
      <c r="A3364" t="s">
        <v>395</v>
      </c>
      <c r="B3364" t="s">
        <v>8371</v>
      </c>
    </row>
    <row r="3365" spans="1:2" x14ac:dyDescent="0.25">
      <c r="A3365" t="s">
        <v>395</v>
      </c>
      <c r="B3365" t="s">
        <v>8369</v>
      </c>
    </row>
    <row r="3366" spans="1:2" x14ac:dyDescent="0.25">
      <c r="A3366" t="s">
        <v>395</v>
      </c>
      <c r="B3366" t="s">
        <v>8372</v>
      </c>
    </row>
    <row r="3367" spans="1:2" x14ac:dyDescent="0.25">
      <c r="A3367" t="s">
        <v>386</v>
      </c>
      <c r="B3367" t="s">
        <v>8349</v>
      </c>
    </row>
    <row r="3368" spans="1:2" x14ac:dyDescent="0.25">
      <c r="A3368" t="s">
        <v>386</v>
      </c>
      <c r="B3368" t="s">
        <v>8350</v>
      </c>
    </row>
    <row r="3369" spans="1:2" x14ac:dyDescent="0.25">
      <c r="A3369" t="s">
        <v>11620</v>
      </c>
      <c r="B3369" t="s">
        <v>13810</v>
      </c>
    </row>
    <row r="3370" spans="1:2" x14ac:dyDescent="0.25">
      <c r="A3370" t="s">
        <v>4685</v>
      </c>
      <c r="B3370" t="s">
        <v>9757</v>
      </c>
    </row>
    <row r="3371" spans="1:2" x14ac:dyDescent="0.25">
      <c r="A3371" t="s">
        <v>4685</v>
      </c>
      <c r="B3371" t="s">
        <v>10224</v>
      </c>
    </row>
    <row r="3372" spans="1:2" x14ac:dyDescent="0.25">
      <c r="A3372" t="s">
        <v>4685</v>
      </c>
      <c r="B3372" t="s">
        <v>9875</v>
      </c>
    </row>
    <row r="3373" spans="1:2" x14ac:dyDescent="0.25">
      <c r="A3373" t="s">
        <v>4685</v>
      </c>
      <c r="B3373" t="s">
        <v>9830</v>
      </c>
    </row>
    <row r="3374" spans="1:2" x14ac:dyDescent="0.25">
      <c r="A3374" t="s">
        <v>4685</v>
      </c>
      <c r="B3374" t="s">
        <v>9694</v>
      </c>
    </row>
    <row r="3375" spans="1:2" x14ac:dyDescent="0.25">
      <c r="A3375" t="s">
        <v>4685</v>
      </c>
      <c r="B3375" t="s">
        <v>10217</v>
      </c>
    </row>
    <row r="3376" spans="1:2" x14ac:dyDescent="0.25">
      <c r="A3376" t="s">
        <v>4685</v>
      </c>
      <c r="B3376" t="s">
        <v>9831</v>
      </c>
    </row>
    <row r="3377" spans="1:2" x14ac:dyDescent="0.25">
      <c r="A3377" t="s">
        <v>4685</v>
      </c>
      <c r="B3377" t="s">
        <v>9669</v>
      </c>
    </row>
    <row r="3378" spans="1:2" x14ac:dyDescent="0.25">
      <c r="A3378" t="s">
        <v>4685</v>
      </c>
      <c r="B3378" t="s">
        <v>9799</v>
      </c>
    </row>
    <row r="3379" spans="1:2" x14ac:dyDescent="0.25">
      <c r="A3379" t="s">
        <v>4685</v>
      </c>
      <c r="B3379" t="s">
        <v>10218</v>
      </c>
    </row>
    <row r="3380" spans="1:2" x14ac:dyDescent="0.25">
      <c r="A3380" t="s">
        <v>4685</v>
      </c>
      <c r="B3380" t="s">
        <v>10299</v>
      </c>
    </row>
    <row r="3381" spans="1:2" x14ac:dyDescent="0.25">
      <c r="A3381" t="s">
        <v>4685</v>
      </c>
      <c r="B3381" t="s">
        <v>13023</v>
      </c>
    </row>
    <row r="3382" spans="1:2" x14ac:dyDescent="0.25">
      <c r="A3382" t="s">
        <v>4685</v>
      </c>
      <c r="B3382" t="s">
        <v>13040</v>
      </c>
    </row>
    <row r="3383" spans="1:2" x14ac:dyDescent="0.25">
      <c r="A3383" t="s">
        <v>4685</v>
      </c>
      <c r="B3383" t="s">
        <v>13415</v>
      </c>
    </row>
    <row r="3384" spans="1:2" x14ac:dyDescent="0.25">
      <c r="A3384" t="s">
        <v>4685</v>
      </c>
      <c r="B3384" t="s">
        <v>13665</v>
      </c>
    </row>
    <row r="3385" spans="1:2" x14ac:dyDescent="0.25">
      <c r="A3385" t="s">
        <v>4685</v>
      </c>
      <c r="B3385" t="s">
        <v>13673</v>
      </c>
    </row>
    <row r="3386" spans="1:2" x14ac:dyDescent="0.25">
      <c r="A3386" t="s">
        <v>4685</v>
      </c>
      <c r="B3386" t="s">
        <v>13929</v>
      </c>
    </row>
    <row r="3387" spans="1:2" x14ac:dyDescent="0.25">
      <c r="A3387" t="s">
        <v>4685</v>
      </c>
      <c r="B3387" t="s">
        <v>13958</v>
      </c>
    </row>
    <row r="3388" spans="1:2" x14ac:dyDescent="0.25">
      <c r="A3388" t="s">
        <v>4551</v>
      </c>
      <c r="B3388" t="s">
        <v>9604</v>
      </c>
    </row>
    <row r="3389" spans="1:2" x14ac:dyDescent="0.25">
      <c r="A3389" t="s">
        <v>4551</v>
      </c>
      <c r="B3389" t="s">
        <v>9605</v>
      </c>
    </row>
    <row r="3390" spans="1:2" x14ac:dyDescent="0.25">
      <c r="A3390" t="s">
        <v>4551</v>
      </c>
      <c r="B3390" t="s">
        <v>9818</v>
      </c>
    </row>
    <row r="3391" spans="1:2" x14ac:dyDescent="0.25">
      <c r="A3391" t="s">
        <v>4551</v>
      </c>
      <c r="B3391" t="s">
        <v>9582</v>
      </c>
    </row>
    <row r="3392" spans="1:2" x14ac:dyDescent="0.25">
      <c r="A3392" t="s">
        <v>4551</v>
      </c>
      <c r="B3392" t="s">
        <v>10290</v>
      </c>
    </row>
    <row r="3393" spans="1:2" x14ac:dyDescent="0.25">
      <c r="A3393" t="s">
        <v>4551</v>
      </c>
      <c r="B3393" t="s">
        <v>10348</v>
      </c>
    </row>
    <row r="3394" spans="1:2" x14ac:dyDescent="0.25">
      <c r="A3394" t="s">
        <v>4551</v>
      </c>
      <c r="B3394" t="s">
        <v>9545</v>
      </c>
    </row>
    <row r="3395" spans="1:2" x14ac:dyDescent="0.25">
      <c r="A3395" t="s">
        <v>4551</v>
      </c>
      <c r="B3395" t="s">
        <v>9522</v>
      </c>
    </row>
    <row r="3396" spans="1:2" x14ac:dyDescent="0.25">
      <c r="A3396" t="s">
        <v>4551</v>
      </c>
      <c r="B3396" t="s">
        <v>10289</v>
      </c>
    </row>
    <row r="3397" spans="1:2" x14ac:dyDescent="0.25">
      <c r="A3397" t="s">
        <v>227</v>
      </c>
      <c r="B3397" t="s">
        <v>9690</v>
      </c>
    </row>
    <row r="3398" spans="1:2" x14ac:dyDescent="0.25">
      <c r="A3398" t="s">
        <v>227</v>
      </c>
      <c r="B3398" t="s">
        <v>10189</v>
      </c>
    </row>
    <row r="3399" spans="1:2" x14ac:dyDescent="0.25">
      <c r="A3399" t="s">
        <v>227</v>
      </c>
      <c r="B3399" t="s">
        <v>9740</v>
      </c>
    </row>
    <row r="3400" spans="1:2" x14ac:dyDescent="0.25">
      <c r="A3400" t="s">
        <v>227</v>
      </c>
      <c r="B3400" t="s">
        <v>10812</v>
      </c>
    </row>
    <row r="3401" spans="1:2" x14ac:dyDescent="0.25">
      <c r="A3401" t="s">
        <v>227</v>
      </c>
      <c r="B3401" t="s">
        <v>9939</v>
      </c>
    </row>
    <row r="3402" spans="1:2" x14ac:dyDescent="0.25">
      <c r="A3402" t="s">
        <v>227</v>
      </c>
      <c r="B3402" t="s">
        <v>9868</v>
      </c>
    </row>
    <row r="3403" spans="1:2" x14ac:dyDescent="0.25">
      <c r="A3403" t="s">
        <v>227</v>
      </c>
      <c r="B3403" t="s">
        <v>10320</v>
      </c>
    </row>
    <row r="3404" spans="1:2" x14ac:dyDescent="0.25">
      <c r="A3404" t="s">
        <v>227</v>
      </c>
      <c r="B3404" t="s">
        <v>9996</v>
      </c>
    </row>
    <row r="3405" spans="1:2" x14ac:dyDescent="0.25">
      <c r="A3405" t="s">
        <v>227</v>
      </c>
      <c r="B3405" t="s">
        <v>10057</v>
      </c>
    </row>
    <row r="3406" spans="1:2" x14ac:dyDescent="0.25">
      <c r="A3406" t="s">
        <v>227</v>
      </c>
      <c r="B3406" t="s">
        <v>10048</v>
      </c>
    </row>
    <row r="3407" spans="1:2" x14ac:dyDescent="0.25">
      <c r="A3407" t="s">
        <v>227</v>
      </c>
      <c r="B3407" t="s">
        <v>10190</v>
      </c>
    </row>
    <row r="3408" spans="1:2" x14ac:dyDescent="0.25">
      <c r="A3408" t="s">
        <v>227</v>
      </c>
      <c r="B3408" t="s">
        <v>10071</v>
      </c>
    </row>
    <row r="3409" spans="1:2" x14ac:dyDescent="0.25">
      <c r="A3409" t="s">
        <v>227</v>
      </c>
      <c r="B3409" t="s">
        <v>10049</v>
      </c>
    </row>
    <row r="3410" spans="1:2" x14ac:dyDescent="0.25">
      <c r="A3410" t="s">
        <v>227</v>
      </c>
      <c r="B3410" t="s">
        <v>9615</v>
      </c>
    </row>
    <row r="3411" spans="1:2" x14ac:dyDescent="0.25">
      <c r="A3411" t="s">
        <v>227</v>
      </c>
      <c r="B3411" t="s">
        <v>10321</v>
      </c>
    </row>
    <row r="3412" spans="1:2" x14ac:dyDescent="0.25">
      <c r="A3412" t="s">
        <v>227</v>
      </c>
      <c r="B3412" t="s">
        <v>12866</v>
      </c>
    </row>
    <row r="3413" spans="1:2" x14ac:dyDescent="0.25">
      <c r="A3413" t="s">
        <v>227</v>
      </c>
      <c r="B3413" t="s">
        <v>12869</v>
      </c>
    </row>
    <row r="3414" spans="1:2" x14ac:dyDescent="0.25">
      <c r="A3414" t="s">
        <v>550</v>
      </c>
      <c r="B3414" t="s">
        <v>9458</v>
      </c>
    </row>
    <row r="3415" spans="1:2" x14ac:dyDescent="0.25">
      <c r="A3415" t="s">
        <v>550</v>
      </c>
      <c r="B3415" t="s">
        <v>9092</v>
      </c>
    </row>
    <row r="3416" spans="1:2" x14ac:dyDescent="0.25">
      <c r="A3416" t="s">
        <v>550</v>
      </c>
      <c r="B3416" t="s">
        <v>9093</v>
      </c>
    </row>
    <row r="3417" spans="1:2" x14ac:dyDescent="0.25">
      <c r="A3417" t="s">
        <v>550</v>
      </c>
      <c r="B3417" t="s">
        <v>9295</v>
      </c>
    </row>
    <row r="3418" spans="1:2" x14ac:dyDescent="0.25">
      <c r="A3418" t="s">
        <v>550</v>
      </c>
      <c r="B3418" t="s">
        <v>9008</v>
      </c>
    </row>
    <row r="3419" spans="1:2" x14ac:dyDescent="0.25">
      <c r="A3419" t="s">
        <v>550</v>
      </c>
      <c r="B3419" t="s">
        <v>9325</v>
      </c>
    </row>
    <row r="3420" spans="1:2" x14ac:dyDescent="0.25">
      <c r="A3420" t="s">
        <v>550</v>
      </c>
      <c r="B3420" t="s">
        <v>9338</v>
      </c>
    </row>
    <row r="3421" spans="1:2" x14ac:dyDescent="0.25">
      <c r="A3421" t="s">
        <v>550</v>
      </c>
      <c r="B3421" t="s">
        <v>9398</v>
      </c>
    </row>
    <row r="3422" spans="1:2" x14ac:dyDescent="0.25">
      <c r="A3422" t="s">
        <v>550</v>
      </c>
      <c r="B3422" t="s">
        <v>10509</v>
      </c>
    </row>
    <row r="3423" spans="1:2" x14ac:dyDescent="0.25">
      <c r="A3423" t="s">
        <v>550</v>
      </c>
      <c r="B3423" t="s">
        <v>8842</v>
      </c>
    </row>
    <row r="3424" spans="1:2" x14ac:dyDescent="0.25">
      <c r="A3424" t="s">
        <v>550</v>
      </c>
      <c r="B3424" t="s">
        <v>8912</v>
      </c>
    </row>
    <row r="3425" spans="1:2" x14ac:dyDescent="0.25">
      <c r="A3425" t="s">
        <v>315</v>
      </c>
      <c r="B3425" t="s">
        <v>8060</v>
      </c>
    </row>
    <row r="3426" spans="1:2" x14ac:dyDescent="0.25">
      <c r="A3426" t="s">
        <v>315</v>
      </c>
      <c r="B3426" t="s">
        <v>8055</v>
      </c>
    </row>
    <row r="3427" spans="1:2" x14ac:dyDescent="0.25">
      <c r="A3427" t="s">
        <v>315</v>
      </c>
      <c r="B3427" t="s">
        <v>8056</v>
      </c>
    </row>
    <row r="3428" spans="1:2" x14ac:dyDescent="0.25">
      <c r="A3428" t="s">
        <v>315</v>
      </c>
      <c r="B3428" t="s">
        <v>9509</v>
      </c>
    </row>
    <row r="3429" spans="1:2" x14ac:dyDescent="0.25">
      <c r="A3429" t="s">
        <v>315</v>
      </c>
      <c r="B3429" t="s">
        <v>8058</v>
      </c>
    </row>
    <row r="3430" spans="1:2" x14ac:dyDescent="0.25">
      <c r="A3430" t="s">
        <v>315</v>
      </c>
      <c r="B3430" t="s">
        <v>8059</v>
      </c>
    </row>
    <row r="3431" spans="1:2" x14ac:dyDescent="0.25">
      <c r="A3431" t="s">
        <v>315</v>
      </c>
      <c r="B3431" t="s">
        <v>8061</v>
      </c>
    </row>
    <row r="3432" spans="1:2" x14ac:dyDescent="0.25">
      <c r="A3432" t="s">
        <v>315</v>
      </c>
      <c r="B3432" t="s">
        <v>8054</v>
      </c>
    </row>
    <row r="3433" spans="1:2" x14ac:dyDescent="0.25">
      <c r="A3433" t="s">
        <v>315</v>
      </c>
      <c r="B3433" t="s">
        <v>8063</v>
      </c>
    </row>
    <row r="3434" spans="1:2" x14ac:dyDescent="0.25">
      <c r="A3434" t="s">
        <v>315</v>
      </c>
      <c r="B3434" t="s">
        <v>8057</v>
      </c>
    </row>
    <row r="3435" spans="1:2" x14ac:dyDescent="0.25">
      <c r="A3435" t="s">
        <v>315</v>
      </c>
      <c r="B3435" t="s">
        <v>13224</v>
      </c>
    </row>
    <row r="3436" spans="1:2" x14ac:dyDescent="0.25">
      <c r="A3436" t="s">
        <v>39</v>
      </c>
      <c r="B3436" t="s">
        <v>8043</v>
      </c>
    </row>
    <row r="3437" spans="1:2" x14ac:dyDescent="0.25">
      <c r="A3437" t="s">
        <v>39</v>
      </c>
      <c r="B3437" t="s">
        <v>8432</v>
      </c>
    </row>
    <row r="3438" spans="1:2" x14ac:dyDescent="0.25">
      <c r="A3438" t="s">
        <v>39</v>
      </c>
      <c r="B3438" t="s">
        <v>12361</v>
      </c>
    </row>
    <row r="3439" spans="1:2" x14ac:dyDescent="0.25">
      <c r="A3439" t="s">
        <v>39</v>
      </c>
      <c r="B3439" t="s">
        <v>8042</v>
      </c>
    </row>
    <row r="3440" spans="1:2" x14ac:dyDescent="0.25">
      <c r="A3440" t="s">
        <v>39</v>
      </c>
      <c r="B3440" t="s">
        <v>8065</v>
      </c>
    </row>
    <row r="3441" spans="1:2" x14ac:dyDescent="0.25">
      <c r="A3441" t="s">
        <v>39</v>
      </c>
      <c r="B3441" t="s">
        <v>12358</v>
      </c>
    </row>
    <row r="3442" spans="1:2" x14ac:dyDescent="0.25">
      <c r="A3442" t="s">
        <v>39</v>
      </c>
      <c r="B3442" t="s">
        <v>8040</v>
      </c>
    </row>
    <row r="3443" spans="1:2" x14ac:dyDescent="0.25">
      <c r="A3443" t="s">
        <v>39</v>
      </c>
      <c r="B3443" t="s">
        <v>8053</v>
      </c>
    </row>
    <row r="3444" spans="1:2" x14ac:dyDescent="0.25">
      <c r="A3444" t="s">
        <v>39</v>
      </c>
      <c r="B3444" t="s">
        <v>8041</v>
      </c>
    </row>
    <row r="3445" spans="1:2" x14ac:dyDescent="0.25">
      <c r="A3445" t="s">
        <v>39</v>
      </c>
      <c r="B3445" t="s">
        <v>12354</v>
      </c>
    </row>
    <row r="3446" spans="1:2" x14ac:dyDescent="0.25">
      <c r="A3446" t="s">
        <v>39</v>
      </c>
      <c r="B3446" t="s">
        <v>8067</v>
      </c>
    </row>
    <row r="3447" spans="1:2" x14ac:dyDescent="0.25">
      <c r="A3447" t="s">
        <v>39</v>
      </c>
      <c r="B3447" t="s">
        <v>8069</v>
      </c>
    </row>
    <row r="3448" spans="1:2" x14ac:dyDescent="0.25">
      <c r="A3448" t="s">
        <v>39</v>
      </c>
      <c r="B3448" t="s">
        <v>12364</v>
      </c>
    </row>
    <row r="3449" spans="1:2" x14ac:dyDescent="0.25">
      <c r="A3449" t="s">
        <v>39</v>
      </c>
      <c r="B3449" t="s">
        <v>8048</v>
      </c>
    </row>
    <row r="3450" spans="1:2" x14ac:dyDescent="0.25">
      <c r="A3450" t="s">
        <v>39</v>
      </c>
      <c r="B3450" t="s">
        <v>8045</v>
      </c>
    </row>
    <row r="3451" spans="1:2" x14ac:dyDescent="0.25">
      <c r="A3451" t="s">
        <v>39</v>
      </c>
      <c r="B3451" t="s">
        <v>8049</v>
      </c>
    </row>
    <row r="3452" spans="1:2" x14ac:dyDescent="0.25">
      <c r="A3452" t="s">
        <v>39</v>
      </c>
      <c r="B3452" t="s">
        <v>8051</v>
      </c>
    </row>
    <row r="3453" spans="1:2" x14ac:dyDescent="0.25">
      <c r="A3453" t="s">
        <v>39</v>
      </c>
      <c r="B3453" t="s">
        <v>8047</v>
      </c>
    </row>
    <row r="3454" spans="1:2" x14ac:dyDescent="0.25">
      <c r="A3454" t="s">
        <v>39</v>
      </c>
      <c r="B3454" t="s">
        <v>8037</v>
      </c>
    </row>
    <row r="3455" spans="1:2" x14ac:dyDescent="0.25">
      <c r="A3455" t="s">
        <v>39</v>
      </c>
      <c r="B3455" t="s">
        <v>8046</v>
      </c>
    </row>
    <row r="3456" spans="1:2" x14ac:dyDescent="0.25">
      <c r="A3456" t="s">
        <v>39</v>
      </c>
      <c r="B3456" t="s">
        <v>8050</v>
      </c>
    </row>
    <row r="3457" spans="1:2" x14ac:dyDescent="0.25">
      <c r="A3457" t="s">
        <v>39</v>
      </c>
      <c r="B3457" t="s">
        <v>8036</v>
      </c>
    </row>
    <row r="3458" spans="1:2" x14ac:dyDescent="0.25">
      <c r="A3458" t="s">
        <v>225</v>
      </c>
      <c r="B3458" t="s">
        <v>9936</v>
      </c>
    </row>
    <row r="3459" spans="1:2" x14ac:dyDescent="0.25">
      <c r="A3459" t="s">
        <v>225</v>
      </c>
      <c r="B3459" t="s">
        <v>10287</v>
      </c>
    </row>
    <row r="3460" spans="1:2" x14ac:dyDescent="0.25">
      <c r="A3460" t="s">
        <v>225</v>
      </c>
      <c r="B3460" t="s">
        <v>10147</v>
      </c>
    </row>
    <row r="3461" spans="1:2" x14ac:dyDescent="0.25">
      <c r="A3461" t="s">
        <v>225</v>
      </c>
      <c r="B3461" t="s">
        <v>9835</v>
      </c>
    </row>
    <row r="3462" spans="1:2" x14ac:dyDescent="0.25">
      <c r="A3462" t="s">
        <v>225</v>
      </c>
      <c r="B3462" t="s">
        <v>10015</v>
      </c>
    </row>
    <row r="3463" spans="1:2" x14ac:dyDescent="0.25">
      <c r="A3463" t="s">
        <v>225</v>
      </c>
      <c r="B3463" t="s">
        <v>9750</v>
      </c>
    </row>
    <row r="3464" spans="1:2" x14ac:dyDescent="0.25">
      <c r="A3464" t="s">
        <v>225</v>
      </c>
      <c r="B3464" t="s">
        <v>10286</v>
      </c>
    </row>
    <row r="3465" spans="1:2" x14ac:dyDescent="0.25">
      <c r="A3465" t="s">
        <v>225</v>
      </c>
      <c r="B3465" t="s">
        <v>9733</v>
      </c>
    </row>
    <row r="3466" spans="1:2" x14ac:dyDescent="0.25">
      <c r="A3466" t="s">
        <v>225</v>
      </c>
      <c r="B3466" t="s">
        <v>10165</v>
      </c>
    </row>
    <row r="3467" spans="1:2" x14ac:dyDescent="0.25">
      <c r="A3467" t="s">
        <v>225</v>
      </c>
      <c r="B3467" t="s">
        <v>9598</v>
      </c>
    </row>
    <row r="3468" spans="1:2" x14ac:dyDescent="0.25">
      <c r="A3468" t="s">
        <v>225</v>
      </c>
      <c r="B3468" t="s">
        <v>10031</v>
      </c>
    </row>
    <row r="3469" spans="1:2" x14ac:dyDescent="0.25">
      <c r="A3469" t="s">
        <v>225</v>
      </c>
      <c r="B3469" t="s">
        <v>9528</v>
      </c>
    </row>
    <row r="3470" spans="1:2" x14ac:dyDescent="0.25">
      <c r="A3470" t="s">
        <v>225</v>
      </c>
      <c r="B3470" t="s">
        <v>10261</v>
      </c>
    </row>
    <row r="3471" spans="1:2" x14ac:dyDescent="0.25">
      <c r="A3471" t="s">
        <v>225</v>
      </c>
      <c r="B3471" t="s">
        <v>13379</v>
      </c>
    </row>
    <row r="3472" spans="1:2" x14ac:dyDescent="0.25">
      <c r="A3472" t="s">
        <v>225</v>
      </c>
      <c r="B3472" t="s">
        <v>14111</v>
      </c>
    </row>
    <row r="3473" spans="1:2" x14ac:dyDescent="0.25">
      <c r="A3473" t="s">
        <v>225</v>
      </c>
      <c r="B3473" t="s">
        <v>14174</v>
      </c>
    </row>
    <row r="3474" spans="1:2" x14ac:dyDescent="0.25">
      <c r="A3474" t="s">
        <v>225</v>
      </c>
      <c r="B3474" t="s">
        <v>14186</v>
      </c>
    </row>
    <row r="3475" spans="1:2" x14ac:dyDescent="0.25">
      <c r="A3475" t="s">
        <v>11141</v>
      </c>
      <c r="B3475" t="s">
        <v>11288</v>
      </c>
    </row>
    <row r="3476" spans="1:2" x14ac:dyDescent="0.25">
      <c r="A3476" t="s">
        <v>181</v>
      </c>
      <c r="B3476" t="s">
        <v>11053</v>
      </c>
    </row>
    <row r="3477" spans="1:2" x14ac:dyDescent="0.25">
      <c r="A3477" t="s">
        <v>181</v>
      </c>
      <c r="B3477" t="s">
        <v>11072</v>
      </c>
    </row>
    <row r="3478" spans="1:2" x14ac:dyDescent="0.25">
      <c r="A3478" t="s">
        <v>181</v>
      </c>
      <c r="B3478" t="s">
        <v>11246</v>
      </c>
    </row>
    <row r="3479" spans="1:2" x14ac:dyDescent="0.25">
      <c r="A3479" t="s">
        <v>181</v>
      </c>
      <c r="B3479" t="s">
        <v>11059</v>
      </c>
    </row>
    <row r="3480" spans="1:2" x14ac:dyDescent="0.25">
      <c r="A3480" t="s">
        <v>181</v>
      </c>
      <c r="B3480" t="s">
        <v>11056</v>
      </c>
    </row>
    <row r="3481" spans="1:2" x14ac:dyDescent="0.25">
      <c r="A3481" t="s">
        <v>181</v>
      </c>
      <c r="B3481" t="s">
        <v>11262</v>
      </c>
    </row>
    <row r="3482" spans="1:2" x14ac:dyDescent="0.25">
      <c r="A3482" t="s">
        <v>105</v>
      </c>
      <c r="B3482" t="s">
        <v>10464</v>
      </c>
    </row>
    <row r="3483" spans="1:2" x14ac:dyDescent="0.25">
      <c r="A3483" t="s">
        <v>105</v>
      </c>
      <c r="B3483" t="s">
        <v>8522</v>
      </c>
    </row>
    <row r="3484" spans="1:2" x14ac:dyDescent="0.25">
      <c r="A3484" t="s">
        <v>105</v>
      </c>
      <c r="B3484" t="s">
        <v>11612</v>
      </c>
    </row>
    <row r="3485" spans="1:2" x14ac:dyDescent="0.25">
      <c r="A3485" t="s">
        <v>105</v>
      </c>
      <c r="B3485" t="s">
        <v>8533</v>
      </c>
    </row>
    <row r="3486" spans="1:2" x14ac:dyDescent="0.25">
      <c r="A3486" t="s">
        <v>105</v>
      </c>
      <c r="B3486" t="s">
        <v>8518</v>
      </c>
    </row>
    <row r="3487" spans="1:2" x14ac:dyDescent="0.25">
      <c r="A3487" t="s">
        <v>105</v>
      </c>
      <c r="B3487" t="s">
        <v>8535</v>
      </c>
    </row>
    <row r="3488" spans="1:2" x14ac:dyDescent="0.25">
      <c r="A3488" t="s">
        <v>105</v>
      </c>
      <c r="B3488" t="s">
        <v>11609</v>
      </c>
    </row>
    <row r="3489" spans="1:2" x14ac:dyDescent="0.25">
      <c r="A3489" t="s">
        <v>105</v>
      </c>
      <c r="B3489" t="s">
        <v>8534</v>
      </c>
    </row>
    <row r="3490" spans="1:2" x14ac:dyDescent="0.25">
      <c r="A3490" t="s">
        <v>105</v>
      </c>
      <c r="B3490" t="s">
        <v>13569</v>
      </c>
    </row>
    <row r="3491" spans="1:2" x14ac:dyDescent="0.25">
      <c r="A3491" t="s">
        <v>105</v>
      </c>
      <c r="B3491" t="s">
        <v>13659</v>
      </c>
    </row>
    <row r="3492" spans="1:2" x14ac:dyDescent="0.25">
      <c r="A3492" t="s">
        <v>105</v>
      </c>
      <c r="B3492" t="s">
        <v>13765</v>
      </c>
    </row>
    <row r="3493" spans="1:2" x14ac:dyDescent="0.25">
      <c r="A3493" t="s">
        <v>12350</v>
      </c>
      <c r="B3493" t="s">
        <v>8755</v>
      </c>
    </row>
    <row r="3494" spans="1:2" x14ac:dyDescent="0.25">
      <c r="A3494" t="s">
        <v>10963</v>
      </c>
      <c r="B3494" t="s">
        <v>11001</v>
      </c>
    </row>
    <row r="3495" spans="1:2" x14ac:dyDescent="0.25">
      <c r="A3495" t="s">
        <v>10963</v>
      </c>
      <c r="B3495" t="s">
        <v>11070</v>
      </c>
    </row>
    <row r="3496" spans="1:2" x14ac:dyDescent="0.25">
      <c r="A3496" t="s">
        <v>10963</v>
      </c>
      <c r="B3496" t="s">
        <v>10976</v>
      </c>
    </row>
    <row r="3497" spans="1:2" x14ac:dyDescent="0.25">
      <c r="A3497" t="s">
        <v>10963</v>
      </c>
      <c r="B3497" t="s">
        <v>11373</v>
      </c>
    </row>
    <row r="3498" spans="1:2" x14ac:dyDescent="0.25">
      <c r="A3498" t="s">
        <v>10963</v>
      </c>
      <c r="B3498" t="s">
        <v>10959</v>
      </c>
    </row>
    <row r="3499" spans="1:2" x14ac:dyDescent="0.25">
      <c r="A3499" t="s">
        <v>10963</v>
      </c>
      <c r="B3499" t="s">
        <v>11349</v>
      </c>
    </row>
    <row r="3500" spans="1:2" x14ac:dyDescent="0.25">
      <c r="A3500" t="s">
        <v>10963</v>
      </c>
      <c r="B3500" t="s">
        <v>10967</v>
      </c>
    </row>
    <row r="3501" spans="1:2" x14ac:dyDescent="0.25">
      <c r="A3501" t="s">
        <v>10963</v>
      </c>
      <c r="B3501" t="s">
        <v>10970</v>
      </c>
    </row>
    <row r="3502" spans="1:2" x14ac:dyDescent="0.25">
      <c r="A3502" t="s">
        <v>10963</v>
      </c>
      <c r="B3502" t="s">
        <v>11345</v>
      </c>
    </row>
    <row r="3503" spans="1:2" x14ac:dyDescent="0.25">
      <c r="A3503" t="s">
        <v>343</v>
      </c>
      <c r="B3503" t="s">
        <v>10458</v>
      </c>
    </row>
    <row r="3504" spans="1:2" x14ac:dyDescent="0.25">
      <c r="A3504" t="s">
        <v>343</v>
      </c>
      <c r="B3504" t="s">
        <v>8700</v>
      </c>
    </row>
    <row r="3505" spans="1:2" x14ac:dyDescent="0.25">
      <c r="A3505" t="s">
        <v>343</v>
      </c>
      <c r="B3505" t="s">
        <v>11601</v>
      </c>
    </row>
    <row r="3506" spans="1:2" x14ac:dyDescent="0.25">
      <c r="A3506" t="s">
        <v>343</v>
      </c>
      <c r="B3506" t="s">
        <v>8131</v>
      </c>
    </row>
    <row r="3507" spans="1:2" x14ac:dyDescent="0.25">
      <c r="A3507" t="s">
        <v>343</v>
      </c>
      <c r="B3507" t="s">
        <v>8100</v>
      </c>
    </row>
    <row r="3508" spans="1:2" x14ac:dyDescent="0.25">
      <c r="A3508" t="s">
        <v>343</v>
      </c>
      <c r="B3508" t="s">
        <v>12756</v>
      </c>
    </row>
    <row r="3509" spans="1:2" x14ac:dyDescent="0.25">
      <c r="A3509" t="s">
        <v>343</v>
      </c>
      <c r="B3509" t="s">
        <v>8152</v>
      </c>
    </row>
    <row r="3510" spans="1:2" x14ac:dyDescent="0.25">
      <c r="A3510" t="s">
        <v>343</v>
      </c>
      <c r="B3510" t="s">
        <v>13227</v>
      </c>
    </row>
    <row r="3511" spans="1:2" x14ac:dyDescent="0.25">
      <c r="A3511" t="s">
        <v>718</v>
      </c>
      <c r="B3511" t="s">
        <v>10338</v>
      </c>
    </row>
    <row r="3512" spans="1:2" x14ac:dyDescent="0.25">
      <c r="A3512" t="s">
        <v>718</v>
      </c>
      <c r="B3512" t="s">
        <v>10091</v>
      </c>
    </row>
    <row r="3513" spans="1:2" x14ac:dyDescent="0.25">
      <c r="A3513" t="s">
        <v>718</v>
      </c>
      <c r="B3513" t="s">
        <v>9580</v>
      </c>
    </row>
    <row r="3514" spans="1:2" x14ac:dyDescent="0.25">
      <c r="A3514" t="s">
        <v>718</v>
      </c>
      <c r="B3514" t="s">
        <v>10308</v>
      </c>
    </row>
    <row r="3515" spans="1:2" x14ac:dyDescent="0.25">
      <c r="A3515" t="s">
        <v>718</v>
      </c>
      <c r="B3515" t="s">
        <v>9790</v>
      </c>
    </row>
    <row r="3516" spans="1:2" x14ac:dyDescent="0.25">
      <c r="A3516" t="s">
        <v>718</v>
      </c>
      <c r="B3516" t="s">
        <v>10133</v>
      </c>
    </row>
    <row r="3517" spans="1:2" x14ac:dyDescent="0.25">
      <c r="A3517" t="s">
        <v>718</v>
      </c>
      <c r="B3517" t="s">
        <v>9992</v>
      </c>
    </row>
    <row r="3518" spans="1:2" x14ac:dyDescent="0.25">
      <c r="A3518" t="s">
        <v>718</v>
      </c>
      <c r="B3518" t="s">
        <v>10214</v>
      </c>
    </row>
    <row r="3519" spans="1:2" x14ac:dyDescent="0.25">
      <c r="A3519" t="s">
        <v>718</v>
      </c>
      <c r="B3519" t="s">
        <v>10005</v>
      </c>
    </row>
    <row r="3520" spans="1:2" x14ac:dyDescent="0.25">
      <c r="A3520" t="s">
        <v>718</v>
      </c>
      <c r="B3520" t="s">
        <v>10306</v>
      </c>
    </row>
    <row r="3521" spans="1:2" x14ac:dyDescent="0.25">
      <c r="A3521" t="s">
        <v>796</v>
      </c>
      <c r="B3521" t="s">
        <v>10417</v>
      </c>
    </row>
    <row r="3522" spans="1:2" x14ac:dyDescent="0.25">
      <c r="A3522" t="s">
        <v>796</v>
      </c>
      <c r="B3522" t="s">
        <v>10439</v>
      </c>
    </row>
    <row r="3523" spans="1:2" x14ac:dyDescent="0.25">
      <c r="A3523" t="s">
        <v>796</v>
      </c>
      <c r="B3523" t="s">
        <v>10455</v>
      </c>
    </row>
    <row r="3524" spans="1:2" x14ac:dyDescent="0.25">
      <c r="A3524" t="s">
        <v>796</v>
      </c>
      <c r="B3524" t="s">
        <v>12614</v>
      </c>
    </row>
    <row r="3525" spans="1:2" x14ac:dyDescent="0.25">
      <c r="A3525" t="s">
        <v>796</v>
      </c>
      <c r="B3525" t="s">
        <v>10441</v>
      </c>
    </row>
    <row r="3526" spans="1:2" x14ac:dyDescent="0.25">
      <c r="A3526" t="s">
        <v>796</v>
      </c>
      <c r="B3526" t="s">
        <v>11444</v>
      </c>
    </row>
    <row r="3527" spans="1:2" x14ac:dyDescent="0.25">
      <c r="A3527" t="s">
        <v>796</v>
      </c>
      <c r="B3527" t="s">
        <v>10444</v>
      </c>
    </row>
    <row r="3528" spans="1:2" x14ac:dyDescent="0.25">
      <c r="A3528" t="s">
        <v>796</v>
      </c>
      <c r="B3528" t="s">
        <v>10438</v>
      </c>
    </row>
    <row r="3529" spans="1:2" x14ac:dyDescent="0.25">
      <c r="A3529" t="s">
        <v>796</v>
      </c>
      <c r="B3529" t="s">
        <v>10433</v>
      </c>
    </row>
    <row r="3530" spans="1:2" x14ac:dyDescent="0.25">
      <c r="A3530" t="s">
        <v>796</v>
      </c>
      <c r="B3530" t="s">
        <v>11469</v>
      </c>
    </row>
    <row r="3531" spans="1:2" x14ac:dyDescent="0.25">
      <c r="A3531" t="s">
        <v>796</v>
      </c>
      <c r="B3531" t="s">
        <v>10454</v>
      </c>
    </row>
    <row r="3532" spans="1:2" x14ac:dyDescent="0.25">
      <c r="A3532" t="s">
        <v>796</v>
      </c>
      <c r="B3532" t="s">
        <v>10448</v>
      </c>
    </row>
    <row r="3533" spans="1:2" x14ac:dyDescent="0.25">
      <c r="A3533" t="s">
        <v>796</v>
      </c>
      <c r="B3533" t="s">
        <v>11908</v>
      </c>
    </row>
    <row r="3534" spans="1:2" x14ac:dyDescent="0.25">
      <c r="A3534" t="s">
        <v>796</v>
      </c>
      <c r="B3534" t="s">
        <v>10501</v>
      </c>
    </row>
    <row r="3535" spans="1:2" x14ac:dyDescent="0.25">
      <c r="A3535" t="s">
        <v>789</v>
      </c>
      <c r="B3535" t="s">
        <v>10418</v>
      </c>
    </row>
    <row r="3536" spans="1:2" x14ac:dyDescent="0.25">
      <c r="A3536" t="s">
        <v>789</v>
      </c>
      <c r="B3536" t="s">
        <v>10423</v>
      </c>
    </row>
    <row r="3537" spans="1:2" x14ac:dyDescent="0.25">
      <c r="A3537" t="s">
        <v>789</v>
      </c>
      <c r="B3537" t="s">
        <v>10419</v>
      </c>
    </row>
    <row r="3538" spans="1:2" x14ac:dyDescent="0.25">
      <c r="A3538" t="s">
        <v>789</v>
      </c>
      <c r="B3538" t="s">
        <v>10428</v>
      </c>
    </row>
    <row r="3539" spans="1:2" x14ac:dyDescent="0.25">
      <c r="A3539" t="s">
        <v>789</v>
      </c>
      <c r="B3539" t="s">
        <v>10436</v>
      </c>
    </row>
    <row r="3540" spans="1:2" x14ac:dyDescent="0.25">
      <c r="A3540" t="s">
        <v>789</v>
      </c>
      <c r="B3540" t="s">
        <v>10426</v>
      </c>
    </row>
    <row r="3541" spans="1:2" x14ac:dyDescent="0.25">
      <c r="A3541" t="s">
        <v>789</v>
      </c>
      <c r="B3541" t="s">
        <v>9787</v>
      </c>
    </row>
    <row r="3542" spans="1:2" x14ac:dyDescent="0.25">
      <c r="A3542" t="s">
        <v>789</v>
      </c>
      <c r="B3542" t="s">
        <v>8129</v>
      </c>
    </row>
    <row r="3543" spans="1:2" x14ac:dyDescent="0.25">
      <c r="A3543" t="s">
        <v>789</v>
      </c>
      <c r="B3543" t="s">
        <v>10415</v>
      </c>
    </row>
    <row r="3544" spans="1:2" x14ac:dyDescent="0.25">
      <c r="A3544" t="s">
        <v>4675</v>
      </c>
      <c r="B3544" t="s">
        <v>10326</v>
      </c>
    </row>
    <row r="3545" spans="1:2" x14ac:dyDescent="0.25">
      <c r="A3545" t="s">
        <v>4675</v>
      </c>
      <c r="B3545" t="s">
        <v>10053</v>
      </c>
    </row>
    <row r="3546" spans="1:2" x14ac:dyDescent="0.25">
      <c r="A3546" t="s">
        <v>4675</v>
      </c>
      <c r="B3546" t="s">
        <v>10351</v>
      </c>
    </row>
    <row r="3547" spans="1:2" x14ac:dyDescent="0.25">
      <c r="A3547" t="s">
        <v>4675</v>
      </c>
      <c r="B3547" t="s">
        <v>9814</v>
      </c>
    </row>
    <row r="3548" spans="1:2" x14ac:dyDescent="0.25">
      <c r="A3548" t="s">
        <v>4675</v>
      </c>
      <c r="B3548" t="s">
        <v>9588</v>
      </c>
    </row>
    <row r="3549" spans="1:2" x14ac:dyDescent="0.25">
      <c r="A3549" t="s">
        <v>4675</v>
      </c>
      <c r="B3549" t="s">
        <v>9753</v>
      </c>
    </row>
    <row r="3550" spans="1:2" x14ac:dyDescent="0.25">
      <c r="A3550" t="s">
        <v>4675</v>
      </c>
      <c r="B3550" t="s">
        <v>10361</v>
      </c>
    </row>
    <row r="3551" spans="1:2" x14ac:dyDescent="0.25">
      <c r="A3551" t="s">
        <v>4675</v>
      </c>
      <c r="B3551" t="s">
        <v>9572</v>
      </c>
    </row>
    <row r="3552" spans="1:2" x14ac:dyDescent="0.25">
      <c r="A3552" t="s">
        <v>4675</v>
      </c>
      <c r="B3552" t="s">
        <v>10166</v>
      </c>
    </row>
    <row r="3553" spans="1:2" x14ac:dyDescent="0.25">
      <c r="A3553" t="s">
        <v>4675</v>
      </c>
      <c r="B3553" t="s">
        <v>10167</v>
      </c>
    </row>
    <row r="3554" spans="1:2" x14ac:dyDescent="0.25">
      <c r="A3554" t="s">
        <v>4802</v>
      </c>
      <c r="B3554" t="s">
        <v>10349</v>
      </c>
    </row>
    <row r="3555" spans="1:2" x14ac:dyDescent="0.25">
      <c r="A3555" t="s">
        <v>4802</v>
      </c>
      <c r="B3555" t="s">
        <v>9966</v>
      </c>
    </row>
    <row r="3556" spans="1:2" x14ac:dyDescent="0.25">
      <c r="A3556" t="s">
        <v>4802</v>
      </c>
      <c r="B3556" t="s">
        <v>9591</v>
      </c>
    </row>
    <row r="3557" spans="1:2" x14ac:dyDescent="0.25">
      <c r="A3557" t="s">
        <v>4802</v>
      </c>
      <c r="B3557" t="s">
        <v>9630</v>
      </c>
    </row>
    <row r="3558" spans="1:2" x14ac:dyDescent="0.25">
      <c r="A3558" t="s">
        <v>4802</v>
      </c>
      <c r="B3558" t="s">
        <v>9988</v>
      </c>
    </row>
    <row r="3559" spans="1:2" x14ac:dyDescent="0.25">
      <c r="A3559" t="s">
        <v>4802</v>
      </c>
      <c r="B3559" t="s">
        <v>13821</v>
      </c>
    </row>
    <row r="3560" spans="1:2" x14ac:dyDescent="0.25">
      <c r="A3560" t="s">
        <v>640</v>
      </c>
      <c r="B3560" t="s">
        <v>9762</v>
      </c>
    </row>
    <row r="3561" spans="1:2" x14ac:dyDescent="0.25">
      <c r="A3561" t="s">
        <v>4843</v>
      </c>
      <c r="B3561" t="s">
        <v>9692</v>
      </c>
    </row>
    <row r="3562" spans="1:2" x14ac:dyDescent="0.25">
      <c r="A3562" t="s">
        <v>4843</v>
      </c>
      <c r="B3562" t="s">
        <v>9927</v>
      </c>
    </row>
    <row r="3563" spans="1:2" x14ac:dyDescent="0.25">
      <c r="A3563" t="s">
        <v>625</v>
      </c>
      <c r="B3563" t="s">
        <v>9854</v>
      </c>
    </row>
    <row r="3564" spans="1:2" x14ac:dyDescent="0.25">
      <c r="A3564" t="s">
        <v>625</v>
      </c>
      <c r="B3564" t="s">
        <v>10178</v>
      </c>
    </row>
    <row r="3565" spans="1:2" x14ac:dyDescent="0.25">
      <c r="A3565" t="s">
        <v>625</v>
      </c>
      <c r="B3565" t="s">
        <v>14645</v>
      </c>
    </row>
    <row r="3566" spans="1:2" x14ac:dyDescent="0.25">
      <c r="A3566" t="s">
        <v>625</v>
      </c>
      <c r="B3566" t="s">
        <v>9567</v>
      </c>
    </row>
    <row r="3567" spans="1:2" x14ac:dyDescent="0.25">
      <c r="A3567" t="s">
        <v>625</v>
      </c>
      <c r="B3567" t="s">
        <v>10303</v>
      </c>
    </row>
    <row r="3568" spans="1:2" x14ac:dyDescent="0.25">
      <c r="A3568" t="s">
        <v>625</v>
      </c>
      <c r="B3568" t="s">
        <v>9897</v>
      </c>
    </row>
    <row r="3569" spans="1:2" x14ac:dyDescent="0.25">
      <c r="A3569" t="s">
        <v>625</v>
      </c>
      <c r="B3569" t="s">
        <v>9719</v>
      </c>
    </row>
    <row r="3570" spans="1:2" x14ac:dyDescent="0.25">
      <c r="A3570" t="s">
        <v>625</v>
      </c>
      <c r="B3570" t="s">
        <v>10279</v>
      </c>
    </row>
    <row r="3571" spans="1:2" x14ac:dyDescent="0.25">
      <c r="A3571" t="s">
        <v>625</v>
      </c>
      <c r="B3571" t="s">
        <v>9880</v>
      </c>
    </row>
    <row r="3572" spans="1:2" x14ac:dyDescent="0.25">
      <c r="A3572" t="s">
        <v>625</v>
      </c>
      <c r="B3572" t="s">
        <v>9777</v>
      </c>
    </row>
    <row r="3573" spans="1:2" x14ac:dyDescent="0.25">
      <c r="A3573" t="s">
        <v>625</v>
      </c>
      <c r="B3573" t="s">
        <v>9837</v>
      </c>
    </row>
    <row r="3574" spans="1:2" x14ac:dyDescent="0.25">
      <c r="A3574" t="s">
        <v>625</v>
      </c>
      <c r="B3574" t="s">
        <v>9769</v>
      </c>
    </row>
    <row r="3575" spans="1:2" x14ac:dyDescent="0.25">
      <c r="A3575" t="s">
        <v>625</v>
      </c>
      <c r="B3575" t="s">
        <v>9563</v>
      </c>
    </row>
    <row r="3576" spans="1:2" x14ac:dyDescent="0.25">
      <c r="A3576" t="s">
        <v>625</v>
      </c>
      <c r="B3576" t="s">
        <v>10266</v>
      </c>
    </row>
    <row r="3577" spans="1:2" x14ac:dyDescent="0.25">
      <c r="A3577" t="s">
        <v>625</v>
      </c>
      <c r="B3577" t="s">
        <v>9658</v>
      </c>
    </row>
    <row r="3578" spans="1:2" x14ac:dyDescent="0.25">
      <c r="A3578" t="s">
        <v>625</v>
      </c>
      <c r="B3578" t="s">
        <v>10263</v>
      </c>
    </row>
    <row r="3579" spans="1:2" x14ac:dyDescent="0.25">
      <c r="A3579" t="s">
        <v>625</v>
      </c>
      <c r="B3579" t="s">
        <v>9639</v>
      </c>
    </row>
    <row r="3580" spans="1:2" x14ac:dyDescent="0.25">
      <c r="A3580" t="s">
        <v>625</v>
      </c>
      <c r="B3580" t="s">
        <v>9792</v>
      </c>
    </row>
    <row r="3581" spans="1:2" x14ac:dyDescent="0.25">
      <c r="A3581" t="s">
        <v>625</v>
      </c>
      <c r="B3581" t="s">
        <v>10238</v>
      </c>
    </row>
    <row r="3582" spans="1:2" x14ac:dyDescent="0.25">
      <c r="A3582" t="s">
        <v>771</v>
      </c>
      <c r="B3582" t="s">
        <v>9538</v>
      </c>
    </row>
    <row r="3583" spans="1:2" x14ac:dyDescent="0.25">
      <c r="A3583" t="s">
        <v>771</v>
      </c>
      <c r="B3583" t="s">
        <v>10342</v>
      </c>
    </row>
    <row r="3584" spans="1:2" x14ac:dyDescent="0.25">
      <c r="A3584" t="s">
        <v>771</v>
      </c>
      <c r="B3584" t="s">
        <v>10301</v>
      </c>
    </row>
    <row r="3585" spans="1:2" x14ac:dyDescent="0.25">
      <c r="A3585" t="s">
        <v>771</v>
      </c>
      <c r="B3585" t="s">
        <v>9878</v>
      </c>
    </row>
    <row r="3586" spans="1:2" x14ac:dyDescent="0.25">
      <c r="A3586" t="s">
        <v>771</v>
      </c>
      <c r="B3586" t="s">
        <v>9667</v>
      </c>
    </row>
    <row r="3587" spans="1:2" x14ac:dyDescent="0.25">
      <c r="A3587" t="s">
        <v>771</v>
      </c>
      <c r="B3587" t="s">
        <v>9521</v>
      </c>
    </row>
    <row r="3588" spans="1:2" x14ac:dyDescent="0.25">
      <c r="A3588" t="s">
        <v>771</v>
      </c>
      <c r="B3588" t="s">
        <v>9707</v>
      </c>
    </row>
    <row r="3589" spans="1:2" x14ac:dyDescent="0.25">
      <c r="A3589" t="s">
        <v>4938</v>
      </c>
      <c r="B3589" t="s">
        <v>9886</v>
      </c>
    </row>
    <row r="3590" spans="1:2" x14ac:dyDescent="0.25">
      <c r="A3590" t="s">
        <v>4938</v>
      </c>
      <c r="B3590" t="s">
        <v>9999</v>
      </c>
    </row>
    <row r="3591" spans="1:2" x14ac:dyDescent="0.25">
      <c r="A3591" t="s">
        <v>4938</v>
      </c>
      <c r="B3591" t="s">
        <v>9691</v>
      </c>
    </row>
    <row r="3592" spans="1:2" x14ac:dyDescent="0.25">
      <c r="A3592" t="s">
        <v>4938</v>
      </c>
      <c r="B3592" t="s">
        <v>10211</v>
      </c>
    </row>
    <row r="3593" spans="1:2" x14ac:dyDescent="0.25">
      <c r="A3593" t="s">
        <v>4938</v>
      </c>
      <c r="B3593" t="s">
        <v>14650</v>
      </c>
    </row>
    <row r="3594" spans="1:2" x14ac:dyDescent="0.25">
      <c r="A3594" t="s">
        <v>340</v>
      </c>
      <c r="B3594" t="s">
        <v>8166</v>
      </c>
    </row>
    <row r="3595" spans="1:2" x14ac:dyDescent="0.25">
      <c r="A3595" t="s">
        <v>340</v>
      </c>
      <c r="B3595" t="s">
        <v>12369</v>
      </c>
    </row>
    <row r="3596" spans="1:2" x14ac:dyDescent="0.25">
      <c r="A3596" t="s">
        <v>340</v>
      </c>
      <c r="B3596" t="s">
        <v>8176</v>
      </c>
    </row>
    <row r="3597" spans="1:2" x14ac:dyDescent="0.25">
      <c r="A3597" t="s">
        <v>340</v>
      </c>
      <c r="B3597" t="s">
        <v>8195</v>
      </c>
    </row>
    <row r="3598" spans="1:2" x14ac:dyDescent="0.25">
      <c r="A3598" t="s">
        <v>340</v>
      </c>
      <c r="B3598" t="s">
        <v>8181</v>
      </c>
    </row>
    <row r="3599" spans="1:2" x14ac:dyDescent="0.25">
      <c r="A3599" t="s">
        <v>340</v>
      </c>
      <c r="B3599" t="s">
        <v>8169</v>
      </c>
    </row>
    <row r="3600" spans="1:2" x14ac:dyDescent="0.25">
      <c r="A3600" t="s">
        <v>340</v>
      </c>
      <c r="B3600" t="s">
        <v>8168</v>
      </c>
    </row>
    <row r="3601" spans="1:2" x14ac:dyDescent="0.25">
      <c r="A3601" t="s">
        <v>340</v>
      </c>
      <c r="B3601" t="s">
        <v>8190</v>
      </c>
    </row>
    <row r="3602" spans="1:2" x14ac:dyDescent="0.25">
      <c r="A3602" t="s">
        <v>340</v>
      </c>
      <c r="B3602" t="s">
        <v>8173</v>
      </c>
    </row>
    <row r="3603" spans="1:2" x14ac:dyDescent="0.25">
      <c r="A3603" t="s">
        <v>340</v>
      </c>
      <c r="B3603" t="s">
        <v>8191</v>
      </c>
    </row>
    <row r="3604" spans="1:2" x14ac:dyDescent="0.25">
      <c r="A3604" t="s">
        <v>340</v>
      </c>
      <c r="B3604" t="s">
        <v>8160</v>
      </c>
    </row>
    <row r="3605" spans="1:2" x14ac:dyDescent="0.25">
      <c r="A3605" t="s">
        <v>340</v>
      </c>
      <c r="B3605" t="s">
        <v>8179</v>
      </c>
    </row>
    <row r="3606" spans="1:2" x14ac:dyDescent="0.25">
      <c r="A3606" t="s">
        <v>340</v>
      </c>
      <c r="B3606" t="s">
        <v>8193</v>
      </c>
    </row>
    <row r="3607" spans="1:2" x14ac:dyDescent="0.25">
      <c r="A3607" t="s">
        <v>340</v>
      </c>
      <c r="B3607" t="s">
        <v>8194</v>
      </c>
    </row>
    <row r="3608" spans="1:2" x14ac:dyDescent="0.25">
      <c r="A3608" t="s">
        <v>340</v>
      </c>
      <c r="B3608" t="s">
        <v>8159</v>
      </c>
    </row>
    <row r="3609" spans="1:2" x14ac:dyDescent="0.25">
      <c r="A3609" t="s">
        <v>340</v>
      </c>
      <c r="B3609" t="s">
        <v>8180</v>
      </c>
    </row>
    <row r="3610" spans="1:2" x14ac:dyDescent="0.25">
      <c r="A3610" t="s">
        <v>340</v>
      </c>
      <c r="B3610" t="s">
        <v>8114</v>
      </c>
    </row>
    <row r="3611" spans="1:2" x14ac:dyDescent="0.25">
      <c r="A3611" t="s">
        <v>340</v>
      </c>
      <c r="B3611" t="s">
        <v>8077</v>
      </c>
    </row>
    <row r="3612" spans="1:2" x14ac:dyDescent="0.25">
      <c r="A3612" t="s">
        <v>340</v>
      </c>
      <c r="B3612" t="s">
        <v>12385</v>
      </c>
    </row>
    <row r="3613" spans="1:2" x14ac:dyDescent="0.25">
      <c r="A3613" t="s">
        <v>340</v>
      </c>
      <c r="B3613" t="s">
        <v>8197</v>
      </c>
    </row>
    <row r="3614" spans="1:2" x14ac:dyDescent="0.25">
      <c r="A3614" t="s">
        <v>340</v>
      </c>
      <c r="B3614" t="s">
        <v>12708</v>
      </c>
    </row>
    <row r="3615" spans="1:2" x14ac:dyDescent="0.25">
      <c r="A3615" t="s">
        <v>340</v>
      </c>
      <c r="B3615" t="s">
        <v>12398</v>
      </c>
    </row>
    <row r="3616" spans="1:2" x14ac:dyDescent="0.25">
      <c r="A3616" t="s">
        <v>340</v>
      </c>
      <c r="B3616" t="s">
        <v>14481</v>
      </c>
    </row>
    <row r="3617" spans="1:2" x14ac:dyDescent="0.25">
      <c r="A3617" t="s">
        <v>268</v>
      </c>
      <c r="B3617" t="s">
        <v>10816</v>
      </c>
    </row>
    <row r="3618" spans="1:2" x14ac:dyDescent="0.25">
      <c r="A3618" t="s">
        <v>268</v>
      </c>
      <c r="B3618" t="s">
        <v>10874</v>
      </c>
    </row>
    <row r="3619" spans="1:2" x14ac:dyDescent="0.25">
      <c r="A3619" t="s">
        <v>268</v>
      </c>
      <c r="B3619" t="s">
        <v>10830</v>
      </c>
    </row>
    <row r="3620" spans="1:2" x14ac:dyDescent="0.25">
      <c r="A3620" t="s">
        <v>268</v>
      </c>
      <c r="B3620" t="s">
        <v>10809</v>
      </c>
    </row>
    <row r="3621" spans="1:2" x14ac:dyDescent="0.25">
      <c r="A3621" t="s">
        <v>268</v>
      </c>
      <c r="B3621" t="s">
        <v>10800</v>
      </c>
    </row>
    <row r="3622" spans="1:2" x14ac:dyDescent="0.25">
      <c r="A3622" t="s">
        <v>268</v>
      </c>
      <c r="B3622" t="s">
        <v>10872</v>
      </c>
    </row>
    <row r="3623" spans="1:2" x14ac:dyDescent="0.25">
      <c r="A3623" t="s">
        <v>383</v>
      </c>
      <c r="B3623" t="s">
        <v>8368</v>
      </c>
    </row>
    <row r="3624" spans="1:2" x14ac:dyDescent="0.25">
      <c r="A3624" t="s">
        <v>383</v>
      </c>
      <c r="B3624" t="s">
        <v>8345</v>
      </c>
    </row>
    <row r="3625" spans="1:2" x14ac:dyDescent="0.25">
      <c r="A3625" t="s">
        <v>383</v>
      </c>
      <c r="B3625" t="s">
        <v>8346</v>
      </c>
    </row>
    <row r="3626" spans="1:2" x14ac:dyDescent="0.25">
      <c r="A3626" t="s">
        <v>383</v>
      </c>
      <c r="B3626" t="s">
        <v>8348</v>
      </c>
    </row>
    <row r="3627" spans="1:2" x14ac:dyDescent="0.25">
      <c r="A3627" t="s">
        <v>383</v>
      </c>
      <c r="B3627" t="s">
        <v>8367</v>
      </c>
    </row>
    <row r="3628" spans="1:2" x14ac:dyDescent="0.25">
      <c r="A3628" t="s">
        <v>383</v>
      </c>
      <c r="B3628" t="s">
        <v>8347</v>
      </c>
    </row>
    <row r="3629" spans="1:2" x14ac:dyDescent="0.25">
      <c r="A3629" t="s">
        <v>297</v>
      </c>
      <c r="B3629" t="s">
        <v>10745</v>
      </c>
    </row>
    <row r="3630" spans="1:2" x14ac:dyDescent="0.25">
      <c r="A3630" t="s">
        <v>297</v>
      </c>
      <c r="B3630" t="s">
        <v>10719</v>
      </c>
    </row>
    <row r="3631" spans="1:2" x14ac:dyDescent="0.25">
      <c r="A3631" t="s">
        <v>280</v>
      </c>
      <c r="B3631" t="s">
        <v>8002</v>
      </c>
    </row>
    <row r="3632" spans="1:2" x14ac:dyDescent="0.25">
      <c r="A3632" t="s">
        <v>280</v>
      </c>
      <c r="B3632" t="s">
        <v>8031</v>
      </c>
    </row>
    <row r="3633" spans="1:2" x14ac:dyDescent="0.25">
      <c r="A3633" t="s">
        <v>280</v>
      </c>
      <c r="B3633" t="s">
        <v>8008</v>
      </c>
    </row>
    <row r="3634" spans="1:2" x14ac:dyDescent="0.25">
      <c r="A3634" t="s">
        <v>280</v>
      </c>
      <c r="B3634" t="s">
        <v>8011</v>
      </c>
    </row>
    <row r="3635" spans="1:2" x14ac:dyDescent="0.25">
      <c r="A3635" t="s">
        <v>280</v>
      </c>
      <c r="B3635" t="s">
        <v>14385</v>
      </c>
    </row>
    <row r="3636" spans="1:2" x14ac:dyDescent="0.25">
      <c r="A3636" t="s">
        <v>280</v>
      </c>
      <c r="B3636" t="s">
        <v>14388</v>
      </c>
    </row>
    <row r="3637" spans="1:2" x14ac:dyDescent="0.25">
      <c r="A3637" t="s">
        <v>280</v>
      </c>
      <c r="B3637" t="s">
        <v>14423</v>
      </c>
    </row>
    <row r="3638" spans="1:2" x14ac:dyDescent="0.25">
      <c r="A3638" t="s">
        <v>280</v>
      </c>
      <c r="B3638" t="s">
        <v>14673</v>
      </c>
    </row>
    <row r="3639" spans="1:2" x14ac:dyDescent="0.25">
      <c r="A3639" t="s">
        <v>280</v>
      </c>
      <c r="B3639" t="s">
        <v>14676</v>
      </c>
    </row>
    <row r="3640" spans="1:2" x14ac:dyDescent="0.25">
      <c r="A3640" t="s">
        <v>2452</v>
      </c>
      <c r="B3640" t="s">
        <v>13799</v>
      </c>
    </row>
    <row r="3641" spans="1:2" x14ac:dyDescent="0.25">
      <c r="A3641" t="s">
        <v>2568</v>
      </c>
      <c r="B3641" t="s">
        <v>8585</v>
      </c>
    </row>
    <row r="3642" spans="1:2" x14ac:dyDescent="0.25">
      <c r="A3642" t="s">
        <v>2568</v>
      </c>
      <c r="B3642" t="s">
        <v>8583</v>
      </c>
    </row>
    <row r="3643" spans="1:2" x14ac:dyDescent="0.25">
      <c r="A3643" t="s">
        <v>2568</v>
      </c>
      <c r="B3643" t="s">
        <v>8593</v>
      </c>
    </row>
    <row r="3644" spans="1:2" x14ac:dyDescent="0.25">
      <c r="A3644" t="s">
        <v>2568</v>
      </c>
      <c r="B3644" t="s">
        <v>8551</v>
      </c>
    </row>
    <row r="3645" spans="1:2" x14ac:dyDescent="0.25">
      <c r="A3645" t="s">
        <v>2568</v>
      </c>
      <c r="B3645" t="s">
        <v>11630</v>
      </c>
    </row>
    <row r="3646" spans="1:2" x14ac:dyDescent="0.25">
      <c r="A3646" t="s">
        <v>2568</v>
      </c>
      <c r="B3646" t="s">
        <v>8549</v>
      </c>
    </row>
    <row r="3647" spans="1:2" x14ac:dyDescent="0.25">
      <c r="A3647" t="s">
        <v>2568</v>
      </c>
      <c r="B3647" t="s">
        <v>8592</v>
      </c>
    </row>
    <row r="3648" spans="1:2" x14ac:dyDescent="0.25">
      <c r="A3648" t="s">
        <v>2568</v>
      </c>
      <c r="B3648" t="s">
        <v>8552</v>
      </c>
    </row>
    <row r="3649" spans="1:2" x14ac:dyDescent="0.25">
      <c r="A3649" t="s">
        <v>2568</v>
      </c>
      <c r="B3649" t="s">
        <v>8556</v>
      </c>
    </row>
    <row r="3650" spans="1:2" x14ac:dyDescent="0.25">
      <c r="A3650" t="s">
        <v>2568</v>
      </c>
      <c r="B3650" t="s">
        <v>12714</v>
      </c>
    </row>
    <row r="3651" spans="1:2" x14ac:dyDescent="0.25">
      <c r="A3651" t="s">
        <v>2568</v>
      </c>
      <c r="B3651" t="s">
        <v>8566</v>
      </c>
    </row>
    <row r="3652" spans="1:2" x14ac:dyDescent="0.25">
      <c r="A3652" t="s">
        <v>2568</v>
      </c>
      <c r="B3652" t="s">
        <v>8575</v>
      </c>
    </row>
    <row r="3653" spans="1:2" x14ac:dyDescent="0.25">
      <c r="A3653" t="s">
        <v>2568</v>
      </c>
      <c r="B3653" t="s">
        <v>12816</v>
      </c>
    </row>
    <row r="3654" spans="1:2" x14ac:dyDescent="0.25">
      <c r="A3654" t="s">
        <v>2568</v>
      </c>
      <c r="B3654" t="s">
        <v>13242</v>
      </c>
    </row>
    <row r="3655" spans="1:2" x14ac:dyDescent="0.25">
      <c r="A3655" t="s">
        <v>2568</v>
      </c>
      <c r="B3655" t="s">
        <v>13932</v>
      </c>
    </row>
    <row r="3656" spans="1:2" x14ac:dyDescent="0.25">
      <c r="A3656" t="s">
        <v>2568</v>
      </c>
      <c r="B3656" t="s">
        <v>14379</v>
      </c>
    </row>
    <row r="3657" spans="1:2" x14ac:dyDescent="0.25">
      <c r="A3657" t="s">
        <v>256</v>
      </c>
      <c r="B3657" t="s">
        <v>10666</v>
      </c>
    </row>
    <row r="3658" spans="1:2" x14ac:dyDescent="0.25">
      <c r="A3658" t="s">
        <v>256</v>
      </c>
      <c r="B3658" t="s">
        <v>12041</v>
      </c>
    </row>
    <row r="3659" spans="1:2" x14ac:dyDescent="0.25">
      <c r="A3659" t="s">
        <v>783</v>
      </c>
      <c r="B3659" t="s">
        <v>11895</v>
      </c>
    </row>
    <row r="3660" spans="1:2" x14ac:dyDescent="0.25">
      <c r="A3660" t="s">
        <v>783</v>
      </c>
      <c r="B3660" t="s">
        <v>11891</v>
      </c>
    </row>
    <row r="3661" spans="1:2" x14ac:dyDescent="0.25">
      <c r="A3661" t="s">
        <v>783</v>
      </c>
      <c r="B3661" t="s">
        <v>10379</v>
      </c>
    </row>
    <row r="3662" spans="1:2" x14ac:dyDescent="0.25">
      <c r="A3662" t="s">
        <v>783</v>
      </c>
      <c r="B3662" t="s">
        <v>10372</v>
      </c>
    </row>
    <row r="3663" spans="1:2" x14ac:dyDescent="0.25">
      <c r="A3663" t="s">
        <v>783</v>
      </c>
      <c r="B3663" t="s">
        <v>10375</v>
      </c>
    </row>
    <row r="3664" spans="1:2" x14ac:dyDescent="0.25">
      <c r="A3664" t="s">
        <v>783</v>
      </c>
      <c r="B3664" t="s">
        <v>12605</v>
      </c>
    </row>
    <row r="3665" spans="1:2" x14ac:dyDescent="0.25">
      <c r="A3665" t="s">
        <v>783</v>
      </c>
      <c r="B3665" t="s">
        <v>12601</v>
      </c>
    </row>
    <row r="3666" spans="1:2" x14ac:dyDescent="0.25">
      <c r="A3666" t="s">
        <v>783</v>
      </c>
      <c r="B3666" t="s">
        <v>10374</v>
      </c>
    </row>
    <row r="3667" spans="1:2" x14ac:dyDescent="0.25">
      <c r="A3667" t="s">
        <v>783</v>
      </c>
      <c r="B3667" t="s">
        <v>10397</v>
      </c>
    </row>
    <row r="3668" spans="1:2" x14ac:dyDescent="0.25">
      <c r="A3668" t="s">
        <v>783</v>
      </c>
      <c r="B3668" t="s">
        <v>10378</v>
      </c>
    </row>
    <row r="3669" spans="1:2" x14ac:dyDescent="0.25">
      <c r="A3669" t="s">
        <v>783</v>
      </c>
      <c r="B3669" t="s">
        <v>10373</v>
      </c>
    </row>
    <row r="3670" spans="1:2" x14ac:dyDescent="0.25">
      <c r="A3670" t="s">
        <v>783</v>
      </c>
      <c r="B3670" t="s">
        <v>13450</v>
      </c>
    </row>
    <row r="3671" spans="1:2" x14ac:dyDescent="0.25">
      <c r="A3671" t="s">
        <v>783</v>
      </c>
      <c r="B3671" t="s">
        <v>13868</v>
      </c>
    </row>
    <row r="3672" spans="1:2" x14ac:dyDescent="0.25">
      <c r="A3672" t="s">
        <v>99</v>
      </c>
      <c r="B3672" t="s">
        <v>12128</v>
      </c>
    </row>
    <row r="3673" spans="1:2" x14ac:dyDescent="0.25">
      <c r="A3673" t="s">
        <v>99</v>
      </c>
      <c r="B3673" t="s">
        <v>11931</v>
      </c>
    </row>
    <row r="3674" spans="1:2" x14ac:dyDescent="0.25">
      <c r="A3674" t="s">
        <v>99</v>
      </c>
      <c r="B3674" t="s">
        <v>10465</v>
      </c>
    </row>
    <row r="3675" spans="1:2" x14ac:dyDescent="0.25">
      <c r="A3675" t="s">
        <v>99</v>
      </c>
      <c r="B3675" t="s">
        <v>10582</v>
      </c>
    </row>
    <row r="3676" spans="1:2" x14ac:dyDescent="0.25">
      <c r="A3676" t="s">
        <v>99</v>
      </c>
      <c r="B3676" t="s">
        <v>8386</v>
      </c>
    </row>
    <row r="3677" spans="1:2" x14ac:dyDescent="0.25">
      <c r="A3677" t="s">
        <v>99</v>
      </c>
      <c r="B3677" t="s">
        <v>10823</v>
      </c>
    </row>
    <row r="3678" spans="1:2" x14ac:dyDescent="0.25">
      <c r="A3678" t="s">
        <v>99</v>
      </c>
      <c r="B3678" t="s">
        <v>11938</v>
      </c>
    </row>
    <row r="3679" spans="1:2" x14ac:dyDescent="0.25">
      <c r="A3679" t="s">
        <v>99</v>
      </c>
      <c r="B3679" t="s">
        <v>11943</v>
      </c>
    </row>
    <row r="3680" spans="1:2" x14ac:dyDescent="0.25">
      <c r="A3680" t="s">
        <v>14603</v>
      </c>
      <c r="B3680" t="s">
        <v>9519</v>
      </c>
    </row>
    <row r="3681" spans="1:2" x14ac:dyDescent="0.25">
      <c r="A3681" t="s">
        <v>14603</v>
      </c>
      <c r="B3681" t="s">
        <v>9520</v>
      </c>
    </row>
    <row r="3682" spans="1:2" x14ac:dyDescent="0.25">
      <c r="A3682" t="s">
        <v>14603</v>
      </c>
      <c r="B3682" t="s">
        <v>14603</v>
      </c>
    </row>
    <row r="3683" spans="1:2" x14ac:dyDescent="0.25">
      <c r="A3683" t="s">
        <v>14603</v>
      </c>
      <c r="B3683" t="s">
        <v>13509</v>
      </c>
    </row>
    <row r="3684" spans="1:2" x14ac:dyDescent="0.25">
      <c r="A3684" t="s">
        <v>14603</v>
      </c>
      <c r="B3684" t="s">
        <v>13512</v>
      </c>
    </row>
    <row r="3685" spans="1:2" x14ac:dyDescent="0.25">
      <c r="A3685" t="s">
        <v>12815</v>
      </c>
      <c r="B3685" t="s">
        <v>12390</v>
      </c>
    </row>
    <row r="3686" spans="1:2" x14ac:dyDescent="0.25">
      <c r="A3686" t="s">
        <v>12815</v>
      </c>
      <c r="B3686" t="s">
        <v>12386</v>
      </c>
    </row>
    <row r="3687" spans="1:2" x14ac:dyDescent="0.25">
      <c r="A3687" t="s">
        <v>12815</v>
      </c>
      <c r="B3687" t="s">
        <v>12410</v>
      </c>
    </row>
    <row r="3688" spans="1:2" x14ac:dyDescent="0.25">
      <c r="A3688" t="s">
        <v>12815</v>
      </c>
      <c r="B3688" t="s">
        <v>12392</v>
      </c>
    </row>
    <row r="3689" spans="1:2" x14ac:dyDescent="0.25">
      <c r="A3689" t="s">
        <v>12815</v>
      </c>
      <c r="B3689" t="s">
        <v>14507</v>
      </c>
    </row>
    <row r="3690" spans="1:2" x14ac:dyDescent="0.25">
      <c r="A3690" t="s">
        <v>12815</v>
      </c>
      <c r="B3690" t="s">
        <v>14511</v>
      </c>
    </row>
    <row r="3691" spans="1:2" x14ac:dyDescent="0.25">
      <c r="A3691" t="s">
        <v>479</v>
      </c>
      <c r="B3691" t="s">
        <v>8542</v>
      </c>
    </row>
    <row r="3692" spans="1:2" x14ac:dyDescent="0.25">
      <c r="A3692" t="s">
        <v>479</v>
      </c>
      <c r="B3692" t="s">
        <v>8554</v>
      </c>
    </row>
    <row r="3693" spans="1:2" x14ac:dyDescent="0.25">
      <c r="A3693" t="s">
        <v>479</v>
      </c>
      <c r="B3693" t="s">
        <v>12112</v>
      </c>
    </row>
    <row r="3694" spans="1:2" x14ac:dyDescent="0.25">
      <c r="A3694" t="s">
        <v>479</v>
      </c>
      <c r="B3694" t="s">
        <v>10442</v>
      </c>
    </row>
    <row r="3695" spans="1:2" x14ac:dyDescent="0.25">
      <c r="A3695" t="s">
        <v>479</v>
      </c>
      <c r="B3695" t="s">
        <v>8565</v>
      </c>
    </row>
    <row r="3696" spans="1:2" x14ac:dyDescent="0.25">
      <c r="A3696" t="s">
        <v>479</v>
      </c>
      <c r="B3696" t="s">
        <v>10443</v>
      </c>
    </row>
    <row r="3697" spans="1:2" x14ac:dyDescent="0.25">
      <c r="A3697" t="s">
        <v>479</v>
      </c>
      <c r="B3697" t="s">
        <v>12453</v>
      </c>
    </row>
    <row r="3698" spans="1:2" x14ac:dyDescent="0.25">
      <c r="A3698" t="s">
        <v>479</v>
      </c>
      <c r="B3698" t="s">
        <v>8541</v>
      </c>
    </row>
    <row r="3699" spans="1:2" x14ac:dyDescent="0.25">
      <c r="A3699" t="s">
        <v>479</v>
      </c>
      <c r="B3699" t="s">
        <v>8548</v>
      </c>
    </row>
    <row r="3700" spans="1:2" x14ac:dyDescent="0.25">
      <c r="A3700" t="s">
        <v>479</v>
      </c>
      <c r="B3700" t="s">
        <v>8594</v>
      </c>
    </row>
    <row r="3701" spans="1:2" x14ac:dyDescent="0.25">
      <c r="A3701" t="s">
        <v>479</v>
      </c>
      <c r="B3701" t="s">
        <v>8539</v>
      </c>
    </row>
    <row r="3702" spans="1:2" x14ac:dyDescent="0.25">
      <c r="A3702" t="s">
        <v>479</v>
      </c>
      <c r="B3702" t="s">
        <v>8570</v>
      </c>
    </row>
    <row r="3703" spans="1:2" x14ac:dyDescent="0.25">
      <c r="A3703" t="s">
        <v>479</v>
      </c>
      <c r="B3703" t="s">
        <v>8536</v>
      </c>
    </row>
    <row r="3704" spans="1:2" x14ac:dyDescent="0.25">
      <c r="A3704" t="s">
        <v>441</v>
      </c>
      <c r="B3704" t="s">
        <v>8584</v>
      </c>
    </row>
    <row r="3705" spans="1:2" x14ac:dyDescent="0.25">
      <c r="A3705" t="s">
        <v>12817</v>
      </c>
      <c r="B3705" t="s">
        <v>12710</v>
      </c>
    </row>
    <row r="3706" spans="1:2" x14ac:dyDescent="0.25">
      <c r="A3706" t="s">
        <v>12865</v>
      </c>
      <c r="B3706" t="s">
        <v>12886</v>
      </c>
    </row>
    <row r="3707" spans="1:2" x14ac:dyDescent="0.25">
      <c r="A3707" t="s">
        <v>12865</v>
      </c>
      <c r="B3707" t="s">
        <v>12911</v>
      </c>
    </row>
    <row r="3708" spans="1:2" x14ac:dyDescent="0.25">
      <c r="A3708" t="s">
        <v>12865</v>
      </c>
      <c r="B3708" t="s">
        <v>12925</v>
      </c>
    </row>
    <row r="3709" spans="1:2" x14ac:dyDescent="0.25">
      <c r="A3709" t="s">
        <v>12865</v>
      </c>
      <c r="B3709" t="s">
        <v>12942</v>
      </c>
    </row>
    <row r="3710" spans="1:2" x14ac:dyDescent="0.25">
      <c r="A3710" t="s">
        <v>12865</v>
      </c>
      <c r="B3710" t="s">
        <v>12952</v>
      </c>
    </row>
    <row r="3711" spans="1:2" x14ac:dyDescent="0.25">
      <c r="A3711" t="s">
        <v>12865</v>
      </c>
      <c r="B3711" t="s">
        <v>12956</v>
      </c>
    </row>
    <row r="3712" spans="1:2" x14ac:dyDescent="0.25">
      <c r="A3712" t="s">
        <v>12865</v>
      </c>
      <c r="B3712" t="s">
        <v>12989</v>
      </c>
    </row>
    <row r="3713" spans="1:2" x14ac:dyDescent="0.25">
      <c r="A3713" t="s">
        <v>12865</v>
      </c>
      <c r="B3713" t="s">
        <v>13020</v>
      </c>
    </row>
    <row r="3714" spans="1:2" x14ac:dyDescent="0.25">
      <c r="A3714" t="s">
        <v>12865</v>
      </c>
      <c r="B3714" t="s">
        <v>13026</v>
      </c>
    </row>
    <row r="3715" spans="1:2" x14ac:dyDescent="0.25">
      <c r="A3715" t="s">
        <v>12865</v>
      </c>
      <c r="B3715" t="s">
        <v>13731</v>
      </c>
    </row>
    <row r="3716" spans="1:2" x14ac:dyDescent="0.25">
      <c r="A3716" t="s">
        <v>12865</v>
      </c>
      <c r="B3716" t="s">
        <v>13835</v>
      </c>
    </row>
    <row r="3717" spans="1:2" x14ac:dyDescent="0.25">
      <c r="A3717" t="s">
        <v>12865</v>
      </c>
      <c r="B3717" t="s">
        <v>13859</v>
      </c>
    </row>
    <row r="3718" spans="1:2" x14ac:dyDescent="0.25">
      <c r="A3718" t="s">
        <v>12865</v>
      </c>
      <c r="B3718" t="s">
        <v>13926</v>
      </c>
    </row>
    <row r="3719" spans="1:2" x14ac:dyDescent="0.25">
      <c r="A3719" t="s">
        <v>12865</v>
      </c>
      <c r="B3719" t="s">
        <v>13941</v>
      </c>
    </row>
    <row r="3720" spans="1:2" x14ac:dyDescent="0.25">
      <c r="A3720" t="s">
        <v>12865</v>
      </c>
      <c r="B3720" t="s">
        <v>14032</v>
      </c>
    </row>
    <row r="3721" spans="1:2" x14ac:dyDescent="0.25">
      <c r="A3721" t="s">
        <v>12865</v>
      </c>
      <c r="B3721" t="s">
        <v>14035</v>
      </c>
    </row>
    <row r="3722" spans="1:2" x14ac:dyDescent="0.25">
      <c r="A3722" t="s">
        <v>12865</v>
      </c>
      <c r="B3722" t="s">
        <v>14693</v>
      </c>
    </row>
    <row r="3723" spans="1:2" x14ac:dyDescent="0.25">
      <c r="A3723" t="s">
        <v>724</v>
      </c>
      <c r="B3723" t="s">
        <v>12995</v>
      </c>
    </row>
    <row r="3724" spans="1:2" x14ac:dyDescent="0.25">
      <c r="A3724" t="s">
        <v>724</v>
      </c>
      <c r="B3724" t="s">
        <v>13962</v>
      </c>
    </row>
    <row r="3725" spans="1:2" x14ac:dyDescent="0.25">
      <c r="A3725" t="s">
        <v>734</v>
      </c>
      <c r="B3725" t="s">
        <v>12928</v>
      </c>
    </row>
    <row r="3726" spans="1:2" x14ac:dyDescent="0.25">
      <c r="A3726" t="s">
        <v>734</v>
      </c>
      <c r="B3726" t="s">
        <v>12931</v>
      </c>
    </row>
    <row r="3727" spans="1:2" x14ac:dyDescent="0.25">
      <c r="A3727" t="s">
        <v>13019</v>
      </c>
      <c r="B3727" t="s">
        <v>13016</v>
      </c>
    </row>
    <row r="3728" spans="1:2" x14ac:dyDescent="0.25">
      <c r="A3728" t="s">
        <v>243</v>
      </c>
      <c r="B3728" t="s">
        <v>13055</v>
      </c>
    </row>
    <row r="3729" spans="1:2" x14ac:dyDescent="0.25">
      <c r="A3729" t="s">
        <v>243</v>
      </c>
      <c r="B3729" t="s">
        <v>13385</v>
      </c>
    </row>
    <row r="3730" spans="1:2" x14ac:dyDescent="0.25">
      <c r="A3730" t="s">
        <v>243</v>
      </c>
      <c r="B3730" t="s">
        <v>13839</v>
      </c>
    </row>
    <row r="3731" spans="1:2" x14ac:dyDescent="0.25">
      <c r="A3731" t="s">
        <v>243</v>
      </c>
      <c r="B3731" t="s">
        <v>13878</v>
      </c>
    </row>
    <row r="3732" spans="1:2" x14ac:dyDescent="0.25">
      <c r="A3732" t="s">
        <v>243</v>
      </c>
      <c r="B3732" t="s">
        <v>13967</v>
      </c>
    </row>
    <row r="3733" spans="1:2" x14ac:dyDescent="0.25">
      <c r="A3733" t="s">
        <v>786</v>
      </c>
      <c r="B3733" t="s">
        <v>13063</v>
      </c>
    </row>
    <row r="3734" spans="1:2" x14ac:dyDescent="0.25">
      <c r="A3734" t="s">
        <v>786</v>
      </c>
      <c r="B3734" t="s">
        <v>13444</v>
      </c>
    </row>
    <row r="3735" spans="1:2" x14ac:dyDescent="0.25">
      <c r="A3735" t="s">
        <v>786</v>
      </c>
      <c r="B3735" t="s">
        <v>13445</v>
      </c>
    </row>
    <row r="3736" spans="1:2" x14ac:dyDescent="0.25">
      <c r="A3736" t="s">
        <v>786</v>
      </c>
      <c r="B3736" t="s">
        <v>13446</v>
      </c>
    </row>
    <row r="3737" spans="1:2" x14ac:dyDescent="0.25">
      <c r="A3737" t="s">
        <v>786</v>
      </c>
      <c r="B3737" t="s">
        <v>13447</v>
      </c>
    </row>
    <row r="3738" spans="1:2" x14ac:dyDescent="0.25">
      <c r="A3738" t="s">
        <v>786</v>
      </c>
      <c r="B3738" t="s">
        <v>13448</v>
      </c>
    </row>
    <row r="3739" spans="1:2" x14ac:dyDescent="0.25">
      <c r="A3739" t="s">
        <v>786</v>
      </c>
      <c r="B3739" t="s">
        <v>13449</v>
      </c>
    </row>
    <row r="3740" spans="1:2" x14ac:dyDescent="0.25">
      <c r="A3740" t="s">
        <v>786</v>
      </c>
      <c r="B3740" t="s">
        <v>13455</v>
      </c>
    </row>
    <row r="3741" spans="1:2" x14ac:dyDescent="0.25">
      <c r="A3741" t="s">
        <v>786</v>
      </c>
      <c r="B3741" t="s">
        <v>13459</v>
      </c>
    </row>
    <row r="3742" spans="1:2" x14ac:dyDescent="0.25">
      <c r="A3742" t="s">
        <v>786</v>
      </c>
      <c r="B3742" t="s">
        <v>13463</v>
      </c>
    </row>
    <row r="3743" spans="1:2" x14ac:dyDescent="0.25">
      <c r="A3743" t="s">
        <v>786</v>
      </c>
      <c r="B3743" t="s">
        <v>13469</v>
      </c>
    </row>
    <row r="3744" spans="1:2" x14ac:dyDescent="0.25">
      <c r="A3744" t="s">
        <v>786</v>
      </c>
      <c r="B3744" t="s">
        <v>13782</v>
      </c>
    </row>
    <row r="3745" spans="1:2" x14ac:dyDescent="0.25">
      <c r="A3745" t="s">
        <v>786</v>
      </c>
      <c r="B3745" t="s">
        <v>13852</v>
      </c>
    </row>
    <row r="3746" spans="1:2" x14ac:dyDescent="0.25">
      <c r="A3746" t="s">
        <v>786</v>
      </c>
      <c r="B3746" t="s">
        <v>13872</v>
      </c>
    </row>
    <row r="3747" spans="1:2" x14ac:dyDescent="0.25">
      <c r="A3747" t="s">
        <v>786</v>
      </c>
      <c r="B3747" t="s">
        <v>14001</v>
      </c>
    </row>
    <row r="3748" spans="1:2" x14ac:dyDescent="0.25">
      <c r="A3748" t="s">
        <v>786</v>
      </c>
      <c r="B3748" t="s">
        <v>14011</v>
      </c>
    </row>
    <row r="3749" spans="1:2" x14ac:dyDescent="0.25">
      <c r="A3749" t="s">
        <v>13088</v>
      </c>
      <c r="B3749" t="s">
        <v>13085</v>
      </c>
    </row>
    <row r="3750" spans="1:2" x14ac:dyDescent="0.25">
      <c r="A3750" t="s">
        <v>13237</v>
      </c>
      <c r="B3750" t="s">
        <v>11606</v>
      </c>
    </row>
    <row r="3751" spans="1:2" x14ac:dyDescent="0.25">
      <c r="A3751" t="s">
        <v>13188</v>
      </c>
      <c r="B3751" t="s">
        <v>13254</v>
      </c>
    </row>
    <row r="3752" spans="1:2" x14ac:dyDescent="0.25">
      <c r="A3752" t="s">
        <v>13188</v>
      </c>
      <c r="B3752" t="s">
        <v>13256</v>
      </c>
    </row>
    <row r="3753" spans="1:2" x14ac:dyDescent="0.25">
      <c r="A3753" t="s">
        <v>13188</v>
      </c>
      <c r="B3753" t="s">
        <v>13259</v>
      </c>
    </row>
    <row r="3754" spans="1:2" x14ac:dyDescent="0.25">
      <c r="A3754" t="s">
        <v>13188</v>
      </c>
      <c r="B3754" t="s">
        <v>13271</v>
      </c>
    </row>
    <row r="3755" spans="1:2" x14ac:dyDescent="0.25">
      <c r="A3755" t="s">
        <v>13265</v>
      </c>
      <c r="B3755" t="s">
        <v>8544</v>
      </c>
    </row>
    <row r="3756" spans="1:2" x14ac:dyDescent="0.25">
      <c r="A3756" t="s">
        <v>13265</v>
      </c>
      <c r="B3756" t="s">
        <v>12115</v>
      </c>
    </row>
    <row r="3757" spans="1:2" x14ac:dyDescent="0.25">
      <c r="A3757" t="s">
        <v>13265</v>
      </c>
      <c r="B3757" t="s">
        <v>8531</v>
      </c>
    </row>
    <row r="3758" spans="1:2" x14ac:dyDescent="0.25">
      <c r="A3758" t="s">
        <v>13265</v>
      </c>
      <c r="B3758" t="s">
        <v>8044</v>
      </c>
    </row>
    <row r="3759" spans="1:2" x14ac:dyDescent="0.25">
      <c r="A3759" t="s">
        <v>13265</v>
      </c>
      <c r="B3759" t="s">
        <v>8529</v>
      </c>
    </row>
    <row r="3760" spans="1:2" x14ac:dyDescent="0.25">
      <c r="A3760" t="s">
        <v>13265</v>
      </c>
      <c r="B3760" t="s">
        <v>8515</v>
      </c>
    </row>
    <row r="3761" spans="1:2" x14ac:dyDescent="0.25">
      <c r="A3761" t="s">
        <v>13265</v>
      </c>
      <c r="B3761" t="s">
        <v>8526</v>
      </c>
    </row>
    <row r="3762" spans="1:2" x14ac:dyDescent="0.25">
      <c r="A3762" t="s">
        <v>13265</v>
      </c>
      <c r="B3762" t="s">
        <v>8052</v>
      </c>
    </row>
    <row r="3763" spans="1:2" x14ac:dyDescent="0.25">
      <c r="A3763" t="s">
        <v>13265</v>
      </c>
      <c r="B3763" t="s">
        <v>13114</v>
      </c>
    </row>
    <row r="3764" spans="1:2" x14ac:dyDescent="0.25">
      <c r="A3764" t="s">
        <v>13265</v>
      </c>
      <c r="B3764" t="s">
        <v>13238</v>
      </c>
    </row>
    <row r="3765" spans="1:2" x14ac:dyDescent="0.25">
      <c r="A3765" t="s">
        <v>13265</v>
      </c>
      <c r="B3765" t="s">
        <v>14009</v>
      </c>
    </row>
    <row r="3766" spans="1:2" x14ac:dyDescent="0.25">
      <c r="A3766" t="s">
        <v>13276</v>
      </c>
      <c r="B3766" t="s">
        <v>11650</v>
      </c>
    </row>
    <row r="3767" spans="1:2" x14ac:dyDescent="0.25">
      <c r="A3767" t="s">
        <v>13191</v>
      </c>
      <c r="B3767" t="s">
        <v>8640</v>
      </c>
    </row>
    <row r="3768" spans="1:2" x14ac:dyDescent="0.25">
      <c r="A3768" t="s">
        <v>13191</v>
      </c>
      <c r="B3768" t="s">
        <v>8641</v>
      </c>
    </row>
    <row r="3769" spans="1:2" x14ac:dyDescent="0.25">
      <c r="A3769" t="s">
        <v>13635</v>
      </c>
      <c r="B3769" t="s">
        <v>14403</v>
      </c>
    </row>
    <row r="3770" spans="1:2" x14ac:dyDescent="0.25">
      <c r="A3770" t="s">
        <v>13635</v>
      </c>
      <c r="B3770" t="s">
        <v>11712</v>
      </c>
    </row>
    <row r="3771" spans="1:2" x14ac:dyDescent="0.25">
      <c r="A3771" t="s">
        <v>13635</v>
      </c>
      <c r="B3771" t="s">
        <v>11768</v>
      </c>
    </row>
    <row r="3772" spans="1:2" x14ac:dyDescent="0.25">
      <c r="A3772" t="s">
        <v>13635</v>
      </c>
      <c r="B3772" t="s">
        <v>11708</v>
      </c>
    </row>
    <row r="3773" spans="1:2" x14ac:dyDescent="0.25">
      <c r="A3773" t="s">
        <v>13635</v>
      </c>
      <c r="B3773" t="s">
        <v>8727</v>
      </c>
    </row>
    <row r="3774" spans="1:2" x14ac:dyDescent="0.25">
      <c r="A3774" t="s">
        <v>13635</v>
      </c>
      <c r="B3774" t="s">
        <v>14412</v>
      </c>
    </row>
    <row r="3775" spans="1:2" x14ac:dyDescent="0.25">
      <c r="A3775" t="s">
        <v>13635</v>
      </c>
      <c r="B3775" t="s">
        <v>14255</v>
      </c>
    </row>
    <row r="3776" spans="1:2" x14ac:dyDescent="0.25">
      <c r="A3776" t="s">
        <v>13635</v>
      </c>
      <c r="B3776" t="s">
        <v>13722</v>
      </c>
    </row>
    <row r="3777" spans="1:2" x14ac:dyDescent="0.25">
      <c r="A3777" t="s">
        <v>13635</v>
      </c>
      <c r="B3777" t="s">
        <v>14292</v>
      </c>
    </row>
    <row r="3778" spans="1:2" x14ac:dyDescent="0.25">
      <c r="A3778" t="s">
        <v>13635</v>
      </c>
      <c r="B3778" t="s">
        <v>14324</v>
      </c>
    </row>
    <row r="3779" spans="1:2" x14ac:dyDescent="0.25">
      <c r="A3779" t="s">
        <v>13635</v>
      </c>
      <c r="B3779" t="s">
        <v>14365</v>
      </c>
    </row>
    <row r="3780" spans="1:2" x14ac:dyDescent="0.25">
      <c r="A3780" t="s">
        <v>13635</v>
      </c>
      <c r="B3780" t="s">
        <v>14410</v>
      </c>
    </row>
    <row r="3781" spans="1:2" x14ac:dyDescent="0.25">
      <c r="A3781" t="s">
        <v>13635</v>
      </c>
      <c r="B3781" t="s">
        <v>14418</v>
      </c>
    </row>
    <row r="3782" spans="1:2" x14ac:dyDescent="0.25">
      <c r="A3782" t="s">
        <v>13197</v>
      </c>
      <c r="B3782" t="s">
        <v>8733</v>
      </c>
    </row>
    <row r="3783" spans="1:2" x14ac:dyDescent="0.25">
      <c r="A3783" t="s">
        <v>13197</v>
      </c>
      <c r="B3783" t="s">
        <v>8734</v>
      </c>
    </row>
    <row r="3784" spans="1:2" x14ac:dyDescent="0.25">
      <c r="A3784" t="s">
        <v>13197</v>
      </c>
      <c r="B3784" t="s">
        <v>8735</v>
      </c>
    </row>
    <row r="3785" spans="1:2" x14ac:dyDescent="0.25">
      <c r="A3785" t="s">
        <v>13197</v>
      </c>
      <c r="B3785" t="s">
        <v>8730</v>
      </c>
    </row>
    <row r="3786" spans="1:2" x14ac:dyDescent="0.25">
      <c r="A3786" t="s">
        <v>13197</v>
      </c>
      <c r="B3786" t="s">
        <v>8732</v>
      </c>
    </row>
    <row r="3787" spans="1:2" x14ac:dyDescent="0.25">
      <c r="A3787" t="s">
        <v>13197</v>
      </c>
      <c r="B3787" t="s">
        <v>8731</v>
      </c>
    </row>
    <row r="3788" spans="1:2" x14ac:dyDescent="0.25">
      <c r="A3788" t="s">
        <v>13197</v>
      </c>
      <c r="B3788" t="s">
        <v>10942</v>
      </c>
    </row>
    <row r="3789" spans="1:2" x14ac:dyDescent="0.25">
      <c r="A3789" t="s">
        <v>13197</v>
      </c>
      <c r="B3789" t="s">
        <v>10945</v>
      </c>
    </row>
    <row r="3790" spans="1:2" x14ac:dyDescent="0.25">
      <c r="A3790" t="s">
        <v>13197</v>
      </c>
      <c r="B3790" t="s">
        <v>14352</v>
      </c>
    </row>
    <row r="3791" spans="1:2" x14ac:dyDescent="0.25">
      <c r="A3791" t="s">
        <v>13197</v>
      </c>
      <c r="B3791" t="s">
        <v>11695</v>
      </c>
    </row>
    <row r="3792" spans="1:2" x14ac:dyDescent="0.25">
      <c r="A3792" t="s">
        <v>13197</v>
      </c>
      <c r="B3792" t="s">
        <v>11757</v>
      </c>
    </row>
    <row r="3793" spans="1:2" x14ac:dyDescent="0.25">
      <c r="A3793" t="s">
        <v>13197</v>
      </c>
      <c r="B3793" t="s">
        <v>8728</v>
      </c>
    </row>
    <row r="3794" spans="1:2" x14ac:dyDescent="0.25">
      <c r="A3794" t="s">
        <v>13197</v>
      </c>
      <c r="B3794" t="s">
        <v>8729</v>
      </c>
    </row>
    <row r="3795" spans="1:2" x14ac:dyDescent="0.25">
      <c r="A3795" t="s">
        <v>13197</v>
      </c>
      <c r="B3795" t="s">
        <v>14341</v>
      </c>
    </row>
    <row r="3796" spans="1:2" x14ac:dyDescent="0.25">
      <c r="A3796" t="s">
        <v>13197</v>
      </c>
      <c r="B3796" t="s">
        <v>11730</v>
      </c>
    </row>
    <row r="3797" spans="1:2" x14ac:dyDescent="0.25">
      <c r="A3797" t="s">
        <v>13197</v>
      </c>
      <c r="B3797" t="s">
        <v>14326</v>
      </c>
    </row>
    <row r="3798" spans="1:2" x14ac:dyDescent="0.25">
      <c r="A3798" t="s">
        <v>13197</v>
      </c>
      <c r="B3798" t="s">
        <v>14297</v>
      </c>
    </row>
    <row r="3799" spans="1:2" x14ac:dyDescent="0.25">
      <c r="A3799" t="s">
        <v>13197</v>
      </c>
      <c r="B3799" t="s">
        <v>14303</v>
      </c>
    </row>
    <row r="3800" spans="1:2" x14ac:dyDescent="0.25">
      <c r="A3800" t="s">
        <v>13197</v>
      </c>
      <c r="B3800" t="s">
        <v>14354</v>
      </c>
    </row>
    <row r="3801" spans="1:2" x14ac:dyDescent="0.25">
      <c r="A3801" t="s">
        <v>13197</v>
      </c>
      <c r="B3801" t="s">
        <v>14243</v>
      </c>
    </row>
    <row r="3802" spans="1:2" x14ac:dyDescent="0.25">
      <c r="A3802" t="s">
        <v>13197</v>
      </c>
      <c r="B3802" t="s">
        <v>14244</v>
      </c>
    </row>
    <row r="3803" spans="1:2" x14ac:dyDescent="0.25">
      <c r="A3803" t="s">
        <v>13197</v>
      </c>
      <c r="B3803" t="s">
        <v>14259</v>
      </c>
    </row>
    <row r="3804" spans="1:2" x14ac:dyDescent="0.25">
      <c r="A3804" t="s">
        <v>13197</v>
      </c>
      <c r="B3804" t="s">
        <v>13730</v>
      </c>
    </row>
    <row r="3805" spans="1:2" x14ac:dyDescent="0.25">
      <c r="A3805" t="s">
        <v>13197</v>
      </c>
      <c r="B3805" t="s">
        <v>14313</v>
      </c>
    </row>
    <row r="3806" spans="1:2" x14ac:dyDescent="0.25">
      <c r="A3806" t="s">
        <v>13206</v>
      </c>
      <c r="B3806" t="s">
        <v>12503</v>
      </c>
    </row>
    <row r="3807" spans="1:2" x14ac:dyDescent="0.25">
      <c r="A3807" t="s">
        <v>13206</v>
      </c>
      <c r="B3807" t="s">
        <v>9285</v>
      </c>
    </row>
    <row r="3808" spans="1:2" x14ac:dyDescent="0.25">
      <c r="A3808" t="s">
        <v>13206</v>
      </c>
      <c r="B3808" t="s">
        <v>9098</v>
      </c>
    </row>
    <row r="3809" spans="1:2" x14ac:dyDescent="0.25">
      <c r="A3809" t="s">
        <v>13206</v>
      </c>
      <c r="B3809" t="s">
        <v>8903</v>
      </c>
    </row>
    <row r="3810" spans="1:2" x14ac:dyDescent="0.25">
      <c r="A3810" t="s">
        <v>13206</v>
      </c>
      <c r="B3810" t="s">
        <v>9191</v>
      </c>
    </row>
    <row r="3811" spans="1:2" x14ac:dyDescent="0.25">
      <c r="A3811" t="s">
        <v>13206</v>
      </c>
      <c r="B3811" t="s">
        <v>9498</v>
      </c>
    </row>
    <row r="3812" spans="1:2" x14ac:dyDescent="0.25">
      <c r="A3812" t="s">
        <v>13206</v>
      </c>
      <c r="B3812" t="s">
        <v>9213</v>
      </c>
    </row>
    <row r="3813" spans="1:2" x14ac:dyDescent="0.25">
      <c r="A3813" t="s">
        <v>13206</v>
      </c>
      <c r="B3813" t="s">
        <v>9382</v>
      </c>
    </row>
    <row r="3814" spans="1:2" x14ac:dyDescent="0.25">
      <c r="A3814" t="s">
        <v>13206</v>
      </c>
      <c r="B3814" t="s">
        <v>10421</v>
      </c>
    </row>
    <row r="3815" spans="1:2" x14ac:dyDescent="0.25">
      <c r="A3815" t="s">
        <v>13206</v>
      </c>
      <c r="B3815" t="s">
        <v>9499</v>
      </c>
    </row>
    <row r="3816" spans="1:2" x14ac:dyDescent="0.25">
      <c r="A3816" t="s">
        <v>13206</v>
      </c>
      <c r="B3816" t="s">
        <v>9010</v>
      </c>
    </row>
    <row r="3817" spans="1:2" x14ac:dyDescent="0.25">
      <c r="A3817" t="s">
        <v>13206</v>
      </c>
      <c r="B3817" t="s">
        <v>8864</v>
      </c>
    </row>
    <row r="3818" spans="1:2" x14ac:dyDescent="0.25">
      <c r="A3818" t="s">
        <v>13206</v>
      </c>
      <c r="B3818" t="s">
        <v>9291</v>
      </c>
    </row>
    <row r="3819" spans="1:2" x14ac:dyDescent="0.25">
      <c r="A3819" t="s">
        <v>13206</v>
      </c>
      <c r="B3819" t="s">
        <v>9380</v>
      </c>
    </row>
    <row r="3820" spans="1:2" x14ac:dyDescent="0.25">
      <c r="A3820" t="s">
        <v>13206</v>
      </c>
      <c r="B3820" t="s">
        <v>9427</v>
      </c>
    </row>
    <row r="3821" spans="1:2" x14ac:dyDescent="0.25">
      <c r="A3821" t="s">
        <v>13206</v>
      </c>
      <c r="B3821" t="s">
        <v>8804</v>
      </c>
    </row>
    <row r="3822" spans="1:2" x14ac:dyDescent="0.25">
      <c r="A3822" t="s">
        <v>13206</v>
      </c>
      <c r="B3822" t="s">
        <v>8915</v>
      </c>
    </row>
    <row r="3823" spans="1:2" x14ac:dyDescent="0.25">
      <c r="A3823" t="s">
        <v>13206</v>
      </c>
      <c r="B3823" t="s">
        <v>9200</v>
      </c>
    </row>
    <row r="3824" spans="1:2" x14ac:dyDescent="0.25">
      <c r="A3824" t="s">
        <v>13206</v>
      </c>
      <c r="B3824" t="s">
        <v>14545</v>
      </c>
    </row>
    <row r="3825" spans="1:2" x14ac:dyDescent="0.25">
      <c r="A3825" t="s">
        <v>13206</v>
      </c>
      <c r="B3825" t="s">
        <v>14549</v>
      </c>
    </row>
    <row r="3826" spans="1:2" x14ac:dyDescent="0.25">
      <c r="A3826" t="s">
        <v>13217</v>
      </c>
      <c r="B3826" t="s">
        <v>9743</v>
      </c>
    </row>
    <row r="3827" spans="1:2" x14ac:dyDescent="0.25">
      <c r="A3827" t="s">
        <v>13217</v>
      </c>
      <c r="B3827" t="s">
        <v>10222</v>
      </c>
    </row>
    <row r="3828" spans="1:2" x14ac:dyDescent="0.25">
      <c r="A3828" t="s">
        <v>13217</v>
      </c>
      <c r="B3828" t="s">
        <v>9806</v>
      </c>
    </row>
    <row r="3829" spans="1:2" x14ac:dyDescent="0.25">
      <c r="A3829" t="s">
        <v>13217</v>
      </c>
      <c r="B3829" t="s">
        <v>9813</v>
      </c>
    </row>
    <row r="3830" spans="1:2" x14ac:dyDescent="0.25">
      <c r="A3830" t="s">
        <v>13217</v>
      </c>
      <c r="B3830" t="s">
        <v>9586</v>
      </c>
    </row>
    <row r="3831" spans="1:2" x14ac:dyDescent="0.25">
      <c r="A3831" t="s">
        <v>13217</v>
      </c>
      <c r="B3831" t="s">
        <v>9592</v>
      </c>
    </row>
    <row r="3832" spans="1:2" x14ac:dyDescent="0.25">
      <c r="A3832" t="s">
        <v>13217</v>
      </c>
      <c r="B3832" t="s">
        <v>9718</v>
      </c>
    </row>
    <row r="3833" spans="1:2" x14ac:dyDescent="0.25">
      <c r="A3833" t="s">
        <v>13217</v>
      </c>
      <c r="B3833" t="s">
        <v>12871</v>
      </c>
    </row>
    <row r="3834" spans="1:2" x14ac:dyDescent="0.25">
      <c r="A3834" t="s">
        <v>13217</v>
      </c>
      <c r="B3834" t="s">
        <v>12883</v>
      </c>
    </row>
    <row r="3835" spans="1:2" x14ac:dyDescent="0.25">
      <c r="A3835" t="s">
        <v>13217</v>
      </c>
      <c r="B3835" t="s">
        <v>12907</v>
      </c>
    </row>
    <row r="3836" spans="1:2" x14ac:dyDescent="0.25">
      <c r="A3836" t="s">
        <v>13217</v>
      </c>
      <c r="B3836" t="s">
        <v>12986</v>
      </c>
    </row>
    <row r="3837" spans="1:2" x14ac:dyDescent="0.25">
      <c r="A3837" t="s">
        <v>13217</v>
      </c>
      <c r="B3837" t="s">
        <v>13389</v>
      </c>
    </row>
    <row r="3838" spans="1:2" x14ac:dyDescent="0.25">
      <c r="A3838" t="s">
        <v>13217</v>
      </c>
      <c r="B3838" t="s">
        <v>13395</v>
      </c>
    </row>
    <row r="3839" spans="1:2" x14ac:dyDescent="0.25">
      <c r="A3839" t="s">
        <v>13217</v>
      </c>
      <c r="B3839" t="s">
        <v>13691</v>
      </c>
    </row>
    <row r="3840" spans="1:2" x14ac:dyDescent="0.25">
      <c r="A3840" t="s">
        <v>13217</v>
      </c>
      <c r="B3840" t="s">
        <v>13947</v>
      </c>
    </row>
    <row r="3841" spans="1:2" x14ac:dyDescent="0.25">
      <c r="A3841" t="s">
        <v>13217</v>
      </c>
      <c r="B3841" t="s">
        <v>14490</v>
      </c>
    </row>
    <row r="3842" spans="1:2" x14ac:dyDescent="0.25">
      <c r="A3842" t="s">
        <v>13348</v>
      </c>
      <c r="B3842" t="s">
        <v>9919</v>
      </c>
    </row>
    <row r="3843" spans="1:2" x14ac:dyDescent="0.25">
      <c r="A3843" t="s">
        <v>13348</v>
      </c>
      <c r="B3843" t="s">
        <v>9578</v>
      </c>
    </row>
    <row r="3844" spans="1:2" x14ac:dyDescent="0.25">
      <c r="A3844" t="s">
        <v>13348</v>
      </c>
      <c r="B3844" t="s">
        <v>9629</v>
      </c>
    </row>
    <row r="3845" spans="1:2" x14ac:dyDescent="0.25">
      <c r="A3845" t="s">
        <v>13348</v>
      </c>
      <c r="B3845" t="s">
        <v>10043</v>
      </c>
    </row>
    <row r="3846" spans="1:2" x14ac:dyDescent="0.25">
      <c r="A3846" t="s">
        <v>13348</v>
      </c>
      <c r="B3846" t="s">
        <v>10327</v>
      </c>
    </row>
    <row r="3847" spans="1:2" x14ac:dyDescent="0.25">
      <c r="A3847" t="s">
        <v>13348</v>
      </c>
      <c r="B3847" t="s">
        <v>9947</v>
      </c>
    </row>
    <row r="3848" spans="1:2" x14ac:dyDescent="0.25">
      <c r="A3848" t="s">
        <v>13348</v>
      </c>
      <c r="B3848" t="s">
        <v>9708</v>
      </c>
    </row>
    <row r="3849" spans="1:2" x14ac:dyDescent="0.25">
      <c r="A3849" t="s">
        <v>13348</v>
      </c>
      <c r="B3849" t="s">
        <v>13345</v>
      </c>
    </row>
    <row r="3850" spans="1:2" x14ac:dyDescent="0.25">
      <c r="A3850" t="s">
        <v>13348</v>
      </c>
      <c r="B3850" t="s">
        <v>13589</v>
      </c>
    </row>
    <row r="3851" spans="1:2" x14ac:dyDescent="0.25">
      <c r="A3851" t="s">
        <v>13348</v>
      </c>
      <c r="B3851" t="s">
        <v>13593</v>
      </c>
    </row>
    <row r="3852" spans="1:2" x14ac:dyDescent="0.25">
      <c r="A3852" t="s">
        <v>13348</v>
      </c>
      <c r="B3852" t="s">
        <v>13595</v>
      </c>
    </row>
    <row r="3853" spans="1:2" x14ac:dyDescent="0.25">
      <c r="A3853" t="s">
        <v>13348</v>
      </c>
      <c r="B3853" t="s">
        <v>13662</v>
      </c>
    </row>
    <row r="3854" spans="1:2" x14ac:dyDescent="0.25">
      <c r="A3854" t="s">
        <v>13348</v>
      </c>
      <c r="B3854" t="s">
        <v>13668</v>
      </c>
    </row>
    <row r="3855" spans="1:2" x14ac:dyDescent="0.25">
      <c r="A3855" t="s">
        <v>13348</v>
      </c>
      <c r="B3855" t="s">
        <v>13671</v>
      </c>
    </row>
    <row r="3856" spans="1:2" x14ac:dyDescent="0.25">
      <c r="A3856" t="s">
        <v>13348</v>
      </c>
      <c r="B3856" t="s">
        <v>13751</v>
      </c>
    </row>
    <row r="3857" spans="1:2" x14ac:dyDescent="0.25">
      <c r="A3857" t="s">
        <v>13348</v>
      </c>
      <c r="B3857" t="s">
        <v>13856</v>
      </c>
    </row>
    <row r="3858" spans="1:2" x14ac:dyDescent="0.25">
      <c r="A3858" t="s">
        <v>13348</v>
      </c>
      <c r="B3858" t="s">
        <v>13880</v>
      </c>
    </row>
    <row r="3859" spans="1:2" x14ac:dyDescent="0.25">
      <c r="A3859" t="s">
        <v>13348</v>
      </c>
      <c r="B3859" t="s">
        <v>13968</v>
      </c>
    </row>
    <row r="3860" spans="1:2" x14ac:dyDescent="0.25">
      <c r="A3860" t="s">
        <v>13355</v>
      </c>
      <c r="B3860" t="s">
        <v>9852</v>
      </c>
    </row>
    <row r="3861" spans="1:2" x14ac:dyDescent="0.25">
      <c r="A3861" t="s">
        <v>13355</v>
      </c>
      <c r="B3861" t="s">
        <v>13352</v>
      </c>
    </row>
    <row r="3862" spans="1:2" x14ac:dyDescent="0.25">
      <c r="A3862" t="s">
        <v>13355</v>
      </c>
      <c r="B3862" t="s">
        <v>13398</v>
      </c>
    </row>
    <row r="3863" spans="1:2" x14ac:dyDescent="0.25">
      <c r="A3863" t="s">
        <v>13355</v>
      </c>
      <c r="B3863" t="s">
        <v>13410</v>
      </c>
    </row>
    <row r="3864" spans="1:2" x14ac:dyDescent="0.25">
      <c r="A3864" t="s">
        <v>13355</v>
      </c>
      <c r="B3864" t="s">
        <v>13413</v>
      </c>
    </row>
    <row r="3865" spans="1:2" x14ac:dyDescent="0.25">
      <c r="A3865" t="s">
        <v>13355</v>
      </c>
      <c r="B3865" t="s">
        <v>14015</v>
      </c>
    </row>
    <row r="3866" spans="1:2" x14ac:dyDescent="0.25">
      <c r="A3866" t="s">
        <v>13423</v>
      </c>
      <c r="B3866" t="s">
        <v>13420</v>
      </c>
    </row>
    <row r="3867" spans="1:2" x14ac:dyDescent="0.25">
      <c r="A3867" t="s">
        <v>13208</v>
      </c>
      <c r="B3867" t="s">
        <v>13404</v>
      </c>
    </row>
    <row r="3868" spans="1:2" x14ac:dyDescent="0.25">
      <c r="A3868" t="s">
        <v>13208</v>
      </c>
      <c r="B3868" t="s">
        <v>13407</v>
      </c>
    </row>
    <row r="3869" spans="1:2" x14ac:dyDescent="0.25">
      <c r="A3869" t="s">
        <v>13208</v>
      </c>
      <c r="B3869" t="s">
        <v>13628</v>
      </c>
    </row>
    <row r="3870" spans="1:2" x14ac:dyDescent="0.25">
      <c r="A3870" t="s">
        <v>698</v>
      </c>
      <c r="B3870" t="s">
        <v>9289</v>
      </c>
    </row>
    <row r="3871" spans="1:2" x14ac:dyDescent="0.25">
      <c r="A3871" t="s">
        <v>13473</v>
      </c>
      <c r="B3871" t="s">
        <v>10416</v>
      </c>
    </row>
    <row r="3872" spans="1:2" x14ac:dyDescent="0.25">
      <c r="A3872" t="s">
        <v>13474</v>
      </c>
      <c r="B3872" t="s">
        <v>19</v>
      </c>
    </row>
    <row r="3873" spans="1:2" x14ac:dyDescent="0.25">
      <c r="A3873" t="s">
        <v>13487</v>
      </c>
      <c r="B3873" t="s">
        <v>13483</v>
      </c>
    </row>
    <row r="3874" spans="1:2" x14ac:dyDescent="0.25">
      <c r="A3874" t="s">
        <v>13487</v>
      </c>
      <c r="B3874" t="s">
        <v>13597</v>
      </c>
    </row>
    <row r="3875" spans="1:2" x14ac:dyDescent="0.25">
      <c r="A3875" t="s">
        <v>13487</v>
      </c>
      <c r="B3875" t="s">
        <v>14567</v>
      </c>
    </row>
    <row r="3876" spans="1:2" x14ac:dyDescent="0.25">
      <c r="A3876" t="s">
        <v>13505</v>
      </c>
      <c r="B3876" t="s">
        <v>10606</v>
      </c>
    </row>
    <row r="3877" spans="1:2" x14ac:dyDescent="0.25">
      <c r="A3877" t="s">
        <v>13505</v>
      </c>
      <c r="B3877" t="s">
        <v>10618</v>
      </c>
    </row>
    <row r="3878" spans="1:2" x14ac:dyDescent="0.25">
      <c r="A3878" t="s">
        <v>13518</v>
      </c>
      <c r="B3878" t="s">
        <v>10817</v>
      </c>
    </row>
    <row r="3879" spans="1:2" x14ac:dyDescent="0.25">
      <c r="A3879" t="s">
        <v>13543</v>
      </c>
      <c r="B3879" t="s">
        <v>13892</v>
      </c>
    </row>
    <row r="3880" spans="1:2" x14ac:dyDescent="0.25">
      <c r="A3880" t="s">
        <v>10901</v>
      </c>
      <c r="B3880" t="s">
        <v>8561</v>
      </c>
    </row>
    <row r="3881" spans="1:2" x14ac:dyDescent="0.25">
      <c r="A3881" t="s">
        <v>10901</v>
      </c>
      <c r="B3881" t="s">
        <v>13574</v>
      </c>
    </row>
    <row r="3882" spans="1:2" x14ac:dyDescent="0.25">
      <c r="A3882" t="s">
        <v>13585</v>
      </c>
      <c r="B3882" t="s">
        <v>13582</v>
      </c>
    </row>
    <row r="3883" spans="1:2" x14ac:dyDescent="0.25">
      <c r="A3883" t="s">
        <v>13585</v>
      </c>
      <c r="B3883" t="s">
        <v>13705</v>
      </c>
    </row>
    <row r="3884" spans="1:2" x14ac:dyDescent="0.25">
      <c r="A3884" t="s">
        <v>13585</v>
      </c>
      <c r="B3884" t="s">
        <v>14420</v>
      </c>
    </row>
    <row r="3885" spans="1:2" x14ac:dyDescent="0.25">
      <c r="A3885" t="s">
        <v>11526</v>
      </c>
      <c r="B3885" t="s">
        <v>11169</v>
      </c>
    </row>
    <row r="3886" spans="1:2" x14ac:dyDescent="0.25">
      <c r="A3886" t="s">
        <v>11526</v>
      </c>
      <c r="B3886" t="s">
        <v>11150</v>
      </c>
    </row>
    <row r="3887" spans="1:2" x14ac:dyDescent="0.25">
      <c r="A3887" t="s">
        <v>11526</v>
      </c>
      <c r="B3887" t="s">
        <v>11154</v>
      </c>
    </row>
    <row r="3888" spans="1:2" x14ac:dyDescent="0.25">
      <c r="A3888" t="s">
        <v>11526</v>
      </c>
      <c r="B3888" t="s">
        <v>11163</v>
      </c>
    </row>
    <row r="3889" spans="1:2" x14ac:dyDescent="0.25">
      <c r="A3889" t="s">
        <v>11526</v>
      </c>
      <c r="B3889" t="s">
        <v>11137</v>
      </c>
    </row>
    <row r="3890" spans="1:2" x14ac:dyDescent="0.25">
      <c r="A3890" t="s">
        <v>11526</v>
      </c>
      <c r="B3890" t="s">
        <v>11145</v>
      </c>
    </row>
    <row r="3891" spans="1:2" x14ac:dyDescent="0.25">
      <c r="A3891" t="s">
        <v>11526</v>
      </c>
      <c r="B3891" t="s">
        <v>11174</v>
      </c>
    </row>
    <row r="3892" spans="1:2" x14ac:dyDescent="0.25">
      <c r="A3892" t="s">
        <v>11526</v>
      </c>
      <c r="B3892" t="s">
        <v>11166</v>
      </c>
    </row>
    <row r="3893" spans="1:2" x14ac:dyDescent="0.25">
      <c r="A3893" t="s">
        <v>11526</v>
      </c>
      <c r="B3893" t="s">
        <v>11172</v>
      </c>
    </row>
    <row r="3894" spans="1:2" x14ac:dyDescent="0.25">
      <c r="A3894" t="s">
        <v>11526</v>
      </c>
      <c r="B3894" t="s">
        <v>11142</v>
      </c>
    </row>
    <row r="3895" spans="1:2" x14ac:dyDescent="0.25">
      <c r="A3895" t="s">
        <v>11526</v>
      </c>
      <c r="B3895" t="s">
        <v>11236</v>
      </c>
    </row>
    <row r="3896" spans="1:2" x14ac:dyDescent="0.25">
      <c r="A3896" t="s">
        <v>11526</v>
      </c>
      <c r="B3896" t="s">
        <v>11147</v>
      </c>
    </row>
    <row r="3897" spans="1:2" x14ac:dyDescent="0.25">
      <c r="A3897" t="s">
        <v>11526</v>
      </c>
      <c r="B3897" t="s">
        <v>11388</v>
      </c>
    </row>
    <row r="3898" spans="1:2" x14ac:dyDescent="0.25">
      <c r="A3898" t="s">
        <v>11526</v>
      </c>
      <c r="B3898" t="s">
        <v>11223</v>
      </c>
    </row>
    <row r="3899" spans="1:2" x14ac:dyDescent="0.25">
      <c r="A3899" t="s">
        <v>11526</v>
      </c>
      <c r="B3899" t="s">
        <v>11157</v>
      </c>
    </row>
    <row r="3900" spans="1:2" x14ac:dyDescent="0.25">
      <c r="A3900" t="s">
        <v>11526</v>
      </c>
      <c r="B3900" t="s">
        <v>13313</v>
      </c>
    </row>
    <row r="3901" spans="1:2" x14ac:dyDescent="0.25">
      <c r="A3901" t="s">
        <v>13562</v>
      </c>
      <c r="B3901" t="s">
        <v>9904</v>
      </c>
    </row>
    <row r="3902" spans="1:2" x14ac:dyDescent="0.25">
      <c r="A3902" t="s">
        <v>13562</v>
      </c>
      <c r="B3902" t="s">
        <v>9976</v>
      </c>
    </row>
    <row r="3903" spans="1:2" x14ac:dyDescent="0.25">
      <c r="A3903" t="s">
        <v>13562</v>
      </c>
      <c r="B3903" t="s">
        <v>10086</v>
      </c>
    </row>
    <row r="3904" spans="1:2" x14ac:dyDescent="0.25">
      <c r="A3904" t="s">
        <v>13562</v>
      </c>
      <c r="B3904" t="s">
        <v>9975</v>
      </c>
    </row>
    <row r="3905" spans="1:2" x14ac:dyDescent="0.25">
      <c r="A3905" t="s">
        <v>13562</v>
      </c>
      <c r="B3905" t="s">
        <v>9956</v>
      </c>
    </row>
    <row r="3906" spans="1:2" x14ac:dyDescent="0.25">
      <c r="A3906" t="s">
        <v>13562</v>
      </c>
      <c r="B3906" t="s">
        <v>10150</v>
      </c>
    </row>
    <row r="3907" spans="1:2" x14ac:dyDescent="0.25">
      <c r="A3907" t="s">
        <v>13562</v>
      </c>
      <c r="B3907" t="s">
        <v>10028</v>
      </c>
    </row>
    <row r="3908" spans="1:2" x14ac:dyDescent="0.25">
      <c r="A3908" t="s">
        <v>13562</v>
      </c>
      <c r="B3908" t="s">
        <v>9662</v>
      </c>
    </row>
    <row r="3909" spans="1:2" x14ac:dyDescent="0.25">
      <c r="A3909" t="s">
        <v>13562</v>
      </c>
      <c r="B3909" t="s">
        <v>10151</v>
      </c>
    </row>
    <row r="3910" spans="1:2" x14ac:dyDescent="0.25">
      <c r="A3910" t="s">
        <v>13562</v>
      </c>
      <c r="B3910" t="s">
        <v>12962</v>
      </c>
    </row>
    <row r="3911" spans="1:2" x14ac:dyDescent="0.25">
      <c r="A3911" t="s">
        <v>13562</v>
      </c>
      <c r="B3911" t="s">
        <v>12965</v>
      </c>
    </row>
    <row r="3912" spans="1:2" x14ac:dyDescent="0.25">
      <c r="A3912" t="s">
        <v>13562</v>
      </c>
      <c r="B3912" t="s">
        <v>13034</v>
      </c>
    </row>
    <row r="3913" spans="1:2" x14ac:dyDescent="0.25">
      <c r="A3913" t="s">
        <v>13562</v>
      </c>
      <c r="B3913" t="s">
        <v>13418</v>
      </c>
    </row>
    <row r="3914" spans="1:2" x14ac:dyDescent="0.25">
      <c r="A3914" t="s">
        <v>13562</v>
      </c>
      <c r="B3914" t="s">
        <v>13964</v>
      </c>
    </row>
    <row r="3915" spans="1:2" x14ac:dyDescent="0.25">
      <c r="A3915" t="s">
        <v>270</v>
      </c>
      <c r="B3915" t="s">
        <v>13716</v>
      </c>
    </row>
    <row r="3916" spans="1:2" x14ac:dyDescent="0.25">
      <c r="A3916" t="s">
        <v>13546</v>
      </c>
      <c r="B3916" t="s">
        <v>13760</v>
      </c>
    </row>
    <row r="3917" spans="1:2" x14ac:dyDescent="0.25">
      <c r="A3917" t="s">
        <v>13789</v>
      </c>
      <c r="B3917" t="s">
        <v>13786</v>
      </c>
    </row>
    <row r="3918" spans="1:2" x14ac:dyDescent="0.25">
      <c r="A3918" t="s">
        <v>13549</v>
      </c>
      <c r="B3918" t="s">
        <v>14329</v>
      </c>
    </row>
    <row r="3919" spans="1:2" x14ac:dyDescent="0.25">
      <c r="A3919" t="s">
        <v>13549</v>
      </c>
      <c r="B3919" t="s">
        <v>14331</v>
      </c>
    </row>
    <row r="3920" spans="1:2" x14ac:dyDescent="0.25">
      <c r="A3920" t="s">
        <v>13807</v>
      </c>
      <c r="B3920" t="s">
        <v>12093</v>
      </c>
    </row>
    <row r="3921" spans="1:2" x14ac:dyDescent="0.25">
      <c r="A3921" t="s">
        <v>13814</v>
      </c>
      <c r="B3921" t="s">
        <v>14339</v>
      </c>
    </row>
    <row r="3922" spans="1:2" x14ac:dyDescent="0.25">
      <c r="A3922" t="s">
        <v>13814</v>
      </c>
      <c r="B3922" t="s">
        <v>14359</v>
      </c>
    </row>
    <row r="3923" spans="1:2" x14ac:dyDescent="0.25">
      <c r="A3923" t="s">
        <v>13814</v>
      </c>
      <c r="B3923" t="s">
        <v>14398</v>
      </c>
    </row>
    <row r="3924" spans="1:2" x14ac:dyDescent="0.25">
      <c r="A3924" t="s">
        <v>13814</v>
      </c>
      <c r="B3924" t="s">
        <v>14413</v>
      </c>
    </row>
    <row r="3925" spans="1:2" x14ac:dyDescent="0.25">
      <c r="A3925" t="s">
        <v>13828</v>
      </c>
      <c r="B3925" t="s">
        <v>9849</v>
      </c>
    </row>
    <row r="3926" spans="1:2" x14ac:dyDescent="0.25">
      <c r="A3926" t="s">
        <v>810</v>
      </c>
      <c r="B3926" t="s">
        <v>13842</v>
      </c>
    </row>
    <row r="3927" spans="1:2" x14ac:dyDescent="0.25">
      <c r="A3927" t="s">
        <v>113</v>
      </c>
      <c r="B3927" t="s">
        <v>13914</v>
      </c>
    </row>
    <row r="3928" spans="1:2" x14ac:dyDescent="0.25">
      <c r="A3928" t="s">
        <v>113</v>
      </c>
      <c r="B3928" t="s">
        <v>14266</v>
      </c>
    </row>
    <row r="3929" spans="1:2" x14ac:dyDescent="0.25">
      <c r="A3929" t="s">
        <v>13552</v>
      </c>
      <c r="B3929" t="s">
        <v>14396</v>
      </c>
    </row>
    <row r="3930" spans="1:2" x14ac:dyDescent="0.25">
      <c r="A3930" t="s">
        <v>13980</v>
      </c>
      <c r="B3930" t="s">
        <v>10855</v>
      </c>
    </row>
    <row r="3931" spans="1:2" x14ac:dyDescent="0.25">
      <c r="A3931" t="s">
        <v>435</v>
      </c>
      <c r="B3931" t="s">
        <v>13993</v>
      </c>
    </row>
    <row r="3932" spans="1:2" x14ac:dyDescent="0.25">
      <c r="A3932" t="s">
        <v>435</v>
      </c>
      <c r="B3932" t="s">
        <v>13996</v>
      </c>
    </row>
    <row r="3933" spans="1:2" x14ac:dyDescent="0.25">
      <c r="A3933" t="s">
        <v>14095</v>
      </c>
      <c r="B3933" t="s">
        <v>8375</v>
      </c>
    </row>
    <row r="3934" spans="1:2" x14ac:dyDescent="0.25">
      <c r="A3934" t="s">
        <v>14090</v>
      </c>
      <c r="B3934" t="s">
        <v>14159</v>
      </c>
    </row>
    <row r="3935" spans="1:2" x14ac:dyDescent="0.25">
      <c r="A3935" t="s">
        <v>14090</v>
      </c>
      <c r="B3935" t="s">
        <v>13426</v>
      </c>
    </row>
    <row r="3936" spans="1:2" x14ac:dyDescent="0.25">
      <c r="A3936" t="s">
        <v>14132</v>
      </c>
      <c r="B3936" t="s">
        <v>14128</v>
      </c>
    </row>
    <row r="3937" spans="1:2" x14ac:dyDescent="0.25">
      <c r="A3937" t="s">
        <v>14211</v>
      </c>
      <c r="B3937" t="s">
        <v>8703</v>
      </c>
    </row>
    <row r="3938" spans="1:2" x14ac:dyDescent="0.25">
      <c r="A3938" t="s">
        <v>14211</v>
      </c>
      <c r="B3938" t="s">
        <v>8704</v>
      </c>
    </row>
    <row r="3939" spans="1:2" x14ac:dyDescent="0.25">
      <c r="A3939" t="s">
        <v>14211</v>
      </c>
      <c r="B3939" t="s">
        <v>8723</v>
      </c>
    </row>
    <row r="3940" spans="1:2" x14ac:dyDescent="0.25">
      <c r="A3940" t="s">
        <v>14211</v>
      </c>
      <c r="B3940" t="s">
        <v>8706</v>
      </c>
    </row>
    <row r="3941" spans="1:2" x14ac:dyDescent="0.25">
      <c r="A3941" t="s">
        <v>14211</v>
      </c>
      <c r="B3941" t="s">
        <v>8726</v>
      </c>
    </row>
    <row r="3942" spans="1:2" x14ac:dyDescent="0.25">
      <c r="A3942" t="s">
        <v>14211</v>
      </c>
      <c r="B3942" t="s">
        <v>11771</v>
      </c>
    </row>
    <row r="3943" spans="1:2" x14ac:dyDescent="0.25">
      <c r="A3943" t="s">
        <v>14211</v>
      </c>
      <c r="B3943" t="s">
        <v>8705</v>
      </c>
    </row>
    <row r="3944" spans="1:2" x14ac:dyDescent="0.25">
      <c r="A3944" t="s">
        <v>14211</v>
      </c>
      <c r="B3944" t="s">
        <v>11690</v>
      </c>
    </row>
    <row r="3945" spans="1:2" x14ac:dyDescent="0.25">
      <c r="A3945" t="s">
        <v>14211</v>
      </c>
      <c r="B3945" t="s">
        <v>8738</v>
      </c>
    </row>
    <row r="3946" spans="1:2" x14ac:dyDescent="0.25">
      <c r="A3946" t="s">
        <v>14211</v>
      </c>
      <c r="B3946" t="s">
        <v>11744</v>
      </c>
    </row>
    <row r="3947" spans="1:2" x14ac:dyDescent="0.25">
      <c r="A3947" t="s">
        <v>14211</v>
      </c>
      <c r="B3947" t="s">
        <v>8716</v>
      </c>
    </row>
    <row r="3948" spans="1:2" x14ac:dyDescent="0.25">
      <c r="A3948" t="s">
        <v>14211</v>
      </c>
      <c r="B3948" t="s">
        <v>10935</v>
      </c>
    </row>
    <row r="3949" spans="1:2" x14ac:dyDescent="0.25">
      <c r="A3949" t="s">
        <v>14215</v>
      </c>
      <c r="B3949" t="s">
        <v>14334</v>
      </c>
    </row>
    <row r="3950" spans="1:2" x14ac:dyDescent="0.25">
      <c r="A3950" t="s">
        <v>14215</v>
      </c>
      <c r="B3950" t="s">
        <v>14393</v>
      </c>
    </row>
    <row r="3951" spans="1:2" x14ac:dyDescent="0.25">
      <c r="A3951" t="s">
        <v>14215</v>
      </c>
      <c r="B3951" t="s">
        <v>14263</v>
      </c>
    </row>
    <row r="3952" spans="1:2" x14ac:dyDescent="0.25">
      <c r="A3952" t="s">
        <v>14215</v>
      </c>
      <c r="B3952" t="s">
        <v>14395</v>
      </c>
    </row>
    <row r="3953" spans="1:2" x14ac:dyDescent="0.25">
      <c r="A3953" t="s">
        <v>14215</v>
      </c>
      <c r="B3953" t="s">
        <v>14265</v>
      </c>
    </row>
    <row r="3954" spans="1:2" x14ac:dyDescent="0.25">
      <c r="A3954" t="s">
        <v>14215</v>
      </c>
      <c r="B3954" t="s">
        <v>12487</v>
      </c>
    </row>
    <row r="3955" spans="1:2" x14ac:dyDescent="0.25">
      <c r="A3955" t="s">
        <v>14215</v>
      </c>
      <c r="B3955" t="s">
        <v>14253</v>
      </c>
    </row>
    <row r="3956" spans="1:2" x14ac:dyDescent="0.25">
      <c r="A3956" t="s">
        <v>14215</v>
      </c>
      <c r="B3956" t="s">
        <v>14305</v>
      </c>
    </row>
    <row r="3957" spans="1:2" x14ac:dyDescent="0.25">
      <c r="A3957" t="s">
        <v>14215</v>
      </c>
      <c r="B3957" t="s">
        <v>14332</v>
      </c>
    </row>
    <row r="3958" spans="1:2" x14ac:dyDescent="0.25">
      <c r="A3958" t="s">
        <v>14215</v>
      </c>
      <c r="B3958" t="s">
        <v>14391</v>
      </c>
    </row>
    <row r="3959" spans="1:2" x14ac:dyDescent="0.25">
      <c r="A3959" t="s">
        <v>14210</v>
      </c>
      <c r="B3959" t="s">
        <v>8517</v>
      </c>
    </row>
    <row r="3960" spans="1:2" x14ac:dyDescent="0.25">
      <c r="A3960" t="s">
        <v>14210</v>
      </c>
      <c r="B3960" t="s">
        <v>8530</v>
      </c>
    </row>
    <row r="3961" spans="1:2" x14ac:dyDescent="0.25">
      <c r="A3961" t="s">
        <v>14210</v>
      </c>
      <c r="B3961" t="s">
        <v>8520</v>
      </c>
    </row>
    <row r="3962" spans="1:2" x14ac:dyDescent="0.25">
      <c r="A3962" t="s">
        <v>14210</v>
      </c>
      <c r="B3962" t="s">
        <v>8588</v>
      </c>
    </row>
    <row r="3963" spans="1:2" x14ac:dyDescent="0.25">
      <c r="A3963" t="s">
        <v>14210</v>
      </c>
      <c r="B3963" t="s">
        <v>12435</v>
      </c>
    </row>
    <row r="3964" spans="1:2" x14ac:dyDescent="0.25">
      <c r="A3964" t="s">
        <v>14210</v>
      </c>
      <c r="B3964" t="s">
        <v>11604</v>
      </c>
    </row>
    <row r="3965" spans="1:2" x14ac:dyDescent="0.25">
      <c r="A3965" t="s">
        <v>14210</v>
      </c>
      <c r="B3965" t="s">
        <v>12450</v>
      </c>
    </row>
    <row r="3966" spans="1:2" x14ac:dyDescent="0.25">
      <c r="A3966" t="s">
        <v>14210</v>
      </c>
      <c r="B3966" t="s">
        <v>8524</v>
      </c>
    </row>
    <row r="3967" spans="1:2" x14ac:dyDescent="0.25">
      <c r="A3967" t="s">
        <v>14210</v>
      </c>
      <c r="B3967" t="s">
        <v>8550</v>
      </c>
    </row>
    <row r="3968" spans="1:2" x14ac:dyDescent="0.25">
      <c r="A3968" t="s">
        <v>14210</v>
      </c>
      <c r="B3968" t="s">
        <v>8527</v>
      </c>
    </row>
    <row r="3969" spans="1:2" x14ac:dyDescent="0.25">
      <c r="A3969" t="s">
        <v>14210</v>
      </c>
      <c r="B3969" t="s">
        <v>8532</v>
      </c>
    </row>
    <row r="3970" spans="1:2" x14ac:dyDescent="0.25">
      <c r="A3970" t="s">
        <v>14210</v>
      </c>
      <c r="B3970" t="s">
        <v>8560</v>
      </c>
    </row>
    <row r="3971" spans="1:2" x14ac:dyDescent="0.25">
      <c r="A3971" t="s">
        <v>14210</v>
      </c>
      <c r="B3971" t="s">
        <v>8528</v>
      </c>
    </row>
    <row r="3972" spans="1:2" x14ac:dyDescent="0.25">
      <c r="A3972" t="s">
        <v>14210</v>
      </c>
      <c r="B3972" t="s">
        <v>13234</v>
      </c>
    </row>
    <row r="3973" spans="1:2" x14ac:dyDescent="0.25">
      <c r="A3973" t="s">
        <v>14210</v>
      </c>
      <c r="B3973" t="s">
        <v>13252</v>
      </c>
    </row>
    <row r="3974" spans="1:2" x14ac:dyDescent="0.25">
      <c r="A3974" t="s">
        <v>14210</v>
      </c>
      <c r="B3974" t="s">
        <v>14138</v>
      </c>
    </row>
    <row r="3975" spans="1:2" x14ac:dyDescent="0.25">
      <c r="A3975" t="s">
        <v>14210</v>
      </c>
      <c r="B3975" t="s">
        <v>14400</v>
      </c>
    </row>
    <row r="3976" spans="1:2" x14ac:dyDescent="0.25">
      <c r="A3976" t="s">
        <v>14210</v>
      </c>
      <c r="B3976" t="s">
        <v>14415</v>
      </c>
    </row>
    <row r="3977" spans="1:2" x14ac:dyDescent="0.25">
      <c r="A3977" t="s">
        <v>14217</v>
      </c>
      <c r="B3977" t="s">
        <v>14271</v>
      </c>
    </row>
    <row r="3978" spans="1:2" x14ac:dyDescent="0.25">
      <c r="A3978" t="s">
        <v>14216</v>
      </c>
      <c r="B3978" t="s">
        <v>14273</v>
      </c>
    </row>
    <row r="3979" spans="1:2" x14ac:dyDescent="0.25">
      <c r="A3979" t="s">
        <v>13194</v>
      </c>
      <c r="B3979" t="s">
        <v>8020</v>
      </c>
    </row>
    <row r="3980" spans="1:2" x14ac:dyDescent="0.25">
      <c r="A3980" t="s">
        <v>13194</v>
      </c>
      <c r="B3980" t="s">
        <v>11677</v>
      </c>
    </row>
    <row r="3981" spans="1:2" x14ac:dyDescent="0.25">
      <c r="A3981" t="s">
        <v>13194</v>
      </c>
      <c r="B3981" t="s">
        <v>14355</v>
      </c>
    </row>
    <row r="3982" spans="1:2" x14ac:dyDescent="0.25">
      <c r="A3982" t="s">
        <v>694</v>
      </c>
      <c r="B3982" t="s">
        <v>8695</v>
      </c>
    </row>
    <row r="3983" spans="1:2" x14ac:dyDescent="0.25">
      <c r="A3983" t="s">
        <v>14384</v>
      </c>
      <c r="B3983" t="s">
        <v>14382</v>
      </c>
    </row>
    <row r="3984" spans="1:2" x14ac:dyDescent="0.25">
      <c r="A3984" t="s">
        <v>14202</v>
      </c>
      <c r="B3984" t="s">
        <v>8019</v>
      </c>
    </row>
    <row r="3985" spans="1:2" x14ac:dyDescent="0.25">
      <c r="A3985" t="s">
        <v>286</v>
      </c>
      <c r="B3985" t="s">
        <v>8017</v>
      </c>
    </row>
    <row r="3986" spans="1:2" x14ac:dyDescent="0.25">
      <c r="A3986" t="s">
        <v>286</v>
      </c>
      <c r="B3986" t="s">
        <v>8005</v>
      </c>
    </row>
    <row r="3987" spans="1:2" x14ac:dyDescent="0.25">
      <c r="A3987" t="s">
        <v>286</v>
      </c>
      <c r="B3987" t="s">
        <v>8033</v>
      </c>
    </row>
    <row r="3988" spans="1:2" x14ac:dyDescent="0.25">
      <c r="A3988" t="s">
        <v>715</v>
      </c>
      <c r="B3988" t="s">
        <v>14542</v>
      </c>
    </row>
    <row r="3989" spans="1:2" x14ac:dyDescent="0.25">
      <c r="A3989" t="s">
        <v>291</v>
      </c>
      <c r="B3989" t="s">
        <v>8015</v>
      </c>
    </row>
    <row r="3990" spans="1:2" x14ac:dyDescent="0.25">
      <c r="A3990" t="s">
        <v>291</v>
      </c>
      <c r="B3990" t="s">
        <v>8027</v>
      </c>
    </row>
    <row r="3991" spans="1:2" x14ac:dyDescent="0.25">
      <c r="A3991" t="s">
        <v>14614</v>
      </c>
      <c r="B3991" t="s">
        <v>10468</v>
      </c>
    </row>
    <row r="3992" spans="1:2" x14ac:dyDescent="0.25">
      <c r="A3992" t="s">
        <v>14614</v>
      </c>
      <c r="B3992" t="s">
        <v>14625</v>
      </c>
    </row>
    <row r="3993" spans="1:2" x14ac:dyDescent="0.25">
      <c r="A3993" t="s">
        <v>14614</v>
      </c>
      <c r="B3993" t="s">
        <v>14642</v>
      </c>
    </row>
    <row r="3994" spans="1:2" x14ac:dyDescent="0.25">
      <c r="A3994" t="s">
        <v>14614</v>
      </c>
      <c r="B3994" t="s">
        <v>14699</v>
      </c>
    </row>
    <row r="3995" spans="1:2" x14ac:dyDescent="0.25">
      <c r="A3995" t="s">
        <v>14659</v>
      </c>
      <c r="B3995" t="s">
        <v>14655</v>
      </c>
    </row>
    <row r="3996" spans="1:2" x14ac:dyDescent="0.25">
      <c r="A3996" t="s">
        <v>737</v>
      </c>
      <c r="B3996" t="s">
        <v>14696</v>
      </c>
    </row>
    <row r="3997" spans="1:2" x14ac:dyDescent="0.25">
      <c r="A3997" t="s">
        <v>14704</v>
      </c>
      <c r="B3997" t="s">
        <v>14702</v>
      </c>
    </row>
  </sheetData>
  <sheetProtection formatColumns="0" pivotTables="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B253"/>
  <sheetViews>
    <sheetView showGridLines="0" workbookViewId="0">
      <selection activeCell="A10" sqref="A10"/>
    </sheetView>
  </sheetViews>
  <sheetFormatPr defaultColWidth="11.42578125" defaultRowHeight="15" x14ac:dyDescent="0.25"/>
  <cols>
    <col min="1" max="1" width="49.140625" bestFit="1" customWidth="1"/>
    <col min="2" max="2" width="8.140625" bestFit="1" customWidth="1"/>
  </cols>
  <sheetData>
    <row r="1" spans="1:2" x14ac:dyDescent="0.25">
      <c r="A1" t="s">
        <v>24</v>
      </c>
      <c r="B1" t="s">
        <v>25</v>
      </c>
    </row>
    <row r="2" spans="1:2" x14ac:dyDescent="0.25">
      <c r="A2" t="s">
        <v>7537</v>
      </c>
      <c r="B2" t="s">
        <v>892</v>
      </c>
    </row>
    <row r="3" spans="1:2" x14ac:dyDescent="0.25">
      <c r="A3" t="s">
        <v>26</v>
      </c>
      <c r="B3" t="s">
        <v>27</v>
      </c>
    </row>
    <row r="4" spans="1:2" x14ac:dyDescent="0.25">
      <c r="A4" t="s">
        <v>7538</v>
      </c>
      <c r="B4" t="s">
        <v>7539</v>
      </c>
    </row>
    <row r="5" spans="1:2" x14ac:dyDescent="0.25">
      <c r="A5" t="s">
        <v>7540</v>
      </c>
      <c r="B5" t="s">
        <v>840</v>
      </c>
    </row>
    <row r="6" spans="1:2" x14ac:dyDescent="0.25">
      <c r="A6" t="s">
        <v>7541</v>
      </c>
      <c r="B6" t="s">
        <v>7542</v>
      </c>
    </row>
    <row r="7" spans="1:2" x14ac:dyDescent="0.25">
      <c r="A7" t="s">
        <v>7543</v>
      </c>
      <c r="B7" t="s">
        <v>7544</v>
      </c>
    </row>
    <row r="8" spans="1:2" x14ac:dyDescent="0.25">
      <c r="A8" t="s">
        <v>7545</v>
      </c>
      <c r="B8" t="s">
        <v>7546</v>
      </c>
    </row>
    <row r="9" spans="1:2" x14ac:dyDescent="0.25">
      <c r="A9" t="s">
        <v>7547</v>
      </c>
      <c r="B9" t="s">
        <v>7548</v>
      </c>
    </row>
    <row r="10" spans="1:2" x14ac:dyDescent="0.25">
      <c r="A10" t="s">
        <v>7549</v>
      </c>
      <c r="B10" t="s">
        <v>7550</v>
      </c>
    </row>
    <row r="11" spans="1:2" x14ac:dyDescent="0.25">
      <c r="A11" t="s">
        <v>29</v>
      </c>
      <c r="B11" t="s">
        <v>28</v>
      </c>
    </row>
    <row r="12" spans="1:2" x14ac:dyDescent="0.25">
      <c r="A12" t="s">
        <v>7551</v>
      </c>
      <c r="B12" t="s">
        <v>7552</v>
      </c>
    </row>
    <row r="13" spans="1:2" x14ac:dyDescent="0.25">
      <c r="A13" t="s">
        <v>7553</v>
      </c>
      <c r="B13" t="s">
        <v>7554</v>
      </c>
    </row>
    <row r="14" spans="1:2" x14ac:dyDescent="0.25">
      <c r="A14" t="s">
        <v>30</v>
      </c>
      <c r="B14" t="s">
        <v>31</v>
      </c>
    </row>
    <row r="15" spans="1:2" x14ac:dyDescent="0.25">
      <c r="A15" t="s">
        <v>33</v>
      </c>
      <c r="B15" t="s">
        <v>34</v>
      </c>
    </row>
    <row r="16" spans="1:2" x14ac:dyDescent="0.25">
      <c r="A16" t="s">
        <v>7555</v>
      </c>
      <c r="B16" t="s">
        <v>7556</v>
      </c>
    </row>
    <row r="17" spans="1:2" x14ac:dyDescent="0.25">
      <c r="A17" t="s">
        <v>7557</v>
      </c>
      <c r="B17" t="s">
        <v>7558</v>
      </c>
    </row>
    <row r="18" spans="1:2" x14ac:dyDescent="0.25">
      <c r="A18" t="s">
        <v>7559</v>
      </c>
      <c r="B18" t="s">
        <v>7560</v>
      </c>
    </row>
    <row r="19" spans="1:2" x14ac:dyDescent="0.25">
      <c r="A19" t="s">
        <v>7561</v>
      </c>
      <c r="B19" t="s">
        <v>7562</v>
      </c>
    </row>
    <row r="20" spans="1:2" x14ac:dyDescent="0.25">
      <c r="A20" t="s">
        <v>7563</v>
      </c>
      <c r="B20" t="s">
        <v>7564</v>
      </c>
    </row>
    <row r="21" spans="1:2" x14ac:dyDescent="0.25">
      <c r="A21" t="s">
        <v>7565</v>
      </c>
      <c r="B21" t="s">
        <v>7566</v>
      </c>
    </row>
    <row r="22" spans="1:2" x14ac:dyDescent="0.25">
      <c r="A22" t="s">
        <v>37</v>
      </c>
      <c r="B22" t="s">
        <v>38</v>
      </c>
    </row>
    <row r="23" spans="1:2" x14ac:dyDescent="0.25">
      <c r="A23" t="s">
        <v>7567</v>
      </c>
      <c r="B23" t="s">
        <v>7568</v>
      </c>
    </row>
    <row r="24" spans="1:2" x14ac:dyDescent="0.25">
      <c r="A24" t="s">
        <v>7569</v>
      </c>
      <c r="B24" t="s">
        <v>7570</v>
      </c>
    </row>
    <row r="25" spans="1:2" x14ac:dyDescent="0.25">
      <c r="A25" t="s">
        <v>7571</v>
      </c>
      <c r="B25" t="s">
        <v>7572</v>
      </c>
    </row>
    <row r="26" spans="1:2" x14ac:dyDescent="0.25">
      <c r="A26" t="s">
        <v>7573</v>
      </c>
      <c r="B26" t="s">
        <v>7574</v>
      </c>
    </row>
    <row r="27" spans="1:2" x14ac:dyDescent="0.25">
      <c r="A27" t="s">
        <v>7575</v>
      </c>
      <c r="B27" t="s">
        <v>7576</v>
      </c>
    </row>
    <row r="28" spans="1:2" x14ac:dyDescent="0.25">
      <c r="A28" t="s">
        <v>7577</v>
      </c>
      <c r="B28" t="s">
        <v>7578</v>
      </c>
    </row>
    <row r="29" spans="1:2" x14ac:dyDescent="0.25">
      <c r="A29" t="s">
        <v>7579</v>
      </c>
      <c r="B29" t="s">
        <v>7580</v>
      </c>
    </row>
    <row r="30" spans="1:2" x14ac:dyDescent="0.25">
      <c r="A30" t="s">
        <v>7581</v>
      </c>
      <c r="B30" t="s">
        <v>7582</v>
      </c>
    </row>
    <row r="31" spans="1:2" x14ac:dyDescent="0.25">
      <c r="A31" t="s">
        <v>7583</v>
      </c>
      <c r="B31" t="s">
        <v>7584</v>
      </c>
    </row>
    <row r="32" spans="1:2" x14ac:dyDescent="0.25">
      <c r="A32" t="s">
        <v>42</v>
      </c>
      <c r="B32" t="s">
        <v>43</v>
      </c>
    </row>
    <row r="33" spans="1:2" x14ac:dyDescent="0.25">
      <c r="A33" t="s">
        <v>7585</v>
      </c>
      <c r="B33" t="s">
        <v>7586</v>
      </c>
    </row>
    <row r="34" spans="1:2" x14ac:dyDescent="0.25">
      <c r="A34" t="s">
        <v>7587</v>
      </c>
      <c r="B34" t="s">
        <v>7588</v>
      </c>
    </row>
    <row r="35" spans="1:2" x14ac:dyDescent="0.25">
      <c r="A35" t="s">
        <v>7589</v>
      </c>
      <c r="B35" t="s">
        <v>7590</v>
      </c>
    </row>
    <row r="36" spans="1:2" x14ac:dyDescent="0.25">
      <c r="A36" t="s">
        <v>7591</v>
      </c>
      <c r="B36" t="s">
        <v>7592</v>
      </c>
    </row>
    <row r="37" spans="1:2" x14ac:dyDescent="0.25">
      <c r="A37" t="s">
        <v>7593</v>
      </c>
      <c r="B37" t="s">
        <v>7594</v>
      </c>
    </row>
    <row r="38" spans="1:2" x14ac:dyDescent="0.25">
      <c r="A38" t="s">
        <v>7595</v>
      </c>
      <c r="B38" t="s">
        <v>7596</v>
      </c>
    </row>
    <row r="39" spans="1:2" x14ac:dyDescent="0.25">
      <c r="A39" t="s">
        <v>7597</v>
      </c>
      <c r="B39" t="s">
        <v>7598</v>
      </c>
    </row>
    <row r="40" spans="1:2" x14ac:dyDescent="0.25">
      <c r="A40" t="s">
        <v>7599</v>
      </c>
      <c r="B40" t="s">
        <v>7600</v>
      </c>
    </row>
    <row r="41" spans="1:2" x14ac:dyDescent="0.25">
      <c r="A41" t="s">
        <v>7601</v>
      </c>
      <c r="B41" t="s">
        <v>7602</v>
      </c>
    </row>
    <row r="42" spans="1:2" x14ac:dyDescent="0.25">
      <c r="A42" t="s">
        <v>46</v>
      </c>
      <c r="B42" t="s">
        <v>47</v>
      </c>
    </row>
    <row r="43" spans="1:2" x14ac:dyDescent="0.25">
      <c r="A43" t="s">
        <v>7603</v>
      </c>
      <c r="B43" t="s">
        <v>7604</v>
      </c>
    </row>
    <row r="44" spans="1:2" x14ac:dyDescent="0.25">
      <c r="A44" t="s">
        <v>7605</v>
      </c>
      <c r="B44" t="s">
        <v>7606</v>
      </c>
    </row>
    <row r="45" spans="1:2" x14ac:dyDescent="0.25">
      <c r="A45" t="s">
        <v>7607</v>
      </c>
      <c r="B45" t="s">
        <v>7608</v>
      </c>
    </row>
    <row r="46" spans="1:2" x14ac:dyDescent="0.25">
      <c r="A46" t="s">
        <v>50</v>
      </c>
      <c r="B46" t="s">
        <v>7609</v>
      </c>
    </row>
    <row r="47" spans="1:2" x14ac:dyDescent="0.25">
      <c r="A47" t="s">
        <v>51</v>
      </c>
      <c r="B47" t="s">
        <v>52</v>
      </c>
    </row>
    <row r="48" spans="1:2" x14ac:dyDescent="0.25">
      <c r="A48" t="s">
        <v>7610</v>
      </c>
      <c r="B48" t="s">
        <v>90</v>
      </c>
    </row>
    <row r="49" spans="1:2" x14ac:dyDescent="0.25">
      <c r="A49" t="s">
        <v>7611</v>
      </c>
      <c r="B49" t="s">
        <v>7612</v>
      </c>
    </row>
    <row r="50" spans="1:2" x14ac:dyDescent="0.25">
      <c r="A50" t="s">
        <v>7613</v>
      </c>
      <c r="B50" t="s">
        <v>7614</v>
      </c>
    </row>
    <row r="51" spans="1:2" x14ac:dyDescent="0.25">
      <c r="A51" t="s">
        <v>7615</v>
      </c>
      <c r="B51" t="s">
        <v>7616</v>
      </c>
    </row>
    <row r="52" spans="1:2" x14ac:dyDescent="0.25">
      <c r="A52" t="s">
        <v>53</v>
      </c>
      <c r="B52" t="s">
        <v>54</v>
      </c>
    </row>
    <row r="53" spans="1:2" x14ac:dyDescent="0.25">
      <c r="A53" t="s">
        <v>7617</v>
      </c>
      <c r="B53" t="s">
        <v>7618</v>
      </c>
    </row>
    <row r="54" spans="1:2" x14ac:dyDescent="0.25">
      <c r="A54" t="s">
        <v>7619</v>
      </c>
      <c r="B54" t="s">
        <v>7620</v>
      </c>
    </row>
    <row r="55" spans="1:2" x14ac:dyDescent="0.25">
      <c r="A55" t="s">
        <v>7621</v>
      </c>
      <c r="B55" t="s">
        <v>7622</v>
      </c>
    </row>
    <row r="56" spans="1:2" x14ac:dyDescent="0.25">
      <c r="A56" t="s">
        <v>7623</v>
      </c>
      <c r="B56" t="s">
        <v>7624</v>
      </c>
    </row>
    <row r="57" spans="1:2" x14ac:dyDescent="0.25">
      <c r="A57" t="s">
        <v>55</v>
      </c>
      <c r="B57" t="s">
        <v>56</v>
      </c>
    </row>
    <row r="58" spans="1:2" x14ac:dyDescent="0.25">
      <c r="A58" t="s">
        <v>7625</v>
      </c>
      <c r="B58" t="s">
        <v>7626</v>
      </c>
    </row>
    <row r="59" spans="1:2" x14ac:dyDescent="0.25">
      <c r="A59" t="s">
        <v>7627</v>
      </c>
      <c r="B59" t="s">
        <v>7628</v>
      </c>
    </row>
    <row r="60" spans="1:2" x14ac:dyDescent="0.25">
      <c r="A60" t="s">
        <v>59</v>
      </c>
      <c r="B60" t="s">
        <v>60</v>
      </c>
    </row>
    <row r="61" spans="1:2" x14ac:dyDescent="0.25">
      <c r="A61" t="s">
        <v>7629</v>
      </c>
      <c r="B61" t="s">
        <v>62</v>
      </c>
    </row>
    <row r="62" spans="1:2" x14ac:dyDescent="0.25">
      <c r="A62" t="s">
        <v>7630</v>
      </c>
      <c r="B62" t="s">
        <v>7631</v>
      </c>
    </row>
    <row r="63" spans="1:2" x14ac:dyDescent="0.25">
      <c r="A63" t="s">
        <v>7632</v>
      </c>
      <c r="B63" t="s">
        <v>7633</v>
      </c>
    </row>
    <row r="64" spans="1:2" x14ac:dyDescent="0.25">
      <c r="A64" t="s">
        <v>7634</v>
      </c>
      <c r="B64" t="s">
        <v>7635</v>
      </c>
    </row>
    <row r="65" spans="1:2" x14ac:dyDescent="0.25">
      <c r="A65" t="s">
        <v>64</v>
      </c>
      <c r="B65" t="s">
        <v>65</v>
      </c>
    </row>
    <row r="66" spans="1:2" x14ac:dyDescent="0.25">
      <c r="A66" t="s">
        <v>7636</v>
      </c>
      <c r="B66" t="s">
        <v>7637</v>
      </c>
    </row>
    <row r="67" spans="1:2" x14ac:dyDescent="0.25">
      <c r="A67" t="s">
        <v>7638</v>
      </c>
      <c r="B67" t="s">
        <v>7639</v>
      </c>
    </row>
    <row r="68" spans="1:2" x14ac:dyDescent="0.25">
      <c r="A68" t="s">
        <v>7640</v>
      </c>
      <c r="B68" t="s">
        <v>7641</v>
      </c>
    </row>
    <row r="69" spans="1:2" x14ac:dyDescent="0.25">
      <c r="A69" t="s">
        <v>67</v>
      </c>
      <c r="B69" t="s">
        <v>68</v>
      </c>
    </row>
    <row r="70" spans="1:2" x14ac:dyDescent="0.25">
      <c r="A70" t="s">
        <v>7642</v>
      </c>
      <c r="B70" t="s">
        <v>7643</v>
      </c>
    </row>
    <row r="71" spans="1:2" x14ac:dyDescent="0.25">
      <c r="A71" t="s">
        <v>7644</v>
      </c>
      <c r="B71" t="s">
        <v>7645</v>
      </c>
    </row>
    <row r="72" spans="1:2" x14ac:dyDescent="0.25">
      <c r="A72" t="s">
        <v>7646</v>
      </c>
      <c r="B72" t="s">
        <v>7647</v>
      </c>
    </row>
    <row r="73" spans="1:2" x14ac:dyDescent="0.25">
      <c r="A73" t="s">
        <v>7648</v>
      </c>
      <c r="B73" t="s">
        <v>7649</v>
      </c>
    </row>
    <row r="74" spans="1:2" x14ac:dyDescent="0.25">
      <c r="A74" t="s">
        <v>7650</v>
      </c>
      <c r="B74" t="s">
        <v>7651</v>
      </c>
    </row>
    <row r="75" spans="1:2" x14ac:dyDescent="0.25">
      <c r="A75" t="s">
        <v>7652</v>
      </c>
      <c r="B75" t="s">
        <v>7653</v>
      </c>
    </row>
    <row r="76" spans="1:2" x14ac:dyDescent="0.25">
      <c r="A76" t="s">
        <v>7654</v>
      </c>
      <c r="B76" t="s">
        <v>7655</v>
      </c>
    </row>
    <row r="77" spans="1:2" x14ac:dyDescent="0.25">
      <c r="A77" t="s">
        <v>7656</v>
      </c>
      <c r="B77" t="s">
        <v>7657</v>
      </c>
    </row>
    <row r="78" spans="1:2" x14ac:dyDescent="0.25">
      <c r="A78" t="s">
        <v>7658</v>
      </c>
      <c r="B78" t="s">
        <v>7659</v>
      </c>
    </row>
    <row r="79" spans="1:2" x14ac:dyDescent="0.25">
      <c r="A79" t="s">
        <v>7660</v>
      </c>
      <c r="B79" t="s">
        <v>7661</v>
      </c>
    </row>
    <row r="80" spans="1:2" x14ac:dyDescent="0.25">
      <c r="A80" t="s">
        <v>76</v>
      </c>
      <c r="B80" t="s">
        <v>77</v>
      </c>
    </row>
    <row r="81" spans="1:2" x14ac:dyDescent="0.25">
      <c r="A81" t="s">
        <v>80</v>
      </c>
      <c r="B81" t="s">
        <v>81</v>
      </c>
    </row>
    <row r="82" spans="1:2" x14ac:dyDescent="0.25">
      <c r="A82" t="s">
        <v>7662</v>
      </c>
      <c r="B82" t="s">
        <v>7663</v>
      </c>
    </row>
    <row r="83" spans="1:2" x14ac:dyDescent="0.25">
      <c r="A83" t="s">
        <v>7664</v>
      </c>
      <c r="B83" t="s">
        <v>7665</v>
      </c>
    </row>
    <row r="84" spans="1:2" x14ac:dyDescent="0.25">
      <c r="A84" t="s">
        <v>7666</v>
      </c>
      <c r="B84" t="s">
        <v>7667</v>
      </c>
    </row>
    <row r="85" spans="1:2" x14ac:dyDescent="0.25">
      <c r="A85" t="s">
        <v>7668</v>
      </c>
      <c r="B85" t="s">
        <v>7669</v>
      </c>
    </row>
    <row r="86" spans="1:2" x14ac:dyDescent="0.25">
      <c r="A86" t="s">
        <v>7670</v>
      </c>
      <c r="B86" t="s">
        <v>7671</v>
      </c>
    </row>
    <row r="87" spans="1:2" x14ac:dyDescent="0.25">
      <c r="A87" t="s">
        <v>4234</v>
      </c>
      <c r="B87" t="s">
        <v>7672</v>
      </c>
    </row>
    <row r="88" spans="1:2" x14ac:dyDescent="0.25">
      <c r="A88" t="s">
        <v>83</v>
      </c>
      <c r="B88" t="s">
        <v>84</v>
      </c>
    </row>
    <row r="89" spans="1:2" x14ac:dyDescent="0.25">
      <c r="A89" t="s">
        <v>7673</v>
      </c>
      <c r="B89" t="s">
        <v>7674</v>
      </c>
    </row>
    <row r="90" spans="1:2" x14ac:dyDescent="0.25">
      <c r="A90" t="s">
        <v>85</v>
      </c>
      <c r="B90" t="s">
        <v>86</v>
      </c>
    </row>
    <row r="91" spans="1:2" x14ac:dyDescent="0.25">
      <c r="A91" t="s">
        <v>87</v>
      </c>
      <c r="B91" t="s">
        <v>88</v>
      </c>
    </row>
    <row r="92" spans="1:2" x14ac:dyDescent="0.25">
      <c r="A92" t="s">
        <v>7675</v>
      </c>
      <c r="B92" t="s">
        <v>7676</v>
      </c>
    </row>
    <row r="93" spans="1:2" x14ac:dyDescent="0.25">
      <c r="A93" t="s">
        <v>7677</v>
      </c>
      <c r="B93" t="s">
        <v>7678</v>
      </c>
    </row>
    <row r="94" spans="1:2" x14ac:dyDescent="0.25">
      <c r="A94" t="s">
        <v>7679</v>
      </c>
      <c r="B94" t="s">
        <v>7680</v>
      </c>
    </row>
    <row r="95" spans="1:2" x14ac:dyDescent="0.25">
      <c r="A95" t="s">
        <v>7681</v>
      </c>
      <c r="B95" t="s">
        <v>7682</v>
      </c>
    </row>
    <row r="96" spans="1:2" x14ac:dyDescent="0.25">
      <c r="A96" t="s">
        <v>7683</v>
      </c>
      <c r="B96" t="s">
        <v>7684</v>
      </c>
    </row>
    <row r="97" spans="1:2" x14ac:dyDescent="0.25">
      <c r="A97" t="s">
        <v>7685</v>
      </c>
      <c r="B97" t="s">
        <v>7686</v>
      </c>
    </row>
    <row r="98" spans="1:2" x14ac:dyDescent="0.25">
      <c r="A98" t="s">
        <v>7687</v>
      </c>
      <c r="B98" t="s">
        <v>7688</v>
      </c>
    </row>
    <row r="99" spans="1:2" x14ac:dyDescent="0.25">
      <c r="A99" t="s">
        <v>7689</v>
      </c>
      <c r="B99" t="s">
        <v>7690</v>
      </c>
    </row>
    <row r="100" spans="1:2" x14ac:dyDescent="0.25">
      <c r="A100" t="s">
        <v>7691</v>
      </c>
      <c r="B100" t="s">
        <v>7692</v>
      </c>
    </row>
    <row r="101" spans="1:2" x14ac:dyDescent="0.25">
      <c r="A101" t="s">
        <v>7693</v>
      </c>
      <c r="B101" t="s">
        <v>7694</v>
      </c>
    </row>
    <row r="102" spans="1:2" x14ac:dyDescent="0.25">
      <c r="A102" t="s">
        <v>7695</v>
      </c>
      <c r="B102" t="s">
        <v>7696</v>
      </c>
    </row>
    <row r="103" spans="1:2" x14ac:dyDescent="0.25">
      <c r="A103" t="s">
        <v>7697</v>
      </c>
      <c r="B103" t="s">
        <v>7698</v>
      </c>
    </row>
    <row r="104" spans="1:2" x14ac:dyDescent="0.25">
      <c r="A104" t="s">
        <v>7699</v>
      </c>
      <c r="B104" t="s">
        <v>7700</v>
      </c>
    </row>
    <row r="105" spans="1:2" x14ac:dyDescent="0.25">
      <c r="A105" t="s">
        <v>92</v>
      </c>
      <c r="B105" t="s">
        <v>93</v>
      </c>
    </row>
    <row r="106" spans="1:2" x14ac:dyDescent="0.25">
      <c r="A106" t="s">
        <v>7701</v>
      </c>
      <c r="B106" t="s">
        <v>7702</v>
      </c>
    </row>
    <row r="107" spans="1:2" x14ac:dyDescent="0.25">
      <c r="A107" t="s">
        <v>94</v>
      </c>
      <c r="B107" t="s">
        <v>95</v>
      </c>
    </row>
    <row r="108" spans="1:2" x14ac:dyDescent="0.25">
      <c r="A108" t="s">
        <v>7703</v>
      </c>
      <c r="B108" t="s">
        <v>7704</v>
      </c>
    </row>
    <row r="109" spans="1:2" x14ac:dyDescent="0.25">
      <c r="A109" t="s">
        <v>7705</v>
      </c>
      <c r="B109" t="s">
        <v>7706</v>
      </c>
    </row>
    <row r="110" spans="1:2" x14ac:dyDescent="0.25">
      <c r="A110" t="s">
        <v>7707</v>
      </c>
      <c r="B110" t="s">
        <v>7708</v>
      </c>
    </row>
    <row r="111" spans="1:2" x14ac:dyDescent="0.25">
      <c r="A111" t="s">
        <v>97</v>
      </c>
      <c r="B111" t="s">
        <v>98</v>
      </c>
    </row>
    <row r="112" spans="1:2" x14ac:dyDescent="0.25">
      <c r="A112" t="s">
        <v>7709</v>
      </c>
      <c r="B112" t="s">
        <v>7710</v>
      </c>
    </row>
    <row r="113" spans="1:2" x14ac:dyDescent="0.25">
      <c r="A113" t="s">
        <v>101</v>
      </c>
      <c r="B113" t="s">
        <v>102</v>
      </c>
    </row>
    <row r="114" spans="1:2" x14ac:dyDescent="0.25">
      <c r="A114" t="s">
        <v>104</v>
      </c>
      <c r="B114" t="s">
        <v>15</v>
      </c>
    </row>
    <row r="115" spans="1:2" x14ac:dyDescent="0.25">
      <c r="A115" t="s">
        <v>107</v>
      </c>
      <c r="B115" t="s">
        <v>108</v>
      </c>
    </row>
    <row r="116" spans="1:2" x14ac:dyDescent="0.25">
      <c r="A116" t="s">
        <v>109</v>
      </c>
      <c r="B116" t="s">
        <v>110</v>
      </c>
    </row>
    <row r="117" spans="1:2" x14ac:dyDescent="0.25">
      <c r="A117" t="s">
        <v>7711</v>
      </c>
      <c r="B117" t="s">
        <v>7712</v>
      </c>
    </row>
    <row r="118" spans="1:2" x14ac:dyDescent="0.25">
      <c r="A118" t="s">
        <v>1514</v>
      </c>
      <c r="B118" t="s">
        <v>7713</v>
      </c>
    </row>
    <row r="119" spans="1:2" x14ac:dyDescent="0.25">
      <c r="A119" t="s">
        <v>7714</v>
      </c>
      <c r="B119" t="s">
        <v>7715</v>
      </c>
    </row>
    <row r="120" spans="1:2" x14ac:dyDescent="0.25">
      <c r="A120" t="s">
        <v>7716</v>
      </c>
      <c r="B120" t="s">
        <v>7717</v>
      </c>
    </row>
    <row r="121" spans="1:2" x14ac:dyDescent="0.25">
      <c r="A121" t="s">
        <v>7718</v>
      </c>
      <c r="B121" t="s">
        <v>7719</v>
      </c>
    </row>
    <row r="122" spans="1:2" x14ac:dyDescent="0.25">
      <c r="A122" t="s">
        <v>7720</v>
      </c>
      <c r="B122" t="s">
        <v>7721</v>
      </c>
    </row>
    <row r="123" spans="1:2" x14ac:dyDescent="0.25">
      <c r="A123" t="s">
        <v>7722</v>
      </c>
      <c r="B123" t="s">
        <v>7723</v>
      </c>
    </row>
    <row r="124" spans="1:2" x14ac:dyDescent="0.25">
      <c r="A124" t="s">
        <v>7724</v>
      </c>
      <c r="B124" t="s">
        <v>7725</v>
      </c>
    </row>
    <row r="125" spans="1:2" x14ac:dyDescent="0.25">
      <c r="A125" t="s">
        <v>7726</v>
      </c>
      <c r="B125" t="s">
        <v>7727</v>
      </c>
    </row>
    <row r="126" spans="1:2" x14ac:dyDescent="0.25">
      <c r="A126" t="s">
        <v>7728</v>
      </c>
      <c r="B126" t="s">
        <v>7729</v>
      </c>
    </row>
    <row r="127" spans="1:2" x14ac:dyDescent="0.25">
      <c r="A127" t="s">
        <v>7730</v>
      </c>
      <c r="B127" t="s">
        <v>7731</v>
      </c>
    </row>
    <row r="128" spans="1:2" x14ac:dyDescent="0.25">
      <c r="A128" t="s">
        <v>7732</v>
      </c>
      <c r="B128" t="s">
        <v>7733</v>
      </c>
    </row>
    <row r="129" spans="1:2" x14ac:dyDescent="0.25">
      <c r="A129" t="s">
        <v>7734</v>
      </c>
      <c r="B129" t="s">
        <v>7735</v>
      </c>
    </row>
    <row r="130" spans="1:2" x14ac:dyDescent="0.25">
      <c r="A130" t="s">
        <v>7736</v>
      </c>
      <c r="B130" t="s">
        <v>7737</v>
      </c>
    </row>
    <row r="131" spans="1:2" x14ac:dyDescent="0.25">
      <c r="A131" t="s">
        <v>7738</v>
      </c>
      <c r="B131" t="s">
        <v>7739</v>
      </c>
    </row>
    <row r="132" spans="1:2" x14ac:dyDescent="0.25">
      <c r="A132" t="s">
        <v>7740</v>
      </c>
      <c r="B132" t="s">
        <v>7741</v>
      </c>
    </row>
    <row r="133" spans="1:2" x14ac:dyDescent="0.25">
      <c r="A133" t="s">
        <v>7742</v>
      </c>
      <c r="B133" t="s">
        <v>7743</v>
      </c>
    </row>
    <row r="134" spans="1:2" x14ac:dyDescent="0.25">
      <c r="A134" t="s">
        <v>7744</v>
      </c>
      <c r="B134" t="s">
        <v>7745</v>
      </c>
    </row>
    <row r="135" spans="1:2" x14ac:dyDescent="0.25">
      <c r="A135" t="s">
        <v>118</v>
      </c>
      <c r="B135" t="s">
        <v>119</v>
      </c>
    </row>
    <row r="136" spans="1:2" x14ac:dyDescent="0.25">
      <c r="A136" t="s">
        <v>7746</v>
      </c>
      <c r="B136" t="s">
        <v>7747</v>
      </c>
    </row>
    <row r="137" spans="1:2" x14ac:dyDescent="0.25">
      <c r="A137" t="s">
        <v>7748</v>
      </c>
      <c r="B137" t="s">
        <v>7749</v>
      </c>
    </row>
    <row r="138" spans="1:2" x14ac:dyDescent="0.25">
      <c r="A138" t="s">
        <v>115</v>
      </c>
      <c r="B138" t="s">
        <v>21</v>
      </c>
    </row>
    <row r="139" spans="1:2" x14ac:dyDescent="0.25">
      <c r="A139" t="s">
        <v>7750</v>
      </c>
      <c r="B139" t="s">
        <v>7751</v>
      </c>
    </row>
    <row r="140" spans="1:2" x14ac:dyDescent="0.25">
      <c r="A140" t="s">
        <v>7752</v>
      </c>
      <c r="B140" t="s">
        <v>7753</v>
      </c>
    </row>
    <row r="141" spans="1:2" x14ac:dyDescent="0.25">
      <c r="A141" t="s">
        <v>7754</v>
      </c>
      <c r="B141" t="s">
        <v>7755</v>
      </c>
    </row>
    <row r="142" spans="1:2" x14ac:dyDescent="0.25">
      <c r="A142" t="s">
        <v>7756</v>
      </c>
      <c r="B142" t="s">
        <v>7757</v>
      </c>
    </row>
    <row r="143" spans="1:2" x14ac:dyDescent="0.25">
      <c r="A143" t="s">
        <v>7758</v>
      </c>
      <c r="B143" t="s">
        <v>7759</v>
      </c>
    </row>
    <row r="144" spans="1:2" x14ac:dyDescent="0.25">
      <c r="A144" t="s">
        <v>111</v>
      </c>
      <c r="B144" t="s">
        <v>112</v>
      </c>
    </row>
    <row r="145" spans="1:2" x14ac:dyDescent="0.25">
      <c r="A145" t="s">
        <v>7760</v>
      </c>
      <c r="B145" t="s">
        <v>7761</v>
      </c>
    </row>
    <row r="146" spans="1:2" x14ac:dyDescent="0.25">
      <c r="A146" t="s">
        <v>122</v>
      </c>
      <c r="B146" t="s">
        <v>123</v>
      </c>
    </row>
    <row r="147" spans="1:2" x14ac:dyDescent="0.25">
      <c r="A147" t="s">
        <v>7762</v>
      </c>
      <c r="B147" t="s">
        <v>7763</v>
      </c>
    </row>
    <row r="148" spans="1:2" x14ac:dyDescent="0.25">
      <c r="A148" t="s">
        <v>7764</v>
      </c>
      <c r="B148" t="s">
        <v>7765</v>
      </c>
    </row>
    <row r="149" spans="1:2" x14ac:dyDescent="0.25">
      <c r="A149" t="s">
        <v>7766</v>
      </c>
      <c r="B149" t="s">
        <v>7767</v>
      </c>
    </row>
    <row r="150" spans="1:2" x14ac:dyDescent="0.25">
      <c r="A150" t="s">
        <v>7768</v>
      </c>
      <c r="B150" t="s">
        <v>7769</v>
      </c>
    </row>
    <row r="151" spans="1:2" x14ac:dyDescent="0.25">
      <c r="A151" t="s">
        <v>7770</v>
      </c>
      <c r="B151" t="s">
        <v>7771</v>
      </c>
    </row>
    <row r="152" spans="1:2" x14ac:dyDescent="0.25">
      <c r="A152" t="s">
        <v>7772</v>
      </c>
      <c r="B152" t="s">
        <v>7773</v>
      </c>
    </row>
    <row r="153" spans="1:2" x14ac:dyDescent="0.25">
      <c r="A153" t="s">
        <v>7774</v>
      </c>
      <c r="B153" t="s">
        <v>7775</v>
      </c>
    </row>
    <row r="154" spans="1:2" x14ac:dyDescent="0.25">
      <c r="A154" t="s">
        <v>7776</v>
      </c>
      <c r="B154" t="s">
        <v>7777</v>
      </c>
    </row>
    <row r="155" spans="1:2" x14ac:dyDescent="0.25">
      <c r="A155" t="s">
        <v>7778</v>
      </c>
      <c r="B155" t="s">
        <v>7779</v>
      </c>
    </row>
    <row r="156" spans="1:2" x14ac:dyDescent="0.25">
      <c r="A156" t="s">
        <v>124</v>
      </c>
      <c r="B156" t="s">
        <v>125</v>
      </c>
    </row>
    <row r="157" spans="1:2" x14ac:dyDescent="0.25">
      <c r="A157" t="s">
        <v>7780</v>
      </c>
      <c r="B157" t="s">
        <v>7781</v>
      </c>
    </row>
    <row r="158" spans="1:2" x14ac:dyDescent="0.25">
      <c r="A158" t="s">
        <v>7782</v>
      </c>
      <c r="B158" t="s">
        <v>7783</v>
      </c>
    </row>
    <row r="159" spans="1:2" x14ac:dyDescent="0.25">
      <c r="A159" t="s">
        <v>7784</v>
      </c>
      <c r="B159" t="s">
        <v>7785</v>
      </c>
    </row>
    <row r="160" spans="1:2" x14ac:dyDescent="0.25">
      <c r="A160" t="s">
        <v>7786</v>
      </c>
      <c r="B160" t="s">
        <v>7787</v>
      </c>
    </row>
    <row r="161" spans="1:2" x14ac:dyDescent="0.25">
      <c r="A161" t="s">
        <v>126</v>
      </c>
      <c r="B161" t="s">
        <v>127</v>
      </c>
    </row>
    <row r="162" spans="1:2" x14ac:dyDescent="0.25">
      <c r="A162" t="s">
        <v>7788</v>
      </c>
      <c r="B162" t="s">
        <v>7789</v>
      </c>
    </row>
    <row r="163" spans="1:2" x14ac:dyDescent="0.25">
      <c r="A163" t="s">
        <v>7790</v>
      </c>
      <c r="B163" t="s">
        <v>7791</v>
      </c>
    </row>
    <row r="164" spans="1:2" x14ac:dyDescent="0.25">
      <c r="A164" t="s">
        <v>7792</v>
      </c>
      <c r="B164" t="s">
        <v>7793</v>
      </c>
    </row>
    <row r="165" spans="1:2" x14ac:dyDescent="0.25">
      <c r="A165" t="s">
        <v>130</v>
      </c>
      <c r="B165" t="s">
        <v>131</v>
      </c>
    </row>
    <row r="166" spans="1:2" x14ac:dyDescent="0.25">
      <c r="A166" t="s">
        <v>7794</v>
      </c>
      <c r="B166" t="s">
        <v>7795</v>
      </c>
    </row>
    <row r="167" spans="1:2" x14ac:dyDescent="0.25">
      <c r="A167" t="s">
        <v>7796</v>
      </c>
      <c r="B167" t="s">
        <v>7797</v>
      </c>
    </row>
    <row r="168" spans="1:2" x14ac:dyDescent="0.25">
      <c r="A168" t="s">
        <v>7798</v>
      </c>
      <c r="B168" t="s">
        <v>7799</v>
      </c>
    </row>
    <row r="169" spans="1:2" x14ac:dyDescent="0.25">
      <c r="A169" t="s">
        <v>7800</v>
      </c>
      <c r="B169" t="s">
        <v>7801</v>
      </c>
    </row>
    <row r="170" spans="1:2" x14ac:dyDescent="0.25">
      <c r="A170" t="s">
        <v>7802</v>
      </c>
      <c r="B170" t="s">
        <v>7803</v>
      </c>
    </row>
    <row r="171" spans="1:2" x14ac:dyDescent="0.25">
      <c r="A171" t="s">
        <v>7804</v>
      </c>
      <c r="B171" t="s">
        <v>7805</v>
      </c>
    </row>
    <row r="172" spans="1:2" x14ac:dyDescent="0.25">
      <c r="A172" t="s">
        <v>132</v>
      </c>
      <c r="B172" t="s">
        <v>133</v>
      </c>
    </row>
    <row r="173" spans="1:2" x14ac:dyDescent="0.25">
      <c r="A173" t="s">
        <v>7806</v>
      </c>
      <c r="B173" t="s">
        <v>7807</v>
      </c>
    </row>
    <row r="174" spans="1:2" x14ac:dyDescent="0.25">
      <c r="A174" t="s">
        <v>7808</v>
      </c>
      <c r="B174" t="s">
        <v>7809</v>
      </c>
    </row>
    <row r="175" spans="1:2" x14ac:dyDescent="0.25">
      <c r="A175" t="s">
        <v>134</v>
      </c>
      <c r="B175" t="s">
        <v>135</v>
      </c>
    </row>
    <row r="176" spans="1:2" x14ac:dyDescent="0.25">
      <c r="A176" t="s">
        <v>136</v>
      </c>
      <c r="B176" t="s">
        <v>137</v>
      </c>
    </row>
    <row r="177" spans="1:2" x14ac:dyDescent="0.25">
      <c r="A177" t="s">
        <v>7810</v>
      </c>
      <c r="B177" t="s">
        <v>7811</v>
      </c>
    </row>
    <row r="178" spans="1:2" x14ac:dyDescent="0.25">
      <c r="A178" t="s">
        <v>7812</v>
      </c>
      <c r="B178" t="s">
        <v>7813</v>
      </c>
    </row>
    <row r="179" spans="1:2" x14ac:dyDescent="0.25">
      <c r="A179" t="s">
        <v>7814</v>
      </c>
      <c r="B179" t="s">
        <v>7815</v>
      </c>
    </row>
    <row r="180" spans="1:2" x14ac:dyDescent="0.25">
      <c r="A180" t="s">
        <v>7816</v>
      </c>
      <c r="B180" t="s">
        <v>7817</v>
      </c>
    </row>
    <row r="181" spans="1:2" x14ac:dyDescent="0.25">
      <c r="A181" t="s">
        <v>138</v>
      </c>
      <c r="B181" t="s">
        <v>7818</v>
      </c>
    </row>
    <row r="182" spans="1:2" x14ac:dyDescent="0.25">
      <c r="A182" t="s">
        <v>7819</v>
      </c>
      <c r="B182" t="s">
        <v>141</v>
      </c>
    </row>
    <row r="183" spans="1:2" x14ac:dyDescent="0.25">
      <c r="A183" t="s">
        <v>7820</v>
      </c>
      <c r="B183" t="s">
        <v>7821</v>
      </c>
    </row>
    <row r="184" spans="1:2" x14ac:dyDescent="0.25">
      <c r="A184" t="s">
        <v>7822</v>
      </c>
      <c r="B184" t="s">
        <v>7823</v>
      </c>
    </row>
    <row r="185" spans="1:2" x14ac:dyDescent="0.25">
      <c r="A185" t="s">
        <v>7824</v>
      </c>
      <c r="B185" t="s">
        <v>7825</v>
      </c>
    </row>
    <row r="186" spans="1:2" x14ac:dyDescent="0.25">
      <c r="A186" t="s">
        <v>7826</v>
      </c>
      <c r="B186" t="s">
        <v>7827</v>
      </c>
    </row>
    <row r="187" spans="1:2" x14ac:dyDescent="0.25">
      <c r="A187" t="s">
        <v>7828</v>
      </c>
      <c r="B187" t="s">
        <v>7829</v>
      </c>
    </row>
    <row r="188" spans="1:2" x14ac:dyDescent="0.25">
      <c r="A188" t="s">
        <v>7830</v>
      </c>
      <c r="B188" t="s">
        <v>7831</v>
      </c>
    </row>
    <row r="189" spans="1:2" x14ac:dyDescent="0.25">
      <c r="A189" t="s">
        <v>7832</v>
      </c>
      <c r="B189" t="s">
        <v>7833</v>
      </c>
    </row>
    <row r="190" spans="1:2" x14ac:dyDescent="0.25">
      <c r="A190" t="s">
        <v>7834</v>
      </c>
      <c r="B190" t="s">
        <v>7835</v>
      </c>
    </row>
    <row r="191" spans="1:2" x14ac:dyDescent="0.25">
      <c r="A191" t="s">
        <v>7836</v>
      </c>
      <c r="B191" t="s">
        <v>7837</v>
      </c>
    </row>
    <row r="192" spans="1:2" x14ac:dyDescent="0.25">
      <c r="A192" t="s">
        <v>7838</v>
      </c>
      <c r="B192" t="s">
        <v>7839</v>
      </c>
    </row>
    <row r="193" spans="1:2" x14ac:dyDescent="0.25">
      <c r="A193" t="s">
        <v>7840</v>
      </c>
      <c r="B193" t="s">
        <v>7841</v>
      </c>
    </row>
    <row r="194" spans="1:2" x14ac:dyDescent="0.25">
      <c r="A194" t="s">
        <v>7842</v>
      </c>
      <c r="B194" t="s">
        <v>7843</v>
      </c>
    </row>
    <row r="195" spans="1:2" x14ac:dyDescent="0.25">
      <c r="A195" t="s">
        <v>7844</v>
      </c>
      <c r="B195" t="s">
        <v>7845</v>
      </c>
    </row>
    <row r="196" spans="1:2" x14ac:dyDescent="0.25">
      <c r="A196" t="s">
        <v>7846</v>
      </c>
      <c r="B196" t="s">
        <v>7847</v>
      </c>
    </row>
    <row r="197" spans="1:2" x14ac:dyDescent="0.25">
      <c r="A197" t="s">
        <v>7848</v>
      </c>
      <c r="B197" t="s">
        <v>7849</v>
      </c>
    </row>
    <row r="198" spans="1:2" x14ac:dyDescent="0.25">
      <c r="A198" t="s">
        <v>7850</v>
      </c>
      <c r="B198" t="s">
        <v>7851</v>
      </c>
    </row>
    <row r="199" spans="1:2" x14ac:dyDescent="0.25">
      <c r="A199" t="s">
        <v>7852</v>
      </c>
      <c r="B199" t="s">
        <v>7853</v>
      </c>
    </row>
    <row r="200" spans="1:2" x14ac:dyDescent="0.25">
      <c r="A200" t="s">
        <v>146</v>
      </c>
      <c r="B200" t="s">
        <v>6896</v>
      </c>
    </row>
    <row r="201" spans="1:2" x14ac:dyDescent="0.25">
      <c r="A201" t="s">
        <v>7854</v>
      </c>
      <c r="B201" t="s">
        <v>7855</v>
      </c>
    </row>
    <row r="202" spans="1:2" x14ac:dyDescent="0.25">
      <c r="A202" t="s">
        <v>149</v>
      </c>
      <c r="B202" t="s">
        <v>150</v>
      </c>
    </row>
    <row r="203" spans="1:2" x14ac:dyDescent="0.25">
      <c r="A203" t="s">
        <v>7856</v>
      </c>
      <c r="B203" t="s">
        <v>7857</v>
      </c>
    </row>
    <row r="204" spans="1:2" x14ac:dyDescent="0.25">
      <c r="A204" t="s">
        <v>7858</v>
      </c>
      <c r="B204" t="s">
        <v>7859</v>
      </c>
    </row>
    <row r="205" spans="1:2" x14ac:dyDescent="0.25">
      <c r="A205" t="s">
        <v>7860</v>
      </c>
      <c r="B205" t="s">
        <v>7861</v>
      </c>
    </row>
    <row r="206" spans="1:2" x14ac:dyDescent="0.25">
      <c r="A206" t="s">
        <v>143</v>
      </c>
      <c r="B206" t="s">
        <v>7862</v>
      </c>
    </row>
    <row r="207" spans="1:2" x14ac:dyDescent="0.25">
      <c r="A207" t="s">
        <v>7863</v>
      </c>
      <c r="B207" t="s">
        <v>7864</v>
      </c>
    </row>
    <row r="208" spans="1:2" x14ac:dyDescent="0.25">
      <c r="A208" t="s">
        <v>7865</v>
      </c>
      <c r="B208" t="s">
        <v>7866</v>
      </c>
    </row>
    <row r="209" spans="1:2" x14ac:dyDescent="0.25">
      <c r="A209" t="s">
        <v>73</v>
      </c>
      <c r="B209" t="s">
        <v>74</v>
      </c>
    </row>
    <row r="210" spans="1:2" x14ac:dyDescent="0.25">
      <c r="A210" t="s">
        <v>7867</v>
      </c>
      <c r="B210" t="s">
        <v>7868</v>
      </c>
    </row>
    <row r="211" spans="1:2" x14ac:dyDescent="0.25">
      <c r="A211" t="s">
        <v>7869</v>
      </c>
      <c r="B211" t="s">
        <v>7870</v>
      </c>
    </row>
    <row r="212" spans="1:2" x14ac:dyDescent="0.25">
      <c r="A212" t="s">
        <v>7871</v>
      </c>
      <c r="B212" t="s">
        <v>7872</v>
      </c>
    </row>
    <row r="213" spans="1:2" x14ac:dyDescent="0.25">
      <c r="A213" t="s">
        <v>7873</v>
      </c>
      <c r="B213" t="s">
        <v>7874</v>
      </c>
    </row>
    <row r="214" spans="1:2" x14ac:dyDescent="0.25">
      <c r="A214" t="s">
        <v>7875</v>
      </c>
      <c r="B214" t="s">
        <v>7876</v>
      </c>
    </row>
    <row r="215" spans="1:2" x14ac:dyDescent="0.25">
      <c r="A215" t="s">
        <v>7877</v>
      </c>
      <c r="B215" t="s">
        <v>7878</v>
      </c>
    </row>
    <row r="216" spans="1:2" x14ac:dyDescent="0.25">
      <c r="A216" t="s">
        <v>151</v>
      </c>
      <c r="B216" t="s">
        <v>152</v>
      </c>
    </row>
    <row r="217" spans="1:2" x14ac:dyDescent="0.25">
      <c r="A217" t="s">
        <v>7879</v>
      </c>
      <c r="B217" t="s">
        <v>7880</v>
      </c>
    </row>
    <row r="218" spans="1:2" x14ac:dyDescent="0.25">
      <c r="A218" t="s">
        <v>7881</v>
      </c>
      <c r="B218" t="s">
        <v>7882</v>
      </c>
    </row>
    <row r="219" spans="1:2" x14ac:dyDescent="0.25">
      <c r="A219" t="s">
        <v>7883</v>
      </c>
      <c r="B219" t="s">
        <v>7884</v>
      </c>
    </row>
    <row r="220" spans="1:2" x14ac:dyDescent="0.25">
      <c r="A220" t="s">
        <v>7885</v>
      </c>
      <c r="B220" t="s">
        <v>7886</v>
      </c>
    </row>
    <row r="221" spans="1:2" x14ac:dyDescent="0.25">
      <c r="A221" t="s">
        <v>7887</v>
      </c>
      <c r="B221" t="s">
        <v>7888</v>
      </c>
    </row>
    <row r="222" spans="1:2" x14ac:dyDescent="0.25">
      <c r="A222" t="s">
        <v>7889</v>
      </c>
      <c r="B222" t="s">
        <v>7890</v>
      </c>
    </row>
    <row r="223" spans="1:2" x14ac:dyDescent="0.25">
      <c r="A223" t="s">
        <v>7891</v>
      </c>
      <c r="B223" t="s">
        <v>7892</v>
      </c>
    </row>
    <row r="224" spans="1:2" x14ac:dyDescent="0.25">
      <c r="A224" t="s">
        <v>7893</v>
      </c>
      <c r="B224" t="s">
        <v>7894</v>
      </c>
    </row>
    <row r="225" spans="1:2" x14ac:dyDescent="0.25">
      <c r="A225" t="s">
        <v>7895</v>
      </c>
      <c r="B225" t="s">
        <v>7896</v>
      </c>
    </row>
    <row r="226" spans="1:2" x14ac:dyDescent="0.25">
      <c r="A226" t="s">
        <v>153</v>
      </c>
      <c r="B226" t="s">
        <v>154</v>
      </c>
    </row>
    <row r="227" spans="1:2" x14ac:dyDescent="0.25">
      <c r="A227" t="s">
        <v>155</v>
      </c>
      <c r="B227" t="s">
        <v>156</v>
      </c>
    </row>
    <row r="228" spans="1:2" x14ac:dyDescent="0.25">
      <c r="A228" t="s">
        <v>7897</v>
      </c>
      <c r="B228" t="s">
        <v>7898</v>
      </c>
    </row>
    <row r="229" spans="1:2" x14ac:dyDescent="0.25">
      <c r="A229" t="s">
        <v>7899</v>
      </c>
      <c r="B229" t="s">
        <v>7900</v>
      </c>
    </row>
    <row r="230" spans="1:2" x14ac:dyDescent="0.25">
      <c r="A230" t="s">
        <v>7901</v>
      </c>
      <c r="B230" t="s">
        <v>7902</v>
      </c>
    </row>
    <row r="231" spans="1:2" x14ac:dyDescent="0.25">
      <c r="A231" t="s">
        <v>7903</v>
      </c>
      <c r="B231" t="s">
        <v>7904</v>
      </c>
    </row>
    <row r="232" spans="1:2" x14ac:dyDescent="0.25">
      <c r="A232" t="s">
        <v>7905</v>
      </c>
      <c r="B232" t="s">
        <v>7297</v>
      </c>
    </row>
    <row r="233" spans="1:2" x14ac:dyDescent="0.25">
      <c r="A233" t="s">
        <v>7906</v>
      </c>
      <c r="B233" t="s">
        <v>7907</v>
      </c>
    </row>
    <row r="234" spans="1:2" x14ac:dyDescent="0.25">
      <c r="A234" t="s">
        <v>7908</v>
      </c>
      <c r="B234" t="s">
        <v>7909</v>
      </c>
    </row>
    <row r="235" spans="1:2" x14ac:dyDescent="0.25">
      <c r="A235" t="s">
        <v>71</v>
      </c>
      <c r="B235" t="s">
        <v>11</v>
      </c>
    </row>
    <row r="236" spans="1:2" x14ac:dyDescent="0.25">
      <c r="A236" t="s">
        <v>128</v>
      </c>
      <c r="B236" t="s">
        <v>129</v>
      </c>
    </row>
    <row r="237" spans="1:2" x14ac:dyDescent="0.25">
      <c r="A237" t="s">
        <v>144</v>
      </c>
      <c r="B237" t="s">
        <v>145</v>
      </c>
    </row>
    <row r="238" spans="1:2" x14ac:dyDescent="0.25">
      <c r="A238" t="s">
        <v>161</v>
      </c>
      <c r="B238" t="s">
        <v>162</v>
      </c>
    </row>
    <row r="239" spans="1:2" x14ac:dyDescent="0.25">
      <c r="A239" t="s">
        <v>7910</v>
      </c>
      <c r="B239" t="s">
        <v>7911</v>
      </c>
    </row>
    <row r="240" spans="1:2" x14ac:dyDescent="0.25">
      <c r="A240" t="s">
        <v>7912</v>
      </c>
      <c r="B240" t="s">
        <v>7913</v>
      </c>
    </row>
    <row r="241" spans="1:2" x14ac:dyDescent="0.25">
      <c r="A241" t="s">
        <v>7914</v>
      </c>
      <c r="B241" t="s">
        <v>7915</v>
      </c>
    </row>
    <row r="242" spans="1:2" x14ac:dyDescent="0.25">
      <c r="A242" t="s">
        <v>7916</v>
      </c>
      <c r="B242" t="s">
        <v>157</v>
      </c>
    </row>
    <row r="243" spans="1:2" x14ac:dyDescent="0.25">
      <c r="A243" t="s">
        <v>7917</v>
      </c>
      <c r="B243" t="s">
        <v>7918</v>
      </c>
    </row>
    <row r="244" spans="1:2" x14ac:dyDescent="0.25">
      <c r="A244" t="s">
        <v>7919</v>
      </c>
      <c r="B244" t="s">
        <v>7920</v>
      </c>
    </row>
    <row r="245" spans="1:2" x14ac:dyDescent="0.25">
      <c r="A245" t="s">
        <v>7921</v>
      </c>
      <c r="B245" t="s">
        <v>7922</v>
      </c>
    </row>
    <row r="246" spans="1:2" x14ac:dyDescent="0.25">
      <c r="A246" t="s">
        <v>7923</v>
      </c>
      <c r="B246" t="s">
        <v>7924</v>
      </c>
    </row>
    <row r="247" spans="1:2" x14ac:dyDescent="0.25">
      <c r="A247" t="s">
        <v>7925</v>
      </c>
      <c r="B247" t="s">
        <v>160</v>
      </c>
    </row>
    <row r="248" spans="1:2" x14ac:dyDescent="0.25">
      <c r="A248" t="s">
        <v>7926</v>
      </c>
      <c r="B248" t="s">
        <v>7927</v>
      </c>
    </row>
    <row r="249" spans="1:2" x14ac:dyDescent="0.25">
      <c r="A249" t="s">
        <v>7928</v>
      </c>
      <c r="B249" t="s">
        <v>7929</v>
      </c>
    </row>
    <row r="250" spans="1:2" x14ac:dyDescent="0.25">
      <c r="A250" t="s">
        <v>7930</v>
      </c>
      <c r="B250" t="s">
        <v>7931</v>
      </c>
    </row>
    <row r="251" spans="1:2" x14ac:dyDescent="0.25">
      <c r="A251" t="s">
        <v>7932</v>
      </c>
      <c r="B251" t="s">
        <v>7933</v>
      </c>
    </row>
    <row r="252" spans="1:2" x14ac:dyDescent="0.25">
      <c r="A252" t="s">
        <v>163</v>
      </c>
      <c r="B252" t="s">
        <v>164</v>
      </c>
    </row>
    <row r="253" spans="1:2" x14ac:dyDescent="0.25">
      <c r="A253" t="s">
        <v>7934</v>
      </c>
      <c r="B253" t="s">
        <v>7935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
  <dimension ref="A1:W48"/>
  <sheetViews>
    <sheetView showGridLines="0" workbookViewId="0">
      <selection activeCell="J49" sqref="A49:XFD1048576"/>
    </sheetView>
  </sheetViews>
  <sheetFormatPr defaultColWidth="0" defaultRowHeight="12.75" zeroHeight="1" x14ac:dyDescent="0.2"/>
  <cols>
    <col min="1" max="1" width="3.85546875" style="7" customWidth="1"/>
    <col min="2" max="2" width="20.5703125" style="7" customWidth="1"/>
    <col min="3" max="3" width="5.7109375" style="7" customWidth="1"/>
    <col min="4" max="4" width="15.85546875" style="7" bestFit="1" customWidth="1"/>
    <col min="5" max="5" width="42.85546875" style="7" bestFit="1" customWidth="1"/>
    <col min="6" max="6" width="5.140625" style="7" customWidth="1"/>
    <col min="7" max="7" width="11.7109375" style="7" customWidth="1"/>
    <col min="8" max="8" width="8.140625" style="7" bestFit="1" customWidth="1"/>
    <col min="9" max="9" width="13.140625" style="7" bestFit="1" customWidth="1"/>
    <col min="10" max="10" width="9.85546875" style="7" customWidth="1"/>
    <col min="11" max="13" width="6.5703125" style="7" bestFit="1" customWidth="1"/>
    <col min="14" max="14" width="9.28515625" style="7" bestFit="1" customWidth="1"/>
    <col min="15" max="15" width="6.140625" style="7" customWidth="1"/>
    <col min="16" max="16" width="4.140625" style="7" customWidth="1"/>
    <col min="17" max="17" width="5.5703125" style="7" customWidth="1"/>
    <col min="18" max="18" width="37.42578125" style="7" bestFit="1" customWidth="1"/>
    <col min="19" max="20" width="11.42578125" style="7" customWidth="1"/>
    <col min="21" max="21" width="12" style="7" hidden="1" customWidth="1"/>
    <col min="22" max="23" width="5.28515625" style="7" customWidth="1"/>
    <col min="24" max="16384" width="11.42578125" style="7" hidden="1"/>
  </cols>
  <sheetData>
    <row r="1" spans="2:22" ht="15.75" thickTop="1" thickBot="1" x14ac:dyDescent="0.25">
      <c r="Q1" s="161"/>
      <c r="R1" s="163"/>
      <c r="S1" s="164"/>
      <c r="T1" s="165"/>
      <c r="U1" s="165"/>
      <c r="V1" s="149"/>
    </row>
    <row r="2" spans="2:22" ht="15" thickBot="1" x14ac:dyDescent="0.25">
      <c r="B2" s="7" t="s">
        <v>12138</v>
      </c>
      <c r="D2" s="29" t="s">
        <v>12154</v>
      </c>
      <c r="E2" s="29" t="s">
        <v>12155</v>
      </c>
      <c r="G2" s="7" t="s">
        <v>887</v>
      </c>
      <c r="H2" s="7" t="s">
        <v>890</v>
      </c>
      <c r="I2" s="7" t="s">
        <v>12261</v>
      </c>
      <c r="J2" s="7" t="s">
        <v>12262</v>
      </c>
      <c r="K2" s="7" t="s">
        <v>930</v>
      </c>
      <c r="L2" s="7" t="s">
        <v>1023</v>
      </c>
      <c r="M2" s="7" t="s">
        <v>1177</v>
      </c>
      <c r="N2" s="7" t="s">
        <v>12264</v>
      </c>
      <c r="Q2" s="162"/>
      <c r="R2" s="150"/>
      <c r="S2" s="144" t="s">
        <v>12315</v>
      </c>
      <c r="T2" s="150"/>
      <c r="U2" s="150"/>
      <c r="V2" s="151"/>
    </row>
    <row r="3" spans="2:22" x14ac:dyDescent="0.2">
      <c r="B3" s="8" t="s">
        <v>890</v>
      </c>
      <c r="D3" s="9" t="s">
        <v>12143</v>
      </c>
      <c r="E3" s="7" t="s">
        <v>12156</v>
      </c>
      <c r="G3" s="9" t="str">
        <f>EventTypeList[[#This Row],[Event Code]]</f>
        <v>WC</v>
      </c>
      <c r="H3" s="9">
        <v>0</v>
      </c>
      <c r="I3" s="9">
        <v>0</v>
      </c>
      <c r="J3" s="9">
        <v>0</v>
      </c>
      <c r="K3" s="9">
        <v>0</v>
      </c>
      <c r="L3" s="9">
        <v>0</v>
      </c>
      <c r="M3" s="9">
        <v>0</v>
      </c>
      <c r="N3" s="9">
        <v>0</v>
      </c>
      <c r="Q3" s="158"/>
      <c r="R3" s="145" t="s">
        <v>12281</v>
      </c>
      <c r="S3" s="146">
        <v>3</v>
      </c>
      <c r="T3" s="150"/>
      <c r="U3" s="150"/>
      <c r="V3" s="152"/>
    </row>
    <row r="4" spans="2:22" ht="13.5" thickBot="1" x14ac:dyDescent="0.25">
      <c r="B4" s="8" t="s">
        <v>12261</v>
      </c>
      <c r="D4" s="9" t="s">
        <v>12144</v>
      </c>
      <c r="E4" s="7" t="s">
        <v>12157</v>
      </c>
      <c r="G4" s="9" t="str">
        <f>EventTypeList[[#This Row],[Event Code]]</f>
        <v>CC</v>
      </c>
      <c r="H4" s="9">
        <v>0</v>
      </c>
      <c r="I4" s="9">
        <v>0</v>
      </c>
      <c r="J4" s="9">
        <v>0</v>
      </c>
      <c r="K4" s="9">
        <v>0</v>
      </c>
      <c r="L4" s="9">
        <v>0</v>
      </c>
      <c r="M4" s="9">
        <v>0</v>
      </c>
      <c r="N4" s="9">
        <v>0</v>
      </c>
      <c r="Q4" s="158"/>
      <c r="R4" s="147" t="s">
        <v>12316</v>
      </c>
      <c r="S4" s="148">
        <v>1</v>
      </c>
      <c r="T4" s="150"/>
      <c r="U4" s="150"/>
      <c r="V4" s="153"/>
    </row>
    <row r="5" spans="2:22" ht="13.5" thickBot="1" x14ac:dyDescent="0.25">
      <c r="B5" s="8" t="s">
        <v>12262</v>
      </c>
      <c r="D5" s="9" t="s">
        <v>12145</v>
      </c>
      <c r="E5" s="7" t="s">
        <v>12140</v>
      </c>
      <c r="G5" s="9" t="str">
        <f>EventTypeList[[#This Row],[Event Code]]</f>
        <v>MJ</v>
      </c>
      <c r="H5" s="9">
        <v>2</v>
      </c>
      <c r="I5" s="9">
        <v>2</v>
      </c>
      <c r="J5" s="9">
        <v>0</v>
      </c>
      <c r="K5" s="9">
        <v>2</v>
      </c>
      <c r="L5" s="9">
        <v>0</v>
      </c>
      <c r="M5" s="9">
        <v>0</v>
      </c>
      <c r="N5" s="9">
        <v>5</v>
      </c>
      <c r="Q5" s="158"/>
      <c r="R5" s="150"/>
      <c r="S5" s="150"/>
      <c r="T5" s="150"/>
      <c r="U5" s="150"/>
      <c r="V5" s="153"/>
    </row>
    <row r="6" spans="2:22" ht="13.5" thickBot="1" x14ac:dyDescent="0.25">
      <c r="B6" s="8" t="s">
        <v>930</v>
      </c>
      <c r="D6" s="9" t="s">
        <v>12146</v>
      </c>
      <c r="E6" s="7" t="s">
        <v>12141</v>
      </c>
      <c r="G6" s="9" t="str">
        <f>EventTypeList[[#This Row],[Event Code]]</f>
        <v>GP</v>
      </c>
      <c r="H6" s="9">
        <v>1.5</v>
      </c>
      <c r="I6" s="9">
        <v>1.5</v>
      </c>
      <c r="J6" s="9">
        <v>0</v>
      </c>
      <c r="K6" s="9">
        <v>1.5</v>
      </c>
      <c r="L6" s="9">
        <v>0</v>
      </c>
      <c r="M6" s="9">
        <v>0</v>
      </c>
      <c r="N6" s="9">
        <v>4</v>
      </c>
      <c r="Q6" s="158"/>
      <c r="R6" s="574" t="s">
        <v>12317</v>
      </c>
      <c r="S6" s="575"/>
      <c r="T6" s="576"/>
      <c r="U6" s="166"/>
      <c r="V6" s="154"/>
    </row>
    <row r="7" spans="2:22" ht="13.5" thickBot="1" x14ac:dyDescent="0.25">
      <c r="B7" s="8" t="s">
        <v>1023</v>
      </c>
      <c r="D7" s="9" t="s">
        <v>12147</v>
      </c>
      <c r="E7" s="7" t="s">
        <v>12158</v>
      </c>
      <c r="G7" s="9" t="str">
        <f>EventTypeList[[#This Row],[Event Code]]</f>
        <v>GGP</v>
      </c>
      <c r="H7" s="9">
        <v>1.5</v>
      </c>
      <c r="I7" s="9">
        <v>1.5</v>
      </c>
      <c r="J7" s="9">
        <v>0</v>
      </c>
      <c r="K7" s="9">
        <v>1.5</v>
      </c>
      <c r="L7" s="9">
        <v>0</v>
      </c>
      <c r="M7" s="9">
        <v>0</v>
      </c>
      <c r="N7" s="9">
        <v>4</v>
      </c>
      <c r="Q7" s="158"/>
      <c r="R7" s="577" t="s">
        <v>12318</v>
      </c>
      <c r="S7" s="569"/>
      <c r="T7" s="578"/>
      <c r="U7" s="166"/>
      <c r="V7" s="153"/>
    </row>
    <row r="8" spans="2:22" x14ac:dyDescent="0.2">
      <c r="B8" s="8" t="s">
        <v>1177</v>
      </c>
      <c r="D8" s="9" t="s">
        <v>12148</v>
      </c>
      <c r="E8" s="7" t="s">
        <v>12142</v>
      </c>
      <c r="G8" s="9" t="str">
        <f>EventTypeList[[#This Row],[Event Code]]</f>
        <v>IO</v>
      </c>
      <c r="H8" s="9">
        <v>1</v>
      </c>
      <c r="I8" s="9">
        <v>1</v>
      </c>
      <c r="J8" s="9">
        <v>0</v>
      </c>
      <c r="K8" s="9">
        <v>1</v>
      </c>
      <c r="L8" s="9">
        <v>0</v>
      </c>
      <c r="M8" s="9">
        <v>0</v>
      </c>
      <c r="N8" s="9">
        <v>3</v>
      </c>
      <c r="Q8" s="158"/>
      <c r="R8" s="117" t="s">
        <v>12319</v>
      </c>
      <c r="S8" s="118" t="s">
        <v>12269</v>
      </c>
      <c r="T8" s="119" t="s">
        <v>12334</v>
      </c>
      <c r="U8" s="167" t="s">
        <v>12270</v>
      </c>
      <c r="V8" s="153"/>
    </row>
    <row r="9" spans="2:22" x14ac:dyDescent="0.2">
      <c r="D9" s="9" t="s">
        <v>12149</v>
      </c>
      <c r="E9" s="7" t="s">
        <v>12159</v>
      </c>
      <c r="G9" s="9" t="str">
        <f>EventTypeList[[#This Row],[Event Code]]</f>
        <v>ST</v>
      </c>
      <c r="H9" s="9">
        <v>0.5</v>
      </c>
      <c r="I9" s="9">
        <v>0.5</v>
      </c>
      <c r="J9" s="9">
        <v>0</v>
      </c>
      <c r="K9" s="9">
        <v>0.5</v>
      </c>
      <c r="L9" s="9">
        <v>0</v>
      </c>
      <c r="M9" s="9">
        <v>0</v>
      </c>
      <c r="N9" s="9">
        <v>2</v>
      </c>
      <c r="Q9" s="158"/>
      <c r="R9" s="120" t="s">
        <v>12315</v>
      </c>
      <c r="S9" s="121">
        <v>1</v>
      </c>
      <c r="T9" s="122">
        <v>1</v>
      </c>
      <c r="U9" s="150">
        <f>IF(T9="",0,POWER(100,RANK(T9,T$9:T$23)-1))</f>
        <v>1000000000000</v>
      </c>
      <c r="V9" s="153"/>
    </row>
    <row r="10" spans="2:22" x14ac:dyDescent="0.2">
      <c r="B10" s="7" t="s">
        <v>12692</v>
      </c>
      <c r="D10" s="9" t="s">
        <v>12150</v>
      </c>
      <c r="E10" s="7" t="s">
        <v>12160</v>
      </c>
      <c r="G10" s="9" t="str">
        <f>EventTypeList[[#This Row],[Event Code]]</f>
        <v>Nat</v>
      </c>
      <c r="H10" s="9">
        <v>0</v>
      </c>
      <c r="I10" s="9">
        <v>0</v>
      </c>
      <c r="J10" s="9">
        <v>0</v>
      </c>
      <c r="K10" s="9">
        <v>0</v>
      </c>
      <c r="L10" s="9">
        <v>0</v>
      </c>
      <c r="M10" s="9">
        <v>0</v>
      </c>
      <c r="N10" s="9">
        <v>0</v>
      </c>
      <c r="Q10" s="158"/>
      <c r="R10" s="120" t="s">
        <v>12320</v>
      </c>
      <c r="S10" s="121"/>
      <c r="T10" s="122"/>
      <c r="U10" s="150">
        <f>IF(T10="",0,POWER(100,RANK(T10,T$9:T$23)-1))</f>
        <v>0</v>
      </c>
      <c r="V10" s="154"/>
    </row>
    <row r="11" spans="2:22" x14ac:dyDescent="0.2">
      <c r="B11" s="8" t="s">
        <v>12693</v>
      </c>
      <c r="D11" s="9" t="s">
        <v>12151</v>
      </c>
      <c r="E11" s="7" t="s">
        <v>12161</v>
      </c>
      <c r="G11" s="9" t="str">
        <f>EventTypeList[[#This Row],[Event Code]]</f>
        <v>CL</v>
      </c>
      <c r="H11" s="9">
        <v>0</v>
      </c>
      <c r="I11" s="9">
        <v>0</v>
      </c>
      <c r="J11" s="9">
        <v>0</v>
      </c>
      <c r="K11" s="9">
        <v>0</v>
      </c>
      <c r="L11" s="9">
        <v>0</v>
      </c>
      <c r="M11" s="9">
        <v>0</v>
      </c>
      <c r="N11" s="9">
        <v>20</v>
      </c>
      <c r="Q11" s="158"/>
      <c r="R11" s="120" t="s">
        <v>12321</v>
      </c>
      <c r="S11" s="121"/>
      <c r="T11" s="122"/>
      <c r="U11" s="150">
        <f>IF(T11="",0,POWER(100,RANK(T11,T$9:T$23)-1))</f>
        <v>0</v>
      </c>
      <c r="V11" s="153"/>
    </row>
    <row r="12" spans="2:22" ht="13.5" thickBot="1" x14ac:dyDescent="0.25">
      <c r="D12" s="9" t="s">
        <v>12152</v>
      </c>
      <c r="E12" s="7" t="s">
        <v>12162</v>
      </c>
      <c r="G12" s="9" t="str">
        <f>EventTypeList[[#This Row],[Event Code]]</f>
        <v>EL</v>
      </c>
      <c r="H12" s="9">
        <v>0</v>
      </c>
      <c r="I12" s="9">
        <v>0</v>
      </c>
      <c r="J12" s="9">
        <v>0</v>
      </c>
      <c r="K12" s="9">
        <v>0</v>
      </c>
      <c r="L12" s="9">
        <v>0</v>
      </c>
      <c r="M12" s="9">
        <v>0</v>
      </c>
      <c r="N12" s="9">
        <v>20</v>
      </c>
      <c r="Q12" s="158"/>
      <c r="R12" s="123" t="s">
        <v>12322</v>
      </c>
      <c r="S12" s="124"/>
      <c r="T12" s="125"/>
      <c r="U12" s="150">
        <f>IF(T12="",0,POWER(100,RANK(T12,T$9:T$23)-1))</f>
        <v>0</v>
      </c>
      <c r="V12" s="153"/>
    </row>
    <row r="13" spans="2:22" ht="13.5" thickBot="1" x14ac:dyDescent="0.25">
      <c r="B13" s="91" t="s">
        <v>12192</v>
      </c>
      <c r="D13" s="9" t="s">
        <v>12153</v>
      </c>
      <c r="E13" s="7" t="s">
        <v>12163</v>
      </c>
      <c r="G13" s="9" t="str">
        <f>EventTypeList[[#This Row],[Event Code]]</f>
        <v>CCT</v>
      </c>
      <c r="H13" s="9">
        <v>0</v>
      </c>
      <c r="I13" s="9">
        <v>0</v>
      </c>
      <c r="J13" s="9">
        <v>0</v>
      </c>
      <c r="K13" s="9">
        <v>0</v>
      </c>
      <c r="L13" s="9">
        <v>0</v>
      </c>
      <c r="M13" s="9">
        <v>0</v>
      </c>
      <c r="N13" s="9">
        <v>0</v>
      </c>
      <c r="Q13" s="158"/>
      <c r="R13" s="579" t="s">
        <v>12323</v>
      </c>
      <c r="S13" s="572"/>
      <c r="T13" s="580"/>
      <c r="U13" s="168"/>
      <c r="V13" s="153"/>
    </row>
    <row r="14" spans="2:22" x14ac:dyDescent="0.2">
      <c r="B14" s="8" t="s">
        <v>12207</v>
      </c>
      <c r="Q14" s="158"/>
      <c r="R14" s="126" t="s">
        <v>12324</v>
      </c>
      <c r="S14" s="127">
        <v>2</v>
      </c>
      <c r="T14" s="128">
        <v>2</v>
      </c>
      <c r="U14" s="150">
        <f>IF(T14="",0,POWER(100,RANK(T14,T$9:T$23)-1))</f>
        <v>10000000000</v>
      </c>
      <c r="V14" s="153"/>
    </row>
    <row r="15" spans="2:22" ht="15" x14ac:dyDescent="0.25">
      <c r="B15" s="8" t="s">
        <v>12215</v>
      </c>
      <c r="G15" s="54" t="s">
        <v>12167</v>
      </c>
      <c r="H15" s="55"/>
      <c r="I15" s="55"/>
      <c r="J15" s="54" t="s">
        <v>12168</v>
      </c>
      <c r="K15" s="55"/>
      <c r="Q15" s="158"/>
      <c r="R15" s="120" t="s">
        <v>12325</v>
      </c>
      <c r="S15" s="121">
        <v>3</v>
      </c>
      <c r="T15" s="122">
        <v>3</v>
      </c>
      <c r="U15" s="150">
        <f>IF(T15="",0,POWER(100,RANK(T15,T$9:T$23)-1))</f>
        <v>100000000</v>
      </c>
      <c r="V15" s="153"/>
    </row>
    <row r="16" spans="2:22" ht="13.5" thickBot="1" x14ac:dyDescent="0.25">
      <c r="B16" s="473" t="s">
        <v>13536</v>
      </c>
      <c r="Q16" s="158"/>
      <c r="R16" s="120" t="s">
        <v>12326</v>
      </c>
      <c r="S16" s="121">
        <v>4</v>
      </c>
      <c r="T16" s="122">
        <v>4</v>
      </c>
      <c r="U16" s="150">
        <f>IF(T16="",0,POWER(100,RANK(T16,T$9:T$23)-1))</f>
        <v>1000000</v>
      </c>
      <c r="V16" s="153"/>
    </row>
    <row r="17" spans="2:22" ht="13.5" thickBot="1" x14ac:dyDescent="0.25">
      <c r="B17" s="8" t="s">
        <v>12216</v>
      </c>
      <c r="E17" s="7" t="s">
        <v>12171</v>
      </c>
      <c r="Q17" s="158"/>
      <c r="R17" s="571" t="s">
        <v>12327</v>
      </c>
      <c r="S17" s="572"/>
      <c r="T17" s="573"/>
      <c r="U17" s="168"/>
      <c r="V17" s="153"/>
    </row>
    <row r="18" spans="2:22" x14ac:dyDescent="0.2">
      <c r="B18" s="8" t="s">
        <v>12219</v>
      </c>
      <c r="E18" s="7" t="s">
        <v>12173</v>
      </c>
      <c r="Q18" s="158"/>
      <c r="R18" s="126" t="s">
        <v>12315</v>
      </c>
      <c r="S18" s="127"/>
      <c r="T18" s="128"/>
      <c r="U18" s="150">
        <f>IF(T18="",0,POWER(100,RANK(T18,T$9:T$23)-1))</f>
        <v>0</v>
      </c>
      <c r="V18" s="153"/>
    </row>
    <row r="19" spans="2:22" x14ac:dyDescent="0.2">
      <c r="B19" s="8" t="s">
        <v>12212</v>
      </c>
      <c r="E19" s="7" t="s">
        <v>12174</v>
      </c>
      <c r="Q19" s="158"/>
      <c r="R19" s="120" t="s">
        <v>12320</v>
      </c>
      <c r="S19" s="121">
        <v>5</v>
      </c>
      <c r="T19" s="122">
        <v>5</v>
      </c>
      <c r="U19" s="150">
        <f>IF(T19="",0,POWER(100,RANK(T19,T$9:T$23)-1))</f>
        <v>10000</v>
      </c>
      <c r="V19" s="153"/>
    </row>
    <row r="20" spans="2:22" x14ac:dyDescent="0.2">
      <c r="B20" s="8" t="s">
        <v>12220</v>
      </c>
      <c r="E20" s="7" t="s">
        <v>12175</v>
      </c>
      <c r="Q20" s="158"/>
      <c r="R20" s="120" t="s">
        <v>12321</v>
      </c>
      <c r="S20" s="121"/>
      <c r="T20" s="122"/>
      <c r="U20" s="150">
        <f>IF(T20="",0,POWER(100,RANK(T20,T$9:T$23)-1))</f>
        <v>0</v>
      </c>
      <c r="V20" s="153"/>
    </row>
    <row r="21" spans="2:22" ht="13.5" thickBot="1" x14ac:dyDescent="0.25">
      <c r="B21" s="8" t="s">
        <v>12221</v>
      </c>
      <c r="E21" s="7" t="s">
        <v>12176</v>
      </c>
      <c r="Q21" s="158"/>
      <c r="R21" s="129" t="s">
        <v>12322</v>
      </c>
      <c r="S21" s="130">
        <v>6</v>
      </c>
      <c r="T21" s="131">
        <v>6</v>
      </c>
      <c r="U21" s="150">
        <f>IF(T21="",0,POWER(100,RANK(T21,T$9:T$23)-1))</f>
        <v>100</v>
      </c>
      <c r="V21" s="153"/>
    </row>
    <row r="22" spans="2:22" ht="13.5" thickBot="1" x14ac:dyDescent="0.25">
      <c r="E22" s="7" t="s">
        <v>12177</v>
      </c>
      <c r="Q22" s="158"/>
      <c r="R22" s="579" t="s">
        <v>12278</v>
      </c>
      <c r="S22" s="572"/>
      <c r="T22" s="580"/>
      <c r="U22" s="150"/>
      <c r="V22" s="153"/>
    </row>
    <row r="23" spans="2:22" ht="13.5" thickBot="1" x14ac:dyDescent="0.25">
      <c r="E23" s="7" t="s">
        <v>12178</v>
      </c>
      <c r="Q23" s="158"/>
      <c r="R23" s="132" t="s">
        <v>12277</v>
      </c>
      <c r="S23" s="133"/>
      <c r="T23" s="134">
        <v>7</v>
      </c>
      <c r="U23" s="150">
        <f>IF(T23="",0,POWER(100,RANK(T23,T$9:T$23)-1))</f>
        <v>1</v>
      </c>
      <c r="V23" s="153"/>
    </row>
    <row r="24" spans="2:22" ht="15" thickBot="1" x14ac:dyDescent="0.25">
      <c r="E24" s="7" t="s">
        <v>12179</v>
      </c>
      <c r="Q24" s="158"/>
      <c r="R24" s="143"/>
      <c r="S24" s="143"/>
      <c r="T24" s="143"/>
      <c r="U24" s="150"/>
      <c r="V24" s="153"/>
    </row>
    <row r="25" spans="2:22" ht="13.5" thickBot="1" x14ac:dyDescent="0.25">
      <c r="E25" s="7" t="s">
        <v>12180</v>
      </c>
      <c r="Q25" s="158"/>
      <c r="R25" s="581" t="s">
        <v>12328</v>
      </c>
      <c r="S25" s="582"/>
      <c r="T25" s="583"/>
      <c r="U25" s="150"/>
      <c r="V25" s="153"/>
    </row>
    <row r="26" spans="2:22" ht="13.5" thickBot="1" x14ac:dyDescent="0.25">
      <c r="B26" s="367" t="s">
        <v>12770</v>
      </c>
      <c r="E26" s="7" t="s">
        <v>12181</v>
      </c>
      <c r="Q26" s="158"/>
      <c r="R26" s="568" t="s">
        <v>12318</v>
      </c>
      <c r="S26" s="569"/>
      <c r="T26" s="570"/>
      <c r="U26" s="150"/>
      <c r="V26" s="153"/>
    </row>
    <row r="27" spans="2:22" ht="13.5" thickBot="1" x14ac:dyDescent="0.25">
      <c r="B27" s="7" t="s">
        <v>890</v>
      </c>
      <c r="Q27" s="158"/>
      <c r="R27" s="135" t="s">
        <v>12319</v>
      </c>
      <c r="S27" s="136" t="s">
        <v>12269</v>
      </c>
      <c r="T27" s="137" t="s">
        <v>12334</v>
      </c>
      <c r="U27" s="167" t="s">
        <v>12270</v>
      </c>
      <c r="V27" s="155"/>
    </row>
    <row r="28" spans="2:22" x14ac:dyDescent="0.2">
      <c r="B28" s="7" t="s">
        <v>12261</v>
      </c>
      <c r="Q28" s="158"/>
      <c r="R28" s="138" t="s">
        <v>12315</v>
      </c>
      <c r="S28" s="139">
        <v>1</v>
      </c>
      <c r="T28" s="140">
        <v>1</v>
      </c>
      <c r="U28" s="150">
        <f t="shared" ref="U28:U33" si="0">IF(T28="",0,POWER(30,RANK(T28,$T$28:$T$46)-1))</f>
        <v>19683000000000</v>
      </c>
      <c r="V28" s="153"/>
    </row>
    <row r="29" spans="2:22" x14ac:dyDescent="0.2">
      <c r="B29" s="7" t="s">
        <v>12262</v>
      </c>
      <c r="Q29" s="158"/>
      <c r="R29" s="120" t="s">
        <v>12329</v>
      </c>
      <c r="S29" s="141"/>
      <c r="T29" s="122"/>
      <c r="U29" s="150">
        <f t="shared" si="0"/>
        <v>0</v>
      </c>
      <c r="V29" s="153"/>
    </row>
    <row r="30" spans="2:22" x14ac:dyDescent="0.2">
      <c r="B30" s="7" t="s">
        <v>930</v>
      </c>
      <c r="Q30" s="158"/>
      <c r="R30" s="120" t="s">
        <v>12330</v>
      </c>
      <c r="S30" s="141"/>
      <c r="T30" s="122"/>
      <c r="U30" s="150">
        <f t="shared" si="0"/>
        <v>0</v>
      </c>
      <c r="V30" s="153"/>
    </row>
    <row r="31" spans="2:22" x14ac:dyDescent="0.2">
      <c r="B31" s="7" t="s">
        <v>1023</v>
      </c>
      <c r="Q31" s="158"/>
      <c r="R31" s="120" t="s">
        <v>12320</v>
      </c>
      <c r="S31" s="141"/>
      <c r="T31" s="122"/>
      <c r="U31" s="150">
        <f t="shared" si="0"/>
        <v>0</v>
      </c>
      <c r="V31" s="153"/>
    </row>
    <row r="32" spans="2:22" x14ac:dyDescent="0.2">
      <c r="B32" s="7" t="s">
        <v>1177</v>
      </c>
      <c r="Q32" s="158"/>
      <c r="R32" s="120" t="s">
        <v>12321</v>
      </c>
      <c r="S32" s="141"/>
      <c r="T32" s="122"/>
      <c r="U32" s="150">
        <f t="shared" si="0"/>
        <v>0</v>
      </c>
      <c r="V32" s="153"/>
    </row>
    <row r="33" spans="2:22" ht="13.5" thickBot="1" x14ac:dyDescent="0.25">
      <c r="B33" s="7" t="s">
        <v>12263</v>
      </c>
      <c r="Q33" s="158"/>
      <c r="R33" s="129" t="s">
        <v>12322</v>
      </c>
      <c r="S33" s="142"/>
      <c r="T33" s="131"/>
      <c r="U33" s="150">
        <f t="shared" si="0"/>
        <v>0</v>
      </c>
      <c r="V33" s="153"/>
    </row>
    <row r="34" spans="2:22" ht="13.5" thickBot="1" x14ac:dyDescent="0.25">
      <c r="B34" s="7" t="s">
        <v>12764</v>
      </c>
      <c r="Q34" s="158"/>
      <c r="R34" s="571" t="s">
        <v>12323</v>
      </c>
      <c r="S34" s="572"/>
      <c r="T34" s="573"/>
      <c r="U34" s="150"/>
      <c r="V34" s="153"/>
    </row>
    <row r="35" spans="2:22" x14ac:dyDescent="0.2">
      <c r="B35" s="7" t="s">
        <v>12765</v>
      </c>
      <c r="Q35" s="158"/>
      <c r="R35" s="138" t="s">
        <v>12324</v>
      </c>
      <c r="S35" s="139">
        <v>2</v>
      </c>
      <c r="T35" s="140">
        <v>2</v>
      </c>
      <c r="U35" s="150">
        <f>IF(T35="",0,POWER(30,RANK(T35,$T$28:$T$46)-1))</f>
        <v>656100000000</v>
      </c>
      <c r="V35" s="153"/>
    </row>
    <row r="36" spans="2:22" x14ac:dyDescent="0.2">
      <c r="B36" s="7" t="s">
        <v>12766</v>
      </c>
      <c r="Q36" s="158"/>
      <c r="R36" s="120" t="s">
        <v>12331</v>
      </c>
      <c r="S36" s="141">
        <v>3</v>
      </c>
      <c r="T36" s="122">
        <v>3</v>
      </c>
      <c r="U36" s="150">
        <f>IF(T36="",0,POWER(30,RANK(T36,$T$28:$T$46)-1))</f>
        <v>21870000000</v>
      </c>
      <c r="V36" s="153"/>
    </row>
    <row r="37" spans="2:22" x14ac:dyDescent="0.2">
      <c r="B37" s="7" t="s">
        <v>12767</v>
      </c>
      <c r="Q37" s="158"/>
      <c r="R37" s="120" t="s">
        <v>12332</v>
      </c>
      <c r="S37" s="141">
        <v>4</v>
      </c>
      <c r="T37" s="122">
        <v>4</v>
      </c>
      <c r="U37" s="150">
        <f>IF(T37="",0,POWER(30,RANK(T37,$T$28:$T$46)-1))</f>
        <v>729000000</v>
      </c>
      <c r="V37" s="153"/>
    </row>
    <row r="38" spans="2:22" x14ac:dyDescent="0.2">
      <c r="B38" s="7" t="s">
        <v>12768</v>
      </c>
      <c r="Q38" s="158"/>
      <c r="R38" s="120" t="s">
        <v>12325</v>
      </c>
      <c r="S38" s="141">
        <v>7</v>
      </c>
      <c r="T38" s="122">
        <v>7</v>
      </c>
      <c r="U38" s="150">
        <f>IF(T38="",0,POWER(30,RANK(T38,$T$28:$T$46)-1))</f>
        <v>27000</v>
      </c>
      <c r="V38" s="153"/>
    </row>
    <row r="39" spans="2:22" ht="13.5" thickBot="1" x14ac:dyDescent="0.25">
      <c r="B39" s="7" t="s">
        <v>12769</v>
      </c>
      <c r="Q39" s="158"/>
      <c r="R39" s="129" t="s">
        <v>12326</v>
      </c>
      <c r="S39" s="142">
        <v>8</v>
      </c>
      <c r="T39" s="131">
        <v>8</v>
      </c>
      <c r="U39" s="150">
        <f>IF(T39="",0,POWER(30,RANK(T39,$T$28:$T$46)-1))</f>
        <v>900</v>
      </c>
      <c r="V39" s="153"/>
    </row>
    <row r="40" spans="2:22" ht="13.5" thickBot="1" x14ac:dyDescent="0.25">
      <c r="Q40" s="158"/>
      <c r="R40" s="571" t="s">
        <v>12327</v>
      </c>
      <c r="S40" s="572"/>
      <c r="T40" s="573"/>
      <c r="U40" s="150"/>
      <c r="V40" s="156"/>
    </row>
    <row r="41" spans="2:22" x14ac:dyDescent="0.2">
      <c r="B41" s="367" t="s">
        <v>12771</v>
      </c>
      <c r="Q41" s="158"/>
      <c r="R41" s="138" t="s">
        <v>12315</v>
      </c>
      <c r="S41" s="139"/>
      <c r="T41" s="140"/>
      <c r="U41" s="150">
        <f t="shared" ref="U41:U46" si="1">IF(T41="",0,POWER(30,RANK(T41,$T$28:$T$46)-1))</f>
        <v>0</v>
      </c>
      <c r="V41" s="156"/>
    </row>
    <row r="42" spans="2:22" x14ac:dyDescent="0.2">
      <c r="B42" s="7" t="s">
        <v>12693</v>
      </c>
      <c r="Q42" s="158"/>
      <c r="R42" s="120" t="s">
        <v>12329</v>
      </c>
      <c r="S42" s="141"/>
      <c r="T42" s="122"/>
      <c r="U42" s="150">
        <f t="shared" si="1"/>
        <v>0</v>
      </c>
      <c r="V42" s="156"/>
    </row>
    <row r="43" spans="2:22" x14ac:dyDescent="0.2">
      <c r="B43" s="7" t="s">
        <v>12263</v>
      </c>
      <c r="Q43" s="158"/>
      <c r="R43" s="120" t="s">
        <v>12330</v>
      </c>
      <c r="S43" s="141">
        <v>5</v>
      </c>
      <c r="T43" s="122">
        <v>5</v>
      </c>
      <c r="U43" s="150">
        <f t="shared" si="1"/>
        <v>24300000</v>
      </c>
      <c r="V43" s="156"/>
    </row>
    <row r="44" spans="2:22" x14ac:dyDescent="0.2">
      <c r="Q44" s="158"/>
      <c r="R44" s="120" t="s">
        <v>12320</v>
      </c>
      <c r="S44" s="141">
        <v>9</v>
      </c>
      <c r="T44" s="122">
        <v>9</v>
      </c>
      <c r="U44" s="150">
        <f t="shared" si="1"/>
        <v>30</v>
      </c>
      <c r="V44" s="156"/>
    </row>
    <row r="45" spans="2:22" x14ac:dyDescent="0.2">
      <c r="Q45" s="158"/>
      <c r="R45" s="120" t="s">
        <v>12333</v>
      </c>
      <c r="S45" s="141">
        <v>6</v>
      </c>
      <c r="T45" s="122">
        <v>6</v>
      </c>
      <c r="U45" s="150">
        <f t="shared" si="1"/>
        <v>810000</v>
      </c>
      <c r="V45" s="156"/>
    </row>
    <row r="46" spans="2:22" ht="13.5" thickBot="1" x14ac:dyDescent="0.25">
      <c r="Q46" s="158"/>
      <c r="R46" s="129" t="s">
        <v>12322</v>
      </c>
      <c r="S46" s="142">
        <v>10</v>
      </c>
      <c r="T46" s="131">
        <v>10</v>
      </c>
      <c r="U46" s="150">
        <f t="shared" si="1"/>
        <v>1</v>
      </c>
      <c r="V46" s="156"/>
    </row>
    <row r="47" spans="2:22" ht="15" thickBot="1" x14ac:dyDescent="0.25">
      <c r="Q47" s="159"/>
      <c r="R47" s="160"/>
      <c r="S47" s="160"/>
      <c r="T47" s="160"/>
      <c r="U47" s="169"/>
      <c r="V47" s="157"/>
    </row>
    <row r="48" spans="2:22" ht="13.5" thickTop="1" x14ac:dyDescent="0.2"/>
  </sheetData>
  <sheetProtection algorithmName="SHA-512" hashValue="KVucHXfe7Jx+ywXhxZ0tDfgJwXRAdFBR/zwDHeCD+UeSBSGMY8wEq3sfcKXR2Dxc8ahxCLvT3XbUVaj0QzYJFQ==" saltValue="6lg+pFuUAKLaZjNy351B3Q==" spinCount="100000" sheet="1" objects="1" scenarios="1"/>
  <mergeCells count="9">
    <mergeCell ref="R26:T26"/>
    <mergeCell ref="R34:T34"/>
    <mergeCell ref="R40:T40"/>
    <mergeCell ref="R6:T6"/>
    <mergeCell ref="R7:T7"/>
    <mergeCell ref="R13:T13"/>
    <mergeCell ref="R17:T17"/>
    <mergeCell ref="R22:T22"/>
    <mergeCell ref="R25:T25"/>
  </mergeCells>
  <phoneticPr fontId="29" type="noConversion"/>
  <conditionalFormatting sqref="R3:R4">
    <cfRule type="expression" dxfId="4" priority="2" stopIfTrue="1">
      <formula>TRUE</formula>
    </cfRule>
  </conditionalFormatting>
  <conditionalFormatting sqref="R9:S12 R14:S16 R18:S21 R23:S23 R28:S33 R35:S39 R41:S46">
    <cfRule type="expression" dxfId="3" priority="5" stopIfTrue="1">
      <formula>TRUE</formula>
    </cfRule>
  </conditionalFormatting>
  <conditionalFormatting sqref="R6:T6 R8:T8 R25 R27:T27">
    <cfRule type="expression" dxfId="2" priority="3" stopIfTrue="1">
      <formula>TRUE</formula>
    </cfRule>
  </conditionalFormatting>
  <conditionalFormatting sqref="R7:T7 R13:T13 R17:T17 R22:T22 R26 R34 R40">
    <cfRule type="expression" dxfId="1" priority="4" stopIfTrue="1">
      <formula>TRUE</formula>
    </cfRule>
  </conditionalFormatting>
  <conditionalFormatting sqref="S2">
    <cfRule type="expression" dxfId="0" priority="1" stopIfTrue="1">
      <formula>TRUE</formula>
    </cfRule>
  </conditionalFormatting>
  <dataValidations count="4">
    <dataValidation type="list" allowBlank="1" showInputMessage="1" showErrorMessage="1" sqref="T28:T33 T41:T46 T35:T39" xr:uid="{00000000-0002-0000-0E00-000000000000}">
      <formula1>"1,2,3,4,5,6,7,8,9,10"</formula1>
    </dataValidation>
    <dataValidation type="list" allowBlank="1" showInputMessage="1" showErrorMessage="1" sqref="T23 T18:T21" xr:uid="{00000000-0002-0000-0E00-000001000000}">
      <formula1>"1,2,3,4,5,6,7,8"</formula1>
    </dataValidation>
    <dataValidation type="list" allowBlank="1" showInputMessage="1" showErrorMessage="1" sqref="T9:T12 T14:T16" xr:uid="{00000000-0002-0000-0E00-000002000000}">
      <formula1>"1,2,3,4,5,6"</formula1>
    </dataValidation>
    <dataValidation type="list" allowBlank="1" showInputMessage="1" showErrorMessage="1" sqref="R3" xr:uid="{00000000-0002-0000-0E00-000003000000}">
      <formula1>EventSheetTable</formula1>
    </dataValidation>
  </dataValidations>
  <pageMargins left="0.7" right="0.7" top="0.75" bottom="0.75" header="0.3" footer="0.3"/>
  <pageSetup orientation="portrait" r:id="rId1"/>
  <drawing r:id="rId2"/>
  <tableParts count="8">
    <tablePart r:id="rId3"/>
    <tablePart r:id="rId4"/>
    <tablePart r:id="rId5"/>
    <tablePart r:id="rId6"/>
    <tablePart r:id="rId7"/>
    <tablePart r:id="rId8"/>
    <tablePart r:id="rId9"/>
    <tablePart r:id="rId10"/>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65514-5F61-4FA1-B5E0-CB7426EDB950}">
  <sheetPr codeName="Feuil17"/>
  <dimension ref="A1:F32"/>
  <sheetViews>
    <sheetView showGridLines="0" workbookViewId="0">
      <selection activeCell="C2" sqref="C2"/>
    </sheetView>
  </sheetViews>
  <sheetFormatPr defaultColWidth="0" defaultRowHeight="15" x14ac:dyDescent="0.25"/>
  <cols>
    <col min="1" max="1" width="11.5703125" style="403" customWidth="1"/>
    <col min="2" max="2" width="11.28515625" style="403" customWidth="1"/>
    <col min="3" max="3" width="136.85546875" style="403" customWidth="1"/>
    <col min="4" max="4" width="5" style="403" customWidth="1"/>
    <col min="5" max="6" width="0" style="403" hidden="1" customWidth="1"/>
    <col min="7" max="16384" width="11.42578125" style="403" hidden="1"/>
  </cols>
  <sheetData>
    <row r="1" spans="1:3" ht="45" x14ac:dyDescent="0.25">
      <c r="A1" s="403" t="s">
        <v>12781</v>
      </c>
      <c r="B1" s="406" t="s">
        <v>12795</v>
      </c>
      <c r="C1" s="403" t="s">
        <v>12782</v>
      </c>
    </row>
    <row r="2" spans="1:3" x14ac:dyDescent="0.25">
      <c r="A2" s="403" t="s">
        <v>14579</v>
      </c>
      <c r="B2" s="405" t="s">
        <v>12794</v>
      </c>
      <c r="C2" s="407" t="s">
        <v>14580</v>
      </c>
    </row>
    <row r="3" spans="1:3" ht="30" x14ac:dyDescent="0.25">
      <c r="A3" s="403" t="s">
        <v>14440</v>
      </c>
      <c r="B3" s="405" t="s">
        <v>12794</v>
      </c>
      <c r="C3" s="407" t="s">
        <v>14441</v>
      </c>
    </row>
    <row r="4" spans="1:3" x14ac:dyDescent="0.25">
      <c r="A4" s="403" t="s">
        <v>14437</v>
      </c>
      <c r="B4" s="405" t="s">
        <v>12793</v>
      </c>
      <c r="C4" s="407" t="s">
        <v>14429</v>
      </c>
    </row>
    <row r="5" spans="1:3" x14ac:dyDescent="0.25">
      <c r="A5" s="403" t="s">
        <v>14427</v>
      </c>
      <c r="B5" s="405" t="s">
        <v>12794</v>
      </c>
      <c r="C5" s="407" t="s">
        <v>14428</v>
      </c>
    </row>
    <row r="6" spans="1:3" ht="30" x14ac:dyDescent="0.25">
      <c r="A6" s="403" t="s">
        <v>14425</v>
      </c>
      <c r="B6" s="405" t="s">
        <v>12793</v>
      </c>
      <c r="C6" s="407" t="s">
        <v>14426</v>
      </c>
    </row>
    <row r="7" spans="1:3" x14ac:dyDescent="0.25">
      <c r="A7" s="403" t="s">
        <v>14200</v>
      </c>
      <c r="B7" s="405" t="s">
        <v>12794</v>
      </c>
      <c r="C7" s="407" t="s">
        <v>14201</v>
      </c>
    </row>
    <row r="8" spans="1:3" x14ac:dyDescent="0.25">
      <c r="A8" s="403" t="s">
        <v>14051</v>
      </c>
      <c r="B8" s="405" t="s">
        <v>12794</v>
      </c>
      <c r="C8" s="407" t="s">
        <v>14048</v>
      </c>
    </row>
    <row r="9" spans="1:3" x14ac:dyDescent="0.25">
      <c r="B9" s="405" t="s">
        <v>12793</v>
      </c>
      <c r="C9" s="407" t="s">
        <v>14052</v>
      </c>
    </row>
    <row r="10" spans="1:3" x14ac:dyDescent="0.25">
      <c r="A10" s="403" t="s">
        <v>13540</v>
      </c>
      <c r="B10" s="405" t="s">
        <v>12793</v>
      </c>
      <c r="C10" s="407" t="s">
        <v>13541</v>
      </c>
    </row>
    <row r="11" spans="1:3" x14ac:dyDescent="0.25">
      <c r="A11" s="403" t="s">
        <v>13534</v>
      </c>
      <c r="B11" s="405" t="s">
        <v>12794</v>
      </c>
      <c r="C11" s="407" t="s">
        <v>13535</v>
      </c>
    </row>
    <row r="12" spans="1:3" x14ac:dyDescent="0.25">
      <c r="A12" s="403" t="s">
        <v>13533</v>
      </c>
      <c r="B12" s="405" t="s">
        <v>12794</v>
      </c>
      <c r="C12" s="407" t="s">
        <v>13532</v>
      </c>
    </row>
    <row r="13" spans="1:3" x14ac:dyDescent="0.25">
      <c r="A13" s="403" t="s">
        <v>13530</v>
      </c>
      <c r="B13" s="405" t="s">
        <v>12794</v>
      </c>
      <c r="C13" s="407" t="s">
        <v>13531</v>
      </c>
    </row>
    <row r="14" spans="1:3" ht="75" x14ac:dyDescent="0.25">
      <c r="A14" s="403" t="s">
        <v>13528</v>
      </c>
      <c r="B14" s="405" t="s">
        <v>12793</v>
      </c>
      <c r="C14" s="407" t="s">
        <v>13529</v>
      </c>
    </row>
    <row r="15" spans="1:3" x14ac:dyDescent="0.25">
      <c r="A15" s="403" t="s">
        <v>13526</v>
      </c>
      <c r="B15" s="405" t="s">
        <v>12794</v>
      </c>
      <c r="C15" s="407" t="s">
        <v>13527</v>
      </c>
    </row>
    <row r="16" spans="1:3" ht="30" x14ac:dyDescent="0.25">
      <c r="A16" s="403" t="s">
        <v>13182</v>
      </c>
      <c r="B16" s="405" t="s">
        <v>12794</v>
      </c>
      <c r="C16" s="404" t="s">
        <v>13183</v>
      </c>
    </row>
    <row r="17" spans="1:3" x14ac:dyDescent="0.25">
      <c r="A17" s="403" t="s">
        <v>13175</v>
      </c>
      <c r="B17" s="405" t="s">
        <v>12793</v>
      </c>
      <c r="C17" s="407" t="s">
        <v>13176</v>
      </c>
    </row>
    <row r="18" spans="1:3" x14ac:dyDescent="0.25">
      <c r="A18" s="403" t="s">
        <v>13173</v>
      </c>
      <c r="B18" s="405" t="s">
        <v>12794</v>
      </c>
      <c r="C18" s="407" t="s">
        <v>13174</v>
      </c>
    </row>
    <row r="19" spans="1:3" x14ac:dyDescent="0.25">
      <c r="A19" s="403" t="s">
        <v>13171</v>
      </c>
      <c r="B19" s="405" t="s">
        <v>12793</v>
      </c>
      <c r="C19" s="404" t="s">
        <v>13172</v>
      </c>
    </row>
    <row r="20" spans="1:3" ht="90" x14ac:dyDescent="0.25">
      <c r="A20" s="403" t="s">
        <v>13153</v>
      </c>
      <c r="B20" s="405" t="s">
        <v>12805</v>
      </c>
      <c r="C20" s="404" t="s">
        <v>13170</v>
      </c>
    </row>
    <row r="21" spans="1:3" x14ac:dyDescent="0.25">
      <c r="A21" s="403" t="s">
        <v>13149</v>
      </c>
      <c r="B21" s="405" t="s">
        <v>12794</v>
      </c>
      <c r="C21" s="407" t="s">
        <v>13150</v>
      </c>
    </row>
    <row r="22" spans="1:3" ht="45" x14ac:dyDescent="0.25">
      <c r="A22" s="403" t="s">
        <v>13147</v>
      </c>
      <c r="B22" s="405" t="s">
        <v>12805</v>
      </c>
      <c r="C22" s="407" t="s">
        <v>13148</v>
      </c>
    </row>
    <row r="23" spans="1:3" ht="30" x14ac:dyDescent="0.25">
      <c r="A23" s="403" t="s">
        <v>12783</v>
      </c>
      <c r="B23" s="405" t="s">
        <v>12805</v>
      </c>
      <c r="C23" s="407" t="s">
        <v>12806</v>
      </c>
    </row>
    <row r="24" spans="1:3" x14ac:dyDescent="0.25">
      <c r="A24" s="403" t="s">
        <v>12786</v>
      </c>
      <c r="B24" s="405" t="s">
        <v>12793</v>
      </c>
      <c r="C24" s="407" t="s">
        <v>12787</v>
      </c>
    </row>
    <row r="25" spans="1:3" ht="45" x14ac:dyDescent="0.25">
      <c r="A25" s="403" t="s">
        <v>12784</v>
      </c>
      <c r="B25" s="405" t="s">
        <v>12793</v>
      </c>
      <c r="C25" s="404" t="s">
        <v>12785</v>
      </c>
    </row>
    <row r="26" spans="1:3" x14ac:dyDescent="0.25">
      <c r="A26" s="403" t="s">
        <v>12788</v>
      </c>
      <c r="B26" s="405" t="s">
        <v>12793</v>
      </c>
      <c r="C26" s="407" t="s">
        <v>12789</v>
      </c>
    </row>
    <row r="27" spans="1:3" x14ac:dyDescent="0.25">
      <c r="A27" s="403" t="s">
        <v>12790</v>
      </c>
      <c r="B27" s="405" t="s">
        <v>12794</v>
      </c>
      <c r="C27" s="407" t="s">
        <v>12791</v>
      </c>
    </row>
    <row r="28" spans="1:3" x14ac:dyDescent="0.25">
      <c r="A28" s="403" t="s">
        <v>12792</v>
      </c>
      <c r="B28" s="405" t="s">
        <v>12794</v>
      </c>
      <c r="C28" s="407" t="s">
        <v>12803</v>
      </c>
    </row>
    <row r="29" spans="1:3" x14ac:dyDescent="0.25">
      <c r="A29" s="403" t="s">
        <v>12796</v>
      </c>
      <c r="B29" s="405" t="s">
        <v>12794</v>
      </c>
      <c r="C29" s="407" t="s">
        <v>12804</v>
      </c>
    </row>
    <row r="30" spans="1:3" ht="45" x14ac:dyDescent="0.25">
      <c r="A30" s="403" t="s">
        <v>12797</v>
      </c>
      <c r="B30" s="405" t="s">
        <v>12793</v>
      </c>
      <c r="C30" s="407" t="s">
        <v>12798</v>
      </c>
    </row>
    <row r="31" spans="1:3" x14ac:dyDescent="0.25">
      <c r="A31" s="403" t="s">
        <v>12799</v>
      </c>
      <c r="B31" s="405" t="s">
        <v>12794</v>
      </c>
      <c r="C31" s="407" t="s">
        <v>12800</v>
      </c>
    </row>
    <row r="32" spans="1:3" x14ac:dyDescent="0.25">
      <c r="A32" s="403" t="s">
        <v>12801</v>
      </c>
      <c r="B32" s="405" t="s">
        <v>12793</v>
      </c>
      <c r="C32" s="407" t="s">
        <v>12802</v>
      </c>
    </row>
  </sheetData>
  <sheetProtection algorithmName="SHA-512" hashValue="mS9Eooj+7w2lYRsFszq6EwgKH4mUrm4YiTFUCEMQdiN7h+ebGPkYYLK8fc5UHE1ZCsrxqgqqH7N98HUkwGVniQ==" saltValue="P3MttMRvIB5SkjYgdIHDmQ==" spinCount="100000" sheet="1" objects="1" scenarios="1"/>
  <dataValidations count="1">
    <dataValidation type="list" allowBlank="1" showInputMessage="1" showErrorMessage="1" sqref="B2:B32" xr:uid="{F739A919-3895-4FBA-8095-CE4F7CE86A5E}">
      <formula1>"Correction,Evolution,Both"</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99"/>
    <pageSetUpPr fitToPage="1"/>
  </sheetPr>
  <dimension ref="A1:J109"/>
  <sheetViews>
    <sheetView showGridLines="0" zoomScale="130" zoomScaleNormal="130" zoomScaleSheetLayoutView="100" workbookViewId="0">
      <selection activeCell="B70" sqref="B70:H70"/>
    </sheetView>
  </sheetViews>
  <sheetFormatPr defaultColWidth="0" defaultRowHeight="12.75" zeroHeight="1" x14ac:dyDescent="0.2"/>
  <cols>
    <col min="1" max="1" width="3.5703125" style="1" customWidth="1"/>
    <col min="2" max="2" width="15.5703125" style="1" customWidth="1"/>
    <col min="3" max="3" width="11.5703125" style="1" customWidth="1"/>
    <col min="4" max="4" width="24.140625" style="1" customWidth="1"/>
    <col min="5" max="5" width="11.7109375" style="1" bestFit="1" customWidth="1"/>
    <col min="6" max="6" width="13.5703125" style="1" customWidth="1"/>
    <col min="7" max="7" width="10" style="1" customWidth="1"/>
    <col min="8" max="8" width="13.7109375" style="1" customWidth="1"/>
    <col min="9" max="9" width="5.7109375" style="1" customWidth="1"/>
    <col min="10" max="10" width="0" style="1" hidden="1" customWidth="1"/>
    <col min="11" max="16384" width="9.140625" style="1" hidden="1"/>
  </cols>
  <sheetData>
    <row r="1" spans="2:8" ht="60" x14ac:dyDescent="0.8">
      <c r="B1" s="532" t="s">
        <v>0</v>
      </c>
      <c r="C1" s="532"/>
      <c r="D1" s="532"/>
      <c r="E1" s="532"/>
      <c r="F1" s="532"/>
      <c r="G1" s="532"/>
      <c r="H1" s="532"/>
    </row>
    <row r="2" spans="2:8" s="14" customFormat="1" ht="30.75" thickBot="1" x14ac:dyDescent="0.45">
      <c r="B2" s="533" t="s">
        <v>1</v>
      </c>
      <c r="C2" s="533"/>
      <c r="D2" s="533"/>
      <c r="E2" s="533"/>
      <c r="F2" s="533"/>
      <c r="G2" s="533"/>
      <c r="H2" s="533"/>
    </row>
    <row r="3" spans="2:8" s="2" customFormat="1" ht="12" thickBot="1" x14ac:dyDescent="0.25"/>
    <row r="4" spans="2:8" ht="16.5" thickBot="1" x14ac:dyDescent="0.3">
      <c r="B4" s="56" t="s">
        <v>2</v>
      </c>
      <c r="E4" s="476" t="s">
        <v>3</v>
      </c>
      <c r="G4" s="534" t="str">
        <f>"Version " &amp; 'Things not to forget'!B39</f>
        <v>Version 4.5.2</v>
      </c>
      <c r="H4" s="534"/>
    </row>
    <row r="5" spans="2:8" s="2" customFormat="1" ht="12" thickBot="1" x14ac:dyDescent="0.25"/>
    <row r="6" spans="2:8" s="2" customFormat="1" ht="12.75" customHeight="1" thickTop="1" x14ac:dyDescent="0.2">
      <c r="B6" s="207" t="s">
        <v>12139</v>
      </c>
      <c r="C6" s="208"/>
      <c r="D6" s="209"/>
      <c r="E6" s="409" t="str">
        <f>IF(F6="","",INDEX(EventTypeList[Event Code],MATCH(F6,EventTypeList[Event Name],0)))</f>
        <v>MJ</v>
      </c>
      <c r="F6" s="538" t="s">
        <v>12140</v>
      </c>
      <c r="G6" s="538"/>
      <c r="H6" s="539"/>
    </row>
    <row r="7" spans="2:8" s="2" customFormat="1" ht="11.25" x14ac:dyDescent="0.2">
      <c r="B7" s="210" t="s">
        <v>12137</v>
      </c>
      <c r="C7" s="30"/>
      <c r="D7" s="52"/>
      <c r="E7" s="535" t="s">
        <v>14599</v>
      </c>
      <c r="F7" s="536"/>
      <c r="G7" s="536"/>
      <c r="H7" s="537"/>
    </row>
    <row r="8" spans="2:8" s="2" customFormat="1" ht="11.25" x14ac:dyDescent="0.2">
      <c r="B8" s="210" t="s">
        <v>12164</v>
      </c>
      <c r="C8" s="30"/>
      <c r="D8" s="52"/>
      <c r="E8" s="535" t="s">
        <v>14600</v>
      </c>
      <c r="F8" s="536"/>
      <c r="G8" s="536"/>
      <c r="H8" s="537"/>
    </row>
    <row r="9" spans="2:8" s="2" customFormat="1" ht="11.25" x14ac:dyDescent="0.2">
      <c r="B9" s="210" t="s">
        <v>12165</v>
      </c>
      <c r="C9" s="30"/>
      <c r="D9" s="53"/>
      <c r="E9" s="412" t="s">
        <v>13151</v>
      </c>
      <c r="F9" s="477">
        <v>45325</v>
      </c>
      <c r="G9" s="413" t="s">
        <v>13152</v>
      </c>
      <c r="H9" s="478">
        <v>45354</v>
      </c>
    </row>
    <row r="10" spans="2:8" s="2" customFormat="1" ht="11.25" x14ac:dyDescent="0.2">
      <c r="B10" s="210" t="s">
        <v>12172</v>
      </c>
      <c r="C10" s="30"/>
      <c r="D10" s="53"/>
      <c r="E10" s="535" t="s">
        <v>12180</v>
      </c>
      <c r="F10" s="536"/>
      <c r="G10" s="536"/>
      <c r="H10" s="537"/>
    </row>
    <row r="11" spans="2:8" s="2" customFormat="1" ht="15.75" customHeight="1" thickBot="1" x14ac:dyDescent="0.25">
      <c r="B11" s="211" t="s">
        <v>12170</v>
      </c>
      <c r="C11" s="212"/>
      <c r="D11" s="479" t="s">
        <v>14601</v>
      </c>
      <c r="E11" s="408" t="s">
        <v>12169</v>
      </c>
      <c r="F11" s="523"/>
      <c r="G11" s="523"/>
      <c r="H11" s="524"/>
    </row>
    <row r="12" spans="2:8" s="2" customFormat="1" ht="12" thickTop="1" x14ac:dyDescent="0.2">
      <c r="B12" s="31" t="s">
        <v>12134</v>
      </c>
      <c r="C12" s="32" t="s">
        <v>12130</v>
      </c>
      <c r="D12" s="33"/>
      <c r="E12" s="39">
        <f ca="1">COUNTA(INDIRECT(C12&amp;"List[Retained Player Name]"))-COUNTIF(INDIRECT(C12&amp;"List[Retained Player Name]"),"")-COUNTIF(INDIRECT(C12&amp;"List[Withdraw]"),"Excused")</f>
        <v>114</v>
      </c>
      <c r="F12" s="40" t="s">
        <v>4</v>
      </c>
      <c r="G12" s="46">
        <f>IF($F$6="","",VLOOKUP($E$6,EventFees[#All],MATCH(C12,EventFees[[#Headers],[OPEN]:[TEAMS]],0)+1,FALSE))</f>
        <v>2</v>
      </c>
      <c r="H12" s="49">
        <f t="shared" ref="H12:H18" ca="1" si="0">IF(G12="","",G12*E12)</f>
        <v>228</v>
      </c>
    </row>
    <row r="13" spans="2:8" s="2" customFormat="1" ht="11.25" x14ac:dyDescent="0.2">
      <c r="B13" s="31" t="s">
        <v>12134</v>
      </c>
      <c r="C13" s="34" t="s">
        <v>12131</v>
      </c>
      <c r="D13" s="35"/>
      <c r="E13" s="41">
        <f t="shared" ref="E13:E17" ca="1" si="1">COUNTA(INDIRECT(C13&amp;"List[Retained Player Name]"))-COUNTIF(INDIRECT(C13&amp;"List[Retained Player Name]"),"")-COUNTIF(INDIRECT(C13&amp;"List[Withdraw]"),"Excused")</f>
        <v>70</v>
      </c>
      <c r="F13" s="40" t="s">
        <v>4</v>
      </c>
      <c r="G13" s="47">
        <f>IF($F$6="","",VLOOKUP($E$6,EventFees[#All],MATCH(C13,EventFees[[#Headers],[OPEN]:[TEAMS]],0)+1,FALSE))</f>
        <v>2</v>
      </c>
      <c r="H13" s="50">
        <f t="shared" ca="1" si="0"/>
        <v>140</v>
      </c>
    </row>
    <row r="14" spans="2:8" s="2" customFormat="1" ht="11.25" x14ac:dyDescent="0.2">
      <c r="B14" s="31" t="s">
        <v>12134</v>
      </c>
      <c r="C14" s="32" t="s">
        <v>12132</v>
      </c>
      <c r="D14" s="33"/>
      <c r="E14" s="39">
        <f t="shared" ca="1" si="1"/>
        <v>10</v>
      </c>
      <c r="F14" s="40" t="s">
        <v>4</v>
      </c>
      <c r="G14" s="47">
        <f>IF($F$6="","",VLOOKUP($E$6,EventFees[#All],MATCH(C14,EventFees[[#Headers],[OPEN]:[TEAMS]],0)+1,FALSE))</f>
        <v>0</v>
      </c>
      <c r="H14" s="49">
        <f t="shared" ca="1" si="0"/>
        <v>0</v>
      </c>
    </row>
    <row r="15" spans="2:8" s="2" customFormat="1" ht="11.25" x14ac:dyDescent="0.2">
      <c r="B15" s="31" t="s">
        <v>12134</v>
      </c>
      <c r="C15" s="34" t="s">
        <v>930</v>
      </c>
      <c r="D15" s="35"/>
      <c r="E15" s="41">
        <f t="shared" ca="1" si="1"/>
        <v>8</v>
      </c>
      <c r="F15" s="40" t="s">
        <v>4</v>
      </c>
      <c r="G15" s="47">
        <f>IF($F$6="","",VLOOKUP($E$6,EventFees[#All],MATCH(C15,EventFees[[#Headers],[OPEN]:[TEAMS]],0)+1,FALSE))</f>
        <v>2</v>
      </c>
      <c r="H15" s="50">
        <f t="shared" ca="1" si="0"/>
        <v>16</v>
      </c>
    </row>
    <row r="16" spans="2:8" s="2" customFormat="1" ht="11.25" x14ac:dyDescent="0.2">
      <c r="B16" s="31" t="s">
        <v>12134</v>
      </c>
      <c r="C16" s="32" t="s">
        <v>1023</v>
      </c>
      <c r="D16" s="33"/>
      <c r="E16" s="39">
        <f t="shared" ca="1" si="1"/>
        <v>12</v>
      </c>
      <c r="F16" s="40" t="s">
        <v>4</v>
      </c>
      <c r="G16" s="47">
        <f>IF($F$6="","",VLOOKUP($E$6,EventFees[#All],MATCH(C16,EventFees[[#Headers],[OPEN]:[TEAMS]],0)+1,FALSE))</f>
        <v>0</v>
      </c>
      <c r="H16" s="49">
        <f t="shared" ca="1" si="0"/>
        <v>0</v>
      </c>
    </row>
    <row r="17" spans="2:9" s="2" customFormat="1" ht="11.25" x14ac:dyDescent="0.2">
      <c r="B17" s="31" t="s">
        <v>12134</v>
      </c>
      <c r="C17" s="34" t="s">
        <v>1177</v>
      </c>
      <c r="D17" s="35"/>
      <c r="E17" s="41">
        <f t="shared" ca="1" si="1"/>
        <v>15</v>
      </c>
      <c r="F17" s="40" t="s">
        <v>4</v>
      </c>
      <c r="G17" s="47">
        <f>IF($F$6="","",VLOOKUP($E$6,EventFees[#All],MATCH(C17,EventFees[[#Headers],[OPEN]:[TEAMS]],0)+1,FALSE))</f>
        <v>0</v>
      </c>
      <c r="H17" s="50">
        <f t="shared" ca="1" si="0"/>
        <v>0</v>
      </c>
    </row>
    <row r="18" spans="2:9" s="2" customFormat="1" ht="12" thickBot="1" x14ac:dyDescent="0.25">
      <c r="B18" s="36" t="s">
        <v>12135</v>
      </c>
      <c r="C18" s="37" t="s">
        <v>12133</v>
      </c>
      <c r="D18" s="38"/>
      <c r="E18" s="42">
        <f ca="1">COUNTA(INDIRECT(C18&amp;"List[Club Name]"))</f>
        <v>42</v>
      </c>
      <c r="F18" s="43" t="s">
        <v>4</v>
      </c>
      <c r="G18" s="48">
        <f>IF($F$6="","",VLOOKUP($E$6,EventFees[#All],MATCH(C18,EventFees[[#Headers],[OPEN]:[TEAMS]],0)+1,FALSE))</f>
        <v>5</v>
      </c>
      <c r="H18" s="51">
        <f t="shared" ca="1" si="0"/>
        <v>210</v>
      </c>
    </row>
    <row r="19" spans="2:9" s="2" customFormat="1" ht="15.75" thickBot="1" x14ac:dyDescent="0.25">
      <c r="G19" s="45" t="s">
        <v>12166</v>
      </c>
      <c r="H19" s="44">
        <f ca="1">SUM(H12:H18)</f>
        <v>594</v>
      </c>
    </row>
    <row r="20" spans="2:9" s="2" customFormat="1" ht="15.75" thickBot="1" x14ac:dyDescent="0.25">
      <c r="F20" s="410"/>
      <c r="G20" s="410" t="s">
        <v>13155</v>
      </c>
      <c r="H20" s="411">
        <f ca="1">(1-15%)*H19</f>
        <v>504.9</v>
      </c>
    </row>
    <row r="21" spans="2:9" s="2" customFormat="1" ht="9" customHeight="1" x14ac:dyDescent="0.2">
      <c r="B21" s="526" t="s">
        <v>14430</v>
      </c>
      <c r="C21" s="526"/>
      <c r="D21" s="526"/>
      <c r="E21" s="526"/>
      <c r="F21" s="526"/>
      <c r="G21" s="526"/>
      <c r="H21" s="526"/>
    </row>
    <row r="22" spans="2:9" s="2" customFormat="1" ht="9" customHeight="1" x14ac:dyDescent="0.2">
      <c r="B22" s="499"/>
      <c r="C22" s="500"/>
      <c r="D22" s="500"/>
      <c r="E22" s="500"/>
      <c r="F22" s="501"/>
      <c r="G22" s="527" t="s">
        <v>14431</v>
      </c>
      <c r="H22" s="527"/>
    </row>
    <row r="23" spans="2:9" s="2" customFormat="1" ht="9" customHeight="1" x14ac:dyDescent="0.2">
      <c r="B23" s="499"/>
      <c r="C23" s="500"/>
      <c r="D23" s="500"/>
      <c r="E23" s="500"/>
      <c r="F23" s="501"/>
      <c r="G23" s="528" t="s">
        <v>14432</v>
      </c>
      <c r="H23" s="528"/>
    </row>
    <row r="24" spans="2:9" s="2" customFormat="1" ht="9" customHeight="1" x14ac:dyDescent="0.2">
      <c r="B24" s="499"/>
      <c r="C24" s="500"/>
      <c r="D24" s="500"/>
      <c r="E24" s="500"/>
      <c r="F24" s="501"/>
      <c r="G24" s="525" t="s">
        <v>14433</v>
      </c>
      <c r="H24" s="525"/>
    </row>
    <row r="25" spans="2:9" s="2" customFormat="1" ht="9" customHeight="1" x14ac:dyDescent="0.2">
      <c r="B25" s="499"/>
      <c r="C25" s="500"/>
      <c r="D25" s="500"/>
      <c r="E25" s="500"/>
      <c r="F25" s="501"/>
      <c r="G25" s="525" t="s">
        <v>14434</v>
      </c>
      <c r="H25" s="525"/>
    </row>
    <row r="26" spans="2:9" s="2" customFormat="1" ht="9" customHeight="1" x14ac:dyDescent="0.2">
      <c r="B26" s="499"/>
      <c r="C26" s="500"/>
      <c r="D26" s="500"/>
      <c r="E26" s="500"/>
      <c r="F26" s="501"/>
      <c r="G26" s="525" t="s">
        <v>14435</v>
      </c>
      <c r="H26" s="525"/>
    </row>
    <row r="27" spans="2:9" s="2" customFormat="1" ht="9" customHeight="1" x14ac:dyDescent="0.2">
      <c r="B27" s="499"/>
      <c r="C27" s="500"/>
      <c r="D27" s="500"/>
      <c r="E27" s="500"/>
      <c r="F27" s="501"/>
      <c r="G27" s="525" t="s">
        <v>14436</v>
      </c>
      <c r="H27" s="525"/>
    </row>
    <row r="28" spans="2:9" s="2" customFormat="1" ht="11.25" x14ac:dyDescent="0.2">
      <c r="G28" s="4"/>
      <c r="H28" s="5"/>
    </row>
    <row r="29" spans="2:9" s="2" customFormat="1" ht="16.5" thickBot="1" x14ac:dyDescent="0.3">
      <c r="B29" s="3" t="s">
        <v>12187</v>
      </c>
    </row>
    <row r="30" spans="2:9" s="2" customFormat="1" ht="45.75" thickBot="1" x14ac:dyDescent="0.25">
      <c r="B30" s="370" t="s">
        <v>12185</v>
      </c>
      <c r="C30" s="371"/>
      <c r="D30" s="372"/>
      <c r="E30" s="373" t="s">
        <v>12186</v>
      </c>
      <c r="F30" s="373"/>
      <c r="G30" s="373"/>
      <c r="H30" s="374"/>
      <c r="I30" s="8"/>
    </row>
    <row r="31" spans="2:9" s="2" customFormat="1" ht="15" customHeight="1" thickBot="1" x14ac:dyDescent="0.25">
      <c r="B31" s="518" t="s">
        <v>7</v>
      </c>
      <c r="C31" s="519"/>
      <c r="D31" s="57" t="s">
        <v>9</v>
      </c>
      <c r="E31" s="518" t="s">
        <v>9</v>
      </c>
      <c r="F31" s="519"/>
      <c r="G31" s="519"/>
      <c r="H31" s="57" t="s">
        <v>8</v>
      </c>
    </row>
    <row r="32" spans="2:9" s="2" customFormat="1" ht="15" customHeight="1" x14ac:dyDescent="0.2">
      <c r="B32" s="520"/>
      <c r="C32" s="521"/>
      <c r="D32" s="216" t="str">
        <f>IF($B32="","",VLOOKUP($B32,Players[[Player Name]:[Club name]],6,FALSE))</f>
        <v/>
      </c>
      <c r="E32" s="520"/>
      <c r="F32" s="522"/>
      <c r="G32" s="521"/>
      <c r="H32" s="219" t="str">
        <f>IF($E32="","",VLOOKUP($E32,Clubs[[Club name]:[Nationality]],3,FALSE))</f>
        <v/>
      </c>
      <c r="I32" s="8"/>
    </row>
    <row r="33" spans="2:9" s="2" customFormat="1" ht="11.25" x14ac:dyDescent="0.2">
      <c r="B33" s="513"/>
      <c r="C33" s="514"/>
      <c r="D33" s="217" t="str">
        <f>IF($B33="","",VLOOKUP($B33,Players[[Player Name]:[Club name]],6,FALSE))</f>
        <v/>
      </c>
      <c r="E33" s="513"/>
      <c r="F33" s="515"/>
      <c r="G33" s="514"/>
      <c r="H33" s="213" t="str">
        <f>IF($E33="","",VLOOKUP($E33,Clubs[[Club name]:[Nationality]],3,FALSE))</f>
        <v/>
      </c>
    </row>
    <row r="34" spans="2:9" s="2" customFormat="1" ht="11.25" x14ac:dyDescent="0.2">
      <c r="B34" s="513"/>
      <c r="C34" s="514"/>
      <c r="D34" s="217" t="str">
        <f>IF($B34="","",VLOOKUP($B34,Players[[Player Name]:[Club name]],6,FALSE))</f>
        <v/>
      </c>
      <c r="E34" s="513"/>
      <c r="F34" s="515"/>
      <c r="G34" s="514"/>
      <c r="H34" s="213" t="str">
        <f>IF($E34="","",VLOOKUP($E34,Clubs[[Club name]:[Nationality]],3,FALSE))</f>
        <v/>
      </c>
    </row>
    <row r="35" spans="2:9" s="2" customFormat="1" ht="11.25" x14ac:dyDescent="0.2">
      <c r="B35" s="513"/>
      <c r="C35" s="514"/>
      <c r="D35" s="217" t="str">
        <f>IF($B35="","",VLOOKUP($B35,Players[[Player Name]:[Club name]],6,FALSE))</f>
        <v/>
      </c>
      <c r="E35" s="513"/>
      <c r="F35" s="515"/>
      <c r="G35" s="514"/>
      <c r="H35" s="213" t="str">
        <f>IF($E35="","",VLOOKUP($E35,Clubs[[Club name]:[Nationality]],3,FALSE))</f>
        <v/>
      </c>
    </row>
    <row r="36" spans="2:9" s="2" customFormat="1" ht="11.25" x14ac:dyDescent="0.2">
      <c r="B36" s="513"/>
      <c r="C36" s="514"/>
      <c r="D36" s="217" t="str">
        <f>IF($B36="","",VLOOKUP($B36,Players[[Player Name]:[Club name]],6,FALSE))</f>
        <v/>
      </c>
      <c r="E36" s="513"/>
      <c r="F36" s="515"/>
      <c r="G36" s="514"/>
      <c r="H36" s="213" t="str">
        <f>IF($E36="","",VLOOKUP($E36,Clubs[[Club name]:[Nationality]],3,FALSE))</f>
        <v/>
      </c>
    </row>
    <row r="37" spans="2:9" s="2" customFormat="1" ht="11.25" x14ac:dyDescent="0.2">
      <c r="B37" s="513"/>
      <c r="C37" s="514"/>
      <c r="D37" s="217" t="str">
        <f>IF($B37="","",VLOOKUP($B37,Players[[Player Name]:[Club name]],6,FALSE))</f>
        <v/>
      </c>
      <c r="E37" s="513"/>
      <c r="F37" s="515"/>
      <c r="G37" s="514"/>
      <c r="H37" s="213" t="str">
        <f>IF($E37="","",VLOOKUP($E37,Clubs[[Club name]:[Nationality]],3,FALSE))</f>
        <v/>
      </c>
    </row>
    <row r="38" spans="2:9" s="2" customFormat="1" ht="15.75" customHeight="1" thickBot="1" x14ac:dyDescent="0.25">
      <c r="B38" s="516"/>
      <c r="C38" s="517"/>
      <c r="D38" s="218" t="str">
        <f>IF($B38="","",VLOOKUP($B38,Players[[Player Name]:[Club name]],6,FALSE))</f>
        <v/>
      </c>
      <c r="E38" s="516"/>
      <c r="F38" s="529"/>
      <c r="G38" s="517"/>
      <c r="H38" s="220" t="str">
        <f>IF($E38="","",VLOOKUP($E38,Clubs[[Club name]:[Nationality]],3,FALSE))</f>
        <v/>
      </c>
    </row>
    <row r="39" spans="2:9" s="2" customFormat="1" ht="12" thickBot="1" x14ac:dyDescent="0.25"/>
    <row r="40" spans="2:9" s="2" customFormat="1" ht="23.25" thickBot="1" x14ac:dyDescent="0.25">
      <c r="B40" s="370" t="s">
        <v>12183</v>
      </c>
      <c r="C40" s="371"/>
      <c r="D40" s="372"/>
      <c r="E40" s="373" t="s">
        <v>12184</v>
      </c>
      <c r="F40" s="373"/>
      <c r="G40" s="373"/>
      <c r="H40" s="374"/>
      <c r="I40" s="8"/>
    </row>
    <row r="41" spans="2:9" s="2" customFormat="1" ht="15" customHeight="1" thickBot="1" x14ac:dyDescent="0.25">
      <c r="B41" s="518" t="s">
        <v>7</v>
      </c>
      <c r="C41" s="519"/>
      <c r="D41" s="57" t="s">
        <v>9</v>
      </c>
      <c r="E41" s="518" t="s">
        <v>9</v>
      </c>
      <c r="F41" s="519"/>
      <c r="G41" s="519"/>
      <c r="H41" s="57" t="s">
        <v>8</v>
      </c>
    </row>
    <row r="42" spans="2:9" s="2" customFormat="1" ht="15" customHeight="1" x14ac:dyDescent="0.2">
      <c r="B42" s="520"/>
      <c r="C42" s="521"/>
      <c r="D42" s="216" t="str">
        <f>IF($B42="","",VLOOKUP($B42,Players[[Player Name]:[Club name]],6,FALSE))</f>
        <v/>
      </c>
      <c r="E42" s="520"/>
      <c r="F42" s="522"/>
      <c r="G42" s="521"/>
      <c r="H42" s="219" t="str">
        <f>IF($E42="","",VLOOKUP($E42,Clubs[[Club name]:[Nationality]],3,FALSE))</f>
        <v/>
      </c>
      <c r="I42" s="8"/>
    </row>
    <row r="43" spans="2:9" s="2" customFormat="1" ht="11.25" x14ac:dyDescent="0.2">
      <c r="B43" s="513"/>
      <c r="C43" s="514"/>
      <c r="D43" s="217" t="str">
        <f>IF($B43="","",VLOOKUP($B43,Players[[Player Name]:[Club name]],6,FALSE))</f>
        <v/>
      </c>
      <c r="E43" s="513"/>
      <c r="F43" s="515"/>
      <c r="G43" s="514"/>
      <c r="H43" s="213" t="str">
        <f>IF($E43="","",VLOOKUP($E43,Clubs[[Club name]:[Nationality]],3,FALSE))</f>
        <v/>
      </c>
    </row>
    <row r="44" spans="2:9" s="2" customFormat="1" ht="11.25" x14ac:dyDescent="0.2">
      <c r="B44" s="513"/>
      <c r="C44" s="514"/>
      <c r="D44" s="217" t="str">
        <f>IF($B44="","",VLOOKUP($B44,Players[[Player Name]:[Club name]],6,FALSE))</f>
        <v/>
      </c>
      <c r="E44" s="513"/>
      <c r="F44" s="515"/>
      <c r="G44" s="514"/>
      <c r="H44" s="213" t="str">
        <f>IF($E44="","",VLOOKUP($E44,Clubs[[Club name]:[Nationality]],3,FALSE))</f>
        <v/>
      </c>
    </row>
    <row r="45" spans="2:9" s="2" customFormat="1" ht="11.25" x14ac:dyDescent="0.2">
      <c r="B45" s="513"/>
      <c r="C45" s="514"/>
      <c r="D45" s="217" t="str">
        <f>IF($B45="","",VLOOKUP($B45,Players[[Player Name]:[Club name]],6,FALSE))</f>
        <v/>
      </c>
      <c r="E45" s="513"/>
      <c r="F45" s="515"/>
      <c r="G45" s="514"/>
      <c r="H45" s="213" t="str">
        <f>IF($E45="","",VLOOKUP($E45,Clubs[[Club name]:[Nationality]],3,FALSE))</f>
        <v/>
      </c>
    </row>
    <row r="46" spans="2:9" s="2" customFormat="1" ht="11.25" x14ac:dyDescent="0.2">
      <c r="B46" s="513"/>
      <c r="C46" s="514"/>
      <c r="D46" s="217" t="str">
        <f>IF($B46="","",VLOOKUP($B46,Players[[Player Name]:[Club name]],6,FALSE))</f>
        <v/>
      </c>
      <c r="E46" s="513"/>
      <c r="F46" s="515"/>
      <c r="G46" s="514"/>
      <c r="H46" s="213" t="str">
        <f>IF($E46="","",VLOOKUP($E46,Clubs[[Club name]:[Nationality]],3,FALSE))</f>
        <v/>
      </c>
    </row>
    <row r="47" spans="2:9" s="2" customFormat="1" ht="11.25" x14ac:dyDescent="0.2">
      <c r="B47" s="513"/>
      <c r="C47" s="514"/>
      <c r="D47" s="217" t="str">
        <f>IF($B47="","",VLOOKUP($B47,Players[[Player Name]:[Club name]],6,FALSE))</f>
        <v/>
      </c>
      <c r="E47" s="513"/>
      <c r="F47" s="515"/>
      <c r="G47" s="514"/>
      <c r="H47" s="213" t="str">
        <f>IF($E47="","",VLOOKUP($E47,Clubs[[Club name]:[Nationality]],3,FALSE))</f>
        <v/>
      </c>
    </row>
    <row r="48" spans="2:9" s="2" customFormat="1" ht="15.75" customHeight="1" thickBot="1" x14ac:dyDescent="0.25">
      <c r="B48" s="516"/>
      <c r="C48" s="517"/>
      <c r="D48" s="218" t="str">
        <f>IF($B48="","",VLOOKUP($B48,Players[[Player Name]:[Club name]],6,FALSE))</f>
        <v/>
      </c>
      <c r="E48" s="516"/>
      <c r="F48" s="529"/>
      <c r="G48" s="517"/>
      <c r="H48" s="220" t="str">
        <f>IF($E48="","",VLOOKUP($E48,Clubs[[Club name]:[Nationality]],3,FALSE))</f>
        <v/>
      </c>
    </row>
    <row r="49" spans="1:9" s="2" customFormat="1" ht="12" thickBot="1" x14ac:dyDescent="0.25"/>
    <row r="50" spans="1:9" s="2" customFormat="1" ht="15.75" thickBot="1" x14ac:dyDescent="0.25">
      <c r="A50" s="375"/>
      <c r="B50" s="370" t="s">
        <v>12182</v>
      </c>
      <c r="C50" s="371"/>
      <c r="D50" s="372"/>
      <c r="I50" s="8"/>
    </row>
    <row r="51" spans="1:9" s="2" customFormat="1" ht="15" customHeight="1" thickBot="1" x14ac:dyDescent="0.25">
      <c r="B51" s="518" t="s">
        <v>7</v>
      </c>
      <c r="C51" s="519"/>
      <c r="D51" s="57" t="s">
        <v>9</v>
      </c>
    </row>
    <row r="52" spans="1:9" s="2" customFormat="1" ht="15" customHeight="1" x14ac:dyDescent="0.2">
      <c r="B52" s="520"/>
      <c r="C52" s="521"/>
      <c r="D52" s="213" t="str">
        <f>IF($B52="","",VLOOKUP($B52,Players[[Player Name]:[Club name]],6,FALSE))</f>
        <v/>
      </c>
      <c r="I52" s="8"/>
    </row>
    <row r="53" spans="1:9" s="2" customFormat="1" ht="11.25" x14ac:dyDescent="0.2">
      <c r="B53" s="513"/>
      <c r="C53" s="514"/>
      <c r="D53" s="214" t="str">
        <f>IF($B53="","",VLOOKUP($B53,Players[[Player Name]:[Club name]],6,FALSE))</f>
        <v/>
      </c>
    </row>
    <row r="54" spans="1:9" s="2" customFormat="1" ht="11.25" x14ac:dyDescent="0.2">
      <c r="B54" s="513"/>
      <c r="C54" s="514"/>
      <c r="D54" s="214" t="str">
        <f>IF($B54="","",VLOOKUP($B54,Players[[Player Name]:[Club name]],6,FALSE))</f>
        <v/>
      </c>
    </row>
    <row r="55" spans="1:9" s="2" customFormat="1" ht="11.25" x14ac:dyDescent="0.2">
      <c r="B55" s="513"/>
      <c r="C55" s="514"/>
      <c r="D55" s="214" t="str">
        <f>IF($B55="","",VLOOKUP($B55,Players[[Player Name]:[Club name]],6,FALSE))</f>
        <v/>
      </c>
    </row>
    <row r="56" spans="1:9" s="2" customFormat="1" ht="11.25" x14ac:dyDescent="0.2">
      <c r="B56" s="513"/>
      <c r="C56" s="514"/>
      <c r="D56" s="214" t="str">
        <f>IF($B56="","",VLOOKUP($B56,Players[[Player Name]:[Club name]],6,FALSE))</f>
        <v/>
      </c>
    </row>
    <row r="57" spans="1:9" s="2" customFormat="1" ht="11.25" x14ac:dyDescent="0.2">
      <c r="B57" s="513"/>
      <c r="C57" s="514"/>
      <c r="D57" s="214" t="str">
        <f>IF($B57="","",VLOOKUP($B57,Players[[Player Name]:[Club name]],6,FALSE))</f>
        <v/>
      </c>
    </row>
    <row r="58" spans="1:9" s="2" customFormat="1" ht="15.75" customHeight="1" thickBot="1" x14ac:dyDescent="0.25">
      <c r="B58" s="516"/>
      <c r="C58" s="517"/>
      <c r="D58" s="215" t="str">
        <f>IF($B58="","",VLOOKUP($B58,Players[[Player Name]:[Club name]],6,FALSE))</f>
        <v/>
      </c>
    </row>
    <row r="59" spans="1:9" s="2" customFormat="1" ht="12" thickBot="1" x14ac:dyDescent="0.25"/>
    <row r="60" spans="1:9" s="2" customFormat="1" ht="15.75" thickBot="1" x14ac:dyDescent="0.25">
      <c r="A60" s="375"/>
      <c r="B60" s="370" t="s">
        <v>12773</v>
      </c>
      <c r="C60" s="371"/>
      <c r="D60" s="372"/>
      <c r="E60" s="370" t="s">
        <v>12774</v>
      </c>
      <c r="F60" s="373"/>
      <c r="G60" s="373"/>
      <c r="H60" s="374"/>
      <c r="I60" s="8"/>
    </row>
    <row r="61" spans="1:9" s="2" customFormat="1" ht="15" customHeight="1" thickBot="1" x14ac:dyDescent="0.25">
      <c r="B61" s="518" t="s">
        <v>7</v>
      </c>
      <c r="C61" s="519"/>
      <c r="D61" s="57" t="s">
        <v>9</v>
      </c>
      <c r="E61" s="518" t="s">
        <v>9</v>
      </c>
      <c r="F61" s="519"/>
      <c r="G61" s="519"/>
      <c r="H61" s="57" t="s">
        <v>8</v>
      </c>
    </row>
    <row r="62" spans="1:9" s="2" customFormat="1" ht="15" customHeight="1" x14ac:dyDescent="0.2">
      <c r="B62" s="520"/>
      <c r="C62" s="521"/>
      <c r="D62" s="213" t="str">
        <f>IF($B62="","",VLOOKUP($B62,Players[[Player Name]:[Club name]],6,FALSE))</f>
        <v/>
      </c>
      <c r="E62" s="520"/>
      <c r="F62" s="522"/>
      <c r="G62" s="521"/>
      <c r="H62" s="219" t="str">
        <f>IF($E62="","",VLOOKUP($E62,Clubs[[Club name]:[Nationality]],3,FALSE))</f>
        <v/>
      </c>
      <c r="I62" s="8"/>
    </row>
    <row r="63" spans="1:9" s="2" customFormat="1" ht="11.25" x14ac:dyDescent="0.2">
      <c r="B63" s="513"/>
      <c r="C63" s="514"/>
      <c r="D63" s="214" t="str">
        <f>IF($B63="","",VLOOKUP($B63,Players[[Player Name]:[Club name]],6,FALSE))</f>
        <v/>
      </c>
      <c r="E63" s="513"/>
      <c r="F63" s="515"/>
      <c r="G63" s="514"/>
      <c r="H63" s="213" t="str">
        <f>IF($E63="","",VLOOKUP($E63,Clubs[[Club name]:[Nationality]],3,FALSE))</f>
        <v/>
      </c>
    </row>
    <row r="64" spans="1:9" s="2" customFormat="1" ht="11.25" x14ac:dyDescent="0.2">
      <c r="B64" s="513"/>
      <c r="C64" s="514"/>
      <c r="D64" s="214" t="str">
        <f>IF($B64="","",VLOOKUP($B64,Players[[Player Name]:[Club name]],6,FALSE))</f>
        <v/>
      </c>
      <c r="E64" s="513"/>
      <c r="F64" s="515"/>
      <c r="G64" s="514"/>
      <c r="H64" s="213" t="str">
        <f>IF($E64="","",VLOOKUP($E64,Clubs[[Club name]:[Nationality]],3,FALSE))</f>
        <v/>
      </c>
    </row>
    <row r="65" spans="1:8" s="2" customFormat="1" ht="11.25" x14ac:dyDescent="0.2">
      <c r="B65" s="513"/>
      <c r="C65" s="514"/>
      <c r="D65" s="214" t="str">
        <f>IF($B65="","",VLOOKUP($B65,Players[[Player Name]:[Club name]],6,FALSE))</f>
        <v/>
      </c>
      <c r="E65" s="513"/>
      <c r="F65" s="515"/>
      <c r="G65" s="514"/>
      <c r="H65" s="213" t="str">
        <f>IF($E65="","",VLOOKUP($E65,Clubs[[Club name]:[Nationality]],3,FALSE))</f>
        <v/>
      </c>
    </row>
    <row r="66" spans="1:8" s="2" customFormat="1" ht="11.25" x14ac:dyDescent="0.2">
      <c r="B66" s="513"/>
      <c r="C66" s="514"/>
      <c r="D66" s="214" t="str">
        <f>IF($B66="","",VLOOKUP($B66,Players[[Player Name]:[Club name]],6,FALSE))</f>
        <v/>
      </c>
      <c r="E66" s="513"/>
      <c r="F66" s="515"/>
      <c r="G66" s="514"/>
      <c r="H66" s="213" t="str">
        <f>IF($E66="","",VLOOKUP($E66,Clubs[[Club name]:[Nationality]],3,FALSE))</f>
        <v/>
      </c>
    </row>
    <row r="67" spans="1:8" s="2" customFormat="1" ht="11.25" x14ac:dyDescent="0.2">
      <c r="B67" s="513"/>
      <c r="C67" s="514"/>
      <c r="D67" s="214" t="str">
        <f>IF($B67="","",VLOOKUP($B67,Players[[Player Name]:[Club name]],6,FALSE))</f>
        <v/>
      </c>
      <c r="E67" s="513"/>
      <c r="F67" s="515"/>
      <c r="G67" s="514"/>
      <c r="H67" s="213" t="str">
        <f>IF($E67="","",VLOOKUP($E67,Clubs[[Club name]:[Nationality]],3,FALSE))</f>
        <v/>
      </c>
    </row>
    <row r="68" spans="1:8" s="2" customFormat="1" ht="10.5" customHeight="1" thickBot="1" x14ac:dyDescent="0.25">
      <c r="B68" s="516"/>
      <c r="C68" s="517"/>
      <c r="D68" s="215" t="str">
        <f>IF($B68="","",VLOOKUP($B68,Players[[Player Name]:[Club name]],6,FALSE))</f>
        <v/>
      </c>
      <c r="E68" s="480"/>
      <c r="F68" s="481"/>
      <c r="G68" s="482"/>
      <c r="H68" s="220" t="str">
        <f>IF($E68="","",VLOOKUP($E68,Clubs[[Club name]:[Nationality]],3,FALSE))</f>
        <v/>
      </c>
    </row>
    <row r="69" spans="1:8" s="2" customFormat="1" ht="15.75" customHeight="1" thickBot="1" x14ac:dyDescent="0.25">
      <c r="B69" s="507" t="s">
        <v>12772</v>
      </c>
      <c r="C69" s="508"/>
      <c r="D69" s="508"/>
      <c r="E69" s="508"/>
      <c r="F69" s="508"/>
      <c r="G69" s="508"/>
      <c r="H69" s="509"/>
    </row>
    <row r="70" spans="1:8" s="2" customFormat="1" ht="90.75" thickBot="1" x14ac:dyDescent="1.2">
      <c r="A70" s="369"/>
      <c r="B70" s="510" t="s">
        <v>14602</v>
      </c>
      <c r="C70" s="511"/>
      <c r="D70" s="511"/>
      <c r="E70" s="511"/>
      <c r="F70" s="511"/>
      <c r="G70" s="511"/>
      <c r="H70" s="512"/>
    </row>
    <row r="71" spans="1:8" s="2" customFormat="1" ht="11.25" x14ac:dyDescent="0.2">
      <c r="G71" s="4"/>
      <c r="H71" s="5"/>
    </row>
    <row r="72" spans="1:8" s="2" customFormat="1" ht="11.25" x14ac:dyDescent="0.2">
      <c r="B72" s="530" t="s">
        <v>5</v>
      </c>
      <c r="C72" s="530"/>
      <c r="D72" s="6"/>
      <c r="E72" s="530"/>
      <c r="F72" s="530"/>
      <c r="G72" s="530"/>
    </row>
    <row r="73" spans="1:8" s="2" customFormat="1" ht="11.25" x14ac:dyDescent="0.2">
      <c r="B73" s="531"/>
      <c r="C73" s="531"/>
      <c r="E73" s="531"/>
      <c r="F73" s="531"/>
      <c r="G73" s="531"/>
    </row>
    <row r="74" spans="1:8" s="2" customFormat="1" ht="11.25" x14ac:dyDescent="0.2">
      <c r="B74" s="531"/>
      <c r="C74" s="531"/>
      <c r="E74" s="531"/>
      <c r="F74" s="531"/>
      <c r="G74" s="531"/>
    </row>
    <row r="75" spans="1:8" s="2" customFormat="1" ht="11.25" x14ac:dyDescent="0.2">
      <c r="B75" s="531"/>
      <c r="C75" s="531"/>
      <c r="E75" s="531"/>
      <c r="F75" s="531"/>
      <c r="G75" s="531"/>
    </row>
    <row r="76" spans="1:8" x14ac:dyDescent="0.2"/>
    <row r="77" spans="1:8" x14ac:dyDescent="0.2"/>
    <row r="78" spans="1:8" x14ac:dyDescent="0.2"/>
    <row r="79" spans="1:8" x14ac:dyDescent="0.2"/>
    <row r="80" spans="1:8"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sheetData>
  <sheetProtection formatCells="0" formatColumns="0" formatRows="0" insertRows="0" selectLockedCells="1"/>
  <mergeCells count="76">
    <mergeCell ref="B1:H1"/>
    <mergeCell ref="B2:H2"/>
    <mergeCell ref="G4:H4"/>
    <mergeCell ref="E10:H10"/>
    <mergeCell ref="E7:H7"/>
    <mergeCell ref="F6:H6"/>
    <mergeCell ref="E8:H8"/>
    <mergeCell ref="B34:C34"/>
    <mergeCell ref="B35:C35"/>
    <mergeCell ref="B36:C36"/>
    <mergeCell ref="B37:C37"/>
    <mergeCell ref="B38:C38"/>
    <mergeCell ref="B41:C41"/>
    <mergeCell ref="E41:G41"/>
    <mergeCell ref="B72:C72"/>
    <mergeCell ref="E72:G72"/>
    <mergeCell ref="B73:C75"/>
    <mergeCell ref="E73:G75"/>
    <mergeCell ref="E42:G42"/>
    <mergeCell ref="B43:C43"/>
    <mergeCell ref="E43:G43"/>
    <mergeCell ref="E48:G48"/>
    <mergeCell ref="B45:C45"/>
    <mergeCell ref="E45:G45"/>
    <mergeCell ref="B46:C46"/>
    <mergeCell ref="E46:G46"/>
    <mergeCell ref="B47:C47"/>
    <mergeCell ref="E47:G47"/>
    <mergeCell ref="E38:G38"/>
    <mergeCell ref="E37:G37"/>
    <mergeCell ref="E34:G34"/>
    <mergeCell ref="E35:G35"/>
    <mergeCell ref="E36:G36"/>
    <mergeCell ref="F11:H11"/>
    <mergeCell ref="B31:C31"/>
    <mergeCell ref="E31:G31"/>
    <mergeCell ref="E33:G33"/>
    <mergeCell ref="E32:G32"/>
    <mergeCell ref="B32:C32"/>
    <mergeCell ref="B33:C33"/>
    <mergeCell ref="G27:H27"/>
    <mergeCell ref="B21:H21"/>
    <mergeCell ref="G22:H22"/>
    <mergeCell ref="G23:H23"/>
    <mergeCell ref="G24:H24"/>
    <mergeCell ref="G25:H25"/>
    <mergeCell ref="G26:H26"/>
    <mergeCell ref="E44:G44"/>
    <mergeCell ref="B53:C53"/>
    <mergeCell ref="B48:C48"/>
    <mergeCell ref="B51:C51"/>
    <mergeCell ref="B52:C52"/>
    <mergeCell ref="B42:C42"/>
    <mergeCell ref="B57:C57"/>
    <mergeCell ref="B58:C58"/>
    <mergeCell ref="B54:C54"/>
    <mergeCell ref="B55:C55"/>
    <mergeCell ref="B56:C56"/>
    <mergeCell ref="B44:C44"/>
    <mergeCell ref="B61:C61"/>
    <mergeCell ref="E61:G61"/>
    <mergeCell ref="B62:C62"/>
    <mergeCell ref="E62:G62"/>
    <mergeCell ref="B63:C63"/>
    <mergeCell ref="E63:G63"/>
    <mergeCell ref="B65:C65"/>
    <mergeCell ref="E65:G65"/>
    <mergeCell ref="B66:C66"/>
    <mergeCell ref="E66:G66"/>
    <mergeCell ref="B64:C64"/>
    <mergeCell ref="E64:G64"/>
    <mergeCell ref="B69:H69"/>
    <mergeCell ref="B70:H70"/>
    <mergeCell ref="B67:C67"/>
    <mergeCell ref="E67:G67"/>
    <mergeCell ref="B68:C68"/>
  </mergeCells>
  <conditionalFormatting sqref="E32 E33:G38 E43:G48">
    <cfRule type="expression" dxfId="139" priority="6">
      <formula>AND(E32&lt;&gt;"",ISNA(MATCH(E32,INDIRECT("Clubs[Club name]"),0)))</formula>
    </cfRule>
  </conditionalFormatting>
  <conditionalFormatting sqref="E42">
    <cfRule type="expression" dxfId="138" priority="5">
      <formula>AND(E42&lt;&gt;"",ISNA(MATCH(E42,INDIRECT("Clubs[Club name]"),0)))</formula>
    </cfRule>
  </conditionalFormatting>
  <conditionalFormatting sqref="E62">
    <cfRule type="expression" dxfId="137" priority="2">
      <formula>AND(E62&lt;&gt;"",ISNA(MATCH(E62,INDIRECT("Clubs[Club name]"),0)))</formula>
    </cfRule>
  </conditionalFormatting>
  <conditionalFormatting sqref="E63:G68">
    <cfRule type="expression" dxfId="136" priority="1">
      <formula>AND(E63&lt;&gt;"",ISNA(MATCH(E63,INDIRECT("Clubs[Club name]"),0)))</formula>
    </cfRule>
  </conditionalFormatting>
  <dataValidations count="4">
    <dataValidation type="list" allowBlank="1" showInputMessage="1" showErrorMessage="1" sqref="F6:H6" xr:uid="{00000000-0002-0000-0100-000001000000}">
      <formula1>INDIRECT("EventTypeList[Event Name]")</formula1>
    </dataValidation>
    <dataValidation type="list" allowBlank="1" showInputMessage="1" showErrorMessage="1" sqref="E10:H10" xr:uid="{00000000-0002-0000-0100-000002000000}">
      <formula1>INDIRECT("Pitches")</formula1>
    </dataValidation>
    <dataValidation type="list" allowBlank="1" showInputMessage="1" sqref="E42:G48 E32:G38 E62:G68" xr:uid="{00000000-0002-0000-0100-000003000000}">
      <formula1>INDIRECT("Clubs[Club name]")</formula1>
    </dataValidation>
    <dataValidation type="list" allowBlank="1" showInputMessage="1" sqref="B52:C58 B42:C48 B32:C38 B62:C68" xr:uid="{00000000-0002-0000-0100-000004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97" firstPageNumber="0" fitToHeight="31" orientation="portrait" r:id="rId1"/>
  <headerFooter alignWithMargins="0">
    <oddHeader>&amp;L&amp;D</oddHeader>
    <oddFooter>&amp;C&amp;10Page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92D050"/>
    <pageSetUpPr fitToPage="1"/>
  </sheetPr>
  <dimension ref="A1:M153"/>
  <sheetViews>
    <sheetView showGridLines="0" topLeftCell="A109" zoomScaleNormal="100" zoomScaleSheetLayoutView="85" workbookViewId="0">
      <selection activeCell="F125" sqref="F125"/>
    </sheetView>
  </sheetViews>
  <sheetFormatPr defaultColWidth="0" defaultRowHeight="12.75" zeroHeight="1" x14ac:dyDescent="0.2"/>
  <cols>
    <col min="1" max="1" width="4.85546875" style="9" bestFit="1" customWidth="1"/>
    <col min="2" max="2" width="23.7109375" style="7" customWidth="1"/>
    <col min="3" max="3" width="13.5703125" style="7" customWidth="1"/>
    <col min="4" max="4" width="13.28515625" style="7" hidden="1" customWidth="1"/>
    <col min="5" max="5" width="15.42578125" style="7" hidden="1" customWidth="1"/>
    <col min="6" max="6" width="23.7109375" style="7" customWidth="1"/>
    <col min="7" max="7" width="8.42578125" style="9" bestFit="1" customWidth="1"/>
    <col min="8" max="8" width="25.85546875" style="9" customWidth="1"/>
    <col min="9" max="9" width="12.140625" style="9" customWidth="1"/>
    <col min="10" max="10" width="11.85546875" style="7" customWidth="1"/>
    <col min="11" max="11" width="12.28515625" style="7" customWidth="1"/>
    <col min="12" max="12" width="26.28515625" style="7" customWidth="1"/>
    <col min="13" max="13" width="4.5703125" style="7" customWidth="1"/>
    <col min="14" max="16384" width="4" style="7" hidden="1"/>
  </cols>
  <sheetData>
    <row r="1" spans="1:13" s="226" customFormat="1" ht="102" x14ac:dyDescent="0.2">
      <c r="A1" s="221" t="s">
        <v>13177</v>
      </c>
      <c r="B1" s="221"/>
      <c r="C1" s="221"/>
      <c r="D1" s="221"/>
      <c r="E1" s="221"/>
      <c r="F1" s="221"/>
      <c r="G1" s="222"/>
      <c r="H1" s="223"/>
      <c r="I1" s="224"/>
      <c r="J1" s="225"/>
      <c r="K1" s="225"/>
      <c r="L1" s="225"/>
    </row>
    <row r="2" spans="1:13" s="226" customFormat="1" ht="18.75" thickBot="1" x14ac:dyDescent="0.3">
      <c r="A2" s="227" t="s">
        <v>13178</v>
      </c>
      <c r="B2" s="227"/>
      <c r="C2" s="227"/>
      <c r="D2" s="227"/>
      <c r="E2" s="227"/>
      <c r="F2" s="227"/>
      <c r="G2" s="228"/>
      <c r="H2" s="228"/>
      <c r="I2" s="229"/>
      <c r="J2" s="225"/>
      <c r="K2" s="225"/>
      <c r="L2" s="225"/>
    </row>
    <row r="3" spans="1:13" s="226" customFormat="1" ht="18" x14ac:dyDescent="0.25">
      <c r="A3" s="429" t="s">
        <v>13161</v>
      </c>
      <c r="B3" s="424"/>
      <c r="C3" s="424"/>
      <c r="D3" s="424"/>
      <c r="E3" s="424"/>
      <c r="F3" s="424"/>
      <c r="G3" s="425"/>
      <c r="H3" s="425"/>
      <c r="I3" s="425"/>
      <c r="J3" s="426"/>
      <c r="K3" s="426"/>
      <c r="L3" s="427"/>
    </row>
    <row r="4" spans="1:13" s="226" customFormat="1" ht="18" x14ac:dyDescent="0.25">
      <c r="A4" s="456"/>
      <c r="B4" s="453" t="s">
        <v>13167</v>
      </c>
      <c r="C4" s="443"/>
      <c r="D4" s="443"/>
      <c r="E4" s="443"/>
      <c r="F4" s="443"/>
      <c r="G4" s="444"/>
      <c r="H4" s="453" t="s">
        <v>13168</v>
      </c>
      <c r="I4" s="444"/>
      <c r="L4" s="442"/>
    </row>
    <row r="5" spans="1:13" s="435" customFormat="1" ht="11.25" x14ac:dyDescent="0.2">
      <c r="A5" s="457" t="s">
        <v>6</v>
      </c>
      <c r="B5" s="418" t="s">
        <v>7</v>
      </c>
      <c r="C5" s="418" t="s">
        <v>12</v>
      </c>
      <c r="D5" s="432"/>
      <c r="E5" s="432"/>
      <c r="F5" s="432"/>
      <c r="G5" s="417" t="s">
        <v>6</v>
      </c>
      <c r="H5" s="418" t="s">
        <v>7</v>
      </c>
      <c r="I5" s="418" t="s">
        <v>12</v>
      </c>
      <c r="J5" s="418" t="s">
        <v>13160</v>
      </c>
      <c r="K5" s="433"/>
      <c r="L5" s="434"/>
    </row>
    <row r="6" spans="1:13" s="226" customFormat="1" x14ac:dyDescent="0.2">
      <c r="A6" s="458">
        <v>1</v>
      </c>
      <c r="B6" s="446" t="s">
        <v>13164</v>
      </c>
      <c r="C6" s="447"/>
      <c r="D6" s="423"/>
      <c r="E6" s="423"/>
      <c r="F6" s="423"/>
      <c r="G6" s="445">
        <v>1</v>
      </c>
      <c r="H6" s="446" t="s">
        <v>13165</v>
      </c>
      <c r="I6" s="466" t="s">
        <v>13159</v>
      </c>
      <c r="J6" s="448" t="s">
        <v>13165</v>
      </c>
      <c r="K6" s="430"/>
      <c r="L6" s="431"/>
    </row>
    <row r="7" spans="1:13" s="226" customFormat="1" x14ac:dyDescent="0.2">
      <c r="A7" s="458">
        <v>2</v>
      </c>
      <c r="B7" s="449" t="s">
        <v>13163</v>
      </c>
      <c r="C7" s="450"/>
      <c r="D7" s="423"/>
      <c r="E7" s="423"/>
      <c r="F7" s="423"/>
      <c r="G7" s="445">
        <v>2</v>
      </c>
      <c r="H7" s="449" t="s">
        <v>13163</v>
      </c>
      <c r="I7" s="467" t="s">
        <v>13159</v>
      </c>
      <c r="J7" s="448" t="s">
        <v>13165</v>
      </c>
      <c r="K7" s="430"/>
      <c r="L7" s="431"/>
    </row>
    <row r="8" spans="1:13" s="226" customFormat="1" ht="25.5" x14ac:dyDescent="0.2">
      <c r="A8" s="458">
        <v>3</v>
      </c>
      <c r="B8" s="447"/>
      <c r="C8" s="449" t="s">
        <v>13162</v>
      </c>
      <c r="D8" s="423"/>
      <c r="E8" s="423"/>
      <c r="F8" s="423"/>
      <c r="G8" s="445">
        <v>3</v>
      </c>
      <c r="H8" s="451" t="s">
        <v>13166</v>
      </c>
      <c r="I8" s="466" t="s">
        <v>13159</v>
      </c>
      <c r="J8" s="452" t="s">
        <v>13165</v>
      </c>
      <c r="K8" s="430"/>
      <c r="L8" s="431"/>
    </row>
    <row r="9" spans="1:13" s="226" customFormat="1" ht="26.25" thickBot="1" x14ac:dyDescent="0.25">
      <c r="A9" s="459">
        <v>4</v>
      </c>
      <c r="B9" s="460"/>
      <c r="C9" s="461" t="s">
        <v>13169</v>
      </c>
      <c r="D9" s="428"/>
      <c r="E9" s="428"/>
      <c r="F9" s="428"/>
      <c r="G9" s="462" t="str">
        <f t="shared" ref="G9" si="0">IF(H9="","",ROW()-ROW(G8))</f>
        <v/>
      </c>
      <c r="H9" s="460"/>
      <c r="I9" s="460"/>
      <c r="J9" s="463"/>
      <c r="K9" s="464"/>
      <c r="L9" s="465"/>
    </row>
    <row r="10" spans="1:13" ht="34.5" customHeight="1" x14ac:dyDescent="0.4">
      <c r="A10" s="454" t="s">
        <v>12291</v>
      </c>
      <c r="B10" s="455"/>
      <c r="C10" s="455"/>
      <c r="D10" s="455"/>
      <c r="E10" s="455"/>
      <c r="F10" s="455"/>
      <c r="G10" s="455"/>
      <c r="H10" s="455"/>
      <c r="I10" s="455"/>
      <c r="J10" s="455"/>
      <c r="K10" s="455"/>
      <c r="L10" s="455" t="s">
        <v>12130</v>
      </c>
    </row>
    <row r="11" spans="1:13" s="8" customFormat="1" ht="22.5" x14ac:dyDescent="0.2">
      <c r="A11" s="438" t="s">
        <v>6</v>
      </c>
      <c r="B11" s="439" t="s">
        <v>7</v>
      </c>
      <c r="C11" s="438" t="s">
        <v>12</v>
      </c>
      <c r="D11" s="438" t="s">
        <v>13157</v>
      </c>
      <c r="E11" s="438" t="s">
        <v>13158</v>
      </c>
      <c r="F11" s="439" t="s">
        <v>13160</v>
      </c>
      <c r="G11" s="438" t="s">
        <v>8</v>
      </c>
      <c r="H11" s="439" t="s">
        <v>9</v>
      </c>
      <c r="I11" s="440" t="s">
        <v>13156</v>
      </c>
      <c r="J11" s="440" t="s">
        <v>12285</v>
      </c>
      <c r="K11" s="440" t="s">
        <v>10890</v>
      </c>
      <c r="L11" s="441" t="s">
        <v>10891</v>
      </c>
      <c r="M11" s="7"/>
    </row>
    <row r="12" spans="1:13" s="8" customFormat="1" ht="12.75" customHeight="1" x14ac:dyDescent="0.2">
      <c r="A12" s="16">
        <f>IF(AND(OpenList[[#This Row],[First &amp; Last Name]]="",OpenList[[#This Row],[FISTF Code]]=""),"",ROW()-ROW($A$11))</f>
        <v>1</v>
      </c>
      <c r="B12" s="232" t="s">
        <v>8610</v>
      </c>
      <c r="C12" s="436"/>
      <c r="D12" s="421" t="b">
        <f>IF(OpenList[[#This Row],[First &amp; Last Name]]="","",IFERROR(ISNUMBER(MATCH(OpenList[[#This Row],[First &amp; Last Name]],Players[Player Name],0)),FALSE))</f>
        <v>1</v>
      </c>
      <c r="E12" s="421" t="b">
        <f>IF(OpenList[[#This Row],[FISTF Code]]="",FALSE,IFERROR(ISNUMBER(MATCH(OpenList[[#This Row],[FISTF Code]],Players[FISTF Code],0)),FALSE))</f>
        <v>0</v>
      </c>
      <c r="F12" s="419" t="str">
        <f>IF(AND(OpenList[[#This Row],[First &amp; Last Name]]="",OpenList[[#This Row],[FISTF Code]]=""),"",IF(OpenList[[#This Row],[Valide Code ?]],INDEX(Players[Player Name],MATCH(OpenList[[#This Row],[FISTF Code]],Players[FISTF Code],0)),OpenList[[#This Row],[First &amp; Last Name]]))</f>
        <v>Carlos Flores</v>
      </c>
      <c r="G12" s="233" t="str">
        <f>IF(OpenList[[#This Row],[Retained Player Name]]="","",VLOOKUP(OpenList[[#This Row],[Retained Player Name]],Players[],7,FALSE))</f>
        <v>ESP</v>
      </c>
      <c r="H12" s="233" t="str">
        <f>IF(OpenList[[#This Row],[Retained Player Name]]="","",VLOOKUP(OpenList[[#This Row],[Retained Player Name]],Players[],6,FALSE))</f>
        <v>F.Lli Bari Reggio Emilia</v>
      </c>
      <c r="I12" s="234" t="str">
        <f>IF(OpenList[[#This Row],[Retained Player Name]]="","",VLOOKUP(OpenList[[#This Row],[Retained Player Name]],Players[],4,FALSE))</f>
        <v>ESP0024</v>
      </c>
      <c r="J12"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R</v>
      </c>
      <c r="K12" s="230"/>
      <c r="L12" s="230"/>
      <c r="M12" s="7"/>
    </row>
    <row r="13" spans="1:13" s="8" customFormat="1" ht="12.75" customHeight="1" x14ac:dyDescent="0.2">
      <c r="A13" s="16">
        <f>IF(AND(OpenList[[#This Row],[First &amp; Last Name]]="",OpenList[[#This Row],[FISTF Code]]=""),"",ROW()-ROW($A$11))</f>
        <v>2</v>
      </c>
      <c r="B13" s="232" t="s">
        <v>8089</v>
      </c>
      <c r="C13" s="436"/>
      <c r="D13" s="421" t="b">
        <f>IF(OpenList[[#This Row],[First &amp; Last Name]]="","",IFERROR(ISNUMBER(MATCH(OpenList[[#This Row],[First &amp; Last Name]],Players[Player Name],0)),FALSE))</f>
        <v>1</v>
      </c>
      <c r="E13" s="421" t="b">
        <f>IF(OpenList[[#This Row],[FISTF Code]]="",FALSE,IFERROR(ISNUMBER(MATCH(OpenList[[#This Row],[FISTF Code]],Players[FISTF Code],0)),FALSE))</f>
        <v>0</v>
      </c>
      <c r="F13" s="419" t="str">
        <f>IF(AND(OpenList[[#This Row],[First &amp; Last Name]]="",OpenList[[#This Row],[FISTF Code]]=""),"",IF(OpenList[[#This Row],[Valide Code ?]],INDEX(Players[Player Name],MATCH(OpenList[[#This Row],[FISTF Code]],Players[FISTF Code],0)),OpenList[[#This Row],[First &amp; Last Name]]))</f>
        <v>Christophe Dheur</v>
      </c>
      <c r="G13" s="233" t="str">
        <f>IF(OpenList[[#This Row],[Retained Player Name]]="","",VLOOKUP(OpenList[[#This Row],[Retained Player Name]],Players[],7,FALSE))</f>
        <v>BEL</v>
      </c>
      <c r="H13" s="233" t="str">
        <f>IF(OpenList[[#This Row],[Retained Player Name]]="","",VLOOKUP(OpenList[[#This Row],[Retained Player Name]],Players[],6,FALSE))</f>
        <v>CCT Eagles Napoli</v>
      </c>
      <c r="I13" s="234" t="str">
        <f>IF(OpenList[[#This Row],[Retained Player Name]]="","",VLOOKUP(OpenList[[#This Row],[Retained Player Name]],Players[],4,FALSE))</f>
        <v>BEL0132</v>
      </c>
      <c r="J13"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S</v>
      </c>
      <c r="K13" s="230"/>
      <c r="L13" s="230"/>
      <c r="M13" s="7"/>
    </row>
    <row r="14" spans="1:13" s="8" customFormat="1" ht="12.75" customHeight="1" x14ac:dyDescent="0.2">
      <c r="A14" s="16">
        <f>IF(AND(OpenList[[#This Row],[First &amp; Last Name]]="",OpenList[[#This Row],[FISTF Code]]=""),"",ROW()-ROW($A$11))</f>
        <v>3</v>
      </c>
      <c r="B14" s="232" t="s">
        <v>13</v>
      </c>
      <c r="C14" s="436"/>
      <c r="D14" s="421" t="b">
        <f>IF(OpenList[[#This Row],[First &amp; Last Name]]="","",IFERROR(ISNUMBER(MATCH(OpenList[[#This Row],[First &amp; Last Name]],Players[Player Name],0)),FALSE))</f>
        <v>1</v>
      </c>
      <c r="E14" s="421" t="b">
        <f>IF(OpenList[[#This Row],[FISTF Code]]="",FALSE,IFERROR(ISNUMBER(MATCH(OpenList[[#This Row],[FISTF Code]],Players[FISTF Code],0)),FALSE))</f>
        <v>0</v>
      </c>
      <c r="F14" s="419" t="str">
        <f>IF(AND(OpenList[[#This Row],[First &amp; Last Name]]="",OpenList[[#This Row],[FISTF Code]]=""),"",IF(OpenList[[#This Row],[Valide Code ?]],INDEX(Players[Player Name],MATCH(OpenList[[#This Row],[FISTF Code]],Players[FISTF Code],0)),OpenList[[#This Row],[First &amp; Last Name]]))</f>
        <v>Saverio Bari</v>
      </c>
      <c r="G14" s="233" t="str">
        <f>IF(OpenList[[#This Row],[Retained Player Name]]="","",VLOOKUP(OpenList[[#This Row],[Retained Player Name]],Players[],7,FALSE))</f>
        <v>ITA</v>
      </c>
      <c r="H14" s="233" t="str">
        <f>IF(OpenList[[#This Row],[Retained Player Name]]="","",VLOOKUP(OpenList[[#This Row],[Retained Player Name]],Players[],6,FALSE))</f>
        <v>F.Lli Bari Reggio Emilia</v>
      </c>
      <c r="I14" s="234" t="str">
        <f>IF(OpenList[[#This Row],[Retained Player Name]]="","",VLOOKUP(OpenList[[#This Row],[Retained Player Name]],Players[],4,FALSE))</f>
        <v>ITA0066</v>
      </c>
      <c r="J14"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14" s="230"/>
      <c r="L14" s="230"/>
      <c r="M14" s="7"/>
    </row>
    <row r="15" spans="1:13" s="8" customFormat="1" ht="12.75" customHeight="1" x14ac:dyDescent="0.2">
      <c r="A15" s="16">
        <f>IF(AND(OpenList[[#This Row],[First &amp; Last Name]]="",OpenList[[#This Row],[FISTF Code]]=""),"",ROW()-ROW($A$11))</f>
        <v>4</v>
      </c>
      <c r="B15" s="232" t="s">
        <v>10426</v>
      </c>
      <c r="C15" s="436"/>
      <c r="D15" s="421" t="b">
        <f>IF(OpenList[[#This Row],[First &amp; Last Name]]="","",IFERROR(ISNUMBER(MATCH(OpenList[[#This Row],[First &amp; Last Name]],Players[Player Name],0)),FALSE))</f>
        <v>1</v>
      </c>
      <c r="E15" s="421" t="b">
        <f>IF(OpenList[[#This Row],[FISTF Code]]="",FALSE,IFERROR(ISNUMBER(MATCH(OpenList[[#This Row],[FISTF Code]],Players[FISTF Code],0)),FALSE))</f>
        <v>0</v>
      </c>
      <c r="F15" s="419" t="str">
        <f>IF(AND(OpenList[[#This Row],[First &amp; Last Name]]="",OpenList[[#This Row],[FISTF Code]]=""),"",IF(OpenList[[#This Row],[Valide Code ?]],INDEX(Players[Player Name],MATCH(OpenList[[#This Row],[FISTF Code]],Players[FISTF Code],0)),OpenList[[#This Row],[First &amp; Last Name]]))</f>
        <v>Mark Gauci</v>
      </c>
      <c r="G15" s="233" t="str">
        <f>IF(OpenList[[#This Row],[Retained Player Name]]="","",VLOOKUP(OpenList[[#This Row],[Retained Player Name]],Players[],7,FALSE))</f>
        <v>MLT</v>
      </c>
      <c r="H15" s="233" t="str">
        <f>IF(OpenList[[#This Row],[Retained Player Name]]="","",VLOOKUP(OpenList[[#This Row],[Retained Player Name]],Players[],6,FALSE))</f>
        <v>Valletta SC</v>
      </c>
      <c r="I15" s="234" t="str">
        <f>IF(OpenList[[#This Row],[Retained Player Name]]="","",VLOOKUP(OpenList[[#This Row],[Retained Player Name]],Players[],4,FALSE))</f>
        <v>MLT0022</v>
      </c>
      <c r="J15"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15" s="230"/>
      <c r="L15" s="230"/>
      <c r="M15" s="7"/>
    </row>
    <row r="16" spans="1:13" s="8" customFormat="1" ht="12.75" customHeight="1" x14ac:dyDescent="0.2">
      <c r="A16" s="16">
        <f>IF(AND(OpenList[[#This Row],[First &amp; Last Name]]="",OpenList[[#This Row],[FISTF Code]]=""),"",ROW()-ROW($A$11))</f>
        <v>5</v>
      </c>
      <c r="B16" s="232" t="s">
        <v>10415</v>
      </c>
      <c r="C16" s="436"/>
      <c r="D16" s="421" t="b">
        <f>IF(OpenList[[#This Row],[First &amp; Last Name]]="","",IFERROR(ISNUMBER(MATCH(OpenList[[#This Row],[First &amp; Last Name]],Players[Player Name],0)),FALSE))</f>
        <v>1</v>
      </c>
      <c r="E16" s="421" t="b">
        <f>IF(OpenList[[#This Row],[FISTF Code]]="",FALSE,IFERROR(ISNUMBER(MATCH(OpenList[[#This Row],[FISTF Code]],Players[FISTF Code],0)),FALSE))</f>
        <v>0</v>
      </c>
      <c r="F16" s="419" t="str">
        <f>IF(AND(OpenList[[#This Row],[First &amp; Last Name]]="",OpenList[[#This Row],[FISTF Code]]=""),"",IF(OpenList[[#This Row],[Valide Code ?]],INDEX(Players[Player Name],MATCH(OpenList[[#This Row],[FISTF Code]],Players[FISTF Code],0)),OpenList[[#This Row],[First &amp; Last Name]]))</f>
        <v>Samuel Bartolo</v>
      </c>
      <c r="G16" s="233" t="str">
        <f>IF(OpenList[[#This Row],[Retained Player Name]]="","",VLOOKUP(OpenList[[#This Row],[Retained Player Name]],Players[],7,FALSE))</f>
        <v>MLT</v>
      </c>
      <c r="H16" s="233" t="str">
        <f>IF(OpenList[[#This Row],[Retained Player Name]]="","",VLOOKUP(OpenList[[#This Row],[Retained Player Name]],Players[],6,FALSE))</f>
        <v>Valletta SC</v>
      </c>
      <c r="I16" s="234" t="str">
        <f>IF(OpenList[[#This Row],[Retained Player Name]]="","",VLOOKUP(OpenList[[#This Row],[Retained Player Name]],Players[],4,FALSE))</f>
        <v>MLT0004</v>
      </c>
      <c r="J16"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W</v>
      </c>
      <c r="K16" s="230"/>
      <c r="L16" s="230"/>
      <c r="M16" s="7"/>
    </row>
    <row r="17" spans="1:13" s="8" customFormat="1" ht="12.75" customHeight="1" x14ac:dyDescent="0.2">
      <c r="A17" s="16">
        <f>IF(AND(OpenList[[#This Row],[First &amp; Last Name]]="",OpenList[[#This Row],[FISTF Code]]=""),"",ROW()-ROW($A$11))</f>
        <v>6</v>
      </c>
      <c r="B17" s="232" t="s">
        <v>8874</v>
      </c>
      <c r="C17" s="436"/>
      <c r="D17" s="421" t="b">
        <f>IF(OpenList[[#This Row],[First &amp; Last Name]]="","",IFERROR(ISNUMBER(MATCH(OpenList[[#This Row],[First &amp; Last Name]],Players[Player Name],0)),FALSE))</f>
        <v>1</v>
      </c>
      <c r="E17" s="421" t="b">
        <f>IF(OpenList[[#This Row],[FISTF Code]]="",FALSE,IFERROR(ISNUMBER(MATCH(OpenList[[#This Row],[FISTF Code]],Players[FISTF Code],0)),FALSE))</f>
        <v>0</v>
      </c>
      <c r="F17" s="419" t="str">
        <f>IF(AND(OpenList[[#This Row],[First &amp; Last Name]]="",OpenList[[#This Row],[FISTF Code]]=""),"",IF(OpenList[[#This Row],[Valide Code ?]],INDEX(Players[Player Name],MATCH(OpenList[[#This Row],[FISTF Code]],Players[FISTF Code],0)),OpenList[[#This Row],[First &amp; Last Name]]))</f>
        <v>Alberto Di Maggio</v>
      </c>
      <c r="G17" s="233" t="str">
        <f>IF(OpenList[[#This Row],[Retained Player Name]]="","",VLOOKUP(OpenList[[#This Row],[Retained Player Name]],Players[],7,FALSE))</f>
        <v>GRE</v>
      </c>
      <c r="H17" s="233" t="str">
        <f>IF(OpenList[[#This Row],[Retained Player Name]]="","",VLOOKUP(OpenList[[#This Row],[Retained Player Name]],Players[],6,FALSE))</f>
        <v>Bologna Tigers Subbuteo</v>
      </c>
      <c r="I17" s="234" t="str">
        <f>IF(OpenList[[#This Row],[Retained Player Name]]="","",VLOOKUP(OpenList[[#This Row],[Retained Player Name]],Players[],4,FALSE))</f>
        <v>GRE0455</v>
      </c>
      <c r="J17"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17" s="230"/>
      <c r="L17" s="230"/>
      <c r="M17" s="7"/>
    </row>
    <row r="18" spans="1:13" s="8" customFormat="1" ht="12.75" customHeight="1" x14ac:dyDescent="0.2">
      <c r="A18" s="16">
        <f>IF(AND(OpenList[[#This Row],[First &amp; Last Name]]="",OpenList[[#This Row],[FISTF Code]]=""),"",ROW()-ROW($A$11))</f>
        <v>7</v>
      </c>
      <c r="B18" s="232" t="s">
        <v>10436</v>
      </c>
      <c r="C18" s="436"/>
      <c r="D18" s="421" t="b">
        <f>IF(OpenList[[#This Row],[First &amp; Last Name]]="","",IFERROR(ISNUMBER(MATCH(OpenList[[#This Row],[First &amp; Last Name]],Players[Player Name],0)),FALSE))</f>
        <v>1</v>
      </c>
      <c r="E18" s="421" t="b">
        <f>IF(OpenList[[#This Row],[FISTF Code]]="",FALSE,IFERROR(ISNUMBER(MATCH(OpenList[[#This Row],[FISTF Code]],Players[FISTF Code],0)),FALSE))</f>
        <v>0</v>
      </c>
      <c r="F18" s="419" t="str">
        <f>IF(AND(OpenList[[#This Row],[First &amp; Last Name]]="",OpenList[[#This Row],[FISTF Code]]=""),"",IF(OpenList[[#This Row],[Valide Code ?]],INDEX(Players[Player Name],MATCH(OpenList[[#This Row],[FISTF Code]],Players[FISTF Code],0)),OpenList[[#This Row],[First &amp; Last Name]]))</f>
        <v>Jurgen Balzan</v>
      </c>
      <c r="G18" s="233" t="str">
        <f>IF(OpenList[[#This Row],[Retained Player Name]]="","",VLOOKUP(OpenList[[#This Row],[Retained Player Name]],Players[],7,FALSE))</f>
        <v>MLT</v>
      </c>
      <c r="H18" s="233" t="str">
        <f>IF(OpenList[[#This Row],[Retained Player Name]]="","",VLOOKUP(OpenList[[#This Row],[Retained Player Name]],Players[],6,FALSE))</f>
        <v>Valletta SC</v>
      </c>
      <c r="I18" s="234" t="str">
        <f>IF(OpenList[[#This Row],[Retained Player Name]]="","",VLOOKUP(OpenList[[#This Row],[Retained Player Name]],Players[],4,FALSE))</f>
        <v>MLT0064</v>
      </c>
      <c r="J18"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18" s="230"/>
      <c r="L18" s="230"/>
      <c r="M18" s="7"/>
    </row>
    <row r="19" spans="1:13" s="8" customFormat="1" ht="12.75" customHeight="1" x14ac:dyDescent="0.2">
      <c r="A19" s="16">
        <f>IF(AND(OpenList[[#This Row],[First &amp; Last Name]]="",OpenList[[#This Row],[FISTF Code]]=""),"",ROW()-ROW($A$11))</f>
        <v>8</v>
      </c>
      <c r="B19" s="232" t="s">
        <v>8097</v>
      </c>
      <c r="C19" s="436"/>
      <c r="D19" s="421" t="b">
        <f>IF(OpenList[[#This Row],[First &amp; Last Name]]="","",IFERROR(ISNUMBER(MATCH(OpenList[[#This Row],[First &amp; Last Name]],Players[Player Name],0)),FALSE))</f>
        <v>1</v>
      </c>
      <c r="E19" s="421" t="b">
        <f>IF(OpenList[[#This Row],[FISTF Code]]="",FALSE,IFERROR(ISNUMBER(MATCH(OpenList[[#This Row],[FISTF Code]],Players[FISTF Code],0)),FALSE))</f>
        <v>0</v>
      </c>
      <c r="F19" s="419" t="str">
        <f>IF(AND(OpenList[[#This Row],[First &amp; Last Name]]="",OpenList[[#This Row],[FISTF Code]]=""),"",IF(OpenList[[#This Row],[Valide Code ?]],INDEX(Players[Player Name],MATCH(OpenList[[#This Row],[FISTF Code]],Players[FISTF Code],0)),OpenList[[#This Row],[First &amp; Last Name]]))</f>
        <v>Bessim Golger</v>
      </c>
      <c r="G19" s="233" t="str">
        <f>IF(OpenList[[#This Row],[Retained Player Name]]="","",VLOOKUP(OpenList[[#This Row],[Retained Player Name]],Players[],7,FALSE))</f>
        <v>BEL</v>
      </c>
      <c r="H19" s="233" t="str">
        <f>IF(OpenList[[#This Row],[Retained Player Name]]="","",VLOOKUP(OpenList[[#This Row],[Retained Player Name]],Players[],6,FALSE))</f>
        <v>Bormla SC</v>
      </c>
      <c r="I19" s="234" t="str">
        <f>IF(OpenList[[#This Row],[Retained Player Name]]="","",VLOOKUP(OpenList[[#This Row],[Retained Player Name]],Players[],4,FALSE))</f>
        <v>BEL0018</v>
      </c>
      <c r="J19"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19" s="230"/>
      <c r="L19" s="230"/>
      <c r="M19" s="7"/>
    </row>
    <row r="20" spans="1:13" s="8" customFormat="1" ht="12.75" customHeight="1" x14ac:dyDescent="0.2">
      <c r="A20" s="16">
        <f>IF(AND(OpenList[[#This Row],[First &amp; Last Name]]="",OpenList[[#This Row],[FISTF Code]]=""),"",ROW()-ROW($A$11))</f>
        <v>9</v>
      </c>
      <c r="B20" s="232" t="s">
        <v>8628</v>
      </c>
      <c r="C20" s="436"/>
      <c r="D20" s="421" t="b">
        <f>IF(OpenList[[#This Row],[First &amp; Last Name]]="","",IFERROR(ISNUMBER(MATCH(OpenList[[#This Row],[First &amp; Last Name]],Players[Player Name],0)),FALSE))</f>
        <v>1</v>
      </c>
      <c r="E20" s="421" t="b">
        <f>IF(OpenList[[#This Row],[FISTF Code]]="",FALSE,IFERROR(ISNUMBER(MATCH(OpenList[[#This Row],[FISTF Code]],Players[FISTF Code],0)),FALSE))</f>
        <v>0</v>
      </c>
      <c r="F20" s="419" t="str">
        <f>IF(AND(OpenList[[#This Row],[First &amp; Last Name]]="",OpenList[[#This Row],[FISTF Code]]=""),"",IF(OpenList[[#This Row],[Valide Code ?]],INDEX(Players[Player Name],MATCH(OpenList[[#This Row],[FISTF Code]],Players[FISTF Code],0)),OpenList[[#This Row],[First &amp; Last Name]]))</f>
        <v>David González</v>
      </c>
      <c r="G20" s="233" t="str">
        <f>IF(OpenList[[#This Row],[Retained Player Name]]="","",VLOOKUP(OpenList[[#This Row],[Retained Player Name]],Players[],7,FALSE))</f>
        <v>ESP</v>
      </c>
      <c r="H20" s="233" t="str">
        <f>IF(OpenList[[#This Row],[Retained Player Name]]="","",VLOOKUP(OpenList[[#This Row],[Retained Player Name]],Players[],6,FALSE))</f>
        <v>Tiburones FM</v>
      </c>
      <c r="I20" s="234" t="str">
        <f>IF(OpenList[[#This Row],[Retained Player Name]]="","",VLOOKUP(OpenList[[#This Row],[Retained Player Name]],Players[],4,FALSE))</f>
        <v>ESP0121</v>
      </c>
      <c r="J20"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S</v>
      </c>
      <c r="K20" s="230"/>
      <c r="L20" s="230"/>
      <c r="M20" s="7"/>
    </row>
    <row r="21" spans="1:13" s="8" customFormat="1" ht="12.75" customHeight="1" x14ac:dyDescent="0.2">
      <c r="A21" s="16">
        <f>IF(AND(OpenList[[#This Row],[First &amp; Last Name]]="",OpenList[[#This Row],[FISTF Code]]=""),"",ROW()-ROW($A$11))</f>
        <v>10</v>
      </c>
      <c r="B21" s="232" t="s">
        <v>8095</v>
      </c>
      <c r="C21" s="436"/>
      <c r="D21" s="421" t="b">
        <f>IF(OpenList[[#This Row],[First &amp; Last Name]]="","",IFERROR(ISNUMBER(MATCH(OpenList[[#This Row],[First &amp; Last Name]],Players[Player Name],0)),FALSE))</f>
        <v>1</v>
      </c>
      <c r="E21" s="421" t="b">
        <f>IF(OpenList[[#This Row],[FISTF Code]]="",FALSE,IFERROR(ISNUMBER(MATCH(OpenList[[#This Row],[FISTF Code]],Players[FISTF Code],0)),FALSE))</f>
        <v>0</v>
      </c>
      <c r="F21" s="419" t="str">
        <f>IF(AND(OpenList[[#This Row],[First &amp; Last Name]]="",OpenList[[#This Row],[FISTF Code]]=""),"",IF(OpenList[[#This Row],[Valide Code ?]],INDEX(Players[Player Name],MATCH(OpenList[[#This Row],[FISTF Code]],Players[FISTF Code],0)),OpenList[[#This Row],[First &amp; Last Name]]))</f>
        <v>Florian Giaux</v>
      </c>
      <c r="G21" s="233" t="str">
        <f>IF(OpenList[[#This Row],[Retained Player Name]]="","",VLOOKUP(OpenList[[#This Row],[Retained Player Name]],Players[],7,FALSE))</f>
        <v>BEL</v>
      </c>
      <c r="H21" s="233" t="str">
        <f>IF(OpenList[[#This Row],[Retained Player Name]]="","",VLOOKUP(OpenList[[#This Row],[Retained Player Name]],Players[],6,FALSE))</f>
        <v>FTC Caen</v>
      </c>
      <c r="I21" s="235" t="str">
        <f>IF(OpenList[[#This Row],[Retained Player Name]]="","",VLOOKUP(OpenList[[#This Row],[Retained Player Name]],Players[],4,FALSE))</f>
        <v>BEL0104</v>
      </c>
      <c r="J21"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21" s="230"/>
      <c r="L21" s="230"/>
      <c r="M21" s="7"/>
    </row>
    <row r="22" spans="1:13" s="8" customFormat="1" ht="12.75" customHeight="1" x14ac:dyDescent="0.2">
      <c r="A22" s="16">
        <f>IF(AND(OpenList[[#This Row],[First &amp; Last Name]]="",OpenList[[#This Row],[FISTF Code]]=""),"",ROW()-ROW($A$11))</f>
        <v>11</v>
      </c>
      <c r="B22" s="232" t="s">
        <v>10364</v>
      </c>
      <c r="C22" s="436"/>
      <c r="D22" s="421" t="b">
        <f>IF(OpenList[[#This Row],[First &amp; Last Name]]="","",IFERROR(ISNUMBER(MATCH(OpenList[[#This Row],[First &amp; Last Name]],Players[Player Name],0)),FALSE))</f>
        <v>1</v>
      </c>
      <c r="E22" s="421" t="b">
        <f>IF(OpenList[[#This Row],[FISTF Code]]="",FALSE,IFERROR(ISNUMBER(MATCH(OpenList[[#This Row],[FISTF Code]],Players[FISTF Code],0)),FALSE))</f>
        <v>0</v>
      </c>
      <c r="F22" s="419" t="str">
        <f>IF(AND(OpenList[[#This Row],[First &amp; Last Name]]="",OpenList[[#This Row],[FISTF Code]]=""),"",IF(OpenList[[#This Row],[Valide Code ?]],INDEX(Players[Player Name],MATCH(OpenList[[#This Row],[FISTF Code]],Players[FISTF Code],0)),OpenList[[#This Row],[First &amp; Last Name]]))</f>
        <v>Alessandro Amatelli</v>
      </c>
      <c r="G22" s="233" t="str">
        <f>IF(OpenList[[#This Row],[Retained Player Name]]="","",VLOOKUP(OpenList[[#This Row],[Retained Player Name]],Players[],7,FALSE))</f>
        <v>ITA</v>
      </c>
      <c r="H22" s="233" t="str">
        <f>IF(OpenList[[#This Row],[Retained Player Name]]="","",VLOOKUP(OpenList[[#This Row],[Retained Player Name]],Players[],6,FALSE))</f>
        <v>Subbuteo Casale</v>
      </c>
      <c r="I22" s="235" t="str">
        <f>IF(OpenList[[#This Row],[Retained Player Name]]="","",VLOOKUP(OpenList[[#This Row],[Retained Player Name]],Players[],4,FALSE))</f>
        <v>ITA1190</v>
      </c>
      <c r="J2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22" s="231"/>
      <c r="L22" s="231"/>
      <c r="M22" s="7"/>
    </row>
    <row r="23" spans="1:13" s="8" customFormat="1" ht="12.75" customHeight="1" x14ac:dyDescent="0.2">
      <c r="A23" s="16">
        <f>IF(AND(OpenList[[#This Row],[First &amp; Last Name]]="",OpenList[[#This Row],[FISTF Code]]=""),"",ROW()-ROW($A$11))</f>
        <v>12</v>
      </c>
      <c r="B23" s="232" t="s">
        <v>10080</v>
      </c>
      <c r="C23" s="436"/>
      <c r="D23" s="421" t="b">
        <f>IF(OpenList[[#This Row],[First &amp; Last Name]]="","",IFERROR(ISNUMBER(MATCH(OpenList[[#This Row],[First &amp; Last Name]],Players[Player Name],0)),FALSE))</f>
        <v>1</v>
      </c>
      <c r="E23" s="421" t="b">
        <f>IF(OpenList[[#This Row],[FISTF Code]]="",FALSE,IFERROR(ISNUMBER(MATCH(OpenList[[#This Row],[FISTF Code]],Players[FISTF Code],0)),FALSE))</f>
        <v>0</v>
      </c>
      <c r="F23" s="419" t="str">
        <f>IF(AND(OpenList[[#This Row],[First &amp; Last Name]]="",OpenList[[#This Row],[FISTF Code]]=""),"",IF(OpenList[[#This Row],[Valide Code ?]],INDEX(Players[Player Name],MATCH(OpenList[[#This Row],[FISTF Code]],Players[FISTF Code],0)),OpenList[[#This Row],[First &amp; Last Name]]))</f>
        <v>William Dotto</v>
      </c>
      <c r="G23" s="233" t="str">
        <f>IF(OpenList[[#This Row],[Retained Player Name]]="","",VLOOKUP(OpenList[[#This Row],[Retained Player Name]],Players[],7,FALSE))</f>
        <v>ITA</v>
      </c>
      <c r="H23" s="233" t="str">
        <f>IF(OpenList[[#This Row],[Retained Player Name]]="","",VLOOKUP(OpenList[[#This Row],[Retained Player Name]],Players[],6,FALSE))</f>
        <v>F.Lli Bari Reggio Emilia</v>
      </c>
      <c r="I23" s="235" t="str">
        <f>IF(OpenList[[#This Row],[Retained Player Name]]="","",VLOOKUP(OpenList[[#This Row],[Retained Player Name]],Players[],4,FALSE))</f>
        <v>ITA1275</v>
      </c>
      <c r="J2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23" s="231"/>
      <c r="L23" s="231"/>
      <c r="M23" s="7"/>
    </row>
    <row r="24" spans="1:13" s="8" customFormat="1" ht="12.75" customHeight="1" x14ac:dyDescent="0.2">
      <c r="A24" s="16">
        <f>IF(AND(OpenList[[#This Row],[First &amp; Last Name]]="",OpenList[[#This Row],[FISTF Code]]=""),"",ROW()-ROW($A$11))</f>
        <v>13</v>
      </c>
      <c r="B24" s="232" t="s">
        <v>8088</v>
      </c>
      <c r="C24" s="436"/>
      <c r="D24" s="421" t="b">
        <f>IF(OpenList[[#This Row],[First &amp; Last Name]]="","",IFERROR(ISNUMBER(MATCH(OpenList[[#This Row],[First &amp; Last Name]],Players[Player Name],0)),FALSE))</f>
        <v>1</v>
      </c>
      <c r="E24" s="421" t="b">
        <f>IF(OpenList[[#This Row],[FISTF Code]]="",FALSE,IFERROR(ISNUMBER(MATCH(OpenList[[#This Row],[FISTF Code]],Players[FISTF Code],0)),FALSE))</f>
        <v>0</v>
      </c>
      <c r="F24" s="419" t="str">
        <f>IF(AND(OpenList[[#This Row],[First &amp; Last Name]]="",OpenList[[#This Row],[FISTF Code]]=""),"",IF(OpenList[[#This Row],[Valide Code ?]],INDEX(Players[Player Name],MATCH(OpenList[[#This Row],[FISTF Code]],Players[FISTF Code],0)),OpenList[[#This Row],[First &amp; Last Name]]))</f>
        <v>Steffen Despretz</v>
      </c>
      <c r="G24" s="233" t="str">
        <f>IF(OpenList[[#This Row],[Retained Player Name]]="","",VLOOKUP(OpenList[[#This Row],[Retained Player Name]],Players[],7,FALSE))</f>
        <v>BEL</v>
      </c>
      <c r="H24" s="233" t="str">
        <f>IF(OpenList[[#This Row],[Retained Player Name]]="","",VLOOKUP(OpenList[[#This Row],[Retained Player Name]],Players[],6,FALSE))</f>
        <v>Avenir Subbuteo Hennuyer</v>
      </c>
      <c r="I24" s="235" t="str">
        <f>IF(OpenList[[#This Row],[Retained Player Name]]="","",VLOOKUP(OpenList[[#This Row],[Retained Player Name]],Players[],4,FALSE))</f>
        <v>BEL0063</v>
      </c>
      <c r="J2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24" s="231"/>
      <c r="L24" s="231"/>
      <c r="M24" s="7"/>
    </row>
    <row r="25" spans="1:13" s="8" customFormat="1" ht="12.75" customHeight="1" x14ac:dyDescent="0.2">
      <c r="A25" s="16">
        <f>IF(AND(OpenList[[#This Row],[First &amp; Last Name]]="",OpenList[[#This Row],[FISTF Code]]=""),"",ROW()-ROW($A$11))</f>
        <v>14</v>
      </c>
      <c r="B25" s="232" t="s">
        <v>8036</v>
      </c>
      <c r="C25" s="436"/>
      <c r="D25" s="421" t="b">
        <f>IF(OpenList[[#This Row],[First &amp; Last Name]]="","",IFERROR(ISNUMBER(MATCH(OpenList[[#This Row],[First &amp; Last Name]],Players[Player Name],0)),FALSE))</f>
        <v>1</v>
      </c>
      <c r="E25" s="421" t="b">
        <f>IF(OpenList[[#This Row],[FISTF Code]]="",FALSE,IFERROR(ISNUMBER(MATCH(OpenList[[#This Row],[FISTF Code]],Players[FISTF Code],0)),FALSE))</f>
        <v>0</v>
      </c>
      <c r="F25" s="419" t="str">
        <f>IF(AND(OpenList[[#This Row],[First &amp; Last Name]]="",OpenList[[#This Row],[FISTF Code]]=""),"",IF(OpenList[[#This Row],[Valide Code ?]],INDEX(Players[Player Name],MATCH(OpenList[[#This Row],[FISTF Code]],Players[FISTF Code],0)),OpenList[[#This Row],[First &amp; Last Name]]))</f>
        <v>Wolfgang Leitner</v>
      </c>
      <c r="G25" s="233" t="str">
        <f>IF(OpenList[[#This Row],[Retained Player Name]]="","",VLOOKUP(OpenList[[#This Row],[Retained Player Name]],Players[],7,FALSE))</f>
        <v>AUT</v>
      </c>
      <c r="H25" s="233" t="str">
        <f>IF(OpenList[[#This Row],[Retained Player Name]]="","",VLOOKUP(OpenList[[#This Row],[Retained Player Name]],Players[],6,FALSE))</f>
        <v>TSC Royal 78 Kaisermühlen</v>
      </c>
      <c r="I25" s="234" t="str">
        <f>IF(OpenList[[#This Row],[Retained Player Name]]="","",VLOOKUP(OpenList[[#This Row],[Retained Player Name]],Players[],4,FALSE))</f>
        <v>AUT0010</v>
      </c>
      <c r="J25" s="20"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25" s="231"/>
      <c r="L25" s="231"/>
      <c r="M25" s="7"/>
    </row>
    <row r="26" spans="1:13" s="8" customFormat="1" ht="12.75" customHeight="1" x14ac:dyDescent="0.2">
      <c r="A26" s="16">
        <f>IF(AND(OpenList[[#This Row],[First &amp; Last Name]]="",OpenList[[#This Row],[FISTF Code]]=""),"",ROW()-ROW($A$11))</f>
        <v>15</v>
      </c>
      <c r="B26" s="232" t="s">
        <v>10424</v>
      </c>
      <c r="C26" s="436"/>
      <c r="D26" s="421" t="b">
        <f>IF(OpenList[[#This Row],[First &amp; Last Name]]="","",IFERROR(ISNUMBER(MATCH(OpenList[[#This Row],[First &amp; Last Name]],Players[Player Name],0)),FALSE))</f>
        <v>1</v>
      </c>
      <c r="E26" s="421" t="b">
        <f>IF(OpenList[[#This Row],[FISTF Code]]="",FALSE,IFERROR(ISNUMBER(MATCH(OpenList[[#This Row],[FISTF Code]],Players[FISTF Code],0)),FALSE))</f>
        <v>0</v>
      </c>
      <c r="F26" s="419" t="str">
        <f>IF(AND(OpenList[[#This Row],[First &amp; Last Name]]="",OpenList[[#This Row],[FISTF Code]]=""),"",IF(OpenList[[#This Row],[Valide Code ?]],INDEX(Players[Player Name],MATCH(OpenList[[#This Row],[FISTF Code]],Players[FISTF Code],0)),OpenList[[#This Row],[First &amp; Last Name]]))</f>
        <v>George Ebejer</v>
      </c>
      <c r="G26" s="233" t="str">
        <f>IF(OpenList[[#This Row],[Retained Player Name]]="","",VLOOKUP(OpenList[[#This Row],[Retained Player Name]],Players[],7,FALSE))</f>
        <v>MLT</v>
      </c>
      <c r="H26" s="233" t="str">
        <f>IF(OpenList[[#This Row],[Retained Player Name]]="","",VLOOKUP(OpenList[[#This Row],[Retained Player Name]],Players[],6,FALSE))</f>
        <v>Bormla SC</v>
      </c>
      <c r="I26" s="234" t="str">
        <f>IF(OpenList[[#This Row],[Retained Player Name]]="","",VLOOKUP(OpenList[[#This Row],[Retained Player Name]],Players[],4,FALSE))</f>
        <v>MLT0019</v>
      </c>
      <c r="J26"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26" s="230"/>
      <c r="L26" s="230"/>
      <c r="M26" s="7"/>
    </row>
    <row r="27" spans="1:13" s="8" customFormat="1" ht="12.75" customHeight="1" x14ac:dyDescent="0.2">
      <c r="A27" s="16">
        <f>IF(AND(OpenList[[#This Row],[First &amp; Last Name]]="",OpenList[[#This Row],[FISTF Code]]=""),"",ROW()-ROW($A$11))</f>
        <v>16</v>
      </c>
      <c r="B27" s="232" t="s">
        <v>8043</v>
      </c>
      <c r="C27" s="436"/>
      <c r="D27" s="421" t="b">
        <f>IF(OpenList[[#This Row],[First &amp; Last Name]]="","",IFERROR(ISNUMBER(MATCH(OpenList[[#This Row],[First &amp; Last Name]],Players[Player Name],0)),FALSE))</f>
        <v>1</v>
      </c>
      <c r="E27" s="421" t="b">
        <f>IF(OpenList[[#This Row],[FISTF Code]]="",FALSE,IFERROR(ISNUMBER(MATCH(OpenList[[#This Row],[FISTF Code]],Players[FISTF Code],0)),FALSE))</f>
        <v>0</v>
      </c>
      <c r="F27" s="419" t="str">
        <f>IF(AND(OpenList[[#This Row],[First &amp; Last Name]]="",OpenList[[#This Row],[FISTF Code]]=""),"",IF(OpenList[[#This Row],[Valide Code ?]],INDEX(Players[Player Name],MATCH(OpenList[[#This Row],[FISTF Code]],Players[FISTF Code],0)),OpenList[[#This Row],[First &amp; Last Name]]))</f>
        <v>Alexander Haas</v>
      </c>
      <c r="G27" s="233" t="str">
        <f>IF(OpenList[[#This Row],[Retained Player Name]]="","",VLOOKUP(OpenList[[#This Row],[Retained Player Name]],Players[],7,FALSE))</f>
        <v>AUT</v>
      </c>
      <c r="H27" s="233" t="str">
        <f>IF(OpenList[[#This Row],[Retained Player Name]]="","",VLOOKUP(OpenList[[#This Row],[Retained Player Name]],Players[],6,FALSE))</f>
        <v>TSC Royal 78 Kaisermühlen</v>
      </c>
      <c r="I27" s="234" t="str">
        <f>IF(OpenList[[#This Row],[Retained Player Name]]="","",VLOOKUP(OpenList[[#This Row],[Retained Player Name]],Players[],4,FALSE))</f>
        <v>AUT0024</v>
      </c>
      <c r="J27"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27" s="230"/>
      <c r="L27" s="230"/>
      <c r="M27" s="7"/>
    </row>
    <row r="28" spans="1:13" s="8" customFormat="1" ht="12.75" customHeight="1" x14ac:dyDescent="0.2">
      <c r="A28" s="16">
        <f>IF(AND(OpenList[[#This Row],[First &amp; Last Name]]="",OpenList[[#This Row],[FISTF Code]]=""),"",ROW()-ROW($A$11))</f>
        <v>17</v>
      </c>
      <c r="B28" s="232" t="s">
        <v>8115</v>
      </c>
      <c r="C28" s="436"/>
      <c r="D28" s="421" t="b">
        <f>IF(OpenList[[#This Row],[First &amp; Last Name]]="","",IFERROR(ISNUMBER(MATCH(OpenList[[#This Row],[First &amp; Last Name]],Players[Player Name],0)),FALSE))</f>
        <v>1</v>
      </c>
      <c r="E28" s="421" t="b">
        <f>IF(OpenList[[#This Row],[FISTF Code]]="",FALSE,IFERROR(ISNUMBER(MATCH(OpenList[[#This Row],[FISTF Code]],Players[FISTF Code],0)),FALSE))</f>
        <v>0</v>
      </c>
      <c r="F28" s="419" t="str">
        <f>IF(AND(OpenList[[#This Row],[First &amp; Last Name]]="",OpenList[[#This Row],[FISTF Code]]=""),"",IF(OpenList[[#This Row],[Valide Code ?]],INDEX(Players[Player Name],MATCH(OpenList[[#This Row],[FISTF Code]],Players[FISTF Code],0)),OpenList[[#This Row],[First &amp; Last Name]]))</f>
        <v>Geoffrey Marain</v>
      </c>
      <c r="G28" s="233" t="str">
        <f>IF(OpenList[[#This Row],[Retained Player Name]]="","",VLOOKUP(OpenList[[#This Row],[Retained Player Name]],Players[],7,FALSE))</f>
        <v>BEL</v>
      </c>
      <c r="H28" s="233" t="str">
        <f>IF(OpenList[[#This Row],[Retained Player Name]]="","",VLOOKUP(OpenList[[#This Row],[Retained Player Name]],Players[],6,FALSE))</f>
        <v>Avenir Subbuteo Hennuyer</v>
      </c>
      <c r="I28" s="234" t="str">
        <f>IF(OpenList[[#This Row],[Retained Player Name]]="","",VLOOKUP(OpenList[[#This Row],[Retained Player Name]],Players[],4,FALSE))</f>
        <v>BEL0171</v>
      </c>
      <c r="J28"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28" s="230"/>
      <c r="L28" s="230"/>
      <c r="M28" s="7"/>
    </row>
    <row r="29" spans="1:13" s="8" customFormat="1" ht="12.75" customHeight="1" x14ac:dyDescent="0.2">
      <c r="A29" s="16">
        <f>IF(AND(OpenList[[#This Row],[First &amp; Last Name]]="",OpenList[[#This Row],[FISTF Code]]=""),"",ROW()-ROW($A$11))</f>
        <v>18</v>
      </c>
      <c r="B29" s="232" t="s">
        <v>9827</v>
      </c>
      <c r="C29" s="436"/>
      <c r="D29" s="421" t="b">
        <f>IF(OpenList[[#This Row],[First &amp; Last Name]]="","",IFERROR(ISNUMBER(MATCH(OpenList[[#This Row],[First &amp; Last Name]],Players[Player Name],0)),FALSE))</f>
        <v>1</v>
      </c>
      <c r="E29" s="421" t="b">
        <f>IF(OpenList[[#This Row],[FISTF Code]]="",FALSE,IFERROR(ISNUMBER(MATCH(OpenList[[#This Row],[FISTF Code]],Players[FISTF Code],0)),FALSE))</f>
        <v>0</v>
      </c>
      <c r="F29" s="419" t="str">
        <f>IF(AND(OpenList[[#This Row],[First &amp; Last Name]]="",OpenList[[#This Row],[FISTF Code]]=""),"",IF(OpenList[[#This Row],[Valide Code ?]],INDEX(Players[Player Name],MATCH(OpenList[[#This Row],[FISTF Code]],Players[FISTF Code],0)),OpenList[[#This Row],[First &amp; Last Name]]))</f>
        <v>Antonio Mettivieri</v>
      </c>
      <c r="G29" s="233" t="str">
        <f>IF(OpenList[[#This Row],[Retained Player Name]]="","",VLOOKUP(OpenList[[#This Row],[Retained Player Name]],Players[],7,FALSE))</f>
        <v>ITA</v>
      </c>
      <c r="H29" s="233" t="str">
        <f>IF(OpenList[[#This Row],[Retained Player Name]]="","",VLOOKUP(OpenList[[#This Row],[Retained Player Name]],Players[],6,FALSE))</f>
        <v>CCT Eagles Napoli</v>
      </c>
      <c r="I29" s="234" t="str">
        <f>IF(OpenList[[#This Row],[Retained Player Name]]="","",VLOOKUP(OpenList[[#This Row],[Retained Player Name]],Players[],4,FALSE))</f>
        <v>ITA0568</v>
      </c>
      <c r="J29"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29" s="230"/>
      <c r="L29" s="230"/>
      <c r="M29" s="7"/>
    </row>
    <row r="30" spans="1:13" s="8" customFormat="1" ht="12.75" customHeight="1" x14ac:dyDescent="0.2">
      <c r="A30" s="16">
        <f>IF(AND(OpenList[[#This Row],[First &amp; Last Name]]="",OpenList[[#This Row],[FISTF Code]]=""),"",ROW()-ROW($A$11))</f>
        <v>19</v>
      </c>
      <c r="B30" s="232" t="s">
        <v>8629</v>
      </c>
      <c r="C30" s="436"/>
      <c r="D30" s="421" t="b">
        <f>IF(OpenList[[#This Row],[First &amp; Last Name]]="","",IFERROR(ISNUMBER(MATCH(OpenList[[#This Row],[First &amp; Last Name]],Players[Player Name],0)),FALSE))</f>
        <v>1</v>
      </c>
      <c r="E30" s="421" t="b">
        <f>IF(OpenList[[#This Row],[FISTF Code]]="",FALSE,IFERROR(ISNUMBER(MATCH(OpenList[[#This Row],[FISTF Code]],Players[FISTF Code],0)),FALSE))</f>
        <v>0</v>
      </c>
      <c r="F30" s="419" t="str">
        <f>IF(AND(OpenList[[#This Row],[First &amp; Last Name]]="",OpenList[[#This Row],[FISTF Code]]=""),"",IF(OpenList[[#This Row],[Valide Code ?]],INDEX(Players[Player Name],MATCH(OpenList[[#This Row],[FISTF Code]],Players[FISTF Code],0)),OpenList[[#This Row],[First &amp; Last Name]]))</f>
        <v>Antonio Jesús Casín</v>
      </c>
      <c r="G30" s="233" t="str">
        <f>IF(OpenList[[#This Row],[Retained Player Name]]="","",VLOOKUP(OpenList[[#This Row],[Retained Player Name]],Players[],7,FALSE))</f>
        <v>ESP</v>
      </c>
      <c r="H30" s="233" t="str">
        <f>IF(OpenList[[#This Row],[Retained Player Name]]="","",VLOOKUP(OpenList[[#This Row],[Retained Player Name]],Players[],6,FALSE))</f>
        <v>Tiburones FM</v>
      </c>
      <c r="I30" s="234" t="str">
        <f>IF(OpenList[[#This Row],[Retained Player Name]]="","",VLOOKUP(OpenList[[#This Row],[Retained Player Name]],Players[],4,FALSE))</f>
        <v>ESP0131</v>
      </c>
      <c r="J30"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30" s="230"/>
      <c r="L30" s="230"/>
      <c r="M30" s="7"/>
    </row>
    <row r="31" spans="1:13" s="8" customFormat="1" ht="12.75" customHeight="1" x14ac:dyDescent="0.2">
      <c r="A31" s="16">
        <f>IF(AND(OpenList[[#This Row],[First &amp; Last Name]]="",OpenList[[#This Row],[FISTF Code]]=""),"",ROW()-ROW($A$11))</f>
        <v>20</v>
      </c>
      <c r="B31" s="232" t="s">
        <v>8714</v>
      </c>
      <c r="C31" s="436"/>
      <c r="D31" s="421" t="b">
        <f>IF(OpenList[[#This Row],[First &amp; Last Name]]="","",IFERROR(ISNUMBER(MATCH(OpenList[[#This Row],[First &amp; Last Name]],Players[Player Name],0)),FALSE))</f>
        <v>1</v>
      </c>
      <c r="E31" s="421" t="b">
        <f>IF(OpenList[[#This Row],[FISTF Code]]="",FALSE,IFERROR(ISNUMBER(MATCH(OpenList[[#This Row],[FISTF Code]],Players[FISTF Code],0)),FALSE))</f>
        <v>0</v>
      </c>
      <c r="F31" s="419" t="str">
        <f>IF(AND(OpenList[[#This Row],[First &amp; Last Name]]="",OpenList[[#This Row],[FISTF Code]]=""),"",IF(OpenList[[#This Row],[Valide Code ?]],INDEX(Players[Player Name],MATCH(OpenList[[#This Row],[FISTF Code]],Players[FISTF Code],0)),OpenList[[#This Row],[First &amp; Last Name]]))</f>
        <v>Rémi Soret</v>
      </c>
      <c r="G31" s="233" t="str">
        <f>IF(OpenList[[#This Row],[Retained Player Name]]="","",VLOOKUP(OpenList[[#This Row],[Retained Player Name]],Players[],7,FALSE))</f>
        <v>FRA</v>
      </c>
      <c r="H31" s="233" t="str">
        <f>IF(OpenList[[#This Row],[Retained Player Name]]="","",VLOOKUP(OpenList[[#This Row],[Retained Player Name]],Players[],6,FALSE))</f>
        <v>Avenir Subbuteo Hennuyer</v>
      </c>
      <c r="I31" s="234" t="str">
        <f>IF(OpenList[[#This Row],[Retained Player Name]]="","",VLOOKUP(OpenList[[#This Row],[Retained Player Name]],Players[],4,FALSE))</f>
        <v>FRA0093</v>
      </c>
      <c r="J31"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31" s="230"/>
      <c r="L31" s="230"/>
      <c r="M31" s="7"/>
    </row>
    <row r="32" spans="1:13" s="8" customFormat="1" ht="12.75" customHeight="1" x14ac:dyDescent="0.2">
      <c r="A32" s="16">
        <f>IF(AND(OpenList[[#This Row],[First &amp; Last Name]]="",OpenList[[#This Row],[FISTF Code]]=""),"",ROW()-ROW($A$11))</f>
        <v>21</v>
      </c>
      <c r="B32" s="232" t="s">
        <v>9526</v>
      </c>
      <c r="C32" s="436"/>
      <c r="D32" s="421" t="b">
        <f>IF(OpenList[[#This Row],[First &amp; Last Name]]="","",IFERROR(ISNUMBER(MATCH(OpenList[[#This Row],[First &amp; Last Name]],Players[Player Name],0)),FALSE))</f>
        <v>1</v>
      </c>
      <c r="E32" s="421" t="b">
        <f>IF(OpenList[[#This Row],[FISTF Code]]="",FALSE,IFERROR(ISNUMBER(MATCH(OpenList[[#This Row],[FISTF Code]],Players[FISTF Code],0)),FALSE))</f>
        <v>0</v>
      </c>
      <c r="F32" s="419" t="str">
        <f>IF(AND(OpenList[[#This Row],[First &amp; Last Name]]="",OpenList[[#This Row],[FISTF Code]]=""),"",IF(OpenList[[#This Row],[Valide Code ?]],INDEX(Players[Player Name],MATCH(OpenList[[#This Row],[FISTF Code]],Players[FISTF Code],0)),OpenList[[#This Row],[First &amp; Last Name]]))</f>
        <v>Luca Zambello</v>
      </c>
      <c r="G32" s="233" t="str">
        <f>IF(OpenList[[#This Row],[Retained Player Name]]="","",VLOOKUP(OpenList[[#This Row],[Retained Player Name]],Players[],7,FALSE))</f>
        <v>ITA</v>
      </c>
      <c r="H32" s="233" t="str">
        <f>IF(OpenList[[#This Row],[Retained Player Name]]="","",VLOOKUP(OpenList[[#This Row],[Retained Player Name]],Players[],6,FALSE))</f>
        <v>F.Lli Bari Reggio Emilia</v>
      </c>
      <c r="I32" s="234" t="str">
        <f>IF(OpenList[[#This Row],[Retained Player Name]]="","",VLOOKUP(OpenList[[#This Row],[Retained Player Name]],Players[],4,FALSE))</f>
        <v>ITA0908</v>
      </c>
      <c r="J32" s="20"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32" s="231"/>
      <c r="L32" s="231"/>
      <c r="M32" s="7"/>
    </row>
    <row r="33" spans="1:13" s="8" customFormat="1" ht="12.75" customHeight="1" x14ac:dyDescent="0.2">
      <c r="A33" s="16">
        <f>IF(AND(OpenList[[#This Row],[First &amp; Last Name]]="",OpenList[[#This Row],[FISTF Code]]=""),"",ROW()-ROW($A$11))</f>
        <v>22</v>
      </c>
      <c r="B33" s="232" t="s">
        <v>10506</v>
      </c>
      <c r="C33" s="436"/>
      <c r="D33" s="421" t="b">
        <f>IF(OpenList[[#This Row],[First &amp; Last Name]]="","",IFERROR(ISNUMBER(MATCH(OpenList[[#This Row],[First &amp; Last Name]],Players[Player Name],0)),FALSE))</f>
        <v>1</v>
      </c>
      <c r="E33" s="421" t="b">
        <f>IF(OpenList[[#This Row],[FISTF Code]]="",FALSE,IFERROR(ISNUMBER(MATCH(OpenList[[#This Row],[FISTF Code]],Players[FISTF Code],0)),FALSE))</f>
        <v>0</v>
      </c>
      <c r="F33" s="419" t="str">
        <f>IF(AND(OpenList[[#This Row],[First &amp; Last Name]]="",OpenList[[#This Row],[FISTF Code]]=""),"",IF(OpenList[[#This Row],[Valide Code ?]],INDEX(Players[Player Name],MATCH(OpenList[[#This Row],[FISTF Code]],Players[FISTF Code],0)),OpenList[[#This Row],[First &amp; Last Name]]))</f>
        <v>Ricardo José</v>
      </c>
      <c r="G33" s="233" t="str">
        <f>IF(OpenList[[#This Row],[Retained Player Name]]="","",VLOOKUP(OpenList[[#This Row],[Retained Player Name]],Players[],7,FALSE))</f>
        <v>POR</v>
      </c>
      <c r="H33" s="233" t="str">
        <f>IF(OpenList[[#This Row],[Retained Player Name]]="","",VLOOKUP(OpenList[[#This Row],[Retained Player Name]],Players[],6,FALSE))</f>
        <v>SUBBUTEO DRAGONS AZUQUECA</v>
      </c>
      <c r="I33" s="234" t="str">
        <f>IF(OpenList[[#This Row],[Retained Player Name]]="","",VLOOKUP(OpenList[[#This Row],[Retained Player Name]],Players[],4,FALSE))</f>
        <v>POR0024</v>
      </c>
      <c r="J33"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33" s="230"/>
      <c r="L33" s="230"/>
      <c r="M33" s="7"/>
    </row>
    <row r="34" spans="1:13" s="8" customFormat="1" ht="12.75" customHeight="1" x14ac:dyDescent="0.2">
      <c r="A34" s="16">
        <f>IF(AND(OpenList[[#This Row],[First &amp; Last Name]]="",OpenList[[#This Row],[FISTF Code]]=""),"",ROW()-ROW($A$11))</f>
        <v>23</v>
      </c>
      <c r="B34" s="232" t="s">
        <v>8129</v>
      </c>
      <c r="C34" s="436"/>
      <c r="D34" s="421" t="b">
        <f>IF(OpenList[[#This Row],[First &amp; Last Name]]="","",IFERROR(ISNUMBER(MATCH(OpenList[[#This Row],[First &amp; Last Name]],Players[Player Name],0)),FALSE))</f>
        <v>1</v>
      </c>
      <c r="E34" s="421" t="b">
        <f>IF(OpenList[[#This Row],[FISTF Code]]="",FALSE,IFERROR(ISNUMBER(MATCH(OpenList[[#This Row],[FISTF Code]],Players[FISTF Code],0)),FALSE))</f>
        <v>0</v>
      </c>
      <c r="F34" s="419" t="str">
        <f>IF(AND(OpenList[[#This Row],[First &amp; Last Name]]="",OpenList[[#This Row],[FISTF Code]]=""),"",IF(OpenList[[#This Row],[Valide Code ?]],INDEX(Players[Player Name],MATCH(OpenList[[#This Row],[FISTF Code]],Players[FISTF Code],0)),OpenList[[#This Row],[First &amp; Last Name]]))</f>
        <v>Pascal Scheen</v>
      </c>
      <c r="G34" s="233" t="str">
        <f>IF(OpenList[[#This Row],[Retained Player Name]]="","",VLOOKUP(OpenList[[#This Row],[Retained Player Name]],Players[],7,FALSE))</f>
        <v>BEL</v>
      </c>
      <c r="H34" s="233" t="str">
        <f>IF(OpenList[[#This Row],[Retained Player Name]]="","",VLOOKUP(OpenList[[#This Row],[Retained Player Name]],Players[],6,FALSE))</f>
        <v>Valletta SC</v>
      </c>
      <c r="I34" s="234" t="str">
        <f>IF(OpenList[[#This Row],[Retained Player Name]]="","",VLOOKUP(OpenList[[#This Row],[Retained Player Name]],Players[],4,FALSE))</f>
        <v>BEL0151</v>
      </c>
      <c r="J3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34" s="231"/>
      <c r="L34" s="231"/>
      <c r="M34" s="7"/>
    </row>
    <row r="35" spans="1:13" s="8" customFormat="1" ht="12.75" customHeight="1" x14ac:dyDescent="0.2">
      <c r="A35" s="16">
        <f>IF(AND(OpenList[[#This Row],[First &amp; Last Name]]="",OpenList[[#This Row],[FISTF Code]]=""),"",ROW()-ROW($A$11))</f>
        <v>24</v>
      </c>
      <c r="B35" s="232" t="s">
        <v>10420</v>
      </c>
      <c r="C35" s="436"/>
      <c r="D35" s="421" t="b">
        <f>IF(OpenList[[#This Row],[First &amp; Last Name]]="","",IFERROR(ISNUMBER(MATCH(OpenList[[#This Row],[First &amp; Last Name]],Players[Player Name],0)),FALSE))</f>
        <v>1</v>
      </c>
      <c r="E35" s="421" t="b">
        <f>IF(OpenList[[#This Row],[FISTF Code]]="",FALSE,IFERROR(ISNUMBER(MATCH(OpenList[[#This Row],[FISTF Code]],Players[FISTF Code],0)),FALSE))</f>
        <v>0</v>
      </c>
      <c r="F35" s="419" t="str">
        <f>IF(AND(OpenList[[#This Row],[First &amp; Last Name]]="",OpenList[[#This Row],[FISTF Code]]=""),"",IF(OpenList[[#This Row],[Valide Code ?]],INDEX(Players[Player Name],MATCH(OpenList[[#This Row],[FISTF Code]],Players[FISTF Code],0)),OpenList[[#This Row],[First &amp; Last Name]]))</f>
        <v>Josef Camilleri</v>
      </c>
      <c r="G35" s="233" t="str">
        <f>IF(OpenList[[#This Row],[Retained Player Name]]="","",VLOOKUP(OpenList[[#This Row],[Retained Player Name]],Players[],7,FALSE))</f>
        <v>MLT</v>
      </c>
      <c r="H35" s="233" t="str">
        <f>IF(OpenList[[#This Row],[Retained Player Name]]="","",VLOOKUP(OpenList[[#This Row],[Retained Player Name]],Players[],6,FALSE))</f>
        <v>Bormla SC</v>
      </c>
      <c r="I35" s="234" t="str">
        <f>IF(OpenList[[#This Row],[Retained Player Name]]="","",VLOOKUP(OpenList[[#This Row],[Retained Player Name]],Players[],4,FALSE))</f>
        <v>MLT0013</v>
      </c>
      <c r="J35"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35" s="230"/>
      <c r="L35" s="230"/>
      <c r="M35" s="7"/>
    </row>
    <row r="36" spans="1:13" s="8" customFormat="1" ht="12.75" customHeight="1" x14ac:dyDescent="0.2">
      <c r="A36" s="16">
        <f>IF(AND(OpenList[[#This Row],[First &amp; Last Name]]="",OpenList[[#This Row],[FISTF Code]]=""),"",ROW()-ROW($A$11))</f>
        <v>25</v>
      </c>
      <c r="B36" s="232" t="s">
        <v>8138</v>
      </c>
      <c r="C36" s="436"/>
      <c r="D36" s="421" t="b">
        <f>IF(OpenList[[#This Row],[First &amp; Last Name]]="","",IFERROR(ISNUMBER(MATCH(OpenList[[#This Row],[First &amp; Last Name]],Players[Player Name],0)),FALSE))</f>
        <v>1</v>
      </c>
      <c r="E36" s="421" t="b">
        <f>IF(OpenList[[#This Row],[FISTF Code]]="",FALSE,IFERROR(ISNUMBER(MATCH(OpenList[[#This Row],[FISTF Code]],Players[FISTF Code],0)),FALSE))</f>
        <v>0</v>
      </c>
      <c r="F36" s="419" t="str">
        <f>IF(AND(OpenList[[#This Row],[First &amp; Last Name]]="",OpenList[[#This Row],[FISTF Code]]=""),"",IF(OpenList[[#This Row],[Valide Code ?]],INDEX(Players[Player Name],MATCH(OpenList[[#This Row],[FISTF Code]],Players[FISTF Code],0)),OpenList[[#This Row],[First &amp; Last Name]]))</f>
        <v>William Van Den Houte</v>
      </c>
      <c r="G36" s="233" t="str">
        <f>IF(OpenList[[#This Row],[Retained Player Name]]="","",VLOOKUP(OpenList[[#This Row],[Retained Player Name]],Players[],7,FALSE))</f>
        <v>BEL</v>
      </c>
      <c r="H36" s="233" t="str">
        <f>IF(OpenList[[#This Row],[Retained Player Name]]="","",VLOOKUP(OpenList[[#This Row],[Retained Player Name]],Players[],6,FALSE))</f>
        <v>SC Temploux</v>
      </c>
      <c r="I36" s="234" t="str">
        <f>IF(OpenList[[#This Row],[Retained Player Name]]="","",VLOOKUP(OpenList[[#This Row],[Retained Player Name]],Players[],4,FALSE))</f>
        <v>BEL0122</v>
      </c>
      <c r="J3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36" s="231"/>
      <c r="L36" s="231"/>
      <c r="M36" s="7"/>
    </row>
    <row r="37" spans="1:13" s="8" customFormat="1" ht="12.75" customHeight="1" x14ac:dyDescent="0.2">
      <c r="A37" s="16">
        <f>IF(AND(OpenList[[#This Row],[First &amp; Last Name]]="",OpenList[[#This Row],[FISTF Code]]=""),"",ROW()-ROW($A$11))</f>
        <v>26</v>
      </c>
      <c r="B37" s="232" t="s">
        <v>8123</v>
      </c>
      <c r="C37" s="436"/>
      <c r="D37" s="421" t="b">
        <f>IF(OpenList[[#This Row],[First &amp; Last Name]]="","",IFERROR(ISNUMBER(MATCH(OpenList[[#This Row],[First &amp; Last Name]],Players[Player Name],0)),FALSE))</f>
        <v>1</v>
      </c>
      <c r="E37" s="421" t="b">
        <f>IF(OpenList[[#This Row],[FISTF Code]]="",FALSE,IFERROR(ISNUMBER(MATCH(OpenList[[#This Row],[FISTF Code]],Players[FISTF Code],0)),FALSE))</f>
        <v>0</v>
      </c>
      <c r="F37" s="419" t="str">
        <f>IF(AND(OpenList[[#This Row],[First &amp; Last Name]]="",OpenList[[#This Row],[FISTF Code]]=""),"",IF(OpenList[[#This Row],[Valide Code ?]],INDEX(Players[Player Name],MATCH(OpenList[[#This Row],[FISTF Code]],Players[FISTF Code],0)),OpenList[[#This Row],[First &amp; Last Name]]))</f>
        <v>Maxime Rairoux</v>
      </c>
      <c r="G37" s="233" t="str">
        <f>IF(OpenList[[#This Row],[Retained Player Name]]="","",VLOOKUP(OpenList[[#This Row],[Retained Player Name]],Players[],7,FALSE))</f>
        <v>BEL</v>
      </c>
      <c r="H37" s="233" t="str">
        <f>IF(OpenList[[#This Row],[Retained Player Name]]="","",VLOOKUP(OpenList[[#This Row],[Retained Player Name]],Players[],6,FALSE))</f>
        <v>SC Lion's Eugies</v>
      </c>
      <c r="I37" s="234" t="str">
        <f>IF(OpenList[[#This Row],[Retained Player Name]]="","",VLOOKUP(OpenList[[#This Row],[Retained Player Name]],Players[],4,FALSE))</f>
        <v>BEL0039</v>
      </c>
      <c r="J3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37" s="231"/>
      <c r="L37" s="231"/>
      <c r="M37" s="7"/>
    </row>
    <row r="38" spans="1:13" s="8" customFormat="1" ht="12.75" customHeight="1" x14ac:dyDescent="0.2">
      <c r="A38" s="16">
        <f>IF(AND(OpenList[[#This Row],[First &amp; Last Name]]="",OpenList[[#This Row],[FISTF Code]]=""),"",ROW()-ROW($A$11))</f>
        <v>27</v>
      </c>
      <c r="B38" s="232" t="s">
        <v>10090</v>
      </c>
      <c r="C38" s="436"/>
      <c r="D38" s="421" t="b">
        <f>IF(OpenList[[#This Row],[First &amp; Last Name]]="","",IFERROR(ISNUMBER(MATCH(OpenList[[#This Row],[First &amp; Last Name]],Players[Player Name],0)),FALSE))</f>
        <v>1</v>
      </c>
      <c r="E38" s="421" t="b">
        <f>IF(OpenList[[#This Row],[FISTF Code]]="",FALSE,IFERROR(ISNUMBER(MATCH(OpenList[[#This Row],[FISTF Code]],Players[FISTF Code],0)),FALSE))</f>
        <v>0</v>
      </c>
      <c r="F38" s="419" t="str">
        <f>IF(AND(OpenList[[#This Row],[First &amp; Last Name]]="",OpenList[[#This Row],[FISTF Code]]=""),"",IF(OpenList[[#This Row],[Valide Code ?]],INDEX(Players[Player Name],MATCH(OpenList[[#This Row],[FISTF Code]],Players[FISTF Code],0)),OpenList[[#This Row],[First &amp; Last Name]]))</f>
        <v>Andrea Di Vincenzo</v>
      </c>
      <c r="G38" s="233" t="str">
        <f>IF(OpenList[[#This Row],[Retained Player Name]]="","",VLOOKUP(OpenList[[#This Row],[Retained Player Name]],Players[],7,FALSE))</f>
        <v>ITA</v>
      </c>
      <c r="H38" s="233" t="str">
        <f>IF(OpenList[[#This Row],[Retained Player Name]]="","",VLOOKUP(OpenList[[#This Row],[Retained Player Name]],Players[],6,FALSE))</f>
        <v>Bologna Tigers Subbuteo</v>
      </c>
      <c r="I38" s="234" t="str">
        <f>IF(OpenList[[#This Row],[Retained Player Name]]="","",VLOOKUP(OpenList[[#This Row],[Retained Player Name]],Players[],4,FALSE))</f>
        <v>ITA0308</v>
      </c>
      <c r="J3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38" s="231"/>
      <c r="L38" s="231"/>
      <c r="M38" s="7"/>
    </row>
    <row r="39" spans="1:13" s="8" customFormat="1" ht="12.75" customHeight="1" x14ac:dyDescent="0.2">
      <c r="A39" s="16">
        <f>IF(AND(OpenList[[#This Row],[First &amp; Last Name]]="",OpenList[[#This Row],[FISTF Code]]=""),"",ROW()-ROW($A$11))</f>
        <v>28</v>
      </c>
      <c r="B39" s="232" t="s">
        <v>8697</v>
      </c>
      <c r="C39" s="436"/>
      <c r="D39" s="421" t="b">
        <f>IF(OpenList[[#This Row],[First &amp; Last Name]]="","",IFERROR(ISNUMBER(MATCH(OpenList[[#This Row],[First &amp; Last Name]],Players[Player Name],0)),FALSE))</f>
        <v>1</v>
      </c>
      <c r="E39" s="421" t="b">
        <f>IF(OpenList[[#This Row],[FISTF Code]]="",FALSE,IFERROR(ISNUMBER(MATCH(OpenList[[#This Row],[FISTF Code]],Players[FISTF Code],0)),FALSE))</f>
        <v>0</v>
      </c>
      <c r="F39" s="419" t="str">
        <f>IF(AND(OpenList[[#This Row],[First &amp; Last Name]]="",OpenList[[#This Row],[FISTF Code]]=""),"",IF(OpenList[[#This Row],[Valide Code ?]],INDEX(Players[Player Name],MATCH(OpenList[[#This Row],[FISTF Code]],Players[FISTF Code],0)),OpenList[[#This Row],[First &amp; Last Name]]))</f>
        <v>Axel Donval</v>
      </c>
      <c r="G39" s="233" t="str">
        <f>IF(OpenList[[#This Row],[Retained Player Name]]="","",VLOOKUP(OpenList[[#This Row],[Retained Player Name]],Players[],7,FALSE))</f>
        <v>FRA</v>
      </c>
      <c r="H39" s="233" t="str">
        <f>IF(OpenList[[#This Row],[Retained Player Name]]="","",VLOOKUP(OpenList[[#This Row],[Retained Player Name]],Players[],6,FALSE))</f>
        <v>FTC Issy-les-Moulineaux</v>
      </c>
      <c r="I39" s="234" t="str">
        <f>IF(OpenList[[#This Row],[Retained Player Name]]="","",VLOOKUP(OpenList[[#This Row],[Retained Player Name]],Players[],4,FALSE))</f>
        <v>FRA0019</v>
      </c>
      <c r="J3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39" s="231"/>
      <c r="L39" s="231"/>
      <c r="M39" s="7"/>
    </row>
    <row r="40" spans="1:13" s="8" customFormat="1" ht="12.75" customHeight="1" x14ac:dyDescent="0.2">
      <c r="A40" s="16">
        <f>IF(AND(OpenList[[#This Row],[First &amp; Last Name]]="",OpenList[[#This Row],[FISTF Code]]=""),"",ROW()-ROW($A$11))</f>
        <v>29</v>
      </c>
      <c r="B40" s="232" t="s">
        <v>8541</v>
      </c>
      <c r="C40" s="436"/>
      <c r="D40" s="421" t="b">
        <f>IF(OpenList[[#This Row],[First &amp; Last Name]]="","",IFERROR(ISNUMBER(MATCH(OpenList[[#This Row],[First &amp; Last Name]],Players[Player Name],0)),FALSE))</f>
        <v>1</v>
      </c>
      <c r="E40" s="421" t="b">
        <f>IF(OpenList[[#This Row],[FISTF Code]]="",FALSE,IFERROR(ISNUMBER(MATCH(OpenList[[#This Row],[FISTF Code]],Players[FISTF Code],0)),FALSE))</f>
        <v>0</v>
      </c>
      <c r="F40" s="419" t="str">
        <f>IF(AND(OpenList[[#This Row],[First &amp; Last Name]]="",OpenList[[#This Row],[FISTF Code]]=""),"",IF(OpenList[[#This Row],[Valide Code ?]],INDEX(Players[Player Name],MATCH(OpenList[[#This Row],[FISTF Code]],Players[FISTF Code],0)),OpenList[[#This Row],[First &amp; Last Name]]))</f>
        <v>Kevin Cordell</v>
      </c>
      <c r="G40" s="233" t="str">
        <f>IF(OpenList[[#This Row],[Retained Player Name]]="","",VLOOKUP(OpenList[[#This Row],[Retained Player Name]],Players[],7,FALSE))</f>
        <v>ENG</v>
      </c>
      <c r="H40" s="235" t="str">
        <f>IF(OpenList[[#This Row],[Retained Player Name]]="","",VLOOKUP(OpenList[[#This Row],[Retained Player Name]],Players[],6,FALSE))</f>
        <v>Wobbly Hobby Subbuteo Club</v>
      </c>
      <c r="I40" s="235" t="str">
        <f>IF(OpenList[[#This Row],[Retained Player Name]]="","",VLOOKUP(OpenList[[#This Row],[Retained Player Name]],Players[],4,FALSE))</f>
        <v>ENG0231</v>
      </c>
      <c r="J4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40" s="231"/>
      <c r="L40" s="231"/>
      <c r="M40" s="7"/>
    </row>
    <row r="41" spans="1:13" s="8" customFormat="1" ht="12.75" customHeight="1" x14ac:dyDescent="0.2">
      <c r="A41" s="16">
        <f>IF(AND(OpenList[[#This Row],[First &amp; Last Name]]="",OpenList[[#This Row],[FISTF Code]]=""),"",ROW()-ROW($A$11))</f>
        <v>30</v>
      </c>
      <c r="B41" s="232" t="s">
        <v>8104</v>
      </c>
      <c r="C41" s="436"/>
      <c r="D41" s="421" t="b">
        <f>IF(OpenList[[#This Row],[First &amp; Last Name]]="","",IFERROR(ISNUMBER(MATCH(OpenList[[#This Row],[First &amp; Last Name]],Players[Player Name],0)),FALSE))</f>
        <v>1</v>
      </c>
      <c r="E41" s="421" t="b">
        <f>IF(OpenList[[#This Row],[FISTF Code]]="",FALSE,IFERROR(ISNUMBER(MATCH(OpenList[[#This Row],[FISTF Code]],Players[FISTF Code],0)),FALSE))</f>
        <v>0</v>
      </c>
      <c r="F41" s="419" t="str">
        <f>IF(AND(OpenList[[#This Row],[First &amp; Last Name]]="",OpenList[[#This Row],[FISTF Code]]=""),"",IF(OpenList[[#This Row],[Valide Code ?]],INDEX(Players[Player Name],MATCH(OpenList[[#This Row],[FISTF Code]],Players[FISTF Code],0)),OpenList[[#This Row],[First &amp; Last Name]]))</f>
        <v>Jérôme Heyvaert</v>
      </c>
      <c r="G41" s="233" t="str">
        <f>IF(OpenList[[#This Row],[Retained Player Name]]="","",VLOOKUP(OpenList[[#This Row],[Retained Player Name]],Players[],7,FALSE))</f>
        <v>BEL</v>
      </c>
      <c r="H41" s="235" t="str">
        <f>IF(OpenList[[#This Row],[Retained Player Name]]="","",VLOOKUP(OpenList[[#This Row],[Retained Player Name]],Players[],6,FALSE))</f>
        <v>Master Sanremo</v>
      </c>
      <c r="I41" s="235" t="str">
        <f>IF(OpenList[[#This Row],[Retained Player Name]]="","",VLOOKUP(OpenList[[#This Row],[Retained Player Name]],Players[],4,FALSE))</f>
        <v>BEL0021</v>
      </c>
      <c r="J4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41" s="231"/>
      <c r="L41" s="231"/>
      <c r="M41" s="7"/>
    </row>
    <row r="42" spans="1:13" s="8" customFormat="1" ht="12.75" customHeight="1" x14ac:dyDescent="0.2">
      <c r="A42" s="16">
        <f>IF(AND(OpenList[[#This Row],[First &amp; Last Name]]="",OpenList[[#This Row],[FISTF Code]]=""),"",ROW()-ROW($A$11))</f>
        <v>31</v>
      </c>
      <c r="B42" s="232" t="s">
        <v>9705</v>
      </c>
      <c r="C42" s="436"/>
      <c r="D42" s="421" t="b">
        <f>IF(OpenList[[#This Row],[First &amp; Last Name]]="","",IFERROR(ISNUMBER(MATCH(OpenList[[#This Row],[First &amp; Last Name]],Players[Player Name],0)),FALSE))</f>
        <v>1</v>
      </c>
      <c r="E42" s="421" t="b">
        <f>IF(OpenList[[#This Row],[FISTF Code]]="",FALSE,IFERROR(ISNUMBER(MATCH(OpenList[[#This Row],[FISTF Code]],Players[FISTF Code],0)),FALSE))</f>
        <v>0</v>
      </c>
      <c r="F42" s="419" t="str">
        <f>IF(AND(OpenList[[#This Row],[First &amp; Last Name]]="",OpenList[[#This Row],[FISTF Code]]=""),"",IF(OpenList[[#This Row],[Valide Code ?]],INDEX(Players[Player Name],MATCH(OpenList[[#This Row],[FISTF Code]],Players[FISTF Code],0)),OpenList[[#This Row],[First &amp; Last Name]]))</f>
        <v>Marco Preziuso</v>
      </c>
      <c r="G42" s="233" t="str">
        <f>IF(OpenList[[#This Row],[Retained Player Name]]="","",VLOOKUP(OpenList[[#This Row],[Retained Player Name]],Players[],7,FALSE))</f>
        <v>ITA</v>
      </c>
      <c r="H42" s="235" t="str">
        <f>IF(OpenList[[#This Row],[Retained Player Name]]="","",VLOOKUP(OpenList[[#This Row],[Retained Player Name]],Players[],6,FALSE))</f>
        <v>ASD SC Salernitana</v>
      </c>
      <c r="I42" s="235" t="str">
        <f>IF(OpenList[[#This Row],[Retained Player Name]]="","",VLOOKUP(OpenList[[#This Row],[Retained Player Name]],Players[],4,FALSE))</f>
        <v>ITA0703</v>
      </c>
      <c r="J4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42" s="231"/>
      <c r="L42" s="231"/>
      <c r="M42" s="7"/>
    </row>
    <row r="43" spans="1:13" s="8" customFormat="1" ht="12.75" customHeight="1" x14ac:dyDescent="0.2">
      <c r="A43" s="16">
        <f>IF(AND(OpenList[[#This Row],[First &amp; Last Name]]="",OpenList[[#This Row],[FISTF Code]]=""),"",ROW()-ROW($A$11))</f>
        <v>32</v>
      </c>
      <c r="B43" s="232" t="s">
        <v>8148</v>
      </c>
      <c r="C43" s="436"/>
      <c r="D43" s="421" t="b">
        <f>IF(OpenList[[#This Row],[First &amp; Last Name]]="","",IFERROR(ISNUMBER(MATCH(OpenList[[#This Row],[First &amp; Last Name]],Players[Player Name],0)),FALSE))</f>
        <v>1</v>
      </c>
      <c r="E43" s="421" t="b">
        <f>IF(OpenList[[#This Row],[FISTF Code]]="",FALSE,IFERROR(ISNUMBER(MATCH(OpenList[[#This Row],[FISTF Code]],Players[FISTF Code],0)),FALSE))</f>
        <v>0</v>
      </c>
      <c r="F43" s="419" t="str">
        <f>IF(AND(OpenList[[#This Row],[First &amp; Last Name]]="",OpenList[[#This Row],[FISTF Code]]=""),"",IF(OpenList[[#This Row],[Valide Code ?]],INDEX(Players[Player Name],MATCH(OpenList[[#This Row],[FISTF Code]],Players[FISTF Code],0)),OpenList[[#This Row],[First &amp; Last Name]]))</f>
        <v>Matthias Averlant</v>
      </c>
      <c r="G43" s="233" t="str">
        <f>IF(OpenList[[#This Row],[Retained Player Name]]="","",VLOOKUP(OpenList[[#This Row],[Retained Player Name]],Players[],7,FALSE))</f>
        <v>BEL</v>
      </c>
      <c r="H43" s="235" t="str">
        <f>IF(OpenList[[#This Row],[Retained Player Name]]="","",VLOOKUP(OpenList[[#This Row],[Retained Player Name]],Players[],6,FALSE))</f>
        <v>Avenir Subbuteo Hennuyer</v>
      </c>
      <c r="I43" s="235" t="str">
        <f>IF(OpenList[[#This Row],[Retained Player Name]]="","",VLOOKUP(OpenList[[#This Row],[Retained Player Name]],Players[],4,FALSE))</f>
        <v>BEL0242</v>
      </c>
      <c r="J4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43" s="231"/>
      <c r="L43" s="231"/>
      <c r="M43" s="7"/>
    </row>
    <row r="44" spans="1:13" s="8" customFormat="1" ht="12.75" customHeight="1" x14ac:dyDescent="0.2">
      <c r="A44" s="16">
        <f>IF(AND(OpenList[[#This Row],[First &amp; Last Name]]="",OpenList[[#This Row],[FISTF Code]]=""),"",ROW()-ROW($A$11))</f>
        <v>33</v>
      </c>
      <c r="B44" s="232" t="s">
        <v>8922</v>
      </c>
      <c r="C44" s="436"/>
      <c r="D44" s="421" t="b">
        <f>IF(OpenList[[#This Row],[First &amp; Last Name]]="","",IFERROR(ISNUMBER(MATCH(OpenList[[#This Row],[First &amp; Last Name]],Players[Player Name],0)),FALSE))</f>
        <v>1</v>
      </c>
      <c r="E44" s="421" t="b">
        <f>IF(OpenList[[#This Row],[FISTF Code]]="",FALSE,IFERROR(ISNUMBER(MATCH(OpenList[[#This Row],[FISTF Code]],Players[FISTF Code],0)),FALSE))</f>
        <v>0</v>
      </c>
      <c r="F44" s="419" t="str">
        <f>IF(AND(OpenList[[#This Row],[First &amp; Last Name]]="",OpenList[[#This Row],[FISTF Code]]=""),"",IF(OpenList[[#This Row],[Valide Code ?]],INDEX(Players[Player Name],MATCH(OpenList[[#This Row],[FISTF Code]],Players[FISTF Code],0)),OpenList[[#This Row],[First &amp; Last Name]]))</f>
        <v>Georgios Genitsaropoulos</v>
      </c>
      <c r="G44" s="233" t="str">
        <f>IF(OpenList[[#This Row],[Retained Player Name]]="","",VLOOKUP(OpenList[[#This Row],[Retained Player Name]],Players[],7,FALSE))</f>
        <v>GRE</v>
      </c>
      <c r="H44" s="235" t="str">
        <f>IF(OpenList[[#This Row],[Retained Player Name]]="","",VLOOKUP(OpenList[[#This Row],[Retained Player Name]],Players[],6,FALSE))</f>
        <v>ASD SC Salernitana</v>
      </c>
      <c r="I44" s="235" t="str">
        <f>IF(OpenList[[#This Row],[Retained Player Name]]="","",VLOOKUP(OpenList[[#This Row],[Retained Player Name]],Players[],4,FALSE))</f>
        <v>GRE0333</v>
      </c>
      <c r="J4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44" s="231"/>
      <c r="L44" s="231"/>
      <c r="M44" s="7"/>
    </row>
    <row r="45" spans="1:13" s="8" customFormat="1" ht="12.75" customHeight="1" x14ac:dyDescent="0.2">
      <c r="A45" s="16">
        <f>IF(AND(OpenList[[#This Row],[First &amp; Last Name]]="",OpenList[[#This Row],[FISTF Code]]=""),"",ROW()-ROW($A$11))</f>
        <v>34</v>
      </c>
      <c r="B45" s="232" t="s">
        <v>10448</v>
      </c>
      <c r="C45" s="436"/>
      <c r="D45" s="421" t="b">
        <f>IF(OpenList[[#This Row],[First &amp; Last Name]]="","",IFERROR(ISNUMBER(MATCH(OpenList[[#This Row],[First &amp; Last Name]],Players[Player Name],0)),FALSE))</f>
        <v>1</v>
      </c>
      <c r="E45" s="421" t="b">
        <f>IF(OpenList[[#This Row],[FISTF Code]]="",FALSE,IFERROR(ISNUMBER(MATCH(OpenList[[#This Row],[FISTF Code]],Players[FISTF Code],0)),FALSE))</f>
        <v>0</v>
      </c>
      <c r="F45" s="419" t="str">
        <f>IF(AND(OpenList[[#This Row],[First &amp; Last Name]]="",OpenList[[#This Row],[FISTF Code]]=""),"",IF(OpenList[[#This Row],[Valide Code ?]],INDEX(Players[Player Name],MATCH(OpenList[[#This Row],[FISTF Code]],Players[FISTF Code],0)),OpenList[[#This Row],[First &amp; Last Name]]))</f>
        <v>Spencer Conti</v>
      </c>
      <c r="G45" s="233" t="str">
        <f>IF(OpenList[[#This Row],[Retained Player Name]]="","",VLOOKUP(OpenList[[#This Row],[Retained Player Name]],Players[],7,FALSE))</f>
        <v>MLT</v>
      </c>
      <c r="H45" s="235" t="str">
        <f>IF(OpenList[[#This Row],[Retained Player Name]]="","",VLOOKUP(OpenList[[#This Row],[Retained Player Name]],Players[],6,FALSE))</f>
        <v>Valletta Lions TFC</v>
      </c>
      <c r="I45" s="235" t="str">
        <f>IF(OpenList[[#This Row],[Retained Player Name]]="","",VLOOKUP(OpenList[[#This Row],[Retained Player Name]],Players[],4,FALSE))</f>
        <v>MLT0126</v>
      </c>
      <c r="J4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45" s="231"/>
      <c r="L45" s="231"/>
      <c r="M45" s="7"/>
    </row>
    <row r="46" spans="1:13" s="8" customFormat="1" ht="12.75" customHeight="1" x14ac:dyDescent="0.2">
      <c r="A46" s="16">
        <f>IF(AND(OpenList[[#This Row],[First &amp; Last Name]]="",OpenList[[#This Row],[FISTF Code]]=""),"",ROW()-ROW($A$11))</f>
        <v>35</v>
      </c>
      <c r="B46" s="232" t="s">
        <v>8165</v>
      </c>
      <c r="C46" s="436"/>
      <c r="D46" s="421" t="b">
        <f>IF(OpenList[[#This Row],[First &amp; Last Name]]="","",IFERROR(ISNUMBER(MATCH(OpenList[[#This Row],[First &amp; Last Name]],Players[Player Name],0)),FALSE))</f>
        <v>1</v>
      </c>
      <c r="E46" s="421" t="b">
        <f>IF(OpenList[[#This Row],[FISTF Code]]="",FALSE,IFERROR(ISNUMBER(MATCH(OpenList[[#This Row],[FISTF Code]],Players[FISTF Code],0)),FALSE))</f>
        <v>0</v>
      </c>
      <c r="F46" s="419" t="str">
        <f>IF(AND(OpenList[[#This Row],[First &amp; Last Name]]="",OpenList[[#This Row],[FISTF Code]]=""),"",IF(OpenList[[#This Row],[Valide Code ?]],INDEX(Players[Player Name],MATCH(OpenList[[#This Row],[FISTF Code]],Players[FISTF Code],0)),OpenList[[#This Row],[First &amp; Last Name]]))</f>
        <v>Christopher Sabetta</v>
      </c>
      <c r="G46" s="233" t="str">
        <f>IF(OpenList[[#This Row],[Retained Player Name]]="","",VLOOKUP(OpenList[[#This Row],[Retained Player Name]],Players[],7,FALSE))</f>
        <v>BEL</v>
      </c>
      <c r="H46" s="235" t="str">
        <f>IF(OpenList[[#This Row],[Retained Player Name]]="","",VLOOKUP(OpenList[[#This Row],[Retained Player Name]],Players[],6,FALSE))</f>
        <v>SC Lion's Eugies</v>
      </c>
      <c r="I46" s="235" t="str">
        <f>IF(OpenList[[#This Row],[Retained Player Name]]="","",VLOOKUP(OpenList[[#This Row],[Retained Player Name]],Players[],4,FALSE))</f>
        <v>BEL0318</v>
      </c>
      <c r="J4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46" s="231"/>
      <c r="L46" s="231"/>
      <c r="M46" s="7"/>
    </row>
    <row r="47" spans="1:13" s="8" customFormat="1" ht="12.75" customHeight="1" x14ac:dyDescent="0.2">
      <c r="A47" s="16">
        <f>IF(AND(OpenList[[#This Row],[First &amp; Last Name]]="",OpenList[[#This Row],[FISTF Code]]=""),"",ROW()-ROW($A$11))</f>
        <v>36</v>
      </c>
      <c r="B47" s="232" t="s">
        <v>10281</v>
      </c>
      <c r="C47" s="436"/>
      <c r="D47" s="421" t="b">
        <f>IF(OpenList[[#This Row],[First &amp; Last Name]]="","",IFERROR(ISNUMBER(MATCH(OpenList[[#This Row],[First &amp; Last Name]],Players[Player Name],0)),FALSE))</f>
        <v>1</v>
      </c>
      <c r="E47" s="421" t="b">
        <f>IF(OpenList[[#This Row],[FISTF Code]]="",FALSE,IFERROR(ISNUMBER(MATCH(OpenList[[#This Row],[FISTF Code]],Players[FISTF Code],0)),FALSE))</f>
        <v>0</v>
      </c>
      <c r="F47" s="419" t="str">
        <f>IF(AND(OpenList[[#This Row],[First &amp; Last Name]]="",OpenList[[#This Row],[FISTF Code]]=""),"",IF(OpenList[[#This Row],[Valide Code ?]],INDEX(Players[Player Name],MATCH(OpenList[[#This Row],[FISTF Code]],Players[FISTF Code],0)),OpenList[[#This Row],[First &amp; Last Name]]))</f>
        <v>Massimo Bolognino</v>
      </c>
      <c r="G47" s="233" t="str">
        <f>IF(OpenList[[#This Row],[Retained Player Name]]="","",VLOOKUP(OpenList[[#This Row],[Retained Player Name]],Players[],7,FALSE))</f>
        <v>ITA</v>
      </c>
      <c r="H47" s="235" t="str">
        <f>IF(OpenList[[#This Row],[Retained Player Name]]="","",VLOOKUP(OpenList[[#This Row],[Retained Player Name]],Players[],6,FALSE))</f>
        <v>CCT Eagles Napoli</v>
      </c>
      <c r="I47" s="235" t="str">
        <f>IF(OpenList[[#This Row],[Retained Player Name]]="","",VLOOKUP(OpenList[[#This Row],[Retained Player Name]],Players[],4,FALSE))</f>
        <v>ITA0111</v>
      </c>
      <c r="J4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47" s="231"/>
      <c r="L47" s="231"/>
      <c r="M47" s="7"/>
    </row>
    <row r="48" spans="1:13" s="8" customFormat="1" ht="12.75" customHeight="1" x14ac:dyDescent="0.2">
      <c r="A48" s="16">
        <f>IF(AND(OpenList[[#This Row],[First &amp; Last Name]]="",OpenList[[#This Row],[FISTF Code]]=""),"",ROW()-ROW($A$11))</f>
        <v>37</v>
      </c>
      <c r="B48" s="232" t="s">
        <v>8082</v>
      </c>
      <c r="C48" s="436"/>
      <c r="D48" s="421" t="b">
        <f>IF(OpenList[[#This Row],[First &amp; Last Name]]="","",IFERROR(ISNUMBER(MATCH(OpenList[[#This Row],[First &amp; Last Name]],Players[Player Name],0)),FALSE))</f>
        <v>1</v>
      </c>
      <c r="E48" s="421" t="b">
        <f>IF(OpenList[[#This Row],[FISTF Code]]="",FALSE,IFERROR(ISNUMBER(MATCH(OpenList[[#This Row],[FISTF Code]],Players[FISTF Code],0)),FALSE))</f>
        <v>0</v>
      </c>
      <c r="F48" s="419" t="str">
        <f>IF(AND(OpenList[[#This Row],[First &amp; Last Name]]="",OpenList[[#This Row],[FISTF Code]]=""),"",IF(OpenList[[#This Row],[Valide Code ?]],INDEX(Players[Player Name],MATCH(OpenList[[#This Row],[FISTF Code]],Players[FISTF Code],0)),OpenList[[#This Row],[First &amp; Last Name]]))</f>
        <v>Pierre De Leeuw</v>
      </c>
      <c r="G48" s="233" t="str">
        <f>IF(OpenList[[#This Row],[Retained Player Name]]="","",VLOOKUP(OpenList[[#This Row],[Retained Player Name]],Players[],7,FALSE))</f>
        <v>BEL</v>
      </c>
      <c r="H48" s="235" t="str">
        <f>IF(OpenList[[#This Row],[Retained Player Name]]="","",VLOOKUP(OpenList[[#This Row],[Retained Player Name]],Players[],6,FALSE))</f>
        <v>SC Charleroi</v>
      </c>
      <c r="I48" s="235" t="str">
        <f>IF(OpenList[[#This Row],[Retained Player Name]]="","",VLOOKUP(OpenList[[#This Row],[Retained Player Name]],Players[],4,FALSE))</f>
        <v>BEL0015</v>
      </c>
      <c r="J4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48" s="231"/>
      <c r="L48" s="231"/>
      <c r="M48" s="7"/>
    </row>
    <row r="49" spans="1:13" s="8" customFormat="1" ht="12.75" customHeight="1" x14ac:dyDescent="0.2">
      <c r="A49" s="16">
        <f>IF(AND(OpenList[[#This Row],[First &amp; Last Name]]="",OpenList[[#This Row],[FISTF Code]]=""),"",ROW()-ROW($A$11))</f>
        <v>38</v>
      </c>
      <c r="B49" s="232" t="s">
        <v>10089</v>
      </c>
      <c r="C49" s="436"/>
      <c r="D49" s="421" t="b">
        <f>IF(OpenList[[#This Row],[First &amp; Last Name]]="","",IFERROR(ISNUMBER(MATCH(OpenList[[#This Row],[First &amp; Last Name]],Players[Player Name],0)),FALSE))</f>
        <v>1</v>
      </c>
      <c r="E49" s="421" t="b">
        <f>IF(OpenList[[#This Row],[FISTF Code]]="",FALSE,IFERROR(ISNUMBER(MATCH(OpenList[[#This Row],[FISTF Code]],Players[FISTF Code],0)),FALSE))</f>
        <v>0</v>
      </c>
      <c r="F49" s="419" t="str">
        <f>IF(AND(OpenList[[#This Row],[First &amp; Last Name]]="",OpenList[[#This Row],[FISTF Code]]=""),"",IF(OpenList[[#This Row],[Valide Code ?]],INDEX(Players[Player Name],MATCH(OpenList[[#This Row],[FISTF Code]],Players[FISTF Code],0)),OpenList[[#This Row],[First &amp; Last Name]]))</f>
        <v>Marco Di Vito</v>
      </c>
      <c r="G49" s="233" t="str">
        <f>IF(OpenList[[#This Row],[Retained Player Name]]="","",VLOOKUP(OpenList[[#This Row],[Retained Player Name]],Players[],7,FALSE))</f>
        <v>ITA</v>
      </c>
      <c r="H49" s="235" t="str">
        <f>IF(OpenList[[#This Row],[Retained Player Name]]="","",VLOOKUP(OpenList[[#This Row],[Retained Player Name]],Players[],6,FALSE))</f>
        <v>CCT Eagles Napoli</v>
      </c>
      <c r="I49" s="235" t="str">
        <f>IF(OpenList[[#This Row],[Retained Player Name]]="","",VLOOKUP(OpenList[[#This Row],[Retained Player Name]],Players[],4,FALSE))</f>
        <v>ITA1061</v>
      </c>
      <c r="J4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49" s="231"/>
      <c r="L49" s="231"/>
      <c r="M49" s="7"/>
    </row>
    <row r="50" spans="1:13" s="8" customFormat="1" ht="12.75" customHeight="1" x14ac:dyDescent="0.2">
      <c r="A50" s="16">
        <f>IF(AND(OpenList[[#This Row],[First &amp; Last Name]]="",OpenList[[#This Row],[FISTF Code]]=""),"",ROW()-ROW($A$11))</f>
        <v>39</v>
      </c>
      <c r="B50" s="232" t="s">
        <v>14019</v>
      </c>
      <c r="C50" s="436"/>
      <c r="D50" s="421" t="b">
        <f>IF(OpenList[[#This Row],[First &amp; Last Name]]="","",IFERROR(ISNUMBER(MATCH(OpenList[[#This Row],[First &amp; Last Name]],Players[Player Name],0)),FALSE))</f>
        <v>1</v>
      </c>
      <c r="E50" s="421" t="b">
        <f>IF(OpenList[[#This Row],[FISTF Code]]="",FALSE,IFERROR(ISNUMBER(MATCH(OpenList[[#This Row],[FISTF Code]],Players[FISTF Code],0)),FALSE))</f>
        <v>0</v>
      </c>
      <c r="F50" s="419" t="str">
        <f>IF(AND(OpenList[[#This Row],[First &amp; Last Name]]="",OpenList[[#This Row],[FISTF Code]]=""),"",IF(OpenList[[#This Row],[Valide Code ?]],INDEX(Players[Player Name],MATCH(OpenList[[#This Row],[FISTF Code]],Players[FISTF Code],0)),OpenList[[#This Row],[First &amp; Last Name]]))</f>
        <v>Stylianos Tsangouris</v>
      </c>
      <c r="G50" s="233" t="str">
        <f>IF(OpenList[[#This Row],[Retained Player Name]]="","",VLOOKUP(OpenList[[#This Row],[Retained Player Name]],Players[],7,FALSE))</f>
        <v>GRE</v>
      </c>
      <c r="H50" s="235" t="str">
        <f>IF(OpenList[[#This Row],[Retained Player Name]]="","",VLOOKUP(OpenList[[#This Row],[Retained Player Name]],Players[],6,FALSE))</f>
        <v>Atlas FTC</v>
      </c>
      <c r="I50" s="235" t="str">
        <f>IF(OpenList[[#This Row],[Retained Player Name]]="","",VLOOKUP(OpenList[[#This Row],[Retained Player Name]],Players[],4,FALSE))</f>
        <v>GRE0820</v>
      </c>
      <c r="J5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50" s="231"/>
      <c r="L50" s="231"/>
      <c r="M50" s="7"/>
    </row>
    <row r="51" spans="1:13" s="8" customFormat="1" ht="12.75" customHeight="1" x14ac:dyDescent="0.2">
      <c r="A51" s="322">
        <f>IF(AND(OpenList[[#This Row],[First &amp; Last Name]]="",OpenList[[#This Row],[FISTF Code]]=""),"",ROW()-ROW($A$11))</f>
        <v>40</v>
      </c>
      <c r="B51" s="323" t="s">
        <v>10783</v>
      </c>
      <c r="C51" s="437"/>
      <c r="D51" s="422" t="b">
        <f>IF(OpenList[[#This Row],[First &amp; Last Name]]="","",IFERROR(ISNUMBER(MATCH(OpenList[[#This Row],[First &amp; Last Name]],Players[Player Name],0)),FALSE))</f>
        <v>1</v>
      </c>
      <c r="E51" s="421" t="b">
        <f>IF(OpenList[[#This Row],[FISTF Code]]="",FALSE,IFERROR(ISNUMBER(MATCH(OpenList[[#This Row],[FISTF Code]],Players[FISTF Code],0)),FALSE))</f>
        <v>0</v>
      </c>
      <c r="F51" s="419" t="str">
        <f>IF(AND(OpenList[[#This Row],[First &amp; Last Name]]="",OpenList[[#This Row],[FISTF Code]]=""),"",IF(OpenList[[#This Row],[Valide Code ?]],INDEX(Players[Player Name],MATCH(OpenList[[#This Row],[FISTF Code]],Players[FISTF Code],0)),OpenList[[#This Row],[First &amp; Last Name]]))</f>
        <v>Mongi Rouis</v>
      </c>
      <c r="G51" s="233" t="str">
        <f>IF(OpenList[[#This Row],[Retained Player Name]]="","",VLOOKUP(OpenList[[#This Row],[Retained Player Name]],Players[],7,FALSE))</f>
        <v>TUN</v>
      </c>
      <c r="H51" s="235" t="str">
        <f>IF(OpenList[[#This Row],[Retained Player Name]]="","",VLOOKUP(OpenList[[#This Row],[Retained Player Name]],Players[],6,FALSE))</f>
        <v>SC Lion's Eugies</v>
      </c>
      <c r="I51" s="235" t="str">
        <f>IF(OpenList[[#This Row],[Retained Player Name]]="","",VLOOKUP(OpenList[[#This Row],[Retained Player Name]],Players[],4,FALSE))</f>
        <v>TUN0002</v>
      </c>
      <c r="J5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1" s="231"/>
      <c r="L51" s="231"/>
      <c r="M51" s="7"/>
    </row>
    <row r="52" spans="1:13" s="8" customFormat="1" ht="12.75" customHeight="1" x14ac:dyDescent="0.2">
      <c r="A52" s="322">
        <f>IF(AND(OpenList[[#This Row],[First &amp; Last Name]]="",OpenList[[#This Row],[FISTF Code]]=""),"",ROW()-ROW($A$11))</f>
        <v>41</v>
      </c>
      <c r="B52" s="323" t="s">
        <v>8109</v>
      </c>
      <c r="C52" s="437"/>
      <c r="D52" s="422" t="b">
        <f>IF(OpenList[[#This Row],[First &amp; Last Name]]="","",IFERROR(ISNUMBER(MATCH(OpenList[[#This Row],[First &amp; Last Name]],Players[Player Name],0)),FALSE))</f>
        <v>1</v>
      </c>
      <c r="E52" s="421" t="b">
        <f>IF(OpenList[[#This Row],[FISTF Code]]="",FALSE,IFERROR(ISNUMBER(MATCH(OpenList[[#This Row],[FISTF Code]],Players[FISTF Code],0)),FALSE))</f>
        <v>0</v>
      </c>
      <c r="F52" s="419" t="str">
        <f>IF(AND(OpenList[[#This Row],[First &amp; Last Name]]="",OpenList[[#This Row],[FISTF Code]]=""),"",IF(OpenList[[#This Row],[Valide Code ?]],INDEX(Players[Player Name],MATCH(OpenList[[#This Row],[FISTF Code]],Players[FISTF Code],0)),OpenList[[#This Row],[First &amp; Last Name]]))</f>
        <v>Joffray Laurent</v>
      </c>
      <c r="G52" s="233" t="str">
        <f>IF(OpenList[[#This Row],[Retained Player Name]]="","",VLOOKUP(OpenList[[#This Row],[Retained Player Name]],Players[],7,FALSE))</f>
        <v>BEL</v>
      </c>
      <c r="H52" s="235" t="str">
        <f>IF(OpenList[[#This Row],[Retained Player Name]]="","",VLOOKUP(OpenList[[#This Row],[Retained Player Name]],Players[],6,FALSE))</f>
        <v>SC Lion's Eugies</v>
      </c>
      <c r="I52" s="235" t="str">
        <f>IF(OpenList[[#This Row],[Retained Player Name]]="","",VLOOKUP(OpenList[[#This Row],[Retained Player Name]],Players[],4,FALSE))</f>
        <v>BEL0033</v>
      </c>
      <c r="J5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2" s="231"/>
      <c r="L52" s="231"/>
      <c r="M52" s="7"/>
    </row>
    <row r="53" spans="1:13" s="8" customFormat="1" ht="12.75" customHeight="1" x14ac:dyDescent="0.2">
      <c r="A53" s="322">
        <f>IF(AND(OpenList[[#This Row],[First &amp; Last Name]]="",OpenList[[#This Row],[FISTF Code]]=""),"",ROW()-ROW($A$11))</f>
        <v>42</v>
      </c>
      <c r="B53" s="323" t="s">
        <v>8549</v>
      </c>
      <c r="C53" s="437"/>
      <c r="D53" s="422" t="b">
        <f>IF(OpenList[[#This Row],[First &amp; Last Name]]="","",IFERROR(ISNUMBER(MATCH(OpenList[[#This Row],[First &amp; Last Name]],Players[Player Name],0)),FALSE))</f>
        <v>1</v>
      </c>
      <c r="E53" s="421" t="b">
        <f>IF(OpenList[[#This Row],[FISTF Code]]="",FALSE,IFERROR(ISNUMBER(MATCH(OpenList[[#This Row],[FISTF Code]],Players[FISTF Code],0)),FALSE))</f>
        <v>0</v>
      </c>
      <c r="F53" s="419" t="str">
        <f>IF(AND(OpenList[[#This Row],[First &amp; Last Name]]="",OpenList[[#This Row],[FISTF Code]]=""),"",IF(OpenList[[#This Row],[Valide Code ?]],INDEX(Players[Player Name],MATCH(OpenList[[#This Row],[FISTF Code]],Players[FISTF Code],0)),OpenList[[#This Row],[First &amp; Last Name]]))</f>
        <v>Mick Hammonds</v>
      </c>
      <c r="G53" s="233" t="str">
        <f>IF(OpenList[[#This Row],[Retained Player Name]]="","",VLOOKUP(OpenList[[#This Row],[Retained Player Name]],Players[],7,FALSE))</f>
        <v>ENG</v>
      </c>
      <c r="H53" s="235" t="str">
        <f>IF(OpenList[[#This Row],[Retained Player Name]]="","",VLOOKUP(OpenList[[#This Row],[Retained Player Name]],Players[],6,FALSE))</f>
        <v>Wolverhampton Table Football Club</v>
      </c>
      <c r="I53" s="235" t="str">
        <f>IF(OpenList[[#This Row],[Retained Player Name]]="","",VLOOKUP(OpenList[[#This Row],[Retained Player Name]],Players[],4,FALSE))</f>
        <v>ENG0346</v>
      </c>
      <c r="J5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3" s="231"/>
      <c r="L53" s="231"/>
      <c r="M53" s="7"/>
    </row>
    <row r="54" spans="1:13" s="8" customFormat="1" ht="12.75" customHeight="1" x14ac:dyDescent="0.2">
      <c r="A54" s="322">
        <f>IF(AND(OpenList[[#This Row],[First &amp; Last Name]]="",OpenList[[#This Row],[FISTF Code]]=""),"",ROW()-ROW($A$11))</f>
        <v>43</v>
      </c>
      <c r="B54" s="323" t="s">
        <v>8100</v>
      </c>
      <c r="C54" s="437"/>
      <c r="D54" s="422" t="b">
        <f>IF(OpenList[[#This Row],[First &amp; Last Name]]="","",IFERROR(ISNUMBER(MATCH(OpenList[[#This Row],[First &amp; Last Name]],Players[Player Name],0)),FALSE))</f>
        <v>1</v>
      </c>
      <c r="E54" s="421" t="b">
        <f>IF(OpenList[[#This Row],[FISTF Code]]="",FALSE,IFERROR(ISNUMBER(MATCH(OpenList[[#This Row],[FISTF Code]],Players[FISTF Code],0)),FALSE))</f>
        <v>0</v>
      </c>
      <c r="F54" s="419" t="str">
        <f>IF(AND(OpenList[[#This Row],[First &amp; Last Name]]="",OpenList[[#This Row],[FISTF Code]]=""),"",IF(OpenList[[#This Row],[Valide Code ?]],INDEX(Players[Player Name],MATCH(OpenList[[#This Row],[FISTF Code]],Players[FISTF Code],0)),OpenList[[#This Row],[First &amp; Last Name]]))</f>
        <v>Ralf Gregoire</v>
      </c>
      <c r="G54" s="233" t="str">
        <f>IF(OpenList[[#This Row],[Retained Player Name]]="","",VLOOKUP(OpenList[[#This Row],[Retained Player Name]],Players[],7,FALSE))</f>
        <v>BEL</v>
      </c>
      <c r="H54" s="235" t="str">
        <f>IF(OpenList[[#This Row],[Retained Player Name]]="","",VLOOKUP(OpenList[[#This Row],[Retained Player Name]],Players[],6,FALSE))</f>
        <v>US Huy</v>
      </c>
      <c r="I54" s="235" t="str">
        <f>IF(OpenList[[#This Row],[Retained Player Name]]="","",VLOOKUP(OpenList[[#This Row],[Retained Player Name]],Players[],4,FALSE))</f>
        <v>BEL0163</v>
      </c>
      <c r="J5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4" s="231"/>
      <c r="L54" s="231"/>
      <c r="M54" s="7"/>
    </row>
    <row r="55" spans="1:13" s="8" customFormat="1" ht="12.75" customHeight="1" x14ac:dyDescent="0.2">
      <c r="A55" s="322">
        <f>IF(AND(OpenList[[#This Row],[First &amp; Last Name]]="",OpenList[[#This Row],[FISTF Code]]=""),"",ROW()-ROW($A$11))</f>
        <v>44</v>
      </c>
      <c r="B55" s="323" t="s">
        <v>10088</v>
      </c>
      <c r="C55" s="437"/>
      <c r="D55" s="422" t="b">
        <f>IF(OpenList[[#This Row],[First &amp; Last Name]]="","",IFERROR(ISNUMBER(MATCH(OpenList[[#This Row],[First &amp; Last Name]],Players[Player Name],0)),FALSE))</f>
        <v>1</v>
      </c>
      <c r="E55" s="421" t="b">
        <f>IF(OpenList[[#This Row],[FISTF Code]]="",FALSE,IFERROR(ISNUMBER(MATCH(OpenList[[#This Row],[FISTF Code]],Players[FISTF Code],0)),FALSE))</f>
        <v>0</v>
      </c>
      <c r="F55" s="419" t="str">
        <f>IF(AND(OpenList[[#This Row],[First &amp; Last Name]]="",OpenList[[#This Row],[FISTF Code]]=""),"",IF(OpenList[[#This Row],[Valide Code ?]],INDEX(Players[Player Name],MATCH(OpenList[[#This Row],[FISTF Code]],Players[FISTF Code],0)),OpenList[[#This Row],[First &amp; Last Name]]))</f>
        <v>Luigi Di Vito</v>
      </c>
      <c r="G55" s="233" t="str">
        <f>IF(OpenList[[#This Row],[Retained Player Name]]="","",VLOOKUP(OpenList[[#This Row],[Retained Player Name]],Players[],7,FALSE))</f>
        <v>ITA</v>
      </c>
      <c r="H55" s="235" t="str">
        <f>IF(OpenList[[#This Row],[Retained Player Name]]="","",VLOOKUP(OpenList[[#This Row],[Retained Player Name]],Players[],6,FALSE))</f>
        <v>CCT Eagles Napoli</v>
      </c>
      <c r="I55" s="235" t="str">
        <f>IF(OpenList[[#This Row],[Retained Player Name]]="","",VLOOKUP(OpenList[[#This Row],[Retained Player Name]],Players[],4,FALSE))</f>
        <v>ITA1060</v>
      </c>
      <c r="J5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55" s="231"/>
      <c r="L55" s="231"/>
      <c r="M55" s="7"/>
    </row>
    <row r="56" spans="1:13" s="8" customFormat="1" ht="12.75" customHeight="1" x14ac:dyDescent="0.2">
      <c r="A56" s="322">
        <f>IF(AND(OpenList[[#This Row],[First &amp; Last Name]]="",OpenList[[#This Row],[FISTF Code]]=""),"",ROW()-ROW($A$11))</f>
        <v>45</v>
      </c>
      <c r="B56" s="323" t="s">
        <v>8050</v>
      </c>
      <c r="C56" s="437"/>
      <c r="D56" s="422" t="b">
        <f>IF(OpenList[[#This Row],[First &amp; Last Name]]="","",IFERROR(ISNUMBER(MATCH(OpenList[[#This Row],[First &amp; Last Name]],Players[Player Name],0)),FALSE))</f>
        <v>1</v>
      </c>
      <c r="E56" s="421" t="b">
        <f>IF(OpenList[[#This Row],[FISTF Code]]="",FALSE,IFERROR(ISNUMBER(MATCH(OpenList[[#This Row],[FISTF Code]],Players[FISTF Code],0)),FALSE))</f>
        <v>0</v>
      </c>
      <c r="F56" s="419" t="str">
        <f>IF(AND(OpenList[[#This Row],[First &amp; Last Name]]="",OpenList[[#This Row],[FISTF Code]]=""),"",IF(OpenList[[#This Row],[Valide Code ?]],INDEX(Players[Player Name],MATCH(OpenList[[#This Row],[FISTF Code]],Players[FISTF Code],0)),OpenList[[#This Row],[First &amp; Last Name]]))</f>
        <v>Thomas Wittmann</v>
      </c>
      <c r="G56" s="233" t="str">
        <f>IF(OpenList[[#This Row],[Retained Player Name]]="","",VLOOKUP(OpenList[[#This Row],[Retained Player Name]],Players[],7,FALSE))</f>
        <v>AUT</v>
      </c>
      <c r="H56" s="235" t="str">
        <f>IF(OpenList[[#This Row],[Retained Player Name]]="","",VLOOKUP(OpenList[[#This Row],[Retained Player Name]],Players[],6,FALSE))</f>
        <v>TSC Royal 78 Kaisermühlen</v>
      </c>
      <c r="I56" s="235" t="str">
        <f>IF(OpenList[[#This Row],[Retained Player Name]]="","",VLOOKUP(OpenList[[#This Row],[Retained Player Name]],Players[],4,FALSE))</f>
        <v>AUT0041</v>
      </c>
      <c r="J5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56" s="231"/>
      <c r="L56" s="231"/>
      <c r="M56" s="7"/>
    </row>
    <row r="57" spans="1:13" s="8" customFormat="1" ht="12.75" customHeight="1" x14ac:dyDescent="0.2">
      <c r="A57" s="322">
        <f>IF(AND(OpenList[[#This Row],[First &amp; Last Name]]="",OpenList[[#This Row],[FISTF Code]]=""),"",ROW()-ROW($A$11))</f>
        <v>46</v>
      </c>
      <c r="B57" s="323" t="s">
        <v>10216</v>
      </c>
      <c r="C57" s="437"/>
      <c r="D57" s="422" t="b">
        <f>IF(OpenList[[#This Row],[First &amp; Last Name]]="","",IFERROR(ISNUMBER(MATCH(OpenList[[#This Row],[First &amp; Last Name]],Players[Player Name],0)),FALSE))</f>
        <v>1</v>
      </c>
      <c r="E57" s="421" t="b">
        <f>IF(OpenList[[#This Row],[FISTF Code]]="",FALSE,IFERROR(ISNUMBER(MATCH(OpenList[[#This Row],[FISTF Code]],Players[FISTF Code],0)),FALSE))</f>
        <v>0</v>
      </c>
      <c r="F57" s="419" t="str">
        <f>IF(AND(OpenList[[#This Row],[First &amp; Last Name]]="",OpenList[[#This Row],[FISTF Code]]=""),"",IF(OpenList[[#This Row],[Valide Code ?]],INDEX(Players[Player Name],MATCH(OpenList[[#This Row],[FISTF Code]],Players[FISTF Code],0)),OpenList[[#This Row],[First &amp; Last Name]]))</f>
        <v>Fabrizio Cavazza</v>
      </c>
      <c r="G57" s="233" t="str">
        <f>IF(OpenList[[#This Row],[Retained Player Name]]="","",VLOOKUP(OpenList[[#This Row],[Retained Player Name]],Players[],7,FALSE))</f>
        <v>ITA</v>
      </c>
      <c r="H57" s="235" t="str">
        <f>IF(OpenList[[#This Row],[Retained Player Name]]="","",VLOOKUP(OpenList[[#This Row],[Retained Player Name]],Players[],6,FALSE))</f>
        <v>GCT DLF Gorizia</v>
      </c>
      <c r="I57" s="235" t="str">
        <f>IF(OpenList[[#This Row],[Retained Player Name]]="","",VLOOKUP(OpenList[[#This Row],[Retained Player Name]],Players[],4,FALSE))</f>
        <v>ITA3173</v>
      </c>
      <c r="J5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7" s="231"/>
      <c r="L57" s="231"/>
      <c r="M57" s="7"/>
    </row>
    <row r="58" spans="1:13" s="8" customFormat="1" ht="12.75" customHeight="1" x14ac:dyDescent="0.2">
      <c r="A58" s="322">
        <f>IF(AND(OpenList[[#This Row],[First &amp; Last Name]]="",OpenList[[#This Row],[FISTF Code]]=""),"",ROW()-ROW($A$11))</f>
        <v>47</v>
      </c>
      <c r="B58" s="323" t="s">
        <v>8164</v>
      </c>
      <c r="C58" s="437"/>
      <c r="D58" s="422" t="b">
        <f>IF(OpenList[[#This Row],[First &amp; Last Name]]="","",IFERROR(ISNUMBER(MATCH(OpenList[[#This Row],[First &amp; Last Name]],Players[Player Name],0)),FALSE))</f>
        <v>1</v>
      </c>
      <c r="E58" s="421" t="b">
        <f>IF(OpenList[[#This Row],[FISTF Code]]="",FALSE,IFERROR(ISNUMBER(MATCH(OpenList[[#This Row],[FISTF Code]],Players[FISTF Code],0)),FALSE))</f>
        <v>0</v>
      </c>
      <c r="F58" s="419" t="str">
        <f>IF(AND(OpenList[[#This Row],[First &amp; Last Name]]="",OpenList[[#This Row],[FISTF Code]]=""),"",IF(OpenList[[#This Row],[Valide Code ?]],INDEX(Players[Player Name],MATCH(OpenList[[#This Row],[FISTF Code]],Players[FISTF Code],0)),OpenList[[#This Row],[First &amp; Last Name]]))</f>
        <v>Bruno Timpano</v>
      </c>
      <c r="G58" s="233" t="str">
        <f>IF(OpenList[[#This Row],[Retained Player Name]]="","",VLOOKUP(OpenList[[#This Row],[Retained Player Name]],Players[],7,FALSE))</f>
        <v>BEL</v>
      </c>
      <c r="H58" s="235" t="str">
        <f>IF(OpenList[[#This Row],[Retained Player Name]]="","",VLOOKUP(OpenList[[#This Row],[Retained Player Name]],Players[],6,FALSE))</f>
        <v>SC Lion's Eugies</v>
      </c>
      <c r="I58" s="235" t="str">
        <f>IF(OpenList[[#This Row],[Retained Player Name]]="","",VLOOKUP(OpenList[[#This Row],[Retained Player Name]],Players[],4,FALSE))</f>
        <v>BEL0316</v>
      </c>
      <c r="J5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58" s="231"/>
      <c r="L58" s="231"/>
      <c r="M58" s="7"/>
    </row>
    <row r="59" spans="1:13" s="8" customFormat="1" ht="12.75" customHeight="1" x14ac:dyDescent="0.2">
      <c r="A59" s="322">
        <f>IF(AND(OpenList[[#This Row],[First &amp; Last Name]]="",OpenList[[#This Row],[FISTF Code]]=""),"",ROW()-ROW($A$11))</f>
        <v>48</v>
      </c>
      <c r="B59" s="323" t="s">
        <v>8720</v>
      </c>
      <c r="C59" s="437"/>
      <c r="D59" s="422" t="b">
        <f>IF(OpenList[[#This Row],[First &amp; Last Name]]="","",IFERROR(ISNUMBER(MATCH(OpenList[[#This Row],[First &amp; Last Name]],Players[Player Name],0)),FALSE))</f>
        <v>1</v>
      </c>
      <c r="E59" s="421" t="b">
        <f>IF(OpenList[[#This Row],[FISTF Code]]="",FALSE,IFERROR(ISNUMBER(MATCH(OpenList[[#This Row],[FISTF Code]],Players[FISTF Code],0)),FALSE))</f>
        <v>0</v>
      </c>
      <c r="F59" s="419" t="str">
        <f>IF(AND(OpenList[[#This Row],[First &amp; Last Name]]="",OpenList[[#This Row],[FISTF Code]]=""),"",IF(OpenList[[#This Row],[Valide Code ?]],INDEX(Players[Player Name],MATCH(OpenList[[#This Row],[FISTF Code]],Players[FISTF Code],0)),OpenList[[#This Row],[First &amp; Last Name]]))</f>
        <v>Christophe Monteiro</v>
      </c>
      <c r="G59" s="233" t="str">
        <f>IF(OpenList[[#This Row],[Retained Player Name]]="","",VLOOKUP(OpenList[[#This Row],[Retained Player Name]],Players[],7,FALSE))</f>
        <v>FRA</v>
      </c>
      <c r="H59" s="235" t="str">
        <f>IF(OpenList[[#This Row],[Retained Player Name]]="","",VLOOKUP(OpenList[[#This Row],[Retained Player Name]],Players[],6,FALSE))</f>
        <v>FTC Issy-les-Moulineaux</v>
      </c>
      <c r="I59" s="235" t="str">
        <f>IF(OpenList[[#This Row],[Retained Player Name]]="","",VLOOKUP(OpenList[[#This Row],[Retained Player Name]],Players[],4,FALSE))</f>
        <v>FRA0164</v>
      </c>
      <c r="J5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59" s="231"/>
      <c r="L59" s="231"/>
      <c r="M59" s="7"/>
    </row>
    <row r="60" spans="1:13" s="8" customFormat="1" ht="12.75" customHeight="1" x14ac:dyDescent="0.2">
      <c r="A60" s="322">
        <f>IF(AND(OpenList[[#This Row],[First &amp; Last Name]]="",OpenList[[#This Row],[FISTF Code]]=""),"",ROW()-ROW($A$11))</f>
        <v>49</v>
      </c>
      <c r="B60" s="323" t="s">
        <v>9915</v>
      </c>
      <c r="C60" s="437"/>
      <c r="D60" s="422" t="b">
        <f>IF(OpenList[[#This Row],[First &amp; Last Name]]="","",IFERROR(ISNUMBER(MATCH(OpenList[[#This Row],[First &amp; Last Name]],Players[Player Name],0)),FALSE))</f>
        <v>1</v>
      </c>
      <c r="E60" s="421" t="b">
        <f>IF(OpenList[[#This Row],[FISTF Code]]="",FALSE,IFERROR(ISNUMBER(MATCH(OpenList[[#This Row],[FISTF Code]],Players[FISTF Code],0)),FALSE))</f>
        <v>0</v>
      </c>
      <c r="F60" s="419" t="str">
        <f>IF(AND(OpenList[[#This Row],[First &amp; Last Name]]="",OpenList[[#This Row],[FISTF Code]]=""),"",IF(OpenList[[#This Row],[Valide Code ?]],INDEX(Players[Player Name],MATCH(OpenList[[#This Row],[FISTF Code]],Players[FISTF Code],0)),OpenList[[#This Row],[First &amp; Last Name]]))</f>
        <v>Emanuele Licheri</v>
      </c>
      <c r="G60" s="233" t="str">
        <f>IF(OpenList[[#This Row],[Retained Player Name]]="","",VLOOKUP(OpenList[[#This Row],[Retained Player Name]],Players[],7,FALSE))</f>
        <v>ITA</v>
      </c>
      <c r="H60" s="235" t="str">
        <f>IF(OpenList[[#This Row],[Retained Player Name]]="","",VLOOKUP(OpenList[[#This Row],[Retained Player Name]],Players[],6,FALSE))</f>
        <v>F.Lli Bari Reggio Emilia</v>
      </c>
      <c r="I60" s="235" t="str">
        <f>IF(OpenList[[#This Row],[Retained Player Name]]="","",VLOOKUP(OpenList[[#This Row],[Retained Player Name]],Players[],4,FALSE))</f>
        <v>ITA0481</v>
      </c>
      <c r="J6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60" s="231"/>
      <c r="L60" s="231"/>
      <c r="M60" s="7"/>
    </row>
    <row r="61" spans="1:13" s="8" customFormat="1" ht="12.75" customHeight="1" x14ac:dyDescent="0.2">
      <c r="A61" s="322">
        <f>IF(AND(OpenList[[#This Row],[First &amp; Last Name]]="",OpenList[[#This Row],[FISTF Code]]=""),"",ROW()-ROW($A$11))</f>
        <v>50</v>
      </c>
      <c r="B61" s="323" t="s">
        <v>11084</v>
      </c>
      <c r="C61" s="437"/>
      <c r="D61" s="422" t="b">
        <f>IF(OpenList[[#This Row],[First &amp; Last Name]]="","",IFERROR(ISNUMBER(MATCH(OpenList[[#This Row],[First &amp; Last Name]],Players[Player Name],0)),FALSE))</f>
        <v>1</v>
      </c>
      <c r="E61" s="421" t="b">
        <f>IF(OpenList[[#This Row],[FISTF Code]]="",FALSE,IFERROR(ISNUMBER(MATCH(OpenList[[#This Row],[FISTF Code]],Players[FISTF Code],0)),FALSE))</f>
        <v>0</v>
      </c>
      <c r="F61" s="419" t="str">
        <f>IF(AND(OpenList[[#This Row],[First &amp; Last Name]]="",OpenList[[#This Row],[FISTF Code]]=""),"",IF(OpenList[[#This Row],[Valide Code ?]],INDEX(Players[Player Name],MATCH(OpenList[[#This Row],[FISTF Code]],Players[FISTF Code],0)),OpenList[[#This Row],[First &amp; Last Name]]))</f>
        <v>Rudi Knuf</v>
      </c>
      <c r="G61" s="233" t="str">
        <f>IF(OpenList[[#This Row],[Retained Player Name]]="","",VLOOKUP(OpenList[[#This Row],[Retained Player Name]],Players[],7,FALSE))</f>
        <v>GER</v>
      </c>
      <c r="H61" s="235" t="str">
        <f>IF(OpenList[[#This Row],[Retained Player Name]]="","",VLOOKUP(OpenList[[#This Row],[Retained Player Name]],Players[],6,FALSE))</f>
        <v>Atlas FTC</v>
      </c>
      <c r="I61" s="235" t="str">
        <f>IF(OpenList[[#This Row],[Retained Player Name]]="","",VLOOKUP(OpenList[[#This Row],[Retained Player Name]],Players[],4,FALSE))</f>
        <v>GER0042</v>
      </c>
      <c r="J6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61" s="231"/>
      <c r="L61" s="231"/>
      <c r="M61" s="7"/>
    </row>
    <row r="62" spans="1:13" s="8" customFormat="1" ht="12.75" customHeight="1" x14ac:dyDescent="0.2">
      <c r="A62" s="322">
        <f>IF(AND(OpenList[[#This Row],[First &amp; Last Name]]="",OpenList[[#This Row],[FISTF Code]]=""),"",ROW()-ROW($A$11))</f>
        <v>51</v>
      </c>
      <c r="B62" s="323" t="s">
        <v>9194</v>
      </c>
      <c r="C62" s="437"/>
      <c r="D62" s="422" t="b">
        <f>IF(OpenList[[#This Row],[First &amp; Last Name]]="","",IFERROR(ISNUMBER(MATCH(OpenList[[#This Row],[First &amp; Last Name]],Players[Player Name],0)),FALSE))</f>
        <v>1</v>
      </c>
      <c r="E62" s="421" t="b">
        <f>IF(OpenList[[#This Row],[FISTF Code]]="",FALSE,IFERROR(ISNUMBER(MATCH(OpenList[[#This Row],[FISTF Code]],Players[FISTF Code],0)),FALSE))</f>
        <v>0</v>
      </c>
      <c r="F62" s="419" t="str">
        <f>IF(AND(OpenList[[#This Row],[First &amp; Last Name]]="",OpenList[[#This Row],[FISTF Code]]=""),"",IF(OpenList[[#This Row],[Valide Code ?]],INDEX(Players[Player Name],MATCH(OpenList[[#This Row],[FISTF Code]],Players[FISTF Code],0)),OpenList[[#This Row],[First &amp; Last Name]]))</f>
        <v>Giannis Nikolaidis</v>
      </c>
      <c r="G62" s="233" t="str">
        <f>IF(OpenList[[#This Row],[Retained Player Name]]="","",VLOOKUP(OpenList[[#This Row],[Retained Player Name]],Players[],7,FALSE))</f>
        <v>GRE</v>
      </c>
      <c r="H62" s="235" t="str">
        <f>IF(OpenList[[#This Row],[Retained Player Name]]="","",VLOOKUP(OpenList[[#This Row],[Retained Player Name]],Players[],6,FALSE))</f>
        <v>Atlas FTC</v>
      </c>
      <c r="I62" s="235" t="str">
        <f>IF(OpenList[[#This Row],[Retained Player Name]]="","",VLOOKUP(OpenList[[#This Row],[Retained Player Name]],Players[],4,FALSE))</f>
        <v>GRE0704</v>
      </c>
      <c r="J6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2" s="231"/>
      <c r="L62" s="231"/>
      <c r="M62" s="7"/>
    </row>
    <row r="63" spans="1:13" s="8" customFormat="1" ht="12.75" customHeight="1" x14ac:dyDescent="0.2">
      <c r="A63" s="322">
        <f>IF(AND(OpenList[[#This Row],[First &amp; Last Name]]="",OpenList[[#This Row],[FISTF Code]]=""),"",ROW()-ROW($A$11))</f>
        <v>52</v>
      </c>
      <c r="B63" s="323" t="s">
        <v>8037</v>
      </c>
      <c r="C63" s="437"/>
      <c r="D63" s="422" t="b">
        <f>IF(OpenList[[#This Row],[First &amp; Last Name]]="","",IFERROR(ISNUMBER(MATCH(OpenList[[#This Row],[First &amp; Last Name]],Players[Player Name],0)),FALSE))</f>
        <v>1</v>
      </c>
      <c r="E63" s="421" t="b">
        <f>IF(OpenList[[#This Row],[FISTF Code]]="",FALSE,IFERROR(ISNUMBER(MATCH(OpenList[[#This Row],[FISTF Code]],Players[FISTF Code],0)),FALSE))</f>
        <v>0</v>
      </c>
      <c r="F63" s="419" t="str">
        <f>IF(AND(OpenList[[#This Row],[First &amp; Last Name]]="",OpenList[[#This Row],[FISTF Code]]=""),"",IF(OpenList[[#This Row],[Valide Code ?]],INDEX(Players[Player Name],MATCH(OpenList[[#This Row],[FISTF Code]],Players[FISTF Code],0)),OpenList[[#This Row],[First &amp; Last Name]]))</f>
        <v>Robert Lenz</v>
      </c>
      <c r="G63" s="233" t="str">
        <f>IF(OpenList[[#This Row],[Retained Player Name]]="","",VLOOKUP(OpenList[[#This Row],[Retained Player Name]],Players[],7,FALSE))</f>
        <v>AUT</v>
      </c>
      <c r="H63" s="235" t="str">
        <f>IF(OpenList[[#This Row],[Retained Player Name]]="","",VLOOKUP(OpenList[[#This Row],[Retained Player Name]],Players[],6,FALSE))</f>
        <v>TSC Royal 78 Kaisermühlen</v>
      </c>
      <c r="I63" s="235" t="str">
        <f>IF(OpenList[[#This Row],[Retained Player Name]]="","",VLOOKUP(OpenList[[#This Row],[Retained Player Name]],Players[],4,FALSE))</f>
        <v>AUT0012</v>
      </c>
      <c r="J6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63" s="231"/>
      <c r="L63" s="231"/>
      <c r="M63" s="7"/>
    </row>
    <row r="64" spans="1:13" s="8" customFormat="1" ht="12.75" customHeight="1" x14ac:dyDescent="0.2">
      <c r="A64" s="322">
        <f>IF(AND(OpenList[[#This Row],[First &amp; Last Name]]="",OpenList[[#This Row],[FISTF Code]]=""),"",ROW()-ROW($A$11))</f>
        <v>53</v>
      </c>
      <c r="B64" s="323" t="s">
        <v>13241</v>
      </c>
      <c r="C64" s="437"/>
      <c r="D64" s="422" t="b">
        <f>IF(OpenList[[#This Row],[First &amp; Last Name]]="","",IFERROR(ISNUMBER(MATCH(OpenList[[#This Row],[First &amp; Last Name]],Players[Player Name],0)),FALSE))</f>
        <v>1</v>
      </c>
      <c r="E64" s="421" t="b">
        <f>IF(OpenList[[#This Row],[FISTF Code]]="",FALSE,IFERROR(ISNUMBER(MATCH(OpenList[[#This Row],[FISTF Code]],Players[FISTF Code],0)),FALSE))</f>
        <v>0</v>
      </c>
      <c r="F64" s="419" t="str">
        <f>IF(AND(OpenList[[#This Row],[First &amp; Last Name]]="",OpenList[[#This Row],[FISTF Code]]=""),"",IF(OpenList[[#This Row],[Valide Code ?]],INDEX(Players[Player Name],MATCH(OpenList[[#This Row],[FISTF Code]],Players[FISTF Code],0)),OpenList[[#This Row],[First &amp; Last Name]]))</f>
        <v>Miguel Pereira</v>
      </c>
      <c r="G64" s="233" t="str">
        <f>IF(OpenList[[#This Row],[Retained Player Name]]="","",VLOOKUP(OpenList[[#This Row],[Retained Player Name]],Players[],7,FALSE))</f>
        <v>ENG</v>
      </c>
      <c r="H64" s="235" t="str">
        <f>IF(OpenList[[#This Row],[Retained Player Name]]="","",VLOOKUP(OpenList[[#This Row],[Retained Player Name]],Players[],6,FALSE))</f>
        <v>Kent Invicta TFC</v>
      </c>
      <c r="I64" s="235" t="str">
        <f>IF(OpenList[[#This Row],[Retained Player Name]]="","",VLOOKUP(OpenList[[#This Row],[Retained Player Name]],Players[],4,FALSE))</f>
        <v>ENG0028</v>
      </c>
      <c r="J6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4" s="231"/>
      <c r="L64" s="231"/>
      <c r="M64" s="7"/>
    </row>
    <row r="65" spans="1:13" s="8" customFormat="1" ht="12.75" customHeight="1" x14ac:dyDescent="0.2">
      <c r="A65" s="322">
        <f>IF(AND(OpenList[[#This Row],[First &amp; Last Name]]="",OpenList[[#This Row],[FISTF Code]]=""),"",ROW()-ROW($A$11))</f>
        <v>54</v>
      </c>
      <c r="B65" s="323" t="s">
        <v>8149</v>
      </c>
      <c r="C65" s="437"/>
      <c r="D65" s="422" t="b">
        <f>IF(OpenList[[#This Row],[First &amp; Last Name]]="","",IFERROR(ISNUMBER(MATCH(OpenList[[#This Row],[First &amp; Last Name]],Players[Player Name],0)),FALSE))</f>
        <v>1</v>
      </c>
      <c r="E65" s="421" t="b">
        <f>IF(OpenList[[#This Row],[FISTF Code]]="",FALSE,IFERROR(ISNUMBER(MATCH(OpenList[[#This Row],[FISTF Code]],Players[FISTF Code],0)),FALSE))</f>
        <v>0</v>
      </c>
      <c r="F65" s="419" t="str">
        <f>IF(AND(OpenList[[#This Row],[First &amp; Last Name]]="",OpenList[[#This Row],[FISTF Code]]=""),"",IF(OpenList[[#This Row],[Valide Code ?]],INDEX(Players[Player Name],MATCH(OpenList[[#This Row],[FISTF Code]],Players[FISTF Code],0)),OpenList[[#This Row],[First &amp; Last Name]]))</f>
        <v>Jann Segers</v>
      </c>
      <c r="G65" s="233" t="str">
        <f>IF(OpenList[[#This Row],[Retained Player Name]]="","",VLOOKUP(OpenList[[#This Row],[Retained Player Name]],Players[],7,FALSE))</f>
        <v>BEL</v>
      </c>
      <c r="H65" s="235" t="str">
        <f>IF(OpenList[[#This Row],[Retained Player Name]]="","",VLOOKUP(OpenList[[#This Row],[Retained Player Name]],Players[],6,FALSE))</f>
        <v>Avenir Subbuteo Hennuyer</v>
      </c>
      <c r="I65" s="235" t="str">
        <f>IF(OpenList[[#This Row],[Retained Player Name]]="","",VLOOKUP(OpenList[[#This Row],[Retained Player Name]],Players[],4,FALSE))</f>
        <v>BEL0247</v>
      </c>
      <c r="J6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65" s="231"/>
      <c r="L65" s="231"/>
      <c r="M65" s="7"/>
    </row>
    <row r="66" spans="1:13" s="8" customFormat="1" ht="12.75" customHeight="1" x14ac:dyDescent="0.2">
      <c r="A66" s="322">
        <f>IF(AND(OpenList[[#This Row],[First &amp; Last Name]]="",OpenList[[#This Row],[FISTF Code]]=""),"",ROW()-ROW($A$11))</f>
        <v>55</v>
      </c>
      <c r="B66" s="323" t="s">
        <v>8166</v>
      </c>
      <c r="C66" s="437"/>
      <c r="D66" s="422" t="b">
        <f>IF(OpenList[[#This Row],[First &amp; Last Name]]="","",IFERROR(ISNUMBER(MATCH(OpenList[[#This Row],[First &amp; Last Name]],Players[Player Name],0)),FALSE))</f>
        <v>1</v>
      </c>
      <c r="E66" s="421" t="b">
        <f>IF(OpenList[[#This Row],[FISTF Code]]="",FALSE,IFERROR(ISNUMBER(MATCH(OpenList[[#This Row],[FISTF Code]],Players[FISTF Code],0)),FALSE))</f>
        <v>0</v>
      </c>
      <c r="F66" s="419" t="str">
        <f>IF(AND(OpenList[[#This Row],[First &amp; Last Name]]="",OpenList[[#This Row],[FISTF Code]]=""),"",IF(OpenList[[#This Row],[Valide Code ?]],INDEX(Players[Player Name],MATCH(OpenList[[#This Row],[FISTF Code]],Players[FISTF Code],0)),OpenList[[#This Row],[First &amp; Last Name]]))</f>
        <v>Antonio Timpano</v>
      </c>
      <c r="G66" s="233" t="str">
        <f>IF(OpenList[[#This Row],[Retained Player Name]]="","",VLOOKUP(OpenList[[#This Row],[Retained Player Name]],Players[],7,FALSE))</f>
        <v>BEL</v>
      </c>
      <c r="H66" s="235" t="str">
        <f>IF(OpenList[[#This Row],[Retained Player Name]]="","",VLOOKUP(OpenList[[#This Row],[Retained Player Name]],Players[],6,FALSE))</f>
        <v>Wamme SC</v>
      </c>
      <c r="I66" s="235" t="str">
        <f>IF(OpenList[[#This Row],[Retained Player Name]]="","",VLOOKUP(OpenList[[#This Row],[Retained Player Name]],Players[],4,FALSE))</f>
        <v>BEL0319</v>
      </c>
      <c r="J6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66" s="231"/>
      <c r="L66" s="231"/>
      <c r="M66" s="7"/>
    </row>
    <row r="67" spans="1:13" s="8" customFormat="1" x14ac:dyDescent="0.2">
      <c r="A67" s="322">
        <f>IF(AND(OpenList[[#This Row],[First &amp; Last Name]]="",OpenList[[#This Row],[FISTF Code]]=""),"",ROW()-ROW($A$11))</f>
        <v>56</v>
      </c>
      <c r="B67" s="323" t="s">
        <v>8120</v>
      </c>
      <c r="C67" s="437"/>
      <c r="D67" s="422" t="b">
        <f>IF(OpenList[[#This Row],[First &amp; Last Name]]="","",IFERROR(ISNUMBER(MATCH(OpenList[[#This Row],[First &amp; Last Name]],Players[Player Name],0)),FALSE))</f>
        <v>1</v>
      </c>
      <c r="E67" s="421" t="b">
        <f>IF(OpenList[[#This Row],[FISTF Code]]="",FALSE,IFERROR(ISNUMBER(MATCH(OpenList[[#This Row],[FISTF Code]],Players[FISTF Code],0)),FALSE))</f>
        <v>0</v>
      </c>
      <c r="F67" s="419" t="str">
        <f>IF(AND(OpenList[[#This Row],[First &amp; Last Name]]="",OpenList[[#This Row],[FISTF Code]]=""),"",IF(OpenList[[#This Row],[Valide Code ?]],INDEX(Players[Player Name],MATCH(OpenList[[#This Row],[FISTF Code]],Players[FISTF Code],0)),OpenList[[#This Row],[First &amp; Last Name]]))</f>
        <v>Lucas Pere</v>
      </c>
      <c r="G67" s="233" t="str">
        <f>IF(OpenList[[#This Row],[Retained Player Name]]="","",VLOOKUP(OpenList[[#This Row],[Retained Player Name]],Players[],7,FALSE))</f>
        <v>BEL</v>
      </c>
      <c r="H67" s="235" t="str">
        <f>IF(OpenList[[#This Row],[Retained Player Name]]="","",VLOOKUP(OpenList[[#This Row],[Retained Player Name]],Players[],6,FALSE))</f>
        <v>Avenir Subbuteo Hennuyer</v>
      </c>
      <c r="I67" s="235" t="str">
        <f>IF(OpenList[[#This Row],[Retained Player Name]]="","",VLOOKUP(OpenList[[#This Row],[Retained Player Name]],Players[],4,FALSE))</f>
        <v>BEL0197</v>
      </c>
      <c r="J6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67" s="231"/>
      <c r="L67" s="231"/>
      <c r="M67" s="7"/>
    </row>
    <row r="68" spans="1:13" s="8" customFormat="1" x14ac:dyDescent="0.2">
      <c r="A68" s="322">
        <f>IF(AND(OpenList[[#This Row],[First &amp; Last Name]]="",OpenList[[#This Row],[FISTF Code]]=""),"",ROW()-ROW($A$11))</f>
        <v>57</v>
      </c>
      <c r="B68" s="323" t="s">
        <v>12742</v>
      </c>
      <c r="C68" s="437"/>
      <c r="D68" s="422" t="b">
        <f>IF(OpenList[[#This Row],[First &amp; Last Name]]="","",IFERROR(ISNUMBER(MATCH(OpenList[[#This Row],[First &amp; Last Name]],Players[Player Name],0)),FALSE))</f>
        <v>1</v>
      </c>
      <c r="E68" s="421" t="b">
        <f>IF(OpenList[[#This Row],[FISTF Code]]="",FALSE,IFERROR(ISNUMBER(MATCH(OpenList[[#This Row],[FISTF Code]],Players[FISTF Code],0)),FALSE))</f>
        <v>0</v>
      </c>
      <c r="F68" s="419" t="str">
        <f>IF(AND(OpenList[[#This Row],[First &amp; Last Name]]="",OpenList[[#This Row],[FISTF Code]]=""),"",IF(OpenList[[#This Row],[Valide Code ?]],INDEX(Players[Player Name],MATCH(OpenList[[#This Row],[FISTF Code]],Players[FISTF Code],0)),OpenList[[#This Row],[First &amp; Last Name]]))</f>
        <v>Pietro Di Pietrantonio</v>
      </c>
      <c r="G68" s="233" t="str">
        <f>IF(OpenList[[#This Row],[Retained Player Name]]="","",VLOOKUP(OpenList[[#This Row],[Retained Player Name]],Players[],7,FALSE))</f>
        <v>ITA</v>
      </c>
      <c r="H68" s="235" t="str">
        <f>IF(OpenList[[#This Row],[Retained Player Name]]="","",VLOOKUP(OpenList[[#This Row],[Retained Player Name]],Players[],6,FALSE))</f>
        <v>CCT Eagles Napoli</v>
      </c>
      <c r="I68" s="235" t="str">
        <f>IF(OpenList[[#This Row],[Retained Player Name]]="","",VLOOKUP(OpenList[[#This Row],[Retained Player Name]],Players[],4,FALSE))</f>
        <v>ITA3291</v>
      </c>
      <c r="J6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68" s="231"/>
      <c r="L68" s="231"/>
      <c r="M68" s="7"/>
    </row>
    <row r="69" spans="1:13" s="8" customFormat="1" x14ac:dyDescent="0.2">
      <c r="A69" s="322">
        <f>IF(AND(OpenList[[#This Row],[First &amp; Last Name]]="",OpenList[[#This Row],[FISTF Code]]=""),"",ROW()-ROW($A$11))</f>
        <v>58</v>
      </c>
      <c r="B69" s="323" t="s">
        <v>8713</v>
      </c>
      <c r="C69" s="437"/>
      <c r="D69" s="422" t="b">
        <f>IF(OpenList[[#This Row],[First &amp; Last Name]]="","",IFERROR(ISNUMBER(MATCH(OpenList[[#This Row],[First &amp; Last Name]],Players[Player Name],0)),FALSE))</f>
        <v>1</v>
      </c>
      <c r="E69" s="421" t="b">
        <f>IF(OpenList[[#This Row],[FISTF Code]]="",FALSE,IFERROR(ISNUMBER(MATCH(OpenList[[#This Row],[FISTF Code]],Players[FISTF Code],0)),FALSE))</f>
        <v>0</v>
      </c>
      <c r="F69" s="419" t="str">
        <f>IF(AND(OpenList[[#This Row],[First &amp; Last Name]]="",OpenList[[#This Row],[FISTF Code]]=""),"",IF(OpenList[[#This Row],[Valide Code ?]],INDEX(Players[Player Name],MATCH(OpenList[[#This Row],[FISTF Code]],Players[FISTF Code],0)),OpenList[[#This Row],[First &amp; Last Name]]))</f>
        <v>Ludovic Midoux</v>
      </c>
      <c r="G69" s="233" t="str">
        <f>IF(OpenList[[#This Row],[Retained Player Name]]="","",VLOOKUP(OpenList[[#This Row],[Retained Player Name]],Players[],7,FALSE))</f>
        <v>FRA</v>
      </c>
      <c r="H69" s="235" t="str">
        <f>IF(OpenList[[#This Row],[Retained Player Name]]="","",VLOOKUP(OpenList[[#This Row],[Retained Player Name]],Players[],6,FALSE))</f>
        <v>Avenir Subbuteo Hennuyer</v>
      </c>
      <c r="I69" s="235" t="str">
        <f>IF(OpenList[[#This Row],[Retained Player Name]]="","",VLOOKUP(OpenList[[#This Row],[Retained Player Name]],Players[],4,FALSE))</f>
        <v>FRA0092</v>
      </c>
      <c r="J6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9" s="231"/>
      <c r="L69" s="231"/>
      <c r="M69" s="7"/>
    </row>
    <row r="70" spans="1:13" s="8" customFormat="1" x14ac:dyDescent="0.2">
      <c r="A70" s="322">
        <f>IF(AND(OpenList[[#This Row],[First &amp; Last Name]]="",OpenList[[#This Row],[FISTF Code]]=""),"",ROW()-ROW($A$11))</f>
        <v>59</v>
      </c>
      <c r="B70" s="323" t="s">
        <v>8552</v>
      </c>
      <c r="C70" s="437"/>
      <c r="D70" s="422" t="b">
        <f>IF(OpenList[[#This Row],[First &amp; Last Name]]="","",IFERROR(ISNUMBER(MATCH(OpenList[[#This Row],[First &amp; Last Name]],Players[Player Name],0)),FALSE))</f>
        <v>1</v>
      </c>
      <c r="E70" s="421" t="b">
        <f>IF(OpenList[[#This Row],[FISTF Code]]="",FALSE,IFERROR(ISNUMBER(MATCH(OpenList[[#This Row],[FISTF Code]],Players[FISTF Code],0)),FALSE))</f>
        <v>0</v>
      </c>
      <c r="F70" s="419" t="str">
        <f>IF(AND(OpenList[[#This Row],[First &amp; Last Name]]="",OpenList[[#This Row],[FISTF Code]]=""),"",IF(OpenList[[#This Row],[Valide Code ?]],INDEX(Players[Player Name],MATCH(OpenList[[#This Row],[FISTF Code]],Players[FISTF Code],0)),OpenList[[#This Row],[First &amp; Last Name]]))</f>
        <v>Richard Badger</v>
      </c>
      <c r="G70" s="233" t="str">
        <f>IF(OpenList[[#This Row],[Retained Player Name]]="","",VLOOKUP(OpenList[[#This Row],[Retained Player Name]],Players[],7,FALSE))</f>
        <v>ENG</v>
      </c>
      <c r="H70" s="235" t="str">
        <f>IF(OpenList[[#This Row],[Retained Player Name]]="","",VLOOKUP(OpenList[[#This Row],[Retained Player Name]],Players[],6,FALSE))</f>
        <v>Wolverhampton Table Football Club</v>
      </c>
      <c r="I70" s="235" t="str">
        <f>IF(OpenList[[#This Row],[Retained Player Name]]="","",VLOOKUP(OpenList[[#This Row],[Retained Player Name]],Players[],4,FALSE))</f>
        <v>ENG0357</v>
      </c>
      <c r="J7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70" s="231"/>
      <c r="L70" s="231"/>
      <c r="M70" s="7"/>
    </row>
    <row r="71" spans="1:13" s="8" customFormat="1" x14ac:dyDescent="0.2">
      <c r="A71" s="322">
        <f>IF(AND(OpenList[[#This Row],[First &amp; Last Name]]="",OpenList[[#This Row],[FISTF Code]]=""),"",ROW()-ROW($A$11))</f>
        <v>60</v>
      </c>
      <c r="B71" s="323" t="s">
        <v>8144</v>
      </c>
      <c r="C71" s="437"/>
      <c r="D71" s="422" t="b">
        <f>IF(OpenList[[#This Row],[First &amp; Last Name]]="","",IFERROR(ISNUMBER(MATCH(OpenList[[#This Row],[First &amp; Last Name]],Players[Player Name],0)),FALSE))</f>
        <v>1</v>
      </c>
      <c r="E71" s="421" t="b">
        <f>IF(OpenList[[#This Row],[FISTF Code]]="",FALSE,IFERROR(ISNUMBER(MATCH(OpenList[[#This Row],[FISTF Code]],Players[FISTF Code],0)),FALSE))</f>
        <v>0</v>
      </c>
      <c r="F71" s="419" t="str">
        <f>IF(AND(OpenList[[#This Row],[First &amp; Last Name]]="",OpenList[[#This Row],[FISTF Code]]=""),"",IF(OpenList[[#This Row],[Valide Code ?]],INDEX(Players[Player Name],MATCH(OpenList[[#This Row],[FISTF Code]],Players[FISTF Code],0)),OpenList[[#This Row],[First &amp; Last Name]]))</f>
        <v>Salvatore Visconti</v>
      </c>
      <c r="G71" s="233" t="str">
        <f>IF(OpenList[[#This Row],[Retained Player Name]]="","",VLOOKUP(OpenList[[#This Row],[Retained Player Name]],Players[],7,FALSE))</f>
        <v>BEL</v>
      </c>
      <c r="H71" s="235" t="str">
        <f>IF(OpenList[[#This Row],[Retained Player Name]]="","",VLOOKUP(OpenList[[#This Row],[Retained Player Name]],Players[],6,FALSE))</f>
        <v>Tiburones FM</v>
      </c>
      <c r="I71" s="235" t="str">
        <f>IF(OpenList[[#This Row],[Retained Player Name]]="","",VLOOKUP(OpenList[[#This Row],[Retained Player Name]],Players[],4,FALSE))</f>
        <v>BEL0179</v>
      </c>
      <c r="J7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71" s="231"/>
      <c r="L71" s="231"/>
      <c r="M71" s="7"/>
    </row>
    <row r="72" spans="1:13" s="8" customFormat="1" x14ac:dyDescent="0.2">
      <c r="A72" s="322">
        <f>IF(AND(OpenList[[#This Row],[First &amp; Last Name]]="",OpenList[[#This Row],[FISTF Code]]=""),"",ROW()-ROW($A$11))</f>
        <v>61</v>
      </c>
      <c r="B72" s="323" t="s">
        <v>8696</v>
      </c>
      <c r="C72" s="437"/>
      <c r="D72" s="422" t="b">
        <f>IF(OpenList[[#This Row],[First &amp; Last Name]]="","",IFERROR(ISNUMBER(MATCH(OpenList[[#This Row],[First &amp; Last Name]],Players[Player Name],0)),FALSE))</f>
        <v>1</v>
      </c>
      <c r="E72" s="421" t="b">
        <f>IF(OpenList[[#This Row],[FISTF Code]]="",FALSE,IFERROR(ISNUMBER(MATCH(OpenList[[#This Row],[FISTF Code]],Players[FISTF Code],0)),FALSE))</f>
        <v>0</v>
      </c>
      <c r="F72" s="419" t="str">
        <f>IF(AND(OpenList[[#This Row],[First &amp; Last Name]]="",OpenList[[#This Row],[FISTF Code]]=""),"",IF(OpenList[[#This Row],[Valide Code ?]],INDEX(Players[Player Name],MATCH(OpenList[[#This Row],[FISTF Code]],Players[FISTF Code],0)),OpenList[[#This Row],[First &amp; Last Name]]))</f>
        <v>Jean-Marie Amberny</v>
      </c>
      <c r="G72" s="233" t="str">
        <f>IF(OpenList[[#This Row],[Retained Player Name]]="","",VLOOKUP(OpenList[[#This Row],[Retained Player Name]],Players[],7,FALSE))</f>
        <v>FRA</v>
      </c>
      <c r="H72" s="235" t="str">
        <f>IF(OpenList[[#This Row],[Retained Player Name]]="","",VLOOKUP(OpenList[[#This Row],[Retained Player Name]],Players[],6,FALSE))</f>
        <v>FTC Issy-les-Moulineaux</v>
      </c>
      <c r="I72" s="235" t="str">
        <f>IF(OpenList[[#This Row],[Retained Player Name]]="","",VLOOKUP(OpenList[[#This Row],[Retained Player Name]],Players[],4,FALSE))</f>
        <v>FRA0018</v>
      </c>
      <c r="J7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72" s="231"/>
      <c r="L72" s="231"/>
      <c r="M72" s="7"/>
    </row>
    <row r="73" spans="1:13" s="8" customFormat="1" x14ac:dyDescent="0.2">
      <c r="A73" s="322">
        <f>IF(AND(OpenList[[#This Row],[First &amp; Last Name]]="",OpenList[[#This Row],[FISTF Code]]=""),"",ROW()-ROW($A$11))</f>
        <v>62</v>
      </c>
      <c r="B73" s="323" t="s">
        <v>8083</v>
      </c>
      <c r="C73" s="437"/>
      <c r="D73" s="422" t="b">
        <f>IF(OpenList[[#This Row],[First &amp; Last Name]]="","",IFERROR(ISNUMBER(MATCH(OpenList[[#This Row],[First &amp; Last Name]],Players[Player Name],0)),FALSE))</f>
        <v>1</v>
      </c>
      <c r="E73" s="421" t="b">
        <f>IF(OpenList[[#This Row],[FISTF Code]]="",FALSE,IFERROR(ISNUMBER(MATCH(OpenList[[#This Row],[FISTF Code]],Players[FISTF Code],0)),FALSE))</f>
        <v>0</v>
      </c>
      <c r="F73" s="419" t="str">
        <f>IF(AND(OpenList[[#This Row],[First &amp; Last Name]]="",OpenList[[#This Row],[FISTF Code]]=""),"",IF(OpenList[[#This Row],[Valide Code ?]],INDEX(Players[Player Name],MATCH(OpenList[[#This Row],[FISTF Code]],Players[FISTF Code],0)),OpenList[[#This Row],[First &amp; Last Name]]))</f>
        <v>Kenny De Schuyteneer</v>
      </c>
      <c r="G73" s="233" t="str">
        <f>IF(OpenList[[#This Row],[Retained Player Name]]="","",VLOOKUP(OpenList[[#This Row],[Retained Player Name]],Players[],7,FALSE))</f>
        <v>BEL</v>
      </c>
      <c r="H73" s="235" t="str">
        <f>IF(OpenList[[#This Row],[Retained Player Name]]="","",VLOOKUP(OpenList[[#This Row],[Retained Player Name]],Players[],6,FALSE))</f>
        <v>SC Lion's Eugies</v>
      </c>
      <c r="I73" s="235" t="str">
        <f>IF(OpenList[[#This Row],[Retained Player Name]]="","",VLOOKUP(OpenList[[#This Row],[Retained Player Name]],Players[],4,FALSE))</f>
        <v>BEL0008</v>
      </c>
      <c r="J7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73" s="231"/>
      <c r="L73" s="231"/>
      <c r="M73" s="7"/>
    </row>
    <row r="74" spans="1:13" s="8" customFormat="1" x14ac:dyDescent="0.2">
      <c r="A74" s="322">
        <f>IF(AND(OpenList[[#This Row],[First &amp; Last Name]]="",OpenList[[#This Row],[FISTF Code]]=""),"",ROW()-ROW($A$11))</f>
        <v>63</v>
      </c>
      <c r="B74" s="323" t="s">
        <v>10509</v>
      </c>
      <c r="C74" s="437"/>
      <c r="D74" s="422" t="b">
        <f>IF(OpenList[[#This Row],[First &amp; Last Name]]="","",IFERROR(ISNUMBER(MATCH(OpenList[[#This Row],[First &amp; Last Name]],Players[Player Name],0)),FALSE))</f>
        <v>1</v>
      </c>
      <c r="E74" s="421" t="b">
        <f>IF(OpenList[[#This Row],[FISTF Code]]="",FALSE,IFERROR(ISNUMBER(MATCH(OpenList[[#This Row],[FISTF Code]],Players[FISTF Code],0)),FALSE))</f>
        <v>0</v>
      </c>
      <c r="F74" s="419" t="str">
        <f>IF(AND(OpenList[[#This Row],[First &amp; Last Name]]="",OpenList[[#This Row],[FISTF Code]]=""),"",IF(OpenList[[#This Row],[Valide Code ?]],INDEX(Players[Player Name],MATCH(OpenList[[#This Row],[FISTF Code]],Players[FISTF Code],0)),OpenList[[#This Row],[First &amp; Last Name]]))</f>
        <v>Sérgio Loureiro</v>
      </c>
      <c r="G74" s="233" t="str">
        <f>IF(OpenList[[#This Row],[Retained Player Name]]="","",VLOOKUP(OpenList[[#This Row],[Retained Player Name]],Players[],7,FALSE))</f>
        <v>POR</v>
      </c>
      <c r="H74" s="235" t="str">
        <f>IF(OpenList[[#This Row],[Retained Player Name]]="","",VLOOKUP(OpenList[[#This Row],[Retained Player Name]],Players[],6,FALSE))</f>
        <v>TSC Falcons Athens</v>
      </c>
      <c r="I74" s="235" t="str">
        <f>IF(OpenList[[#This Row],[Retained Player Name]]="","",VLOOKUP(OpenList[[#This Row],[Retained Player Name]],Players[],4,FALSE))</f>
        <v>POR0056</v>
      </c>
      <c r="J7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74" s="231"/>
      <c r="L74" s="231"/>
      <c r="M74" s="7"/>
    </row>
    <row r="75" spans="1:13" s="8" customFormat="1" x14ac:dyDescent="0.2">
      <c r="A75" s="322">
        <f>IF(AND(OpenList[[#This Row],[First &amp; Last Name]]="",OpenList[[#This Row],[FISTF Code]]=""),"",ROW()-ROW($A$11))</f>
        <v>64</v>
      </c>
      <c r="B75" s="323" t="s">
        <v>8094</v>
      </c>
      <c r="C75" s="437"/>
      <c r="D75" s="422" t="b">
        <f>IF(OpenList[[#This Row],[First &amp; Last Name]]="","",IFERROR(ISNUMBER(MATCH(OpenList[[#This Row],[First &amp; Last Name]],Players[Player Name],0)),FALSE))</f>
        <v>1</v>
      </c>
      <c r="E75" s="421" t="b">
        <f>IF(OpenList[[#This Row],[FISTF Code]]="",FALSE,IFERROR(ISNUMBER(MATCH(OpenList[[#This Row],[FISTF Code]],Players[FISTF Code],0)),FALSE))</f>
        <v>0</v>
      </c>
      <c r="F75" s="419" t="str">
        <f>IF(AND(OpenList[[#This Row],[First &amp; Last Name]]="",OpenList[[#This Row],[FISTF Code]]=""),"",IF(OpenList[[#This Row],[Valide Code ?]],INDEX(Players[Player Name],MATCH(OpenList[[#This Row],[FISTF Code]],Players[FISTF Code],0)),OpenList[[#This Row],[First &amp; Last Name]]))</f>
        <v>David Fraikin</v>
      </c>
      <c r="G75" s="233" t="str">
        <f>IF(OpenList[[#This Row],[Retained Player Name]]="","",VLOOKUP(OpenList[[#This Row],[Retained Player Name]],Players[],7,FALSE))</f>
        <v>BEL</v>
      </c>
      <c r="H75" s="235" t="str">
        <f>IF(OpenList[[#This Row],[Retained Player Name]]="","",VLOOKUP(OpenList[[#This Row],[Retained Player Name]],Players[],6,FALSE))</f>
        <v>SC Charleroi</v>
      </c>
      <c r="I75" s="235" t="str">
        <f>IF(OpenList[[#This Row],[Retained Player Name]]="","",VLOOKUP(OpenList[[#This Row],[Retained Player Name]],Players[],4,FALSE))</f>
        <v>BEL0134</v>
      </c>
      <c r="J75" s="18" t="e">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5" s="231" t="s">
        <v>14585</v>
      </c>
      <c r="L75" s="231"/>
      <c r="M75" s="7"/>
    </row>
    <row r="76" spans="1:13" s="8" customFormat="1" x14ac:dyDescent="0.2">
      <c r="A76" s="322">
        <f>IF(AND(OpenList[[#This Row],[First &amp; Last Name]]="",OpenList[[#This Row],[FISTF Code]]=""),"",ROW()-ROW($A$11))</f>
        <v>65</v>
      </c>
      <c r="B76" s="323" t="s">
        <v>8091</v>
      </c>
      <c r="C76" s="437"/>
      <c r="D76" s="422" t="b">
        <f>IF(OpenList[[#This Row],[First &amp; Last Name]]="","",IFERROR(ISNUMBER(MATCH(OpenList[[#This Row],[First &amp; Last Name]],Players[Player Name],0)),FALSE))</f>
        <v>1</v>
      </c>
      <c r="E76" s="421" t="b">
        <f>IF(OpenList[[#This Row],[FISTF Code]]="",FALSE,IFERROR(ISNUMBER(MATCH(OpenList[[#This Row],[FISTF Code]],Players[FISTF Code],0)),FALSE))</f>
        <v>0</v>
      </c>
      <c r="F76" s="419" t="str">
        <f>IF(AND(OpenList[[#This Row],[First &amp; Last Name]]="",OpenList[[#This Row],[FISTF Code]]=""),"",IF(OpenList[[#This Row],[Valide Code ?]],INDEX(Players[Player Name],MATCH(OpenList[[#This Row],[FISTF Code]],Players[FISTF Code],0)),OpenList[[#This Row],[First &amp; Last Name]]))</f>
        <v>Delphine Dieudonne</v>
      </c>
      <c r="G76" s="233" t="str">
        <f>IF(OpenList[[#This Row],[Retained Player Name]]="","",VLOOKUP(OpenList[[#This Row],[Retained Player Name]],Players[],7,FALSE))</f>
        <v>BEL</v>
      </c>
      <c r="H76" s="235" t="str">
        <f>IF(OpenList[[#This Row],[Retained Player Name]]="","",VLOOKUP(OpenList[[#This Row],[Retained Player Name]],Players[],6,FALSE))</f>
        <v>Avenir Subbuteo Hennuyer</v>
      </c>
      <c r="I76" s="235" t="str">
        <f>IF(OpenList[[#This Row],[Retained Player Name]]="","",VLOOKUP(OpenList[[#This Row],[Retained Player Name]],Players[],4,FALSE))</f>
        <v>BEL0064</v>
      </c>
      <c r="J7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76" s="231"/>
      <c r="L76" s="231"/>
      <c r="M76" s="7"/>
    </row>
    <row r="77" spans="1:13" s="8" customFormat="1" x14ac:dyDescent="0.2">
      <c r="A77" s="322">
        <f>IF(AND(OpenList[[#This Row],[First &amp; Last Name]]="",OpenList[[#This Row],[FISTF Code]]=""),"",ROW()-ROW($A$11))</f>
        <v>66</v>
      </c>
      <c r="B77" s="323" t="s">
        <v>8141</v>
      </c>
      <c r="C77" s="437"/>
      <c r="D77" s="422" t="b">
        <f>IF(OpenList[[#This Row],[First &amp; Last Name]]="","",IFERROR(ISNUMBER(MATCH(OpenList[[#This Row],[First &amp; Last Name]],Players[Player Name],0)),FALSE))</f>
        <v>1</v>
      </c>
      <c r="E77" s="421" t="b">
        <f>IF(OpenList[[#This Row],[FISTF Code]]="",FALSE,IFERROR(ISNUMBER(MATCH(OpenList[[#This Row],[FISTF Code]],Players[FISTF Code],0)),FALSE))</f>
        <v>0</v>
      </c>
      <c r="F77" s="419" t="str">
        <f>IF(AND(OpenList[[#This Row],[First &amp; Last Name]]="",OpenList[[#This Row],[FISTF Code]]=""),"",IF(OpenList[[#This Row],[Valide Code ?]],INDEX(Players[Player Name],MATCH(OpenList[[#This Row],[FISTF Code]],Players[FISTF Code],0)),OpenList[[#This Row],[First &amp; Last Name]]))</f>
        <v>David Vantassel</v>
      </c>
      <c r="G77" s="233" t="str">
        <f>IF(OpenList[[#This Row],[Retained Player Name]]="","",VLOOKUP(OpenList[[#This Row],[Retained Player Name]],Players[],7,FALSE))</f>
        <v>BEL</v>
      </c>
      <c r="H77" s="235" t="str">
        <f>IF(OpenList[[#This Row],[Retained Player Name]]="","",VLOOKUP(OpenList[[#This Row],[Retained Player Name]],Players[],6,FALSE))</f>
        <v>Avenir Subbuteo Hennuyer</v>
      </c>
      <c r="I77" s="235" t="str">
        <f>IF(OpenList[[#This Row],[Retained Player Name]]="","",VLOOKUP(OpenList[[#This Row],[Retained Player Name]],Players[],4,FALSE))</f>
        <v>BEL0073</v>
      </c>
      <c r="J7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77" s="231"/>
      <c r="L77" s="231"/>
      <c r="M77" s="7"/>
    </row>
    <row r="78" spans="1:13" s="8" customFormat="1" x14ac:dyDescent="0.2">
      <c r="A78" s="322">
        <f>IF(AND(OpenList[[#This Row],[First &amp; Last Name]]="",OpenList[[#This Row],[FISTF Code]]=""),"",ROW()-ROW($A$11))</f>
        <v>67</v>
      </c>
      <c r="B78" s="323" t="s">
        <v>8725</v>
      </c>
      <c r="C78" s="437"/>
      <c r="D78" s="422" t="b">
        <f>IF(OpenList[[#This Row],[First &amp; Last Name]]="","",IFERROR(ISNUMBER(MATCH(OpenList[[#This Row],[First &amp; Last Name]],Players[Player Name],0)),FALSE))</f>
        <v>1</v>
      </c>
      <c r="E78" s="421" t="b">
        <f>IF(OpenList[[#This Row],[FISTF Code]]="",FALSE,IFERROR(ISNUMBER(MATCH(OpenList[[#This Row],[FISTF Code]],Players[FISTF Code],0)),FALSE))</f>
        <v>0</v>
      </c>
      <c r="F78" s="419" t="str">
        <f>IF(AND(OpenList[[#This Row],[First &amp; Last Name]]="",OpenList[[#This Row],[FISTF Code]]=""),"",IF(OpenList[[#This Row],[Valide Code ?]],INDEX(Players[Player Name],MATCH(OpenList[[#This Row],[FISTF Code]],Players[FISTF Code],0)),OpenList[[#This Row],[First &amp; Last Name]]))</f>
        <v>Irène Linquercq-Rivière</v>
      </c>
      <c r="G78" s="233" t="str">
        <f>IF(OpenList[[#This Row],[Retained Player Name]]="","",VLOOKUP(OpenList[[#This Row],[Retained Player Name]],Players[],7,FALSE))</f>
        <v>FRA</v>
      </c>
      <c r="H78" s="235" t="str">
        <f>IF(OpenList[[#This Row],[Retained Player Name]]="","",VLOOKUP(OpenList[[#This Row],[Retained Player Name]],Players[],6,FALSE))</f>
        <v>FTC Issy-les-Moulineaux</v>
      </c>
      <c r="I78" s="235" t="str">
        <f>IF(OpenList[[#This Row],[Retained Player Name]]="","",VLOOKUP(OpenList[[#This Row],[Retained Player Name]],Players[],4,FALSE))</f>
        <v>FRA0174</v>
      </c>
      <c r="J78" s="18" t="e">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78" s="231" t="s">
        <v>14585</v>
      </c>
      <c r="L78" s="231"/>
      <c r="M78" s="7"/>
    </row>
    <row r="79" spans="1:13" s="8" customFormat="1" x14ac:dyDescent="0.2">
      <c r="A79" s="322">
        <f>IF(AND(OpenList[[#This Row],[First &amp; Last Name]]="",OpenList[[#This Row],[FISTF Code]]=""),"",ROW()-ROW($A$11))</f>
        <v>68</v>
      </c>
      <c r="B79" s="323" t="s">
        <v>8194</v>
      </c>
      <c r="C79" s="437"/>
      <c r="D79" s="422" t="b">
        <f>IF(OpenList[[#This Row],[First &amp; Last Name]]="","",IFERROR(ISNUMBER(MATCH(OpenList[[#This Row],[First &amp; Last Name]],Players[Player Name],0)),FALSE))</f>
        <v>1</v>
      </c>
      <c r="E79" s="421" t="b">
        <f>IF(OpenList[[#This Row],[FISTF Code]]="",FALSE,IFERROR(ISNUMBER(MATCH(OpenList[[#This Row],[FISTF Code]],Players[FISTF Code],0)),FALSE))</f>
        <v>0</v>
      </c>
      <c r="F79" s="419" t="str">
        <f>IF(AND(OpenList[[#This Row],[First &amp; Last Name]]="",OpenList[[#This Row],[FISTF Code]]=""),"",IF(OpenList[[#This Row],[Valide Code ?]],INDEX(Players[Player Name],MATCH(OpenList[[#This Row],[FISTF Code]],Players[FISTF Code],0)),OpenList[[#This Row],[First &amp; Last Name]]))</f>
        <v>Noah Janssens</v>
      </c>
      <c r="G79" s="233" t="str">
        <f>IF(OpenList[[#This Row],[Retained Player Name]]="","",VLOOKUP(OpenList[[#This Row],[Retained Player Name]],Players[],7,FALSE))</f>
        <v>BEL</v>
      </c>
      <c r="H79" s="235" t="str">
        <f>IF(OpenList[[#This Row],[Retained Player Name]]="","",VLOOKUP(OpenList[[#This Row],[Retained Player Name]],Players[],6,FALSE))</f>
        <v>Wamme SC</v>
      </c>
      <c r="I79" s="235" t="str">
        <f>IF(OpenList[[#This Row],[Retained Player Name]]="","",VLOOKUP(OpenList[[#This Row],[Retained Player Name]],Players[],4,FALSE))</f>
        <v>BEL0445</v>
      </c>
      <c r="J7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79" s="231"/>
      <c r="L79" s="231"/>
      <c r="M79" s="7"/>
    </row>
    <row r="80" spans="1:13" x14ac:dyDescent="0.2">
      <c r="A80" s="322">
        <f>IF(AND(OpenList[[#This Row],[First &amp; Last Name]]="",OpenList[[#This Row],[FISTF Code]]=""),"",ROW()-ROW($A$11))</f>
        <v>69</v>
      </c>
      <c r="B80" s="323" t="s">
        <v>8096</v>
      </c>
      <c r="C80" s="437"/>
      <c r="D80" s="422" t="b">
        <f>IF(OpenList[[#This Row],[First &amp; Last Name]]="","",IFERROR(ISNUMBER(MATCH(OpenList[[#This Row],[First &amp; Last Name]],Players[Player Name],0)),FALSE))</f>
        <v>1</v>
      </c>
      <c r="E80" s="421" t="b">
        <f>IF(OpenList[[#This Row],[FISTF Code]]="",FALSE,IFERROR(ISNUMBER(MATCH(OpenList[[#This Row],[FISTF Code]],Players[FISTF Code],0)),FALSE))</f>
        <v>0</v>
      </c>
      <c r="F80" s="419" t="str">
        <f>IF(AND(OpenList[[#This Row],[First &amp; Last Name]]="",OpenList[[#This Row],[FISTF Code]]=""),"",IF(OpenList[[#This Row],[Valide Code ?]],INDEX(Players[Player Name],MATCH(OpenList[[#This Row],[FISTF Code]],Players[FISTF Code],0)),OpenList[[#This Row],[First &amp; Last Name]]))</f>
        <v>Louison Giaux</v>
      </c>
      <c r="G80" s="233" t="str">
        <f>IF(OpenList[[#This Row],[Retained Player Name]]="","",VLOOKUP(OpenList[[#This Row],[Retained Player Name]],Players[],7,FALSE))</f>
        <v>BEL</v>
      </c>
      <c r="H80" s="235" t="str">
        <f>IF(OpenList[[#This Row],[Retained Player Name]]="","",VLOOKUP(OpenList[[#This Row],[Retained Player Name]],Players[],6,FALSE))</f>
        <v>Tiburones FM</v>
      </c>
      <c r="I80" s="235" t="str">
        <f>IF(OpenList[[#This Row],[Retained Player Name]]="","",VLOOKUP(OpenList[[#This Row],[Retained Player Name]],Players[],4,FALSE))</f>
        <v>BEL0106</v>
      </c>
      <c r="J8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0" s="231"/>
      <c r="L80" s="231"/>
    </row>
    <row r="81" spans="1:12" x14ac:dyDescent="0.2">
      <c r="A81" s="322">
        <f>IF(AND(OpenList[[#This Row],[First &amp; Last Name]]="",OpenList[[#This Row],[FISTF Code]]=""),"",ROW()-ROW($A$11))</f>
        <v>70</v>
      </c>
      <c r="B81" s="323" t="s">
        <v>8140</v>
      </c>
      <c r="C81" s="437"/>
      <c r="D81" s="422" t="b">
        <f>IF(OpenList[[#This Row],[First &amp; Last Name]]="","",IFERROR(ISNUMBER(MATCH(OpenList[[#This Row],[First &amp; Last Name]],Players[Player Name],0)),FALSE))</f>
        <v>1</v>
      </c>
      <c r="E81" s="421" t="b">
        <f>IF(OpenList[[#This Row],[FISTF Code]]="",FALSE,IFERROR(ISNUMBER(MATCH(OpenList[[#This Row],[FISTF Code]],Players[FISTF Code],0)),FALSE))</f>
        <v>0</v>
      </c>
      <c r="F81" s="419" t="str">
        <f>IF(AND(OpenList[[#This Row],[First &amp; Last Name]]="",OpenList[[#This Row],[FISTF Code]]=""),"",IF(OpenList[[#This Row],[Valide Code ?]],INDEX(Players[Player Name],MATCH(OpenList[[#This Row],[FISTF Code]],Players[FISTF Code],0)),OpenList[[#This Row],[First &amp; Last Name]]))</f>
        <v>Quentin Van Glabeke</v>
      </c>
      <c r="G81" s="233" t="str">
        <f>IF(OpenList[[#This Row],[Retained Player Name]]="","",VLOOKUP(OpenList[[#This Row],[Retained Player Name]],Players[],7,FALSE))</f>
        <v>BEL</v>
      </c>
      <c r="H81" s="235" t="str">
        <f>IF(OpenList[[#This Row],[Retained Player Name]]="","",VLOOKUP(OpenList[[#This Row],[Retained Player Name]],Players[],6,FALSE))</f>
        <v>SC Lion's Eugies</v>
      </c>
      <c r="I81" s="235" t="str">
        <f>IF(OpenList[[#This Row],[Retained Player Name]]="","",VLOOKUP(OpenList[[#This Row],[Retained Player Name]],Players[],4,FALSE))</f>
        <v>BEL0195</v>
      </c>
      <c r="J8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1" s="231"/>
      <c r="L81" s="231"/>
    </row>
    <row r="82" spans="1:12" x14ac:dyDescent="0.2">
      <c r="A82" s="322">
        <f>IF(AND(OpenList[[#This Row],[First &amp; Last Name]]="",OpenList[[#This Row],[FISTF Code]]=""),"",ROW()-ROW($A$11))</f>
        <v>71</v>
      </c>
      <c r="B82" s="323" t="s">
        <v>14521</v>
      </c>
      <c r="C82" s="437"/>
      <c r="D82" s="422" t="b">
        <f>IF(OpenList[[#This Row],[First &amp; Last Name]]="","",IFERROR(ISNUMBER(MATCH(OpenList[[#This Row],[First &amp; Last Name]],Players[Player Name],0)),FALSE))</f>
        <v>1</v>
      </c>
      <c r="E82" s="421" t="b">
        <f>IF(OpenList[[#This Row],[FISTF Code]]="",FALSE,IFERROR(ISNUMBER(MATCH(OpenList[[#This Row],[FISTF Code]],Players[FISTF Code],0)),FALSE))</f>
        <v>0</v>
      </c>
      <c r="F82" s="419" t="str">
        <f>IF(AND(OpenList[[#This Row],[First &amp; Last Name]]="",OpenList[[#This Row],[FISTF Code]]=""),"",IF(OpenList[[#This Row],[Valide Code ?]],INDEX(Players[Player Name],MATCH(OpenList[[#This Row],[FISTF Code]],Players[FISTF Code],0)),OpenList[[#This Row],[First &amp; Last Name]]))</f>
        <v>Philippe Mairesse</v>
      </c>
      <c r="G82" s="233" t="str">
        <f>IF(OpenList[[#This Row],[Retained Player Name]]="","",VLOOKUP(OpenList[[#This Row],[Retained Player Name]],Players[],7,FALSE))</f>
        <v>BEL</v>
      </c>
      <c r="H82" s="235" t="str">
        <f>IF(OpenList[[#This Row],[Retained Player Name]]="","",VLOOKUP(OpenList[[#This Row],[Retained Player Name]],Players[],6,FALSE))</f>
        <v>Avenir Subbuteo Hennuyer</v>
      </c>
      <c r="I82" s="235" t="str">
        <f>IF(OpenList[[#This Row],[Retained Player Name]]="","",VLOOKUP(OpenList[[#This Row],[Retained Player Name]],Players[],4,FALSE))</f>
        <v>BEL0068</v>
      </c>
      <c r="J8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2" s="231"/>
      <c r="L82" s="231"/>
    </row>
    <row r="83" spans="1:12" x14ac:dyDescent="0.2">
      <c r="A83" s="322">
        <f>IF(AND(OpenList[[#This Row],[First &amp; Last Name]]="",OpenList[[#This Row],[FISTF Code]]=""),"",ROW()-ROW($A$11))</f>
        <v>72</v>
      </c>
      <c r="B83" s="323" t="s">
        <v>8151</v>
      </c>
      <c r="C83" s="437"/>
      <c r="D83" s="422" t="b">
        <f>IF(OpenList[[#This Row],[First &amp; Last Name]]="","",IFERROR(ISNUMBER(MATCH(OpenList[[#This Row],[First &amp; Last Name]],Players[Player Name],0)),FALSE))</f>
        <v>1</v>
      </c>
      <c r="E83" s="421" t="b">
        <f>IF(OpenList[[#This Row],[FISTF Code]]="",FALSE,IFERROR(ISNUMBER(MATCH(OpenList[[#This Row],[FISTF Code]],Players[FISTF Code],0)),FALSE))</f>
        <v>0</v>
      </c>
      <c r="F83" s="419" t="str">
        <f>IF(AND(OpenList[[#This Row],[First &amp; Last Name]]="",OpenList[[#This Row],[FISTF Code]]=""),"",IF(OpenList[[#This Row],[Valide Code ?]],INDEX(Players[Player Name],MATCH(OpenList[[#This Row],[FISTF Code]],Players[FISTF Code],0)),OpenList[[#This Row],[First &amp; Last Name]]))</f>
        <v>Benoit Lagneau</v>
      </c>
      <c r="G83" s="233" t="str">
        <f>IF(OpenList[[#This Row],[Retained Player Name]]="","",VLOOKUP(OpenList[[#This Row],[Retained Player Name]],Players[],7,FALSE))</f>
        <v>BEL</v>
      </c>
      <c r="H83" s="235" t="str">
        <f>IF(OpenList[[#This Row],[Retained Player Name]]="","",VLOOKUP(OpenList[[#This Row],[Retained Player Name]],Players[],6,FALSE))</f>
        <v>Avenir Subbuteo Hennuyer</v>
      </c>
      <c r="I83" s="235" t="str">
        <f>IF(OpenList[[#This Row],[Retained Player Name]]="","",VLOOKUP(OpenList[[#This Row],[Retained Player Name]],Players[],4,FALSE))</f>
        <v>BEL0262</v>
      </c>
      <c r="J8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3" s="231"/>
      <c r="L83" s="231"/>
    </row>
    <row r="84" spans="1:12" x14ac:dyDescent="0.2">
      <c r="A84" s="322">
        <f>IF(AND(OpenList[[#This Row],[First &amp; Last Name]]="",OpenList[[#This Row],[FISTF Code]]=""),"",ROW()-ROW($A$11))</f>
        <v>73</v>
      </c>
      <c r="B84" s="323" t="s">
        <v>8117</v>
      </c>
      <c r="C84" s="437"/>
      <c r="D84" s="422" t="b">
        <f>IF(OpenList[[#This Row],[First &amp; Last Name]]="","",IFERROR(ISNUMBER(MATCH(OpenList[[#This Row],[First &amp; Last Name]],Players[Player Name],0)),FALSE))</f>
        <v>1</v>
      </c>
      <c r="E84" s="421" t="b">
        <f>IF(OpenList[[#This Row],[FISTF Code]]="",FALSE,IFERROR(ISNUMBER(MATCH(OpenList[[#This Row],[FISTF Code]],Players[FISTF Code],0)),FALSE))</f>
        <v>0</v>
      </c>
      <c r="F84" s="419" t="str">
        <f>IF(AND(OpenList[[#This Row],[First &amp; Last Name]]="",OpenList[[#This Row],[FISTF Code]]=""),"",IF(OpenList[[#This Row],[Valide Code ?]],INDEX(Players[Player Name],MATCH(OpenList[[#This Row],[FISTF Code]],Players[FISTF Code],0)),OpenList[[#This Row],[First &amp; Last Name]]))</f>
        <v>Maxime Muraille</v>
      </c>
      <c r="G84" s="233" t="str">
        <f>IF(OpenList[[#This Row],[Retained Player Name]]="","",VLOOKUP(OpenList[[#This Row],[Retained Player Name]],Players[],7,FALSE))</f>
        <v>BEL</v>
      </c>
      <c r="H84" s="235" t="str">
        <f>IF(OpenList[[#This Row],[Retained Player Name]]="","",VLOOKUP(OpenList[[#This Row],[Retained Player Name]],Players[],6,FALSE))</f>
        <v>JSC Rochefort</v>
      </c>
      <c r="I84" s="235" t="str">
        <f>IF(OpenList[[#This Row],[Retained Player Name]]="","",VLOOKUP(OpenList[[#This Row],[Retained Player Name]],Players[],4,FALSE))</f>
        <v>BEL0088</v>
      </c>
      <c r="J8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84" s="231"/>
      <c r="L84" s="231"/>
    </row>
    <row r="85" spans="1:12" x14ac:dyDescent="0.2">
      <c r="A85" s="322">
        <f>IF(AND(OpenList[[#This Row],[First &amp; Last Name]]="",OpenList[[#This Row],[FISTF Code]]=""),"",ROW()-ROW($A$11))</f>
        <v>74</v>
      </c>
      <c r="B85" s="323" t="s">
        <v>8200</v>
      </c>
      <c r="C85" s="437"/>
      <c r="D85" s="422" t="b">
        <f>IF(OpenList[[#This Row],[First &amp; Last Name]]="","",IFERROR(ISNUMBER(MATCH(OpenList[[#This Row],[First &amp; Last Name]],Players[Player Name],0)),FALSE))</f>
        <v>1</v>
      </c>
      <c r="E85" s="421" t="b">
        <f>IF(OpenList[[#This Row],[FISTF Code]]="",FALSE,IFERROR(ISNUMBER(MATCH(OpenList[[#This Row],[FISTF Code]],Players[FISTF Code],0)),FALSE))</f>
        <v>0</v>
      </c>
      <c r="F85" s="419" t="str">
        <f>IF(AND(OpenList[[#This Row],[First &amp; Last Name]]="",OpenList[[#This Row],[FISTF Code]]=""),"",IF(OpenList[[#This Row],[Valide Code ?]],INDEX(Players[Player Name],MATCH(OpenList[[#This Row],[FISTF Code]],Players[FISTF Code],0)),OpenList[[#This Row],[First &amp; Last Name]]))</f>
        <v>Mathieu Crasset</v>
      </c>
      <c r="G85" s="233" t="str">
        <f>IF(OpenList[[#This Row],[Retained Player Name]]="","",VLOOKUP(OpenList[[#This Row],[Retained Player Name]],Players[],7,FALSE))</f>
        <v>BEL</v>
      </c>
      <c r="H85" s="235" t="str">
        <f>IF(OpenList[[#This Row],[Retained Player Name]]="","",VLOOKUP(OpenList[[#This Row],[Retained Player Name]],Players[],6,FALSE))</f>
        <v>Master Sanremo</v>
      </c>
      <c r="I85" s="235" t="str">
        <f>IF(OpenList[[#This Row],[Retained Player Name]]="","",VLOOKUP(OpenList[[#This Row],[Retained Player Name]],Players[],4,FALSE))</f>
        <v>BEL0452</v>
      </c>
      <c r="J8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5" s="231"/>
      <c r="L85" s="231"/>
    </row>
    <row r="86" spans="1:12" x14ac:dyDescent="0.2">
      <c r="A86" s="322">
        <f>IF(AND(OpenList[[#This Row],[First &amp; Last Name]]="",OpenList[[#This Row],[FISTF Code]]=""),"",ROW()-ROW($A$11))</f>
        <v>75</v>
      </c>
      <c r="B86" s="323" t="s">
        <v>10440</v>
      </c>
      <c r="C86" s="437"/>
      <c r="D86" s="422" t="b">
        <f>IF(OpenList[[#This Row],[First &amp; Last Name]]="","",IFERROR(ISNUMBER(MATCH(OpenList[[#This Row],[First &amp; Last Name]],Players[Player Name],0)),FALSE))</f>
        <v>1</v>
      </c>
      <c r="E86" s="421" t="b">
        <f>IF(OpenList[[#This Row],[FISTF Code]]="",FALSE,IFERROR(ISNUMBER(MATCH(OpenList[[#This Row],[FISTF Code]],Players[FISTF Code],0)),FALSE))</f>
        <v>0</v>
      </c>
      <c r="F86" s="419" t="str">
        <f>IF(AND(OpenList[[#This Row],[First &amp; Last Name]]="",OpenList[[#This Row],[FISTF Code]]=""),"",IF(OpenList[[#This Row],[Valide Code ?]],INDEX(Players[Player Name],MATCH(OpenList[[#This Row],[FISTF Code]],Players[FISTF Code],0)),OpenList[[#This Row],[First &amp; Last Name]]))</f>
        <v>Stanley Farrugia Randon</v>
      </c>
      <c r="G86" s="233" t="str">
        <f>IF(OpenList[[#This Row],[Retained Player Name]]="","",VLOOKUP(OpenList[[#This Row],[Retained Player Name]],Players[],7,FALSE))</f>
        <v>MLT</v>
      </c>
      <c r="H86" s="235" t="str">
        <f>IF(OpenList[[#This Row],[Retained Player Name]]="","",VLOOKUP(OpenList[[#This Row],[Retained Player Name]],Players[],6,FALSE))</f>
        <v>H'Attard SC</v>
      </c>
      <c r="I86" s="235" t="str">
        <f>IF(OpenList[[#This Row],[Retained Player Name]]="","",VLOOKUP(OpenList[[#This Row],[Retained Player Name]],Players[],4,FALSE))</f>
        <v>MLT0101</v>
      </c>
      <c r="J8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6" s="231"/>
      <c r="L86" s="231"/>
    </row>
    <row r="87" spans="1:12" x14ac:dyDescent="0.2">
      <c r="A87" s="322">
        <f>IF(AND(OpenList[[#This Row],[First &amp; Last Name]]="",OpenList[[#This Row],[FISTF Code]]=""),"",ROW()-ROW($A$11))</f>
        <v>76</v>
      </c>
      <c r="B87" s="323" t="s">
        <v>10590</v>
      </c>
      <c r="C87" s="437"/>
      <c r="D87" s="422" t="b">
        <f>IF(OpenList[[#This Row],[First &amp; Last Name]]="","",IFERROR(ISNUMBER(MATCH(OpenList[[#This Row],[First &amp; Last Name]],Players[Player Name],0)),FALSE))</f>
        <v>1</v>
      </c>
      <c r="E87" s="421" t="b">
        <f>IF(OpenList[[#This Row],[FISTF Code]]="",FALSE,IFERROR(ISNUMBER(MATCH(OpenList[[#This Row],[FISTF Code]],Players[FISTF Code],0)),FALSE))</f>
        <v>0</v>
      </c>
      <c r="F87" s="419" t="str">
        <f>IF(AND(OpenList[[#This Row],[First &amp; Last Name]]="",OpenList[[#This Row],[FISTF Code]]=""),"",IF(OpenList[[#This Row],[Valide Code ?]],INDEX(Players[Player Name],MATCH(OpenList[[#This Row],[FISTF Code]],Players[FISTF Code],0)),OpenList[[#This Row],[First &amp; Last Name]]))</f>
        <v>Andy Fitzpatrick</v>
      </c>
      <c r="G87" s="233" t="str">
        <f>IF(OpenList[[#This Row],[Retained Player Name]]="","",VLOOKUP(OpenList[[#This Row],[Retained Player Name]],Players[],7,FALSE))</f>
        <v>IRL</v>
      </c>
      <c r="H87" s="235" t="str">
        <f>IF(OpenList[[#This Row],[Retained Player Name]]="","",VLOOKUP(OpenList[[#This Row],[Retained Player Name]],Players[],6,FALSE))</f>
        <v>Irish Premier League</v>
      </c>
      <c r="I87" s="235" t="str">
        <f>IF(OpenList[[#This Row],[Retained Player Name]]="","",VLOOKUP(OpenList[[#This Row],[Retained Player Name]],Players[],4,FALSE))</f>
        <v>IRL0011</v>
      </c>
      <c r="J8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7" s="231"/>
      <c r="L87" s="231"/>
    </row>
    <row r="88" spans="1:12" x14ac:dyDescent="0.2">
      <c r="A88" s="322">
        <f>IF(AND(OpenList[[#This Row],[First &amp; Last Name]]="",OpenList[[#This Row],[FISTF Code]]=""),"",ROW()-ROW($A$11))</f>
        <v>77</v>
      </c>
      <c r="B88" s="323" t="s">
        <v>8152</v>
      </c>
      <c r="C88" s="437"/>
      <c r="D88" s="422" t="b">
        <f>IF(OpenList[[#This Row],[First &amp; Last Name]]="","",IFERROR(ISNUMBER(MATCH(OpenList[[#This Row],[First &amp; Last Name]],Players[Player Name],0)),FALSE))</f>
        <v>1</v>
      </c>
      <c r="E88" s="421" t="b">
        <f>IF(OpenList[[#This Row],[FISTF Code]]="",FALSE,IFERROR(ISNUMBER(MATCH(OpenList[[#This Row],[FISTF Code]],Players[FISTF Code],0)),FALSE))</f>
        <v>0</v>
      </c>
      <c r="F88" s="419" t="str">
        <f>IF(AND(OpenList[[#This Row],[First &amp; Last Name]]="",OpenList[[#This Row],[FISTF Code]]=""),"",IF(OpenList[[#This Row],[Valide Code ?]],INDEX(Players[Player Name],MATCH(OpenList[[#This Row],[FISTF Code]],Players[FISTF Code],0)),OpenList[[#This Row],[First &amp; Last Name]]))</f>
        <v>Sébastien Darmont</v>
      </c>
      <c r="G88" s="233" t="str">
        <f>IF(OpenList[[#This Row],[Retained Player Name]]="","",VLOOKUP(OpenList[[#This Row],[Retained Player Name]],Players[],7,FALSE))</f>
        <v>BEL</v>
      </c>
      <c r="H88" s="235" t="str">
        <f>IF(OpenList[[#This Row],[Retained Player Name]]="","",VLOOKUP(OpenList[[#This Row],[Retained Player Name]],Players[],6,FALSE))</f>
        <v>US Huy</v>
      </c>
      <c r="I88" s="235" t="str">
        <f>IF(OpenList[[#This Row],[Retained Player Name]]="","",VLOOKUP(OpenList[[#This Row],[Retained Player Name]],Players[],4,FALSE))</f>
        <v>BEL0264</v>
      </c>
      <c r="J8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8" s="231"/>
      <c r="L88" s="231"/>
    </row>
    <row r="89" spans="1:12" x14ac:dyDescent="0.2">
      <c r="A89" s="322">
        <f>IF(AND(OpenList[[#This Row],[First &amp; Last Name]]="",OpenList[[#This Row],[FISTF Code]]=""),"",ROW()-ROW($A$11))</f>
        <v>78</v>
      </c>
      <c r="B89" s="323" t="s">
        <v>10447</v>
      </c>
      <c r="C89" s="437"/>
      <c r="D89" s="422" t="b">
        <f>IF(OpenList[[#This Row],[First &amp; Last Name]]="","",IFERROR(ISNUMBER(MATCH(OpenList[[#This Row],[First &amp; Last Name]],Players[Player Name],0)),FALSE))</f>
        <v>1</v>
      </c>
      <c r="E89" s="421" t="b">
        <f>IF(OpenList[[#This Row],[FISTF Code]]="",FALSE,IFERROR(ISNUMBER(MATCH(OpenList[[#This Row],[FISTF Code]],Players[FISTF Code],0)),FALSE))</f>
        <v>0</v>
      </c>
      <c r="F89" s="419" t="str">
        <f>IF(AND(OpenList[[#This Row],[First &amp; Last Name]]="",OpenList[[#This Row],[FISTF Code]]=""),"",IF(OpenList[[#This Row],[Valide Code ?]],INDEX(Players[Player Name],MATCH(OpenList[[#This Row],[FISTF Code]],Players[FISTF Code],0)),OpenList[[#This Row],[First &amp; Last Name]]))</f>
        <v>Mario Fleri Soler</v>
      </c>
      <c r="G89" s="233" t="str">
        <f>IF(OpenList[[#This Row],[Retained Player Name]]="","",VLOOKUP(OpenList[[#This Row],[Retained Player Name]],Players[],7,FALSE))</f>
        <v>MLT</v>
      </c>
      <c r="H89" s="235" t="str">
        <f>IF(OpenList[[#This Row],[Retained Player Name]]="","",VLOOKUP(OpenList[[#This Row],[Retained Player Name]],Players[],6,FALSE))</f>
        <v>H'Attard SC</v>
      </c>
      <c r="I89" s="235" t="str">
        <f>IF(OpenList[[#This Row],[Retained Player Name]]="","",VLOOKUP(OpenList[[#This Row],[Retained Player Name]],Players[],4,FALSE))</f>
        <v>MLT0125</v>
      </c>
      <c r="J8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89" s="231"/>
      <c r="L89" s="231"/>
    </row>
    <row r="90" spans="1:12" x14ac:dyDescent="0.2">
      <c r="A90" s="322">
        <f>IF(AND(OpenList[[#This Row],[First &amp; Last Name]]="",OpenList[[#This Row],[FISTF Code]]=""),"",ROW()-ROW($A$11))</f>
        <v>79</v>
      </c>
      <c r="B90" s="323" t="s">
        <v>8680</v>
      </c>
      <c r="C90" s="437"/>
      <c r="D90" s="422" t="b">
        <f>IF(OpenList[[#This Row],[First &amp; Last Name]]="","",IFERROR(ISNUMBER(MATCH(OpenList[[#This Row],[First &amp; Last Name]],Players[Player Name],0)),FALSE))</f>
        <v>1</v>
      </c>
      <c r="E90" s="421" t="b">
        <f>IF(OpenList[[#This Row],[FISTF Code]]="",FALSE,IFERROR(ISNUMBER(MATCH(OpenList[[#This Row],[FISTF Code]],Players[FISTF Code],0)),FALSE))</f>
        <v>0</v>
      </c>
      <c r="F90" s="419" t="str">
        <f>IF(AND(OpenList[[#This Row],[First &amp; Last Name]]="",OpenList[[#This Row],[FISTF Code]]=""),"",IF(OpenList[[#This Row],[Valide Code ?]],INDEX(Players[Player Name],MATCH(OpenList[[#This Row],[FISTF Code]],Players[FISTF Code],0)),OpenList[[#This Row],[First &amp; Last Name]]))</f>
        <v>Xavi Maso</v>
      </c>
      <c r="G90" s="233" t="str">
        <f>IF(OpenList[[#This Row],[Retained Player Name]]="","",VLOOKUP(OpenList[[#This Row],[Retained Player Name]],Players[],7,FALSE))</f>
        <v>ESP</v>
      </c>
      <c r="H90" s="235" t="str">
        <f>IF(OpenList[[#This Row],[Retained Player Name]]="","",VLOOKUP(OpenList[[#This Row],[Retained Player Name]],Players[],6,FALSE))</f>
        <v>AS Iluro FT</v>
      </c>
      <c r="I90" s="235" t="str">
        <f>IF(OpenList[[#This Row],[Retained Player Name]]="","",VLOOKUP(OpenList[[#This Row],[Retained Player Name]],Players[],4,FALSE))</f>
        <v>ESP0557</v>
      </c>
      <c r="J9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0" s="231"/>
      <c r="L90" s="231"/>
    </row>
    <row r="91" spans="1:12" x14ac:dyDescent="0.2">
      <c r="A91" s="322">
        <f>IF(AND(OpenList[[#This Row],[First &amp; Last Name]]="",OpenList[[#This Row],[FISTF Code]]=""),"",ROW()-ROW($A$11))</f>
        <v>80</v>
      </c>
      <c r="B91" s="323" t="s">
        <v>8075</v>
      </c>
      <c r="C91" s="437"/>
      <c r="D91" s="422" t="b">
        <f>IF(OpenList[[#This Row],[First &amp; Last Name]]="","",IFERROR(ISNUMBER(MATCH(OpenList[[#This Row],[First &amp; Last Name]],Players[Player Name],0)),FALSE))</f>
        <v>1</v>
      </c>
      <c r="E91" s="421" t="b">
        <f>IF(OpenList[[#This Row],[FISTF Code]]="",FALSE,IFERROR(ISNUMBER(MATCH(OpenList[[#This Row],[FISTF Code]],Players[FISTF Code],0)),FALSE))</f>
        <v>0</v>
      </c>
      <c r="F91" s="419" t="str">
        <f>IF(AND(OpenList[[#This Row],[First &amp; Last Name]]="",OpenList[[#This Row],[FISTF Code]]=""),"",IF(OpenList[[#This Row],[Valide Code ?]],INDEX(Players[Player Name],MATCH(OpenList[[#This Row],[FISTF Code]],Players[FISTF Code],0)),OpenList[[#This Row],[First &amp; Last Name]]))</f>
        <v>Corentin Bouchez</v>
      </c>
      <c r="G91" s="233" t="str">
        <f>IF(OpenList[[#This Row],[Retained Player Name]]="","",VLOOKUP(OpenList[[#This Row],[Retained Player Name]],Players[],7,FALSE))</f>
        <v>BEL</v>
      </c>
      <c r="H91" s="235" t="str">
        <f>IF(OpenList[[#This Row],[Retained Player Name]]="","",VLOOKUP(OpenList[[#This Row],[Retained Player Name]],Players[],6,FALSE))</f>
        <v>SC Lion's Eugies</v>
      </c>
      <c r="I91" s="235" t="str">
        <f>IF(OpenList[[#This Row],[Retained Player Name]]="","",VLOOKUP(OpenList[[#This Row],[Retained Player Name]],Players[],4,FALSE))</f>
        <v>BEL0027</v>
      </c>
      <c r="J9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91" s="231"/>
      <c r="L91" s="231"/>
    </row>
    <row r="92" spans="1:12" x14ac:dyDescent="0.2">
      <c r="A92" s="322">
        <f>IF(AND(OpenList[[#This Row],[First &amp; Last Name]]="",OpenList[[#This Row],[FISTF Code]]=""),"",ROW()-ROW($A$11))</f>
        <v>81</v>
      </c>
      <c r="B92" s="323" t="s">
        <v>10024</v>
      </c>
      <c r="C92" s="437"/>
      <c r="D92" s="422" t="b">
        <f>IF(OpenList[[#This Row],[First &amp; Last Name]]="","",IFERROR(ISNUMBER(MATCH(OpenList[[#This Row],[First &amp; Last Name]],Players[Player Name],0)),FALSE))</f>
        <v>1</v>
      </c>
      <c r="E92" s="421" t="b">
        <f>IF(OpenList[[#This Row],[FISTF Code]]="",FALSE,IFERROR(ISNUMBER(MATCH(OpenList[[#This Row],[FISTF Code]],Players[FISTF Code],0)),FALSE))</f>
        <v>0</v>
      </c>
      <c r="F92" s="419" t="str">
        <f>IF(AND(OpenList[[#This Row],[First &amp; Last Name]]="",OpenList[[#This Row],[FISTF Code]]=""),"",IF(OpenList[[#This Row],[Valide Code ?]],INDEX(Players[Player Name],MATCH(OpenList[[#This Row],[FISTF Code]],Players[FISTF Code],0)),OpenList[[#This Row],[First &amp; Last Name]]))</f>
        <v>Christian Fricano</v>
      </c>
      <c r="G92" s="233" t="str">
        <f>IF(OpenList[[#This Row],[Retained Player Name]]="","",VLOOKUP(OpenList[[#This Row],[Retained Player Name]],Players[],7,FALSE))</f>
        <v>ITA</v>
      </c>
      <c r="H92" s="235" t="str">
        <f>IF(OpenList[[#This Row],[Retained Player Name]]="","",VLOOKUP(OpenList[[#This Row],[Retained Player Name]],Players[],6,FALSE))</f>
        <v>Subbuteo Casale</v>
      </c>
      <c r="I92" s="235" t="str">
        <f>IF(OpenList[[#This Row],[Retained Player Name]]="","",VLOOKUP(OpenList[[#This Row],[Retained Player Name]],Players[],4,FALSE))</f>
        <v>ITA1749</v>
      </c>
      <c r="J9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92" s="231"/>
      <c r="L92" s="231"/>
    </row>
    <row r="93" spans="1:12" x14ac:dyDescent="0.2">
      <c r="A93" s="322">
        <f>IF(AND(OpenList[[#This Row],[First &amp; Last Name]]="",OpenList[[#This Row],[FISTF Code]]=""),"",ROW()-ROW($A$11))</f>
        <v>82</v>
      </c>
      <c r="B93" s="323" t="s">
        <v>8168</v>
      </c>
      <c r="C93" s="437"/>
      <c r="D93" s="422" t="b">
        <f>IF(OpenList[[#This Row],[First &amp; Last Name]]="","",IFERROR(ISNUMBER(MATCH(OpenList[[#This Row],[First &amp; Last Name]],Players[Player Name],0)),FALSE))</f>
        <v>1</v>
      </c>
      <c r="E93" s="421" t="b">
        <f>IF(OpenList[[#This Row],[FISTF Code]]="",FALSE,IFERROR(ISNUMBER(MATCH(OpenList[[#This Row],[FISTF Code]],Players[FISTF Code],0)),FALSE))</f>
        <v>0</v>
      </c>
      <c r="F93" s="419" t="str">
        <f>IF(AND(OpenList[[#This Row],[First &amp; Last Name]]="",OpenList[[#This Row],[FISTF Code]]=""),"",IF(OpenList[[#This Row],[Valide Code ?]],INDEX(Players[Player Name],MATCH(OpenList[[#This Row],[FISTF Code]],Players[FISTF Code],0)),OpenList[[#This Row],[First &amp; Last Name]]))</f>
        <v>Jean Grosdent</v>
      </c>
      <c r="G93" s="233" t="str">
        <f>IF(OpenList[[#This Row],[Retained Player Name]]="","",VLOOKUP(OpenList[[#This Row],[Retained Player Name]],Players[],7,FALSE))</f>
        <v>BEL</v>
      </c>
      <c r="H93" s="235" t="str">
        <f>IF(OpenList[[#This Row],[Retained Player Name]]="","",VLOOKUP(OpenList[[#This Row],[Retained Player Name]],Players[],6,FALSE))</f>
        <v>Wamme SC</v>
      </c>
      <c r="I93" s="235" t="str">
        <f>IF(OpenList[[#This Row],[Retained Player Name]]="","",VLOOKUP(OpenList[[#This Row],[Retained Player Name]],Players[],4,FALSE))</f>
        <v>BEL0332</v>
      </c>
      <c r="J9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3" s="231"/>
      <c r="L93" s="231"/>
    </row>
    <row r="94" spans="1:12" x14ac:dyDescent="0.2">
      <c r="A94" s="322">
        <f>IF(AND(OpenList[[#This Row],[First &amp; Last Name]]="",OpenList[[#This Row],[FISTF Code]]=""),"",ROW()-ROW($A$11))</f>
        <v>83</v>
      </c>
      <c r="B94" s="323" t="s">
        <v>12756</v>
      </c>
      <c r="C94" s="437"/>
      <c r="D94" s="422" t="b">
        <f>IF(OpenList[[#This Row],[First &amp; Last Name]]="","",IFERROR(ISNUMBER(MATCH(OpenList[[#This Row],[First &amp; Last Name]],Players[Player Name],0)),FALSE))</f>
        <v>1</v>
      </c>
      <c r="E94" s="421" t="b">
        <f>IF(OpenList[[#This Row],[FISTF Code]]="",FALSE,IFERROR(ISNUMBER(MATCH(OpenList[[#This Row],[FISTF Code]],Players[FISTF Code],0)),FALSE))</f>
        <v>0</v>
      </c>
      <c r="F94" s="419" t="str">
        <f>IF(AND(OpenList[[#This Row],[First &amp; Last Name]]="",OpenList[[#This Row],[FISTF Code]]=""),"",IF(OpenList[[#This Row],[Valide Code ?]],INDEX(Players[Player Name],MATCH(OpenList[[#This Row],[FISTF Code]],Players[FISTF Code],0)),OpenList[[#This Row],[First &amp; Last Name]]))</f>
        <v>Ronald Scheffer</v>
      </c>
      <c r="G94" s="233" t="str">
        <f>IF(OpenList[[#This Row],[Retained Player Name]]="","",VLOOKUP(OpenList[[#This Row],[Retained Player Name]],Players[],7,FALSE))</f>
        <v>NED</v>
      </c>
      <c r="H94" s="235" t="str">
        <f>IF(OpenList[[#This Row],[Retained Player Name]]="","",VLOOKUP(OpenList[[#This Row],[Retained Player Name]],Players[],6,FALSE))</f>
        <v>US Huy</v>
      </c>
      <c r="I94" s="235" t="str">
        <f>IF(OpenList[[#This Row],[Retained Player Name]]="","",VLOOKUP(OpenList[[#This Row],[Retained Player Name]],Players[],4,FALSE))</f>
        <v>NED0082</v>
      </c>
      <c r="J9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4" s="231"/>
      <c r="L94" s="231"/>
    </row>
    <row r="95" spans="1:12" x14ac:dyDescent="0.2">
      <c r="A95" s="322">
        <f>IF(AND(OpenList[[#This Row],[First &amp; Last Name]]="",OpenList[[#This Row],[FISTF Code]]=""),"",ROW()-ROW($A$11))</f>
        <v>84</v>
      </c>
      <c r="B95" s="323" t="s">
        <v>8078</v>
      </c>
      <c r="C95" s="437"/>
      <c r="D95" s="422" t="b">
        <f>IF(OpenList[[#This Row],[First &amp; Last Name]]="","",IFERROR(ISNUMBER(MATCH(OpenList[[#This Row],[First &amp; Last Name]],Players[Player Name],0)),FALSE))</f>
        <v>1</v>
      </c>
      <c r="E95" s="421" t="b">
        <f>IF(OpenList[[#This Row],[FISTF Code]]="",FALSE,IFERROR(ISNUMBER(MATCH(OpenList[[#This Row],[FISTF Code]],Players[FISTF Code],0)),FALSE))</f>
        <v>0</v>
      </c>
      <c r="F95" s="419" t="str">
        <f>IF(AND(OpenList[[#This Row],[First &amp; Last Name]]="",OpenList[[#This Row],[FISTF Code]]=""),"",IF(OpenList[[#This Row],[Valide Code ?]],INDEX(Players[Player Name],MATCH(OpenList[[#This Row],[FISTF Code]],Players[FISTF Code],0)),OpenList[[#This Row],[First &amp; Last Name]]))</f>
        <v>Christophe Brach</v>
      </c>
      <c r="G95" s="233" t="str">
        <f>IF(OpenList[[#This Row],[Retained Player Name]]="","",VLOOKUP(OpenList[[#This Row],[Retained Player Name]],Players[],7,FALSE))</f>
        <v>BEL</v>
      </c>
      <c r="H95" s="235" t="str">
        <f>IF(OpenList[[#This Row],[Retained Player Name]]="","",VLOOKUP(OpenList[[#This Row],[Retained Player Name]],Players[],6,FALSE))</f>
        <v>SC Charleroi</v>
      </c>
      <c r="I95" s="235" t="str">
        <f>IF(OpenList[[#This Row],[Retained Player Name]]="","",VLOOKUP(OpenList[[#This Row],[Retained Player Name]],Players[],4,FALSE))</f>
        <v>BEL0127</v>
      </c>
      <c r="J9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5" s="231"/>
      <c r="L95" s="231"/>
    </row>
    <row r="96" spans="1:12" x14ac:dyDescent="0.2">
      <c r="A96" s="322">
        <f>IF(AND(OpenList[[#This Row],[First &amp; Last Name]]="",OpenList[[#This Row],[FISTF Code]]=""),"",ROW()-ROW($A$11))</f>
        <v>85</v>
      </c>
      <c r="B96" s="323" t="s">
        <v>8716</v>
      </c>
      <c r="C96" s="437"/>
      <c r="D96" s="422" t="b">
        <f>IF(OpenList[[#This Row],[First &amp; Last Name]]="","",IFERROR(ISNUMBER(MATCH(OpenList[[#This Row],[First &amp; Last Name]],Players[Player Name],0)),FALSE))</f>
        <v>1</v>
      </c>
      <c r="E96" s="421" t="b">
        <f>IF(OpenList[[#This Row],[FISTF Code]]="",FALSE,IFERROR(ISNUMBER(MATCH(OpenList[[#This Row],[FISTF Code]],Players[FISTF Code],0)),FALSE))</f>
        <v>0</v>
      </c>
      <c r="F96" s="419" t="str">
        <f>IF(AND(OpenList[[#This Row],[First &amp; Last Name]]="",OpenList[[#This Row],[FISTF Code]]=""),"",IF(OpenList[[#This Row],[Valide Code ?]],INDEX(Players[Player Name],MATCH(OpenList[[#This Row],[FISTF Code]],Players[FISTF Code],0)),OpenList[[#This Row],[First &amp; Last Name]]))</f>
        <v>Quentin Ausset</v>
      </c>
      <c r="G96" s="233" t="str">
        <f>IF(OpenList[[#This Row],[Retained Player Name]]="","",VLOOKUP(OpenList[[#This Row],[Retained Player Name]],Players[],7,FALSE))</f>
        <v>FRA</v>
      </c>
      <c r="H96" s="235" t="str">
        <f>IF(OpenList[[#This Row],[Retained Player Name]]="","",VLOOKUP(OpenList[[#This Row],[Retained Player Name]],Players[],6,FALSE))</f>
        <v>Elan Subbutéo Club de Champs-sur-Marne</v>
      </c>
      <c r="I96" s="235" t="str">
        <f>IF(OpenList[[#This Row],[Retained Player Name]]="","",VLOOKUP(OpenList[[#This Row],[Retained Player Name]],Players[],4,FALSE))</f>
        <v>FRA0120</v>
      </c>
      <c r="J9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6" s="231"/>
      <c r="L96" s="231"/>
    </row>
    <row r="97" spans="1:12" x14ac:dyDescent="0.2">
      <c r="A97" s="322">
        <f>IF(AND(OpenList[[#This Row],[First &amp; Last Name]]="",OpenList[[#This Row],[FISTF Code]]=""),"",ROW()-ROW($A$11))</f>
        <v>86</v>
      </c>
      <c r="B97" s="323" t="s">
        <v>8202</v>
      </c>
      <c r="C97" s="437"/>
      <c r="D97" s="422" t="b">
        <f>IF(OpenList[[#This Row],[First &amp; Last Name]]="","",IFERROR(ISNUMBER(MATCH(OpenList[[#This Row],[First &amp; Last Name]],Players[Player Name],0)),FALSE))</f>
        <v>1</v>
      </c>
      <c r="E97" s="421" t="b">
        <f>IF(OpenList[[#This Row],[FISTF Code]]="",FALSE,IFERROR(ISNUMBER(MATCH(OpenList[[#This Row],[FISTF Code]],Players[FISTF Code],0)),FALSE))</f>
        <v>0</v>
      </c>
      <c r="F97" s="419" t="str">
        <f>IF(AND(OpenList[[#This Row],[First &amp; Last Name]]="",OpenList[[#This Row],[FISTF Code]]=""),"",IF(OpenList[[#This Row],[Valide Code ?]],INDEX(Players[Player Name],MATCH(OpenList[[#This Row],[FISTF Code]],Players[FISTF Code],0)),OpenList[[#This Row],[First &amp; Last Name]]))</f>
        <v>Xavier Outers</v>
      </c>
      <c r="G97" s="233" t="str">
        <f>IF(OpenList[[#This Row],[Retained Player Name]]="","",VLOOKUP(OpenList[[#This Row],[Retained Player Name]],Players[],7,FALSE))</f>
        <v>BEL</v>
      </c>
      <c r="H97" s="235" t="str">
        <f>IF(OpenList[[#This Row],[Retained Player Name]]="","",VLOOKUP(OpenList[[#This Row],[Retained Player Name]],Players[],6,FALSE))</f>
        <v>SC Lion's Eugies</v>
      </c>
      <c r="I97" s="235" t="str">
        <f>IF(OpenList[[#This Row],[Retained Player Name]]="","",VLOOKUP(OpenList[[#This Row],[Retained Player Name]],Players[],4,FALSE))</f>
        <v>BEL0455</v>
      </c>
      <c r="J9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7" s="231"/>
      <c r="L97" s="231"/>
    </row>
    <row r="98" spans="1:12" x14ac:dyDescent="0.2">
      <c r="A98" s="322">
        <f>IF(AND(OpenList[[#This Row],[First &amp; Last Name]]="",OpenList[[#This Row],[FISTF Code]]=""),"",ROW()-ROW($A$11))</f>
        <v>87</v>
      </c>
      <c r="B98" s="323" t="s">
        <v>8513</v>
      </c>
      <c r="C98" s="437"/>
      <c r="D98" s="422" t="b">
        <f>IF(OpenList[[#This Row],[First &amp; Last Name]]="","",IFERROR(ISNUMBER(MATCH(OpenList[[#This Row],[First &amp; Last Name]],Players[Player Name],0)),FALSE))</f>
        <v>1</v>
      </c>
      <c r="E98" s="421" t="b">
        <f>IF(OpenList[[#This Row],[FISTF Code]]="",FALSE,IFERROR(ISNUMBER(MATCH(OpenList[[#This Row],[FISTF Code]],Players[FISTF Code],0)),FALSE))</f>
        <v>0</v>
      </c>
      <c r="F98" s="419" t="str">
        <f>IF(AND(OpenList[[#This Row],[First &amp; Last Name]]="",OpenList[[#This Row],[FISTF Code]]=""),"",IF(OpenList[[#This Row],[Valide Code ?]],INDEX(Players[Player Name],MATCH(OpenList[[#This Row],[FISTF Code]],Players[FISTF Code],0)),OpenList[[#This Row],[First &amp; Last Name]]))</f>
        <v>Kye Arnold</v>
      </c>
      <c r="G98" s="233" t="str">
        <f>IF(OpenList[[#This Row],[Retained Player Name]]="","",VLOOKUP(OpenList[[#This Row],[Retained Player Name]],Players[],7,FALSE))</f>
        <v>ENG</v>
      </c>
      <c r="H98" s="235" t="str">
        <f>IF(OpenList[[#This Row],[Retained Player Name]]="","",VLOOKUP(OpenList[[#This Row],[Retained Player Name]],Players[],6,FALSE))</f>
        <v>Kent Invicta TFC</v>
      </c>
      <c r="I98" s="235" t="str">
        <f>IF(OpenList[[#This Row],[Retained Player Name]]="","",VLOOKUP(OpenList[[#This Row],[Retained Player Name]],Players[],4,FALSE))</f>
        <v>ENG0083</v>
      </c>
      <c r="J9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98" s="231"/>
      <c r="L98" s="231"/>
    </row>
    <row r="99" spans="1:12" x14ac:dyDescent="0.2">
      <c r="A99" s="322">
        <f>IF(AND(OpenList[[#This Row],[First &amp; Last Name]]="",OpenList[[#This Row],[FISTF Code]]=""),"",ROW()-ROW($A$11))</f>
        <v>88</v>
      </c>
      <c r="B99" s="323" t="s">
        <v>10283</v>
      </c>
      <c r="C99" s="437"/>
      <c r="D99" s="422" t="b">
        <f>IF(OpenList[[#This Row],[First &amp; Last Name]]="","",IFERROR(ISNUMBER(MATCH(OpenList[[#This Row],[First &amp; Last Name]],Players[Player Name],0)),FALSE))</f>
        <v>1</v>
      </c>
      <c r="E99" s="421" t="b">
        <f>IF(OpenList[[#This Row],[FISTF Code]]="",FALSE,IFERROR(ISNUMBER(MATCH(OpenList[[#This Row],[FISTF Code]],Players[FISTF Code],0)),FALSE))</f>
        <v>0</v>
      </c>
      <c r="F99" s="419" t="str">
        <f>IF(AND(OpenList[[#This Row],[First &amp; Last Name]]="",OpenList[[#This Row],[FISTF Code]]=""),"",IF(OpenList[[#This Row],[Valide Code ?]],INDEX(Players[Player Name],MATCH(OpenList[[#This Row],[FISTF Code]],Players[FISTF Code],0)),OpenList[[#This Row],[First &amp; Last Name]]))</f>
        <v>Marcello Bodin De Chatelard</v>
      </c>
      <c r="G99" s="233" t="str">
        <f>IF(OpenList[[#This Row],[Retained Player Name]]="","",VLOOKUP(OpenList[[#This Row],[Retained Player Name]],Players[],7,FALSE))</f>
        <v>ITA</v>
      </c>
      <c r="H99" s="235" t="str">
        <f>IF(OpenList[[#This Row],[Retained Player Name]]="","",VLOOKUP(OpenList[[#This Row],[Retained Player Name]],Players[],6,FALSE))</f>
        <v>Subbuteo Casale</v>
      </c>
      <c r="I99" s="235" t="str">
        <f>IF(OpenList[[#This Row],[Retained Player Name]]="","",VLOOKUP(OpenList[[#This Row],[Retained Player Name]],Players[],4,FALSE))</f>
        <v>ITA0110</v>
      </c>
      <c r="J9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99" s="231"/>
      <c r="L99" s="231"/>
    </row>
    <row r="100" spans="1:12" x14ac:dyDescent="0.2">
      <c r="A100" s="322">
        <f>IF(AND(OpenList[[#This Row],[First &amp; Last Name]]="",OpenList[[#This Row],[FISTF Code]]=""),"",ROW()-ROW($A$11))</f>
        <v>89</v>
      </c>
      <c r="B100" s="323" t="s">
        <v>10786</v>
      </c>
      <c r="C100" s="437"/>
      <c r="D100" s="422" t="b">
        <f>IF(OpenList[[#This Row],[First &amp; Last Name]]="","",IFERROR(ISNUMBER(MATCH(OpenList[[#This Row],[First &amp; Last Name]],Players[Player Name],0)),FALSE))</f>
        <v>1</v>
      </c>
      <c r="E100" s="421" t="b">
        <f>IF(OpenList[[#This Row],[FISTF Code]]="",FALSE,IFERROR(ISNUMBER(MATCH(OpenList[[#This Row],[FISTF Code]],Players[FISTF Code],0)),FALSE))</f>
        <v>0</v>
      </c>
      <c r="F100" s="419" t="str">
        <f>IF(AND(OpenList[[#This Row],[First &amp; Last Name]]="",OpenList[[#This Row],[FISTF Code]]=""),"",IF(OpenList[[#This Row],[Valide Code ?]],INDEX(Players[Player Name],MATCH(OpenList[[#This Row],[FISTF Code]],Players[FISTF Code],0)),OpenList[[#This Row],[First &amp; Last Name]]))</f>
        <v>Thomas PONTÉ</v>
      </c>
      <c r="G100" s="233" t="str">
        <f>IF(OpenList[[#This Row],[Retained Player Name]]="","",VLOOKUP(OpenList[[#This Row],[Retained Player Name]],Players[],7,FALSE))</f>
        <v>UKR</v>
      </c>
      <c r="H100" s="235" t="str">
        <f>IF(OpenList[[#This Row],[Retained Player Name]]="","",VLOOKUP(OpenList[[#This Row],[Retained Player Name]],Players[],6,FALSE))</f>
        <v>Celtic Combourg CFT</v>
      </c>
      <c r="I100" s="235" t="str">
        <f>IF(OpenList[[#This Row],[Retained Player Name]]="","",VLOOKUP(OpenList[[#This Row],[Retained Player Name]],Players[],4,FALSE))</f>
        <v>UKR0001</v>
      </c>
      <c r="J10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0" s="231"/>
      <c r="L100" s="231"/>
    </row>
    <row r="101" spans="1:12" x14ac:dyDescent="0.2">
      <c r="A101" s="16">
        <f>IF(AND(OpenList[[#This Row],[First &amp; Last Name]]="",OpenList[[#This Row],[FISTF Code]]=""),"",ROW()-ROW($A$11))</f>
        <v>90</v>
      </c>
      <c r="B101" s="232" t="s">
        <v>8178</v>
      </c>
      <c r="C101" s="436"/>
      <c r="D101" s="421" t="b">
        <f>IF(OpenList[[#This Row],[First &amp; Last Name]]="","",IFERROR(ISNUMBER(MATCH(OpenList[[#This Row],[First &amp; Last Name]],Players[Player Name],0)),FALSE))</f>
        <v>1</v>
      </c>
      <c r="E101" s="421" t="b">
        <f>IF(OpenList[[#This Row],[FISTF Code]]="",FALSE,IFERROR(ISNUMBER(MATCH(OpenList[[#This Row],[FISTF Code]],Players[FISTF Code],0)),FALSE))</f>
        <v>0</v>
      </c>
      <c r="F101" s="419" t="str">
        <f>IF(AND(OpenList[[#This Row],[First &amp; Last Name]]="",OpenList[[#This Row],[FISTF Code]]=""),"",IF(OpenList[[#This Row],[Valide Code ?]],INDEX(Players[Player Name],MATCH(OpenList[[#This Row],[FISTF Code]],Players[FISTF Code],0)),OpenList[[#This Row],[First &amp; Last Name]]))</f>
        <v>Bruno Mottet</v>
      </c>
      <c r="G101" s="233" t="str">
        <f>IF(OpenList[[#This Row],[Retained Player Name]]="","",VLOOKUP(OpenList[[#This Row],[Retained Player Name]],Players[],7,FALSE))</f>
        <v>BEL</v>
      </c>
      <c r="H101" s="235" t="str">
        <f>IF(OpenList[[#This Row],[Retained Player Name]]="","",VLOOKUP(OpenList[[#This Row],[Retained Player Name]],Players[],6,FALSE))</f>
        <v>SC Temploux</v>
      </c>
      <c r="I101" s="235" t="str">
        <f>IF(OpenList[[#This Row],[Retained Player Name]]="","",VLOOKUP(OpenList[[#This Row],[Retained Player Name]],Players[],4,FALSE))</f>
        <v>BEL0354</v>
      </c>
      <c r="J10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1" s="231"/>
      <c r="L101" s="231"/>
    </row>
    <row r="102" spans="1:12" x14ac:dyDescent="0.2">
      <c r="A102" s="16">
        <f>IF(AND(OpenList[[#This Row],[First &amp; Last Name]]="",OpenList[[#This Row],[FISTF Code]]=""),"",ROW()-ROW($A$11))</f>
        <v>91</v>
      </c>
      <c r="B102" s="232" t="s">
        <v>11590</v>
      </c>
      <c r="C102" s="436"/>
      <c r="D102" s="421" t="b">
        <f>IF(OpenList[[#This Row],[First &amp; Last Name]]="","",IFERROR(ISNUMBER(MATCH(OpenList[[#This Row],[First &amp; Last Name]],Players[Player Name],0)),FALSE))</f>
        <v>1</v>
      </c>
      <c r="E102" s="421" t="b">
        <f>IF(OpenList[[#This Row],[FISTF Code]]="",FALSE,IFERROR(ISNUMBER(MATCH(OpenList[[#This Row],[FISTF Code]],Players[FISTF Code],0)),FALSE))</f>
        <v>0</v>
      </c>
      <c r="F102" s="419" t="str">
        <f>IF(AND(OpenList[[#This Row],[First &amp; Last Name]]="",OpenList[[#This Row],[FISTF Code]]=""),"",IF(OpenList[[#This Row],[Valide Code ?]],INDEX(Players[Player Name],MATCH(OpenList[[#This Row],[FISTF Code]],Players[FISTF Code],0)),OpenList[[#This Row],[First &amp; Last Name]]))</f>
        <v>Emeric Delcroix</v>
      </c>
      <c r="G102" s="233" t="str">
        <f>IF(OpenList[[#This Row],[Retained Player Name]]="","",VLOOKUP(OpenList[[#This Row],[Retained Player Name]],Players[],7,FALSE))</f>
        <v>BEL</v>
      </c>
      <c r="H102" s="235" t="str">
        <f>IF(OpenList[[#This Row],[Retained Player Name]]="","",VLOOKUP(OpenList[[#This Row],[Retained Player Name]],Players[],6,FALSE))</f>
        <v>SC Lion's Eugies</v>
      </c>
      <c r="I102" s="235" t="str">
        <f>IF(OpenList[[#This Row],[Retained Player Name]]="","",VLOOKUP(OpenList[[#This Row],[Retained Player Name]],Players[],4,FALSE))</f>
        <v>BEL0030</v>
      </c>
      <c r="J10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2" s="231"/>
      <c r="L102" s="231"/>
    </row>
    <row r="103" spans="1:12" x14ac:dyDescent="0.2">
      <c r="A103" s="16">
        <f>IF(AND(OpenList[[#This Row],[First &amp; Last Name]]="",OpenList[[#This Row],[FISTF Code]]=""),"",ROW()-ROW($A$11))</f>
        <v>92</v>
      </c>
      <c r="B103" s="232" t="s">
        <v>10272</v>
      </c>
      <c r="C103" s="436"/>
      <c r="D103" s="421" t="b">
        <f>IF(OpenList[[#This Row],[First &amp; Last Name]]="","",IFERROR(ISNUMBER(MATCH(OpenList[[#This Row],[First &amp; Last Name]],Players[Player Name],0)),FALSE))</f>
        <v>1</v>
      </c>
      <c r="E103" s="421" t="b">
        <f>IF(OpenList[[#This Row],[FISTF Code]]="",FALSE,IFERROR(ISNUMBER(MATCH(OpenList[[#This Row],[FISTF Code]],Players[FISTF Code],0)),FALSE))</f>
        <v>0</v>
      </c>
      <c r="F103" s="419" t="str">
        <f>IF(AND(OpenList[[#This Row],[First &amp; Last Name]]="",OpenList[[#This Row],[FISTF Code]]=""),"",IF(OpenList[[#This Row],[Valide Code ?]],INDEX(Players[Player Name],MATCH(OpenList[[#This Row],[FISTF Code]],Players[FISTF Code],0)),OpenList[[#This Row],[First &amp; Last Name]]))</f>
        <v>Francesco Borgo</v>
      </c>
      <c r="G103" s="233" t="str">
        <f>IF(OpenList[[#This Row],[Retained Player Name]]="","",VLOOKUP(OpenList[[#This Row],[Retained Player Name]],Players[],7,FALSE))</f>
        <v>ITA</v>
      </c>
      <c r="H103" s="235" t="str">
        <f>IF(OpenList[[#This Row],[Retained Player Name]]="","",VLOOKUP(OpenList[[#This Row],[Retained Player Name]],Players[],6,FALSE))</f>
        <v>Subbuteo Casale</v>
      </c>
      <c r="I103" s="235" t="str">
        <f>IF(OpenList[[#This Row],[Retained Player Name]]="","",VLOOKUP(OpenList[[#This Row],[Retained Player Name]],Players[],4,FALSE))</f>
        <v>ITA1748</v>
      </c>
      <c r="J10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103" s="231"/>
      <c r="L103" s="231"/>
    </row>
    <row r="104" spans="1:12" x14ac:dyDescent="0.2">
      <c r="A104" s="16">
        <f>IF(AND(OpenList[[#This Row],[First &amp; Last Name]]="",OpenList[[#This Row],[FISTF Code]]=""),"",ROW()-ROW($A$11))</f>
        <v>93</v>
      </c>
      <c r="B104" s="232" t="s">
        <v>8171</v>
      </c>
      <c r="C104" s="436"/>
      <c r="D104" s="421" t="b">
        <f>IF(OpenList[[#This Row],[First &amp; Last Name]]="","",IFERROR(ISNUMBER(MATCH(OpenList[[#This Row],[First &amp; Last Name]],Players[Player Name],0)),FALSE))</f>
        <v>1</v>
      </c>
      <c r="E104" s="421" t="b">
        <f>IF(OpenList[[#This Row],[FISTF Code]]="",FALSE,IFERROR(ISNUMBER(MATCH(OpenList[[#This Row],[FISTF Code]],Players[FISTF Code],0)),FALSE))</f>
        <v>0</v>
      </c>
      <c r="F104" s="419" t="str">
        <f>IF(AND(OpenList[[#This Row],[First &amp; Last Name]]="",OpenList[[#This Row],[FISTF Code]]=""),"",IF(OpenList[[#This Row],[Valide Code ?]],INDEX(Players[Player Name],MATCH(OpenList[[#This Row],[FISTF Code]],Players[FISTF Code],0)),OpenList[[#This Row],[First &amp; Last Name]]))</f>
        <v>Frédéric Thiel</v>
      </c>
      <c r="G104" s="233" t="str">
        <f>IF(OpenList[[#This Row],[Retained Player Name]]="","",VLOOKUP(OpenList[[#This Row],[Retained Player Name]],Players[],7,FALSE))</f>
        <v>BEL</v>
      </c>
      <c r="H104" s="235" t="str">
        <f>IF(OpenList[[#This Row],[Retained Player Name]]="","",VLOOKUP(OpenList[[#This Row],[Retained Player Name]],Players[],6,FALSE))</f>
        <v>SC Lion's Eugies</v>
      </c>
      <c r="I104" s="235" t="str">
        <f>IF(OpenList[[#This Row],[Retained Player Name]]="","",VLOOKUP(OpenList[[#This Row],[Retained Player Name]],Players[],4,FALSE))</f>
        <v>BEL0337</v>
      </c>
      <c r="J10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4" s="231"/>
      <c r="L104" s="231"/>
    </row>
    <row r="105" spans="1:12" x14ac:dyDescent="0.2">
      <c r="A105" s="16">
        <f>IF(AND(OpenList[[#This Row],[First &amp; Last Name]]="",OpenList[[#This Row],[FISTF Code]]=""),"",ROW()-ROW($A$11))</f>
        <v>94</v>
      </c>
      <c r="B105" s="232" t="s">
        <v>9527</v>
      </c>
      <c r="C105" s="436"/>
      <c r="D105" s="421" t="b">
        <f>IF(OpenList[[#This Row],[First &amp; Last Name]]="","",IFERROR(ISNUMBER(MATCH(OpenList[[#This Row],[First &amp; Last Name]],Players[Player Name],0)),FALSE))</f>
        <v>1</v>
      </c>
      <c r="E105" s="421" t="b">
        <f>IF(OpenList[[#This Row],[FISTF Code]]="",FALSE,IFERROR(ISNUMBER(MATCH(OpenList[[#This Row],[FISTF Code]],Players[FISTF Code],0)),FALSE))</f>
        <v>0</v>
      </c>
      <c r="F105" s="419" t="str">
        <f>IF(AND(OpenList[[#This Row],[First &amp; Last Name]]="",OpenList[[#This Row],[FISTF Code]]=""),"",IF(OpenList[[#This Row],[Valide Code ?]],INDEX(Players[Player Name],MATCH(OpenList[[#This Row],[FISTF Code]],Players[FISTF Code],0)),OpenList[[#This Row],[First &amp; Last Name]]))</f>
        <v>Paolo Zambello</v>
      </c>
      <c r="G105" s="233" t="str">
        <f>IF(OpenList[[#This Row],[Retained Player Name]]="","",VLOOKUP(OpenList[[#This Row],[Retained Player Name]],Players[],7,FALSE))</f>
        <v>ITA</v>
      </c>
      <c r="H105" s="235" t="str">
        <f>IF(OpenList[[#This Row],[Retained Player Name]]="","",VLOOKUP(OpenList[[#This Row],[Retained Player Name]],Players[],6,FALSE))</f>
        <v>Subbuteo Casale</v>
      </c>
      <c r="I105" s="235" t="str">
        <f>IF(OpenList[[#This Row],[Retained Player Name]]="","",VLOOKUP(OpenList[[#This Row],[Retained Player Name]],Players[],4,FALSE))</f>
        <v>ITA0909</v>
      </c>
      <c r="J10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105" s="231"/>
      <c r="L105" s="231"/>
    </row>
    <row r="106" spans="1:12" x14ac:dyDescent="0.2">
      <c r="A106" s="16">
        <f>IF(AND(OpenList[[#This Row],[First &amp; Last Name]]="",OpenList[[#This Row],[FISTF Code]]=""),"",ROW()-ROW($A$11))</f>
        <v>95</v>
      </c>
      <c r="B106" s="232" t="s">
        <v>13243</v>
      </c>
      <c r="C106" s="436"/>
      <c r="D106" s="421" t="b">
        <f>IF(OpenList[[#This Row],[First &amp; Last Name]]="","",IFERROR(ISNUMBER(MATCH(OpenList[[#This Row],[First &amp; Last Name]],Players[Player Name],0)),FALSE))</f>
        <v>1</v>
      </c>
      <c r="E106" s="421" t="b">
        <f>IF(OpenList[[#This Row],[FISTF Code]]="",FALSE,IFERROR(ISNUMBER(MATCH(OpenList[[#This Row],[FISTF Code]],Players[FISTF Code],0)),FALSE))</f>
        <v>0</v>
      </c>
      <c r="F106" s="419" t="str">
        <f>IF(AND(OpenList[[#This Row],[First &amp; Last Name]]="",OpenList[[#This Row],[FISTF Code]]=""),"",IF(OpenList[[#This Row],[Valide Code ?]],INDEX(Players[Player Name],MATCH(OpenList[[#This Row],[FISTF Code]],Players[FISTF Code],0)),OpenList[[#This Row],[First &amp; Last Name]]))</f>
        <v>Thomas Lacey</v>
      </c>
      <c r="G106" s="233" t="str">
        <f>IF(OpenList[[#This Row],[Retained Player Name]]="","",VLOOKUP(OpenList[[#This Row],[Retained Player Name]],Players[],7,FALSE))</f>
        <v>ENG</v>
      </c>
      <c r="H106" s="235" t="str">
        <f>IF(OpenList[[#This Row],[Retained Player Name]]="","",VLOOKUP(OpenList[[#This Row],[Retained Player Name]],Players[],6,FALSE))</f>
        <v>Kent Invicta TFC</v>
      </c>
      <c r="I106" s="235" t="str">
        <f>IF(OpenList[[#This Row],[Retained Player Name]]="","",VLOOKUP(OpenList[[#This Row],[Retained Player Name]],Players[],4,FALSE))</f>
        <v>ENG0522</v>
      </c>
      <c r="J10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6" s="231"/>
      <c r="L106" s="231"/>
    </row>
    <row r="107" spans="1:12" x14ac:dyDescent="0.2">
      <c r="A107" s="16">
        <f>IF(AND(OpenList[[#This Row],[First &amp; Last Name]]="",OpenList[[#This Row],[FISTF Code]]=""),"",ROW()-ROW($A$11))</f>
        <v>96</v>
      </c>
      <c r="B107" s="232" t="s">
        <v>8110</v>
      </c>
      <c r="C107" s="436"/>
      <c r="D107" s="421" t="b">
        <f>IF(OpenList[[#This Row],[First &amp; Last Name]]="","",IFERROR(ISNUMBER(MATCH(OpenList[[#This Row],[First &amp; Last Name]],Players[Player Name],0)),FALSE))</f>
        <v>1</v>
      </c>
      <c r="E107" s="421" t="b">
        <f>IF(OpenList[[#This Row],[FISTF Code]]="",FALSE,IFERROR(ISNUMBER(MATCH(OpenList[[#This Row],[FISTF Code]],Players[FISTF Code],0)),FALSE))</f>
        <v>0</v>
      </c>
      <c r="F107" s="419" t="str">
        <f>IF(AND(OpenList[[#This Row],[First &amp; Last Name]]="",OpenList[[#This Row],[FISTF Code]]=""),"",IF(OpenList[[#This Row],[Valide Code ?]],INDEX(Players[Player Name],MATCH(OpenList[[#This Row],[FISTF Code]],Players[FISTF Code],0)),OpenList[[#This Row],[First &amp; Last Name]]))</f>
        <v>Kevin Lelubre</v>
      </c>
      <c r="G107" s="233" t="str">
        <f>IF(OpenList[[#This Row],[Retained Player Name]]="","",VLOOKUP(OpenList[[#This Row],[Retained Player Name]],Players[],7,FALSE))</f>
        <v>BEL</v>
      </c>
      <c r="H107" s="235" t="str">
        <f>IF(OpenList[[#This Row],[Retained Player Name]]="","",VLOOKUP(OpenList[[#This Row],[Retained Player Name]],Players[],6,FALSE))</f>
        <v>SC Lion's Eugies</v>
      </c>
      <c r="I107" s="235" t="str">
        <f>IF(OpenList[[#This Row],[Retained Player Name]]="","",VLOOKUP(OpenList[[#This Row],[Retained Player Name]],Players[],4,FALSE))</f>
        <v>BEL0034</v>
      </c>
      <c r="J10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7" s="231"/>
      <c r="L107" s="231"/>
    </row>
    <row r="108" spans="1:12" x14ac:dyDescent="0.2">
      <c r="A108" s="16">
        <f>IF(AND(OpenList[[#This Row],[First &amp; Last Name]]="",OpenList[[#This Row],[FISTF Code]]=""),"",ROW()-ROW($A$11))</f>
        <v>97</v>
      </c>
      <c r="B108" s="232" t="s">
        <v>13246</v>
      </c>
      <c r="C108" s="436"/>
      <c r="D108" s="421" t="b">
        <f>IF(OpenList[[#This Row],[First &amp; Last Name]]="","",IFERROR(ISNUMBER(MATCH(OpenList[[#This Row],[First &amp; Last Name]],Players[Player Name],0)),FALSE))</f>
        <v>1</v>
      </c>
      <c r="E108" s="421" t="b">
        <f>IF(OpenList[[#This Row],[FISTF Code]]="",FALSE,IFERROR(ISNUMBER(MATCH(OpenList[[#This Row],[FISTF Code]],Players[FISTF Code],0)),FALSE))</f>
        <v>0</v>
      </c>
      <c r="F108" s="419" t="str">
        <f>IF(AND(OpenList[[#This Row],[First &amp; Last Name]]="",OpenList[[#This Row],[FISTF Code]]=""),"",IF(OpenList[[#This Row],[Valide Code ?]],INDEX(Players[Player Name],MATCH(OpenList[[#This Row],[FISTF Code]],Players[FISTF Code],0)),OpenList[[#This Row],[First &amp; Last Name]]))</f>
        <v>Kyle Jamieson</v>
      </c>
      <c r="G108" s="233" t="str">
        <f>IF(OpenList[[#This Row],[Retained Player Name]]="","",VLOOKUP(OpenList[[#This Row],[Retained Player Name]],Players[],7,FALSE))</f>
        <v>ENG</v>
      </c>
      <c r="H108" s="235" t="str">
        <f>IF(OpenList[[#This Row],[Retained Player Name]]="","",VLOOKUP(OpenList[[#This Row],[Retained Player Name]],Players[],6,FALSE))</f>
        <v>Kent Invicta TFC</v>
      </c>
      <c r="I108" s="235" t="str">
        <f>IF(OpenList[[#This Row],[Retained Player Name]]="","",VLOOKUP(OpenList[[#This Row],[Retained Player Name]],Players[],4,FALSE))</f>
        <v>ENG0523</v>
      </c>
      <c r="J10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8" s="231"/>
      <c r="L108" s="231"/>
    </row>
    <row r="109" spans="1:12" x14ac:dyDescent="0.2">
      <c r="A109" s="16">
        <f>IF(AND(OpenList[[#This Row],[First &amp; Last Name]]="",OpenList[[#This Row],[FISTF Code]]=""),"",ROW()-ROW($A$11))</f>
        <v>98</v>
      </c>
      <c r="B109" s="232" t="s">
        <v>8538</v>
      </c>
      <c r="C109" s="436"/>
      <c r="D109" s="421" t="b">
        <f>IF(OpenList[[#This Row],[First &amp; Last Name]]="","",IFERROR(ISNUMBER(MATCH(OpenList[[#This Row],[First &amp; Last Name]],Players[Player Name],0)),FALSE))</f>
        <v>1</v>
      </c>
      <c r="E109" s="421" t="b">
        <f>IF(OpenList[[#This Row],[FISTF Code]]="",FALSE,IFERROR(ISNUMBER(MATCH(OpenList[[#This Row],[FISTF Code]],Players[FISTF Code],0)),FALSE))</f>
        <v>0</v>
      </c>
      <c r="F109" s="419" t="str">
        <f>IF(AND(OpenList[[#This Row],[First &amp; Last Name]]="",OpenList[[#This Row],[FISTF Code]]=""),"",IF(OpenList[[#This Row],[Valide Code ?]],INDEX(Players[Player Name],MATCH(OpenList[[#This Row],[FISTF Code]],Players[FISTF Code],0)),OpenList[[#This Row],[First &amp; Last Name]]))</f>
        <v>Brandon Lavender</v>
      </c>
      <c r="G109" s="233" t="str">
        <f>IF(OpenList[[#This Row],[Retained Player Name]]="","",VLOOKUP(OpenList[[#This Row],[Retained Player Name]],Players[],7,FALSE))</f>
        <v>ENG</v>
      </c>
      <c r="H109" s="235" t="str">
        <f>IF(OpenList[[#This Row],[Retained Player Name]]="","",VLOOKUP(OpenList[[#This Row],[Retained Player Name]],Players[],6,FALSE))</f>
        <v>Free Agent</v>
      </c>
      <c r="I109" s="235" t="str">
        <f>IF(OpenList[[#This Row],[Retained Player Name]]="","",VLOOKUP(OpenList[[#This Row],[Retained Player Name]],Players[],4,FALSE))</f>
        <v>ENG0171</v>
      </c>
      <c r="J10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09" s="231"/>
      <c r="L109" s="231"/>
    </row>
    <row r="110" spans="1:12" x14ac:dyDescent="0.2">
      <c r="A110" s="16">
        <f>IF(AND(OpenList[[#This Row],[First &amp; Last Name]]="",OpenList[[#This Row],[FISTF Code]]=""),"",ROW()-ROW($A$11))</f>
        <v>99</v>
      </c>
      <c r="B110" s="232" t="s">
        <v>8583</v>
      </c>
      <c r="C110" s="436"/>
      <c r="D110" s="421" t="b">
        <f>IF(OpenList[[#This Row],[First &amp; Last Name]]="","",IFERROR(ISNUMBER(MATCH(OpenList[[#This Row],[First &amp; Last Name]],Players[Player Name],0)),FALSE))</f>
        <v>1</v>
      </c>
      <c r="E110" s="421" t="b">
        <f>IF(OpenList[[#This Row],[FISTF Code]]="",FALSE,IFERROR(ISNUMBER(MATCH(OpenList[[#This Row],[FISTF Code]],Players[FISTF Code],0)),FALSE))</f>
        <v>0</v>
      </c>
      <c r="F110" s="419" t="str">
        <f>IF(AND(OpenList[[#This Row],[First &amp; Last Name]]="",OpenList[[#This Row],[FISTF Code]]=""),"",IF(OpenList[[#This Row],[Valide Code ?]],INDEX(Players[Player Name],MATCH(OpenList[[#This Row],[FISTF Code]],Players[FISTF Code],0)),OpenList[[#This Row],[First &amp; Last Name]]))</f>
        <v>Gage Badger</v>
      </c>
      <c r="G110" s="233" t="str">
        <f>IF(OpenList[[#This Row],[Retained Player Name]]="","",VLOOKUP(OpenList[[#This Row],[Retained Player Name]],Players[],7,FALSE))</f>
        <v>ENG</v>
      </c>
      <c r="H110" s="235" t="str">
        <f>IF(OpenList[[#This Row],[Retained Player Name]]="","",VLOOKUP(OpenList[[#This Row],[Retained Player Name]],Players[],6,FALSE))</f>
        <v>Wolverhampton Table Football Club</v>
      </c>
      <c r="I110" s="235" t="str">
        <f>IF(OpenList[[#This Row],[Retained Player Name]]="","",VLOOKUP(OpenList[[#This Row],[Retained Player Name]],Players[],4,FALSE))</f>
        <v>ENG0486</v>
      </c>
      <c r="J11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0" s="231"/>
      <c r="L110" s="231"/>
    </row>
    <row r="111" spans="1:12" x14ac:dyDescent="0.2">
      <c r="A111" s="16">
        <f>IF(AND(OpenList[[#This Row],[First &amp; Last Name]]="",OpenList[[#This Row],[FISTF Code]]=""),"",ROW()-ROW($A$11))</f>
        <v>100</v>
      </c>
      <c r="B111" s="232" t="s">
        <v>10875</v>
      </c>
      <c r="C111" s="436"/>
      <c r="D111" s="421" t="b">
        <f>IF(OpenList[[#This Row],[First &amp; Last Name]]="","",IFERROR(ISNUMBER(MATCH(OpenList[[#This Row],[First &amp; Last Name]],Players[Player Name],0)),FALSE))</f>
        <v>1</v>
      </c>
      <c r="E111" s="421" t="b">
        <f>IF(OpenList[[#This Row],[FISTF Code]]="",FALSE,IFERROR(ISNUMBER(MATCH(OpenList[[#This Row],[FISTF Code]],Players[FISTF Code],0)),FALSE))</f>
        <v>0</v>
      </c>
      <c r="F111" s="419" t="str">
        <f>IF(AND(OpenList[[#This Row],[First &amp; Last Name]]="",OpenList[[#This Row],[FISTF Code]]=""),"",IF(OpenList[[#This Row],[Valide Code ?]],INDEX(Players[Player Name],MATCH(OpenList[[#This Row],[FISTF Code]],Players[FISTF Code],0)),OpenList[[#This Row],[First &amp; Last Name]]))</f>
        <v>David Lauder</v>
      </c>
      <c r="G111" s="233" t="str">
        <f>IF(OpenList[[#This Row],[Retained Player Name]]="","",VLOOKUP(OpenList[[#This Row],[Retained Player Name]],Players[],7,FALSE))</f>
        <v>WAL</v>
      </c>
      <c r="H111" s="235" t="str">
        <f>IF(OpenList[[#This Row],[Retained Player Name]]="","",VLOOKUP(OpenList[[#This Row],[Retained Player Name]],Players[],6,FALSE))</f>
        <v>Cardiff Bluebirds TFC</v>
      </c>
      <c r="I111" s="235" t="str">
        <f>IF(OpenList[[#This Row],[Retained Player Name]]="","",VLOOKUP(OpenList[[#This Row],[Retained Player Name]],Players[],4,FALSE))</f>
        <v>WAL0001</v>
      </c>
      <c r="J11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1" s="231"/>
      <c r="L111" s="231"/>
    </row>
    <row r="112" spans="1:12" x14ac:dyDescent="0.2">
      <c r="A112" s="16">
        <f>IF(AND(OpenList[[#This Row],[First &amp; Last Name]]="",OpenList[[#This Row],[FISTF Code]]=""),"",ROW()-ROW($A$11))</f>
        <v>101</v>
      </c>
      <c r="B112" s="232" t="s">
        <v>11466</v>
      </c>
      <c r="C112" s="436"/>
      <c r="D112" s="421" t="b">
        <f>IF(OpenList[[#This Row],[First &amp; Last Name]]="","",IFERROR(ISNUMBER(MATCH(OpenList[[#This Row],[First &amp; Last Name]],Players[Player Name],0)),FALSE))</f>
        <v>1</v>
      </c>
      <c r="E112" s="421" t="b">
        <f>IF(OpenList[[#This Row],[FISTF Code]]="",FALSE,IFERROR(ISNUMBER(MATCH(OpenList[[#This Row],[FISTF Code]],Players[FISTF Code],0)),FALSE))</f>
        <v>0</v>
      </c>
      <c r="F112" s="419" t="str">
        <f>IF(AND(OpenList[[#This Row],[First &amp; Last Name]]="",OpenList[[#This Row],[FISTF Code]]=""),"",IF(OpenList[[#This Row],[Valide Code ?]],INDEX(Players[Player Name],MATCH(OpenList[[#This Row],[FISTF Code]],Players[FISTF Code],0)),OpenList[[#This Row],[First &amp; Last Name]]))</f>
        <v>Jarno Marks</v>
      </c>
      <c r="G112" s="233" t="str">
        <f>IF(OpenList[[#This Row],[Retained Player Name]]="","",VLOOKUP(OpenList[[#This Row],[Retained Player Name]],Players[],7,FALSE))</f>
        <v>NED</v>
      </c>
      <c r="H112" s="235" t="str">
        <f>IF(OpenList[[#This Row],[Retained Player Name]]="","",VLOOKUP(OpenList[[#This Row],[Retained Player Name]],Players[],6,FALSE))</f>
        <v>Dutch Legends</v>
      </c>
      <c r="I112" s="235" t="str">
        <f>IF(OpenList[[#This Row],[Retained Player Name]]="","",VLOOKUP(OpenList[[#This Row],[Retained Player Name]],Players[],4,FALSE))</f>
        <v>NED0046</v>
      </c>
      <c r="J11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2" s="231"/>
      <c r="L112" s="231"/>
    </row>
    <row r="113" spans="1:12" x14ac:dyDescent="0.2">
      <c r="A113" s="16">
        <f>IF(AND(OpenList[[#This Row],[First &amp; Last Name]]="",OpenList[[#This Row],[FISTF Code]]=""),"",ROW()-ROW($A$11))</f>
        <v>102</v>
      </c>
      <c r="B113" s="232" t="s">
        <v>11459</v>
      </c>
      <c r="C113" s="436"/>
      <c r="D113" s="421" t="b">
        <f>IF(OpenList[[#This Row],[First &amp; Last Name]]="","",IFERROR(ISNUMBER(MATCH(OpenList[[#This Row],[First &amp; Last Name]],Players[Player Name],0)),FALSE))</f>
        <v>1</v>
      </c>
      <c r="E113" s="421" t="b">
        <f>IF(OpenList[[#This Row],[FISTF Code]]="",FALSE,IFERROR(ISNUMBER(MATCH(OpenList[[#This Row],[FISTF Code]],Players[FISTF Code],0)),FALSE))</f>
        <v>0</v>
      </c>
      <c r="F113" s="419" t="str">
        <f>IF(AND(OpenList[[#This Row],[First &amp; Last Name]]="",OpenList[[#This Row],[FISTF Code]]=""),"",IF(OpenList[[#This Row],[Valide Code ?]],INDEX(Players[Player Name],MATCH(OpenList[[#This Row],[FISTF Code]],Players[FISTF Code],0)),OpenList[[#This Row],[First &amp; Last Name]]))</f>
        <v>Cailim Marks</v>
      </c>
      <c r="G113" s="233" t="str">
        <f>IF(OpenList[[#This Row],[Retained Player Name]]="","",VLOOKUP(OpenList[[#This Row],[Retained Player Name]],Players[],7,FALSE))</f>
        <v>NED</v>
      </c>
      <c r="H113" s="235" t="str">
        <f>IF(OpenList[[#This Row],[Retained Player Name]]="","",VLOOKUP(OpenList[[#This Row],[Retained Player Name]],Players[],6,FALSE))</f>
        <v>Dutch Legends</v>
      </c>
      <c r="I113" s="235" t="str">
        <f>IF(OpenList[[#This Row],[Retained Player Name]]="","",VLOOKUP(OpenList[[#This Row],[Retained Player Name]],Players[],4,FALSE))</f>
        <v>NED0044</v>
      </c>
      <c r="J11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3" s="231"/>
      <c r="L113" s="231"/>
    </row>
    <row r="114" spans="1:12" x14ac:dyDescent="0.2">
      <c r="A114" s="16">
        <f>IF(AND(OpenList[[#This Row],[First &amp; Last Name]]="",OpenList[[#This Row],[FISTF Code]]=""),"",ROW()-ROW($A$11))</f>
        <v>103</v>
      </c>
      <c r="B114" s="232" t="s">
        <v>8694</v>
      </c>
      <c r="C114" s="436"/>
      <c r="D114" s="421" t="b">
        <f>IF(OpenList[[#This Row],[First &amp; Last Name]]="","",IFERROR(ISNUMBER(MATCH(OpenList[[#This Row],[First &amp; Last Name]],Players[Player Name],0)),FALSE))</f>
        <v>1</v>
      </c>
      <c r="E114" s="421" t="b">
        <f>IF(OpenList[[#This Row],[FISTF Code]]="",FALSE,IFERROR(ISNUMBER(MATCH(OpenList[[#This Row],[FISTF Code]],Players[FISTF Code],0)),FALSE))</f>
        <v>0</v>
      </c>
      <c r="F114" s="419" t="str">
        <f>IF(AND(OpenList[[#This Row],[First &amp; Last Name]]="",OpenList[[#This Row],[FISTF Code]]=""),"",IF(OpenList[[#This Row],[Valide Code ?]],INDEX(Players[Player Name],MATCH(OpenList[[#This Row],[FISTF Code]],Players[FISTF Code],0)),OpenList[[#This Row],[First &amp; Last Name]]))</f>
        <v>Thierry Vivron</v>
      </c>
      <c r="G114" s="233" t="str">
        <f>IF(OpenList[[#This Row],[Retained Player Name]]="","",VLOOKUP(OpenList[[#This Row],[Retained Player Name]],Players[],7,FALSE))</f>
        <v>FRA</v>
      </c>
      <c r="H114" s="235" t="str">
        <f>IF(OpenList[[#This Row],[Retained Player Name]]="","",VLOOKUP(OpenList[[#This Row],[Retained Player Name]],Players[],6,FALSE))</f>
        <v>FTC Issy-les-Moulineaux</v>
      </c>
      <c r="I114" s="235" t="str">
        <f>IF(OpenList[[#This Row],[Retained Player Name]]="","",VLOOKUP(OpenList[[#This Row],[Retained Player Name]],Players[],4,FALSE))</f>
        <v>FRA0016</v>
      </c>
      <c r="J11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4" s="231"/>
      <c r="L114" s="231"/>
    </row>
    <row r="115" spans="1:12" x14ac:dyDescent="0.2">
      <c r="A115" s="16">
        <f>IF(AND(OpenList[[#This Row],[First &amp; Last Name]]="",OpenList[[#This Row],[FISTF Code]]=""),"",ROW()-ROW($A$11))</f>
        <v>104</v>
      </c>
      <c r="B115" s="232" t="s">
        <v>8076</v>
      </c>
      <c r="C115" s="436"/>
      <c r="D115" s="421" t="b">
        <f>IF(OpenList[[#This Row],[First &amp; Last Name]]="","",IFERROR(ISNUMBER(MATCH(OpenList[[#This Row],[First &amp; Last Name]],Players[Player Name],0)),FALSE))</f>
        <v>1</v>
      </c>
      <c r="E115" s="421" t="b">
        <f>IF(OpenList[[#This Row],[FISTF Code]]="",FALSE,IFERROR(ISNUMBER(MATCH(OpenList[[#This Row],[FISTF Code]],Players[FISTF Code],0)),FALSE))</f>
        <v>0</v>
      </c>
      <c r="F115" s="419" t="str">
        <f>IF(AND(OpenList[[#This Row],[First &amp; Last Name]]="",OpenList[[#This Row],[FISTF Code]]=""),"",IF(OpenList[[#This Row],[Valide Code ?]],INDEX(Players[Player Name],MATCH(OpenList[[#This Row],[FISTF Code]],Players[FISTF Code],0)),OpenList[[#This Row],[First &amp; Last Name]]))</f>
        <v>Denis Bouchez</v>
      </c>
      <c r="G115" s="233" t="str">
        <f>IF(OpenList[[#This Row],[Retained Player Name]]="","",VLOOKUP(OpenList[[#This Row],[Retained Player Name]],Players[],7,FALSE))</f>
        <v>BEL</v>
      </c>
      <c r="H115" s="235" t="str">
        <f>IF(OpenList[[#This Row],[Retained Player Name]]="","",VLOOKUP(OpenList[[#This Row],[Retained Player Name]],Players[],6,FALSE))</f>
        <v>SC Lion's Eugies</v>
      </c>
      <c r="I115" s="235" t="str">
        <f>IF(OpenList[[#This Row],[Retained Player Name]]="","",VLOOKUP(OpenList[[#This Row],[Retained Player Name]],Players[],4,FALSE))</f>
        <v>BEL0028</v>
      </c>
      <c r="J11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115" s="231"/>
      <c r="L115" s="231"/>
    </row>
    <row r="116" spans="1:12" x14ac:dyDescent="0.2">
      <c r="A116" s="16">
        <f>IF(AND(OpenList[[#This Row],[First &amp; Last Name]]="",OpenList[[#This Row],[FISTF Code]]=""),"",ROW()-ROW($A$11))</f>
        <v>105</v>
      </c>
      <c r="B116" s="232" t="s">
        <v>8065</v>
      </c>
      <c r="C116" s="436"/>
      <c r="D116" s="421" t="b">
        <f>IF(OpenList[[#This Row],[First &amp; Last Name]]="","",IFERROR(ISNUMBER(MATCH(OpenList[[#This Row],[First &amp; Last Name]],Players[Player Name],0)),FALSE))</f>
        <v>1</v>
      </c>
      <c r="E116" s="421" t="b">
        <f>IF(OpenList[[#This Row],[FISTF Code]]="",FALSE,IFERROR(ISNUMBER(MATCH(OpenList[[#This Row],[FISTF Code]],Players[FISTF Code],0)),FALSE))</f>
        <v>0</v>
      </c>
      <c r="F116" s="419" t="str">
        <f>IF(AND(OpenList[[#This Row],[First &amp; Last Name]]="",OpenList[[#This Row],[FISTF Code]]=""),"",IF(OpenList[[#This Row],[Valide Code ?]],INDEX(Players[Player Name],MATCH(OpenList[[#This Row],[FISTF Code]],Players[FISTF Code],0)),OpenList[[#This Row],[First &amp; Last Name]]))</f>
        <v>Daniel Vranovitz</v>
      </c>
      <c r="G116" s="233" t="str">
        <f>IF(OpenList[[#This Row],[Retained Player Name]]="","",VLOOKUP(OpenList[[#This Row],[Retained Player Name]],Players[],7,FALSE))</f>
        <v>AUT</v>
      </c>
      <c r="H116" s="235" t="str">
        <f>IF(OpenList[[#This Row],[Retained Player Name]]="","",VLOOKUP(OpenList[[#This Row],[Retained Player Name]],Players[],6,FALSE))</f>
        <v>TSC Royal 78 Kaisermühlen</v>
      </c>
      <c r="I116" s="235" t="str">
        <f>IF(OpenList[[#This Row],[Retained Player Name]]="","",VLOOKUP(OpenList[[#This Row],[Retained Player Name]],Players[],4,FALSE))</f>
        <v>AUT0073</v>
      </c>
      <c r="J11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6" s="231"/>
      <c r="L116" s="231"/>
    </row>
    <row r="117" spans="1:12" x14ac:dyDescent="0.2">
      <c r="A117" s="16">
        <f>IF(AND(OpenList[[#This Row],[First &amp; Last Name]]="",OpenList[[#This Row],[FISTF Code]]=""),"",ROW()-ROW($A$11))</f>
        <v>106</v>
      </c>
      <c r="B117" s="232" t="s">
        <v>8170</v>
      </c>
      <c r="C117" s="436"/>
      <c r="D117" s="421" t="b">
        <f>IF(OpenList[[#This Row],[First &amp; Last Name]]="","",IFERROR(ISNUMBER(MATCH(OpenList[[#This Row],[First &amp; Last Name]],Players[Player Name],0)),FALSE))</f>
        <v>1</v>
      </c>
      <c r="E117" s="421" t="b">
        <f>IF(OpenList[[#This Row],[FISTF Code]]="",FALSE,IFERROR(ISNUMBER(MATCH(OpenList[[#This Row],[FISTF Code]],Players[FISTF Code],0)),FALSE))</f>
        <v>0</v>
      </c>
      <c r="F117" s="419" t="str">
        <f>IF(AND(OpenList[[#This Row],[First &amp; Last Name]]="",OpenList[[#This Row],[FISTF Code]]=""),"",IF(OpenList[[#This Row],[Valide Code ?]],INDEX(Players[Player Name],MATCH(OpenList[[#This Row],[FISTF Code]],Players[FISTF Code],0)),OpenList[[#This Row],[First &amp; Last Name]]))</f>
        <v>Lucas Raison</v>
      </c>
      <c r="G117" s="233" t="str">
        <f>IF(OpenList[[#This Row],[Retained Player Name]]="","",VLOOKUP(OpenList[[#This Row],[Retained Player Name]],Players[],7,FALSE))</f>
        <v>BEL</v>
      </c>
      <c r="H117" s="235" t="str">
        <f>IF(OpenList[[#This Row],[Retained Player Name]]="","",VLOOKUP(OpenList[[#This Row],[Retained Player Name]],Players[],6,FALSE))</f>
        <v>SC Lion's Eugies</v>
      </c>
      <c r="I117" s="235" t="str">
        <f>IF(OpenList[[#This Row],[Retained Player Name]]="","",VLOOKUP(OpenList[[#This Row],[Retained Player Name]],Players[],4,FALSE))</f>
        <v>BEL0335</v>
      </c>
      <c r="J11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7" s="231"/>
      <c r="L117" s="231"/>
    </row>
    <row r="118" spans="1:12" x14ac:dyDescent="0.2">
      <c r="A118" s="16">
        <f>IF(AND(OpenList[[#This Row],[First &amp; Last Name]]="",OpenList[[#This Row],[FISTF Code]]=""),"",ROW()-ROW($A$11))</f>
        <v>107</v>
      </c>
      <c r="B118" s="232" t="s">
        <v>8167</v>
      </c>
      <c r="C118" s="436"/>
      <c r="D118" s="421" t="b">
        <f>IF(OpenList[[#This Row],[First &amp; Last Name]]="","",IFERROR(ISNUMBER(MATCH(OpenList[[#This Row],[First &amp; Last Name]],Players[Player Name],0)),FALSE))</f>
        <v>1</v>
      </c>
      <c r="E118" s="421" t="b">
        <f>IF(OpenList[[#This Row],[FISTF Code]]="",FALSE,IFERROR(ISNUMBER(MATCH(OpenList[[#This Row],[FISTF Code]],Players[FISTF Code],0)),FALSE))</f>
        <v>0</v>
      </c>
      <c r="F118" s="419" t="str">
        <f>IF(AND(OpenList[[#This Row],[First &amp; Last Name]]="",OpenList[[#This Row],[FISTF Code]]=""),"",IF(OpenList[[#This Row],[Valide Code ?]],INDEX(Players[Player Name],MATCH(OpenList[[#This Row],[FISTF Code]],Players[FISTF Code],0)),OpenList[[#This Row],[First &amp; Last Name]]))</f>
        <v>Noah Denne</v>
      </c>
      <c r="G118" s="233" t="str">
        <f>IF(OpenList[[#This Row],[Retained Player Name]]="","",VLOOKUP(OpenList[[#This Row],[Retained Player Name]],Players[],7,FALSE))</f>
        <v>BEL</v>
      </c>
      <c r="H118" s="235" t="str">
        <f>IF(OpenList[[#This Row],[Retained Player Name]]="","",VLOOKUP(OpenList[[#This Row],[Retained Player Name]],Players[],6,FALSE))</f>
        <v>SC Lion's Eugies</v>
      </c>
      <c r="I118" s="235" t="str">
        <f>IF(OpenList[[#This Row],[Retained Player Name]]="","",VLOOKUP(OpenList[[#This Row],[Retained Player Name]],Players[],4,FALSE))</f>
        <v>BEL0328</v>
      </c>
      <c r="J11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18" s="231"/>
      <c r="L118" s="231"/>
    </row>
    <row r="119" spans="1:12" x14ac:dyDescent="0.2">
      <c r="A119" s="16">
        <f>IF(AND(OpenList[[#This Row],[First &amp; Last Name]]="",OpenList[[#This Row],[FISTF Code]]=""),"",ROW()-ROW($A$11))</f>
        <v>108</v>
      </c>
      <c r="B119" s="232" t="s">
        <v>8698</v>
      </c>
      <c r="C119" s="436"/>
      <c r="D119" s="421" t="b">
        <f>IF(OpenList[[#This Row],[First &amp; Last Name]]="","",IFERROR(ISNUMBER(MATCH(OpenList[[#This Row],[First &amp; Last Name]],Players[Player Name],0)),FALSE))</f>
        <v>1</v>
      </c>
      <c r="E119" s="421" t="b">
        <f>IF(OpenList[[#This Row],[FISTF Code]]="",FALSE,IFERROR(ISNUMBER(MATCH(OpenList[[#This Row],[FISTF Code]],Players[FISTF Code],0)),FALSE))</f>
        <v>0</v>
      </c>
      <c r="F119" s="419" t="str">
        <f>IF(AND(OpenList[[#This Row],[First &amp; Last Name]]="",OpenList[[#This Row],[FISTF Code]]=""),"",IF(OpenList[[#This Row],[Valide Code ?]],INDEX(Players[Player Name],MATCH(OpenList[[#This Row],[FISTF Code]],Players[FISTF Code],0)),OpenList[[#This Row],[First &amp; Last Name]]))</f>
        <v>Axel Modeste</v>
      </c>
      <c r="G119" s="233" t="str">
        <f>IF(OpenList[[#This Row],[Retained Player Name]]="","",VLOOKUP(OpenList[[#This Row],[Retained Player Name]],Players[],7,FALSE))</f>
        <v>FRA</v>
      </c>
      <c r="H119" s="235" t="str">
        <f>IF(OpenList[[#This Row],[Retained Player Name]]="","",VLOOKUP(OpenList[[#This Row],[Retained Player Name]],Players[],6,FALSE))</f>
        <v>FTC Issy-les-Moulineaux</v>
      </c>
      <c r="I119" s="235" t="str">
        <f>IF(OpenList[[#This Row],[Retained Player Name]]="","",VLOOKUP(OpenList[[#This Row],[Retained Player Name]],Players[],4,FALSE))</f>
        <v>FRA0020</v>
      </c>
      <c r="J11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L64</v>
      </c>
      <c r="K119" s="231"/>
      <c r="L119" s="231"/>
    </row>
    <row r="120" spans="1:12" x14ac:dyDescent="0.2">
      <c r="A120" s="16">
        <f>IF(AND(OpenList[[#This Row],[First &amp; Last Name]]="",OpenList[[#This Row],[FISTF Code]]=""),"",ROW()-ROW($A$11))</f>
        <v>109</v>
      </c>
      <c r="B120" s="232" t="s">
        <v>13642</v>
      </c>
      <c r="C120" s="436"/>
      <c r="D120" s="421" t="b">
        <f>IF(OpenList[[#This Row],[First &amp; Last Name]]="","",IFERROR(ISNUMBER(MATCH(OpenList[[#This Row],[First &amp; Last Name]],Players[Player Name],0)),FALSE))</f>
        <v>1</v>
      </c>
      <c r="E120" s="421" t="b">
        <f>IF(OpenList[[#This Row],[FISTF Code]]="",FALSE,IFERROR(ISNUMBER(MATCH(OpenList[[#This Row],[FISTF Code]],Players[FISTF Code],0)),FALSE))</f>
        <v>0</v>
      </c>
      <c r="F120" s="419" t="str">
        <f>IF(AND(OpenList[[#This Row],[First &amp; Last Name]]="",OpenList[[#This Row],[FISTF Code]]=""),"",IF(OpenList[[#This Row],[Valide Code ?]],INDEX(Players[Player Name],MATCH(OpenList[[#This Row],[FISTF Code]],Players[FISTF Code],0)),OpenList[[#This Row],[First &amp; Last Name]]))</f>
        <v>Maria Joao Carmo</v>
      </c>
      <c r="G120" s="233" t="str">
        <f>IF(OpenList[[#This Row],[Retained Player Name]]="","",VLOOKUP(OpenList[[#This Row],[Retained Player Name]],Players[],7,FALSE))</f>
        <v>POR</v>
      </c>
      <c r="H120" s="235" t="str">
        <f>IF(OpenList[[#This Row],[Retained Player Name]]="","",VLOOKUP(OpenList[[#This Row],[Retained Player Name]],Players[],6,FALSE))</f>
        <v>Kent Invicta TFC</v>
      </c>
      <c r="I120" s="235" t="str">
        <f>IF(OpenList[[#This Row],[Retained Player Name]]="","",VLOOKUP(OpenList[[#This Row],[Retained Player Name]],Players[],4,FALSE))</f>
        <v>POR0250</v>
      </c>
      <c r="J12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20" s="231"/>
      <c r="L120" s="231"/>
    </row>
    <row r="121" spans="1:12" x14ac:dyDescent="0.2">
      <c r="A121" s="16">
        <f>IF(AND(OpenList[[#This Row],[First &amp; Last Name]]="",OpenList[[#This Row],[FISTF Code]]=""),"",ROW()-ROW($A$11))</f>
        <v>110</v>
      </c>
      <c r="B121" s="232" t="s">
        <v>8699</v>
      </c>
      <c r="C121" s="436"/>
      <c r="D121" s="421" t="b">
        <f>IF(OpenList[[#This Row],[First &amp; Last Name]]="","",IFERROR(ISNUMBER(MATCH(OpenList[[#This Row],[First &amp; Last Name]],Players[Player Name],0)),FALSE))</f>
        <v>1</v>
      </c>
      <c r="E121" s="421" t="b">
        <f>IF(OpenList[[#This Row],[FISTF Code]]="",FALSE,IFERROR(ISNUMBER(MATCH(OpenList[[#This Row],[FISTF Code]],Players[FISTF Code],0)),FALSE))</f>
        <v>0</v>
      </c>
      <c r="F121" s="419" t="str">
        <f>IF(AND(OpenList[[#This Row],[First &amp; Last Name]]="",OpenList[[#This Row],[FISTF Code]]=""),"",IF(OpenList[[#This Row],[Valide Code ?]],INDEX(Players[Player Name],MATCH(OpenList[[#This Row],[FISTF Code]],Players[FISTF Code],0)),OpenList[[#This Row],[First &amp; Last Name]]))</f>
        <v>David Zaki</v>
      </c>
      <c r="G121" s="233" t="str">
        <f>IF(OpenList[[#This Row],[Retained Player Name]]="","",VLOOKUP(OpenList[[#This Row],[Retained Player Name]],Players[],7,FALSE))</f>
        <v>FRA</v>
      </c>
      <c r="H121" s="235" t="str">
        <f>IF(OpenList[[#This Row],[Retained Player Name]]="","",VLOOKUP(OpenList[[#This Row],[Retained Player Name]],Players[],6,FALSE))</f>
        <v>FTC Issy-les-Moulineaux</v>
      </c>
      <c r="I121" s="235" t="str">
        <f>IF(OpenList[[#This Row],[Retained Player Name]]="","",VLOOKUP(OpenList[[#This Row],[Retained Player Name]],Players[],4,FALSE))</f>
        <v>FRA0021</v>
      </c>
      <c r="J12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21" s="231"/>
      <c r="L121" s="231"/>
    </row>
    <row r="122" spans="1:12" x14ac:dyDescent="0.2">
      <c r="A122" s="16">
        <f>IF(AND(OpenList[[#This Row],[First &amp; Last Name]]="",OpenList[[#This Row],[FISTF Code]]=""),"",ROW()-ROW($A$11))</f>
        <v>111</v>
      </c>
      <c r="B122" s="232" t="s">
        <v>14445</v>
      </c>
      <c r="C122" s="436"/>
      <c r="D122" s="421" t="b">
        <f>IF(OpenList[[#This Row],[First &amp; Last Name]]="","",IFERROR(ISNUMBER(MATCH(OpenList[[#This Row],[First &amp; Last Name]],Players[Player Name],0)),FALSE))</f>
        <v>1</v>
      </c>
      <c r="E122" s="421" t="b">
        <f>IF(OpenList[[#This Row],[FISTF Code]]="",FALSE,IFERROR(ISNUMBER(MATCH(OpenList[[#This Row],[FISTF Code]],Players[FISTF Code],0)),FALSE))</f>
        <v>0</v>
      </c>
      <c r="F122" s="419" t="str">
        <f>IF(AND(OpenList[[#This Row],[First &amp; Last Name]]="",OpenList[[#This Row],[FISTF Code]]=""),"",IF(OpenList[[#This Row],[Valide Code ?]],INDEX(Players[Player Name],MATCH(OpenList[[#This Row],[FISTF Code]],Players[FISTF Code],0)),OpenList[[#This Row],[First &amp; Last Name]]))</f>
        <v>Jordan Bonte</v>
      </c>
      <c r="G122" s="233" t="str">
        <f>IF(OpenList[[#This Row],[Retained Player Name]]="","",VLOOKUP(OpenList[[#This Row],[Retained Player Name]],Players[],7,FALSE))</f>
        <v>BEL</v>
      </c>
      <c r="H122" s="235" t="str">
        <f>IF(OpenList[[#This Row],[Retained Player Name]]="","",VLOOKUP(OpenList[[#This Row],[Retained Player Name]],Players[],6,FALSE))</f>
        <v>Avenir Subbuteo Hennuyer</v>
      </c>
      <c r="I122" s="235" t="str">
        <f>IF(OpenList[[#This Row],[Retained Player Name]]="","",VLOOKUP(OpenList[[#This Row],[Retained Player Name]],Players[],4,FALSE))</f>
        <v>BEL0272</v>
      </c>
      <c r="J12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22" s="231"/>
      <c r="L122" s="231"/>
    </row>
    <row r="123" spans="1:12" x14ac:dyDescent="0.2">
      <c r="A123" s="16">
        <f>IF(AND(OpenList[[#This Row],[First &amp; Last Name]]="",OpenList[[#This Row],[FISTF Code]]=""),"",ROW()-ROW($A$11))</f>
        <v>112</v>
      </c>
      <c r="B123" s="232" t="s">
        <v>14502</v>
      </c>
      <c r="C123" s="436"/>
      <c r="D123" s="421" t="b">
        <f>IF(OpenList[[#This Row],[First &amp; Last Name]]="","",IFERROR(ISNUMBER(MATCH(OpenList[[#This Row],[First &amp; Last Name]],Players[Player Name],0)),FALSE))</f>
        <v>1</v>
      </c>
      <c r="E123" s="421" t="b">
        <f>IF(OpenList[[#This Row],[FISTF Code]]="",FALSE,IFERROR(ISNUMBER(MATCH(OpenList[[#This Row],[FISTF Code]],Players[FISTF Code],0)),FALSE))</f>
        <v>0</v>
      </c>
      <c r="F123" s="419" t="str">
        <f>IF(AND(OpenList[[#This Row],[First &amp; Last Name]]="",OpenList[[#This Row],[FISTF Code]]=""),"",IF(OpenList[[#This Row],[Valide Code ?]],INDEX(Players[Player Name],MATCH(OpenList[[#This Row],[FISTF Code]],Players[FISTF Code],0)),OpenList[[#This Row],[First &amp; Last Name]]))</f>
        <v>Xavier Herman</v>
      </c>
      <c r="G123" s="233" t="str">
        <f>IF(OpenList[[#This Row],[Retained Player Name]]="","",VLOOKUP(OpenList[[#This Row],[Retained Player Name]],Players[],7,FALSE))</f>
        <v>BEL</v>
      </c>
      <c r="H123" s="235" t="str">
        <f>IF(OpenList[[#This Row],[Retained Player Name]]="","",VLOOKUP(OpenList[[#This Row],[Retained Player Name]],Players[],6,FALSE))</f>
        <v>free agent</v>
      </c>
      <c r="I123" s="235" t="str">
        <f>IF(OpenList[[#This Row],[Retained Player Name]]="","",VLOOKUP(OpenList[[#This Row],[Retained Player Name]],Players[],4,FALSE))</f>
        <v>BEL0140</v>
      </c>
      <c r="J12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23" s="231"/>
      <c r="L123" s="231"/>
    </row>
    <row r="124" spans="1:12" x14ac:dyDescent="0.2">
      <c r="A124" s="19">
        <f>IF(AND(OpenList[[#This Row],[First &amp; Last Name]]="",OpenList[[#This Row],[FISTF Code]]=""),"",ROW()-ROW($A$11))</f>
        <v>113</v>
      </c>
      <c r="B124" s="232" t="s">
        <v>10881</v>
      </c>
      <c r="C124" s="436"/>
      <c r="D124" s="421" t="b">
        <f>IF(OpenList[[#This Row],[First &amp; Last Name]]="","",IFERROR(ISNUMBER(MATCH(OpenList[[#This Row],[First &amp; Last Name]],Players[Player Name],0)),FALSE))</f>
        <v>1</v>
      </c>
      <c r="E124" s="421" t="b">
        <f>IF(OpenList[[#This Row],[FISTF Code]]="",FALSE,IFERROR(ISNUMBER(MATCH(OpenList[[#This Row],[FISTF Code]],Players[FISTF Code],0)),FALSE))</f>
        <v>0</v>
      </c>
      <c r="F124" s="419" t="str">
        <f>IF(AND(OpenList[[#This Row],[First &amp; Last Name]]="",OpenList[[#This Row],[FISTF Code]]=""),"",IF(OpenList[[#This Row],[Valide Code ?]],INDEX(Players[Player Name],MATCH(OpenList[[#This Row],[FISTF Code]],Players[FISTF Code],0)),OpenList[[#This Row],[First &amp; Last Name]]))</f>
        <v>John Lauder</v>
      </c>
      <c r="G124" s="233" t="str">
        <f>IF(OpenList[[#This Row],[Retained Player Name]]="","",VLOOKUP(OpenList[[#This Row],[Retained Player Name]],Players[],7,FALSE))</f>
        <v>WAL</v>
      </c>
      <c r="H124" s="235" t="str">
        <f>IF(OpenList[[#This Row],[Retained Player Name]]="","",VLOOKUP(OpenList[[#This Row],[Retained Player Name]],Players[],6,FALSE))</f>
        <v>SC Samb</v>
      </c>
      <c r="I124" s="235" t="str">
        <f>IF(OpenList[[#This Row],[Retained Player Name]]="","",VLOOKUP(OpenList[[#This Row],[Retained Player Name]],Players[],4,FALSE))</f>
        <v>WAL0009</v>
      </c>
      <c r="J12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24" s="231"/>
      <c r="L124" s="231"/>
    </row>
    <row r="125" spans="1:12" x14ac:dyDescent="0.2">
      <c r="A125" s="19">
        <f>IF(AND(OpenList[[#This Row],[First &amp; Last Name]]="",OpenList[[#This Row],[FISTF Code]]=""),"",ROW()-ROW($A$11))</f>
        <v>114</v>
      </c>
      <c r="B125" s="232" t="s">
        <v>14609</v>
      </c>
      <c r="C125" s="436" t="s">
        <v>14584</v>
      </c>
      <c r="D125" s="421" t="b">
        <f>IF(OpenList[[#This Row],[First &amp; Last Name]]="","",IFERROR(ISNUMBER(MATCH(OpenList[[#This Row],[First &amp; Last Name]],Players[Player Name],0)),FALSE))</f>
        <v>0</v>
      </c>
      <c r="E125" s="421" t="b">
        <f>IF(OpenList[[#This Row],[FISTF Code]]="",FALSE,IFERROR(ISNUMBER(MATCH(OpenList[[#This Row],[FISTF Code]],Players[FISTF Code],0)),FALSE))</f>
        <v>0</v>
      </c>
      <c r="F125" s="419" t="str">
        <f>IF(AND(OpenList[[#This Row],[First &amp; Last Name]]="",OpenList[[#This Row],[FISTF Code]]=""),"",IF(OpenList[[#This Row],[Valide Code ?]],INDEX(Players[Player Name],MATCH(OpenList[[#This Row],[FISTF Code]],Players[FISTF Code],0)),OpenList[[#This Row],[First &amp; Last Name]]))</f>
        <v>Emilio Tomás Torrico</v>
      </c>
      <c r="G125" s="233" t="s">
        <v>74</v>
      </c>
      <c r="H125" s="235" t="s">
        <v>14606</v>
      </c>
      <c r="I125" s="235" t="e">
        <f>IF(OpenList[[#This Row],[Retained Player Name]]="","",VLOOKUP(OpenList[[#This Row],[Retained Player Name]],Players[],4,FALSE))</f>
        <v>#N/A</v>
      </c>
      <c r="J125" s="18" t="e">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#N/A</v>
      </c>
      <c r="K125" s="231"/>
      <c r="L125" s="231"/>
    </row>
    <row r="126" spans="1:12" x14ac:dyDescent="0.2">
      <c r="A126" s="502">
        <f>IF(AND(OpenList[[#This Row],[First &amp; Last Name]]="",OpenList[[#This Row],[FISTF Code]]=""),"",ROW()-ROW($A$11))</f>
        <v>115</v>
      </c>
      <c r="B126" s="503" t="s">
        <v>11594</v>
      </c>
      <c r="C126" s="436"/>
      <c r="D126" s="421" t="b">
        <f>IF(OpenList[[#This Row],[First &amp; Last Name]]="","",IFERROR(ISNUMBER(MATCH(OpenList[[#This Row],[First &amp; Last Name]],Players[Player Name],0)),FALSE))</f>
        <v>1</v>
      </c>
      <c r="E126" s="421" t="b">
        <f>IF(OpenList[[#This Row],[FISTF Code]]="",FALSE,IFERROR(ISNUMBER(MATCH(OpenList[[#This Row],[FISTF Code]],Players[FISTF Code],0)),FALSE))</f>
        <v>0</v>
      </c>
      <c r="F126" s="419" t="str">
        <f>IF(AND(OpenList[[#This Row],[First &amp; Last Name]]="",OpenList[[#This Row],[FISTF Code]]=""),"",IF(OpenList[[#This Row],[Valide Code ?]],INDEX(Players[Player Name],MATCH(OpenList[[#This Row],[FISTF Code]],Players[FISTF Code],0)),OpenList[[#This Row],[First &amp; Last Name]]))</f>
        <v>Aurélien Feye</v>
      </c>
      <c r="G126" s="233" t="str">
        <f>IF(OpenList[[#This Row],[Retained Player Name]]="","",VLOOKUP(OpenList[[#This Row],[Retained Player Name]],Players[],7,FALSE))</f>
        <v>BEL</v>
      </c>
      <c r="H126" s="235" t="str">
        <f>IF(OpenList[[#This Row],[Retained Player Name]]="","",VLOOKUP(OpenList[[#This Row],[Retained Player Name]],Players[],6,FALSE))</f>
        <v>ST Stembert</v>
      </c>
      <c r="I126" s="235" t="str">
        <f>IF(OpenList[[#This Row],[Retained Player Name]]="","",VLOOKUP(OpenList[[#This Row],[Retained Player Name]],Players[],4,FALSE))</f>
        <v>BEL0306</v>
      </c>
      <c r="J126"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PR1</v>
      </c>
      <c r="K126" s="231"/>
      <c r="L126" s="231"/>
    </row>
    <row r="127" spans="1:12" x14ac:dyDescent="0.2">
      <c r="A127" s="502">
        <f>IF(AND(OpenList[[#This Row],[First &amp; Last Name]]="",OpenList[[#This Row],[FISTF Code]]=""),"",ROW()-ROW($A$11))</f>
        <v>116</v>
      </c>
      <c r="B127" s="504" t="s">
        <v>14488</v>
      </c>
      <c r="C127" s="436"/>
      <c r="D127" s="421" t="b">
        <f>IF(OpenList[[#This Row],[First &amp; Last Name]]="","",IFERROR(ISNUMBER(MATCH(OpenList[[#This Row],[First &amp; Last Name]],Players[Player Name],0)),FALSE))</f>
        <v>1</v>
      </c>
      <c r="E127" s="421" t="b">
        <f>IF(OpenList[[#This Row],[FISTF Code]]="",FALSE,IFERROR(ISNUMBER(MATCH(OpenList[[#This Row],[FISTF Code]],Players[FISTF Code],0)),FALSE))</f>
        <v>0</v>
      </c>
      <c r="F127" s="419" t="str">
        <f>IF(AND(OpenList[[#This Row],[First &amp; Last Name]]="",OpenList[[#This Row],[FISTF Code]]=""),"",IF(OpenList[[#This Row],[Valide Code ?]],INDEX(Players[Player Name],MATCH(OpenList[[#This Row],[FISTF Code]],Players[FISTF Code],0)),OpenList[[#This Row],[First &amp; Last Name]]))</f>
        <v>Peter Fako</v>
      </c>
      <c r="G127" s="233" t="str">
        <f>IF(OpenList[[#This Row],[Retained Player Name]]="","",VLOOKUP(OpenList[[#This Row],[Retained Player Name]],Players[],7,FALSE))</f>
        <v>BEL</v>
      </c>
      <c r="H127" s="235" t="str">
        <f>IF(OpenList[[#This Row],[Retained Player Name]]="","",VLOOKUP(OpenList[[#This Row],[Retained Player Name]],Players[],6,FALSE))</f>
        <v>free agent</v>
      </c>
      <c r="I127" s="235" t="str">
        <f>IF(OpenList[[#This Row],[Retained Player Name]]="","",VLOOKUP(OpenList[[#This Row],[Retained Player Name]],Players[],4,FALSE))</f>
        <v>BEL0483</v>
      </c>
      <c r="J127"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PR1</v>
      </c>
      <c r="K127" s="231"/>
      <c r="L127" s="231"/>
    </row>
    <row r="128" spans="1:12" x14ac:dyDescent="0.2">
      <c r="A128" s="502" t="str">
        <f>IF(AND(OpenList[[#This Row],[First &amp; Last Name]]="",OpenList[[#This Row],[FISTF Code]]=""),"",ROW()-ROW($A$11))</f>
        <v/>
      </c>
      <c r="B128" s="503"/>
      <c r="C128" s="436"/>
      <c r="D128" s="421" t="str">
        <f>IF(OpenList[[#This Row],[First &amp; Last Name]]="","",IFERROR(ISNUMBER(MATCH(OpenList[[#This Row],[First &amp; Last Name]],Players[Player Name],0)),FALSE))</f>
        <v/>
      </c>
      <c r="E128" s="421" t="b">
        <f>IF(OpenList[[#This Row],[FISTF Code]]="",FALSE,IFERROR(ISNUMBER(MATCH(OpenList[[#This Row],[FISTF Code]],Players[FISTF Code],0)),FALSE))</f>
        <v>0</v>
      </c>
      <c r="F128" s="419" t="str">
        <f>IF(AND(OpenList[[#This Row],[First &amp; Last Name]]="",OpenList[[#This Row],[FISTF Code]]=""),"",IF(OpenList[[#This Row],[Valide Code ?]],INDEX(Players[Player Name],MATCH(OpenList[[#This Row],[FISTF Code]],Players[FISTF Code],0)),OpenList[[#This Row],[First &amp; Last Name]]))</f>
        <v/>
      </c>
      <c r="G128" s="233" t="str">
        <f>IF(OpenList[[#This Row],[Retained Player Name]]="","",VLOOKUP(OpenList[[#This Row],[Retained Player Name]],Players[],7,FALSE))</f>
        <v/>
      </c>
      <c r="H128" s="235" t="str">
        <f>IF(OpenList[[#This Row],[Retained Player Name]]="","",VLOOKUP(OpenList[[#This Row],[Retained Player Name]],Players[],6,FALSE))</f>
        <v/>
      </c>
      <c r="I128" s="235" t="str">
        <f>IF(OpenList[[#This Row],[Retained Player Name]]="","",VLOOKUP(OpenList[[#This Row],[Retained Player Name]],Players[],4,FALSE))</f>
        <v/>
      </c>
      <c r="J128"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28" s="231"/>
      <c r="L128" s="231"/>
    </row>
    <row r="129" spans="1:12" x14ac:dyDescent="0.2">
      <c r="A129" s="502" t="str">
        <f>IF(AND(OpenList[[#This Row],[First &amp; Last Name]]="",OpenList[[#This Row],[FISTF Code]]=""),"",ROW()-ROW($A$11))</f>
        <v/>
      </c>
      <c r="B129" s="503"/>
      <c r="C129" s="436"/>
      <c r="D129" s="421" t="str">
        <f>IF(OpenList[[#This Row],[First &amp; Last Name]]="","",IFERROR(ISNUMBER(MATCH(OpenList[[#This Row],[First &amp; Last Name]],Players[Player Name],0)),FALSE))</f>
        <v/>
      </c>
      <c r="E129" s="421" t="b">
        <f>IF(OpenList[[#This Row],[FISTF Code]]="",FALSE,IFERROR(ISNUMBER(MATCH(OpenList[[#This Row],[FISTF Code]],Players[FISTF Code],0)),FALSE))</f>
        <v>0</v>
      </c>
      <c r="F129" s="419" t="str">
        <f>IF(AND(OpenList[[#This Row],[First &amp; Last Name]]="",OpenList[[#This Row],[FISTF Code]]=""),"",IF(OpenList[[#This Row],[Valide Code ?]],INDEX(Players[Player Name],MATCH(OpenList[[#This Row],[FISTF Code]],Players[FISTF Code],0)),OpenList[[#This Row],[First &amp; Last Name]]))</f>
        <v/>
      </c>
      <c r="G129" s="233" t="str">
        <f>IF(OpenList[[#This Row],[Retained Player Name]]="","",VLOOKUP(OpenList[[#This Row],[Retained Player Name]],Players[],7,FALSE))</f>
        <v/>
      </c>
      <c r="H129" s="235" t="str">
        <f>IF(OpenList[[#This Row],[Retained Player Name]]="","",VLOOKUP(OpenList[[#This Row],[Retained Player Name]],Players[],6,FALSE))</f>
        <v/>
      </c>
      <c r="I129" s="235" t="str">
        <f>IF(OpenList[[#This Row],[Retained Player Name]]="","",VLOOKUP(OpenList[[#This Row],[Retained Player Name]],Players[],4,FALSE))</f>
        <v/>
      </c>
      <c r="J129"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29" s="231"/>
      <c r="L129" s="231"/>
    </row>
    <row r="130" spans="1:12" x14ac:dyDescent="0.2">
      <c r="A130" s="502" t="str">
        <f>IF(AND(OpenList[[#This Row],[First &amp; Last Name]]="",OpenList[[#This Row],[FISTF Code]]=""),"",ROW()-ROW($A$11))</f>
        <v/>
      </c>
      <c r="B130" s="503"/>
      <c r="C130" s="436"/>
      <c r="D130" s="421" t="str">
        <f>IF(OpenList[[#This Row],[First &amp; Last Name]]="","",IFERROR(ISNUMBER(MATCH(OpenList[[#This Row],[First &amp; Last Name]],Players[Player Name],0)),FALSE))</f>
        <v/>
      </c>
      <c r="E130" s="421" t="b">
        <f>IF(OpenList[[#This Row],[FISTF Code]]="",FALSE,IFERROR(ISNUMBER(MATCH(OpenList[[#This Row],[FISTF Code]],Players[FISTF Code],0)),FALSE))</f>
        <v>0</v>
      </c>
      <c r="F130" s="419" t="str">
        <f>IF(AND(OpenList[[#This Row],[First &amp; Last Name]]="",OpenList[[#This Row],[FISTF Code]]=""),"",IF(OpenList[[#This Row],[Valide Code ?]],INDEX(Players[Player Name],MATCH(OpenList[[#This Row],[FISTF Code]],Players[FISTF Code],0)),OpenList[[#This Row],[First &amp; Last Name]]))</f>
        <v/>
      </c>
      <c r="G130" s="233" t="str">
        <f>IF(OpenList[[#This Row],[Retained Player Name]]="","",VLOOKUP(OpenList[[#This Row],[Retained Player Name]],Players[],7,FALSE))</f>
        <v/>
      </c>
      <c r="H130" s="235" t="str">
        <f>IF(OpenList[[#This Row],[Retained Player Name]]="","",VLOOKUP(OpenList[[#This Row],[Retained Player Name]],Players[],6,FALSE))</f>
        <v/>
      </c>
      <c r="I130" s="235" t="str">
        <f>IF(OpenList[[#This Row],[Retained Player Name]]="","",VLOOKUP(OpenList[[#This Row],[Retained Player Name]],Players[],4,FALSE))</f>
        <v/>
      </c>
      <c r="J130"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0" s="231"/>
      <c r="L130" s="231"/>
    </row>
    <row r="131" spans="1:12" x14ac:dyDescent="0.2">
      <c r="A131" s="502" t="str">
        <f>IF(AND(OpenList[[#This Row],[First &amp; Last Name]]="",OpenList[[#This Row],[FISTF Code]]=""),"",ROW()-ROW($A$11))</f>
        <v/>
      </c>
      <c r="B131" s="503"/>
      <c r="C131" s="436"/>
      <c r="D131" s="421" t="str">
        <f>IF(OpenList[[#This Row],[First &amp; Last Name]]="","",IFERROR(ISNUMBER(MATCH(OpenList[[#This Row],[First &amp; Last Name]],Players[Player Name],0)),FALSE))</f>
        <v/>
      </c>
      <c r="E131" s="421" t="b">
        <f>IF(OpenList[[#This Row],[FISTF Code]]="",FALSE,IFERROR(ISNUMBER(MATCH(OpenList[[#This Row],[FISTF Code]],Players[FISTF Code],0)),FALSE))</f>
        <v>0</v>
      </c>
      <c r="F131" s="419" t="str">
        <f>IF(AND(OpenList[[#This Row],[First &amp; Last Name]]="",OpenList[[#This Row],[FISTF Code]]=""),"",IF(OpenList[[#This Row],[Valide Code ?]],INDEX(Players[Player Name],MATCH(OpenList[[#This Row],[FISTF Code]],Players[FISTF Code],0)),OpenList[[#This Row],[First &amp; Last Name]]))</f>
        <v/>
      </c>
      <c r="G131" s="233" t="str">
        <f>IF(OpenList[[#This Row],[Retained Player Name]]="","",VLOOKUP(OpenList[[#This Row],[Retained Player Name]],Players[],7,FALSE))</f>
        <v/>
      </c>
      <c r="H131" s="235" t="str">
        <f>IF(OpenList[[#This Row],[Retained Player Name]]="","",VLOOKUP(OpenList[[#This Row],[Retained Player Name]],Players[],6,FALSE))</f>
        <v/>
      </c>
      <c r="I131" s="235" t="str">
        <f>IF(OpenList[[#This Row],[Retained Player Name]]="","",VLOOKUP(OpenList[[#This Row],[Retained Player Name]],Players[],4,FALSE))</f>
        <v/>
      </c>
      <c r="J131"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1" s="231"/>
      <c r="L131" s="231"/>
    </row>
    <row r="132" spans="1:12" x14ac:dyDescent="0.2">
      <c r="A132" s="502" t="str">
        <f>IF(AND(OpenList[[#This Row],[First &amp; Last Name]]="",OpenList[[#This Row],[FISTF Code]]=""),"",ROW()-ROW($A$11))</f>
        <v/>
      </c>
      <c r="B132" s="503"/>
      <c r="C132" s="436"/>
      <c r="D132" s="421" t="str">
        <f>IF(OpenList[[#This Row],[First &amp; Last Name]]="","",IFERROR(ISNUMBER(MATCH(OpenList[[#This Row],[First &amp; Last Name]],Players[Player Name],0)),FALSE))</f>
        <v/>
      </c>
      <c r="E132" s="421" t="b">
        <f>IF(OpenList[[#This Row],[FISTF Code]]="",FALSE,IFERROR(ISNUMBER(MATCH(OpenList[[#This Row],[FISTF Code]],Players[FISTF Code],0)),FALSE))</f>
        <v>0</v>
      </c>
      <c r="F132" s="419" t="str">
        <f>IF(AND(OpenList[[#This Row],[First &amp; Last Name]]="",OpenList[[#This Row],[FISTF Code]]=""),"",IF(OpenList[[#This Row],[Valide Code ?]],INDEX(Players[Player Name],MATCH(OpenList[[#This Row],[FISTF Code]],Players[FISTF Code],0)),OpenList[[#This Row],[First &amp; Last Name]]))</f>
        <v/>
      </c>
      <c r="G132" s="233" t="str">
        <f>IF(OpenList[[#This Row],[Retained Player Name]]="","",VLOOKUP(OpenList[[#This Row],[Retained Player Name]],Players[],7,FALSE))</f>
        <v/>
      </c>
      <c r="H132" s="235" t="str">
        <f>IF(OpenList[[#This Row],[Retained Player Name]]="","",VLOOKUP(OpenList[[#This Row],[Retained Player Name]],Players[],6,FALSE))</f>
        <v/>
      </c>
      <c r="I132" s="235" t="str">
        <f>IF(OpenList[[#This Row],[Retained Player Name]]="","",VLOOKUP(OpenList[[#This Row],[Retained Player Name]],Players[],4,FALSE))</f>
        <v/>
      </c>
      <c r="J132"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2" s="231"/>
      <c r="L132" s="231"/>
    </row>
    <row r="133" spans="1:12" x14ac:dyDescent="0.2">
      <c r="A133" s="502" t="str">
        <f>IF(AND(OpenList[[#This Row],[First &amp; Last Name]]="",OpenList[[#This Row],[FISTF Code]]=""),"",ROW()-ROW($A$11))</f>
        <v/>
      </c>
      <c r="B133" s="503"/>
      <c r="C133" s="436"/>
      <c r="D133" s="421" t="str">
        <f>IF(OpenList[[#This Row],[First &amp; Last Name]]="","",IFERROR(ISNUMBER(MATCH(OpenList[[#This Row],[First &amp; Last Name]],Players[Player Name],0)),FALSE))</f>
        <v/>
      </c>
      <c r="E133" s="421" t="b">
        <f>IF(OpenList[[#This Row],[FISTF Code]]="",FALSE,IFERROR(ISNUMBER(MATCH(OpenList[[#This Row],[FISTF Code]],Players[FISTF Code],0)),FALSE))</f>
        <v>0</v>
      </c>
      <c r="F133" s="419" t="str">
        <f>IF(AND(OpenList[[#This Row],[First &amp; Last Name]]="",OpenList[[#This Row],[FISTF Code]]=""),"",IF(OpenList[[#This Row],[Valide Code ?]],INDEX(Players[Player Name],MATCH(OpenList[[#This Row],[FISTF Code]],Players[FISTF Code],0)),OpenList[[#This Row],[First &amp; Last Name]]))</f>
        <v/>
      </c>
      <c r="G133" s="233" t="str">
        <f>IF(OpenList[[#This Row],[Retained Player Name]]="","",VLOOKUP(OpenList[[#This Row],[Retained Player Name]],Players[],7,FALSE))</f>
        <v/>
      </c>
      <c r="H133" s="235" t="str">
        <f>IF(OpenList[[#This Row],[Retained Player Name]]="","",VLOOKUP(OpenList[[#This Row],[Retained Player Name]],Players[],6,FALSE))</f>
        <v/>
      </c>
      <c r="I133" s="235" t="str">
        <f>IF(OpenList[[#This Row],[Retained Player Name]]="","",VLOOKUP(OpenList[[#This Row],[Retained Player Name]],Players[],4,FALSE))</f>
        <v/>
      </c>
      <c r="J133"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3" s="231"/>
      <c r="L133" s="231"/>
    </row>
    <row r="134" spans="1:12" x14ac:dyDescent="0.2">
      <c r="A134" s="502" t="str">
        <f>IF(AND(OpenList[[#This Row],[First &amp; Last Name]]="",OpenList[[#This Row],[FISTF Code]]=""),"",ROW()-ROW($A$11))</f>
        <v/>
      </c>
      <c r="B134" s="503"/>
      <c r="C134" s="436"/>
      <c r="D134" s="421" t="str">
        <f>IF(OpenList[[#This Row],[First &amp; Last Name]]="","",IFERROR(ISNUMBER(MATCH(OpenList[[#This Row],[First &amp; Last Name]],Players[Player Name],0)),FALSE))</f>
        <v/>
      </c>
      <c r="E134" s="421" t="b">
        <f>IF(OpenList[[#This Row],[FISTF Code]]="",FALSE,IFERROR(ISNUMBER(MATCH(OpenList[[#This Row],[FISTF Code]],Players[FISTF Code],0)),FALSE))</f>
        <v>0</v>
      </c>
      <c r="F134" s="419" t="str">
        <f>IF(AND(OpenList[[#This Row],[First &amp; Last Name]]="",OpenList[[#This Row],[FISTF Code]]=""),"",IF(OpenList[[#This Row],[Valide Code ?]],INDEX(Players[Player Name],MATCH(OpenList[[#This Row],[FISTF Code]],Players[FISTF Code],0)),OpenList[[#This Row],[First &amp; Last Name]]))</f>
        <v/>
      </c>
      <c r="G134" s="233" t="str">
        <f>IF(OpenList[[#This Row],[Retained Player Name]]="","",VLOOKUP(OpenList[[#This Row],[Retained Player Name]],Players[],7,FALSE))</f>
        <v/>
      </c>
      <c r="H134" s="235" t="str">
        <f>IF(OpenList[[#This Row],[Retained Player Name]]="","",VLOOKUP(OpenList[[#This Row],[Retained Player Name]],Players[],6,FALSE))</f>
        <v/>
      </c>
      <c r="I134" s="235" t="str">
        <f>IF(OpenList[[#This Row],[Retained Player Name]]="","",VLOOKUP(OpenList[[#This Row],[Retained Player Name]],Players[],4,FALSE))</f>
        <v/>
      </c>
      <c r="J134"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4" s="231"/>
      <c r="L134" s="231"/>
    </row>
    <row r="135" spans="1:12" x14ac:dyDescent="0.2">
      <c r="A135" s="502" t="str">
        <f>IF(AND(OpenList[[#This Row],[First &amp; Last Name]]="",OpenList[[#This Row],[FISTF Code]]=""),"",ROW()-ROW($A$11))</f>
        <v/>
      </c>
      <c r="B135" s="503"/>
      <c r="C135" s="436"/>
      <c r="D135" s="421" t="str">
        <f>IF(OpenList[[#This Row],[First &amp; Last Name]]="","",IFERROR(ISNUMBER(MATCH(OpenList[[#This Row],[First &amp; Last Name]],Players[Player Name],0)),FALSE))</f>
        <v/>
      </c>
      <c r="E135" s="421" t="b">
        <f>IF(OpenList[[#This Row],[FISTF Code]]="",FALSE,IFERROR(ISNUMBER(MATCH(OpenList[[#This Row],[FISTF Code]],Players[FISTF Code],0)),FALSE))</f>
        <v>0</v>
      </c>
      <c r="F135" s="419" t="str">
        <f>IF(AND(OpenList[[#This Row],[First &amp; Last Name]]="",OpenList[[#This Row],[FISTF Code]]=""),"",IF(OpenList[[#This Row],[Valide Code ?]],INDEX(Players[Player Name],MATCH(OpenList[[#This Row],[FISTF Code]],Players[FISTF Code],0)),OpenList[[#This Row],[First &amp; Last Name]]))</f>
        <v/>
      </c>
      <c r="G135" s="233" t="str">
        <f>IF(OpenList[[#This Row],[Retained Player Name]]="","",VLOOKUP(OpenList[[#This Row],[Retained Player Name]],Players[],7,FALSE))</f>
        <v/>
      </c>
      <c r="H135" s="235" t="str">
        <f>IF(OpenList[[#This Row],[Retained Player Name]]="","",VLOOKUP(OpenList[[#This Row],[Retained Player Name]],Players[],6,FALSE))</f>
        <v/>
      </c>
      <c r="I135" s="235" t="str">
        <f>IF(OpenList[[#This Row],[Retained Player Name]]="","",VLOOKUP(OpenList[[#This Row],[Retained Player Name]],Players[],4,FALSE))</f>
        <v/>
      </c>
      <c r="J135"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5" s="231"/>
      <c r="L135" s="231"/>
    </row>
    <row r="136" spans="1:12" x14ac:dyDescent="0.2">
      <c r="A136" s="502" t="str">
        <f>IF(AND(OpenList[[#This Row],[First &amp; Last Name]]="",OpenList[[#This Row],[FISTF Code]]=""),"",ROW()-ROW($A$11))</f>
        <v/>
      </c>
      <c r="B136" s="503"/>
      <c r="C136" s="436"/>
      <c r="D136" s="421" t="str">
        <f>IF(OpenList[[#This Row],[First &amp; Last Name]]="","",IFERROR(ISNUMBER(MATCH(OpenList[[#This Row],[First &amp; Last Name]],Players[Player Name],0)),FALSE))</f>
        <v/>
      </c>
      <c r="E136" s="421" t="b">
        <f>IF(OpenList[[#This Row],[FISTF Code]]="",FALSE,IFERROR(ISNUMBER(MATCH(OpenList[[#This Row],[FISTF Code]],Players[FISTF Code],0)),FALSE))</f>
        <v>0</v>
      </c>
      <c r="F136" s="419" t="str">
        <f>IF(AND(OpenList[[#This Row],[First &amp; Last Name]]="",OpenList[[#This Row],[FISTF Code]]=""),"",IF(OpenList[[#This Row],[Valide Code ?]],INDEX(Players[Player Name],MATCH(OpenList[[#This Row],[FISTF Code]],Players[FISTF Code],0)),OpenList[[#This Row],[First &amp; Last Name]]))</f>
        <v/>
      </c>
      <c r="G136" s="233" t="str">
        <f>IF(OpenList[[#This Row],[Retained Player Name]]="","",VLOOKUP(OpenList[[#This Row],[Retained Player Name]],Players[],7,FALSE))</f>
        <v/>
      </c>
      <c r="H136" s="235" t="str">
        <f>IF(OpenList[[#This Row],[Retained Player Name]]="","",VLOOKUP(OpenList[[#This Row],[Retained Player Name]],Players[],6,FALSE))</f>
        <v/>
      </c>
      <c r="I136" s="235" t="str">
        <f>IF(OpenList[[#This Row],[Retained Player Name]]="","",VLOOKUP(OpenList[[#This Row],[Retained Player Name]],Players[],4,FALSE))</f>
        <v/>
      </c>
      <c r="J136"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6" s="231"/>
      <c r="L136" s="231"/>
    </row>
    <row r="137" spans="1:12" x14ac:dyDescent="0.2">
      <c r="A137" s="502" t="str">
        <f>IF(AND(OpenList[[#This Row],[First &amp; Last Name]]="",OpenList[[#This Row],[FISTF Code]]=""),"",ROW()-ROW($A$11))</f>
        <v/>
      </c>
      <c r="B137" s="503"/>
      <c r="C137" s="436"/>
      <c r="D137" s="421" t="str">
        <f>IF(OpenList[[#This Row],[First &amp; Last Name]]="","",IFERROR(ISNUMBER(MATCH(OpenList[[#This Row],[First &amp; Last Name]],Players[Player Name],0)),FALSE))</f>
        <v/>
      </c>
      <c r="E137" s="421" t="b">
        <f>IF(OpenList[[#This Row],[FISTF Code]]="",FALSE,IFERROR(ISNUMBER(MATCH(OpenList[[#This Row],[FISTF Code]],Players[FISTF Code],0)),FALSE))</f>
        <v>0</v>
      </c>
      <c r="F137" s="419" t="str">
        <f>IF(AND(OpenList[[#This Row],[First &amp; Last Name]]="",OpenList[[#This Row],[FISTF Code]]=""),"",IF(OpenList[[#This Row],[Valide Code ?]],INDEX(Players[Player Name],MATCH(OpenList[[#This Row],[FISTF Code]],Players[FISTF Code],0)),OpenList[[#This Row],[First &amp; Last Name]]))</f>
        <v/>
      </c>
      <c r="G137" s="233" t="str">
        <f>IF(OpenList[[#This Row],[Retained Player Name]]="","",VLOOKUP(OpenList[[#This Row],[Retained Player Name]],Players[],7,FALSE))</f>
        <v/>
      </c>
      <c r="H137" s="235" t="str">
        <f>IF(OpenList[[#This Row],[Retained Player Name]]="","",VLOOKUP(OpenList[[#This Row],[Retained Player Name]],Players[],6,FALSE))</f>
        <v/>
      </c>
      <c r="I137" s="235" t="str">
        <f>IF(OpenList[[#This Row],[Retained Player Name]]="","",VLOOKUP(OpenList[[#This Row],[Retained Player Name]],Players[],4,FALSE))</f>
        <v/>
      </c>
      <c r="J137"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7" s="231"/>
      <c r="L137" s="231"/>
    </row>
    <row r="138" spans="1:12" x14ac:dyDescent="0.2">
      <c r="A138" s="502" t="str">
        <f>IF(AND(OpenList[[#This Row],[First &amp; Last Name]]="",OpenList[[#This Row],[FISTF Code]]=""),"",ROW()-ROW($A$11))</f>
        <v/>
      </c>
      <c r="B138" s="503"/>
      <c r="C138" s="436"/>
      <c r="D138" s="421" t="str">
        <f>IF(OpenList[[#This Row],[First &amp; Last Name]]="","",IFERROR(ISNUMBER(MATCH(OpenList[[#This Row],[First &amp; Last Name]],Players[Player Name],0)),FALSE))</f>
        <v/>
      </c>
      <c r="E138" s="421" t="b">
        <f>IF(OpenList[[#This Row],[FISTF Code]]="",FALSE,IFERROR(ISNUMBER(MATCH(OpenList[[#This Row],[FISTF Code]],Players[FISTF Code],0)),FALSE))</f>
        <v>0</v>
      </c>
      <c r="F138" s="419" t="str">
        <f>IF(AND(OpenList[[#This Row],[First &amp; Last Name]]="",OpenList[[#This Row],[FISTF Code]]=""),"",IF(OpenList[[#This Row],[Valide Code ?]],INDEX(Players[Player Name],MATCH(OpenList[[#This Row],[FISTF Code]],Players[FISTF Code],0)),OpenList[[#This Row],[First &amp; Last Name]]))</f>
        <v/>
      </c>
      <c r="G138" s="233" t="str">
        <f>IF(OpenList[[#This Row],[Retained Player Name]]="","",VLOOKUP(OpenList[[#This Row],[Retained Player Name]],Players[],7,FALSE))</f>
        <v/>
      </c>
      <c r="H138" s="235" t="str">
        <f>IF(OpenList[[#This Row],[Retained Player Name]]="","",VLOOKUP(OpenList[[#This Row],[Retained Player Name]],Players[],6,FALSE))</f>
        <v/>
      </c>
      <c r="I138" s="235" t="str">
        <f>IF(OpenList[[#This Row],[Retained Player Name]]="","",VLOOKUP(OpenList[[#This Row],[Retained Player Name]],Players[],4,FALSE))</f>
        <v/>
      </c>
      <c r="J138"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8" s="231"/>
      <c r="L138" s="231"/>
    </row>
    <row r="139" spans="1:12" x14ac:dyDescent="0.2">
      <c r="A139" s="502" t="str">
        <f>IF(AND(OpenList[[#This Row],[First &amp; Last Name]]="",OpenList[[#This Row],[FISTF Code]]=""),"",ROW()-ROW($A$11))</f>
        <v/>
      </c>
      <c r="B139" s="503"/>
      <c r="C139" s="436"/>
      <c r="D139" s="421" t="str">
        <f>IF(OpenList[[#This Row],[First &amp; Last Name]]="","",IFERROR(ISNUMBER(MATCH(OpenList[[#This Row],[First &amp; Last Name]],Players[Player Name],0)),FALSE))</f>
        <v/>
      </c>
      <c r="E139" s="421" t="b">
        <f>IF(OpenList[[#This Row],[FISTF Code]]="",FALSE,IFERROR(ISNUMBER(MATCH(OpenList[[#This Row],[FISTF Code]],Players[FISTF Code],0)),FALSE))</f>
        <v>0</v>
      </c>
      <c r="F139" s="419" t="str">
        <f>IF(AND(OpenList[[#This Row],[First &amp; Last Name]]="",OpenList[[#This Row],[FISTF Code]]=""),"",IF(OpenList[[#This Row],[Valide Code ?]],INDEX(Players[Player Name],MATCH(OpenList[[#This Row],[FISTF Code]],Players[FISTF Code],0)),OpenList[[#This Row],[First &amp; Last Name]]))</f>
        <v/>
      </c>
      <c r="G139" s="233" t="str">
        <f>IF(OpenList[[#This Row],[Retained Player Name]]="","",VLOOKUP(OpenList[[#This Row],[Retained Player Name]],Players[],7,FALSE))</f>
        <v/>
      </c>
      <c r="H139" s="235" t="str">
        <f>IF(OpenList[[#This Row],[Retained Player Name]]="","",VLOOKUP(OpenList[[#This Row],[Retained Player Name]],Players[],6,FALSE))</f>
        <v/>
      </c>
      <c r="I139" s="235" t="str">
        <f>IF(OpenList[[#This Row],[Retained Player Name]]="","",VLOOKUP(OpenList[[#This Row],[Retained Player Name]],Players[],4,FALSE))</f>
        <v/>
      </c>
      <c r="J139"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9" s="231"/>
      <c r="L139" s="231"/>
    </row>
    <row r="140" spans="1:12" x14ac:dyDescent="0.2">
      <c r="A140" s="502" t="str">
        <f>IF(AND(OpenList[[#This Row],[First &amp; Last Name]]="",OpenList[[#This Row],[FISTF Code]]=""),"",ROW()-ROW($A$11))</f>
        <v/>
      </c>
      <c r="B140" s="503"/>
      <c r="C140" s="436"/>
      <c r="D140" s="421" t="str">
        <f>IF(OpenList[[#This Row],[First &amp; Last Name]]="","",IFERROR(ISNUMBER(MATCH(OpenList[[#This Row],[First &amp; Last Name]],Players[Player Name],0)),FALSE))</f>
        <v/>
      </c>
      <c r="E140" s="421" t="b">
        <f>IF(OpenList[[#This Row],[FISTF Code]]="",FALSE,IFERROR(ISNUMBER(MATCH(OpenList[[#This Row],[FISTF Code]],Players[FISTF Code],0)),FALSE))</f>
        <v>0</v>
      </c>
      <c r="F140" s="419" t="str">
        <f>IF(AND(OpenList[[#This Row],[First &amp; Last Name]]="",OpenList[[#This Row],[FISTF Code]]=""),"",IF(OpenList[[#This Row],[Valide Code ?]],INDEX(Players[Player Name],MATCH(OpenList[[#This Row],[FISTF Code]],Players[FISTF Code],0)),OpenList[[#This Row],[First &amp; Last Name]]))</f>
        <v/>
      </c>
      <c r="G140" s="233" t="str">
        <f>IF(OpenList[[#This Row],[Retained Player Name]]="","",VLOOKUP(OpenList[[#This Row],[Retained Player Name]],Players[],7,FALSE))</f>
        <v/>
      </c>
      <c r="H140" s="235" t="str">
        <f>IF(OpenList[[#This Row],[Retained Player Name]]="","",VLOOKUP(OpenList[[#This Row],[Retained Player Name]],Players[],6,FALSE))</f>
        <v/>
      </c>
      <c r="I140" s="235" t="str">
        <f>IF(OpenList[[#This Row],[Retained Player Name]]="","",VLOOKUP(OpenList[[#This Row],[Retained Player Name]],Players[],4,FALSE))</f>
        <v/>
      </c>
      <c r="J140"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0" s="231"/>
      <c r="L140" s="231"/>
    </row>
    <row r="141" spans="1:12" x14ac:dyDescent="0.2">
      <c r="A141" s="502" t="str">
        <f>IF(AND(OpenList[[#This Row],[First &amp; Last Name]]="",OpenList[[#This Row],[FISTF Code]]=""),"",ROW()-ROW($A$11))</f>
        <v/>
      </c>
      <c r="B141" s="503"/>
      <c r="C141" s="436"/>
      <c r="D141" s="421" t="str">
        <f>IF(OpenList[[#This Row],[First &amp; Last Name]]="","",IFERROR(ISNUMBER(MATCH(OpenList[[#This Row],[First &amp; Last Name]],Players[Player Name],0)),FALSE))</f>
        <v/>
      </c>
      <c r="E141" s="421" t="b">
        <f>IF(OpenList[[#This Row],[FISTF Code]]="",FALSE,IFERROR(ISNUMBER(MATCH(OpenList[[#This Row],[FISTF Code]],Players[FISTF Code],0)),FALSE))</f>
        <v>0</v>
      </c>
      <c r="F141" s="419" t="str">
        <f>IF(AND(OpenList[[#This Row],[First &amp; Last Name]]="",OpenList[[#This Row],[FISTF Code]]=""),"",IF(OpenList[[#This Row],[Valide Code ?]],INDEX(Players[Player Name],MATCH(OpenList[[#This Row],[FISTF Code]],Players[FISTF Code],0)),OpenList[[#This Row],[First &amp; Last Name]]))</f>
        <v/>
      </c>
      <c r="G141" s="233" t="str">
        <f>IF(OpenList[[#This Row],[Retained Player Name]]="","",VLOOKUP(OpenList[[#This Row],[Retained Player Name]],Players[],7,FALSE))</f>
        <v/>
      </c>
      <c r="H141" s="235" t="str">
        <f>IF(OpenList[[#This Row],[Retained Player Name]]="","",VLOOKUP(OpenList[[#This Row],[Retained Player Name]],Players[],6,FALSE))</f>
        <v/>
      </c>
      <c r="I141" s="235" t="str">
        <f>IF(OpenList[[#This Row],[Retained Player Name]]="","",VLOOKUP(OpenList[[#This Row],[Retained Player Name]],Players[],4,FALSE))</f>
        <v/>
      </c>
      <c r="J141"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1" s="231"/>
      <c r="L141" s="231"/>
    </row>
    <row r="142" spans="1:12" x14ac:dyDescent="0.2">
      <c r="A142" s="502" t="str">
        <f>IF(AND(OpenList[[#This Row],[First &amp; Last Name]]="",OpenList[[#This Row],[FISTF Code]]=""),"",ROW()-ROW($A$11))</f>
        <v/>
      </c>
      <c r="B142" s="503"/>
      <c r="C142" s="436"/>
      <c r="D142" s="421" t="str">
        <f>IF(OpenList[[#This Row],[First &amp; Last Name]]="","",IFERROR(ISNUMBER(MATCH(OpenList[[#This Row],[First &amp; Last Name]],Players[Player Name],0)),FALSE))</f>
        <v/>
      </c>
      <c r="E142" s="421" t="b">
        <f>IF(OpenList[[#This Row],[FISTF Code]]="",FALSE,IFERROR(ISNUMBER(MATCH(OpenList[[#This Row],[FISTF Code]],Players[FISTF Code],0)),FALSE))</f>
        <v>0</v>
      </c>
      <c r="F142" s="419" t="str">
        <f>IF(AND(OpenList[[#This Row],[First &amp; Last Name]]="",OpenList[[#This Row],[FISTF Code]]=""),"",IF(OpenList[[#This Row],[Valide Code ?]],INDEX(Players[Player Name],MATCH(OpenList[[#This Row],[FISTF Code]],Players[FISTF Code],0)),OpenList[[#This Row],[First &amp; Last Name]]))</f>
        <v/>
      </c>
      <c r="G142" s="233" t="str">
        <f>IF(OpenList[[#This Row],[Retained Player Name]]="","",VLOOKUP(OpenList[[#This Row],[Retained Player Name]],Players[],7,FALSE))</f>
        <v/>
      </c>
      <c r="H142" s="235" t="str">
        <f>IF(OpenList[[#This Row],[Retained Player Name]]="","",VLOOKUP(OpenList[[#This Row],[Retained Player Name]],Players[],6,FALSE))</f>
        <v/>
      </c>
      <c r="I142" s="235" t="str">
        <f>IF(OpenList[[#This Row],[Retained Player Name]]="","",VLOOKUP(OpenList[[#This Row],[Retained Player Name]],Players[],4,FALSE))</f>
        <v/>
      </c>
      <c r="J142"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2" s="231"/>
      <c r="L142" s="231"/>
    </row>
    <row r="143" spans="1:12" x14ac:dyDescent="0.2">
      <c r="A143" s="502" t="str">
        <f>IF(AND(OpenList[[#This Row],[First &amp; Last Name]]="",OpenList[[#This Row],[FISTF Code]]=""),"",ROW()-ROW($A$11))</f>
        <v/>
      </c>
      <c r="B143" s="503"/>
      <c r="C143" s="436"/>
      <c r="D143" s="421" t="str">
        <f>IF(OpenList[[#This Row],[First &amp; Last Name]]="","",IFERROR(ISNUMBER(MATCH(OpenList[[#This Row],[First &amp; Last Name]],Players[Player Name],0)),FALSE))</f>
        <v/>
      </c>
      <c r="E143" s="421" t="b">
        <f>IF(OpenList[[#This Row],[FISTF Code]]="",FALSE,IFERROR(ISNUMBER(MATCH(OpenList[[#This Row],[FISTF Code]],Players[FISTF Code],0)),FALSE))</f>
        <v>0</v>
      </c>
      <c r="F143" s="419" t="str">
        <f>IF(AND(OpenList[[#This Row],[First &amp; Last Name]]="",OpenList[[#This Row],[FISTF Code]]=""),"",IF(OpenList[[#This Row],[Valide Code ?]],INDEX(Players[Player Name],MATCH(OpenList[[#This Row],[FISTF Code]],Players[FISTF Code],0)),OpenList[[#This Row],[First &amp; Last Name]]))</f>
        <v/>
      </c>
      <c r="G143" s="233" t="str">
        <f>IF(OpenList[[#This Row],[Retained Player Name]]="","",VLOOKUP(OpenList[[#This Row],[Retained Player Name]],Players[],7,FALSE))</f>
        <v/>
      </c>
      <c r="H143" s="235" t="str">
        <f>IF(OpenList[[#This Row],[Retained Player Name]]="","",VLOOKUP(OpenList[[#This Row],[Retained Player Name]],Players[],6,FALSE))</f>
        <v/>
      </c>
      <c r="I143" s="235" t="str">
        <f>IF(OpenList[[#This Row],[Retained Player Name]]="","",VLOOKUP(OpenList[[#This Row],[Retained Player Name]],Players[],4,FALSE))</f>
        <v/>
      </c>
      <c r="J143"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3" s="231"/>
      <c r="L143" s="231"/>
    </row>
    <row r="144" spans="1:12" x14ac:dyDescent="0.2">
      <c r="A144" s="502" t="str">
        <f>IF(AND(OpenList[[#This Row],[First &amp; Last Name]]="",OpenList[[#This Row],[FISTF Code]]=""),"",ROW()-ROW($A$11))</f>
        <v/>
      </c>
      <c r="B144" s="503"/>
      <c r="C144" s="436"/>
      <c r="D144" s="421" t="str">
        <f>IF(OpenList[[#This Row],[First &amp; Last Name]]="","",IFERROR(ISNUMBER(MATCH(OpenList[[#This Row],[First &amp; Last Name]],Players[Player Name],0)),FALSE))</f>
        <v/>
      </c>
      <c r="E144" s="421" t="b">
        <f>IF(OpenList[[#This Row],[FISTF Code]]="",FALSE,IFERROR(ISNUMBER(MATCH(OpenList[[#This Row],[FISTF Code]],Players[FISTF Code],0)),FALSE))</f>
        <v>0</v>
      </c>
      <c r="F144" s="419" t="str">
        <f>IF(AND(OpenList[[#This Row],[First &amp; Last Name]]="",OpenList[[#This Row],[FISTF Code]]=""),"",IF(OpenList[[#This Row],[Valide Code ?]],INDEX(Players[Player Name],MATCH(OpenList[[#This Row],[FISTF Code]],Players[FISTF Code],0)),OpenList[[#This Row],[First &amp; Last Name]]))</f>
        <v/>
      </c>
      <c r="G144" s="233" t="str">
        <f>IF(OpenList[[#This Row],[Retained Player Name]]="","",VLOOKUP(OpenList[[#This Row],[Retained Player Name]],Players[],7,FALSE))</f>
        <v/>
      </c>
      <c r="H144" s="235" t="str">
        <f>IF(OpenList[[#This Row],[Retained Player Name]]="","",VLOOKUP(OpenList[[#This Row],[Retained Player Name]],Players[],6,FALSE))</f>
        <v/>
      </c>
      <c r="I144" s="235" t="str">
        <f>IF(OpenList[[#This Row],[Retained Player Name]]="","",VLOOKUP(OpenList[[#This Row],[Retained Player Name]],Players[],4,FALSE))</f>
        <v/>
      </c>
      <c r="J144"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4" s="231"/>
      <c r="L144" s="231"/>
    </row>
    <row r="145" spans="1:12" x14ac:dyDescent="0.2">
      <c r="A145" s="502" t="str">
        <f>IF(AND(OpenList[[#This Row],[First &amp; Last Name]]="",OpenList[[#This Row],[FISTF Code]]=""),"",ROW()-ROW($A$11))</f>
        <v/>
      </c>
      <c r="B145" s="503"/>
      <c r="C145" s="436"/>
      <c r="D145" s="421" t="str">
        <f>IF(OpenList[[#This Row],[First &amp; Last Name]]="","",IFERROR(ISNUMBER(MATCH(OpenList[[#This Row],[First &amp; Last Name]],Players[Player Name],0)),FALSE))</f>
        <v/>
      </c>
      <c r="E145" s="421" t="b">
        <f>IF(OpenList[[#This Row],[FISTF Code]]="",FALSE,IFERROR(ISNUMBER(MATCH(OpenList[[#This Row],[FISTF Code]],Players[FISTF Code],0)),FALSE))</f>
        <v>0</v>
      </c>
      <c r="F145" s="419" t="str">
        <f>IF(AND(OpenList[[#This Row],[First &amp; Last Name]]="",OpenList[[#This Row],[FISTF Code]]=""),"",IF(OpenList[[#This Row],[Valide Code ?]],INDEX(Players[Player Name],MATCH(OpenList[[#This Row],[FISTF Code]],Players[FISTF Code],0)),OpenList[[#This Row],[First &amp; Last Name]]))</f>
        <v/>
      </c>
      <c r="G145" s="233" t="str">
        <f>IF(OpenList[[#This Row],[Retained Player Name]]="","",VLOOKUP(OpenList[[#This Row],[Retained Player Name]],Players[],7,FALSE))</f>
        <v/>
      </c>
      <c r="H145" s="235" t="str">
        <f>IF(OpenList[[#This Row],[Retained Player Name]]="","",VLOOKUP(OpenList[[#This Row],[Retained Player Name]],Players[],6,FALSE))</f>
        <v/>
      </c>
      <c r="I145" s="235" t="str">
        <f>IF(OpenList[[#This Row],[Retained Player Name]]="","",VLOOKUP(OpenList[[#This Row],[Retained Player Name]],Players[],4,FALSE))</f>
        <v/>
      </c>
      <c r="J145"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5" s="231"/>
      <c r="L145" s="231"/>
    </row>
    <row r="146" spans="1:12" x14ac:dyDescent="0.2">
      <c r="A146" s="502" t="str">
        <f>IF(AND(OpenList[[#This Row],[First &amp; Last Name]]="",OpenList[[#This Row],[FISTF Code]]=""),"",ROW()-ROW($A$11))</f>
        <v/>
      </c>
      <c r="B146" s="503"/>
      <c r="C146" s="436"/>
      <c r="D146" s="421" t="str">
        <f>IF(OpenList[[#This Row],[First &amp; Last Name]]="","",IFERROR(ISNUMBER(MATCH(OpenList[[#This Row],[First &amp; Last Name]],Players[Player Name],0)),FALSE))</f>
        <v/>
      </c>
      <c r="E146" s="421" t="b">
        <f>IF(OpenList[[#This Row],[FISTF Code]]="",FALSE,IFERROR(ISNUMBER(MATCH(OpenList[[#This Row],[FISTF Code]],Players[FISTF Code],0)),FALSE))</f>
        <v>0</v>
      </c>
      <c r="F146" s="419" t="str">
        <f>IF(AND(OpenList[[#This Row],[First &amp; Last Name]]="",OpenList[[#This Row],[FISTF Code]]=""),"",IF(OpenList[[#This Row],[Valide Code ?]],INDEX(Players[Player Name],MATCH(OpenList[[#This Row],[FISTF Code]],Players[FISTF Code],0)),OpenList[[#This Row],[First &amp; Last Name]]))</f>
        <v/>
      </c>
      <c r="G146" s="233" t="str">
        <f>IF(OpenList[[#This Row],[Retained Player Name]]="","",VLOOKUP(OpenList[[#This Row],[Retained Player Name]],Players[],7,FALSE))</f>
        <v/>
      </c>
      <c r="H146" s="235" t="str">
        <f>IF(OpenList[[#This Row],[Retained Player Name]]="","",VLOOKUP(OpenList[[#This Row],[Retained Player Name]],Players[],6,FALSE))</f>
        <v/>
      </c>
      <c r="I146" s="235" t="str">
        <f>IF(OpenList[[#This Row],[Retained Player Name]]="","",VLOOKUP(OpenList[[#This Row],[Retained Player Name]],Players[],4,FALSE))</f>
        <v/>
      </c>
      <c r="J146"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6" s="231"/>
      <c r="L146" s="231"/>
    </row>
    <row r="147" spans="1:12" x14ac:dyDescent="0.2">
      <c r="A147" s="502" t="str">
        <f>IF(AND(OpenList[[#This Row],[First &amp; Last Name]]="",OpenList[[#This Row],[FISTF Code]]=""),"",ROW()-ROW($A$11))</f>
        <v/>
      </c>
      <c r="B147" s="503"/>
      <c r="C147" s="436"/>
      <c r="D147" s="421" t="str">
        <f>IF(OpenList[[#This Row],[First &amp; Last Name]]="","",IFERROR(ISNUMBER(MATCH(OpenList[[#This Row],[First &amp; Last Name]],Players[Player Name],0)),FALSE))</f>
        <v/>
      </c>
      <c r="E147" s="421" t="b">
        <f>IF(OpenList[[#This Row],[FISTF Code]]="",FALSE,IFERROR(ISNUMBER(MATCH(OpenList[[#This Row],[FISTF Code]],Players[FISTF Code],0)),FALSE))</f>
        <v>0</v>
      </c>
      <c r="F147" s="419" t="str">
        <f>IF(AND(OpenList[[#This Row],[First &amp; Last Name]]="",OpenList[[#This Row],[FISTF Code]]=""),"",IF(OpenList[[#This Row],[Valide Code ?]],INDEX(Players[Player Name],MATCH(OpenList[[#This Row],[FISTF Code]],Players[FISTF Code],0)),OpenList[[#This Row],[First &amp; Last Name]]))</f>
        <v/>
      </c>
      <c r="G147" s="233" t="str">
        <f>IF(OpenList[[#This Row],[Retained Player Name]]="","",VLOOKUP(OpenList[[#This Row],[Retained Player Name]],Players[],7,FALSE))</f>
        <v/>
      </c>
      <c r="H147" s="235" t="str">
        <f>IF(OpenList[[#This Row],[Retained Player Name]]="","",VLOOKUP(OpenList[[#This Row],[Retained Player Name]],Players[],6,FALSE))</f>
        <v/>
      </c>
      <c r="I147" s="235" t="str">
        <f>IF(OpenList[[#This Row],[Retained Player Name]]="","",VLOOKUP(OpenList[[#This Row],[Retained Player Name]],Players[],4,FALSE))</f>
        <v/>
      </c>
      <c r="J147"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7" s="231"/>
      <c r="L147" s="231"/>
    </row>
    <row r="148" spans="1:12" x14ac:dyDescent="0.2">
      <c r="A148" s="502" t="str">
        <f>IF(AND(OpenList[[#This Row],[First &amp; Last Name]]="",OpenList[[#This Row],[FISTF Code]]=""),"",ROW()-ROW($A$11))</f>
        <v/>
      </c>
      <c r="B148" s="503"/>
      <c r="C148" s="436"/>
      <c r="D148" s="421" t="str">
        <f>IF(OpenList[[#This Row],[First &amp; Last Name]]="","",IFERROR(ISNUMBER(MATCH(OpenList[[#This Row],[First &amp; Last Name]],Players[Player Name],0)),FALSE))</f>
        <v/>
      </c>
      <c r="E148" s="421" t="b">
        <f>IF(OpenList[[#This Row],[FISTF Code]]="",FALSE,IFERROR(ISNUMBER(MATCH(OpenList[[#This Row],[FISTF Code]],Players[FISTF Code],0)),FALSE))</f>
        <v>0</v>
      </c>
      <c r="F148" s="419" t="str">
        <f>IF(AND(OpenList[[#This Row],[First &amp; Last Name]]="",OpenList[[#This Row],[FISTF Code]]=""),"",IF(OpenList[[#This Row],[Valide Code ?]],INDEX(Players[Player Name],MATCH(OpenList[[#This Row],[FISTF Code]],Players[FISTF Code],0)),OpenList[[#This Row],[First &amp; Last Name]]))</f>
        <v/>
      </c>
      <c r="G148" s="233" t="str">
        <f>IF(OpenList[[#This Row],[Retained Player Name]]="","",VLOOKUP(OpenList[[#This Row],[Retained Player Name]],Players[],7,FALSE))</f>
        <v/>
      </c>
      <c r="H148" s="235" t="str">
        <f>IF(OpenList[[#This Row],[Retained Player Name]]="","",VLOOKUP(OpenList[[#This Row],[Retained Player Name]],Players[],6,FALSE))</f>
        <v/>
      </c>
      <c r="I148" s="235" t="str">
        <f>IF(OpenList[[#This Row],[Retained Player Name]]="","",VLOOKUP(OpenList[[#This Row],[Retained Player Name]],Players[],4,FALSE))</f>
        <v/>
      </c>
      <c r="J148"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8" s="231"/>
      <c r="L148" s="231"/>
    </row>
    <row r="149" spans="1:12" x14ac:dyDescent="0.2">
      <c r="A149" s="502" t="str">
        <f>IF(AND(OpenList[[#This Row],[First &amp; Last Name]]="",OpenList[[#This Row],[FISTF Code]]=""),"",ROW()-ROW($A$11))</f>
        <v/>
      </c>
      <c r="B149" s="503"/>
      <c r="C149" s="436"/>
      <c r="D149" s="421" t="str">
        <f>IF(OpenList[[#This Row],[First &amp; Last Name]]="","",IFERROR(ISNUMBER(MATCH(OpenList[[#This Row],[First &amp; Last Name]],Players[Player Name],0)),FALSE))</f>
        <v/>
      </c>
      <c r="E149" s="421" t="b">
        <f>IF(OpenList[[#This Row],[FISTF Code]]="",FALSE,IFERROR(ISNUMBER(MATCH(OpenList[[#This Row],[FISTF Code]],Players[FISTF Code],0)),FALSE))</f>
        <v>0</v>
      </c>
      <c r="F149" s="419" t="str">
        <f>IF(AND(OpenList[[#This Row],[First &amp; Last Name]]="",OpenList[[#This Row],[FISTF Code]]=""),"",IF(OpenList[[#This Row],[Valide Code ?]],INDEX(Players[Player Name],MATCH(OpenList[[#This Row],[FISTF Code]],Players[FISTF Code],0)),OpenList[[#This Row],[First &amp; Last Name]]))</f>
        <v/>
      </c>
      <c r="G149" s="233" t="str">
        <f>IF(OpenList[[#This Row],[Retained Player Name]]="","",VLOOKUP(OpenList[[#This Row],[Retained Player Name]],Players[],7,FALSE))</f>
        <v/>
      </c>
      <c r="H149" s="235" t="str">
        <f>IF(OpenList[[#This Row],[Retained Player Name]]="","",VLOOKUP(OpenList[[#This Row],[Retained Player Name]],Players[],6,FALSE))</f>
        <v/>
      </c>
      <c r="I149" s="235" t="str">
        <f>IF(OpenList[[#This Row],[Retained Player Name]]="","",VLOOKUP(OpenList[[#This Row],[Retained Player Name]],Players[],4,FALSE))</f>
        <v/>
      </c>
      <c r="J149"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9" s="231"/>
      <c r="L149" s="231"/>
    </row>
    <row r="150" spans="1:12" x14ac:dyDescent="0.2">
      <c r="A150" s="502" t="str">
        <f>IF(AND(OpenList[[#This Row],[First &amp; Last Name]]="",OpenList[[#This Row],[FISTF Code]]=""),"",ROW()-ROW($A$11))</f>
        <v/>
      </c>
      <c r="B150" s="503"/>
      <c r="C150" s="436"/>
      <c r="D150" s="421" t="str">
        <f>IF(OpenList[[#This Row],[First &amp; Last Name]]="","",IFERROR(ISNUMBER(MATCH(OpenList[[#This Row],[First &amp; Last Name]],Players[Player Name],0)),FALSE))</f>
        <v/>
      </c>
      <c r="E150" s="421" t="b">
        <f>IF(OpenList[[#This Row],[FISTF Code]]="",FALSE,IFERROR(ISNUMBER(MATCH(OpenList[[#This Row],[FISTF Code]],Players[FISTF Code],0)),FALSE))</f>
        <v>0</v>
      </c>
      <c r="F150" s="419" t="str">
        <f>IF(AND(OpenList[[#This Row],[First &amp; Last Name]]="",OpenList[[#This Row],[FISTF Code]]=""),"",IF(OpenList[[#This Row],[Valide Code ?]],INDEX(Players[Player Name],MATCH(OpenList[[#This Row],[FISTF Code]],Players[FISTF Code],0)),OpenList[[#This Row],[First &amp; Last Name]]))</f>
        <v/>
      </c>
      <c r="G150" s="233" t="str">
        <f>IF(OpenList[[#This Row],[Retained Player Name]]="","",VLOOKUP(OpenList[[#This Row],[Retained Player Name]],Players[],7,FALSE))</f>
        <v/>
      </c>
      <c r="H150" s="235" t="str">
        <f>IF(OpenList[[#This Row],[Retained Player Name]]="","",VLOOKUP(OpenList[[#This Row],[Retained Player Name]],Players[],6,FALSE))</f>
        <v/>
      </c>
      <c r="I150" s="235" t="str">
        <f>IF(OpenList[[#This Row],[Retained Player Name]]="","",VLOOKUP(OpenList[[#This Row],[Retained Player Name]],Players[],4,FALSE))</f>
        <v/>
      </c>
      <c r="J150"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50" s="231"/>
      <c r="L150" s="231"/>
    </row>
    <row r="151" spans="1:12" x14ac:dyDescent="0.2">
      <c r="A151" s="502" t="str">
        <f>IF(AND(OpenList[[#This Row],[First &amp; Last Name]]="",OpenList[[#This Row],[FISTF Code]]=""),"",ROW()-ROW($A$11))</f>
        <v/>
      </c>
      <c r="B151" s="503"/>
      <c r="C151" s="436"/>
      <c r="D151" s="421" t="str">
        <f>IF(OpenList[[#This Row],[First &amp; Last Name]]="","",IFERROR(ISNUMBER(MATCH(OpenList[[#This Row],[First &amp; Last Name]],Players[Player Name],0)),FALSE))</f>
        <v/>
      </c>
      <c r="E151" s="421" t="b">
        <f>IF(OpenList[[#This Row],[FISTF Code]]="",FALSE,IFERROR(ISNUMBER(MATCH(OpenList[[#This Row],[FISTF Code]],Players[FISTF Code],0)),FALSE))</f>
        <v>0</v>
      </c>
      <c r="F151" s="419" t="str">
        <f>IF(AND(OpenList[[#This Row],[First &amp; Last Name]]="",OpenList[[#This Row],[FISTF Code]]=""),"",IF(OpenList[[#This Row],[Valide Code ?]],INDEX(Players[Player Name],MATCH(OpenList[[#This Row],[FISTF Code]],Players[FISTF Code],0)),OpenList[[#This Row],[First &amp; Last Name]]))</f>
        <v/>
      </c>
      <c r="G151" s="233" t="str">
        <f>IF(OpenList[[#This Row],[Retained Player Name]]="","",VLOOKUP(OpenList[[#This Row],[Retained Player Name]],Players[],7,FALSE))</f>
        <v/>
      </c>
      <c r="H151" s="235" t="str">
        <f>IF(OpenList[[#This Row],[Retained Player Name]]="","",VLOOKUP(OpenList[[#This Row],[Retained Player Name]],Players[],6,FALSE))</f>
        <v/>
      </c>
      <c r="I151" s="235" t="str">
        <f>IF(OpenList[[#This Row],[Retained Player Name]]="","",VLOOKUP(OpenList[[#This Row],[Retained Player Name]],Players[],4,FALSE))</f>
        <v/>
      </c>
      <c r="J151"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51" s="231"/>
      <c r="L151" s="231"/>
    </row>
    <row r="152" spans="1:12" x14ac:dyDescent="0.2">
      <c r="A152" s="502" t="str">
        <f>IF(AND(OpenList[[#This Row],[First &amp; Last Name]]="",OpenList[[#This Row],[FISTF Code]]=""),"",ROW()-ROW($A$11))</f>
        <v/>
      </c>
      <c r="B152" s="503"/>
      <c r="C152" s="436"/>
      <c r="D152" s="421" t="str">
        <f>IF(OpenList[[#This Row],[First &amp; Last Name]]="","",IFERROR(ISNUMBER(MATCH(OpenList[[#This Row],[First &amp; Last Name]],Players[Player Name],0)),FALSE))</f>
        <v/>
      </c>
      <c r="E152" s="421" t="b">
        <f>IF(OpenList[[#This Row],[FISTF Code]]="",FALSE,IFERROR(ISNUMBER(MATCH(OpenList[[#This Row],[FISTF Code]],Players[FISTF Code],0)),FALSE))</f>
        <v>0</v>
      </c>
      <c r="F152" s="419" t="str">
        <f>IF(AND(OpenList[[#This Row],[First &amp; Last Name]]="",OpenList[[#This Row],[FISTF Code]]=""),"",IF(OpenList[[#This Row],[Valide Code ?]],INDEX(Players[Player Name],MATCH(OpenList[[#This Row],[FISTF Code]],Players[FISTF Code],0)),OpenList[[#This Row],[First &amp; Last Name]]))</f>
        <v/>
      </c>
      <c r="G152" s="233" t="str">
        <f>IF(OpenList[[#This Row],[Retained Player Name]]="","",VLOOKUP(OpenList[[#This Row],[Retained Player Name]],Players[],7,FALSE))</f>
        <v/>
      </c>
      <c r="H152" s="235" t="str">
        <f>IF(OpenList[[#This Row],[Retained Player Name]]="","",VLOOKUP(OpenList[[#This Row],[Retained Player Name]],Players[],6,FALSE))</f>
        <v/>
      </c>
      <c r="I152" s="235" t="str">
        <f>IF(OpenList[[#This Row],[Retained Player Name]]="","",VLOOKUP(OpenList[[#This Row],[Retained Player Name]],Players[],4,FALSE))</f>
        <v/>
      </c>
      <c r="J152"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52" s="231"/>
      <c r="L152" s="231"/>
    </row>
    <row r="153" spans="1:12" x14ac:dyDescent="0.2"/>
  </sheetData>
  <sheetProtection algorithmName="SHA-512" hashValue="FraauoVwTkMldKTleZz+PFc+fQVY75hNhNwhKq6tpOt3SJTAvgrMUlPLTGgAVnugVcZ0J0/M0bAm3j/nUWnD+g==" saltValue="Xf4noP3hfjibUNBhmlCTaw==" spinCount="100000" sheet="1" objects="1" scenarios="1" formatCells="0" formatColumns="0" formatRows="0" selectLockedCells="1" sort="0" autoFilter="0" pivotTables="0"/>
  <phoneticPr fontId="29" type="noConversion"/>
  <conditionalFormatting sqref="A6:A9">
    <cfRule type="expression" dxfId="135" priority="17">
      <formula>$K6="Withdraw"</formula>
    </cfRule>
  </conditionalFormatting>
  <conditionalFormatting sqref="A12:B23 A24:J124 A125:H125 D12:J23 J125">
    <cfRule type="expression" dxfId="134" priority="21">
      <formula>$K12&lt;&gt;""</formula>
    </cfRule>
  </conditionalFormatting>
  <conditionalFormatting sqref="B12:B126">
    <cfRule type="expression" dxfId="133" priority="19">
      <formula>AND($B12&lt;&gt;"",$B12&lt;&gt;$F12)</formula>
    </cfRule>
    <cfRule type="expression" dxfId="132" priority="20">
      <formula>D12</formula>
    </cfRule>
  </conditionalFormatting>
  <conditionalFormatting sqref="B127">
    <cfRule type="expression" dxfId="131" priority="3">
      <formula>AND(NOT(ISBLANK(B127)),NOT(D127))</formula>
    </cfRule>
    <cfRule type="expression" dxfId="130" priority="6">
      <formula>$K127&lt;&gt;""</formula>
    </cfRule>
  </conditionalFormatting>
  <conditionalFormatting sqref="B127:B152">
    <cfRule type="expression" dxfId="129" priority="4">
      <formula>AND($B127&lt;&gt;"",$B127&lt;&gt;$F127)</formula>
    </cfRule>
    <cfRule type="expression" dxfId="128" priority="5">
      <formula>D127</formula>
    </cfRule>
  </conditionalFormatting>
  <conditionalFormatting sqref="B24:C125 B12:B23">
    <cfRule type="expression" dxfId="127" priority="18">
      <formula>AND(NOT(ISBLANK(B12)),NOT(D12))</formula>
    </cfRule>
  </conditionalFormatting>
  <conditionalFormatting sqref="C12:C23">
    <cfRule type="expression" dxfId="126" priority="8">
      <formula>AND(NOT(ISBLANK(C12)),NOT(E12))</formula>
    </cfRule>
    <cfRule type="expression" dxfId="125" priority="9">
      <formula>$K12&lt;&gt;""</formula>
    </cfRule>
  </conditionalFormatting>
  <conditionalFormatting sqref="C12:C125">
    <cfRule type="expression" dxfId="124" priority="7">
      <formula>AND(E12,C12&lt;&gt;"")</formula>
    </cfRule>
  </conditionalFormatting>
  <conditionalFormatting sqref="G6:G9">
    <cfRule type="expression" dxfId="123" priority="13">
      <formula>$K6="Withdraw"</formula>
    </cfRule>
  </conditionalFormatting>
  <conditionalFormatting sqref="G12:J124 G125:H125 J125 G126:J152">
    <cfRule type="expression" dxfId="122" priority="23">
      <formula>NOT(_xlfn.ISFORMULA(G12))</formula>
    </cfRule>
  </conditionalFormatting>
  <conditionalFormatting sqref="I125">
    <cfRule type="expression" dxfId="121" priority="1">
      <formula>$K125&lt;&gt;""</formula>
    </cfRule>
    <cfRule type="expression" dxfId="120" priority="2">
      <formula>NOT(_xlfn.ISFORMULA(I125))</formula>
    </cfRule>
  </conditionalFormatting>
  <conditionalFormatting sqref="J6:J9">
    <cfRule type="expression" dxfId="119" priority="11">
      <formula>$K6="Withdraw"</formula>
    </cfRule>
  </conditionalFormatting>
  <dataValidations count="3">
    <dataValidation type="list" allowBlank="1" showInputMessage="1" showErrorMessage="1" sqref="K12:K152" xr:uid="{00000000-0002-0000-0200-000000000000}">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52" xr:uid="{A210901E-9006-440A-9FC4-FD01D7FC632D}">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52" xr:uid="{63AFF102-552C-4455-B677-2F6715FBB761}">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20371-243B-4B9B-AAFE-A436DF6FCB29}">
  <sheetPr codeName="Feuil18">
    <tabColor rgb="FF6600FF"/>
    <pageSetUpPr fitToPage="1"/>
  </sheetPr>
  <dimension ref="A1:M153"/>
  <sheetViews>
    <sheetView showGridLines="0" topLeftCell="A62" zoomScaleNormal="100" zoomScaleSheetLayoutView="85" workbookViewId="0">
      <selection activeCell="J12" sqref="J12:J81"/>
    </sheetView>
  </sheetViews>
  <sheetFormatPr defaultColWidth="0" defaultRowHeight="12.75" zeroHeight="1" x14ac:dyDescent="0.2"/>
  <cols>
    <col min="1" max="1" width="4.85546875" style="9" bestFit="1" customWidth="1"/>
    <col min="2" max="2" width="23.7109375" style="7" customWidth="1"/>
    <col min="3" max="3" width="13.5703125" style="7" customWidth="1"/>
    <col min="4" max="4" width="13.42578125" style="7" hidden="1" customWidth="1"/>
    <col min="5" max="5" width="9.7109375" style="7" hidden="1" customWidth="1"/>
    <col min="6" max="6" width="23.7109375" style="7" customWidth="1"/>
    <col min="7" max="7" width="8.42578125" style="9" bestFit="1" customWidth="1"/>
    <col min="8" max="8" width="25.85546875" style="9" customWidth="1"/>
    <col min="9" max="9" width="12.140625" style="9" customWidth="1"/>
    <col min="10" max="10" width="11.85546875" style="7" customWidth="1"/>
    <col min="11" max="11" width="12.28515625" style="7" customWidth="1"/>
    <col min="12" max="12" width="26.28515625" style="7" customWidth="1"/>
    <col min="13" max="13" width="4.5703125" style="7" customWidth="1"/>
    <col min="14" max="16384" width="4" style="7" hidden="1"/>
  </cols>
  <sheetData>
    <row r="1" spans="1:13" s="226" customFormat="1" ht="102" x14ac:dyDescent="0.2">
      <c r="A1" s="221" t="s">
        <v>13177</v>
      </c>
      <c r="B1" s="221"/>
      <c r="C1" s="221"/>
      <c r="D1" s="221"/>
      <c r="E1" s="221"/>
      <c r="F1" s="221"/>
      <c r="G1" s="222"/>
      <c r="H1" s="223"/>
      <c r="I1" s="224"/>
      <c r="J1" s="225"/>
      <c r="K1" s="225"/>
      <c r="L1" s="225"/>
    </row>
    <row r="2" spans="1:13" s="226" customFormat="1" ht="18.75" thickBot="1" x14ac:dyDescent="0.3">
      <c r="A2" s="227" t="s">
        <v>13178</v>
      </c>
      <c r="B2" s="227"/>
      <c r="C2" s="227"/>
      <c r="D2" s="227"/>
      <c r="E2" s="227"/>
      <c r="F2" s="227"/>
      <c r="G2" s="228"/>
      <c r="H2" s="228"/>
      <c r="I2" s="229"/>
      <c r="J2" s="225"/>
      <c r="K2" s="225"/>
      <c r="L2" s="225"/>
    </row>
    <row r="3" spans="1:13" s="226" customFormat="1" ht="18" x14ac:dyDescent="0.25">
      <c r="A3" s="429" t="s">
        <v>13161</v>
      </c>
      <c r="B3" s="424"/>
      <c r="C3" s="424"/>
      <c r="D3" s="424"/>
      <c r="E3" s="424"/>
      <c r="F3" s="424"/>
      <c r="G3" s="425"/>
      <c r="H3" s="425"/>
      <c r="I3" s="425"/>
      <c r="J3" s="426"/>
      <c r="K3" s="426"/>
      <c r="L3" s="427"/>
    </row>
    <row r="4" spans="1:13" s="226" customFormat="1" ht="18" x14ac:dyDescent="0.25">
      <c r="A4" s="456"/>
      <c r="B4" s="453" t="s">
        <v>13167</v>
      </c>
      <c r="C4" s="443"/>
      <c r="D4" s="443"/>
      <c r="E4" s="443"/>
      <c r="F4" s="443"/>
      <c r="G4" s="444"/>
      <c r="H4" s="453" t="s">
        <v>13168</v>
      </c>
      <c r="I4" s="444"/>
      <c r="L4" s="442"/>
    </row>
    <row r="5" spans="1:13" s="435" customFormat="1" ht="11.25" x14ac:dyDescent="0.2">
      <c r="A5" s="457" t="s">
        <v>6</v>
      </c>
      <c r="B5" s="418" t="s">
        <v>7</v>
      </c>
      <c r="C5" s="418" t="s">
        <v>12</v>
      </c>
      <c r="D5" s="432"/>
      <c r="E5" s="432"/>
      <c r="F5" s="432"/>
      <c r="G5" s="417" t="s">
        <v>6</v>
      </c>
      <c r="H5" s="418" t="s">
        <v>7</v>
      </c>
      <c r="I5" s="418" t="s">
        <v>12</v>
      </c>
      <c r="J5" s="418" t="s">
        <v>13160</v>
      </c>
      <c r="K5" s="433"/>
      <c r="L5" s="434"/>
    </row>
    <row r="6" spans="1:13" s="226" customFormat="1" x14ac:dyDescent="0.2">
      <c r="A6" s="458">
        <v>1</v>
      </c>
      <c r="B6" s="446" t="s">
        <v>13164</v>
      </c>
      <c r="C6" s="447"/>
      <c r="D6" s="423"/>
      <c r="E6" s="423"/>
      <c r="F6" s="423"/>
      <c r="G6" s="445">
        <v>1</v>
      </c>
      <c r="H6" s="446" t="s">
        <v>13165</v>
      </c>
      <c r="I6" s="466" t="s">
        <v>13159</v>
      </c>
      <c r="J6" s="448" t="s">
        <v>13165</v>
      </c>
      <c r="K6" s="430"/>
      <c r="L6" s="431"/>
    </row>
    <row r="7" spans="1:13" s="226" customFormat="1" x14ac:dyDescent="0.2">
      <c r="A7" s="458">
        <v>2</v>
      </c>
      <c r="B7" s="449" t="s">
        <v>13163</v>
      </c>
      <c r="C7" s="450"/>
      <c r="D7" s="423"/>
      <c r="E7" s="423"/>
      <c r="F7" s="423"/>
      <c r="G7" s="445">
        <v>2</v>
      </c>
      <c r="H7" s="449" t="s">
        <v>13163</v>
      </c>
      <c r="I7" s="467" t="s">
        <v>13159</v>
      </c>
      <c r="J7" s="448" t="s">
        <v>13165</v>
      </c>
      <c r="K7" s="430"/>
      <c r="L7" s="431"/>
    </row>
    <row r="8" spans="1:13" s="226" customFormat="1" ht="25.5" x14ac:dyDescent="0.2">
      <c r="A8" s="458">
        <v>3</v>
      </c>
      <c r="B8" s="447"/>
      <c r="C8" s="449" t="s">
        <v>13162</v>
      </c>
      <c r="D8" s="423"/>
      <c r="E8" s="423"/>
      <c r="F8" s="423"/>
      <c r="G8" s="445">
        <v>3</v>
      </c>
      <c r="H8" s="451" t="s">
        <v>13166</v>
      </c>
      <c r="I8" s="466" t="s">
        <v>13159</v>
      </c>
      <c r="J8" s="452" t="s">
        <v>13165</v>
      </c>
      <c r="K8" s="430"/>
      <c r="L8" s="431"/>
    </row>
    <row r="9" spans="1:13" s="226" customFormat="1" ht="26.25" thickBot="1" x14ac:dyDescent="0.25">
      <c r="A9" s="459">
        <v>4</v>
      </c>
      <c r="B9" s="460"/>
      <c r="C9" s="461" t="s">
        <v>13169</v>
      </c>
      <c r="D9" s="428"/>
      <c r="E9" s="428"/>
      <c r="F9" s="428"/>
      <c r="G9" s="462" t="str">
        <f t="shared" ref="G9" si="0">IF(H9="","",ROW()-ROW(G8))</f>
        <v/>
      </c>
      <c r="H9" s="460"/>
      <c r="I9" s="460"/>
      <c r="J9" s="463"/>
      <c r="K9" s="464"/>
      <c r="L9" s="465"/>
    </row>
    <row r="10" spans="1:13" ht="34.5" customHeight="1" x14ac:dyDescent="0.4">
      <c r="A10" s="454" t="s">
        <v>12291</v>
      </c>
      <c r="B10" s="455"/>
      <c r="C10" s="455"/>
      <c r="D10" s="455"/>
      <c r="E10" s="455"/>
      <c r="F10" s="455"/>
      <c r="G10" s="455"/>
      <c r="H10" s="455"/>
      <c r="I10" s="455"/>
      <c r="J10" s="455"/>
      <c r="K10" s="455"/>
      <c r="L10" s="455" t="s">
        <v>12131</v>
      </c>
    </row>
    <row r="11" spans="1:13" s="8" customFormat="1" ht="22.5" x14ac:dyDescent="0.2">
      <c r="A11" s="438" t="s">
        <v>6</v>
      </c>
      <c r="B11" s="439" t="s">
        <v>7</v>
      </c>
      <c r="C11" s="438" t="s">
        <v>12</v>
      </c>
      <c r="D11" s="438" t="s">
        <v>13157</v>
      </c>
      <c r="E11" s="438" t="s">
        <v>13158</v>
      </c>
      <c r="F11" s="439" t="s">
        <v>13160</v>
      </c>
      <c r="G11" s="438" t="s">
        <v>8</v>
      </c>
      <c r="H11" s="439" t="s">
        <v>9</v>
      </c>
      <c r="I11" s="440" t="s">
        <v>13156</v>
      </c>
      <c r="J11" s="440" t="s">
        <v>12285</v>
      </c>
      <c r="K11" s="440" t="s">
        <v>10890</v>
      </c>
      <c r="L11" s="441" t="s">
        <v>10891</v>
      </c>
      <c r="M11" s="7"/>
    </row>
    <row r="12" spans="1:13" s="8" customFormat="1" ht="12.75" customHeight="1" x14ac:dyDescent="0.2">
      <c r="A12" s="16">
        <f>IF(AND(VeteransList[[#This Row],[First &amp; Last Name]]="",VeteransList[[#This Row],[FISTF Code]]=""),"",ROW()-ROW($A$11))</f>
        <v>1</v>
      </c>
      <c r="B12" s="232" t="s">
        <v>8126</v>
      </c>
      <c r="C12" s="436"/>
      <c r="D12" s="421" t="b">
        <f>IF(VeteransList[[#This Row],[First &amp; Last Name]]="","",IFERROR(ISNUMBER(MATCH(VeteransList[[#This Row],[First &amp; Last Name]],Players[Player Name],0)),FALSE))</f>
        <v>1</v>
      </c>
      <c r="E12" s="421" t="b">
        <f>IF(VeteransList[[#This Row],[FISTF Code]]="",FALSE,IFERROR(ISNUMBER(MATCH(VeteransList[[#This Row],[FISTF Code]],Players[FISTF Code],0)),FALSE))</f>
        <v>0</v>
      </c>
      <c r="F12" s="419" t="str">
        <f>IF(AND(VeteransList[[#This Row],[First &amp; Last Name]]="",VeteransList[[#This Row],[FISTF Code]]=""),"",IF(VeteransList[[#This Row],[Valide Code ?]],INDEX(Players[Player Name],MATCH(VeteransList[[#This Row],[FISTF Code]],Players[FISTF Code],0)),VeteransList[[#This Row],[First &amp; Last Name]]))</f>
        <v>Daniel Scheen</v>
      </c>
      <c r="G12" s="233" t="str">
        <f>IF(VeteransList[[#This Row],[Retained Player Name]]="","",VLOOKUP(VeteransList[[#This Row],[Retained Player Name]],Players[],7,FALSE))</f>
        <v>BEL</v>
      </c>
      <c r="H12" s="233" t="str">
        <f>IF(VeteransList[[#This Row],[Retained Player Name]]="","",VLOOKUP(VeteransList[[#This Row],[Retained Player Name]],Players[],6,FALSE))</f>
        <v>ASD SC Salernitana</v>
      </c>
      <c r="I12" s="234" t="str">
        <f>IF(VeteransList[[#This Row],[Retained Player Name]]="","",VLOOKUP(VeteransList[[#This Row],[Retained Player Name]],Players[],4,FALSE))</f>
        <v>BEL0148</v>
      </c>
      <c r="J12"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12" s="230"/>
      <c r="L12" s="230"/>
      <c r="M12" s="7"/>
    </row>
    <row r="13" spans="1:13" s="8" customFormat="1" ht="12.75" customHeight="1" x14ac:dyDescent="0.2">
      <c r="A13" s="16">
        <f>IF(AND(VeteransList[[#This Row],[First &amp; Last Name]]="",VeteransList[[#This Row],[FISTF Code]]=""),"",ROW()-ROW($A$11))</f>
        <v>2</v>
      </c>
      <c r="B13" s="232" t="s">
        <v>10253</v>
      </c>
      <c r="C13" s="436"/>
      <c r="D13" s="421" t="b">
        <f>IF(VeteransList[[#This Row],[First &amp; Last Name]]="","",IFERROR(ISNUMBER(MATCH(VeteransList[[#This Row],[First &amp; Last Name]],Players[Player Name],0)),FALSE))</f>
        <v>1</v>
      </c>
      <c r="E13" s="421" t="b">
        <f>IF(VeteransList[[#This Row],[FISTF Code]]="",FALSE,IFERROR(ISNUMBER(MATCH(VeteransList[[#This Row],[FISTF Code]],Players[FISTF Code],0)),FALSE))</f>
        <v>0</v>
      </c>
      <c r="F13" s="419" t="str">
        <f>IF(AND(VeteransList[[#This Row],[First &amp; Last Name]]="",VeteransList[[#This Row],[FISTF Code]]=""),"",IF(VeteransList[[#This Row],[Valide Code ?]],INDEX(Players[Player Name],MATCH(VeteransList[[#This Row],[FISTF Code]],Players[FISTF Code],0)),VeteransList[[#This Row],[First &amp; Last Name]]))</f>
        <v>Gianfranco Calonico</v>
      </c>
      <c r="G13" s="233" t="str">
        <f>IF(VeteransList[[#This Row],[Retained Player Name]]="","",VLOOKUP(VeteransList[[#This Row],[Retained Player Name]],Players[],7,FALSE))</f>
        <v>ITA</v>
      </c>
      <c r="H13" s="233" t="str">
        <f>IF(VeteransList[[#This Row],[Retained Player Name]]="","",VLOOKUP(VeteransList[[#This Row],[Retained Player Name]],Players[],6,FALSE))</f>
        <v>Master Sanremo</v>
      </c>
      <c r="I13" s="234" t="str">
        <f>IF(VeteransList[[#This Row],[Retained Player Name]]="","",VLOOKUP(VeteransList[[#This Row],[Retained Player Name]],Players[],4,FALSE))</f>
        <v>ITA0150</v>
      </c>
      <c r="J13"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R</v>
      </c>
      <c r="K13" s="230"/>
      <c r="L13" s="230"/>
      <c r="M13" s="7"/>
    </row>
    <row r="14" spans="1:13" s="8" customFormat="1" ht="12.75" customHeight="1" x14ac:dyDescent="0.2">
      <c r="A14" s="16">
        <f>IF(AND(VeteransList[[#This Row],[First &amp; Last Name]]="",VeteransList[[#This Row],[FISTF Code]]=""),"",ROW()-ROW($A$11))</f>
        <v>3</v>
      </c>
      <c r="B14" s="232" t="s">
        <v>10431</v>
      </c>
      <c r="C14" s="436"/>
      <c r="D14" s="421" t="b">
        <f>IF(VeteransList[[#This Row],[First &amp; Last Name]]="","",IFERROR(ISNUMBER(MATCH(VeteransList[[#This Row],[First &amp; Last Name]],Players[Player Name],0)),FALSE))</f>
        <v>1</v>
      </c>
      <c r="E14" s="421" t="b">
        <f>IF(VeteransList[[#This Row],[FISTF Code]]="",FALSE,IFERROR(ISNUMBER(MATCH(VeteransList[[#This Row],[FISTF Code]],Players[FISTF Code],0)),FALSE))</f>
        <v>0</v>
      </c>
      <c r="F14" s="419" t="str">
        <f>IF(AND(VeteransList[[#This Row],[First &amp; Last Name]]="",VeteransList[[#This Row],[FISTF Code]]=""),"",IF(VeteransList[[#This Row],[Valide Code ?]],INDEX(Players[Player Name],MATCH(VeteransList[[#This Row],[FISTF Code]],Players[FISTF Code],0)),VeteransList[[#This Row],[First &amp; Last Name]]))</f>
        <v>Jason Pisani</v>
      </c>
      <c r="G14" s="233" t="str">
        <f>IF(VeteransList[[#This Row],[Retained Player Name]]="","",VLOOKUP(VeteransList[[#This Row],[Retained Player Name]],Players[],7,FALSE))</f>
        <v>MLT</v>
      </c>
      <c r="H14" s="233" t="str">
        <f>IF(VeteransList[[#This Row],[Retained Player Name]]="","",VLOOKUP(VeteransList[[#This Row],[Retained Player Name]],Players[],6,FALSE))</f>
        <v>Bormla SC</v>
      </c>
      <c r="I14" s="234" t="str">
        <f>IF(VeteransList[[#This Row],[Retained Player Name]]="","",VLOOKUP(VeteransList[[#This Row],[Retained Player Name]],Players[],4,FALSE))</f>
        <v>MLT0028</v>
      </c>
      <c r="J14"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14" s="230"/>
      <c r="L14" s="230"/>
      <c r="M14" s="7"/>
    </row>
    <row r="15" spans="1:13" s="8" customFormat="1" ht="12.75" customHeight="1" x14ac:dyDescent="0.2">
      <c r="A15" s="16">
        <f>IF(AND(VeteransList[[#This Row],[First &amp; Last Name]]="",VeteransList[[#This Row],[FISTF Code]]=""),"",ROW()-ROW($A$11))</f>
        <v>4</v>
      </c>
      <c r="B15" s="232" t="s">
        <v>10414</v>
      </c>
      <c r="C15" s="436"/>
      <c r="D15" s="421" t="b">
        <f>IF(VeteransList[[#This Row],[First &amp; Last Name]]="","",IFERROR(ISNUMBER(MATCH(VeteransList[[#This Row],[First &amp; Last Name]],Players[Player Name],0)),FALSE))</f>
        <v>1</v>
      </c>
      <c r="E15" s="421" t="b">
        <f>IF(VeteransList[[#This Row],[FISTF Code]]="",FALSE,IFERROR(ISNUMBER(MATCH(VeteransList[[#This Row],[FISTF Code]],Players[FISTF Code],0)),FALSE))</f>
        <v>0</v>
      </c>
      <c r="F15" s="419" t="str">
        <f>IF(AND(VeteransList[[#This Row],[First &amp; Last Name]]="",VeteransList[[#This Row],[FISTF Code]]=""),"",IF(VeteransList[[#This Row],[Valide Code ?]],INDEX(Players[Player Name],MATCH(VeteransList[[#This Row],[FISTF Code]],Players[FISTF Code],0)),VeteransList[[#This Row],[First &amp; Last Name]]))</f>
        <v>Charles Aquilina</v>
      </c>
      <c r="G15" s="233" t="str">
        <f>IF(VeteransList[[#This Row],[Retained Player Name]]="","",VLOOKUP(VeteransList[[#This Row],[Retained Player Name]],Players[],7,FALSE))</f>
        <v>MLT</v>
      </c>
      <c r="H15" s="233" t="str">
        <f>IF(VeteransList[[#This Row],[Retained Player Name]]="","",VLOOKUP(VeteransList[[#This Row],[Retained Player Name]],Players[],6,FALSE))</f>
        <v>Bormla SC</v>
      </c>
      <c r="I15" s="234" t="str">
        <f>IF(VeteransList[[#This Row],[Retained Player Name]]="","",VLOOKUP(VeteransList[[#This Row],[Retained Player Name]],Players[],4,FALSE))</f>
        <v>MLT0002</v>
      </c>
      <c r="J15"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15" s="230"/>
      <c r="L15" s="230"/>
      <c r="M15" s="7"/>
    </row>
    <row r="16" spans="1:13" s="8" customFormat="1" ht="12.75" customHeight="1" x14ac:dyDescent="0.2">
      <c r="A16" s="16">
        <f>IF(AND(VeteransList[[#This Row],[First &amp; Last Name]]="",VeteransList[[#This Row],[FISTF Code]]=""),"",ROW()-ROW($A$11))</f>
        <v>5</v>
      </c>
      <c r="B16" s="232" t="s">
        <v>8752</v>
      </c>
      <c r="C16" s="436"/>
      <c r="D16" s="421" t="b">
        <f>IF(VeteransList[[#This Row],[First &amp; Last Name]]="","",IFERROR(ISNUMBER(MATCH(VeteransList[[#This Row],[First &amp; Last Name]],Players[Player Name],0)),FALSE))</f>
        <v>1</v>
      </c>
      <c r="E16" s="421" t="b">
        <f>IF(VeteransList[[#This Row],[FISTF Code]]="",FALSE,IFERROR(ISNUMBER(MATCH(VeteransList[[#This Row],[FISTF Code]],Players[FISTF Code],0)),FALSE))</f>
        <v>0</v>
      </c>
      <c r="F16" s="419" t="str">
        <f>IF(AND(VeteransList[[#This Row],[First &amp; Last Name]]="",VeteransList[[#This Row],[FISTF Code]]=""),"",IF(VeteransList[[#This Row],[Valide Code ?]],INDEX(Players[Player Name],MATCH(VeteransList[[#This Row],[FISTF Code]],Players[FISTF Code],0)),VeteransList[[#This Row],[First &amp; Last Name]]))</f>
        <v>John Field</v>
      </c>
      <c r="G16" s="233" t="str">
        <f>IF(VeteransList[[#This Row],[Retained Player Name]]="","",VLOOKUP(VeteransList[[#This Row],[Retained Player Name]],Players[],7,FALSE))</f>
        <v>GIB</v>
      </c>
      <c r="H16" s="233" t="str">
        <f>IF(VeteransList[[#This Row],[Retained Player Name]]="","",VLOOKUP(VeteransList[[#This Row],[Retained Player Name]],Players[],6,FALSE))</f>
        <v>Tiburones FM</v>
      </c>
      <c r="I16" s="234" t="str">
        <f>IF(VeteransList[[#This Row],[Retained Player Name]]="","",VLOOKUP(VeteransList[[#This Row],[Retained Player Name]],Players[],4,FALSE))</f>
        <v>GIB0002</v>
      </c>
      <c r="J16"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W</v>
      </c>
      <c r="K16" s="230"/>
      <c r="L16" s="230"/>
      <c r="M16" s="7"/>
    </row>
    <row r="17" spans="1:13" s="8" customFormat="1" ht="12.75" customHeight="1" x14ac:dyDescent="0.2">
      <c r="A17" s="16">
        <f>IF(AND(VeteransList[[#This Row],[First &amp; Last Name]]="",VeteransList[[#This Row],[FISTF Code]]=""),"",ROW()-ROW($A$11))</f>
        <v>6</v>
      </c>
      <c r="B17" s="232" t="s">
        <v>9577</v>
      </c>
      <c r="C17" s="436"/>
      <c r="D17" s="421" t="b">
        <f>IF(VeteransList[[#This Row],[First &amp; Last Name]]="","",IFERROR(ISNUMBER(MATCH(VeteransList[[#This Row],[First &amp; Last Name]],Players[Player Name],0)),FALSE))</f>
        <v>1</v>
      </c>
      <c r="E17" s="421" t="b">
        <f>IF(VeteransList[[#This Row],[FISTF Code]]="",FALSE,IFERROR(ISNUMBER(MATCH(VeteransList[[#This Row],[FISTF Code]],Players[FISTF Code],0)),FALSE))</f>
        <v>0</v>
      </c>
      <c r="F17" s="419" t="str">
        <f>IF(AND(VeteransList[[#This Row],[First &amp; Last Name]]="",VeteransList[[#This Row],[FISTF Code]]=""),"",IF(VeteransList[[#This Row],[Valide Code ?]],INDEX(Players[Player Name],MATCH(VeteransList[[#This Row],[FISTF Code]],Players[FISTF Code],0)),VeteransList[[#This Row],[First &amp; Last Name]]))</f>
        <v>Pasquale Torano</v>
      </c>
      <c r="G17" s="233" t="str">
        <f>IF(VeteransList[[#This Row],[Retained Player Name]]="","",VLOOKUP(VeteransList[[#This Row],[Retained Player Name]],Players[],7,FALSE))</f>
        <v>ITA</v>
      </c>
      <c r="H17" s="233" t="str">
        <f>IF(VeteransList[[#This Row],[Retained Player Name]]="","",VLOOKUP(VeteransList[[#This Row],[Retained Player Name]],Players[],6,FALSE))</f>
        <v>Leonessa 2004 Brescia</v>
      </c>
      <c r="I17" s="234" t="str">
        <f>IF(VeteransList[[#This Row],[Retained Player Name]]="","",VLOOKUP(VeteransList[[#This Row],[Retained Player Name]],Players[],4,FALSE))</f>
        <v>ITA0861</v>
      </c>
      <c r="J17"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17" s="230"/>
      <c r="L17" s="230"/>
      <c r="M17" s="7"/>
    </row>
    <row r="18" spans="1:13" s="8" customFormat="1" ht="12.75" customHeight="1" x14ac:dyDescent="0.2">
      <c r="A18" s="16">
        <f>IF(AND(VeteransList[[#This Row],[First &amp; Last Name]]="",VeteransList[[#This Row],[FISTF Code]]=""),"",ROW()-ROW($A$11))</f>
        <v>7</v>
      </c>
      <c r="B18" s="232" t="s">
        <v>9744</v>
      </c>
      <c r="C18" s="436"/>
      <c r="D18" s="421" t="b">
        <f>IF(VeteransList[[#This Row],[First &amp; Last Name]]="","",IFERROR(ISNUMBER(MATCH(VeteransList[[#This Row],[First &amp; Last Name]],Players[Player Name],0)),FALSE))</f>
        <v>1</v>
      </c>
      <c r="E18" s="421" t="b">
        <f>IF(VeteransList[[#This Row],[FISTF Code]]="",FALSE,IFERROR(ISNUMBER(MATCH(VeteransList[[#This Row],[FISTF Code]],Players[FISTF Code],0)),FALSE))</f>
        <v>0</v>
      </c>
      <c r="F18" s="419" t="str">
        <f>IF(AND(VeteransList[[#This Row],[First &amp; Last Name]]="",VeteransList[[#This Row],[FISTF Code]]=""),"",IF(VeteransList[[#This Row],[Valide Code ?]],INDEX(Players[Player Name],MATCH(VeteransList[[#This Row],[FISTF Code]],Players[FISTF Code],0)),VeteransList[[#This Row],[First &amp; Last Name]]))</f>
        <v>Gerardo Patruno</v>
      </c>
      <c r="G18" s="233" t="str">
        <f>IF(VeteransList[[#This Row],[Retained Player Name]]="","",VLOOKUP(VeteransList[[#This Row],[Retained Player Name]],Players[],7,FALSE))</f>
        <v>ITA</v>
      </c>
      <c r="H18" s="233" t="str">
        <f>IF(VeteransList[[#This Row],[Retained Player Name]]="","",VLOOKUP(VeteransList[[#This Row],[Retained Player Name]],Players[],6,FALSE))</f>
        <v>Bologna Tigers Subbuteo</v>
      </c>
      <c r="I18" s="234" t="str">
        <f>IF(VeteransList[[#This Row],[Retained Player Name]]="","",VLOOKUP(VeteransList[[#This Row],[Retained Player Name]],Players[],4,FALSE))</f>
        <v>ITA0648</v>
      </c>
      <c r="J18"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18" s="230"/>
      <c r="L18" s="230"/>
      <c r="M18" s="7"/>
    </row>
    <row r="19" spans="1:13" s="8" customFormat="1" ht="12.75" customHeight="1" x14ac:dyDescent="0.2">
      <c r="A19" s="16">
        <f>IF(AND(VeteransList[[#This Row],[First &amp; Last Name]]="",VeteransList[[#This Row],[FISTF Code]]=""),"",ROW()-ROW($A$11))</f>
        <v>8</v>
      </c>
      <c r="B19" s="232" t="s">
        <v>9838</v>
      </c>
      <c r="C19" s="436"/>
      <c r="D19" s="421" t="b">
        <f>IF(VeteransList[[#This Row],[First &amp; Last Name]]="","",IFERROR(ISNUMBER(MATCH(VeteransList[[#This Row],[First &amp; Last Name]],Players[Player Name],0)),FALSE))</f>
        <v>1</v>
      </c>
      <c r="E19" s="421" t="b">
        <f>IF(VeteransList[[#This Row],[FISTF Code]]="",FALSE,IFERROR(ISNUMBER(MATCH(VeteransList[[#This Row],[FISTF Code]],Players[FISTF Code],0)),FALSE))</f>
        <v>0</v>
      </c>
      <c r="F19" s="419" t="str">
        <f>IF(AND(VeteransList[[#This Row],[First &amp; Last Name]]="",VeteransList[[#This Row],[FISTF Code]]=""),"",IF(VeteransList[[#This Row],[Valide Code ?]],INDEX(Players[Player Name],MATCH(VeteransList[[#This Row],[FISTF Code]],Players[FISTF Code],0)),VeteransList[[#This Row],[First &amp; Last Name]]))</f>
        <v>Francesco Mattiangeli</v>
      </c>
      <c r="G19" s="233" t="str">
        <f>IF(VeteransList[[#This Row],[Retained Player Name]]="","",VLOOKUP(VeteransList[[#This Row],[Retained Player Name]],Players[],7,FALSE))</f>
        <v>ITA</v>
      </c>
      <c r="H19" s="233" t="str">
        <f>IF(VeteransList[[#This Row],[Retained Player Name]]="","",VLOOKUP(VeteransList[[#This Row],[Retained Player Name]],Players[],6,FALSE))</f>
        <v>Bologna Tigers Subbuteo</v>
      </c>
      <c r="I19" s="234" t="str">
        <f>IF(VeteransList[[#This Row],[Retained Player Name]]="","",VLOOKUP(VeteransList[[#This Row],[Retained Player Name]],Players[],4,FALSE))</f>
        <v>ITA0552</v>
      </c>
      <c r="J19"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19" s="230"/>
      <c r="L19" s="230"/>
      <c r="M19" s="7"/>
    </row>
    <row r="20" spans="1:13" s="8" customFormat="1" ht="12.75" customHeight="1" x14ac:dyDescent="0.2">
      <c r="A20" s="16">
        <f>IF(AND(VeteransList[[#This Row],[First &amp; Last Name]]="",VeteransList[[#This Row],[FISTF Code]]=""),"",ROW()-ROW($A$11))</f>
        <v>9</v>
      </c>
      <c r="B20" s="232" t="s">
        <v>8600</v>
      </c>
      <c r="C20" s="436"/>
      <c r="D20" s="421" t="b">
        <f>IF(VeteransList[[#This Row],[First &amp; Last Name]]="","",IFERROR(ISNUMBER(MATCH(VeteransList[[#This Row],[First &amp; Last Name]],Players[Player Name],0)),FALSE))</f>
        <v>1</v>
      </c>
      <c r="E20" s="421" t="b">
        <f>IF(VeteransList[[#This Row],[FISTF Code]]="",FALSE,IFERROR(ISNUMBER(MATCH(VeteransList[[#This Row],[FISTF Code]],Players[FISTF Code],0)),FALSE))</f>
        <v>0</v>
      </c>
      <c r="F20" s="419" t="str">
        <f>IF(AND(VeteransList[[#This Row],[First &amp; Last Name]]="",VeteransList[[#This Row],[FISTF Code]]=""),"",IF(VeteransList[[#This Row],[Valide Code ?]],INDEX(Players[Player Name],MATCH(VeteransList[[#This Row],[FISTF Code]],Players[FISTF Code],0)),VeteransList[[#This Row],[First &amp; Last Name]]))</f>
        <v>Vicenç Prats</v>
      </c>
      <c r="G20" s="233" t="str">
        <f>IF(VeteransList[[#This Row],[Retained Player Name]]="","",VLOOKUP(VeteransList[[#This Row],[Retained Player Name]],Players[],7,FALSE))</f>
        <v>ESP</v>
      </c>
      <c r="H20" s="233" t="str">
        <f>IF(VeteransList[[#This Row],[Retained Player Name]]="","",VLOOKUP(VeteransList[[#This Row],[Retained Player Name]],Players[],6,FALSE))</f>
        <v>Tiburones FM</v>
      </c>
      <c r="I20" s="234" t="str">
        <f>IF(VeteransList[[#This Row],[Retained Player Name]]="","",VLOOKUP(VeteransList[[#This Row],[Retained Player Name]],Players[],4,FALSE))</f>
        <v>ESP0006</v>
      </c>
      <c r="J20"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20" s="230"/>
      <c r="L20" s="230"/>
      <c r="M20" s="7"/>
    </row>
    <row r="21" spans="1:13" s="8" customFormat="1" ht="12.75" customHeight="1" x14ac:dyDescent="0.2">
      <c r="A21" s="16">
        <f>IF(AND(VeteransList[[#This Row],[First &amp; Last Name]]="",VeteransList[[#This Row],[FISTF Code]]=""),"",ROW()-ROW($A$11))</f>
        <v>10</v>
      </c>
      <c r="B21" s="232" t="s">
        <v>8062</v>
      </c>
      <c r="C21" s="436"/>
      <c r="D21" s="421" t="b">
        <f>IF(VeteransList[[#This Row],[First &amp; Last Name]]="","",IFERROR(ISNUMBER(MATCH(VeteransList[[#This Row],[First &amp; Last Name]],Players[Player Name],0)),FALSE))</f>
        <v>1</v>
      </c>
      <c r="E21" s="421" t="b">
        <f>IF(VeteransList[[#This Row],[FISTF Code]]="",FALSE,IFERROR(ISNUMBER(MATCH(VeteransList[[#This Row],[FISTF Code]],Players[FISTF Code],0)),FALSE))</f>
        <v>0</v>
      </c>
      <c r="F21" s="419" t="str">
        <f>IF(AND(VeteransList[[#This Row],[First &amp; Last Name]]="",VeteransList[[#This Row],[FISTF Code]]=""),"",IF(VeteransList[[#This Row],[Valide Code ?]],INDEX(Players[Player Name],MATCH(VeteransList[[#This Row],[FISTF Code]],Players[FISTF Code],0)),VeteransList[[#This Row],[First &amp; Last Name]]))</f>
        <v>David Busch</v>
      </c>
      <c r="G21" s="233" t="str">
        <f>IF(VeteransList[[#This Row],[Retained Player Name]]="","",VLOOKUP(VeteransList[[#This Row],[Retained Player Name]],Players[],7,FALSE))</f>
        <v>AUT</v>
      </c>
      <c r="H21" s="233" t="str">
        <f>IF(VeteransList[[#This Row],[Retained Player Name]]="","",VLOOKUP(VeteransList[[#This Row],[Retained Player Name]],Players[],6,FALSE))</f>
        <v>Bormla SC</v>
      </c>
      <c r="I21" s="235" t="str">
        <f>IF(VeteransList[[#This Row],[Retained Player Name]]="","",VLOOKUP(VeteransList[[#This Row],[Retained Player Name]],Players[],4,FALSE))</f>
        <v>AUT0069</v>
      </c>
      <c r="J21"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21" s="230"/>
      <c r="L21" s="230"/>
      <c r="M21" s="7"/>
    </row>
    <row r="22" spans="1:13" s="8" customFormat="1" ht="12.75" customHeight="1" x14ac:dyDescent="0.2">
      <c r="A22" s="16">
        <f>IF(AND(VeteransList[[#This Row],[First &amp; Last Name]]="",VeteransList[[#This Row],[FISTF Code]]=""),"",ROW()-ROW($A$11))</f>
        <v>11</v>
      </c>
      <c r="B22" s="232" t="s">
        <v>9576</v>
      </c>
      <c r="C22" s="436"/>
      <c r="D22" s="421" t="b">
        <f>IF(VeteransList[[#This Row],[First &amp; Last Name]]="","",IFERROR(ISNUMBER(MATCH(VeteransList[[#This Row],[First &amp; Last Name]],Players[Player Name],0)),FALSE))</f>
        <v>1</v>
      </c>
      <c r="E22" s="421" t="b">
        <f>IF(VeteransList[[#This Row],[FISTF Code]]="",FALSE,IFERROR(ISNUMBER(MATCH(VeteransList[[#This Row],[FISTF Code]],Players[FISTF Code],0)),FALSE))</f>
        <v>0</v>
      </c>
      <c r="F22" s="419" t="str">
        <f>IF(AND(VeteransList[[#This Row],[First &amp; Last Name]]="",VeteransList[[#This Row],[FISTF Code]]=""),"",IF(VeteransList[[#This Row],[Valide Code ?]],INDEX(Players[Player Name],MATCH(VeteransList[[#This Row],[FISTF Code]],Players[FISTF Code],0)),VeteransList[[#This Row],[First &amp; Last Name]]))</f>
        <v>Francesco Torano</v>
      </c>
      <c r="G22" s="233" t="str">
        <f>IF(VeteransList[[#This Row],[Retained Player Name]]="","",VLOOKUP(VeteransList[[#This Row],[Retained Player Name]],Players[],7,FALSE))</f>
        <v>ITA</v>
      </c>
      <c r="H22" s="233" t="str">
        <f>IF(VeteransList[[#This Row],[Retained Player Name]]="","",VLOOKUP(VeteransList[[#This Row],[Retained Player Name]],Players[],6,FALSE))</f>
        <v>Leonessa 2004 Brescia</v>
      </c>
      <c r="I22" s="235" t="str">
        <f>IF(VeteransList[[#This Row],[Retained Player Name]]="","",VLOOKUP(VeteransList[[#This Row],[Retained Player Name]],Players[],4,FALSE))</f>
        <v>ITA0860</v>
      </c>
      <c r="J2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22" s="231"/>
      <c r="L22" s="231"/>
      <c r="M22" s="7"/>
    </row>
    <row r="23" spans="1:13" s="8" customFormat="1" ht="12.75" customHeight="1" x14ac:dyDescent="0.2">
      <c r="A23" s="16">
        <f>IF(AND(VeteransList[[#This Row],[First &amp; Last Name]]="",VeteransList[[#This Row],[FISTF Code]]=""),"",ROW()-ROW($A$11))</f>
        <v>12</v>
      </c>
      <c r="B23" s="232" t="s">
        <v>8537</v>
      </c>
      <c r="C23" s="436"/>
      <c r="D23" s="421" t="b">
        <f>IF(VeteransList[[#This Row],[First &amp; Last Name]]="","",IFERROR(ISNUMBER(MATCH(VeteransList[[#This Row],[First &amp; Last Name]],Players[Player Name],0)),FALSE))</f>
        <v>1</v>
      </c>
      <c r="E23" s="421" t="b">
        <f>IF(VeteransList[[#This Row],[FISTF Code]]="",FALSE,IFERROR(ISNUMBER(MATCH(VeteransList[[#This Row],[FISTF Code]],Players[FISTF Code],0)),FALSE))</f>
        <v>0</v>
      </c>
      <c r="F23" s="419" t="str">
        <f>IF(AND(VeteransList[[#This Row],[First &amp; Last Name]]="",VeteransList[[#This Row],[FISTF Code]]=""),"",IF(VeteransList[[#This Row],[Valide Code ?]],INDEX(Players[Player Name],MATCH(VeteransList[[#This Row],[FISTF Code]],Players[FISTF Code],0)),VeteransList[[#This Row],[First &amp; Last Name]]))</f>
        <v>Bob Varney</v>
      </c>
      <c r="G23" s="233" t="str">
        <f>IF(VeteransList[[#This Row],[Retained Player Name]]="","",VLOOKUP(VeteransList[[#This Row],[Retained Player Name]],Players[],7,FALSE))</f>
        <v>ENG</v>
      </c>
      <c r="H23" s="233" t="str">
        <f>IF(VeteransList[[#This Row],[Retained Player Name]]="","",VLOOKUP(VeteransList[[#This Row],[Retained Player Name]],Players[],6,FALSE))</f>
        <v>CAP Ciudad de Murcia FM</v>
      </c>
      <c r="I23" s="235" t="str">
        <f>IF(VeteransList[[#This Row],[Retained Player Name]]="","",VLOOKUP(VeteransList[[#This Row],[Retained Player Name]],Players[],4,FALSE))</f>
        <v>ENG0131</v>
      </c>
      <c r="J2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23" s="231"/>
      <c r="L23" s="231"/>
      <c r="M23" s="7"/>
    </row>
    <row r="24" spans="1:13" s="8" customFormat="1" ht="12.75" customHeight="1" x14ac:dyDescent="0.2">
      <c r="A24" s="16">
        <f>IF(AND(VeteransList[[#This Row],[First &amp; Last Name]]="",VeteransList[[#This Row],[FISTF Code]]=""),"",ROW()-ROW($A$11))</f>
        <v>13</v>
      </c>
      <c r="B24" s="232" t="s">
        <v>10369</v>
      </c>
      <c r="C24" s="436"/>
      <c r="D24" s="421" t="b">
        <f>IF(VeteransList[[#This Row],[First &amp; Last Name]]="","",IFERROR(ISNUMBER(MATCH(VeteransList[[#This Row],[First &amp; Last Name]],Players[Player Name],0)),FALSE))</f>
        <v>1</v>
      </c>
      <c r="E24" s="421" t="b">
        <f>IF(VeteransList[[#This Row],[FISTF Code]]="",FALSE,IFERROR(ISNUMBER(MATCH(VeteransList[[#This Row],[FISTF Code]],Players[FISTF Code],0)),FALSE))</f>
        <v>0</v>
      </c>
      <c r="F24" s="419" t="str">
        <f>IF(AND(VeteransList[[#This Row],[First &amp; Last Name]]="",VeteransList[[#This Row],[FISTF Code]]=""),"",IF(VeteransList[[#This Row],[Valide Code ?]],INDEX(Players[Player Name],MATCH(VeteransList[[#This Row],[FISTF Code]],Players[FISTF Code],0)),VeteransList[[#This Row],[First &amp; Last Name]]))</f>
        <v>Carlo Alessi</v>
      </c>
      <c r="G24" s="233" t="str">
        <f>IF(VeteransList[[#This Row],[Retained Player Name]]="","",VLOOKUP(VeteransList[[#This Row],[Retained Player Name]],Players[],7,FALSE))</f>
        <v>ITA</v>
      </c>
      <c r="H24" s="233" t="str">
        <f>IF(VeteransList[[#This Row],[Retained Player Name]]="","",VLOOKUP(VeteransList[[#This Row],[Retained Player Name]],Players[],6,FALSE))</f>
        <v>Master Sanremo</v>
      </c>
      <c r="I24" s="235" t="str">
        <f>IF(VeteransList[[#This Row],[Retained Player Name]]="","",VLOOKUP(VeteransList[[#This Row],[Retained Player Name]],Players[],4,FALSE))</f>
        <v>ITA0009</v>
      </c>
      <c r="J2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S</v>
      </c>
      <c r="K24" s="231"/>
      <c r="L24" s="231"/>
      <c r="M24" s="7"/>
    </row>
    <row r="25" spans="1:13" s="8" customFormat="1" ht="12.75" customHeight="1" x14ac:dyDescent="0.2">
      <c r="A25" s="16">
        <f>IF(AND(VeteransList[[#This Row],[First &amp; Last Name]]="",VeteransList[[#This Row],[FISTF Code]]=""),"",ROW()-ROW($A$11))</f>
        <v>14</v>
      </c>
      <c r="B25" s="232" t="s">
        <v>8116</v>
      </c>
      <c r="C25" s="436"/>
      <c r="D25" s="421" t="b">
        <f>IF(VeteransList[[#This Row],[First &amp; Last Name]]="","",IFERROR(ISNUMBER(MATCH(VeteransList[[#This Row],[First &amp; Last Name]],Players[Player Name],0)),FALSE))</f>
        <v>1</v>
      </c>
      <c r="E25" s="421" t="b">
        <f>IF(VeteransList[[#This Row],[FISTF Code]]="",FALSE,IFERROR(ISNUMBER(MATCH(VeteransList[[#This Row],[FISTF Code]],Players[FISTF Code],0)),FALSE))</f>
        <v>0</v>
      </c>
      <c r="F25" s="419" t="str">
        <f>IF(AND(VeteransList[[#This Row],[First &amp; Last Name]]="",VeteransList[[#This Row],[FISTF Code]]=""),"",IF(VeteransList[[#This Row],[Valide Code ?]],INDEX(Players[Player Name],MATCH(VeteransList[[#This Row],[FISTF Code]],Players[FISTF Code],0)),VeteransList[[#This Row],[First &amp; Last Name]]))</f>
        <v>Benoît Massart</v>
      </c>
      <c r="G25" s="233" t="str">
        <f>IF(VeteransList[[#This Row],[Retained Player Name]]="","",VLOOKUP(VeteransList[[#This Row],[Retained Player Name]],Players[],7,FALSE))</f>
        <v>BEL</v>
      </c>
      <c r="H25" s="233" t="str">
        <f>IF(VeteransList[[#This Row],[Retained Player Name]]="","",VLOOKUP(VeteransList[[#This Row],[Retained Player Name]],Players[],6,FALSE))</f>
        <v>SC Temploux</v>
      </c>
      <c r="I25" s="234" t="str">
        <f>IF(VeteransList[[#This Row],[Retained Player Name]]="","",VLOOKUP(VeteransList[[#This Row],[Retained Player Name]],Players[],4,FALSE))</f>
        <v>BEL0164</v>
      </c>
      <c r="J25" s="20"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25" s="231"/>
      <c r="L25" s="231"/>
      <c r="M25" s="7"/>
    </row>
    <row r="26" spans="1:13" s="8" customFormat="1" ht="12.75" customHeight="1" x14ac:dyDescent="0.2">
      <c r="A26" s="16">
        <f>IF(AND(VeteransList[[#This Row],[First &amp; Last Name]]="",VeteransList[[#This Row],[FISTF Code]]=""),"",ROW()-ROW($A$11))</f>
        <v>15</v>
      </c>
      <c r="B26" s="232" t="s">
        <v>10434</v>
      </c>
      <c r="C26" s="436"/>
      <c r="D26" s="421" t="b">
        <f>IF(VeteransList[[#This Row],[First &amp; Last Name]]="","",IFERROR(ISNUMBER(MATCH(VeteransList[[#This Row],[First &amp; Last Name]],Players[Player Name],0)),FALSE))</f>
        <v>1</v>
      </c>
      <c r="E26" s="421" t="b">
        <f>IF(VeteransList[[#This Row],[FISTF Code]]="",FALSE,IFERROR(ISNUMBER(MATCH(VeteransList[[#This Row],[FISTF Code]],Players[FISTF Code],0)),FALSE))</f>
        <v>0</v>
      </c>
      <c r="F26" s="419" t="str">
        <f>IF(AND(VeteransList[[#This Row],[First &amp; Last Name]]="",VeteransList[[#This Row],[FISTF Code]]=""),"",IF(VeteransList[[#This Row],[Valide Code ?]],INDEX(Players[Player Name],MATCH(VeteransList[[#This Row],[FISTF Code]],Players[FISTF Code],0)),VeteransList[[#This Row],[First &amp; Last Name]]))</f>
        <v>John Zammit</v>
      </c>
      <c r="G26" s="233" t="str">
        <f>IF(VeteransList[[#This Row],[Retained Player Name]]="","",VLOOKUP(VeteransList[[#This Row],[Retained Player Name]],Players[],7,FALSE))</f>
        <v>MLT</v>
      </c>
      <c r="H26" s="233" t="str">
        <f>IF(VeteransList[[#This Row],[Retained Player Name]]="","",VLOOKUP(VeteransList[[#This Row],[Retained Player Name]],Players[],6,FALSE))</f>
        <v>Bormla SC</v>
      </c>
      <c r="I26" s="234" t="str">
        <f>IF(VeteransList[[#This Row],[Retained Player Name]]="","",VLOOKUP(VeteransList[[#This Row],[Retained Player Name]],Players[],4,FALSE))</f>
        <v>MLT0058</v>
      </c>
      <c r="J26"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26" s="230"/>
      <c r="L26" s="230"/>
      <c r="M26" s="7"/>
    </row>
    <row r="27" spans="1:13" s="8" customFormat="1" ht="12.75" customHeight="1" x14ac:dyDescent="0.2">
      <c r="A27" s="16">
        <f>IF(AND(VeteransList[[#This Row],[First &amp; Last Name]]="",VeteransList[[#This Row],[FISTF Code]]=""),"",ROW()-ROW($A$11))</f>
        <v>16</v>
      </c>
      <c r="B27" s="232" t="s">
        <v>10085</v>
      </c>
      <c r="C27" s="436"/>
      <c r="D27" s="421" t="b">
        <f>IF(VeteransList[[#This Row],[First &amp; Last Name]]="","",IFERROR(ISNUMBER(MATCH(VeteransList[[#This Row],[First &amp; Last Name]],Players[Player Name],0)),FALSE))</f>
        <v>1</v>
      </c>
      <c r="E27" s="421" t="b">
        <f>IF(VeteransList[[#This Row],[FISTF Code]]="",FALSE,IFERROR(ISNUMBER(MATCH(VeteransList[[#This Row],[FISTF Code]],Players[FISTF Code],0)),FALSE))</f>
        <v>0</v>
      </c>
      <c r="F27" s="419" t="str">
        <f>IF(AND(VeteransList[[#This Row],[First &amp; Last Name]]="",VeteransList[[#This Row],[FISTF Code]]=""),"",IF(VeteransList[[#This Row],[Valide Code ?]],INDEX(Players[Player Name],MATCH(VeteransList[[#This Row],[FISTF Code]],Players[FISTF Code],0)),VeteransList[[#This Row],[First &amp; Last Name]]))</f>
        <v>Claudio Dogali</v>
      </c>
      <c r="G27" s="233" t="str">
        <f>IF(VeteransList[[#This Row],[Retained Player Name]]="","",VLOOKUP(VeteransList[[#This Row],[Retained Player Name]],Players[],7,FALSE))</f>
        <v>ITA</v>
      </c>
      <c r="H27" s="233" t="str">
        <f>IF(VeteransList[[#This Row],[Retained Player Name]]="","",VLOOKUP(VeteransList[[#This Row],[Retained Player Name]],Players[],6,FALSE))</f>
        <v>Master Sanremo</v>
      </c>
      <c r="I27" s="234" t="str">
        <f>IF(VeteransList[[#This Row],[Retained Player Name]]="","",VLOOKUP(VeteransList[[#This Row],[Retained Player Name]],Players[],4,FALSE))</f>
        <v>ITA0311</v>
      </c>
      <c r="J27"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27" s="230"/>
      <c r="L27" s="230"/>
      <c r="M27" s="7"/>
    </row>
    <row r="28" spans="1:13" s="8" customFormat="1" ht="12.75" customHeight="1" x14ac:dyDescent="0.2">
      <c r="A28" s="16">
        <f>IF(AND(VeteransList[[#This Row],[First &amp; Last Name]]="",VeteransList[[#This Row],[FISTF Code]]=""),"",ROW()-ROW($A$11))</f>
        <v>17</v>
      </c>
      <c r="B28" s="232" t="s">
        <v>8777</v>
      </c>
      <c r="C28" s="436"/>
      <c r="D28" s="421" t="b">
        <f>IF(VeteransList[[#This Row],[First &amp; Last Name]]="","",IFERROR(ISNUMBER(MATCH(VeteransList[[#This Row],[First &amp; Last Name]],Players[Player Name],0)),FALSE))</f>
        <v>1</v>
      </c>
      <c r="E28" s="421" t="b">
        <f>IF(VeteransList[[#This Row],[FISTF Code]]="",FALSE,IFERROR(ISNUMBER(MATCH(VeteransList[[#This Row],[FISTF Code]],Players[FISTF Code],0)),FALSE))</f>
        <v>0</v>
      </c>
      <c r="F28" s="419" t="str">
        <f>IF(AND(VeteransList[[#This Row],[First &amp; Last Name]]="",VeteransList[[#This Row],[FISTF Code]]=""),"",IF(VeteransList[[#This Row],[Valide Code ?]],INDEX(Players[Player Name],MATCH(VeteransList[[#This Row],[FISTF Code]],Players[FISTF Code],0)),VeteransList[[#This Row],[First &amp; Last Name]]))</f>
        <v>Christos Angelinas</v>
      </c>
      <c r="G28" s="233" t="str">
        <f>IF(VeteransList[[#This Row],[Retained Player Name]]="","",VLOOKUP(VeteransList[[#This Row],[Retained Player Name]],Players[],7,FALSE))</f>
        <v>GRE</v>
      </c>
      <c r="H28" s="233" t="str">
        <f>IF(VeteransList[[#This Row],[Retained Player Name]]="","",VLOOKUP(VeteransList[[#This Row],[Retained Player Name]],Players[],6,FALSE))</f>
        <v>Avenir Subbuteo Hennuyer</v>
      </c>
      <c r="I28" s="234" t="str">
        <f>IF(VeteransList[[#This Row],[Retained Player Name]]="","",VLOOKUP(VeteransList[[#This Row],[Retained Player Name]],Players[],4,FALSE))</f>
        <v>GRE0142</v>
      </c>
      <c r="J28"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28" s="230"/>
      <c r="L28" s="230"/>
      <c r="M28" s="7"/>
    </row>
    <row r="29" spans="1:13" s="8" customFormat="1" ht="12.75" customHeight="1" x14ac:dyDescent="0.2">
      <c r="A29" s="16">
        <f>IF(AND(VeteransList[[#This Row],[First &amp; Last Name]]="",VeteransList[[#This Row],[FISTF Code]]=""),"",ROW()-ROW($A$11))</f>
        <v>18</v>
      </c>
      <c r="B29" s="232" t="s">
        <v>10243</v>
      </c>
      <c r="C29" s="436"/>
      <c r="D29" s="421" t="b">
        <f>IF(VeteransList[[#This Row],[First &amp; Last Name]]="","",IFERROR(ISNUMBER(MATCH(VeteransList[[#This Row],[First &amp; Last Name]],Players[Player Name],0)),FALSE))</f>
        <v>1</v>
      </c>
      <c r="E29" s="421" t="b">
        <f>IF(VeteransList[[#This Row],[FISTF Code]]="",FALSE,IFERROR(ISNUMBER(MATCH(VeteransList[[#This Row],[FISTF Code]],Players[FISTF Code],0)),FALSE))</f>
        <v>0</v>
      </c>
      <c r="F29" s="419" t="str">
        <f>IF(AND(VeteransList[[#This Row],[First &amp; Last Name]]="",VeteransList[[#This Row],[FISTF Code]]=""),"",IF(VeteransList[[#This Row],[Valide Code ?]],INDEX(Players[Player Name],MATCH(VeteransList[[#This Row],[FISTF Code]],Players[FISTF Code],0)),VeteransList[[#This Row],[First &amp; Last Name]]))</f>
        <v>Lucio Canicchio</v>
      </c>
      <c r="G29" s="233" t="str">
        <f>IF(VeteransList[[#This Row],[Retained Player Name]]="","",VLOOKUP(VeteransList[[#This Row],[Retained Player Name]],Players[],7,FALSE))</f>
        <v>ITA</v>
      </c>
      <c r="H29" s="233" t="str">
        <f>IF(VeteransList[[#This Row],[Retained Player Name]]="","",VLOOKUP(VeteransList[[#This Row],[Retained Player Name]],Players[],6,FALSE))</f>
        <v>ASD SC Salernitana</v>
      </c>
      <c r="I29" s="234" t="str">
        <f>IF(VeteransList[[#This Row],[Retained Player Name]]="","",VLOOKUP(VeteransList[[#This Row],[Retained Player Name]],Players[],4,FALSE))</f>
        <v>ITA0154</v>
      </c>
      <c r="J29"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29" s="230"/>
      <c r="L29" s="230"/>
      <c r="M29" s="7"/>
    </row>
    <row r="30" spans="1:13" s="8" customFormat="1" ht="12.75" customHeight="1" x14ac:dyDescent="0.2">
      <c r="A30" s="16">
        <f>IF(AND(VeteransList[[#This Row],[First &amp; Last Name]]="",VeteransList[[#This Row],[FISTF Code]]=""),"",ROW()-ROW($A$11))</f>
        <v>19</v>
      </c>
      <c r="B30" s="232" t="s">
        <v>8519</v>
      </c>
      <c r="C30" s="436"/>
      <c r="D30" s="421" t="b">
        <f>IF(VeteransList[[#This Row],[First &amp; Last Name]]="","",IFERROR(ISNUMBER(MATCH(VeteransList[[#This Row],[First &amp; Last Name]],Players[Player Name],0)),FALSE))</f>
        <v>1</v>
      </c>
      <c r="E30" s="421" t="b">
        <f>IF(VeteransList[[#This Row],[FISTF Code]]="",FALSE,IFERROR(ISNUMBER(MATCH(VeteransList[[#This Row],[FISTF Code]],Players[FISTF Code],0)),FALSE))</f>
        <v>0</v>
      </c>
      <c r="F30" s="419" t="str">
        <f>IF(AND(VeteransList[[#This Row],[First &amp; Last Name]]="",VeteransList[[#This Row],[FISTF Code]]=""),"",IF(VeteransList[[#This Row],[Valide Code ?]],INDEX(Players[Player Name],MATCH(VeteransList[[#This Row],[FISTF Code]],Players[FISTF Code],0)),VeteransList[[#This Row],[First &amp; Last Name]]))</f>
        <v>Darren Clark</v>
      </c>
      <c r="G30" s="233" t="str">
        <f>IF(VeteransList[[#This Row],[Retained Player Name]]="","",VLOOKUP(VeteransList[[#This Row],[Retained Player Name]],Players[],7,FALSE))</f>
        <v>ENG</v>
      </c>
      <c r="H30" s="233" t="str">
        <f>IF(VeteransList[[#This Row],[Retained Player Name]]="","",VLOOKUP(VeteransList[[#This Row],[Retained Player Name]],Players[],6,FALSE))</f>
        <v>CAP Ciudad de Murcia FM</v>
      </c>
      <c r="I30" s="234" t="str">
        <f>IF(VeteransList[[#This Row],[Retained Player Name]]="","",VLOOKUP(VeteransList[[#This Row],[Retained Player Name]],Players[],4,FALSE))</f>
        <v>ENG0092</v>
      </c>
      <c r="J30"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S</v>
      </c>
      <c r="K30" s="230"/>
      <c r="L30" s="230"/>
      <c r="M30" s="7"/>
    </row>
    <row r="31" spans="1:13" s="8" customFormat="1" ht="12.75" customHeight="1" x14ac:dyDescent="0.2">
      <c r="A31" s="16">
        <f>IF(AND(VeteransList[[#This Row],[First &amp; Last Name]]="",VeteransList[[#This Row],[FISTF Code]]=""),"",ROW()-ROW($A$11))</f>
        <v>20</v>
      </c>
      <c r="B31" s="232" t="s">
        <v>8617</v>
      </c>
      <c r="C31" s="436"/>
      <c r="D31" s="421" t="b">
        <f>IF(VeteransList[[#This Row],[First &amp; Last Name]]="","",IFERROR(ISNUMBER(MATCH(VeteransList[[#This Row],[First &amp; Last Name]],Players[Player Name],0)),FALSE))</f>
        <v>1</v>
      </c>
      <c r="E31" s="421" t="b">
        <f>IF(VeteransList[[#This Row],[FISTF Code]]="",FALSE,IFERROR(ISNUMBER(MATCH(VeteransList[[#This Row],[FISTF Code]],Players[FISTF Code],0)),FALSE))</f>
        <v>0</v>
      </c>
      <c r="F31" s="419" t="str">
        <f>IF(AND(VeteransList[[#This Row],[First &amp; Last Name]]="",VeteransList[[#This Row],[FISTF Code]]=""),"",IF(VeteransList[[#This Row],[Valide Code ?]],INDEX(Players[Player Name],MATCH(VeteransList[[#This Row],[FISTF Code]],Players[FISTF Code],0)),VeteransList[[#This Row],[First &amp; Last Name]]))</f>
        <v>Ferran Coll</v>
      </c>
      <c r="G31" s="233" t="str">
        <f>IF(VeteransList[[#This Row],[Retained Player Name]]="","",VLOOKUP(VeteransList[[#This Row],[Retained Player Name]],Players[],7,FALSE))</f>
        <v>ESP</v>
      </c>
      <c r="H31" s="233" t="str">
        <f>IF(VeteransList[[#This Row],[Retained Player Name]]="","",VLOOKUP(VeteransList[[#This Row],[Retained Player Name]],Players[],6,FALSE))</f>
        <v>Tiburones FM</v>
      </c>
      <c r="I31" s="234" t="str">
        <f>IF(VeteransList[[#This Row],[Retained Player Name]]="","",VLOOKUP(VeteransList[[#This Row],[Retained Player Name]],Players[],4,FALSE))</f>
        <v>ESP0059</v>
      </c>
      <c r="J31"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31" s="230"/>
      <c r="L31" s="230"/>
      <c r="M31" s="7"/>
    </row>
    <row r="32" spans="1:13" s="8" customFormat="1" ht="12.75" customHeight="1" x14ac:dyDescent="0.2">
      <c r="A32" s="16">
        <f>IF(AND(VeteransList[[#This Row],[First &amp; Last Name]]="",VeteransList[[#This Row],[FISTF Code]]=""),"",ROW()-ROW($A$11))</f>
        <v>21</v>
      </c>
      <c r="B32" s="232" t="s">
        <v>10149</v>
      </c>
      <c r="C32" s="436"/>
      <c r="D32" s="421" t="b">
        <f>IF(VeteransList[[#This Row],[First &amp; Last Name]]="","",IFERROR(ISNUMBER(MATCH(VeteransList[[#This Row],[First &amp; Last Name]],Players[Player Name],0)),FALSE))</f>
        <v>1</v>
      </c>
      <c r="E32" s="421" t="b">
        <f>IF(VeteransList[[#This Row],[FISTF Code]]="",FALSE,IFERROR(ISNUMBER(MATCH(VeteransList[[#This Row],[FISTF Code]],Players[FISTF Code],0)),FALSE))</f>
        <v>0</v>
      </c>
      <c r="F32" s="419" t="str">
        <f>IF(AND(VeteransList[[#This Row],[First &amp; Last Name]]="",VeteransList[[#This Row],[FISTF Code]]=""),"",IF(VeteransList[[#This Row],[Valide Code ?]],INDEX(Players[Player Name],MATCH(VeteransList[[#This Row],[FISTF Code]],Players[FISTF Code],0)),VeteransList[[#This Row],[First &amp; Last Name]]))</f>
        <v>Massimiliano Croatti</v>
      </c>
      <c r="G32" s="233" t="str">
        <f>IF(VeteransList[[#This Row],[Retained Player Name]]="","",VLOOKUP(VeteransList[[#This Row],[Retained Player Name]],Players[],7,FALSE))</f>
        <v>ITA</v>
      </c>
      <c r="H32" s="233" t="str">
        <f>IF(VeteransList[[#This Row],[Retained Player Name]]="","",VLOOKUP(VeteransList[[#This Row],[Retained Player Name]],Players[],6,FALSE))</f>
        <v>Master Sanremo</v>
      </c>
      <c r="I32" s="234" t="str">
        <f>IF(VeteransList[[#This Row],[Retained Player Name]]="","",VLOOKUP(VeteransList[[#This Row],[Retained Player Name]],Players[],4,FALSE))</f>
        <v>ITA0252</v>
      </c>
      <c r="J32" s="20"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32" s="231"/>
      <c r="L32" s="231"/>
      <c r="M32" s="7"/>
    </row>
    <row r="33" spans="1:13" s="8" customFormat="1" ht="12.75" customHeight="1" x14ac:dyDescent="0.2">
      <c r="A33" s="16">
        <f>IF(AND(VeteransList[[#This Row],[First &amp; Last Name]]="",VeteransList[[#This Row],[FISTF Code]]=""),"",ROW()-ROW($A$11))</f>
        <v>22</v>
      </c>
      <c r="B33" s="232" t="s">
        <v>11270</v>
      </c>
      <c r="C33" s="436"/>
      <c r="D33" s="421" t="b">
        <f>IF(VeteransList[[#This Row],[First &amp; Last Name]]="","",IFERROR(ISNUMBER(MATCH(VeteransList[[#This Row],[First &amp; Last Name]],Players[Player Name],0)),FALSE))</f>
        <v>1</v>
      </c>
      <c r="E33" s="421" t="b">
        <f>IF(VeteransList[[#This Row],[FISTF Code]]="",FALSE,IFERROR(ISNUMBER(MATCH(VeteransList[[#This Row],[FISTF Code]],Players[FISTF Code],0)),FALSE))</f>
        <v>0</v>
      </c>
      <c r="F33" s="419" t="str">
        <f>IF(AND(VeteransList[[#This Row],[First &amp; Last Name]]="",VeteransList[[#This Row],[FISTF Code]]=""),"",IF(VeteransList[[#This Row],[Valide Code ?]],INDEX(Players[Player Name],MATCH(VeteransList[[#This Row],[FISTF Code]],Players[FISTF Code],0)),VeteransList[[#This Row],[First &amp; Last Name]]))</f>
        <v>Frank Stiller</v>
      </c>
      <c r="G33" s="233" t="str">
        <f>IF(VeteransList[[#This Row],[Retained Player Name]]="","",VLOOKUP(VeteransList[[#This Row],[Retained Player Name]],Players[],7,FALSE))</f>
        <v>GER</v>
      </c>
      <c r="H33" s="233" t="str">
        <f>IF(VeteransList[[#This Row],[Retained Player Name]]="","",VLOOKUP(VeteransList[[#This Row],[Retained Player Name]],Players[],6,FALSE))</f>
        <v>Master Sanremo</v>
      </c>
      <c r="I33" s="234" t="str">
        <f>IF(VeteransList[[#This Row],[Retained Player Name]]="","",VLOOKUP(VeteransList[[#This Row],[Retained Player Name]],Players[],4,FALSE))</f>
        <v>GER0105</v>
      </c>
      <c r="J33"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3" s="230"/>
      <c r="L33" s="230"/>
      <c r="M33" s="7"/>
    </row>
    <row r="34" spans="1:13" s="8" customFormat="1" ht="12.75" customHeight="1" x14ac:dyDescent="0.2">
      <c r="A34" s="16">
        <f>IF(AND(VeteransList[[#This Row],[First &amp; Last Name]]="",VeteransList[[#This Row],[FISTF Code]]=""),"",ROW()-ROW($A$11))</f>
        <v>23</v>
      </c>
      <c r="B34" s="232" t="s">
        <v>11659</v>
      </c>
      <c r="C34" s="436"/>
      <c r="D34" s="421" t="b">
        <f>IF(VeteransList[[#This Row],[First &amp; Last Name]]="","",IFERROR(ISNUMBER(MATCH(VeteransList[[#This Row],[First &amp; Last Name]],Players[Player Name],0)),FALSE))</f>
        <v>1</v>
      </c>
      <c r="E34" s="421" t="b">
        <f>IF(VeteransList[[#This Row],[FISTF Code]]="",FALSE,IFERROR(ISNUMBER(MATCH(VeteransList[[#This Row],[FISTF Code]],Players[FISTF Code],0)),FALSE))</f>
        <v>0</v>
      </c>
      <c r="F34" s="419" t="str">
        <f>IF(AND(VeteransList[[#This Row],[First &amp; Last Name]]="",VeteransList[[#This Row],[FISTF Code]]=""),"",IF(VeteransList[[#This Row],[Valide Code ?]],INDEX(Players[Player Name],MATCH(VeteransList[[#This Row],[FISTF Code]],Players[FISTF Code],0)),VeteransList[[#This Row],[First &amp; Last Name]]))</f>
        <v>Jean Michel Cuenca</v>
      </c>
      <c r="G34" s="233" t="str">
        <f>IF(VeteransList[[#This Row],[Retained Player Name]]="","",VLOOKUP(VeteransList[[#This Row],[Retained Player Name]],Players[],7,FALSE))</f>
        <v>ESP</v>
      </c>
      <c r="H34" s="233" t="str">
        <f>IF(VeteransList[[#This Row],[Retained Player Name]]="","",VLOOKUP(VeteransList[[#This Row],[Retained Player Name]],Players[],6,FALSE))</f>
        <v>Tiburones FM</v>
      </c>
      <c r="I34" s="234" t="str">
        <f>IF(VeteransList[[#This Row],[Retained Player Name]]="","",VLOOKUP(VeteransList[[#This Row],[Retained Player Name]],Players[],4,FALSE))</f>
        <v>ESP0513</v>
      </c>
      <c r="J3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34" s="231"/>
      <c r="L34" s="231"/>
      <c r="M34" s="7"/>
    </row>
    <row r="35" spans="1:13" s="8" customFormat="1" ht="12.75" customHeight="1" x14ac:dyDescent="0.2">
      <c r="A35" s="16">
        <f>IF(AND(VeteransList[[#This Row],[First &amp; Last Name]]="",VeteransList[[#This Row],[FISTF Code]]=""),"",ROW()-ROW($A$11))</f>
        <v>24</v>
      </c>
      <c r="B35" s="232" t="s">
        <v>9104</v>
      </c>
      <c r="C35" s="436"/>
      <c r="D35" s="421" t="b">
        <f>IF(VeteransList[[#This Row],[First &amp; Last Name]]="","",IFERROR(ISNUMBER(MATCH(VeteransList[[#This Row],[First &amp; Last Name]],Players[Player Name],0)),FALSE))</f>
        <v>1</v>
      </c>
      <c r="E35" s="421" t="b">
        <f>IF(VeteransList[[#This Row],[FISTF Code]]="",FALSE,IFERROR(ISNUMBER(MATCH(VeteransList[[#This Row],[FISTF Code]],Players[FISTF Code],0)),FALSE))</f>
        <v>0</v>
      </c>
      <c r="F35" s="419" t="str">
        <f>IF(AND(VeteransList[[#This Row],[First &amp; Last Name]]="",VeteransList[[#This Row],[FISTF Code]]=""),"",IF(VeteransList[[#This Row],[Valide Code ?]],INDEX(Players[Player Name],MATCH(VeteransList[[#This Row],[FISTF Code]],Players[FISTF Code],0)),VeteransList[[#This Row],[First &amp; Last Name]]))</f>
        <v>Panagiotis Krommydas</v>
      </c>
      <c r="G35" s="233" t="str">
        <f>IF(VeteransList[[#This Row],[Retained Player Name]]="","",VLOOKUP(VeteransList[[#This Row],[Retained Player Name]],Players[],7,FALSE))</f>
        <v>GER</v>
      </c>
      <c r="H35" s="233" t="str">
        <f>IF(VeteransList[[#This Row],[Retained Player Name]]="","",VLOOKUP(VeteransList[[#This Row],[Retained Player Name]],Players[],6,FALSE))</f>
        <v>Subbuteo Club Höpfigheim</v>
      </c>
      <c r="I35" s="234" t="str">
        <f>IF(VeteransList[[#This Row],[Retained Player Name]]="","",VLOOKUP(VeteransList[[#This Row],[Retained Player Name]],Players[],4,FALSE))</f>
        <v>GER0131</v>
      </c>
      <c r="J35"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35" s="230"/>
      <c r="L35" s="230"/>
      <c r="M35" s="7"/>
    </row>
    <row r="36" spans="1:13" s="8" customFormat="1" ht="12.75" customHeight="1" x14ac:dyDescent="0.2">
      <c r="A36" s="16">
        <f>IF(AND(VeteransList[[#This Row],[First &amp; Last Name]]="",VeteransList[[#This Row],[FISTF Code]]=""),"",ROW()-ROW($A$11))</f>
        <v>25</v>
      </c>
      <c r="B36" s="232" t="s">
        <v>8163</v>
      </c>
      <c r="C36" s="436"/>
      <c r="D36" s="421" t="b">
        <f>IF(VeteransList[[#This Row],[First &amp; Last Name]]="","",IFERROR(ISNUMBER(MATCH(VeteransList[[#This Row],[First &amp; Last Name]],Players[Player Name],0)),FALSE))</f>
        <v>1</v>
      </c>
      <c r="E36" s="421" t="b">
        <f>IF(VeteransList[[#This Row],[FISTF Code]]="",FALSE,IFERROR(ISNUMBER(MATCH(VeteransList[[#This Row],[FISTF Code]],Players[FISTF Code],0)),FALSE))</f>
        <v>0</v>
      </c>
      <c r="F36" s="419" t="str">
        <f>IF(AND(VeteransList[[#This Row],[First &amp; Last Name]]="",VeteransList[[#This Row],[FISTF Code]]=""),"",IF(VeteransList[[#This Row],[Valide Code ?]],INDEX(Players[Player Name],MATCH(VeteransList[[#This Row],[FISTF Code]],Players[FISTF Code],0)),VeteransList[[#This Row],[First &amp; Last Name]]))</f>
        <v>Yves Peremans</v>
      </c>
      <c r="G36" s="233" t="str">
        <f>IF(VeteransList[[#This Row],[Retained Player Name]]="","",VLOOKUP(VeteransList[[#This Row],[Retained Player Name]],Players[],7,FALSE))</f>
        <v>BEL</v>
      </c>
      <c r="H36" s="233" t="str">
        <f>IF(VeteransList[[#This Row],[Retained Player Name]]="","",VLOOKUP(VeteransList[[#This Row],[Retained Player Name]],Players[],6,FALSE))</f>
        <v>SC Flanders</v>
      </c>
      <c r="I36" s="234" t="str">
        <f>IF(VeteransList[[#This Row],[Retained Player Name]]="","",VLOOKUP(VeteransList[[#This Row],[Retained Player Name]],Players[],4,FALSE))</f>
        <v>BEL0311</v>
      </c>
      <c r="J3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36" s="231"/>
      <c r="L36" s="231"/>
      <c r="M36" s="7"/>
    </row>
    <row r="37" spans="1:13" s="8" customFormat="1" ht="12.75" customHeight="1" x14ac:dyDescent="0.2">
      <c r="A37" s="16">
        <f>IF(AND(VeteransList[[#This Row],[First &amp; Last Name]]="",VeteransList[[#This Row],[FISTF Code]]=""),"",ROW()-ROW($A$11))</f>
        <v>26</v>
      </c>
      <c r="B37" s="232" t="s">
        <v>8747</v>
      </c>
      <c r="C37" s="436"/>
      <c r="D37" s="421" t="b">
        <f>IF(VeteransList[[#This Row],[First &amp; Last Name]]="","",IFERROR(ISNUMBER(MATCH(VeteransList[[#This Row],[First &amp; Last Name]],Players[Player Name],0)),FALSE))</f>
        <v>1</v>
      </c>
      <c r="E37" s="421" t="b">
        <f>IF(VeteransList[[#This Row],[FISTF Code]]="",FALSE,IFERROR(ISNUMBER(MATCH(VeteransList[[#This Row],[FISTF Code]],Players[FISTF Code],0)),FALSE))</f>
        <v>0</v>
      </c>
      <c r="F37" s="419" t="str">
        <f>IF(AND(VeteransList[[#This Row],[First &amp; Last Name]]="",VeteransList[[#This Row],[FISTF Code]]=""),"",IF(VeteransList[[#This Row],[Valide Code ?]],INDEX(Players[Player Name],MATCH(VeteransList[[#This Row],[FISTF Code]],Players[FISTF Code],0)),VeteransList[[#This Row],[First &amp; Last Name]]))</f>
        <v>Jose Luis Bonavia</v>
      </c>
      <c r="G37" s="233" t="str">
        <f>IF(VeteransList[[#This Row],[Retained Player Name]]="","",VLOOKUP(VeteransList[[#This Row],[Retained Player Name]],Players[],7,FALSE))</f>
        <v>GIB</v>
      </c>
      <c r="H37" s="233" t="str">
        <f>IF(VeteransList[[#This Row],[Retained Player Name]]="","",VLOOKUP(VeteransList[[#This Row],[Retained Player Name]],Players[],6,FALSE))</f>
        <v>Tiburones FM</v>
      </c>
      <c r="I37" s="234" t="str">
        <f>IF(VeteransList[[#This Row],[Retained Player Name]]="","",VLOOKUP(VeteransList[[#This Row],[Retained Player Name]],Players[],4,FALSE))</f>
        <v>GIB0009</v>
      </c>
      <c r="J3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7" s="231"/>
      <c r="L37" s="231"/>
      <c r="M37" s="7"/>
    </row>
    <row r="38" spans="1:13" s="8" customFormat="1" ht="12.75" customHeight="1" x14ac:dyDescent="0.2">
      <c r="A38" s="16">
        <f>IF(AND(VeteransList[[#This Row],[First &amp; Last Name]]="",VeteransList[[#This Row],[FISTF Code]]=""),"",ROW()-ROW($A$11))</f>
        <v>27</v>
      </c>
      <c r="B38" s="232" t="s">
        <v>8717</v>
      </c>
      <c r="C38" s="436"/>
      <c r="D38" s="421" t="b">
        <f>IF(VeteransList[[#This Row],[First &amp; Last Name]]="","",IFERROR(ISNUMBER(MATCH(VeteransList[[#This Row],[First &amp; Last Name]],Players[Player Name],0)),FALSE))</f>
        <v>1</v>
      </c>
      <c r="E38" s="421" t="b">
        <f>IF(VeteransList[[#This Row],[FISTF Code]]="",FALSE,IFERROR(ISNUMBER(MATCH(VeteransList[[#This Row],[FISTF Code]],Players[FISTF Code],0)),FALSE))</f>
        <v>0</v>
      </c>
      <c r="F38" s="419" t="str">
        <f>IF(AND(VeteransList[[#This Row],[First &amp; Last Name]]="",VeteransList[[#This Row],[FISTF Code]]=""),"",IF(VeteransList[[#This Row],[Valide Code ?]],INDEX(Players[Player Name],MATCH(VeteransList[[#This Row],[FISTF Code]],Players[FISTF Code],0)),VeteransList[[#This Row],[First &amp; Last Name]]))</f>
        <v>Xavier Dubois</v>
      </c>
      <c r="G38" s="233" t="str">
        <f>IF(VeteransList[[#This Row],[Retained Player Name]]="","",VLOOKUP(VeteransList[[#This Row],[Retained Player Name]],Players[],7,FALSE))</f>
        <v>FRA</v>
      </c>
      <c r="H38" s="233" t="str">
        <f>IF(VeteransList[[#This Row],[Retained Player Name]]="","",VLOOKUP(VeteransList[[#This Row],[Retained Player Name]],Players[],6,FALSE))</f>
        <v>FTC Caen</v>
      </c>
      <c r="I38" s="234" t="str">
        <f>IF(VeteransList[[#This Row],[Retained Player Name]]="","",VLOOKUP(VeteransList[[#This Row],[Retained Player Name]],Players[],4,FALSE))</f>
        <v>FRA0122</v>
      </c>
      <c r="J3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38" s="231"/>
      <c r="L38" s="231"/>
      <c r="M38" s="7"/>
    </row>
    <row r="39" spans="1:13" s="8" customFormat="1" ht="12.75" customHeight="1" x14ac:dyDescent="0.2">
      <c r="A39" s="16">
        <f>IF(AND(VeteransList[[#This Row],[First &amp; Last Name]]="",VeteransList[[#This Row],[FISTF Code]]=""),"",ROW()-ROW($A$11))</f>
        <v>28</v>
      </c>
      <c r="B39" s="232" t="s">
        <v>8174</v>
      </c>
      <c r="C39" s="436"/>
      <c r="D39" s="421" t="b">
        <f>IF(VeteransList[[#This Row],[First &amp; Last Name]]="","",IFERROR(ISNUMBER(MATCH(VeteransList[[#This Row],[First &amp; Last Name]],Players[Player Name],0)),FALSE))</f>
        <v>1</v>
      </c>
      <c r="E39" s="421" t="b">
        <f>IF(VeteransList[[#This Row],[FISTF Code]]="",FALSE,IFERROR(ISNUMBER(MATCH(VeteransList[[#This Row],[FISTF Code]],Players[FISTF Code],0)),FALSE))</f>
        <v>0</v>
      </c>
      <c r="F39" s="419" t="str">
        <f>IF(AND(VeteransList[[#This Row],[First &amp; Last Name]]="",VeteransList[[#This Row],[FISTF Code]]=""),"",IF(VeteransList[[#This Row],[Valide Code ?]],INDEX(Players[Player Name],MATCH(VeteransList[[#This Row],[FISTF Code]],Players[FISTF Code],0)),VeteransList[[#This Row],[First &amp; Last Name]]))</f>
        <v>David Wouters</v>
      </c>
      <c r="G39" s="233" t="str">
        <f>IF(VeteransList[[#This Row],[Retained Player Name]]="","",VLOOKUP(VeteransList[[#This Row],[Retained Player Name]],Players[],7,FALSE))</f>
        <v>BEL</v>
      </c>
      <c r="H39" s="233" t="str">
        <f>IF(VeteransList[[#This Row],[Retained Player Name]]="","",VLOOKUP(VeteransList[[#This Row],[Retained Player Name]],Players[],6,FALSE))</f>
        <v>SC Flanders</v>
      </c>
      <c r="I39" s="234" t="str">
        <f>IF(VeteransList[[#This Row],[Retained Player Name]]="","",VLOOKUP(VeteransList[[#This Row],[Retained Player Name]],Players[],4,FALSE))</f>
        <v>BEL0345</v>
      </c>
      <c r="J3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39" s="231"/>
      <c r="L39" s="231"/>
      <c r="M39" s="7"/>
    </row>
    <row r="40" spans="1:13" s="8" customFormat="1" ht="12.75" customHeight="1" x14ac:dyDescent="0.2">
      <c r="A40" s="16">
        <f>IF(AND(VeteransList[[#This Row],[First &amp; Last Name]]="",VeteransList[[#This Row],[FISTF Code]]=""),"",ROW()-ROW($A$11))</f>
        <v>29</v>
      </c>
      <c r="B40" s="232" t="s">
        <v>10441</v>
      </c>
      <c r="C40" s="436"/>
      <c r="D40" s="421" t="b">
        <f>IF(VeteransList[[#This Row],[First &amp; Last Name]]="","",IFERROR(ISNUMBER(MATCH(VeteransList[[#This Row],[First &amp; Last Name]],Players[Player Name],0)),FALSE))</f>
        <v>1</v>
      </c>
      <c r="E40" s="421" t="b">
        <f>IF(VeteransList[[#This Row],[FISTF Code]]="",FALSE,IFERROR(ISNUMBER(MATCH(VeteransList[[#This Row],[FISTF Code]],Players[FISTF Code],0)),FALSE))</f>
        <v>0</v>
      </c>
      <c r="F40" s="419" t="str">
        <f>IF(AND(VeteransList[[#This Row],[First &amp; Last Name]]="",VeteransList[[#This Row],[FISTF Code]]=""),"",IF(VeteransList[[#This Row],[Valide Code ?]],INDEX(Players[Player Name],MATCH(VeteransList[[#This Row],[FISTF Code]],Players[FISTF Code],0)),VeteransList[[#This Row],[First &amp; Last Name]]))</f>
        <v>Frank Chetcuti Dimech</v>
      </c>
      <c r="G40" s="233" t="str">
        <f>IF(VeteransList[[#This Row],[Retained Player Name]]="","",VLOOKUP(VeteransList[[#This Row],[Retained Player Name]],Players[],7,FALSE))</f>
        <v>MLT</v>
      </c>
      <c r="H40" s="235" t="str">
        <f>IF(VeteransList[[#This Row],[Retained Player Name]]="","",VLOOKUP(VeteransList[[#This Row],[Retained Player Name]],Players[],6,FALSE))</f>
        <v>Valletta Lions TFC</v>
      </c>
      <c r="I40" s="235" t="str">
        <f>IF(VeteransList[[#This Row],[Retained Player Name]]="","",VLOOKUP(VeteransList[[#This Row],[Retained Player Name]],Players[],4,FALSE))</f>
        <v>MLT0105</v>
      </c>
      <c r="J4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40" s="231"/>
      <c r="L40" s="231"/>
      <c r="M40" s="7"/>
    </row>
    <row r="41" spans="1:13" s="8" customFormat="1" ht="12.75" customHeight="1" x14ac:dyDescent="0.2">
      <c r="A41" s="16">
        <f>IF(AND(VeteransList[[#This Row],[First &amp; Last Name]]="",VeteransList[[#This Row],[FISTF Code]]=""),"",ROW()-ROW($A$11))</f>
        <v>30</v>
      </c>
      <c r="B41" s="232" t="s">
        <v>10359</v>
      </c>
      <c r="C41" s="436"/>
      <c r="D41" s="421" t="b">
        <f>IF(VeteransList[[#This Row],[First &amp; Last Name]]="","",IFERROR(ISNUMBER(MATCH(VeteransList[[#This Row],[First &amp; Last Name]],Players[Player Name],0)),FALSE))</f>
        <v>1</v>
      </c>
      <c r="E41" s="421" t="b">
        <f>IF(VeteransList[[#This Row],[FISTF Code]]="",FALSE,IFERROR(ISNUMBER(MATCH(VeteransList[[#This Row],[FISTF Code]],Players[FISTF Code],0)),FALSE))</f>
        <v>0</v>
      </c>
      <c r="F41" s="419" t="str">
        <f>IF(AND(VeteransList[[#This Row],[First &amp; Last Name]]="",VeteransList[[#This Row],[FISTF Code]]=""),"",IF(VeteransList[[#This Row],[Valide Code ?]],INDEX(Players[Player Name],MATCH(VeteransList[[#This Row],[FISTF Code]],Players[FISTF Code],0)),VeteransList[[#This Row],[First &amp; Last Name]]))</f>
        <v>Alessandro Arca</v>
      </c>
      <c r="G41" s="233" t="str">
        <f>IF(VeteransList[[#This Row],[Retained Player Name]]="","",VLOOKUP(VeteransList[[#This Row],[Retained Player Name]],Players[],7,FALSE))</f>
        <v>ITA</v>
      </c>
      <c r="H41" s="235" t="str">
        <f>IF(VeteransList[[#This Row],[Retained Player Name]]="","",VLOOKUP(VeteransList[[#This Row],[Retained Player Name]],Players[],6,FALSE))</f>
        <v>Master Sanremo</v>
      </c>
      <c r="I41" s="235" t="str">
        <f>IF(VeteransList[[#This Row],[Retained Player Name]]="","",VLOOKUP(VeteransList[[#This Row],[Retained Player Name]],Players[],4,FALSE))</f>
        <v>ITA0030</v>
      </c>
      <c r="J4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1" s="231"/>
      <c r="L41" s="231"/>
      <c r="M41" s="7"/>
    </row>
    <row r="42" spans="1:13" s="8" customFormat="1" ht="12.75" customHeight="1" x14ac:dyDescent="0.2">
      <c r="A42" s="16">
        <f>IF(AND(VeteransList[[#This Row],[First &amp; Last Name]]="",VeteransList[[#This Row],[FISTF Code]]=""),"",ROW()-ROW($A$11))</f>
        <v>31</v>
      </c>
      <c r="B42" s="232" t="s">
        <v>8539</v>
      </c>
      <c r="C42" s="436"/>
      <c r="D42" s="421" t="b">
        <f>IF(VeteransList[[#This Row],[First &amp; Last Name]]="","",IFERROR(ISNUMBER(MATCH(VeteransList[[#This Row],[First &amp; Last Name]],Players[Player Name],0)),FALSE))</f>
        <v>1</v>
      </c>
      <c r="E42" s="421" t="b">
        <f>IF(VeteransList[[#This Row],[FISTF Code]]="",FALSE,IFERROR(ISNUMBER(MATCH(VeteransList[[#This Row],[FISTF Code]],Players[FISTF Code],0)),FALSE))</f>
        <v>0</v>
      </c>
      <c r="F42" s="419" t="str">
        <f>IF(AND(VeteransList[[#This Row],[First &amp; Last Name]]="",VeteransList[[#This Row],[FISTF Code]]=""),"",IF(VeteransList[[#This Row],[Valide Code ?]],INDEX(Players[Player Name],MATCH(VeteransList[[#This Row],[FISTF Code]],Players[FISTF Code],0)),VeteransList[[#This Row],[First &amp; Last Name]]))</f>
        <v>Rudi Peterschinigg</v>
      </c>
      <c r="G42" s="233" t="str">
        <f>IF(VeteransList[[#This Row],[Retained Player Name]]="","",VLOOKUP(VeteransList[[#This Row],[Retained Player Name]],Players[],7,FALSE))</f>
        <v>ENG</v>
      </c>
      <c r="H42" s="235" t="str">
        <f>IF(VeteransList[[#This Row],[Retained Player Name]]="","",VLOOKUP(VeteransList[[#This Row],[Retained Player Name]],Players[],6,FALSE))</f>
        <v>Wobbly Hobby Subbuteo Club</v>
      </c>
      <c r="I42" s="235" t="str">
        <f>IF(VeteransList[[#This Row],[Retained Player Name]]="","",VLOOKUP(VeteransList[[#This Row],[Retained Player Name]],Players[],4,FALSE))</f>
        <v>ENG0176</v>
      </c>
      <c r="J4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2" s="231"/>
      <c r="L42" s="231"/>
      <c r="M42" s="7"/>
    </row>
    <row r="43" spans="1:13" s="8" customFormat="1" ht="12.75" customHeight="1" x14ac:dyDescent="0.2">
      <c r="A43" s="16">
        <f>IF(AND(VeteransList[[#This Row],[First &amp; Last Name]]="",VeteransList[[#This Row],[FISTF Code]]=""),"",ROW()-ROW($A$11))</f>
        <v>32</v>
      </c>
      <c r="B43" s="232" t="s">
        <v>8125</v>
      </c>
      <c r="C43" s="436"/>
      <c r="D43" s="421" t="b">
        <f>IF(VeteransList[[#This Row],[First &amp; Last Name]]="","",IFERROR(ISNUMBER(MATCH(VeteransList[[#This Row],[First &amp; Last Name]],Players[Player Name],0)),FALSE))</f>
        <v>1</v>
      </c>
      <c r="E43" s="421" t="b">
        <f>IF(VeteransList[[#This Row],[FISTF Code]]="",FALSE,IFERROR(ISNUMBER(MATCH(VeteransList[[#This Row],[FISTF Code]],Players[FISTF Code],0)),FALSE))</f>
        <v>0</v>
      </c>
      <c r="F43" s="419" t="str">
        <f>IF(AND(VeteransList[[#This Row],[First &amp; Last Name]]="",VeteransList[[#This Row],[FISTF Code]]=""),"",IF(VeteransList[[#This Row],[Valide Code ?]],INDEX(Players[Player Name],MATCH(VeteransList[[#This Row],[FISTF Code]],Players[FISTF Code],0)),VeteransList[[#This Row],[First &amp; Last Name]]))</f>
        <v>Philippe Roufosse</v>
      </c>
      <c r="G43" s="233" t="str">
        <f>IF(VeteransList[[#This Row],[Retained Player Name]]="","",VLOOKUP(VeteransList[[#This Row],[Retained Player Name]],Players[],7,FALSE))</f>
        <v>BEL</v>
      </c>
      <c r="H43" s="235" t="str">
        <f>IF(VeteransList[[#This Row],[Retained Player Name]]="","",VLOOKUP(VeteransList[[#This Row],[Retained Player Name]],Players[],6,FALSE))</f>
        <v>SC Temploux</v>
      </c>
      <c r="I43" s="235" t="str">
        <f>IF(VeteransList[[#This Row],[Retained Player Name]]="","",VLOOKUP(VeteransList[[#This Row],[Retained Player Name]],Players[],4,FALSE))</f>
        <v>BEL0176</v>
      </c>
      <c r="J4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43" s="231"/>
      <c r="L43" s="231"/>
      <c r="M43" s="7"/>
    </row>
    <row r="44" spans="1:13" s="8" customFormat="1" ht="12.75" customHeight="1" x14ac:dyDescent="0.2">
      <c r="A44" s="16">
        <f>IF(AND(VeteransList[[#This Row],[First &amp; Last Name]]="",VeteransList[[#This Row],[FISTF Code]]=""),"",ROW()-ROW($A$11))</f>
        <v>33</v>
      </c>
      <c r="B44" s="232" t="s">
        <v>9853</v>
      </c>
      <c r="C44" s="436"/>
      <c r="D44" s="421" t="b">
        <f>IF(VeteransList[[#This Row],[First &amp; Last Name]]="","",IFERROR(ISNUMBER(MATCH(VeteransList[[#This Row],[First &amp; Last Name]],Players[Player Name],0)),FALSE))</f>
        <v>1</v>
      </c>
      <c r="E44" s="421" t="b">
        <f>IF(VeteransList[[#This Row],[FISTF Code]]="",FALSE,IFERROR(ISNUMBER(MATCH(VeteransList[[#This Row],[FISTF Code]],Players[FISTF Code],0)),FALSE))</f>
        <v>0</v>
      </c>
      <c r="F44" s="419" t="str">
        <f>IF(AND(VeteransList[[#This Row],[First &amp; Last Name]]="",VeteransList[[#This Row],[FISTF Code]]=""),"",IF(VeteransList[[#This Row],[Valide Code ?]],INDEX(Players[Player Name],MATCH(VeteransList[[#This Row],[FISTF Code]],Players[FISTF Code],0)),VeteransList[[#This Row],[First &amp; Last Name]]))</f>
        <v>Riccardo Marinucci</v>
      </c>
      <c r="G44" s="233" t="str">
        <f>IF(VeteransList[[#This Row],[Retained Player Name]]="","",VLOOKUP(VeteransList[[#This Row],[Retained Player Name]],Players[],7,FALSE))</f>
        <v>ITA</v>
      </c>
      <c r="H44" s="235" t="str">
        <f>IF(VeteransList[[#This Row],[Retained Player Name]]="","",VLOOKUP(VeteransList[[#This Row],[Retained Player Name]],Players[],6,FALSE))</f>
        <v>Bologna Tigers Subbuteo</v>
      </c>
      <c r="I44" s="235" t="str">
        <f>IF(VeteransList[[#This Row],[Retained Player Name]]="","",VLOOKUP(VeteransList[[#This Row],[Retained Player Name]],Players[],4,FALSE))</f>
        <v>ITA0530</v>
      </c>
      <c r="J4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4" s="231"/>
      <c r="L44" s="231"/>
      <c r="M44" s="7"/>
    </row>
    <row r="45" spans="1:13" s="8" customFormat="1" ht="12.75" customHeight="1" x14ac:dyDescent="0.2">
      <c r="A45" s="16">
        <f>IF(AND(VeteransList[[#This Row],[First &amp; Last Name]]="",VeteransList[[#This Row],[FISTF Code]]=""),"",ROW()-ROW($A$11))</f>
        <v>34</v>
      </c>
      <c r="B45" s="232" t="s">
        <v>8113</v>
      </c>
      <c r="C45" s="436"/>
      <c r="D45" s="421" t="b">
        <f>IF(VeteransList[[#This Row],[First &amp; Last Name]]="","",IFERROR(ISNUMBER(MATCH(VeteransList[[#This Row],[First &amp; Last Name]],Players[Player Name],0)),FALSE))</f>
        <v>1</v>
      </c>
      <c r="E45" s="421" t="b">
        <f>IF(VeteransList[[#This Row],[FISTF Code]]="",FALSE,IFERROR(ISNUMBER(MATCH(VeteransList[[#This Row],[FISTF Code]],Players[FISTF Code],0)),FALSE))</f>
        <v>0</v>
      </c>
      <c r="F45" s="419" t="str">
        <f>IF(AND(VeteransList[[#This Row],[First &amp; Last Name]]="",VeteransList[[#This Row],[FISTF Code]]=""),"",IF(VeteransList[[#This Row],[Valide Code ?]],INDEX(Players[Player Name],MATCH(VeteransList[[#This Row],[FISTF Code]],Players[FISTF Code],0)),VeteransList[[#This Row],[First &amp; Last Name]]))</f>
        <v>Geert Leys</v>
      </c>
      <c r="G45" s="233" t="str">
        <f>IF(VeteransList[[#This Row],[Retained Player Name]]="","",VLOOKUP(VeteransList[[#This Row],[Retained Player Name]],Players[],7,FALSE))</f>
        <v>BEL</v>
      </c>
      <c r="H45" s="235" t="str">
        <f>IF(VeteransList[[#This Row],[Retained Player Name]]="","",VLOOKUP(VeteransList[[#This Row],[Retained Player Name]],Players[],6,FALSE))</f>
        <v>SC Flanders</v>
      </c>
      <c r="I45" s="235" t="str">
        <f>IF(VeteransList[[#This Row],[Retained Player Name]]="","",VLOOKUP(VeteransList[[#This Row],[Retained Player Name]],Players[],4,FALSE))</f>
        <v>BEL0052</v>
      </c>
      <c r="J4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5" s="231"/>
      <c r="L45" s="231"/>
      <c r="M45" s="7"/>
    </row>
    <row r="46" spans="1:13" s="8" customFormat="1" ht="12.75" customHeight="1" x14ac:dyDescent="0.2">
      <c r="A46" s="16">
        <f>IF(AND(VeteransList[[#This Row],[First &amp; Last Name]]="",VeteransList[[#This Row],[FISTF Code]]=""),"",ROW()-ROW($A$11))</f>
        <v>35</v>
      </c>
      <c r="B46" s="232" t="s">
        <v>8554</v>
      </c>
      <c r="C46" s="436"/>
      <c r="D46" s="421" t="b">
        <f>IF(VeteransList[[#This Row],[First &amp; Last Name]]="","",IFERROR(ISNUMBER(MATCH(VeteransList[[#This Row],[First &amp; Last Name]],Players[Player Name],0)),FALSE))</f>
        <v>1</v>
      </c>
      <c r="E46" s="421" t="b">
        <f>IF(VeteransList[[#This Row],[FISTF Code]]="",FALSE,IFERROR(ISNUMBER(MATCH(VeteransList[[#This Row],[FISTF Code]],Players[FISTF Code],0)),FALSE))</f>
        <v>0</v>
      </c>
      <c r="F46" s="419" t="str">
        <f>IF(AND(VeteransList[[#This Row],[First &amp; Last Name]]="",VeteransList[[#This Row],[FISTF Code]]=""),"",IF(VeteransList[[#This Row],[Valide Code ?]],INDEX(Players[Player Name],MATCH(VeteransList[[#This Row],[FISTF Code]],Players[FISTF Code],0)),VeteransList[[#This Row],[First &amp; Last Name]]))</f>
        <v>Alan Lee</v>
      </c>
      <c r="G46" s="233" t="str">
        <f>IF(VeteransList[[#This Row],[Retained Player Name]]="","",VLOOKUP(VeteransList[[#This Row],[Retained Player Name]],Players[],7,FALSE))</f>
        <v>ENG</v>
      </c>
      <c r="H46" s="235" t="str">
        <f>IF(VeteransList[[#This Row],[Retained Player Name]]="","",VLOOKUP(VeteransList[[#This Row],[Retained Player Name]],Players[],6,FALSE))</f>
        <v>Wobbly Hobby Subbuteo Club</v>
      </c>
      <c r="I46" s="235" t="str">
        <f>IF(VeteransList[[#This Row],[Retained Player Name]]="","",VLOOKUP(VeteransList[[#This Row],[Retained Player Name]],Players[],4,FALSE))</f>
        <v>ENG0373</v>
      </c>
      <c r="J4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6" s="231"/>
      <c r="L46" s="231"/>
      <c r="M46" s="7"/>
    </row>
    <row r="47" spans="1:13" s="8" customFormat="1" ht="12.75" customHeight="1" x14ac:dyDescent="0.2">
      <c r="A47" s="16">
        <f>IF(AND(VeteransList[[#This Row],[First &amp; Last Name]]="",VeteransList[[#This Row],[FISTF Code]]=""),"",ROW()-ROW($A$11))</f>
        <v>36</v>
      </c>
      <c r="B47" s="232" t="s">
        <v>8643</v>
      </c>
      <c r="C47" s="436"/>
      <c r="D47" s="421" t="b">
        <f>IF(VeteransList[[#This Row],[First &amp; Last Name]]="","",IFERROR(ISNUMBER(MATCH(VeteransList[[#This Row],[First &amp; Last Name]],Players[Player Name],0)),FALSE))</f>
        <v>1</v>
      </c>
      <c r="E47" s="421" t="b">
        <f>IF(VeteransList[[#This Row],[FISTF Code]]="",FALSE,IFERROR(ISNUMBER(MATCH(VeteransList[[#This Row],[FISTF Code]],Players[FISTF Code],0)),FALSE))</f>
        <v>0</v>
      </c>
      <c r="F47" s="419" t="str">
        <f>IF(AND(VeteransList[[#This Row],[First &amp; Last Name]]="",VeteransList[[#This Row],[FISTF Code]]=""),"",IF(VeteransList[[#This Row],[Valide Code ?]],INDEX(Players[Player Name],MATCH(VeteransList[[#This Row],[FISTF Code]],Players[FISTF Code],0)),VeteransList[[#This Row],[First &amp; Last Name]]))</f>
        <v>Alberto Gómez</v>
      </c>
      <c r="G47" s="233" t="str">
        <f>IF(VeteransList[[#This Row],[Retained Player Name]]="","",VLOOKUP(VeteransList[[#This Row],[Retained Player Name]],Players[],7,FALSE))</f>
        <v>ESP</v>
      </c>
      <c r="H47" s="235" t="str">
        <f>IF(VeteransList[[#This Row],[Retained Player Name]]="","",VLOOKUP(VeteransList[[#This Row],[Retained Player Name]],Players[],6,FALSE))</f>
        <v>Subbuteo Dragons Azuqueca</v>
      </c>
      <c r="I47" s="235" t="str">
        <f>IF(VeteransList[[#This Row],[Retained Player Name]]="","",VLOOKUP(VeteransList[[#This Row],[Retained Player Name]],Players[],4,FALSE))</f>
        <v>ESP0404</v>
      </c>
      <c r="J4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7" s="231"/>
      <c r="L47" s="231"/>
      <c r="M47" s="7"/>
    </row>
    <row r="48" spans="1:13" s="8" customFormat="1" ht="12.75" customHeight="1" x14ac:dyDescent="0.2">
      <c r="A48" s="16">
        <f>IF(AND(VeteransList[[#This Row],[First &amp; Last Name]]="",VeteransList[[#This Row],[FISTF Code]]=""),"",ROW()-ROW($A$11))</f>
        <v>37</v>
      </c>
      <c r="B48" s="232" t="s">
        <v>11908</v>
      </c>
      <c r="C48" s="436"/>
      <c r="D48" s="421" t="b">
        <f>IF(VeteransList[[#This Row],[First &amp; Last Name]]="","",IFERROR(ISNUMBER(MATCH(VeteransList[[#This Row],[First &amp; Last Name]],Players[Player Name],0)),FALSE))</f>
        <v>1</v>
      </c>
      <c r="E48" s="421" t="b">
        <f>IF(VeteransList[[#This Row],[FISTF Code]]="",FALSE,IFERROR(ISNUMBER(MATCH(VeteransList[[#This Row],[FISTF Code]],Players[FISTF Code],0)),FALSE))</f>
        <v>0</v>
      </c>
      <c r="F48" s="419" t="str">
        <f>IF(AND(VeteransList[[#This Row],[First &amp; Last Name]]="",VeteransList[[#This Row],[FISTF Code]]=""),"",IF(VeteransList[[#This Row],[Valide Code ?]],INDEX(Players[Player Name],MATCH(VeteransList[[#This Row],[FISTF Code]],Players[FISTF Code],0)),VeteransList[[#This Row],[First &amp; Last Name]]))</f>
        <v>Steve Austin</v>
      </c>
      <c r="G48" s="233" t="str">
        <f>IF(VeteransList[[#This Row],[Retained Player Name]]="","",VLOOKUP(VeteransList[[#This Row],[Retained Player Name]],Players[],7,FALSE))</f>
        <v>MLT</v>
      </c>
      <c r="H48" s="235" t="str">
        <f>IF(VeteransList[[#This Row],[Retained Player Name]]="","",VLOOKUP(VeteransList[[#This Row],[Retained Player Name]],Players[],6,FALSE))</f>
        <v>Valletta Lions TFC</v>
      </c>
      <c r="I48" s="235" t="str">
        <f>IF(VeteransList[[#This Row],[Retained Player Name]]="","",VLOOKUP(VeteransList[[#This Row],[Retained Player Name]],Players[],4,FALSE))</f>
        <v>MLT0003</v>
      </c>
      <c r="J4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8" s="231"/>
      <c r="L48" s="231"/>
      <c r="M48" s="7"/>
    </row>
    <row r="49" spans="1:13" s="8" customFormat="1" ht="12.75" customHeight="1" x14ac:dyDescent="0.2">
      <c r="A49" s="16">
        <f>IF(AND(VeteransList[[#This Row],[First &amp; Last Name]]="",VeteransList[[#This Row],[FISTF Code]]=""),"",ROW()-ROW($A$11))</f>
        <v>38</v>
      </c>
      <c r="B49" s="232" t="s">
        <v>8081</v>
      </c>
      <c r="C49" s="436"/>
      <c r="D49" s="421" t="b">
        <f>IF(VeteransList[[#This Row],[First &amp; Last Name]]="","",IFERROR(ISNUMBER(MATCH(VeteransList[[#This Row],[First &amp; Last Name]],Players[Player Name],0)),FALSE))</f>
        <v>1</v>
      </c>
      <c r="E49" s="421" t="b">
        <f>IF(VeteransList[[#This Row],[FISTF Code]]="",FALSE,IFERROR(ISNUMBER(MATCH(VeteransList[[#This Row],[FISTF Code]],Players[FISTF Code],0)),FALSE))</f>
        <v>0</v>
      </c>
      <c r="F49" s="419" t="str">
        <f>IF(AND(VeteransList[[#This Row],[First &amp; Last Name]]="",VeteransList[[#This Row],[FISTF Code]]=""),"",IF(VeteransList[[#This Row],[Valide Code ?]],INDEX(Players[Player Name],MATCH(VeteransList[[#This Row],[FISTF Code]],Players[FISTF Code],0)),VeteransList[[#This Row],[First &amp; Last Name]]))</f>
        <v>Jos Ceulemans</v>
      </c>
      <c r="G49" s="233" t="str">
        <f>IF(VeteransList[[#This Row],[Retained Player Name]]="","",VLOOKUP(VeteransList[[#This Row],[Retained Player Name]],Players[],7,FALSE))</f>
        <v>BEL</v>
      </c>
      <c r="H49" s="235" t="str">
        <f>IF(VeteransList[[#This Row],[Retained Player Name]]="","",VLOOKUP(VeteransList[[#This Row],[Retained Player Name]],Players[],6,FALSE))</f>
        <v>SC Flanders</v>
      </c>
      <c r="I49" s="235" t="str">
        <f>IF(VeteransList[[#This Row],[Retained Player Name]]="","",VLOOKUP(VeteransList[[#This Row],[Retained Player Name]],Players[],4,FALSE))</f>
        <v>BEL0045</v>
      </c>
      <c r="J4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9" s="231"/>
      <c r="L49" s="231"/>
      <c r="M49" s="7"/>
    </row>
    <row r="50" spans="1:13" s="8" customFormat="1" ht="12.75" customHeight="1" x14ac:dyDescent="0.2">
      <c r="A50" s="16">
        <f>IF(AND(VeteransList[[#This Row],[First &amp; Last Name]]="",VeteransList[[#This Row],[FISTF Code]]=""),"",ROW()-ROW($A$11))</f>
        <v>39</v>
      </c>
      <c r="B50" s="232" t="s">
        <v>8542</v>
      </c>
      <c r="C50" s="436"/>
      <c r="D50" s="421" t="b">
        <f>IF(VeteransList[[#This Row],[First &amp; Last Name]]="","",IFERROR(ISNUMBER(MATCH(VeteransList[[#This Row],[First &amp; Last Name]],Players[Player Name],0)),FALSE))</f>
        <v>1</v>
      </c>
      <c r="E50" s="421" t="b">
        <f>IF(VeteransList[[#This Row],[FISTF Code]]="",FALSE,IFERROR(ISNUMBER(MATCH(VeteransList[[#This Row],[FISTF Code]],Players[FISTF Code],0)),FALSE))</f>
        <v>0</v>
      </c>
      <c r="F50" s="419" t="str">
        <f>IF(AND(VeteransList[[#This Row],[First &amp; Last Name]]="",VeteransList[[#This Row],[FISTF Code]]=""),"",IF(VeteransList[[#This Row],[Valide Code ?]],INDEX(Players[Player Name],MATCH(VeteransList[[#This Row],[FISTF Code]],Players[FISTF Code],0)),VeteransList[[#This Row],[First &amp; Last Name]]))</f>
        <v>Aaron Skinner</v>
      </c>
      <c r="G50" s="233" t="str">
        <f>IF(VeteransList[[#This Row],[Retained Player Name]]="","",VLOOKUP(VeteransList[[#This Row],[Retained Player Name]],Players[],7,FALSE))</f>
        <v>ENG</v>
      </c>
      <c r="H50" s="235" t="str">
        <f>IF(VeteransList[[#This Row],[Retained Player Name]]="","",VLOOKUP(VeteransList[[#This Row],[Retained Player Name]],Players[],6,FALSE))</f>
        <v>Wobbly Hobby Subbuteo Club</v>
      </c>
      <c r="I50" s="235" t="str">
        <f>IF(VeteransList[[#This Row],[Retained Player Name]]="","",VLOOKUP(VeteransList[[#This Row],[Retained Player Name]],Players[],4,FALSE))</f>
        <v>ENG0260</v>
      </c>
      <c r="J5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50" s="231"/>
      <c r="L50" s="231"/>
      <c r="M50" s="7"/>
    </row>
    <row r="51" spans="1:13" s="8" customFormat="1" ht="12.75" customHeight="1" x14ac:dyDescent="0.2">
      <c r="A51" s="322">
        <f>IF(AND(VeteransList[[#This Row],[First &amp; Last Name]]="",VeteransList[[#This Row],[FISTF Code]]=""),"",ROW()-ROW($A$11))</f>
        <v>40</v>
      </c>
      <c r="B51" s="504" t="s">
        <v>8090</v>
      </c>
      <c r="C51" s="437"/>
      <c r="D51" s="422" t="b">
        <f>IF(VeteransList[[#This Row],[First &amp; Last Name]]="","",IFERROR(ISNUMBER(MATCH(VeteransList[[#This Row],[First &amp; Last Name]],Players[Player Name],0)),FALSE))</f>
        <v>1</v>
      </c>
      <c r="E51" s="422" t="b">
        <f>IF(VeteransList[[#This Row],[FISTF Code]]="",FALSE,IFERROR(ISNUMBER(MATCH(VeteransList[[#This Row],[FISTF Code]],Players[FISTF Code],0)),FALSE))</f>
        <v>0</v>
      </c>
      <c r="F51" s="420" t="str">
        <f>IF(AND(VeteransList[[#This Row],[First &amp; Last Name]]="",VeteransList[[#This Row],[FISTF Code]]=""),"",IF(VeteransList[[#This Row],[Valide Code ?]],INDEX(Players[Player Name],MATCH(VeteransList[[#This Row],[FISTF Code]],Players[FISTF Code],0)),VeteransList[[#This Row],[First &amp; Last Name]]))</f>
        <v>Vito Di Ruggiero</v>
      </c>
      <c r="G51" s="233" t="str">
        <f>IF(VeteransList[[#This Row],[Retained Player Name]]="","",VLOOKUP(VeteransList[[#This Row],[Retained Player Name]],Players[],7,FALSE))</f>
        <v>BEL</v>
      </c>
      <c r="H51" s="235" t="str">
        <f>IF(VeteransList[[#This Row],[Retained Player Name]]="","",VLOOKUP(VeteransList[[#This Row],[Retained Player Name]],Players[],6,FALSE))</f>
        <v>SC Charleroi</v>
      </c>
      <c r="I51" s="235" t="str">
        <f>IF(VeteransList[[#This Row],[Retained Player Name]]="","",VLOOKUP(VeteransList[[#This Row],[Retained Player Name]],Players[],4,FALSE))</f>
        <v>BEL0017</v>
      </c>
      <c r="J5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1" s="231"/>
      <c r="L51" s="231"/>
      <c r="M51" s="7"/>
    </row>
    <row r="52" spans="1:13" s="8" customFormat="1" ht="12.75" customHeight="1" x14ac:dyDescent="0.2">
      <c r="A52" s="322">
        <f>IF(AND(VeteransList[[#This Row],[First &amp; Last Name]]="",VeteransList[[#This Row],[FISTF Code]]=""),"",ROW()-ROW($A$11))</f>
        <v>41</v>
      </c>
      <c r="B52" s="504" t="s">
        <v>8588</v>
      </c>
      <c r="C52" s="437"/>
      <c r="D52" s="422" t="b">
        <f>IF(VeteransList[[#This Row],[First &amp; Last Name]]="","",IFERROR(ISNUMBER(MATCH(VeteransList[[#This Row],[First &amp; Last Name]],Players[Player Name],0)),FALSE))</f>
        <v>1</v>
      </c>
      <c r="E52" s="422" t="b">
        <f>IF(VeteransList[[#This Row],[FISTF Code]]="",FALSE,IFERROR(ISNUMBER(MATCH(VeteransList[[#This Row],[FISTF Code]],Players[FISTF Code],0)),FALSE))</f>
        <v>0</v>
      </c>
      <c r="F52" s="420" t="str">
        <f>IF(AND(VeteransList[[#This Row],[First &amp; Last Name]]="",VeteransList[[#This Row],[FISTF Code]]=""),"",IF(VeteransList[[#This Row],[Valide Code ?]],INDEX(Players[Player Name],MATCH(VeteransList[[#This Row],[FISTF Code]],Players[FISTF Code],0)),VeteransList[[#This Row],[First &amp; Last Name]]))</f>
        <v>Cayne Matthews</v>
      </c>
      <c r="G52" s="233" t="str">
        <f>IF(VeteransList[[#This Row],[Retained Player Name]]="","",VLOOKUP(VeteransList[[#This Row],[Retained Player Name]],Players[],7,FALSE))</f>
        <v>ENG</v>
      </c>
      <c r="H52" s="235" t="str">
        <f>IF(VeteransList[[#This Row],[Retained Player Name]]="","",VLOOKUP(VeteransList[[#This Row],[Retained Player Name]],Players[],6,FALSE))</f>
        <v>Yorkshire Phoenix and Dewsbury Moor TFC</v>
      </c>
      <c r="I52" s="235" t="str">
        <f>IF(VeteransList[[#This Row],[Retained Player Name]]="","",VLOOKUP(VeteransList[[#This Row],[Retained Player Name]],Players[],4,FALSE))</f>
        <v>ENG1009</v>
      </c>
      <c r="J5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2" s="231"/>
      <c r="L52" s="231"/>
      <c r="M52" s="7"/>
    </row>
    <row r="53" spans="1:13" s="8" customFormat="1" ht="12.75" customHeight="1" x14ac:dyDescent="0.2">
      <c r="A53" s="322">
        <f>IF(AND(VeteransList[[#This Row],[First &amp; Last Name]]="",VeteransList[[#This Row],[FISTF Code]]=""),"",ROW()-ROW($A$11))</f>
        <v>42</v>
      </c>
      <c r="B53" s="504" t="s">
        <v>9229</v>
      </c>
      <c r="C53" s="437"/>
      <c r="D53" s="422" t="b">
        <f>IF(VeteransList[[#This Row],[First &amp; Last Name]]="","",IFERROR(ISNUMBER(MATCH(VeteransList[[#This Row],[First &amp; Last Name]],Players[Player Name],0)),FALSE))</f>
        <v>1</v>
      </c>
      <c r="E53" s="422" t="b">
        <f>IF(VeteransList[[#This Row],[FISTF Code]]="",FALSE,IFERROR(ISNUMBER(MATCH(VeteransList[[#This Row],[FISTF Code]],Players[FISTF Code],0)),FALSE))</f>
        <v>0</v>
      </c>
      <c r="F53" s="420" t="str">
        <f>IF(AND(VeteransList[[#This Row],[First &amp; Last Name]]="",VeteransList[[#This Row],[FISTF Code]]=""),"",IF(VeteransList[[#This Row],[Valide Code ?]],INDEX(Players[Player Name],MATCH(VeteransList[[#This Row],[FISTF Code]],Players[FISTF Code],0)),VeteransList[[#This Row],[First &amp; Last Name]]))</f>
        <v>Manolis Papadakis</v>
      </c>
      <c r="G53" s="233" t="str">
        <f>IF(VeteransList[[#This Row],[Retained Player Name]]="","",VLOOKUP(VeteransList[[#This Row],[Retained Player Name]],Players[],7,FALSE))</f>
        <v>GRE</v>
      </c>
      <c r="H53" s="235" t="str">
        <f>IF(VeteransList[[#This Row],[Retained Player Name]]="","",VLOOKUP(VeteransList[[#This Row],[Retained Player Name]],Players[],6,FALSE))</f>
        <v>Atlas FTC</v>
      </c>
      <c r="I53" s="235" t="str">
        <f>IF(VeteransList[[#This Row],[Retained Player Name]]="","",VLOOKUP(VeteransList[[#This Row],[Retained Player Name]],Players[],4,FALSE))</f>
        <v>GRE0477</v>
      </c>
      <c r="J5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3" s="231"/>
      <c r="L53" s="231"/>
      <c r="M53" s="7"/>
    </row>
    <row r="54" spans="1:13" s="8" customFormat="1" ht="12.75" customHeight="1" x14ac:dyDescent="0.2">
      <c r="A54" s="322">
        <f>IF(AND(VeteransList[[#This Row],[First &amp; Last Name]]="",VeteransList[[#This Row],[FISTF Code]]=""),"",ROW()-ROW($A$11))</f>
        <v>43</v>
      </c>
      <c r="B54" s="504" t="s">
        <v>8093</v>
      </c>
      <c r="C54" s="437"/>
      <c r="D54" s="422" t="b">
        <f>IF(VeteransList[[#This Row],[First &amp; Last Name]]="","",IFERROR(ISNUMBER(MATCH(VeteransList[[#This Row],[First &amp; Last Name]],Players[Player Name],0)),FALSE))</f>
        <v>1</v>
      </c>
      <c r="E54" s="422" t="b">
        <f>IF(VeteransList[[#This Row],[FISTF Code]]="",FALSE,IFERROR(ISNUMBER(MATCH(VeteransList[[#This Row],[FISTF Code]],Players[FISTF Code],0)),FALSE))</f>
        <v>0</v>
      </c>
      <c r="F54" s="420" t="str">
        <f>IF(AND(VeteransList[[#This Row],[First &amp; Last Name]]="",VeteransList[[#This Row],[FISTF Code]]=""),"",IF(VeteransList[[#This Row],[Valide Code ?]],INDEX(Players[Player Name],MATCH(VeteransList[[#This Row],[FISTF Code]],Players[FISTF Code],0)),VeteransList[[#This Row],[First &amp; Last Name]]))</f>
        <v>Olivier Dubois</v>
      </c>
      <c r="G54" s="233" t="str">
        <f>IF(VeteransList[[#This Row],[Retained Player Name]]="","",VLOOKUP(VeteransList[[#This Row],[Retained Player Name]],Players[],7,FALSE))</f>
        <v>BEL</v>
      </c>
      <c r="H54" s="235" t="str">
        <f>IF(VeteransList[[#This Row],[Retained Player Name]]="","",VLOOKUP(VeteransList[[#This Row],[Retained Player Name]],Players[],6,FALSE))</f>
        <v>SC Temploux</v>
      </c>
      <c r="I54" s="235" t="str">
        <f>IF(VeteransList[[#This Row],[Retained Player Name]]="","",VLOOKUP(VeteransList[[#This Row],[Retained Player Name]],Players[],4,FALSE))</f>
        <v>BEL0162</v>
      </c>
      <c r="J5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4" s="231"/>
      <c r="L54" s="231"/>
      <c r="M54" s="7"/>
    </row>
    <row r="55" spans="1:13" s="8" customFormat="1" ht="12.75" customHeight="1" x14ac:dyDescent="0.2">
      <c r="A55" s="322">
        <f>IF(AND(VeteransList[[#This Row],[First &amp; Last Name]]="",VeteransList[[#This Row],[FISTF Code]]=""),"",ROW()-ROW($A$11))</f>
        <v>44</v>
      </c>
      <c r="B55" s="504" t="s">
        <v>8108</v>
      </c>
      <c r="C55" s="437"/>
      <c r="D55" s="422" t="b">
        <f>IF(VeteransList[[#This Row],[First &amp; Last Name]]="","",IFERROR(ISNUMBER(MATCH(VeteransList[[#This Row],[First &amp; Last Name]],Players[Player Name],0)),FALSE))</f>
        <v>1</v>
      </c>
      <c r="E55" s="422" t="b">
        <f>IF(VeteransList[[#This Row],[FISTF Code]]="",FALSE,IFERROR(ISNUMBER(MATCH(VeteransList[[#This Row],[FISTF Code]],Players[FISTF Code],0)),FALSE))</f>
        <v>0</v>
      </c>
      <c r="F55" s="420" t="str">
        <f>IF(AND(VeteransList[[#This Row],[First &amp; Last Name]]="",VeteransList[[#This Row],[FISTF Code]]=""),"",IF(VeteransList[[#This Row],[Valide Code ?]],INDEX(Players[Player Name],MATCH(VeteransList[[#This Row],[FISTF Code]],Players[FISTF Code],0)),VeteransList[[#This Row],[First &amp; Last Name]]))</f>
        <v>Frank Lannoy</v>
      </c>
      <c r="G55" s="233" t="str">
        <f>IF(VeteransList[[#This Row],[Retained Player Name]]="","",VLOOKUP(VeteransList[[#This Row],[Retained Player Name]],Players[],7,FALSE))</f>
        <v>BEL</v>
      </c>
      <c r="H55" s="235" t="str">
        <f>IF(VeteransList[[#This Row],[Retained Player Name]]="","",VLOOKUP(VeteransList[[#This Row],[Retained Player Name]],Players[],6,FALSE))</f>
        <v>SC Temploux</v>
      </c>
      <c r="I55" s="235" t="str">
        <f>IF(VeteransList[[#This Row],[Retained Player Name]]="","",VLOOKUP(VeteransList[[#This Row],[Retained Player Name]],Players[],4,FALSE))</f>
        <v>BEL0051</v>
      </c>
      <c r="J5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5" s="231"/>
      <c r="L55" s="231"/>
      <c r="M55" s="7"/>
    </row>
    <row r="56" spans="1:13" s="8" customFormat="1" ht="12.75" customHeight="1" x14ac:dyDescent="0.2">
      <c r="A56" s="322">
        <f>IF(AND(VeteransList[[#This Row],[First &amp; Last Name]]="",VeteransList[[#This Row],[FISTF Code]]=""),"",ROW()-ROW($A$11))</f>
        <v>45</v>
      </c>
      <c r="B56" s="504" t="s">
        <v>10792</v>
      </c>
      <c r="C56" s="437"/>
      <c r="D56" s="422" t="b">
        <f>IF(VeteransList[[#This Row],[First &amp; Last Name]]="","",IFERROR(ISNUMBER(MATCH(VeteransList[[#This Row],[First &amp; Last Name]],Players[Player Name],0)),FALSE))</f>
        <v>1</v>
      </c>
      <c r="E56" s="422" t="b">
        <f>IF(VeteransList[[#This Row],[FISTF Code]]="",FALSE,IFERROR(ISNUMBER(MATCH(VeteransList[[#This Row],[FISTF Code]],Players[FISTF Code],0)),FALSE))</f>
        <v>0</v>
      </c>
      <c r="F56" s="420" t="str">
        <f>IF(AND(VeteransList[[#This Row],[First &amp; Last Name]]="",VeteransList[[#This Row],[FISTF Code]]=""),"",IF(VeteransList[[#This Row],[Valide Code ?]],INDEX(Players[Player Name],MATCH(VeteransList[[#This Row],[FISTF Code]],Players[FISTF Code],0)),VeteransList[[#This Row],[First &amp; Last Name]]))</f>
        <v>Peter Alegi</v>
      </c>
      <c r="G56" s="233" t="str">
        <f>IF(VeteransList[[#This Row],[Retained Player Name]]="","",VLOOKUP(VeteransList[[#This Row],[Retained Player Name]],Players[],7,FALSE))</f>
        <v>USA</v>
      </c>
      <c r="H56" s="235" t="str">
        <f>IF(VeteransList[[#This Row],[Retained Player Name]]="","",VLOOKUP(VeteransList[[#This Row],[Retained Player Name]],Players[],6,FALSE))</f>
        <v>Black Rose Roma</v>
      </c>
      <c r="I56" s="235" t="str">
        <f>IF(VeteransList[[#This Row],[Retained Player Name]]="","",VLOOKUP(VeteransList[[#This Row],[Retained Player Name]],Players[],4,FALSE))</f>
        <v>USA0370</v>
      </c>
      <c r="J5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6" s="231"/>
      <c r="L56" s="231"/>
      <c r="M56" s="7"/>
    </row>
    <row r="57" spans="1:13" s="8" customFormat="1" ht="12.75" customHeight="1" x14ac:dyDescent="0.2">
      <c r="A57" s="322">
        <f>IF(AND(VeteransList[[#This Row],[First &amp; Last Name]]="",VeteransList[[#This Row],[FISTF Code]]=""),"",ROW()-ROW($A$11))</f>
        <v>46</v>
      </c>
      <c r="B57" s="504" t="s">
        <v>8139</v>
      </c>
      <c r="C57" s="437"/>
      <c r="D57" s="422" t="b">
        <f>IF(VeteransList[[#This Row],[First &amp; Last Name]]="","",IFERROR(ISNUMBER(MATCH(VeteransList[[#This Row],[First &amp; Last Name]],Players[Player Name],0)),FALSE))</f>
        <v>1</v>
      </c>
      <c r="E57" s="422" t="b">
        <f>IF(VeteransList[[#This Row],[FISTF Code]]="",FALSE,IFERROR(ISNUMBER(MATCH(VeteransList[[#This Row],[FISTF Code]],Players[FISTF Code],0)),FALSE))</f>
        <v>0</v>
      </c>
      <c r="F57" s="420" t="str">
        <f>IF(AND(VeteransList[[#This Row],[First &amp; Last Name]]="",VeteransList[[#This Row],[FISTF Code]]=""),"",IF(VeteransList[[#This Row],[Valide Code ?]],INDEX(Players[Player Name],MATCH(VeteransList[[#This Row],[FISTF Code]],Players[FISTF Code],0)),VeteransList[[#This Row],[First &amp; Last Name]]))</f>
        <v>Olivier Van Glabeke</v>
      </c>
      <c r="G57" s="233" t="str">
        <f>IF(VeteransList[[#This Row],[Retained Player Name]]="","",VLOOKUP(VeteransList[[#This Row],[Retained Player Name]],Players[],7,FALSE))</f>
        <v>BEL</v>
      </c>
      <c r="H57" s="235" t="str">
        <f>IF(VeteransList[[#This Row],[Retained Player Name]]="","",VLOOKUP(VeteransList[[#This Row],[Retained Player Name]],Players[],6,FALSE))</f>
        <v>SC Lion's Eugies</v>
      </c>
      <c r="I57" s="235" t="str">
        <f>IF(VeteransList[[#This Row],[Retained Player Name]]="","",VLOOKUP(VeteransList[[#This Row],[Retained Player Name]],Players[],4,FALSE))</f>
        <v>BEL0194</v>
      </c>
      <c r="J5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7" s="231"/>
      <c r="L57" s="231"/>
      <c r="M57" s="7"/>
    </row>
    <row r="58" spans="1:13" s="8" customFormat="1" ht="12.75" customHeight="1" x14ac:dyDescent="0.2">
      <c r="A58" s="322">
        <f>IF(AND(VeteransList[[#This Row],[First &amp; Last Name]]="",VeteransList[[#This Row],[FISTF Code]]=""),"",ROW()-ROW($A$11))</f>
        <v>47</v>
      </c>
      <c r="B58" s="504" t="s">
        <v>10087</v>
      </c>
      <c r="C58" s="437"/>
      <c r="D58" s="422" t="b">
        <f>IF(VeteransList[[#This Row],[First &amp; Last Name]]="","",IFERROR(ISNUMBER(MATCH(VeteransList[[#This Row],[First &amp; Last Name]],Players[Player Name],0)),FALSE))</f>
        <v>1</v>
      </c>
      <c r="E58" s="422" t="b">
        <f>IF(VeteransList[[#This Row],[FISTF Code]]="",FALSE,IFERROR(ISNUMBER(MATCH(VeteransList[[#This Row],[FISTF Code]],Players[FISTF Code],0)),FALSE))</f>
        <v>0</v>
      </c>
      <c r="F58" s="420" t="str">
        <f>IF(AND(VeteransList[[#This Row],[First &amp; Last Name]]="",VeteransList[[#This Row],[FISTF Code]]=""),"",IF(VeteransList[[#This Row],[Valide Code ?]],INDEX(Players[Player Name],MATCH(VeteransList[[#This Row],[FISTF Code]],Players[FISTF Code],0)),VeteransList[[#This Row],[First &amp; Last Name]]))</f>
        <v>Raffaele Di Vito</v>
      </c>
      <c r="G58" s="233" t="str">
        <f>IF(VeteransList[[#This Row],[Retained Player Name]]="","",VLOOKUP(VeteransList[[#This Row],[Retained Player Name]],Players[],7,FALSE))</f>
        <v>ITA</v>
      </c>
      <c r="H58" s="235" t="str">
        <f>IF(VeteransList[[#This Row],[Retained Player Name]]="","",VLOOKUP(VeteransList[[#This Row],[Retained Player Name]],Players[],6,FALSE))</f>
        <v>CCT Eagles Napoli</v>
      </c>
      <c r="I58" s="235" t="str">
        <f>IF(VeteransList[[#This Row],[Retained Player Name]]="","",VLOOKUP(VeteransList[[#This Row],[Retained Player Name]],Players[],4,FALSE))</f>
        <v>ITA1059</v>
      </c>
      <c r="J5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58" s="231"/>
      <c r="L58" s="231"/>
      <c r="M58" s="7"/>
    </row>
    <row r="59" spans="1:13" s="8" customFormat="1" ht="12.75" customHeight="1" x14ac:dyDescent="0.2">
      <c r="A59" s="322">
        <f>IF(AND(VeteransList[[#This Row],[First &amp; Last Name]]="",VeteransList[[#This Row],[FISTF Code]]=""),"",ROW()-ROW($A$11))</f>
        <v>48</v>
      </c>
      <c r="B59" s="504" t="s">
        <v>8121</v>
      </c>
      <c r="C59" s="437"/>
      <c r="D59" s="422" t="b">
        <f>IF(VeteransList[[#This Row],[First &amp; Last Name]]="","",IFERROR(ISNUMBER(MATCH(VeteransList[[#This Row],[First &amp; Last Name]],Players[Player Name],0)),FALSE))</f>
        <v>1</v>
      </c>
      <c r="E59" s="422" t="b">
        <f>IF(VeteransList[[#This Row],[FISTF Code]]="",FALSE,IFERROR(ISNUMBER(MATCH(VeteransList[[#This Row],[FISTF Code]],Players[FISTF Code],0)),FALSE))</f>
        <v>0</v>
      </c>
      <c r="F59" s="420" t="str">
        <f>IF(AND(VeteransList[[#This Row],[First &amp; Last Name]]="",VeteransList[[#This Row],[FISTF Code]]=""),"",IF(VeteransList[[#This Row],[Valide Code ?]],INDEX(Players[Player Name],MATCH(VeteransList[[#This Row],[FISTF Code]],Players[FISTF Code],0)),VeteransList[[#This Row],[First &amp; Last Name]]))</f>
        <v>Olivier Pere</v>
      </c>
      <c r="G59" s="233" t="str">
        <f>IF(VeteransList[[#This Row],[Retained Player Name]]="","",VLOOKUP(VeteransList[[#This Row],[Retained Player Name]],Players[],7,FALSE))</f>
        <v>BEL</v>
      </c>
      <c r="H59" s="235" t="str">
        <f>IF(VeteransList[[#This Row],[Retained Player Name]]="","",VLOOKUP(VeteransList[[#This Row],[Retained Player Name]],Players[],6,FALSE))</f>
        <v>Avenir Subbuteo Hennuyer</v>
      </c>
      <c r="I59" s="235" t="str">
        <f>IF(VeteransList[[#This Row],[Retained Player Name]]="","",VLOOKUP(VeteransList[[#This Row],[Retained Player Name]],Players[],4,FALSE))</f>
        <v>BEL0070</v>
      </c>
      <c r="J5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59" s="231"/>
      <c r="L59" s="231"/>
      <c r="M59" s="7"/>
    </row>
    <row r="60" spans="1:13" s="8" customFormat="1" ht="12.75" customHeight="1" x14ac:dyDescent="0.2">
      <c r="A60" s="322">
        <f>IF(AND(VeteransList[[#This Row],[First &amp; Last Name]]="",VeteransList[[#This Row],[FISTF Code]]=""),"",ROW()-ROW($A$11))</f>
        <v>49</v>
      </c>
      <c r="B60" s="504" t="s">
        <v>10449</v>
      </c>
      <c r="C60" s="437"/>
      <c r="D60" s="422" t="b">
        <f>IF(VeteransList[[#This Row],[First &amp; Last Name]]="","",IFERROR(ISNUMBER(MATCH(VeteransList[[#This Row],[First &amp; Last Name]],Players[Player Name],0)),FALSE))</f>
        <v>1</v>
      </c>
      <c r="E60" s="422" t="b">
        <f>IF(VeteransList[[#This Row],[FISTF Code]]="",FALSE,IFERROR(ISNUMBER(MATCH(VeteransList[[#This Row],[FISTF Code]],Players[FISTF Code],0)),FALSE))</f>
        <v>0</v>
      </c>
      <c r="F60" s="420" t="str">
        <f>IF(AND(VeteransList[[#This Row],[First &amp; Last Name]]="",VeteransList[[#This Row],[FISTF Code]]=""),"",IF(VeteransList[[#This Row],[Valide Code ?]],INDEX(Players[Player Name],MATCH(VeteransList[[#This Row],[FISTF Code]],Players[FISTF Code],0)),VeteransList[[#This Row],[First &amp; Last Name]]))</f>
        <v>Valentino Zamara</v>
      </c>
      <c r="G60" s="233" t="str">
        <f>IF(VeteransList[[#This Row],[Retained Player Name]]="","",VLOOKUP(VeteransList[[#This Row],[Retained Player Name]],Players[],7,FALSE))</f>
        <v>MLT</v>
      </c>
      <c r="H60" s="235" t="str">
        <f>IF(VeteransList[[#This Row],[Retained Player Name]]="","",VLOOKUP(VeteransList[[#This Row],[Retained Player Name]],Players[],6,FALSE))</f>
        <v>H'Attard SC</v>
      </c>
      <c r="I60" s="235" t="str">
        <f>IF(VeteransList[[#This Row],[Retained Player Name]]="","",VLOOKUP(VeteransList[[#This Row],[Retained Player Name]],Players[],4,FALSE))</f>
        <v>MLT0130</v>
      </c>
      <c r="J6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0" s="231"/>
      <c r="L60" s="231"/>
      <c r="M60" s="7"/>
    </row>
    <row r="61" spans="1:13" s="8" customFormat="1" ht="12.75" customHeight="1" x14ac:dyDescent="0.2">
      <c r="A61" s="322">
        <f>IF(AND(VeteransList[[#This Row],[First &amp; Last Name]]="",VeteransList[[#This Row],[FISTF Code]]=""),"",ROW()-ROW($A$11))</f>
        <v>50</v>
      </c>
      <c r="B61" s="504" t="s">
        <v>8107</v>
      </c>
      <c r="C61" s="437"/>
      <c r="D61" s="422" t="b">
        <f>IF(VeteransList[[#This Row],[First &amp; Last Name]]="","",IFERROR(ISNUMBER(MATCH(VeteransList[[#This Row],[First &amp; Last Name]],Players[Player Name],0)),FALSE))</f>
        <v>1</v>
      </c>
      <c r="E61" s="422" t="b">
        <f>IF(VeteransList[[#This Row],[FISTF Code]]="",FALSE,IFERROR(ISNUMBER(MATCH(VeteransList[[#This Row],[FISTF Code]],Players[FISTF Code],0)),FALSE))</f>
        <v>0</v>
      </c>
      <c r="F61" s="420" t="str">
        <f>IF(AND(VeteransList[[#This Row],[First &amp; Last Name]]="",VeteransList[[#This Row],[FISTF Code]]=""),"",IF(VeteransList[[#This Row],[Valide Code ?]],INDEX(Players[Player Name],MATCH(VeteransList[[#This Row],[FISTF Code]],Players[FISTF Code],0)),VeteransList[[#This Row],[First &amp; Last Name]]))</f>
        <v>Stéphane Lambert</v>
      </c>
      <c r="G61" s="233" t="str">
        <f>IF(VeteransList[[#This Row],[Retained Player Name]]="","",VLOOKUP(VeteransList[[#This Row],[Retained Player Name]],Players[],7,FALSE))</f>
        <v>BEL</v>
      </c>
      <c r="H61" s="235" t="str">
        <f>IF(VeteransList[[#This Row],[Retained Player Name]]="","",VLOOKUP(VeteransList[[#This Row],[Retained Player Name]],Players[],6,FALSE))</f>
        <v>Kent invicta TFC</v>
      </c>
      <c r="I61" s="235" t="str">
        <f>IF(VeteransList[[#This Row],[Retained Player Name]]="","",VLOOKUP(VeteransList[[#This Row],[Retained Player Name]],Players[],4,FALSE))</f>
        <v>BEL0050</v>
      </c>
      <c r="J6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1" s="231"/>
      <c r="L61" s="231"/>
      <c r="M61" s="7"/>
    </row>
    <row r="62" spans="1:13" s="8" customFormat="1" ht="12.75" customHeight="1" x14ac:dyDescent="0.2">
      <c r="A62" s="322">
        <f>IF(AND(VeteransList[[#This Row],[First &amp; Last Name]]="",VeteransList[[#This Row],[FISTF Code]]=""),"",ROW()-ROW($A$11))</f>
        <v>51</v>
      </c>
      <c r="B62" s="504" t="s">
        <v>10886</v>
      </c>
      <c r="C62" s="437"/>
      <c r="D62" s="422" t="b">
        <f>IF(VeteransList[[#This Row],[First &amp; Last Name]]="","",IFERROR(ISNUMBER(MATCH(VeteransList[[#This Row],[First &amp; Last Name]],Players[Player Name],0)),FALSE))</f>
        <v>1</v>
      </c>
      <c r="E62" s="422" t="b">
        <f>IF(VeteransList[[#This Row],[FISTF Code]]="",FALSE,IFERROR(ISNUMBER(MATCH(VeteransList[[#This Row],[FISTF Code]],Players[FISTF Code],0)),FALSE))</f>
        <v>0</v>
      </c>
      <c r="F62" s="420" t="str">
        <f>IF(AND(VeteransList[[#This Row],[First &amp; Last Name]]="",VeteransList[[#This Row],[FISTF Code]]=""),"",IF(VeteransList[[#This Row],[Valide Code ?]],INDEX(Players[Player Name],MATCH(VeteransList[[#This Row],[FISTF Code]],Players[FISTF Code],0)),VeteransList[[#This Row],[First &amp; Last Name]]))</f>
        <v>Darren Barnes</v>
      </c>
      <c r="G62" s="233" t="str">
        <f>IF(VeteransList[[#This Row],[Retained Player Name]]="","",VLOOKUP(VeteransList[[#This Row],[Retained Player Name]],Players[],7,FALSE))</f>
        <v>WAL</v>
      </c>
      <c r="H62" s="235" t="str">
        <f>IF(VeteransList[[#This Row],[Retained Player Name]]="","",VLOOKUP(VeteransList[[#This Row],[Retained Player Name]],Players[],6,FALSE))</f>
        <v>SC Samb</v>
      </c>
      <c r="I62" s="235" t="str">
        <f>IF(VeteransList[[#This Row],[Retained Player Name]]="","",VLOOKUP(VeteransList[[#This Row],[Retained Player Name]],Players[],4,FALSE))</f>
        <v>WAL0028</v>
      </c>
      <c r="J6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2" s="231"/>
      <c r="L62" s="231"/>
      <c r="M62" s="7"/>
    </row>
    <row r="63" spans="1:13" s="8" customFormat="1" ht="12.75" customHeight="1" x14ac:dyDescent="0.2">
      <c r="A63" s="322">
        <f>IF(AND(VeteransList[[#This Row],[First &amp; Last Name]]="",VeteransList[[#This Row],[FISTF Code]]=""),"",ROW()-ROW($A$11))</f>
        <v>52</v>
      </c>
      <c r="B63" s="504" t="s">
        <v>8598</v>
      </c>
      <c r="C63" s="437"/>
      <c r="D63" s="422" t="b">
        <f>IF(VeteransList[[#This Row],[First &amp; Last Name]]="","",IFERROR(ISNUMBER(MATCH(VeteransList[[#This Row],[First &amp; Last Name]],Players[Player Name],0)),FALSE))</f>
        <v>1</v>
      </c>
      <c r="E63" s="422" t="b">
        <f>IF(VeteransList[[#This Row],[FISTF Code]]="",FALSE,IFERROR(ISNUMBER(MATCH(VeteransList[[#This Row],[FISTF Code]],Players[FISTF Code],0)),FALSE))</f>
        <v>0</v>
      </c>
      <c r="F63" s="420" t="str">
        <f>IF(AND(VeteransList[[#This Row],[First &amp; Last Name]]="",VeteransList[[#This Row],[FISTF Code]]=""),"",IF(VeteransList[[#This Row],[Valide Code ?]],INDEX(Players[Player Name],MATCH(VeteransList[[#This Row],[FISTF Code]],Players[FISTF Code],0)),VeteransList[[#This Row],[First &amp; Last Name]]))</f>
        <v>Arturo Martínez</v>
      </c>
      <c r="G63" s="233" t="str">
        <f>IF(VeteransList[[#This Row],[Retained Player Name]]="","",VLOOKUP(VeteransList[[#This Row],[Retained Player Name]],Players[],7,FALSE))</f>
        <v>ESP</v>
      </c>
      <c r="H63" s="235" t="str">
        <f>IF(VeteransList[[#This Row],[Retained Player Name]]="","",VLOOKUP(VeteransList[[#This Row],[Retained Player Name]],Players[],6,FALSE))</f>
        <v>ACS Perugia</v>
      </c>
      <c r="I63" s="235" t="str">
        <f>IF(VeteransList[[#This Row],[Retained Player Name]]="","",VLOOKUP(VeteransList[[#This Row],[Retained Player Name]],Players[],4,FALSE))</f>
        <v>ESP0001</v>
      </c>
      <c r="J6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3" s="231"/>
      <c r="L63" s="231"/>
      <c r="M63" s="7"/>
    </row>
    <row r="64" spans="1:13" s="8" customFormat="1" ht="12.75" customHeight="1" x14ac:dyDescent="0.2">
      <c r="A64" s="322">
        <f>IF(AND(VeteransList[[#This Row],[First &amp; Last Name]]="",VeteransList[[#This Row],[FISTF Code]]=""),"",ROW()-ROW($A$11))</f>
        <v>53</v>
      </c>
      <c r="B64" s="504" t="s">
        <v>10452</v>
      </c>
      <c r="C64" s="437"/>
      <c r="D64" s="422" t="b">
        <f>IF(VeteransList[[#This Row],[First &amp; Last Name]]="","",IFERROR(ISNUMBER(MATCH(VeteransList[[#This Row],[First &amp; Last Name]],Players[Player Name],0)),FALSE))</f>
        <v>1</v>
      </c>
      <c r="E64" s="422" t="b">
        <f>IF(VeteransList[[#This Row],[FISTF Code]]="",FALSE,IFERROR(ISNUMBER(MATCH(VeteransList[[#This Row],[FISTF Code]],Players[FISTF Code],0)),FALSE))</f>
        <v>0</v>
      </c>
      <c r="F64" s="420" t="str">
        <f>IF(AND(VeteransList[[#This Row],[First &amp; Last Name]]="",VeteransList[[#This Row],[FISTF Code]]=""),"",IF(VeteransList[[#This Row],[Valide Code ?]],INDEX(Players[Player Name],MATCH(VeteransList[[#This Row],[FISTF Code]],Players[FISTF Code],0)),VeteransList[[#This Row],[First &amp; Last Name]]))</f>
        <v>Marco De Bruin</v>
      </c>
      <c r="G64" s="233" t="str">
        <f>IF(VeteransList[[#This Row],[Retained Player Name]]="","",VLOOKUP(VeteransList[[#This Row],[Retained Player Name]],Players[],7,FALSE))</f>
        <v>NED</v>
      </c>
      <c r="H64" s="235" t="str">
        <f>IF(VeteransList[[#This Row],[Retained Player Name]]="","",VLOOKUP(VeteransList[[#This Row],[Retained Player Name]],Players[],6,FALSE))</f>
        <v>Subbuteo Club Flanders</v>
      </c>
      <c r="I64" s="235" t="str">
        <f>IF(VeteransList[[#This Row],[Retained Player Name]]="","",VLOOKUP(VeteransList[[#This Row],[Retained Player Name]],Players[],4,FALSE))</f>
        <v>NED0007</v>
      </c>
      <c r="J6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4" s="231"/>
      <c r="L64" s="231"/>
      <c r="M64" s="7"/>
    </row>
    <row r="65" spans="1:13" s="8" customFormat="1" ht="12.75" customHeight="1" x14ac:dyDescent="0.2">
      <c r="A65" s="322">
        <f>IF(AND(VeteransList[[#This Row],[First &amp; Last Name]]="",VeteransList[[#This Row],[FISTF Code]]=""),"",ROW()-ROW($A$11))</f>
        <v>54</v>
      </c>
      <c r="B65" s="504" t="s">
        <v>10459</v>
      </c>
      <c r="C65" s="437"/>
      <c r="D65" s="422" t="b">
        <f>IF(VeteransList[[#This Row],[First &amp; Last Name]]="","",IFERROR(ISNUMBER(MATCH(VeteransList[[#This Row],[First &amp; Last Name]],Players[Player Name],0)),FALSE))</f>
        <v>1</v>
      </c>
      <c r="E65" s="422" t="b">
        <f>IF(VeteransList[[#This Row],[FISTF Code]]="",FALSE,IFERROR(ISNUMBER(MATCH(VeteransList[[#This Row],[FISTF Code]],Players[FISTF Code],0)),FALSE))</f>
        <v>0</v>
      </c>
      <c r="F65" s="420" t="str">
        <f>IF(AND(VeteransList[[#This Row],[First &amp; Last Name]]="",VeteransList[[#This Row],[FISTF Code]]=""),"",IF(VeteransList[[#This Row],[Valide Code ?]],INDEX(Players[Player Name],MATCH(VeteransList[[#This Row],[FISTF Code]],Players[FISTF Code],0)),VeteransList[[#This Row],[First &amp; Last Name]]))</f>
        <v>Nico Marks</v>
      </c>
      <c r="G65" s="233" t="str">
        <f>IF(VeteransList[[#This Row],[Retained Player Name]]="","",VLOOKUP(VeteransList[[#This Row],[Retained Player Name]],Players[],7,FALSE))</f>
        <v>NED</v>
      </c>
      <c r="H65" s="235" t="str">
        <f>IF(VeteransList[[#This Row],[Retained Player Name]]="","",VLOOKUP(VeteransList[[#This Row],[Retained Player Name]],Players[],6,FALSE))</f>
        <v>Dutch Legends</v>
      </c>
      <c r="I65" s="235" t="str">
        <f>IF(VeteransList[[#This Row],[Retained Player Name]]="","",VLOOKUP(VeteransList[[#This Row],[Retained Player Name]],Players[],4,FALSE))</f>
        <v>NED0012</v>
      </c>
      <c r="J6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5" s="231"/>
      <c r="L65" s="231"/>
      <c r="M65" s="7"/>
    </row>
    <row r="66" spans="1:13" s="8" customFormat="1" ht="12.75" customHeight="1" x14ac:dyDescent="0.2">
      <c r="A66" s="322">
        <f>IF(AND(VeteransList[[#This Row],[First &amp; Last Name]]="",VeteransList[[#This Row],[FISTF Code]]=""),"",ROW()-ROW($A$11))</f>
        <v>55</v>
      </c>
      <c r="B66" s="504" t="s">
        <v>8131</v>
      </c>
      <c r="C66" s="437"/>
      <c r="D66" s="422" t="b">
        <f>IF(VeteransList[[#This Row],[First &amp; Last Name]]="","",IFERROR(ISNUMBER(MATCH(VeteransList[[#This Row],[First &amp; Last Name]],Players[Player Name],0)),FALSE))</f>
        <v>1</v>
      </c>
      <c r="E66" s="422" t="b">
        <f>IF(VeteransList[[#This Row],[FISTF Code]]="",FALSE,IFERROR(ISNUMBER(MATCH(VeteransList[[#This Row],[FISTF Code]],Players[FISTF Code],0)),FALSE))</f>
        <v>0</v>
      </c>
      <c r="F66" s="420" t="str">
        <f>IF(AND(VeteransList[[#This Row],[First &amp; Last Name]]="",VeteransList[[#This Row],[FISTF Code]]=""),"",IF(VeteransList[[#This Row],[Valide Code ?]],INDEX(Players[Player Name],MATCH(VeteransList[[#This Row],[FISTF Code]],Players[FISTF Code],0)),VeteransList[[#This Row],[First &amp; Last Name]]))</f>
        <v>Pol Serwy</v>
      </c>
      <c r="G66" s="233" t="str">
        <f>IF(VeteransList[[#This Row],[Retained Player Name]]="","",VLOOKUP(VeteransList[[#This Row],[Retained Player Name]],Players[],7,FALSE))</f>
        <v>BEL</v>
      </c>
      <c r="H66" s="235" t="str">
        <f>IF(VeteransList[[#This Row],[Retained Player Name]]="","",VLOOKUP(VeteransList[[#This Row],[Retained Player Name]],Players[],6,FALSE))</f>
        <v>US Huy</v>
      </c>
      <c r="I66" s="235" t="str">
        <f>IF(VeteransList[[#This Row],[Retained Player Name]]="","",VLOOKUP(VeteransList[[#This Row],[Retained Player Name]],Players[],4,FALSE))</f>
        <v>BEL0166</v>
      </c>
      <c r="J6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6" s="231"/>
      <c r="L66" s="231"/>
      <c r="M66" s="7"/>
    </row>
    <row r="67" spans="1:13" s="8" customFormat="1" x14ac:dyDescent="0.2">
      <c r="A67" s="322">
        <f>IF(AND(VeteransList[[#This Row],[First &amp; Last Name]]="",VeteransList[[#This Row],[FISTF Code]]=""),"",ROW()-ROW($A$11))</f>
        <v>56</v>
      </c>
      <c r="B67" s="504" t="s">
        <v>10584</v>
      </c>
      <c r="C67" s="437"/>
      <c r="D67" s="422" t="b">
        <f>IF(VeteransList[[#This Row],[First &amp; Last Name]]="","",IFERROR(ISNUMBER(MATCH(VeteransList[[#This Row],[First &amp; Last Name]],Players[Player Name],0)),FALSE))</f>
        <v>1</v>
      </c>
      <c r="E67" s="422" t="b">
        <f>IF(VeteransList[[#This Row],[FISTF Code]]="",FALSE,IFERROR(ISNUMBER(MATCH(VeteransList[[#This Row],[FISTF Code]],Players[FISTF Code],0)),FALSE))</f>
        <v>0</v>
      </c>
      <c r="F67" s="420" t="str">
        <f>IF(AND(VeteransList[[#This Row],[First &amp; Last Name]]="",VeteransList[[#This Row],[FISTF Code]]=""),"",IF(VeteransList[[#This Row],[Valide Code ?]],INDEX(Players[Player Name],MATCH(VeteransList[[#This Row],[FISTF Code]],Players[FISTF Code],0)),VeteransList[[#This Row],[First &amp; Last Name]]))</f>
        <v>John Moore</v>
      </c>
      <c r="G67" s="233" t="str">
        <f>IF(VeteransList[[#This Row],[Retained Player Name]]="","",VLOOKUP(VeteransList[[#This Row],[Retained Player Name]],Players[],7,FALSE))</f>
        <v>IRL</v>
      </c>
      <c r="H67" s="235" t="str">
        <f>IF(VeteransList[[#This Row],[Retained Player Name]]="","",VLOOKUP(VeteransList[[#This Row],[Retained Player Name]],Players[],6,FALSE))</f>
        <v>Irish Premier League</v>
      </c>
      <c r="I67" s="235" t="str">
        <f>IF(VeteransList[[#This Row],[Retained Player Name]]="","",VLOOKUP(VeteransList[[#This Row],[Retained Player Name]],Players[],4,FALSE))</f>
        <v>IRL0003</v>
      </c>
      <c r="J6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7" s="231"/>
      <c r="L67" s="231"/>
      <c r="M67" s="7"/>
    </row>
    <row r="68" spans="1:13" s="8" customFormat="1" x14ac:dyDescent="0.2">
      <c r="A68" s="322">
        <f>IF(AND(VeteransList[[#This Row],[First &amp; Last Name]]="",VeteransList[[#This Row],[FISTF Code]]=""),"",ROW()-ROW($A$11))</f>
        <v>57</v>
      </c>
      <c r="B68" s="504" t="s">
        <v>12619</v>
      </c>
      <c r="C68" s="437"/>
      <c r="D68" s="422" t="b">
        <f>IF(VeteransList[[#This Row],[First &amp; Last Name]]="","",IFERROR(ISNUMBER(MATCH(VeteransList[[#This Row],[First &amp; Last Name]],Players[Player Name],0)),FALSE))</f>
        <v>1</v>
      </c>
      <c r="E68" s="422" t="b">
        <f>IF(VeteransList[[#This Row],[FISTF Code]]="",FALSE,IFERROR(ISNUMBER(MATCH(VeteransList[[#This Row],[FISTF Code]],Players[FISTF Code],0)),FALSE))</f>
        <v>0</v>
      </c>
      <c r="F68" s="420" t="str">
        <f>IF(AND(VeteransList[[#This Row],[First &amp; Last Name]]="",VeteransList[[#This Row],[FISTF Code]]=""),"",IF(VeteransList[[#This Row],[Valide Code ?]],INDEX(Players[Player Name],MATCH(VeteransList[[#This Row],[FISTF Code]],Players[FISTF Code],0)),VeteransList[[#This Row],[First &amp; Last Name]]))</f>
        <v>Richard Oranje</v>
      </c>
      <c r="G68" s="233" t="str">
        <f>IF(VeteransList[[#This Row],[Retained Player Name]]="","",VLOOKUP(VeteransList[[#This Row],[Retained Player Name]],Players[],7,FALSE))</f>
        <v>NED</v>
      </c>
      <c r="H68" s="235" t="str">
        <f>IF(VeteransList[[#This Row],[Retained Player Name]]="","",VLOOKUP(VeteransList[[#This Row],[Retained Player Name]],Players[],6,FALSE))</f>
        <v>Dutch Legends</v>
      </c>
      <c r="I68" s="235" t="str">
        <f>IF(VeteransList[[#This Row],[Retained Player Name]]="","",VLOOKUP(VeteransList[[#This Row],[Retained Player Name]],Players[],4,FALSE))</f>
        <v>NED0047</v>
      </c>
      <c r="J6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8" s="231"/>
      <c r="L68" s="231"/>
      <c r="M68" s="7"/>
    </row>
    <row r="69" spans="1:13" s="8" customFormat="1" x14ac:dyDescent="0.2">
      <c r="A69" s="322">
        <f>IF(AND(VeteransList[[#This Row],[First &amp; Last Name]]="",VeteransList[[#This Row],[FISTF Code]]=""),"",ROW()-ROW($A$11))</f>
        <v>58</v>
      </c>
      <c r="B69" s="504" t="s">
        <v>8133</v>
      </c>
      <c r="C69" s="437"/>
      <c r="D69" s="422" t="b">
        <f>IF(VeteransList[[#This Row],[First &amp; Last Name]]="","",IFERROR(ISNUMBER(MATCH(VeteransList[[#This Row],[First &amp; Last Name]],Players[Player Name],0)),FALSE))</f>
        <v>1</v>
      </c>
      <c r="E69" s="422" t="b">
        <f>IF(VeteransList[[#This Row],[FISTF Code]]="",FALSE,IFERROR(ISNUMBER(MATCH(VeteransList[[#This Row],[FISTF Code]],Players[FISTF Code],0)),FALSE))</f>
        <v>0</v>
      </c>
      <c r="F69" s="420" t="str">
        <f>IF(AND(VeteransList[[#This Row],[First &amp; Last Name]]="",VeteransList[[#This Row],[FISTF Code]]=""),"",IF(VeteransList[[#This Row],[Valide Code ?]],INDEX(Players[Player Name],MATCH(VeteransList[[#This Row],[FISTF Code]],Players[FISTF Code],0)),VeteransList[[#This Row],[First &amp; Last Name]]))</f>
        <v>Didier Stevenot</v>
      </c>
      <c r="G69" s="233" t="str">
        <f>IF(VeteransList[[#This Row],[Retained Player Name]]="","",VLOOKUP(VeteransList[[#This Row],[Retained Player Name]],Players[],7,FALSE))</f>
        <v>BEL</v>
      </c>
      <c r="H69" s="235" t="str">
        <f>IF(VeteransList[[#This Row],[Retained Player Name]]="","",VLOOKUP(VeteransList[[#This Row],[Retained Player Name]],Players[],6,FALSE))</f>
        <v>JSC Rochefort</v>
      </c>
      <c r="I69" s="235" t="str">
        <f>IF(VeteransList[[#This Row],[Retained Player Name]]="","",VLOOKUP(VeteransList[[#This Row],[Retained Player Name]],Players[],4,FALSE))</f>
        <v>BEL0092</v>
      </c>
      <c r="J6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69" s="231"/>
      <c r="L69" s="231"/>
      <c r="M69" s="7"/>
    </row>
    <row r="70" spans="1:13" s="8" customFormat="1" x14ac:dyDescent="0.2">
      <c r="A70" s="322">
        <f>IF(AND(VeteransList[[#This Row],[First &amp; Last Name]]="",VeteransList[[#This Row],[FISTF Code]]=""),"",ROW()-ROW($A$11))</f>
        <v>59</v>
      </c>
      <c r="B70" s="504" t="s">
        <v>11690</v>
      </c>
      <c r="C70" s="437"/>
      <c r="D70" s="422" t="b">
        <f>IF(VeteransList[[#This Row],[First &amp; Last Name]]="","",IFERROR(ISNUMBER(MATCH(VeteransList[[#This Row],[First &amp; Last Name]],Players[Player Name],0)),FALSE))</f>
        <v>1</v>
      </c>
      <c r="E70" s="422" t="b">
        <f>IF(VeteransList[[#This Row],[FISTF Code]]="",FALSE,IFERROR(ISNUMBER(MATCH(VeteransList[[#This Row],[FISTF Code]],Players[FISTF Code],0)),FALSE))</f>
        <v>0</v>
      </c>
      <c r="F70" s="420" t="str">
        <f>IF(AND(VeteransList[[#This Row],[First &amp; Last Name]]="",VeteransList[[#This Row],[FISTF Code]]=""),"",IF(VeteransList[[#This Row],[Valide Code ?]],INDEX(Players[Player Name],MATCH(VeteransList[[#This Row],[FISTF Code]],Players[FISTF Code],0)),VeteransList[[#This Row],[First &amp; Last Name]]))</f>
        <v>Laurent Ausset</v>
      </c>
      <c r="G70" s="233" t="str">
        <f>IF(VeteransList[[#This Row],[Retained Player Name]]="","",VLOOKUP(VeteransList[[#This Row],[Retained Player Name]],Players[],7,FALSE))</f>
        <v>FRA</v>
      </c>
      <c r="H70" s="235" t="str">
        <f>IF(VeteransList[[#This Row],[Retained Player Name]]="","",VLOOKUP(VeteransList[[#This Row],[Retained Player Name]],Players[],6,FALSE))</f>
        <v>Elan Subbutéo Club de Champs-sur-Marne</v>
      </c>
      <c r="I70" s="235" t="str">
        <f>IF(VeteransList[[#This Row],[Retained Player Name]]="","",VLOOKUP(VeteransList[[#This Row],[Retained Player Name]],Players[],4,FALSE))</f>
        <v>FRA0119</v>
      </c>
      <c r="J7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0" s="231"/>
      <c r="L70" s="231"/>
      <c r="M70" s="7"/>
    </row>
    <row r="71" spans="1:13" s="8" customFormat="1" x14ac:dyDescent="0.2">
      <c r="A71" s="322">
        <f>IF(AND(VeteransList[[#This Row],[First &amp; Last Name]]="",VeteransList[[#This Row],[FISTF Code]]=""),"",ROW()-ROW($A$11))</f>
        <v>60</v>
      </c>
      <c r="B71" s="504" t="s">
        <v>10451</v>
      </c>
      <c r="C71" s="437"/>
      <c r="D71" s="422" t="b">
        <f>IF(VeteransList[[#This Row],[First &amp; Last Name]]="","",IFERROR(ISNUMBER(MATCH(VeteransList[[#This Row],[First &amp; Last Name]],Players[Player Name],0)),FALSE))</f>
        <v>1</v>
      </c>
      <c r="E71" s="422" t="b">
        <f>IF(VeteransList[[#This Row],[FISTF Code]]="",FALSE,IFERROR(ISNUMBER(MATCH(VeteransList[[#This Row],[FISTF Code]],Players[FISTF Code],0)),FALSE))</f>
        <v>0</v>
      </c>
      <c r="F71" s="420" t="str">
        <f>IF(AND(VeteransList[[#This Row],[First &amp; Last Name]]="",VeteransList[[#This Row],[FISTF Code]]=""),"",IF(VeteransList[[#This Row],[Valide Code ?]],INDEX(Players[Player Name],MATCH(VeteransList[[#This Row],[FISTF Code]],Players[FISTF Code],0)),VeteransList[[#This Row],[First &amp; Last Name]]))</f>
        <v>René Bolte</v>
      </c>
      <c r="G71" s="233" t="str">
        <f>IF(VeteransList[[#This Row],[Retained Player Name]]="","",VLOOKUP(VeteransList[[#This Row],[Retained Player Name]],Players[],7,FALSE))</f>
        <v>NED</v>
      </c>
      <c r="H71" s="235" t="str">
        <f>IF(VeteransList[[#This Row],[Retained Player Name]]="","",VLOOKUP(VeteransList[[#This Row],[Retained Player Name]],Players[],6,FALSE))</f>
        <v>Free Agent</v>
      </c>
      <c r="I71" s="235" t="str">
        <f>IF(VeteransList[[#This Row],[Retained Player Name]]="","",VLOOKUP(VeteransList[[#This Row],[Retained Player Name]],Players[],4,FALSE))</f>
        <v>NED0017</v>
      </c>
      <c r="J7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1" s="231"/>
      <c r="L71" s="231"/>
      <c r="M71" s="7"/>
    </row>
    <row r="72" spans="1:13" s="8" customFormat="1" x14ac:dyDescent="0.2">
      <c r="A72" s="322">
        <f>IF(AND(VeteransList[[#This Row],[First &amp; Last Name]]="",VeteransList[[#This Row],[FISTF Code]]=""),"",ROW()-ROW($A$11))</f>
        <v>61</v>
      </c>
      <c r="B72" s="504" t="s">
        <v>8514</v>
      </c>
      <c r="C72" s="437"/>
      <c r="D72" s="422" t="b">
        <f>IF(VeteransList[[#This Row],[First &amp; Last Name]]="","",IFERROR(ISNUMBER(MATCH(VeteransList[[#This Row],[First &amp; Last Name]],Players[Player Name],0)),FALSE))</f>
        <v>1</v>
      </c>
      <c r="E72" s="422" t="b">
        <f>IF(VeteransList[[#This Row],[FISTF Code]]="",FALSE,IFERROR(ISNUMBER(MATCH(VeteransList[[#This Row],[FISTF Code]],Players[FISTF Code],0)),FALSE))</f>
        <v>0</v>
      </c>
      <c r="F72" s="420" t="str">
        <f>IF(AND(VeteransList[[#This Row],[First &amp; Last Name]]="",VeteransList[[#This Row],[FISTF Code]]=""),"",IF(VeteransList[[#This Row],[Valide Code ?]],INDEX(Players[Player Name],MATCH(VeteransList[[#This Row],[FISTF Code]],Players[FISTF Code],0)),VeteransList[[#This Row],[First &amp; Last Name]]))</f>
        <v>Terry Arnold</v>
      </c>
      <c r="G72" s="233" t="str">
        <f>IF(VeteransList[[#This Row],[Retained Player Name]]="","",VLOOKUP(VeteransList[[#This Row],[Retained Player Name]],Players[],7,FALSE))</f>
        <v>ENG</v>
      </c>
      <c r="H72" s="235" t="str">
        <f>IF(VeteransList[[#This Row],[Retained Player Name]]="","",VLOOKUP(VeteransList[[#This Row],[Retained Player Name]],Players[],6,FALSE))</f>
        <v>Kent Invicta TFC</v>
      </c>
      <c r="I72" s="235" t="str">
        <f>IF(VeteransList[[#This Row],[Retained Player Name]]="","",VLOOKUP(VeteransList[[#This Row],[Retained Player Name]],Players[],4,FALSE))</f>
        <v>ENG0082</v>
      </c>
      <c r="J7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2" s="231"/>
      <c r="L72" s="231"/>
      <c r="M72" s="7"/>
    </row>
    <row r="73" spans="1:13" s="8" customFormat="1" x14ac:dyDescent="0.2">
      <c r="A73" s="322">
        <f>IF(AND(VeteransList[[#This Row],[First &amp; Last Name]]="",VeteransList[[#This Row],[FISTF Code]]=""),"",ROW()-ROW($A$11))</f>
        <v>62</v>
      </c>
      <c r="B73" s="504" t="s">
        <v>8547</v>
      </c>
      <c r="C73" s="437"/>
      <c r="D73" s="422" t="b">
        <f>IF(VeteransList[[#This Row],[First &amp; Last Name]]="","",IFERROR(ISNUMBER(MATCH(VeteransList[[#This Row],[First &amp; Last Name]],Players[Player Name],0)),FALSE))</f>
        <v>1</v>
      </c>
      <c r="E73" s="422" t="b">
        <f>IF(VeteransList[[#This Row],[FISTF Code]]="",FALSE,IFERROR(ISNUMBER(MATCH(VeteransList[[#This Row],[FISTF Code]],Players[FISTF Code],0)),FALSE))</f>
        <v>0</v>
      </c>
      <c r="F73" s="420" t="str">
        <f>IF(AND(VeteransList[[#This Row],[First &amp; Last Name]]="",VeteransList[[#This Row],[FISTF Code]]=""),"",IF(VeteransList[[#This Row],[Valide Code ?]],INDEX(Players[Player Name],MATCH(VeteransList[[#This Row],[FISTF Code]],Players[FISTF Code],0)),VeteransList[[#This Row],[First &amp; Last Name]]))</f>
        <v>Jason Christopher</v>
      </c>
      <c r="G73" s="233" t="str">
        <f>IF(VeteransList[[#This Row],[Retained Player Name]]="","",VLOOKUP(VeteransList[[#This Row],[Retained Player Name]],Players[],7,FALSE))</f>
        <v>ENG</v>
      </c>
      <c r="H73" s="235" t="str">
        <f>IF(VeteransList[[#This Row],[Retained Player Name]]="","",VLOOKUP(VeteransList[[#This Row],[Retained Player Name]],Players[],6,FALSE))</f>
        <v>Kent Invicta TFC</v>
      </c>
      <c r="I73" s="235" t="str">
        <f>IF(VeteransList[[#This Row],[Retained Player Name]]="","",VLOOKUP(VeteransList[[#This Row],[Retained Player Name]],Players[],4,FALSE))</f>
        <v>ENG0333</v>
      </c>
      <c r="J7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3" s="231"/>
      <c r="L73" s="231"/>
      <c r="M73" s="7"/>
    </row>
    <row r="74" spans="1:13" s="8" customFormat="1" x14ac:dyDescent="0.2">
      <c r="A74" s="322">
        <f>IF(AND(VeteransList[[#This Row],[First &amp; Last Name]]="",VeteransList[[#This Row],[FISTF Code]]=""),"",ROW()-ROW($A$11))</f>
        <v>63</v>
      </c>
      <c r="B74" s="504" t="s">
        <v>13262</v>
      </c>
      <c r="C74" s="437"/>
      <c r="D74" s="422" t="b">
        <f>IF(VeteransList[[#This Row],[First &amp; Last Name]]="","",IFERROR(ISNUMBER(MATCH(VeteransList[[#This Row],[First &amp; Last Name]],Players[Player Name],0)),FALSE))</f>
        <v>1</v>
      </c>
      <c r="E74" s="422" t="b">
        <f>IF(VeteransList[[#This Row],[FISTF Code]]="",FALSE,IFERROR(ISNUMBER(MATCH(VeteransList[[#This Row],[FISTF Code]],Players[FISTF Code],0)),FALSE))</f>
        <v>0</v>
      </c>
      <c r="F74" s="420" t="str">
        <f>IF(AND(VeteransList[[#This Row],[First &amp; Last Name]]="",VeteransList[[#This Row],[FISTF Code]]=""),"",IF(VeteransList[[#This Row],[Valide Code ?]],INDEX(Players[Player Name],MATCH(VeteransList[[#This Row],[FISTF Code]],Players[FISTF Code],0)),VeteransList[[#This Row],[First &amp; Last Name]]))</f>
        <v>Martin Colwell</v>
      </c>
      <c r="G74" s="233" t="str">
        <f>IF(VeteransList[[#This Row],[Retained Player Name]]="","",VLOOKUP(VeteransList[[#This Row],[Retained Player Name]],Players[],7,FALSE))</f>
        <v>ENG</v>
      </c>
      <c r="H74" s="235" t="str">
        <f>IF(VeteransList[[#This Row],[Retained Player Name]]="","",VLOOKUP(VeteransList[[#This Row],[Retained Player Name]],Players[],6,FALSE))</f>
        <v>Kent Invicta TFC</v>
      </c>
      <c r="I74" s="235" t="str">
        <f>IF(VeteransList[[#This Row],[Retained Player Name]]="","",VLOOKUP(VeteransList[[#This Row],[Retained Player Name]],Players[],4,FALSE))</f>
        <v>ENG0530</v>
      </c>
      <c r="J7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4" s="231"/>
      <c r="L74" s="231"/>
      <c r="M74" s="7"/>
    </row>
    <row r="75" spans="1:13" s="8" customFormat="1" x14ac:dyDescent="0.2">
      <c r="A75" s="322">
        <f>IF(AND(VeteransList[[#This Row],[First &amp; Last Name]]="",VeteransList[[#This Row],[FISTF Code]]=""),"",ROW()-ROW($A$11))</f>
        <v>64</v>
      </c>
      <c r="B75" s="504" t="s">
        <v>8546</v>
      </c>
      <c r="C75" s="437"/>
      <c r="D75" s="422" t="b">
        <f>IF(VeteransList[[#This Row],[First &amp; Last Name]]="","",IFERROR(ISNUMBER(MATCH(VeteransList[[#This Row],[First &amp; Last Name]],Players[Player Name],0)),FALSE))</f>
        <v>1</v>
      </c>
      <c r="E75" s="422" t="b">
        <f>IF(VeteransList[[#This Row],[FISTF Code]]="",FALSE,IFERROR(ISNUMBER(MATCH(VeteransList[[#This Row],[FISTF Code]],Players[FISTF Code],0)),FALSE))</f>
        <v>0</v>
      </c>
      <c r="F75" s="420" t="str">
        <f>IF(AND(VeteransList[[#This Row],[First &amp; Last Name]]="",VeteransList[[#This Row],[FISTF Code]]=""),"",IF(VeteransList[[#This Row],[Valide Code ?]],INDEX(Players[Player Name],MATCH(VeteransList[[#This Row],[FISTF Code]],Players[FISTF Code],0)),VeteransList[[#This Row],[First &amp; Last Name]]))</f>
        <v>Malcolm Jamieson</v>
      </c>
      <c r="G75" s="233" t="str">
        <f>IF(VeteransList[[#This Row],[Retained Player Name]]="","",VLOOKUP(VeteransList[[#This Row],[Retained Player Name]],Players[],7,FALSE))</f>
        <v>ENG</v>
      </c>
      <c r="H75" s="235" t="str">
        <f>IF(VeteransList[[#This Row],[Retained Player Name]]="","",VLOOKUP(VeteransList[[#This Row],[Retained Player Name]],Players[],6,FALSE))</f>
        <v>Kent Invicta TFC</v>
      </c>
      <c r="I75" s="235" t="str">
        <f>IF(VeteransList[[#This Row],[Retained Player Name]]="","",VLOOKUP(VeteransList[[#This Row],[Retained Player Name]],Players[],4,FALSE))</f>
        <v>ENG0323</v>
      </c>
      <c r="J7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5" s="231"/>
      <c r="L75" s="231"/>
      <c r="M75" s="7"/>
    </row>
    <row r="76" spans="1:13" s="8" customFormat="1" x14ac:dyDescent="0.2">
      <c r="A76" s="322">
        <f>IF(AND(VeteransList[[#This Row],[First &amp; Last Name]]="",VeteransList[[#This Row],[FISTF Code]]=""),"",ROW()-ROW($A$11))</f>
        <v>65</v>
      </c>
      <c r="B76" s="504" t="s">
        <v>11473</v>
      </c>
      <c r="C76" s="437"/>
      <c r="D76" s="422" t="b">
        <f>IF(VeteransList[[#This Row],[First &amp; Last Name]]="","",IFERROR(ISNUMBER(MATCH(VeteransList[[#This Row],[First &amp; Last Name]],Players[Player Name],0)),FALSE))</f>
        <v>1</v>
      </c>
      <c r="E76" s="422" t="b">
        <f>IF(VeteransList[[#This Row],[FISTF Code]]="",FALSE,IFERROR(ISNUMBER(MATCH(VeteransList[[#This Row],[FISTF Code]],Players[FISTF Code],0)),FALSE))</f>
        <v>0</v>
      </c>
      <c r="F76" s="420" t="str">
        <f>IF(AND(VeteransList[[#This Row],[First &amp; Last Name]]="",VeteransList[[#This Row],[FISTF Code]]=""),"",IF(VeteransList[[#This Row],[Valide Code ?]],INDEX(Players[Player Name],MATCH(VeteransList[[#This Row],[FISTF Code]],Players[FISTF Code],0)),VeteransList[[#This Row],[First &amp; Last Name]]))</f>
        <v>Xavier Aret</v>
      </c>
      <c r="G76" s="233" t="str">
        <f>IF(VeteransList[[#This Row],[Retained Player Name]]="","",VLOOKUP(VeteransList[[#This Row],[Retained Player Name]],Players[],7,FALSE))</f>
        <v>NED</v>
      </c>
      <c r="H76" s="235" t="str">
        <f>IF(VeteransList[[#This Row],[Retained Player Name]]="","",VLOOKUP(VeteransList[[#This Row],[Retained Player Name]],Players[],6,FALSE))</f>
        <v>Dutch Legends</v>
      </c>
      <c r="I76" s="235" t="str">
        <f>IF(VeteransList[[#This Row],[Retained Player Name]]="","",VLOOKUP(VeteransList[[#This Row],[Retained Player Name]],Players[],4,FALSE))</f>
        <v>NED0051</v>
      </c>
      <c r="J7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6" s="231"/>
      <c r="L76" s="231"/>
      <c r="M76" s="7"/>
    </row>
    <row r="77" spans="1:13" s="8" customFormat="1" x14ac:dyDescent="0.2">
      <c r="A77" s="322">
        <f>IF(AND(VeteransList[[#This Row],[First &amp; Last Name]]="",VeteransList[[#This Row],[FISTF Code]]=""),"",ROW()-ROW($A$11))</f>
        <v>66</v>
      </c>
      <c r="B77" s="504" t="s">
        <v>14514</v>
      </c>
      <c r="C77" s="437"/>
      <c r="D77" s="422" t="b">
        <f>IF(VeteransList[[#This Row],[First &amp; Last Name]]="","",IFERROR(ISNUMBER(MATCH(VeteransList[[#This Row],[First &amp; Last Name]],Players[Player Name],0)),FALSE))</f>
        <v>1</v>
      </c>
      <c r="E77" s="422" t="b">
        <f>IF(VeteransList[[#This Row],[FISTF Code]]="",FALSE,IFERROR(ISNUMBER(MATCH(VeteransList[[#This Row],[FISTF Code]],Players[FISTF Code],0)),FALSE))</f>
        <v>0</v>
      </c>
      <c r="F77" s="420" t="str">
        <f>IF(AND(VeteransList[[#This Row],[First &amp; Last Name]]="",VeteransList[[#This Row],[FISTF Code]]=""),"",IF(VeteransList[[#This Row],[Valide Code ?]],INDEX(Players[Player Name],MATCH(VeteransList[[#This Row],[FISTF Code]],Players[FISTF Code],0)),VeteransList[[#This Row],[First &amp; Last Name]]))</f>
        <v>Fabian Limpens</v>
      </c>
      <c r="G77" s="233" t="str">
        <f>IF(VeteransList[[#This Row],[Retained Player Name]]="","",VLOOKUP(VeteransList[[#This Row],[Retained Player Name]],Players[],7,FALSE))</f>
        <v>BEL</v>
      </c>
      <c r="H77" s="235" t="str">
        <f>IF(VeteransList[[#This Row],[Retained Player Name]]="","",VLOOKUP(VeteransList[[#This Row],[Retained Player Name]],Players[],6,FALSE))</f>
        <v>free agent</v>
      </c>
      <c r="I77" s="235" t="str">
        <f>IF(VeteransList[[#This Row],[Retained Player Name]]="","",VLOOKUP(VeteransList[[#This Row],[Retained Player Name]],Players[],4,FALSE))</f>
        <v>BEL0023</v>
      </c>
      <c r="J7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7" s="231"/>
      <c r="L77" s="231"/>
      <c r="M77" s="7"/>
    </row>
    <row r="78" spans="1:13" s="8" customFormat="1" x14ac:dyDescent="0.2">
      <c r="A78" s="322">
        <f>IF(AND(VeteransList[[#This Row],[First &amp; Last Name]]="",VeteransList[[#This Row],[FISTF Code]]=""),"",ROW()-ROW($A$11))</f>
        <v>67</v>
      </c>
      <c r="B78" s="504" t="s">
        <v>13920</v>
      </c>
      <c r="C78" s="437"/>
      <c r="D78" s="422" t="b">
        <f>IF(VeteransList[[#This Row],[First &amp; Last Name]]="","",IFERROR(ISNUMBER(MATCH(VeteransList[[#This Row],[First &amp; Last Name]],Players[Player Name],0)),FALSE))</f>
        <v>1</v>
      </c>
      <c r="E78" s="422" t="b">
        <f>IF(VeteransList[[#This Row],[FISTF Code]]="",FALSE,IFERROR(ISNUMBER(MATCH(VeteransList[[#This Row],[FISTF Code]],Players[FISTF Code],0)),FALSE))</f>
        <v>0</v>
      </c>
      <c r="F78" s="420" t="str">
        <f>IF(AND(VeteransList[[#This Row],[First &amp; Last Name]]="",VeteransList[[#This Row],[FISTF Code]]=""),"",IF(VeteransList[[#This Row],[Valide Code ?]],INDEX(Players[Player Name],MATCH(VeteransList[[#This Row],[FISTF Code]],Players[FISTF Code],0)),VeteransList[[#This Row],[First &amp; Last Name]]))</f>
        <v>Adrian Pigott</v>
      </c>
      <c r="G78" s="233" t="str">
        <f>IF(VeteransList[[#This Row],[Retained Player Name]]="","",VLOOKUP(VeteransList[[#This Row],[Retained Player Name]],Players[],7,FALSE))</f>
        <v>IRL</v>
      </c>
      <c r="H78" s="235" t="str">
        <f>IF(VeteransList[[#This Row],[Retained Player Name]]="","",VLOOKUP(VeteransList[[#This Row],[Retained Player Name]],Players[],6,FALSE))</f>
        <v>Irish Premier League</v>
      </c>
      <c r="I78" s="235" t="str">
        <f>IF(VeteransList[[#This Row],[Retained Player Name]]="","",VLOOKUP(VeteransList[[#This Row],[Retained Player Name]],Players[],4,FALSE))</f>
        <v>IRL0020</v>
      </c>
      <c r="J7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78" s="231"/>
      <c r="L78" s="231"/>
      <c r="M78" s="7"/>
    </row>
    <row r="79" spans="1:13" s="8" customFormat="1" x14ac:dyDescent="0.2">
      <c r="A79" s="322">
        <f>IF(AND(VeteransList[[#This Row],[First &amp; Last Name]]="",VeteransList[[#This Row],[FISTF Code]]=""),"",ROW()-ROW($A$11))</f>
        <v>68</v>
      </c>
      <c r="B79" s="504" t="s">
        <v>14555</v>
      </c>
      <c r="C79" s="437"/>
      <c r="D79" s="422" t="b">
        <f>IF(VeteransList[[#This Row],[First &amp; Last Name]]="","",IFERROR(ISNUMBER(MATCH(VeteransList[[#This Row],[First &amp; Last Name]],Players[Player Name],0)),FALSE))</f>
        <v>1</v>
      </c>
      <c r="E79" s="422" t="b">
        <f>IF(VeteransList[[#This Row],[FISTF Code]]="",FALSE,IFERROR(ISNUMBER(MATCH(VeteransList[[#This Row],[FISTF Code]],Players[FISTF Code],0)),FALSE))</f>
        <v>0</v>
      </c>
      <c r="F79" s="420" t="str">
        <f>IF(AND(VeteransList[[#This Row],[First &amp; Last Name]]="",VeteransList[[#This Row],[FISTF Code]]=""),"",IF(VeteransList[[#This Row],[Valide Code ?]],INDEX(Players[Player Name],MATCH(VeteransList[[#This Row],[FISTF Code]],Players[FISTF Code],0)),VeteransList[[#This Row],[First &amp; Last Name]]))</f>
        <v>Sébastien Rochez</v>
      </c>
      <c r="G79" s="233" t="str">
        <f>IF(VeteransList[[#This Row],[Retained Player Name]]="","",VLOOKUP(VeteransList[[#This Row],[Retained Player Name]],Players[],7,FALSE))</f>
        <v>BEL</v>
      </c>
      <c r="H79" s="235" t="str">
        <f>IF(VeteransList[[#This Row],[Retained Player Name]]="","",VLOOKUP(VeteransList[[#This Row],[Retained Player Name]],Players[],6,FALSE))</f>
        <v>Templeuve Utd TSC</v>
      </c>
      <c r="I79" s="235" t="str">
        <f>IF(VeteransList[[#This Row],[Retained Player Name]]="","",VLOOKUP(VeteransList[[#This Row],[Retained Player Name]],Players[],4,FALSE))</f>
        <v>BEL0481</v>
      </c>
      <c r="J7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79" s="231"/>
      <c r="L79" s="231"/>
      <c r="M79" s="7"/>
    </row>
    <row r="80" spans="1:13" x14ac:dyDescent="0.2">
      <c r="A80" s="322">
        <f>IF(AND(VeteransList[[#This Row],[First &amp; Last Name]]="",VeteransList[[#This Row],[FISTF Code]]=""),"",ROW()-ROW($A$11))</f>
        <v>69</v>
      </c>
      <c r="B80" s="504" t="s">
        <v>14571</v>
      </c>
      <c r="C80" s="437"/>
      <c r="D80" s="422" t="b">
        <f>IF(VeteransList[[#This Row],[First &amp; Last Name]]="","",IFERROR(ISNUMBER(MATCH(VeteransList[[#This Row],[First &amp; Last Name]],Players[Player Name],0)),FALSE))</f>
        <v>1</v>
      </c>
      <c r="E80" s="422" t="b">
        <f>IF(VeteransList[[#This Row],[FISTF Code]]="",FALSE,IFERROR(ISNUMBER(MATCH(VeteransList[[#This Row],[FISTF Code]],Players[FISTF Code],0)),FALSE))</f>
        <v>0</v>
      </c>
      <c r="F80" s="420" t="str">
        <f>IF(AND(VeteransList[[#This Row],[First &amp; Last Name]]="",VeteransList[[#This Row],[FISTF Code]]=""),"",IF(VeteransList[[#This Row],[Valide Code ?]],INDEX(Players[Player Name],MATCH(VeteransList[[#This Row],[FISTF Code]],Players[FISTF Code],0)),VeteransList[[#This Row],[First &amp; Last Name]]))</f>
        <v>Marc Sceraert</v>
      </c>
      <c r="G80" s="233" t="str">
        <f>IF(VeteransList[[#This Row],[Retained Player Name]]="","",VLOOKUP(VeteransList[[#This Row],[Retained Player Name]],Players[],7,FALSE))</f>
        <v>BEL</v>
      </c>
      <c r="H80" s="235" t="str">
        <f>IF(VeteransList[[#This Row],[Retained Player Name]]="","",VLOOKUP(VeteransList[[#This Row],[Retained Player Name]],Players[],6,FALSE))</f>
        <v>SC Lion's Eugies</v>
      </c>
      <c r="I80" s="235" t="str">
        <f>IF(VeteransList[[#This Row],[Retained Player Name]]="","",VLOOKUP(VeteransList[[#This Row],[Retained Player Name]],Players[],4,FALSE))</f>
        <v>BEL0480</v>
      </c>
      <c r="J8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80" s="231"/>
      <c r="L80" s="231"/>
    </row>
    <row r="81" spans="1:12" x14ac:dyDescent="0.2">
      <c r="A81" s="322">
        <f>IF(AND(VeteransList[[#This Row],[First &amp; Last Name]]="",VeteransList[[#This Row],[FISTF Code]]=""),"",ROW()-ROW($A$11))</f>
        <v>70</v>
      </c>
      <c r="B81" s="504" t="s">
        <v>14467</v>
      </c>
      <c r="C81" s="437"/>
      <c r="D81" s="422" t="b">
        <f>IF(VeteransList[[#This Row],[First &amp; Last Name]]="","",IFERROR(ISNUMBER(MATCH(VeteransList[[#This Row],[First &amp; Last Name]],Players[Player Name],0)),FALSE))</f>
        <v>1</v>
      </c>
      <c r="E81" s="422" t="b">
        <f>IF(VeteransList[[#This Row],[FISTF Code]]="",FALSE,IFERROR(ISNUMBER(MATCH(VeteransList[[#This Row],[FISTF Code]],Players[FISTF Code],0)),FALSE))</f>
        <v>0</v>
      </c>
      <c r="F81" s="420" t="str">
        <f>IF(AND(VeteransList[[#This Row],[First &amp; Last Name]]="",VeteransList[[#This Row],[FISTF Code]]=""),"",IF(VeteransList[[#This Row],[Valide Code ?]],INDEX(Players[Player Name],MATCH(VeteransList[[#This Row],[FISTF Code]],Players[FISTF Code],0)),VeteransList[[#This Row],[First &amp; Last Name]]))</f>
        <v>Florian Daxböck</v>
      </c>
      <c r="G81" s="233" t="str">
        <f>IF(VeteransList[[#This Row],[Retained Player Name]]="","",VLOOKUP(VeteransList[[#This Row],[Retained Player Name]],Players[],7,FALSE))</f>
        <v>AUT</v>
      </c>
      <c r="H81" s="235" t="str">
        <f>IF(VeteransList[[#This Row],[Retained Player Name]]="","",VLOOKUP(VeteransList[[#This Row],[Retained Player Name]],Players[],6,FALSE))</f>
        <v>Free Agent</v>
      </c>
      <c r="I81" s="235" t="str">
        <f>IF(VeteransList[[#This Row],[Retained Player Name]]="","",VLOOKUP(VeteransList[[#This Row],[Retained Player Name]],Players[],4,FALSE))</f>
        <v>AUT0125</v>
      </c>
      <c r="J8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81" s="231"/>
      <c r="L81" s="231"/>
    </row>
    <row r="82" spans="1:12" x14ac:dyDescent="0.2">
      <c r="A82" s="322" t="str">
        <f>IF(AND(VeteransList[[#This Row],[First &amp; Last Name]]="",VeteransList[[#This Row],[FISTF Code]]=""),"",ROW()-ROW($A$11))</f>
        <v/>
      </c>
      <c r="B82" s="323"/>
      <c r="C82" s="437"/>
      <c r="D82" s="422" t="str">
        <f>IF(VeteransList[[#This Row],[First &amp; Last Name]]="","",IFERROR(ISNUMBER(MATCH(VeteransList[[#This Row],[First &amp; Last Name]],Players[Player Name],0)),FALSE))</f>
        <v/>
      </c>
      <c r="E82" s="422" t="b">
        <f>IF(VeteransList[[#This Row],[FISTF Code]]="",FALSE,IFERROR(ISNUMBER(MATCH(VeteransList[[#This Row],[FISTF Code]],Players[FISTF Code],0)),FALSE))</f>
        <v>0</v>
      </c>
      <c r="F82" s="420" t="str">
        <f>IF(AND(VeteransList[[#This Row],[First &amp; Last Name]]="",VeteransList[[#This Row],[FISTF Code]]=""),"",IF(VeteransList[[#This Row],[Valide Code ?]],INDEX(Players[Player Name],MATCH(VeteransList[[#This Row],[FISTF Code]],Players[FISTF Code],0)),VeteransList[[#This Row],[First &amp; Last Name]]))</f>
        <v/>
      </c>
      <c r="G82" s="233" t="str">
        <f>IF(VeteransList[[#This Row],[Retained Player Name]]="","",VLOOKUP(VeteransList[[#This Row],[Retained Player Name]],Players[],7,FALSE))</f>
        <v/>
      </c>
      <c r="H82" s="235" t="str">
        <f>IF(VeteransList[[#This Row],[Retained Player Name]]="","",VLOOKUP(VeteransList[[#This Row],[Retained Player Name]],Players[],6,FALSE))</f>
        <v/>
      </c>
      <c r="I82" s="235" t="str">
        <f>IF(VeteransList[[#This Row],[Retained Player Name]]="","",VLOOKUP(VeteransList[[#This Row],[Retained Player Name]],Players[],4,FALSE))</f>
        <v/>
      </c>
      <c r="J8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2" s="231"/>
      <c r="L82" s="231"/>
    </row>
    <row r="83" spans="1:12" x14ac:dyDescent="0.2">
      <c r="A83" s="322" t="str">
        <f>IF(AND(VeteransList[[#This Row],[First &amp; Last Name]]="",VeteransList[[#This Row],[FISTF Code]]=""),"",ROW()-ROW($A$11))</f>
        <v/>
      </c>
      <c r="B83" s="323"/>
      <c r="C83" s="437"/>
      <c r="D83" s="422" t="str">
        <f>IF(VeteransList[[#This Row],[First &amp; Last Name]]="","",IFERROR(ISNUMBER(MATCH(VeteransList[[#This Row],[First &amp; Last Name]],Players[Player Name],0)),FALSE))</f>
        <v/>
      </c>
      <c r="E83" s="422" t="b">
        <f>IF(VeteransList[[#This Row],[FISTF Code]]="",FALSE,IFERROR(ISNUMBER(MATCH(VeteransList[[#This Row],[FISTF Code]],Players[FISTF Code],0)),FALSE))</f>
        <v>0</v>
      </c>
      <c r="F83" s="420" t="str">
        <f>IF(AND(VeteransList[[#This Row],[First &amp; Last Name]]="",VeteransList[[#This Row],[FISTF Code]]=""),"",IF(VeteransList[[#This Row],[Valide Code ?]],INDEX(Players[Player Name],MATCH(VeteransList[[#This Row],[FISTF Code]],Players[FISTF Code],0)),VeteransList[[#This Row],[First &amp; Last Name]]))</f>
        <v/>
      </c>
      <c r="G83" s="233" t="str">
        <f>IF(VeteransList[[#This Row],[Retained Player Name]]="","",VLOOKUP(VeteransList[[#This Row],[Retained Player Name]],Players[],7,FALSE))</f>
        <v/>
      </c>
      <c r="H83" s="235" t="str">
        <f>IF(VeteransList[[#This Row],[Retained Player Name]]="","",VLOOKUP(VeteransList[[#This Row],[Retained Player Name]],Players[],6,FALSE))</f>
        <v/>
      </c>
      <c r="I83" s="235" t="str">
        <f>IF(VeteransList[[#This Row],[Retained Player Name]]="","",VLOOKUP(VeteransList[[#This Row],[Retained Player Name]],Players[],4,FALSE))</f>
        <v/>
      </c>
      <c r="J8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3" s="231"/>
      <c r="L83" s="231"/>
    </row>
    <row r="84" spans="1:12" x14ac:dyDescent="0.2">
      <c r="A84" s="322" t="str">
        <f>IF(AND(VeteransList[[#This Row],[First &amp; Last Name]]="",VeteransList[[#This Row],[FISTF Code]]=""),"",ROW()-ROW($A$11))</f>
        <v/>
      </c>
      <c r="B84" s="323"/>
      <c r="C84" s="437"/>
      <c r="D84" s="422" t="str">
        <f>IF(VeteransList[[#This Row],[First &amp; Last Name]]="","",IFERROR(ISNUMBER(MATCH(VeteransList[[#This Row],[First &amp; Last Name]],Players[Player Name],0)),FALSE))</f>
        <v/>
      </c>
      <c r="E84" s="422" t="b">
        <f>IF(VeteransList[[#This Row],[FISTF Code]]="",FALSE,IFERROR(ISNUMBER(MATCH(VeteransList[[#This Row],[FISTF Code]],Players[FISTF Code],0)),FALSE))</f>
        <v>0</v>
      </c>
      <c r="F84" s="420" t="str">
        <f>IF(AND(VeteransList[[#This Row],[First &amp; Last Name]]="",VeteransList[[#This Row],[FISTF Code]]=""),"",IF(VeteransList[[#This Row],[Valide Code ?]],INDEX(Players[Player Name],MATCH(VeteransList[[#This Row],[FISTF Code]],Players[FISTF Code],0)),VeteransList[[#This Row],[First &amp; Last Name]]))</f>
        <v/>
      </c>
      <c r="G84" s="233" t="str">
        <f>IF(VeteransList[[#This Row],[Retained Player Name]]="","",VLOOKUP(VeteransList[[#This Row],[Retained Player Name]],Players[],7,FALSE))</f>
        <v/>
      </c>
      <c r="H84" s="235" t="str">
        <f>IF(VeteransList[[#This Row],[Retained Player Name]]="","",VLOOKUP(VeteransList[[#This Row],[Retained Player Name]],Players[],6,FALSE))</f>
        <v/>
      </c>
      <c r="I84" s="235" t="str">
        <f>IF(VeteransList[[#This Row],[Retained Player Name]]="","",VLOOKUP(VeteransList[[#This Row],[Retained Player Name]],Players[],4,FALSE))</f>
        <v/>
      </c>
      <c r="J8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4" s="231"/>
      <c r="L84" s="231"/>
    </row>
    <row r="85" spans="1:12" x14ac:dyDescent="0.2">
      <c r="A85" s="322" t="str">
        <f>IF(AND(VeteransList[[#This Row],[First &amp; Last Name]]="",VeteransList[[#This Row],[FISTF Code]]=""),"",ROW()-ROW($A$11))</f>
        <v/>
      </c>
      <c r="B85" s="323"/>
      <c r="C85" s="437"/>
      <c r="D85" s="422" t="str">
        <f>IF(VeteransList[[#This Row],[First &amp; Last Name]]="","",IFERROR(ISNUMBER(MATCH(VeteransList[[#This Row],[First &amp; Last Name]],Players[Player Name],0)),FALSE))</f>
        <v/>
      </c>
      <c r="E85" s="422" t="b">
        <f>IF(VeteransList[[#This Row],[FISTF Code]]="",FALSE,IFERROR(ISNUMBER(MATCH(VeteransList[[#This Row],[FISTF Code]],Players[FISTF Code],0)),FALSE))</f>
        <v>0</v>
      </c>
      <c r="F85" s="420" t="str">
        <f>IF(AND(VeteransList[[#This Row],[First &amp; Last Name]]="",VeteransList[[#This Row],[FISTF Code]]=""),"",IF(VeteransList[[#This Row],[Valide Code ?]],INDEX(Players[Player Name],MATCH(VeteransList[[#This Row],[FISTF Code]],Players[FISTF Code],0)),VeteransList[[#This Row],[First &amp; Last Name]]))</f>
        <v/>
      </c>
      <c r="G85" s="233" t="str">
        <f>IF(VeteransList[[#This Row],[Retained Player Name]]="","",VLOOKUP(VeteransList[[#This Row],[Retained Player Name]],Players[],7,FALSE))</f>
        <v/>
      </c>
      <c r="H85" s="235" t="str">
        <f>IF(VeteransList[[#This Row],[Retained Player Name]]="","",VLOOKUP(VeteransList[[#This Row],[Retained Player Name]],Players[],6,FALSE))</f>
        <v/>
      </c>
      <c r="I85" s="235" t="str">
        <f>IF(VeteransList[[#This Row],[Retained Player Name]]="","",VLOOKUP(VeteransList[[#This Row],[Retained Player Name]],Players[],4,FALSE))</f>
        <v/>
      </c>
      <c r="J8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5" s="231"/>
      <c r="L85" s="231"/>
    </row>
    <row r="86" spans="1:12" x14ac:dyDescent="0.2">
      <c r="A86" s="322" t="str">
        <f>IF(AND(VeteransList[[#This Row],[First &amp; Last Name]]="",VeteransList[[#This Row],[FISTF Code]]=""),"",ROW()-ROW($A$11))</f>
        <v/>
      </c>
      <c r="B86" s="323"/>
      <c r="C86" s="437"/>
      <c r="D86" s="422" t="str">
        <f>IF(VeteransList[[#This Row],[First &amp; Last Name]]="","",IFERROR(ISNUMBER(MATCH(VeteransList[[#This Row],[First &amp; Last Name]],Players[Player Name],0)),FALSE))</f>
        <v/>
      </c>
      <c r="E86" s="422" t="b">
        <f>IF(VeteransList[[#This Row],[FISTF Code]]="",FALSE,IFERROR(ISNUMBER(MATCH(VeteransList[[#This Row],[FISTF Code]],Players[FISTF Code],0)),FALSE))</f>
        <v>0</v>
      </c>
      <c r="F86" s="420" t="str">
        <f>IF(AND(VeteransList[[#This Row],[First &amp; Last Name]]="",VeteransList[[#This Row],[FISTF Code]]=""),"",IF(VeteransList[[#This Row],[Valide Code ?]],INDEX(Players[Player Name],MATCH(VeteransList[[#This Row],[FISTF Code]],Players[FISTF Code],0)),VeteransList[[#This Row],[First &amp; Last Name]]))</f>
        <v/>
      </c>
      <c r="G86" s="233" t="str">
        <f>IF(VeteransList[[#This Row],[Retained Player Name]]="","",VLOOKUP(VeteransList[[#This Row],[Retained Player Name]],Players[],7,FALSE))</f>
        <v/>
      </c>
      <c r="H86" s="235" t="str">
        <f>IF(VeteransList[[#This Row],[Retained Player Name]]="","",VLOOKUP(VeteransList[[#This Row],[Retained Player Name]],Players[],6,FALSE))</f>
        <v/>
      </c>
      <c r="I86" s="235" t="str">
        <f>IF(VeteransList[[#This Row],[Retained Player Name]]="","",VLOOKUP(VeteransList[[#This Row],[Retained Player Name]],Players[],4,FALSE))</f>
        <v/>
      </c>
      <c r="J8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6" s="231"/>
      <c r="L86" s="231"/>
    </row>
    <row r="87" spans="1:12" x14ac:dyDescent="0.2">
      <c r="A87" s="322" t="str">
        <f>IF(AND(VeteransList[[#This Row],[First &amp; Last Name]]="",VeteransList[[#This Row],[FISTF Code]]=""),"",ROW()-ROW($A$11))</f>
        <v/>
      </c>
      <c r="B87" s="323"/>
      <c r="C87" s="437"/>
      <c r="D87" s="422" t="str">
        <f>IF(VeteransList[[#This Row],[First &amp; Last Name]]="","",IFERROR(ISNUMBER(MATCH(VeteransList[[#This Row],[First &amp; Last Name]],Players[Player Name],0)),FALSE))</f>
        <v/>
      </c>
      <c r="E87" s="422" t="b">
        <f>IF(VeteransList[[#This Row],[FISTF Code]]="",FALSE,IFERROR(ISNUMBER(MATCH(VeteransList[[#This Row],[FISTF Code]],Players[FISTF Code],0)),FALSE))</f>
        <v>0</v>
      </c>
      <c r="F87" s="420" t="str">
        <f>IF(AND(VeteransList[[#This Row],[First &amp; Last Name]]="",VeteransList[[#This Row],[FISTF Code]]=""),"",IF(VeteransList[[#This Row],[Valide Code ?]],INDEX(Players[Player Name],MATCH(VeteransList[[#This Row],[FISTF Code]],Players[FISTF Code],0)),VeteransList[[#This Row],[First &amp; Last Name]]))</f>
        <v/>
      </c>
      <c r="G87" s="233" t="str">
        <f>IF(VeteransList[[#This Row],[Retained Player Name]]="","",VLOOKUP(VeteransList[[#This Row],[Retained Player Name]],Players[],7,FALSE))</f>
        <v/>
      </c>
      <c r="H87" s="235" t="str">
        <f>IF(VeteransList[[#This Row],[Retained Player Name]]="","",VLOOKUP(VeteransList[[#This Row],[Retained Player Name]],Players[],6,FALSE))</f>
        <v/>
      </c>
      <c r="I87" s="235" t="str">
        <f>IF(VeteransList[[#This Row],[Retained Player Name]]="","",VLOOKUP(VeteransList[[#This Row],[Retained Player Name]],Players[],4,FALSE))</f>
        <v/>
      </c>
      <c r="J8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7" s="231"/>
      <c r="L87" s="231"/>
    </row>
    <row r="88" spans="1:12" x14ac:dyDescent="0.2">
      <c r="A88" s="322" t="str">
        <f>IF(AND(VeteransList[[#This Row],[First &amp; Last Name]]="",VeteransList[[#This Row],[FISTF Code]]=""),"",ROW()-ROW($A$11))</f>
        <v/>
      </c>
      <c r="B88" s="323"/>
      <c r="C88" s="437"/>
      <c r="D88" s="422" t="str">
        <f>IF(VeteransList[[#This Row],[First &amp; Last Name]]="","",IFERROR(ISNUMBER(MATCH(VeteransList[[#This Row],[First &amp; Last Name]],Players[Player Name],0)),FALSE))</f>
        <v/>
      </c>
      <c r="E88" s="422" t="b">
        <f>IF(VeteransList[[#This Row],[FISTF Code]]="",FALSE,IFERROR(ISNUMBER(MATCH(VeteransList[[#This Row],[FISTF Code]],Players[FISTF Code],0)),FALSE))</f>
        <v>0</v>
      </c>
      <c r="F88" s="420" t="str">
        <f>IF(AND(VeteransList[[#This Row],[First &amp; Last Name]]="",VeteransList[[#This Row],[FISTF Code]]=""),"",IF(VeteransList[[#This Row],[Valide Code ?]],INDEX(Players[Player Name],MATCH(VeteransList[[#This Row],[FISTF Code]],Players[FISTF Code],0)),VeteransList[[#This Row],[First &amp; Last Name]]))</f>
        <v/>
      </c>
      <c r="G88" s="233" t="str">
        <f>IF(VeteransList[[#This Row],[Retained Player Name]]="","",VLOOKUP(VeteransList[[#This Row],[Retained Player Name]],Players[],7,FALSE))</f>
        <v/>
      </c>
      <c r="H88" s="235" t="str">
        <f>IF(VeteransList[[#This Row],[Retained Player Name]]="","",VLOOKUP(VeteransList[[#This Row],[Retained Player Name]],Players[],6,FALSE))</f>
        <v/>
      </c>
      <c r="I88" s="235" t="str">
        <f>IF(VeteransList[[#This Row],[Retained Player Name]]="","",VLOOKUP(VeteransList[[#This Row],[Retained Player Name]],Players[],4,FALSE))</f>
        <v/>
      </c>
      <c r="J8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8" s="231"/>
      <c r="L88" s="231"/>
    </row>
    <row r="89" spans="1:12" x14ac:dyDescent="0.2">
      <c r="A89" s="322" t="str">
        <f>IF(AND(VeteransList[[#This Row],[First &amp; Last Name]]="",VeteransList[[#This Row],[FISTF Code]]=""),"",ROW()-ROW($A$11))</f>
        <v/>
      </c>
      <c r="B89" s="323"/>
      <c r="C89" s="437"/>
      <c r="D89" s="422" t="str">
        <f>IF(VeteransList[[#This Row],[First &amp; Last Name]]="","",IFERROR(ISNUMBER(MATCH(VeteransList[[#This Row],[First &amp; Last Name]],Players[Player Name],0)),FALSE))</f>
        <v/>
      </c>
      <c r="E89" s="422" t="b">
        <f>IF(VeteransList[[#This Row],[FISTF Code]]="",FALSE,IFERROR(ISNUMBER(MATCH(VeteransList[[#This Row],[FISTF Code]],Players[FISTF Code],0)),FALSE))</f>
        <v>0</v>
      </c>
      <c r="F89" s="420" t="str">
        <f>IF(AND(VeteransList[[#This Row],[First &amp; Last Name]]="",VeteransList[[#This Row],[FISTF Code]]=""),"",IF(VeteransList[[#This Row],[Valide Code ?]],INDEX(Players[Player Name],MATCH(VeteransList[[#This Row],[FISTF Code]],Players[FISTF Code],0)),VeteransList[[#This Row],[First &amp; Last Name]]))</f>
        <v/>
      </c>
      <c r="G89" s="233" t="str">
        <f>IF(VeteransList[[#This Row],[Retained Player Name]]="","",VLOOKUP(VeteransList[[#This Row],[Retained Player Name]],Players[],7,FALSE))</f>
        <v/>
      </c>
      <c r="H89" s="235" t="str">
        <f>IF(VeteransList[[#This Row],[Retained Player Name]]="","",VLOOKUP(VeteransList[[#This Row],[Retained Player Name]],Players[],6,FALSE))</f>
        <v/>
      </c>
      <c r="I89" s="235" t="str">
        <f>IF(VeteransList[[#This Row],[Retained Player Name]]="","",VLOOKUP(VeteransList[[#This Row],[Retained Player Name]],Players[],4,FALSE))</f>
        <v/>
      </c>
      <c r="J8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9" s="231"/>
      <c r="L89" s="231"/>
    </row>
    <row r="90" spans="1:12" x14ac:dyDescent="0.2">
      <c r="A90" s="322" t="str">
        <f>IF(AND(VeteransList[[#This Row],[First &amp; Last Name]]="",VeteransList[[#This Row],[FISTF Code]]=""),"",ROW()-ROW($A$11))</f>
        <v/>
      </c>
      <c r="B90" s="323"/>
      <c r="C90" s="437"/>
      <c r="D90" s="422" t="str">
        <f>IF(VeteransList[[#This Row],[First &amp; Last Name]]="","",IFERROR(ISNUMBER(MATCH(VeteransList[[#This Row],[First &amp; Last Name]],Players[Player Name],0)),FALSE))</f>
        <v/>
      </c>
      <c r="E90" s="422" t="b">
        <f>IF(VeteransList[[#This Row],[FISTF Code]]="",FALSE,IFERROR(ISNUMBER(MATCH(VeteransList[[#This Row],[FISTF Code]],Players[FISTF Code],0)),FALSE))</f>
        <v>0</v>
      </c>
      <c r="F90" s="420" t="str">
        <f>IF(AND(VeteransList[[#This Row],[First &amp; Last Name]]="",VeteransList[[#This Row],[FISTF Code]]=""),"",IF(VeteransList[[#This Row],[Valide Code ?]],INDEX(Players[Player Name],MATCH(VeteransList[[#This Row],[FISTF Code]],Players[FISTF Code],0)),VeteransList[[#This Row],[First &amp; Last Name]]))</f>
        <v/>
      </c>
      <c r="G90" s="233" t="str">
        <f>IF(VeteransList[[#This Row],[Retained Player Name]]="","",VLOOKUP(VeteransList[[#This Row],[Retained Player Name]],Players[],7,FALSE))</f>
        <v/>
      </c>
      <c r="H90" s="235" t="str">
        <f>IF(VeteransList[[#This Row],[Retained Player Name]]="","",VLOOKUP(VeteransList[[#This Row],[Retained Player Name]],Players[],6,FALSE))</f>
        <v/>
      </c>
      <c r="I90" s="235" t="str">
        <f>IF(VeteransList[[#This Row],[Retained Player Name]]="","",VLOOKUP(VeteransList[[#This Row],[Retained Player Name]],Players[],4,FALSE))</f>
        <v/>
      </c>
      <c r="J9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0" s="231"/>
      <c r="L90" s="231"/>
    </row>
    <row r="91" spans="1:12" x14ac:dyDescent="0.2">
      <c r="A91" s="322" t="str">
        <f>IF(AND(VeteransList[[#This Row],[First &amp; Last Name]]="",VeteransList[[#This Row],[FISTF Code]]=""),"",ROW()-ROW($A$11))</f>
        <v/>
      </c>
      <c r="B91" s="323"/>
      <c r="C91" s="437"/>
      <c r="D91" s="422" t="str">
        <f>IF(VeteransList[[#This Row],[First &amp; Last Name]]="","",IFERROR(ISNUMBER(MATCH(VeteransList[[#This Row],[First &amp; Last Name]],Players[Player Name],0)),FALSE))</f>
        <v/>
      </c>
      <c r="E91" s="422" t="b">
        <f>IF(VeteransList[[#This Row],[FISTF Code]]="",FALSE,IFERROR(ISNUMBER(MATCH(VeteransList[[#This Row],[FISTF Code]],Players[FISTF Code],0)),FALSE))</f>
        <v>0</v>
      </c>
      <c r="F91" s="420" t="str">
        <f>IF(AND(VeteransList[[#This Row],[First &amp; Last Name]]="",VeteransList[[#This Row],[FISTF Code]]=""),"",IF(VeteransList[[#This Row],[Valide Code ?]],INDEX(Players[Player Name],MATCH(VeteransList[[#This Row],[FISTF Code]],Players[FISTF Code],0)),VeteransList[[#This Row],[First &amp; Last Name]]))</f>
        <v/>
      </c>
      <c r="G91" s="233" t="str">
        <f>IF(VeteransList[[#This Row],[Retained Player Name]]="","",VLOOKUP(VeteransList[[#This Row],[Retained Player Name]],Players[],7,FALSE))</f>
        <v/>
      </c>
      <c r="H91" s="235" t="str">
        <f>IF(VeteransList[[#This Row],[Retained Player Name]]="","",VLOOKUP(VeteransList[[#This Row],[Retained Player Name]],Players[],6,FALSE))</f>
        <v/>
      </c>
      <c r="I91" s="235" t="str">
        <f>IF(VeteransList[[#This Row],[Retained Player Name]]="","",VLOOKUP(VeteransList[[#This Row],[Retained Player Name]],Players[],4,FALSE))</f>
        <v/>
      </c>
      <c r="J9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1" s="231"/>
      <c r="L91" s="231"/>
    </row>
    <row r="92" spans="1:12" x14ac:dyDescent="0.2">
      <c r="A92" s="322" t="str">
        <f>IF(AND(VeteransList[[#This Row],[First &amp; Last Name]]="",VeteransList[[#This Row],[FISTF Code]]=""),"",ROW()-ROW($A$11))</f>
        <v/>
      </c>
      <c r="B92" s="323"/>
      <c r="C92" s="437"/>
      <c r="D92" s="422" t="str">
        <f>IF(VeteransList[[#This Row],[First &amp; Last Name]]="","",IFERROR(ISNUMBER(MATCH(VeteransList[[#This Row],[First &amp; Last Name]],Players[Player Name],0)),FALSE))</f>
        <v/>
      </c>
      <c r="E92" s="422" t="b">
        <f>IF(VeteransList[[#This Row],[FISTF Code]]="",FALSE,IFERROR(ISNUMBER(MATCH(VeteransList[[#This Row],[FISTF Code]],Players[FISTF Code],0)),FALSE))</f>
        <v>0</v>
      </c>
      <c r="F92" s="420" t="str">
        <f>IF(AND(VeteransList[[#This Row],[First &amp; Last Name]]="",VeteransList[[#This Row],[FISTF Code]]=""),"",IF(VeteransList[[#This Row],[Valide Code ?]],INDEX(Players[Player Name],MATCH(VeteransList[[#This Row],[FISTF Code]],Players[FISTF Code],0)),VeteransList[[#This Row],[First &amp; Last Name]]))</f>
        <v/>
      </c>
      <c r="G92" s="233" t="str">
        <f>IF(VeteransList[[#This Row],[Retained Player Name]]="","",VLOOKUP(VeteransList[[#This Row],[Retained Player Name]],Players[],7,FALSE))</f>
        <v/>
      </c>
      <c r="H92" s="235" t="str">
        <f>IF(VeteransList[[#This Row],[Retained Player Name]]="","",VLOOKUP(VeteransList[[#This Row],[Retained Player Name]],Players[],6,FALSE))</f>
        <v/>
      </c>
      <c r="I92" s="235" t="str">
        <f>IF(VeteransList[[#This Row],[Retained Player Name]]="","",VLOOKUP(VeteransList[[#This Row],[Retained Player Name]],Players[],4,FALSE))</f>
        <v/>
      </c>
      <c r="J9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2" s="231"/>
      <c r="L92" s="231"/>
    </row>
    <row r="93" spans="1:12" x14ac:dyDescent="0.2">
      <c r="A93" s="322" t="str">
        <f>IF(AND(VeteransList[[#This Row],[First &amp; Last Name]]="",VeteransList[[#This Row],[FISTF Code]]=""),"",ROW()-ROW($A$11))</f>
        <v/>
      </c>
      <c r="B93" s="323"/>
      <c r="C93" s="437"/>
      <c r="D93" s="422" t="str">
        <f>IF(VeteransList[[#This Row],[First &amp; Last Name]]="","",IFERROR(ISNUMBER(MATCH(VeteransList[[#This Row],[First &amp; Last Name]],Players[Player Name],0)),FALSE))</f>
        <v/>
      </c>
      <c r="E93" s="422" t="b">
        <f>IF(VeteransList[[#This Row],[FISTF Code]]="",FALSE,IFERROR(ISNUMBER(MATCH(VeteransList[[#This Row],[FISTF Code]],Players[FISTF Code],0)),FALSE))</f>
        <v>0</v>
      </c>
      <c r="F93" s="420" t="str">
        <f>IF(AND(VeteransList[[#This Row],[First &amp; Last Name]]="",VeteransList[[#This Row],[FISTF Code]]=""),"",IF(VeteransList[[#This Row],[Valide Code ?]],INDEX(Players[Player Name],MATCH(VeteransList[[#This Row],[FISTF Code]],Players[FISTF Code],0)),VeteransList[[#This Row],[First &amp; Last Name]]))</f>
        <v/>
      </c>
      <c r="G93" s="233" t="str">
        <f>IF(VeteransList[[#This Row],[Retained Player Name]]="","",VLOOKUP(VeteransList[[#This Row],[Retained Player Name]],Players[],7,FALSE))</f>
        <v/>
      </c>
      <c r="H93" s="235" t="str">
        <f>IF(VeteransList[[#This Row],[Retained Player Name]]="","",VLOOKUP(VeteransList[[#This Row],[Retained Player Name]],Players[],6,FALSE))</f>
        <v/>
      </c>
      <c r="I93" s="235" t="str">
        <f>IF(VeteransList[[#This Row],[Retained Player Name]]="","",VLOOKUP(VeteransList[[#This Row],[Retained Player Name]],Players[],4,FALSE))</f>
        <v/>
      </c>
      <c r="J9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3" s="231"/>
      <c r="L93" s="231"/>
    </row>
    <row r="94" spans="1:12" x14ac:dyDescent="0.2">
      <c r="A94" s="322" t="str">
        <f>IF(AND(VeteransList[[#This Row],[First &amp; Last Name]]="",VeteransList[[#This Row],[FISTF Code]]=""),"",ROW()-ROW($A$11))</f>
        <v/>
      </c>
      <c r="B94" s="323"/>
      <c r="C94" s="437"/>
      <c r="D94" s="422" t="str">
        <f>IF(VeteransList[[#This Row],[First &amp; Last Name]]="","",IFERROR(ISNUMBER(MATCH(VeteransList[[#This Row],[First &amp; Last Name]],Players[Player Name],0)),FALSE))</f>
        <v/>
      </c>
      <c r="E94" s="422" t="b">
        <f>IF(VeteransList[[#This Row],[FISTF Code]]="",FALSE,IFERROR(ISNUMBER(MATCH(VeteransList[[#This Row],[FISTF Code]],Players[FISTF Code],0)),FALSE))</f>
        <v>0</v>
      </c>
      <c r="F94" s="420" t="str">
        <f>IF(AND(VeteransList[[#This Row],[First &amp; Last Name]]="",VeteransList[[#This Row],[FISTF Code]]=""),"",IF(VeteransList[[#This Row],[Valide Code ?]],INDEX(Players[Player Name],MATCH(VeteransList[[#This Row],[FISTF Code]],Players[FISTF Code],0)),VeteransList[[#This Row],[First &amp; Last Name]]))</f>
        <v/>
      </c>
      <c r="G94" s="233" t="str">
        <f>IF(VeteransList[[#This Row],[Retained Player Name]]="","",VLOOKUP(VeteransList[[#This Row],[Retained Player Name]],Players[],7,FALSE))</f>
        <v/>
      </c>
      <c r="H94" s="235" t="str">
        <f>IF(VeteransList[[#This Row],[Retained Player Name]]="","",VLOOKUP(VeteransList[[#This Row],[Retained Player Name]],Players[],6,FALSE))</f>
        <v/>
      </c>
      <c r="I94" s="235" t="str">
        <f>IF(VeteransList[[#This Row],[Retained Player Name]]="","",VLOOKUP(VeteransList[[#This Row],[Retained Player Name]],Players[],4,FALSE))</f>
        <v/>
      </c>
      <c r="J9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4" s="231"/>
      <c r="L94" s="231"/>
    </row>
    <row r="95" spans="1:12" x14ac:dyDescent="0.2">
      <c r="A95" s="322" t="str">
        <f>IF(AND(VeteransList[[#This Row],[First &amp; Last Name]]="",VeteransList[[#This Row],[FISTF Code]]=""),"",ROW()-ROW($A$11))</f>
        <v/>
      </c>
      <c r="B95" s="323"/>
      <c r="C95" s="437"/>
      <c r="D95" s="422" t="str">
        <f>IF(VeteransList[[#This Row],[First &amp; Last Name]]="","",IFERROR(ISNUMBER(MATCH(VeteransList[[#This Row],[First &amp; Last Name]],Players[Player Name],0)),FALSE))</f>
        <v/>
      </c>
      <c r="E95" s="422" t="b">
        <f>IF(VeteransList[[#This Row],[FISTF Code]]="",FALSE,IFERROR(ISNUMBER(MATCH(VeteransList[[#This Row],[FISTF Code]],Players[FISTF Code],0)),FALSE))</f>
        <v>0</v>
      </c>
      <c r="F95" s="420" t="str">
        <f>IF(AND(VeteransList[[#This Row],[First &amp; Last Name]]="",VeteransList[[#This Row],[FISTF Code]]=""),"",IF(VeteransList[[#This Row],[Valide Code ?]],INDEX(Players[Player Name],MATCH(VeteransList[[#This Row],[FISTF Code]],Players[FISTF Code],0)),VeteransList[[#This Row],[First &amp; Last Name]]))</f>
        <v/>
      </c>
      <c r="G95" s="233" t="str">
        <f>IF(VeteransList[[#This Row],[Retained Player Name]]="","",VLOOKUP(VeteransList[[#This Row],[Retained Player Name]],Players[],7,FALSE))</f>
        <v/>
      </c>
      <c r="H95" s="235" t="str">
        <f>IF(VeteransList[[#This Row],[Retained Player Name]]="","",VLOOKUP(VeteransList[[#This Row],[Retained Player Name]],Players[],6,FALSE))</f>
        <v/>
      </c>
      <c r="I95" s="235" t="str">
        <f>IF(VeteransList[[#This Row],[Retained Player Name]]="","",VLOOKUP(VeteransList[[#This Row],[Retained Player Name]],Players[],4,FALSE))</f>
        <v/>
      </c>
      <c r="J9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5" s="231"/>
      <c r="L95" s="231"/>
    </row>
    <row r="96" spans="1:12" x14ac:dyDescent="0.2">
      <c r="A96" s="322" t="str">
        <f>IF(AND(VeteransList[[#This Row],[First &amp; Last Name]]="",VeteransList[[#This Row],[FISTF Code]]=""),"",ROW()-ROW($A$11))</f>
        <v/>
      </c>
      <c r="B96" s="323"/>
      <c r="C96" s="437"/>
      <c r="D96" s="422" t="str">
        <f>IF(VeteransList[[#This Row],[First &amp; Last Name]]="","",IFERROR(ISNUMBER(MATCH(VeteransList[[#This Row],[First &amp; Last Name]],Players[Player Name],0)),FALSE))</f>
        <v/>
      </c>
      <c r="E96" s="422" t="b">
        <f>IF(VeteransList[[#This Row],[FISTF Code]]="",FALSE,IFERROR(ISNUMBER(MATCH(VeteransList[[#This Row],[FISTF Code]],Players[FISTF Code],0)),FALSE))</f>
        <v>0</v>
      </c>
      <c r="F96" s="420" t="str">
        <f>IF(AND(VeteransList[[#This Row],[First &amp; Last Name]]="",VeteransList[[#This Row],[FISTF Code]]=""),"",IF(VeteransList[[#This Row],[Valide Code ?]],INDEX(Players[Player Name],MATCH(VeteransList[[#This Row],[FISTF Code]],Players[FISTF Code],0)),VeteransList[[#This Row],[First &amp; Last Name]]))</f>
        <v/>
      </c>
      <c r="G96" s="233" t="str">
        <f>IF(VeteransList[[#This Row],[Retained Player Name]]="","",VLOOKUP(VeteransList[[#This Row],[Retained Player Name]],Players[],7,FALSE))</f>
        <v/>
      </c>
      <c r="H96" s="235" t="str">
        <f>IF(VeteransList[[#This Row],[Retained Player Name]]="","",VLOOKUP(VeteransList[[#This Row],[Retained Player Name]],Players[],6,FALSE))</f>
        <v/>
      </c>
      <c r="I96" s="235" t="str">
        <f>IF(VeteransList[[#This Row],[Retained Player Name]]="","",VLOOKUP(VeteransList[[#This Row],[Retained Player Name]],Players[],4,FALSE))</f>
        <v/>
      </c>
      <c r="J9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6" s="231"/>
      <c r="L96" s="231"/>
    </row>
    <row r="97" spans="1:12" x14ac:dyDescent="0.2">
      <c r="A97" s="322" t="str">
        <f>IF(AND(VeteransList[[#This Row],[First &amp; Last Name]]="",VeteransList[[#This Row],[FISTF Code]]=""),"",ROW()-ROW($A$11))</f>
        <v/>
      </c>
      <c r="B97" s="323"/>
      <c r="C97" s="437"/>
      <c r="D97" s="422" t="str">
        <f>IF(VeteransList[[#This Row],[First &amp; Last Name]]="","",IFERROR(ISNUMBER(MATCH(VeteransList[[#This Row],[First &amp; Last Name]],Players[Player Name],0)),FALSE))</f>
        <v/>
      </c>
      <c r="E97" s="422" t="b">
        <f>IF(VeteransList[[#This Row],[FISTF Code]]="",FALSE,IFERROR(ISNUMBER(MATCH(VeteransList[[#This Row],[FISTF Code]],Players[FISTF Code],0)),FALSE))</f>
        <v>0</v>
      </c>
      <c r="F97" s="420" t="str">
        <f>IF(AND(VeteransList[[#This Row],[First &amp; Last Name]]="",VeteransList[[#This Row],[FISTF Code]]=""),"",IF(VeteransList[[#This Row],[Valide Code ?]],INDEX(Players[Player Name],MATCH(VeteransList[[#This Row],[FISTF Code]],Players[FISTF Code],0)),VeteransList[[#This Row],[First &amp; Last Name]]))</f>
        <v/>
      </c>
      <c r="G97" s="233" t="str">
        <f>IF(VeteransList[[#This Row],[Retained Player Name]]="","",VLOOKUP(VeteransList[[#This Row],[Retained Player Name]],Players[],7,FALSE))</f>
        <v/>
      </c>
      <c r="H97" s="235" t="str">
        <f>IF(VeteransList[[#This Row],[Retained Player Name]]="","",VLOOKUP(VeteransList[[#This Row],[Retained Player Name]],Players[],6,FALSE))</f>
        <v/>
      </c>
      <c r="I97" s="235" t="str">
        <f>IF(VeteransList[[#This Row],[Retained Player Name]]="","",VLOOKUP(VeteransList[[#This Row],[Retained Player Name]],Players[],4,FALSE))</f>
        <v/>
      </c>
      <c r="J9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7" s="231"/>
      <c r="L97" s="231"/>
    </row>
    <row r="98" spans="1:12" x14ac:dyDescent="0.2">
      <c r="A98" s="322" t="str">
        <f>IF(AND(VeteransList[[#This Row],[First &amp; Last Name]]="",VeteransList[[#This Row],[FISTF Code]]=""),"",ROW()-ROW($A$11))</f>
        <v/>
      </c>
      <c r="B98" s="323"/>
      <c r="C98" s="437"/>
      <c r="D98" s="422" t="str">
        <f>IF(VeteransList[[#This Row],[First &amp; Last Name]]="","",IFERROR(ISNUMBER(MATCH(VeteransList[[#This Row],[First &amp; Last Name]],Players[Player Name],0)),FALSE))</f>
        <v/>
      </c>
      <c r="E98" s="422" t="b">
        <f>IF(VeteransList[[#This Row],[FISTF Code]]="",FALSE,IFERROR(ISNUMBER(MATCH(VeteransList[[#This Row],[FISTF Code]],Players[FISTF Code],0)),FALSE))</f>
        <v>0</v>
      </c>
      <c r="F98" s="420" t="str">
        <f>IF(AND(VeteransList[[#This Row],[First &amp; Last Name]]="",VeteransList[[#This Row],[FISTF Code]]=""),"",IF(VeteransList[[#This Row],[Valide Code ?]],INDEX(Players[Player Name],MATCH(VeteransList[[#This Row],[FISTF Code]],Players[FISTF Code],0)),VeteransList[[#This Row],[First &amp; Last Name]]))</f>
        <v/>
      </c>
      <c r="G98" s="233" t="str">
        <f>IF(VeteransList[[#This Row],[Retained Player Name]]="","",VLOOKUP(VeteransList[[#This Row],[Retained Player Name]],Players[],7,FALSE))</f>
        <v/>
      </c>
      <c r="H98" s="235" t="str">
        <f>IF(VeteransList[[#This Row],[Retained Player Name]]="","",VLOOKUP(VeteransList[[#This Row],[Retained Player Name]],Players[],6,FALSE))</f>
        <v/>
      </c>
      <c r="I98" s="235" t="str">
        <f>IF(VeteransList[[#This Row],[Retained Player Name]]="","",VLOOKUP(VeteransList[[#This Row],[Retained Player Name]],Players[],4,FALSE))</f>
        <v/>
      </c>
      <c r="J9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8" s="231"/>
      <c r="L98" s="231"/>
    </row>
    <row r="99" spans="1:12" x14ac:dyDescent="0.2">
      <c r="A99" s="322" t="str">
        <f>IF(AND(VeteransList[[#This Row],[First &amp; Last Name]]="",VeteransList[[#This Row],[FISTF Code]]=""),"",ROW()-ROW($A$11))</f>
        <v/>
      </c>
      <c r="B99" s="323"/>
      <c r="C99" s="437"/>
      <c r="D99" s="422" t="str">
        <f>IF(VeteransList[[#This Row],[First &amp; Last Name]]="","",IFERROR(ISNUMBER(MATCH(VeteransList[[#This Row],[First &amp; Last Name]],Players[Player Name],0)),FALSE))</f>
        <v/>
      </c>
      <c r="E99" s="422" t="b">
        <f>IF(VeteransList[[#This Row],[FISTF Code]]="",FALSE,IFERROR(ISNUMBER(MATCH(VeteransList[[#This Row],[FISTF Code]],Players[FISTF Code],0)),FALSE))</f>
        <v>0</v>
      </c>
      <c r="F99" s="420" t="str">
        <f>IF(AND(VeteransList[[#This Row],[First &amp; Last Name]]="",VeteransList[[#This Row],[FISTF Code]]=""),"",IF(VeteransList[[#This Row],[Valide Code ?]],INDEX(Players[Player Name],MATCH(VeteransList[[#This Row],[FISTF Code]],Players[FISTF Code],0)),VeteransList[[#This Row],[First &amp; Last Name]]))</f>
        <v/>
      </c>
      <c r="G99" s="233" t="str">
        <f>IF(VeteransList[[#This Row],[Retained Player Name]]="","",VLOOKUP(VeteransList[[#This Row],[Retained Player Name]],Players[],7,FALSE))</f>
        <v/>
      </c>
      <c r="H99" s="235" t="str">
        <f>IF(VeteransList[[#This Row],[Retained Player Name]]="","",VLOOKUP(VeteransList[[#This Row],[Retained Player Name]],Players[],6,FALSE))</f>
        <v/>
      </c>
      <c r="I99" s="235" t="str">
        <f>IF(VeteransList[[#This Row],[Retained Player Name]]="","",VLOOKUP(VeteransList[[#This Row],[Retained Player Name]],Players[],4,FALSE))</f>
        <v/>
      </c>
      <c r="J9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9" s="231"/>
      <c r="L99" s="231"/>
    </row>
    <row r="100" spans="1:12" x14ac:dyDescent="0.2">
      <c r="A100" s="322" t="str">
        <f>IF(AND(VeteransList[[#This Row],[First &amp; Last Name]]="",VeteransList[[#This Row],[FISTF Code]]=""),"",ROW()-ROW($A$11))</f>
        <v/>
      </c>
      <c r="B100" s="323"/>
      <c r="C100" s="437"/>
      <c r="D100" s="422" t="str">
        <f>IF(VeteransList[[#This Row],[First &amp; Last Name]]="","",IFERROR(ISNUMBER(MATCH(VeteransList[[#This Row],[First &amp; Last Name]],Players[Player Name],0)),FALSE))</f>
        <v/>
      </c>
      <c r="E100" s="422" t="b">
        <f>IF(VeteransList[[#This Row],[FISTF Code]]="",FALSE,IFERROR(ISNUMBER(MATCH(VeteransList[[#This Row],[FISTF Code]],Players[FISTF Code],0)),FALSE))</f>
        <v>0</v>
      </c>
      <c r="F100" s="420" t="str">
        <f>IF(AND(VeteransList[[#This Row],[First &amp; Last Name]]="",VeteransList[[#This Row],[FISTF Code]]=""),"",IF(VeteransList[[#This Row],[Valide Code ?]],INDEX(Players[Player Name],MATCH(VeteransList[[#This Row],[FISTF Code]],Players[FISTF Code],0)),VeteransList[[#This Row],[First &amp; Last Name]]))</f>
        <v/>
      </c>
      <c r="G100" s="233" t="str">
        <f>IF(VeteransList[[#This Row],[Retained Player Name]]="","",VLOOKUP(VeteransList[[#This Row],[Retained Player Name]],Players[],7,FALSE))</f>
        <v/>
      </c>
      <c r="H100" s="235" t="str">
        <f>IF(VeteransList[[#This Row],[Retained Player Name]]="","",VLOOKUP(VeteransList[[#This Row],[Retained Player Name]],Players[],6,FALSE))</f>
        <v/>
      </c>
      <c r="I100" s="235" t="str">
        <f>IF(VeteransList[[#This Row],[Retained Player Name]]="","",VLOOKUP(VeteransList[[#This Row],[Retained Player Name]],Players[],4,FALSE))</f>
        <v/>
      </c>
      <c r="J10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0" s="231"/>
      <c r="L100" s="231"/>
    </row>
    <row r="101" spans="1:12" x14ac:dyDescent="0.2">
      <c r="A101" s="16" t="str">
        <f>IF(AND(VeteransList[[#This Row],[First &amp; Last Name]]="",VeteransList[[#This Row],[FISTF Code]]=""),"",ROW()-ROW($A$11))</f>
        <v/>
      </c>
      <c r="B101" s="232"/>
      <c r="C101" s="436"/>
      <c r="D101" s="421" t="str">
        <f>IF(VeteransList[[#This Row],[First &amp; Last Name]]="","",IFERROR(ISNUMBER(MATCH(VeteransList[[#This Row],[First &amp; Last Name]],Players[Player Name],0)),FALSE))</f>
        <v/>
      </c>
      <c r="E101" s="421" t="b">
        <f>IF(VeteransList[[#This Row],[FISTF Code]]="",FALSE,IFERROR(ISNUMBER(MATCH(VeteransList[[#This Row],[FISTF Code]],Players[FISTF Code],0)),FALSE))</f>
        <v>0</v>
      </c>
      <c r="F101" s="419" t="str">
        <f>IF(AND(VeteransList[[#This Row],[First &amp; Last Name]]="",VeteransList[[#This Row],[FISTF Code]]=""),"",IF(VeteransList[[#This Row],[Valide Code ?]],INDEX(Players[Player Name],MATCH(VeteransList[[#This Row],[FISTF Code]],Players[FISTF Code],0)),VeteransList[[#This Row],[First &amp; Last Name]]))</f>
        <v/>
      </c>
      <c r="G101" s="233" t="str">
        <f>IF(VeteransList[[#This Row],[Retained Player Name]]="","",VLOOKUP(VeteransList[[#This Row],[Retained Player Name]],Players[],7,FALSE))</f>
        <v/>
      </c>
      <c r="H101" s="235" t="str">
        <f>IF(VeteransList[[#This Row],[Retained Player Name]]="","",VLOOKUP(VeteransList[[#This Row],[Retained Player Name]],Players[],6,FALSE))</f>
        <v/>
      </c>
      <c r="I101" s="235" t="str">
        <f>IF(VeteransList[[#This Row],[Retained Player Name]]="","",VLOOKUP(VeteransList[[#This Row],[Retained Player Name]],Players[],4,FALSE))</f>
        <v/>
      </c>
      <c r="J10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1" s="231"/>
      <c r="L101" s="231"/>
    </row>
    <row r="102" spans="1:12" x14ac:dyDescent="0.2">
      <c r="A102" s="16" t="str">
        <f>IF(AND(VeteransList[[#This Row],[First &amp; Last Name]]="",VeteransList[[#This Row],[FISTF Code]]=""),"",ROW()-ROW($A$11))</f>
        <v/>
      </c>
      <c r="B102" s="232"/>
      <c r="C102" s="436"/>
      <c r="D102" s="421" t="str">
        <f>IF(VeteransList[[#This Row],[First &amp; Last Name]]="","",IFERROR(ISNUMBER(MATCH(VeteransList[[#This Row],[First &amp; Last Name]],Players[Player Name],0)),FALSE))</f>
        <v/>
      </c>
      <c r="E102" s="421" t="b">
        <f>IF(VeteransList[[#This Row],[FISTF Code]]="",FALSE,IFERROR(ISNUMBER(MATCH(VeteransList[[#This Row],[FISTF Code]],Players[FISTF Code],0)),FALSE))</f>
        <v>0</v>
      </c>
      <c r="F102" s="419" t="str">
        <f>IF(AND(VeteransList[[#This Row],[First &amp; Last Name]]="",VeteransList[[#This Row],[FISTF Code]]=""),"",IF(VeteransList[[#This Row],[Valide Code ?]],INDEX(Players[Player Name],MATCH(VeteransList[[#This Row],[FISTF Code]],Players[FISTF Code],0)),VeteransList[[#This Row],[First &amp; Last Name]]))</f>
        <v/>
      </c>
      <c r="G102" s="233" t="str">
        <f>IF(VeteransList[[#This Row],[Retained Player Name]]="","",VLOOKUP(VeteransList[[#This Row],[Retained Player Name]],Players[],7,FALSE))</f>
        <v/>
      </c>
      <c r="H102" s="235" t="str">
        <f>IF(VeteransList[[#This Row],[Retained Player Name]]="","",VLOOKUP(VeteransList[[#This Row],[Retained Player Name]],Players[],6,FALSE))</f>
        <v/>
      </c>
      <c r="I102" s="235" t="str">
        <f>IF(VeteransList[[#This Row],[Retained Player Name]]="","",VLOOKUP(VeteransList[[#This Row],[Retained Player Name]],Players[],4,FALSE))</f>
        <v/>
      </c>
      <c r="J10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2" s="231"/>
      <c r="L102" s="231"/>
    </row>
    <row r="103" spans="1:12" x14ac:dyDescent="0.2">
      <c r="A103" s="16" t="str">
        <f>IF(AND(VeteransList[[#This Row],[First &amp; Last Name]]="",VeteransList[[#This Row],[FISTF Code]]=""),"",ROW()-ROW($A$11))</f>
        <v/>
      </c>
      <c r="B103" s="232"/>
      <c r="C103" s="436"/>
      <c r="D103" s="421" t="str">
        <f>IF(VeteransList[[#This Row],[First &amp; Last Name]]="","",IFERROR(ISNUMBER(MATCH(VeteransList[[#This Row],[First &amp; Last Name]],Players[Player Name],0)),FALSE))</f>
        <v/>
      </c>
      <c r="E103" s="421" t="b">
        <f>IF(VeteransList[[#This Row],[FISTF Code]]="",FALSE,IFERROR(ISNUMBER(MATCH(VeteransList[[#This Row],[FISTF Code]],Players[FISTF Code],0)),FALSE))</f>
        <v>0</v>
      </c>
      <c r="F103" s="419" t="str">
        <f>IF(AND(VeteransList[[#This Row],[First &amp; Last Name]]="",VeteransList[[#This Row],[FISTF Code]]=""),"",IF(VeteransList[[#This Row],[Valide Code ?]],INDEX(Players[Player Name],MATCH(VeteransList[[#This Row],[FISTF Code]],Players[FISTF Code],0)),VeteransList[[#This Row],[First &amp; Last Name]]))</f>
        <v/>
      </c>
      <c r="G103" s="233" t="str">
        <f>IF(VeteransList[[#This Row],[Retained Player Name]]="","",VLOOKUP(VeteransList[[#This Row],[Retained Player Name]],Players[],7,FALSE))</f>
        <v/>
      </c>
      <c r="H103" s="235" t="str">
        <f>IF(VeteransList[[#This Row],[Retained Player Name]]="","",VLOOKUP(VeteransList[[#This Row],[Retained Player Name]],Players[],6,FALSE))</f>
        <v/>
      </c>
      <c r="I103" s="235" t="str">
        <f>IF(VeteransList[[#This Row],[Retained Player Name]]="","",VLOOKUP(VeteransList[[#This Row],[Retained Player Name]],Players[],4,FALSE))</f>
        <v/>
      </c>
      <c r="J10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3" s="231"/>
      <c r="L103" s="231"/>
    </row>
    <row r="104" spans="1:12" x14ac:dyDescent="0.2">
      <c r="A104" s="16" t="str">
        <f>IF(AND(VeteransList[[#This Row],[First &amp; Last Name]]="",VeteransList[[#This Row],[FISTF Code]]=""),"",ROW()-ROW($A$11))</f>
        <v/>
      </c>
      <c r="B104" s="232"/>
      <c r="C104" s="436"/>
      <c r="D104" s="421" t="str">
        <f>IF(VeteransList[[#This Row],[First &amp; Last Name]]="","",IFERROR(ISNUMBER(MATCH(VeteransList[[#This Row],[First &amp; Last Name]],Players[Player Name],0)),FALSE))</f>
        <v/>
      </c>
      <c r="E104" s="421" t="b">
        <f>IF(VeteransList[[#This Row],[FISTF Code]]="",FALSE,IFERROR(ISNUMBER(MATCH(VeteransList[[#This Row],[FISTF Code]],Players[FISTF Code],0)),FALSE))</f>
        <v>0</v>
      </c>
      <c r="F104" s="419" t="str">
        <f>IF(AND(VeteransList[[#This Row],[First &amp; Last Name]]="",VeteransList[[#This Row],[FISTF Code]]=""),"",IF(VeteransList[[#This Row],[Valide Code ?]],INDEX(Players[Player Name],MATCH(VeteransList[[#This Row],[FISTF Code]],Players[FISTF Code],0)),VeteransList[[#This Row],[First &amp; Last Name]]))</f>
        <v/>
      </c>
      <c r="G104" s="233" t="str">
        <f>IF(VeteransList[[#This Row],[Retained Player Name]]="","",VLOOKUP(VeteransList[[#This Row],[Retained Player Name]],Players[],7,FALSE))</f>
        <v/>
      </c>
      <c r="H104" s="235" t="str">
        <f>IF(VeteransList[[#This Row],[Retained Player Name]]="","",VLOOKUP(VeteransList[[#This Row],[Retained Player Name]],Players[],6,FALSE))</f>
        <v/>
      </c>
      <c r="I104" s="235" t="str">
        <f>IF(VeteransList[[#This Row],[Retained Player Name]]="","",VLOOKUP(VeteransList[[#This Row],[Retained Player Name]],Players[],4,FALSE))</f>
        <v/>
      </c>
      <c r="J10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4" s="231"/>
      <c r="L104" s="231"/>
    </row>
    <row r="105" spans="1:12" x14ac:dyDescent="0.2">
      <c r="A105" s="16" t="str">
        <f>IF(AND(VeteransList[[#This Row],[First &amp; Last Name]]="",VeteransList[[#This Row],[FISTF Code]]=""),"",ROW()-ROW($A$11))</f>
        <v/>
      </c>
      <c r="B105" s="232"/>
      <c r="C105" s="436"/>
      <c r="D105" s="421" t="str">
        <f>IF(VeteransList[[#This Row],[First &amp; Last Name]]="","",IFERROR(ISNUMBER(MATCH(VeteransList[[#This Row],[First &amp; Last Name]],Players[Player Name],0)),FALSE))</f>
        <v/>
      </c>
      <c r="E105" s="421" t="b">
        <f>IF(VeteransList[[#This Row],[FISTF Code]]="",FALSE,IFERROR(ISNUMBER(MATCH(VeteransList[[#This Row],[FISTF Code]],Players[FISTF Code],0)),FALSE))</f>
        <v>0</v>
      </c>
      <c r="F105" s="419" t="str">
        <f>IF(AND(VeteransList[[#This Row],[First &amp; Last Name]]="",VeteransList[[#This Row],[FISTF Code]]=""),"",IF(VeteransList[[#This Row],[Valide Code ?]],INDEX(Players[Player Name],MATCH(VeteransList[[#This Row],[FISTF Code]],Players[FISTF Code],0)),VeteransList[[#This Row],[First &amp; Last Name]]))</f>
        <v/>
      </c>
      <c r="G105" s="233" t="str">
        <f>IF(VeteransList[[#This Row],[Retained Player Name]]="","",VLOOKUP(VeteransList[[#This Row],[Retained Player Name]],Players[],7,FALSE))</f>
        <v/>
      </c>
      <c r="H105" s="235" t="str">
        <f>IF(VeteransList[[#This Row],[Retained Player Name]]="","",VLOOKUP(VeteransList[[#This Row],[Retained Player Name]],Players[],6,FALSE))</f>
        <v/>
      </c>
      <c r="I105" s="235" t="str">
        <f>IF(VeteransList[[#This Row],[Retained Player Name]]="","",VLOOKUP(VeteransList[[#This Row],[Retained Player Name]],Players[],4,FALSE))</f>
        <v/>
      </c>
      <c r="J10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5" s="231"/>
      <c r="L105" s="231"/>
    </row>
    <row r="106" spans="1:12" x14ac:dyDescent="0.2">
      <c r="A106" s="16" t="str">
        <f>IF(AND(VeteransList[[#This Row],[First &amp; Last Name]]="",VeteransList[[#This Row],[FISTF Code]]=""),"",ROW()-ROW($A$11))</f>
        <v/>
      </c>
      <c r="B106" s="232"/>
      <c r="C106" s="436"/>
      <c r="D106" s="421" t="str">
        <f>IF(VeteransList[[#This Row],[First &amp; Last Name]]="","",IFERROR(ISNUMBER(MATCH(VeteransList[[#This Row],[First &amp; Last Name]],Players[Player Name],0)),FALSE))</f>
        <v/>
      </c>
      <c r="E106" s="421" t="b">
        <f>IF(VeteransList[[#This Row],[FISTF Code]]="",FALSE,IFERROR(ISNUMBER(MATCH(VeteransList[[#This Row],[FISTF Code]],Players[FISTF Code],0)),FALSE))</f>
        <v>0</v>
      </c>
      <c r="F106" s="419" t="str">
        <f>IF(AND(VeteransList[[#This Row],[First &amp; Last Name]]="",VeteransList[[#This Row],[FISTF Code]]=""),"",IF(VeteransList[[#This Row],[Valide Code ?]],INDEX(Players[Player Name],MATCH(VeteransList[[#This Row],[FISTF Code]],Players[FISTF Code],0)),VeteransList[[#This Row],[First &amp; Last Name]]))</f>
        <v/>
      </c>
      <c r="G106" s="233" t="str">
        <f>IF(VeteransList[[#This Row],[Retained Player Name]]="","",VLOOKUP(VeteransList[[#This Row],[Retained Player Name]],Players[],7,FALSE))</f>
        <v/>
      </c>
      <c r="H106" s="235" t="str">
        <f>IF(VeteransList[[#This Row],[Retained Player Name]]="","",VLOOKUP(VeteransList[[#This Row],[Retained Player Name]],Players[],6,FALSE))</f>
        <v/>
      </c>
      <c r="I106" s="235" t="str">
        <f>IF(VeteransList[[#This Row],[Retained Player Name]]="","",VLOOKUP(VeteransList[[#This Row],[Retained Player Name]],Players[],4,FALSE))</f>
        <v/>
      </c>
      <c r="J10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6" s="231"/>
      <c r="L106" s="231"/>
    </row>
    <row r="107" spans="1:12" x14ac:dyDescent="0.2">
      <c r="A107" s="16" t="str">
        <f>IF(AND(VeteransList[[#This Row],[First &amp; Last Name]]="",VeteransList[[#This Row],[FISTF Code]]=""),"",ROW()-ROW($A$11))</f>
        <v/>
      </c>
      <c r="B107" s="232"/>
      <c r="C107" s="436"/>
      <c r="D107" s="421" t="str">
        <f>IF(VeteransList[[#This Row],[First &amp; Last Name]]="","",IFERROR(ISNUMBER(MATCH(VeteransList[[#This Row],[First &amp; Last Name]],Players[Player Name],0)),FALSE))</f>
        <v/>
      </c>
      <c r="E107" s="421" t="b">
        <f>IF(VeteransList[[#This Row],[FISTF Code]]="",FALSE,IFERROR(ISNUMBER(MATCH(VeteransList[[#This Row],[FISTF Code]],Players[FISTF Code],0)),FALSE))</f>
        <v>0</v>
      </c>
      <c r="F107" s="419" t="str">
        <f>IF(AND(VeteransList[[#This Row],[First &amp; Last Name]]="",VeteransList[[#This Row],[FISTF Code]]=""),"",IF(VeteransList[[#This Row],[Valide Code ?]],INDEX(Players[Player Name],MATCH(VeteransList[[#This Row],[FISTF Code]],Players[FISTF Code],0)),VeteransList[[#This Row],[First &amp; Last Name]]))</f>
        <v/>
      </c>
      <c r="G107" s="233" t="str">
        <f>IF(VeteransList[[#This Row],[Retained Player Name]]="","",VLOOKUP(VeteransList[[#This Row],[Retained Player Name]],Players[],7,FALSE))</f>
        <v/>
      </c>
      <c r="H107" s="235" t="str">
        <f>IF(VeteransList[[#This Row],[Retained Player Name]]="","",VLOOKUP(VeteransList[[#This Row],[Retained Player Name]],Players[],6,FALSE))</f>
        <v/>
      </c>
      <c r="I107" s="235" t="str">
        <f>IF(VeteransList[[#This Row],[Retained Player Name]]="","",VLOOKUP(VeteransList[[#This Row],[Retained Player Name]],Players[],4,FALSE))</f>
        <v/>
      </c>
      <c r="J10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7" s="231"/>
      <c r="L107" s="231"/>
    </row>
    <row r="108" spans="1:12" x14ac:dyDescent="0.2">
      <c r="A108" s="16" t="str">
        <f>IF(AND(VeteransList[[#This Row],[First &amp; Last Name]]="",VeteransList[[#This Row],[FISTF Code]]=""),"",ROW()-ROW($A$11))</f>
        <v/>
      </c>
      <c r="B108" s="232"/>
      <c r="C108" s="436"/>
      <c r="D108" s="421" t="str">
        <f>IF(VeteransList[[#This Row],[First &amp; Last Name]]="","",IFERROR(ISNUMBER(MATCH(VeteransList[[#This Row],[First &amp; Last Name]],Players[Player Name],0)),FALSE))</f>
        <v/>
      </c>
      <c r="E108" s="421" t="b">
        <f>IF(VeteransList[[#This Row],[FISTF Code]]="",FALSE,IFERROR(ISNUMBER(MATCH(VeteransList[[#This Row],[FISTF Code]],Players[FISTF Code],0)),FALSE))</f>
        <v>0</v>
      </c>
      <c r="F108" s="419" t="str">
        <f>IF(AND(VeteransList[[#This Row],[First &amp; Last Name]]="",VeteransList[[#This Row],[FISTF Code]]=""),"",IF(VeteransList[[#This Row],[Valide Code ?]],INDEX(Players[Player Name],MATCH(VeteransList[[#This Row],[FISTF Code]],Players[FISTF Code],0)),VeteransList[[#This Row],[First &amp; Last Name]]))</f>
        <v/>
      </c>
      <c r="G108" s="233" t="str">
        <f>IF(VeteransList[[#This Row],[Retained Player Name]]="","",VLOOKUP(VeteransList[[#This Row],[Retained Player Name]],Players[],7,FALSE))</f>
        <v/>
      </c>
      <c r="H108" s="235" t="str">
        <f>IF(VeteransList[[#This Row],[Retained Player Name]]="","",VLOOKUP(VeteransList[[#This Row],[Retained Player Name]],Players[],6,FALSE))</f>
        <v/>
      </c>
      <c r="I108" s="235" t="str">
        <f>IF(VeteransList[[#This Row],[Retained Player Name]]="","",VLOOKUP(VeteransList[[#This Row],[Retained Player Name]],Players[],4,FALSE))</f>
        <v/>
      </c>
      <c r="J10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8" s="231"/>
      <c r="L108" s="231"/>
    </row>
    <row r="109" spans="1:12" x14ac:dyDescent="0.2">
      <c r="A109" s="16" t="str">
        <f>IF(AND(VeteransList[[#This Row],[First &amp; Last Name]]="",VeteransList[[#This Row],[FISTF Code]]=""),"",ROW()-ROW($A$11))</f>
        <v/>
      </c>
      <c r="B109" s="232"/>
      <c r="C109" s="436"/>
      <c r="D109" s="421" t="str">
        <f>IF(VeteransList[[#This Row],[First &amp; Last Name]]="","",IFERROR(ISNUMBER(MATCH(VeteransList[[#This Row],[First &amp; Last Name]],Players[Player Name],0)),FALSE))</f>
        <v/>
      </c>
      <c r="E109" s="421" t="b">
        <f>IF(VeteransList[[#This Row],[FISTF Code]]="",FALSE,IFERROR(ISNUMBER(MATCH(VeteransList[[#This Row],[FISTF Code]],Players[FISTF Code],0)),FALSE))</f>
        <v>0</v>
      </c>
      <c r="F109" s="419" t="str">
        <f>IF(AND(VeteransList[[#This Row],[First &amp; Last Name]]="",VeteransList[[#This Row],[FISTF Code]]=""),"",IF(VeteransList[[#This Row],[Valide Code ?]],INDEX(Players[Player Name],MATCH(VeteransList[[#This Row],[FISTF Code]],Players[FISTF Code],0)),VeteransList[[#This Row],[First &amp; Last Name]]))</f>
        <v/>
      </c>
      <c r="G109" s="233" t="str">
        <f>IF(VeteransList[[#This Row],[Retained Player Name]]="","",VLOOKUP(VeteransList[[#This Row],[Retained Player Name]],Players[],7,FALSE))</f>
        <v/>
      </c>
      <c r="H109" s="235" t="str">
        <f>IF(VeteransList[[#This Row],[Retained Player Name]]="","",VLOOKUP(VeteransList[[#This Row],[Retained Player Name]],Players[],6,FALSE))</f>
        <v/>
      </c>
      <c r="I109" s="235" t="str">
        <f>IF(VeteransList[[#This Row],[Retained Player Name]]="","",VLOOKUP(VeteransList[[#This Row],[Retained Player Name]],Players[],4,FALSE))</f>
        <v/>
      </c>
      <c r="J10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9" s="231"/>
      <c r="L109" s="231"/>
    </row>
    <row r="110" spans="1:12" x14ac:dyDescent="0.2">
      <c r="A110" s="16" t="str">
        <f>IF(AND(VeteransList[[#This Row],[First &amp; Last Name]]="",VeteransList[[#This Row],[FISTF Code]]=""),"",ROW()-ROW($A$11))</f>
        <v/>
      </c>
      <c r="B110" s="232"/>
      <c r="C110" s="436"/>
      <c r="D110" s="421" t="str">
        <f>IF(VeteransList[[#This Row],[First &amp; Last Name]]="","",IFERROR(ISNUMBER(MATCH(VeteransList[[#This Row],[First &amp; Last Name]],Players[Player Name],0)),FALSE))</f>
        <v/>
      </c>
      <c r="E110" s="421" t="b">
        <f>IF(VeteransList[[#This Row],[FISTF Code]]="",FALSE,IFERROR(ISNUMBER(MATCH(VeteransList[[#This Row],[FISTF Code]],Players[FISTF Code],0)),FALSE))</f>
        <v>0</v>
      </c>
      <c r="F110" s="419" t="str">
        <f>IF(AND(VeteransList[[#This Row],[First &amp; Last Name]]="",VeteransList[[#This Row],[FISTF Code]]=""),"",IF(VeteransList[[#This Row],[Valide Code ?]],INDEX(Players[Player Name],MATCH(VeteransList[[#This Row],[FISTF Code]],Players[FISTF Code],0)),VeteransList[[#This Row],[First &amp; Last Name]]))</f>
        <v/>
      </c>
      <c r="G110" s="233" t="str">
        <f>IF(VeteransList[[#This Row],[Retained Player Name]]="","",VLOOKUP(VeteransList[[#This Row],[Retained Player Name]],Players[],7,FALSE))</f>
        <v/>
      </c>
      <c r="H110" s="235" t="str">
        <f>IF(VeteransList[[#This Row],[Retained Player Name]]="","",VLOOKUP(VeteransList[[#This Row],[Retained Player Name]],Players[],6,FALSE))</f>
        <v/>
      </c>
      <c r="I110" s="235" t="str">
        <f>IF(VeteransList[[#This Row],[Retained Player Name]]="","",VLOOKUP(VeteransList[[#This Row],[Retained Player Name]],Players[],4,FALSE))</f>
        <v/>
      </c>
      <c r="J11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0" s="231"/>
      <c r="L110" s="231"/>
    </row>
    <row r="111" spans="1:12" x14ac:dyDescent="0.2">
      <c r="A111" s="16" t="str">
        <f>IF(AND(VeteransList[[#This Row],[First &amp; Last Name]]="",VeteransList[[#This Row],[FISTF Code]]=""),"",ROW()-ROW($A$11))</f>
        <v/>
      </c>
      <c r="B111" s="232"/>
      <c r="C111" s="436"/>
      <c r="D111" s="421" t="str">
        <f>IF(VeteransList[[#This Row],[First &amp; Last Name]]="","",IFERROR(ISNUMBER(MATCH(VeteransList[[#This Row],[First &amp; Last Name]],Players[Player Name],0)),FALSE))</f>
        <v/>
      </c>
      <c r="E111" s="421" t="b">
        <f>IF(VeteransList[[#This Row],[FISTF Code]]="",FALSE,IFERROR(ISNUMBER(MATCH(VeteransList[[#This Row],[FISTF Code]],Players[FISTF Code],0)),FALSE))</f>
        <v>0</v>
      </c>
      <c r="F111" s="419" t="str">
        <f>IF(AND(VeteransList[[#This Row],[First &amp; Last Name]]="",VeteransList[[#This Row],[FISTF Code]]=""),"",IF(VeteransList[[#This Row],[Valide Code ?]],INDEX(Players[Player Name],MATCH(VeteransList[[#This Row],[FISTF Code]],Players[FISTF Code],0)),VeteransList[[#This Row],[First &amp; Last Name]]))</f>
        <v/>
      </c>
      <c r="G111" s="233" t="str">
        <f>IF(VeteransList[[#This Row],[Retained Player Name]]="","",VLOOKUP(VeteransList[[#This Row],[Retained Player Name]],Players[],7,FALSE))</f>
        <v/>
      </c>
      <c r="H111" s="235" t="str">
        <f>IF(VeteransList[[#This Row],[Retained Player Name]]="","",VLOOKUP(VeteransList[[#This Row],[Retained Player Name]],Players[],6,FALSE))</f>
        <v/>
      </c>
      <c r="I111" s="235" t="str">
        <f>IF(VeteransList[[#This Row],[Retained Player Name]]="","",VLOOKUP(VeteransList[[#This Row],[Retained Player Name]],Players[],4,FALSE))</f>
        <v/>
      </c>
      <c r="J11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1" s="231"/>
      <c r="L111" s="231"/>
    </row>
    <row r="112" spans="1:12" x14ac:dyDescent="0.2">
      <c r="A112" s="16" t="str">
        <f>IF(AND(VeteransList[[#This Row],[First &amp; Last Name]]="",VeteransList[[#This Row],[FISTF Code]]=""),"",ROW()-ROW($A$11))</f>
        <v/>
      </c>
      <c r="B112" s="232"/>
      <c r="C112" s="436"/>
      <c r="D112" s="421" t="str">
        <f>IF(VeteransList[[#This Row],[First &amp; Last Name]]="","",IFERROR(ISNUMBER(MATCH(VeteransList[[#This Row],[First &amp; Last Name]],Players[Player Name],0)),FALSE))</f>
        <v/>
      </c>
      <c r="E112" s="421" t="b">
        <f>IF(VeteransList[[#This Row],[FISTF Code]]="",FALSE,IFERROR(ISNUMBER(MATCH(VeteransList[[#This Row],[FISTF Code]],Players[FISTF Code],0)),FALSE))</f>
        <v>0</v>
      </c>
      <c r="F112" s="419" t="str">
        <f>IF(AND(VeteransList[[#This Row],[First &amp; Last Name]]="",VeteransList[[#This Row],[FISTF Code]]=""),"",IF(VeteransList[[#This Row],[Valide Code ?]],INDEX(Players[Player Name],MATCH(VeteransList[[#This Row],[FISTF Code]],Players[FISTF Code],0)),VeteransList[[#This Row],[First &amp; Last Name]]))</f>
        <v/>
      </c>
      <c r="G112" s="233" t="str">
        <f>IF(VeteransList[[#This Row],[Retained Player Name]]="","",VLOOKUP(VeteransList[[#This Row],[Retained Player Name]],Players[],7,FALSE))</f>
        <v/>
      </c>
      <c r="H112" s="235" t="str">
        <f>IF(VeteransList[[#This Row],[Retained Player Name]]="","",VLOOKUP(VeteransList[[#This Row],[Retained Player Name]],Players[],6,FALSE))</f>
        <v/>
      </c>
      <c r="I112" s="235" t="str">
        <f>IF(VeteransList[[#This Row],[Retained Player Name]]="","",VLOOKUP(VeteransList[[#This Row],[Retained Player Name]],Players[],4,FALSE))</f>
        <v/>
      </c>
      <c r="J11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2" s="231"/>
      <c r="L112" s="231"/>
    </row>
    <row r="113" spans="1:12" x14ac:dyDescent="0.2">
      <c r="A113" s="16" t="str">
        <f>IF(AND(VeteransList[[#This Row],[First &amp; Last Name]]="",VeteransList[[#This Row],[FISTF Code]]=""),"",ROW()-ROW($A$11))</f>
        <v/>
      </c>
      <c r="B113" s="232"/>
      <c r="C113" s="436"/>
      <c r="D113" s="421" t="str">
        <f>IF(VeteransList[[#This Row],[First &amp; Last Name]]="","",IFERROR(ISNUMBER(MATCH(VeteransList[[#This Row],[First &amp; Last Name]],Players[Player Name],0)),FALSE))</f>
        <v/>
      </c>
      <c r="E113" s="421" t="b">
        <f>IF(VeteransList[[#This Row],[FISTF Code]]="",FALSE,IFERROR(ISNUMBER(MATCH(VeteransList[[#This Row],[FISTF Code]],Players[FISTF Code],0)),FALSE))</f>
        <v>0</v>
      </c>
      <c r="F113" s="419" t="str">
        <f>IF(AND(VeteransList[[#This Row],[First &amp; Last Name]]="",VeteransList[[#This Row],[FISTF Code]]=""),"",IF(VeteransList[[#This Row],[Valide Code ?]],INDEX(Players[Player Name],MATCH(VeteransList[[#This Row],[FISTF Code]],Players[FISTF Code],0)),VeteransList[[#This Row],[First &amp; Last Name]]))</f>
        <v/>
      </c>
      <c r="G113" s="233" t="str">
        <f>IF(VeteransList[[#This Row],[Retained Player Name]]="","",VLOOKUP(VeteransList[[#This Row],[Retained Player Name]],Players[],7,FALSE))</f>
        <v/>
      </c>
      <c r="H113" s="235" t="str">
        <f>IF(VeteransList[[#This Row],[Retained Player Name]]="","",VLOOKUP(VeteransList[[#This Row],[Retained Player Name]],Players[],6,FALSE))</f>
        <v/>
      </c>
      <c r="I113" s="235" t="str">
        <f>IF(VeteransList[[#This Row],[Retained Player Name]]="","",VLOOKUP(VeteransList[[#This Row],[Retained Player Name]],Players[],4,FALSE))</f>
        <v/>
      </c>
      <c r="J11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3" s="231"/>
      <c r="L113" s="231"/>
    </row>
    <row r="114" spans="1:12" x14ac:dyDescent="0.2">
      <c r="A114" s="16" t="str">
        <f>IF(AND(VeteransList[[#This Row],[First &amp; Last Name]]="",VeteransList[[#This Row],[FISTF Code]]=""),"",ROW()-ROW($A$11))</f>
        <v/>
      </c>
      <c r="B114" s="232"/>
      <c r="C114" s="436"/>
      <c r="D114" s="421" t="str">
        <f>IF(VeteransList[[#This Row],[First &amp; Last Name]]="","",IFERROR(ISNUMBER(MATCH(VeteransList[[#This Row],[First &amp; Last Name]],Players[Player Name],0)),FALSE))</f>
        <v/>
      </c>
      <c r="E114" s="421" t="b">
        <f>IF(VeteransList[[#This Row],[FISTF Code]]="",FALSE,IFERROR(ISNUMBER(MATCH(VeteransList[[#This Row],[FISTF Code]],Players[FISTF Code],0)),FALSE))</f>
        <v>0</v>
      </c>
      <c r="F114" s="419" t="str">
        <f>IF(AND(VeteransList[[#This Row],[First &amp; Last Name]]="",VeteransList[[#This Row],[FISTF Code]]=""),"",IF(VeteransList[[#This Row],[Valide Code ?]],INDEX(Players[Player Name],MATCH(VeteransList[[#This Row],[FISTF Code]],Players[FISTF Code],0)),VeteransList[[#This Row],[First &amp; Last Name]]))</f>
        <v/>
      </c>
      <c r="G114" s="233" t="str">
        <f>IF(VeteransList[[#This Row],[Retained Player Name]]="","",VLOOKUP(VeteransList[[#This Row],[Retained Player Name]],Players[],7,FALSE))</f>
        <v/>
      </c>
      <c r="H114" s="235" t="str">
        <f>IF(VeteransList[[#This Row],[Retained Player Name]]="","",VLOOKUP(VeteransList[[#This Row],[Retained Player Name]],Players[],6,FALSE))</f>
        <v/>
      </c>
      <c r="I114" s="235" t="str">
        <f>IF(VeteransList[[#This Row],[Retained Player Name]]="","",VLOOKUP(VeteransList[[#This Row],[Retained Player Name]],Players[],4,FALSE))</f>
        <v/>
      </c>
      <c r="J11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4" s="231"/>
      <c r="L114" s="231"/>
    </row>
    <row r="115" spans="1:12" x14ac:dyDescent="0.2">
      <c r="A115" s="16" t="str">
        <f>IF(AND(VeteransList[[#This Row],[First &amp; Last Name]]="",VeteransList[[#This Row],[FISTF Code]]=""),"",ROW()-ROW($A$11))</f>
        <v/>
      </c>
      <c r="B115" s="232"/>
      <c r="C115" s="436"/>
      <c r="D115" s="421" t="str">
        <f>IF(VeteransList[[#This Row],[First &amp; Last Name]]="","",IFERROR(ISNUMBER(MATCH(VeteransList[[#This Row],[First &amp; Last Name]],Players[Player Name],0)),FALSE))</f>
        <v/>
      </c>
      <c r="E115" s="421" t="b">
        <f>IF(VeteransList[[#This Row],[FISTF Code]]="",FALSE,IFERROR(ISNUMBER(MATCH(VeteransList[[#This Row],[FISTF Code]],Players[FISTF Code],0)),FALSE))</f>
        <v>0</v>
      </c>
      <c r="F115" s="419" t="str">
        <f>IF(AND(VeteransList[[#This Row],[First &amp; Last Name]]="",VeteransList[[#This Row],[FISTF Code]]=""),"",IF(VeteransList[[#This Row],[Valide Code ?]],INDEX(Players[Player Name],MATCH(VeteransList[[#This Row],[FISTF Code]],Players[FISTF Code],0)),VeteransList[[#This Row],[First &amp; Last Name]]))</f>
        <v/>
      </c>
      <c r="G115" s="233" t="str">
        <f>IF(VeteransList[[#This Row],[Retained Player Name]]="","",VLOOKUP(VeteransList[[#This Row],[Retained Player Name]],Players[],7,FALSE))</f>
        <v/>
      </c>
      <c r="H115" s="235" t="str">
        <f>IF(VeteransList[[#This Row],[Retained Player Name]]="","",VLOOKUP(VeteransList[[#This Row],[Retained Player Name]],Players[],6,FALSE))</f>
        <v/>
      </c>
      <c r="I115" s="235" t="str">
        <f>IF(VeteransList[[#This Row],[Retained Player Name]]="","",VLOOKUP(VeteransList[[#This Row],[Retained Player Name]],Players[],4,FALSE))</f>
        <v/>
      </c>
      <c r="J11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5" s="231"/>
      <c r="L115" s="231"/>
    </row>
    <row r="116" spans="1:12" x14ac:dyDescent="0.2">
      <c r="A116" s="16" t="str">
        <f>IF(AND(VeteransList[[#This Row],[First &amp; Last Name]]="",VeteransList[[#This Row],[FISTF Code]]=""),"",ROW()-ROW($A$11))</f>
        <v/>
      </c>
      <c r="B116" s="232"/>
      <c r="C116" s="436"/>
      <c r="D116" s="421" t="str">
        <f>IF(VeteransList[[#This Row],[First &amp; Last Name]]="","",IFERROR(ISNUMBER(MATCH(VeteransList[[#This Row],[First &amp; Last Name]],Players[Player Name],0)),FALSE))</f>
        <v/>
      </c>
      <c r="E116" s="421" t="b">
        <f>IF(VeteransList[[#This Row],[FISTF Code]]="",FALSE,IFERROR(ISNUMBER(MATCH(VeteransList[[#This Row],[FISTF Code]],Players[FISTF Code],0)),FALSE))</f>
        <v>0</v>
      </c>
      <c r="F116" s="419" t="str">
        <f>IF(AND(VeteransList[[#This Row],[First &amp; Last Name]]="",VeteransList[[#This Row],[FISTF Code]]=""),"",IF(VeteransList[[#This Row],[Valide Code ?]],INDEX(Players[Player Name],MATCH(VeteransList[[#This Row],[FISTF Code]],Players[FISTF Code],0)),VeteransList[[#This Row],[First &amp; Last Name]]))</f>
        <v/>
      </c>
      <c r="G116" s="233" t="str">
        <f>IF(VeteransList[[#This Row],[Retained Player Name]]="","",VLOOKUP(VeteransList[[#This Row],[Retained Player Name]],Players[],7,FALSE))</f>
        <v/>
      </c>
      <c r="H116" s="235" t="str">
        <f>IF(VeteransList[[#This Row],[Retained Player Name]]="","",VLOOKUP(VeteransList[[#This Row],[Retained Player Name]],Players[],6,FALSE))</f>
        <v/>
      </c>
      <c r="I116" s="235" t="str">
        <f>IF(VeteransList[[#This Row],[Retained Player Name]]="","",VLOOKUP(VeteransList[[#This Row],[Retained Player Name]],Players[],4,FALSE))</f>
        <v/>
      </c>
      <c r="J11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6" s="231"/>
      <c r="L116" s="231"/>
    </row>
    <row r="117" spans="1:12" x14ac:dyDescent="0.2">
      <c r="A117" s="16" t="str">
        <f>IF(AND(VeteransList[[#This Row],[First &amp; Last Name]]="",VeteransList[[#This Row],[FISTF Code]]=""),"",ROW()-ROW($A$11))</f>
        <v/>
      </c>
      <c r="B117" s="232"/>
      <c r="C117" s="436"/>
      <c r="D117" s="421" t="str">
        <f>IF(VeteransList[[#This Row],[First &amp; Last Name]]="","",IFERROR(ISNUMBER(MATCH(VeteransList[[#This Row],[First &amp; Last Name]],Players[Player Name],0)),FALSE))</f>
        <v/>
      </c>
      <c r="E117" s="421" t="b">
        <f>IF(VeteransList[[#This Row],[FISTF Code]]="",FALSE,IFERROR(ISNUMBER(MATCH(VeteransList[[#This Row],[FISTF Code]],Players[FISTF Code],0)),FALSE))</f>
        <v>0</v>
      </c>
      <c r="F117" s="419" t="str">
        <f>IF(AND(VeteransList[[#This Row],[First &amp; Last Name]]="",VeteransList[[#This Row],[FISTF Code]]=""),"",IF(VeteransList[[#This Row],[Valide Code ?]],INDEX(Players[Player Name],MATCH(VeteransList[[#This Row],[FISTF Code]],Players[FISTF Code],0)),VeteransList[[#This Row],[First &amp; Last Name]]))</f>
        <v/>
      </c>
      <c r="G117" s="233" t="str">
        <f>IF(VeteransList[[#This Row],[Retained Player Name]]="","",VLOOKUP(VeteransList[[#This Row],[Retained Player Name]],Players[],7,FALSE))</f>
        <v/>
      </c>
      <c r="H117" s="235" t="str">
        <f>IF(VeteransList[[#This Row],[Retained Player Name]]="","",VLOOKUP(VeteransList[[#This Row],[Retained Player Name]],Players[],6,FALSE))</f>
        <v/>
      </c>
      <c r="I117" s="235" t="str">
        <f>IF(VeteransList[[#This Row],[Retained Player Name]]="","",VLOOKUP(VeteransList[[#This Row],[Retained Player Name]],Players[],4,FALSE))</f>
        <v/>
      </c>
      <c r="J11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7" s="231"/>
      <c r="L117" s="231"/>
    </row>
    <row r="118" spans="1:12" x14ac:dyDescent="0.2">
      <c r="A118" s="16" t="str">
        <f>IF(AND(VeteransList[[#This Row],[First &amp; Last Name]]="",VeteransList[[#This Row],[FISTF Code]]=""),"",ROW()-ROW($A$11))</f>
        <v/>
      </c>
      <c r="B118" s="232"/>
      <c r="C118" s="436"/>
      <c r="D118" s="421" t="str">
        <f>IF(VeteransList[[#This Row],[First &amp; Last Name]]="","",IFERROR(ISNUMBER(MATCH(VeteransList[[#This Row],[First &amp; Last Name]],Players[Player Name],0)),FALSE))</f>
        <v/>
      </c>
      <c r="E118" s="421" t="b">
        <f>IF(VeteransList[[#This Row],[FISTF Code]]="",FALSE,IFERROR(ISNUMBER(MATCH(VeteransList[[#This Row],[FISTF Code]],Players[FISTF Code],0)),FALSE))</f>
        <v>0</v>
      </c>
      <c r="F118" s="419" t="str">
        <f>IF(AND(VeteransList[[#This Row],[First &amp; Last Name]]="",VeteransList[[#This Row],[FISTF Code]]=""),"",IF(VeteransList[[#This Row],[Valide Code ?]],INDEX(Players[Player Name],MATCH(VeteransList[[#This Row],[FISTF Code]],Players[FISTF Code],0)),VeteransList[[#This Row],[First &amp; Last Name]]))</f>
        <v/>
      </c>
      <c r="G118" s="233" t="str">
        <f>IF(VeteransList[[#This Row],[Retained Player Name]]="","",VLOOKUP(VeteransList[[#This Row],[Retained Player Name]],Players[],7,FALSE))</f>
        <v/>
      </c>
      <c r="H118" s="235" t="str">
        <f>IF(VeteransList[[#This Row],[Retained Player Name]]="","",VLOOKUP(VeteransList[[#This Row],[Retained Player Name]],Players[],6,FALSE))</f>
        <v/>
      </c>
      <c r="I118" s="235" t="str">
        <f>IF(VeteransList[[#This Row],[Retained Player Name]]="","",VLOOKUP(VeteransList[[#This Row],[Retained Player Name]],Players[],4,FALSE))</f>
        <v/>
      </c>
      <c r="J11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8" s="231"/>
      <c r="L118" s="231"/>
    </row>
    <row r="119" spans="1:12" x14ac:dyDescent="0.2">
      <c r="A119" s="16" t="str">
        <f>IF(AND(VeteransList[[#This Row],[First &amp; Last Name]]="",VeteransList[[#This Row],[FISTF Code]]=""),"",ROW()-ROW($A$11))</f>
        <v/>
      </c>
      <c r="B119" s="232"/>
      <c r="C119" s="436"/>
      <c r="D119" s="421" t="str">
        <f>IF(VeteransList[[#This Row],[First &amp; Last Name]]="","",IFERROR(ISNUMBER(MATCH(VeteransList[[#This Row],[First &amp; Last Name]],Players[Player Name],0)),FALSE))</f>
        <v/>
      </c>
      <c r="E119" s="421" t="b">
        <f>IF(VeteransList[[#This Row],[FISTF Code]]="",FALSE,IFERROR(ISNUMBER(MATCH(VeteransList[[#This Row],[FISTF Code]],Players[FISTF Code],0)),FALSE))</f>
        <v>0</v>
      </c>
      <c r="F119" s="419" t="str">
        <f>IF(AND(VeteransList[[#This Row],[First &amp; Last Name]]="",VeteransList[[#This Row],[FISTF Code]]=""),"",IF(VeteransList[[#This Row],[Valide Code ?]],INDEX(Players[Player Name],MATCH(VeteransList[[#This Row],[FISTF Code]],Players[FISTF Code],0)),VeteransList[[#This Row],[First &amp; Last Name]]))</f>
        <v/>
      </c>
      <c r="G119" s="233" t="str">
        <f>IF(VeteransList[[#This Row],[Retained Player Name]]="","",VLOOKUP(VeteransList[[#This Row],[Retained Player Name]],Players[],7,FALSE))</f>
        <v/>
      </c>
      <c r="H119" s="235" t="str">
        <f>IF(VeteransList[[#This Row],[Retained Player Name]]="","",VLOOKUP(VeteransList[[#This Row],[Retained Player Name]],Players[],6,FALSE))</f>
        <v/>
      </c>
      <c r="I119" s="235" t="str">
        <f>IF(VeteransList[[#This Row],[Retained Player Name]]="","",VLOOKUP(VeteransList[[#This Row],[Retained Player Name]],Players[],4,FALSE))</f>
        <v/>
      </c>
      <c r="J11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9" s="231"/>
      <c r="L119" s="231"/>
    </row>
    <row r="120" spans="1:12" x14ac:dyDescent="0.2">
      <c r="A120" s="16" t="str">
        <f>IF(AND(VeteransList[[#This Row],[First &amp; Last Name]]="",VeteransList[[#This Row],[FISTF Code]]=""),"",ROW()-ROW($A$11))</f>
        <v/>
      </c>
      <c r="B120" s="232"/>
      <c r="C120" s="436"/>
      <c r="D120" s="421" t="str">
        <f>IF(VeteransList[[#This Row],[First &amp; Last Name]]="","",IFERROR(ISNUMBER(MATCH(VeteransList[[#This Row],[First &amp; Last Name]],Players[Player Name],0)),FALSE))</f>
        <v/>
      </c>
      <c r="E120" s="421" t="b">
        <f>IF(VeteransList[[#This Row],[FISTF Code]]="",FALSE,IFERROR(ISNUMBER(MATCH(VeteransList[[#This Row],[FISTF Code]],Players[FISTF Code],0)),FALSE))</f>
        <v>0</v>
      </c>
      <c r="F120" s="419" t="str">
        <f>IF(AND(VeteransList[[#This Row],[First &amp; Last Name]]="",VeteransList[[#This Row],[FISTF Code]]=""),"",IF(VeteransList[[#This Row],[Valide Code ?]],INDEX(Players[Player Name],MATCH(VeteransList[[#This Row],[FISTF Code]],Players[FISTF Code],0)),VeteransList[[#This Row],[First &amp; Last Name]]))</f>
        <v/>
      </c>
      <c r="G120" s="233" t="str">
        <f>IF(VeteransList[[#This Row],[Retained Player Name]]="","",VLOOKUP(VeteransList[[#This Row],[Retained Player Name]],Players[],7,FALSE))</f>
        <v/>
      </c>
      <c r="H120" s="235" t="str">
        <f>IF(VeteransList[[#This Row],[Retained Player Name]]="","",VLOOKUP(VeteransList[[#This Row],[Retained Player Name]],Players[],6,FALSE))</f>
        <v/>
      </c>
      <c r="I120" s="235" t="str">
        <f>IF(VeteransList[[#This Row],[Retained Player Name]]="","",VLOOKUP(VeteransList[[#This Row],[Retained Player Name]],Players[],4,FALSE))</f>
        <v/>
      </c>
      <c r="J12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0" s="231"/>
      <c r="L120" s="231"/>
    </row>
    <row r="121" spans="1:12" x14ac:dyDescent="0.2">
      <c r="A121" s="16" t="str">
        <f>IF(AND(VeteransList[[#This Row],[First &amp; Last Name]]="",VeteransList[[#This Row],[FISTF Code]]=""),"",ROW()-ROW($A$11))</f>
        <v/>
      </c>
      <c r="B121" s="232"/>
      <c r="C121" s="436"/>
      <c r="D121" s="421" t="str">
        <f>IF(VeteransList[[#This Row],[First &amp; Last Name]]="","",IFERROR(ISNUMBER(MATCH(VeteransList[[#This Row],[First &amp; Last Name]],Players[Player Name],0)),FALSE))</f>
        <v/>
      </c>
      <c r="E121" s="421" t="b">
        <f>IF(VeteransList[[#This Row],[FISTF Code]]="",FALSE,IFERROR(ISNUMBER(MATCH(VeteransList[[#This Row],[FISTF Code]],Players[FISTF Code],0)),FALSE))</f>
        <v>0</v>
      </c>
      <c r="F121" s="419" t="str">
        <f>IF(AND(VeteransList[[#This Row],[First &amp; Last Name]]="",VeteransList[[#This Row],[FISTF Code]]=""),"",IF(VeteransList[[#This Row],[Valide Code ?]],INDEX(Players[Player Name],MATCH(VeteransList[[#This Row],[FISTF Code]],Players[FISTF Code],0)),VeteransList[[#This Row],[First &amp; Last Name]]))</f>
        <v/>
      </c>
      <c r="G121" s="233" t="str">
        <f>IF(VeteransList[[#This Row],[Retained Player Name]]="","",VLOOKUP(VeteransList[[#This Row],[Retained Player Name]],Players[],7,FALSE))</f>
        <v/>
      </c>
      <c r="H121" s="235" t="str">
        <f>IF(VeteransList[[#This Row],[Retained Player Name]]="","",VLOOKUP(VeteransList[[#This Row],[Retained Player Name]],Players[],6,FALSE))</f>
        <v/>
      </c>
      <c r="I121" s="235" t="str">
        <f>IF(VeteransList[[#This Row],[Retained Player Name]]="","",VLOOKUP(VeteransList[[#This Row],[Retained Player Name]],Players[],4,FALSE))</f>
        <v/>
      </c>
      <c r="J12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1" s="231"/>
      <c r="L121" s="231"/>
    </row>
    <row r="122" spans="1:12" x14ac:dyDescent="0.2">
      <c r="A122" s="16" t="str">
        <f>IF(AND(VeteransList[[#This Row],[First &amp; Last Name]]="",VeteransList[[#This Row],[FISTF Code]]=""),"",ROW()-ROW($A$11))</f>
        <v/>
      </c>
      <c r="B122" s="232"/>
      <c r="C122" s="436"/>
      <c r="D122" s="421" t="str">
        <f>IF(VeteransList[[#This Row],[First &amp; Last Name]]="","",IFERROR(ISNUMBER(MATCH(VeteransList[[#This Row],[First &amp; Last Name]],Players[Player Name],0)),FALSE))</f>
        <v/>
      </c>
      <c r="E122" s="421" t="b">
        <f>IF(VeteransList[[#This Row],[FISTF Code]]="",FALSE,IFERROR(ISNUMBER(MATCH(VeteransList[[#This Row],[FISTF Code]],Players[FISTF Code],0)),FALSE))</f>
        <v>0</v>
      </c>
      <c r="F122" s="419" t="str">
        <f>IF(AND(VeteransList[[#This Row],[First &amp; Last Name]]="",VeteransList[[#This Row],[FISTF Code]]=""),"",IF(VeteransList[[#This Row],[Valide Code ?]],INDEX(Players[Player Name],MATCH(VeteransList[[#This Row],[FISTF Code]],Players[FISTF Code],0)),VeteransList[[#This Row],[First &amp; Last Name]]))</f>
        <v/>
      </c>
      <c r="G122" s="233" t="str">
        <f>IF(VeteransList[[#This Row],[Retained Player Name]]="","",VLOOKUP(VeteransList[[#This Row],[Retained Player Name]],Players[],7,FALSE))</f>
        <v/>
      </c>
      <c r="H122" s="235" t="str">
        <f>IF(VeteransList[[#This Row],[Retained Player Name]]="","",VLOOKUP(VeteransList[[#This Row],[Retained Player Name]],Players[],6,FALSE))</f>
        <v/>
      </c>
      <c r="I122" s="235" t="str">
        <f>IF(VeteransList[[#This Row],[Retained Player Name]]="","",VLOOKUP(VeteransList[[#This Row],[Retained Player Name]],Players[],4,FALSE))</f>
        <v/>
      </c>
      <c r="J12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2" s="231"/>
      <c r="L122" s="231"/>
    </row>
    <row r="123" spans="1:12" x14ac:dyDescent="0.2">
      <c r="A123" s="16" t="str">
        <f>IF(AND(VeteransList[[#This Row],[First &amp; Last Name]]="",VeteransList[[#This Row],[FISTF Code]]=""),"",ROW()-ROW($A$11))</f>
        <v/>
      </c>
      <c r="B123" s="232"/>
      <c r="C123" s="436"/>
      <c r="D123" s="421" t="str">
        <f>IF(VeteransList[[#This Row],[First &amp; Last Name]]="","",IFERROR(ISNUMBER(MATCH(VeteransList[[#This Row],[First &amp; Last Name]],Players[Player Name],0)),FALSE))</f>
        <v/>
      </c>
      <c r="E123" s="421" t="b">
        <f>IF(VeteransList[[#This Row],[FISTF Code]]="",FALSE,IFERROR(ISNUMBER(MATCH(VeteransList[[#This Row],[FISTF Code]],Players[FISTF Code],0)),FALSE))</f>
        <v>0</v>
      </c>
      <c r="F123" s="419" t="str">
        <f>IF(AND(VeteransList[[#This Row],[First &amp; Last Name]]="",VeteransList[[#This Row],[FISTF Code]]=""),"",IF(VeteransList[[#This Row],[Valide Code ?]],INDEX(Players[Player Name],MATCH(VeteransList[[#This Row],[FISTF Code]],Players[FISTF Code],0)),VeteransList[[#This Row],[First &amp; Last Name]]))</f>
        <v/>
      </c>
      <c r="G123" s="233" t="str">
        <f>IF(VeteransList[[#This Row],[Retained Player Name]]="","",VLOOKUP(VeteransList[[#This Row],[Retained Player Name]],Players[],7,FALSE))</f>
        <v/>
      </c>
      <c r="H123" s="235" t="str">
        <f>IF(VeteransList[[#This Row],[Retained Player Name]]="","",VLOOKUP(VeteransList[[#This Row],[Retained Player Name]],Players[],6,FALSE))</f>
        <v/>
      </c>
      <c r="I123" s="235" t="str">
        <f>IF(VeteransList[[#This Row],[Retained Player Name]]="","",VLOOKUP(VeteransList[[#This Row],[Retained Player Name]],Players[],4,FALSE))</f>
        <v/>
      </c>
      <c r="J12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3" s="231"/>
      <c r="L123" s="231"/>
    </row>
    <row r="124" spans="1:12" x14ac:dyDescent="0.2">
      <c r="A124" s="19" t="str">
        <f>IF(AND(VeteransList[[#This Row],[First &amp; Last Name]]="",VeteransList[[#This Row],[FISTF Code]]=""),"",ROW()-ROW($A$11))</f>
        <v/>
      </c>
      <c r="B124" s="232"/>
      <c r="C124" s="436"/>
      <c r="D124" s="421" t="str">
        <f>IF(VeteransList[[#This Row],[First &amp; Last Name]]="","",IFERROR(ISNUMBER(MATCH(VeteransList[[#This Row],[First &amp; Last Name]],Players[Player Name],0)),FALSE))</f>
        <v/>
      </c>
      <c r="E124" s="421" t="b">
        <f>IF(VeteransList[[#This Row],[FISTF Code]]="",FALSE,IFERROR(ISNUMBER(MATCH(VeteransList[[#This Row],[FISTF Code]],Players[FISTF Code],0)),FALSE))</f>
        <v>0</v>
      </c>
      <c r="F124" s="419" t="str">
        <f>IF(AND(VeteransList[[#This Row],[First &amp; Last Name]]="",VeteransList[[#This Row],[FISTF Code]]=""),"",IF(VeteransList[[#This Row],[Valide Code ?]],INDEX(Players[Player Name],MATCH(VeteransList[[#This Row],[FISTF Code]],Players[FISTF Code],0)),VeteransList[[#This Row],[First &amp; Last Name]]))</f>
        <v/>
      </c>
      <c r="G124" s="233" t="str">
        <f>IF(VeteransList[[#This Row],[Retained Player Name]]="","",VLOOKUP(VeteransList[[#This Row],[Retained Player Name]],Players[],7,FALSE))</f>
        <v/>
      </c>
      <c r="H124" s="235" t="str">
        <f>IF(VeteransList[[#This Row],[Retained Player Name]]="","",VLOOKUP(VeteransList[[#This Row],[Retained Player Name]],Players[],6,FALSE))</f>
        <v/>
      </c>
      <c r="I124" s="235" t="str">
        <f>IF(VeteransList[[#This Row],[Retained Player Name]]="","",VLOOKUP(VeteransList[[#This Row],[Retained Player Name]],Players[],4,FALSE))</f>
        <v/>
      </c>
      <c r="J12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4" s="231"/>
      <c r="L124" s="231"/>
    </row>
    <row r="125" spans="1:12" x14ac:dyDescent="0.2">
      <c r="A125" s="19" t="str">
        <f>IF(AND(VeteransList[[#This Row],[First &amp; Last Name]]="",VeteransList[[#This Row],[FISTF Code]]=""),"",ROW()-ROW($A$11))</f>
        <v/>
      </c>
      <c r="B125" s="232"/>
      <c r="C125" s="436"/>
      <c r="D125" s="421" t="str">
        <f>IF(VeteransList[[#This Row],[First &amp; Last Name]]="","",IFERROR(ISNUMBER(MATCH(VeteransList[[#This Row],[First &amp; Last Name]],Players[Player Name],0)),FALSE))</f>
        <v/>
      </c>
      <c r="E125" s="421" t="b">
        <f>IF(VeteransList[[#This Row],[FISTF Code]]="",FALSE,IFERROR(ISNUMBER(MATCH(VeteransList[[#This Row],[FISTF Code]],Players[FISTF Code],0)),FALSE))</f>
        <v>0</v>
      </c>
      <c r="F125" s="419" t="str">
        <f>IF(AND(VeteransList[[#This Row],[First &amp; Last Name]]="",VeteransList[[#This Row],[FISTF Code]]=""),"",IF(VeteransList[[#This Row],[Valide Code ?]],INDEX(Players[Player Name],MATCH(VeteransList[[#This Row],[FISTF Code]],Players[FISTF Code],0)),VeteransList[[#This Row],[First &amp; Last Name]]))</f>
        <v/>
      </c>
      <c r="G125" s="233" t="str">
        <f>IF(VeteransList[[#This Row],[Retained Player Name]]="","",VLOOKUP(VeteransList[[#This Row],[Retained Player Name]],Players[],7,FALSE))</f>
        <v/>
      </c>
      <c r="H125" s="235" t="str">
        <f>IF(VeteransList[[#This Row],[Retained Player Name]]="","",VLOOKUP(VeteransList[[#This Row],[Retained Player Name]],Players[],6,FALSE))</f>
        <v/>
      </c>
      <c r="I125" s="235" t="str">
        <f>IF(VeteransList[[#This Row],[Retained Player Name]]="","",VLOOKUP(VeteransList[[#This Row],[Retained Player Name]],Players[],4,FALSE))</f>
        <v/>
      </c>
      <c r="J12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5" s="231"/>
      <c r="L125" s="231"/>
    </row>
    <row r="126" spans="1:12" x14ac:dyDescent="0.2">
      <c r="A126" s="502" t="str">
        <f>IF(AND(VeteransList[[#This Row],[First &amp; Last Name]]="",VeteransList[[#This Row],[FISTF Code]]=""),"",ROW()-ROW($A$11))</f>
        <v/>
      </c>
      <c r="B126" s="503"/>
      <c r="C126" s="436"/>
      <c r="D126" s="421" t="str">
        <f>IF(VeteransList[[#This Row],[First &amp; Last Name]]="","",IFERROR(ISNUMBER(MATCH(VeteransList[[#This Row],[First &amp; Last Name]],Players[Player Name],0)),FALSE))</f>
        <v/>
      </c>
      <c r="E126" s="421" t="b">
        <f>IF(VeteransList[[#This Row],[FISTF Code]]="",FALSE,IFERROR(ISNUMBER(MATCH(VeteransList[[#This Row],[FISTF Code]],#REF!,0)),FALSE))</f>
        <v>0</v>
      </c>
      <c r="F126" s="419" t="str">
        <f>IF(AND(VeteransList[[#This Row],[First &amp; Last Name]]="",VeteransList[[#This Row],[FISTF Code]]=""),"",IF(VeteransList[[#This Row],[Valide Code ?]],INDEX(Players[Player Name],MATCH(VeteransList[[#This Row],[FISTF Code]],#REF!,0)),VeteransList[[#This Row],[First &amp; Last Name]]))</f>
        <v/>
      </c>
      <c r="G126" s="233" t="str">
        <f>IF(VeteransList[[#This Row],[Retained Player Name]]="","",VLOOKUP(VeteransList[[#This Row],[Retained Player Name]],Players[],7,FALSE))</f>
        <v/>
      </c>
      <c r="H126" s="235" t="str">
        <f>IF(VeteransList[[#This Row],[Retained Player Name]]="","",VLOOKUP(VeteransList[[#This Row],[Retained Player Name]],Players[],6,FALSE))</f>
        <v/>
      </c>
      <c r="I126" s="235" t="str">
        <f>IF(VeteransList[[#This Row],[Retained Player Name]]="","",VLOOKUP(VeteransList[[#This Row],[Retained Player Name]],Players[],4,FALSE))</f>
        <v/>
      </c>
      <c r="J12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6" s="231"/>
      <c r="L126" s="231"/>
    </row>
    <row r="127" spans="1:12" x14ac:dyDescent="0.2">
      <c r="A127" s="502" t="str">
        <f>IF(AND(VeteransList[[#This Row],[First &amp; Last Name]]="",VeteransList[[#This Row],[FISTF Code]]=""),"",ROW()-ROW($A$11))</f>
        <v/>
      </c>
      <c r="B127" s="503"/>
      <c r="C127" s="436"/>
      <c r="D127" s="421" t="str">
        <f>IF(VeteransList[[#This Row],[First &amp; Last Name]]="","",IFERROR(ISNUMBER(MATCH(VeteransList[[#This Row],[First &amp; Last Name]],Players[Player Name],0)),FALSE))</f>
        <v/>
      </c>
      <c r="E127" s="421" t="b">
        <f>IF(VeteransList[[#This Row],[FISTF Code]]="",FALSE,IFERROR(ISNUMBER(MATCH(VeteransList[[#This Row],[FISTF Code]],#REF!,0)),FALSE))</f>
        <v>0</v>
      </c>
      <c r="F127" s="419" t="str">
        <f>IF(AND(VeteransList[[#This Row],[First &amp; Last Name]]="",VeteransList[[#This Row],[FISTF Code]]=""),"",IF(VeteransList[[#This Row],[Valide Code ?]],INDEX(Players[Player Name],MATCH(VeteransList[[#This Row],[FISTF Code]],#REF!,0)),VeteransList[[#This Row],[First &amp; Last Name]]))</f>
        <v/>
      </c>
      <c r="G127" s="233" t="str">
        <f>IF(VeteransList[[#This Row],[Retained Player Name]]="","",VLOOKUP(VeteransList[[#This Row],[Retained Player Name]],Players[],7,FALSE))</f>
        <v/>
      </c>
      <c r="H127" s="235" t="str">
        <f>IF(VeteransList[[#This Row],[Retained Player Name]]="","",VLOOKUP(VeteransList[[#This Row],[Retained Player Name]],Players[],6,FALSE))</f>
        <v/>
      </c>
      <c r="I127" s="235" t="str">
        <f>IF(VeteransList[[#This Row],[Retained Player Name]]="","",VLOOKUP(VeteransList[[#This Row],[Retained Player Name]],Players[],4,FALSE))</f>
        <v/>
      </c>
      <c r="J12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7" s="231"/>
      <c r="L127" s="231"/>
    </row>
    <row r="128" spans="1:12" x14ac:dyDescent="0.2">
      <c r="A128" s="502" t="str">
        <f>IF(AND(VeteransList[[#This Row],[First &amp; Last Name]]="",VeteransList[[#This Row],[FISTF Code]]=""),"",ROW()-ROW($A$11))</f>
        <v/>
      </c>
      <c r="B128" s="503"/>
      <c r="C128" s="436"/>
      <c r="D128" s="421" t="str">
        <f>IF(VeteransList[[#This Row],[First &amp; Last Name]]="","",IFERROR(ISNUMBER(MATCH(VeteransList[[#This Row],[First &amp; Last Name]],Players[Player Name],0)),FALSE))</f>
        <v/>
      </c>
      <c r="E128" s="421" t="b">
        <f>IF(VeteransList[[#This Row],[FISTF Code]]="",FALSE,IFERROR(ISNUMBER(MATCH(VeteransList[[#This Row],[FISTF Code]],#REF!,0)),FALSE))</f>
        <v>0</v>
      </c>
      <c r="F128" s="419" t="str">
        <f>IF(AND(VeteransList[[#This Row],[First &amp; Last Name]]="",VeteransList[[#This Row],[FISTF Code]]=""),"",IF(VeteransList[[#This Row],[Valide Code ?]],INDEX(Players[Player Name],MATCH(VeteransList[[#This Row],[FISTF Code]],#REF!,0)),VeteransList[[#This Row],[First &amp; Last Name]]))</f>
        <v/>
      </c>
      <c r="G128" s="233" t="str">
        <f>IF(VeteransList[[#This Row],[Retained Player Name]]="","",VLOOKUP(VeteransList[[#This Row],[Retained Player Name]],Players[],7,FALSE))</f>
        <v/>
      </c>
      <c r="H128" s="235" t="str">
        <f>IF(VeteransList[[#This Row],[Retained Player Name]]="","",VLOOKUP(VeteransList[[#This Row],[Retained Player Name]],Players[],6,FALSE))</f>
        <v/>
      </c>
      <c r="I128" s="235" t="str">
        <f>IF(VeteransList[[#This Row],[Retained Player Name]]="","",VLOOKUP(VeteransList[[#This Row],[Retained Player Name]],Players[],4,FALSE))</f>
        <v/>
      </c>
      <c r="J12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8" s="231"/>
      <c r="L128" s="231"/>
    </row>
    <row r="129" spans="1:12" x14ac:dyDescent="0.2">
      <c r="A129" s="502" t="str">
        <f>IF(AND(VeteransList[[#This Row],[First &amp; Last Name]]="",VeteransList[[#This Row],[FISTF Code]]=""),"",ROW()-ROW($A$11))</f>
        <v/>
      </c>
      <c r="B129" s="503"/>
      <c r="C129" s="436"/>
      <c r="D129" s="421" t="str">
        <f>IF(VeteransList[[#This Row],[First &amp; Last Name]]="","",IFERROR(ISNUMBER(MATCH(VeteransList[[#This Row],[First &amp; Last Name]],Players[Player Name],0)),FALSE))</f>
        <v/>
      </c>
      <c r="E129" s="421" t="b">
        <f>IF(VeteransList[[#This Row],[FISTF Code]]="",FALSE,IFERROR(ISNUMBER(MATCH(VeteransList[[#This Row],[FISTF Code]],#REF!,0)),FALSE))</f>
        <v>0</v>
      </c>
      <c r="F129" s="419" t="str">
        <f>IF(AND(VeteransList[[#This Row],[First &amp; Last Name]]="",VeteransList[[#This Row],[FISTF Code]]=""),"",IF(VeteransList[[#This Row],[Valide Code ?]],INDEX(Players[Player Name],MATCH(VeteransList[[#This Row],[FISTF Code]],#REF!,0)),VeteransList[[#This Row],[First &amp; Last Name]]))</f>
        <v/>
      </c>
      <c r="G129" s="233" t="str">
        <f>IF(VeteransList[[#This Row],[Retained Player Name]]="","",VLOOKUP(VeteransList[[#This Row],[Retained Player Name]],Players[],7,FALSE))</f>
        <v/>
      </c>
      <c r="H129" s="235" t="str">
        <f>IF(VeteransList[[#This Row],[Retained Player Name]]="","",VLOOKUP(VeteransList[[#This Row],[Retained Player Name]],Players[],6,FALSE))</f>
        <v/>
      </c>
      <c r="I129" s="235" t="str">
        <f>IF(VeteransList[[#This Row],[Retained Player Name]]="","",VLOOKUP(VeteransList[[#This Row],[Retained Player Name]],Players[],4,FALSE))</f>
        <v/>
      </c>
      <c r="J12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9" s="231"/>
      <c r="L129" s="231"/>
    </row>
    <row r="130" spans="1:12" x14ac:dyDescent="0.2">
      <c r="A130" s="502" t="str">
        <f>IF(AND(VeteransList[[#This Row],[First &amp; Last Name]]="",VeteransList[[#This Row],[FISTF Code]]=""),"",ROW()-ROW($A$11))</f>
        <v/>
      </c>
      <c r="B130" s="503"/>
      <c r="C130" s="436"/>
      <c r="D130" s="421" t="str">
        <f>IF(VeteransList[[#This Row],[First &amp; Last Name]]="","",IFERROR(ISNUMBER(MATCH(VeteransList[[#This Row],[First &amp; Last Name]],Players[Player Name],0)),FALSE))</f>
        <v/>
      </c>
      <c r="E130" s="421" t="b">
        <f>IF(VeteransList[[#This Row],[FISTF Code]]="",FALSE,IFERROR(ISNUMBER(MATCH(VeteransList[[#This Row],[FISTF Code]],#REF!,0)),FALSE))</f>
        <v>0</v>
      </c>
      <c r="F130" s="419" t="str">
        <f>IF(AND(VeteransList[[#This Row],[First &amp; Last Name]]="",VeteransList[[#This Row],[FISTF Code]]=""),"",IF(VeteransList[[#This Row],[Valide Code ?]],INDEX(Players[Player Name],MATCH(VeteransList[[#This Row],[FISTF Code]],#REF!,0)),VeteransList[[#This Row],[First &amp; Last Name]]))</f>
        <v/>
      </c>
      <c r="G130" s="233" t="str">
        <f>IF(VeteransList[[#This Row],[Retained Player Name]]="","",VLOOKUP(VeteransList[[#This Row],[Retained Player Name]],Players[],7,FALSE))</f>
        <v/>
      </c>
      <c r="H130" s="235" t="str">
        <f>IF(VeteransList[[#This Row],[Retained Player Name]]="","",VLOOKUP(VeteransList[[#This Row],[Retained Player Name]],Players[],6,FALSE))</f>
        <v/>
      </c>
      <c r="I130" s="235" t="str">
        <f>IF(VeteransList[[#This Row],[Retained Player Name]]="","",VLOOKUP(VeteransList[[#This Row],[Retained Player Name]],Players[],4,FALSE))</f>
        <v/>
      </c>
      <c r="J13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0" s="231"/>
      <c r="L130" s="231"/>
    </row>
    <row r="131" spans="1:12" x14ac:dyDescent="0.2">
      <c r="A131" s="502" t="str">
        <f>IF(AND(VeteransList[[#This Row],[First &amp; Last Name]]="",VeteransList[[#This Row],[FISTF Code]]=""),"",ROW()-ROW($A$11))</f>
        <v/>
      </c>
      <c r="B131" s="503"/>
      <c r="C131" s="436"/>
      <c r="D131" s="421" t="str">
        <f>IF(VeteransList[[#This Row],[First &amp; Last Name]]="","",IFERROR(ISNUMBER(MATCH(VeteransList[[#This Row],[First &amp; Last Name]],Players[Player Name],0)),FALSE))</f>
        <v/>
      </c>
      <c r="E131" s="421" t="b">
        <f>IF(VeteransList[[#This Row],[FISTF Code]]="",FALSE,IFERROR(ISNUMBER(MATCH(VeteransList[[#This Row],[FISTF Code]],#REF!,0)),FALSE))</f>
        <v>0</v>
      </c>
      <c r="F131" s="419" t="str">
        <f>IF(AND(VeteransList[[#This Row],[First &amp; Last Name]]="",VeteransList[[#This Row],[FISTF Code]]=""),"",IF(VeteransList[[#This Row],[Valide Code ?]],INDEX(Players[Player Name],MATCH(VeteransList[[#This Row],[FISTF Code]],#REF!,0)),VeteransList[[#This Row],[First &amp; Last Name]]))</f>
        <v/>
      </c>
      <c r="G131" s="233" t="str">
        <f>IF(VeteransList[[#This Row],[Retained Player Name]]="","",VLOOKUP(VeteransList[[#This Row],[Retained Player Name]],Players[],7,FALSE))</f>
        <v/>
      </c>
      <c r="H131" s="235" t="str">
        <f>IF(VeteransList[[#This Row],[Retained Player Name]]="","",VLOOKUP(VeteransList[[#This Row],[Retained Player Name]],Players[],6,FALSE))</f>
        <v/>
      </c>
      <c r="I131" s="235" t="str">
        <f>IF(VeteransList[[#This Row],[Retained Player Name]]="","",VLOOKUP(VeteransList[[#This Row],[Retained Player Name]],Players[],4,FALSE))</f>
        <v/>
      </c>
      <c r="J13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1" s="231"/>
      <c r="L131" s="231"/>
    </row>
    <row r="132" spans="1:12" x14ac:dyDescent="0.2">
      <c r="A132" s="502" t="str">
        <f>IF(AND(VeteransList[[#This Row],[First &amp; Last Name]]="",VeteransList[[#This Row],[FISTF Code]]=""),"",ROW()-ROW($A$11))</f>
        <v/>
      </c>
      <c r="B132" s="503"/>
      <c r="C132" s="436"/>
      <c r="D132" s="421" t="str">
        <f>IF(VeteransList[[#This Row],[First &amp; Last Name]]="","",IFERROR(ISNUMBER(MATCH(VeteransList[[#This Row],[First &amp; Last Name]],Players[Player Name],0)),FALSE))</f>
        <v/>
      </c>
      <c r="E132" s="421" t="b">
        <f>IF(VeteransList[[#This Row],[FISTF Code]]="",FALSE,IFERROR(ISNUMBER(MATCH(VeteransList[[#This Row],[FISTF Code]],#REF!,0)),FALSE))</f>
        <v>0</v>
      </c>
      <c r="F132" s="419" t="str">
        <f>IF(AND(VeteransList[[#This Row],[First &amp; Last Name]]="",VeteransList[[#This Row],[FISTF Code]]=""),"",IF(VeteransList[[#This Row],[Valide Code ?]],INDEX(Players[Player Name],MATCH(VeteransList[[#This Row],[FISTF Code]],#REF!,0)),VeteransList[[#This Row],[First &amp; Last Name]]))</f>
        <v/>
      </c>
      <c r="G132" s="233" t="str">
        <f>IF(VeteransList[[#This Row],[Retained Player Name]]="","",VLOOKUP(VeteransList[[#This Row],[Retained Player Name]],Players[],7,FALSE))</f>
        <v/>
      </c>
      <c r="H132" s="235" t="str">
        <f>IF(VeteransList[[#This Row],[Retained Player Name]]="","",VLOOKUP(VeteransList[[#This Row],[Retained Player Name]],Players[],6,FALSE))</f>
        <v/>
      </c>
      <c r="I132" s="235" t="str">
        <f>IF(VeteransList[[#This Row],[Retained Player Name]]="","",VLOOKUP(VeteransList[[#This Row],[Retained Player Name]],Players[],4,FALSE))</f>
        <v/>
      </c>
      <c r="J13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2" s="231"/>
      <c r="L132" s="231"/>
    </row>
    <row r="133" spans="1:12" x14ac:dyDescent="0.2">
      <c r="A133" s="502" t="str">
        <f>IF(AND(VeteransList[[#This Row],[First &amp; Last Name]]="",VeteransList[[#This Row],[FISTF Code]]=""),"",ROW()-ROW($A$11))</f>
        <v/>
      </c>
      <c r="B133" s="503"/>
      <c r="C133" s="436"/>
      <c r="D133" s="421" t="str">
        <f>IF(VeteransList[[#This Row],[First &amp; Last Name]]="","",IFERROR(ISNUMBER(MATCH(VeteransList[[#This Row],[First &amp; Last Name]],Players[Player Name],0)),FALSE))</f>
        <v/>
      </c>
      <c r="E133" s="421" t="b">
        <f>IF(VeteransList[[#This Row],[FISTF Code]]="",FALSE,IFERROR(ISNUMBER(MATCH(VeteransList[[#This Row],[FISTF Code]],#REF!,0)),FALSE))</f>
        <v>0</v>
      </c>
      <c r="F133" s="419" t="str">
        <f>IF(AND(VeteransList[[#This Row],[First &amp; Last Name]]="",VeteransList[[#This Row],[FISTF Code]]=""),"",IF(VeteransList[[#This Row],[Valide Code ?]],INDEX(Players[Player Name],MATCH(VeteransList[[#This Row],[FISTF Code]],#REF!,0)),VeteransList[[#This Row],[First &amp; Last Name]]))</f>
        <v/>
      </c>
      <c r="G133" s="233" t="str">
        <f>IF(VeteransList[[#This Row],[Retained Player Name]]="","",VLOOKUP(VeteransList[[#This Row],[Retained Player Name]],Players[],7,FALSE))</f>
        <v/>
      </c>
      <c r="H133" s="235" t="str">
        <f>IF(VeteransList[[#This Row],[Retained Player Name]]="","",VLOOKUP(VeteransList[[#This Row],[Retained Player Name]],Players[],6,FALSE))</f>
        <v/>
      </c>
      <c r="I133" s="235" t="str">
        <f>IF(VeteransList[[#This Row],[Retained Player Name]]="","",VLOOKUP(VeteransList[[#This Row],[Retained Player Name]],Players[],4,FALSE))</f>
        <v/>
      </c>
      <c r="J13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3" s="231"/>
      <c r="L133" s="231"/>
    </row>
    <row r="134" spans="1:12" x14ac:dyDescent="0.2">
      <c r="A134" s="502" t="str">
        <f>IF(AND(VeteransList[[#This Row],[First &amp; Last Name]]="",VeteransList[[#This Row],[FISTF Code]]=""),"",ROW()-ROW($A$11))</f>
        <v/>
      </c>
      <c r="B134" s="503"/>
      <c r="C134" s="436"/>
      <c r="D134" s="421" t="str">
        <f>IF(VeteransList[[#This Row],[First &amp; Last Name]]="","",IFERROR(ISNUMBER(MATCH(VeteransList[[#This Row],[First &amp; Last Name]],Players[Player Name],0)),FALSE))</f>
        <v/>
      </c>
      <c r="E134" s="421" t="b">
        <f>IF(VeteransList[[#This Row],[FISTF Code]]="",FALSE,IFERROR(ISNUMBER(MATCH(VeteransList[[#This Row],[FISTF Code]],#REF!,0)),FALSE))</f>
        <v>0</v>
      </c>
      <c r="F134" s="419" t="str">
        <f>IF(AND(VeteransList[[#This Row],[First &amp; Last Name]]="",VeteransList[[#This Row],[FISTF Code]]=""),"",IF(VeteransList[[#This Row],[Valide Code ?]],INDEX(Players[Player Name],MATCH(VeteransList[[#This Row],[FISTF Code]],#REF!,0)),VeteransList[[#This Row],[First &amp; Last Name]]))</f>
        <v/>
      </c>
      <c r="G134" s="233" t="str">
        <f>IF(VeteransList[[#This Row],[Retained Player Name]]="","",VLOOKUP(VeteransList[[#This Row],[Retained Player Name]],Players[],7,FALSE))</f>
        <v/>
      </c>
      <c r="H134" s="235" t="str">
        <f>IF(VeteransList[[#This Row],[Retained Player Name]]="","",VLOOKUP(VeteransList[[#This Row],[Retained Player Name]],Players[],6,FALSE))</f>
        <v/>
      </c>
      <c r="I134" s="235" t="str">
        <f>IF(VeteransList[[#This Row],[Retained Player Name]]="","",VLOOKUP(VeteransList[[#This Row],[Retained Player Name]],Players[],4,FALSE))</f>
        <v/>
      </c>
      <c r="J13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4" s="231"/>
      <c r="L134" s="231"/>
    </row>
    <row r="135" spans="1:12" x14ac:dyDescent="0.2">
      <c r="A135" s="502" t="str">
        <f>IF(AND(VeteransList[[#This Row],[First &amp; Last Name]]="",VeteransList[[#This Row],[FISTF Code]]=""),"",ROW()-ROW($A$11))</f>
        <v/>
      </c>
      <c r="B135" s="503"/>
      <c r="C135" s="436"/>
      <c r="D135" s="421" t="str">
        <f>IF(VeteransList[[#This Row],[First &amp; Last Name]]="","",IFERROR(ISNUMBER(MATCH(VeteransList[[#This Row],[First &amp; Last Name]],Players[Player Name],0)),FALSE))</f>
        <v/>
      </c>
      <c r="E135" s="421" t="b">
        <f>IF(VeteransList[[#This Row],[FISTF Code]]="",FALSE,IFERROR(ISNUMBER(MATCH(VeteransList[[#This Row],[FISTF Code]],#REF!,0)),FALSE))</f>
        <v>0</v>
      </c>
      <c r="F135" s="419" t="str">
        <f>IF(AND(VeteransList[[#This Row],[First &amp; Last Name]]="",VeteransList[[#This Row],[FISTF Code]]=""),"",IF(VeteransList[[#This Row],[Valide Code ?]],INDEX(Players[Player Name],MATCH(VeteransList[[#This Row],[FISTF Code]],#REF!,0)),VeteransList[[#This Row],[First &amp; Last Name]]))</f>
        <v/>
      </c>
      <c r="G135" s="233" t="str">
        <f>IF(VeteransList[[#This Row],[Retained Player Name]]="","",VLOOKUP(VeteransList[[#This Row],[Retained Player Name]],Players[],7,FALSE))</f>
        <v/>
      </c>
      <c r="H135" s="235" t="str">
        <f>IF(VeteransList[[#This Row],[Retained Player Name]]="","",VLOOKUP(VeteransList[[#This Row],[Retained Player Name]],Players[],6,FALSE))</f>
        <v/>
      </c>
      <c r="I135" s="235" t="str">
        <f>IF(VeteransList[[#This Row],[Retained Player Name]]="","",VLOOKUP(VeteransList[[#This Row],[Retained Player Name]],Players[],4,FALSE))</f>
        <v/>
      </c>
      <c r="J13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5" s="231"/>
      <c r="L135" s="231"/>
    </row>
    <row r="136" spans="1:12" x14ac:dyDescent="0.2">
      <c r="A136" s="502" t="str">
        <f>IF(AND(VeteransList[[#This Row],[First &amp; Last Name]]="",VeteransList[[#This Row],[FISTF Code]]=""),"",ROW()-ROW($A$11))</f>
        <v/>
      </c>
      <c r="B136" s="503"/>
      <c r="C136" s="436"/>
      <c r="D136" s="421" t="str">
        <f>IF(VeteransList[[#This Row],[First &amp; Last Name]]="","",IFERROR(ISNUMBER(MATCH(VeteransList[[#This Row],[First &amp; Last Name]],Players[Player Name],0)),FALSE))</f>
        <v/>
      </c>
      <c r="E136" s="421" t="b">
        <f>IF(VeteransList[[#This Row],[FISTF Code]]="",FALSE,IFERROR(ISNUMBER(MATCH(VeteransList[[#This Row],[FISTF Code]],#REF!,0)),FALSE))</f>
        <v>0</v>
      </c>
      <c r="F136" s="419" t="str">
        <f>IF(AND(VeteransList[[#This Row],[First &amp; Last Name]]="",VeteransList[[#This Row],[FISTF Code]]=""),"",IF(VeteransList[[#This Row],[Valide Code ?]],INDEX(Players[Player Name],MATCH(VeteransList[[#This Row],[FISTF Code]],#REF!,0)),VeteransList[[#This Row],[First &amp; Last Name]]))</f>
        <v/>
      </c>
      <c r="G136" s="233" t="str">
        <f>IF(VeteransList[[#This Row],[Retained Player Name]]="","",VLOOKUP(VeteransList[[#This Row],[Retained Player Name]],Players[],7,FALSE))</f>
        <v/>
      </c>
      <c r="H136" s="235" t="str">
        <f>IF(VeteransList[[#This Row],[Retained Player Name]]="","",VLOOKUP(VeteransList[[#This Row],[Retained Player Name]],Players[],6,FALSE))</f>
        <v/>
      </c>
      <c r="I136" s="235" t="str">
        <f>IF(VeteransList[[#This Row],[Retained Player Name]]="","",VLOOKUP(VeteransList[[#This Row],[Retained Player Name]],Players[],4,FALSE))</f>
        <v/>
      </c>
      <c r="J13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6" s="231"/>
      <c r="L136" s="231"/>
    </row>
    <row r="137" spans="1:12" x14ac:dyDescent="0.2">
      <c r="A137" s="502" t="str">
        <f>IF(AND(VeteransList[[#This Row],[First &amp; Last Name]]="",VeteransList[[#This Row],[FISTF Code]]=""),"",ROW()-ROW($A$11))</f>
        <v/>
      </c>
      <c r="B137" s="503"/>
      <c r="C137" s="436"/>
      <c r="D137" s="421" t="str">
        <f>IF(VeteransList[[#This Row],[First &amp; Last Name]]="","",IFERROR(ISNUMBER(MATCH(VeteransList[[#This Row],[First &amp; Last Name]],Players[Player Name],0)),FALSE))</f>
        <v/>
      </c>
      <c r="E137" s="421" t="b">
        <f>IF(VeteransList[[#This Row],[FISTF Code]]="",FALSE,IFERROR(ISNUMBER(MATCH(VeteransList[[#This Row],[FISTF Code]],#REF!,0)),FALSE))</f>
        <v>0</v>
      </c>
      <c r="F137" s="419" t="str">
        <f>IF(AND(VeteransList[[#This Row],[First &amp; Last Name]]="",VeteransList[[#This Row],[FISTF Code]]=""),"",IF(VeteransList[[#This Row],[Valide Code ?]],INDEX(Players[Player Name],MATCH(VeteransList[[#This Row],[FISTF Code]],#REF!,0)),VeteransList[[#This Row],[First &amp; Last Name]]))</f>
        <v/>
      </c>
      <c r="G137" s="233" t="str">
        <f>IF(VeteransList[[#This Row],[Retained Player Name]]="","",VLOOKUP(VeteransList[[#This Row],[Retained Player Name]],Players[],7,FALSE))</f>
        <v/>
      </c>
      <c r="H137" s="235" t="str">
        <f>IF(VeteransList[[#This Row],[Retained Player Name]]="","",VLOOKUP(VeteransList[[#This Row],[Retained Player Name]],Players[],6,FALSE))</f>
        <v/>
      </c>
      <c r="I137" s="235" t="str">
        <f>IF(VeteransList[[#This Row],[Retained Player Name]]="","",VLOOKUP(VeteransList[[#This Row],[Retained Player Name]],Players[],4,FALSE))</f>
        <v/>
      </c>
      <c r="J13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7" s="231"/>
      <c r="L137" s="231"/>
    </row>
    <row r="138" spans="1:12" x14ac:dyDescent="0.2">
      <c r="A138" s="502" t="str">
        <f>IF(AND(VeteransList[[#This Row],[First &amp; Last Name]]="",VeteransList[[#This Row],[FISTF Code]]=""),"",ROW()-ROW($A$11))</f>
        <v/>
      </c>
      <c r="B138" s="503"/>
      <c r="C138" s="436"/>
      <c r="D138" s="421" t="str">
        <f>IF(VeteransList[[#This Row],[First &amp; Last Name]]="","",IFERROR(ISNUMBER(MATCH(VeteransList[[#This Row],[First &amp; Last Name]],Players[Player Name],0)),FALSE))</f>
        <v/>
      </c>
      <c r="E138" s="421" t="b">
        <f>IF(VeteransList[[#This Row],[FISTF Code]]="",FALSE,IFERROR(ISNUMBER(MATCH(VeteransList[[#This Row],[FISTF Code]],#REF!,0)),FALSE))</f>
        <v>0</v>
      </c>
      <c r="F138" s="419" t="str">
        <f>IF(AND(VeteransList[[#This Row],[First &amp; Last Name]]="",VeteransList[[#This Row],[FISTF Code]]=""),"",IF(VeteransList[[#This Row],[Valide Code ?]],INDEX(Players[Player Name],MATCH(VeteransList[[#This Row],[FISTF Code]],#REF!,0)),VeteransList[[#This Row],[First &amp; Last Name]]))</f>
        <v/>
      </c>
      <c r="G138" s="233" t="str">
        <f>IF(VeteransList[[#This Row],[Retained Player Name]]="","",VLOOKUP(VeteransList[[#This Row],[Retained Player Name]],Players[],7,FALSE))</f>
        <v/>
      </c>
      <c r="H138" s="235" t="str">
        <f>IF(VeteransList[[#This Row],[Retained Player Name]]="","",VLOOKUP(VeteransList[[#This Row],[Retained Player Name]],Players[],6,FALSE))</f>
        <v/>
      </c>
      <c r="I138" s="235" t="str">
        <f>IF(VeteransList[[#This Row],[Retained Player Name]]="","",VLOOKUP(VeteransList[[#This Row],[Retained Player Name]],Players[],4,FALSE))</f>
        <v/>
      </c>
      <c r="J13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8" s="231"/>
      <c r="L138" s="231"/>
    </row>
    <row r="139" spans="1:12" x14ac:dyDescent="0.2">
      <c r="A139" s="502" t="str">
        <f>IF(AND(VeteransList[[#This Row],[First &amp; Last Name]]="",VeteransList[[#This Row],[FISTF Code]]=""),"",ROW()-ROW($A$11))</f>
        <v/>
      </c>
      <c r="B139" s="503"/>
      <c r="C139" s="436"/>
      <c r="D139" s="421" t="str">
        <f>IF(VeteransList[[#This Row],[First &amp; Last Name]]="","",IFERROR(ISNUMBER(MATCH(VeteransList[[#This Row],[First &amp; Last Name]],Players[Player Name],0)),FALSE))</f>
        <v/>
      </c>
      <c r="E139" s="421" t="b">
        <f>IF(VeteransList[[#This Row],[FISTF Code]]="",FALSE,IFERROR(ISNUMBER(MATCH(VeteransList[[#This Row],[FISTF Code]],#REF!,0)),FALSE))</f>
        <v>0</v>
      </c>
      <c r="F139" s="419" t="str">
        <f>IF(AND(VeteransList[[#This Row],[First &amp; Last Name]]="",VeteransList[[#This Row],[FISTF Code]]=""),"",IF(VeteransList[[#This Row],[Valide Code ?]],INDEX(Players[Player Name],MATCH(VeteransList[[#This Row],[FISTF Code]],#REF!,0)),VeteransList[[#This Row],[First &amp; Last Name]]))</f>
        <v/>
      </c>
      <c r="G139" s="233" t="str">
        <f>IF(VeteransList[[#This Row],[Retained Player Name]]="","",VLOOKUP(VeteransList[[#This Row],[Retained Player Name]],Players[],7,FALSE))</f>
        <v/>
      </c>
      <c r="H139" s="235" t="str">
        <f>IF(VeteransList[[#This Row],[Retained Player Name]]="","",VLOOKUP(VeteransList[[#This Row],[Retained Player Name]],Players[],6,FALSE))</f>
        <v/>
      </c>
      <c r="I139" s="235" t="str">
        <f>IF(VeteransList[[#This Row],[Retained Player Name]]="","",VLOOKUP(VeteransList[[#This Row],[Retained Player Name]],Players[],4,FALSE))</f>
        <v/>
      </c>
      <c r="J13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9" s="231"/>
      <c r="L139" s="231"/>
    </row>
    <row r="140" spans="1:12" x14ac:dyDescent="0.2">
      <c r="A140" s="502" t="str">
        <f>IF(AND(VeteransList[[#This Row],[First &amp; Last Name]]="",VeteransList[[#This Row],[FISTF Code]]=""),"",ROW()-ROW($A$11))</f>
        <v/>
      </c>
      <c r="B140" s="503"/>
      <c r="C140" s="436"/>
      <c r="D140" s="421" t="str">
        <f>IF(VeteransList[[#This Row],[First &amp; Last Name]]="","",IFERROR(ISNUMBER(MATCH(VeteransList[[#This Row],[First &amp; Last Name]],Players[Player Name],0)),FALSE))</f>
        <v/>
      </c>
      <c r="E140" s="421" t="b">
        <f>IF(VeteransList[[#This Row],[FISTF Code]]="",FALSE,IFERROR(ISNUMBER(MATCH(VeteransList[[#This Row],[FISTF Code]],#REF!,0)),FALSE))</f>
        <v>0</v>
      </c>
      <c r="F140" s="419" t="str">
        <f>IF(AND(VeteransList[[#This Row],[First &amp; Last Name]]="",VeteransList[[#This Row],[FISTF Code]]=""),"",IF(VeteransList[[#This Row],[Valide Code ?]],INDEX(Players[Player Name],MATCH(VeteransList[[#This Row],[FISTF Code]],#REF!,0)),VeteransList[[#This Row],[First &amp; Last Name]]))</f>
        <v/>
      </c>
      <c r="G140" s="233" t="str">
        <f>IF(VeteransList[[#This Row],[Retained Player Name]]="","",VLOOKUP(VeteransList[[#This Row],[Retained Player Name]],Players[],7,FALSE))</f>
        <v/>
      </c>
      <c r="H140" s="235" t="str">
        <f>IF(VeteransList[[#This Row],[Retained Player Name]]="","",VLOOKUP(VeteransList[[#This Row],[Retained Player Name]],Players[],6,FALSE))</f>
        <v/>
      </c>
      <c r="I140" s="235" t="str">
        <f>IF(VeteransList[[#This Row],[Retained Player Name]]="","",VLOOKUP(VeteransList[[#This Row],[Retained Player Name]],Players[],4,FALSE))</f>
        <v/>
      </c>
      <c r="J14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0" s="231"/>
      <c r="L140" s="231"/>
    </row>
    <row r="141" spans="1:12" x14ac:dyDescent="0.2">
      <c r="A141" s="502" t="str">
        <f>IF(AND(VeteransList[[#This Row],[First &amp; Last Name]]="",VeteransList[[#This Row],[FISTF Code]]=""),"",ROW()-ROW($A$11))</f>
        <v/>
      </c>
      <c r="B141" s="503"/>
      <c r="C141" s="436"/>
      <c r="D141" s="421" t="str">
        <f>IF(VeteransList[[#This Row],[First &amp; Last Name]]="","",IFERROR(ISNUMBER(MATCH(VeteransList[[#This Row],[First &amp; Last Name]],Players[Player Name],0)),FALSE))</f>
        <v/>
      </c>
      <c r="E141" s="421" t="b">
        <f>IF(VeteransList[[#This Row],[FISTF Code]]="",FALSE,IFERROR(ISNUMBER(MATCH(VeteransList[[#This Row],[FISTF Code]],#REF!,0)),FALSE))</f>
        <v>0</v>
      </c>
      <c r="F141" s="419" t="str">
        <f>IF(AND(VeteransList[[#This Row],[First &amp; Last Name]]="",VeteransList[[#This Row],[FISTF Code]]=""),"",IF(VeteransList[[#This Row],[Valide Code ?]],INDEX(Players[Player Name],MATCH(VeteransList[[#This Row],[FISTF Code]],#REF!,0)),VeteransList[[#This Row],[First &amp; Last Name]]))</f>
        <v/>
      </c>
      <c r="G141" s="233" t="str">
        <f>IF(VeteransList[[#This Row],[Retained Player Name]]="","",VLOOKUP(VeteransList[[#This Row],[Retained Player Name]],Players[],7,FALSE))</f>
        <v/>
      </c>
      <c r="H141" s="235" t="str">
        <f>IF(VeteransList[[#This Row],[Retained Player Name]]="","",VLOOKUP(VeteransList[[#This Row],[Retained Player Name]],Players[],6,FALSE))</f>
        <v/>
      </c>
      <c r="I141" s="235" t="str">
        <f>IF(VeteransList[[#This Row],[Retained Player Name]]="","",VLOOKUP(VeteransList[[#This Row],[Retained Player Name]],Players[],4,FALSE))</f>
        <v/>
      </c>
      <c r="J14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1" s="231"/>
      <c r="L141" s="231"/>
    </row>
    <row r="142" spans="1:12" x14ac:dyDescent="0.2">
      <c r="A142" s="502" t="str">
        <f>IF(AND(VeteransList[[#This Row],[First &amp; Last Name]]="",VeteransList[[#This Row],[FISTF Code]]=""),"",ROW()-ROW($A$11))</f>
        <v/>
      </c>
      <c r="B142" s="503"/>
      <c r="C142" s="436"/>
      <c r="D142" s="421" t="str">
        <f>IF(VeteransList[[#This Row],[First &amp; Last Name]]="","",IFERROR(ISNUMBER(MATCH(VeteransList[[#This Row],[First &amp; Last Name]],Players[Player Name],0)),FALSE))</f>
        <v/>
      </c>
      <c r="E142" s="421" t="b">
        <f>IF(VeteransList[[#This Row],[FISTF Code]]="",FALSE,IFERROR(ISNUMBER(MATCH(VeteransList[[#This Row],[FISTF Code]],#REF!,0)),FALSE))</f>
        <v>0</v>
      </c>
      <c r="F142" s="419" t="str">
        <f>IF(AND(VeteransList[[#This Row],[First &amp; Last Name]]="",VeteransList[[#This Row],[FISTF Code]]=""),"",IF(VeteransList[[#This Row],[Valide Code ?]],INDEX(Players[Player Name],MATCH(VeteransList[[#This Row],[FISTF Code]],#REF!,0)),VeteransList[[#This Row],[First &amp; Last Name]]))</f>
        <v/>
      </c>
      <c r="G142" s="233" t="str">
        <f>IF(VeteransList[[#This Row],[Retained Player Name]]="","",VLOOKUP(VeteransList[[#This Row],[Retained Player Name]],Players[],7,FALSE))</f>
        <v/>
      </c>
      <c r="H142" s="235" t="str">
        <f>IF(VeteransList[[#This Row],[Retained Player Name]]="","",VLOOKUP(VeteransList[[#This Row],[Retained Player Name]],Players[],6,FALSE))</f>
        <v/>
      </c>
      <c r="I142" s="235" t="str">
        <f>IF(VeteransList[[#This Row],[Retained Player Name]]="","",VLOOKUP(VeteransList[[#This Row],[Retained Player Name]],Players[],4,FALSE))</f>
        <v/>
      </c>
      <c r="J14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2" s="231"/>
      <c r="L142" s="231"/>
    </row>
    <row r="143" spans="1:12" x14ac:dyDescent="0.2">
      <c r="A143" s="502" t="str">
        <f>IF(AND(VeteransList[[#This Row],[First &amp; Last Name]]="",VeteransList[[#This Row],[FISTF Code]]=""),"",ROW()-ROW($A$11))</f>
        <v/>
      </c>
      <c r="B143" s="503"/>
      <c r="C143" s="436"/>
      <c r="D143" s="421" t="str">
        <f>IF(VeteransList[[#This Row],[First &amp; Last Name]]="","",IFERROR(ISNUMBER(MATCH(VeteransList[[#This Row],[First &amp; Last Name]],Players[Player Name],0)),FALSE))</f>
        <v/>
      </c>
      <c r="E143" s="421" t="b">
        <f>IF(VeteransList[[#This Row],[FISTF Code]]="",FALSE,IFERROR(ISNUMBER(MATCH(VeteransList[[#This Row],[FISTF Code]],#REF!,0)),FALSE))</f>
        <v>0</v>
      </c>
      <c r="F143" s="419" t="str">
        <f>IF(AND(VeteransList[[#This Row],[First &amp; Last Name]]="",VeteransList[[#This Row],[FISTF Code]]=""),"",IF(VeteransList[[#This Row],[Valide Code ?]],INDEX(Players[Player Name],MATCH(VeteransList[[#This Row],[FISTF Code]],#REF!,0)),VeteransList[[#This Row],[First &amp; Last Name]]))</f>
        <v/>
      </c>
      <c r="G143" s="233" t="str">
        <f>IF(VeteransList[[#This Row],[Retained Player Name]]="","",VLOOKUP(VeteransList[[#This Row],[Retained Player Name]],Players[],7,FALSE))</f>
        <v/>
      </c>
      <c r="H143" s="235" t="str">
        <f>IF(VeteransList[[#This Row],[Retained Player Name]]="","",VLOOKUP(VeteransList[[#This Row],[Retained Player Name]],Players[],6,FALSE))</f>
        <v/>
      </c>
      <c r="I143" s="235" t="str">
        <f>IF(VeteransList[[#This Row],[Retained Player Name]]="","",VLOOKUP(VeteransList[[#This Row],[Retained Player Name]],Players[],4,FALSE))</f>
        <v/>
      </c>
      <c r="J14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3" s="231"/>
      <c r="L143" s="231"/>
    </row>
    <row r="144" spans="1:12" x14ac:dyDescent="0.2">
      <c r="A144" s="502" t="str">
        <f>IF(AND(VeteransList[[#This Row],[First &amp; Last Name]]="",VeteransList[[#This Row],[FISTF Code]]=""),"",ROW()-ROW($A$11))</f>
        <v/>
      </c>
      <c r="B144" s="503"/>
      <c r="C144" s="436"/>
      <c r="D144" s="421" t="str">
        <f>IF(VeteransList[[#This Row],[First &amp; Last Name]]="","",IFERROR(ISNUMBER(MATCH(VeteransList[[#This Row],[First &amp; Last Name]],Players[Player Name],0)),FALSE))</f>
        <v/>
      </c>
      <c r="E144" s="421" t="b">
        <f>IF(VeteransList[[#This Row],[FISTF Code]]="",FALSE,IFERROR(ISNUMBER(MATCH(VeteransList[[#This Row],[FISTF Code]],#REF!,0)),FALSE))</f>
        <v>0</v>
      </c>
      <c r="F144" s="419" t="str">
        <f>IF(AND(VeteransList[[#This Row],[First &amp; Last Name]]="",VeteransList[[#This Row],[FISTF Code]]=""),"",IF(VeteransList[[#This Row],[Valide Code ?]],INDEX(Players[Player Name],MATCH(VeteransList[[#This Row],[FISTF Code]],#REF!,0)),VeteransList[[#This Row],[First &amp; Last Name]]))</f>
        <v/>
      </c>
      <c r="G144" s="233" t="str">
        <f>IF(VeteransList[[#This Row],[Retained Player Name]]="","",VLOOKUP(VeteransList[[#This Row],[Retained Player Name]],Players[],7,FALSE))</f>
        <v/>
      </c>
      <c r="H144" s="235" t="str">
        <f>IF(VeteransList[[#This Row],[Retained Player Name]]="","",VLOOKUP(VeteransList[[#This Row],[Retained Player Name]],Players[],6,FALSE))</f>
        <v/>
      </c>
      <c r="I144" s="235" t="str">
        <f>IF(VeteransList[[#This Row],[Retained Player Name]]="","",VLOOKUP(VeteransList[[#This Row],[Retained Player Name]],Players[],4,FALSE))</f>
        <v/>
      </c>
      <c r="J14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4" s="231"/>
      <c r="L144" s="231"/>
    </row>
    <row r="145" spans="1:12" x14ac:dyDescent="0.2">
      <c r="A145" s="502" t="str">
        <f>IF(AND(VeteransList[[#This Row],[First &amp; Last Name]]="",VeteransList[[#This Row],[FISTF Code]]=""),"",ROW()-ROW($A$11))</f>
        <v/>
      </c>
      <c r="B145" s="503"/>
      <c r="C145" s="436"/>
      <c r="D145" s="421" t="str">
        <f>IF(VeteransList[[#This Row],[First &amp; Last Name]]="","",IFERROR(ISNUMBER(MATCH(VeteransList[[#This Row],[First &amp; Last Name]],Players[Player Name],0)),FALSE))</f>
        <v/>
      </c>
      <c r="E145" s="421" t="b">
        <f>IF(VeteransList[[#This Row],[FISTF Code]]="",FALSE,IFERROR(ISNUMBER(MATCH(VeteransList[[#This Row],[FISTF Code]],#REF!,0)),FALSE))</f>
        <v>0</v>
      </c>
      <c r="F145" s="419" t="str">
        <f>IF(AND(VeteransList[[#This Row],[First &amp; Last Name]]="",VeteransList[[#This Row],[FISTF Code]]=""),"",IF(VeteransList[[#This Row],[Valide Code ?]],INDEX(Players[Player Name],MATCH(VeteransList[[#This Row],[FISTF Code]],#REF!,0)),VeteransList[[#This Row],[First &amp; Last Name]]))</f>
        <v/>
      </c>
      <c r="G145" s="233" t="str">
        <f>IF(VeteransList[[#This Row],[Retained Player Name]]="","",VLOOKUP(VeteransList[[#This Row],[Retained Player Name]],Players[],7,FALSE))</f>
        <v/>
      </c>
      <c r="H145" s="235" t="str">
        <f>IF(VeteransList[[#This Row],[Retained Player Name]]="","",VLOOKUP(VeteransList[[#This Row],[Retained Player Name]],Players[],6,FALSE))</f>
        <v/>
      </c>
      <c r="I145" s="235" t="str">
        <f>IF(VeteransList[[#This Row],[Retained Player Name]]="","",VLOOKUP(VeteransList[[#This Row],[Retained Player Name]],Players[],4,FALSE))</f>
        <v/>
      </c>
      <c r="J14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5" s="231"/>
      <c r="L145" s="231"/>
    </row>
    <row r="146" spans="1:12" x14ac:dyDescent="0.2">
      <c r="A146" s="502" t="str">
        <f>IF(AND(VeteransList[[#This Row],[First &amp; Last Name]]="",VeteransList[[#This Row],[FISTF Code]]=""),"",ROW()-ROW($A$11))</f>
        <v/>
      </c>
      <c r="B146" s="503"/>
      <c r="C146" s="436"/>
      <c r="D146" s="421" t="str">
        <f>IF(VeteransList[[#This Row],[First &amp; Last Name]]="","",IFERROR(ISNUMBER(MATCH(VeteransList[[#This Row],[First &amp; Last Name]],Players[Player Name],0)),FALSE))</f>
        <v/>
      </c>
      <c r="E146" s="421" t="b">
        <f>IF(VeteransList[[#This Row],[FISTF Code]]="",FALSE,IFERROR(ISNUMBER(MATCH(VeteransList[[#This Row],[FISTF Code]],#REF!,0)),FALSE))</f>
        <v>0</v>
      </c>
      <c r="F146" s="419" t="str">
        <f>IF(AND(VeteransList[[#This Row],[First &amp; Last Name]]="",VeteransList[[#This Row],[FISTF Code]]=""),"",IF(VeteransList[[#This Row],[Valide Code ?]],INDEX(Players[Player Name],MATCH(VeteransList[[#This Row],[FISTF Code]],#REF!,0)),VeteransList[[#This Row],[First &amp; Last Name]]))</f>
        <v/>
      </c>
      <c r="G146" s="233" t="str">
        <f>IF(VeteransList[[#This Row],[Retained Player Name]]="","",VLOOKUP(VeteransList[[#This Row],[Retained Player Name]],Players[],7,FALSE))</f>
        <v/>
      </c>
      <c r="H146" s="235" t="str">
        <f>IF(VeteransList[[#This Row],[Retained Player Name]]="","",VLOOKUP(VeteransList[[#This Row],[Retained Player Name]],Players[],6,FALSE))</f>
        <v/>
      </c>
      <c r="I146" s="235" t="str">
        <f>IF(VeteransList[[#This Row],[Retained Player Name]]="","",VLOOKUP(VeteransList[[#This Row],[Retained Player Name]],Players[],4,FALSE))</f>
        <v/>
      </c>
      <c r="J14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6" s="231"/>
      <c r="L146" s="231"/>
    </row>
    <row r="147" spans="1:12" x14ac:dyDescent="0.2">
      <c r="A147" s="502" t="str">
        <f>IF(AND(VeteransList[[#This Row],[First &amp; Last Name]]="",VeteransList[[#This Row],[FISTF Code]]=""),"",ROW()-ROW($A$11))</f>
        <v/>
      </c>
      <c r="B147" s="503"/>
      <c r="C147" s="436"/>
      <c r="D147" s="421" t="str">
        <f>IF(VeteransList[[#This Row],[First &amp; Last Name]]="","",IFERROR(ISNUMBER(MATCH(VeteransList[[#This Row],[First &amp; Last Name]],Players[Player Name],0)),FALSE))</f>
        <v/>
      </c>
      <c r="E147" s="421" t="b">
        <f>IF(VeteransList[[#This Row],[FISTF Code]]="",FALSE,IFERROR(ISNUMBER(MATCH(VeteransList[[#This Row],[FISTF Code]],#REF!,0)),FALSE))</f>
        <v>0</v>
      </c>
      <c r="F147" s="419" t="str">
        <f>IF(AND(VeteransList[[#This Row],[First &amp; Last Name]]="",VeteransList[[#This Row],[FISTF Code]]=""),"",IF(VeteransList[[#This Row],[Valide Code ?]],INDEX(Players[Player Name],MATCH(VeteransList[[#This Row],[FISTF Code]],#REF!,0)),VeteransList[[#This Row],[First &amp; Last Name]]))</f>
        <v/>
      </c>
      <c r="G147" s="233" t="str">
        <f>IF(VeteransList[[#This Row],[Retained Player Name]]="","",VLOOKUP(VeteransList[[#This Row],[Retained Player Name]],Players[],7,FALSE))</f>
        <v/>
      </c>
      <c r="H147" s="235" t="str">
        <f>IF(VeteransList[[#This Row],[Retained Player Name]]="","",VLOOKUP(VeteransList[[#This Row],[Retained Player Name]],Players[],6,FALSE))</f>
        <v/>
      </c>
      <c r="I147" s="235" t="str">
        <f>IF(VeteransList[[#This Row],[Retained Player Name]]="","",VLOOKUP(VeteransList[[#This Row],[Retained Player Name]],Players[],4,FALSE))</f>
        <v/>
      </c>
      <c r="J14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7" s="231"/>
      <c r="L147" s="231"/>
    </row>
    <row r="148" spans="1:12" x14ac:dyDescent="0.2">
      <c r="A148" s="502" t="str">
        <f>IF(AND(VeteransList[[#This Row],[First &amp; Last Name]]="",VeteransList[[#This Row],[FISTF Code]]=""),"",ROW()-ROW($A$11))</f>
        <v/>
      </c>
      <c r="B148" s="503"/>
      <c r="C148" s="436"/>
      <c r="D148" s="421" t="str">
        <f>IF(VeteransList[[#This Row],[First &amp; Last Name]]="","",IFERROR(ISNUMBER(MATCH(VeteransList[[#This Row],[First &amp; Last Name]],Players[Player Name],0)),FALSE))</f>
        <v/>
      </c>
      <c r="E148" s="421" t="b">
        <f>IF(VeteransList[[#This Row],[FISTF Code]]="",FALSE,IFERROR(ISNUMBER(MATCH(VeteransList[[#This Row],[FISTF Code]],#REF!,0)),FALSE))</f>
        <v>0</v>
      </c>
      <c r="F148" s="419" t="str">
        <f>IF(AND(VeteransList[[#This Row],[First &amp; Last Name]]="",VeteransList[[#This Row],[FISTF Code]]=""),"",IF(VeteransList[[#This Row],[Valide Code ?]],INDEX(Players[Player Name],MATCH(VeteransList[[#This Row],[FISTF Code]],#REF!,0)),VeteransList[[#This Row],[First &amp; Last Name]]))</f>
        <v/>
      </c>
      <c r="G148" s="233" t="str">
        <f>IF(VeteransList[[#This Row],[Retained Player Name]]="","",VLOOKUP(VeteransList[[#This Row],[Retained Player Name]],Players[],7,FALSE))</f>
        <v/>
      </c>
      <c r="H148" s="235" t="str">
        <f>IF(VeteransList[[#This Row],[Retained Player Name]]="","",VLOOKUP(VeteransList[[#This Row],[Retained Player Name]],Players[],6,FALSE))</f>
        <v/>
      </c>
      <c r="I148" s="235" t="str">
        <f>IF(VeteransList[[#This Row],[Retained Player Name]]="","",VLOOKUP(VeteransList[[#This Row],[Retained Player Name]],Players[],4,FALSE))</f>
        <v/>
      </c>
      <c r="J14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8" s="231"/>
      <c r="L148" s="231"/>
    </row>
    <row r="149" spans="1:12" x14ac:dyDescent="0.2">
      <c r="A149" s="502" t="str">
        <f>IF(AND(VeteransList[[#This Row],[First &amp; Last Name]]="",VeteransList[[#This Row],[FISTF Code]]=""),"",ROW()-ROW($A$11))</f>
        <v/>
      </c>
      <c r="B149" s="503"/>
      <c r="C149" s="436"/>
      <c r="D149" s="421" t="str">
        <f>IF(VeteransList[[#This Row],[First &amp; Last Name]]="","",IFERROR(ISNUMBER(MATCH(VeteransList[[#This Row],[First &amp; Last Name]],Players[Player Name],0)),FALSE))</f>
        <v/>
      </c>
      <c r="E149" s="421" t="b">
        <f>IF(VeteransList[[#This Row],[FISTF Code]]="",FALSE,IFERROR(ISNUMBER(MATCH(VeteransList[[#This Row],[FISTF Code]],#REF!,0)),FALSE))</f>
        <v>0</v>
      </c>
      <c r="F149" s="419" t="str">
        <f>IF(AND(VeteransList[[#This Row],[First &amp; Last Name]]="",VeteransList[[#This Row],[FISTF Code]]=""),"",IF(VeteransList[[#This Row],[Valide Code ?]],INDEX(Players[Player Name],MATCH(VeteransList[[#This Row],[FISTF Code]],#REF!,0)),VeteransList[[#This Row],[First &amp; Last Name]]))</f>
        <v/>
      </c>
      <c r="G149" s="233" t="str">
        <f>IF(VeteransList[[#This Row],[Retained Player Name]]="","",VLOOKUP(VeteransList[[#This Row],[Retained Player Name]],Players[],7,FALSE))</f>
        <v/>
      </c>
      <c r="H149" s="235" t="str">
        <f>IF(VeteransList[[#This Row],[Retained Player Name]]="","",VLOOKUP(VeteransList[[#This Row],[Retained Player Name]],Players[],6,FALSE))</f>
        <v/>
      </c>
      <c r="I149" s="235" t="str">
        <f>IF(VeteransList[[#This Row],[Retained Player Name]]="","",VLOOKUP(VeteransList[[#This Row],[Retained Player Name]],Players[],4,FALSE))</f>
        <v/>
      </c>
      <c r="J14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9" s="231"/>
      <c r="L149" s="231"/>
    </row>
    <row r="150" spans="1:12" x14ac:dyDescent="0.2">
      <c r="A150" s="502" t="str">
        <f>IF(AND(VeteransList[[#This Row],[First &amp; Last Name]]="",VeteransList[[#This Row],[FISTF Code]]=""),"",ROW()-ROW($A$11))</f>
        <v/>
      </c>
      <c r="B150" s="503"/>
      <c r="C150" s="436"/>
      <c r="D150" s="421" t="str">
        <f>IF(VeteransList[[#This Row],[First &amp; Last Name]]="","",IFERROR(ISNUMBER(MATCH(VeteransList[[#This Row],[First &amp; Last Name]],Players[Player Name],0)),FALSE))</f>
        <v/>
      </c>
      <c r="E150" s="421" t="b">
        <f>IF(VeteransList[[#This Row],[FISTF Code]]="",FALSE,IFERROR(ISNUMBER(MATCH(VeteransList[[#This Row],[FISTF Code]],#REF!,0)),FALSE))</f>
        <v>0</v>
      </c>
      <c r="F150" s="419" t="str">
        <f>IF(AND(VeteransList[[#This Row],[First &amp; Last Name]]="",VeteransList[[#This Row],[FISTF Code]]=""),"",IF(VeteransList[[#This Row],[Valide Code ?]],INDEX(Players[Player Name],MATCH(VeteransList[[#This Row],[FISTF Code]],#REF!,0)),VeteransList[[#This Row],[First &amp; Last Name]]))</f>
        <v/>
      </c>
      <c r="G150" s="233" t="str">
        <f>IF(VeteransList[[#This Row],[Retained Player Name]]="","",VLOOKUP(VeteransList[[#This Row],[Retained Player Name]],Players[],7,FALSE))</f>
        <v/>
      </c>
      <c r="H150" s="235" t="str">
        <f>IF(VeteransList[[#This Row],[Retained Player Name]]="","",VLOOKUP(VeteransList[[#This Row],[Retained Player Name]],Players[],6,FALSE))</f>
        <v/>
      </c>
      <c r="I150" s="235" t="str">
        <f>IF(VeteransList[[#This Row],[Retained Player Name]]="","",VLOOKUP(VeteransList[[#This Row],[Retained Player Name]],Players[],4,FALSE))</f>
        <v/>
      </c>
      <c r="J15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50" s="231"/>
      <c r="L150" s="231"/>
    </row>
    <row r="151" spans="1:12" x14ac:dyDescent="0.2">
      <c r="A151" s="502" t="str">
        <f>IF(AND(VeteransList[[#This Row],[First &amp; Last Name]]="",VeteransList[[#This Row],[FISTF Code]]=""),"",ROW()-ROW($A$11))</f>
        <v/>
      </c>
      <c r="B151" s="503"/>
      <c r="C151" s="436"/>
      <c r="D151" s="421" t="str">
        <f>IF(VeteransList[[#This Row],[First &amp; Last Name]]="","",IFERROR(ISNUMBER(MATCH(VeteransList[[#This Row],[First &amp; Last Name]],Players[Player Name],0)),FALSE))</f>
        <v/>
      </c>
      <c r="E151" s="421" t="b">
        <f>IF(VeteransList[[#This Row],[FISTF Code]]="",FALSE,IFERROR(ISNUMBER(MATCH(VeteransList[[#This Row],[FISTF Code]],#REF!,0)),FALSE))</f>
        <v>0</v>
      </c>
      <c r="F151" s="419" t="str">
        <f>IF(AND(VeteransList[[#This Row],[First &amp; Last Name]]="",VeteransList[[#This Row],[FISTF Code]]=""),"",IF(VeteransList[[#This Row],[Valide Code ?]],INDEX(Players[Player Name],MATCH(VeteransList[[#This Row],[FISTF Code]],#REF!,0)),VeteransList[[#This Row],[First &amp; Last Name]]))</f>
        <v/>
      </c>
      <c r="G151" s="233" t="str">
        <f>IF(VeteransList[[#This Row],[Retained Player Name]]="","",VLOOKUP(VeteransList[[#This Row],[Retained Player Name]],Players[],7,FALSE))</f>
        <v/>
      </c>
      <c r="H151" s="235" t="str">
        <f>IF(VeteransList[[#This Row],[Retained Player Name]]="","",VLOOKUP(VeteransList[[#This Row],[Retained Player Name]],Players[],6,FALSE))</f>
        <v/>
      </c>
      <c r="I151" s="235" t="str">
        <f>IF(VeteransList[[#This Row],[Retained Player Name]]="","",VLOOKUP(VeteransList[[#This Row],[Retained Player Name]],Players[],4,FALSE))</f>
        <v/>
      </c>
      <c r="J15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51" s="231"/>
      <c r="L151" s="231"/>
    </row>
    <row r="152" spans="1:12" x14ac:dyDescent="0.2">
      <c r="A152" s="502" t="str">
        <f>IF(AND(VeteransList[[#This Row],[First &amp; Last Name]]="",VeteransList[[#This Row],[FISTF Code]]=""),"",ROW()-ROW($A$11))</f>
        <v/>
      </c>
      <c r="B152" s="503"/>
      <c r="C152" s="436"/>
      <c r="D152" s="421" t="str">
        <f>IF(VeteransList[[#This Row],[First &amp; Last Name]]="","",IFERROR(ISNUMBER(MATCH(VeteransList[[#This Row],[First &amp; Last Name]],Players[Player Name],0)),FALSE))</f>
        <v/>
      </c>
      <c r="E152" s="421" t="b">
        <f>IF(VeteransList[[#This Row],[FISTF Code]]="",FALSE,IFERROR(ISNUMBER(MATCH(VeteransList[[#This Row],[FISTF Code]],#REF!,0)),FALSE))</f>
        <v>0</v>
      </c>
      <c r="F152" s="419" t="str">
        <f>IF(AND(VeteransList[[#This Row],[First &amp; Last Name]]="",VeteransList[[#This Row],[FISTF Code]]=""),"",IF(VeteransList[[#This Row],[Valide Code ?]],INDEX(Players[Player Name],MATCH(VeteransList[[#This Row],[FISTF Code]],#REF!,0)),VeteransList[[#This Row],[First &amp; Last Name]]))</f>
        <v/>
      </c>
      <c r="G152" s="233" t="str">
        <f>IF(VeteransList[[#This Row],[Retained Player Name]]="","",VLOOKUP(VeteransList[[#This Row],[Retained Player Name]],Players[],7,FALSE))</f>
        <v/>
      </c>
      <c r="H152" s="235" t="str">
        <f>IF(VeteransList[[#This Row],[Retained Player Name]]="","",VLOOKUP(VeteransList[[#This Row],[Retained Player Name]],Players[],6,FALSE))</f>
        <v/>
      </c>
      <c r="I152" s="235" t="str">
        <f>IF(VeteransList[[#This Row],[Retained Player Name]]="","",VLOOKUP(VeteransList[[#This Row],[Retained Player Name]],Players[],4,FALSE))</f>
        <v/>
      </c>
      <c r="J15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52" s="231"/>
      <c r="L152" s="231"/>
    </row>
    <row r="153" spans="1:12" x14ac:dyDescent="0.2"/>
  </sheetData>
  <sheetProtection formatCells="0" formatColumns="0" formatRows="0" selectLockedCells="1" sort="0" autoFilter="0" pivotTables="0"/>
  <conditionalFormatting sqref="A6:A9">
    <cfRule type="expression" dxfId="118" priority="11">
      <formula>$K6="Withdraw"</formula>
    </cfRule>
  </conditionalFormatting>
  <conditionalFormatting sqref="A82:B152 A12:A81 D12:J152">
    <cfRule type="expression" dxfId="117" priority="15">
      <formula>$K12&lt;&gt;""</formula>
    </cfRule>
  </conditionalFormatting>
  <conditionalFormatting sqref="B12:B81">
    <cfRule type="expression" dxfId="116" priority="4">
      <formula>$K12&lt;&gt;""</formula>
    </cfRule>
  </conditionalFormatting>
  <conditionalFormatting sqref="B12:B152">
    <cfRule type="expression" dxfId="115" priority="1">
      <formula>AND(NOT(ISBLANK(B12)),NOT(D12))</formula>
    </cfRule>
    <cfRule type="expression" dxfId="114" priority="2">
      <formula>AND($B12&lt;&gt;"",$B12&lt;&gt;$F12)</formula>
    </cfRule>
    <cfRule type="expression" dxfId="113" priority="3">
      <formula>D12</formula>
    </cfRule>
  </conditionalFormatting>
  <conditionalFormatting sqref="C12:C152">
    <cfRule type="expression" dxfId="112" priority="5">
      <formula>AND(E12,C12&lt;&gt;"")</formula>
    </cfRule>
    <cfRule type="expression" dxfId="111" priority="6">
      <formula>AND(NOT(ISBLANK(C12)),NOT(E12))</formula>
    </cfRule>
    <cfRule type="expression" dxfId="110" priority="7">
      <formula>$K12&lt;&gt;""</formula>
    </cfRule>
  </conditionalFormatting>
  <conditionalFormatting sqref="G6:G9">
    <cfRule type="expression" dxfId="109" priority="10">
      <formula>$K6="Withdraw"</formula>
    </cfRule>
  </conditionalFormatting>
  <conditionalFormatting sqref="G12:J152">
    <cfRule type="expression" dxfId="108" priority="16">
      <formula>NOT(_xlfn.ISFORMULA(G12))</formula>
    </cfRule>
  </conditionalFormatting>
  <conditionalFormatting sqref="J6:J9">
    <cfRule type="expression" dxfId="107" priority="9">
      <formula>$K6="Withdraw"</formula>
    </cfRule>
  </conditionalFormatting>
  <dataValidations count="3">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52" xr:uid="{FDD8AF07-FBE4-42C2-8789-906279FA6063}">
      <formula1>INDIRECT("Players[Player Name]")</formula1>
    </dataValidation>
    <dataValidation type="list" allowBlank="1" showInputMessage="1" showErrorMessage="1" sqref="K12:K152" xr:uid="{F64D1540-5E10-441D-ADCE-787DC649C2D5}">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52" xr:uid="{A9B9CB52-D0EE-4458-A2C3-16FAA2926879}">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D20C6-837F-4B8A-A73C-90B68AAD807B}">
  <sheetPr codeName="Feuil19">
    <tabColor rgb="FFFF99FF"/>
    <pageSetUpPr fitToPage="1"/>
  </sheetPr>
  <dimension ref="A1:M126"/>
  <sheetViews>
    <sheetView showGridLines="0" topLeftCell="A4" zoomScaleNormal="100" zoomScaleSheetLayoutView="85" workbookViewId="0">
      <selection activeCell="I21" sqref="I21"/>
    </sheetView>
  </sheetViews>
  <sheetFormatPr defaultColWidth="0" defaultRowHeight="12.75" zeroHeight="1" x14ac:dyDescent="0.2"/>
  <cols>
    <col min="1" max="1" width="4.85546875" style="9" bestFit="1" customWidth="1"/>
    <col min="2" max="2" width="23.7109375" style="7" customWidth="1"/>
    <col min="3" max="3" width="13.5703125" style="7" customWidth="1"/>
    <col min="4" max="4" width="13.42578125" style="7" hidden="1" customWidth="1"/>
    <col min="5" max="5" width="14.140625" style="7" hidden="1" customWidth="1"/>
    <col min="6" max="6" width="23.7109375" style="7" customWidth="1"/>
    <col min="7" max="7" width="8.42578125" style="9" bestFit="1" customWidth="1"/>
    <col min="8" max="8" width="25.85546875" style="9" customWidth="1"/>
    <col min="9" max="9" width="12.140625" style="9" customWidth="1"/>
    <col min="10" max="10" width="11.85546875" style="7" customWidth="1"/>
    <col min="11" max="11" width="12.28515625" style="7" customWidth="1"/>
    <col min="12" max="12" width="26.28515625" style="7" customWidth="1"/>
    <col min="13" max="13" width="4.5703125" style="7" customWidth="1"/>
    <col min="14" max="16384" width="4" style="7" hidden="1"/>
  </cols>
  <sheetData>
    <row r="1" spans="1:13" s="226" customFormat="1" ht="102" x14ac:dyDescent="0.2">
      <c r="A1" s="221" t="s">
        <v>13177</v>
      </c>
      <c r="B1" s="221"/>
      <c r="C1" s="221"/>
      <c r="D1" s="221"/>
      <c r="E1" s="221"/>
      <c r="F1" s="221"/>
      <c r="G1" s="222"/>
      <c r="H1" s="223"/>
      <c r="I1" s="224"/>
      <c r="J1" s="225"/>
      <c r="K1" s="225"/>
      <c r="L1" s="225"/>
    </row>
    <row r="2" spans="1:13" s="226" customFormat="1" ht="18.75" thickBot="1" x14ac:dyDescent="0.3">
      <c r="A2" s="227" t="s">
        <v>13178</v>
      </c>
      <c r="B2" s="227"/>
      <c r="C2" s="227"/>
      <c r="D2" s="227"/>
      <c r="E2" s="227"/>
      <c r="F2" s="227"/>
      <c r="G2" s="228"/>
      <c r="H2" s="228"/>
      <c r="I2" s="229"/>
      <c r="J2" s="225"/>
      <c r="K2" s="225"/>
      <c r="L2" s="225"/>
    </row>
    <row r="3" spans="1:13" s="226" customFormat="1" ht="18" x14ac:dyDescent="0.25">
      <c r="A3" s="429" t="s">
        <v>13161</v>
      </c>
      <c r="B3" s="424"/>
      <c r="C3" s="424"/>
      <c r="D3" s="424"/>
      <c r="E3" s="424"/>
      <c r="F3" s="424"/>
      <c r="G3" s="425"/>
      <c r="H3" s="425"/>
      <c r="I3" s="425"/>
      <c r="J3" s="426"/>
      <c r="K3" s="426"/>
      <c r="L3" s="427"/>
    </row>
    <row r="4" spans="1:13" s="226" customFormat="1" ht="18" x14ac:dyDescent="0.25">
      <c r="A4" s="456"/>
      <c r="B4" s="453" t="s">
        <v>13167</v>
      </c>
      <c r="C4" s="443"/>
      <c r="D4" s="443"/>
      <c r="E4" s="443"/>
      <c r="F4" s="443"/>
      <c r="G4" s="444"/>
      <c r="H4" s="453" t="s">
        <v>13168</v>
      </c>
      <c r="I4" s="444"/>
      <c r="L4" s="442"/>
    </row>
    <row r="5" spans="1:13" s="435" customFormat="1" ht="11.25" x14ac:dyDescent="0.2">
      <c r="A5" s="457" t="s">
        <v>6</v>
      </c>
      <c r="B5" s="418" t="s">
        <v>7</v>
      </c>
      <c r="C5" s="418" t="s">
        <v>12</v>
      </c>
      <c r="D5" s="432"/>
      <c r="E5" s="432"/>
      <c r="F5" s="432"/>
      <c r="G5" s="417" t="s">
        <v>6</v>
      </c>
      <c r="H5" s="418" t="s">
        <v>7</v>
      </c>
      <c r="I5" s="418" t="s">
        <v>12</v>
      </c>
      <c r="J5" s="418" t="s">
        <v>13160</v>
      </c>
      <c r="K5" s="433"/>
      <c r="L5" s="434"/>
    </row>
    <row r="6" spans="1:13" s="226" customFormat="1" x14ac:dyDescent="0.2">
      <c r="A6" s="458">
        <v>1</v>
      </c>
      <c r="B6" s="446" t="s">
        <v>13164</v>
      </c>
      <c r="C6" s="447"/>
      <c r="D6" s="423"/>
      <c r="E6" s="423"/>
      <c r="F6" s="423"/>
      <c r="G6" s="445">
        <v>1</v>
      </c>
      <c r="H6" s="446" t="s">
        <v>13165</v>
      </c>
      <c r="I6" s="466" t="s">
        <v>13159</v>
      </c>
      <c r="J6" s="448" t="s">
        <v>13165</v>
      </c>
      <c r="K6" s="430"/>
      <c r="L6" s="431"/>
    </row>
    <row r="7" spans="1:13" s="226" customFormat="1" x14ac:dyDescent="0.2">
      <c r="A7" s="458">
        <v>2</v>
      </c>
      <c r="B7" s="449" t="s">
        <v>13163</v>
      </c>
      <c r="C7" s="450"/>
      <c r="D7" s="423"/>
      <c r="E7" s="423"/>
      <c r="F7" s="423"/>
      <c r="G7" s="445">
        <v>2</v>
      </c>
      <c r="H7" s="449" t="s">
        <v>13163</v>
      </c>
      <c r="I7" s="467" t="s">
        <v>13159</v>
      </c>
      <c r="J7" s="448" t="s">
        <v>13165</v>
      </c>
      <c r="K7" s="430"/>
      <c r="L7" s="431"/>
    </row>
    <row r="8" spans="1:13" s="226" customFormat="1" ht="25.5" x14ac:dyDescent="0.2">
      <c r="A8" s="458">
        <v>3</v>
      </c>
      <c r="B8" s="447"/>
      <c r="C8" s="449" t="s">
        <v>13162</v>
      </c>
      <c r="D8" s="423"/>
      <c r="E8" s="423"/>
      <c r="F8" s="423"/>
      <c r="G8" s="445">
        <v>3</v>
      </c>
      <c r="H8" s="451" t="s">
        <v>13166</v>
      </c>
      <c r="I8" s="466" t="s">
        <v>13159</v>
      </c>
      <c r="J8" s="452" t="s">
        <v>13165</v>
      </c>
      <c r="K8" s="430"/>
      <c r="L8" s="431"/>
    </row>
    <row r="9" spans="1:13" s="226" customFormat="1" ht="26.25" thickBot="1" x14ac:dyDescent="0.25">
      <c r="A9" s="459">
        <v>4</v>
      </c>
      <c r="B9" s="460"/>
      <c r="C9" s="461" t="s">
        <v>13169</v>
      </c>
      <c r="D9" s="428"/>
      <c r="E9" s="428"/>
      <c r="F9" s="428"/>
      <c r="G9" s="462" t="str">
        <f t="shared" ref="G9" si="0">IF(H9="","",ROW()-ROW(G8))</f>
        <v/>
      </c>
      <c r="H9" s="460"/>
      <c r="I9" s="460"/>
      <c r="J9" s="463"/>
      <c r="K9" s="464"/>
      <c r="L9" s="465"/>
    </row>
    <row r="10" spans="1:13" ht="34.5" customHeight="1" x14ac:dyDescent="0.4">
      <c r="A10" s="454" t="s">
        <v>12291</v>
      </c>
      <c r="B10" s="455"/>
      <c r="C10" s="455"/>
      <c r="D10" s="455"/>
      <c r="E10" s="455"/>
      <c r="F10" s="455"/>
      <c r="G10" s="455"/>
      <c r="H10" s="455"/>
      <c r="I10" s="455"/>
      <c r="J10" s="455"/>
      <c r="K10" s="455"/>
      <c r="L10" s="455" t="s">
        <v>12132</v>
      </c>
    </row>
    <row r="11" spans="1:13" s="8" customFormat="1" ht="22.5" x14ac:dyDescent="0.2">
      <c r="A11" s="438" t="s">
        <v>6</v>
      </c>
      <c r="B11" s="439" t="s">
        <v>7</v>
      </c>
      <c r="C11" s="438" t="s">
        <v>12</v>
      </c>
      <c r="D11" s="438" t="s">
        <v>13157</v>
      </c>
      <c r="E11" s="438" t="s">
        <v>13158</v>
      </c>
      <c r="F11" s="439" t="s">
        <v>13160</v>
      </c>
      <c r="G11" s="438" t="s">
        <v>8</v>
      </c>
      <c r="H11" s="439" t="s">
        <v>9</v>
      </c>
      <c r="I11" s="440" t="s">
        <v>13156</v>
      </c>
      <c r="J11" s="440" t="s">
        <v>12285</v>
      </c>
      <c r="K11" s="440" t="s">
        <v>10890</v>
      </c>
      <c r="L11" s="441" t="s">
        <v>10891</v>
      </c>
      <c r="M11" s="7"/>
    </row>
    <row r="12" spans="1:13" s="8" customFormat="1" ht="12.75" customHeight="1" x14ac:dyDescent="0.2">
      <c r="A12" s="16">
        <f>IF(AND(LadiesList[[#This Row],[First &amp; Last Name]]="",LadiesList[[#This Row],[FISTF Code]]=""),"",ROW()-ROW($A$11))</f>
        <v>1</v>
      </c>
      <c r="B12" s="232" t="s">
        <v>10542</v>
      </c>
      <c r="C12" s="436"/>
      <c r="D12" s="421" t="b">
        <f>IF(LadiesList[[#This Row],[First &amp; Last Name]]="","",IFERROR(ISNUMBER(MATCH(LadiesList[[#This Row],[First &amp; Last Name]],Players[Player Name],0)),FALSE))</f>
        <v>1</v>
      </c>
      <c r="E12" s="421" t="b">
        <f>IF(LadiesList[[#This Row],[FISTF Code]]="",FALSE,IFERROR(ISNUMBER(MATCH(LadiesList[[#This Row],[FISTF Code]],Players[FISTF Code],0)),FALSE))</f>
        <v>0</v>
      </c>
      <c r="F12" s="419" t="str">
        <f>IF(AND(LadiesList[[#This Row],[First &amp; Last Name]]="",LadiesList[[#This Row],[FISTF Code]]=""),"",IF(LadiesList[[#This Row],[Valide Code ?]],INDEX(Players[Player Name],MATCH(LadiesList[[#This Row],[FISTF Code]],Players[FISTF Code],0)),LadiesList[[#This Row],[First &amp; Last Name]]))</f>
        <v>Carolina Villarigues</v>
      </c>
      <c r="G12" s="233" t="str">
        <f>IF(LadiesList[[#This Row],[Retained Player Name]]="","",VLOOKUP(LadiesList[[#This Row],[Retained Player Name]],Players[],7,FALSE))</f>
        <v>POR</v>
      </c>
      <c r="H12" s="233" t="str">
        <f>IF(LadiesList[[#This Row],[Retained Player Name]]="","",VLOOKUP(LadiesList[[#This Row],[Retained Player Name]],Players[],6,FALSE))</f>
        <v>SUBBUTEO DRAGONS AZUQUECA</v>
      </c>
      <c r="I12" s="234" t="str">
        <f>IF(LadiesList[[#This Row],[Retained Player Name]]="","",VLOOKUP(LadiesList[[#This Row],[Retained Player Name]],Players[],4,FALSE))</f>
        <v>POR0005</v>
      </c>
      <c r="J12"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R</v>
      </c>
      <c r="K12" s="230"/>
      <c r="L12" s="230"/>
      <c r="M12" s="7"/>
    </row>
    <row r="13" spans="1:13" s="8" customFormat="1" ht="12.75" customHeight="1" x14ac:dyDescent="0.2">
      <c r="A13" s="16">
        <f>IF(AND(LadiesList[[#This Row],[First &amp; Last Name]]="",LadiesList[[#This Row],[FISTF Code]]=""),"",ROW()-ROW($A$11))</f>
        <v>2</v>
      </c>
      <c r="B13" s="232" t="s">
        <v>8704</v>
      </c>
      <c r="C13" s="436"/>
      <c r="D13" s="421" t="b">
        <f>IF(LadiesList[[#This Row],[First &amp; Last Name]]="","",IFERROR(ISNUMBER(MATCH(LadiesList[[#This Row],[First &amp; Last Name]],Players[Player Name],0)),FALSE))</f>
        <v>1</v>
      </c>
      <c r="E13" s="421" t="b">
        <f>IF(LadiesList[[#This Row],[FISTF Code]]="",FALSE,IFERROR(ISNUMBER(MATCH(LadiesList[[#This Row],[FISTF Code]],Players[FISTF Code],0)),FALSE))</f>
        <v>0</v>
      </c>
      <c r="F13" s="419" t="str">
        <f>IF(AND(LadiesList[[#This Row],[First &amp; Last Name]]="",LadiesList[[#This Row],[FISTF Code]]=""),"",IF(LadiesList[[#This Row],[Valide Code ?]],INDEX(Players[Player Name],MATCH(LadiesList[[#This Row],[FISTF Code]],Players[FISTF Code],0)),LadiesList[[#This Row],[First &amp; Last Name]]))</f>
        <v>Audrey Herbaut</v>
      </c>
      <c r="G13" s="233" t="str">
        <f>IF(LadiesList[[#This Row],[Retained Player Name]]="","",VLOOKUP(LadiesList[[#This Row],[Retained Player Name]],Players[],7,FALSE))</f>
        <v>FRA</v>
      </c>
      <c r="H13" s="233" t="str">
        <f>IF(LadiesList[[#This Row],[Retained Player Name]]="","",VLOOKUP(LadiesList[[#This Row],[Retained Player Name]],Players[],6,FALSE))</f>
        <v>Elan Subbutéo Club de Champs-sur-Marne</v>
      </c>
      <c r="I13" s="234" t="str">
        <f>IF(LadiesList[[#This Row],[Retained Player Name]]="","",VLOOKUP(LadiesList[[#This Row],[Retained Player Name]],Players[],4,FALSE))</f>
        <v>FRA0035</v>
      </c>
      <c r="J13"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W</v>
      </c>
      <c r="K13" s="230"/>
      <c r="L13" s="230"/>
      <c r="M13" s="7"/>
    </row>
    <row r="14" spans="1:13" s="8" customFormat="1" ht="12.75" customHeight="1" x14ac:dyDescent="0.2">
      <c r="A14" s="16">
        <f>IF(AND(LadiesList[[#This Row],[First &amp; Last Name]]="",LadiesList[[#This Row],[FISTF Code]]=""),"",ROW()-ROW($A$11))</f>
        <v>3</v>
      </c>
      <c r="B14" s="232" t="s">
        <v>8146</v>
      </c>
      <c r="C14" s="436"/>
      <c r="D14" s="421" t="b">
        <f>IF(LadiesList[[#This Row],[First &amp; Last Name]]="","",IFERROR(ISNUMBER(MATCH(LadiesList[[#This Row],[First &amp; Last Name]],Players[Player Name],0)),FALSE))</f>
        <v>1</v>
      </c>
      <c r="E14" s="421" t="b">
        <f>IF(LadiesList[[#This Row],[FISTF Code]]="",FALSE,IFERROR(ISNUMBER(MATCH(LadiesList[[#This Row],[FISTF Code]],Players[FISTF Code],0)),FALSE))</f>
        <v>0</v>
      </c>
      <c r="F14" s="419" t="str">
        <f>IF(AND(LadiesList[[#This Row],[First &amp; Last Name]]="",LadiesList[[#This Row],[FISTF Code]]=""),"",IF(LadiesList[[#This Row],[Valide Code ?]],INDEX(Players[Player Name],MATCH(LadiesList[[#This Row],[FISTF Code]],Players[FISTF Code],0)),LadiesList[[#This Row],[First &amp; Last Name]]))</f>
        <v>Léa Despretz</v>
      </c>
      <c r="G14" s="233" t="str">
        <f>IF(LadiesList[[#This Row],[Retained Player Name]]="","",VLOOKUP(LadiesList[[#This Row],[Retained Player Name]],Players[],7,FALSE))</f>
        <v>BEL</v>
      </c>
      <c r="H14" s="233" t="str">
        <f>IF(LadiesList[[#This Row],[Retained Player Name]]="","",VLOOKUP(LadiesList[[#This Row],[Retained Player Name]],Players[],6,FALSE))</f>
        <v>Avenir Subbuteo Hennuyer</v>
      </c>
      <c r="I14" s="234" t="str">
        <f>IF(LadiesList[[#This Row],[Retained Player Name]]="","",VLOOKUP(LadiesList[[#This Row],[Retained Player Name]],Players[],4,FALSE))</f>
        <v>BEL0236</v>
      </c>
      <c r="J14"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S</v>
      </c>
      <c r="K14" s="230"/>
      <c r="L14" s="230"/>
      <c r="M14" s="7"/>
    </row>
    <row r="15" spans="1:13" s="8" customFormat="1" ht="12.75" customHeight="1" x14ac:dyDescent="0.2">
      <c r="A15" s="16">
        <f>IF(AND(LadiesList[[#This Row],[First &amp; Last Name]]="",LadiesList[[#This Row],[FISTF Code]]=""),"",ROW()-ROW($A$11))</f>
        <v>4</v>
      </c>
      <c r="B15" s="232" t="s">
        <v>8184</v>
      </c>
      <c r="C15" s="436"/>
      <c r="D15" s="421" t="b">
        <f>IF(LadiesList[[#This Row],[First &amp; Last Name]]="","",IFERROR(ISNUMBER(MATCH(LadiesList[[#This Row],[First &amp; Last Name]],Players[Player Name],0)),FALSE))</f>
        <v>1</v>
      </c>
      <c r="E15" s="421" t="b">
        <f>IF(LadiesList[[#This Row],[FISTF Code]]="",FALSE,IFERROR(ISNUMBER(MATCH(LadiesList[[#This Row],[FISTF Code]],Players[FISTF Code],0)),FALSE))</f>
        <v>0</v>
      </c>
      <c r="F15" s="419" t="str">
        <f>IF(AND(LadiesList[[#This Row],[First &amp; Last Name]]="",LadiesList[[#This Row],[FISTF Code]]=""),"",IF(LadiesList[[#This Row],[Valide Code ?]],INDEX(Players[Player Name],MATCH(LadiesList[[#This Row],[FISTF Code]],Players[FISTF Code],0)),LadiesList[[#This Row],[First &amp; Last Name]]))</f>
        <v>Mélina Scheen</v>
      </c>
      <c r="G15" s="233" t="str">
        <f>IF(LadiesList[[#This Row],[Retained Player Name]]="","",VLOOKUP(LadiesList[[#This Row],[Retained Player Name]],Players[],7,FALSE))</f>
        <v>BEL</v>
      </c>
      <c r="H15" s="233" t="str">
        <f>IF(LadiesList[[#This Row],[Retained Player Name]]="","",VLOOKUP(LadiesList[[#This Row],[Retained Player Name]],Players[],6,FALSE))</f>
        <v>ST Stembert</v>
      </c>
      <c r="I15" s="234" t="str">
        <f>IF(LadiesList[[#This Row],[Retained Player Name]]="","",VLOOKUP(LadiesList[[#This Row],[Retained Player Name]],Players[],4,FALSE))</f>
        <v>BEL0366</v>
      </c>
      <c r="J15"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Q</v>
      </c>
      <c r="K15" s="230"/>
      <c r="L15" s="230"/>
      <c r="M15" s="7"/>
    </row>
    <row r="16" spans="1:13" s="8" customFormat="1" ht="12.75" customHeight="1" x14ac:dyDescent="0.2">
      <c r="A16" s="16">
        <f>IF(AND(LadiesList[[#This Row],[First &amp; Last Name]]="",LadiesList[[#This Row],[FISTF Code]]=""),"",ROW()-ROW($A$11))</f>
        <v>5</v>
      </c>
      <c r="B16" s="232" t="s">
        <v>9263</v>
      </c>
      <c r="C16" s="436"/>
      <c r="D16" s="421" t="b">
        <f>IF(LadiesList[[#This Row],[First &amp; Last Name]]="","",IFERROR(ISNUMBER(MATCH(LadiesList[[#This Row],[First &amp; Last Name]],Players[Player Name],0)),FALSE))</f>
        <v>1</v>
      </c>
      <c r="E16" s="421" t="b">
        <f>IF(LadiesList[[#This Row],[FISTF Code]]="",FALSE,IFERROR(ISNUMBER(MATCH(LadiesList[[#This Row],[FISTF Code]],Players[FISTF Code],0)),FALSE))</f>
        <v>0</v>
      </c>
      <c r="F16" s="419" t="str">
        <f>IF(AND(LadiesList[[#This Row],[First &amp; Last Name]]="",LadiesList[[#This Row],[FISTF Code]]=""),"",IF(LadiesList[[#This Row],[Valide Code ?]],INDEX(Players[Player Name],MATCH(LadiesList[[#This Row],[FISTF Code]],Players[FISTF Code],0)),LadiesList[[#This Row],[First &amp; Last Name]]))</f>
        <v>Chrysoula Pappa</v>
      </c>
      <c r="G16" s="233" t="str">
        <f>IF(LadiesList[[#This Row],[Retained Player Name]]="","",VLOOKUP(LadiesList[[#This Row],[Retained Player Name]],Players[],7,FALSE))</f>
        <v>GRE</v>
      </c>
      <c r="H16" s="233" t="str">
        <f>IF(LadiesList[[#This Row],[Retained Player Name]]="","",VLOOKUP(LadiesList[[#This Row],[Retained Player Name]],Players[],6,FALSE))</f>
        <v>Atlas FTC</v>
      </c>
      <c r="I16" s="234" t="str">
        <f>IF(LadiesList[[#This Row],[Retained Player Name]]="","",VLOOKUP(LadiesList[[#This Row],[Retained Player Name]],Players[],4,FALSE))</f>
        <v>GRE0739</v>
      </c>
      <c r="J16"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Q</v>
      </c>
      <c r="K16" s="230"/>
      <c r="L16" s="230"/>
      <c r="M16" s="7"/>
    </row>
    <row r="17" spans="1:13" s="8" customFormat="1" ht="12.75" customHeight="1" x14ac:dyDescent="0.2">
      <c r="A17" s="16">
        <f>IF(AND(LadiesList[[#This Row],[First &amp; Last Name]]="",LadiesList[[#This Row],[FISTF Code]]=""),"",ROW()-ROW($A$11))</f>
        <v>6</v>
      </c>
      <c r="B17" s="232" t="s">
        <v>8071</v>
      </c>
      <c r="C17" s="436"/>
      <c r="D17" s="421" t="b">
        <f>IF(LadiesList[[#This Row],[First &amp; Last Name]]="","",IFERROR(ISNUMBER(MATCH(LadiesList[[#This Row],[First &amp; Last Name]],Players[Player Name],0)),FALSE))</f>
        <v>1</v>
      </c>
      <c r="E17" s="421" t="b">
        <f>IF(LadiesList[[#This Row],[FISTF Code]]="",FALSE,IFERROR(ISNUMBER(MATCH(LadiesList[[#This Row],[FISTF Code]],Players[FISTF Code],0)),FALSE))</f>
        <v>0</v>
      </c>
      <c r="F17" s="419" t="str">
        <f>IF(AND(LadiesList[[#This Row],[First &amp; Last Name]]="",LadiesList[[#This Row],[FISTF Code]]=""),"",IF(LadiesList[[#This Row],[Valide Code ?]],INDEX(Players[Player Name],MATCH(LadiesList[[#This Row],[FISTF Code]],Players[FISTF Code],0)),LadiesList[[#This Row],[First &amp; Last Name]]))</f>
        <v>Katharina Waldorf-Busch</v>
      </c>
      <c r="G17" s="233" t="str">
        <f>IF(LadiesList[[#This Row],[Retained Player Name]]="","",VLOOKUP(LadiesList[[#This Row],[Retained Player Name]],Players[],7,FALSE))</f>
        <v>AUT</v>
      </c>
      <c r="H17" s="233" t="str">
        <f>IF(LadiesList[[#This Row],[Retained Player Name]]="","",VLOOKUP(LadiesList[[#This Row],[Retained Player Name]],Players[],6,FALSE))</f>
        <v>Bormla SC</v>
      </c>
      <c r="I17" s="234" t="str">
        <f>IF(LadiesList[[#This Row],[Retained Player Name]]="","",VLOOKUP(LadiesList[[#This Row],[Retained Player Name]],Players[],4,FALSE))</f>
        <v>AUT0121</v>
      </c>
      <c r="J17"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Q</v>
      </c>
      <c r="K17" s="230"/>
      <c r="L17" s="230"/>
      <c r="M17" s="7"/>
    </row>
    <row r="18" spans="1:13" s="8" customFormat="1" ht="12.75" customHeight="1" x14ac:dyDescent="0.2">
      <c r="A18" s="16">
        <f>IF(AND(LadiesList[[#This Row],[First &amp; Last Name]]="",LadiesList[[#This Row],[FISTF Code]]=""),"",ROW()-ROW($A$11))</f>
        <v>7</v>
      </c>
      <c r="B18" s="232" t="s">
        <v>12366</v>
      </c>
      <c r="C18" s="436"/>
      <c r="D18" s="421" t="b">
        <f>IF(LadiesList[[#This Row],[First &amp; Last Name]]="","",IFERROR(ISNUMBER(MATCH(LadiesList[[#This Row],[First &amp; Last Name]],Players[Player Name],0)),FALSE))</f>
        <v>1</v>
      </c>
      <c r="E18" s="421" t="b">
        <f>IF(LadiesList[[#This Row],[FISTF Code]]="",FALSE,IFERROR(ISNUMBER(MATCH(LadiesList[[#This Row],[FISTF Code]],Players[FISTF Code],0)),FALSE))</f>
        <v>0</v>
      </c>
      <c r="F18" s="419" t="str">
        <f>IF(AND(LadiesList[[#This Row],[First &amp; Last Name]]="",LadiesList[[#This Row],[FISTF Code]]=""),"",IF(LadiesList[[#This Row],[Valide Code ?]],INDEX(Players[Player Name],MATCH(LadiesList[[#This Row],[FISTF Code]],Players[FISTF Code],0)),LadiesList[[#This Row],[First &amp; Last Name]]))</f>
        <v>Emilie Despretz</v>
      </c>
      <c r="G18" s="233" t="str">
        <f>IF(LadiesList[[#This Row],[Retained Player Name]]="","",VLOOKUP(LadiesList[[#This Row],[Retained Player Name]],Players[],7,FALSE))</f>
        <v>BEL</v>
      </c>
      <c r="H18" s="233" t="str">
        <f>IF(LadiesList[[#This Row],[Retained Player Name]]="","",VLOOKUP(LadiesList[[#This Row],[Retained Player Name]],Players[],6,FALSE))</f>
        <v>Avenir Subbuteo Hennuyer</v>
      </c>
      <c r="I18" s="234" t="str">
        <f>IF(LadiesList[[#This Row],[Retained Player Name]]="","",VLOOKUP(LadiesList[[#This Row],[Retained Player Name]],Players[],4,FALSE))</f>
        <v>BEL0061</v>
      </c>
      <c r="J18"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S</v>
      </c>
      <c r="K18" s="230"/>
      <c r="L18" s="230"/>
      <c r="M18" s="7"/>
    </row>
    <row r="19" spans="1:13" s="8" customFormat="1" ht="12.75" customHeight="1" x14ac:dyDescent="0.2">
      <c r="A19" s="16">
        <f>IF(AND(LadiesList[[#This Row],[First &amp; Last Name]]="",LadiesList[[#This Row],[FISTF Code]]=""),"",ROW()-ROW($A$11))</f>
        <v>8</v>
      </c>
      <c r="B19" s="232" t="s">
        <v>8074</v>
      </c>
      <c r="C19" s="436"/>
      <c r="D19" s="421" t="b">
        <f>IF(LadiesList[[#This Row],[First &amp; Last Name]]="","",IFERROR(ISNUMBER(MATCH(LadiesList[[#This Row],[First &amp; Last Name]],Players[Player Name],0)),FALSE))</f>
        <v>1</v>
      </c>
      <c r="E19" s="421" t="b">
        <f>IF(LadiesList[[#This Row],[FISTF Code]]="",FALSE,IFERROR(ISNUMBER(MATCH(LadiesList[[#This Row],[FISTF Code]],Players[FISTF Code],0)),FALSE))</f>
        <v>0</v>
      </c>
      <c r="F19" s="419" t="str">
        <f>IF(AND(LadiesList[[#This Row],[First &amp; Last Name]]="",LadiesList[[#This Row],[FISTF Code]]=""),"",IF(LadiesList[[#This Row],[Valide Code ?]],INDEX(Players[Player Name],MATCH(LadiesList[[#This Row],[FISTF Code]],Players[FISTF Code],0)),LadiesList[[#This Row],[First &amp; Last Name]]))</f>
        <v>Elodie Bertholet</v>
      </c>
      <c r="G19" s="233" t="str">
        <f>IF(LadiesList[[#This Row],[Retained Player Name]]="","",VLOOKUP(LadiesList[[#This Row],[Retained Player Name]],Players[],7,FALSE))</f>
        <v>BEL</v>
      </c>
      <c r="H19" s="233" t="str">
        <f>IF(LadiesList[[#This Row],[Retained Player Name]]="","",VLOOKUP(LadiesList[[#This Row],[Retained Player Name]],Players[],6,FALSE))</f>
        <v>Avenir Subbuteo Hennuyer</v>
      </c>
      <c r="I19" s="234" t="str">
        <f>IF(LadiesList[[#This Row],[Retained Player Name]]="","",VLOOKUP(LadiesList[[#This Row],[Retained Player Name]],Players[],4,FALSE))</f>
        <v>BEL0168</v>
      </c>
      <c r="J19"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Q</v>
      </c>
      <c r="K19" s="230"/>
      <c r="L19" s="230"/>
      <c r="M19" s="7"/>
    </row>
    <row r="20" spans="1:13" s="8" customFormat="1" ht="12.75" customHeight="1" x14ac:dyDescent="0.2">
      <c r="A20" s="16">
        <f>IF(AND(LadiesList[[#This Row],[First &amp; Last Name]]="",LadiesList[[#This Row],[FISTF Code]]=""),"",ROW()-ROW($A$11))</f>
        <v>9</v>
      </c>
      <c r="B20" s="232" t="s">
        <v>8191</v>
      </c>
      <c r="C20" s="436"/>
      <c r="D20" s="421" t="b">
        <f>IF(LadiesList[[#This Row],[First &amp; Last Name]]="","",IFERROR(ISNUMBER(MATCH(LadiesList[[#This Row],[First &amp; Last Name]],Players[Player Name],0)),FALSE))</f>
        <v>1</v>
      </c>
      <c r="E20" s="421" t="b">
        <f>IF(LadiesList[[#This Row],[FISTF Code]]="",FALSE,IFERROR(ISNUMBER(MATCH(LadiesList[[#This Row],[FISTF Code]],Players[FISTF Code],0)),FALSE))</f>
        <v>0</v>
      </c>
      <c r="F20" s="419" t="str">
        <f>IF(AND(LadiesList[[#This Row],[First &amp; Last Name]]="",LadiesList[[#This Row],[FISTF Code]]=""),"",IF(LadiesList[[#This Row],[Valide Code ?]],INDEX(Players[Player Name],MATCH(LadiesList[[#This Row],[FISTF Code]],Players[FISTF Code],0)),LadiesList[[#This Row],[First &amp; Last Name]]))</f>
        <v>Lulani Verhoeven</v>
      </c>
      <c r="G20" s="233" t="str">
        <f>IF(LadiesList[[#This Row],[Retained Player Name]]="","",VLOOKUP(LadiesList[[#This Row],[Retained Player Name]],Players[],7,FALSE))</f>
        <v>BEL</v>
      </c>
      <c r="H20" s="233" t="str">
        <f>IF(LadiesList[[#This Row],[Retained Player Name]]="","",VLOOKUP(LadiesList[[#This Row],[Retained Player Name]],Players[],6,FALSE))</f>
        <v>Wamme SC</v>
      </c>
      <c r="I20" s="234" t="str">
        <f>IF(LadiesList[[#This Row],[Retained Player Name]]="","",VLOOKUP(LadiesList[[#This Row],[Retained Player Name]],Players[],4,FALSE))</f>
        <v>BEL0435</v>
      </c>
      <c r="J20"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PR1</v>
      </c>
      <c r="K20" s="230"/>
      <c r="L20" s="230"/>
      <c r="M20" s="7"/>
    </row>
    <row r="21" spans="1:13" s="8" customFormat="1" ht="12.75" customHeight="1" x14ac:dyDescent="0.2">
      <c r="A21" s="16">
        <f>IF(AND(LadiesList[[#This Row],[First &amp; Last Name]]="",LadiesList[[#This Row],[FISTF Code]]=""),"",ROW()-ROW($A$11))</f>
        <v>10</v>
      </c>
      <c r="B21" s="232" t="s">
        <v>14604</v>
      </c>
      <c r="C21" s="436" t="s">
        <v>14605</v>
      </c>
      <c r="D21" s="421" t="b">
        <f>IF(LadiesList[[#This Row],[First &amp; Last Name]]="","",IFERROR(ISNUMBER(MATCH(LadiesList[[#This Row],[First &amp; Last Name]],Players[Player Name],0)),FALSE))</f>
        <v>1</v>
      </c>
      <c r="E21" s="421" t="b">
        <f>IF(LadiesList[[#This Row],[FISTF Code]]="",FALSE,IFERROR(ISNUMBER(MATCH(LadiesList[[#This Row],[FISTF Code]],Players[FISTF Code],0)),FALSE))</f>
        <v>0</v>
      </c>
      <c r="F21" s="419" t="str">
        <f>IF(AND(LadiesList[[#This Row],[First &amp; Last Name]]="",LadiesList[[#This Row],[FISTF Code]]=""),"",IF(LadiesList[[#This Row],[Valide Code ?]],INDEX(Players[Player Name],MATCH(LadiesList[[#This Row],[FISTF Code]],Players[FISTF Code],0)),LadiesList[[#This Row],[First &amp; Last Name]]))</f>
        <v>Chloé Despretz</v>
      </c>
      <c r="G21" s="233" t="s">
        <v>38</v>
      </c>
      <c r="H21" s="233" t="s">
        <v>328</v>
      </c>
      <c r="I21" s="234" t="str">
        <f>IF(LadiesList[[#This Row],[Retained Player Name]]="","",VLOOKUP(LadiesList[[#This Row],[Retained Player Name]],Players[],4,FALSE))</f>
        <v>BEL0324</v>
      </c>
      <c r="J21"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PR1</v>
      </c>
      <c r="K21" s="230"/>
      <c r="L21" s="230"/>
      <c r="M21" s="7"/>
    </row>
    <row r="22" spans="1:13" s="8" customFormat="1" ht="12.75" customHeight="1" x14ac:dyDescent="0.2">
      <c r="A22" s="16" t="str">
        <f>IF(AND(LadiesList[[#This Row],[First &amp; Last Name]]="",LadiesList[[#This Row],[FISTF Code]]=""),"",ROW()-ROW($A$11))</f>
        <v/>
      </c>
      <c r="B22" s="232"/>
      <c r="C22" s="436"/>
      <c r="D22" s="421" t="str">
        <f>IF(LadiesList[[#This Row],[First &amp; Last Name]]="","",IFERROR(ISNUMBER(MATCH(LadiesList[[#This Row],[First &amp; Last Name]],Players[Player Name],0)),FALSE))</f>
        <v/>
      </c>
      <c r="E22" s="421" t="b">
        <f>IF(LadiesList[[#This Row],[FISTF Code]]="",FALSE,IFERROR(ISNUMBER(MATCH(LadiesList[[#This Row],[FISTF Code]],Players[FISTF Code],0)),FALSE))</f>
        <v>0</v>
      </c>
      <c r="F22" s="419" t="str">
        <f>IF(AND(LadiesList[[#This Row],[First &amp; Last Name]]="",LadiesList[[#This Row],[FISTF Code]]=""),"",IF(LadiesList[[#This Row],[Valide Code ?]],INDEX(Players[Player Name],MATCH(LadiesList[[#This Row],[FISTF Code]],Players[FISTF Code],0)),LadiesList[[#This Row],[First &amp; Last Name]]))</f>
        <v/>
      </c>
      <c r="G22" s="233" t="str">
        <f>IF(LadiesList[[#This Row],[Retained Player Name]]="","",VLOOKUP(LadiesList[[#This Row],[Retained Player Name]],Players[],7,FALSE))</f>
        <v/>
      </c>
      <c r="H22" s="233" t="str">
        <f>IF(LadiesList[[#This Row],[Retained Player Name]]="","",VLOOKUP(LadiesList[[#This Row],[Retained Player Name]],Players[],6,FALSE))</f>
        <v/>
      </c>
      <c r="I22" s="235" t="str">
        <f>IF(LadiesList[[#This Row],[Retained Player Name]]="","",VLOOKUP(LadiesList[[#This Row],[Retained Player Name]],Players[],4,FALSE))</f>
        <v/>
      </c>
      <c r="J2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2" s="231"/>
      <c r="L22" s="231"/>
      <c r="M22" s="7"/>
    </row>
    <row r="23" spans="1:13" s="8" customFormat="1" ht="12.75" customHeight="1" x14ac:dyDescent="0.2">
      <c r="A23" s="16" t="str">
        <f>IF(AND(LadiesList[[#This Row],[First &amp; Last Name]]="",LadiesList[[#This Row],[FISTF Code]]=""),"",ROW()-ROW($A$11))</f>
        <v/>
      </c>
      <c r="B23" s="232"/>
      <c r="C23" s="436"/>
      <c r="D23" s="421" t="str">
        <f>IF(LadiesList[[#This Row],[First &amp; Last Name]]="","",IFERROR(ISNUMBER(MATCH(LadiesList[[#This Row],[First &amp; Last Name]],Players[Player Name],0)),FALSE))</f>
        <v/>
      </c>
      <c r="E23" s="421" t="b">
        <f>IF(LadiesList[[#This Row],[FISTF Code]]="",FALSE,IFERROR(ISNUMBER(MATCH(LadiesList[[#This Row],[FISTF Code]],Players[FISTF Code],0)),FALSE))</f>
        <v>0</v>
      </c>
      <c r="F23" s="419" t="str">
        <f>IF(AND(LadiesList[[#This Row],[First &amp; Last Name]]="",LadiesList[[#This Row],[FISTF Code]]=""),"",IF(LadiesList[[#This Row],[Valide Code ?]],INDEX(Players[Player Name],MATCH(LadiesList[[#This Row],[FISTF Code]],Players[FISTF Code],0)),LadiesList[[#This Row],[First &amp; Last Name]]))</f>
        <v/>
      </c>
      <c r="G23" s="233" t="str">
        <f>IF(LadiesList[[#This Row],[Retained Player Name]]="","",VLOOKUP(LadiesList[[#This Row],[Retained Player Name]],Players[],7,FALSE))</f>
        <v/>
      </c>
      <c r="H23" s="233" t="str">
        <f>IF(LadiesList[[#This Row],[Retained Player Name]]="","",VLOOKUP(LadiesList[[#This Row],[Retained Player Name]],Players[],6,FALSE))</f>
        <v/>
      </c>
      <c r="I23" s="235" t="str">
        <f>IF(LadiesList[[#This Row],[Retained Player Name]]="","",VLOOKUP(LadiesList[[#This Row],[Retained Player Name]],Players[],4,FALSE))</f>
        <v/>
      </c>
      <c r="J2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3" s="231"/>
      <c r="L23" s="231"/>
      <c r="M23" s="7"/>
    </row>
    <row r="24" spans="1:13" s="8" customFormat="1" ht="12.75" customHeight="1" x14ac:dyDescent="0.2">
      <c r="A24" s="16" t="str">
        <f>IF(AND(LadiesList[[#This Row],[First &amp; Last Name]]="",LadiesList[[#This Row],[FISTF Code]]=""),"",ROW()-ROW($A$11))</f>
        <v/>
      </c>
      <c r="B24" s="232"/>
      <c r="C24" s="436"/>
      <c r="D24" s="421" t="str">
        <f>IF(LadiesList[[#This Row],[First &amp; Last Name]]="","",IFERROR(ISNUMBER(MATCH(LadiesList[[#This Row],[First &amp; Last Name]],Players[Player Name],0)),FALSE))</f>
        <v/>
      </c>
      <c r="E24" s="421" t="b">
        <f>IF(LadiesList[[#This Row],[FISTF Code]]="",FALSE,IFERROR(ISNUMBER(MATCH(LadiesList[[#This Row],[FISTF Code]],Players[FISTF Code],0)),FALSE))</f>
        <v>0</v>
      </c>
      <c r="F24" s="419" t="str">
        <f>IF(AND(LadiesList[[#This Row],[First &amp; Last Name]]="",LadiesList[[#This Row],[FISTF Code]]=""),"",IF(LadiesList[[#This Row],[Valide Code ?]],INDEX(Players[Player Name],MATCH(LadiesList[[#This Row],[FISTF Code]],Players[FISTF Code],0)),LadiesList[[#This Row],[First &amp; Last Name]]))</f>
        <v/>
      </c>
      <c r="G24" s="233" t="str">
        <f>IF(LadiesList[[#This Row],[Retained Player Name]]="","",VLOOKUP(LadiesList[[#This Row],[Retained Player Name]],Players[],7,FALSE))</f>
        <v/>
      </c>
      <c r="H24" s="233" t="str">
        <f>IF(LadiesList[[#This Row],[Retained Player Name]]="","",VLOOKUP(LadiesList[[#This Row],[Retained Player Name]],Players[],6,FALSE))</f>
        <v/>
      </c>
      <c r="I24" s="235" t="str">
        <f>IF(LadiesList[[#This Row],[Retained Player Name]]="","",VLOOKUP(LadiesList[[#This Row],[Retained Player Name]],Players[],4,FALSE))</f>
        <v/>
      </c>
      <c r="J2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4" s="231"/>
      <c r="L24" s="231"/>
      <c r="M24" s="7"/>
    </row>
    <row r="25" spans="1:13" s="8" customFormat="1" ht="12.75" customHeight="1" x14ac:dyDescent="0.2">
      <c r="A25" s="16" t="str">
        <f>IF(AND(LadiesList[[#This Row],[First &amp; Last Name]]="",LadiesList[[#This Row],[FISTF Code]]=""),"",ROW()-ROW($A$11))</f>
        <v/>
      </c>
      <c r="B25" s="232"/>
      <c r="C25" s="436"/>
      <c r="D25" s="421" t="str">
        <f>IF(LadiesList[[#This Row],[First &amp; Last Name]]="","",IFERROR(ISNUMBER(MATCH(LadiesList[[#This Row],[First &amp; Last Name]],Players[Player Name],0)),FALSE))</f>
        <v/>
      </c>
      <c r="E25" s="421" t="b">
        <f>IF(LadiesList[[#This Row],[FISTF Code]]="",FALSE,IFERROR(ISNUMBER(MATCH(LadiesList[[#This Row],[FISTF Code]],Players[FISTF Code],0)),FALSE))</f>
        <v>0</v>
      </c>
      <c r="F25" s="419" t="str">
        <f>IF(AND(LadiesList[[#This Row],[First &amp; Last Name]]="",LadiesList[[#This Row],[FISTF Code]]=""),"",IF(LadiesList[[#This Row],[Valide Code ?]],INDEX(Players[Player Name],MATCH(LadiesList[[#This Row],[FISTF Code]],Players[FISTF Code],0)),LadiesList[[#This Row],[First &amp; Last Name]]))</f>
        <v/>
      </c>
      <c r="G25" s="233" t="str">
        <f>IF(LadiesList[[#This Row],[Retained Player Name]]="","",VLOOKUP(LadiesList[[#This Row],[Retained Player Name]],Players[],7,FALSE))</f>
        <v/>
      </c>
      <c r="H25" s="233" t="str">
        <f>IF(LadiesList[[#This Row],[Retained Player Name]]="","",VLOOKUP(LadiesList[[#This Row],[Retained Player Name]],Players[],6,FALSE))</f>
        <v/>
      </c>
      <c r="I25" s="234" t="str">
        <f>IF(LadiesList[[#This Row],[Retained Player Name]]="","",VLOOKUP(LadiesList[[#This Row],[Retained Player Name]],Players[],4,FALSE))</f>
        <v/>
      </c>
      <c r="J25" s="20"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5" s="231"/>
      <c r="L25" s="231"/>
      <c r="M25" s="7"/>
    </row>
    <row r="26" spans="1:13" s="8" customFormat="1" ht="12.75" customHeight="1" x14ac:dyDescent="0.2">
      <c r="A26" s="16" t="str">
        <f>IF(AND(LadiesList[[#This Row],[First &amp; Last Name]]="",LadiesList[[#This Row],[FISTF Code]]=""),"",ROW()-ROW($A$11))</f>
        <v/>
      </c>
      <c r="B26" s="232"/>
      <c r="C26" s="436"/>
      <c r="D26" s="421" t="str">
        <f>IF(LadiesList[[#This Row],[First &amp; Last Name]]="","",IFERROR(ISNUMBER(MATCH(LadiesList[[#This Row],[First &amp; Last Name]],Players[Player Name],0)),FALSE))</f>
        <v/>
      </c>
      <c r="E26" s="421" t="b">
        <f>IF(LadiesList[[#This Row],[FISTF Code]]="",FALSE,IFERROR(ISNUMBER(MATCH(LadiesList[[#This Row],[FISTF Code]],Players[FISTF Code],0)),FALSE))</f>
        <v>0</v>
      </c>
      <c r="F26" s="419" t="str">
        <f>IF(AND(LadiesList[[#This Row],[First &amp; Last Name]]="",LadiesList[[#This Row],[FISTF Code]]=""),"",IF(LadiesList[[#This Row],[Valide Code ?]],INDEX(Players[Player Name],MATCH(LadiesList[[#This Row],[FISTF Code]],Players[FISTF Code],0)),LadiesList[[#This Row],[First &amp; Last Name]]))</f>
        <v/>
      </c>
      <c r="G26" s="233" t="str">
        <f>IF(LadiesList[[#This Row],[Retained Player Name]]="","",VLOOKUP(LadiesList[[#This Row],[Retained Player Name]],Players[],7,FALSE))</f>
        <v/>
      </c>
      <c r="H26" s="233" t="str">
        <f>IF(LadiesList[[#This Row],[Retained Player Name]]="","",VLOOKUP(LadiesList[[#This Row],[Retained Player Name]],Players[],6,FALSE))</f>
        <v/>
      </c>
      <c r="I26" s="234" t="str">
        <f>IF(LadiesList[[#This Row],[Retained Player Name]]="","",VLOOKUP(LadiesList[[#This Row],[Retained Player Name]],Players[],4,FALSE))</f>
        <v/>
      </c>
      <c r="J26"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6" s="230"/>
      <c r="L26" s="230"/>
      <c r="M26" s="7"/>
    </row>
    <row r="27" spans="1:13" s="8" customFormat="1" ht="12.75" customHeight="1" x14ac:dyDescent="0.2">
      <c r="A27" s="16" t="str">
        <f>IF(AND(LadiesList[[#This Row],[First &amp; Last Name]]="",LadiesList[[#This Row],[FISTF Code]]=""),"",ROW()-ROW($A$11))</f>
        <v/>
      </c>
      <c r="B27" s="232"/>
      <c r="C27" s="436"/>
      <c r="D27" s="421" t="str">
        <f>IF(LadiesList[[#This Row],[First &amp; Last Name]]="","",IFERROR(ISNUMBER(MATCH(LadiesList[[#This Row],[First &amp; Last Name]],Players[Player Name],0)),FALSE))</f>
        <v/>
      </c>
      <c r="E27" s="421" t="b">
        <f>IF(LadiesList[[#This Row],[FISTF Code]]="",FALSE,IFERROR(ISNUMBER(MATCH(LadiesList[[#This Row],[FISTF Code]],Players[FISTF Code],0)),FALSE))</f>
        <v>0</v>
      </c>
      <c r="F27" s="419" t="str">
        <f>IF(AND(LadiesList[[#This Row],[First &amp; Last Name]]="",LadiesList[[#This Row],[FISTF Code]]=""),"",IF(LadiesList[[#This Row],[Valide Code ?]],INDEX(Players[Player Name],MATCH(LadiesList[[#This Row],[FISTF Code]],Players[FISTF Code],0)),LadiesList[[#This Row],[First &amp; Last Name]]))</f>
        <v/>
      </c>
      <c r="G27" s="233" t="str">
        <f>IF(LadiesList[[#This Row],[Retained Player Name]]="","",VLOOKUP(LadiesList[[#This Row],[Retained Player Name]],Players[],7,FALSE))</f>
        <v/>
      </c>
      <c r="H27" s="233" t="str">
        <f>IF(LadiesList[[#This Row],[Retained Player Name]]="","",VLOOKUP(LadiesList[[#This Row],[Retained Player Name]],Players[],6,FALSE))</f>
        <v/>
      </c>
      <c r="I27" s="234" t="str">
        <f>IF(LadiesList[[#This Row],[Retained Player Name]]="","",VLOOKUP(LadiesList[[#This Row],[Retained Player Name]],Players[],4,FALSE))</f>
        <v/>
      </c>
      <c r="J27"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7" s="230"/>
      <c r="L27" s="230"/>
      <c r="M27" s="7"/>
    </row>
    <row r="28" spans="1:13" s="8" customFormat="1" ht="12.75" customHeight="1" x14ac:dyDescent="0.2">
      <c r="A28" s="16" t="str">
        <f>IF(AND(LadiesList[[#This Row],[First &amp; Last Name]]="",LadiesList[[#This Row],[FISTF Code]]=""),"",ROW()-ROW($A$11))</f>
        <v/>
      </c>
      <c r="B28" s="232"/>
      <c r="C28" s="436"/>
      <c r="D28" s="421" t="str">
        <f>IF(LadiesList[[#This Row],[First &amp; Last Name]]="","",IFERROR(ISNUMBER(MATCH(LadiesList[[#This Row],[First &amp; Last Name]],Players[Player Name],0)),FALSE))</f>
        <v/>
      </c>
      <c r="E28" s="421" t="b">
        <f>IF(LadiesList[[#This Row],[FISTF Code]]="",FALSE,IFERROR(ISNUMBER(MATCH(LadiesList[[#This Row],[FISTF Code]],Players[FISTF Code],0)),FALSE))</f>
        <v>0</v>
      </c>
      <c r="F28" s="419" t="str">
        <f>IF(AND(LadiesList[[#This Row],[First &amp; Last Name]]="",LadiesList[[#This Row],[FISTF Code]]=""),"",IF(LadiesList[[#This Row],[Valide Code ?]],INDEX(Players[Player Name],MATCH(LadiesList[[#This Row],[FISTF Code]],Players[FISTF Code],0)),LadiesList[[#This Row],[First &amp; Last Name]]))</f>
        <v/>
      </c>
      <c r="G28" s="233" t="str">
        <f>IF(LadiesList[[#This Row],[Retained Player Name]]="","",VLOOKUP(LadiesList[[#This Row],[Retained Player Name]],Players[],7,FALSE))</f>
        <v/>
      </c>
      <c r="H28" s="233" t="str">
        <f>IF(LadiesList[[#This Row],[Retained Player Name]]="","",VLOOKUP(LadiesList[[#This Row],[Retained Player Name]],Players[],6,FALSE))</f>
        <v/>
      </c>
      <c r="I28" s="234" t="str">
        <f>IF(LadiesList[[#This Row],[Retained Player Name]]="","",VLOOKUP(LadiesList[[#This Row],[Retained Player Name]],Players[],4,FALSE))</f>
        <v/>
      </c>
      <c r="J28"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8" s="230"/>
      <c r="L28" s="230"/>
      <c r="M28" s="7"/>
    </row>
    <row r="29" spans="1:13" s="8" customFormat="1" ht="12.75" customHeight="1" x14ac:dyDescent="0.2">
      <c r="A29" s="16" t="str">
        <f>IF(AND(LadiesList[[#This Row],[First &amp; Last Name]]="",LadiesList[[#This Row],[FISTF Code]]=""),"",ROW()-ROW($A$11))</f>
        <v/>
      </c>
      <c r="B29" s="232"/>
      <c r="C29" s="436"/>
      <c r="D29" s="421" t="str">
        <f>IF(LadiesList[[#This Row],[First &amp; Last Name]]="","",IFERROR(ISNUMBER(MATCH(LadiesList[[#This Row],[First &amp; Last Name]],Players[Player Name],0)),FALSE))</f>
        <v/>
      </c>
      <c r="E29" s="421" t="b">
        <f>IF(LadiesList[[#This Row],[FISTF Code]]="",FALSE,IFERROR(ISNUMBER(MATCH(LadiesList[[#This Row],[FISTF Code]],Players[FISTF Code],0)),FALSE))</f>
        <v>0</v>
      </c>
      <c r="F29" s="419" t="str">
        <f>IF(AND(LadiesList[[#This Row],[First &amp; Last Name]]="",LadiesList[[#This Row],[FISTF Code]]=""),"",IF(LadiesList[[#This Row],[Valide Code ?]],INDEX(Players[Player Name],MATCH(LadiesList[[#This Row],[FISTF Code]],Players[FISTF Code],0)),LadiesList[[#This Row],[First &amp; Last Name]]))</f>
        <v/>
      </c>
      <c r="G29" s="233" t="str">
        <f>IF(LadiesList[[#This Row],[Retained Player Name]]="","",VLOOKUP(LadiesList[[#This Row],[Retained Player Name]],Players[],7,FALSE))</f>
        <v/>
      </c>
      <c r="H29" s="233" t="str">
        <f>IF(LadiesList[[#This Row],[Retained Player Name]]="","",VLOOKUP(LadiesList[[#This Row],[Retained Player Name]],Players[],6,FALSE))</f>
        <v/>
      </c>
      <c r="I29" s="234" t="str">
        <f>IF(LadiesList[[#This Row],[Retained Player Name]]="","",VLOOKUP(LadiesList[[#This Row],[Retained Player Name]],Players[],4,FALSE))</f>
        <v/>
      </c>
      <c r="J29"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29" s="230"/>
      <c r="L29" s="230"/>
      <c r="M29" s="7"/>
    </row>
    <row r="30" spans="1:13" s="8" customFormat="1" ht="12.75" customHeight="1" x14ac:dyDescent="0.2">
      <c r="A30" s="16" t="str">
        <f>IF(AND(LadiesList[[#This Row],[First &amp; Last Name]]="",LadiesList[[#This Row],[FISTF Code]]=""),"",ROW()-ROW($A$11))</f>
        <v/>
      </c>
      <c r="B30" s="232"/>
      <c r="C30" s="436"/>
      <c r="D30" s="421" t="str">
        <f>IF(LadiesList[[#This Row],[First &amp; Last Name]]="","",IFERROR(ISNUMBER(MATCH(LadiesList[[#This Row],[First &amp; Last Name]],Players[Player Name],0)),FALSE))</f>
        <v/>
      </c>
      <c r="E30" s="421" t="b">
        <f>IF(LadiesList[[#This Row],[FISTF Code]]="",FALSE,IFERROR(ISNUMBER(MATCH(LadiesList[[#This Row],[FISTF Code]],Players[FISTF Code],0)),FALSE))</f>
        <v>0</v>
      </c>
      <c r="F30" s="419" t="str">
        <f>IF(AND(LadiesList[[#This Row],[First &amp; Last Name]]="",LadiesList[[#This Row],[FISTF Code]]=""),"",IF(LadiesList[[#This Row],[Valide Code ?]],INDEX(Players[Player Name],MATCH(LadiesList[[#This Row],[FISTF Code]],Players[FISTF Code],0)),LadiesList[[#This Row],[First &amp; Last Name]]))</f>
        <v/>
      </c>
      <c r="G30" s="233" t="str">
        <f>IF(LadiesList[[#This Row],[Retained Player Name]]="","",VLOOKUP(LadiesList[[#This Row],[Retained Player Name]],Players[],7,FALSE))</f>
        <v/>
      </c>
      <c r="H30" s="233" t="str">
        <f>IF(LadiesList[[#This Row],[Retained Player Name]]="","",VLOOKUP(LadiesList[[#This Row],[Retained Player Name]],Players[],6,FALSE))</f>
        <v/>
      </c>
      <c r="I30" s="234" t="str">
        <f>IF(LadiesList[[#This Row],[Retained Player Name]]="","",VLOOKUP(LadiesList[[#This Row],[Retained Player Name]],Players[],4,FALSE))</f>
        <v/>
      </c>
      <c r="J30"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0" s="230"/>
      <c r="L30" s="230"/>
      <c r="M30" s="7"/>
    </row>
    <row r="31" spans="1:13" s="8" customFormat="1" ht="12.75" customHeight="1" x14ac:dyDescent="0.2">
      <c r="A31" s="16" t="str">
        <f>IF(AND(LadiesList[[#This Row],[First &amp; Last Name]]="",LadiesList[[#This Row],[FISTF Code]]=""),"",ROW()-ROW($A$11))</f>
        <v/>
      </c>
      <c r="B31" s="232"/>
      <c r="C31" s="436"/>
      <c r="D31" s="421" t="str">
        <f>IF(LadiesList[[#This Row],[First &amp; Last Name]]="","",IFERROR(ISNUMBER(MATCH(LadiesList[[#This Row],[First &amp; Last Name]],Players[Player Name],0)),FALSE))</f>
        <v/>
      </c>
      <c r="E31" s="421" t="b">
        <f>IF(LadiesList[[#This Row],[FISTF Code]]="",FALSE,IFERROR(ISNUMBER(MATCH(LadiesList[[#This Row],[FISTF Code]],Players[FISTF Code],0)),FALSE))</f>
        <v>0</v>
      </c>
      <c r="F31" s="419" t="str">
        <f>IF(AND(LadiesList[[#This Row],[First &amp; Last Name]]="",LadiesList[[#This Row],[FISTF Code]]=""),"",IF(LadiesList[[#This Row],[Valide Code ?]],INDEX(Players[Player Name],MATCH(LadiesList[[#This Row],[FISTF Code]],Players[FISTF Code],0)),LadiesList[[#This Row],[First &amp; Last Name]]))</f>
        <v/>
      </c>
      <c r="G31" s="233" t="str">
        <f>IF(LadiesList[[#This Row],[Retained Player Name]]="","",VLOOKUP(LadiesList[[#This Row],[Retained Player Name]],Players[],7,FALSE))</f>
        <v/>
      </c>
      <c r="H31" s="233" t="str">
        <f>IF(LadiesList[[#This Row],[Retained Player Name]]="","",VLOOKUP(LadiesList[[#This Row],[Retained Player Name]],Players[],6,FALSE))</f>
        <v/>
      </c>
      <c r="I31" s="234" t="str">
        <f>IF(LadiesList[[#This Row],[Retained Player Name]]="","",VLOOKUP(LadiesList[[#This Row],[Retained Player Name]],Players[],4,FALSE))</f>
        <v/>
      </c>
      <c r="J31"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1" s="230"/>
      <c r="L31" s="230"/>
      <c r="M31" s="7"/>
    </row>
    <row r="32" spans="1:13" s="8" customFormat="1" ht="12.75" customHeight="1" x14ac:dyDescent="0.2">
      <c r="A32" s="16" t="str">
        <f>IF(AND(LadiesList[[#This Row],[First &amp; Last Name]]="",LadiesList[[#This Row],[FISTF Code]]=""),"",ROW()-ROW($A$11))</f>
        <v/>
      </c>
      <c r="B32" s="232"/>
      <c r="C32" s="436"/>
      <c r="D32" s="421" t="str">
        <f>IF(LadiesList[[#This Row],[First &amp; Last Name]]="","",IFERROR(ISNUMBER(MATCH(LadiesList[[#This Row],[First &amp; Last Name]],Players[Player Name],0)),FALSE))</f>
        <v/>
      </c>
      <c r="E32" s="421" t="b">
        <f>IF(LadiesList[[#This Row],[FISTF Code]]="",FALSE,IFERROR(ISNUMBER(MATCH(LadiesList[[#This Row],[FISTF Code]],Players[FISTF Code],0)),FALSE))</f>
        <v>0</v>
      </c>
      <c r="F32" s="419" t="str">
        <f>IF(AND(LadiesList[[#This Row],[First &amp; Last Name]]="",LadiesList[[#This Row],[FISTF Code]]=""),"",IF(LadiesList[[#This Row],[Valide Code ?]],INDEX(Players[Player Name],MATCH(LadiesList[[#This Row],[FISTF Code]],Players[FISTF Code],0)),LadiesList[[#This Row],[First &amp; Last Name]]))</f>
        <v/>
      </c>
      <c r="G32" s="233" t="str">
        <f>IF(LadiesList[[#This Row],[Retained Player Name]]="","",VLOOKUP(LadiesList[[#This Row],[Retained Player Name]],Players[],7,FALSE))</f>
        <v/>
      </c>
      <c r="H32" s="233" t="str">
        <f>IF(LadiesList[[#This Row],[Retained Player Name]]="","",VLOOKUP(LadiesList[[#This Row],[Retained Player Name]],Players[],6,FALSE))</f>
        <v/>
      </c>
      <c r="I32" s="234" t="str">
        <f>IF(LadiesList[[#This Row],[Retained Player Name]]="","",VLOOKUP(LadiesList[[#This Row],[Retained Player Name]],Players[],4,FALSE))</f>
        <v/>
      </c>
      <c r="J32" s="20"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2" s="231"/>
      <c r="L32" s="231"/>
      <c r="M32" s="7"/>
    </row>
    <row r="33" spans="1:13" s="8" customFormat="1" ht="12.75" customHeight="1" x14ac:dyDescent="0.2">
      <c r="A33" s="16" t="str">
        <f>IF(AND(LadiesList[[#This Row],[First &amp; Last Name]]="",LadiesList[[#This Row],[FISTF Code]]=""),"",ROW()-ROW($A$11))</f>
        <v/>
      </c>
      <c r="B33" s="232"/>
      <c r="C33" s="436"/>
      <c r="D33" s="421" t="str">
        <f>IF(LadiesList[[#This Row],[First &amp; Last Name]]="","",IFERROR(ISNUMBER(MATCH(LadiesList[[#This Row],[First &amp; Last Name]],Players[Player Name],0)),FALSE))</f>
        <v/>
      </c>
      <c r="E33" s="421" t="b">
        <f>IF(LadiesList[[#This Row],[FISTF Code]]="",FALSE,IFERROR(ISNUMBER(MATCH(LadiesList[[#This Row],[FISTF Code]],Players[FISTF Code],0)),FALSE))</f>
        <v>0</v>
      </c>
      <c r="F33" s="419" t="str">
        <f>IF(AND(LadiesList[[#This Row],[First &amp; Last Name]]="",LadiesList[[#This Row],[FISTF Code]]=""),"",IF(LadiesList[[#This Row],[Valide Code ?]],INDEX(Players[Player Name],MATCH(LadiesList[[#This Row],[FISTF Code]],Players[FISTF Code],0)),LadiesList[[#This Row],[First &amp; Last Name]]))</f>
        <v/>
      </c>
      <c r="G33" s="233" t="str">
        <f>IF(LadiesList[[#This Row],[Retained Player Name]]="","",VLOOKUP(LadiesList[[#This Row],[Retained Player Name]],Players[],7,FALSE))</f>
        <v/>
      </c>
      <c r="H33" s="233" t="str">
        <f>IF(LadiesList[[#This Row],[Retained Player Name]]="","",VLOOKUP(LadiesList[[#This Row],[Retained Player Name]],Players[],6,FALSE))</f>
        <v/>
      </c>
      <c r="I33" s="234" t="str">
        <f>IF(LadiesList[[#This Row],[Retained Player Name]]="","",VLOOKUP(LadiesList[[#This Row],[Retained Player Name]],Players[],4,FALSE))</f>
        <v/>
      </c>
      <c r="J33"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3" s="230"/>
      <c r="L33" s="230"/>
      <c r="M33" s="7"/>
    </row>
    <row r="34" spans="1:13" s="8" customFormat="1" ht="12.75" customHeight="1" x14ac:dyDescent="0.2">
      <c r="A34" s="16" t="str">
        <f>IF(AND(LadiesList[[#This Row],[First &amp; Last Name]]="",LadiesList[[#This Row],[FISTF Code]]=""),"",ROW()-ROW($A$11))</f>
        <v/>
      </c>
      <c r="B34" s="232"/>
      <c r="C34" s="436"/>
      <c r="D34" s="421" t="str">
        <f>IF(LadiesList[[#This Row],[First &amp; Last Name]]="","",IFERROR(ISNUMBER(MATCH(LadiesList[[#This Row],[First &amp; Last Name]],Players[Player Name],0)),FALSE))</f>
        <v/>
      </c>
      <c r="E34" s="421" t="b">
        <f>IF(LadiesList[[#This Row],[FISTF Code]]="",FALSE,IFERROR(ISNUMBER(MATCH(LadiesList[[#This Row],[FISTF Code]],Players[FISTF Code],0)),FALSE))</f>
        <v>0</v>
      </c>
      <c r="F34" s="419" t="str">
        <f>IF(AND(LadiesList[[#This Row],[First &amp; Last Name]]="",LadiesList[[#This Row],[FISTF Code]]=""),"",IF(LadiesList[[#This Row],[Valide Code ?]],INDEX(Players[Player Name],MATCH(LadiesList[[#This Row],[FISTF Code]],Players[FISTF Code],0)),LadiesList[[#This Row],[First &amp; Last Name]]))</f>
        <v/>
      </c>
      <c r="G34" s="233" t="str">
        <f>IF(LadiesList[[#This Row],[Retained Player Name]]="","",VLOOKUP(LadiesList[[#This Row],[Retained Player Name]],Players[],7,FALSE))</f>
        <v/>
      </c>
      <c r="H34" s="233" t="str">
        <f>IF(LadiesList[[#This Row],[Retained Player Name]]="","",VLOOKUP(LadiesList[[#This Row],[Retained Player Name]],Players[],6,FALSE))</f>
        <v/>
      </c>
      <c r="I34" s="234" t="str">
        <f>IF(LadiesList[[#This Row],[Retained Player Name]]="","",VLOOKUP(LadiesList[[#This Row],[Retained Player Name]],Players[],4,FALSE))</f>
        <v/>
      </c>
      <c r="J3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4" s="231"/>
      <c r="L34" s="231"/>
      <c r="M34" s="7"/>
    </row>
    <row r="35" spans="1:13" s="8" customFormat="1" ht="12.75" customHeight="1" x14ac:dyDescent="0.2">
      <c r="A35" s="16" t="str">
        <f>IF(AND(LadiesList[[#This Row],[First &amp; Last Name]]="",LadiesList[[#This Row],[FISTF Code]]=""),"",ROW()-ROW($A$11))</f>
        <v/>
      </c>
      <c r="B35" s="232"/>
      <c r="C35" s="436"/>
      <c r="D35" s="421" t="str">
        <f>IF(LadiesList[[#This Row],[First &amp; Last Name]]="","",IFERROR(ISNUMBER(MATCH(LadiesList[[#This Row],[First &amp; Last Name]],Players[Player Name],0)),FALSE))</f>
        <v/>
      </c>
      <c r="E35" s="421" t="b">
        <f>IF(LadiesList[[#This Row],[FISTF Code]]="",FALSE,IFERROR(ISNUMBER(MATCH(LadiesList[[#This Row],[FISTF Code]],Players[FISTF Code],0)),FALSE))</f>
        <v>0</v>
      </c>
      <c r="F35" s="419" t="str">
        <f>IF(AND(LadiesList[[#This Row],[First &amp; Last Name]]="",LadiesList[[#This Row],[FISTF Code]]=""),"",IF(LadiesList[[#This Row],[Valide Code ?]],INDEX(Players[Player Name],MATCH(LadiesList[[#This Row],[FISTF Code]],Players[FISTF Code],0)),LadiesList[[#This Row],[First &amp; Last Name]]))</f>
        <v/>
      </c>
      <c r="G35" s="233" t="str">
        <f>IF(LadiesList[[#This Row],[Retained Player Name]]="","",VLOOKUP(LadiesList[[#This Row],[Retained Player Name]],Players[],7,FALSE))</f>
        <v/>
      </c>
      <c r="H35" s="233" t="str">
        <f>IF(LadiesList[[#This Row],[Retained Player Name]]="","",VLOOKUP(LadiesList[[#This Row],[Retained Player Name]],Players[],6,FALSE))</f>
        <v/>
      </c>
      <c r="I35" s="234" t="str">
        <f>IF(LadiesList[[#This Row],[Retained Player Name]]="","",VLOOKUP(LadiesList[[#This Row],[Retained Player Name]],Players[],4,FALSE))</f>
        <v/>
      </c>
      <c r="J35" s="21"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5" s="230"/>
      <c r="L35" s="230"/>
      <c r="M35" s="7"/>
    </row>
    <row r="36" spans="1:13" s="8" customFormat="1" ht="12.75" customHeight="1" x14ac:dyDescent="0.2">
      <c r="A36" s="16" t="str">
        <f>IF(AND(LadiesList[[#This Row],[First &amp; Last Name]]="",LadiesList[[#This Row],[FISTF Code]]=""),"",ROW()-ROW($A$11))</f>
        <v/>
      </c>
      <c r="B36" s="232"/>
      <c r="C36" s="436"/>
      <c r="D36" s="421" t="str">
        <f>IF(LadiesList[[#This Row],[First &amp; Last Name]]="","",IFERROR(ISNUMBER(MATCH(LadiesList[[#This Row],[First &amp; Last Name]],Players[Player Name],0)),FALSE))</f>
        <v/>
      </c>
      <c r="E36" s="421" t="b">
        <f>IF(LadiesList[[#This Row],[FISTF Code]]="",FALSE,IFERROR(ISNUMBER(MATCH(LadiesList[[#This Row],[FISTF Code]],Players[FISTF Code],0)),FALSE))</f>
        <v>0</v>
      </c>
      <c r="F36" s="419" t="str">
        <f>IF(AND(LadiesList[[#This Row],[First &amp; Last Name]]="",LadiesList[[#This Row],[FISTF Code]]=""),"",IF(LadiesList[[#This Row],[Valide Code ?]],INDEX(Players[Player Name],MATCH(LadiesList[[#This Row],[FISTF Code]],Players[FISTF Code],0)),LadiesList[[#This Row],[First &amp; Last Name]]))</f>
        <v/>
      </c>
      <c r="G36" s="233" t="str">
        <f>IF(LadiesList[[#This Row],[Retained Player Name]]="","",VLOOKUP(LadiesList[[#This Row],[Retained Player Name]],Players[],7,FALSE))</f>
        <v/>
      </c>
      <c r="H36" s="233" t="str">
        <f>IF(LadiesList[[#This Row],[Retained Player Name]]="","",VLOOKUP(LadiesList[[#This Row],[Retained Player Name]],Players[],6,FALSE))</f>
        <v/>
      </c>
      <c r="I36" s="234" t="str">
        <f>IF(LadiesList[[#This Row],[Retained Player Name]]="","",VLOOKUP(LadiesList[[#This Row],[Retained Player Name]],Players[],4,FALSE))</f>
        <v/>
      </c>
      <c r="J3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6" s="231"/>
      <c r="L36" s="231"/>
      <c r="M36" s="7"/>
    </row>
    <row r="37" spans="1:13" s="8" customFormat="1" ht="12.75" customHeight="1" x14ac:dyDescent="0.2">
      <c r="A37" s="16" t="str">
        <f>IF(AND(LadiesList[[#This Row],[First &amp; Last Name]]="",LadiesList[[#This Row],[FISTF Code]]=""),"",ROW()-ROW($A$11))</f>
        <v/>
      </c>
      <c r="B37" s="232"/>
      <c r="C37" s="436"/>
      <c r="D37" s="421" t="str">
        <f>IF(LadiesList[[#This Row],[First &amp; Last Name]]="","",IFERROR(ISNUMBER(MATCH(LadiesList[[#This Row],[First &amp; Last Name]],Players[Player Name],0)),FALSE))</f>
        <v/>
      </c>
      <c r="E37" s="421" t="b">
        <f>IF(LadiesList[[#This Row],[FISTF Code]]="",FALSE,IFERROR(ISNUMBER(MATCH(LadiesList[[#This Row],[FISTF Code]],Players[FISTF Code],0)),FALSE))</f>
        <v>0</v>
      </c>
      <c r="F37" s="419" t="str">
        <f>IF(AND(LadiesList[[#This Row],[First &amp; Last Name]]="",LadiesList[[#This Row],[FISTF Code]]=""),"",IF(LadiesList[[#This Row],[Valide Code ?]],INDEX(Players[Player Name],MATCH(LadiesList[[#This Row],[FISTF Code]],Players[FISTF Code],0)),LadiesList[[#This Row],[First &amp; Last Name]]))</f>
        <v/>
      </c>
      <c r="G37" s="233" t="str">
        <f>IF(LadiesList[[#This Row],[Retained Player Name]]="","",VLOOKUP(LadiesList[[#This Row],[Retained Player Name]],Players[],7,FALSE))</f>
        <v/>
      </c>
      <c r="H37" s="233" t="str">
        <f>IF(LadiesList[[#This Row],[Retained Player Name]]="","",VLOOKUP(LadiesList[[#This Row],[Retained Player Name]],Players[],6,FALSE))</f>
        <v/>
      </c>
      <c r="I37" s="234" t="str">
        <f>IF(LadiesList[[#This Row],[Retained Player Name]]="","",VLOOKUP(LadiesList[[#This Row],[Retained Player Name]],Players[],4,FALSE))</f>
        <v/>
      </c>
      <c r="J3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7" s="231"/>
      <c r="L37" s="231"/>
      <c r="M37" s="7"/>
    </row>
    <row r="38" spans="1:13" s="8" customFormat="1" ht="12.75" customHeight="1" x14ac:dyDescent="0.2">
      <c r="A38" s="16" t="str">
        <f>IF(AND(LadiesList[[#This Row],[First &amp; Last Name]]="",LadiesList[[#This Row],[FISTF Code]]=""),"",ROW()-ROW($A$11))</f>
        <v/>
      </c>
      <c r="B38" s="232"/>
      <c r="C38" s="436"/>
      <c r="D38" s="421" t="str">
        <f>IF(LadiesList[[#This Row],[First &amp; Last Name]]="","",IFERROR(ISNUMBER(MATCH(LadiesList[[#This Row],[First &amp; Last Name]],Players[Player Name],0)),FALSE))</f>
        <v/>
      </c>
      <c r="E38" s="421" t="b">
        <f>IF(LadiesList[[#This Row],[FISTF Code]]="",FALSE,IFERROR(ISNUMBER(MATCH(LadiesList[[#This Row],[FISTF Code]],Players[FISTF Code],0)),FALSE))</f>
        <v>0</v>
      </c>
      <c r="F38" s="419" t="str">
        <f>IF(AND(LadiesList[[#This Row],[First &amp; Last Name]]="",LadiesList[[#This Row],[FISTF Code]]=""),"",IF(LadiesList[[#This Row],[Valide Code ?]],INDEX(Players[Player Name],MATCH(LadiesList[[#This Row],[FISTF Code]],Players[FISTF Code],0)),LadiesList[[#This Row],[First &amp; Last Name]]))</f>
        <v/>
      </c>
      <c r="G38" s="233" t="str">
        <f>IF(LadiesList[[#This Row],[Retained Player Name]]="","",VLOOKUP(LadiesList[[#This Row],[Retained Player Name]],Players[],7,FALSE))</f>
        <v/>
      </c>
      <c r="H38" s="233" t="str">
        <f>IF(LadiesList[[#This Row],[Retained Player Name]]="","",VLOOKUP(LadiesList[[#This Row],[Retained Player Name]],Players[],6,FALSE))</f>
        <v/>
      </c>
      <c r="I38" s="234" t="str">
        <f>IF(LadiesList[[#This Row],[Retained Player Name]]="","",VLOOKUP(LadiesList[[#This Row],[Retained Player Name]],Players[],4,FALSE))</f>
        <v/>
      </c>
      <c r="J3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8" s="231"/>
      <c r="L38" s="231"/>
      <c r="M38" s="7"/>
    </row>
    <row r="39" spans="1:13" s="8" customFormat="1" ht="12.75" customHeight="1" x14ac:dyDescent="0.2">
      <c r="A39" s="16" t="str">
        <f>IF(AND(LadiesList[[#This Row],[First &amp; Last Name]]="",LadiesList[[#This Row],[FISTF Code]]=""),"",ROW()-ROW($A$11))</f>
        <v/>
      </c>
      <c r="B39" s="232"/>
      <c r="C39" s="436"/>
      <c r="D39" s="421" t="str">
        <f>IF(LadiesList[[#This Row],[First &amp; Last Name]]="","",IFERROR(ISNUMBER(MATCH(LadiesList[[#This Row],[First &amp; Last Name]],Players[Player Name],0)),FALSE))</f>
        <v/>
      </c>
      <c r="E39" s="421" t="b">
        <f>IF(LadiesList[[#This Row],[FISTF Code]]="",FALSE,IFERROR(ISNUMBER(MATCH(LadiesList[[#This Row],[FISTF Code]],Players[FISTF Code],0)),FALSE))</f>
        <v>0</v>
      </c>
      <c r="F39" s="419" t="str">
        <f>IF(AND(LadiesList[[#This Row],[First &amp; Last Name]]="",LadiesList[[#This Row],[FISTF Code]]=""),"",IF(LadiesList[[#This Row],[Valide Code ?]],INDEX(Players[Player Name],MATCH(LadiesList[[#This Row],[FISTF Code]],Players[FISTF Code],0)),LadiesList[[#This Row],[First &amp; Last Name]]))</f>
        <v/>
      </c>
      <c r="G39" s="233" t="str">
        <f>IF(LadiesList[[#This Row],[Retained Player Name]]="","",VLOOKUP(LadiesList[[#This Row],[Retained Player Name]],Players[],7,FALSE))</f>
        <v/>
      </c>
      <c r="H39" s="233" t="str">
        <f>IF(LadiesList[[#This Row],[Retained Player Name]]="","",VLOOKUP(LadiesList[[#This Row],[Retained Player Name]],Players[],6,FALSE))</f>
        <v/>
      </c>
      <c r="I39" s="234" t="str">
        <f>IF(LadiesList[[#This Row],[Retained Player Name]]="","",VLOOKUP(LadiesList[[#This Row],[Retained Player Name]],Players[],4,FALSE))</f>
        <v/>
      </c>
      <c r="J3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39" s="231"/>
      <c r="L39" s="231"/>
      <c r="M39" s="7"/>
    </row>
    <row r="40" spans="1:13" s="8" customFormat="1" ht="12.75" customHeight="1" x14ac:dyDescent="0.2">
      <c r="A40" s="16" t="str">
        <f>IF(AND(LadiesList[[#This Row],[First &amp; Last Name]]="",LadiesList[[#This Row],[FISTF Code]]=""),"",ROW()-ROW($A$11))</f>
        <v/>
      </c>
      <c r="B40" s="232"/>
      <c r="C40" s="436"/>
      <c r="D40" s="421" t="str">
        <f>IF(LadiesList[[#This Row],[First &amp; Last Name]]="","",IFERROR(ISNUMBER(MATCH(LadiesList[[#This Row],[First &amp; Last Name]],Players[Player Name],0)),FALSE))</f>
        <v/>
      </c>
      <c r="E40" s="421" t="b">
        <f>IF(LadiesList[[#This Row],[FISTF Code]]="",FALSE,IFERROR(ISNUMBER(MATCH(LadiesList[[#This Row],[FISTF Code]],Players[FISTF Code],0)),FALSE))</f>
        <v>0</v>
      </c>
      <c r="F40" s="419" t="str">
        <f>IF(AND(LadiesList[[#This Row],[First &amp; Last Name]]="",LadiesList[[#This Row],[FISTF Code]]=""),"",IF(LadiesList[[#This Row],[Valide Code ?]],INDEX(Players[Player Name],MATCH(LadiesList[[#This Row],[FISTF Code]],Players[FISTF Code],0)),LadiesList[[#This Row],[First &amp; Last Name]]))</f>
        <v/>
      </c>
      <c r="G40" s="233" t="str">
        <f>IF(LadiesList[[#This Row],[Retained Player Name]]="","",VLOOKUP(LadiesList[[#This Row],[Retained Player Name]],Players[],7,FALSE))</f>
        <v/>
      </c>
      <c r="H40" s="235" t="str">
        <f>IF(LadiesList[[#This Row],[Retained Player Name]]="","",VLOOKUP(LadiesList[[#This Row],[Retained Player Name]],Players[],6,FALSE))</f>
        <v/>
      </c>
      <c r="I40" s="235" t="str">
        <f>IF(LadiesList[[#This Row],[Retained Player Name]]="","",VLOOKUP(LadiesList[[#This Row],[Retained Player Name]],Players[],4,FALSE))</f>
        <v/>
      </c>
      <c r="J4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0" s="231"/>
      <c r="L40" s="231"/>
      <c r="M40" s="7"/>
    </row>
    <row r="41" spans="1:13" s="8" customFormat="1" ht="12.75" customHeight="1" x14ac:dyDescent="0.2">
      <c r="A41" s="16" t="str">
        <f>IF(AND(LadiesList[[#This Row],[First &amp; Last Name]]="",LadiesList[[#This Row],[FISTF Code]]=""),"",ROW()-ROW($A$11))</f>
        <v/>
      </c>
      <c r="B41" s="232"/>
      <c r="C41" s="436"/>
      <c r="D41" s="421" t="str">
        <f>IF(LadiesList[[#This Row],[First &amp; Last Name]]="","",IFERROR(ISNUMBER(MATCH(LadiesList[[#This Row],[First &amp; Last Name]],Players[Player Name],0)),FALSE))</f>
        <v/>
      </c>
      <c r="E41" s="421" t="b">
        <f>IF(LadiesList[[#This Row],[FISTF Code]]="",FALSE,IFERROR(ISNUMBER(MATCH(LadiesList[[#This Row],[FISTF Code]],Players[FISTF Code],0)),FALSE))</f>
        <v>0</v>
      </c>
      <c r="F41" s="419" t="str">
        <f>IF(AND(LadiesList[[#This Row],[First &amp; Last Name]]="",LadiesList[[#This Row],[FISTF Code]]=""),"",IF(LadiesList[[#This Row],[Valide Code ?]],INDEX(Players[Player Name],MATCH(LadiesList[[#This Row],[FISTF Code]],Players[FISTF Code],0)),LadiesList[[#This Row],[First &amp; Last Name]]))</f>
        <v/>
      </c>
      <c r="G41" s="233" t="str">
        <f>IF(LadiesList[[#This Row],[Retained Player Name]]="","",VLOOKUP(LadiesList[[#This Row],[Retained Player Name]],Players[],7,FALSE))</f>
        <v/>
      </c>
      <c r="H41" s="235" t="str">
        <f>IF(LadiesList[[#This Row],[Retained Player Name]]="","",VLOOKUP(LadiesList[[#This Row],[Retained Player Name]],Players[],6,FALSE))</f>
        <v/>
      </c>
      <c r="I41" s="235" t="str">
        <f>IF(LadiesList[[#This Row],[Retained Player Name]]="","",VLOOKUP(LadiesList[[#This Row],[Retained Player Name]],Players[],4,FALSE))</f>
        <v/>
      </c>
      <c r="J4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1" s="231"/>
      <c r="L41" s="231"/>
      <c r="M41" s="7"/>
    </row>
    <row r="42" spans="1:13" s="8" customFormat="1" ht="12.75" customHeight="1" x14ac:dyDescent="0.2">
      <c r="A42" s="16" t="str">
        <f>IF(AND(LadiesList[[#This Row],[First &amp; Last Name]]="",LadiesList[[#This Row],[FISTF Code]]=""),"",ROW()-ROW($A$11))</f>
        <v/>
      </c>
      <c r="B42" s="232"/>
      <c r="C42" s="436"/>
      <c r="D42" s="421" t="str">
        <f>IF(LadiesList[[#This Row],[First &amp; Last Name]]="","",IFERROR(ISNUMBER(MATCH(LadiesList[[#This Row],[First &amp; Last Name]],Players[Player Name],0)),FALSE))</f>
        <v/>
      </c>
      <c r="E42" s="421" t="b">
        <f>IF(LadiesList[[#This Row],[FISTF Code]]="",FALSE,IFERROR(ISNUMBER(MATCH(LadiesList[[#This Row],[FISTF Code]],Players[FISTF Code],0)),FALSE))</f>
        <v>0</v>
      </c>
      <c r="F42" s="419" t="str">
        <f>IF(AND(LadiesList[[#This Row],[First &amp; Last Name]]="",LadiesList[[#This Row],[FISTF Code]]=""),"",IF(LadiesList[[#This Row],[Valide Code ?]],INDEX(Players[Player Name],MATCH(LadiesList[[#This Row],[FISTF Code]],Players[FISTF Code],0)),LadiesList[[#This Row],[First &amp; Last Name]]))</f>
        <v/>
      </c>
      <c r="G42" s="233" t="str">
        <f>IF(LadiesList[[#This Row],[Retained Player Name]]="","",VLOOKUP(LadiesList[[#This Row],[Retained Player Name]],Players[],7,FALSE))</f>
        <v/>
      </c>
      <c r="H42" s="235" t="str">
        <f>IF(LadiesList[[#This Row],[Retained Player Name]]="","",VLOOKUP(LadiesList[[#This Row],[Retained Player Name]],Players[],6,FALSE))</f>
        <v/>
      </c>
      <c r="I42" s="235" t="str">
        <f>IF(LadiesList[[#This Row],[Retained Player Name]]="","",VLOOKUP(LadiesList[[#This Row],[Retained Player Name]],Players[],4,FALSE))</f>
        <v/>
      </c>
      <c r="J4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2" s="231"/>
      <c r="L42" s="231"/>
      <c r="M42" s="7"/>
    </row>
    <row r="43" spans="1:13" s="8" customFormat="1" ht="12.75" customHeight="1" x14ac:dyDescent="0.2">
      <c r="A43" s="16" t="str">
        <f>IF(AND(LadiesList[[#This Row],[First &amp; Last Name]]="",LadiesList[[#This Row],[FISTF Code]]=""),"",ROW()-ROW($A$11))</f>
        <v/>
      </c>
      <c r="B43" s="232"/>
      <c r="C43" s="436"/>
      <c r="D43" s="421" t="str">
        <f>IF(LadiesList[[#This Row],[First &amp; Last Name]]="","",IFERROR(ISNUMBER(MATCH(LadiesList[[#This Row],[First &amp; Last Name]],Players[Player Name],0)),FALSE))</f>
        <v/>
      </c>
      <c r="E43" s="421" t="b">
        <f>IF(LadiesList[[#This Row],[FISTF Code]]="",FALSE,IFERROR(ISNUMBER(MATCH(LadiesList[[#This Row],[FISTF Code]],Players[FISTF Code],0)),FALSE))</f>
        <v>0</v>
      </c>
      <c r="F43" s="419" t="str">
        <f>IF(AND(LadiesList[[#This Row],[First &amp; Last Name]]="",LadiesList[[#This Row],[FISTF Code]]=""),"",IF(LadiesList[[#This Row],[Valide Code ?]],INDEX(Players[Player Name],MATCH(LadiesList[[#This Row],[FISTF Code]],Players[FISTF Code],0)),LadiesList[[#This Row],[First &amp; Last Name]]))</f>
        <v/>
      </c>
      <c r="G43" s="233" t="str">
        <f>IF(LadiesList[[#This Row],[Retained Player Name]]="","",VLOOKUP(LadiesList[[#This Row],[Retained Player Name]],Players[],7,FALSE))</f>
        <v/>
      </c>
      <c r="H43" s="235" t="str">
        <f>IF(LadiesList[[#This Row],[Retained Player Name]]="","",VLOOKUP(LadiesList[[#This Row],[Retained Player Name]],Players[],6,FALSE))</f>
        <v/>
      </c>
      <c r="I43" s="235" t="str">
        <f>IF(LadiesList[[#This Row],[Retained Player Name]]="","",VLOOKUP(LadiesList[[#This Row],[Retained Player Name]],Players[],4,FALSE))</f>
        <v/>
      </c>
      <c r="J4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3" s="231"/>
      <c r="L43" s="231"/>
      <c r="M43" s="7"/>
    </row>
    <row r="44" spans="1:13" s="8" customFormat="1" ht="12.75" customHeight="1" x14ac:dyDescent="0.2">
      <c r="A44" s="16" t="str">
        <f>IF(AND(LadiesList[[#This Row],[First &amp; Last Name]]="",LadiesList[[#This Row],[FISTF Code]]=""),"",ROW()-ROW($A$11))</f>
        <v/>
      </c>
      <c r="B44" s="232"/>
      <c r="C44" s="436"/>
      <c r="D44" s="421" t="str">
        <f>IF(LadiesList[[#This Row],[First &amp; Last Name]]="","",IFERROR(ISNUMBER(MATCH(LadiesList[[#This Row],[First &amp; Last Name]],Players[Player Name],0)),FALSE))</f>
        <v/>
      </c>
      <c r="E44" s="421" t="b">
        <f>IF(LadiesList[[#This Row],[FISTF Code]]="",FALSE,IFERROR(ISNUMBER(MATCH(LadiesList[[#This Row],[FISTF Code]],Players[FISTF Code],0)),FALSE))</f>
        <v>0</v>
      </c>
      <c r="F44" s="419" t="str">
        <f>IF(AND(LadiesList[[#This Row],[First &amp; Last Name]]="",LadiesList[[#This Row],[FISTF Code]]=""),"",IF(LadiesList[[#This Row],[Valide Code ?]],INDEX(Players[Player Name],MATCH(LadiesList[[#This Row],[FISTF Code]],Players[FISTF Code],0)),LadiesList[[#This Row],[First &amp; Last Name]]))</f>
        <v/>
      </c>
      <c r="G44" s="233" t="str">
        <f>IF(LadiesList[[#This Row],[Retained Player Name]]="","",VLOOKUP(LadiesList[[#This Row],[Retained Player Name]],Players[],7,FALSE))</f>
        <v/>
      </c>
      <c r="H44" s="235" t="str">
        <f>IF(LadiesList[[#This Row],[Retained Player Name]]="","",VLOOKUP(LadiesList[[#This Row],[Retained Player Name]],Players[],6,FALSE))</f>
        <v/>
      </c>
      <c r="I44" s="235" t="str">
        <f>IF(LadiesList[[#This Row],[Retained Player Name]]="","",VLOOKUP(LadiesList[[#This Row],[Retained Player Name]],Players[],4,FALSE))</f>
        <v/>
      </c>
      <c r="J4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4" s="231"/>
      <c r="L44" s="231"/>
      <c r="M44" s="7"/>
    </row>
    <row r="45" spans="1:13" s="8" customFormat="1" ht="12.75" customHeight="1" x14ac:dyDescent="0.2">
      <c r="A45" s="16" t="str">
        <f>IF(AND(LadiesList[[#This Row],[First &amp; Last Name]]="",LadiesList[[#This Row],[FISTF Code]]=""),"",ROW()-ROW($A$11))</f>
        <v/>
      </c>
      <c r="B45" s="232"/>
      <c r="C45" s="436"/>
      <c r="D45" s="421" t="str">
        <f>IF(LadiesList[[#This Row],[First &amp; Last Name]]="","",IFERROR(ISNUMBER(MATCH(LadiesList[[#This Row],[First &amp; Last Name]],Players[Player Name],0)),FALSE))</f>
        <v/>
      </c>
      <c r="E45" s="421" t="b">
        <f>IF(LadiesList[[#This Row],[FISTF Code]]="",FALSE,IFERROR(ISNUMBER(MATCH(LadiesList[[#This Row],[FISTF Code]],Players[FISTF Code],0)),FALSE))</f>
        <v>0</v>
      </c>
      <c r="F45" s="419" t="str">
        <f>IF(AND(LadiesList[[#This Row],[First &amp; Last Name]]="",LadiesList[[#This Row],[FISTF Code]]=""),"",IF(LadiesList[[#This Row],[Valide Code ?]],INDEX(Players[Player Name],MATCH(LadiesList[[#This Row],[FISTF Code]],Players[FISTF Code],0)),LadiesList[[#This Row],[First &amp; Last Name]]))</f>
        <v/>
      </c>
      <c r="G45" s="233" t="str">
        <f>IF(LadiesList[[#This Row],[Retained Player Name]]="","",VLOOKUP(LadiesList[[#This Row],[Retained Player Name]],Players[],7,FALSE))</f>
        <v/>
      </c>
      <c r="H45" s="235" t="str">
        <f>IF(LadiesList[[#This Row],[Retained Player Name]]="","",VLOOKUP(LadiesList[[#This Row],[Retained Player Name]],Players[],6,FALSE))</f>
        <v/>
      </c>
      <c r="I45" s="235" t="str">
        <f>IF(LadiesList[[#This Row],[Retained Player Name]]="","",VLOOKUP(LadiesList[[#This Row],[Retained Player Name]],Players[],4,FALSE))</f>
        <v/>
      </c>
      <c r="J4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5" s="231"/>
      <c r="L45" s="231"/>
      <c r="M45" s="7"/>
    </row>
    <row r="46" spans="1:13" s="8" customFormat="1" ht="12.75" customHeight="1" x14ac:dyDescent="0.2">
      <c r="A46" s="16" t="str">
        <f>IF(AND(LadiesList[[#This Row],[First &amp; Last Name]]="",LadiesList[[#This Row],[FISTF Code]]=""),"",ROW()-ROW($A$11))</f>
        <v/>
      </c>
      <c r="B46" s="232"/>
      <c r="C46" s="436"/>
      <c r="D46" s="421" t="str">
        <f>IF(LadiesList[[#This Row],[First &amp; Last Name]]="","",IFERROR(ISNUMBER(MATCH(LadiesList[[#This Row],[First &amp; Last Name]],Players[Player Name],0)),FALSE))</f>
        <v/>
      </c>
      <c r="E46" s="421" t="b">
        <f>IF(LadiesList[[#This Row],[FISTF Code]]="",FALSE,IFERROR(ISNUMBER(MATCH(LadiesList[[#This Row],[FISTF Code]],Players[FISTF Code],0)),FALSE))</f>
        <v>0</v>
      </c>
      <c r="F46" s="419" t="str">
        <f>IF(AND(LadiesList[[#This Row],[First &amp; Last Name]]="",LadiesList[[#This Row],[FISTF Code]]=""),"",IF(LadiesList[[#This Row],[Valide Code ?]],INDEX(Players[Player Name],MATCH(LadiesList[[#This Row],[FISTF Code]],Players[FISTF Code],0)),LadiesList[[#This Row],[First &amp; Last Name]]))</f>
        <v/>
      </c>
      <c r="G46" s="233" t="str">
        <f>IF(LadiesList[[#This Row],[Retained Player Name]]="","",VLOOKUP(LadiesList[[#This Row],[Retained Player Name]],Players[],7,FALSE))</f>
        <v/>
      </c>
      <c r="H46" s="235" t="str">
        <f>IF(LadiesList[[#This Row],[Retained Player Name]]="","",VLOOKUP(LadiesList[[#This Row],[Retained Player Name]],Players[],6,FALSE))</f>
        <v/>
      </c>
      <c r="I46" s="235" t="str">
        <f>IF(LadiesList[[#This Row],[Retained Player Name]]="","",VLOOKUP(LadiesList[[#This Row],[Retained Player Name]],Players[],4,FALSE))</f>
        <v/>
      </c>
      <c r="J4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6" s="231"/>
      <c r="L46" s="231"/>
      <c r="M46" s="7"/>
    </row>
    <row r="47" spans="1:13" s="8" customFormat="1" ht="12.75" customHeight="1" x14ac:dyDescent="0.2">
      <c r="A47" s="16" t="str">
        <f>IF(AND(LadiesList[[#This Row],[First &amp; Last Name]]="",LadiesList[[#This Row],[FISTF Code]]=""),"",ROW()-ROW($A$11))</f>
        <v/>
      </c>
      <c r="B47" s="232"/>
      <c r="C47" s="436"/>
      <c r="D47" s="421" t="str">
        <f>IF(LadiesList[[#This Row],[First &amp; Last Name]]="","",IFERROR(ISNUMBER(MATCH(LadiesList[[#This Row],[First &amp; Last Name]],Players[Player Name],0)),FALSE))</f>
        <v/>
      </c>
      <c r="E47" s="421" t="b">
        <f>IF(LadiesList[[#This Row],[FISTF Code]]="",FALSE,IFERROR(ISNUMBER(MATCH(LadiesList[[#This Row],[FISTF Code]],Players[FISTF Code],0)),FALSE))</f>
        <v>0</v>
      </c>
      <c r="F47" s="419" t="str">
        <f>IF(AND(LadiesList[[#This Row],[First &amp; Last Name]]="",LadiesList[[#This Row],[FISTF Code]]=""),"",IF(LadiesList[[#This Row],[Valide Code ?]],INDEX(Players[Player Name],MATCH(LadiesList[[#This Row],[FISTF Code]],Players[FISTF Code],0)),LadiesList[[#This Row],[First &amp; Last Name]]))</f>
        <v/>
      </c>
      <c r="G47" s="233" t="str">
        <f>IF(LadiesList[[#This Row],[Retained Player Name]]="","",VLOOKUP(LadiesList[[#This Row],[Retained Player Name]],Players[],7,FALSE))</f>
        <v/>
      </c>
      <c r="H47" s="235" t="str">
        <f>IF(LadiesList[[#This Row],[Retained Player Name]]="","",VLOOKUP(LadiesList[[#This Row],[Retained Player Name]],Players[],6,FALSE))</f>
        <v/>
      </c>
      <c r="I47" s="235" t="str">
        <f>IF(LadiesList[[#This Row],[Retained Player Name]]="","",VLOOKUP(LadiesList[[#This Row],[Retained Player Name]],Players[],4,FALSE))</f>
        <v/>
      </c>
      <c r="J4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7" s="231"/>
      <c r="L47" s="231"/>
      <c r="M47" s="7"/>
    </row>
    <row r="48" spans="1:13" s="8" customFormat="1" ht="12.75" customHeight="1" x14ac:dyDescent="0.2">
      <c r="A48" s="16" t="str">
        <f>IF(AND(LadiesList[[#This Row],[First &amp; Last Name]]="",LadiesList[[#This Row],[FISTF Code]]=""),"",ROW()-ROW($A$11))</f>
        <v/>
      </c>
      <c r="B48" s="232"/>
      <c r="C48" s="436"/>
      <c r="D48" s="421" t="str">
        <f>IF(LadiesList[[#This Row],[First &amp; Last Name]]="","",IFERROR(ISNUMBER(MATCH(LadiesList[[#This Row],[First &amp; Last Name]],Players[Player Name],0)),FALSE))</f>
        <v/>
      </c>
      <c r="E48" s="421" t="b">
        <f>IF(LadiesList[[#This Row],[FISTF Code]]="",FALSE,IFERROR(ISNUMBER(MATCH(LadiesList[[#This Row],[FISTF Code]],Players[FISTF Code],0)),FALSE))</f>
        <v>0</v>
      </c>
      <c r="F48" s="419" t="str">
        <f>IF(AND(LadiesList[[#This Row],[First &amp; Last Name]]="",LadiesList[[#This Row],[FISTF Code]]=""),"",IF(LadiesList[[#This Row],[Valide Code ?]],INDEX(Players[Player Name],MATCH(LadiesList[[#This Row],[FISTF Code]],Players[FISTF Code],0)),LadiesList[[#This Row],[First &amp; Last Name]]))</f>
        <v/>
      </c>
      <c r="G48" s="233" t="str">
        <f>IF(LadiesList[[#This Row],[Retained Player Name]]="","",VLOOKUP(LadiesList[[#This Row],[Retained Player Name]],Players[],7,FALSE))</f>
        <v/>
      </c>
      <c r="H48" s="235" t="str">
        <f>IF(LadiesList[[#This Row],[Retained Player Name]]="","",VLOOKUP(LadiesList[[#This Row],[Retained Player Name]],Players[],6,FALSE))</f>
        <v/>
      </c>
      <c r="I48" s="235" t="str">
        <f>IF(LadiesList[[#This Row],[Retained Player Name]]="","",VLOOKUP(LadiesList[[#This Row],[Retained Player Name]],Players[],4,FALSE))</f>
        <v/>
      </c>
      <c r="J4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8" s="231"/>
      <c r="L48" s="231"/>
      <c r="M48" s="7"/>
    </row>
    <row r="49" spans="1:13" s="8" customFormat="1" ht="12.75" customHeight="1" x14ac:dyDescent="0.2">
      <c r="A49" s="16" t="str">
        <f>IF(AND(LadiesList[[#This Row],[First &amp; Last Name]]="",LadiesList[[#This Row],[FISTF Code]]=""),"",ROW()-ROW($A$11))</f>
        <v/>
      </c>
      <c r="B49" s="232"/>
      <c r="C49" s="436"/>
      <c r="D49" s="421" t="str">
        <f>IF(LadiesList[[#This Row],[First &amp; Last Name]]="","",IFERROR(ISNUMBER(MATCH(LadiesList[[#This Row],[First &amp; Last Name]],Players[Player Name],0)),FALSE))</f>
        <v/>
      </c>
      <c r="E49" s="421" t="b">
        <f>IF(LadiesList[[#This Row],[FISTF Code]]="",FALSE,IFERROR(ISNUMBER(MATCH(LadiesList[[#This Row],[FISTF Code]],Players[FISTF Code],0)),FALSE))</f>
        <v>0</v>
      </c>
      <c r="F49" s="419" t="str">
        <f>IF(AND(LadiesList[[#This Row],[First &amp; Last Name]]="",LadiesList[[#This Row],[FISTF Code]]=""),"",IF(LadiesList[[#This Row],[Valide Code ?]],INDEX(Players[Player Name],MATCH(LadiesList[[#This Row],[FISTF Code]],Players[FISTF Code],0)),LadiesList[[#This Row],[First &amp; Last Name]]))</f>
        <v/>
      </c>
      <c r="G49" s="233" t="str">
        <f>IF(LadiesList[[#This Row],[Retained Player Name]]="","",VLOOKUP(LadiesList[[#This Row],[Retained Player Name]],Players[],7,FALSE))</f>
        <v/>
      </c>
      <c r="H49" s="235" t="str">
        <f>IF(LadiesList[[#This Row],[Retained Player Name]]="","",VLOOKUP(LadiesList[[#This Row],[Retained Player Name]],Players[],6,FALSE))</f>
        <v/>
      </c>
      <c r="I49" s="235" t="str">
        <f>IF(LadiesList[[#This Row],[Retained Player Name]]="","",VLOOKUP(LadiesList[[#This Row],[Retained Player Name]],Players[],4,FALSE))</f>
        <v/>
      </c>
      <c r="J4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49" s="231"/>
      <c r="L49" s="231"/>
      <c r="M49" s="7"/>
    </row>
    <row r="50" spans="1:13" s="8" customFormat="1" ht="12.75" customHeight="1" x14ac:dyDescent="0.2">
      <c r="A50" s="16" t="str">
        <f>IF(AND(LadiesList[[#This Row],[First &amp; Last Name]]="",LadiesList[[#This Row],[FISTF Code]]=""),"",ROW()-ROW($A$11))</f>
        <v/>
      </c>
      <c r="B50" s="232"/>
      <c r="C50" s="436"/>
      <c r="D50" s="421" t="str">
        <f>IF(LadiesList[[#This Row],[First &amp; Last Name]]="","",IFERROR(ISNUMBER(MATCH(LadiesList[[#This Row],[First &amp; Last Name]],Players[Player Name],0)),FALSE))</f>
        <v/>
      </c>
      <c r="E50" s="421" t="b">
        <f>IF(LadiesList[[#This Row],[FISTF Code]]="",FALSE,IFERROR(ISNUMBER(MATCH(LadiesList[[#This Row],[FISTF Code]],Players[FISTF Code],0)),FALSE))</f>
        <v>0</v>
      </c>
      <c r="F50" s="419" t="str">
        <f>IF(AND(LadiesList[[#This Row],[First &amp; Last Name]]="",LadiesList[[#This Row],[FISTF Code]]=""),"",IF(LadiesList[[#This Row],[Valide Code ?]],INDEX(Players[Player Name],MATCH(LadiesList[[#This Row],[FISTF Code]],Players[FISTF Code],0)),LadiesList[[#This Row],[First &amp; Last Name]]))</f>
        <v/>
      </c>
      <c r="G50" s="233" t="str">
        <f>IF(LadiesList[[#This Row],[Retained Player Name]]="","",VLOOKUP(LadiesList[[#This Row],[Retained Player Name]],Players[],7,FALSE))</f>
        <v/>
      </c>
      <c r="H50" s="235" t="str">
        <f>IF(LadiesList[[#This Row],[Retained Player Name]]="","",VLOOKUP(LadiesList[[#This Row],[Retained Player Name]],Players[],6,FALSE))</f>
        <v/>
      </c>
      <c r="I50" s="235" t="str">
        <f>IF(LadiesList[[#This Row],[Retained Player Name]]="","",VLOOKUP(LadiesList[[#This Row],[Retained Player Name]],Players[],4,FALSE))</f>
        <v/>
      </c>
      <c r="J5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0" s="231"/>
      <c r="L50" s="231"/>
      <c r="M50" s="7"/>
    </row>
    <row r="51" spans="1:13" s="8" customFormat="1" ht="12.75" customHeight="1" x14ac:dyDescent="0.2">
      <c r="A51" s="322" t="str">
        <f>IF(AND(LadiesList[[#This Row],[First &amp; Last Name]]="",LadiesList[[#This Row],[FISTF Code]]=""),"",ROW()-ROW($A$11))</f>
        <v/>
      </c>
      <c r="B51" s="323"/>
      <c r="C51" s="437"/>
      <c r="D51" s="422" t="str">
        <f>IF(LadiesList[[#This Row],[First &amp; Last Name]]="","",IFERROR(ISNUMBER(MATCH(LadiesList[[#This Row],[First &amp; Last Name]],Players[Player Name],0)),FALSE))</f>
        <v/>
      </c>
      <c r="E51" s="422" t="b">
        <f>IF(LadiesList[[#This Row],[FISTF Code]]="",FALSE,IFERROR(ISNUMBER(MATCH(LadiesList[[#This Row],[FISTF Code]],Players[FISTF Code],0)),FALSE))</f>
        <v>0</v>
      </c>
      <c r="F51" s="420" t="str">
        <f>IF(AND(LadiesList[[#This Row],[First &amp; Last Name]]="",LadiesList[[#This Row],[FISTF Code]]=""),"",IF(LadiesList[[#This Row],[Valide Code ?]],INDEX(Players[Player Name],MATCH(LadiesList[[#This Row],[FISTF Code]],Players[FISTF Code],0)),LadiesList[[#This Row],[First &amp; Last Name]]))</f>
        <v/>
      </c>
      <c r="G51" s="233" t="str">
        <f>IF(LadiesList[[#This Row],[Retained Player Name]]="","",VLOOKUP(LadiesList[[#This Row],[Retained Player Name]],Players[],7,FALSE))</f>
        <v/>
      </c>
      <c r="H51" s="235" t="str">
        <f>IF(LadiesList[[#This Row],[Retained Player Name]]="","",VLOOKUP(LadiesList[[#This Row],[Retained Player Name]],Players[],6,FALSE))</f>
        <v/>
      </c>
      <c r="I51" s="235" t="str">
        <f>IF(LadiesList[[#This Row],[Retained Player Name]]="","",VLOOKUP(LadiesList[[#This Row],[Retained Player Name]],Players[],4,FALSE))</f>
        <v/>
      </c>
      <c r="J5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1" s="231"/>
      <c r="L51" s="231"/>
      <c r="M51" s="7"/>
    </row>
    <row r="52" spans="1:13" s="8" customFormat="1" ht="12.75" customHeight="1" x14ac:dyDescent="0.2">
      <c r="A52" s="322" t="str">
        <f>IF(AND(LadiesList[[#This Row],[First &amp; Last Name]]="",LadiesList[[#This Row],[FISTF Code]]=""),"",ROW()-ROW($A$11))</f>
        <v/>
      </c>
      <c r="B52" s="323"/>
      <c r="C52" s="437"/>
      <c r="D52" s="422" t="str">
        <f>IF(LadiesList[[#This Row],[First &amp; Last Name]]="","",IFERROR(ISNUMBER(MATCH(LadiesList[[#This Row],[First &amp; Last Name]],Players[Player Name],0)),FALSE))</f>
        <v/>
      </c>
      <c r="E52" s="422" t="b">
        <f>IF(LadiesList[[#This Row],[FISTF Code]]="",FALSE,IFERROR(ISNUMBER(MATCH(LadiesList[[#This Row],[FISTF Code]],Players[FISTF Code],0)),FALSE))</f>
        <v>0</v>
      </c>
      <c r="F52" s="420" t="str">
        <f>IF(AND(LadiesList[[#This Row],[First &amp; Last Name]]="",LadiesList[[#This Row],[FISTF Code]]=""),"",IF(LadiesList[[#This Row],[Valide Code ?]],INDEX(Players[Player Name],MATCH(LadiesList[[#This Row],[FISTF Code]],Players[FISTF Code],0)),LadiesList[[#This Row],[First &amp; Last Name]]))</f>
        <v/>
      </c>
      <c r="G52" s="233" t="str">
        <f>IF(LadiesList[[#This Row],[Retained Player Name]]="","",VLOOKUP(LadiesList[[#This Row],[Retained Player Name]],Players[],7,FALSE))</f>
        <v/>
      </c>
      <c r="H52" s="235" t="str">
        <f>IF(LadiesList[[#This Row],[Retained Player Name]]="","",VLOOKUP(LadiesList[[#This Row],[Retained Player Name]],Players[],6,FALSE))</f>
        <v/>
      </c>
      <c r="I52" s="235" t="str">
        <f>IF(LadiesList[[#This Row],[Retained Player Name]]="","",VLOOKUP(LadiesList[[#This Row],[Retained Player Name]],Players[],4,FALSE))</f>
        <v/>
      </c>
      <c r="J5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2" s="231"/>
      <c r="L52" s="231"/>
      <c r="M52" s="7"/>
    </row>
    <row r="53" spans="1:13" s="8" customFormat="1" ht="12.75" customHeight="1" x14ac:dyDescent="0.2">
      <c r="A53" s="322" t="str">
        <f>IF(AND(LadiesList[[#This Row],[First &amp; Last Name]]="",LadiesList[[#This Row],[FISTF Code]]=""),"",ROW()-ROW($A$11))</f>
        <v/>
      </c>
      <c r="B53" s="323"/>
      <c r="C53" s="437"/>
      <c r="D53" s="422" t="str">
        <f>IF(LadiesList[[#This Row],[First &amp; Last Name]]="","",IFERROR(ISNUMBER(MATCH(LadiesList[[#This Row],[First &amp; Last Name]],Players[Player Name],0)),FALSE))</f>
        <v/>
      </c>
      <c r="E53" s="422" t="b">
        <f>IF(LadiesList[[#This Row],[FISTF Code]]="",FALSE,IFERROR(ISNUMBER(MATCH(LadiesList[[#This Row],[FISTF Code]],Players[FISTF Code],0)),FALSE))</f>
        <v>0</v>
      </c>
      <c r="F53" s="420" t="str">
        <f>IF(AND(LadiesList[[#This Row],[First &amp; Last Name]]="",LadiesList[[#This Row],[FISTF Code]]=""),"",IF(LadiesList[[#This Row],[Valide Code ?]],INDEX(Players[Player Name],MATCH(LadiesList[[#This Row],[FISTF Code]],Players[FISTF Code],0)),LadiesList[[#This Row],[First &amp; Last Name]]))</f>
        <v/>
      </c>
      <c r="G53" s="233" t="str">
        <f>IF(LadiesList[[#This Row],[Retained Player Name]]="","",VLOOKUP(LadiesList[[#This Row],[Retained Player Name]],Players[],7,FALSE))</f>
        <v/>
      </c>
      <c r="H53" s="235" t="str">
        <f>IF(LadiesList[[#This Row],[Retained Player Name]]="","",VLOOKUP(LadiesList[[#This Row],[Retained Player Name]],Players[],6,FALSE))</f>
        <v/>
      </c>
      <c r="I53" s="235" t="str">
        <f>IF(LadiesList[[#This Row],[Retained Player Name]]="","",VLOOKUP(LadiesList[[#This Row],[Retained Player Name]],Players[],4,FALSE))</f>
        <v/>
      </c>
      <c r="J5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3" s="231"/>
      <c r="L53" s="231"/>
      <c r="M53" s="7"/>
    </row>
    <row r="54" spans="1:13" s="8" customFormat="1" ht="12.75" customHeight="1" x14ac:dyDescent="0.2">
      <c r="A54" s="322" t="str">
        <f>IF(AND(LadiesList[[#This Row],[First &amp; Last Name]]="",LadiesList[[#This Row],[FISTF Code]]=""),"",ROW()-ROW($A$11))</f>
        <v/>
      </c>
      <c r="B54" s="323"/>
      <c r="C54" s="437"/>
      <c r="D54" s="422" t="str">
        <f>IF(LadiesList[[#This Row],[First &amp; Last Name]]="","",IFERROR(ISNUMBER(MATCH(LadiesList[[#This Row],[First &amp; Last Name]],Players[Player Name],0)),FALSE))</f>
        <v/>
      </c>
      <c r="E54" s="422" t="b">
        <f>IF(LadiesList[[#This Row],[FISTF Code]]="",FALSE,IFERROR(ISNUMBER(MATCH(LadiesList[[#This Row],[FISTF Code]],Players[FISTF Code],0)),FALSE))</f>
        <v>0</v>
      </c>
      <c r="F54" s="420" t="str">
        <f>IF(AND(LadiesList[[#This Row],[First &amp; Last Name]]="",LadiesList[[#This Row],[FISTF Code]]=""),"",IF(LadiesList[[#This Row],[Valide Code ?]],INDEX(Players[Player Name],MATCH(LadiesList[[#This Row],[FISTF Code]],Players[FISTF Code],0)),LadiesList[[#This Row],[First &amp; Last Name]]))</f>
        <v/>
      </c>
      <c r="G54" s="233" t="str">
        <f>IF(LadiesList[[#This Row],[Retained Player Name]]="","",VLOOKUP(LadiesList[[#This Row],[Retained Player Name]],Players[],7,FALSE))</f>
        <v/>
      </c>
      <c r="H54" s="235" t="str">
        <f>IF(LadiesList[[#This Row],[Retained Player Name]]="","",VLOOKUP(LadiesList[[#This Row],[Retained Player Name]],Players[],6,FALSE))</f>
        <v/>
      </c>
      <c r="I54" s="235" t="str">
        <f>IF(LadiesList[[#This Row],[Retained Player Name]]="","",VLOOKUP(LadiesList[[#This Row],[Retained Player Name]],Players[],4,FALSE))</f>
        <v/>
      </c>
      <c r="J5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4" s="231"/>
      <c r="L54" s="231"/>
      <c r="M54" s="7"/>
    </row>
    <row r="55" spans="1:13" s="8" customFormat="1" ht="12.75" customHeight="1" x14ac:dyDescent="0.2">
      <c r="A55" s="322" t="str">
        <f>IF(AND(LadiesList[[#This Row],[First &amp; Last Name]]="",LadiesList[[#This Row],[FISTF Code]]=""),"",ROW()-ROW($A$11))</f>
        <v/>
      </c>
      <c r="B55" s="323"/>
      <c r="C55" s="437"/>
      <c r="D55" s="422" t="str">
        <f>IF(LadiesList[[#This Row],[First &amp; Last Name]]="","",IFERROR(ISNUMBER(MATCH(LadiesList[[#This Row],[First &amp; Last Name]],Players[Player Name],0)),FALSE))</f>
        <v/>
      </c>
      <c r="E55" s="422" t="b">
        <f>IF(LadiesList[[#This Row],[FISTF Code]]="",FALSE,IFERROR(ISNUMBER(MATCH(LadiesList[[#This Row],[FISTF Code]],Players[FISTF Code],0)),FALSE))</f>
        <v>0</v>
      </c>
      <c r="F55" s="420" t="str">
        <f>IF(AND(LadiesList[[#This Row],[First &amp; Last Name]]="",LadiesList[[#This Row],[FISTF Code]]=""),"",IF(LadiesList[[#This Row],[Valide Code ?]],INDEX(Players[Player Name],MATCH(LadiesList[[#This Row],[FISTF Code]],Players[FISTF Code],0)),LadiesList[[#This Row],[First &amp; Last Name]]))</f>
        <v/>
      </c>
      <c r="G55" s="233" t="str">
        <f>IF(LadiesList[[#This Row],[Retained Player Name]]="","",VLOOKUP(LadiesList[[#This Row],[Retained Player Name]],Players[],7,FALSE))</f>
        <v/>
      </c>
      <c r="H55" s="235" t="str">
        <f>IF(LadiesList[[#This Row],[Retained Player Name]]="","",VLOOKUP(LadiesList[[#This Row],[Retained Player Name]],Players[],6,FALSE))</f>
        <v/>
      </c>
      <c r="I55" s="235" t="str">
        <f>IF(LadiesList[[#This Row],[Retained Player Name]]="","",VLOOKUP(LadiesList[[#This Row],[Retained Player Name]],Players[],4,FALSE))</f>
        <v/>
      </c>
      <c r="J5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5" s="231"/>
      <c r="L55" s="231"/>
      <c r="M55" s="7"/>
    </row>
    <row r="56" spans="1:13" s="8" customFormat="1" ht="12.75" customHeight="1" x14ac:dyDescent="0.2">
      <c r="A56" s="322" t="str">
        <f>IF(AND(LadiesList[[#This Row],[First &amp; Last Name]]="",LadiesList[[#This Row],[FISTF Code]]=""),"",ROW()-ROW($A$11))</f>
        <v/>
      </c>
      <c r="B56" s="323"/>
      <c r="C56" s="437"/>
      <c r="D56" s="422" t="str">
        <f>IF(LadiesList[[#This Row],[First &amp; Last Name]]="","",IFERROR(ISNUMBER(MATCH(LadiesList[[#This Row],[First &amp; Last Name]],Players[Player Name],0)),FALSE))</f>
        <v/>
      </c>
      <c r="E56" s="422" t="b">
        <f>IF(LadiesList[[#This Row],[FISTF Code]]="",FALSE,IFERROR(ISNUMBER(MATCH(LadiesList[[#This Row],[FISTF Code]],Players[FISTF Code],0)),FALSE))</f>
        <v>0</v>
      </c>
      <c r="F56" s="420" t="str">
        <f>IF(AND(LadiesList[[#This Row],[First &amp; Last Name]]="",LadiesList[[#This Row],[FISTF Code]]=""),"",IF(LadiesList[[#This Row],[Valide Code ?]],INDEX(Players[Player Name],MATCH(LadiesList[[#This Row],[FISTF Code]],Players[FISTF Code],0)),LadiesList[[#This Row],[First &amp; Last Name]]))</f>
        <v/>
      </c>
      <c r="G56" s="233" t="str">
        <f>IF(LadiesList[[#This Row],[Retained Player Name]]="","",VLOOKUP(LadiesList[[#This Row],[Retained Player Name]],Players[],7,FALSE))</f>
        <v/>
      </c>
      <c r="H56" s="235" t="str">
        <f>IF(LadiesList[[#This Row],[Retained Player Name]]="","",VLOOKUP(LadiesList[[#This Row],[Retained Player Name]],Players[],6,FALSE))</f>
        <v/>
      </c>
      <c r="I56" s="235" t="str">
        <f>IF(LadiesList[[#This Row],[Retained Player Name]]="","",VLOOKUP(LadiesList[[#This Row],[Retained Player Name]],Players[],4,FALSE))</f>
        <v/>
      </c>
      <c r="J5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6" s="231"/>
      <c r="L56" s="231"/>
      <c r="M56" s="7"/>
    </row>
    <row r="57" spans="1:13" s="8" customFormat="1" ht="12.75" customHeight="1" x14ac:dyDescent="0.2">
      <c r="A57" s="322" t="str">
        <f>IF(AND(LadiesList[[#This Row],[First &amp; Last Name]]="",LadiesList[[#This Row],[FISTF Code]]=""),"",ROW()-ROW($A$11))</f>
        <v/>
      </c>
      <c r="B57" s="323"/>
      <c r="C57" s="437"/>
      <c r="D57" s="422" t="str">
        <f>IF(LadiesList[[#This Row],[First &amp; Last Name]]="","",IFERROR(ISNUMBER(MATCH(LadiesList[[#This Row],[First &amp; Last Name]],Players[Player Name],0)),FALSE))</f>
        <v/>
      </c>
      <c r="E57" s="422" t="b">
        <f>IF(LadiesList[[#This Row],[FISTF Code]]="",FALSE,IFERROR(ISNUMBER(MATCH(LadiesList[[#This Row],[FISTF Code]],Players[FISTF Code],0)),FALSE))</f>
        <v>0</v>
      </c>
      <c r="F57" s="420" t="str">
        <f>IF(AND(LadiesList[[#This Row],[First &amp; Last Name]]="",LadiesList[[#This Row],[FISTF Code]]=""),"",IF(LadiesList[[#This Row],[Valide Code ?]],INDEX(Players[Player Name],MATCH(LadiesList[[#This Row],[FISTF Code]],Players[FISTF Code],0)),LadiesList[[#This Row],[First &amp; Last Name]]))</f>
        <v/>
      </c>
      <c r="G57" s="233" t="str">
        <f>IF(LadiesList[[#This Row],[Retained Player Name]]="","",VLOOKUP(LadiesList[[#This Row],[Retained Player Name]],Players[],7,FALSE))</f>
        <v/>
      </c>
      <c r="H57" s="235" t="str">
        <f>IF(LadiesList[[#This Row],[Retained Player Name]]="","",VLOOKUP(LadiesList[[#This Row],[Retained Player Name]],Players[],6,FALSE))</f>
        <v/>
      </c>
      <c r="I57" s="235" t="str">
        <f>IF(LadiesList[[#This Row],[Retained Player Name]]="","",VLOOKUP(LadiesList[[#This Row],[Retained Player Name]],Players[],4,FALSE))</f>
        <v/>
      </c>
      <c r="J5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7" s="231"/>
      <c r="L57" s="231"/>
      <c r="M57" s="7"/>
    </row>
    <row r="58" spans="1:13" s="8" customFormat="1" ht="12.75" customHeight="1" x14ac:dyDescent="0.2">
      <c r="A58" s="322" t="str">
        <f>IF(AND(LadiesList[[#This Row],[First &amp; Last Name]]="",LadiesList[[#This Row],[FISTF Code]]=""),"",ROW()-ROW($A$11))</f>
        <v/>
      </c>
      <c r="B58" s="323"/>
      <c r="C58" s="437"/>
      <c r="D58" s="422" t="str">
        <f>IF(LadiesList[[#This Row],[First &amp; Last Name]]="","",IFERROR(ISNUMBER(MATCH(LadiesList[[#This Row],[First &amp; Last Name]],Players[Player Name],0)),FALSE))</f>
        <v/>
      </c>
      <c r="E58" s="422" t="b">
        <f>IF(LadiesList[[#This Row],[FISTF Code]]="",FALSE,IFERROR(ISNUMBER(MATCH(LadiesList[[#This Row],[FISTF Code]],Players[FISTF Code],0)),FALSE))</f>
        <v>0</v>
      </c>
      <c r="F58" s="420" t="str">
        <f>IF(AND(LadiesList[[#This Row],[First &amp; Last Name]]="",LadiesList[[#This Row],[FISTF Code]]=""),"",IF(LadiesList[[#This Row],[Valide Code ?]],INDEX(Players[Player Name],MATCH(LadiesList[[#This Row],[FISTF Code]],Players[FISTF Code],0)),LadiesList[[#This Row],[First &amp; Last Name]]))</f>
        <v/>
      </c>
      <c r="G58" s="233" t="str">
        <f>IF(LadiesList[[#This Row],[Retained Player Name]]="","",VLOOKUP(LadiesList[[#This Row],[Retained Player Name]],Players[],7,FALSE))</f>
        <v/>
      </c>
      <c r="H58" s="235" t="str">
        <f>IF(LadiesList[[#This Row],[Retained Player Name]]="","",VLOOKUP(LadiesList[[#This Row],[Retained Player Name]],Players[],6,FALSE))</f>
        <v/>
      </c>
      <c r="I58" s="235" t="str">
        <f>IF(LadiesList[[#This Row],[Retained Player Name]]="","",VLOOKUP(LadiesList[[#This Row],[Retained Player Name]],Players[],4,FALSE))</f>
        <v/>
      </c>
      <c r="J5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8" s="231"/>
      <c r="L58" s="231"/>
      <c r="M58" s="7"/>
    </row>
    <row r="59" spans="1:13" s="8" customFormat="1" ht="12.75" customHeight="1" x14ac:dyDescent="0.2">
      <c r="A59" s="322" t="str">
        <f>IF(AND(LadiesList[[#This Row],[First &amp; Last Name]]="",LadiesList[[#This Row],[FISTF Code]]=""),"",ROW()-ROW($A$11))</f>
        <v/>
      </c>
      <c r="B59" s="323"/>
      <c r="C59" s="437"/>
      <c r="D59" s="422" t="str">
        <f>IF(LadiesList[[#This Row],[First &amp; Last Name]]="","",IFERROR(ISNUMBER(MATCH(LadiesList[[#This Row],[First &amp; Last Name]],Players[Player Name],0)),FALSE))</f>
        <v/>
      </c>
      <c r="E59" s="422" t="b">
        <f>IF(LadiesList[[#This Row],[FISTF Code]]="",FALSE,IFERROR(ISNUMBER(MATCH(LadiesList[[#This Row],[FISTF Code]],Players[FISTF Code],0)),FALSE))</f>
        <v>0</v>
      </c>
      <c r="F59" s="420" t="str">
        <f>IF(AND(LadiesList[[#This Row],[First &amp; Last Name]]="",LadiesList[[#This Row],[FISTF Code]]=""),"",IF(LadiesList[[#This Row],[Valide Code ?]],INDEX(Players[Player Name],MATCH(LadiesList[[#This Row],[FISTF Code]],Players[FISTF Code],0)),LadiesList[[#This Row],[First &amp; Last Name]]))</f>
        <v/>
      </c>
      <c r="G59" s="233" t="str">
        <f>IF(LadiesList[[#This Row],[Retained Player Name]]="","",VLOOKUP(LadiesList[[#This Row],[Retained Player Name]],Players[],7,FALSE))</f>
        <v/>
      </c>
      <c r="H59" s="235" t="str">
        <f>IF(LadiesList[[#This Row],[Retained Player Name]]="","",VLOOKUP(LadiesList[[#This Row],[Retained Player Name]],Players[],6,FALSE))</f>
        <v/>
      </c>
      <c r="I59" s="235" t="str">
        <f>IF(LadiesList[[#This Row],[Retained Player Name]]="","",VLOOKUP(LadiesList[[#This Row],[Retained Player Name]],Players[],4,FALSE))</f>
        <v/>
      </c>
      <c r="J5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59" s="231"/>
      <c r="L59" s="231"/>
      <c r="M59" s="7"/>
    </row>
    <row r="60" spans="1:13" s="8" customFormat="1" ht="12.75" customHeight="1" x14ac:dyDescent="0.2">
      <c r="A60" s="322" t="str">
        <f>IF(AND(LadiesList[[#This Row],[First &amp; Last Name]]="",LadiesList[[#This Row],[FISTF Code]]=""),"",ROW()-ROW($A$11))</f>
        <v/>
      </c>
      <c r="B60" s="323"/>
      <c r="C60" s="437"/>
      <c r="D60" s="422" t="str">
        <f>IF(LadiesList[[#This Row],[First &amp; Last Name]]="","",IFERROR(ISNUMBER(MATCH(LadiesList[[#This Row],[First &amp; Last Name]],Players[Player Name],0)),FALSE))</f>
        <v/>
      </c>
      <c r="E60" s="422" t="b">
        <f>IF(LadiesList[[#This Row],[FISTF Code]]="",FALSE,IFERROR(ISNUMBER(MATCH(LadiesList[[#This Row],[FISTF Code]],Players[FISTF Code],0)),FALSE))</f>
        <v>0</v>
      </c>
      <c r="F60" s="420" t="str">
        <f>IF(AND(LadiesList[[#This Row],[First &amp; Last Name]]="",LadiesList[[#This Row],[FISTF Code]]=""),"",IF(LadiesList[[#This Row],[Valide Code ?]],INDEX(Players[Player Name],MATCH(LadiesList[[#This Row],[FISTF Code]],Players[FISTF Code],0)),LadiesList[[#This Row],[First &amp; Last Name]]))</f>
        <v/>
      </c>
      <c r="G60" s="233" t="str">
        <f>IF(LadiesList[[#This Row],[Retained Player Name]]="","",VLOOKUP(LadiesList[[#This Row],[Retained Player Name]],Players[],7,FALSE))</f>
        <v/>
      </c>
      <c r="H60" s="235" t="str">
        <f>IF(LadiesList[[#This Row],[Retained Player Name]]="","",VLOOKUP(LadiesList[[#This Row],[Retained Player Name]],Players[],6,FALSE))</f>
        <v/>
      </c>
      <c r="I60" s="235" t="str">
        <f>IF(LadiesList[[#This Row],[Retained Player Name]]="","",VLOOKUP(LadiesList[[#This Row],[Retained Player Name]],Players[],4,FALSE))</f>
        <v/>
      </c>
      <c r="J6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0" s="231"/>
      <c r="L60" s="231"/>
      <c r="M60" s="7"/>
    </row>
    <row r="61" spans="1:13" s="8" customFormat="1" ht="12.75" customHeight="1" x14ac:dyDescent="0.2">
      <c r="A61" s="322" t="str">
        <f>IF(AND(LadiesList[[#This Row],[First &amp; Last Name]]="",LadiesList[[#This Row],[FISTF Code]]=""),"",ROW()-ROW($A$11))</f>
        <v/>
      </c>
      <c r="B61" s="323"/>
      <c r="C61" s="437"/>
      <c r="D61" s="422" t="str">
        <f>IF(LadiesList[[#This Row],[First &amp; Last Name]]="","",IFERROR(ISNUMBER(MATCH(LadiesList[[#This Row],[First &amp; Last Name]],Players[Player Name],0)),FALSE))</f>
        <v/>
      </c>
      <c r="E61" s="422" t="b">
        <f>IF(LadiesList[[#This Row],[FISTF Code]]="",FALSE,IFERROR(ISNUMBER(MATCH(LadiesList[[#This Row],[FISTF Code]],Players[FISTF Code],0)),FALSE))</f>
        <v>0</v>
      </c>
      <c r="F61" s="420" t="str">
        <f>IF(AND(LadiesList[[#This Row],[First &amp; Last Name]]="",LadiesList[[#This Row],[FISTF Code]]=""),"",IF(LadiesList[[#This Row],[Valide Code ?]],INDEX(Players[Player Name],MATCH(LadiesList[[#This Row],[FISTF Code]],Players[FISTF Code],0)),LadiesList[[#This Row],[First &amp; Last Name]]))</f>
        <v/>
      </c>
      <c r="G61" s="233" t="str">
        <f>IF(LadiesList[[#This Row],[Retained Player Name]]="","",VLOOKUP(LadiesList[[#This Row],[Retained Player Name]],Players[],7,FALSE))</f>
        <v/>
      </c>
      <c r="H61" s="235" t="str">
        <f>IF(LadiesList[[#This Row],[Retained Player Name]]="","",VLOOKUP(LadiesList[[#This Row],[Retained Player Name]],Players[],6,FALSE))</f>
        <v/>
      </c>
      <c r="I61" s="235" t="str">
        <f>IF(LadiesList[[#This Row],[Retained Player Name]]="","",VLOOKUP(LadiesList[[#This Row],[Retained Player Name]],Players[],4,FALSE))</f>
        <v/>
      </c>
      <c r="J6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1" s="231"/>
      <c r="L61" s="231"/>
      <c r="M61" s="7"/>
    </row>
    <row r="62" spans="1:13" s="8" customFormat="1" ht="12.75" customHeight="1" x14ac:dyDescent="0.2">
      <c r="A62" s="322" t="str">
        <f>IF(AND(LadiesList[[#This Row],[First &amp; Last Name]]="",LadiesList[[#This Row],[FISTF Code]]=""),"",ROW()-ROW($A$11))</f>
        <v/>
      </c>
      <c r="B62" s="323"/>
      <c r="C62" s="437"/>
      <c r="D62" s="422" t="str">
        <f>IF(LadiesList[[#This Row],[First &amp; Last Name]]="","",IFERROR(ISNUMBER(MATCH(LadiesList[[#This Row],[First &amp; Last Name]],Players[Player Name],0)),FALSE))</f>
        <v/>
      </c>
      <c r="E62" s="422" t="b">
        <f>IF(LadiesList[[#This Row],[FISTF Code]]="",FALSE,IFERROR(ISNUMBER(MATCH(LadiesList[[#This Row],[FISTF Code]],Players[FISTF Code],0)),FALSE))</f>
        <v>0</v>
      </c>
      <c r="F62" s="420" t="str">
        <f>IF(AND(LadiesList[[#This Row],[First &amp; Last Name]]="",LadiesList[[#This Row],[FISTF Code]]=""),"",IF(LadiesList[[#This Row],[Valide Code ?]],INDEX(Players[Player Name],MATCH(LadiesList[[#This Row],[FISTF Code]],Players[FISTF Code],0)),LadiesList[[#This Row],[First &amp; Last Name]]))</f>
        <v/>
      </c>
      <c r="G62" s="233" t="str">
        <f>IF(LadiesList[[#This Row],[Retained Player Name]]="","",VLOOKUP(LadiesList[[#This Row],[Retained Player Name]],Players[],7,FALSE))</f>
        <v/>
      </c>
      <c r="H62" s="235" t="str">
        <f>IF(LadiesList[[#This Row],[Retained Player Name]]="","",VLOOKUP(LadiesList[[#This Row],[Retained Player Name]],Players[],6,FALSE))</f>
        <v/>
      </c>
      <c r="I62" s="235" t="str">
        <f>IF(LadiesList[[#This Row],[Retained Player Name]]="","",VLOOKUP(LadiesList[[#This Row],[Retained Player Name]],Players[],4,FALSE))</f>
        <v/>
      </c>
      <c r="J6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2" s="231"/>
      <c r="L62" s="231"/>
      <c r="M62" s="7"/>
    </row>
    <row r="63" spans="1:13" s="8" customFormat="1" ht="12.75" customHeight="1" x14ac:dyDescent="0.2">
      <c r="A63" s="322" t="str">
        <f>IF(AND(LadiesList[[#This Row],[First &amp; Last Name]]="",LadiesList[[#This Row],[FISTF Code]]=""),"",ROW()-ROW($A$11))</f>
        <v/>
      </c>
      <c r="B63" s="323"/>
      <c r="C63" s="437"/>
      <c r="D63" s="422" t="str">
        <f>IF(LadiesList[[#This Row],[First &amp; Last Name]]="","",IFERROR(ISNUMBER(MATCH(LadiesList[[#This Row],[First &amp; Last Name]],Players[Player Name],0)),FALSE))</f>
        <v/>
      </c>
      <c r="E63" s="422" t="b">
        <f>IF(LadiesList[[#This Row],[FISTF Code]]="",FALSE,IFERROR(ISNUMBER(MATCH(LadiesList[[#This Row],[FISTF Code]],Players[FISTF Code],0)),FALSE))</f>
        <v>0</v>
      </c>
      <c r="F63" s="420" t="str">
        <f>IF(AND(LadiesList[[#This Row],[First &amp; Last Name]]="",LadiesList[[#This Row],[FISTF Code]]=""),"",IF(LadiesList[[#This Row],[Valide Code ?]],INDEX(Players[Player Name],MATCH(LadiesList[[#This Row],[FISTF Code]],Players[FISTF Code],0)),LadiesList[[#This Row],[First &amp; Last Name]]))</f>
        <v/>
      </c>
      <c r="G63" s="233" t="str">
        <f>IF(LadiesList[[#This Row],[Retained Player Name]]="","",VLOOKUP(LadiesList[[#This Row],[Retained Player Name]],Players[],7,FALSE))</f>
        <v/>
      </c>
      <c r="H63" s="235" t="str">
        <f>IF(LadiesList[[#This Row],[Retained Player Name]]="","",VLOOKUP(LadiesList[[#This Row],[Retained Player Name]],Players[],6,FALSE))</f>
        <v/>
      </c>
      <c r="I63" s="235" t="str">
        <f>IF(LadiesList[[#This Row],[Retained Player Name]]="","",VLOOKUP(LadiesList[[#This Row],[Retained Player Name]],Players[],4,FALSE))</f>
        <v/>
      </c>
      <c r="J6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3" s="231"/>
      <c r="L63" s="231"/>
      <c r="M63" s="7"/>
    </row>
    <row r="64" spans="1:13" s="8" customFormat="1" ht="12.75" customHeight="1" x14ac:dyDescent="0.2">
      <c r="A64" s="322" t="str">
        <f>IF(AND(LadiesList[[#This Row],[First &amp; Last Name]]="",LadiesList[[#This Row],[FISTF Code]]=""),"",ROW()-ROW($A$11))</f>
        <v/>
      </c>
      <c r="B64" s="323"/>
      <c r="C64" s="437"/>
      <c r="D64" s="422" t="str">
        <f>IF(LadiesList[[#This Row],[First &amp; Last Name]]="","",IFERROR(ISNUMBER(MATCH(LadiesList[[#This Row],[First &amp; Last Name]],Players[Player Name],0)),FALSE))</f>
        <v/>
      </c>
      <c r="E64" s="422" t="b">
        <f>IF(LadiesList[[#This Row],[FISTF Code]]="",FALSE,IFERROR(ISNUMBER(MATCH(LadiesList[[#This Row],[FISTF Code]],Players[FISTF Code],0)),FALSE))</f>
        <v>0</v>
      </c>
      <c r="F64" s="420" t="str">
        <f>IF(AND(LadiesList[[#This Row],[First &amp; Last Name]]="",LadiesList[[#This Row],[FISTF Code]]=""),"",IF(LadiesList[[#This Row],[Valide Code ?]],INDEX(Players[Player Name],MATCH(LadiesList[[#This Row],[FISTF Code]],Players[FISTF Code],0)),LadiesList[[#This Row],[First &amp; Last Name]]))</f>
        <v/>
      </c>
      <c r="G64" s="233" t="str">
        <f>IF(LadiesList[[#This Row],[Retained Player Name]]="","",VLOOKUP(LadiesList[[#This Row],[Retained Player Name]],Players[],7,FALSE))</f>
        <v/>
      </c>
      <c r="H64" s="235" t="str">
        <f>IF(LadiesList[[#This Row],[Retained Player Name]]="","",VLOOKUP(LadiesList[[#This Row],[Retained Player Name]],Players[],6,FALSE))</f>
        <v/>
      </c>
      <c r="I64" s="235" t="str">
        <f>IF(LadiesList[[#This Row],[Retained Player Name]]="","",VLOOKUP(LadiesList[[#This Row],[Retained Player Name]],Players[],4,FALSE))</f>
        <v/>
      </c>
      <c r="J6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4" s="231"/>
      <c r="L64" s="231"/>
      <c r="M64" s="7"/>
    </row>
    <row r="65" spans="1:13" s="8" customFormat="1" ht="12.75" customHeight="1" x14ac:dyDescent="0.2">
      <c r="A65" s="322" t="str">
        <f>IF(AND(LadiesList[[#This Row],[First &amp; Last Name]]="",LadiesList[[#This Row],[FISTF Code]]=""),"",ROW()-ROW($A$11))</f>
        <v/>
      </c>
      <c r="B65" s="323"/>
      <c r="C65" s="437"/>
      <c r="D65" s="422" t="str">
        <f>IF(LadiesList[[#This Row],[First &amp; Last Name]]="","",IFERROR(ISNUMBER(MATCH(LadiesList[[#This Row],[First &amp; Last Name]],Players[Player Name],0)),FALSE))</f>
        <v/>
      </c>
      <c r="E65" s="422" t="b">
        <f>IF(LadiesList[[#This Row],[FISTF Code]]="",FALSE,IFERROR(ISNUMBER(MATCH(LadiesList[[#This Row],[FISTF Code]],Players[FISTF Code],0)),FALSE))</f>
        <v>0</v>
      </c>
      <c r="F65" s="420" t="str">
        <f>IF(AND(LadiesList[[#This Row],[First &amp; Last Name]]="",LadiesList[[#This Row],[FISTF Code]]=""),"",IF(LadiesList[[#This Row],[Valide Code ?]],INDEX(Players[Player Name],MATCH(LadiesList[[#This Row],[FISTF Code]],Players[FISTF Code],0)),LadiesList[[#This Row],[First &amp; Last Name]]))</f>
        <v/>
      </c>
      <c r="G65" s="233" t="str">
        <f>IF(LadiesList[[#This Row],[Retained Player Name]]="","",VLOOKUP(LadiesList[[#This Row],[Retained Player Name]],Players[],7,FALSE))</f>
        <v/>
      </c>
      <c r="H65" s="235" t="str">
        <f>IF(LadiesList[[#This Row],[Retained Player Name]]="","",VLOOKUP(LadiesList[[#This Row],[Retained Player Name]],Players[],6,FALSE))</f>
        <v/>
      </c>
      <c r="I65" s="235" t="str">
        <f>IF(LadiesList[[#This Row],[Retained Player Name]]="","",VLOOKUP(LadiesList[[#This Row],[Retained Player Name]],Players[],4,FALSE))</f>
        <v/>
      </c>
      <c r="J6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5" s="231"/>
      <c r="L65" s="231"/>
      <c r="M65" s="7"/>
    </row>
    <row r="66" spans="1:13" s="8" customFormat="1" ht="12.75" customHeight="1" x14ac:dyDescent="0.2">
      <c r="A66" s="322" t="str">
        <f>IF(AND(LadiesList[[#This Row],[First &amp; Last Name]]="",LadiesList[[#This Row],[FISTF Code]]=""),"",ROW()-ROW($A$11))</f>
        <v/>
      </c>
      <c r="B66" s="323"/>
      <c r="C66" s="437"/>
      <c r="D66" s="422" t="str">
        <f>IF(LadiesList[[#This Row],[First &amp; Last Name]]="","",IFERROR(ISNUMBER(MATCH(LadiesList[[#This Row],[First &amp; Last Name]],Players[Player Name],0)),FALSE))</f>
        <v/>
      </c>
      <c r="E66" s="422" t="b">
        <f>IF(LadiesList[[#This Row],[FISTF Code]]="",FALSE,IFERROR(ISNUMBER(MATCH(LadiesList[[#This Row],[FISTF Code]],Players[FISTF Code],0)),FALSE))</f>
        <v>0</v>
      </c>
      <c r="F66" s="420" t="str">
        <f>IF(AND(LadiesList[[#This Row],[First &amp; Last Name]]="",LadiesList[[#This Row],[FISTF Code]]=""),"",IF(LadiesList[[#This Row],[Valide Code ?]],INDEX(Players[Player Name],MATCH(LadiesList[[#This Row],[FISTF Code]],Players[FISTF Code],0)),LadiesList[[#This Row],[First &amp; Last Name]]))</f>
        <v/>
      </c>
      <c r="G66" s="233" t="str">
        <f>IF(LadiesList[[#This Row],[Retained Player Name]]="","",VLOOKUP(LadiesList[[#This Row],[Retained Player Name]],Players[],7,FALSE))</f>
        <v/>
      </c>
      <c r="H66" s="235" t="str">
        <f>IF(LadiesList[[#This Row],[Retained Player Name]]="","",VLOOKUP(LadiesList[[#This Row],[Retained Player Name]],Players[],6,FALSE))</f>
        <v/>
      </c>
      <c r="I66" s="235" t="str">
        <f>IF(LadiesList[[#This Row],[Retained Player Name]]="","",VLOOKUP(LadiesList[[#This Row],[Retained Player Name]],Players[],4,FALSE))</f>
        <v/>
      </c>
      <c r="J6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6" s="231"/>
      <c r="L66" s="231"/>
      <c r="M66" s="7"/>
    </row>
    <row r="67" spans="1:13" s="8" customFormat="1" x14ac:dyDescent="0.2">
      <c r="A67" s="322" t="str">
        <f>IF(AND(LadiesList[[#This Row],[First &amp; Last Name]]="",LadiesList[[#This Row],[FISTF Code]]=""),"",ROW()-ROW($A$11))</f>
        <v/>
      </c>
      <c r="B67" s="323"/>
      <c r="C67" s="437"/>
      <c r="D67" s="422" t="str">
        <f>IF(LadiesList[[#This Row],[First &amp; Last Name]]="","",IFERROR(ISNUMBER(MATCH(LadiesList[[#This Row],[First &amp; Last Name]],Players[Player Name],0)),FALSE))</f>
        <v/>
      </c>
      <c r="E67" s="422" t="b">
        <f>IF(LadiesList[[#This Row],[FISTF Code]]="",FALSE,IFERROR(ISNUMBER(MATCH(LadiesList[[#This Row],[FISTF Code]],Players[FISTF Code],0)),FALSE))</f>
        <v>0</v>
      </c>
      <c r="F67" s="420" t="str">
        <f>IF(AND(LadiesList[[#This Row],[First &amp; Last Name]]="",LadiesList[[#This Row],[FISTF Code]]=""),"",IF(LadiesList[[#This Row],[Valide Code ?]],INDEX(Players[Player Name],MATCH(LadiesList[[#This Row],[FISTF Code]],Players[FISTF Code],0)),LadiesList[[#This Row],[First &amp; Last Name]]))</f>
        <v/>
      </c>
      <c r="G67" s="233" t="str">
        <f>IF(LadiesList[[#This Row],[Retained Player Name]]="","",VLOOKUP(LadiesList[[#This Row],[Retained Player Name]],Players[],7,FALSE))</f>
        <v/>
      </c>
      <c r="H67" s="235" t="str">
        <f>IF(LadiesList[[#This Row],[Retained Player Name]]="","",VLOOKUP(LadiesList[[#This Row],[Retained Player Name]],Players[],6,FALSE))</f>
        <v/>
      </c>
      <c r="I67" s="235" t="str">
        <f>IF(LadiesList[[#This Row],[Retained Player Name]]="","",VLOOKUP(LadiesList[[#This Row],[Retained Player Name]],Players[],4,FALSE))</f>
        <v/>
      </c>
      <c r="J6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7" s="231"/>
      <c r="L67" s="231"/>
      <c r="M67" s="7"/>
    </row>
    <row r="68" spans="1:13" s="8" customFormat="1" x14ac:dyDescent="0.2">
      <c r="A68" s="322" t="str">
        <f>IF(AND(LadiesList[[#This Row],[First &amp; Last Name]]="",LadiesList[[#This Row],[FISTF Code]]=""),"",ROW()-ROW($A$11))</f>
        <v/>
      </c>
      <c r="B68" s="323"/>
      <c r="C68" s="437"/>
      <c r="D68" s="422" t="str">
        <f>IF(LadiesList[[#This Row],[First &amp; Last Name]]="","",IFERROR(ISNUMBER(MATCH(LadiesList[[#This Row],[First &amp; Last Name]],Players[Player Name],0)),FALSE))</f>
        <v/>
      </c>
      <c r="E68" s="422" t="b">
        <f>IF(LadiesList[[#This Row],[FISTF Code]]="",FALSE,IFERROR(ISNUMBER(MATCH(LadiesList[[#This Row],[FISTF Code]],Players[FISTF Code],0)),FALSE))</f>
        <v>0</v>
      </c>
      <c r="F68" s="420" t="str">
        <f>IF(AND(LadiesList[[#This Row],[First &amp; Last Name]]="",LadiesList[[#This Row],[FISTF Code]]=""),"",IF(LadiesList[[#This Row],[Valide Code ?]],INDEX(Players[Player Name],MATCH(LadiesList[[#This Row],[FISTF Code]],Players[FISTF Code],0)),LadiesList[[#This Row],[First &amp; Last Name]]))</f>
        <v/>
      </c>
      <c r="G68" s="233" t="str">
        <f>IF(LadiesList[[#This Row],[Retained Player Name]]="","",VLOOKUP(LadiesList[[#This Row],[Retained Player Name]],Players[],7,FALSE))</f>
        <v/>
      </c>
      <c r="H68" s="235" t="str">
        <f>IF(LadiesList[[#This Row],[Retained Player Name]]="","",VLOOKUP(LadiesList[[#This Row],[Retained Player Name]],Players[],6,FALSE))</f>
        <v/>
      </c>
      <c r="I68" s="235" t="str">
        <f>IF(LadiesList[[#This Row],[Retained Player Name]]="","",VLOOKUP(LadiesList[[#This Row],[Retained Player Name]],Players[],4,FALSE))</f>
        <v/>
      </c>
      <c r="J6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8" s="231"/>
      <c r="L68" s="231"/>
      <c r="M68" s="7"/>
    </row>
    <row r="69" spans="1:13" s="8" customFormat="1" x14ac:dyDescent="0.2">
      <c r="A69" s="322" t="str">
        <f>IF(AND(LadiesList[[#This Row],[First &amp; Last Name]]="",LadiesList[[#This Row],[FISTF Code]]=""),"",ROW()-ROW($A$11))</f>
        <v/>
      </c>
      <c r="B69" s="323"/>
      <c r="C69" s="437"/>
      <c r="D69" s="422" t="str">
        <f>IF(LadiesList[[#This Row],[First &amp; Last Name]]="","",IFERROR(ISNUMBER(MATCH(LadiesList[[#This Row],[First &amp; Last Name]],Players[Player Name],0)),FALSE))</f>
        <v/>
      </c>
      <c r="E69" s="422" t="b">
        <f>IF(LadiesList[[#This Row],[FISTF Code]]="",FALSE,IFERROR(ISNUMBER(MATCH(LadiesList[[#This Row],[FISTF Code]],Players[FISTF Code],0)),FALSE))</f>
        <v>0</v>
      </c>
      <c r="F69" s="420" t="str">
        <f>IF(AND(LadiesList[[#This Row],[First &amp; Last Name]]="",LadiesList[[#This Row],[FISTF Code]]=""),"",IF(LadiesList[[#This Row],[Valide Code ?]],INDEX(Players[Player Name],MATCH(LadiesList[[#This Row],[FISTF Code]],Players[FISTF Code],0)),LadiesList[[#This Row],[First &amp; Last Name]]))</f>
        <v/>
      </c>
      <c r="G69" s="233" t="str">
        <f>IF(LadiesList[[#This Row],[Retained Player Name]]="","",VLOOKUP(LadiesList[[#This Row],[Retained Player Name]],Players[],7,FALSE))</f>
        <v/>
      </c>
      <c r="H69" s="235" t="str">
        <f>IF(LadiesList[[#This Row],[Retained Player Name]]="","",VLOOKUP(LadiesList[[#This Row],[Retained Player Name]],Players[],6,FALSE))</f>
        <v/>
      </c>
      <c r="I69" s="235" t="str">
        <f>IF(LadiesList[[#This Row],[Retained Player Name]]="","",VLOOKUP(LadiesList[[#This Row],[Retained Player Name]],Players[],4,FALSE))</f>
        <v/>
      </c>
      <c r="J6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69" s="231"/>
      <c r="L69" s="231"/>
      <c r="M69" s="7"/>
    </row>
    <row r="70" spans="1:13" s="8" customFormat="1" x14ac:dyDescent="0.2">
      <c r="A70" s="322" t="str">
        <f>IF(AND(LadiesList[[#This Row],[First &amp; Last Name]]="",LadiesList[[#This Row],[FISTF Code]]=""),"",ROW()-ROW($A$11))</f>
        <v/>
      </c>
      <c r="B70" s="323"/>
      <c r="C70" s="437"/>
      <c r="D70" s="422" t="str">
        <f>IF(LadiesList[[#This Row],[First &amp; Last Name]]="","",IFERROR(ISNUMBER(MATCH(LadiesList[[#This Row],[First &amp; Last Name]],Players[Player Name],0)),FALSE))</f>
        <v/>
      </c>
      <c r="E70" s="422" t="b">
        <f>IF(LadiesList[[#This Row],[FISTF Code]]="",FALSE,IFERROR(ISNUMBER(MATCH(LadiesList[[#This Row],[FISTF Code]],Players[FISTF Code],0)),FALSE))</f>
        <v>0</v>
      </c>
      <c r="F70" s="420" t="str">
        <f>IF(AND(LadiesList[[#This Row],[First &amp; Last Name]]="",LadiesList[[#This Row],[FISTF Code]]=""),"",IF(LadiesList[[#This Row],[Valide Code ?]],INDEX(Players[Player Name],MATCH(LadiesList[[#This Row],[FISTF Code]],Players[FISTF Code],0)),LadiesList[[#This Row],[First &amp; Last Name]]))</f>
        <v/>
      </c>
      <c r="G70" s="233" t="str">
        <f>IF(LadiesList[[#This Row],[Retained Player Name]]="","",VLOOKUP(LadiesList[[#This Row],[Retained Player Name]],Players[],7,FALSE))</f>
        <v/>
      </c>
      <c r="H70" s="235" t="str">
        <f>IF(LadiesList[[#This Row],[Retained Player Name]]="","",VLOOKUP(LadiesList[[#This Row],[Retained Player Name]],Players[],6,FALSE))</f>
        <v/>
      </c>
      <c r="I70" s="235" t="str">
        <f>IF(LadiesList[[#This Row],[Retained Player Name]]="","",VLOOKUP(LadiesList[[#This Row],[Retained Player Name]],Players[],4,FALSE))</f>
        <v/>
      </c>
      <c r="J7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0" s="231"/>
      <c r="L70" s="231"/>
      <c r="M70" s="7"/>
    </row>
    <row r="71" spans="1:13" s="8" customFormat="1" x14ac:dyDescent="0.2">
      <c r="A71" s="322" t="str">
        <f>IF(AND(LadiesList[[#This Row],[First &amp; Last Name]]="",LadiesList[[#This Row],[FISTF Code]]=""),"",ROW()-ROW($A$11))</f>
        <v/>
      </c>
      <c r="B71" s="323"/>
      <c r="C71" s="437"/>
      <c r="D71" s="422" t="str">
        <f>IF(LadiesList[[#This Row],[First &amp; Last Name]]="","",IFERROR(ISNUMBER(MATCH(LadiesList[[#This Row],[First &amp; Last Name]],Players[Player Name],0)),FALSE))</f>
        <v/>
      </c>
      <c r="E71" s="422" t="b">
        <f>IF(LadiesList[[#This Row],[FISTF Code]]="",FALSE,IFERROR(ISNUMBER(MATCH(LadiesList[[#This Row],[FISTF Code]],Players[FISTF Code],0)),FALSE))</f>
        <v>0</v>
      </c>
      <c r="F71" s="420" t="str">
        <f>IF(AND(LadiesList[[#This Row],[First &amp; Last Name]]="",LadiesList[[#This Row],[FISTF Code]]=""),"",IF(LadiesList[[#This Row],[Valide Code ?]],INDEX(Players[Player Name],MATCH(LadiesList[[#This Row],[FISTF Code]],Players[FISTF Code],0)),LadiesList[[#This Row],[First &amp; Last Name]]))</f>
        <v/>
      </c>
      <c r="G71" s="233" t="str">
        <f>IF(LadiesList[[#This Row],[Retained Player Name]]="","",VLOOKUP(LadiesList[[#This Row],[Retained Player Name]],Players[],7,FALSE))</f>
        <v/>
      </c>
      <c r="H71" s="235" t="str">
        <f>IF(LadiesList[[#This Row],[Retained Player Name]]="","",VLOOKUP(LadiesList[[#This Row],[Retained Player Name]],Players[],6,FALSE))</f>
        <v/>
      </c>
      <c r="I71" s="235" t="str">
        <f>IF(LadiesList[[#This Row],[Retained Player Name]]="","",VLOOKUP(LadiesList[[#This Row],[Retained Player Name]],Players[],4,FALSE))</f>
        <v/>
      </c>
      <c r="J7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1" s="231"/>
      <c r="L71" s="231"/>
      <c r="M71" s="7"/>
    </row>
    <row r="72" spans="1:13" s="8" customFormat="1" x14ac:dyDescent="0.2">
      <c r="A72" s="322" t="str">
        <f>IF(AND(LadiesList[[#This Row],[First &amp; Last Name]]="",LadiesList[[#This Row],[FISTF Code]]=""),"",ROW()-ROW($A$11))</f>
        <v/>
      </c>
      <c r="B72" s="323"/>
      <c r="C72" s="437"/>
      <c r="D72" s="422" t="str">
        <f>IF(LadiesList[[#This Row],[First &amp; Last Name]]="","",IFERROR(ISNUMBER(MATCH(LadiesList[[#This Row],[First &amp; Last Name]],Players[Player Name],0)),FALSE))</f>
        <v/>
      </c>
      <c r="E72" s="422" t="b">
        <f>IF(LadiesList[[#This Row],[FISTF Code]]="",FALSE,IFERROR(ISNUMBER(MATCH(LadiesList[[#This Row],[FISTF Code]],Players[FISTF Code],0)),FALSE))</f>
        <v>0</v>
      </c>
      <c r="F72" s="420" t="str">
        <f>IF(AND(LadiesList[[#This Row],[First &amp; Last Name]]="",LadiesList[[#This Row],[FISTF Code]]=""),"",IF(LadiesList[[#This Row],[Valide Code ?]],INDEX(Players[Player Name],MATCH(LadiesList[[#This Row],[FISTF Code]],Players[FISTF Code],0)),LadiesList[[#This Row],[First &amp; Last Name]]))</f>
        <v/>
      </c>
      <c r="G72" s="233" t="str">
        <f>IF(LadiesList[[#This Row],[Retained Player Name]]="","",VLOOKUP(LadiesList[[#This Row],[Retained Player Name]],Players[],7,FALSE))</f>
        <v/>
      </c>
      <c r="H72" s="235" t="str">
        <f>IF(LadiesList[[#This Row],[Retained Player Name]]="","",VLOOKUP(LadiesList[[#This Row],[Retained Player Name]],Players[],6,FALSE))</f>
        <v/>
      </c>
      <c r="I72" s="235" t="str">
        <f>IF(LadiesList[[#This Row],[Retained Player Name]]="","",VLOOKUP(LadiesList[[#This Row],[Retained Player Name]],Players[],4,FALSE))</f>
        <v/>
      </c>
      <c r="J7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2" s="231"/>
      <c r="L72" s="231"/>
      <c r="M72" s="7"/>
    </row>
    <row r="73" spans="1:13" s="8" customFormat="1" x14ac:dyDescent="0.2">
      <c r="A73" s="322" t="str">
        <f>IF(AND(LadiesList[[#This Row],[First &amp; Last Name]]="",LadiesList[[#This Row],[FISTF Code]]=""),"",ROW()-ROW($A$11))</f>
        <v/>
      </c>
      <c r="B73" s="323"/>
      <c r="C73" s="437"/>
      <c r="D73" s="422" t="str">
        <f>IF(LadiesList[[#This Row],[First &amp; Last Name]]="","",IFERROR(ISNUMBER(MATCH(LadiesList[[#This Row],[First &amp; Last Name]],Players[Player Name],0)),FALSE))</f>
        <v/>
      </c>
      <c r="E73" s="422" t="b">
        <f>IF(LadiesList[[#This Row],[FISTF Code]]="",FALSE,IFERROR(ISNUMBER(MATCH(LadiesList[[#This Row],[FISTF Code]],Players[FISTF Code],0)),FALSE))</f>
        <v>0</v>
      </c>
      <c r="F73" s="420" t="str">
        <f>IF(AND(LadiesList[[#This Row],[First &amp; Last Name]]="",LadiesList[[#This Row],[FISTF Code]]=""),"",IF(LadiesList[[#This Row],[Valide Code ?]],INDEX(Players[Player Name],MATCH(LadiesList[[#This Row],[FISTF Code]],Players[FISTF Code],0)),LadiesList[[#This Row],[First &amp; Last Name]]))</f>
        <v/>
      </c>
      <c r="G73" s="233" t="str">
        <f>IF(LadiesList[[#This Row],[Retained Player Name]]="","",VLOOKUP(LadiesList[[#This Row],[Retained Player Name]],Players[],7,FALSE))</f>
        <v/>
      </c>
      <c r="H73" s="235" t="str">
        <f>IF(LadiesList[[#This Row],[Retained Player Name]]="","",VLOOKUP(LadiesList[[#This Row],[Retained Player Name]],Players[],6,FALSE))</f>
        <v/>
      </c>
      <c r="I73" s="235" t="str">
        <f>IF(LadiesList[[#This Row],[Retained Player Name]]="","",VLOOKUP(LadiesList[[#This Row],[Retained Player Name]],Players[],4,FALSE))</f>
        <v/>
      </c>
      <c r="J7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3" s="231"/>
      <c r="L73" s="231"/>
      <c r="M73" s="7"/>
    </row>
    <row r="74" spans="1:13" s="8" customFormat="1" x14ac:dyDescent="0.2">
      <c r="A74" s="322" t="str">
        <f>IF(AND(LadiesList[[#This Row],[First &amp; Last Name]]="",LadiesList[[#This Row],[FISTF Code]]=""),"",ROW()-ROW($A$11))</f>
        <v/>
      </c>
      <c r="B74" s="323"/>
      <c r="C74" s="437"/>
      <c r="D74" s="422" t="str">
        <f>IF(LadiesList[[#This Row],[First &amp; Last Name]]="","",IFERROR(ISNUMBER(MATCH(LadiesList[[#This Row],[First &amp; Last Name]],Players[Player Name],0)),FALSE))</f>
        <v/>
      </c>
      <c r="E74" s="422" t="b">
        <f>IF(LadiesList[[#This Row],[FISTF Code]]="",FALSE,IFERROR(ISNUMBER(MATCH(LadiesList[[#This Row],[FISTF Code]],Players[FISTF Code],0)),FALSE))</f>
        <v>0</v>
      </c>
      <c r="F74" s="420" t="str">
        <f>IF(AND(LadiesList[[#This Row],[First &amp; Last Name]]="",LadiesList[[#This Row],[FISTF Code]]=""),"",IF(LadiesList[[#This Row],[Valide Code ?]],INDEX(Players[Player Name],MATCH(LadiesList[[#This Row],[FISTF Code]],Players[FISTF Code],0)),LadiesList[[#This Row],[First &amp; Last Name]]))</f>
        <v/>
      </c>
      <c r="G74" s="233" t="str">
        <f>IF(LadiesList[[#This Row],[Retained Player Name]]="","",VLOOKUP(LadiesList[[#This Row],[Retained Player Name]],Players[],7,FALSE))</f>
        <v/>
      </c>
      <c r="H74" s="235" t="str">
        <f>IF(LadiesList[[#This Row],[Retained Player Name]]="","",VLOOKUP(LadiesList[[#This Row],[Retained Player Name]],Players[],6,FALSE))</f>
        <v/>
      </c>
      <c r="I74" s="235" t="str">
        <f>IF(LadiesList[[#This Row],[Retained Player Name]]="","",VLOOKUP(LadiesList[[#This Row],[Retained Player Name]],Players[],4,FALSE))</f>
        <v/>
      </c>
      <c r="J7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4" s="231"/>
      <c r="L74" s="231"/>
      <c r="M74" s="7"/>
    </row>
    <row r="75" spans="1:13" s="8" customFormat="1" x14ac:dyDescent="0.2">
      <c r="A75" s="322" t="str">
        <f>IF(AND(LadiesList[[#This Row],[First &amp; Last Name]]="",LadiesList[[#This Row],[FISTF Code]]=""),"",ROW()-ROW($A$11))</f>
        <v/>
      </c>
      <c r="B75" s="323"/>
      <c r="C75" s="437"/>
      <c r="D75" s="422" t="str">
        <f>IF(LadiesList[[#This Row],[First &amp; Last Name]]="","",IFERROR(ISNUMBER(MATCH(LadiesList[[#This Row],[First &amp; Last Name]],Players[Player Name],0)),FALSE))</f>
        <v/>
      </c>
      <c r="E75" s="422" t="b">
        <f>IF(LadiesList[[#This Row],[FISTF Code]]="",FALSE,IFERROR(ISNUMBER(MATCH(LadiesList[[#This Row],[FISTF Code]],Players[FISTF Code],0)),FALSE))</f>
        <v>0</v>
      </c>
      <c r="F75" s="420" t="str">
        <f>IF(AND(LadiesList[[#This Row],[First &amp; Last Name]]="",LadiesList[[#This Row],[FISTF Code]]=""),"",IF(LadiesList[[#This Row],[Valide Code ?]],INDEX(Players[Player Name],MATCH(LadiesList[[#This Row],[FISTF Code]],Players[FISTF Code],0)),LadiesList[[#This Row],[First &amp; Last Name]]))</f>
        <v/>
      </c>
      <c r="G75" s="233" t="str">
        <f>IF(LadiesList[[#This Row],[Retained Player Name]]="","",VLOOKUP(LadiesList[[#This Row],[Retained Player Name]],Players[],7,FALSE))</f>
        <v/>
      </c>
      <c r="H75" s="235" t="str">
        <f>IF(LadiesList[[#This Row],[Retained Player Name]]="","",VLOOKUP(LadiesList[[#This Row],[Retained Player Name]],Players[],6,FALSE))</f>
        <v/>
      </c>
      <c r="I75" s="235" t="str">
        <f>IF(LadiesList[[#This Row],[Retained Player Name]]="","",VLOOKUP(LadiesList[[#This Row],[Retained Player Name]],Players[],4,FALSE))</f>
        <v/>
      </c>
      <c r="J7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5" s="231"/>
      <c r="L75" s="231"/>
      <c r="M75" s="7"/>
    </row>
    <row r="76" spans="1:13" s="8" customFormat="1" x14ac:dyDescent="0.2">
      <c r="A76" s="322" t="str">
        <f>IF(AND(LadiesList[[#This Row],[First &amp; Last Name]]="",LadiesList[[#This Row],[FISTF Code]]=""),"",ROW()-ROW($A$11))</f>
        <v/>
      </c>
      <c r="B76" s="323"/>
      <c r="C76" s="437"/>
      <c r="D76" s="422" t="str">
        <f>IF(LadiesList[[#This Row],[First &amp; Last Name]]="","",IFERROR(ISNUMBER(MATCH(LadiesList[[#This Row],[First &amp; Last Name]],Players[Player Name],0)),FALSE))</f>
        <v/>
      </c>
      <c r="E76" s="422" t="b">
        <f>IF(LadiesList[[#This Row],[FISTF Code]]="",FALSE,IFERROR(ISNUMBER(MATCH(LadiesList[[#This Row],[FISTF Code]],Players[FISTF Code],0)),FALSE))</f>
        <v>0</v>
      </c>
      <c r="F76" s="420" t="str">
        <f>IF(AND(LadiesList[[#This Row],[First &amp; Last Name]]="",LadiesList[[#This Row],[FISTF Code]]=""),"",IF(LadiesList[[#This Row],[Valide Code ?]],INDEX(Players[Player Name],MATCH(LadiesList[[#This Row],[FISTF Code]],Players[FISTF Code],0)),LadiesList[[#This Row],[First &amp; Last Name]]))</f>
        <v/>
      </c>
      <c r="G76" s="233" t="str">
        <f>IF(LadiesList[[#This Row],[Retained Player Name]]="","",VLOOKUP(LadiesList[[#This Row],[Retained Player Name]],Players[],7,FALSE))</f>
        <v/>
      </c>
      <c r="H76" s="235" t="str">
        <f>IF(LadiesList[[#This Row],[Retained Player Name]]="","",VLOOKUP(LadiesList[[#This Row],[Retained Player Name]],Players[],6,FALSE))</f>
        <v/>
      </c>
      <c r="I76" s="235" t="str">
        <f>IF(LadiesList[[#This Row],[Retained Player Name]]="","",VLOOKUP(LadiesList[[#This Row],[Retained Player Name]],Players[],4,FALSE))</f>
        <v/>
      </c>
      <c r="J7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6" s="231"/>
      <c r="L76" s="231"/>
      <c r="M76" s="7"/>
    </row>
    <row r="77" spans="1:13" s="8" customFormat="1" x14ac:dyDescent="0.2">
      <c r="A77" s="322" t="str">
        <f>IF(AND(LadiesList[[#This Row],[First &amp; Last Name]]="",LadiesList[[#This Row],[FISTF Code]]=""),"",ROW()-ROW($A$11))</f>
        <v/>
      </c>
      <c r="B77" s="323"/>
      <c r="C77" s="437"/>
      <c r="D77" s="422" t="str">
        <f>IF(LadiesList[[#This Row],[First &amp; Last Name]]="","",IFERROR(ISNUMBER(MATCH(LadiesList[[#This Row],[First &amp; Last Name]],Players[Player Name],0)),FALSE))</f>
        <v/>
      </c>
      <c r="E77" s="422" t="b">
        <f>IF(LadiesList[[#This Row],[FISTF Code]]="",FALSE,IFERROR(ISNUMBER(MATCH(LadiesList[[#This Row],[FISTF Code]],Players[FISTF Code],0)),FALSE))</f>
        <v>0</v>
      </c>
      <c r="F77" s="420" t="str">
        <f>IF(AND(LadiesList[[#This Row],[First &amp; Last Name]]="",LadiesList[[#This Row],[FISTF Code]]=""),"",IF(LadiesList[[#This Row],[Valide Code ?]],INDEX(Players[Player Name],MATCH(LadiesList[[#This Row],[FISTF Code]],Players[FISTF Code],0)),LadiesList[[#This Row],[First &amp; Last Name]]))</f>
        <v/>
      </c>
      <c r="G77" s="233" t="str">
        <f>IF(LadiesList[[#This Row],[Retained Player Name]]="","",VLOOKUP(LadiesList[[#This Row],[Retained Player Name]],Players[],7,FALSE))</f>
        <v/>
      </c>
      <c r="H77" s="235" t="str">
        <f>IF(LadiesList[[#This Row],[Retained Player Name]]="","",VLOOKUP(LadiesList[[#This Row],[Retained Player Name]],Players[],6,FALSE))</f>
        <v/>
      </c>
      <c r="I77" s="235" t="str">
        <f>IF(LadiesList[[#This Row],[Retained Player Name]]="","",VLOOKUP(LadiesList[[#This Row],[Retained Player Name]],Players[],4,FALSE))</f>
        <v/>
      </c>
      <c r="J7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7" s="231"/>
      <c r="L77" s="231"/>
      <c r="M77" s="7"/>
    </row>
    <row r="78" spans="1:13" s="8" customFormat="1" x14ac:dyDescent="0.2">
      <c r="A78" s="322" t="str">
        <f>IF(AND(LadiesList[[#This Row],[First &amp; Last Name]]="",LadiesList[[#This Row],[FISTF Code]]=""),"",ROW()-ROW($A$11))</f>
        <v/>
      </c>
      <c r="B78" s="323"/>
      <c r="C78" s="437"/>
      <c r="D78" s="422" t="str">
        <f>IF(LadiesList[[#This Row],[First &amp; Last Name]]="","",IFERROR(ISNUMBER(MATCH(LadiesList[[#This Row],[First &amp; Last Name]],Players[Player Name],0)),FALSE))</f>
        <v/>
      </c>
      <c r="E78" s="422" t="b">
        <f>IF(LadiesList[[#This Row],[FISTF Code]]="",FALSE,IFERROR(ISNUMBER(MATCH(LadiesList[[#This Row],[FISTF Code]],Players[FISTF Code],0)),FALSE))</f>
        <v>0</v>
      </c>
      <c r="F78" s="420" t="str">
        <f>IF(AND(LadiesList[[#This Row],[First &amp; Last Name]]="",LadiesList[[#This Row],[FISTF Code]]=""),"",IF(LadiesList[[#This Row],[Valide Code ?]],INDEX(Players[Player Name],MATCH(LadiesList[[#This Row],[FISTF Code]],Players[FISTF Code],0)),LadiesList[[#This Row],[First &amp; Last Name]]))</f>
        <v/>
      </c>
      <c r="G78" s="233" t="str">
        <f>IF(LadiesList[[#This Row],[Retained Player Name]]="","",VLOOKUP(LadiesList[[#This Row],[Retained Player Name]],Players[],7,FALSE))</f>
        <v/>
      </c>
      <c r="H78" s="235" t="str">
        <f>IF(LadiesList[[#This Row],[Retained Player Name]]="","",VLOOKUP(LadiesList[[#This Row],[Retained Player Name]],Players[],6,FALSE))</f>
        <v/>
      </c>
      <c r="I78" s="235" t="str">
        <f>IF(LadiesList[[#This Row],[Retained Player Name]]="","",VLOOKUP(LadiesList[[#This Row],[Retained Player Name]],Players[],4,FALSE))</f>
        <v/>
      </c>
      <c r="J7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8" s="231"/>
      <c r="L78" s="231"/>
      <c r="M78" s="7"/>
    </row>
    <row r="79" spans="1:13" s="8" customFormat="1" x14ac:dyDescent="0.2">
      <c r="A79" s="322" t="str">
        <f>IF(AND(LadiesList[[#This Row],[First &amp; Last Name]]="",LadiesList[[#This Row],[FISTF Code]]=""),"",ROW()-ROW($A$11))</f>
        <v/>
      </c>
      <c r="B79" s="323"/>
      <c r="C79" s="437"/>
      <c r="D79" s="422" t="str">
        <f>IF(LadiesList[[#This Row],[First &amp; Last Name]]="","",IFERROR(ISNUMBER(MATCH(LadiesList[[#This Row],[First &amp; Last Name]],Players[Player Name],0)),FALSE))</f>
        <v/>
      </c>
      <c r="E79" s="422" t="b">
        <f>IF(LadiesList[[#This Row],[FISTF Code]]="",FALSE,IFERROR(ISNUMBER(MATCH(LadiesList[[#This Row],[FISTF Code]],Players[FISTF Code],0)),FALSE))</f>
        <v>0</v>
      </c>
      <c r="F79" s="420" t="str">
        <f>IF(AND(LadiesList[[#This Row],[First &amp; Last Name]]="",LadiesList[[#This Row],[FISTF Code]]=""),"",IF(LadiesList[[#This Row],[Valide Code ?]],INDEX(Players[Player Name],MATCH(LadiesList[[#This Row],[FISTF Code]],Players[FISTF Code],0)),LadiesList[[#This Row],[First &amp; Last Name]]))</f>
        <v/>
      </c>
      <c r="G79" s="233" t="str">
        <f>IF(LadiesList[[#This Row],[Retained Player Name]]="","",VLOOKUP(LadiesList[[#This Row],[Retained Player Name]],Players[],7,FALSE))</f>
        <v/>
      </c>
      <c r="H79" s="235" t="str">
        <f>IF(LadiesList[[#This Row],[Retained Player Name]]="","",VLOOKUP(LadiesList[[#This Row],[Retained Player Name]],Players[],6,FALSE))</f>
        <v/>
      </c>
      <c r="I79" s="235" t="str">
        <f>IF(LadiesList[[#This Row],[Retained Player Name]]="","",VLOOKUP(LadiesList[[#This Row],[Retained Player Name]],Players[],4,FALSE))</f>
        <v/>
      </c>
      <c r="J7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79" s="231"/>
      <c r="L79" s="231"/>
      <c r="M79" s="7"/>
    </row>
    <row r="80" spans="1:13" x14ac:dyDescent="0.2">
      <c r="A80" s="322" t="str">
        <f>IF(AND(LadiesList[[#This Row],[First &amp; Last Name]]="",LadiesList[[#This Row],[FISTF Code]]=""),"",ROW()-ROW($A$11))</f>
        <v/>
      </c>
      <c r="B80" s="323"/>
      <c r="C80" s="437"/>
      <c r="D80" s="422" t="str">
        <f>IF(LadiesList[[#This Row],[First &amp; Last Name]]="","",IFERROR(ISNUMBER(MATCH(LadiesList[[#This Row],[First &amp; Last Name]],Players[Player Name],0)),FALSE))</f>
        <v/>
      </c>
      <c r="E80" s="422" t="b">
        <f>IF(LadiesList[[#This Row],[FISTF Code]]="",FALSE,IFERROR(ISNUMBER(MATCH(LadiesList[[#This Row],[FISTF Code]],Players[FISTF Code],0)),FALSE))</f>
        <v>0</v>
      </c>
      <c r="F80" s="420" t="str">
        <f>IF(AND(LadiesList[[#This Row],[First &amp; Last Name]]="",LadiesList[[#This Row],[FISTF Code]]=""),"",IF(LadiesList[[#This Row],[Valide Code ?]],INDEX(Players[Player Name],MATCH(LadiesList[[#This Row],[FISTF Code]],Players[FISTF Code],0)),LadiesList[[#This Row],[First &amp; Last Name]]))</f>
        <v/>
      </c>
      <c r="G80" s="233" t="str">
        <f>IF(LadiesList[[#This Row],[Retained Player Name]]="","",VLOOKUP(LadiesList[[#This Row],[Retained Player Name]],Players[],7,FALSE))</f>
        <v/>
      </c>
      <c r="H80" s="235" t="str">
        <f>IF(LadiesList[[#This Row],[Retained Player Name]]="","",VLOOKUP(LadiesList[[#This Row],[Retained Player Name]],Players[],6,FALSE))</f>
        <v/>
      </c>
      <c r="I80" s="235" t="str">
        <f>IF(LadiesList[[#This Row],[Retained Player Name]]="","",VLOOKUP(LadiesList[[#This Row],[Retained Player Name]],Players[],4,FALSE))</f>
        <v/>
      </c>
      <c r="J8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0" s="231"/>
      <c r="L80" s="231"/>
    </row>
    <row r="81" spans="1:12" x14ac:dyDescent="0.2">
      <c r="A81" s="322" t="str">
        <f>IF(AND(LadiesList[[#This Row],[First &amp; Last Name]]="",LadiesList[[#This Row],[FISTF Code]]=""),"",ROW()-ROW($A$11))</f>
        <v/>
      </c>
      <c r="B81" s="323"/>
      <c r="C81" s="437"/>
      <c r="D81" s="422" t="str">
        <f>IF(LadiesList[[#This Row],[First &amp; Last Name]]="","",IFERROR(ISNUMBER(MATCH(LadiesList[[#This Row],[First &amp; Last Name]],Players[Player Name],0)),FALSE))</f>
        <v/>
      </c>
      <c r="E81" s="422" t="b">
        <f>IF(LadiesList[[#This Row],[FISTF Code]]="",FALSE,IFERROR(ISNUMBER(MATCH(LadiesList[[#This Row],[FISTF Code]],Players[FISTF Code],0)),FALSE))</f>
        <v>0</v>
      </c>
      <c r="F81" s="420" t="str">
        <f>IF(AND(LadiesList[[#This Row],[First &amp; Last Name]]="",LadiesList[[#This Row],[FISTF Code]]=""),"",IF(LadiesList[[#This Row],[Valide Code ?]],INDEX(Players[Player Name],MATCH(LadiesList[[#This Row],[FISTF Code]],Players[FISTF Code],0)),LadiesList[[#This Row],[First &amp; Last Name]]))</f>
        <v/>
      </c>
      <c r="G81" s="233" t="str">
        <f>IF(LadiesList[[#This Row],[Retained Player Name]]="","",VLOOKUP(LadiesList[[#This Row],[Retained Player Name]],Players[],7,FALSE))</f>
        <v/>
      </c>
      <c r="H81" s="235" t="str">
        <f>IF(LadiesList[[#This Row],[Retained Player Name]]="","",VLOOKUP(LadiesList[[#This Row],[Retained Player Name]],Players[],6,FALSE))</f>
        <v/>
      </c>
      <c r="I81" s="235" t="str">
        <f>IF(LadiesList[[#This Row],[Retained Player Name]]="","",VLOOKUP(LadiesList[[#This Row],[Retained Player Name]],Players[],4,FALSE))</f>
        <v/>
      </c>
      <c r="J8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1" s="231"/>
      <c r="L81" s="231"/>
    </row>
    <row r="82" spans="1:12" x14ac:dyDescent="0.2">
      <c r="A82" s="322" t="str">
        <f>IF(AND(LadiesList[[#This Row],[First &amp; Last Name]]="",LadiesList[[#This Row],[FISTF Code]]=""),"",ROW()-ROW($A$11))</f>
        <v/>
      </c>
      <c r="B82" s="323"/>
      <c r="C82" s="437"/>
      <c r="D82" s="422" t="str">
        <f>IF(LadiesList[[#This Row],[First &amp; Last Name]]="","",IFERROR(ISNUMBER(MATCH(LadiesList[[#This Row],[First &amp; Last Name]],Players[Player Name],0)),FALSE))</f>
        <v/>
      </c>
      <c r="E82" s="422" t="b">
        <f>IF(LadiesList[[#This Row],[FISTF Code]]="",FALSE,IFERROR(ISNUMBER(MATCH(LadiesList[[#This Row],[FISTF Code]],Players[FISTF Code],0)),FALSE))</f>
        <v>0</v>
      </c>
      <c r="F82" s="420" t="str">
        <f>IF(AND(LadiesList[[#This Row],[First &amp; Last Name]]="",LadiesList[[#This Row],[FISTF Code]]=""),"",IF(LadiesList[[#This Row],[Valide Code ?]],INDEX(Players[Player Name],MATCH(LadiesList[[#This Row],[FISTF Code]],Players[FISTF Code],0)),LadiesList[[#This Row],[First &amp; Last Name]]))</f>
        <v/>
      </c>
      <c r="G82" s="233" t="str">
        <f>IF(LadiesList[[#This Row],[Retained Player Name]]="","",VLOOKUP(LadiesList[[#This Row],[Retained Player Name]],Players[],7,FALSE))</f>
        <v/>
      </c>
      <c r="H82" s="235" t="str">
        <f>IF(LadiesList[[#This Row],[Retained Player Name]]="","",VLOOKUP(LadiesList[[#This Row],[Retained Player Name]],Players[],6,FALSE))</f>
        <v/>
      </c>
      <c r="I82" s="235" t="str">
        <f>IF(LadiesList[[#This Row],[Retained Player Name]]="","",VLOOKUP(LadiesList[[#This Row],[Retained Player Name]],Players[],4,FALSE))</f>
        <v/>
      </c>
      <c r="J8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2" s="231"/>
      <c r="L82" s="231"/>
    </row>
    <row r="83" spans="1:12" x14ac:dyDescent="0.2">
      <c r="A83" s="322" t="str">
        <f>IF(AND(LadiesList[[#This Row],[First &amp; Last Name]]="",LadiesList[[#This Row],[FISTF Code]]=""),"",ROW()-ROW($A$11))</f>
        <v/>
      </c>
      <c r="B83" s="323"/>
      <c r="C83" s="437"/>
      <c r="D83" s="422" t="str">
        <f>IF(LadiesList[[#This Row],[First &amp; Last Name]]="","",IFERROR(ISNUMBER(MATCH(LadiesList[[#This Row],[First &amp; Last Name]],Players[Player Name],0)),FALSE))</f>
        <v/>
      </c>
      <c r="E83" s="422" t="b">
        <f>IF(LadiesList[[#This Row],[FISTF Code]]="",FALSE,IFERROR(ISNUMBER(MATCH(LadiesList[[#This Row],[FISTF Code]],Players[FISTF Code],0)),FALSE))</f>
        <v>0</v>
      </c>
      <c r="F83" s="420" t="str">
        <f>IF(AND(LadiesList[[#This Row],[First &amp; Last Name]]="",LadiesList[[#This Row],[FISTF Code]]=""),"",IF(LadiesList[[#This Row],[Valide Code ?]],INDEX(Players[Player Name],MATCH(LadiesList[[#This Row],[FISTF Code]],Players[FISTF Code],0)),LadiesList[[#This Row],[First &amp; Last Name]]))</f>
        <v/>
      </c>
      <c r="G83" s="233" t="str">
        <f>IF(LadiesList[[#This Row],[Retained Player Name]]="","",VLOOKUP(LadiesList[[#This Row],[Retained Player Name]],Players[],7,FALSE))</f>
        <v/>
      </c>
      <c r="H83" s="235" t="str">
        <f>IF(LadiesList[[#This Row],[Retained Player Name]]="","",VLOOKUP(LadiesList[[#This Row],[Retained Player Name]],Players[],6,FALSE))</f>
        <v/>
      </c>
      <c r="I83" s="235" t="str">
        <f>IF(LadiesList[[#This Row],[Retained Player Name]]="","",VLOOKUP(LadiesList[[#This Row],[Retained Player Name]],Players[],4,FALSE))</f>
        <v/>
      </c>
      <c r="J8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3" s="231"/>
      <c r="L83" s="231"/>
    </row>
    <row r="84" spans="1:12" x14ac:dyDescent="0.2">
      <c r="A84" s="322" t="str">
        <f>IF(AND(LadiesList[[#This Row],[First &amp; Last Name]]="",LadiesList[[#This Row],[FISTF Code]]=""),"",ROW()-ROW($A$11))</f>
        <v/>
      </c>
      <c r="B84" s="323"/>
      <c r="C84" s="437"/>
      <c r="D84" s="422" t="str">
        <f>IF(LadiesList[[#This Row],[First &amp; Last Name]]="","",IFERROR(ISNUMBER(MATCH(LadiesList[[#This Row],[First &amp; Last Name]],Players[Player Name],0)),FALSE))</f>
        <v/>
      </c>
      <c r="E84" s="422" t="b">
        <f>IF(LadiesList[[#This Row],[FISTF Code]]="",FALSE,IFERROR(ISNUMBER(MATCH(LadiesList[[#This Row],[FISTF Code]],Players[FISTF Code],0)),FALSE))</f>
        <v>0</v>
      </c>
      <c r="F84" s="420" t="str">
        <f>IF(AND(LadiesList[[#This Row],[First &amp; Last Name]]="",LadiesList[[#This Row],[FISTF Code]]=""),"",IF(LadiesList[[#This Row],[Valide Code ?]],INDEX(Players[Player Name],MATCH(LadiesList[[#This Row],[FISTF Code]],Players[FISTF Code],0)),LadiesList[[#This Row],[First &amp; Last Name]]))</f>
        <v/>
      </c>
      <c r="G84" s="233" t="str">
        <f>IF(LadiesList[[#This Row],[Retained Player Name]]="","",VLOOKUP(LadiesList[[#This Row],[Retained Player Name]],Players[],7,FALSE))</f>
        <v/>
      </c>
      <c r="H84" s="235" t="str">
        <f>IF(LadiesList[[#This Row],[Retained Player Name]]="","",VLOOKUP(LadiesList[[#This Row],[Retained Player Name]],Players[],6,FALSE))</f>
        <v/>
      </c>
      <c r="I84" s="235" t="str">
        <f>IF(LadiesList[[#This Row],[Retained Player Name]]="","",VLOOKUP(LadiesList[[#This Row],[Retained Player Name]],Players[],4,FALSE))</f>
        <v/>
      </c>
      <c r="J8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4" s="231"/>
      <c r="L84" s="231"/>
    </row>
    <row r="85" spans="1:12" x14ac:dyDescent="0.2">
      <c r="A85" s="322" t="str">
        <f>IF(AND(LadiesList[[#This Row],[First &amp; Last Name]]="",LadiesList[[#This Row],[FISTF Code]]=""),"",ROW()-ROW($A$11))</f>
        <v/>
      </c>
      <c r="B85" s="323"/>
      <c r="C85" s="437"/>
      <c r="D85" s="422" t="str">
        <f>IF(LadiesList[[#This Row],[First &amp; Last Name]]="","",IFERROR(ISNUMBER(MATCH(LadiesList[[#This Row],[First &amp; Last Name]],Players[Player Name],0)),FALSE))</f>
        <v/>
      </c>
      <c r="E85" s="422" t="b">
        <f>IF(LadiesList[[#This Row],[FISTF Code]]="",FALSE,IFERROR(ISNUMBER(MATCH(LadiesList[[#This Row],[FISTF Code]],Players[FISTF Code],0)),FALSE))</f>
        <v>0</v>
      </c>
      <c r="F85" s="420" t="str">
        <f>IF(AND(LadiesList[[#This Row],[First &amp; Last Name]]="",LadiesList[[#This Row],[FISTF Code]]=""),"",IF(LadiesList[[#This Row],[Valide Code ?]],INDEX(Players[Player Name],MATCH(LadiesList[[#This Row],[FISTF Code]],Players[FISTF Code],0)),LadiesList[[#This Row],[First &amp; Last Name]]))</f>
        <v/>
      </c>
      <c r="G85" s="233" t="str">
        <f>IF(LadiesList[[#This Row],[Retained Player Name]]="","",VLOOKUP(LadiesList[[#This Row],[Retained Player Name]],Players[],7,FALSE))</f>
        <v/>
      </c>
      <c r="H85" s="235" t="str">
        <f>IF(LadiesList[[#This Row],[Retained Player Name]]="","",VLOOKUP(LadiesList[[#This Row],[Retained Player Name]],Players[],6,FALSE))</f>
        <v/>
      </c>
      <c r="I85" s="235" t="str">
        <f>IF(LadiesList[[#This Row],[Retained Player Name]]="","",VLOOKUP(LadiesList[[#This Row],[Retained Player Name]],Players[],4,FALSE))</f>
        <v/>
      </c>
      <c r="J8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5" s="231"/>
      <c r="L85" s="231"/>
    </row>
    <row r="86" spans="1:12" x14ac:dyDescent="0.2">
      <c r="A86" s="322" t="str">
        <f>IF(AND(LadiesList[[#This Row],[First &amp; Last Name]]="",LadiesList[[#This Row],[FISTF Code]]=""),"",ROW()-ROW($A$11))</f>
        <v/>
      </c>
      <c r="B86" s="323"/>
      <c r="C86" s="437"/>
      <c r="D86" s="422" t="str">
        <f>IF(LadiesList[[#This Row],[First &amp; Last Name]]="","",IFERROR(ISNUMBER(MATCH(LadiesList[[#This Row],[First &amp; Last Name]],Players[Player Name],0)),FALSE))</f>
        <v/>
      </c>
      <c r="E86" s="422" t="b">
        <f>IF(LadiesList[[#This Row],[FISTF Code]]="",FALSE,IFERROR(ISNUMBER(MATCH(LadiesList[[#This Row],[FISTF Code]],Players[FISTF Code],0)),FALSE))</f>
        <v>0</v>
      </c>
      <c r="F86" s="420" t="str">
        <f>IF(AND(LadiesList[[#This Row],[First &amp; Last Name]]="",LadiesList[[#This Row],[FISTF Code]]=""),"",IF(LadiesList[[#This Row],[Valide Code ?]],INDEX(Players[Player Name],MATCH(LadiesList[[#This Row],[FISTF Code]],Players[FISTF Code],0)),LadiesList[[#This Row],[First &amp; Last Name]]))</f>
        <v/>
      </c>
      <c r="G86" s="233" t="str">
        <f>IF(LadiesList[[#This Row],[Retained Player Name]]="","",VLOOKUP(LadiesList[[#This Row],[Retained Player Name]],Players[],7,FALSE))</f>
        <v/>
      </c>
      <c r="H86" s="235" t="str">
        <f>IF(LadiesList[[#This Row],[Retained Player Name]]="","",VLOOKUP(LadiesList[[#This Row],[Retained Player Name]],Players[],6,FALSE))</f>
        <v/>
      </c>
      <c r="I86" s="235" t="str">
        <f>IF(LadiesList[[#This Row],[Retained Player Name]]="","",VLOOKUP(LadiesList[[#This Row],[Retained Player Name]],Players[],4,FALSE))</f>
        <v/>
      </c>
      <c r="J8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6" s="231"/>
      <c r="L86" s="231"/>
    </row>
    <row r="87" spans="1:12" x14ac:dyDescent="0.2">
      <c r="A87" s="322" t="str">
        <f>IF(AND(LadiesList[[#This Row],[First &amp; Last Name]]="",LadiesList[[#This Row],[FISTF Code]]=""),"",ROW()-ROW($A$11))</f>
        <v/>
      </c>
      <c r="B87" s="323"/>
      <c r="C87" s="437"/>
      <c r="D87" s="422" t="str">
        <f>IF(LadiesList[[#This Row],[First &amp; Last Name]]="","",IFERROR(ISNUMBER(MATCH(LadiesList[[#This Row],[First &amp; Last Name]],Players[Player Name],0)),FALSE))</f>
        <v/>
      </c>
      <c r="E87" s="422" t="b">
        <f>IF(LadiesList[[#This Row],[FISTF Code]]="",FALSE,IFERROR(ISNUMBER(MATCH(LadiesList[[#This Row],[FISTF Code]],Players[FISTF Code],0)),FALSE))</f>
        <v>0</v>
      </c>
      <c r="F87" s="420" t="str">
        <f>IF(AND(LadiesList[[#This Row],[First &amp; Last Name]]="",LadiesList[[#This Row],[FISTF Code]]=""),"",IF(LadiesList[[#This Row],[Valide Code ?]],INDEX(Players[Player Name],MATCH(LadiesList[[#This Row],[FISTF Code]],Players[FISTF Code],0)),LadiesList[[#This Row],[First &amp; Last Name]]))</f>
        <v/>
      </c>
      <c r="G87" s="233" t="str">
        <f>IF(LadiesList[[#This Row],[Retained Player Name]]="","",VLOOKUP(LadiesList[[#This Row],[Retained Player Name]],Players[],7,FALSE))</f>
        <v/>
      </c>
      <c r="H87" s="235" t="str">
        <f>IF(LadiesList[[#This Row],[Retained Player Name]]="","",VLOOKUP(LadiesList[[#This Row],[Retained Player Name]],Players[],6,FALSE))</f>
        <v/>
      </c>
      <c r="I87" s="235" t="str">
        <f>IF(LadiesList[[#This Row],[Retained Player Name]]="","",VLOOKUP(LadiesList[[#This Row],[Retained Player Name]],Players[],4,FALSE))</f>
        <v/>
      </c>
      <c r="J8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7" s="231"/>
      <c r="L87" s="231"/>
    </row>
    <row r="88" spans="1:12" x14ac:dyDescent="0.2">
      <c r="A88" s="322" t="str">
        <f>IF(AND(LadiesList[[#This Row],[First &amp; Last Name]]="",LadiesList[[#This Row],[FISTF Code]]=""),"",ROW()-ROW($A$11))</f>
        <v/>
      </c>
      <c r="B88" s="323"/>
      <c r="C88" s="437"/>
      <c r="D88" s="422" t="str">
        <f>IF(LadiesList[[#This Row],[First &amp; Last Name]]="","",IFERROR(ISNUMBER(MATCH(LadiesList[[#This Row],[First &amp; Last Name]],Players[Player Name],0)),FALSE))</f>
        <v/>
      </c>
      <c r="E88" s="422" t="b">
        <f>IF(LadiesList[[#This Row],[FISTF Code]]="",FALSE,IFERROR(ISNUMBER(MATCH(LadiesList[[#This Row],[FISTF Code]],Players[FISTF Code],0)),FALSE))</f>
        <v>0</v>
      </c>
      <c r="F88" s="420" t="str">
        <f>IF(AND(LadiesList[[#This Row],[First &amp; Last Name]]="",LadiesList[[#This Row],[FISTF Code]]=""),"",IF(LadiesList[[#This Row],[Valide Code ?]],INDEX(Players[Player Name],MATCH(LadiesList[[#This Row],[FISTF Code]],Players[FISTF Code],0)),LadiesList[[#This Row],[First &amp; Last Name]]))</f>
        <v/>
      </c>
      <c r="G88" s="233" t="str">
        <f>IF(LadiesList[[#This Row],[Retained Player Name]]="","",VLOOKUP(LadiesList[[#This Row],[Retained Player Name]],Players[],7,FALSE))</f>
        <v/>
      </c>
      <c r="H88" s="235" t="str">
        <f>IF(LadiesList[[#This Row],[Retained Player Name]]="","",VLOOKUP(LadiesList[[#This Row],[Retained Player Name]],Players[],6,FALSE))</f>
        <v/>
      </c>
      <c r="I88" s="235" t="str">
        <f>IF(LadiesList[[#This Row],[Retained Player Name]]="","",VLOOKUP(LadiesList[[#This Row],[Retained Player Name]],Players[],4,FALSE))</f>
        <v/>
      </c>
      <c r="J8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8" s="231"/>
      <c r="L88" s="231"/>
    </row>
    <row r="89" spans="1:12" x14ac:dyDescent="0.2">
      <c r="A89" s="322" t="str">
        <f>IF(AND(LadiesList[[#This Row],[First &amp; Last Name]]="",LadiesList[[#This Row],[FISTF Code]]=""),"",ROW()-ROW($A$11))</f>
        <v/>
      </c>
      <c r="B89" s="323"/>
      <c r="C89" s="437"/>
      <c r="D89" s="422" t="str">
        <f>IF(LadiesList[[#This Row],[First &amp; Last Name]]="","",IFERROR(ISNUMBER(MATCH(LadiesList[[#This Row],[First &amp; Last Name]],Players[Player Name],0)),FALSE))</f>
        <v/>
      </c>
      <c r="E89" s="422" t="b">
        <f>IF(LadiesList[[#This Row],[FISTF Code]]="",FALSE,IFERROR(ISNUMBER(MATCH(LadiesList[[#This Row],[FISTF Code]],Players[FISTF Code],0)),FALSE))</f>
        <v>0</v>
      </c>
      <c r="F89" s="420" t="str">
        <f>IF(AND(LadiesList[[#This Row],[First &amp; Last Name]]="",LadiesList[[#This Row],[FISTF Code]]=""),"",IF(LadiesList[[#This Row],[Valide Code ?]],INDEX(Players[Player Name],MATCH(LadiesList[[#This Row],[FISTF Code]],Players[FISTF Code],0)),LadiesList[[#This Row],[First &amp; Last Name]]))</f>
        <v/>
      </c>
      <c r="G89" s="233" t="str">
        <f>IF(LadiesList[[#This Row],[Retained Player Name]]="","",VLOOKUP(LadiesList[[#This Row],[Retained Player Name]],Players[],7,FALSE))</f>
        <v/>
      </c>
      <c r="H89" s="235" t="str">
        <f>IF(LadiesList[[#This Row],[Retained Player Name]]="","",VLOOKUP(LadiesList[[#This Row],[Retained Player Name]],Players[],6,FALSE))</f>
        <v/>
      </c>
      <c r="I89" s="235" t="str">
        <f>IF(LadiesList[[#This Row],[Retained Player Name]]="","",VLOOKUP(LadiesList[[#This Row],[Retained Player Name]],Players[],4,FALSE))</f>
        <v/>
      </c>
      <c r="J8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89" s="231"/>
      <c r="L89" s="231"/>
    </row>
    <row r="90" spans="1:12" x14ac:dyDescent="0.2">
      <c r="A90" s="322" t="str">
        <f>IF(AND(LadiesList[[#This Row],[First &amp; Last Name]]="",LadiesList[[#This Row],[FISTF Code]]=""),"",ROW()-ROW($A$11))</f>
        <v/>
      </c>
      <c r="B90" s="323"/>
      <c r="C90" s="437"/>
      <c r="D90" s="422" t="str">
        <f>IF(LadiesList[[#This Row],[First &amp; Last Name]]="","",IFERROR(ISNUMBER(MATCH(LadiesList[[#This Row],[First &amp; Last Name]],Players[Player Name],0)),FALSE))</f>
        <v/>
      </c>
      <c r="E90" s="422" t="b">
        <f>IF(LadiesList[[#This Row],[FISTF Code]]="",FALSE,IFERROR(ISNUMBER(MATCH(LadiesList[[#This Row],[FISTF Code]],Players[FISTF Code],0)),FALSE))</f>
        <v>0</v>
      </c>
      <c r="F90" s="420" t="str">
        <f>IF(AND(LadiesList[[#This Row],[First &amp; Last Name]]="",LadiesList[[#This Row],[FISTF Code]]=""),"",IF(LadiesList[[#This Row],[Valide Code ?]],INDEX(Players[Player Name],MATCH(LadiesList[[#This Row],[FISTF Code]],Players[FISTF Code],0)),LadiesList[[#This Row],[First &amp; Last Name]]))</f>
        <v/>
      </c>
      <c r="G90" s="233" t="str">
        <f>IF(LadiesList[[#This Row],[Retained Player Name]]="","",VLOOKUP(LadiesList[[#This Row],[Retained Player Name]],Players[],7,FALSE))</f>
        <v/>
      </c>
      <c r="H90" s="235" t="str">
        <f>IF(LadiesList[[#This Row],[Retained Player Name]]="","",VLOOKUP(LadiesList[[#This Row],[Retained Player Name]],Players[],6,FALSE))</f>
        <v/>
      </c>
      <c r="I90" s="235" t="str">
        <f>IF(LadiesList[[#This Row],[Retained Player Name]]="","",VLOOKUP(LadiesList[[#This Row],[Retained Player Name]],Players[],4,FALSE))</f>
        <v/>
      </c>
      <c r="J9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0" s="231"/>
      <c r="L90" s="231"/>
    </row>
    <row r="91" spans="1:12" x14ac:dyDescent="0.2">
      <c r="A91" s="322" t="str">
        <f>IF(AND(LadiesList[[#This Row],[First &amp; Last Name]]="",LadiesList[[#This Row],[FISTF Code]]=""),"",ROW()-ROW($A$11))</f>
        <v/>
      </c>
      <c r="B91" s="323"/>
      <c r="C91" s="437"/>
      <c r="D91" s="422" t="str">
        <f>IF(LadiesList[[#This Row],[First &amp; Last Name]]="","",IFERROR(ISNUMBER(MATCH(LadiesList[[#This Row],[First &amp; Last Name]],Players[Player Name],0)),FALSE))</f>
        <v/>
      </c>
      <c r="E91" s="422" t="b">
        <f>IF(LadiesList[[#This Row],[FISTF Code]]="",FALSE,IFERROR(ISNUMBER(MATCH(LadiesList[[#This Row],[FISTF Code]],Players[FISTF Code],0)),FALSE))</f>
        <v>0</v>
      </c>
      <c r="F91" s="420" t="str">
        <f>IF(AND(LadiesList[[#This Row],[First &amp; Last Name]]="",LadiesList[[#This Row],[FISTF Code]]=""),"",IF(LadiesList[[#This Row],[Valide Code ?]],INDEX(Players[Player Name],MATCH(LadiesList[[#This Row],[FISTF Code]],Players[FISTF Code],0)),LadiesList[[#This Row],[First &amp; Last Name]]))</f>
        <v/>
      </c>
      <c r="G91" s="233" t="str">
        <f>IF(LadiesList[[#This Row],[Retained Player Name]]="","",VLOOKUP(LadiesList[[#This Row],[Retained Player Name]],Players[],7,FALSE))</f>
        <v/>
      </c>
      <c r="H91" s="235" t="str">
        <f>IF(LadiesList[[#This Row],[Retained Player Name]]="","",VLOOKUP(LadiesList[[#This Row],[Retained Player Name]],Players[],6,FALSE))</f>
        <v/>
      </c>
      <c r="I91" s="235" t="str">
        <f>IF(LadiesList[[#This Row],[Retained Player Name]]="","",VLOOKUP(LadiesList[[#This Row],[Retained Player Name]],Players[],4,FALSE))</f>
        <v/>
      </c>
      <c r="J9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1" s="231"/>
      <c r="L91" s="231"/>
    </row>
    <row r="92" spans="1:12" x14ac:dyDescent="0.2">
      <c r="A92" s="322" t="str">
        <f>IF(AND(LadiesList[[#This Row],[First &amp; Last Name]]="",LadiesList[[#This Row],[FISTF Code]]=""),"",ROW()-ROW($A$11))</f>
        <v/>
      </c>
      <c r="B92" s="323"/>
      <c r="C92" s="437"/>
      <c r="D92" s="422" t="str">
        <f>IF(LadiesList[[#This Row],[First &amp; Last Name]]="","",IFERROR(ISNUMBER(MATCH(LadiesList[[#This Row],[First &amp; Last Name]],Players[Player Name],0)),FALSE))</f>
        <v/>
      </c>
      <c r="E92" s="422" t="b">
        <f>IF(LadiesList[[#This Row],[FISTF Code]]="",FALSE,IFERROR(ISNUMBER(MATCH(LadiesList[[#This Row],[FISTF Code]],Players[FISTF Code],0)),FALSE))</f>
        <v>0</v>
      </c>
      <c r="F92" s="420" t="str">
        <f>IF(AND(LadiesList[[#This Row],[First &amp; Last Name]]="",LadiesList[[#This Row],[FISTF Code]]=""),"",IF(LadiesList[[#This Row],[Valide Code ?]],INDEX(Players[Player Name],MATCH(LadiesList[[#This Row],[FISTF Code]],Players[FISTF Code],0)),LadiesList[[#This Row],[First &amp; Last Name]]))</f>
        <v/>
      </c>
      <c r="G92" s="233" t="str">
        <f>IF(LadiesList[[#This Row],[Retained Player Name]]="","",VLOOKUP(LadiesList[[#This Row],[Retained Player Name]],Players[],7,FALSE))</f>
        <v/>
      </c>
      <c r="H92" s="235" t="str">
        <f>IF(LadiesList[[#This Row],[Retained Player Name]]="","",VLOOKUP(LadiesList[[#This Row],[Retained Player Name]],Players[],6,FALSE))</f>
        <v/>
      </c>
      <c r="I92" s="235" t="str">
        <f>IF(LadiesList[[#This Row],[Retained Player Name]]="","",VLOOKUP(LadiesList[[#This Row],[Retained Player Name]],Players[],4,FALSE))</f>
        <v/>
      </c>
      <c r="J9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2" s="231"/>
      <c r="L92" s="231"/>
    </row>
    <row r="93" spans="1:12" x14ac:dyDescent="0.2">
      <c r="A93" s="322" t="str">
        <f>IF(AND(LadiesList[[#This Row],[First &amp; Last Name]]="",LadiesList[[#This Row],[FISTF Code]]=""),"",ROW()-ROW($A$11))</f>
        <v/>
      </c>
      <c r="B93" s="323"/>
      <c r="C93" s="437"/>
      <c r="D93" s="422" t="str">
        <f>IF(LadiesList[[#This Row],[First &amp; Last Name]]="","",IFERROR(ISNUMBER(MATCH(LadiesList[[#This Row],[First &amp; Last Name]],Players[Player Name],0)),FALSE))</f>
        <v/>
      </c>
      <c r="E93" s="422" t="b">
        <f>IF(LadiesList[[#This Row],[FISTF Code]]="",FALSE,IFERROR(ISNUMBER(MATCH(LadiesList[[#This Row],[FISTF Code]],Players[FISTF Code],0)),FALSE))</f>
        <v>0</v>
      </c>
      <c r="F93" s="420" t="str">
        <f>IF(AND(LadiesList[[#This Row],[First &amp; Last Name]]="",LadiesList[[#This Row],[FISTF Code]]=""),"",IF(LadiesList[[#This Row],[Valide Code ?]],INDEX(Players[Player Name],MATCH(LadiesList[[#This Row],[FISTF Code]],Players[FISTF Code],0)),LadiesList[[#This Row],[First &amp; Last Name]]))</f>
        <v/>
      </c>
      <c r="G93" s="233" t="str">
        <f>IF(LadiesList[[#This Row],[Retained Player Name]]="","",VLOOKUP(LadiesList[[#This Row],[Retained Player Name]],Players[],7,FALSE))</f>
        <v/>
      </c>
      <c r="H93" s="235" t="str">
        <f>IF(LadiesList[[#This Row],[Retained Player Name]]="","",VLOOKUP(LadiesList[[#This Row],[Retained Player Name]],Players[],6,FALSE))</f>
        <v/>
      </c>
      <c r="I93" s="235" t="str">
        <f>IF(LadiesList[[#This Row],[Retained Player Name]]="","",VLOOKUP(LadiesList[[#This Row],[Retained Player Name]],Players[],4,FALSE))</f>
        <v/>
      </c>
      <c r="J9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3" s="231"/>
      <c r="L93" s="231"/>
    </row>
    <row r="94" spans="1:12" x14ac:dyDescent="0.2">
      <c r="A94" s="322" t="str">
        <f>IF(AND(LadiesList[[#This Row],[First &amp; Last Name]]="",LadiesList[[#This Row],[FISTF Code]]=""),"",ROW()-ROW($A$11))</f>
        <v/>
      </c>
      <c r="B94" s="323"/>
      <c r="C94" s="437"/>
      <c r="D94" s="422" t="str">
        <f>IF(LadiesList[[#This Row],[First &amp; Last Name]]="","",IFERROR(ISNUMBER(MATCH(LadiesList[[#This Row],[First &amp; Last Name]],Players[Player Name],0)),FALSE))</f>
        <v/>
      </c>
      <c r="E94" s="422" t="b">
        <f>IF(LadiesList[[#This Row],[FISTF Code]]="",FALSE,IFERROR(ISNUMBER(MATCH(LadiesList[[#This Row],[FISTF Code]],Players[FISTF Code],0)),FALSE))</f>
        <v>0</v>
      </c>
      <c r="F94" s="420" t="str">
        <f>IF(AND(LadiesList[[#This Row],[First &amp; Last Name]]="",LadiesList[[#This Row],[FISTF Code]]=""),"",IF(LadiesList[[#This Row],[Valide Code ?]],INDEX(Players[Player Name],MATCH(LadiesList[[#This Row],[FISTF Code]],Players[FISTF Code],0)),LadiesList[[#This Row],[First &amp; Last Name]]))</f>
        <v/>
      </c>
      <c r="G94" s="233" t="str">
        <f>IF(LadiesList[[#This Row],[Retained Player Name]]="","",VLOOKUP(LadiesList[[#This Row],[Retained Player Name]],Players[],7,FALSE))</f>
        <v/>
      </c>
      <c r="H94" s="235" t="str">
        <f>IF(LadiesList[[#This Row],[Retained Player Name]]="","",VLOOKUP(LadiesList[[#This Row],[Retained Player Name]],Players[],6,FALSE))</f>
        <v/>
      </c>
      <c r="I94" s="235" t="str">
        <f>IF(LadiesList[[#This Row],[Retained Player Name]]="","",VLOOKUP(LadiesList[[#This Row],[Retained Player Name]],Players[],4,FALSE))</f>
        <v/>
      </c>
      <c r="J9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4" s="231"/>
      <c r="L94" s="231"/>
    </row>
    <row r="95" spans="1:12" x14ac:dyDescent="0.2">
      <c r="A95" s="322" t="str">
        <f>IF(AND(LadiesList[[#This Row],[First &amp; Last Name]]="",LadiesList[[#This Row],[FISTF Code]]=""),"",ROW()-ROW($A$11))</f>
        <v/>
      </c>
      <c r="B95" s="323"/>
      <c r="C95" s="437"/>
      <c r="D95" s="422" t="str">
        <f>IF(LadiesList[[#This Row],[First &amp; Last Name]]="","",IFERROR(ISNUMBER(MATCH(LadiesList[[#This Row],[First &amp; Last Name]],Players[Player Name],0)),FALSE))</f>
        <v/>
      </c>
      <c r="E95" s="422" t="b">
        <f>IF(LadiesList[[#This Row],[FISTF Code]]="",FALSE,IFERROR(ISNUMBER(MATCH(LadiesList[[#This Row],[FISTF Code]],Players[FISTF Code],0)),FALSE))</f>
        <v>0</v>
      </c>
      <c r="F95" s="420" t="str">
        <f>IF(AND(LadiesList[[#This Row],[First &amp; Last Name]]="",LadiesList[[#This Row],[FISTF Code]]=""),"",IF(LadiesList[[#This Row],[Valide Code ?]],INDEX(Players[Player Name],MATCH(LadiesList[[#This Row],[FISTF Code]],Players[FISTF Code],0)),LadiesList[[#This Row],[First &amp; Last Name]]))</f>
        <v/>
      </c>
      <c r="G95" s="233" t="str">
        <f>IF(LadiesList[[#This Row],[Retained Player Name]]="","",VLOOKUP(LadiesList[[#This Row],[Retained Player Name]],Players[],7,FALSE))</f>
        <v/>
      </c>
      <c r="H95" s="235" t="str">
        <f>IF(LadiesList[[#This Row],[Retained Player Name]]="","",VLOOKUP(LadiesList[[#This Row],[Retained Player Name]],Players[],6,FALSE))</f>
        <v/>
      </c>
      <c r="I95" s="235" t="str">
        <f>IF(LadiesList[[#This Row],[Retained Player Name]]="","",VLOOKUP(LadiesList[[#This Row],[Retained Player Name]],Players[],4,FALSE))</f>
        <v/>
      </c>
      <c r="J9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5" s="231"/>
      <c r="L95" s="231"/>
    </row>
    <row r="96" spans="1:12" x14ac:dyDescent="0.2">
      <c r="A96" s="322" t="str">
        <f>IF(AND(LadiesList[[#This Row],[First &amp; Last Name]]="",LadiesList[[#This Row],[FISTF Code]]=""),"",ROW()-ROW($A$11))</f>
        <v/>
      </c>
      <c r="B96" s="323"/>
      <c r="C96" s="437"/>
      <c r="D96" s="422" t="str">
        <f>IF(LadiesList[[#This Row],[First &amp; Last Name]]="","",IFERROR(ISNUMBER(MATCH(LadiesList[[#This Row],[First &amp; Last Name]],Players[Player Name],0)),FALSE))</f>
        <v/>
      </c>
      <c r="E96" s="422" t="b">
        <f>IF(LadiesList[[#This Row],[FISTF Code]]="",FALSE,IFERROR(ISNUMBER(MATCH(LadiesList[[#This Row],[FISTF Code]],Players[FISTF Code],0)),FALSE))</f>
        <v>0</v>
      </c>
      <c r="F96" s="420" t="str">
        <f>IF(AND(LadiesList[[#This Row],[First &amp; Last Name]]="",LadiesList[[#This Row],[FISTF Code]]=""),"",IF(LadiesList[[#This Row],[Valide Code ?]],INDEX(Players[Player Name],MATCH(LadiesList[[#This Row],[FISTF Code]],Players[FISTF Code],0)),LadiesList[[#This Row],[First &amp; Last Name]]))</f>
        <v/>
      </c>
      <c r="G96" s="233" t="str">
        <f>IF(LadiesList[[#This Row],[Retained Player Name]]="","",VLOOKUP(LadiesList[[#This Row],[Retained Player Name]],Players[],7,FALSE))</f>
        <v/>
      </c>
      <c r="H96" s="235" t="str">
        <f>IF(LadiesList[[#This Row],[Retained Player Name]]="","",VLOOKUP(LadiesList[[#This Row],[Retained Player Name]],Players[],6,FALSE))</f>
        <v/>
      </c>
      <c r="I96" s="235" t="str">
        <f>IF(LadiesList[[#This Row],[Retained Player Name]]="","",VLOOKUP(LadiesList[[#This Row],[Retained Player Name]],Players[],4,FALSE))</f>
        <v/>
      </c>
      <c r="J9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6" s="231"/>
      <c r="L96" s="231"/>
    </row>
    <row r="97" spans="1:12" x14ac:dyDescent="0.2">
      <c r="A97" s="322" t="str">
        <f>IF(AND(LadiesList[[#This Row],[First &amp; Last Name]]="",LadiesList[[#This Row],[FISTF Code]]=""),"",ROW()-ROW($A$11))</f>
        <v/>
      </c>
      <c r="B97" s="323"/>
      <c r="C97" s="437"/>
      <c r="D97" s="422" t="str">
        <f>IF(LadiesList[[#This Row],[First &amp; Last Name]]="","",IFERROR(ISNUMBER(MATCH(LadiesList[[#This Row],[First &amp; Last Name]],Players[Player Name],0)),FALSE))</f>
        <v/>
      </c>
      <c r="E97" s="422" t="b">
        <f>IF(LadiesList[[#This Row],[FISTF Code]]="",FALSE,IFERROR(ISNUMBER(MATCH(LadiesList[[#This Row],[FISTF Code]],Players[FISTF Code],0)),FALSE))</f>
        <v>0</v>
      </c>
      <c r="F97" s="420" t="str">
        <f>IF(AND(LadiesList[[#This Row],[First &amp; Last Name]]="",LadiesList[[#This Row],[FISTF Code]]=""),"",IF(LadiesList[[#This Row],[Valide Code ?]],INDEX(Players[Player Name],MATCH(LadiesList[[#This Row],[FISTF Code]],Players[FISTF Code],0)),LadiesList[[#This Row],[First &amp; Last Name]]))</f>
        <v/>
      </c>
      <c r="G97" s="233" t="str">
        <f>IF(LadiesList[[#This Row],[Retained Player Name]]="","",VLOOKUP(LadiesList[[#This Row],[Retained Player Name]],Players[],7,FALSE))</f>
        <v/>
      </c>
      <c r="H97" s="235" t="str">
        <f>IF(LadiesList[[#This Row],[Retained Player Name]]="","",VLOOKUP(LadiesList[[#This Row],[Retained Player Name]],Players[],6,FALSE))</f>
        <v/>
      </c>
      <c r="I97" s="235" t="str">
        <f>IF(LadiesList[[#This Row],[Retained Player Name]]="","",VLOOKUP(LadiesList[[#This Row],[Retained Player Name]],Players[],4,FALSE))</f>
        <v/>
      </c>
      <c r="J9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7" s="231"/>
      <c r="L97" s="231"/>
    </row>
    <row r="98" spans="1:12" x14ac:dyDescent="0.2">
      <c r="A98" s="322" t="str">
        <f>IF(AND(LadiesList[[#This Row],[First &amp; Last Name]]="",LadiesList[[#This Row],[FISTF Code]]=""),"",ROW()-ROW($A$11))</f>
        <v/>
      </c>
      <c r="B98" s="323"/>
      <c r="C98" s="437"/>
      <c r="D98" s="422" t="str">
        <f>IF(LadiesList[[#This Row],[First &amp; Last Name]]="","",IFERROR(ISNUMBER(MATCH(LadiesList[[#This Row],[First &amp; Last Name]],Players[Player Name],0)),FALSE))</f>
        <v/>
      </c>
      <c r="E98" s="422" t="b">
        <f>IF(LadiesList[[#This Row],[FISTF Code]]="",FALSE,IFERROR(ISNUMBER(MATCH(LadiesList[[#This Row],[FISTF Code]],Players[FISTF Code],0)),FALSE))</f>
        <v>0</v>
      </c>
      <c r="F98" s="420" t="str">
        <f>IF(AND(LadiesList[[#This Row],[First &amp; Last Name]]="",LadiesList[[#This Row],[FISTF Code]]=""),"",IF(LadiesList[[#This Row],[Valide Code ?]],INDEX(Players[Player Name],MATCH(LadiesList[[#This Row],[FISTF Code]],Players[FISTF Code],0)),LadiesList[[#This Row],[First &amp; Last Name]]))</f>
        <v/>
      </c>
      <c r="G98" s="233" t="str">
        <f>IF(LadiesList[[#This Row],[Retained Player Name]]="","",VLOOKUP(LadiesList[[#This Row],[Retained Player Name]],Players[],7,FALSE))</f>
        <v/>
      </c>
      <c r="H98" s="235" t="str">
        <f>IF(LadiesList[[#This Row],[Retained Player Name]]="","",VLOOKUP(LadiesList[[#This Row],[Retained Player Name]],Players[],6,FALSE))</f>
        <v/>
      </c>
      <c r="I98" s="235" t="str">
        <f>IF(LadiesList[[#This Row],[Retained Player Name]]="","",VLOOKUP(LadiesList[[#This Row],[Retained Player Name]],Players[],4,FALSE))</f>
        <v/>
      </c>
      <c r="J9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8" s="231"/>
      <c r="L98" s="231"/>
    </row>
    <row r="99" spans="1:12" x14ac:dyDescent="0.2">
      <c r="A99" s="322" t="str">
        <f>IF(AND(LadiesList[[#This Row],[First &amp; Last Name]]="",LadiesList[[#This Row],[FISTF Code]]=""),"",ROW()-ROW($A$11))</f>
        <v/>
      </c>
      <c r="B99" s="323"/>
      <c r="C99" s="437"/>
      <c r="D99" s="422" t="str">
        <f>IF(LadiesList[[#This Row],[First &amp; Last Name]]="","",IFERROR(ISNUMBER(MATCH(LadiesList[[#This Row],[First &amp; Last Name]],Players[Player Name],0)),FALSE))</f>
        <v/>
      </c>
      <c r="E99" s="422" t="b">
        <f>IF(LadiesList[[#This Row],[FISTF Code]]="",FALSE,IFERROR(ISNUMBER(MATCH(LadiesList[[#This Row],[FISTF Code]],Players[FISTF Code],0)),FALSE))</f>
        <v>0</v>
      </c>
      <c r="F99" s="420" t="str">
        <f>IF(AND(LadiesList[[#This Row],[First &amp; Last Name]]="",LadiesList[[#This Row],[FISTF Code]]=""),"",IF(LadiesList[[#This Row],[Valide Code ?]],INDEX(Players[Player Name],MATCH(LadiesList[[#This Row],[FISTF Code]],Players[FISTF Code],0)),LadiesList[[#This Row],[First &amp; Last Name]]))</f>
        <v/>
      </c>
      <c r="G99" s="233" t="str">
        <f>IF(LadiesList[[#This Row],[Retained Player Name]]="","",VLOOKUP(LadiesList[[#This Row],[Retained Player Name]],Players[],7,FALSE))</f>
        <v/>
      </c>
      <c r="H99" s="235" t="str">
        <f>IF(LadiesList[[#This Row],[Retained Player Name]]="","",VLOOKUP(LadiesList[[#This Row],[Retained Player Name]],Players[],6,FALSE))</f>
        <v/>
      </c>
      <c r="I99" s="235" t="str">
        <f>IF(LadiesList[[#This Row],[Retained Player Name]]="","",VLOOKUP(LadiesList[[#This Row],[Retained Player Name]],Players[],4,FALSE))</f>
        <v/>
      </c>
      <c r="J9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99" s="231"/>
      <c r="L99" s="231"/>
    </row>
    <row r="100" spans="1:12" x14ac:dyDescent="0.2">
      <c r="A100" s="322" t="str">
        <f>IF(AND(LadiesList[[#This Row],[First &amp; Last Name]]="",LadiesList[[#This Row],[FISTF Code]]=""),"",ROW()-ROW($A$11))</f>
        <v/>
      </c>
      <c r="B100" s="323"/>
      <c r="C100" s="437"/>
      <c r="D100" s="422" t="str">
        <f>IF(LadiesList[[#This Row],[First &amp; Last Name]]="","",IFERROR(ISNUMBER(MATCH(LadiesList[[#This Row],[First &amp; Last Name]],Players[Player Name],0)),FALSE))</f>
        <v/>
      </c>
      <c r="E100" s="422" t="b">
        <f>IF(LadiesList[[#This Row],[FISTF Code]]="",FALSE,IFERROR(ISNUMBER(MATCH(LadiesList[[#This Row],[FISTF Code]],Players[FISTF Code],0)),FALSE))</f>
        <v>0</v>
      </c>
      <c r="F100" s="420" t="str">
        <f>IF(AND(LadiesList[[#This Row],[First &amp; Last Name]]="",LadiesList[[#This Row],[FISTF Code]]=""),"",IF(LadiesList[[#This Row],[Valide Code ?]],INDEX(Players[Player Name],MATCH(LadiesList[[#This Row],[FISTF Code]],Players[FISTF Code],0)),LadiesList[[#This Row],[First &amp; Last Name]]))</f>
        <v/>
      </c>
      <c r="G100" s="233" t="str">
        <f>IF(LadiesList[[#This Row],[Retained Player Name]]="","",VLOOKUP(LadiesList[[#This Row],[Retained Player Name]],Players[],7,FALSE))</f>
        <v/>
      </c>
      <c r="H100" s="235" t="str">
        <f>IF(LadiesList[[#This Row],[Retained Player Name]]="","",VLOOKUP(LadiesList[[#This Row],[Retained Player Name]],Players[],6,FALSE))</f>
        <v/>
      </c>
      <c r="I100" s="235" t="str">
        <f>IF(LadiesList[[#This Row],[Retained Player Name]]="","",VLOOKUP(LadiesList[[#This Row],[Retained Player Name]],Players[],4,FALSE))</f>
        <v/>
      </c>
      <c r="J10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0" s="231"/>
      <c r="L100" s="231"/>
    </row>
    <row r="101" spans="1:12" x14ac:dyDescent="0.2">
      <c r="A101" s="16" t="str">
        <f>IF(AND(LadiesList[[#This Row],[First &amp; Last Name]]="",LadiesList[[#This Row],[FISTF Code]]=""),"",ROW()-ROW($A$11))</f>
        <v/>
      </c>
      <c r="B101" s="232"/>
      <c r="C101" s="436"/>
      <c r="D101" s="421" t="str">
        <f>IF(LadiesList[[#This Row],[First &amp; Last Name]]="","",IFERROR(ISNUMBER(MATCH(LadiesList[[#This Row],[First &amp; Last Name]],Players[Player Name],0)),FALSE))</f>
        <v/>
      </c>
      <c r="E101" s="421" t="b">
        <f>IF(LadiesList[[#This Row],[FISTF Code]]="",FALSE,IFERROR(ISNUMBER(MATCH(LadiesList[[#This Row],[FISTF Code]],Players[FISTF Code],0)),FALSE))</f>
        <v>0</v>
      </c>
      <c r="F101" s="419" t="str">
        <f>IF(AND(LadiesList[[#This Row],[First &amp; Last Name]]="",LadiesList[[#This Row],[FISTF Code]]=""),"",IF(LadiesList[[#This Row],[Valide Code ?]],INDEX(Players[Player Name],MATCH(LadiesList[[#This Row],[FISTF Code]],Players[FISTF Code],0)),LadiesList[[#This Row],[First &amp; Last Name]]))</f>
        <v/>
      </c>
      <c r="G101" s="233" t="str">
        <f>IF(LadiesList[[#This Row],[Retained Player Name]]="","",VLOOKUP(LadiesList[[#This Row],[Retained Player Name]],Players[],7,FALSE))</f>
        <v/>
      </c>
      <c r="H101" s="235" t="str">
        <f>IF(LadiesList[[#This Row],[Retained Player Name]]="","",VLOOKUP(LadiesList[[#This Row],[Retained Player Name]],Players[],6,FALSE))</f>
        <v/>
      </c>
      <c r="I101" s="235" t="str">
        <f>IF(LadiesList[[#This Row],[Retained Player Name]]="","",VLOOKUP(LadiesList[[#This Row],[Retained Player Name]],Players[],4,FALSE))</f>
        <v/>
      </c>
      <c r="J10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1" s="231"/>
      <c r="L101" s="231"/>
    </row>
    <row r="102" spans="1:12" x14ac:dyDescent="0.2">
      <c r="A102" s="16" t="str">
        <f>IF(AND(LadiesList[[#This Row],[First &amp; Last Name]]="",LadiesList[[#This Row],[FISTF Code]]=""),"",ROW()-ROW($A$11))</f>
        <v/>
      </c>
      <c r="B102" s="232"/>
      <c r="C102" s="436"/>
      <c r="D102" s="421" t="str">
        <f>IF(LadiesList[[#This Row],[First &amp; Last Name]]="","",IFERROR(ISNUMBER(MATCH(LadiesList[[#This Row],[First &amp; Last Name]],Players[Player Name],0)),FALSE))</f>
        <v/>
      </c>
      <c r="E102" s="421" t="b">
        <f>IF(LadiesList[[#This Row],[FISTF Code]]="",FALSE,IFERROR(ISNUMBER(MATCH(LadiesList[[#This Row],[FISTF Code]],Players[FISTF Code],0)),FALSE))</f>
        <v>0</v>
      </c>
      <c r="F102" s="419" t="str">
        <f>IF(AND(LadiesList[[#This Row],[First &amp; Last Name]]="",LadiesList[[#This Row],[FISTF Code]]=""),"",IF(LadiesList[[#This Row],[Valide Code ?]],INDEX(Players[Player Name],MATCH(LadiesList[[#This Row],[FISTF Code]],Players[FISTF Code],0)),LadiesList[[#This Row],[First &amp; Last Name]]))</f>
        <v/>
      </c>
      <c r="G102" s="233" t="str">
        <f>IF(LadiesList[[#This Row],[Retained Player Name]]="","",VLOOKUP(LadiesList[[#This Row],[Retained Player Name]],Players[],7,FALSE))</f>
        <v/>
      </c>
      <c r="H102" s="235" t="str">
        <f>IF(LadiesList[[#This Row],[Retained Player Name]]="","",VLOOKUP(LadiesList[[#This Row],[Retained Player Name]],Players[],6,FALSE))</f>
        <v/>
      </c>
      <c r="I102" s="235" t="str">
        <f>IF(LadiesList[[#This Row],[Retained Player Name]]="","",VLOOKUP(LadiesList[[#This Row],[Retained Player Name]],Players[],4,FALSE))</f>
        <v/>
      </c>
      <c r="J10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2" s="231"/>
      <c r="L102" s="231"/>
    </row>
    <row r="103" spans="1:12" x14ac:dyDescent="0.2">
      <c r="A103" s="16" t="str">
        <f>IF(AND(LadiesList[[#This Row],[First &amp; Last Name]]="",LadiesList[[#This Row],[FISTF Code]]=""),"",ROW()-ROW($A$11))</f>
        <v/>
      </c>
      <c r="B103" s="232"/>
      <c r="C103" s="436"/>
      <c r="D103" s="421" t="str">
        <f>IF(LadiesList[[#This Row],[First &amp; Last Name]]="","",IFERROR(ISNUMBER(MATCH(LadiesList[[#This Row],[First &amp; Last Name]],Players[Player Name],0)),FALSE))</f>
        <v/>
      </c>
      <c r="E103" s="421" t="b">
        <f>IF(LadiesList[[#This Row],[FISTF Code]]="",FALSE,IFERROR(ISNUMBER(MATCH(LadiesList[[#This Row],[FISTF Code]],Players[FISTF Code],0)),FALSE))</f>
        <v>0</v>
      </c>
      <c r="F103" s="419" t="str">
        <f>IF(AND(LadiesList[[#This Row],[First &amp; Last Name]]="",LadiesList[[#This Row],[FISTF Code]]=""),"",IF(LadiesList[[#This Row],[Valide Code ?]],INDEX(Players[Player Name],MATCH(LadiesList[[#This Row],[FISTF Code]],Players[FISTF Code],0)),LadiesList[[#This Row],[First &amp; Last Name]]))</f>
        <v/>
      </c>
      <c r="G103" s="233" t="str">
        <f>IF(LadiesList[[#This Row],[Retained Player Name]]="","",VLOOKUP(LadiesList[[#This Row],[Retained Player Name]],Players[],7,FALSE))</f>
        <v/>
      </c>
      <c r="H103" s="235" t="str">
        <f>IF(LadiesList[[#This Row],[Retained Player Name]]="","",VLOOKUP(LadiesList[[#This Row],[Retained Player Name]],Players[],6,FALSE))</f>
        <v/>
      </c>
      <c r="I103" s="235" t="str">
        <f>IF(LadiesList[[#This Row],[Retained Player Name]]="","",VLOOKUP(LadiesList[[#This Row],[Retained Player Name]],Players[],4,FALSE))</f>
        <v/>
      </c>
      <c r="J10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3" s="231"/>
      <c r="L103" s="231"/>
    </row>
    <row r="104" spans="1:12" x14ac:dyDescent="0.2">
      <c r="A104" s="16" t="str">
        <f>IF(AND(LadiesList[[#This Row],[First &amp; Last Name]]="",LadiesList[[#This Row],[FISTF Code]]=""),"",ROW()-ROW($A$11))</f>
        <v/>
      </c>
      <c r="B104" s="232"/>
      <c r="C104" s="436"/>
      <c r="D104" s="421" t="str">
        <f>IF(LadiesList[[#This Row],[First &amp; Last Name]]="","",IFERROR(ISNUMBER(MATCH(LadiesList[[#This Row],[First &amp; Last Name]],Players[Player Name],0)),FALSE))</f>
        <v/>
      </c>
      <c r="E104" s="421" t="b">
        <f>IF(LadiesList[[#This Row],[FISTF Code]]="",FALSE,IFERROR(ISNUMBER(MATCH(LadiesList[[#This Row],[FISTF Code]],Players[FISTF Code],0)),FALSE))</f>
        <v>0</v>
      </c>
      <c r="F104" s="419" t="str">
        <f>IF(AND(LadiesList[[#This Row],[First &amp; Last Name]]="",LadiesList[[#This Row],[FISTF Code]]=""),"",IF(LadiesList[[#This Row],[Valide Code ?]],INDEX(Players[Player Name],MATCH(LadiesList[[#This Row],[FISTF Code]],Players[FISTF Code],0)),LadiesList[[#This Row],[First &amp; Last Name]]))</f>
        <v/>
      </c>
      <c r="G104" s="233" t="str">
        <f>IF(LadiesList[[#This Row],[Retained Player Name]]="","",VLOOKUP(LadiesList[[#This Row],[Retained Player Name]],Players[],7,FALSE))</f>
        <v/>
      </c>
      <c r="H104" s="235" t="str">
        <f>IF(LadiesList[[#This Row],[Retained Player Name]]="","",VLOOKUP(LadiesList[[#This Row],[Retained Player Name]],Players[],6,FALSE))</f>
        <v/>
      </c>
      <c r="I104" s="235" t="str">
        <f>IF(LadiesList[[#This Row],[Retained Player Name]]="","",VLOOKUP(LadiesList[[#This Row],[Retained Player Name]],Players[],4,FALSE))</f>
        <v/>
      </c>
      <c r="J10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4" s="231"/>
      <c r="L104" s="231"/>
    </row>
    <row r="105" spans="1:12" x14ac:dyDescent="0.2">
      <c r="A105" s="16" t="str">
        <f>IF(AND(LadiesList[[#This Row],[First &amp; Last Name]]="",LadiesList[[#This Row],[FISTF Code]]=""),"",ROW()-ROW($A$11))</f>
        <v/>
      </c>
      <c r="B105" s="232"/>
      <c r="C105" s="436"/>
      <c r="D105" s="421" t="str">
        <f>IF(LadiesList[[#This Row],[First &amp; Last Name]]="","",IFERROR(ISNUMBER(MATCH(LadiesList[[#This Row],[First &amp; Last Name]],Players[Player Name],0)),FALSE))</f>
        <v/>
      </c>
      <c r="E105" s="421" t="b">
        <f>IF(LadiesList[[#This Row],[FISTF Code]]="",FALSE,IFERROR(ISNUMBER(MATCH(LadiesList[[#This Row],[FISTF Code]],Players[FISTF Code],0)),FALSE))</f>
        <v>0</v>
      </c>
      <c r="F105" s="419" t="str">
        <f>IF(AND(LadiesList[[#This Row],[First &amp; Last Name]]="",LadiesList[[#This Row],[FISTF Code]]=""),"",IF(LadiesList[[#This Row],[Valide Code ?]],INDEX(Players[Player Name],MATCH(LadiesList[[#This Row],[FISTF Code]],Players[FISTF Code],0)),LadiesList[[#This Row],[First &amp; Last Name]]))</f>
        <v/>
      </c>
      <c r="G105" s="233" t="str">
        <f>IF(LadiesList[[#This Row],[Retained Player Name]]="","",VLOOKUP(LadiesList[[#This Row],[Retained Player Name]],Players[],7,FALSE))</f>
        <v/>
      </c>
      <c r="H105" s="235" t="str">
        <f>IF(LadiesList[[#This Row],[Retained Player Name]]="","",VLOOKUP(LadiesList[[#This Row],[Retained Player Name]],Players[],6,FALSE))</f>
        <v/>
      </c>
      <c r="I105" s="235" t="str">
        <f>IF(LadiesList[[#This Row],[Retained Player Name]]="","",VLOOKUP(LadiesList[[#This Row],[Retained Player Name]],Players[],4,FALSE))</f>
        <v/>
      </c>
      <c r="J10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5" s="231"/>
      <c r="L105" s="231"/>
    </row>
    <row r="106" spans="1:12" x14ac:dyDescent="0.2">
      <c r="A106" s="16" t="str">
        <f>IF(AND(LadiesList[[#This Row],[First &amp; Last Name]]="",LadiesList[[#This Row],[FISTF Code]]=""),"",ROW()-ROW($A$11))</f>
        <v/>
      </c>
      <c r="B106" s="232"/>
      <c r="C106" s="436"/>
      <c r="D106" s="421" t="str">
        <f>IF(LadiesList[[#This Row],[First &amp; Last Name]]="","",IFERROR(ISNUMBER(MATCH(LadiesList[[#This Row],[First &amp; Last Name]],Players[Player Name],0)),FALSE))</f>
        <v/>
      </c>
      <c r="E106" s="421" t="b">
        <f>IF(LadiesList[[#This Row],[FISTF Code]]="",FALSE,IFERROR(ISNUMBER(MATCH(LadiesList[[#This Row],[FISTF Code]],Players[FISTF Code],0)),FALSE))</f>
        <v>0</v>
      </c>
      <c r="F106" s="419" t="str">
        <f>IF(AND(LadiesList[[#This Row],[First &amp; Last Name]]="",LadiesList[[#This Row],[FISTF Code]]=""),"",IF(LadiesList[[#This Row],[Valide Code ?]],INDEX(Players[Player Name],MATCH(LadiesList[[#This Row],[FISTF Code]],Players[FISTF Code],0)),LadiesList[[#This Row],[First &amp; Last Name]]))</f>
        <v/>
      </c>
      <c r="G106" s="233" t="str">
        <f>IF(LadiesList[[#This Row],[Retained Player Name]]="","",VLOOKUP(LadiesList[[#This Row],[Retained Player Name]],Players[],7,FALSE))</f>
        <v/>
      </c>
      <c r="H106" s="235" t="str">
        <f>IF(LadiesList[[#This Row],[Retained Player Name]]="","",VLOOKUP(LadiesList[[#This Row],[Retained Player Name]],Players[],6,FALSE))</f>
        <v/>
      </c>
      <c r="I106" s="235" t="str">
        <f>IF(LadiesList[[#This Row],[Retained Player Name]]="","",VLOOKUP(LadiesList[[#This Row],[Retained Player Name]],Players[],4,FALSE))</f>
        <v/>
      </c>
      <c r="J10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6" s="231"/>
      <c r="L106" s="231"/>
    </row>
    <row r="107" spans="1:12" x14ac:dyDescent="0.2">
      <c r="A107" s="16" t="str">
        <f>IF(AND(LadiesList[[#This Row],[First &amp; Last Name]]="",LadiesList[[#This Row],[FISTF Code]]=""),"",ROW()-ROW($A$11))</f>
        <v/>
      </c>
      <c r="B107" s="232"/>
      <c r="C107" s="436"/>
      <c r="D107" s="421" t="str">
        <f>IF(LadiesList[[#This Row],[First &amp; Last Name]]="","",IFERROR(ISNUMBER(MATCH(LadiesList[[#This Row],[First &amp; Last Name]],Players[Player Name],0)),FALSE))</f>
        <v/>
      </c>
      <c r="E107" s="421" t="b">
        <f>IF(LadiesList[[#This Row],[FISTF Code]]="",FALSE,IFERROR(ISNUMBER(MATCH(LadiesList[[#This Row],[FISTF Code]],Players[FISTF Code],0)),FALSE))</f>
        <v>0</v>
      </c>
      <c r="F107" s="419" t="str">
        <f>IF(AND(LadiesList[[#This Row],[First &amp; Last Name]]="",LadiesList[[#This Row],[FISTF Code]]=""),"",IF(LadiesList[[#This Row],[Valide Code ?]],INDEX(Players[Player Name],MATCH(LadiesList[[#This Row],[FISTF Code]],Players[FISTF Code],0)),LadiesList[[#This Row],[First &amp; Last Name]]))</f>
        <v/>
      </c>
      <c r="G107" s="233" t="str">
        <f>IF(LadiesList[[#This Row],[Retained Player Name]]="","",VLOOKUP(LadiesList[[#This Row],[Retained Player Name]],Players[],7,FALSE))</f>
        <v/>
      </c>
      <c r="H107" s="235" t="str">
        <f>IF(LadiesList[[#This Row],[Retained Player Name]]="","",VLOOKUP(LadiesList[[#This Row],[Retained Player Name]],Players[],6,FALSE))</f>
        <v/>
      </c>
      <c r="I107" s="235" t="str">
        <f>IF(LadiesList[[#This Row],[Retained Player Name]]="","",VLOOKUP(LadiesList[[#This Row],[Retained Player Name]],Players[],4,FALSE))</f>
        <v/>
      </c>
      <c r="J10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7" s="231"/>
      <c r="L107" s="231"/>
    </row>
    <row r="108" spans="1:12" x14ac:dyDescent="0.2">
      <c r="A108" s="16" t="str">
        <f>IF(AND(LadiesList[[#This Row],[First &amp; Last Name]]="",LadiesList[[#This Row],[FISTF Code]]=""),"",ROW()-ROW($A$11))</f>
        <v/>
      </c>
      <c r="B108" s="232"/>
      <c r="C108" s="436"/>
      <c r="D108" s="421" t="str">
        <f>IF(LadiesList[[#This Row],[First &amp; Last Name]]="","",IFERROR(ISNUMBER(MATCH(LadiesList[[#This Row],[First &amp; Last Name]],Players[Player Name],0)),FALSE))</f>
        <v/>
      </c>
      <c r="E108" s="421" t="b">
        <f>IF(LadiesList[[#This Row],[FISTF Code]]="",FALSE,IFERROR(ISNUMBER(MATCH(LadiesList[[#This Row],[FISTF Code]],Players[FISTF Code],0)),FALSE))</f>
        <v>0</v>
      </c>
      <c r="F108" s="419" t="str">
        <f>IF(AND(LadiesList[[#This Row],[First &amp; Last Name]]="",LadiesList[[#This Row],[FISTF Code]]=""),"",IF(LadiesList[[#This Row],[Valide Code ?]],INDEX(Players[Player Name],MATCH(LadiesList[[#This Row],[FISTF Code]],Players[FISTF Code],0)),LadiesList[[#This Row],[First &amp; Last Name]]))</f>
        <v/>
      </c>
      <c r="G108" s="233" t="str">
        <f>IF(LadiesList[[#This Row],[Retained Player Name]]="","",VLOOKUP(LadiesList[[#This Row],[Retained Player Name]],Players[],7,FALSE))</f>
        <v/>
      </c>
      <c r="H108" s="235" t="str">
        <f>IF(LadiesList[[#This Row],[Retained Player Name]]="","",VLOOKUP(LadiesList[[#This Row],[Retained Player Name]],Players[],6,FALSE))</f>
        <v/>
      </c>
      <c r="I108" s="235" t="str">
        <f>IF(LadiesList[[#This Row],[Retained Player Name]]="","",VLOOKUP(LadiesList[[#This Row],[Retained Player Name]],Players[],4,FALSE))</f>
        <v/>
      </c>
      <c r="J10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8" s="231"/>
      <c r="L108" s="231"/>
    </row>
    <row r="109" spans="1:12" x14ac:dyDescent="0.2">
      <c r="A109" s="16" t="str">
        <f>IF(AND(LadiesList[[#This Row],[First &amp; Last Name]]="",LadiesList[[#This Row],[FISTF Code]]=""),"",ROW()-ROW($A$11))</f>
        <v/>
      </c>
      <c r="B109" s="232"/>
      <c r="C109" s="436"/>
      <c r="D109" s="421" t="str">
        <f>IF(LadiesList[[#This Row],[First &amp; Last Name]]="","",IFERROR(ISNUMBER(MATCH(LadiesList[[#This Row],[First &amp; Last Name]],Players[Player Name],0)),FALSE))</f>
        <v/>
      </c>
      <c r="E109" s="421" t="b">
        <f>IF(LadiesList[[#This Row],[FISTF Code]]="",FALSE,IFERROR(ISNUMBER(MATCH(LadiesList[[#This Row],[FISTF Code]],Players[FISTF Code],0)),FALSE))</f>
        <v>0</v>
      </c>
      <c r="F109" s="419" t="str">
        <f>IF(AND(LadiesList[[#This Row],[First &amp; Last Name]]="",LadiesList[[#This Row],[FISTF Code]]=""),"",IF(LadiesList[[#This Row],[Valide Code ?]],INDEX(Players[Player Name],MATCH(LadiesList[[#This Row],[FISTF Code]],Players[FISTF Code],0)),LadiesList[[#This Row],[First &amp; Last Name]]))</f>
        <v/>
      </c>
      <c r="G109" s="233" t="str">
        <f>IF(LadiesList[[#This Row],[Retained Player Name]]="","",VLOOKUP(LadiesList[[#This Row],[Retained Player Name]],Players[],7,FALSE))</f>
        <v/>
      </c>
      <c r="H109" s="235" t="str">
        <f>IF(LadiesList[[#This Row],[Retained Player Name]]="","",VLOOKUP(LadiesList[[#This Row],[Retained Player Name]],Players[],6,FALSE))</f>
        <v/>
      </c>
      <c r="I109" s="235" t="str">
        <f>IF(LadiesList[[#This Row],[Retained Player Name]]="","",VLOOKUP(LadiesList[[#This Row],[Retained Player Name]],Players[],4,FALSE))</f>
        <v/>
      </c>
      <c r="J10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09" s="231"/>
      <c r="L109" s="231"/>
    </row>
    <row r="110" spans="1:12" x14ac:dyDescent="0.2">
      <c r="A110" s="16" t="str">
        <f>IF(AND(LadiesList[[#This Row],[First &amp; Last Name]]="",LadiesList[[#This Row],[FISTF Code]]=""),"",ROW()-ROW($A$11))</f>
        <v/>
      </c>
      <c r="B110" s="232"/>
      <c r="C110" s="436"/>
      <c r="D110" s="421" t="str">
        <f>IF(LadiesList[[#This Row],[First &amp; Last Name]]="","",IFERROR(ISNUMBER(MATCH(LadiesList[[#This Row],[First &amp; Last Name]],Players[Player Name],0)),FALSE))</f>
        <v/>
      </c>
      <c r="E110" s="421" t="b">
        <f>IF(LadiesList[[#This Row],[FISTF Code]]="",FALSE,IFERROR(ISNUMBER(MATCH(LadiesList[[#This Row],[FISTF Code]],Players[FISTF Code],0)),FALSE))</f>
        <v>0</v>
      </c>
      <c r="F110" s="419" t="str">
        <f>IF(AND(LadiesList[[#This Row],[First &amp; Last Name]]="",LadiesList[[#This Row],[FISTF Code]]=""),"",IF(LadiesList[[#This Row],[Valide Code ?]],INDEX(Players[Player Name],MATCH(LadiesList[[#This Row],[FISTF Code]],Players[FISTF Code],0)),LadiesList[[#This Row],[First &amp; Last Name]]))</f>
        <v/>
      </c>
      <c r="G110" s="233" t="str">
        <f>IF(LadiesList[[#This Row],[Retained Player Name]]="","",VLOOKUP(LadiesList[[#This Row],[Retained Player Name]],Players[],7,FALSE))</f>
        <v/>
      </c>
      <c r="H110" s="235" t="str">
        <f>IF(LadiesList[[#This Row],[Retained Player Name]]="","",VLOOKUP(LadiesList[[#This Row],[Retained Player Name]],Players[],6,FALSE))</f>
        <v/>
      </c>
      <c r="I110" s="235" t="str">
        <f>IF(LadiesList[[#This Row],[Retained Player Name]]="","",VLOOKUP(LadiesList[[#This Row],[Retained Player Name]],Players[],4,FALSE))</f>
        <v/>
      </c>
      <c r="J11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0" s="231"/>
      <c r="L110" s="231"/>
    </row>
    <row r="111" spans="1:12" x14ac:dyDescent="0.2">
      <c r="A111" s="16" t="str">
        <f>IF(AND(LadiesList[[#This Row],[First &amp; Last Name]]="",LadiesList[[#This Row],[FISTF Code]]=""),"",ROW()-ROW($A$11))</f>
        <v/>
      </c>
      <c r="B111" s="232"/>
      <c r="C111" s="436"/>
      <c r="D111" s="421" t="str">
        <f>IF(LadiesList[[#This Row],[First &amp; Last Name]]="","",IFERROR(ISNUMBER(MATCH(LadiesList[[#This Row],[First &amp; Last Name]],Players[Player Name],0)),FALSE))</f>
        <v/>
      </c>
      <c r="E111" s="421" t="b">
        <f>IF(LadiesList[[#This Row],[FISTF Code]]="",FALSE,IFERROR(ISNUMBER(MATCH(LadiesList[[#This Row],[FISTF Code]],Players[FISTF Code],0)),FALSE))</f>
        <v>0</v>
      </c>
      <c r="F111" s="419" t="str">
        <f>IF(AND(LadiesList[[#This Row],[First &amp; Last Name]]="",LadiesList[[#This Row],[FISTF Code]]=""),"",IF(LadiesList[[#This Row],[Valide Code ?]],INDEX(Players[Player Name],MATCH(LadiesList[[#This Row],[FISTF Code]],Players[FISTF Code],0)),LadiesList[[#This Row],[First &amp; Last Name]]))</f>
        <v/>
      </c>
      <c r="G111" s="233" t="str">
        <f>IF(LadiesList[[#This Row],[Retained Player Name]]="","",VLOOKUP(LadiesList[[#This Row],[Retained Player Name]],Players[],7,FALSE))</f>
        <v/>
      </c>
      <c r="H111" s="235" t="str">
        <f>IF(LadiesList[[#This Row],[Retained Player Name]]="","",VLOOKUP(LadiesList[[#This Row],[Retained Player Name]],Players[],6,FALSE))</f>
        <v/>
      </c>
      <c r="I111" s="235" t="str">
        <f>IF(LadiesList[[#This Row],[Retained Player Name]]="","",VLOOKUP(LadiesList[[#This Row],[Retained Player Name]],Players[],4,FALSE))</f>
        <v/>
      </c>
      <c r="J11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1" s="231"/>
      <c r="L111" s="231"/>
    </row>
    <row r="112" spans="1:12" x14ac:dyDescent="0.2">
      <c r="A112" s="16" t="str">
        <f>IF(AND(LadiesList[[#This Row],[First &amp; Last Name]]="",LadiesList[[#This Row],[FISTF Code]]=""),"",ROW()-ROW($A$11))</f>
        <v/>
      </c>
      <c r="B112" s="232"/>
      <c r="C112" s="436"/>
      <c r="D112" s="421" t="str">
        <f>IF(LadiesList[[#This Row],[First &amp; Last Name]]="","",IFERROR(ISNUMBER(MATCH(LadiesList[[#This Row],[First &amp; Last Name]],Players[Player Name],0)),FALSE))</f>
        <v/>
      </c>
      <c r="E112" s="421" t="b">
        <f>IF(LadiesList[[#This Row],[FISTF Code]]="",FALSE,IFERROR(ISNUMBER(MATCH(LadiesList[[#This Row],[FISTF Code]],Players[FISTF Code],0)),FALSE))</f>
        <v>0</v>
      </c>
      <c r="F112" s="419" t="str">
        <f>IF(AND(LadiesList[[#This Row],[First &amp; Last Name]]="",LadiesList[[#This Row],[FISTF Code]]=""),"",IF(LadiesList[[#This Row],[Valide Code ?]],INDEX(Players[Player Name],MATCH(LadiesList[[#This Row],[FISTF Code]],Players[FISTF Code],0)),LadiesList[[#This Row],[First &amp; Last Name]]))</f>
        <v/>
      </c>
      <c r="G112" s="233" t="str">
        <f>IF(LadiesList[[#This Row],[Retained Player Name]]="","",VLOOKUP(LadiesList[[#This Row],[Retained Player Name]],Players[],7,FALSE))</f>
        <v/>
      </c>
      <c r="H112" s="235" t="str">
        <f>IF(LadiesList[[#This Row],[Retained Player Name]]="","",VLOOKUP(LadiesList[[#This Row],[Retained Player Name]],Players[],6,FALSE))</f>
        <v/>
      </c>
      <c r="I112" s="235" t="str">
        <f>IF(LadiesList[[#This Row],[Retained Player Name]]="","",VLOOKUP(LadiesList[[#This Row],[Retained Player Name]],Players[],4,FALSE))</f>
        <v/>
      </c>
      <c r="J11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2" s="231"/>
      <c r="L112" s="231"/>
    </row>
    <row r="113" spans="1:12" x14ac:dyDescent="0.2">
      <c r="A113" s="16" t="str">
        <f>IF(AND(LadiesList[[#This Row],[First &amp; Last Name]]="",LadiesList[[#This Row],[FISTF Code]]=""),"",ROW()-ROW($A$11))</f>
        <v/>
      </c>
      <c r="B113" s="232"/>
      <c r="C113" s="436"/>
      <c r="D113" s="421" t="str">
        <f>IF(LadiesList[[#This Row],[First &amp; Last Name]]="","",IFERROR(ISNUMBER(MATCH(LadiesList[[#This Row],[First &amp; Last Name]],Players[Player Name],0)),FALSE))</f>
        <v/>
      </c>
      <c r="E113" s="421" t="b">
        <f>IF(LadiesList[[#This Row],[FISTF Code]]="",FALSE,IFERROR(ISNUMBER(MATCH(LadiesList[[#This Row],[FISTF Code]],Players[FISTF Code],0)),FALSE))</f>
        <v>0</v>
      </c>
      <c r="F113" s="419" t="str">
        <f>IF(AND(LadiesList[[#This Row],[First &amp; Last Name]]="",LadiesList[[#This Row],[FISTF Code]]=""),"",IF(LadiesList[[#This Row],[Valide Code ?]],INDEX(Players[Player Name],MATCH(LadiesList[[#This Row],[FISTF Code]],Players[FISTF Code],0)),LadiesList[[#This Row],[First &amp; Last Name]]))</f>
        <v/>
      </c>
      <c r="G113" s="233" t="str">
        <f>IF(LadiesList[[#This Row],[Retained Player Name]]="","",VLOOKUP(LadiesList[[#This Row],[Retained Player Name]],Players[],7,FALSE))</f>
        <v/>
      </c>
      <c r="H113" s="235" t="str">
        <f>IF(LadiesList[[#This Row],[Retained Player Name]]="","",VLOOKUP(LadiesList[[#This Row],[Retained Player Name]],Players[],6,FALSE))</f>
        <v/>
      </c>
      <c r="I113" s="235" t="str">
        <f>IF(LadiesList[[#This Row],[Retained Player Name]]="","",VLOOKUP(LadiesList[[#This Row],[Retained Player Name]],Players[],4,FALSE))</f>
        <v/>
      </c>
      <c r="J11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3" s="231"/>
      <c r="L113" s="231"/>
    </row>
    <row r="114" spans="1:12" x14ac:dyDescent="0.2">
      <c r="A114" s="16" t="str">
        <f>IF(AND(LadiesList[[#This Row],[First &amp; Last Name]]="",LadiesList[[#This Row],[FISTF Code]]=""),"",ROW()-ROW($A$11))</f>
        <v/>
      </c>
      <c r="B114" s="232"/>
      <c r="C114" s="436"/>
      <c r="D114" s="421" t="str">
        <f>IF(LadiesList[[#This Row],[First &amp; Last Name]]="","",IFERROR(ISNUMBER(MATCH(LadiesList[[#This Row],[First &amp; Last Name]],Players[Player Name],0)),FALSE))</f>
        <v/>
      </c>
      <c r="E114" s="421" t="b">
        <f>IF(LadiesList[[#This Row],[FISTF Code]]="",FALSE,IFERROR(ISNUMBER(MATCH(LadiesList[[#This Row],[FISTF Code]],Players[FISTF Code],0)),FALSE))</f>
        <v>0</v>
      </c>
      <c r="F114" s="419" t="str">
        <f>IF(AND(LadiesList[[#This Row],[First &amp; Last Name]]="",LadiesList[[#This Row],[FISTF Code]]=""),"",IF(LadiesList[[#This Row],[Valide Code ?]],INDEX(Players[Player Name],MATCH(LadiesList[[#This Row],[FISTF Code]],Players[FISTF Code],0)),LadiesList[[#This Row],[First &amp; Last Name]]))</f>
        <v/>
      </c>
      <c r="G114" s="233" t="str">
        <f>IF(LadiesList[[#This Row],[Retained Player Name]]="","",VLOOKUP(LadiesList[[#This Row],[Retained Player Name]],Players[],7,FALSE))</f>
        <v/>
      </c>
      <c r="H114" s="235" t="str">
        <f>IF(LadiesList[[#This Row],[Retained Player Name]]="","",VLOOKUP(LadiesList[[#This Row],[Retained Player Name]],Players[],6,FALSE))</f>
        <v/>
      </c>
      <c r="I114" s="235" t="str">
        <f>IF(LadiesList[[#This Row],[Retained Player Name]]="","",VLOOKUP(LadiesList[[#This Row],[Retained Player Name]],Players[],4,FALSE))</f>
        <v/>
      </c>
      <c r="J11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4" s="231"/>
      <c r="L114" s="231"/>
    </row>
    <row r="115" spans="1:12" x14ac:dyDescent="0.2">
      <c r="A115" s="16" t="str">
        <f>IF(AND(LadiesList[[#This Row],[First &amp; Last Name]]="",LadiesList[[#This Row],[FISTF Code]]=""),"",ROW()-ROW($A$11))</f>
        <v/>
      </c>
      <c r="B115" s="232"/>
      <c r="C115" s="436"/>
      <c r="D115" s="421" t="str">
        <f>IF(LadiesList[[#This Row],[First &amp; Last Name]]="","",IFERROR(ISNUMBER(MATCH(LadiesList[[#This Row],[First &amp; Last Name]],Players[Player Name],0)),FALSE))</f>
        <v/>
      </c>
      <c r="E115" s="421" t="b">
        <f>IF(LadiesList[[#This Row],[FISTF Code]]="",FALSE,IFERROR(ISNUMBER(MATCH(LadiesList[[#This Row],[FISTF Code]],Players[FISTF Code],0)),FALSE))</f>
        <v>0</v>
      </c>
      <c r="F115" s="419" t="str">
        <f>IF(AND(LadiesList[[#This Row],[First &amp; Last Name]]="",LadiesList[[#This Row],[FISTF Code]]=""),"",IF(LadiesList[[#This Row],[Valide Code ?]],INDEX(Players[Player Name],MATCH(LadiesList[[#This Row],[FISTF Code]],Players[FISTF Code],0)),LadiesList[[#This Row],[First &amp; Last Name]]))</f>
        <v/>
      </c>
      <c r="G115" s="233" t="str">
        <f>IF(LadiesList[[#This Row],[Retained Player Name]]="","",VLOOKUP(LadiesList[[#This Row],[Retained Player Name]],Players[],7,FALSE))</f>
        <v/>
      </c>
      <c r="H115" s="235" t="str">
        <f>IF(LadiesList[[#This Row],[Retained Player Name]]="","",VLOOKUP(LadiesList[[#This Row],[Retained Player Name]],Players[],6,FALSE))</f>
        <v/>
      </c>
      <c r="I115" s="235" t="str">
        <f>IF(LadiesList[[#This Row],[Retained Player Name]]="","",VLOOKUP(LadiesList[[#This Row],[Retained Player Name]],Players[],4,FALSE))</f>
        <v/>
      </c>
      <c r="J11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5" s="231"/>
      <c r="L115" s="231"/>
    </row>
    <row r="116" spans="1:12" x14ac:dyDescent="0.2">
      <c r="A116" s="16" t="str">
        <f>IF(AND(LadiesList[[#This Row],[First &amp; Last Name]]="",LadiesList[[#This Row],[FISTF Code]]=""),"",ROW()-ROW($A$11))</f>
        <v/>
      </c>
      <c r="B116" s="232"/>
      <c r="C116" s="436"/>
      <c r="D116" s="421" t="str">
        <f>IF(LadiesList[[#This Row],[First &amp; Last Name]]="","",IFERROR(ISNUMBER(MATCH(LadiesList[[#This Row],[First &amp; Last Name]],Players[Player Name],0)),FALSE))</f>
        <v/>
      </c>
      <c r="E116" s="421" t="b">
        <f>IF(LadiesList[[#This Row],[FISTF Code]]="",FALSE,IFERROR(ISNUMBER(MATCH(LadiesList[[#This Row],[FISTF Code]],Players[FISTF Code],0)),FALSE))</f>
        <v>0</v>
      </c>
      <c r="F116" s="419" t="str">
        <f>IF(AND(LadiesList[[#This Row],[First &amp; Last Name]]="",LadiesList[[#This Row],[FISTF Code]]=""),"",IF(LadiesList[[#This Row],[Valide Code ?]],INDEX(Players[Player Name],MATCH(LadiesList[[#This Row],[FISTF Code]],Players[FISTF Code],0)),LadiesList[[#This Row],[First &amp; Last Name]]))</f>
        <v/>
      </c>
      <c r="G116" s="233" t="str">
        <f>IF(LadiesList[[#This Row],[Retained Player Name]]="","",VLOOKUP(LadiesList[[#This Row],[Retained Player Name]],Players[],7,FALSE))</f>
        <v/>
      </c>
      <c r="H116" s="235" t="str">
        <f>IF(LadiesList[[#This Row],[Retained Player Name]]="","",VLOOKUP(LadiesList[[#This Row],[Retained Player Name]],Players[],6,FALSE))</f>
        <v/>
      </c>
      <c r="I116" s="235" t="str">
        <f>IF(LadiesList[[#This Row],[Retained Player Name]]="","",VLOOKUP(LadiesList[[#This Row],[Retained Player Name]],Players[],4,FALSE))</f>
        <v/>
      </c>
      <c r="J116"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6" s="231"/>
      <c r="L116" s="231"/>
    </row>
    <row r="117" spans="1:12" x14ac:dyDescent="0.2">
      <c r="A117" s="16" t="str">
        <f>IF(AND(LadiesList[[#This Row],[First &amp; Last Name]]="",LadiesList[[#This Row],[FISTF Code]]=""),"",ROW()-ROW($A$11))</f>
        <v/>
      </c>
      <c r="B117" s="232"/>
      <c r="C117" s="436"/>
      <c r="D117" s="421" t="str">
        <f>IF(LadiesList[[#This Row],[First &amp; Last Name]]="","",IFERROR(ISNUMBER(MATCH(LadiesList[[#This Row],[First &amp; Last Name]],Players[Player Name],0)),FALSE))</f>
        <v/>
      </c>
      <c r="E117" s="421" t="b">
        <f>IF(LadiesList[[#This Row],[FISTF Code]]="",FALSE,IFERROR(ISNUMBER(MATCH(LadiesList[[#This Row],[FISTF Code]],Players[FISTF Code],0)),FALSE))</f>
        <v>0</v>
      </c>
      <c r="F117" s="419" t="str">
        <f>IF(AND(LadiesList[[#This Row],[First &amp; Last Name]]="",LadiesList[[#This Row],[FISTF Code]]=""),"",IF(LadiesList[[#This Row],[Valide Code ?]],INDEX(Players[Player Name],MATCH(LadiesList[[#This Row],[FISTF Code]],Players[FISTF Code],0)),LadiesList[[#This Row],[First &amp; Last Name]]))</f>
        <v/>
      </c>
      <c r="G117" s="233" t="str">
        <f>IF(LadiesList[[#This Row],[Retained Player Name]]="","",VLOOKUP(LadiesList[[#This Row],[Retained Player Name]],Players[],7,FALSE))</f>
        <v/>
      </c>
      <c r="H117" s="235" t="str">
        <f>IF(LadiesList[[#This Row],[Retained Player Name]]="","",VLOOKUP(LadiesList[[#This Row],[Retained Player Name]],Players[],6,FALSE))</f>
        <v/>
      </c>
      <c r="I117" s="235" t="str">
        <f>IF(LadiesList[[#This Row],[Retained Player Name]]="","",VLOOKUP(LadiesList[[#This Row],[Retained Player Name]],Players[],4,FALSE))</f>
        <v/>
      </c>
      <c r="J117"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7" s="231"/>
      <c r="L117" s="231"/>
    </row>
    <row r="118" spans="1:12" x14ac:dyDescent="0.2">
      <c r="A118" s="16" t="str">
        <f>IF(AND(LadiesList[[#This Row],[First &amp; Last Name]]="",LadiesList[[#This Row],[FISTF Code]]=""),"",ROW()-ROW($A$11))</f>
        <v/>
      </c>
      <c r="B118" s="232"/>
      <c r="C118" s="436"/>
      <c r="D118" s="421" t="str">
        <f>IF(LadiesList[[#This Row],[First &amp; Last Name]]="","",IFERROR(ISNUMBER(MATCH(LadiesList[[#This Row],[First &amp; Last Name]],Players[Player Name],0)),FALSE))</f>
        <v/>
      </c>
      <c r="E118" s="421" t="b">
        <f>IF(LadiesList[[#This Row],[FISTF Code]]="",FALSE,IFERROR(ISNUMBER(MATCH(LadiesList[[#This Row],[FISTF Code]],Players[FISTF Code],0)),FALSE))</f>
        <v>0</v>
      </c>
      <c r="F118" s="419" t="str">
        <f>IF(AND(LadiesList[[#This Row],[First &amp; Last Name]]="",LadiesList[[#This Row],[FISTF Code]]=""),"",IF(LadiesList[[#This Row],[Valide Code ?]],INDEX(Players[Player Name],MATCH(LadiesList[[#This Row],[FISTF Code]],Players[FISTF Code],0)),LadiesList[[#This Row],[First &amp; Last Name]]))</f>
        <v/>
      </c>
      <c r="G118" s="233" t="str">
        <f>IF(LadiesList[[#This Row],[Retained Player Name]]="","",VLOOKUP(LadiesList[[#This Row],[Retained Player Name]],Players[],7,FALSE))</f>
        <v/>
      </c>
      <c r="H118" s="235" t="str">
        <f>IF(LadiesList[[#This Row],[Retained Player Name]]="","",VLOOKUP(LadiesList[[#This Row],[Retained Player Name]],Players[],6,FALSE))</f>
        <v/>
      </c>
      <c r="I118" s="235" t="str">
        <f>IF(LadiesList[[#This Row],[Retained Player Name]]="","",VLOOKUP(LadiesList[[#This Row],[Retained Player Name]],Players[],4,FALSE))</f>
        <v/>
      </c>
      <c r="J118"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8" s="231"/>
      <c r="L118" s="231"/>
    </row>
    <row r="119" spans="1:12" x14ac:dyDescent="0.2">
      <c r="A119" s="16" t="str">
        <f>IF(AND(LadiesList[[#This Row],[First &amp; Last Name]]="",LadiesList[[#This Row],[FISTF Code]]=""),"",ROW()-ROW($A$11))</f>
        <v/>
      </c>
      <c r="B119" s="232"/>
      <c r="C119" s="436"/>
      <c r="D119" s="421" t="str">
        <f>IF(LadiesList[[#This Row],[First &amp; Last Name]]="","",IFERROR(ISNUMBER(MATCH(LadiesList[[#This Row],[First &amp; Last Name]],Players[Player Name],0)),FALSE))</f>
        <v/>
      </c>
      <c r="E119" s="421" t="b">
        <f>IF(LadiesList[[#This Row],[FISTF Code]]="",FALSE,IFERROR(ISNUMBER(MATCH(LadiesList[[#This Row],[FISTF Code]],Players[FISTF Code],0)),FALSE))</f>
        <v>0</v>
      </c>
      <c r="F119" s="419" t="str">
        <f>IF(AND(LadiesList[[#This Row],[First &amp; Last Name]]="",LadiesList[[#This Row],[FISTF Code]]=""),"",IF(LadiesList[[#This Row],[Valide Code ?]],INDEX(Players[Player Name],MATCH(LadiesList[[#This Row],[FISTF Code]],Players[FISTF Code],0)),LadiesList[[#This Row],[First &amp; Last Name]]))</f>
        <v/>
      </c>
      <c r="G119" s="233" t="str">
        <f>IF(LadiesList[[#This Row],[Retained Player Name]]="","",VLOOKUP(LadiesList[[#This Row],[Retained Player Name]],Players[],7,FALSE))</f>
        <v/>
      </c>
      <c r="H119" s="235" t="str">
        <f>IF(LadiesList[[#This Row],[Retained Player Name]]="","",VLOOKUP(LadiesList[[#This Row],[Retained Player Name]],Players[],6,FALSE))</f>
        <v/>
      </c>
      <c r="I119" s="235" t="str">
        <f>IF(LadiesList[[#This Row],[Retained Player Name]]="","",VLOOKUP(LadiesList[[#This Row],[Retained Player Name]],Players[],4,FALSE))</f>
        <v/>
      </c>
      <c r="J119"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19" s="231"/>
      <c r="L119" s="231"/>
    </row>
    <row r="120" spans="1:12" x14ac:dyDescent="0.2">
      <c r="A120" s="16" t="str">
        <f>IF(AND(LadiesList[[#This Row],[First &amp; Last Name]]="",LadiesList[[#This Row],[FISTF Code]]=""),"",ROW()-ROW($A$11))</f>
        <v/>
      </c>
      <c r="B120" s="232"/>
      <c r="C120" s="436"/>
      <c r="D120" s="421" t="str">
        <f>IF(LadiesList[[#This Row],[First &amp; Last Name]]="","",IFERROR(ISNUMBER(MATCH(LadiesList[[#This Row],[First &amp; Last Name]],Players[Player Name],0)),FALSE))</f>
        <v/>
      </c>
      <c r="E120" s="421" t="b">
        <f>IF(LadiesList[[#This Row],[FISTF Code]]="",FALSE,IFERROR(ISNUMBER(MATCH(LadiesList[[#This Row],[FISTF Code]],Players[FISTF Code],0)),FALSE))</f>
        <v>0</v>
      </c>
      <c r="F120" s="419" t="str">
        <f>IF(AND(LadiesList[[#This Row],[First &amp; Last Name]]="",LadiesList[[#This Row],[FISTF Code]]=""),"",IF(LadiesList[[#This Row],[Valide Code ?]],INDEX(Players[Player Name],MATCH(LadiesList[[#This Row],[FISTF Code]],Players[FISTF Code],0)),LadiesList[[#This Row],[First &amp; Last Name]]))</f>
        <v/>
      </c>
      <c r="G120" s="233" t="str">
        <f>IF(LadiesList[[#This Row],[Retained Player Name]]="","",VLOOKUP(LadiesList[[#This Row],[Retained Player Name]],Players[],7,FALSE))</f>
        <v/>
      </c>
      <c r="H120" s="235" t="str">
        <f>IF(LadiesList[[#This Row],[Retained Player Name]]="","",VLOOKUP(LadiesList[[#This Row],[Retained Player Name]],Players[],6,FALSE))</f>
        <v/>
      </c>
      <c r="I120" s="235" t="str">
        <f>IF(LadiesList[[#This Row],[Retained Player Name]]="","",VLOOKUP(LadiesList[[#This Row],[Retained Player Name]],Players[],4,FALSE))</f>
        <v/>
      </c>
      <c r="J120"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20" s="231"/>
      <c r="L120" s="231"/>
    </row>
    <row r="121" spans="1:12" x14ac:dyDescent="0.2">
      <c r="A121" s="16" t="str">
        <f>IF(AND(LadiesList[[#This Row],[First &amp; Last Name]]="",LadiesList[[#This Row],[FISTF Code]]=""),"",ROW()-ROW($A$11))</f>
        <v/>
      </c>
      <c r="B121" s="232"/>
      <c r="C121" s="436"/>
      <c r="D121" s="421" t="str">
        <f>IF(LadiesList[[#This Row],[First &amp; Last Name]]="","",IFERROR(ISNUMBER(MATCH(LadiesList[[#This Row],[First &amp; Last Name]],Players[Player Name],0)),FALSE))</f>
        <v/>
      </c>
      <c r="E121" s="421" t="b">
        <f>IF(LadiesList[[#This Row],[FISTF Code]]="",FALSE,IFERROR(ISNUMBER(MATCH(LadiesList[[#This Row],[FISTF Code]],Players[FISTF Code],0)),FALSE))</f>
        <v>0</v>
      </c>
      <c r="F121" s="419" t="str">
        <f>IF(AND(LadiesList[[#This Row],[First &amp; Last Name]]="",LadiesList[[#This Row],[FISTF Code]]=""),"",IF(LadiesList[[#This Row],[Valide Code ?]],INDEX(Players[Player Name],MATCH(LadiesList[[#This Row],[FISTF Code]],Players[FISTF Code],0)),LadiesList[[#This Row],[First &amp; Last Name]]))</f>
        <v/>
      </c>
      <c r="G121" s="233" t="str">
        <f>IF(LadiesList[[#This Row],[Retained Player Name]]="","",VLOOKUP(LadiesList[[#This Row],[Retained Player Name]],Players[],7,FALSE))</f>
        <v/>
      </c>
      <c r="H121" s="235" t="str">
        <f>IF(LadiesList[[#This Row],[Retained Player Name]]="","",VLOOKUP(LadiesList[[#This Row],[Retained Player Name]],Players[],6,FALSE))</f>
        <v/>
      </c>
      <c r="I121" s="235" t="str">
        <f>IF(LadiesList[[#This Row],[Retained Player Name]]="","",VLOOKUP(LadiesList[[#This Row],[Retained Player Name]],Players[],4,FALSE))</f>
        <v/>
      </c>
      <c r="J121"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21" s="231"/>
      <c r="L121" s="231"/>
    </row>
    <row r="122" spans="1:12" x14ac:dyDescent="0.2">
      <c r="A122" s="16" t="str">
        <f>IF(AND(LadiesList[[#This Row],[First &amp; Last Name]]="",LadiesList[[#This Row],[FISTF Code]]=""),"",ROW()-ROW($A$11))</f>
        <v/>
      </c>
      <c r="B122" s="232"/>
      <c r="C122" s="436"/>
      <c r="D122" s="421" t="str">
        <f>IF(LadiesList[[#This Row],[First &amp; Last Name]]="","",IFERROR(ISNUMBER(MATCH(LadiesList[[#This Row],[First &amp; Last Name]],Players[Player Name],0)),FALSE))</f>
        <v/>
      </c>
      <c r="E122" s="421" t="b">
        <f>IF(LadiesList[[#This Row],[FISTF Code]]="",FALSE,IFERROR(ISNUMBER(MATCH(LadiesList[[#This Row],[FISTF Code]],Players[FISTF Code],0)),FALSE))</f>
        <v>0</v>
      </c>
      <c r="F122" s="419" t="str">
        <f>IF(AND(LadiesList[[#This Row],[First &amp; Last Name]]="",LadiesList[[#This Row],[FISTF Code]]=""),"",IF(LadiesList[[#This Row],[Valide Code ?]],INDEX(Players[Player Name],MATCH(LadiesList[[#This Row],[FISTF Code]],Players[FISTF Code],0)),LadiesList[[#This Row],[First &amp; Last Name]]))</f>
        <v/>
      </c>
      <c r="G122" s="233" t="str">
        <f>IF(LadiesList[[#This Row],[Retained Player Name]]="","",VLOOKUP(LadiesList[[#This Row],[Retained Player Name]],Players[],7,FALSE))</f>
        <v/>
      </c>
      <c r="H122" s="235" t="str">
        <f>IF(LadiesList[[#This Row],[Retained Player Name]]="","",VLOOKUP(LadiesList[[#This Row],[Retained Player Name]],Players[],6,FALSE))</f>
        <v/>
      </c>
      <c r="I122" s="235" t="str">
        <f>IF(LadiesList[[#This Row],[Retained Player Name]]="","",VLOOKUP(LadiesList[[#This Row],[Retained Player Name]],Players[],4,FALSE))</f>
        <v/>
      </c>
      <c r="J122"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22" s="231"/>
      <c r="L122" s="231"/>
    </row>
    <row r="123" spans="1:12" x14ac:dyDescent="0.2">
      <c r="A123" s="16" t="str">
        <f>IF(AND(LadiesList[[#This Row],[First &amp; Last Name]]="",LadiesList[[#This Row],[FISTF Code]]=""),"",ROW()-ROW($A$11))</f>
        <v/>
      </c>
      <c r="B123" s="232"/>
      <c r="C123" s="436"/>
      <c r="D123" s="421" t="str">
        <f>IF(LadiesList[[#This Row],[First &amp; Last Name]]="","",IFERROR(ISNUMBER(MATCH(LadiesList[[#This Row],[First &amp; Last Name]],Players[Player Name],0)),FALSE))</f>
        <v/>
      </c>
      <c r="E123" s="421" t="b">
        <f>IF(LadiesList[[#This Row],[FISTF Code]]="",FALSE,IFERROR(ISNUMBER(MATCH(LadiesList[[#This Row],[FISTF Code]],Players[FISTF Code],0)),FALSE))</f>
        <v>0</v>
      </c>
      <c r="F123" s="419" t="str">
        <f>IF(AND(LadiesList[[#This Row],[First &amp; Last Name]]="",LadiesList[[#This Row],[FISTF Code]]=""),"",IF(LadiesList[[#This Row],[Valide Code ?]],INDEX(Players[Player Name],MATCH(LadiesList[[#This Row],[FISTF Code]],Players[FISTF Code],0)),LadiesList[[#This Row],[First &amp; Last Name]]))</f>
        <v/>
      </c>
      <c r="G123" s="233" t="str">
        <f>IF(LadiesList[[#This Row],[Retained Player Name]]="","",VLOOKUP(LadiesList[[#This Row],[Retained Player Name]],Players[],7,FALSE))</f>
        <v/>
      </c>
      <c r="H123" s="235" t="str">
        <f>IF(LadiesList[[#This Row],[Retained Player Name]]="","",VLOOKUP(LadiesList[[#This Row],[Retained Player Name]],Players[],6,FALSE))</f>
        <v/>
      </c>
      <c r="I123" s="235" t="str">
        <f>IF(LadiesList[[#This Row],[Retained Player Name]]="","",VLOOKUP(LadiesList[[#This Row],[Retained Player Name]],Players[],4,FALSE))</f>
        <v/>
      </c>
      <c r="J123"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23" s="231"/>
      <c r="L123" s="231"/>
    </row>
    <row r="124" spans="1:12" x14ac:dyDescent="0.2">
      <c r="A124" s="19" t="str">
        <f>IF(AND(LadiesList[[#This Row],[First &amp; Last Name]]="",LadiesList[[#This Row],[FISTF Code]]=""),"",ROW()-ROW($A$11))</f>
        <v/>
      </c>
      <c r="B124" s="232"/>
      <c r="C124" s="436"/>
      <c r="D124" s="421" t="str">
        <f>IF(LadiesList[[#This Row],[First &amp; Last Name]]="","",IFERROR(ISNUMBER(MATCH(LadiesList[[#This Row],[First &amp; Last Name]],Players[Player Name],0)),FALSE))</f>
        <v/>
      </c>
      <c r="E124" s="421" t="b">
        <f>IF(LadiesList[[#This Row],[FISTF Code]]="",FALSE,IFERROR(ISNUMBER(MATCH(LadiesList[[#This Row],[FISTF Code]],Players[FISTF Code],0)),FALSE))</f>
        <v>0</v>
      </c>
      <c r="F124" s="419" t="str">
        <f>IF(AND(LadiesList[[#This Row],[First &amp; Last Name]]="",LadiesList[[#This Row],[FISTF Code]]=""),"",IF(LadiesList[[#This Row],[Valide Code ?]],INDEX(Players[Player Name],MATCH(LadiesList[[#This Row],[FISTF Code]],Players[FISTF Code],0)),LadiesList[[#This Row],[First &amp; Last Name]]))</f>
        <v/>
      </c>
      <c r="G124" s="233" t="str">
        <f>IF(LadiesList[[#This Row],[Retained Player Name]]="","",VLOOKUP(LadiesList[[#This Row],[Retained Player Name]],Players[],7,FALSE))</f>
        <v/>
      </c>
      <c r="H124" s="235" t="str">
        <f>IF(LadiesList[[#This Row],[Retained Player Name]]="","",VLOOKUP(LadiesList[[#This Row],[Retained Player Name]],Players[],6,FALSE))</f>
        <v/>
      </c>
      <c r="I124" s="235" t="str">
        <f>IF(LadiesList[[#This Row],[Retained Player Name]]="","",VLOOKUP(LadiesList[[#This Row],[Retained Player Name]],Players[],4,FALSE))</f>
        <v/>
      </c>
      <c r="J124"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24" s="231"/>
      <c r="L124" s="231"/>
    </row>
    <row r="125" spans="1:12" x14ac:dyDescent="0.2">
      <c r="A125" s="19" t="str">
        <f>IF(AND(LadiesList[[#This Row],[First &amp; Last Name]]="",LadiesList[[#This Row],[FISTF Code]]=""),"",ROW()-ROW($A$11))</f>
        <v/>
      </c>
      <c r="B125" s="232"/>
      <c r="C125" s="436"/>
      <c r="D125" s="421" t="str">
        <f>IF(LadiesList[[#This Row],[First &amp; Last Name]]="","",IFERROR(ISNUMBER(MATCH(LadiesList[[#This Row],[First &amp; Last Name]],Players[Player Name],0)),FALSE))</f>
        <v/>
      </c>
      <c r="E125" s="421" t="b">
        <f>IF(LadiesList[[#This Row],[FISTF Code]]="",FALSE,IFERROR(ISNUMBER(MATCH(LadiesList[[#This Row],[FISTF Code]],Players[FISTF Code],0)),FALSE))</f>
        <v>0</v>
      </c>
      <c r="F125" s="419" t="str">
        <f>IF(AND(LadiesList[[#This Row],[First &amp; Last Name]]="",LadiesList[[#This Row],[FISTF Code]]=""),"",IF(LadiesList[[#This Row],[Valide Code ?]],INDEX(Players[Player Name],MATCH(LadiesList[[#This Row],[FISTF Code]],Players[FISTF Code],0)),LadiesList[[#This Row],[First &amp; Last Name]]))</f>
        <v/>
      </c>
      <c r="G125" s="233" t="str">
        <f>IF(LadiesList[[#This Row],[Retained Player Name]]="","",VLOOKUP(LadiesList[[#This Row],[Retained Player Name]],Players[],7,FALSE))</f>
        <v/>
      </c>
      <c r="H125" s="235" t="str">
        <f>IF(LadiesList[[#This Row],[Retained Player Name]]="","",VLOOKUP(LadiesList[[#This Row],[Retained Player Name]],Players[],6,FALSE))</f>
        <v/>
      </c>
      <c r="I125" s="235" t="str">
        <f>IF(LadiesList[[#This Row],[Retained Player Name]]="","",VLOOKUP(LadiesList[[#This Row],[Retained Player Name]],Players[],4,FALSE))</f>
        <v/>
      </c>
      <c r="J125" s="18" t="str">
        <f>IF(COUNTIF(ResultsInd[Winners],$L$10&amp;"-"&amp;LadiesList[[#This Row],[Retained Player Name]])=1,"W",IF(LadiesList[[#This Row],[Retained Player Name]]="","",IFERROR(VLOOKUP($L$10&amp;"-"&amp;LadiesList[[#This Row],[Retained Player Name]],ResultsInd[[LoseInKO]:[LoseOrDrawInGroups]],2,FALSE),IFERROR(VLOOKUP($L$10&amp;"-"&amp;LadiesList[[#This Row],[Retained Player Name]],ResultsInd[[LoseOrDrawInGroups]:[Level]],3,FALSE),IFERROR(VLOOKUP($L$10&amp;"-"&amp;LadiesList[[#This Row],[Retained Player Name]],ResultsInd[[DrawInGroups]:[Level]],2,FALSE),NA())))))</f>
        <v/>
      </c>
      <c r="K125" s="231"/>
      <c r="L125" s="231"/>
    </row>
    <row r="126" spans="1:12" x14ac:dyDescent="0.2">
      <c r="A126" s="10"/>
    </row>
  </sheetData>
  <sheetProtection algorithmName="SHA-512" hashValue="lPlp9WGwcVLEsmldLRaI3xq+Ex81VECBEZHtyuO3B553cX0t83+vh88/VtmXEMeIHOA/z5gFLCl157339eLG1Q==" saltValue="RRPdqBRLRFMLVzHGfi4Y4A==" spinCount="100000" sheet="1" objects="1" scenarios="1" formatCells="0" formatColumns="0" formatRows="0" selectLockedCells="1" sort="0" autoFilter="0" pivotTables="0"/>
  <conditionalFormatting sqref="A6:A9">
    <cfRule type="expression" dxfId="106" priority="11">
      <formula>$K6="Withdraw"</formula>
    </cfRule>
  </conditionalFormatting>
  <conditionalFormatting sqref="A22:B125 A12:A21 D12:J125">
    <cfRule type="expression" dxfId="105" priority="15">
      <formula>$K12&lt;&gt;""</formula>
    </cfRule>
  </conditionalFormatting>
  <conditionalFormatting sqref="B12:B21">
    <cfRule type="expression" dxfId="104" priority="4">
      <formula>$K12&lt;&gt;""</formula>
    </cfRule>
  </conditionalFormatting>
  <conditionalFormatting sqref="B12:B125">
    <cfRule type="expression" dxfId="103" priority="1">
      <formula>AND(NOT(ISBLANK(B12)),NOT(D12))</formula>
    </cfRule>
    <cfRule type="expression" dxfId="102" priority="2">
      <formula>AND($B12&lt;&gt;"",$B12&lt;&gt;$F12)</formula>
    </cfRule>
    <cfRule type="expression" dxfId="101" priority="3">
      <formula>D12</formula>
    </cfRule>
  </conditionalFormatting>
  <conditionalFormatting sqref="C12:C125">
    <cfRule type="expression" dxfId="100" priority="5">
      <formula>AND(E12,C12&lt;&gt;"")</formula>
    </cfRule>
    <cfRule type="expression" dxfId="99" priority="6">
      <formula>AND(NOT(ISBLANK(C12)),NOT(E12))</formula>
    </cfRule>
    <cfRule type="expression" dxfId="98" priority="7">
      <formula>$K12&lt;&gt;""</formula>
    </cfRule>
  </conditionalFormatting>
  <conditionalFormatting sqref="G6:G9">
    <cfRule type="expression" dxfId="97" priority="10">
      <formula>$K6="Withdraw"</formula>
    </cfRule>
  </conditionalFormatting>
  <conditionalFormatting sqref="G12:J125">
    <cfRule type="expression" dxfId="96" priority="16">
      <formula>NOT(_xlfn.ISFORMULA(G12))</formula>
    </cfRule>
  </conditionalFormatting>
  <conditionalFormatting sqref="J6:J9">
    <cfRule type="expression" dxfId="95" priority="9">
      <formula>$K6="Withdraw"</formula>
    </cfRule>
  </conditionalFormatting>
  <dataValidations count="3">
    <dataValidation type="list" allowBlank="1" showInputMessage="1" showErrorMessage="1" sqref="K12:K125" xr:uid="{6B187B27-B0D1-4331-8E30-7CB3123E85E0}">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5B653579-C018-480F-8599-67607CE4754C}">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7522C689-600D-4A17-8DD7-8B59D207E6C9}">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F42B3-EE3F-4109-A138-A35DD1E83577}">
  <sheetPr codeName="Feuil20">
    <tabColor rgb="FF0066CC"/>
    <pageSetUpPr fitToPage="1"/>
  </sheetPr>
  <dimension ref="A1:M126"/>
  <sheetViews>
    <sheetView showGridLines="0" topLeftCell="A6" zoomScaleNormal="100" zoomScaleSheetLayoutView="85" workbookViewId="0">
      <selection activeCell="B12" sqref="B12:B19"/>
    </sheetView>
  </sheetViews>
  <sheetFormatPr defaultColWidth="0" defaultRowHeight="12.75" zeroHeight="1" x14ac:dyDescent="0.2"/>
  <cols>
    <col min="1" max="1" width="4.85546875" style="9" bestFit="1" customWidth="1"/>
    <col min="2" max="2" width="23.7109375" style="7" customWidth="1"/>
    <col min="3" max="3" width="13.5703125" style="7" customWidth="1"/>
    <col min="4" max="4" width="13.42578125" style="7" hidden="1" customWidth="1"/>
    <col min="5" max="5" width="14.140625" style="7" hidden="1" customWidth="1"/>
    <col min="6" max="6" width="23.7109375" style="7" customWidth="1"/>
    <col min="7" max="7" width="8.42578125" style="9" bestFit="1" customWidth="1"/>
    <col min="8" max="8" width="25.85546875" style="9" customWidth="1"/>
    <col min="9" max="9" width="12.140625" style="9" customWidth="1"/>
    <col min="10" max="10" width="11.85546875" style="7" customWidth="1"/>
    <col min="11" max="11" width="12.28515625" style="7" customWidth="1"/>
    <col min="12" max="12" width="26.28515625" style="7" customWidth="1"/>
    <col min="13" max="13" width="4.5703125" style="7" customWidth="1"/>
    <col min="14" max="16384" width="4" style="7" hidden="1"/>
  </cols>
  <sheetData>
    <row r="1" spans="1:13" s="226" customFormat="1" ht="102" x14ac:dyDescent="0.2">
      <c r="A1" s="221" t="s">
        <v>13177</v>
      </c>
      <c r="B1" s="221"/>
      <c r="C1" s="221"/>
      <c r="D1" s="221"/>
      <c r="E1" s="221"/>
      <c r="F1" s="221"/>
      <c r="G1" s="222"/>
      <c r="H1" s="223"/>
      <c r="I1" s="224"/>
      <c r="J1" s="225"/>
      <c r="K1" s="225"/>
      <c r="L1" s="225"/>
    </row>
    <row r="2" spans="1:13" s="226" customFormat="1" ht="18.75" thickBot="1" x14ac:dyDescent="0.3">
      <c r="A2" s="227" t="s">
        <v>13178</v>
      </c>
      <c r="B2" s="227"/>
      <c r="C2" s="227"/>
      <c r="D2" s="227"/>
      <c r="E2" s="227"/>
      <c r="F2" s="227"/>
      <c r="G2" s="228"/>
      <c r="H2" s="228"/>
      <c r="I2" s="229"/>
      <c r="J2" s="225"/>
      <c r="K2" s="225"/>
      <c r="L2" s="225"/>
    </row>
    <row r="3" spans="1:13" s="226" customFormat="1" ht="18" x14ac:dyDescent="0.25">
      <c r="A3" s="429" t="s">
        <v>13161</v>
      </c>
      <c r="B3" s="424"/>
      <c r="C3" s="424"/>
      <c r="D3" s="424"/>
      <c r="E3" s="424"/>
      <c r="F3" s="424"/>
      <c r="G3" s="425"/>
      <c r="H3" s="425"/>
      <c r="I3" s="425"/>
      <c r="J3" s="426"/>
      <c r="K3" s="426"/>
      <c r="L3" s="427"/>
    </row>
    <row r="4" spans="1:13" s="226" customFormat="1" ht="18" x14ac:dyDescent="0.25">
      <c r="A4" s="456"/>
      <c r="B4" s="453" t="s">
        <v>13167</v>
      </c>
      <c r="C4" s="443"/>
      <c r="D4" s="443"/>
      <c r="E4" s="443"/>
      <c r="F4" s="443"/>
      <c r="G4" s="444"/>
      <c r="H4" s="453" t="s">
        <v>13168</v>
      </c>
      <c r="I4" s="444"/>
      <c r="L4" s="442"/>
    </row>
    <row r="5" spans="1:13" s="435" customFormat="1" ht="11.25" x14ac:dyDescent="0.2">
      <c r="A5" s="457" t="s">
        <v>6</v>
      </c>
      <c r="B5" s="418" t="s">
        <v>7</v>
      </c>
      <c r="C5" s="418" t="s">
        <v>12</v>
      </c>
      <c r="D5" s="432"/>
      <c r="E5" s="432"/>
      <c r="F5" s="432"/>
      <c r="G5" s="417" t="s">
        <v>6</v>
      </c>
      <c r="H5" s="418" t="s">
        <v>7</v>
      </c>
      <c r="I5" s="418" t="s">
        <v>12</v>
      </c>
      <c r="J5" s="418" t="s">
        <v>13160</v>
      </c>
      <c r="K5" s="433"/>
      <c r="L5" s="434"/>
    </row>
    <row r="6" spans="1:13" s="226" customFormat="1" x14ac:dyDescent="0.2">
      <c r="A6" s="458">
        <v>1</v>
      </c>
      <c r="B6" s="446" t="s">
        <v>13164</v>
      </c>
      <c r="C6" s="447"/>
      <c r="D6" s="423"/>
      <c r="E6" s="423"/>
      <c r="F6" s="423"/>
      <c r="G6" s="445">
        <v>1</v>
      </c>
      <c r="H6" s="446" t="s">
        <v>13165</v>
      </c>
      <c r="I6" s="466" t="s">
        <v>13159</v>
      </c>
      <c r="J6" s="448" t="s">
        <v>13165</v>
      </c>
      <c r="K6" s="430"/>
      <c r="L6" s="431"/>
    </row>
    <row r="7" spans="1:13" s="226" customFormat="1" x14ac:dyDescent="0.2">
      <c r="A7" s="458">
        <v>2</v>
      </c>
      <c r="B7" s="449" t="s">
        <v>13163</v>
      </c>
      <c r="C7" s="450"/>
      <c r="D7" s="423"/>
      <c r="E7" s="423"/>
      <c r="F7" s="423"/>
      <c r="G7" s="445">
        <v>2</v>
      </c>
      <c r="H7" s="449" t="s">
        <v>13163</v>
      </c>
      <c r="I7" s="467" t="s">
        <v>13159</v>
      </c>
      <c r="J7" s="448" t="s">
        <v>13165</v>
      </c>
      <c r="K7" s="430"/>
      <c r="L7" s="431"/>
    </row>
    <row r="8" spans="1:13" s="226" customFormat="1" ht="25.5" x14ac:dyDescent="0.2">
      <c r="A8" s="458">
        <v>3</v>
      </c>
      <c r="B8" s="447"/>
      <c r="C8" s="449" t="s">
        <v>13162</v>
      </c>
      <c r="D8" s="423"/>
      <c r="E8" s="423"/>
      <c r="F8" s="423"/>
      <c r="G8" s="445">
        <v>3</v>
      </c>
      <c r="H8" s="451" t="s">
        <v>13166</v>
      </c>
      <c r="I8" s="466" t="s">
        <v>13159</v>
      </c>
      <c r="J8" s="452" t="s">
        <v>13165</v>
      </c>
      <c r="K8" s="430"/>
      <c r="L8" s="431"/>
    </row>
    <row r="9" spans="1:13" s="226" customFormat="1" ht="26.25" thickBot="1" x14ac:dyDescent="0.25">
      <c r="A9" s="459">
        <v>4</v>
      </c>
      <c r="B9" s="460"/>
      <c r="C9" s="461" t="s">
        <v>13169</v>
      </c>
      <c r="D9" s="428"/>
      <c r="E9" s="428"/>
      <c r="F9" s="428"/>
      <c r="G9" s="462" t="str">
        <f t="shared" ref="G9" si="0">IF(H9="","",ROW()-ROW(G8))</f>
        <v/>
      </c>
      <c r="H9" s="460"/>
      <c r="I9" s="460"/>
      <c r="J9" s="463"/>
      <c r="K9" s="464"/>
      <c r="L9" s="465"/>
    </row>
    <row r="10" spans="1:13" ht="34.5" customHeight="1" x14ac:dyDescent="0.4">
      <c r="A10" s="454" t="s">
        <v>12291</v>
      </c>
      <c r="B10" s="455"/>
      <c r="C10" s="455"/>
      <c r="D10" s="455"/>
      <c r="E10" s="455"/>
      <c r="F10" s="455"/>
      <c r="G10" s="455"/>
      <c r="H10" s="455"/>
      <c r="I10" s="455"/>
      <c r="J10" s="455"/>
      <c r="K10" s="455"/>
      <c r="L10" s="455" t="s">
        <v>930</v>
      </c>
    </row>
    <row r="11" spans="1:13" s="8" customFormat="1" ht="22.5" x14ac:dyDescent="0.2">
      <c r="A11" s="438" t="s">
        <v>6</v>
      </c>
      <c r="B11" s="439" t="s">
        <v>7</v>
      </c>
      <c r="C11" s="438" t="s">
        <v>12</v>
      </c>
      <c r="D11" s="438" t="s">
        <v>13157</v>
      </c>
      <c r="E11" s="438" t="s">
        <v>13158</v>
      </c>
      <c r="F11" s="439" t="s">
        <v>13160</v>
      </c>
      <c r="G11" s="438" t="s">
        <v>8</v>
      </c>
      <c r="H11" s="439" t="s">
        <v>9</v>
      </c>
      <c r="I11" s="440" t="s">
        <v>13156</v>
      </c>
      <c r="J11" s="440" t="s">
        <v>12285</v>
      </c>
      <c r="K11" s="440" t="s">
        <v>10890</v>
      </c>
      <c r="L11" s="441" t="s">
        <v>10891</v>
      </c>
      <c r="M11" s="7"/>
    </row>
    <row r="12" spans="1:13" s="8" customFormat="1" ht="12.75" customHeight="1" x14ac:dyDescent="0.2">
      <c r="A12" s="16">
        <f>IF(AND(U20List[[#This Row],[First &amp; Last Name]]="",U20List[[#This Row],[FISTF Code]]=""),"",ROW()-ROW($A$11))</f>
        <v>1</v>
      </c>
      <c r="B12" s="232" t="s">
        <v>8120</v>
      </c>
      <c r="C12" s="436"/>
      <c r="D12" s="421" t="b">
        <f>IF(U20List[[#This Row],[First &amp; Last Name]]="","",IFERROR(ISNUMBER(MATCH(U20List[[#This Row],[First &amp; Last Name]],Players[Player Name],0)),FALSE))</f>
        <v>1</v>
      </c>
      <c r="E12" s="421" t="b">
        <f>IF(U20List[[#This Row],[FISTF Code]]="",FALSE,IFERROR(ISNUMBER(MATCH(U20List[[#This Row],[FISTF Code]],Players[FISTF Code],0)),FALSE))</f>
        <v>0</v>
      </c>
      <c r="F12" s="419" t="str">
        <f>IF(AND(U20List[[#This Row],[First &amp; Last Name]]="",U20List[[#This Row],[FISTF Code]]=""),"",IF(U20List[[#This Row],[Valide Code ?]],INDEX(Players[Player Name],MATCH(U20List[[#This Row],[FISTF Code]],Players[FISTF Code],0)),U20List[[#This Row],[First &amp; Last Name]]))</f>
        <v>Lucas Pere</v>
      </c>
      <c r="G12" s="233" t="str">
        <f>IF(U20List[[#This Row],[Retained Player Name]]="","",VLOOKUP(U20List[[#This Row],[Retained Player Name]],Players[],7,FALSE))</f>
        <v>BEL</v>
      </c>
      <c r="H12" s="233" t="str">
        <f>IF(U20List[[#This Row],[Retained Player Name]]="","",VLOOKUP(U20List[[#This Row],[Retained Player Name]],Players[],6,FALSE))</f>
        <v>Avenir Subbuteo Hennuyer</v>
      </c>
      <c r="I12" s="234" t="str">
        <f>IF(U20List[[#This Row],[Retained Player Name]]="","",VLOOKUP(U20List[[#This Row],[Retained Player Name]],Players[],4,FALSE))</f>
        <v>BEL0197</v>
      </c>
      <c r="J12"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R</v>
      </c>
      <c r="K12" s="230"/>
      <c r="L12" s="230"/>
      <c r="M12" s="7"/>
    </row>
    <row r="13" spans="1:13" s="8" customFormat="1" ht="12.75" customHeight="1" x14ac:dyDescent="0.2">
      <c r="A13" s="16">
        <f>IF(AND(U20List[[#This Row],[First &amp; Last Name]]="",U20List[[#This Row],[FISTF Code]]=""),"",ROW()-ROW($A$11))</f>
        <v>2</v>
      </c>
      <c r="B13" s="232" t="s">
        <v>8149</v>
      </c>
      <c r="C13" s="436"/>
      <c r="D13" s="421" t="b">
        <f>IF(U20List[[#This Row],[First &amp; Last Name]]="","",IFERROR(ISNUMBER(MATCH(U20List[[#This Row],[First &amp; Last Name]],Players[Player Name],0)),FALSE))</f>
        <v>1</v>
      </c>
      <c r="E13" s="421" t="b">
        <f>IF(U20List[[#This Row],[FISTF Code]]="",FALSE,IFERROR(ISNUMBER(MATCH(U20List[[#This Row],[FISTF Code]],Players[FISTF Code],0)),FALSE))</f>
        <v>0</v>
      </c>
      <c r="F13" s="419" t="str">
        <f>IF(AND(U20List[[#This Row],[First &amp; Last Name]]="",U20List[[#This Row],[FISTF Code]]=""),"",IF(U20List[[#This Row],[Valide Code ?]],INDEX(Players[Player Name],MATCH(U20List[[#This Row],[FISTF Code]],Players[FISTF Code],0)),U20List[[#This Row],[First &amp; Last Name]]))</f>
        <v>Jann Segers</v>
      </c>
      <c r="G13" s="233" t="str">
        <f>IF(U20List[[#This Row],[Retained Player Name]]="","",VLOOKUP(U20List[[#This Row],[Retained Player Name]],Players[],7,FALSE))</f>
        <v>BEL</v>
      </c>
      <c r="H13" s="233" t="str">
        <f>IF(U20List[[#This Row],[Retained Player Name]]="","",VLOOKUP(U20List[[#This Row],[Retained Player Name]],Players[],6,FALSE))</f>
        <v>Avenir Subbuteo Hennuyer</v>
      </c>
      <c r="I13" s="234" t="str">
        <f>IF(U20List[[#This Row],[Retained Player Name]]="","",VLOOKUP(U20List[[#This Row],[Retained Player Name]],Players[],4,FALSE))</f>
        <v>BEL0247</v>
      </c>
      <c r="J13"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PR1</v>
      </c>
      <c r="K13" s="230"/>
      <c r="L13" s="230"/>
      <c r="M13" s="7"/>
    </row>
    <row r="14" spans="1:13" s="8" customFormat="1" ht="12.75" customHeight="1" x14ac:dyDescent="0.2">
      <c r="A14" s="16">
        <f>IF(AND(U20List[[#This Row],[First &amp; Last Name]]="",U20List[[#This Row],[FISTF Code]]=""),"",ROW()-ROW($A$11))</f>
        <v>3</v>
      </c>
      <c r="B14" s="232" t="s">
        <v>8194</v>
      </c>
      <c r="C14" s="436"/>
      <c r="D14" s="421" t="b">
        <f>IF(U20List[[#This Row],[First &amp; Last Name]]="","",IFERROR(ISNUMBER(MATCH(U20List[[#This Row],[First &amp; Last Name]],Players[Player Name],0)),FALSE))</f>
        <v>1</v>
      </c>
      <c r="E14" s="421" t="b">
        <f>IF(U20List[[#This Row],[FISTF Code]]="",FALSE,IFERROR(ISNUMBER(MATCH(U20List[[#This Row],[FISTF Code]],Players[FISTF Code],0)),FALSE))</f>
        <v>0</v>
      </c>
      <c r="F14" s="419" t="str">
        <f>IF(AND(U20List[[#This Row],[First &amp; Last Name]]="",U20List[[#This Row],[FISTF Code]]=""),"",IF(U20List[[#This Row],[Valide Code ?]],INDEX(Players[Player Name],MATCH(U20List[[#This Row],[FISTF Code]],Players[FISTF Code],0)),U20List[[#This Row],[First &amp; Last Name]]))</f>
        <v>Noah Janssens</v>
      </c>
      <c r="G14" s="233" t="str">
        <f>IF(U20List[[#This Row],[Retained Player Name]]="","",VLOOKUP(U20List[[#This Row],[Retained Player Name]],Players[],7,FALSE))</f>
        <v>BEL</v>
      </c>
      <c r="H14" s="233" t="str">
        <f>IF(U20List[[#This Row],[Retained Player Name]]="","",VLOOKUP(U20List[[#This Row],[Retained Player Name]],Players[],6,FALSE))</f>
        <v>Wamme SC</v>
      </c>
      <c r="I14" s="234" t="str">
        <f>IF(U20List[[#This Row],[Retained Player Name]]="","",VLOOKUP(U20List[[#This Row],[Retained Player Name]],Players[],4,FALSE))</f>
        <v>BEL0445</v>
      </c>
      <c r="J14"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S</v>
      </c>
      <c r="K14" s="230"/>
      <c r="L14" s="230"/>
      <c r="M14" s="7"/>
    </row>
    <row r="15" spans="1:13" s="8" customFormat="1" ht="12.75" customHeight="1" x14ac:dyDescent="0.2">
      <c r="A15" s="16">
        <f>IF(AND(U20List[[#This Row],[First &amp; Last Name]]="",U20List[[#This Row],[FISTF Code]]=""),"",ROW()-ROW($A$11))</f>
        <v>4</v>
      </c>
      <c r="B15" s="232" t="s">
        <v>8167</v>
      </c>
      <c r="C15" s="436"/>
      <c r="D15" s="421" t="b">
        <f>IF(U20List[[#This Row],[First &amp; Last Name]]="","",IFERROR(ISNUMBER(MATCH(U20List[[#This Row],[First &amp; Last Name]],Players[Player Name],0)),FALSE))</f>
        <v>1</v>
      </c>
      <c r="E15" s="421" t="b">
        <f>IF(U20List[[#This Row],[FISTF Code]]="",FALSE,IFERROR(ISNUMBER(MATCH(U20List[[#This Row],[FISTF Code]],Players[FISTF Code],0)),FALSE))</f>
        <v>0</v>
      </c>
      <c r="F15" s="419" t="str">
        <f>IF(AND(U20List[[#This Row],[First &amp; Last Name]]="",U20List[[#This Row],[FISTF Code]]=""),"",IF(U20List[[#This Row],[Valide Code ?]],INDEX(Players[Player Name],MATCH(U20List[[#This Row],[FISTF Code]],Players[FISTF Code],0)),U20List[[#This Row],[First &amp; Last Name]]))</f>
        <v>Noah Denne</v>
      </c>
      <c r="G15" s="233" t="str">
        <f>IF(U20List[[#This Row],[Retained Player Name]]="","",VLOOKUP(U20List[[#This Row],[Retained Player Name]],Players[],7,FALSE))</f>
        <v>BEL</v>
      </c>
      <c r="H15" s="233" t="str">
        <f>IF(U20List[[#This Row],[Retained Player Name]]="","",VLOOKUP(U20List[[#This Row],[Retained Player Name]],Players[],6,FALSE))</f>
        <v>SC Lion's Eugies</v>
      </c>
      <c r="I15" s="234" t="str">
        <f>IF(U20List[[#This Row],[Retained Player Name]]="","",VLOOKUP(U20List[[#This Row],[Retained Player Name]],Players[],4,FALSE))</f>
        <v>BEL0328</v>
      </c>
      <c r="J15"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S</v>
      </c>
      <c r="K15" s="230"/>
      <c r="L15" s="230"/>
      <c r="M15" s="7"/>
    </row>
    <row r="16" spans="1:13" s="8" customFormat="1" ht="12.75" customHeight="1" x14ac:dyDescent="0.2">
      <c r="A16" s="16">
        <f>IF(AND(U20List[[#This Row],[First &amp; Last Name]]="",U20List[[#This Row],[FISTF Code]]=""),"",ROW()-ROW($A$11))</f>
        <v>5</v>
      </c>
      <c r="B16" s="232" t="s">
        <v>8716</v>
      </c>
      <c r="C16" s="436"/>
      <c r="D16" s="421" t="b">
        <f>IF(U20List[[#This Row],[First &amp; Last Name]]="","",IFERROR(ISNUMBER(MATCH(U20List[[#This Row],[First &amp; Last Name]],Players[Player Name],0)),FALSE))</f>
        <v>1</v>
      </c>
      <c r="E16" s="421" t="b">
        <f>IF(U20List[[#This Row],[FISTF Code]]="",FALSE,IFERROR(ISNUMBER(MATCH(U20List[[#This Row],[FISTF Code]],Players[FISTF Code],0)),FALSE))</f>
        <v>0</v>
      </c>
      <c r="F16" s="419" t="str">
        <f>IF(AND(U20List[[#This Row],[First &amp; Last Name]]="",U20List[[#This Row],[FISTF Code]]=""),"",IF(U20List[[#This Row],[Valide Code ?]],INDEX(Players[Player Name],MATCH(U20List[[#This Row],[FISTF Code]],Players[FISTF Code],0)),U20List[[#This Row],[First &amp; Last Name]]))</f>
        <v>Quentin Ausset</v>
      </c>
      <c r="G16" s="233" t="str">
        <f>IF(U20List[[#This Row],[Retained Player Name]]="","",VLOOKUP(U20List[[#This Row],[Retained Player Name]],Players[],7,FALSE))</f>
        <v>FRA</v>
      </c>
      <c r="H16" s="233" t="str">
        <f>IF(U20List[[#This Row],[Retained Player Name]]="","",VLOOKUP(U20List[[#This Row],[Retained Player Name]],Players[],6,FALSE))</f>
        <v>Elan Subbutéo Club de Champs-sur-Marne</v>
      </c>
      <c r="I16" s="234" t="str">
        <f>IF(U20List[[#This Row],[Retained Player Name]]="","",VLOOKUP(U20List[[#This Row],[Retained Player Name]],Players[],4,FALSE))</f>
        <v>FRA0120</v>
      </c>
      <c r="J16"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W</v>
      </c>
      <c r="K16" s="230"/>
      <c r="L16" s="230"/>
      <c r="M16" s="7"/>
    </row>
    <row r="17" spans="1:13" s="8" customFormat="1" ht="12.75" customHeight="1" x14ac:dyDescent="0.2">
      <c r="A17" s="16">
        <f>IF(AND(U20List[[#This Row],[First &amp; Last Name]]="",U20List[[#This Row],[FISTF Code]]=""),"",ROW()-ROW($A$11))</f>
        <v>6</v>
      </c>
      <c r="B17" s="232" t="s">
        <v>11594</v>
      </c>
      <c r="C17" s="436"/>
      <c r="D17" s="421" t="b">
        <f>IF(U20List[[#This Row],[First &amp; Last Name]]="","",IFERROR(ISNUMBER(MATCH(U20List[[#This Row],[First &amp; Last Name]],Players[Player Name],0)),FALSE))</f>
        <v>1</v>
      </c>
      <c r="E17" s="421" t="b">
        <f>IF(U20List[[#This Row],[FISTF Code]]="",FALSE,IFERROR(ISNUMBER(MATCH(U20List[[#This Row],[FISTF Code]],Players[FISTF Code],0)),FALSE))</f>
        <v>0</v>
      </c>
      <c r="F17" s="419" t="str">
        <f>IF(AND(U20List[[#This Row],[First &amp; Last Name]]="",U20List[[#This Row],[FISTF Code]]=""),"",IF(U20List[[#This Row],[Valide Code ?]],INDEX(Players[Player Name],MATCH(U20List[[#This Row],[FISTF Code]],Players[FISTF Code],0)),U20List[[#This Row],[First &amp; Last Name]]))</f>
        <v>Aurélien Feye</v>
      </c>
      <c r="G17" s="233" t="str">
        <f>IF(U20List[[#This Row],[Retained Player Name]]="","",VLOOKUP(U20List[[#This Row],[Retained Player Name]],Players[],7,FALSE))</f>
        <v>BEL</v>
      </c>
      <c r="H17" s="233" t="str">
        <f>IF(U20List[[#This Row],[Retained Player Name]]="","",VLOOKUP(U20List[[#This Row],[Retained Player Name]],Players[],6,FALSE))</f>
        <v>ST Stembert</v>
      </c>
      <c r="I17" s="234" t="str">
        <f>IF(U20List[[#This Row],[Retained Player Name]]="","",VLOOKUP(U20List[[#This Row],[Retained Player Name]],Players[],4,FALSE))</f>
        <v>BEL0306</v>
      </c>
      <c r="J17"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PR1</v>
      </c>
      <c r="K17" s="230"/>
      <c r="L17" s="230"/>
      <c r="M17" s="7"/>
    </row>
    <row r="18" spans="1:13" s="8" customFormat="1" ht="12.75" customHeight="1" x14ac:dyDescent="0.2">
      <c r="A18" s="16">
        <f>IF(AND(U20List[[#This Row],[First &amp; Last Name]]="",U20List[[#This Row],[FISTF Code]]=""),"",ROW()-ROW($A$11))</f>
        <v>7</v>
      </c>
      <c r="B18" s="232" t="s">
        <v>8583</v>
      </c>
      <c r="C18" s="436"/>
      <c r="D18" s="421" t="b">
        <f>IF(U20List[[#This Row],[First &amp; Last Name]]="","",IFERROR(ISNUMBER(MATCH(U20List[[#This Row],[First &amp; Last Name]],Players[Player Name],0)),FALSE))</f>
        <v>1</v>
      </c>
      <c r="E18" s="421" t="b">
        <f>IF(U20List[[#This Row],[FISTF Code]]="",FALSE,IFERROR(ISNUMBER(MATCH(U20List[[#This Row],[FISTF Code]],Players[FISTF Code],0)),FALSE))</f>
        <v>0</v>
      </c>
      <c r="F18" s="419" t="str">
        <f>IF(AND(U20List[[#This Row],[First &amp; Last Name]]="",U20List[[#This Row],[FISTF Code]]=""),"",IF(U20List[[#This Row],[Valide Code ?]],INDEX(Players[Player Name],MATCH(U20List[[#This Row],[FISTF Code]],Players[FISTF Code],0)),U20List[[#This Row],[First &amp; Last Name]]))</f>
        <v>Gage Badger</v>
      </c>
      <c r="G18" s="233" t="str">
        <f>IF(U20List[[#This Row],[Retained Player Name]]="","",VLOOKUP(U20List[[#This Row],[Retained Player Name]],Players[],7,FALSE))</f>
        <v>ENG</v>
      </c>
      <c r="H18" s="233" t="str">
        <f>IF(U20List[[#This Row],[Retained Player Name]]="","",VLOOKUP(U20List[[#This Row],[Retained Player Name]],Players[],6,FALSE))</f>
        <v>Wolverhampton Table Football Club</v>
      </c>
      <c r="I18" s="234" t="str">
        <f>IF(U20List[[#This Row],[Retained Player Name]]="","",VLOOKUP(U20List[[#This Row],[Retained Player Name]],Players[],4,FALSE))</f>
        <v>ENG0486</v>
      </c>
      <c r="J18"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PR1</v>
      </c>
      <c r="K18" s="230"/>
      <c r="L18" s="230"/>
      <c r="M18" s="7"/>
    </row>
    <row r="19" spans="1:13" s="8" customFormat="1" ht="12.75" customHeight="1" x14ac:dyDescent="0.2">
      <c r="A19" s="16">
        <f>IF(AND(U20List[[#This Row],[First &amp; Last Name]]="",U20List[[#This Row],[FISTF Code]]=""),"",ROW()-ROW($A$11))</f>
        <v>8</v>
      </c>
      <c r="B19" s="232" t="s">
        <v>8170</v>
      </c>
      <c r="C19" s="436"/>
      <c r="D19" s="421" t="b">
        <f>IF(U20List[[#This Row],[First &amp; Last Name]]="","",IFERROR(ISNUMBER(MATCH(U20List[[#This Row],[First &amp; Last Name]],Players[Player Name],0)),FALSE))</f>
        <v>1</v>
      </c>
      <c r="E19" s="421" t="b">
        <f>IF(U20List[[#This Row],[FISTF Code]]="",FALSE,IFERROR(ISNUMBER(MATCH(U20List[[#This Row],[FISTF Code]],Players[FISTF Code],0)),FALSE))</f>
        <v>0</v>
      </c>
      <c r="F19" s="419" t="str">
        <f>IF(AND(U20List[[#This Row],[First &amp; Last Name]]="",U20List[[#This Row],[FISTF Code]]=""),"",IF(U20List[[#This Row],[Valide Code ?]],INDEX(Players[Player Name],MATCH(U20List[[#This Row],[FISTF Code]],Players[FISTF Code],0)),U20List[[#This Row],[First &amp; Last Name]]))</f>
        <v>Lucas Raison</v>
      </c>
      <c r="G19" s="233" t="str">
        <f>IF(U20List[[#This Row],[Retained Player Name]]="","",VLOOKUP(U20List[[#This Row],[Retained Player Name]],Players[],7,FALSE))</f>
        <v>BEL</v>
      </c>
      <c r="H19" s="233" t="str">
        <f>IF(U20List[[#This Row],[Retained Player Name]]="","",VLOOKUP(U20List[[#This Row],[Retained Player Name]],Players[],6,FALSE))</f>
        <v>SC Lion's Eugies</v>
      </c>
      <c r="I19" s="234" t="str">
        <f>IF(U20List[[#This Row],[Retained Player Name]]="","",VLOOKUP(U20List[[#This Row],[Retained Player Name]],Players[],4,FALSE))</f>
        <v>BEL0335</v>
      </c>
      <c r="J19"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PR1</v>
      </c>
      <c r="K19" s="230"/>
      <c r="L19" s="230"/>
      <c r="M19" s="7"/>
    </row>
    <row r="20" spans="1:13" s="8" customFormat="1" ht="12.75" customHeight="1" x14ac:dyDescent="0.2">
      <c r="A20" s="16" t="str">
        <f>IF(AND(U20List[[#This Row],[First &amp; Last Name]]="",U20List[[#This Row],[FISTF Code]]=""),"",ROW()-ROW($A$11))</f>
        <v/>
      </c>
      <c r="B20" s="232"/>
      <c r="C20" s="436"/>
      <c r="D20" s="421" t="str">
        <f>IF(U20List[[#This Row],[First &amp; Last Name]]="","",IFERROR(ISNUMBER(MATCH(U20List[[#This Row],[First &amp; Last Name]],Players[Player Name],0)),FALSE))</f>
        <v/>
      </c>
      <c r="E20" s="421" t="b">
        <f>IF(U20List[[#This Row],[FISTF Code]]="",FALSE,IFERROR(ISNUMBER(MATCH(U20List[[#This Row],[FISTF Code]],Players[FISTF Code],0)),FALSE))</f>
        <v>0</v>
      </c>
      <c r="F20" s="419" t="str">
        <f>IF(AND(U20List[[#This Row],[First &amp; Last Name]]="",U20List[[#This Row],[FISTF Code]]=""),"",IF(U20List[[#This Row],[Valide Code ?]],INDEX(Players[Player Name],MATCH(U20List[[#This Row],[FISTF Code]],Players[FISTF Code],0)),U20List[[#This Row],[First &amp; Last Name]]))</f>
        <v/>
      </c>
      <c r="G20" s="233" t="str">
        <f>IF(U20List[[#This Row],[Retained Player Name]]="","",VLOOKUP(U20List[[#This Row],[Retained Player Name]],Players[],7,FALSE))</f>
        <v/>
      </c>
      <c r="H20" s="233" t="str">
        <f>IF(U20List[[#This Row],[Retained Player Name]]="","",VLOOKUP(U20List[[#This Row],[Retained Player Name]],Players[],6,FALSE))</f>
        <v/>
      </c>
      <c r="I20" s="234" t="str">
        <f>IF(U20List[[#This Row],[Retained Player Name]]="","",VLOOKUP(U20List[[#This Row],[Retained Player Name]],Players[],4,FALSE))</f>
        <v/>
      </c>
      <c r="J20"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0" s="230"/>
      <c r="L20" s="230"/>
      <c r="M20" s="7"/>
    </row>
    <row r="21" spans="1:13" s="8" customFormat="1" ht="12.75" customHeight="1" x14ac:dyDescent="0.2">
      <c r="A21" s="16" t="str">
        <f>IF(AND(U20List[[#This Row],[First &amp; Last Name]]="",U20List[[#This Row],[FISTF Code]]=""),"",ROW()-ROW($A$11))</f>
        <v/>
      </c>
      <c r="B21" s="232"/>
      <c r="C21" s="436"/>
      <c r="D21" s="421" t="str">
        <f>IF(U20List[[#This Row],[First &amp; Last Name]]="","",IFERROR(ISNUMBER(MATCH(U20List[[#This Row],[First &amp; Last Name]],Players[Player Name],0)),FALSE))</f>
        <v/>
      </c>
      <c r="E21" s="421" t="b">
        <f>IF(U20List[[#This Row],[FISTF Code]]="",FALSE,IFERROR(ISNUMBER(MATCH(U20List[[#This Row],[FISTF Code]],Players[FISTF Code],0)),FALSE))</f>
        <v>0</v>
      </c>
      <c r="F21" s="419" t="str">
        <f>IF(AND(U20List[[#This Row],[First &amp; Last Name]]="",U20List[[#This Row],[FISTF Code]]=""),"",IF(U20List[[#This Row],[Valide Code ?]],INDEX(Players[Player Name],MATCH(U20List[[#This Row],[FISTF Code]],Players[FISTF Code],0)),U20List[[#This Row],[First &amp; Last Name]]))</f>
        <v/>
      </c>
      <c r="G21" s="233" t="str">
        <f>IF(U20List[[#This Row],[Retained Player Name]]="","",VLOOKUP(U20List[[#This Row],[Retained Player Name]],Players[],7,FALSE))</f>
        <v/>
      </c>
      <c r="H21" s="233" t="str">
        <f>IF(U20List[[#This Row],[Retained Player Name]]="","",VLOOKUP(U20List[[#This Row],[Retained Player Name]],Players[],6,FALSE))</f>
        <v/>
      </c>
      <c r="I21" s="235" t="str">
        <f>IF(U20List[[#This Row],[Retained Player Name]]="","",VLOOKUP(U20List[[#This Row],[Retained Player Name]],Players[],4,FALSE))</f>
        <v/>
      </c>
      <c r="J21"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1" s="230"/>
      <c r="L21" s="230"/>
      <c r="M21" s="7"/>
    </row>
    <row r="22" spans="1:13" s="8" customFormat="1" ht="12.75" customHeight="1" x14ac:dyDescent="0.2">
      <c r="A22" s="16" t="str">
        <f>IF(AND(U20List[[#This Row],[First &amp; Last Name]]="",U20List[[#This Row],[FISTF Code]]=""),"",ROW()-ROW($A$11))</f>
        <v/>
      </c>
      <c r="B22" s="232"/>
      <c r="C22" s="436"/>
      <c r="D22" s="421" t="str">
        <f>IF(U20List[[#This Row],[First &amp; Last Name]]="","",IFERROR(ISNUMBER(MATCH(U20List[[#This Row],[First &amp; Last Name]],Players[Player Name],0)),FALSE))</f>
        <v/>
      </c>
      <c r="E22" s="421" t="b">
        <f>IF(U20List[[#This Row],[FISTF Code]]="",FALSE,IFERROR(ISNUMBER(MATCH(U20List[[#This Row],[FISTF Code]],Players[FISTF Code],0)),FALSE))</f>
        <v>0</v>
      </c>
      <c r="F22" s="419" t="str">
        <f>IF(AND(U20List[[#This Row],[First &amp; Last Name]]="",U20List[[#This Row],[FISTF Code]]=""),"",IF(U20List[[#This Row],[Valide Code ?]],INDEX(Players[Player Name],MATCH(U20List[[#This Row],[FISTF Code]],Players[FISTF Code],0)),U20List[[#This Row],[First &amp; Last Name]]))</f>
        <v/>
      </c>
      <c r="G22" s="233" t="str">
        <f>IF(U20List[[#This Row],[Retained Player Name]]="","",VLOOKUP(U20List[[#This Row],[Retained Player Name]],Players[],7,FALSE))</f>
        <v/>
      </c>
      <c r="H22" s="233" t="str">
        <f>IF(U20List[[#This Row],[Retained Player Name]]="","",VLOOKUP(U20List[[#This Row],[Retained Player Name]],Players[],6,FALSE))</f>
        <v/>
      </c>
      <c r="I22" s="235" t="str">
        <f>IF(U20List[[#This Row],[Retained Player Name]]="","",VLOOKUP(U20List[[#This Row],[Retained Player Name]],Players[],4,FALSE))</f>
        <v/>
      </c>
      <c r="J2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2" s="231"/>
      <c r="L22" s="231"/>
      <c r="M22" s="7"/>
    </row>
    <row r="23" spans="1:13" s="8" customFormat="1" ht="12.75" customHeight="1" x14ac:dyDescent="0.2">
      <c r="A23" s="16" t="str">
        <f>IF(AND(U20List[[#This Row],[First &amp; Last Name]]="",U20List[[#This Row],[FISTF Code]]=""),"",ROW()-ROW($A$11))</f>
        <v/>
      </c>
      <c r="B23" s="232"/>
      <c r="C23" s="436"/>
      <c r="D23" s="421" t="str">
        <f>IF(U20List[[#This Row],[First &amp; Last Name]]="","",IFERROR(ISNUMBER(MATCH(U20List[[#This Row],[First &amp; Last Name]],Players[Player Name],0)),FALSE))</f>
        <v/>
      </c>
      <c r="E23" s="421" t="b">
        <f>IF(U20List[[#This Row],[FISTF Code]]="",FALSE,IFERROR(ISNUMBER(MATCH(U20List[[#This Row],[FISTF Code]],Players[FISTF Code],0)),FALSE))</f>
        <v>0</v>
      </c>
      <c r="F23" s="419" t="str">
        <f>IF(AND(U20List[[#This Row],[First &amp; Last Name]]="",U20List[[#This Row],[FISTF Code]]=""),"",IF(U20List[[#This Row],[Valide Code ?]],INDEX(Players[Player Name],MATCH(U20List[[#This Row],[FISTF Code]],Players[FISTF Code],0)),U20List[[#This Row],[First &amp; Last Name]]))</f>
        <v/>
      </c>
      <c r="G23" s="233" t="str">
        <f>IF(U20List[[#This Row],[Retained Player Name]]="","",VLOOKUP(U20List[[#This Row],[Retained Player Name]],Players[],7,FALSE))</f>
        <v/>
      </c>
      <c r="H23" s="233" t="str">
        <f>IF(U20List[[#This Row],[Retained Player Name]]="","",VLOOKUP(U20List[[#This Row],[Retained Player Name]],Players[],6,FALSE))</f>
        <v/>
      </c>
      <c r="I23" s="235" t="str">
        <f>IF(U20List[[#This Row],[Retained Player Name]]="","",VLOOKUP(U20List[[#This Row],[Retained Player Name]],Players[],4,FALSE))</f>
        <v/>
      </c>
      <c r="J2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3" s="231"/>
      <c r="L23" s="231"/>
      <c r="M23" s="7"/>
    </row>
    <row r="24" spans="1:13" s="8" customFormat="1" ht="12.75" customHeight="1" x14ac:dyDescent="0.2">
      <c r="A24" s="16" t="str">
        <f>IF(AND(U20List[[#This Row],[First &amp; Last Name]]="",U20List[[#This Row],[FISTF Code]]=""),"",ROW()-ROW($A$11))</f>
        <v/>
      </c>
      <c r="B24" s="232"/>
      <c r="C24" s="436"/>
      <c r="D24" s="421" t="str">
        <f>IF(U20List[[#This Row],[First &amp; Last Name]]="","",IFERROR(ISNUMBER(MATCH(U20List[[#This Row],[First &amp; Last Name]],Players[Player Name],0)),FALSE))</f>
        <v/>
      </c>
      <c r="E24" s="421" t="b">
        <f>IF(U20List[[#This Row],[FISTF Code]]="",FALSE,IFERROR(ISNUMBER(MATCH(U20List[[#This Row],[FISTF Code]],Players[FISTF Code],0)),FALSE))</f>
        <v>0</v>
      </c>
      <c r="F24" s="419" t="str">
        <f>IF(AND(U20List[[#This Row],[First &amp; Last Name]]="",U20List[[#This Row],[FISTF Code]]=""),"",IF(U20List[[#This Row],[Valide Code ?]],INDEX(Players[Player Name],MATCH(U20List[[#This Row],[FISTF Code]],Players[FISTF Code],0)),U20List[[#This Row],[First &amp; Last Name]]))</f>
        <v/>
      </c>
      <c r="G24" s="233" t="str">
        <f>IF(U20List[[#This Row],[Retained Player Name]]="","",VLOOKUP(U20List[[#This Row],[Retained Player Name]],Players[],7,FALSE))</f>
        <v/>
      </c>
      <c r="H24" s="233" t="str">
        <f>IF(U20List[[#This Row],[Retained Player Name]]="","",VLOOKUP(U20List[[#This Row],[Retained Player Name]],Players[],6,FALSE))</f>
        <v/>
      </c>
      <c r="I24" s="235" t="str">
        <f>IF(U20List[[#This Row],[Retained Player Name]]="","",VLOOKUP(U20List[[#This Row],[Retained Player Name]],Players[],4,FALSE))</f>
        <v/>
      </c>
      <c r="J2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4" s="231"/>
      <c r="L24" s="231"/>
      <c r="M24" s="7"/>
    </row>
    <row r="25" spans="1:13" s="8" customFormat="1" ht="12.75" customHeight="1" x14ac:dyDescent="0.2">
      <c r="A25" s="16" t="str">
        <f>IF(AND(U20List[[#This Row],[First &amp; Last Name]]="",U20List[[#This Row],[FISTF Code]]=""),"",ROW()-ROW($A$11))</f>
        <v/>
      </c>
      <c r="B25" s="232"/>
      <c r="C25" s="436"/>
      <c r="D25" s="421" t="str">
        <f>IF(U20List[[#This Row],[First &amp; Last Name]]="","",IFERROR(ISNUMBER(MATCH(U20List[[#This Row],[First &amp; Last Name]],Players[Player Name],0)),FALSE))</f>
        <v/>
      </c>
      <c r="E25" s="421" t="b">
        <f>IF(U20List[[#This Row],[FISTF Code]]="",FALSE,IFERROR(ISNUMBER(MATCH(U20List[[#This Row],[FISTF Code]],Players[FISTF Code],0)),FALSE))</f>
        <v>0</v>
      </c>
      <c r="F25" s="419" t="str">
        <f>IF(AND(U20List[[#This Row],[First &amp; Last Name]]="",U20List[[#This Row],[FISTF Code]]=""),"",IF(U20List[[#This Row],[Valide Code ?]],INDEX(Players[Player Name],MATCH(U20List[[#This Row],[FISTF Code]],Players[FISTF Code],0)),U20List[[#This Row],[First &amp; Last Name]]))</f>
        <v/>
      </c>
      <c r="G25" s="233" t="str">
        <f>IF(U20List[[#This Row],[Retained Player Name]]="","",VLOOKUP(U20List[[#This Row],[Retained Player Name]],Players[],7,FALSE))</f>
        <v/>
      </c>
      <c r="H25" s="233" t="str">
        <f>IF(U20List[[#This Row],[Retained Player Name]]="","",VLOOKUP(U20List[[#This Row],[Retained Player Name]],Players[],6,FALSE))</f>
        <v/>
      </c>
      <c r="I25" s="234" t="str">
        <f>IF(U20List[[#This Row],[Retained Player Name]]="","",VLOOKUP(U20List[[#This Row],[Retained Player Name]],Players[],4,FALSE))</f>
        <v/>
      </c>
      <c r="J25" s="20"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5" s="231"/>
      <c r="L25" s="231"/>
      <c r="M25" s="7"/>
    </row>
    <row r="26" spans="1:13" s="8" customFormat="1" ht="12.75" customHeight="1" x14ac:dyDescent="0.2">
      <c r="A26" s="16" t="str">
        <f>IF(AND(U20List[[#This Row],[First &amp; Last Name]]="",U20List[[#This Row],[FISTF Code]]=""),"",ROW()-ROW($A$11))</f>
        <v/>
      </c>
      <c r="B26" s="232"/>
      <c r="C26" s="436"/>
      <c r="D26" s="421" t="str">
        <f>IF(U20List[[#This Row],[First &amp; Last Name]]="","",IFERROR(ISNUMBER(MATCH(U20List[[#This Row],[First &amp; Last Name]],Players[Player Name],0)),FALSE))</f>
        <v/>
      </c>
      <c r="E26" s="421" t="b">
        <f>IF(U20List[[#This Row],[FISTF Code]]="",FALSE,IFERROR(ISNUMBER(MATCH(U20List[[#This Row],[FISTF Code]],Players[FISTF Code],0)),FALSE))</f>
        <v>0</v>
      </c>
      <c r="F26" s="419" t="str">
        <f>IF(AND(U20List[[#This Row],[First &amp; Last Name]]="",U20List[[#This Row],[FISTF Code]]=""),"",IF(U20List[[#This Row],[Valide Code ?]],INDEX(Players[Player Name],MATCH(U20List[[#This Row],[FISTF Code]],Players[FISTF Code],0)),U20List[[#This Row],[First &amp; Last Name]]))</f>
        <v/>
      </c>
      <c r="G26" s="233" t="str">
        <f>IF(U20List[[#This Row],[Retained Player Name]]="","",VLOOKUP(U20List[[#This Row],[Retained Player Name]],Players[],7,FALSE))</f>
        <v/>
      </c>
      <c r="H26" s="233" t="str">
        <f>IF(U20List[[#This Row],[Retained Player Name]]="","",VLOOKUP(U20List[[#This Row],[Retained Player Name]],Players[],6,FALSE))</f>
        <v/>
      </c>
      <c r="I26" s="234" t="str">
        <f>IF(U20List[[#This Row],[Retained Player Name]]="","",VLOOKUP(U20List[[#This Row],[Retained Player Name]],Players[],4,FALSE))</f>
        <v/>
      </c>
      <c r="J26"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6" s="230"/>
      <c r="L26" s="230"/>
      <c r="M26" s="7"/>
    </row>
    <row r="27" spans="1:13" s="8" customFormat="1" ht="12.75" customHeight="1" x14ac:dyDescent="0.2">
      <c r="A27" s="16" t="str">
        <f>IF(AND(U20List[[#This Row],[First &amp; Last Name]]="",U20List[[#This Row],[FISTF Code]]=""),"",ROW()-ROW($A$11))</f>
        <v/>
      </c>
      <c r="B27" s="232"/>
      <c r="C27" s="436"/>
      <c r="D27" s="421" t="str">
        <f>IF(U20List[[#This Row],[First &amp; Last Name]]="","",IFERROR(ISNUMBER(MATCH(U20List[[#This Row],[First &amp; Last Name]],Players[Player Name],0)),FALSE))</f>
        <v/>
      </c>
      <c r="E27" s="421" t="b">
        <f>IF(U20List[[#This Row],[FISTF Code]]="",FALSE,IFERROR(ISNUMBER(MATCH(U20List[[#This Row],[FISTF Code]],Players[FISTF Code],0)),FALSE))</f>
        <v>0</v>
      </c>
      <c r="F27" s="419" t="str">
        <f>IF(AND(U20List[[#This Row],[First &amp; Last Name]]="",U20List[[#This Row],[FISTF Code]]=""),"",IF(U20List[[#This Row],[Valide Code ?]],INDEX(Players[Player Name],MATCH(U20List[[#This Row],[FISTF Code]],Players[FISTF Code],0)),U20List[[#This Row],[First &amp; Last Name]]))</f>
        <v/>
      </c>
      <c r="G27" s="233" t="str">
        <f>IF(U20List[[#This Row],[Retained Player Name]]="","",VLOOKUP(U20List[[#This Row],[Retained Player Name]],Players[],7,FALSE))</f>
        <v/>
      </c>
      <c r="H27" s="233" t="str">
        <f>IF(U20List[[#This Row],[Retained Player Name]]="","",VLOOKUP(U20List[[#This Row],[Retained Player Name]],Players[],6,FALSE))</f>
        <v/>
      </c>
      <c r="I27" s="234" t="str">
        <f>IF(U20List[[#This Row],[Retained Player Name]]="","",VLOOKUP(U20List[[#This Row],[Retained Player Name]],Players[],4,FALSE))</f>
        <v/>
      </c>
      <c r="J27"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7" s="230"/>
      <c r="L27" s="230"/>
      <c r="M27" s="7"/>
    </row>
    <row r="28" spans="1:13" s="8" customFormat="1" ht="12.75" customHeight="1" x14ac:dyDescent="0.2">
      <c r="A28" s="16" t="str">
        <f>IF(AND(U20List[[#This Row],[First &amp; Last Name]]="",U20List[[#This Row],[FISTF Code]]=""),"",ROW()-ROW($A$11))</f>
        <v/>
      </c>
      <c r="B28" s="232"/>
      <c r="C28" s="436"/>
      <c r="D28" s="421" t="str">
        <f>IF(U20List[[#This Row],[First &amp; Last Name]]="","",IFERROR(ISNUMBER(MATCH(U20List[[#This Row],[First &amp; Last Name]],Players[Player Name],0)),FALSE))</f>
        <v/>
      </c>
      <c r="E28" s="421" t="b">
        <f>IF(U20List[[#This Row],[FISTF Code]]="",FALSE,IFERROR(ISNUMBER(MATCH(U20List[[#This Row],[FISTF Code]],Players[FISTF Code],0)),FALSE))</f>
        <v>0</v>
      </c>
      <c r="F28" s="419" t="str">
        <f>IF(AND(U20List[[#This Row],[First &amp; Last Name]]="",U20List[[#This Row],[FISTF Code]]=""),"",IF(U20List[[#This Row],[Valide Code ?]],INDEX(Players[Player Name],MATCH(U20List[[#This Row],[FISTF Code]],Players[FISTF Code],0)),U20List[[#This Row],[First &amp; Last Name]]))</f>
        <v/>
      </c>
      <c r="G28" s="233" t="str">
        <f>IF(U20List[[#This Row],[Retained Player Name]]="","",VLOOKUP(U20List[[#This Row],[Retained Player Name]],Players[],7,FALSE))</f>
        <v/>
      </c>
      <c r="H28" s="233" t="str">
        <f>IF(U20List[[#This Row],[Retained Player Name]]="","",VLOOKUP(U20List[[#This Row],[Retained Player Name]],Players[],6,FALSE))</f>
        <v/>
      </c>
      <c r="I28" s="234" t="str">
        <f>IF(U20List[[#This Row],[Retained Player Name]]="","",VLOOKUP(U20List[[#This Row],[Retained Player Name]],Players[],4,FALSE))</f>
        <v/>
      </c>
      <c r="J28"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8" s="230"/>
      <c r="L28" s="230"/>
      <c r="M28" s="7"/>
    </row>
    <row r="29" spans="1:13" s="8" customFormat="1" ht="12.75" customHeight="1" x14ac:dyDescent="0.2">
      <c r="A29" s="16" t="str">
        <f>IF(AND(U20List[[#This Row],[First &amp; Last Name]]="",U20List[[#This Row],[FISTF Code]]=""),"",ROW()-ROW($A$11))</f>
        <v/>
      </c>
      <c r="B29" s="232"/>
      <c r="C29" s="436"/>
      <c r="D29" s="421" t="str">
        <f>IF(U20List[[#This Row],[First &amp; Last Name]]="","",IFERROR(ISNUMBER(MATCH(U20List[[#This Row],[First &amp; Last Name]],Players[Player Name],0)),FALSE))</f>
        <v/>
      </c>
      <c r="E29" s="421" t="b">
        <f>IF(U20List[[#This Row],[FISTF Code]]="",FALSE,IFERROR(ISNUMBER(MATCH(U20List[[#This Row],[FISTF Code]],Players[FISTF Code],0)),FALSE))</f>
        <v>0</v>
      </c>
      <c r="F29" s="419" t="str">
        <f>IF(AND(U20List[[#This Row],[First &amp; Last Name]]="",U20List[[#This Row],[FISTF Code]]=""),"",IF(U20List[[#This Row],[Valide Code ?]],INDEX(Players[Player Name],MATCH(U20List[[#This Row],[FISTF Code]],Players[FISTF Code],0)),U20List[[#This Row],[First &amp; Last Name]]))</f>
        <v/>
      </c>
      <c r="G29" s="233" t="str">
        <f>IF(U20List[[#This Row],[Retained Player Name]]="","",VLOOKUP(U20List[[#This Row],[Retained Player Name]],Players[],7,FALSE))</f>
        <v/>
      </c>
      <c r="H29" s="233" t="str">
        <f>IF(U20List[[#This Row],[Retained Player Name]]="","",VLOOKUP(U20List[[#This Row],[Retained Player Name]],Players[],6,FALSE))</f>
        <v/>
      </c>
      <c r="I29" s="234" t="str">
        <f>IF(U20List[[#This Row],[Retained Player Name]]="","",VLOOKUP(U20List[[#This Row],[Retained Player Name]],Players[],4,FALSE))</f>
        <v/>
      </c>
      <c r="J29"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9" s="230"/>
      <c r="L29" s="230"/>
      <c r="M29" s="7"/>
    </row>
    <row r="30" spans="1:13" s="8" customFormat="1" ht="12.75" customHeight="1" x14ac:dyDescent="0.2">
      <c r="A30" s="16" t="str">
        <f>IF(AND(U20List[[#This Row],[First &amp; Last Name]]="",U20List[[#This Row],[FISTF Code]]=""),"",ROW()-ROW($A$11))</f>
        <v/>
      </c>
      <c r="B30" s="232"/>
      <c r="C30" s="436"/>
      <c r="D30" s="421" t="str">
        <f>IF(U20List[[#This Row],[First &amp; Last Name]]="","",IFERROR(ISNUMBER(MATCH(U20List[[#This Row],[First &amp; Last Name]],Players[Player Name],0)),FALSE))</f>
        <v/>
      </c>
      <c r="E30" s="421" t="b">
        <f>IF(U20List[[#This Row],[FISTF Code]]="",FALSE,IFERROR(ISNUMBER(MATCH(U20List[[#This Row],[FISTF Code]],Players[FISTF Code],0)),FALSE))</f>
        <v>0</v>
      </c>
      <c r="F30" s="419" t="str">
        <f>IF(AND(U20List[[#This Row],[First &amp; Last Name]]="",U20List[[#This Row],[FISTF Code]]=""),"",IF(U20List[[#This Row],[Valide Code ?]],INDEX(Players[Player Name],MATCH(U20List[[#This Row],[FISTF Code]],Players[FISTF Code],0)),U20List[[#This Row],[First &amp; Last Name]]))</f>
        <v/>
      </c>
      <c r="G30" s="233" t="str">
        <f>IF(U20List[[#This Row],[Retained Player Name]]="","",VLOOKUP(U20List[[#This Row],[Retained Player Name]],Players[],7,FALSE))</f>
        <v/>
      </c>
      <c r="H30" s="233" t="str">
        <f>IF(U20List[[#This Row],[Retained Player Name]]="","",VLOOKUP(U20List[[#This Row],[Retained Player Name]],Players[],6,FALSE))</f>
        <v/>
      </c>
      <c r="I30" s="234" t="str">
        <f>IF(U20List[[#This Row],[Retained Player Name]]="","",VLOOKUP(U20List[[#This Row],[Retained Player Name]],Players[],4,FALSE))</f>
        <v/>
      </c>
      <c r="J30"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0" s="230"/>
      <c r="L30" s="230"/>
      <c r="M30" s="7"/>
    </row>
    <row r="31" spans="1:13" s="8" customFormat="1" ht="12.75" customHeight="1" x14ac:dyDescent="0.2">
      <c r="A31" s="16" t="str">
        <f>IF(AND(U20List[[#This Row],[First &amp; Last Name]]="",U20List[[#This Row],[FISTF Code]]=""),"",ROW()-ROW($A$11))</f>
        <v/>
      </c>
      <c r="B31" s="232"/>
      <c r="C31" s="436"/>
      <c r="D31" s="421" t="str">
        <f>IF(U20List[[#This Row],[First &amp; Last Name]]="","",IFERROR(ISNUMBER(MATCH(U20List[[#This Row],[First &amp; Last Name]],Players[Player Name],0)),FALSE))</f>
        <v/>
      </c>
      <c r="E31" s="421" t="b">
        <f>IF(U20List[[#This Row],[FISTF Code]]="",FALSE,IFERROR(ISNUMBER(MATCH(U20List[[#This Row],[FISTF Code]],Players[FISTF Code],0)),FALSE))</f>
        <v>0</v>
      </c>
      <c r="F31" s="419" t="str">
        <f>IF(AND(U20List[[#This Row],[First &amp; Last Name]]="",U20List[[#This Row],[FISTF Code]]=""),"",IF(U20List[[#This Row],[Valide Code ?]],INDEX(Players[Player Name],MATCH(U20List[[#This Row],[FISTF Code]],Players[FISTF Code],0)),U20List[[#This Row],[First &amp; Last Name]]))</f>
        <v/>
      </c>
      <c r="G31" s="233" t="str">
        <f>IF(U20List[[#This Row],[Retained Player Name]]="","",VLOOKUP(U20List[[#This Row],[Retained Player Name]],Players[],7,FALSE))</f>
        <v/>
      </c>
      <c r="H31" s="233" t="str">
        <f>IF(U20List[[#This Row],[Retained Player Name]]="","",VLOOKUP(U20List[[#This Row],[Retained Player Name]],Players[],6,FALSE))</f>
        <v/>
      </c>
      <c r="I31" s="234" t="str">
        <f>IF(U20List[[#This Row],[Retained Player Name]]="","",VLOOKUP(U20List[[#This Row],[Retained Player Name]],Players[],4,FALSE))</f>
        <v/>
      </c>
      <c r="J31"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1" s="230"/>
      <c r="L31" s="230"/>
      <c r="M31" s="7"/>
    </row>
    <row r="32" spans="1:13" s="8" customFormat="1" ht="12.75" customHeight="1" x14ac:dyDescent="0.2">
      <c r="A32" s="16" t="str">
        <f>IF(AND(U20List[[#This Row],[First &amp; Last Name]]="",U20List[[#This Row],[FISTF Code]]=""),"",ROW()-ROW($A$11))</f>
        <v/>
      </c>
      <c r="B32" s="232"/>
      <c r="C32" s="436"/>
      <c r="D32" s="421" t="str">
        <f>IF(U20List[[#This Row],[First &amp; Last Name]]="","",IFERROR(ISNUMBER(MATCH(U20List[[#This Row],[First &amp; Last Name]],Players[Player Name],0)),FALSE))</f>
        <v/>
      </c>
      <c r="E32" s="421" t="b">
        <f>IF(U20List[[#This Row],[FISTF Code]]="",FALSE,IFERROR(ISNUMBER(MATCH(U20List[[#This Row],[FISTF Code]],Players[FISTF Code],0)),FALSE))</f>
        <v>0</v>
      </c>
      <c r="F32" s="419" t="str">
        <f>IF(AND(U20List[[#This Row],[First &amp; Last Name]]="",U20List[[#This Row],[FISTF Code]]=""),"",IF(U20List[[#This Row],[Valide Code ?]],INDEX(Players[Player Name],MATCH(U20List[[#This Row],[FISTF Code]],Players[FISTF Code],0)),U20List[[#This Row],[First &amp; Last Name]]))</f>
        <v/>
      </c>
      <c r="G32" s="233" t="str">
        <f>IF(U20List[[#This Row],[Retained Player Name]]="","",VLOOKUP(U20List[[#This Row],[Retained Player Name]],Players[],7,FALSE))</f>
        <v/>
      </c>
      <c r="H32" s="233" t="str">
        <f>IF(U20List[[#This Row],[Retained Player Name]]="","",VLOOKUP(U20List[[#This Row],[Retained Player Name]],Players[],6,FALSE))</f>
        <v/>
      </c>
      <c r="I32" s="234" t="str">
        <f>IF(U20List[[#This Row],[Retained Player Name]]="","",VLOOKUP(U20List[[#This Row],[Retained Player Name]],Players[],4,FALSE))</f>
        <v/>
      </c>
      <c r="J32" s="20"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2" s="231"/>
      <c r="L32" s="231"/>
      <c r="M32" s="7"/>
    </row>
    <row r="33" spans="1:13" s="8" customFormat="1" ht="12.75" customHeight="1" x14ac:dyDescent="0.2">
      <c r="A33" s="16" t="str">
        <f>IF(AND(U20List[[#This Row],[First &amp; Last Name]]="",U20List[[#This Row],[FISTF Code]]=""),"",ROW()-ROW($A$11))</f>
        <v/>
      </c>
      <c r="B33" s="232"/>
      <c r="C33" s="436"/>
      <c r="D33" s="421" t="str">
        <f>IF(U20List[[#This Row],[First &amp; Last Name]]="","",IFERROR(ISNUMBER(MATCH(U20List[[#This Row],[First &amp; Last Name]],Players[Player Name],0)),FALSE))</f>
        <v/>
      </c>
      <c r="E33" s="421" t="b">
        <f>IF(U20List[[#This Row],[FISTF Code]]="",FALSE,IFERROR(ISNUMBER(MATCH(U20List[[#This Row],[FISTF Code]],Players[FISTF Code],0)),FALSE))</f>
        <v>0</v>
      </c>
      <c r="F33" s="419" t="str">
        <f>IF(AND(U20List[[#This Row],[First &amp; Last Name]]="",U20List[[#This Row],[FISTF Code]]=""),"",IF(U20List[[#This Row],[Valide Code ?]],INDEX(Players[Player Name],MATCH(U20List[[#This Row],[FISTF Code]],Players[FISTF Code],0)),U20List[[#This Row],[First &amp; Last Name]]))</f>
        <v/>
      </c>
      <c r="G33" s="233" t="str">
        <f>IF(U20List[[#This Row],[Retained Player Name]]="","",VLOOKUP(U20List[[#This Row],[Retained Player Name]],Players[],7,FALSE))</f>
        <v/>
      </c>
      <c r="H33" s="233" t="str">
        <f>IF(U20List[[#This Row],[Retained Player Name]]="","",VLOOKUP(U20List[[#This Row],[Retained Player Name]],Players[],6,FALSE))</f>
        <v/>
      </c>
      <c r="I33" s="234" t="str">
        <f>IF(U20List[[#This Row],[Retained Player Name]]="","",VLOOKUP(U20List[[#This Row],[Retained Player Name]],Players[],4,FALSE))</f>
        <v/>
      </c>
      <c r="J33"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3" s="230"/>
      <c r="L33" s="230"/>
      <c r="M33" s="7"/>
    </row>
    <row r="34" spans="1:13" s="8" customFormat="1" ht="12.75" customHeight="1" x14ac:dyDescent="0.2">
      <c r="A34" s="16" t="str">
        <f>IF(AND(U20List[[#This Row],[First &amp; Last Name]]="",U20List[[#This Row],[FISTF Code]]=""),"",ROW()-ROW($A$11))</f>
        <v/>
      </c>
      <c r="B34" s="232"/>
      <c r="C34" s="436"/>
      <c r="D34" s="421" t="str">
        <f>IF(U20List[[#This Row],[First &amp; Last Name]]="","",IFERROR(ISNUMBER(MATCH(U20List[[#This Row],[First &amp; Last Name]],Players[Player Name],0)),FALSE))</f>
        <v/>
      </c>
      <c r="E34" s="421" t="b">
        <f>IF(U20List[[#This Row],[FISTF Code]]="",FALSE,IFERROR(ISNUMBER(MATCH(U20List[[#This Row],[FISTF Code]],Players[FISTF Code],0)),FALSE))</f>
        <v>0</v>
      </c>
      <c r="F34" s="419" t="str">
        <f>IF(AND(U20List[[#This Row],[First &amp; Last Name]]="",U20List[[#This Row],[FISTF Code]]=""),"",IF(U20List[[#This Row],[Valide Code ?]],INDEX(Players[Player Name],MATCH(U20List[[#This Row],[FISTF Code]],Players[FISTF Code],0)),U20List[[#This Row],[First &amp; Last Name]]))</f>
        <v/>
      </c>
      <c r="G34" s="233" t="str">
        <f>IF(U20List[[#This Row],[Retained Player Name]]="","",VLOOKUP(U20List[[#This Row],[Retained Player Name]],Players[],7,FALSE))</f>
        <v/>
      </c>
      <c r="H34" s="233" t="str">
        <f>IF(U20List[[#This Row],[Retained Player Name]]="","",VLOOKUP(U20List[[#This Row],[Retained Player Name]],Players[],6,FALSE))</f>
        <v/>
      </c>
      <c r="I34" s="234" t="str">
        <f>IF(U20List[[#This Row],[Retained Player Name]]="","",VLOOKUP(U20List[[#This Row],[Retained Player Name]],Players[],4,FALSE))</f>
        <v/>
      </c>
      <c r="J3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4" s="231"/>
      <c r="L34" s="231"/>
      <c r="M34" s="7"/>
    </row>
    <row r="35" spans="1:13" s="8" customFormat="1" ht="12.75" customHeight="1" x14ac:dyDescent="0.2">
      <c r="A35" s="16" t="str">
        <f>IF(AND(U20List[[#This Row],[First &amp; Last Name]]="",U20List[[#This Row],[FISTF Code]]=""),"",ROW()-ROW($A$11))</f>
        <v/>
      </c>
      <c r="B35" s="232"/>
      <c r="C35" s="436"/>
      <c r="D35" s="421" t="str">
        <f>IF(U20List[[#This Row],[First &amp; Last Name]]="","",IFERROR(ISNUMBER(MATCH(U20List[[#This Row],[First &amp; Last Name]],Players[Player Name],0)),FALSE))</f>
        <v/>
      </c>
      <c r="E35" s="421" t="b">
        <f>IF(U20List[[#This Row],[FISTF Code]]="",FALSE,IFERROR(ISNUMBER(MATCH(U20List[[#This Row],[FISTF Code]],Players[FISTF Code],0)),FALSE))</f>
        <v>0</v>
      </c>
      <c r="F35" s="419" t="str">
        <f>IF(AND(U20List[[#This Row],[First &amp; Last Name]]="",U20List[[#This Row],[FISTF Code]]=""),"",IF(U20List[[#This Row],[Valide Code ?]],INDEX(Players[Player Name],MATCH(U20List[[#This Row],[FISTF Code]],Players[FISTF Code],0)),U20List[[#This Row],[First &amp; Last Name]]))</f>
        <v/>
      </c>
      <c r="G35" s="233" t="str">
        <f>IF(U20List[[#This Row],[Retained Player Name]]="","",VLOOKUP(U20List[[#This Row],[Retained Player Name]],Players[],7,FALSE))</f>
        <v/>
      </c>
      <c r="H35" s="233" t="str">
        <f>IF(U20List[[#This Row],[Retained Player Name]]="","",VLOOKUP(U20List[[#This Row],[Retained Player Name]],Players[],6,FALSE))</f>
        <v/>
      </c>
      <c r="I35" s="234" t="str">
        <f>IF(U20List[[#This Row],[Retained Player Name]]="","",VLOOKUP(U20List[[#This Row],[Retained Player Name]],Players[],4,FALSE))</f>
        <v/>
      </c>
      <c r="J35"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5" s="230"/>
      <c r="L35" s="230"/>
      <c r="M35" s="7"/>
    </row>
    <row r="36" spans="1:13" s="8" customFormat="1" ht="12.75" customHeight="1" x14ac:dyDescent="0.2">
      <c r="A36" s="16" t="str">
        <f>IF(AND(U20List[[#This Row],[First &amp; Last Name]]="",U20List[[#This Row],[FISTF Code]]=""),"",ROW()-ROW($A$11))</f>
        <v/>
      </c>
      <c r="B36" s="232"/>
      <c r="C36" s="436"/>
      <c r="D36" s="421" t="str">
        <f>IF(U20List[[#This Row],[First &amp; Last Name]]="","",IFERROR(ISNUMBER(MATCH(U20List[[#This Row],[First &amp; Last Name]],Players[Player Name],0)),FALSE))</f>
        <v/>
      </c>
      <c r="E36" s="421" t="b">
        <f>IF(U20List[[#This Row],[FISTF Code]]="",FALSE,IFERROR(ISNUMBER(MATCH(U20List[[#This Row],[FISTF Code]],Players[FISTF Code],0)),FALSE))</f>
        <v>0</v>
      </c>
      <c r="F36" s="419" t="str">
        <f>IF(AND(U20List[[#This Row],[First &amp; Last Name]]="",U20List[[#This Row],[FISTF Code]]=""),"",IF(U20List[[#This Row],[Valide Code ?]],INDEX(Players[Player Name],MATCH(U20List[[#This Row],[FISTF Code]],Players[FISTF Code],0)),U20List[[#This Row],[First &amp; Last Name]]))</f>
        <v/>
      </c>
      <c r="G36" s="233" t="str">
        <f>IF(U20List[[#This Row],[Retained Player Name]]="","",VLOOKUP(U20List[[#This Row],[Retained Player Name]],Players[],7,FALSE))</f>
        <v/>
      </c>
      <c r="H36" s="233" t="str">
        <f>IF(U20List[[#This Row],[Retained Player Name]]="","",VLOOKUP(U20List[[#This Row],[Retained Player Name]],Players[],6,FALSE))</f>
        <v/>
      </c>
      <c r="I36" s="234" t="str">
        <f>IF(U20List[[#This Row],[Retained Player Name]]="","",VLOOKUP(U20List[[#This Row],[Retained Player Name]],Players[],4,FALSE))</f>
        <v/>
      </c>
      <c r="J3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6" s="231"/>
      <c r="L36" s="231"/>
      <c r="M36" s="7"/>
    </row>
    <row r="37" spans="1:13" s="8" customFormat="1" ht="12.75" customHeight="1" x14ac:dyDescent="0.2">
      <c r="A37" s="16" t="str">
        <f>IF(AND(U20List[[#This Row],[First &amp; Last Name]]="",U20List[[#This Row],[FISTF Code]]=""),"",ROW()-ROW($A$11))</f>
        <v/>
      </c>
      <c r="B37" s="232"/>
      <c r="C37" s="436"/>
      <c r="D37" s="421" t="str">
        <f>IF(U20List[[#This Row],[First &amp; Last Name]]="","",IFERROR(ISNUMBER(MATCH(U20List[[#This Row],[First &amp; Last Name]],Players[Player Name],0)),FALSE))</f>
        <v/>
      </c>
      <c r="E37" s="421" t="b">
        <f>IF(U20List[[#This Row],[FISTF Code]]="",FALSE,IFERROR(ISNUMBER(MATCH(U20List[[#This Row],[FISTF Code]],Players[FISTF Code],0)),FALSE))</f>
        <v>0</v>
      </c>
      <c r="F37" s="419" t="str">
        <f>IF(AND(U20List[[#This Row],[First &amp; Last Name]]="",U20List[[#This Row],[FISTF Code]]=""),"",IF(U20List[[#This Row],[Valide Code ?]],INDEX(Players[Player Name],MATCH(U20List[[#This Row],[FISTF Code]],Players[FISTF Code],0)),U20List[[#This Row],[First &amp; Last Name]]))</f>
        <v/>
      </c>
      <c r="G37" s="233" t="str">
        <f>IF(U20List[[#This Row],[Retained Player Name]]="","",VLOOKUP(U20List[[#This Row],[Retained Player Name]],Players[],7,FALSE))</f>
        <v/>
      </c>
      <c r="H37" s="233" t="str">
        <f>IF(U20List[[#This Row],[Retained Player Name]]="","",VLOOKUP(U20List[[#This Row],[Retained Player Name]],Players[],6,FALSE))</f>
        <v/>
      </c>
      <c r="I37" s="234" t="str">
        <f>IF(U20List[[#This Row],[Retained Player Name]]="","",VLOOKUP(U20List[[#This Row],[Retained Player Name]],Players[],4,FALSE))</f>
        <v/>
      </c>
      <c r="J3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7" s="231"/>
      <c r="L37" s="231"/>
      <c r="M37" s="7"/>
    </row>
    <row r="38" spans="1:13" s="8" customFormat="1" ht="12.75" customHeight="1" x14ac:dyDescent="0.2">
      <c r="A38" s="16" t="str">
        <f>IF(AND(U20List[[#This Row],[First &amp; Last Name]]="",U20List[[#This Row],[FISTF Code]]=""),"",ROW()-ROW($A$11))</f>
        <v/>
      </c>
      <c r="B38" s="232"/>
      <c r="C38" s="436"/>
      <c r="D38" s="421" t="str">
        <f>IF(U20List[[#This Row],[First &amp; Last Name]]="","",IFERROR(ISNUMBER(MATCH(U20List[[#This Row],[First &amp; Last Name]],Players[Player Name],0)),FALSE))</f>
        <v/>
      </c>
      <c r="E38" s="421" t="b">
        <f>IF(U20List[[#This Row],[FISTF Code]]="",FALSE,IFERROR(ISNUMBER(MATCH(U20List[[#This Row],[FISTF Code]],Players[FISTF Code],0)),FALSE))</f>
        <v>0</v>
      </c>
      <c r="F38" s="419" t="str">
        <f>IF(AND(U20List[[#This Row],[First &amp; Last Name]]="",U20List[[#This Row],[FISTF Code]]=""),"",IF(U20List[[#This Row],[Valide Code ?]],INDEX(Players[Player Name],MATCH(U20List[[#This Row],[FISTF Code]],Players[FISTF Code],0)),U20List[[#This Row],[First &amp; Last Name]]))</f>
        <v/>
      </c>
      <c r="G38" s="233" t="str">
        <f>IF(U20List[[#This Row],[Retained Player Name]]="","",VLOOKUP(U20List[[#This Row],[Retained Player Name]],Players[],7,FALSE))</f>
        <v/>
      </c>
      <c r="H38" s="233" t="str">
        <f>IF(U20List[[#This Row],[Retained Player Name]]="","",VLOOKUP(U20List[[#This Row],[Retained Player Name]],Players[],6,FALSE))</f>
        <v/>
      </c>
      <c r="I38" s="234" t="str">
        <f>IF(U20List[[#This Row],[Retained Player Name]]="","",VLOOKUP(U20List[[#This Row],[Retained Player Name]],Players[],4,FALSE))</f>
        <v/>
      </c>
      <c r="J3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8" s="231"/>
      <c r="L38" s="231"/>
      <c r="M38" s="7"/>
    </row>
    <row r="39" spans="1:13" s="8" customFormat="1" ht="12.75" customHeight="1" x14ac:dyDescent="0.2">
      <c r="A39" s="16" t="str">
        <f>IF(AND(U20List[[#This Row],[First &amp; Last Name]]="",U20List[[#This Row],[FISTF Code]]=""),"",ROW()-ROW($A$11))</f>
        <v/>
      </c>
      <c r="B39" s="232"/>
      <c r="C39" s="436"/>
      <c r="D39" s="421" t="str">
        <f>IF(U20List[[#This Row],[First &amp; Last Name]]="","",IFERROR(ISNUMBER(MATCH(U20List[[#This Row],[First &amp; Last Name]],Players[Player Name],0)),FALSE))</f>
        <v/>
      </c>
      <c r="E39" s="421" t="b">
        <f>IF(U20List[[#This Row],[FISTF Code]]="",FALSE,IFERROR(ISNUMBER(MATCH(U20List[[#This Row],[FISTF Code]],Players[FISTF Code],0)),FALSE))</f>
        <v>0</v>
      </c>
      <c r="F39" s="419" t="str">
        <f>IF(AND(U20List[[#This Row],[First &amp; Last Name]]="",U20List[[#This Row],[FISTF Code]]=""),"",IF(U20List[[#This Row],[Valide Code ?]],INDEX(Players[Player Name],MATCH(U20List[[#This Row],[FISTF Code]],Players[FISTF Code],0)),U20List[[#This Row],[First &amp; Last Name]]))</f>
        <v/>
      </c>
      <c r="G39" s="233" t="str">
        <f>IF(U20List[[#This Row],[Retained Player Name]]="","",VLOOKUP(U20List[[#This Row],[Retained Player Name]],Players[],7,FALSE))</f>
        <v/>
      </c>
      <c r="H39" s="233" t="str">
        <f>IF(U20List[[#This Row],[Retained Player Name]]="","",VLOOKUP(U20List[[#This Row],[Retained Player Name]],Players[],6,FALSE))</f>
        <v/>
      </c>
      <c r="I39" s="234" t="str">
        <f>IF(U20List[[#This Row],[Retained Player Name]]="","",VLOOKUP(U20List[[#This Row],[Retained Player Name]],Players[],4,FALSE))</f>
        <v/>
      </c>
      <c r="J3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9" s="231"/>
      <c r="L39" s="231"/>
      <c r="M39" s="7"/>
    </row>
    <row r="40" spans="1:13" s="8" customFormat="1" ht="12.75" customHeight="1" x14ac:dyDescent="0.2">
      <c r="A40" s="16" t="str">
        <f>IF(AND(U20List[[#This Row],[First &amp; Last Name]]="",U20List[[#This Row],[FISTF Code]]=""),"",ROW()-ROW($A$11))</f>
        <v/>
      </c>
      <c r="B40" s="232"/>
      <c r="C40" s="436"/>
      <c r="D40" s="421" t="str">
        <f>IF(U20List[[#This Row],[First &amp; Last Name]]="","",IFERROR(ISNUMBER(MATCH(U20List[[#This Row],[First &amp; Last Name]],Players[Player Name],0)),FALSE))</f>
        <v/>
      </c>
      <c r="E40" s="421" t="b">
        <f>IF(U20List[[#This Row],[FISTF Code]]="",FALSE,IFERROR(ISNUMBER(MATCH(U20List[[#This Row],[FISTF Code]],Players[FISTF Code],0)),FALSE))</f>
        <v>0</v>
      </c>
      <c r="F40" s="419" t="str">
        <f>IF(AND(U20List[[#This Row],[First &amp; Last Name]]="",U20List[[#This Row],[FISTF Code]]=""),"",IF(U20List[[#This Row],[Valide Code ?]],INDEX(Players[Player Name],MATCH(U20List[[#This Row],[FISTF Code]],Players[FISTF Code],0)),U20List[[#This Row],[First &amp; Last Name]]))</f>
        <v/>
      </c>
      <c r="G40" s="233" t="str">
        <f>IF(U20List[[#This Row],[Retained Player Name]]="","",VLOOKUP(U20List[[#This Row],[Retained Player Name]],Players[],7,FALSE))</f>
        <v/>
      </c>
      <c r="H40" s="235" t="str">
        <f>IF(U20List[[#This Row],[Retained Player Name]]="","",VLOOKUP(U20List[[#This Row],[Retained Player Name]],Players[],6,FALSE))</f>
        <v/>
      </c>
      <c r="I40" s="235" t="str">
        <f>IF(U20List[[#This Row],[Retained Player Name]]="","",VLOOKUP(U20List[[#This Row],[Retained Player Name]],Players[],4,FALSE))</f>
        <v/>
      </c>
      <c r="J4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0" s="231"/>
      <c r="L40" s="231"/>
      <c r="M40" s="7"/>
    </row>
    <row r="41" spans="1:13" s="8" customFormat="1" ht="12.75" customHeight="1" x14ac:dyDescent="0.2">
      <c r="A41" s="16" t="str">
        <f>IF(AND(U20List[[#This Row],[First &amp; Last Name]]="",U20List[[#This Row],[FISTF Code]]=""),"",ROW()-ROW($A$11))</f>
        <v/>
      </c>
      <c r="B41" s="232"/>
      <c r="C41" s="436"/>
      <c r="D41" s="421" t="str">
        <f>IF(U20List[[#This Row],[First &amp; Last Name]]="","",IFERROR(ISNUMBER(MATCH(U20List[[#This Row],[First &amp; Last Name]],Players[Player Name],0)),FALSE))</f>
        <v/>
      </c>
      <c r="E41" s="421" t="b">
        <f>IF(U20List[[#This Row],[FISTF Code]]="",FALSE,IFERROR(ISNUMBER(MATCH(U20List[[#This Row],[FISTF Code]],Players[FISTF Code],0)),FALSE))</f>
        <v>0</v>
      </c>
      <c r="F41" s="419" t="str">
        <f>IF(AND(U20List[[#This Row],[First &amp; Last Name]]="",U20List[[#This Row],[FISTF Code]]=""),"",IF(U20List[[#This Row],[Valide Code ?]],INDEX(Players[Player Name],MATCH(U20List[[#This Row],[FISTF Code]],Players[FISTF Code],0)),U20List[[#This Row],[First &amp; Last Name]]))</f>
        <v/>
      </c>
      <c r="G41" s="233" t="str">
        <f>IF(U20List[[#This Row],[Retained Player Name]]="","",VLOOKUP(U20List[[#This Row],[Retained Player Name]],Players[],7,FALSE))</f>
        <v/>
      </c>
      <c r="H41" s="235" t="str">
        <f>IF(U20List[[#This Row],[Retained Player Name]]="","",VLOOKUP(U20List[[#This Row],[Retained Player Name]],Players[],6,FALSE))</f>
        <v/>
      </c>
      <c r="I41" s="235" t="str">
        <f>IF(U20List[[#This Row],[Retained Player Name]]="","",VLOOKUP(U20List[[#This Row],[Retained Player Name]],Players[],4,FALSE))</f>
        <v/>
      </c>
      <c r="J4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1" s="231"/>
      <c r="L41" s="231"/>
      <c r="M41" s="7"/>
    </row>
    <row r="42" spans="1:13" s="8" customFormat="1" ht="12.75" customHeight="1" x14ac:dyDescent="0.2">
      <c r="A42" s="16" t="str">
        <f>IF(AND(U20List[[#This Row],[First &amp; Last Name]]="",U20List[[#This Row],[FISTF Code]]=""),"",ROW()-ROW($A$11))</f>
        <v/>
      </c>
      <c r="B42" s="232"/>
      <c r="C42" s="436"/>
      <c r="D42" s="421" t="str">
        <f>IF(U20List[[#This Row],[First &amp; Last Name]]="","",IFERROR(ISNUMBER(MATCH(U20List[[#This Row],[First &amp; Last Name]],Players[Player Name],0)),FALSE))</f>
        <v/>
      </c>
      <c r="E42" s="421" t="b">
        <f>IF(U20List[[#This Row],[FISTF Code]]="",FALSE,IFERROR(ISNUMBER(MATCH(U20List[[#This Row],[FISTF Code]],Players[FISTF Code],0)),FALSE))</f>
        <v>0</v>
      </c>
      <c r="F42" s="419" t="str">
        <f>IF(AND(U20List[[#This Row],[First &amp; Last Name]]="",U20List[[#This Row],[FISTF Code]]=""),"",IF(U20List[[#This Row],[Valide Code ?]],INDEX(Players[Player Name],MATCH(U20List[[#This Row],[FISTF Code]],Players[FISTF Code],0)),U20List[[#This Row],[First &amp; Last Name]]))</f>
        <v/>
      </c>
      <c r="G42" s="233" t="str">
        <f>IF(U20List[[#This Row],[Retained Player Name]]="","",VLOOKUP(U20List[[#This Row],[Retained Player Name]],Players[],7,FALSE))</f>
        <v/>
      </c>
      <c r="H42" s="235" t="str">
        <f>IF(U20List[[#This Row],[Retained Player Name]]="","",VLOOKUP(U20List[[#This Row],[Retained Player Name]],Players[],6,FALSE))</f>
        <v/>
      </c>
      <c r="I42" s="235" t="str">
        <f>IF(U20List[[#This Row],[Retained Player Name]]="","",VLOOKUP(U20List[[#This Row],[Retained Player Name]],Players[],4,FALSE))</f>
        <v/>
      </c>
      <c r="J4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2" s="231"/>
      <c r="L42" s="231"/>
      <c r="M42" s="7"/>
    </row>
    <row r="43" spans="1:13" s="8" customFormat="1" ht="12.75" customHeight="1" x14ac:dyDescent="0.2">
      <c r="A43" s="16" t="str">
        <f>IF(AND(U20List[[#This Row],[First &amp; Last Name]]="",U20List[[#This Row],[FISTF Code]]=""),"",ROW()-ROW($A$11))</f>
        <v/>
      </c>
      <c r="B43" s="232"/>
      <c r="C43" s="436"/>
      <c r="D43" s="421" t="str">
        <f>IF(U20List[[#This Row],[First &amp; Last Name]]="","",IFERROR(ISNUMBER(MATCH(U20List[[#This Row],[First &amp; Last Name]],Players[Player Name],0)),FALSE))</f>
        <v/>
      </c>
      <c r="E43" s="421" t="b">
        <f>IF(U20List[[#This Row],[FISTF Code]]="",FALSE,IFERROR(ISNUMBER(MATCH(U20List[[#This Row],[FISTF Code]],Players[FISTF Code],0)),FALSE))</f>
        <v>0</v>
      </c>
      <c r="F43" s="419" t="str">
        <f>IF(AND(U20List[[#This Row],[First &amp; Last Name]]="",U20List[[#This Row],[FISTF Code]]=""),"",IF(U20List[[#This Row],[Valide Code ?]],INDEX(Players[Player Name],MATCH(U20List[[#This Row],[FISTF Code]],Players[FISTF Code],0)),U20List[[#This Row],[First &amp; Last Name]]))</f>
        <v/>
      </c>
      <c r="G43" s="233" t="str">
        <f>IF(U20List[[#This Row],[Retained Player Name]]="","",VLOOKUP(U20List[[#This Row],[Retained Player Name]],Players[],7,FALSE))</f>
        <v/>
      </c>
      <c r="H43" s="235" t="str">
        <f>IF(U20List[[#This Row],[Retained Player Name]]="","",VLOOKUP(U20List[[#This Row],[Retained Player Name]],Players[],6,FALSE))</f>
        <v/>
      </c>
      <c r="I43" s="235" t="str">
        <f>IF(U20List[[#This Row],[Retained Player Name]]="","",VLOOKUP(U20List[[#This Row],[Retained Player Name]],Players[],4,FALSE))</f>
        <v/>
      </c>
      <c r="J4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3" s="231"/>
      <c r="L43" s="231"/>
      <c r="M43" s="7"/>
    </row>
    <row r="44" spans="1:13" s="8" customFormat="1" ht="12.75" customHeight="1" x14ac:dyDescent="0.2">
      <c r="A44" s="16" t="str">
        <f>IF(AND(U20List[[#This Row],[First &amp; Last Name]]="",U20List[[#This Row],[FISTF Code]]=""),"",ROW()-ROW($A$11))</f>
        <v/>
      </c>
      <c r="B44" s="232"/>
      <c r="C44" s="436"/>
      <c r="D44" s="421" t="str">
        <f>IF(U20List[[#This Row],[First &amp; Last Name]]="","",IFERROR(ISNUMBER(MATCH(U20List[[#This Row],[First &amp; Last Name]],Players[Player Name],0)),FALSE))</f>
        <v/>
      </c>
      <c r="E44" s="421" t="b">
        <f>IF(U20List[[#This Row],[FISTF Code]]="",FALSE,IFERROR(ISNUMBER(MATCH(U20List[[#This Row],[FISTF Code]],Players[FISTF Code],0)),FALSE))</f>
        <v>0</v>
      </c>
      <c r="F44" s="419" t="str">
        <f>IF(AND(U20List[[#This Row],[First &amp; Last Name]]="",U20List[[#This Row],[FISTF Code]]=""),"",IF(U20List[[#This Row],[Valide Code ?]],INDEX(Players[Player Name],MATCH(U20List[[#This Row],[FISTF Code]],Players[FISTF Code],0)),U20List[[#This Row],[First &amp; Last Name]]))</f>
        <v/>
      </c>
      <c r="G44" s="233" t="str">
        <f>IF(U20List[[#This Row],[Retained Player Name]]="","",VLOOKUP(U20List[[#This Row],[Retained Player Name]],Players[],7,FALSE))</f>
        <v/>
      </c>
      <c r="H44" s="235" t="str">
        <f>IF(U20List[[#This Row],[Retained Player Name]]="","",VLOOKUP(U20List[[#This Row],[Retained Player Name]],Players[],6,FALSE))</f>
        <v/>
      </c>
      <c r="I44" s="235" t="str">
        <f>IF(U20List[[#This Row],[Retained Player Name]]="","",VLOOKUP(U20List[[#This Row],[Retained Player Name]],Players[],4,FALSE))</f>
        <v/>
      </c>
      <c r="J4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4" s="231"/>
      <c r="L44" s="231"/>
      <c r="M44" s="7"/>
    </row>
    <row r="45" spans="1:13" s="8" customFormat="1" ht="12.75" customHeight="1" x14ac:dyDescent="0.2">
      <c r="A45" s="16" t="str">
        <f>IF(AND(U20List[[#This Row],[First &amp; Last Name]]="",U20List[[#This Row],[FISTF Code]]=""),"",ROW()-ROW($A$11))</f>
        <v/>
      </c>
      <c r="B45" s="232"/>
      <c r="C45" s="436"/>
      <c r="D45" s="421" t="str">
        <f>IF(U20List[[#This Row],[First &amp; Last Name]]="","",IFERROR(ISNUMBER(MATCH(U20List[[#This Row],[First &amp; Last Name]],Players[Player Name],0)),FALSE))</f>
        <v/>
      </c>
      <c r="E45" s="421" t="b">
        <f>IF(U20List[[#This Row],[FISTF Code]]="",FALSE,IFERROR(ISNUMBER(MATCH(U20List[[#This Row],[FISTF Code]],Players[FISTF Code],0)),FALSE))</f>
        <v>0</v>
      </c>
      <c r="F45" s="419" t="str">
        <f>IF(AND(U20List[[#This Row],[First &amp; Last Name]]="",U20List[[#This Row],[FISTF Code]]=""),"",IF(U20List[[#This Row],[Valide Code ?]],INDEX(Players[Player Name],MATCH(U20List[[#This Row],[FISTF Code]],Players[FISTF Code],0)),U20List[[#This Row],[First &amp; Last Name]]))</f>
        <v/>
      </c>
      <c r="G45" s="233" t="str">
        <f>IF(U20List[[#This Row],[Retained Player Name]]="","",VLOOKUP(U20List[[#This Row],[Retained Player Name]],Players[],7,FALSE))</f>
        <v/>
      </c>
      <c r="H45" s="235" t="str">
        <f>IF(U20List[[#This Row],[Retained Player Name]]="","",VLOOKUP(U20List[[#This Row],[Retained Player Name]],Players[],6,FALSE))</f>
        <v/>
      </c>
      <c r="I45" s="235" t="str">
        <f>IF(U20List[[#This Row],[Retained Player Name]]="","",VLOOKUP(U20List[[#This Row],[Retained Player Name]],Players[],4,FALSE))</f>
        <v/>
      </c>
      <c r="J4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5" s="231"/>
      <c r="L45" s="231"/>
      <c r="M45" s="7"/>
    </row>
    <row r="46" spans="1:13" s="8" customFormat="1" ht="12.75" customHeight="1" x14ac:dyDescent="0.2">
      <c r="A46" s="16" t="str">
        <f>IF(AND(U20List[[#This Row],[First &amp; Last Name]]="",U20List[[#This Row],[FISTF Code]]=""),"",ROW()-ROW($A$11))</f>
        <v/>
      </c>
      <c r="B46" s="232"/>
      <c r="C46" s="436"/>
      <c r="D46" s="421" t="str">
        <f>IF(U20List[[#This Row],[First &amp; Last Name]]="","",IFERROR(ISNUMBER(MATCH(U20List[[#This Row],[First &amp; Last Name]],Players[Player Name],0)),FALSE))</f>
        <v/>
      </c>
      <c r="E46" s="421" t="b">
        <f>IF(U20List[[#This Row],[FISTF Code]]="",FALSE,IFERROR(ISNUMBER(MATCH(U20List[[#This Row],[FISTF Code]],Players[FISTF Code],0)),FALSE))</f>
        <v>0</v>
      </c>
      <c r="F46" s="419" t="str">
        <f>IF(AND(U20List[[#This Row],[First &amp; Last Name]]="",U20List[[#This Row],[FISTF Code]]=""),"",IF(U20List[[#This Row],[Valide Code ?]],INDEX(Players[Player Name],MATCH(U20List[[#This Row],[FISTF Code]],Players[FISTF Code],0)),U20List[[#This Row],[First &amp; Last Name]]))</f>
        <v/>
      </c>
      <c r="G46" s="233" t="str">
        <f>IF(U20List[[#This Row],[Retained Player Name]]="","",VLOOKUP(U20List[[#This Row],[Retained Player Name]],Players[],7,FALSE))</f>
        <v/>
      </c>
      <c r="H46" s="235" t="str">
        <f>IF(U20List[[#This Row],[Retained Player Name]]="","",VLOOKUP(U20List[[#This Row],[Retained Player Name]],Players[],6,FALSE))</f>
        <v/>
      </c>
      <c r="I46" s="235" t="str">
        <f>IF(U20List[[#This Row],[Retained Player Name]]="","",VLOOKUP(U20List[[#This Row],[Retained Player Name]],Players[],4,FALSE))</f>
        <v/>
      </c>
      <c r="J4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6" s="231"/>
      <c r="L46" s="231"/>
      <c r="M46" s="7"/>
    </row>
    <row r="47" spans="1:13" s="8" customFormat="1" ht="12.75" customHeight="1" x14ac:dyDescent="0.2">
      <c r="A47" s="16" t="str">
        <f>IF(AND(U20List[[#This Row],[First &amp; Last Name]]="",U20List[[#This Row],[FISTF Code]]=""),"",ROW()-ROW($A$11))</f>
        <v/>
      </c>
      <c r="B47" s="232"/>
      <c r="C47" s="436"/>
      <c r="D47" s="421" t="str">
        <f>IF(U20List[[#This Row],[First &amp; Last Name]]="","",IFERROR(ISNUMBER(MATCH(U20List[[#This Row],[First &amp; Last Name]],Players[Player Name],0)),FALSE))</f>
        <v/>
      </c>
      <c r="E47" s="421" t="b">
        <f>IF(U20List[[#This Row],[FISTF Code]]="",FALSE,IFERROR(ISNUMBER(MATCH(U20List[[#This Row],[FISTF Code]],Players[FISTF Code],0)),FALSE))</f>
        <v>0</v>
      </c>
      <c r="F47" s="419" t="str">
        <f>IF(AND(U20List[[#This Row],[First &amp; Last Name]]="",U20List[[#This Row],[FISTF Code]]=""),"",IF(U20List[[#This Row],[Valide Code ?]],INDEX(Players[Player Name],MATCH(U20List[[#This Row],[FISTF Code]],Players[FISTF Code],0)),U20List[[#This Row],[First &amp; Last Name]]))</f>
        <v/>
      </c>
      <c r="G47" s="233" t="str">
        <f>IF(U20List[[#This Row],[Retained Player Name]]="","",VLOOKUP(U20List[[#This Row],[Retained Player Name]],Players[],7,FALSE))</f>
        <v/>
      </c>
      <c r="H47" s="235" t="str">
        <f>IF(U20List[[#This Row],[Retained Player Name]]="","",VLOOKUP(U20List[[#This Row],[Retained Player Name]],Players[],6,FALSE))</f>
        <v/>
      </c>
      <c r="I47" s="235" t="str">
        <f>IF(U20List[[#This Row],[Retained Player Name]]="","",VLOOKUP(U20List[[#This Row],[Retained Player Name]],Players[],4,FALSE))</f>
        <v/>
      </c>
      <c r="J4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7" s="231"/>
      <c r="L47" s="231"/>
      <c r="M47" s="7"/>
    </row>
    <row r="48" spans="1:13" s="8" customFormat="1" ht="12.75" customHeight="1" x14ac:dyDescent="0.2">
      <c r="A48" s="16" t="str">
        <f>IF(AND(U20List[[#This Row],[First &amp; Last Name]]="",U20List[[#This Row],[FISTF Code]]=""),"",ROW()-ROW($A$11))</f>
        <v/>
      </c>
      <c r="B48" s="232"/>
      <c r="C48" s="436"/>
      <c r="D48" s="421" t="str">
        <f>IF(U20List[[#This Row],[First &amp; Last Name]]="","",IFERROR(ISNUMBER(MATCH(U20List[[#This Row],[First &amp; Last Name]],Players[Player Name],0)),FALSE))</f>
        <v/>
      </c>
      <c r="E48" s="421" t="b">
        <f>IF(U20List[[#This Row],[FISTF Code]]="",FALSE,IFERROR(ISNUMBER(MATCH(U20List[[#This Row],[FISTF Code]],Players[FISTF Code],0)),FALSE))</f>
        <v>0</v>
      </c>
      <c r="F48" s="419" t="str">
        <f>IF(AND(U20List[[#This Row],[First &amp; Last Name]]="",U20List[[#This Row],[FISTF Code]]=""),"",IF(U20List[[#This Row],[Valide Code ?]],INDEX(Players[Player Name],MATCH(U20List[[#This Row],[FISTF Code]],Players[FISTF Code],0)),U20List[[#This Row],[First &amp; Last Name]]))</f>
        <v/>
      </c>
      <c r="G48" s="233" t="str">
        <f>IF(U20List[[#This Row],[Retained Player Name]]="","",VLOOKUP(U20List[[#This Row],[Retained Player Name]],Players[],7,FALSE))</f>
        <v/>
      </c>
      <c r="H48" s="235" t="str">
        <f>IF(U20List[[#This Row],[Retained Player Name]]="","",VLOOKUP(U20List[[#This Row],[Retained Player Name]],Players[],6,FALSE))</f>
        <v/>
      </c>
      <c r="I48" s="235" t="str">
        <f>IF(U20List[[#This Row],[Retained Player Name]]="","",VLOOKUP(U20List[[#This Row],[Retained Player Name]],Players[],4,FALSE))</f>
        <v/>
      </c>
      <c r="J4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8" s="231"/>
      <c r="L48" s="231"/>
      <c r="M48" s="7"/>
    </row>
    <row r="49" spans="1:13" s="8" customFormat="1" ht="12.75" customHeight="1" x14ac:dyDescent="0.2">
      <c r="A49" s="16" t="str">
        <f>IF(AND(U20List[[#This Row],[First &amp; Last Name]]="",U20List[[#This Row],[FISTF Code]]=""),"",ROW()-ROW($A$11))</f>
        <v/>
      </c>
      <c r="B49" s="232"/>
      <c r="C49" s="436"/>
      <c r="D49" s="421" t="str">
        <f>IF(U20List[[#This Row],[First &amp; Last Name]]="","",IFERROR(ISNUMBER(MATCH(U20List[[#This Row],[First &amp; Last Name]],Players[Player Name],0)),FALSE))</f>
        <v/>
      </c>
      <c r="E49" s="421" t="b">
        <f>IF(U20List[[#This Row],[FISTF Code]]="",FALSE,IFERROR(ISNUMBER(MATCH(U20List[[#This Row],[FISTF Code]],Players[FISTF Code],0)),FALSE))</f>
        <v>0</v>
      </c>
      <c r="F49" s="419" t="str">
        <f>IF(AND(U20List[[#This Row],[First &amp; Last Name]]="",U20List[[#This Row],[FISTF Code]]=""),"",IF(U20List[[#This Row],[Valide Code ?]],INDEX(Players[Player Name],MATCH(U20List[[#This Row],[FISTF Code]],Players[FISTF Code],0)),U20List[[#This Row],[First &amp; Last Name]]))</f>
        <v/>
      </c>
      <c r="G49" s="233" t="str">
        <f>IF(U20List[[#This Row],[Retained Player Name]]="","",VLOOKUP(U20List[[#This Row],[Retained Player Name]],Players[],7,FALSE))</f>
        <v/>
      </c>
      <c r="H49" s="235" t="str">
        <f>IF(U20List[[#This Row],[Retained Player Name]]="","",VLOOKUP(U20List[[#This Row],[Retained Player Name]],Players[],6,FALSE))</f>
        <v/>
      </c>
      <c r="I49" s="235" t="str">
        <f>IF(U20List[[#This Row],[Retained Player Name]]="","",VLOOKUP(U20List[[#This Row],[Retained Player Name]],Players[],4,FALSE))</f>
        <v/>
      </c>
      <c r="J4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9" s="231"/>
      <c r="L49" s="231"/>
      <c r="M49" s="7"/>
    </row>
    <row r="50" spans="1:13" s="8" customFormat="1" ht="12.75" customHeight="1" x14ac:dyDescent="0.2">
      <c r="A50" s="16" t="str">
        <f>IF(AND(U20List[[#This Row],[First &amp; Last Name]]="",U20List[[#This Row],[FISTF Code]]=""),"",ROW()-ROW($A$11))</f>
        <v/>
      </c>
      <c r="B50" s="232"/>
      <c r="C50" s="436"/>
      <c r="D50" s="421" t="str">
        <f>IF(U20List[[#This Row],[First &amp; Last Name]]="","",IFERROR(ISNUMBER(MATCH(U20List[[#This Row],[First &amp; Last Name]],Players[Player Name],0)),FALSE))</f>
        <v/>
      </c>
      <c r="E50" s="421" t="b">
        <f>IF(U20List[[#This Row],[FISTF Code]]="",FALSE,IFERROR(ISNUMBER(MATCH(U20List[[#This Row],[FISTF Code]],Players[FISTF Code],0)),FALSE))</f>
        <v>0</v>
      </c>
      <c r="F50" s="419" t="str">
        <f>IF(AND(U20List[[#This Row],[First &amp; Last Name]]="",U20List[[#This Row],[FISTF Code]]=""),"",IF(U20List[[#This Row],[Valide Code ?]],INDEX(Players[Player Name],MATCH(U20List[[#This Row],[FISTF Code]],Players[FISTF Code],0)),U20List[[#This Row],[First &amp; Last Name]]))</f>
        <v/>
      </c>
      <c r="G50" s="233" t="str">
        <f>IF(U20List[[#This Row],[Retained Player Name]]="","",VLOOKUP(U20List[[#This Row],[Retained Player Name]],Players[],7,FALSE))</f>
        <v/>
      </c>
      <c r="H50" s="235" t="str">
        <f>IF(U20List[[#This Row],[Retained Player Name]]="","",VLOOKUP(U20List[[#This Row],[Retained Player Name]],Players[],6,FALSE))</f>
        <v/>
      </c>
      <c r="I50" s="235" t="str">
        <f>IF(U20List[[#This Row],[Retained Player Name]]="","",VLOOKUP(U20List[[#This Row],[Retained Player Name]],Players[],4,FALSE))</f>
        <v/>
      </c>
      <c r="J5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0" s="231"/>
      <c r="L50" s="231"/>
      <c r="M50" s="7"/>
    </row>
    <row r="51" spans="1:13" s="8" customFormat="1" ht="12.75" customHeight="1" x14ac:dyDescent="0.2">
      <c r="A51" s="322" t="str">
        <f>IF(AND(U20List[[#This Row],[First &amp; Last Name]]="",U20List[[#This Row],[FISTF Code]]=""),"",ROW()-ROW($A$11))</f>
        <v/>
      </c>
      <c r="B51" s="323"/>
      <c r="C51" s="437"/>
      <c r="D51" s="422" t="str">
        <f>IF(U20List[[#This Row],[First &amp; Last Name]]="","",IFERROR(ISNUMBER(MATCH(U20List[[#This Row],[First &amp; Last Name]],Players[Player Name],0)),FALSE))</f>
        <v/>
      </c>
      <c r="E51" s="422" t="b">
        <f>IF(U20List[[#This Row],[FISTF Code]]="",FALSE,IFERROR(ISNUMBER(MATCH(U20List[[#This Row],[FISTF Code]],Players[FISTF Code],0)),FALSE))</f>
        <v>0</v>
      </c>
      <c r="F51" s="420" t="str">
        <f>IF(AND(U20List[[#This Row],[First &amp; Last Name]]="",U20List[[#This Row],[FISTF Code]]=""),"",IF(U20List[[#This Row],[Valide Code ?]],INDEX(Players[Player Name],MATCH(U20List[[#This Row],[FISTF Code]],Players[FISTF Code],0)),U20List[[#This Row],[First &amp; Last Name]]))</f>
        <v/>
      </c>
      <c r="G51" s="233" t="str">
        <f>IF(U20List[[#This Row],[Retained Player Name]]="","",VLOOKUP(U20List[[#This Row],[Retained Player Name]],Players[],7,FALSE))</f>
        <v/>
      </c>
      <c r="H51" s="235" t="str">
        <f>IF(U20List[[#This Row],[Retained Player Name]]="","",VLOOKUP(U20List[[#This Row],[Retained Player Name]],Players[],6,FALSE))</f>
        <v/>
      </c>
      <c r="I51" s="235" t="str">
        <f>IF(U20List[[#This Row],[Retained Player Name]]="","",VLOOKUP(U20List[[#This Row],[Retained Player Name]],Players[],4,FALSE))</f>
        <v/>
      </c>
      <c r="J5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1" s="231"/>
      <c r="L51" s="231"/>
      <c r="M51" s="7"/>
    </row>
    <row r="52" spans="1:13" s="8" customFormat="1" ht="12.75" customHeight="1" x14ac:dyDescent="0.2">
      <c r="A52" s="322" t="str">
        <f>IF(AND(U20List[[#This Row],[First &amp; Last Name]]="",U20List[[#This Row],[FISTF Code]]=""),"",ROW()-ROW($A$11))</f>
        <v/>
      </c>
      <c r="B52" s="323"/>
      <c r="C52" s="437"/>
      <c r="D52" s="422" t="str">
        <f>IF(U20List[[#This Row],[First &amp; Last Name]]="","",IFERROR(ISNUMBER(MATCH(U20List[[#This Row],[First &amp; Last Name]],Players[Player Name],0)),FALSE))</f>
        <v/>
      </c>
      <c r="E52" s="422" t="b">
        <f>IF(U20List[[#This Row],[FISTF Code]]="",FALSE,IFERROR(ISNUMBER(MATCH(U20List[[#This Row],[FISTF Code]],Players[FISTF Code],0)),FALSE))</f>
        <v>0</v>
      </c>
      <c r="F52" s="420" t="str">
        <f>IF(AND(U20List[[#This Row],[First &amp; Last Name]]="",U20List[[#This Row],[FISTF Code]]=""),"",IF(U20List[[#This Row],[Valide Code ?]],INDEX(Players[Player Name],MATCH(U20List[[#This Row],[FISTF Code]],Players[FISTF Code],0)),U20List[[#This Row],[First &amp; Last Name]]))</f>
        <v/>
      </c>
      <c r="G52" s="233" t="str">
        <f>IF(U20List[[#This Row],[Retained Player Name]]="","",VLOOKUP(U20List[[#This Row],[Retained Player Name]],Players[],7,FALSE))</f>
        <v/>
      </c>
      <c r="H52" s="235" t="str">
        <f>IF(U20List[[#This Row],[Retained Player Name]]="","",VLOOKUP(U20List[[#This Row],[Retained Player Name]],Players[],6,FALSE))</f>
        <v/>
      </c>
      <c r="I52" s="235" t="str">
        <f>IF(U20List[[#This Row],[Retained Player Name]]="","",VLOOKUP(U20List[[#This Row],[Retained Player Name]],Players[],4,FALSE))</f>
        <v/>
      </c>
      <c r="J5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2" s="231"/>
      <c r="L52" s="231"/>
      <c r="M52" s="7"/>
    </row>
    <row r="53" spans="1:13" s="8" customFormat="1" ht="12.75" customHeight="1" x14ac:dyDescent="0.2">
      <c r="A53" s="322" t="str">
        <f>IF(AND(U20List[[#This Row],[First &amp; Last Name]]="",U20List[[#This Row],[FISTF Code]]=""),"",ROW()-ROW($A$11))</f>
        <v/>
      </c>
      <c r="B53" s="323"/>
      <c r="C53" s="437"/>
      <c r="D53" s="422" t="str">
        <f>IF(U20List[[#This Row],[First &amp; Last Name]]="","",IFERROR(ISNUMBER(MATCH(U20List[[#This Row],[First &amp; Last Name]],Players[Player Name],0)),FALSE))</f>
        <v/>
      </c>
      <c r="E53" s="422" t="b">
        <f>IF(U20List[[#This Row],[FISTF Code]]="",FALSE,IFERROR(ISNUMBER(MATCH(U20List[[#This Row],[FISTF Code]],Players[FISTF Code],0)),FALSE))</f>
        <v>0</v>
      </c>
      <c r="F53" s="420" t="str">
        <f>IF(AND(U20List[[#This Row],[First &amp; Last Name]]="",U20List[[#This Row],[FISTF Code]]=""),"",IF(U20List[[#This Row],[Valide Code ?]],INDEX(Players[Player Name],MATCH(U20List[[#This Row],[FISTF Code]],Players[FISTF Code],0)),U20List[[#This Row],[First &amp; Last Name]]))</f>
        <v/>
      </c>
      <c r="G53" s="233" t="str">
        <f>IF(U20List[[#This Row],[Retained Player Name]]="","",VLOOKUP(U20List[[#This Row],[Retained Player Name]],Players[],7,FALSE))</f>
        <v/>
      </c>
      <c r="H53" s="235" t="str">
        <f>IF(U20List[[#This Row],[Retained Player Name]]="","",VLOOKUP(U20List[[#This Row],[Retained Player Name]],Players[],6,FALSE))</f>
        <v/>
      </c>
      <c r="I53" s="235" t="str">
        <f>IF(U20List[[#This Row],[Retained Player Name]]="","",VLOOKUP(U20List[[#This Row],[Retained Player Name]],Players[],4,FALSE))</f>
        <v/>
      </c>
      <c r="J5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3" s="231"/>
      <c r="L53" s="231"/>
      <c r="M53" s="7"/>
    </row>
    <row r="54" spans="1:13" s="8" customFormat="1" ht="12.75" customHeight="1" x14ac:dyDescent="0.2">
      <c r="A54" s="322" t="str">
        <f>IF(AND(U20List[[#This Row],[First &amp; Last Name]]="",U20List[[#This Row],[FISTF Code]]=""),"",ROW()-ROW($A$11))</f>
        <v/>
      </c>
      <c r="B54" s="323"/>
      <c r="C54" s="437"/>
      <c r="D54" s="422" t="str">
        <f>IF(U20List[[#This Row],[First &amp; Last Name]]="","",IFERROR(ISNUMBER(MATCH(U20List[[#This Row],[First &amp; Last Name]],Players[Player Name],0)),FALSE))</f>
        <v/>
      </c>
      <c r="E54" s="422" t="b">
        <f>IF(U20List[[#This Row],[FISTF Code]]="",FALSE,IFERROR(ISNUMBER(MATCH(U20List[[#This Row],[FISTF Code]],Players[FISTF Code],0)),FALSE))</f>
        <v>0</v>
      </c>
      <c r="F54" s="420" t="str">
        <f>IF(AND(U20List[[#This Row],[First &amp; Last Name]]="",U20List[[#This Row],[FISTF Code]]=""),"",IF(U20List[[#This Row],[Valide Code ?]],INDEX(Players[Player Name],MATCH(U20List[[#This Row],[FISTF Code]],Players[FISTF Code],0)),U20List[[#This Row],[First &amp; Last Name]]))</f>
        <v/>
      </c>
      <c r="G54" s="233" t="str">
        <f>IF(U20List[[#This Row],[Retained Player Name]]="","",VLOOKUP(U20List[[#This Row],[Retained Player Name]],Players[],7,FALSE))</f>
        <v/>
      </c>
      <c r="H54" s="235" t="str">
        <f>IF(U20List[[#This Row],[Retained Player Name]]="","",VLOOKUP(U20List[[#This Row],[Retained Player Name]],Players[],6,FALSE))</f>
        <v/>
      </c>
      <c r="I54" s="235" t="str">
        <f>IF(U20List[[#This Row],[Retained Player Name]]="","",VLOOKUP(U20List[[#This Row],[Retained Player Name]],Players[],4,FALSE))</f>
        <v/>
      </c>
      <c r="J5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4" s="231"/>
      <c r="L54" s="231"/>
      <c r="M54" s="7"/>
    </row>
    <row r="55" spans="1:13" s="8" customFormat="1" ht="12.75" customHeight="1" x14ac:dyDescent="0.2">
      <c r="A55" s="322" t="str">
        <f>IF(AND(U20List[[#This Row],[First &amp; Last Name]]="",U20List[[#This Row],[FISTF Code]]=""),"",ROW()-ROW($A$11))</f>
        <v/>
      </c>
      <c r="B55" s="323"/>
      <c r="C55" s="437"/>
      <c r="D55" s="422" t="str">
        <f>IF(U20List[[#This Row],[First &amp; Last Name]]="","",IFERROR(ISNUMBER(MATCH(U20List[[#This Row],[First &amp; Last Name]],Players[Player Name],0)),FALSE))</f>
        <v/>
      </c>
      <c r="E55" s="422" t="b">
        <f>IF(U20List[[#This Row],[FISTF Code]]="",FALSE,IFERROR(ISNUMBER(MATCH(U20List[[#This Row],[FISTF Code]],Players[FISTF Code],0)),FALSE))</f>
        <v>0</v>
      </c>
      <c r="F55" s="420" t="str">
        <f>IF(AND(U20List[[#This Row],[First &amp; Last Name]]="",U20List[[#This Row],[FISTF Code]]=""),"",IF(U20List[[#This Row],[Valide Code ?]],INDEX(Players[Player Name],MATCH(U20List[[#This Row],[FISTF Code]],Players[FISTF Code],0)),U20List[[#This Row],[First &amp; Last Name]]))</f>
        <v/>
      </c>
      <c r="G55" s="233" t="str">
        <f>IF(U20List[[#This Row],[Retained Player Name]]="","",VLOOKUP(U20List[[#This Row],[Retained Player Name]],Players[],7,FALSE))</f>
        <v/>
      </c>
      <c r="H55" s="235" t="str">
        <f>IF(U20List[[#This Row],[Retained Player Name]]="","",VLOOKUP(U20List[[#This Row],[Retained Player Name]],Players[],6,FALSE))</f>
        <v/>
      </c>
      <c r="I55" s="235" t="str">
        <f>IF(U20List[[#This Row],[Retained Player Name]]="","",VLOOKUP(U20List[[#This Row],[Retained Player Name]],Players[],4,FALSE))</f>
        <v/>
      </c>
      <c r="J5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5" s="231"/>
      <c r="L55" s="231"/>
      <c r="M55" s="7"/>
    </row>
    <row r="56" spans="1:13" s="8" customFormat="1" ht="12.75" customHeight="1" x14ac:dyDescent="0.2">
      <c r="A56" s="322" t="str">
        <f>IF(AND(U20List[[#This Row],[First &amp; Last Name]]="",U20List[[#This Row],[FISTF Code]]=""),"",ROW()-ROW($A$11))</f>
        <v/>
      </c>
      <c r="B56" s="323"/>
      <c r="C56" s="437"/>
      <c r="D56" s="422" t="str">
        <f>IF(U20List[[#This Row],[First &amp; Last Name]]="","",IFERROR(ISNUMBER(MATCH(U20List[[#This Row],[First &amp; Last Name]],Players[Player Name],0)),FALSE))</f>
        <v/>
      </c>
      <c r="E56" s="422" t="b">
        <f>IF(U20List[[#This Row],[FISTF Code]]="",FALSE,IFERROR(ISNUMBER(MATCH(U20List[[#This Row],[FISTF Code]],Players[FISTF Code],0)),FALSE))</f>
        <v>0</v>
      </c>
      <c r="F56" s="420" t="str">
        <f>IF(AND(U20List[[#This Row],[First &amp; Last Name]]="",U20List[[#This Row],[FISTF Code]]=""),"",IF(U20List[[#This Row],[Valide Code ?]],INDEX(Players[Player Name],MATCH(U20List[[#This Row],[FISTF Code]],Players[FISTF Code],0)),U20List[[#This Row],[First &amp; Last Name]]))</f>
        <v/>
      </c>
      <c r="G56" s="233" t="str">
        <f>IF(U20List[[#This Row],[Retained Player Name]]="","",VLOOKUP(U20List[[#This Row],[Retained Player Name]],Players[],7,FALSE))</f>
        <v/>
      </c>
      <c r="H56" s="235" t="str">
        <f>IF(U20List[[#This Row],[Retained Player Name]]="","",VLOOKUP(U20List[[#This Row],[Retained Player Name]],Players[],6,FALSE))</f>
        <v/>
      </c>
      <c r="I56" s="235" t="str">
        <f>IF(U20List[[#This Row],[Retained Player Name]]="","",VLOOKUP(U20List[[#This Row],[Retained Player Name]],Players[],4,FALSE))</f>
        <v/>
      </c>
      <c r="J5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6" s="231"/>
      <c r="L56" s="231"/>
      <c r="M56" s="7"/>
    </row>
    <row r="57" spans="1:13" s="8" customFormat="1" ht="12.75" customHeight="1" x14ac:dyDescent="0.2">
      <c r="A57" s="322" t="str">
        <f>IF(AND(U20List[[#This Row],[First &amp; Last Name]]="",U20List[[#This Row],[FISTF Code]]=""),"",ROW()-ROW($A$11))</f>
        <v/>
      </c>
      <c r="B57" s="323"/>
      <c r="C57" s="437"/>
      <c r="D57" s="422" t="str">
        <f>IF(U20List[[#This Row],[First &amp; Last Name]]="","",IFERROR(ISNUMBER(MATCH(U20List[[#This Row],[First &amp; Last Name]],Players[Player Name],0)),FALSE))</f>
        <v/>
      </c>
      <c r="E57" s="422" t="b">
        <f>IF(U20List[[#This Row],[FISTF Code]]="",FALSE,IFERROR(ISNUMBER(MATCH(U20List[[#This Row],[FISTF Code]],Players[FISTF Code],0)),FALSE))</f>
        <v>0</v>
      </c>
      <c r="F57" s="420" t="str">
        <f>IF(AND(U20List[[#This Row],[First &amp; Last Name]]="",U20List[[#This Row],[FISTF Code]]=""),"",IF(U20List[[#This Row],[Valide Code ?]],INDEX(Players[Player Name],MATCH(U20List[[#This Row],[FISTF Code]],Players[FISTF Code],0)),U20List[[#This Row],[First &amp; Last Name]]))</f>
        <v/>
      </c>
      <c r="G57" s="233" t="str">
        <f>IF(U20List[[#This Row],[Retained Player Name]]="","",VLOOKUP(U20List[[#This Row],[Retained Player Name]],Players[],7,FALSE))</f>
        <v/>
      </c>
      <c r="H57" s="235" t="str">
        <f>IF(U20List[[#This Row],[Retained Player Name]]="","",VLOOKUP(U20List[[#This Row],[Retained Player Name]],Players[],6,FALSE))</f>
        <v/>
      </c>
      <c r="I57" s="235" t="str">
        <f>IF(U20List[[#This Row],[Retained Player Name]]="","",VLOOKUP(U20List[[#This Row],[Retained Player Name]],Players[],4,FALSE))</f>
        <v/>
      </c>
      <c r="J5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7" s="231"/>
      <c r="L57" s="231"/>
      <c r="M57" s="7"/>
    </row>
    <row r="58" spans="1:13" s="8" customFormat="1" ht="12.75" customHeight="1" x14ac:dyDescent="0.2">
      <c r="A58" s="322" t="str">
        <f>IF(AND(U20List[[#This Row],[First &amp; Last Name]]="",U20List[[#This Row],[FISTF Code]]=""),"",ROW()-ROW($A$11))</f>
        <v/>
      </c>
      <c r="B58" s="323"/>
      <c r="C58" s="437"/>
      <c r="D58" s="422" t="str">
        <f>IF(U20List[[#This Row],[First &amp; Last Name]]="","",IFERROR(ISNUMBER(MATCH(U20List[[#This Row],[First &amp; Last Name]],Players[Player Name],0)),FALSE))</f>
        <v/>
      </c>
      <c r="E58" s="422" t="b">
        <f>IF(U20List[[#This Row],[FISTF Code]]="",FALSE,IFERROR(ISNUMBER(MATCH(U20List[[#This Row],[FISTF Code]],Players[FISTF Code],0)),FALSE))</f>
        <v>0</v>
      </c>
      <c r="F58" s="420" t="str">
        <f>IF(AND(U20List[[#This Row],[First &amp; Last Name]]="",U20List[[#This Row],[FISTF Code]]=""),"",IF(U20List[[#This Row],[Valide Code ?]],INDEX(Players[Player Name],MATCH(U20List[[#This Row],[FISTF Code]],Players[FISTF Code],0)),U20List[[#This Row],[First &amp; Last Name]]))</f>
        <v/>
      </c>
      <c r="G58" s="233" t="str">
        <f>IF(U20List[[#This Row],[Retained Player Name]]="","",VLOOKUP(U20List[[#This Row],[Retained Player Name]],Players[],7,FALSE))</f>
        <v/>
      </c>
      <c r="H58" s="235" t="str">
        <f>IF(U20List[[#This Row],[Retained Player Name]]="","",VLOOKUP(U20List[[#This Row],[Retained Player Name]],Players[],6,FALSE))</f>
        <v/>
      </c>
      <c r="I58" s="235" t="str">
        <f>IF(U20List[[#This Row],[Retained Player Name]]="","",VLOOKUP(U20List[[#This Row],[Retained Player Name]],Players[],4,FALSE))</f>
        <v/>
      </c>
      <c r="J5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8" s="231"/>
      <c r="L58" s="231"/>
      <c r="M58" s="7"/>
    </row>
    <row r="59" spans="1:13" s="8" customFormat="1" ht="12.75" customHeight="1" x14ac:dyDescent="0.2">
      <c r="A59" s="322" t="str">
        <f>IF(AND(U20List[[#This Row],[First &amp; Last Name]]="",U20List[[#This Row],[FISTF Code]]=""),"",ROW()-ROW($A$11))</f>
        <v/>
      </c>
      <c r="B59" s="323"/>
      <c r="C59" s="437"/>
      <c r="D59" s="422" t="str">
        <f>IF(U20List[[#This Row],[First &amp; Last Name]]="","",IFERROR(ISNUMBER(MATCH(U20List[[#This Row],[First &amp; Last Name]],Players[Player Name],0)),FALSE))</f>
        <v/>
      </c>
      <c r="E59" s="422" t="b">
        <f>IF(U20List[[#This Row],[FISTF Code]]="",FALSE,IFERROR(ISNUMBER(MATCH(U20List[[#This Row],[FISTF Code]],Players[FISTF Code],0)),FALSE))</f>
        <v>0</v>
      </c>
      <c r="F59" s="420" t="str">
        <f>IF(AND(U20List[[#This Row],[First &amp; Last Name]]="",U20List[[#This Row],[FISTF Code]]=""),"",IF(U20List[[#This Row],[Valide Code ?]],INDEX(Players[Player Name],MATCH(U20List[[#This Row],[FISTF Code]],Players[FISTF Code],0)),U20List[[#This Row],[First &amp; Last Name]]))</f>
        <v/>
      </c>
      <c r="G59" s="233" t="str">
        <f>IF(U20List[[#This Row],[Retained Player Name]]="","",VLOOKUP(U20List[[#This Row],[Retained Player Name]],Players[],7,FALSE))</f>
        <v/>
      </c>
      <c r="H59" s="235" t="str">
        <f>IF(U20List[[#This Row],[Retained Player Name]]="","",VLOOKUP(U20List[[#This Row],[Retained Player Name]],Players[],6,FALSE))</f>
        <v/>
      </c>
      <c r="I59" s="235" t="str">
        <f>IF(U20List[[#This Row],[Retained Player Name]]="","",VLOOKUP(U20List[[#This Row],[Retained Player Name]],Players[],4,FALSE))</f>
        <v/>
      </c>
      <c r="J5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9" s="231"/>
      <c r="L59" s="231"/>
      <c r="M59" s="7"/>
    </row>
    <row r="60" spans="1:13" s="8" customFormat="1" ht="12.75" customHeight="1" x14ac:dyDescent="0.2">
      <c r="A60" s="322" t="str">
        <f>IF(AND(U20List[[#This Row],[First &amp; Last Name]]="",U20List[[#This Row],[FISTF Code]]=""),"",ROW()-ROW($A$11))</f>
        <v/>
      </c>
      <c r="B60" s="323"/>
      <c r="C60" s="437"/>
      <c r="D60" s="422" t="str">
        <f>IF(U20List[[#This Row],[First &amp; Last Name]]="","",IFERROR(ISNUMBER(MATCH(U20List[[#This Row],[First &amp; Last Name]],Players[Player Name],0)),FALSE))</f>
        <v/>
      </c>
      <c r="E60" s="422" t="b">
        <f>IF(U20List[[#This Row],[FISTF Code]]="",FALSE,IFERROR(ISNUMBER(MATCH(U20List[[#This Row],[FISTF Code]],Players[FISTF Code],0)),FALSE))</f>
        <v>0</v>
      </c>
      <c r="F60" s="420" t="str">
        <f>IF(AND(U20List[[#This Row],[First &amp; Last Name]]="",U20List[[#This Row],[FISTF Code]]=""),"",IF(U20List[[#This Row],[Valide Code ?]],INDEX(Players[Player Name],MATCH(U20List[[#This Row],[FISTF Code]],Players[FISTF Code],0)),U20List[[#This Row],[First &amp; Last Name]]))</f>
        <v/>
      </c>
      <c r="G60" s="233" t="str">
        <f>IF(U20List[[#This Row],[Retained Player Name]]="","",VLOOKUP(U20List[[#This Row],[Retained Player Name]],Players[],7,FALSE))</f>
        <v/>
      </c>
      <c r="H60" s="235" t="str">
        <f>IF(U20List[[#This Row],[Retained Player Name]]="","",VLOOKUP(U20List[[#This Row],[Retained Player Name]],Players[],6,FALSE))</f>
        <v/>
      </c>
      <c r="I60" s="235" t="str">
        <f>IF(U20List[[#This Row],[Retained Player Name]]="","",VLOOKUP(U20List[[#This Row],[Retained Player Name]],Players[],4,FALSE))</f>
        <v/>
      </c>
      <c r="J6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0" s="231"/>
      <c r="L60" s="231"/>
      <c r="M60" s="7"/>
    </row>
    <row r="61" spans="1:13" s="8" customFormat="1" ht="12.75" customHeight="1" x14ac:dyDescent="0.2">
      <c r="A61" s="322" t="str">
        <f>IF(AND(U20List[[#This Row],[First &amp; Last Name]]="",U20List[[#This Row],[FISTF Code]]=""),"",ROW()-ROW($A$11))</f>
        <v/>
      </c>
      <c r="B61" s="323"/>
      <c r="C61" s="437"/>
      <c r="D61" s="422" t="str">
        <f>IF(U20List[[#This Row],[First &amp; Last Name]]="","",IFERROR(ISNUMBER(MATCH(U20List[[#This Row],[First &amp; Last Name]],Players[Player Name],0)),FALSE))</f>
        <v/>
      </c>
      <c r="E61" s="422" t="b">
        <f>IF(U20List[[#This Row],[FISTF Code]]="",FALSE,IFERROR(ISNUMBER(MATCH(U20List[[#This Row],[FISTF Code]],Players[FISTF Code],0)),FALSE))</f>
        <v>0</v>
      </c>
      <c r="F61" s="420" t="str">
        <f>IF(AND(U20List[[#This Row],[First &amp; Last Name]]="",U20List[[#This Row],[FISTF Code]]=""),"",IF(U20List[[#This Row],[Valide Code ?]],INDEX(Players[Player Name],MATCH(U20List[[#This Row],[FISTF Code]],Players[FISTF Code],0)),U20List[[#This Row],[First &amp; Last Name]]))</f>
        <v/>
      </c>
      <c r="G61" s="233" t="str">
        <f>IF(U20List[[#This Row],[Retained Player Name]]="","",VLOOKUP(U20List[[#This Row],[Retained Player Name]],Players[],7,FALSE))</f>
        <v/>
      </c>
      <c r="H61" s="235" t="str">
        <f>IF(U20List[[#This Row],[Retained Player Name]]="","",VLOOKUP(U20List[[#This Row],[Retained Player Name]],Players[],6,FALSE))</f>
        <v/>
      </c>
      <c r="I61" s="235" t="str">
        <f>IF(U20List[[#This Row],[Retained Player Name]]="","",VLOOKUP(U20List[[#This Row],[Retained Player Name]],Players[],4,FALSE))</f>
        <v/>
      </c>
      <c r="J6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1" s="231"/>
      <c r="L61" s="231"/>
      <c r="M61" s="7"/>
    </row>
    <row r="62" spans="1:13" s="8" customFormat="1" ht="12.75" customHeight="1" x14ac:dyDescent="0.2">
      <c r="A62" s="322" t="str">
        <f>IF(AND(U20List[[#This Row],[First &amp; Last Name]]="",U20List[[#This Row],[FISTF Code]]=""),"",ROW()-ROW($A$11))</f>
        <v/>
      </c>
      <c r="B62" s="323"/>
      <c r="C62" s="437"/>
      <c r="D62" s="422" t="str">
        <f>IF(U20List[[#This Row],[First &amp; Last Name]]="","",IFERROR(ISNUMBER(MATCH(U20List[[#This Row],[First &amp; Last Name]],Players[Player Name],0)),FALSE))</f>
        <v/>
      </c>
      <c r="E62" s="422" t="b">
        <f>IF(U20List[[#This Row],[FISTF Code]]="",FALSE,IFERROR(ISNUMBER(MATCH(U20List[[#This Row],[FISTF Code]],Players[FISTF Code],0)),FALSE))</f>
        <v>0</v>
      </c>
      <c r="F62" s="420" t="str">
        <f>IF(AND(U20List[[#This Row],[First &amp; Last Name]]="",U20List[[#This Row],[FISTF Code]]=""),"",IF(U20List[[#This Row],[Valide Code ?]],INDEX(Players[Player Name],MATCH(U20List[[#This Row],[FISTF Code]],Players[FISTF Code],0)),U20List[[#This Row],[First &amp; Last Name]]))</f>
        <v/>
      </c>
      <c r="G62" s="233" t="str">
        <f>IF(U20List[[#This Row],[Retained Player Name]]="","",VLOOKUP(U20List[[#This Row],[Retained Player Name]],Players[],7,FALSE))</f>
        <v/>
      </c>
      <c r="H62" s="235" t="str">
        <f>IF(U20List[[#This Row],[Retained Player Name]]="","",VLOOKUP(U20List[[#This Row],[Retained Player Name]],Players[],6,FALSE))</f>
        <v/>
      </c>
      <c r="I62" s="235" t="str">
        <f>IF(U20List[[#This Row],[Retained Player Name]]="","",VLOOKUP(U20List[[#This Row],[Retained Player Name]],Players[],4,FALSE))</f>
        <v/>
      </c>
      <c r="J6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2" s="231"/>
      <c r="L62" s="231"/>
      <c r="M62" s="7"/>
    </row>
    <row r="63" spans="1:13" s="8" customFormat="1" ht="12.75" customHeight="1" x14ac:dyDescent="0.2">
      <c r="A63" s="322" t="str">
        <f>IF(AND(U20List[[#This Row],[First &amp; Last Name]]="",U20List[[#This Row],[FISTF Code]]=""),"",ROW()-ROW($A$11))</f>
        <v/>
      </c>
      <c r="B63" s="323"/>
      <c r="C63" s="437"/>
      <c r="D63" s="422" t="str">
        <f>IF(U20List[[#This Row],[First &amp; Last Name]]="","",IFERROR(ISNUMBER(MATCH(U20List[[#This Row],[First &amp; Last Name]],Players[Player Name],0)),FALSE))</f>
        <v/>
      </c>
      <c r="E63" s="422" t="b">
        <f>IF(U20List[[#This Row],[FISTF Code]]="",FALSE,IFERROR(ISNUMBER(MATCH(U20List[[#This Row],[FISTF Code]],Players[FISTF Code],0)),FALSE))</f>
        <v>0</v>
      </c>
      <c r="F63" s="420" t="str">
        <f>IF(AND(U20List[[#This Row],[First &amp; Last Name]]="",U20List[[#This Row],[FISTF Code]]=""),"",IF(U20List[[#This Row],[Valide Code ?]],INDEX(Players[Player Name],MATCH(U20List[[#This Row],[FISTF Code]],Players[FISTF Code],0)),U20List[[#This Row],[First &amp; Last Name]]))</f>
        <v/>
      </c>
      <c r="G63" s="233" t="str">
        <f>IF(U20List[[#This Row],[Retained Player Name]]="","",VLOOKUP(U20List[[#This Row],[Retained Player Name]],Players[],7,FALSE))</f>
        <v/>
      </c>
      <c r="H63" s="235" t="str">
        <f>IF(U20List[[#This Row],[Retained Player Name]]="","",VLOOKUP(U20List[[#This Row],[Retained Player Name]],Players[],6,FALSE))</f>
        <v/>
      </c>
      <c r="I63" s="235" t="str">
        <f>IF(U20List[[#This Row],[Retained Player Name]]="","",VLOOKUP(U20List[[#This Row],[Retained Player Name]],Players[],4,FALSE))</f>
        <v/>
      </c>
      <c r="J6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3" s="231"/>
      <c r="L63" s="231"/>
      <c r="M63" s="7"/>
    </row>
    <row r="64" spans="1:13" s="8" customFormat="1" ht="12.75" customHeight="1" x14ac:dyDescent="0.2">
      <c r="A64" s="322" t="str">
        <f>IF(AND(U20List[[#This Row],[First &amp; Last Name]]="",U20List[[#This Row],[FISTF Code]]=""),"",ROW()-ROW($A$11))</f>
        <v/>
      </c>
      <c r="B64" s="323"/>
      <c r="C64" s="437"/>
      <c r="D64" s="422" t="str">
        <f>IF(U20List[[#This Row],[First &amp; Last Name]]="","",IFERROR(ISNUMBER(MATCH(U20List[[#This Row],[First &amp; Last Name]],Players[Player Name],0)),FALSE))</f>
        <v/>
      </c>
      <c r="E64" s="422" t="b">
        <f>IF(U20List[[#This Row],[FISTF Code]]="",FALSE,IFERROR(ISNUMBER(MATCH(U20List[[#This Row],[FISTF Code]],Players[FISTF Code],0)),FALSE))</f>
        <v>0</v>
      </c>
      <c r="F64" s="420" t="str">
        <f>IF(AND(U20List[[#This Row],[First &amp; Last Name]]="",U20List[[#This Row],[FISTF Code]]=""),"",IF(U20List[[#This Row],[Valide Code ?]],INDEX(Players[Player Name],MATCH(U20List[[#This Row],[FISTF Code]],Players[FISTF Code],0)),U20List[[#This Row],[First &amp; Last Name]]))</f>
        <v/>
      </c>
      <c r="G64" s="233" t="str">
        <f>IF(U20List[[#This Row],[Retained Player Name]]="","",VLOOKUP(U20List[[#This Row],[Retained Player Name]],Players[],7,FALSE))</f>
        <v/>
      </c>
      <c r="H64" s="235" t="str">
        <f>IF(U20List[[#This Row],[Retained Player Name]]="","",VLOOKUP(U20List[[#This Row],[Retained Player Name]],Players[],6,FALSE))</f>
        <v/>
      </c>
      <c r="I64" s="235" t="str">
        <f>IF(U20List[[#This Row],[Retained Player Name]]="","",VLOOKUP(U20List[[#This Row],[Retained Player Name]],Players[],4,FALSE))</f>
        <v/>
      </c>
      <c r="J6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4" s="231"/>
      <c r="L64" s="231"/>
      <c r="M64" s="7"/>
    </row>
    <row r="65" spans="1:13" s="8" customFormat="1" ht="12.75" customHeight="1" x14ac:dyDescent="0.2">
      <c r="A65" s="322" t="str">
        <f>IF(AND(U20List[[#This Row],[First &amp; Last Name]]="",U20List[[#This Row],[FISTF Code]]=""),"",ROW()-ROW($A$11))</f>
        <v/>
      </c>
      <c r="B65" s="323"/>
      <c r="C65" s="437"/>
      <c r="D65" s="422" t="str">
        <f>IF(U20List[[#This Row],[First &amp; Last Name]]="","",IFERROR(ISNUMBER(MATCH(U20List[[#This Row],[First &amp; Last Name]],Players[Player Name],0)),FALSE))</f>
        <v/>
      </c>
      <c r="E65" s="422" t="b">
        <f>IF(U20List[[#This Row],[FISTF Code]]="",FALSE,IFERROR(ISNUMBER(MATCH(U20List[[#This Row],[FISTF Code]],Players[FISTF Code],0)),FALSE))</f>
        <v>0</v>
      </c>
      <c r="F65" s="420" t="str">
        <f>IF(AND(U20List[[#This Row],[First &amp; Last Name]]="",U20List[[#This Row],[FISTF Code]]=""),"",IF(U20List[[#This Row],[Valide Code ?]],INDEX(Players[Player Name],MATCH(U20List[[#This Row],[FISTF Code]],Players[FISTF Code],0)),U20List[[#This Row],[First &amp; Last Name]]))</f>
        <v/>
      </c>
      <c r="G65" s="233" t="str">
        <f>IF(U20List[[#This Row],[Retained Player Name]]="","",VLOOKUP(U20List[[#This Row],[Retained Player Name]],Players[],7,FALSE))</f>
        <v/>
      </c>
      <c r="H65" s="235" t="str">
        <f>IF(U20List[[#This Row],[Retained Player Name]]="","",VLOOKUP(U20List[[#This Row],[Retained Player Name]],Players[],6,FALSE))</f>
        <v/>
      </c>
      <c r="I65" s="235" t="str">
        <f>IF(U20List[[#This Row],[Retained Player Name]]="","",VLOOKUP(U20List[[#This Row],[Retained Player Name]],Players[],4,FALSE))</f>
        <v/>
      </c>
      <c r="J6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5" s="231"/>
      <c r="L65" s="231"/>
      <c r="M65" s="7"/>
    </row>
    <row r="66" spans="1:13" s="8" customFormat="1" ht="12.75" customHeight="1" x14ac:dyDescent="0.2">
      <c r="A66" s="322" t="str">
        <f>IF(AND(U20List[[#This Row],[First &amp; Last Name]]="",U20List[[#This Row],[FISTF Code]]=""),"",ROW()-ROW($A$11))</f>
        <v/>
      </c>
      <c r="B66" s="323"/>
      <c r="C66" s="437"/>
      <c r="D66" s="422" t="str">
        <f>IF(U20List[[#This Row],[First &amp; Last Name]]="","",IFERROR(ISNUMBER(MATCH(U20List[[#This Row],[First &amp; Last Name]],Players[Player Name],0)),FALSE))</f>
        <v/>
      </c>
      <c r="E66" s="422" t="b">
        <f>IF(U20List[[#This Row],[FISTF Code]]="",FALSE,IFERROR(ISNUMBER(MATCH(U20List[[#This Row],[FISTF Code]],Players[FISTF Code],0)),FALSE))</f>
        <v>0</v>
      </c>
      <c r="F66" s="420" t="str">
        <f>IF(AND(U20List[[#This Row],[First &amp; Last Name]]="",U20List[[#This Row],[FISTF Code]]=""),"",IF(U20List[[#This Row],[Valide Code ?]],INDEX(Players[Player Name],MATCH(U20List[[#This Row],[FISTF Code]],Players[FISTF Code],0)),U20List[[#This Row],[First &amp; Last Name]]))</f>
        <v/>
      </c>
      <c r="G66" s="233" t="str">
        <f>IF(U20List[[#This Row],[Retained Player Name]]="","",VLOOKUP(U20List[[#This Row],[Retained Player Name]],Players[],7,FALSE))</f>
        <v/>
      </c>
      <c r="H66" s="235" t="str">
        <f>IF(U20List[[#This Row],[Retained Player Name]]="","",VLOOKUP(U20List[[#This Row],[Retained Player Name]],Players[],6,FALSE))</f>
        <v/>
      </c>
      <c r="I66" s="235" t="str">
        <f>IF(U20List[[#This Row],[Retained Player Name]]="","",VLOOKUP(U20List[[#This Row],[Retained Player Name]],Players[],4,FALSE))</f>
        <v/>
      </c>
      <c r="J6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6" s="231"/>
      <c r="L66" s="231"/>
      <c r="M66" s="7"/>
    </row>
    <row r="67" spans="1:13" s="8" customFormat="1" x14ac:dyDescent="0.2">
      <c r="A67" s="322" t="str">
        <f>IF(AND(U20List[[#This Row],[First &amp; Last Name]]="",U20List[[#This Row],[FISTF Code]]=""),"",ROW()-ROW($A$11))</f>
        <v/>
      </c>
      <c r="B67" s="323"/>
      <c r="C67" s="437"/>
      <c r="D67" s="422" t="str">
        <f>IF(U20List[[#This Row],[First &amp; Last Name]]="","",IFERROR(ISNUMBER(MATCH(U20List[[#This Row],[First &amp; Last Name]],Players[Player Name],0)),FALSE))</f>
        <v/>
      </c>
      <c r="E67" s="422" t="b">
        <f>IF(U20List[[#This Row],[FISTF Code]]="",FALSE,IFERROR(ISNUMBER(MATCH(U20List[[#This Row],[FISTF Code]],Players[FISTF Code],0)),FALSE))</f>
        <v>0</v>
      </c>
      <c r="F67" s="420" t="str">
        <f>IF(AND(U20List[[#This Row],[First &amp; Last Name]]="",U20List[[#This Row],[FISTF Code]]=""),"",IF(U20List[[#This Row],[Valide Code ?]],INDEX(Players[Player Name],MATCH(U20List[[#This Row],[FISTF Code]],Players[FISTF Code],0)),U20List[[#This Row],[First &amp; Last Name]]))</f>
        <v/>
      </c>
      <c r="G67" s="233" t="str">
        <f>IF(U20List[[#This Row],[Retained Player Name]]="","",VLOOKUP(U20List[[#This Row],[Retained Player Name]],Players[],7,FALSE))</f>
        <v/>
      </c>
      <c r="H67" s="235" t="str">
        <f>IF(U20List[[#This Row],[Retained Player Name]]="","",VLOOKUP(U20List[[#This Row],[Retained Player Name]],Players[],6,FALSE))</f>
        <v/>
      </c>
      <c r="I67" s="235" t="str">
        <f>IF(U20List[[#This Row],[Retained Player Name]]="","",VLOOKUP(U20List[[#This Row],[Retained Player Name]],Players[],4,FALSE))</f>
        <v/>
      </c>
      <c r="J6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7" s="231"/>
      <c r="L67" s="231"/>
      <c r="M67" s="7"/>
    </row>
    <row r="68" spans="1:13" s="8" customFormat="1" x14ac:dyDescent="0.2">
      <c r="A68" s="322" t="str">
        <f>IF(AND(U20List[[#This Row],[First &amp; Last Name]]="",U20List[[#This Row],[FISTF Code]]=""),"",ROW()-ROW($A$11))</f>
        <v/>
      </c>
      <c r="B68" s="323"/>
      <c r="C68" s="437"/>
      <c r="D68" s="422" t="str">
        <f>IF(U20List[[#This Row],[First &amp; Last Name]]="","",IFERROR(ISNUMBER(MATCH(U20List[[#This Row],[First &amp; Last Name]],Players[Player Name],0)),FALSE))</f>
        <v/>
      </c>
      <c r="E68" s="422" t="b">
        <f>IF(U20List[[#This Row],[FISTF Code]]="",FALSE,IFERROR(ISNUMBER(MATCH(U20List[[#This Row],[FISTF Code]],Players[FISTF Code],0)),FALSE))</f>
        <v>0</v>
      </c>
      <c r="F68" s="420" t="str">
        <f>IF(AND(U20List[[#This Row],[First &amp; Last Name]]="",U20List[[#This Row],[FISTF Code]]=""),"",IF(U20List[[#This Row],[Valide Code ?]],INDEX(Players[Player Name],MATCH(U20List[[#This Row],[FISTF Code]],Players[FISTF Code],0)),U20List[[#This Row],[First &amp; Last Name]]))</f>
        <v/>
      </c>
      <c r="G68" s="233" t="str">
        <f>IF(U20List[[#This Row],[Retained Player Name]]="","",VLOOKUP(U20List[[#This Row],[Retained Player Name]],Players[],7,FALSE))</f>
        <v/>
      </c>
      <c r="H68" s="235" t="str">
        <f>IF(U20List[[#This Row],[Retained Player Name]]="","",VLOOKUP(U20List[[#This Row],[Retained Player Name]],Players[],6,FALSE))</f>
        <v/>
      </c>
      <c r="I68" s="235" t="str">
        <f>IF(U20List[[#This Row],[Retained Player Name]]="","",VLOOKUP(U20List[[#This Row],[Retained Player Name]],Players[],4,FALSE))</f>
        <v/>
      </c>
      <c r="J6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8" s="231"/>
      <c r="L68" s="231"/>
      <c r="M68" s="7"/>
    </row>
    <row r="69" spans="1:13" s="8" customFormat="1" x14ac:dyDescent="0.2">
      <c r="A69" s="322" t="str">
        <f>IF(AND(U20List[[#This Row],[First &amp; Last Name]]="",U20List[[#This Row],[FISTF Code]]=""),"",ROW()-ROW($A$11))</f>
        <v/>
      </c>
      <c r="B69" s="323"/>
      <c r="C69" s="437"/>
      <c r="D69" s="422" t="str">
        <f>IF(U20List[[#This Row],[First &amp; Last Name]]="","",IFERROR(ISNUMBER(MATCH(U20List[[#This Row],[First &amp; Last Name]],Players[Player Name],0)),FALSE))</f>
        <v/>
      </c>
      <c r="E69" s="422" t="b">
        <f>IF(U20List[[#This Row],[FISTF Code]]="",FALSE,IFERROR(ISNUMBER(MATCH(U20List[[#This Row],[FISTF Code]],Players[FISTF Code],0)),FALSE))</f>
        <v>0</v>
      </c>
      <c r="F69" s="420" t="str">
        <f>IF(AND(U20List[[#This Row],[First &amp; Last Name]]="",U20List[[#This Row],[FISTF Code]]=""),"",IF(U20List[[#This Row],[Valide Code ?]],INDEX(Players[Player Name],MATCH(U20List[[#This Row],[FISTF Code]],Players[FISTF Code],0)),U20List[[#This Row],[First &amp; Last Name]]))</f>
        <v/>
      </c>
      <c r="G69" s="233" t="str">
        <f>IF(U20List[[#This Row],[Retained Player Name]]="","",VLOOKUP(U20List[[#This Row],[Retained Player Name]],Players[],7,FALSE))</f>
        <v/>
      </c>
      <c r="H69" s="235" t="str">
        <f>IF(U20List[[#This Row],[Retained Player Name]]="","",VLOOKUP(U20List[[#This Row],[Retained Player Name]],Players[],6,FALSE))</f>
        <v/>
      </c>
      <c r="I69" s="235" t="str">
        <f>IF(U20List[[#This Row],[Retained Player Name]]="","",VLOOKUP(U20List[[#This Row],[Retained Player Name]],Players[],4,FALSE))</f>
        <v/>
      </c>
      <c r="J6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9" s="231"/>
      <c r="L69" s="231"/>
      <c r="M69" s="7"/>
    </row>
    <row r="70" spans="1:13" s="8" customFormat="1" x14ac:dyDescent="0.2">
      <c r="A70" s="322" t="str">
        <f>IF(AND(U20List[[#This Row],[First &amp; Last Name]]="",U20List[[#This Row],[FISTF Code]]=""),"",ROW()-ROW($A$11))</f>
        <v/>
      </c>
      <c r="B70" s="323"/>
      <c r="C70" s="437"/>
      <c r="D70" s="422" t="str">
        <f>IF(U20List[[#This Row],[First &amp; Last Name]]="","",IFERROR(ISNUMBER(MATCH(U20List[[#This Row],[First &amp; Last Name]],Players[Player Name],0)),FALSE))</f>
        <v/>
      </c>
      <c r="E70" s="422" t="b">
        <f>IF(U20List[[#This Row],[FISTF Code]]="",FALSE,IFERROR(ISNUMBER(MATCH(U20List[[#This Row],[FISTF Code]],Players[FISTF Code],0)),FALSE))</f>
        <v>0</v>
      </c>
      <c r="F70" s="420" t="str">
        <f>IF(AND(U20List[[#This Row],[First &amp; Last Name]]="",U20List[[#This Row],[FISTF Code]]=""),"",IF(U20List[[#This Row],[Valide Code ?]],INDEX(Players[Player Name],MATCH(U20List[[#This Row],[FISTF Code]],Players[FISTF Code],0)),U20List[[#This Row],[First &amp; Last Name]]))</f>
        <v/>
      </c>
      <c r="G70" s="233" t="str">
        <f>IF(U20List[[#This Row],[Retained Player Name]]="","",VLOOKUP(U20List[[#This Row],[Retained Player Name]],Players[],7,FALSE))</f>
        <v/>
      </c>
      <c r="H70" s="235" t="str">
        <f>IF(U20List[[#This Row],[Retained Player Name]]="","",VLOOKUP(U20List[[#This Row],[Retained Player Name]],Players[],6,FALSE))</f>
        <v/>
      </c>
      <c r="I70" s="235" t="str">
        <f>IF(U20List[[#This Row],[Retained Player Name]]="","",VLOOKUP(U20List[[#This Row],[Retained Player Name]],Players[],4,FALSE))</f>
        <v/>
      </c>
      <c r="J7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0" s="231"/>
      <c r="L70" s="231"/>
      <c r="M70" s="7"/>
    </row>
    <row r="71" spans="1:13" s="8" customFormat="1" x14ac:dyDescent="0.2">
      <c r="A71" s="322" t="str">
        <f>IF(AND(U20List[[#This Row],[First &amp; Last Name]]="",U20List[[#This Row],[FISTF Code]]=""),"",ROW()-ROW($A$11))</f>
        <v/>
      </c>
      <c r="B71" s="323"/>
      <c r="C71" s="437"/>
      <c r="D71" s="422" t="str">
        <f>IF(U20List[[#This Row],[First &amp; Last Name]]="","",IFERROR(ISNUMBER(MATCH(U20List[[#This Row],[First &amp; Last Name]],Players[Player Name],0)),FALSE))</f>
        <v/>
      </c>
      <c r="E71" s="422" t="b">
        <f>IF(U20List[[#This Row],[FISTF Code]]="",FALSE,IFERROR(ISNUMBER(MATCH(U20List[[#This Row],[FISTF Code]],Players[FISTF Code],0)),FALSE))</f>
        <v>0</v>
      </c>
      <c r="F71" s="420" t="str">
        <f>IF(AND(U20List[[#This Row],[First &amp; Last Name]]="",U20List[[#This Row],[FISTF Code]]=""),"",IF(U20List[[#This Row],[Valide Code ?]],INDEX(Players[Player Name],MATCH(U20List[[#This Row],[FISTF Code]],Players[FISTF Code],0)),U20List[[#This Row],[First &amp; Last Name]]))</f>
        <v/>
      </c>
      <c r="G71" s="233" t="str">
        <f>IF(U20List[[#This Row],[Retained Player Name]]="","",VLOOKUP(U20List[[#This Row],[Retained Player Name]],Players[],7,FALSE))</f>
        <v/>
      </c>
      <c r="H71" s="235" t="str">
        <f>IF(U20List[[#This Row],[Retained Player Name]]="","",VLOOKUP(U20List[[#This Row],[Retained Player Name]],Players[],6,FALSE))</f>
        <v/>
      </c>
      <c r="I71" s="235" t="str">
        <f>IF(U20List[[#This Row],[Retained Player Name]]="","",VLOOKUP(U20List[[#This Row],[Retained Player Name]],Players[],4,FALSE))</f>
        <v/>
      </c>
      <c r="J7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1" s="231"/>
      <c r="L71" s="231"/>
      <c r="M71" s="7"/>
    </row>
    <row r="72" spans="1:13" s="8" customFormat="1" x14ac:dyDescent="0.2">
      <c r="A72" s="322" t="str">
        <f>IF(AND(U20List[[#This Row],[First &amp; Last Name]]="",U20List[[#This Row],[FISTF Code]]=""),"",ROW()-ROW($A$11))</f>
        <v/>
      </c>
      <c r="B72" s="323"/>
      <c r="C72" s="437"/>
      <c r="D72" s="422" t="str">
        <f>IF(U20List[[#This Row],[First &amp; Last Name]]="","",IFERROR(ISNUMBER(MATCH(U20List[[#This Row],[First &amp; Last Name]],Players[Player Name],0)),FALSE))</f>
        <v/>
      </c>
      <c r="E72" s="422" t="b">
        <f>IF(U20List[[#This Row],[FISTF Code]]="",FALSE,IFERROR(ISNUMBER(MATCH(U20List[[#This Row],[FISTF Code]],Players[FISTF Code],0)),FALSE))</f>
        <v>0</v>
      </c>
      <c r="F72" s="420" t="str">
        <f>IF(AND(U20List[[#This Row],[First &amp; Last Name]]="",U20List[[#This Row],[FISTF Code]]=""),"",IF(U20List[[#This Row],[Valide Code ?]],INDEX(Players[Player Name],MATCH(U20List[[#This Row],[FISTF Code]],Players[FISTF Code],0)),U20List[[#This Row],[First &amp; Last Name]]))</f>
        <v/>
      </c>
      <c r="G72" s="233" t="str">
        <f>IF(U20List[[#This Row],[Retained Player Name]]="","",VLOOKUP(U20List[[#This Row],[Retained Player Name]],Players[],7,FALSE))</f>
        <v/>
      </c>
      <c r="H72" s="235" t="str">
        <f>IF(U20List[[#This Row],[Retained Player Name]]="","",VLOOKUP(U20List[[#This Row],[Retained Player Name]],Players[],6,FALSE))</f>
        <v/>
      </c>
      <c r="I72" s="235" t="str">
        <f>IF(U20List[[#This Row],[Retained Player Name]]="","",VLOOKUP(U20List[[#This Row],[Retained Player Name]],Players[],4,FALSE))</f>
        <v/>
      </c>
      <c r="J7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2" s="231"/>
      <c r="L72" s="231"/>
      <c r="M72" s="7"/>
    </row>
    <row r="73" spans="1:13" s="8" customFormat="1" x14ac:dyDescent="0.2">
      <c r="A73" s="322" t="str">
        <f>IF(AND(U20List[[#This Row],[First &amp; Last Name]]="",U20List[[#This Row],[FISTF Code]]=""),"",ROW()-ROW($A$11))</f>
        <v/>
      </c>
      <c r="B73" s="323"/>
      <c r="C73" s="437"/>
      <c r="D73" s="422" t="str">
        <f>IF(U20List[[#This Row],[First &amp; Last Name]]="","",IFERROR(ISNUMBER(MATCH(U20List[[#This Row],[First &amp; Last Name]],Players[Player Name],0)),FALSE))</f>
        <v/>
      </c>
      <c r="E73" s="422" t="b">
        <f>IF(U20List[[#This Row],[FISTF Code]]="",FALSE,IFERROR(ISNUMBER(MATCH(U20List[[#This Row],[FISTF Code]],Players[FISTF Code],0)),FALSE))</f>
        <v>0</v>
      </c>
      <c r="F73" s="420" t="str">
        <f>IF(AND(U20List[[#This Row],[First &amp; Last Name]]="",U20List[[#This Row],[FISTF Code]]=""),"",IF(U20List[[#This Row],[Valide Code ?]],INDEX(Players[Player Name],MATCH(U20List[[#This Row],[FISTF Code]],Players[FISTF Code],0)),U20List[[#This Row],[First &amp; Last Name]]))</f>
        <v/>
      </c>
      <c r="G73" s="233" t="str">
        <f>IF(U20List[[#This Row],[Retained Player Name]]="","",VLOOKUP(U20List[[#This Row],[Retained Player Name]],Players[],7,FALSE))</f>
        <v/>
      </c>
      <c r="H73" s="235" t="str">
        <f>IF(U20List[[#This Row],[Retained Player Name]]="","",VLOOKUP(U20List[[#This Row],[Retained Player Name]],Players[],6,FALSE))</f>
        <v/>
      </c>
      <c r="I73" s="235" t="str">
        <f>IF(U20List[[#This Row],[Retained Player Name]]="","",VLOOKUP(U20List[[#This Row],[Retained Player Name]],Players[],4,FALSE))</f>
        <v/>
      </c>
      <c r="J7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3" s="231"/>
      <c r="L73" s="231"/>
      <c r="M73" s="7"/>
    </row>
    <row r="74" spans="1:13" s="8" customFormat="1" x14ac:dyDescent="0.2">
      <c r="A74" s="322" t="str">
        <f>IF(AND(U20List[[#This Row],[First &amp; Last Name]]="",U20List[[#This Row],[FISTF Code]]=""),"",ROW()-ROW($A$11))</f>
        <v/>
      </c>
      <c r="B74" s="323"/>
      <c r="C74" s="437"/>
      <c r="D74" s="422" t="str">
        <f>IF(U20List[[#This Row],[First &amp; Last Name]]="","",IFERROR(ISNUMBER(MATCH(U20List[[#This Row],[First &amp; Last Name]],Players[Player Name],0)),FALSE))</f>
        <v/>
      </c>
      <c r="E74" s="422" t="b">
        <f>IF(U20List[[#This Row],[FISTF Code]]="",FALSE,IFERROR(ISNUMBER(MATCH(U20List[[#This Row],[FISTF Code]],Players[FISTF Code],0)),FALSE))</f>
        <v>0</v>
      </c>
      <c r="F74" s="420" t="str">
        <f>IF(AND(U20List[[#This Row],[First &amp; Last Name]]="",U20List[[#This Row],[FISTF Code]]=""),"",IF(U20List[[#This Row],[Valide Code ?]],INDEX(Players[Player Name],MATCH(U20List[[#This Row],[FISTF Code]],Players[FISTF Code],0)),U20List[[#This Row],[First &amp; Last Name]]))</f>
        <v/>
      </c>
      <c r="G74" s="233" t="str">
        <f>IF(U20List[[#This Row],[Retained Player Name]]="","",VLOOKUP(U20List[[#This Row],[Retained Player Name]],Players[],7,FALSE))</f>
        <v/>
      </c>
      <c r="H74" s="235" t="str">
        <f>IF(U20List[[#This Row],[Retained Player Name]]="","",VLOOKUP(U20List[[#This Row],[Retained Player Name]],Players[],6,FALSE))</f>
        <v/>
      </c>
      <c r="I74" s="235" t="str">
        <f>IF(U20List[[#This Row],[Retained Player Name]]="","",VLOOKUP(U20List[[#This Row],[Retained Player Name]],Players[],4,FALSE))</f>
        <v/>
      </c>
      <c r="J7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4" s="231"/>
      <c r="L74" s="231"/>
      <c r="M74" s="7"/>
    </row>
    <row r="75" spans="1:13" s="8" customFormat="1" x14ac:dyDescent="0.2">
      <c r="A75" s="322" t="str">
        <f>IF(AND(U20List[[#This Row],[First &amp; Last Name]]="",U20List[[#This Row],[FISTF Code]]=""),"",ROW()-ROW($A$11))</f>
        <v/>
      </c>
      <c r="B75" s="323"/>
      <c r="C75" s="437"/>
      <c r="D75" s="422" t="str">
        <f>IF(U20List[[#This Row],[First &amp; Last Name]]="","",IFERROR(ISNUMBER(MATCH(U20List[[#This Row],[First &amp; Last Name]],Players[Player Name],0)),FALSE))</f>
        <v/>
      </c>
      <c r="E75" s="422" t="b">
        <f>IF(U20List[[#This Row],[FISTF Code]]="",FALSE,IFERROR(ISNUMBER(MATCH(U20List[[#This Row],[FISTF Code]],Players[FISTF Code],0)),FALSE))</f>
        <v>0</v>
      </c>
      <c r="F75" s="420" t="str">
        <f>IF(AND(U20List[[#This Row],[First &amp; Last Name]]="",U20List[[#This Row],[FISTF Code]]=""),"",IF(U20List[[#This Row],[Valide Code ?]],INDEX(Players[Player Name],MATCH(U20List[[#This Row],[FISTF Code]],Players[FISTF Code],0)),U20List[[#This Row],[First &amp; Last Name]]))</f>
        <v/>
      </c>
      <c r="G75" s="233" t="str">
        <f>IF(U20List[[#This Row],[Retained Player Name]]="","",VLOOKUP(U20List[[#This Row],[Retained Player Name]],Players[],7,FALSE))</f>
        <v/>
      </c>
      <c r="H75" s="235" t="str">
        <f>IF(U20List[[#This Row],[Retained Player Name]]="","",VLOOKUP(U20List[[#This Row],[Retained Player Name]],Players[],6,FALSE))</f>
        <v/>
      </c>
      <c r="I75" s="235" t="str">
        <f>IF(U20List[[#This Row],[Retained Player Name]]="","",VLOOKUP(U20List[[#This Row],[Retained Player Name]],Players[],4,FALSE))</f>
        <v/>
      </c>
      <c r="J7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5" s="231"/>
      <c r="L75" s="231"/>
      <c r="M75" s="7"/>
    </row>
    <row r="76" spans="1:13" s="8" customFormat="1" x14ac:dyDescent="0.2">
      <c r="A76" s="322" t="str">
        <f>IF(AND(U20List[[#This Row],[First &amp; Last Name]]="",U20List[[#This Row],[FISTF Code]]=""),"",ROW()-ROW($A$11))</f>
        <v/>
      </c>
      <c r="B76" s="323"/>
      <c r="C76" s="437"/>
      <c r="D76" s="422" t="str">
        <f>IF(U20List[[#This Row],[First &amp; Last Name]]="","",IFERROR(ISNUMBER(MATCH(U20List[[#This Row],[First &amp; Last Name]],Players[Player Name],0)),FALSE))</f>
        <v/>
      </c>
      <c r="E76" s="422" t="b">
        <f>IF(U20List[[#This Row],[FISTF Code]]="",FALSE,IFERROR(ISNUMBER(MATCH(U20List[[#This Row],[FISTF Code]],Players[FISTF Code],0)),FALSE))</f>
        <v>0</v>
      </c>
      <c r="F76" s="420" t="str">
        <f>IF(AND(U20List[[#This Row],[First &amp; Last Name]]="",U20List[[#This Row],[FISTF Code]]=""),"",IF(U20List[[#This Row],[Valide Code ?]],INDEX(Players[Player Name],MATCH(U20List[[#This Row],[FISTF Code]],Players[FISTF Code],0)),U20List[[#This Row],[First &amp; Last Name]]))</f>
        <v/>
      </c>
      <c r="G76" s="233" t="str">
        <f>IF(U20List[[#This Row],[Retained Player Name]]="","",VLOOKUP(U20List[[#This Row],[Retained Player Name]],Players[],7,FALSE))</f>
        <v/>
      </c>
      <c r="H76" s="235" t="str">
        <f>IF(U20List[[#This Row],[Retained Player Name]]="","",VLOOKUP(U20List[[#This Row],[Retained Player Name]],Players[],6,FALSE))</f>
        <v/>
      </c>
      <c r="I76" s="235" t="str">
        <f>IF(U20List[[#This Row],[Retained Player Name]]="","",VLOOKUP(U20List[[#This Row],[Retained Player Name]],Players[],4,FALSE))</f>
        <v/>
      </c>
      <c r="J7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6" s="231"/>
      <c r="L76" s="231"/>
      <c r="M76" s="7"/>
    </row>
    <row r="77" spans="1:13" s="8" customFormat="1" x14ac:dyDescent="0.2">
      <c r="A77" s="322" t="str">
        <f>IF(AND(U20List[[#This Row],[First &amp; Last Name]]="",U20List[[#This Row],[FISTF Code]]=""),"",ROW()-ROW($A$11))</f>
        <v/>
      </c>
      <c r="B77" s="323"/>
      <c r="C77" s="437"/>
      <c r="D77" s="422" t="str">
        <f>IF(U20List[[#This Row],[First &amp; Last Name]]="","",IFERROR(ISNUMBER(MATCH(U20List[[#This Row],[First &amp; Last Name]],Players[Player Name],0)),FALSE))</f>
        <v/>
      </c>
      <c r="E77" s="422" t="b">
        <f>IF(U20List[[#This Row],[FISTF Code]]="",FALSE,IFERROR(ISNUMBER(MATCH(U20List[[#This Row],[FISTF Code]],Players[FISTF Code],0)),FALSE))</f>
        <v>0</v>
      </c>
      <c r="F77" s="420" t="str">
        <f>IF(AND(U20List[[#This Row],[First &amp; Last Name]]="",U20List[[#This Row],[FISTF Code]]=""),"",IF(U20List[[#This Row],[Valide Code ?]],INDEX(Players[Player Name],MATCH(U20List[[#This Row],[FISTF Code]],Players[FISTF Code],0)),U20List[[#This Row],[First &amp; Last Name]]))</f>
        <v/>
      </c>
      <c r="G77" s="233" t="str">
        <f>IF(U20List[[#This Row],[Retained Player Name]]="","",VLOOKUP(U20List[[#This Row],[Retained Player Name]],Players[],7,FALSE))</f>
        <v/>
      </c>
      <c r="H77" s="235" t="str">
        <f>IF(U20List[[#This Row],[Retained Player Name]]="","",VLOOKUP(U20List[[#This Row],[Retained Player Name]],Players[],6,FALSE))</f>
        <v/>
      </c>
      <c r="I77" s="235" t="str">
        <f>IF(U20List[[#This Row],[Retained Player Name]]="","",VLOOKUP(U20List[[#This Row],[Retained Player Name]],Players[],4,FALSE))</f>
        <v/>
      </c>
      <c r="J7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7" s="231"/>
      <c r="L77" s="231"/>
      <c r="M77" s="7"/>
    </row>
    <row r="78" spans="1:13" s="8" customFormat="1" x14ac:dyDescent="0.2">
      <c r="A78" s="322" t="str">
        <f>IF(AND(U20List[[#This Row],[First &amp; Last Name]]="",U20List[[#This Row],[FISTF Code]]=""),"",ROW()-ROW($A$11))</f>
        <v/>
      </c>
      <c r="B78" s="323"/>
      <c r="C78" s="437"/>
      <c r="D78" s="422" t="str">
        <f>IF(U20List[[#This Row],[First &amp; Last Name]]="","",IFERROR(ISNUMBER(MATCH(U20List[[#This Row],[First &amp; Last Name]],Players[Player Name],0)),FALSE))</f>
        <v/>
      </c>
      <c r="E78" s="422" t="b">
        <f>IF(U20List[[#This Row],[FISTF Code]]="",FALSE,IFERROR(ISNUMBER(MATCH(U20List[[#This Row],[FISTF Code]],Players[FISTF Code],0)),FALSE))</f>
        <v>0</v>
      </c>
      <c r="F78" s="420" t="str">
        <f>IF(AND(U20List[[#This Row],[First &amp; Last Name]]="",U20List[[#This Row],[FISTF Code]]=""),"",IF(U20List[[#This Row],[Valide Code ?]],INDEX(Players[Player Name],MATCH(U20List[[#This Row],[FISTF Code]],Players[FISTF Code],0)),U20List[[#This Row],[First &amp; Last Name]]))</f>
        <v/>
      </c>
      <c r="G78" s="233" t="str">
        <f>IF(U20List[[#This Row],[Retained Player Name]]="","",VLOOKUP(U20List[[#This Row],[Retained Player Name]],Players[],7,FALSE))</f>
        <v/>
      </c>
      <c r="H78" s="235" t="str">
        <f>IF(U20List[[#This Row],[Retained Player Name]]="","",VLOOKUP(U20List[[#This Row],[Retained Player Name]],Players[],6,FALSE))</f>
        <v/>
      </c>
      <c r="I78" s="235" t="str">
        <f>IF(U20List[[#This Row],[Retained Player Name]]="","",VLOOKUP(U20List[[#This Row],[Retained Player Name]],Players[],4,FALSE))</f>
        <v/>
      </c>
      <c r="J7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8" s="231"/>
      <c r="L78" s="231"/>
      <c r="M78" s="7"/>
    </row>
    <row r="79" spans="1:13" s="8" customFormat="1" x14ac:dyDescent="0.2">
      <c r="A79" s="322" t="str">
        <f>IF(AND(U20List[[#This Row],[First &amp; Last Name]]="",U20List[[#This Row],[FISTF Code]]=""),"",ROW()-ROW($A$11))</f>
        <v/>
      </c>
      <c r="B79" s="323"/>
      <c r="C79" s="437"/>
      <c r="D79" s="422" t="str">
        <f>IF(U20List[[#This Row],[First &amp; Last Name]]="","",IFERROR(ISNUMBER(MATCH(U20List[[#This Row],[First &amp; Last Name]],Players[Player Name],0)),FALSE))</f>
        <v/>
      </c>
      <c r="E79" s="422" t="b">
        <f>IF(U20List[[#This Row],[FISTF Code]]="",FALSE,IFERROR(ISNUMBER(MATCH(U20List[[#This Row],[FISTF Code]],Players[FISTF Code],0)),FALSE))</f>
        <v>0</v>
      </c>
      <c r="F79" s="420" t="str">
        <f>IF(AND(U20List[[#This Row],[First &amp; Last Name]]="",U20List[[#This Row],[FISTF Code]]=""),"",IF(U20List[[#This Row],[Valide Code ?]],INDEX(Players[Player Name],MATCH(U20List[[#This Row],[FISTF Code]],Players[FISTF Code],0)),U20List[[#This Row],[First &amp; Last Name]]))</f>
        <v/>
      </c>
      <c r="G79" s="233" t="str">
        <f>IF(U20List[[#This Row],[Retained Player Name]]="","",VLOOKUP(U20List[[#This Row],[Retained Player Name]],Players[],7,FALSE))</f>
        <v/>
      </c>
      <c r="H79" s="235" t="str">
        <f>IF(U20List[[#This Row],[Retained Player Name]]="","",VLOOKUP(U20List[[#This Row],[Retained Player Name]],Players[],6,FALSE))</f>
        <v/>
      </c>
      <c r="I79" s="235" t="str">
        <f>IF(U20List[[#This Row],[Retained Player Name]]="","",VLOOKUP(U20List[[#This Row],[Retained Player Name]],Players[],4,FALSE))</f>
        <v/>
      </c>
      <c r="J7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9" s="231"/>
      <c r="L79" s="231"/>
      <c r="M79" s="7"/>
    </row>
    <row r="80" spans="1:13" x14ac:dyDescent="0.2">
      <c r="A80" s="322" t="str">
        <f>IF(AND(U20List[[#This Row],[First &amp; Last Name]]="",U20List[[#This Row],[FISTF Code]]=""),"",ROW()-ROW($A$11))</f>
        <v/>
      </c>
      <c r="B80" s="323"/>
      <c r="C80" s="437"/>
      <c r="D80" s="422" t="str">
        <f>IF(U20List[[#This Row],[First &amp; Last Name]]="","",IFERROR(ISNUMBER(MATCH(U20List[[#This Row],[First &amp; Last Name]],Players[Player Name],0)),FALSE))</f>
        <v/>
      </c>
      <c r="E80" s="422" t="b">
        <f>IF(U20List[[#This Row],[FISTF Code]]="",FALSE,IFERROR(ISNUMBER(MATCH(U20List[[#This Row],[FISTF Code]],Players[FISTF Code],0)),FALSE))</f>
        <v>0</v>
      </c>
      <c r="F80" s="420" t="str">
        <f>IF(AND(U20List[[#This Row],[First &amp; Last Name]]="",U20List[[#This Row],[FISTF Code]]=""),"",IF(U20List[[#This Row],[Valide Code ?]],INDEX(Players[Player Name],MATCH(U20List[[#This Row],[FISTF Code]],Players[FISTF Code],0)),U20List[[#This Row],[First &amp; Last Name]]))</f>
        <v/>
      </c>
      <c r="G80" s="233" t="str">
        <f>IF(U20List[[#This Row],[Retained Player Name]]="","",VLOOKUP(U20List[[#This Row],[Retained Player Name]],Players[],7,FALSE))</f>
        <v/>
      </c>
      <c r="H80" s="235" t="str">
        <f>IF(U20List[[#This Row],[Retained Player Name]]="","",VLOOKUP(U20List[[#This Row],[Retained Player Name]],Players[],6,FALSE))</f>
        <v/>
      </c>
      <c r="I80" s="235" t="str">
        <f>IF(U20List[[#This Row],[Retained Player Name]]="","",VLOOKUP(U20List[[#This Row],[Retained Player Name]],Players[],4,FALSE))</f>
        <v/>
      </c>
      <c r="J8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0" s="231"/>
      <c r="L80" s="231"/>
    </row>
    <row r="81" spans="1:12" x14ac:dyDescent="0.2">
      <c r="A81" s="322" t="str">
        <f>IF(AND(U20List[[#This Row],[First &amp; Last Name]]="",U20List[[#This Row],[FISTF Code]]=""),"",ROW()-ROW($A$11))</f>
        <v/>
      </c>
      <c r="B81" s="323"/>
      <c r="C81" s="437"/>
      <c r="D81" s="422" t="str">
        <f>IF(U20List[[#This Row],[First &amp; Last Name]]="","",IFERROR(ISNUMBER(MATCH(U20List[[#This Row],[First &amp; Last Name]],Players[Player Name],0)),FALSE))</f>
        <v/>
      </c>
      <c r="E81" s="422" t="b">
        <f>IF(U20List[[#This Row],[FISTF Code]]="",FALSE,IFERROR(ISNUMBER(MATCH(U20List[[#This Row],[FISTF Code]],Players[FISTF Code],0)),FALSE))</f>
        <v>0</v>
      </c>
      <c r="F81" s="420" t="str">
        <f>IF(AND(U20List[[#This Row],[First &amp; Last Name]]="",U20List[[#This Row],[FISTF Code]]=""),"",IF(U20List[[#This Row],[Valide Code ?]],INDEX(Players[Player Name],MATCH(U20List[[#This Row],[FISTF Code]],Players[FISTF Code],0)),U20List[[#This Row],[First &amp; Last Name]]))</f>
        <v/>
      </c>
      <c r="G81" s="233" t="str">
        <f>IF(U20List[[#This Row],[Retained Player Name]]="","",VLOOKUP(U20List[[#This Row],[Retained Player Name]],Players[],7,FALSE))</f>
        <v/>
      </c>
      <c r="H81" s="235" t="str">
        <f>IF(U20List[[#This Row],[Retained Player Name]]="","",VLOOKUP(U20List[[#This Row],[Retained Player Name]],Players[],6,FALSE))</f>
        <v/>
      </c>
      <c r="I81" s="235" t="str">
        <f>IF(U20List[[#This Row],[Retained Player Name]]="","",VLOOKUP(U20List[[#This Row],[Retained Player Name]],Players[],4,FALSE))</f>
        <v/>
      </c>
      <c r="J8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1" s="231"/>
      <c r="L81" s="231"/>
    </row>
    <row r="82" spans="1:12" x14ac:dyDescent="0.2">
      <c r="A82" s="322" t="str">
        <f>IF(AND(U20List[[#This Row],[First &amp; Last Name]]="",U20List[[#This Row],[FISTF Code]]=""),"",ROW()-ROW($A$11))</f>
        <v/>
      </c>
      <c r="B82" s="323"/>
      <c r="C82" s="437"/>
      <c r="D82" s="422" t="str">
        <f>IF(U20List[[#This Row],[First &amp; Last Name]]="","",IFERROR(ISNUMBER(MATCH(U20List[[#This Row],[First &amp; Last Name]],Players[Player Name],0)),FALSE))</f>
        <v/>
      </c>
      <c r="E82" s="422" t="b">
        <f>IF(U20List[[#This Row],[FISTF Code]]="",FALSE,IFERROR(ISNUMBER(MATCH(U20List[[#This Row],[FISTF Code]],Players[FISTF Code],0)),FALSE))</f>
        <v>0</v>
      </c>
      <c r="F82" s="420" t="str">
        <f>IF(AND(U20List[[#This Row],[First &amp; Last Name]]="",U20List[[#This Row],[FISTF Code]]=""),"",IF(U20List[[#This Row],[Valide Code ?]],INDEX(Players[Player Name],MATCH(U20List[[#This Row],[FISTF Code]],Players[FISTF Code],0)),U20List[[#This Row],[First &amp; Last Name]]))</f>
        <v/>
      </c>
      <c r="G82" s="233" t="str">
        <f>IF(U20List[[#This Row],[Retained Player Name]]="","",VLOOKUP(U20List[[#This Row],[Retained Player Name]],Players[],7,FALSE))</f>
        <v/>
      </c>
      <c r="H82" s="235" t="str">
        <f>IF(U20List[[#This Row],[Retained Player Name]]="","",VLOOKUP(U20List[[#This Row],[Retained Player Name]],Players[],6,FALSE))</f>
        <v/>
      </c>
      <c r="I82" s="235" t="str">
        <f>IF(U20List[[#This Row],[Retained Player Name]]="","",VLOOKUP(U20List[[#This Row],[Retained Player Name]],Players[],4,FALSE))</f>
        <v/>
      </c>
      <c r="J8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2" s="231"/>
      <c r="L82" s="231"/>
    </row>
    <row r="83" spans="1:12" x14ac:dyDescent="0.2">
      <c r="A83" s="322" t="str">
        <f>IF(AND(U20List[[#This Row],[First &amp; Last Name]]="",U20List[[#This Row],[FISTF Code]]=""),"",ROW()-ROW($A$11))</f>
        <v/>
      </c>
      <c r="B83" s="323"/>
      <c r="C83" s="437"/>
      <c r="D83" s="422" t="str">
        <f>IF(U20List[[#This Row],[First &amp; Last Name]]="","",IFERROR(ISNUMBER(MATCH(U20List[[#This Row],[First &amp; Last Name]],Players[Player Name],0)),FALSE))</f>
        <v/>
      </c>
      <c r="E83" s="422" t="b">
        <f>IF(U20List[[#This Row],[FISTF Code]]="",FALSE,IFERROR(ISNUMBER(MATCH(U20List[[#This Row],[FISTF Code]],Players[FISTF Code],0)),FALSE))</f>
        <v>0</v>
      </c>
      <c r="F83" s="420" t="str">
        <f>IF(AND(U20List[[#This Row],[First &amp; Last Name]]="",U20List[[#This Row],[FISTF Code]]=""),"",IF(U20List[[#This Row],[Valide Code ?]],INDEX(Players[Player Name],MATCH(U20List[[#This Row],[FISTF Code]],Players[FISTF Code],0)),U20List[[#This Row],[First &amp; Last Name]]))</f>
        <v/>
      </c>
      <c r="G83" s="233" t="str">
        <f>IF(U20List[[#This Row],[Retained Player Name]]="","",VLOOKUP(U20List[[#This Row],[Retained Player Name]],Players[],7,FALSE))</f>
        <v/>
      </c>
      <c r="H83" s="235" t="str">
        <f>IF(U20List[[#This Row],[Retained Player Name]]="","",VLOOKUP(U20List[[#This Row],[Retained Player Name]],Players[],6,FALSE))</f>
        <v/>
      </c>
      <c r="I83" s="235" t="str">
        <f>IF(U20List[[#This Row],[Retained Player Name]]="","",VLOOKUP(U20List[[#This Row],[Retained Player Name]],Players[],4,FALSE))</f>
        <v/>
      </c>
      <c r="J8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3" s="231"/>
      <c r="L83" s="231"/>
    </row>
    <row r="84" spans="1:12" x14ac:dyDescent="0.2">
      <c r="A84" s="322" t="str">
        <f>IF(AND(U20List[[#This Row],[First &amp; Last Name]]="",U20List[[#This Row],[FISTF Code]]=""),"",ROW()-ROW($A$11))</f>
        <v/>
      </c>
      <c r="B84" s="323"/>
      <c r="C84" s="437"/>
      <c r="D84" s="422" t="str">
        <f>IF(U20List[[#This Row],[First &amp; Last Name]]="","",IFERROR(ISNUMBER(MATCH(U20List[[#This Row],[First &amp; Last Name]],Players[Player Name],0)),FALSE))</f>
        <v/>
      </c>
      <c r="E84" s="422" t="b">
        <f>IF(U20List[[#This Row],[FISTF Code]]="",FALSE,IFERROR(ISNUMBER(MATCH(U20List[[#This Row],[FISTF Code]],Players[FISTF Code],0)),FALSE))</f>
        <v>0</v>
      </c>
      <c r="F84" s="420" t="str">
        <f>IF(AND(U20List[[#This Row],[First &amp; Last Name]]="",U20List[[#This Row],[FISTF Code]]=""),"",IF(U20List[[#This Row],[Valide Code ?]],INDEX(Players[Player Name],MATCH(U20List[[#This Row],[FISTF Code]],Players[FISTF Code],0)),U20List[[#This Row],[First &amp; Last Name]]))</f>
        <v/>
      </c>
      <c r="G84" s="233" t="str">
        <f>IF(U20List[[#This Row],[Retained Player Name]]="","",VLOOKUP(U20List[[#This Row],[Retained Player Name]],Players[],7,FALSE))</f>
        <v/>
      </c>
      <c r="H84" s="235" t="str">
        <f>IF(U20List[[#This Row],[Retained Player Name]]="","",VLOOKUP(U20List[[#This Row],[Retained Player Name]],Players[],6,FALSE))</f>
        <v/>
      </c>
      <c r="I84" s="235" t="str">
        <f>IF(U20List[[#This Row],[Retained Player Name]]="","",VLOOKUP(U20List[[#This Row],[Retained Player Name]],Players[],4,FALSE))</f>
        <v/>
      </c>
      <c r="J8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4" s="231"/>
      <c r="L84" s="231"/>
    </row>
    <row r="85" spans="1:12" x14ac:dyDescent="0.2">
      <c r="A85" s="322" t="str">
        <f>IF(AND(U20List[[#This Row],[First &amp; Last Name]]="",U20List[[#This Row],[FISTF Code]]=""),"",ROW()-ROW($A$11))</f>
        <v/>
      </c>
      <c r="B85" s="323"/>
      <c r="C85" s="437"/>
      <c r="D85" s="422" t="str">
        <f>IF(U20List[[#This Row],[First &amp; Last Name]]="","",IFERROR(ISNUMBER(MATCH(U20List[[#This Row],[First &amp; Last Name]],Players[Player Name],0)),FALSE))</f>
        <v/>
      </c>
      <c r="E85" s="422" t="b">
        <f>IF(U20List[[#This Row],[FISTF Code]]="",FALSE,IFERROR(ISNUMBER(MATCH(U20List[[#This Row],[FISTF Code]],Players[FISTF Code],0)),FALSE))</f>
        <v>0</v>
      </c>
      <c r="F85" s="420" t="str">
        <f>IF(AND(U20List[[#This Row],[First &amp; Last Name]]="",U20List[[#This Row],[FISTF Code]]=""),"",IF(U20List[[#This Row],[Valide Code ?]],INDEX(Players[Player Name],MATCH(U20List[[#This Row],[FISTF Code]],Players[FISTF Code],0)),U20List[[#This Row],[First &amp; Last Name]]))</f>
        <v/>
      </c>
      <c r="G85" s="233" t="str">
        <f>IF(U20List[[#This Row],[Retained Player Name]]="","",VLOOKUP(U20List[[#This Row],[Retained Player Name]],Players[],7,FALSE))</f>
        <v/>
      </c>
      <c r="H85" s="235" t="str">
        <f>IF(U20List[[#This Row],[Retained Player Name]]="","",VLOOKUP(U20List[[#This Row],[Retained Player Name]],Players[],6,FALSE))</f>
        <v/>
      </c>
      <c r="I85" s="235" t="str">
        <f>IF(U20List[[#This Row],[Retained Player Name]]="","",VLOOKUP(U20List[[#This Row],[Retained Player Name]],Players[],4,FALSE))</f>
        <v/>
      </c>
      <c r="J8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5" s="231"/>
      <c r="L85" s="231"/>
    </row>
    <row r="86" spans="1:12" x14ac:dyDescent="0.2">
      <c r="A86" s="322" t="str">
        <f>IF(AND(U20List[[#This Row],[First &amp; Last Name]]="",U20List[[#This Row],[FISTF Code]]=""),"",ROW()-ROW($A$11))</f>
        <v/>
      </c>
      <c r="B86" s="323"/>
      <c r="C86" s="437"/>
      <c r="D86" s="422" t="str">
        <f>IF(U20List[[#This Row],[First &amp; Last Name]]="","",IFERROR(ISNUMBER(MATCH(U20List[[#This Row],[First &amp; Last Name]],Players[Player Name],0)),FALSE))</f>
        <v/>
      </c>
      <c r="E86" s="422" t="b">
        <f>IF(U20List[[#This Row],[FISTF Code]]="",FALSE,IFERROR(ISNUMBER(MATCH(U20List[[#This Row],[FISTF Code]],Players[FISTF Code],0)),FALSE))</f>
        <v>0</v>
      </c>
      <c r="F86" s="420" t="str">
        <f>IF(AND(U20List[[#This Row],[First &amp; Last Name]]="",U20List[[#This Row],[FISTF Code]]=""),"",IF(U20List[[#This Row],[Valide Code ?]],INDEX(Players[Player Name],MATCH(U20List[[#This Row],[FISTF Code]],Players[FISTF Code],0)),U20List[[#This Row],[First &amp; Last Name]]))</f>
        <v/>
      </c>
      <c r="G86" s="233" t="str">
        <f>IF(U20List[[#This Row],[Retained Player Name]]="","",VLOOKUP(U20List[[#This Row],[Retained Player Name]],Players[],7,FALSE))</f>
        <v/>
      </c>
      <c r="H86" s="235" t="str">
        <f>IF(U20List[[#This Row],[Retained Player Name]]="","",VLOOKUP(U20List[[#This Row],[Retained Player Name]],Players[],6,FALSE))</f>
        <v/>
      </c>
      <c r="I86" s="235" t="str">
        <f>IF(U20List[[#This Row],[Retained Player Name]]="","",VLOOKUP(U20List[[#This Row],[Retained Player Name]],Players[],4,FALSE))</f>
        <v/>
      </c>
      <c r="J8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6" s="231"/>
      <c r="L86" s="231"/>
    </row>
    <row r="87" spans="1:12" x14ac:dyDescent="0.2">
      <c r="A87" s="322" t="str">
        <f>IF(AND(U20List[[#This Row],[First &amp; Last Name]]="",U20List[[#This Row],[FISTF Code]]=""),"",ROW()-ROW($A$11))</f>
        <v/>
      </c>
      <c r="B87" s="323"/>
      <c r="C87" s="437"/>
      <c r="D87" s="422" t="str">
        <f>IF(U20List[[#This Row],[First &amp; Last Name]]="","",IFERROR(ISNUMBER(MATCH(U20List[[#This Row],[First &amp; Last Name]],Players[Player Name],0)),FALSE))</f>
        <v/>
      </c>
      <c r="E87" s="422" t="b">
        <f>IF(U20List[[#This Row],[FISTF Code]]="",FALSE,IFERROR(ISNUMBER(MATCH(U20List[[#This Row],[FISTF Code]],Players[FISTF Code],0)),FALSE))</f>
        <v>0</v>
      </c>
      <c r="F87" s="420" t="str">
        <f>IF(AND(U20List[[#This Row],[First &amp; Last Name]]="",U20List[[#This Row],[FISTF Code]]=""),"",IF(U20List[[#This Row],[Valide Code ?]],INDEX(Players[Player Name],MATCH(U20List[[#This Row],[FISTF Code]],Players[FISTF Code],0)),U20List[[#This Row],[First &amp; Last Name]]))</f>
        <v/>
      </c>
      <c r="G87" s="233" t="str">
        <f>IF(U20List[[#This Row],[Retained Player Name]]="","",VLOOKUP(U20List[[#This Row],[Retained Player Name]],Players[],7,FALSE))</f>
        <v/>
      </c>
      <c r="H87" s="235" t="str">
        <f>IF(U20List[[#This Row],[Retained Player Name]]="","",VLOOKUP(U20List[[#This Row],[Retained Player Name]],Players[],6,FALSE))</f>
        <v/>
      </c>
      <c r="I87" s="235" t="str">
        <f>IF(U20List[[#This Row],[Retained Player Name]]="","",VLOOKUP(U20List[[#This Row],[Retained Player Name]],Players[],4,FALSE))</f>
        <v/>
      </c>
      <c r="J8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7" s="231"/>
      <c r="L87" s="231"/>
    </row>
    <row r="88" spans="1:12" x14ac:dyDescent="0.2">
      <c r="A88" s="322" t="str">
        <f>IF(AND(U20List[[#This Row],[First &amp; Last Name]]="",U20List[[#This Row],[FISTF Code]]=""),"",ROW()-ROW($A$11))</f>
        <v/>
      </c>
      <c r="B88" s="323"/>
      <c r="C88" s="437"/>
      <c r="D88" s="422" t="str">
        <f>IF(U20List[[#This Row],[First &amp; Last Name]]="","",IFERROR(ISNUMBER(MATCH(U20List[[#This Row],[First &amp; Last Name]],Players[Player Name],0)),FALSE))</f>
        <v/>
      </c>
      <c r="E88" s="422" t="b">
        <f>IF(U20List[[#This Row],[FISTF Code]]="",FALSE,IFERROR(ISNUMBER(MATCH(U20List[[#This Row],[FISTF Code]],Players[FISTF Code],0)),FALSE))</f>
        <v>0</v>
      </c>
      <c r="F88" s="420" t="str">
        <f>IF(AND(U20List[[#This Row],[First &amp; Last Name]]="",U20List[[#This Row],[FISTF Code]]=""),"",IF(U20List[[#This Row],[Valide Code ?]],INDEX(Players[Player Name],MATCH(U20List[[#This Row],[FISTF Code]],Players[FISTF Code],0)),U20List[[#This Row],[First &amp; Last Name]]))</f>
        <v/>
      </c>
      <c r="G88" s="233" t="str">
        <f>IF(U20List[[#This Row],[Retained Player Name]]="","",VLOOKUP(U20List[[#This Row],[Retained Player Name]],Players[],7,FALSE))</f>
        <v/>
      </c>
      <c r="H88" s="235" t="str">
        <f>IF(U20List[[#This Row],[Retained Player Name]]="","",VLOOKUP(U20List[[#This Row],[Retained Player Name]],Players[],6,FALSE))</f>
        <v/>
      </c>
      <c r="I88" s="235" t="str">
        <f>IF(U20List[[#This Row],[Retained Player Name]]="","",VLOOKUP(U20List[[#This Row],[Retained Player Name]],Players[],4,FALSE))</f>
        <v/>
      </c>
      <c r="J8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8" s="231"/>
      <c r="L88" s="231"/>
    </row>
    <row r="89" spans="1:12" x14ac:dyDescent="0.2">
      <c r="A89" s="322" t="str">
        <f>IF(AND(U20List[[#This Row],[First &amp; Last Name]]="",U20List[[#This Row],[FISTF Code]]=""),"",ROW()-ROW($A$11))</f>
        <v/>
      </c>
      <c r="B89" s="323"/>
      <c r="C89" s="437"/>
      <c r="D89" s="422" t="str">
        <f>IF(U20List[[#This Row],[First &amp; Last Name]]="","",IFERROR(ISNUMBER(MATCH(U20List[[#This Row],[First &amp; Last Name]],Players[Player Name],0)),FALSE))</f>
        <v/>
      </c>
      <c r="E89" s="422" t="b">
        <f>IF(U20List[[#This Row],[FISTF Code]]="",FALSE,IFERROR(ISNUMBER(MATCH(U20List[[#This Row],[FISTF Code]],Players[FISTF Code],0)),FALSE))</f>
        <v>0</v>
      </c>
      <c r="F89" s="420" t="str">
        <f>IF(AND(U20List[[#This Row],[First &amp; Last Name]]="",U20List[[#This Row],[FISTF Code]]=""),"",IF(U20List[[#This Row],[Valide Code ?]],INDEX(Players[Player Name],MATCH(U20List[[#This Row],[FISTF Code]],Players[FISTF Code],0)),U20List[[#This Row],[First &amp; Last Name]]))</f>
        <v/>
      </c>
      <c r="G89" s="233" t="str">
        <f>IF(U20List[[#This Row],[Retained Player Name]]="","",VLOOKUP(U20List[[#This Row],[Retained Player Name]],Players[],7,FALSE))</f>
        <v/>
      </c>
      <c r="H89" s="235" t="str">
        <f>IF(U20List[[#This Row],[Retained Player Name]]="","",VLOOKUP(U20List[[#This Row],[Retained Player Name]],Players[],6,FALSE))</f>
        <v/>
      </c>
      <c r="I89" s="235" t="str">
        <f>IF(U20List[[#This Row],[Retained Player Name]]="","",VLOOKUP(U20List[[#This Row],[Retained Player Name]],Players[],4,FALSE))</f>
        <v/>
      </c>
      <c r="J8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9" s="231"/>
      <c r="L89" s="231"/>
    </row>
    <row r="90" spans="1:12" x14ac:dyDescent="0.2">
      <c r="A90" s="322" t="str">
        <f>IF(AND(U20List[[#This Row],[First &amp; Last Name]]="",U20List[[#This Row],[FISTF Code]]=""),"",ROW()-ROW($A$11))</f>
        <v/>
      </c>
      <c r="B90" s="323"/>
      <c r="C90" s="437"/>
      <c r="D90" s="422" t="str">
        <f>IF(U20List[[#This Row],[First &amp; Last Name]]="","",IFERROR(ISNUMBER(MATCH(U20List[[#This Row],[First &amp; Last Name]],Players[Player Name],0)),FALSE))</f>
        <v/>
      </c>
      <c r="E90" s="422" t="b">
        <f>IF(U20List[[#This Row],[FISTF Code]]="",FALSE,IFERROR(ISNUMBER(MATCH(U20List[[#This Row],[FISTF Code]],Players[FISTF Code],0)),FALSE))</f>
        <v>0</v>
      </c>
      <c r="F90" s="420" t="str">
        <f>IF(AND(U20List[[#This Row],[First &amp; Last Name]]="",U20List[[#This Row],[FISTF Code]]=""),"",IF(U20List[[#This Row],[Valide Code ?]],INDEX(Players[Player Name],MATCH(U20List[[#This Row],[FISTF Code]],Players[FISTF Code],0)),U20List[[#This Row],[First &amp; Last Name]]))</f>
        <v/>
      </c>
      <c r="G90" s="233" t="str">
        <f>IF(U20List[[#This Row],[Retained Player Name]]="","",VLOOKUP(U20List[[#This Row],[Retained Player Name]],Players[],7,FALSE))</f>
        <v/>
      </c>
      <c r="H90" s="235" t="str">
        <f>IF(U20List[[#This Row],[Retained Player Name]]="","",VLOOKUP(U20List[[#This Row],[Retained Player Name]],Players[],6,FALSE))</f>
        <v/>
      </c>
      <c r="I90" s="235" t="str">
        <f>IF(U20List[[#This Row],[Retained Player Name]]="","",VLOOKUP(U20List[[#This Row],[Retained Player Name]],Players[],4,FALSE))</f>
        <v/>
      </c>
      <c r="J9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0" s="231"/>
      <c r="L90" s="231"/>
    </row>
    <row r="91" spans="1:12" x14ac:dyDescent="0.2">
      <c r="A91" s="322" t="str">
        <f>IF(AND(U20List[[#This Row],[First &amp; Last Name]]="",U20List[[#This Row],[FISTF Code]]=""),"",ROW()-ROW($A$11))</f>
        <v/>
      </c>
      <c r="B91" s="323"/>
      <c r="C91" s="437"/>
      <c r="D91" s="422" t="str">
        <f>IF(U20List[[#This Row],[First &amp; Last Name]]="","",IFERROR(ISNUMBER(MATCH(U20List[[#This Row],[First &amp; Last Name]],Players[Player Name],0)),FALSE))</f>
        <v/>
      </c>
      <c r="E91" s="422" t="b">
        <f>IF(U20List[[#This Row],[FISTF Code]]="",FALSE,IFERROR(ISNUMBER(MATCH(U20List[[#This Row],[FISTF Code]],Players[FISTF Code],0)),FALSE))</f>
        <v>0</v>
      </c>
      <c r="F91" s="420" t="str">
        <f>IF(AND(U20List[[#This Row],[First &amp; Last Name]]="",U20List[[#This Row],[FISTF Code]]=""),"",IF(U20List[[#This Row],[Valide Code ?]],INDEX(Players[Player Name],MATCH(U20List[[#This Row],[FISTF Code]],Players[FISTF Code],0)),U20List[[#This Row],[First &amp; Last Name]]))</f>
        <v/>
      </c>
      <c r="G91" s="233" t="str">
        <f>IF(U20List[[#This Row],[Retained Player Name]]="","",VLOOKUP(U20List[[#This Row],[Retained Player Name]],Players[],7,FALSE))</f>
        <v/>
      </c>
      <c r="H91" s="235" t="str">
        <f>IF(U20List[[#This Row],[Retained Player Name]]="","",VLOOKUP(U20List[[#This Row],[Retained Player Name]],Players[],6,FALSE))</f>
        <v/>
      </c>
      <c r="I91" s="235" t="str">
        <f>IF(U20List[[#This Row],[Retained Player Name]]="","",VLOOKUP(U20List[[#This Row],[Retained Player Name]],Players[],4,FALSE))</f>
        <v/>
      </c>
      <c r="J9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1" s="231"/>
      <c r="L91" s="231"/>
    </row>
    <row r="92" spans="1:12" x14ac:dyDescent="0.2">
      <c r="A92" s="322" t="str">
        <f>IF(AND(U20List[[#This Row],[First &amp; Last Name]]="",U20List[[#This Row],[FISTF Code]]=""),"",ROW()-ROW($A$11))</f>
        <v/>
      </c>
      <c r="B92" s="323"/>
      <c r="C92" s="437"/>
      <c r="D92" s="422" t="str">
        <f>IF(U20List[[#This Row],[First &amp; Last Name]]="","",IFERROR(ISNUMBER(MATCH(U20List[[#This Row],[First &amp; Last Name]],Players[Player Name],0)),FALSE))</f>
        <v/>
      </c>
      <c r="E92" s="422" t="b">
        <f>IF(U20List[[#This Row],[FISTF Code]]="",FALSE,IFERROR(ISNUMBER(MATCH(U20List[[#This Row],[FISTF Code]],Players[FISTF Code],0)),FALSE))</f>
        <v>0</v>
      </c>
      <c r="F92" s="420" t="str">
        <f>IF(AND(U20List[[#This Row],[First &amp; Last Name]]="",U20List[[#This Row],[FISTF Code]]=""),"",IF(U20List[[#This Row],[Valide Code ?]],INDEX(Players[Player Name],MATCH(U20List[[#This Row],[FISTF Code]],Players[FISTF Code],0)),U20List[[#This Row],[First &amp; Last Name]]))</f>
        <v/>
      </c>
      <c r="G92" s="233" t="str">
        <f>IF(U20List[[#This Row],[Retained Player Name]]="","",VLOOKUP(U20List[[#This Row],[Retained Player Name]],Players[],7,FALSE))</f>
        <v/>
      </c>
      <c r="H92" s="235" t="str">
        <f>IF(U20List[[#This Row],[Retained Player Name]]="","",VLOOKUP(U20List[[#This Row],[Retained Player Name]],Players[],6,FALSE))</f>
        <v/>
      </c>
      <c r="I92" s="235" t="str">
        <f>IF(U20List[[#This Row],[Retained Player Name]]="","",VLOOKUP(U20List[[#This Row],[Retained Player Name]],Players[],4,FALSE))</f>
        <v/>
      </c>
      <c r="J9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2" s="231"/>
      <c r="L92" s="231"/>
    </row>
    <row r="93" spans="1:12" x14ac:dyDescent="0.2">
      <c r="A93" s="322" t="str">
        <f>IF(AND(U20List[[#This Row],[First &amp; Last Name]]="",U20List[[#This Row],[FISTF Code]]=""),"",ROW()-ROW($A$11))</f>
        <v/>
      </c>
      <c r="B93" s="323"/>
      <c r="C93" s="437"/>
      <c r="D93" s="422" t="str">
        <f>IF(U20List[[#This Row],[First &amp; Last Name]]="","",IFERROR(ISNUMBER(MATCH(U20List[[#This Row],[First &amp; Last Name]],Players[Player Name],0)),FALSE))</f>
        <v/>
      </c>
      <c r="E93" s="422" t="b">
        <f>IF(U20List[[#This Row],[FISTF Code]]="",FALSE,IFERROR(ISNUMBER(MATCH(U20List[[#This Row],[FISTF Code]],Players[FISTF Code],0)),FALSE))</f>
        <v>0</v>
      </c>
      <c r="F93" s="420" t="str">
        <f>IF(AND(U20List[[#This Row],[First &amp; Last Name]]="",U20List[[#This Row],[FISTF Code]]=""),"",IF(U20List[[#This Row],[Valide Code ?]],INDEX(Players[Player Name],MATCH(U20List[[#This Row],[FISTF Code]],Players[FISTF Code],0)),U20List[[#This Row],[First &amp; Last Name]]))</f>
        <v/>
      </c>
      <c r="G93" s="233" t="str">
        <f>IF(U20List[[#This Row],[Retained Player Name]]="","",VLOOKUP(U20List[[#This Row],[Retained Player Name]],Players[],7,FALSE))</f>
        <v/>
      </c>
      <c r="H93" s="235" t="str">
        <f>IF(U20List[[#This Row],[Retained Player Name]]="","",VLOOKUP(U20List[[#This Row],[Retained Player Name]],Players[],6,FALSE))</f>
        <v/>
      </c>
      <c r="I93" s="235" t="str">
        <f>IF(U20List[[#This Row],[Retained Player Name]]="","",VLOOKUP(U20List[[#This Row],[Retained Player Name]],Players[],4,FALSE))</f>
        <v/>
      </c>
      <c r="J9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3" s="231"/>
      <c r="L93" s="231"/>
    </row>
    <row r="94" spans="1:12" x14ac:dyDescent="0.2">
      <c r="A94" s="322" t="str">
        <f>IF(AND(U20List[[#This Row],[First &amp; Last Name]]="",U20List[[#This Row],[FISTF Code]]=""),"",ROW()-ROW($A$11))</f>
        <v/>
      </c>
      <c r="B94" s="323"/>
      <c r="C94" s="437"/>
      <c r="D94" s="422" t="str">
        <f>IF(U20List[[#This Row],[First &amp; Last Name]]="","",IFERROR(ISNUMBER(MATCH(U20List[[#This Row],[First &amp; Last Name]],Players[Player Name],0)),FALSE))</f>
        <v/>
      </c>
      <c r="E94" s="422" t="b">
        <f>IF(U20List[[#This Row],[FISTF Code]]="",FALSE,IFERROR(ISNUMBER(MATCH(U20List[[#This Row],[FISTF Code]],Players[FISTF Code],0)),FALSE))</f>
        <v>0</v>
      </c>
      <c r="F94" s="420" t="str">
        <f>IF(AND(U20List[[#This Row],[First &amp; Last Name]]="",U20List[[#This Row],[FISTF Code]]=""),"",IF(U20List[[#This Row],[Valide Code ?]],INDEX(Players[Player Name],MATCH(U20List[[#This Row],[FISTF Code]],Players[FISTF Code],0)),U20List[[#This Row],[First &amp; Last Name]]))</f>
        <v/>
      </c>
      <c r="G94" s="233" t="str">
        <f>IF(U20List[[#This Row],[Retained Player Name]]="","",VLOOKUP(U20List[[#This Row],[Retained Player Name]],Players[],7,FALSE))</f>
        <v/>
      </c>
      <c r="H94" s="235" t="str">
        <f>IF(U20List[[#This Row],[Retained Player Name]]="","",VLOOKUP(U20List[[#This Row],[Retained Player Name]],Players[],6,FALSE))</f>
        <v/>
      </c>
      <c r="I94" s="235" t="str">
        <f>IF(U20List[[#This Row],[Retained Player Name]]="","",VLOOKUP(U20List[[#This Row],[Retained Player Name]],Players[],4,FALSE))</f>
        <v/>
      </c>
      <c r="J9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4" s="231"/>
      <c r="L94" s="231"/>
    </row>
    <row r="95" spans="1:12" x14ac:dyDescent="0.2">
      <c r="A95" s="322" t="str">
        <f>IF(AND(U20List[[#This Row],[First &amp; Last Name]]="",U20List[[#This Row],[FISTF Code]]=""),"",ROW()-ROW($A$11))</f>
        <v/>
      </c>
      <c r="B95" s="323"/>
      <c r="C95" s="437"/>
      <c r="D95" s="422" t="str">
        <f>IF(U20List[[#This Row],[First &amp; Last Name]]="","",IFERROR(ISNUMBER(MATCH(U20List[[#This Row],[First &amp; Last Name]],Players[Player Name],0)),FALSE))</f>
        <v/>
      </c>
      <c r="E95" s="422" t="b">
        <f>IF(U20List[[#This Row],[FISTF Code]]="",FALSE,IFERROR(ISNUMBER(MATCH(U20List[[#This Row],[FISTF Code]],Players[FISTF Code],0)),FALSE))</f>
        <v>0</v>
      </c>
      <c r="F95" s="420" t="str">
        <f>IF(AND(U20List[[#This Row],[First &amp; Last Name]]="",U20List[[#This Row],[FISTF Code]]=""),"",IF(U20List[[#This Row],[Valide Code ?]],INDEX(Players[Player Name],MATCH(U20List[[#This Row],[FISTF Code]],Players[FISTF Code],0)),U20List[[#This Row],[First &amp; Last Name]]))</f>
        <v/>
      </c>
      <c r="G95" s="233" t="str">
        <f>IF(U20List[[#This Row],[Retained Player Name]]="","",VLOOKUP(U20List[[#This Row],[Retained Player Name]],Players[],7,FALSE))</f>
        <v/>
      </c>
      <c r="H95" s="235" t="str">
        <f>IF(U20List[[#This Row],[Retained Player Name]]="","",VLOOKUP(U20List[[#This Row],[Retained Player Name]],Players[],6,FALSE))</f>
        <v/>
      </c>
      <c r="I95" s="235" t="str">
        <f>IF(U20List[[#This Row],[Retained Player Name]]="","",VLOOKUP(U20List[[#This Row],[Retained Player Name]],Players[],4,FALSE))</f>
        <v/>
      </c>
      <c r="J9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5" s="231"/>
      <c r="L95" s="231"/>
    </row>
    <row r="96" spans="1:12" x14ac:dyDescent="0.2">
      <c r="A96" s="322" t="str">
        <f>IF(AND(U20List[[#This Row],[First &amp; Last Name]]="",U20List[[#This Row],[FISTF Code]]=""),"",ROW()-ROW($A$11))</f>
        <v/>
      </c>
      <c r="B96" s="323"/>
      <c r="C96" s="437"/>
      <c r="D96" s="422" t="str">
        <f>IF(U20List[[#This Row],[First &amp; Last Name]]="","",IFERROR(ISNUMBER(MATCH(U20List[[#This Row],[First &amp; Last Name]],Players[Player Name],0)),FALSE))</f>
        <v/>
      </c>
      <c r="E96" s="422" t="b">
        <f>IF(U20List[[#This Row],[FISTF Code]]="",FALSE,IFERROR(ISNUMBER(MATCH(U20List[[#This Row],[FISTF Code]],Players[FISTF Code],0)),FALSE))</f>
        <v>0</v>
      </c>
      <c r="F96" s="420" t="str">
        <f>IF(AND(U20List[[#This Row],[First &amp; Last Name]]="",U20List[[#This Row],[FISTF Code]]=""),"",IF(U20List[[#This Row],[Valide Code ?]],INDEX(Players[Player Name],MATCH(U20List[[#This Row],[FISTF Code]],Players[FISTF Code],0)),U20List[[#This Row],[First &amp; Last Name]]))</f>
        <v/>
      </c>
      <c r="G96" s="233" t="str">
        <f>IF(U20List[[#This Row],[Retained Player Name]]="","",VLOOKUP(U20List[[#This Row],[Retained Player Name]],Players[],7,FALSE))</f>
        <v/>
      </c>
      <c r="H96" s="235" t="str">
        <f>IF(U20List[[#This Row],[Retained Player Name]]="","",VLOOKUP(U20List[[#This Row],[Retained Player Name]],Players[],6,FALSE))</f>
        <v/>
      </c>
      <c r="I96" s="235" t="str">
        <f>IF(U20List[[#This Row],[Retained Player Name]]="","",VLOOKUP(U20List[[#This Row],[Retained Player Name]],Players[],4,FALSE))</f>
        <v/>
      </c>
      <c r="J9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6" s="231"/>
      <c r="L96" s="231"/>
    </row>
    <row r="97" spans="1:12" x14ac:dyDescent="0.2">
      <c r="A97" s="322" t="str">
        <f>IF(AND(U20List[[#This Row],[First &amp; Last Name]]="",U20List[[#This Row],[FISTF Code]]=""),"",ROW()-ROW($A$11))</f>
        <v/>
      </c>
      <c r="B97" s="323"/>
      <c r="C97" s="437"/>
      <c r="D97" s="422" t="str">
        <f>IF(U20List[[#This Row],[First &amp; Last Name]]="","",IFERROR(ISNUMBER(MATCH(U20List[[#This Row],[First &amp; Last Name]],Players[Player Name],0)),FALSE))</f>
        <v/>
      </c>
      <c r="E97" s="422" t="b">
        <f>IF(U20List[[#This Row],[FISTF Code]]="",FALSE,IFERROR(ISNUMBER(MATCH(U20List[[#This Row],[FISTF Code]],Players[FISTF Code],0)),FALSE))</f>
        <v>0</v>
      </c>
      <c r="F97" s="420" t="str">
        <f>IF(AND(U20List[[#This Row],[First &amp; Last Name]]="",U20List[[#This Row],[FISTF Code]]=""),"",IF(U20List[[#This Row],[Valide Code ?]],INDEX(Players[Player Name],MATCH(U20List[[#This Row],[FISTF Code]],Players[FISTF Code],0)),U20List[[#This Row],[First &amp; Last Name]]))</f>
        <v/>
      </c>
      <c r="G97" s="233" t="str">
        <f>IF(U20List[[#This Row],[Retained Player Name]]="","",VLOOKUP(U20List[[#This Row],[Retained Player Name]],Players[],7,FALSE))</f>
        <v/>
      </c>
      <c r="H97" s="235" t="str">
        <f>IF(U20List[[#This Row],[Retained Player Name]]="","",VLOOKUP(U20List[[#This Row],[Retained Player Name]],Players[],6,FALSE))</f>
        <v/>
      </c>
      <c r="I97" s="235" t="str">
        <f>IF(U20List[[#This Row],[Retained Player Name]]="","",VLOOKUP(U20List[[#This Row],[Retained Player Name]],Players[],4,FALSE))</f>
        <v/>
      </c>
      <c r="J9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7" s="231"/>
      <c r="L97" s="231"/>
    </row>
    <row r="98" spans="1:12" x14ac:dyDescent="0.2">
      <c r="A98" s="322" t="str">
        <f>IF(AND(U20List[[#This Row],[First &amp; Last Name]]="",U20List[[#This Row],[FISTF Code]]=""),"",ROW()-ROW($A$11))</f>
        <v/>
      </c>
      <c r="B98" s="323"/>
      <c r="C98" s="437"/>
      <c r="D98" s="422" t="str">
        <f>IF(U20List[[#This Row],[First &amp; Last Name]]="","",IFERROR(ISNUMBER(MATCH(U20List[[#This Row],[First &amp; Last Name]],Players[Player Name],0)),FALSE))</f>
        <v/>
      </c>
      <c r="E98" s="422" t="b">
        <f>IF(U20List[[#This Row],[FISTF Code]]="",FALSE,IFERROR(ISNUMBER(MATCH(U20List[[#This Row],[FISTF Code]],Players[FISTF Code],0)),FALSE))</f>
        <v>0</v>
      </c>
      <c r="F98" s="420" t="str">
        <f>IF(AND(U20List[[#This Row],[First &amp; Last Name]]="",U20List[[#This Row],[FISTF Code]]=""),"",IF(U20List[[#This Row],[Valide Code ?]],INDEX(Players[Player Name],MATCH(U20List[[#This Row],[FISTF Code]],Players[FISTF Code],0)),U20List[[#This Row],[First &amp; Last Name]]))</f>
        <v/>
      </c>
      <c r="G98" s="233" t="str">
        <f>IF(U20List[[#This Row],[Retained Player Name]]="","",VLOOKUP(U20List[[#This Row],[Retained Player Name]],Players[],7,FALSE))</f>
        <v/>
      </c>
      <c r="H98" s="235" t="str">
        <f>IF(U20List[[#This Row],[Retained Player Name]]="","",VLOOKUP(U20List[[#This Row],[Retained Player Name]],Players[],6,FALSE))</f>
        <v/>
      </c>
      <c r="I98" s="235" t="str">
        <f>IF(U20List[[#This Row],[Retained Player Name]]="","",VLOOKUP(U20List[[#This Row],[Retained Player Name]],Players[],4,FALSE))</f>
        <v/>
      </c>
      <c r="J9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8" s="231"/>
      <c r="L98" s="231"/>
    </row>
    <row r="99" spans="1:12" x14ac:dyDescent="0.2">
      <c r="A99" s="322" t="str">
        <f>IF(AND(U20List[[#This Row],[First &amp; Last Name]]="",U20List[[#This Row],[FISTF Code]]=""),"",ROW()-ROW($A$11))</f>
        <v/>
      </c>
      <c r="B99" s="323"/>
      <c r="C99" s="437"/>
      <c r="D99" s="422" t="str">
        <f>IF(U20List[[#This Row],[First &amp; Last Name]]="","",IFERROR(ISNUMBER(MATCH(U20List[[#This Row],[First &amp; Last Name]],Players[Player Name],0)),FALSE))</f>
        <v/>
      </c>
      <c r="E99" s="422" t="b">
        <f>IF(U20List[[#This Row],[FISTF Code]]="",FALSE,IFERROR(ISNUMBER(MATCH(U20List[[#This Row],[FISTF Code]],Players[FISTF Code],0)),FALSE))</f>
        <v>0</v>
      </c>
      <c r="F99" s="420" t="str">
        <f>IF(AND(U20List[[#This Row],[First &amp; Last Name]]="",U20List[[#This Row],[FISTF Code]]=""),"",IF(U20List[[#This Row],[Valide Code ?]],INDEX(Players[Player Name],MATCH(U20List[[#This Row],[FISTF Code]],Players[FISTF Code],0)),U20List[[#This Row],[First &amp; Last Name]]))</f>
        <v/>
      </c>
      <c r="G99" s="233" t="str">
        <f>IF(U20List[[#This Row],[Retained Player Name]]="","",VLOOKUP(U20List[[#This Row],[Retained Player Name]],Players[],7,FALSE))</f>
        <v/>
      </c>
      <c r="H99" s="235" t="str">
        <f>IF(U20List[[#This Row],[Retained Player Name]]="","",VLOOKUP(U20List[[#This Row],[Retained Player Name]],Players[],6,FALSE))</f>
        <v/>
      </c>
      <c r="I99" s="235" t="str">
        <f>IF(U20List[[#This Row],[Retained Player Name]]="","",VLOOKUP(U20List[[#This Row],[Retained Player Name]],Players[],4,FALSE))</f>
        <v/>
      </c>
      <c r="J9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9" s="231"/>
      <c r="L99" s="231"/>
    </row>
    <row r="100" spans="1:12" x14ac:dyDescent="0.2">
      <c r="A100" s="322" t="str">
        <f>IF(AND(U20List[[#This Row],[First &amp; Last Name]]="",U20List[[#This Row],[FISTF Code]]=""),"",ROW()-ROW($A$11))</f>
        <v/>
      </c>
      <c r="B100" s="323"/>
      <c r="C100" s="437"/>
      <c r="D100" s="422" t="str">
        <f>IF(U20List[[#This Row],[First &amp; Last Name]]="","",IFERROR(ISNUMBER(MATCH(U20List[[#This Row],[First &amp; Last Name]],Players[Player Name],0)),FALSE))</f>
        <v/>
      </c>
      <c r="E100" s="422" t="b">
        <f>IF(U20List[[#This Row],[FISTF Code]]="",FALSE,IFERROR(ISNUMBER(MATCH(U20List[[#This Row],[FISTF Code]],Players[FISTF Code],0)),FALSE))</f>
        <v>0</v>
      </c>
      <c r="F100" s="420" t="str">
        <f>IF(AND(U20List[[#This Row],[First &amp; Last Name]]="",U20List[[#This Row],[FISTF Code]]=""),"",IF(U20List[[#This Row],[Valide Code ?]],INDEX(Players[Player Name],MATCH(U20List[[#This Row],[FISTF Code]],Players[FISTF Code],0)),U20List[[#This Row],[First &amp; Last Name]]))</f>
        <v/>
      </c>
      <c r="G100" s="233" t="str">
        <f>IF(U20List[[#This Row],[Retained Player Name]]="","",VLOOKUP(U20List[[#This Row],[Retained Player Name]],Players[],7,FALSE))</f>
        <v/>
      </c>
      <c r="H100" s="235" t="str">
        <f>IF(U20List[[#This Row],[Retained Player Name]]="","",VLOOKUP(U20List[[#This Row],[Retained Player Name]],Players[],6,FALSE))</f>
        <v/>
      </c>
      <c r="I100" s="235" t="str">
        <f>IF(U20List[[#This Row],[Retained Player Name]]="","",VLOOKUP(U20List[[#This Row],[Retained Player Name]],Players[],4,FALSE))</f>
        <v/>
      </c>
      <c r="J10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0" s="231"/>
      <c r="L100" s="231"/>
    </row>
    <row r="101" spans="1:12" x14ac:dyDescent="0.2">
      <c r="A101" s="16" t="str">
        <f>IF(AND(U20List[[#This Row],[First &amp; Last Name]]="",U20List[[#This Row],[FISTF Code]]=""),"",ROW()-ROW($A$11))</f>
        <v/>
      </c>
      <c r="B101" s="232"/>
      <c r="C101" s="436"/>
      <c r="D101" s="421" t="str">
        <f>IF(U20List[[#This Row],[First &amp; Last Name]]="","",IFERROR(ISNUMBER(MATCH(U20List[[#This Row],[First &amp; Last Name]],Players[Player Name],0)),FALSE))</f>
        <v/>
      </c>
      <c r="E101" s="421" t="b">
        <f>IF(U20List[[#This Row],[FISTF Code]]="",FALSE,IFERROR(ISNUMBER(MATCH(U20List[[#This Row],[FISTF Code]],Players[FISTF Code],0)),FALSE))</f>
        <v>0</v>
      </c>
      <c r="F101" s="419" t="str">
        <f>IF(AND(U20List[[#This Row],[First &amp; Last Name]]="",U20List[[#This Row],[FISTF Code]]=""),"",IF(U20List[[#This Row],[Valide Code ?]],INDEX(Players[Player Name],MATCH(U20List[[#This Row],[FISTF Code]],Players[FISTF Code],0)),U20List[[#This Row],[First &amp; Last Name]]))</f>
        <v/>
      </c>
      <c r="G101" s="233" t="str">
        <f>IF(U20List[[#This Row],[Retained Player Name]]="","",VLOOKUP(U20List[[#This Row],[Retained Player Name]],Players[],7,FALSE))</f>
        <v/>
      </c>
      <c r="H101" s="235" t="str">
        <f>IF(U20List[[#This Row],[Retained Player Name]]="","",VLOOKUP(U20List[[#This Row],[Retained Player Name]],Players[],6,FALSE))</f>
        <v/>
      </c>
      <c r="I101" s="235" t="str">
        <f>IF(U20List[[#This Row],[Retained Player Name]]="","",VLOOKUP(U20List[[#This Row],[Retained Player Name]],Players[],4,FALSE))</f>
        <v/>
      </c>
      <c r="J10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1" s="231"/>
      <c r="L101" s="231"/>
    </row>
    <row r="102" spans="1:12" x14ac:dyDescent="0.2">
      <c r="A102" s="16" t="str">
        <f>IF(AND(U20List[[#This Row],[First &amp; Last Name]]="",U20List[[#This Row],[FISTF Code]]=""),"",ROW()-ROW($A$11))</f>
        <v/>
      </c>
      <c r="B102" s="232"/>
      <c r="C102" s="436"/>
      <c r="D102" s="421" t="str">
        <f>IF(U20List[[#This Row],[First &amp; Last Name]]="","",IFERROR(ISNUMBER(MATCH(U20List[[#This Row],[First &amp; Last Name]],Players[Player Name],0)),FALSE))</f>
        <v/>
      </c>
      <c r="E102" s="421" t="b">
        <f>IF(U20List[[#This Row],[FISTF Code]]="",FALSE,IFERROR(ISNUMBER(MATCH(U20List[[#This Row],[FISTF Code]],Players[FISTF Code],0)),FALSE))</f>
        <v>0</v>
      </c>
      <c r="F102" s="419" t="str">
        <f>IF(AND(U20List[[#This Row],[First &amp; Last Name]]="",U20List[[#This Row],[FISTF Code]]=""),"",IF(U20List[[#This Row],[Valide Code ?]],INDEX(Players[Player Name],MATCH(U20List[[#This Row],[FISTF Code]],Players[FISTF Code],0)),U20List[[#This Row],[First &amp; Last Name]]))</f>
        <v/>
      </c>
      <c r="G102" s="233" t="str">
        <f>IF(U20List[[#This Row],[Retained Player Name]]="","",VLOOKUP(U20List[[#This Row],[Retained Player Name]],Players[],7,FALSE))</f>
        <v/>
      </c>
      <c r="H102" s="235" t="str">
        <f>IF(U20List[[#This Row],[Retained Player Name]]="","",VLOOKUP(U20List[[#This Row],[Retained Player Name]],Players[],6,FALSE))</f>
        <v/>
      </c>
      <c r="I102" s="235" t="str">
        <f>IF(U20List[[#This Row],[Retained Player Name]]="","",VLOOKUP(U20List[[#This Row],[Retained Player Name]],Players[],4,FALSE))</f>
        <v/>
      </c>
      <c r="J10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2" s="231"/>
      <c r="L102" s="231"/>
    </row>
    <row r="103" spans="1:12" x14ac:dyDescent="0.2">
      <c r="A103" s="16" t="str">
        <f>IF(AND(U20List[[#This Row],[First &amp; Last Name]]="",U20List[[#This Row],[FISTF Code]]=""),"",ROW()-ROW($A$11))</f>
        <v/>
      </c>
      <c r="B103" s="232"/>
      <c r="C103" s="436"/>
      <c r="D103" s="421" t="str">
        <f>IF(U20List[[#This Row],[First &amp; Last Name]]="","",IFERROR(ISNUMBER(MATCH(U20List[[#This Row],[First &amp; Last Name]],Players[Player Name],0)),FALSE))</f>
        <v/>
      </c>
      <c r="E103" s="421" t="b">
        <f>IF(U20List[[#This Row],[FISTF Code]]="",FALSE,IFERROR(ISNUMBER(MATCH(U20List[[#This Row],[FISTF Code]],Players[FISTF Code],0)),FALSE))</f>
        <v>0</v>
      </c>
      <c r="F103" s="419" t="str">
        <f>IF(AND(U20List[[#This Row],[First &amp; Last Name]]="",U20List[[#This Row],[FISTF Code]]=""),"",IF(U20List[[#This Row],[Valide Code ?]],INDEX(Players[Player Name],MATCH(U20List[[#This Row],[FISTF Code]],Players[FISTF Code],0)),U20List[[#This Row],[First &amp; Last Name]]))</f>
        <v/>
      </c>
      <c r="G103" s="233" t="str">
        <f>IF(U20List[[#This Row],[Retained Player Name]]="","",VLOOKUP(U20List[[#This Row],[Retained Player Name]],Players[],7,FALSE))</f>
        <v/>
      </c>
      <c r="H103" s="235" t="str">
        <f>IF(U20List[[#This Row],[Retained Player Name]]="","",VLOOKUP(U20List[[#This Row],[Retained Player Name]],Players[],6,FALSE))</f>
        <v/>
      </c>
      <c r="I103" s="235" t="str">
        <f>IF(U20List[[#This Row],[Retained Player Name]]="","",VLOOKUP(U20List[[#This Row],[Retained Player Name]],Players[],4,FALSE))</f>
        <v/>
      </c>
      <c r="J10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3" s="231"/>
      <c r="L103" s="231"/>
    </row>
    <row r="104" spans="1:12" x14ac:dyDescent="0.2">
      <c r="A104" s="16" t="str">
        <f>IF(AND(U20List[[#This Row],[First &amp; Last Name]]="",U20List[[#This Row],[FISTF Code]]=""),"",ROW()-ROW($A$11))</f>
        <v/>
      </c>
      <c r="B104" s="232"/>
      <c r="C104" s="436"/>
      <c r="D104" s="421" t="str">
        <f>IF(U20List[[#This Row],[First &amp; Last Name]]="","",IFERROR(ISNUMBER(MATCH(U20List[[#This Row],[First &amp; Last Name]],Players[Player Name],0)),FALSE))</f>
        <v/>
      </c>
      <c r="E104" s="421" t="b">
        <f>IF(U20List[[#This Row],[FISTF Code]]="",FALSE,IFERROR(ISNUMBER(MATCH(U20List[[#This Row],[FISTF Code]],Players[FISTF Code],0)),FALSE))</f>
        <v>0</v>
      </c>
      <c r="F104" s="419" t="str">
        <f>IF(AND(U20List[[#This Row],[First &amp; Last Name]]="",U20List[[#This Row],[FISTF Code]]=""),"",IF(U20List[[#This Row],[Valide Code ?]],INDEX(Players[Player Name],MATCH(U20List[[#This Row],[FISTF Code]],Players[FISTF Code],0)),U20List[[#This Row],[First &amp; Last Name]]))</f>
        <v/>
      </c>
      <c r="G104" s="233" t="str">
        <f>IF(U20List[[#This Row],[Retained Player Name]]="","",VLOOKUP(U20List[[#This Row],[Retained Player Name]],Players[],7,FALSE))</f>
        <v/>
      </c>
      <c r="H104" s="235" t="str">
        <f>IF(U20List[[#This Row],[Retained Player Name]]="","",VLOOKUP(U20List[[#This Row],[Retained Player Name]],Players[],6,FALSE))</f>
        <v/>
      </c>
      <c r="I104" s="235" t="str">
        <f>IF(U20List[[#This Row],[Retained Player Name]]="","",VLOOKUP(U20List[[#This Row],[Retained Player Name]],Players[],4,FALSE))</f>
        <v/>
      </c>
      <c r="J10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4" s="231"/>
      <c r="L104" s="231"/>
    </row>
    <row r="105" spans="1:12" x14ac:dyDescent="0.2">
      <c r="A105" s="16" t="str">
        <f>IF(AND(U20List[[#This Row],[First &amp; Last Name]]="",U20List[[#This Row],[FISTF Code]]=""),"",ROW()-ROW($A$11))</f>
        <v/>
      </c>
      <c r="B105" s="232"/>
      <c r="C105" s="436"/>
      <c r="D105" s="421" t="str">
        <f>IF(U20List[[#This Row],[First &amp; Last Name]]="","",IFERROR(ISNUMBER(MATCH(U20List[[#This Row],[First &amp; Last Name]],Players[Player Name],0)),FALSE))</f>
        <v/>
      </c>
      <c r="E105" s="421" t="b">
        <f>IF(U20List[[#This Row],[FISTF Code]]="",FALSE,IFERROR(ISNUMBER(MATCH(U20List[[#This Row],[FISTF Code]],Players[FISTF Code],0)),FALSE))</f>
        <v>0</v>
      </c>
      <c r="F105" s="419" t="str">
        <f>IF(AND(U20List[[#This Row],[First &amp; Last Name]]="",U20List[[#This Row],[FISTF Code]]=""),"",IF(U20List[[#This Row],[Valide Code ?]],INDEX(Players[Player Name],MATCH(U20List[[#This Row],[FISTF Code]],Players[FISTF Code],0)),U20List[[#This Row],[First &amp; Last Name]]))</f>
        <v/>
      </c>
      <c r="G105" s="233" t="str">
        <f>IF(U20List[[#This Row],[Retained Player Name]]="","",VLOOKUP(U20List[[#This Row],[Retained Player Name]],Players[],7,FALSE))</f>
        <v/>
      </c>
      <c r="H105" s="235" t="str">
        <f>IF(U20List[[#This Row],[Retained Player Name]]="","",VLOOKUP(U20List[[#This Row],[Retained Player Name]],Players[],6,FALSE))</f>
        <v/>
      </c>
      <c r="I105" s="235" t="str">
        <f>IF(U20List[[#This Row],[Retained Player Name]]="","",VLOOKUP(U20List[[#This Row],[Retained Player Name]],Players[],4,FALSE))</f>
        <v/>
      </c>
      <c r="J10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5" s="231"/>
      <c r="L105" s="231"/>
    </row>
    <row r="106" spans="1:12" x14ac:dyDescent="0.2">
      <c r="A106" s="16" t="str">
        <f>IF(AND(U20List[[#This Row],[First &amp; Last Name]]="",U20List[[#This Row],[FISTF Code]]=""),"",ROW()-ROW($A$11))</f>
        <v/>
      </c>
      <c r="B106" s="232"/>
      <c r="C106" s="436"/>
      <c r="D106" s="421" t="str">
        <f>IF(U20List[[#This Row],[First &amp; Last Name]]="","",IFERROR(ISNUMBER(MATCH(U20List[[#This Row],[First &amp; Last Name]],Players[Player Name],0)),FALSE))</f>
        <v/>
      </c>
      <c r="E106" s="421" t="b">
        <f>IF(U20List[[#This Row],[FISTF Code]]="",FALSE,IFERROR(ISNUMBER(MATCH(U20List[[#This Row],[FISTF Code]],Players[FISTF Code],0)),FALSE))</f>
        <v>0</v>
      </c>
      <c r="F106" s="419" t="str">
        <f>IF(AND(U20List[[#This Row],[First &amp; Last Name]]="",U20List[[#This Row],[FISTF Code]]=""),"",IF(U20List[[#This Row],[Valide Code ?]],INDEX(Players[Player Name],MATCH(U20List[[#This Row],[FISTF Code]],Players[FISTF Code],0)),U20List[[#This Row],[First &amp; Last Name]]))</f>
        <v/>
      </c>
      <c r="G106" s="233" t="str">
        <f>IF(U20List[[#This Row],[Retained Player Name]]="","",VLOOKUP(U20List[[#This Row],[Retained Player Name]],Players[],7,FALSE))</f>
        <v/>
      </c>
      <c r="H106" s="235" t="str">
        <f>IF(U20List[[#This Row],[Retained Player Name]]="","",VLOOKUP(U20List[[#This Row],[Retained Player Name]],Players[],6,FALSE))</f>
        <v/>
      </c>
      <c r="I106" s="235" t="str">
        <f>IF(U20List[[#This Row],[Retained Player Name]]="","",VLOOKUP(U20List[[#This Row],[Retained Player Name]],Players[],4,FALSE))</f>
        <v/>
      </c>
      <c r="J10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6" s="231"/>
      <c r="L106" s="231"/>
    </row>
    <row r="107" spans="1:12" x14ac:dyDescent="0.2">
      <c r="A107" s="16" t="str">
        <f>IF(AND(U20List[[#This Row],[First &amp; Last Name]]="",U20List[[#This Row],[FISTF Code]]=""),"",ROW()-ROW($A$11))</f>
        <v/>
      </c>
      <c r="B107" s="232"/>
      <c r="C107" s="436"/>
      <c r="D107" s="421" t="str">
        <f>IF(U20List[[#This Row],[First &amp; Last Name]]="","",IFERROR(ISNUMBER(MATCH(U20List[[#This Row],[First &amp; Last Name]],Players[Player Name],0)),FALSE))</f>
        <v/>
      </c>
      <c r="E107" s="421" t="b">
        <f>IF(U20List[[#This Row],[FISTF Code]]="",FALSE,IFERROR(ISNUMBER(MATCH(U20List[[#This Row],[FISTF Code]],Players[FISTF Code],0)),FALSE))</f>
        <v>0</v>
      </c>
      <c r="F107" s="419" t="str">
        <f>IF(AND(U20List[[#This Row],[First &amp; Last Name]]="",U20List[[#This Row],[FISTF Code]]=""),"",IF(U20List[[#This Row],[Valide Code ?]],INDEX(Players[Player Name],MATCH(U20List[[#This Row],[FISTF Code]],Players[FISTF Code],0)),U20List[[#This Row],[First &amp; Last Name]]))</f>
        <v/>
      </c>
      <c r="G107" s="233" t="str">
        <f>IF(U20List[[#This Row],[Retained Player Name]]="","",VLOOKUP(U20List[[#This Row],[Retained Player Name]],Players[],7,FALSE))</f>
        <v/>
      </c>
      <c r="H107" s="235" t="str">
        <f>IF(U20List[[#This Row],[Retained Player Name]]="","",VLOOKUP(U20List[[#This Row],[Retained Player Name]],Players[],6,FALSE))</f>
        <v/>
      </c>
      <c r="I107" s="235" t="str">
        <f>IF(U20List[[#This Row],[Retained Player Name]]="","",VLOOKUP(U20List[[#This Row],[Retained Player Name]],Players[],4,FALSE))</f>
        <v/>
      </c>
      <c r="J10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7" s="231"/>
      <c r="L107" s="231"/>
    </row>
    <row r="108" spans="1:12" x14ac:dyDescent="0.2">
      <c r="A108" s="16" t="str">
        <f>IF(AND(U20List[[#This Row],[First &amp; Last Name]]="",U20List[[#This Row],[FISTF Code]]=""),"",ROW()-ROW($A$11))</f>
        <v/>
      </c>
      <c r="B108" s="232"/>
      <c r="C108" s="436"/>
      <c r="D108" s="421" t="str">
        <f>IF(U20List[[#This Row],[First &amp; Last Name]]="","",IFERROR(ISNUMBER(MATCH(U20List[[#This Row],[First &amp; Last Name]],Players[Player Name],0)),FALSE))</f>
        <v/>
      </c>
      <c r="E108" s="421" t="b">
        <f>IF(U20List[[#This Row],[FISTF Code]]="",FALSE,IFERROR(ISNUMBER(MATCH(U20List[[#This Row],[FISTF Code]],Players[FISTF Code],0)),FALSE))</f>
        <v>0</v>
      </c>
      <c r="F108" s="419" t="str">
        <f>IF(AND(U20List[[#This Row],[First &amp; Last Name]]="",U20List[[#This Row],[FISTF Code]]=""),"",IF(U20List[[#This Row],[Valide Code ?]],INDEX(Players[Player Name],MATCH(U20List[[#This Row],[FISTF Code]],Players[FISTF Code],0)),U20List[[#This Row],[First &amp; Last Name]]))</f>
        <v/>
      </c>
      <c r="G108" s="233" t="str">
        <f>IF(U20List[[#This Row],[Retained Player Name]]="","",VLOOKUP(U20List[[#This Row],[Retained Player Name]],Players[],7,FALSE))</f>
        <v/>
      </c>
      <c r="H108" s="235" t="str">
        <f>IF(U20List[[#This Row],[Retained Player Name]]="","",VLOOKUP(U20List[[#This Row],[Retained Player Name]],Players[],6,FALSE))</f>
        <v/>
      </c>
      <c r="I108" s="235" t="str">
        <f>IF(U20List[[#This Row],[Retained Player Name]]="","",VLOOKUP(U20List[[#This Row],[Retained Player Name]],Players[],4,FALSE))</f>
        <v/>
      </c>
      <c r="J10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8" s="231"/>
      <c r="L108" s="231"/>
    </row>
    <row r="109" spans="1:12" x14ac:dyDescent="0.2">
      <c r="A109" s="16" t="str">
        <f>IF(AND(U20List[[#This Row],[First &amp; Last Name]]="",U20List[[#This Row],[FISTF Code]]=""),"",ROW()-ROW($A$11))</f>
        <v/>
      </c>
      <c r="B109" s="232"/>
      <c r="C109" s="436"/>
      <c r="D109" s="421" t="str">
        <f>IF(U20List[[#This Row],[First &amp; Last Name]]="","",IFERROR(ISNUMBER(MATCH(U20List[[#This Row],[First &amp; Last Name]],Players[Player Name],0)),FALSE))</f>
        <v/>
      </c>
      <c r="E109" s="421" t="b">
        <f>IF(U20List[[#This Row],[FISTF Code]]="",FALSE,IFERROR(ISNUMBER(MATCH(U20List[[#This Row],[FISTF Code]],Players[FISTF Code],0)),FALSE))</f>
        <v>0</v>
      </c>
      <c r="F109" s="419" t="str">
        <f>IF(AND(U20List[[#This Row],[First &amp; Last Name]]="",U20List[[#This Row],[FISTF Code]]=""),"",IF(U20List[[#This Row],[Valide Code ?]],INDEX(Players[Player Name],MATCH(U20List[[#This Row],[FISTF Code]],Players[FISTF Code],0)),U20List[[#This Row],[First &amp; Last Name]]))</f>
        <v/>
      </c>
      <c r="G109" s="233" t="str">
        <f>IF(U20List[[#This Row],[Retained Player Name]]="","",VLOOKUP(U20List[[#This Row],[Retained Player Name]],Players[],7,FALSE))</f>
        <v/>
      </c>
      <c r="H109" s="235" t="str">
        <f>IF(U20List[[#This Row],[Retained Player Name]]="","",VLOOKUP(U20List[[#This Row],[Retained Player Name]],Players[],6,FALSE))</f>
        <v/>
      </c>
      <c r="I109" s="235" t="str">
        <f>IF(U20List[[#This Row],[Retained Player Name]]="","",VLOOKUP(U20List[[#This Row],[Retained Player Name]],Players[],4,FALSE))</f>
        <v/>
      </c>
      <c r="J10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9" s="231"/>
      <c r="L109" s="231"/>
    </row>
    <row r="110" spans="1:12" x14ac:dyDescent="0.2">
      <c r="A110" s="16" t="str">
        <f>IF(AND(U20List[[#This Row],[First &amp; Last Name]]="",U20List[[#This Row],[FISTF Code]]=""),"",ROW()-ROW($A$11))</f>
        <v/>
      </c>
      <c r="B110" s="232"/>
      <c r="C110" s="436"/>
      <c r="D110" s="421" t="str">
        <f>IF(U20List[[#This Row],[First &amp; Last Name]]="","",IFERROR(ISNUMBER(MATCH(U20List[[#This Row],[First &amp; Last Name]],Players[Player Name],0)),FALSE))</f>
        <v/>
      </c>
      <c r="E110" s="421" t="b">
        <f>IF(U20List[[#This Row],[FISTF Code]]="",FALSE,IFERROR(ISNUMBER(MATCH(U20List[[#This Row],[FISTF Code]],Players[FISTF Code],0)),FALSE))</f>
        <v>0</v>
      </c>
      <c r="F110" s="419" t="str">
        <f>IF(AND(U20List[[#This Row],[First &amp; Last Name]]="",U20List[[#This Row],[FISTF Code]]=""),"",IF(U20List[[#This Row],[Valide Code ?]],INDEX(Players[Player Name],MATCH(U20List[[#This Row],[FISTF Code]],Players[FISTF Code],0)),U20List[[#This Row],[First &amp; Last Name]]))</f>
        <v/>
      </c>
      <c r="G110" s="233" t="str">
        <f>IF(U20List[[#This Row],[Retained Player Name]]="","",VLOOKUP(U20List[[#This Row],[Retained Player Name]],Players[],7,FALSE))</f>
        <v/>
      </c>
      <c r="H110" s="235" t="str">
        <f>IF(U20List[[#This Row],[Retained Player Name]]="","",VLOOKUP(U20List[[#This Row],[Retained Player Name]],Players[],6,FALSE))</f>
        <v/>
      </c>
      <c r="I110" s="235" t="str">
        <f>IF(U20List[[#This Row],[Retained Player Name]]="","",VLOOKUP(U20List[[#This Row],[Retained Player Name]],Players[],4,FALSE))</f>
        <v/>
      </c>
      <c r="J11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0" s="231"/>
      <c r="L110" s="231"/>
    </row>
    <row r="111" spans="1:12" x14ac:dyDescent="0.2">
      <c r="A111" s="16" t="str">
        <f>IF(AND(U20List[[#This Row],[First &amp; Last Name]]="",U20List[[#This Row],[FISTF Code]]=""),"",ROW()-ROW($A$11))</f>
        <v/>
      </c>
      <c r="B111" s="232"/>
      <c r="C111" s="436"/>
      <c r="D111" s="421" t="str">
        <f>IF(U20List[[#This Row],[First &amp; Last Name]]="","",IFERROR(ISNUMBER(MATCH(U20List[[#This Row],[First &amp; Last Name]],Players[Player Name],0)),FALSE))</f>
        <v/>
      </c>
      <c r="E111" s="421" t="b">
        <f>IF(U20List[[#This Row],[FISTF Code]]="",FALSE,IFERROR(ISNUMBER(MATCH(U20List[[#This Row],[FISTF Code]],Players[FISTF Code],0)),FALSE))</f>
        <v>0</v>
      </c>
      <c r="F111" s="419" t="str">
        <f>IF(AND(U20List[[#This Row],[First &amp; Last Name]]="",U20List[[#This Row],[FISTF Code]]=""),"",IF(U20List[[#This Row],[Valide Code ?]],INDEX(Players[Player Name],MATCH(U20List[[#This Row],[FISTF Code]],Players[FISTF Code],0)),U20List[[#This Row],[First &amp; Last Name]]))</f>
        <v/>
      </c>
      <c r="G111" s="233" t="str">
        <f>IF(U20List[[#This Row],[Retained Player Name]]="","",VLOOKUP(U20List[[#This Row],[Retained Player Name]],Players[],7,FALSE))</f>
        <v/>
      </c>
      <c r="H111" s="235" t="str">
        <f>IF(U20List[[#This Row],[Retained Player Name]]="","",VLOOKUP(U20List[[#This Row],[Retained Player Name]],Players[],6,FALSE))</f>
        <v/>
      </c>
      <c r="I111" s="235" t="str">
        <f>IF(U20List[[#This Row],[Retained Player Name]]="","",VLOOKUP(U20List[[#This Row],[Retained Player Name]],Players[],4,FALSE))</f>
        <v/>
      </c>
      <c r="J11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1" s="231"/>
      <c r="L111" s="231"/>
    </row>
    <row r="112" spans="1:12" x14ac:dyDescent="0.2">
      <c r="A112" s="16" t="str">
        <f>IF(AND(U20List[[#This Row],[First &amp; Last Name]]="",U20List[[#This Row],[FISTF Code]]=""),"",ROW()-ROW($A$11))</f>
        <v/>
      </c>
      <c r="B112" s="232"/>
      <c r="C112" s="436"/>
      <c r="D112" s="421" t="str">
        <f>IF(U20List[[#This Row],[First &amp; Last Name]]="","",IFERROR(ISNUMBER(MATCH(U20List[[#This Row],[First &amp; Last Name]],Players[Player Name],0)),FALSE))</f>
        <v/>
      </c>
      <c r="E112" s="421" t="b">
        <f>IF(U20List[[#This Row],[FISTF Code]]="",FALSE,IFERROR(ISNUMBER(MATCH(U20List[[#This Row],[FISTF Code]],Players[FISTF Code],0)),FALSE))</f>
        <v>0</v>
      </c>
      <c r="F112" s="419" t="str">
        <f>IF(AND(U20List[[#This Row],[First &amp; Last Name]]="",U20List[[#This Row],[FISTF Code]]=""),"",IF(U20List[[#This Row],[Valide Code ?]],INDEX(Players[Player Name],MATCH(U20List[[#This Row],[FISTF Code]],Players[FISTF Code],0)),U20List[[#This Row],[First &amp; Last Name]]))</f>
        <v/>
      </c>
      <c r="G112" s="233" t="str">
        <f>IF(U20List[[#This Row],[Retained Player Name]]="","",VLOOKUP(U20List[[#This Row],[Retained Player Name]],Players[],7,FALSE))</f>
        <v/>
      </c>
      <c r="H112" s="235" t="str">
        <f>IF(U20List[[#This Row],[Retained Player Name]]="","",VLOOKUP(U20List[[#This Row],[Retained Player Name]],Players[],6,FALSE))</f>
        <v/>
      </c>
      <c r="I112" s="235" t="str">
        <f>IF(U20List[[#This Row],[Retained Player Name]]="","",VLOOKUP(U20List[[#This Row],[Retained Player Name]],Players[],4,FALSE))</f>
        <v/>
      </c>
      <c r="J11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2" s="231"/>
      <c r="L112" s="231"/>
    </row>
    <row r="113" spans="1:12" x14ac:dyDescent="0.2">
      <c r="A113" s="16" t="str">
        <f>IF(AND(U20List[[#This Row],[First &amp; Last Name]]="",U20List[[#This Row],[FISTF Code]]=""),"",ROW()-ROW($A$11))</f>
        <v/>
      </c>
      <c r="B113" s="232"/>
      <c r="C113" s="436"/>
      <c r="D113" s="421" t="str">
        <f>IF(U20List[[#This Row],[First &amp; Last Name]]="","",IFERROR(ISNUMBER(MATCH(U20List[[#This Row],[First &amp; Last Name]],Players[Player Name],0)),FALSE))</f>
        <v/>
      </c>
      <c r="E113" s="421" t="b">
        <f>IF(U20List[[#This Row],[FISTF Code]]="",FALSE,IFERROR(ISNUMBER(MATCH(U20List[[#This Row],[FISTF Code]],Players[FISTF Code],0)),FALSE))</f>
        <v>0</v>
      </c>
      <c r="F113" s="419" t="str">
        <f>IF(AND(U20List[[#This Row],[First &amp; Last Name]]="",U20List[[#This Row],[FISTF Code]]=""),"",IF(U20List[[#This Row],[Valide Code ?]],INDEX(Players[Player Name],MATCH(U20List[[#This Row],[FISTF Code]],Players[FISTF Code],0)),U20List[[#This Row],[First &amp; Last Name]]))</f>
        <v/>
      </c>
      <c r="G113" s="233" t="str">
        <f>IF(U20List[[#This Row],[Retained Player Name]]="","",VLOOKUP(U20List[[#This Row],[Retained Player Name]],Players[],7,FALSE))</f>
        <v/>
      </c>
      <c r="H113" s="235" t="str">
        <f>IF(U20List[[#This Row],[Retained Player Name]]="","",VLOOKUP(U20List[[#This Row],[Retained Player Name]],Players[],6,FALSE))</f>
        <v/>
      </c>
      <c r="I113" s="235" t="str">
        <f>IF(U20List[[#This Row],[Retained Player Name]]="","",VLOOKUP(U20List[[#This Row],[Retained Player Name]],Players[],4,FALSE))</f>
        <v/>
      </c>
      <c r="J11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3" s="231"/>
      <c r="L113" s="231"/>
    </row>
    <row r="114" spans="1:12" x14ac:dyDescent="0.2">
      <c r="A114" s="16" t="str">
        <f>IF(AND(U20List[[#This Row],[First &amp; Last Name]]="",U20List[[#This Row],[FISTF Code]]=""),"",ROW()-ROW($A$11))</f>
        <v/>
      </c>
      <c r="B114" s="232"/>
      <c r="C114" s="436"/>
      <c r="D114" s="421" t="str">
        <f>IF(U20List[[#This Row],[First &amp; Last Name]]="","",IFERROR(ISNUMBER(MATCH(U20List[[#This Row],[First &amp; Last Name]],Players[Player Name],0)),FALSE))</f>
        <v/>
      </c>
      <c r="E114" s="421" t="b">
        <f>IF(U20List[[#This Row],[FISTF Code]]="",FALSE,IFERROR(ISNUMBER(MATCH(U20List[[#This Row],[FISTF Code]],Players[FISTF Code],0)),FALSE))</f>
        <v>0</v>
      </c>
      <c r="F114" s="419" t="str">
        <f>IF(AND(U20List[[#This Row],[First &amp; Last Name]]="",U20List[[#This Row],[FISTF Code]]=""),"",IF(U20List[[#This Row],[Valide Code ?]],INDEX(Players[Player Name],MATCH(U20List[[#This Row],[FISTF Code]],Players[FISTF Code],0)),U20List[[#This Row],[First &amp; Last Name]]))</f>
        <v/>
      </c>
      <c r="G114" s="233" t="str">
        <f>IF(U20List[[#This Row],[Retained Player Name]]="","",VLOOKUP(U20List[[#This Row],[Retained Player Name]],Players[],7,FALSE))</f>
        <v/>
      </c>
      <c r="H114" s="235" t="str">
        <f>IF(U20List[[#This Row],[Retained Player Name]]="","",VLOOKUP(U20List[[#This Row],[Retained Player Name]],Players[],6,FALSE))</f>
        <v/>
      </c>
      <c r="I114" s="235" t="str">
        <f>IF(U20List[[#This Row],[Retained Player Name]]="","",VLOOKUP(U20List[[#This Row],[Retained Player Name]],Players[],4,FALSE))</f>
        <v/>
      </c>
      <c r="J11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4" s="231"/>
      <c r="L114" s="231"/>
    </row>
    <row r="115" spans="1:12" x14ac:dyDescent="0.2">
      <c r="A115" s="16" t="str">
        <f>IF(AND(U20List[[#This Row],[First &amp; Last Name]]="",U20List[[#This Row],[FISTF Code]]=""),"",ROW()-ROW($A$11))</f>
        <v/>
      </c>
      <c r="B115" s="232"/>
      <c r="C115" s="436"/>
      <c r="D115" s="421" t="str">
        <f>IF(U20List[[#This Row],[First &amp; Last Name]]="","",IFERROR(ISNUMBER(MATCH(U20List[[#This Row],[First &amp; Last Name]],Players[Player Name],0)),FALSE))</f>
        <v/>
      </c>
      <c r="E115" s="421" t="b">
        <f>IF(U20List[[#This Row],[FISTF Code]]="",FALSE,IFERROR(ISNUMBER(MATCH(U20List[[#This Row],[FISTF Code]],Players[FISTF Code],0)),FALSE))</f>
        <v>0</v>
      </c>
      <c r="F115" s="419" t="str">
        <f>IF(AND(U20List[[#This Row],[First &amp; Last Name]]="",U20List[[#This Row],[FISTF Code]]=""),"",IF(U20List[[#This Row],[Valide Code ?]],INDEX(Players[Player Name],MATCH(U20List[[#This Row],[FISTF Code]],Players[FISTF Code],0)),U20List[[#This Row],[First &amp; Last Name]]))</f>
        <v/>
      </c>
      <c r="G115" s="233" t="str">
        <f>IF(U20List[[#This Row],[Retained Player Name]]="","",VLOOKUP(U20List[[#This Row],[Retained Player Name]],Players[],7,FALSE))</f>
        <v/>
      </c>
      <c r="H115" s="235" t="str">
        <f>IF(U20List[[#This Row],[Retained Player Name]]="","",VLOOKUP(U20List[[#This Row],[Retained Player Name]],Players[],6,FALSE))</f>
        <v/>
      </c>
      <c r="I115" s="235" t="str">
        <f>IF(U20List[[#This Row],[Retained Player Name]]="","",VLOOKUP(U20List[[#This Row],[Retained Player Name]],Players[],4,FALSE))</f>
        <v/>
      </c>
      <c r="J11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5" s="231"/>
      <c r="L115" s="231"/>
    </row>
    <row r="116" spans="1:12" x14ac:dyDescent="0.2">
      <c r="A116" s="16" t="str">
        <f>IF(AND(U20List[[#This Row],[First &amp; Last Name]]="",U20List[[#This Row],[FISTF Code]]=""),"",ROW()-ROW($A$11))</f>
        <v/>
      </c>
      <c r="B116" s="232"/>
      <c r="C116" s="436"/>
      <c r="D116" s="421" t="str">
        <f>IF(U20List[[#This Row],[First &amp; Last Name]]="","",IFERROR(ISNUMBER(MATCH(U20List[[#This Row],[First &amp; Last Name]],Players[Player Name],0)),FALSE))</f>
        <v/>
      </c>
      <c r="E116" s="421" t="b">
        <f>IF(U20List[[#This Row],[FISTF Code]]="",FALSE,IFERROR(ISNUMBER(MATCH(U20List[[#This Row],[FISTF Code]],Players[FISTF Code],0)),FALSE))</f>
        <v>0</v>
      </c>
      <c r="F116" s="419" t="str">
        <f>IF(AND(U20List[[#This Row],[First &amp; Last Name]]="",U20List[[#This Row],[FISTF Code]]=""),"",IF(U20List[[#This Row],[Valide Code ?]],INDEX(Players[Player Name],MATCH(U20List[[#This Row],[FISTF Code]],Players[FISTF Code],0)),U20List[[#This Row],[First &amp; Last Name]]))</f>
        <v/>
      </c>
      <c r="G116" s="233" t="str">
        <f>IF(U20List[[#This Row],[Retained Player Name]]="","",VLOOKUP(U20List[[#This Row],[Retained Player Name]],Players[],7,FALSE))</f>
        <v/>
      </c>
      <c r="H116" s="235" t="str">
        <f>IF(U20List[[#This Row],[Retained Player Name]]="","",VLOOKUP(U20List[[#This Row],[Retained Player Name]],Players[],6,FALSE))</f>
        <v/>
      </c>
      <c r="I116" s="235" t="str">
        <f>IF(U20List[[#This Row],[Retained Player Name]]="","",VLOOKUP(U20List[[#This Row],[Retained Player Name]],Players[],4,FALSE))</f>
        <v/>
      </c>
      <c r="J11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6" s="231"/>
      <c r="L116" s="231"/>
    </row>
    <row r="117" spans="1:12" x14ac:dyDescent="0.2">
      <c r="A117" s="16" t="str">
        <f>IF(AND(U20List[[#This Row],[First &amp; Last Name]]="",U20List[[#This Row],[FISTF Code]]=""),"",ROW()-ROW($A$11))</f>
        <v/>
      </c>
      <c r="B117" s="232"/>
      <c r="C117" s="436"/>
      <c r="D117" s="421" t="str">
        <f>IF(U20List[[#This Row],[First &amp; Last Name]]="","",IFERROR(ISNUMBER(MATCH(U20List[[#This Row],[First &amp; Last Name]],Players[Player Name],0)),FALSE))</f>
        <v/>
      </c>
      <c r="E117" s="421" t="b">
        <f>IF(U20List[[#This Row],[FISTF Code]]="",FALSE,IFERROR(ISNUMBER(MATCH(U20List[[#This Row],[FISTF Code]],Players[FISTF Code],0)),FALSE))</f>
        <v>0</v>
      </c>
      <c r="F117" s="419" t="str">
        <f>IF(AND(U20List[[#This Row],[First &amp; Last Name]]="",U20List[[#This Row],[FISTF Code]]=""),"",IF(U20List[[#This Row],[Valide Code ?]],INDEX(Players[Player Name],MATCH(U20List[[#This Row],[FISTF Code]],Players[FISTF Code],0)),U20List[[#This Row],[First &amp; Last Name]]))</f>
        <v/>
      </c>
      <c r="G117" s="233" t="str">
        <f>IF(U20List[[#This Row],[Retained Player Name]]="","",VLOOKUP(U20List[[#This Row],[Retained Player Name]],Players[],7,FALSE))</f>
        <v/>
      </c>
      <c r="H117" s="235" t="str">
        <f>IF(U20List[[#This Row],[Retained Player Name]]="","",VLOOKUP(U20List[[#This Row],[Retained Player Name]],Players[],6,FALSE))</f>
        <v/>
      </c>
      <c r="I117" s="235" t="str">
        <f>IF(U20List[[#This Row],[Retained Player Name]]="","",VLOOKUP(U20List[[#This Row],[Retained Player Name]],Players[],4,FALSE))</f>
        <v/>
      </c>
      <c r="J11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7" s="231"/>
      <c r="L117" s="231"/>
    </row>
    <row r="118" spans="1:12" x14ac:dyDescent="0.2">
      <c r="A118" s="16" t="str">
        <f>IF(AND(U20List[[#This Row],[First &amp; Last Name]]="",U20List[[#This Row],[FISTF Code]]=""),"",ROW()-ROW($A$11))</f>
        <v/>
      </c>
      <c r="B118" s="232"/>
      <c r="C118" s="436"/>
      <c r="D118" s="421" t="str">
        <f>IF(U20List[[#This Row],[First &amp; Last Name]]="","",IFERROR(ISNUMBER(MATCH(U20List[[#This Row],[First &amp; Last Name]],Players[Player Name],0)),FALSE))</f>
        <v/>
      </c>
      <c r="E118" s="421" t="b">
        <f>IF(U20List[[#This Row],[FISTF Code]]="",FALSE,IFERROR(ISNUMBER(MATCH(U20List[[#This Row],[FISTF Code]],Players[FISTF Code],0)),FALSE))</f>
        <v>0</v>
      </c>
      <c r="F118" s="419" t="str">
        <f>IF(AND(U20List[[#This Row],[First &amp; Last Name]]="",U20List[[#This Row],[FISTF Code]]=""),"",IF(U20List[[#This Row],[Valide Code ?]],INDEX(Players[Player Name],MATCH(U20List[[#This Row],[FISTF Code]],Players[FISTF Code],0)),U20List[[#This Row],[First &amp; Last Name]]))</f>
        <v/>
      </c>
      <c r="G118" s="233" t="str">
        <f>IF(U20List[[#This Row],[Retained Player Name]]="","",VLOOKUP(U20List[[#This Row],[Retained Player Name]],Players[],7,FALSE))</f>
        <v/>
      </c>
      <c r="H118" s="235" t="str">
        <f>IF(U20List[[#This Row],[Retained Player Name]]="","",VLOOKUP(U20List[[#This Row],[Retained Player Name]],Players[],6,FALSE))</f>
        <v/>
      </c>
      <c r="I118" s="235" t="str">
        <f>IF(U20List[[#This Row],[Retained Player Name]]="","",VLOOKUP(U20List[[#This Row],[Retained Player Name]],Players[],4,FALSE))</f>
        <v/>
      </c>
      <c r="J11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8" s="231"/>
      <c r="L118" s="231"/>
    </row>
    <row r="119" spans="1:12" x14ac:dyDescent="0.2">
      <c r="A119" s="16" t="str">
        <f>IF(AND(U20List[[#This Row],[First &amp; Last Name]]="",U20List[[#This Row],[FISTF Code]]=""),"",ROW()-ROW($A$11))</f>
        <v/>
      </c>
      <c r="B119" s="232"/>
      <c r="C119" s="436"/>
      <c r="D119" s="421" t="str">
        <f>IF(U20List[[#This Row],[First &amp; Last Name]]="","",IFERROR(ISNUMBER(MATCH(U20List[[#This Row],[First &amp; Last Name]],Players[Player Name],0)),FALSE))</f>
        <v/>
      </c>
      <c r="E119" s="421" t="b">
        <f>IF(U20List[[#This Row],[FISTF Code]]="",FALSE,IFERROR(ISNUMBER(MATCH(U20List[[#This Row],[FISTF Code]],Players[FISTF Code],0)),FALSE))</f>
        <v>0</v>
      </c>
      <c r="F119" s="419" t="str">
        <f>IF(AND(U20List[[#This Row],[First &amp; Last Name]]="",U20List[[#This Row],[FISTF Code]]=""),"",IF(U20List[[#This Row],[Valide Code ?]],INDEX(Players[Player Name],MATCH(U20List[[#This Row],[FISTF Code]],Players[FISTF Code],0)),U20List[[#This Row],[First &amp; Last Name]]))</f>
        <v/>
      </c>
      <c r="G119" s="233" t="str">
        <f>IF(U20List[[#This Row],[Retained Player Name]]="","",VLOOKUP(U20List[[#This Row],[Retained Player Name]],Players[],7,FALSE))</f>
        <v/>
      </c>
      <c r="H119" s="235" t="str">
        <f>IF(U20List[[#This Row],[Retained Player Name]]="","",VLOOKUP(U20List[[#This Row],[Retained Player Name]],Players[],6,FALSE))</f>
        <v/>
      </c>
      <c r="I119" s="235" t="str">
        <f>IF(U20List[[#This Row],[Retained Player Name]]="","",VLOOKUP(U20List[[#This Row],[Retained Player Name]],Players[],4,FALSE))</f>
        <v/>
      </c>
      <c r="J11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9" s="231"/>
      <c r="L119" s="231"/>
    </row>
    <row r="120" spans="1:12" x14ac:dyDescent="0.2">
      <c r="A120" s="16" t="str">
        <f>IF(AND(U20List[[#This Row],[First &amp; Last Name]]="",U20List[[#This Row],[FISTF Code]]=""),"",ROW()-ROW($A$11))</f>
        <v/>
      </c>
      <c r="B120" s="232"/>
      <c r="C120" s="436"/>
      <c r="D120" s="421" t="str">
        <f>IF(U20List[[#This Row],[First &amp; Last Name]]="","",IFERROR(ISNUMBER(MATCH(U20List[[#This Row],[First &amp; Last Name]],Players[Player Name],0)),FALSE))</f>
        <v/>
      </c>
      <c r="E120" s="421" t="b">
        <f>IF(U20List[[#This Row],[FISTF Code]]="",FALSE,IFERROR(ISNUMBER(MATCH(U20List[[#This Row],[FISTF Code]],Players[FISTF Code],0)),FALSE))</f>
        <v>0</v>
      </c>
      <c r="F120" s="419" t="str">
        <f>IF(AND(U20List[[#This Row],[First &amp; Last Name]]="",U20List[[#This Row],[FISTF Code]]=""),"",IF(U20List[[#This Row],[Valide Code ?]],INDEX(Players[Player Name],MATCH(U20List[[#This Row],[FISTF Code]],Players[FISTF Code],0)),U20List[[#This Row],[First &amp; Last Name]]))</f>
        <v/>
      </c>
      <c r="G120" s="233" t="str">
        <f>IF(U20List[[#This Row],[Retained Player Name]]="","",VLOOKUP(U20List[[#This Row],[Retained Player Name]],Players[],7,FALSE))</f>
        <v/>
      </c>
      <c r="H120" s="235" t="str">
        <f>IF(U20List[[#This Row],[Retained Player Name]]="","",VLOOKUP(U20List[[#This Row],[Retained Player Name]],Players[],6,FALSE))</f>
        <v/>
      </c>
      <c r="I120" s="235" t="str">
        <f>IF(U20List[[#This Row],[Retained Player Name]]="","",VLOOKUP(U20List[[#This Row],[Retained Player Name]],Players[],4,FALSE))</f>
        <v/>
      </c>
      <c r="J12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0" s="231"/>
      <c r="L120" s="231"/>
    </row>
    <row r="121" spans="1:12" x14ac:dyDescent="0.2">
      <c r="A121" s="16" t="str">
        <f>IF(AND(U20List[[#This Row],[First &amp; Last Name]]="",U20List[[#This Row],[FISTF Code]]=""),"",ROW()-ROW($A$11))</f>
        <v/>
      </c>
      <c r="B121" s="232"/>
      <c r="C121" s="436"/>
      <c r="D121" s="421" t="str">
        <f>IF(U20List[[#This Row],[First &amp; Last Name]]="","",IFERROR(ISNUMBER(MATCH(U20List[[#This Row],[First &amp; Last Name]],Players[Player Name],0)),FALSE))</f>
        <v/>
      </c>
      <c r="E121" s="421" t="b">
        <f>IF(U20List[[#This Row],[FISTF Code]]="",FALSE,IFERROR(ISNUMBER(MATCH(U20List[[#This Row],[FISTF Code]],Players[FISTF Code],0)),FALSE))</f>
        <v>0</v>
      </c>
      <c r="F121" s="419" t="str">
        <f>IF(AND(U20List[[#This Row],[First &amp; Last Name]]="",U20List[[#This Row],[FISTF Code]]=""),"",IF(U20List[[#This Row],[Valide Code ?]],INDEX(Players[Player Name],MATCH(U20List[[#This Row],[FISTF Code]],Players[FISTF Code],0)),U20List[[#This Row],[First &amp; Last Name]]))</f>
        <v/>
      </c>
      <c r="G121" s="233" t="str">
        <f>IF(U20List[[#This Row],[Retained Player Name]]="","",VLOOKUP(U20List[[#This Row],[Retained Player Name]],Players[],7,FALSE))</f>
        <v/>
      </c>
      <c r="H121" s="235" t="str">
        <f>IF(U20List[[#This Row],[Retained Player Name]]="","",VLOOKUP(U20List[[#This Row],[Retained Player Name]],Players[],6,FALSE))</f>
        <v/>
      </c>
      <c r="I121" s="235" t="str">
        <f>IF(U20List[[#This Row],[Retained Player Name]]="","",VLOOKUP(U20List[[#This Row],[Retained Player Name]],Players[],4,FALSE))</f>
        <v/>
      </c>
      <c r="J12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1" s="231"/>
      <c r="L121" s="231"/>
    </row>
    <row r="122" spans="1:12" x14ac:dyDescent="0.2">
      <c r="A122" s="16" t="str">
        <f>IF(AND(U20List[[#This Row],[First &amp; Last Name]]="",U20List[[#This Row],[FISTF Code]]=""),"",ROW()-ROW($A$11))</f>
        <v/>
      </c>
      <c r="B122" s="232"/>
      <c r="C122" s="436"/>
      <c r="D122" s="421" t="str">
        <f>IF(U20List[[#This Row],[First &amp; Last Name]]="","",IFERROR(ISNUMBER(MATCH(U20List[[#This Row],[First &amp; Last Name]],Players[Player Name],0)),FALSE))</f>
        <v/>
      </c>
      <c r="E122" s="421" t="b">
        <f>IF(U20List[[#This Row],[FISTF Code]]="",FALSE,IFERROR(ISNUMBER(MATCH(U20List[[#This Row],[FISTF Code]],Players[FISTF Code],0)),FALSE))</f>
        <v>0</v>
      </c>
      <c r="F122" s="419" t="str">
        <f>IF(AND(U20List[[#This Row],[First &amp; Last Name]]="",U20List[[#This Row],[FISTF Code]]=""),"",IF(U20List[[#This Row],[Valide Code ?]],INDEX(Players[Player Name],MATCH(U20List[[#This Row],[FISTF Code]],Players[FISTF Code],0)),U20List[[#This Row],[First &amp; Last Name]]))</f>
        <v/>
      </c>
      <c r="G122" s="233" t="str">
        <f>IF(U20List[[#This Row],[Retained Player Name]]="","",VLOOKUP(U20List[[#This Row],[Retained Player Name]],Players[],7,FALSE))</f>
        <v/>
      </c>
      <c r="H122" s="235" t="str">
        <f>IF(U20List[[#This Row],[Retained Player Name]]="","",VLOOKUP(U20List[[#This Row],[Retained Player Name]],Players[],6,FALSE))</f>
        <v/>
      </c>
      <c r="I122" s="235" t="str">
        <f>IF(U20List[[#This Row],[Retained Player Name]]="","",VLOOKUP(U20List[[#This Row],[Retained Player Name]],Players[],4,FALSE))</f>
        <v/>
      </c>
      <c r="J12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2" s="231"/>
      <c r="L122" s="231"/>
    </row>
    <row r="123" spans="1:12" x14ac:dyDescent="0.2">
      <c r="A123" s="16" t="str">
        <f>IF(AND(U20List[[#This Row],[First &amp; Last Name]]="",U20List[[#This Row],[FISTF Code]]=""),"",ROW()-ROW($A$11))</f>
        <v/>
      </c>
      <c r="B123" s="232"/>
      <c r="C123" s="436"/>
      <c r="D123" s="421" t="str">
        <f>IF(U20List[[#This Row],[First &amp; Last Name]]="","",IFERROR(ISNUMBER(MATCH(U20List[[#This Row],[First &amp; Last Name]],Players[Player Name],0)),FALSE))</f>
        <v/>
      </c>
      <c r="E123" s="421" t="b">
        <f>IF(U20List[[#This Row],[FISTF Code]]="",FALSE,IFERROR(ISNUMBER(MATCH(U20List[[#This Row],[FISTF Code]],Players[FISTF Code],0)),FALSE))</f>
        <v>0</v>
      </c>
      <c r="F123" s="419" t="str">
        <f>IF(AND(U20List[[#This Row],[First &amp; Last Name]]="",U20List[[#This Row],[FISTF Code]]=""),"",IF(U20List[[#This Row],[Valide Code ?]],INDEX(Players[Player Name],MATCH(U20List[[#This Row],[FISTF Code]],Players[FISTF Code],0)),U20List[[#This Row],[First &amp; Last Name]]))</f>
        <v/>
      </c>
      <c r="G123" s="233" t="str">
        <f>IF(U20List[[#This Row],[Retained Player Name]]="","",VLOOKUP(U20List[[#This Row],[Retained Player Name]],Players[],7,FALSE))</f>
        <v/>
      </c>
      <c r="H123" s="235" t="str">
        <f>IF(U20List[[#This Row],[Retained Player Name]]="","",VLOOKUP(U20List[[#This Row],[Retained Player Name]],Players[],6,FALSE))</f>
        <v/>
      </c>
      <c r="I123" s="235" t="str">
        <f>IF(U20List[[#This Row],[Retained Player Name]]="","",VLOOKUP(U20List[[#This Row],[Retained Player Name]],Players[],4,FALSE))</f>
        <v/>
      </c>
      <c r="J12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3" s="231"/>
      <c r="L123" s="231"/>
    </row>
    <row r="124" spans="1:12" x14ac:dyDescent="0.2">
      <c r="A124" s="19" t="str">
        <f>IF(AND(U20List[[#This Row],[First &amp; Last Name]]="",U20List[[#This Row],[FISTF Code]]=""),"",ROW()-ROW($A$11))</f>
        <v/>
      </c>
      <c r="B124" s="232"/>
      <c r="C124" s="436"/>
      <c r="D124" s="421" t="str">
        <f>IF(U20List[[#This Row],[First &amp; Last Name]]="","",IFERROR(ISNUMBER(MATCH(U20List[[#This Row],[First &amp; Last Name]],Players[Player Name],0)),FALSE))</f>
        <v/>
      </c>
      <c r="E124" s="421" t="b">
        <f>IF(U20List[[#This Row],[FISTF Code]]="",FALSE,IFERROR(ISNUMBER(MATCH(U20List[[#This Row],[FISTF Code]],Players[FISTF Code],0)),FALSE))</f>
        <v>0</v>
      </c>
      <c r="F124" s="419" t="str">
        <f>IF(AND(U20List[[#This Row],[First &amp; Last Name]]="",U20List[[#This Row],[FISTF Code]]=""),"",IF(U20List[[#This Row],[Valide Code ?]],INDEX(Players[Player Name],MATCH(U20List[[#This Row],[FISTF Code]],Players[FISTF Code],0)),U20List[[#This Row],[First &amp; Last Name]]))</f>
        <v/>
      </c>
      <c r="G124" s="233" t="str">
        <f>IF(U20List[[#This Row],[Retained Player Name]]="","",VLOOKUP(U20List[[#This Row],[Retained Player Name]],Players[],7,FALSE))</f>
        <v/>
      </c>
      <c r="H124" s="235" t="str">
        <f>IF(U20List[[#This Row],[Retained Player Name]]="","",VLOOKUP(U20List[[#This Row],[Retained Player Name]],Players[],6,FALSE))</f>
        <v/>
      </c>
      <c r="I124" s="235" t="str">
        <f>IF(U20List[[#This Row],[Retained Player Name]]="","",VLOOKUP(U20List[[#This Row],[Retained Player Name]],Players[],4,FALSE))</f>
        <v/>
      </c>
      <c r="J12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4" s="231"/>
      <c r="L124" s="231"/>
    </row>
    <row r="125" spans="1:12" x14ac:dyDescent="0.2">
      <c r="A125" s="19" t="str">
        <f>IF(AND(U20List[[#This Row],[First &amp; Last Name]]="",U20List[[#This Row],[FISTF Code]]=""),"",ROW()-ROW($A$11))</f>
        <v/>
      </c>
      <c r="B125" s="232"/>
      <c r="C125" s="436"/>
      <c r="D125" s="421" t="str">
        <f>IF(U20List[[#This Row],[First &amp; Last Name]]="","",IFERROR(ISNUMBER(MATCH(U20List[[#This Row],[First &amp; Last Name]],Players[Player Name],0)),FALSE))</f>
        <v/>
      </c>
      <c r="E125" s="421" t="b">
        <f>IF(U20List[[#This Row],[FISTF Code]]="",FALSE,IFERROR(ISNUMBER(MATCH(U20List[[#This Row],[FISTF Code]],Players[FISTF Code],0)),FALSE))</f>
        <v>0</v>
      </c>
      <c r="F125" s="419" t="str">
        <f>IF(AND(U20List[[#This Row],[First &amp; Last Name]]="",U20List[[#This Row],[FISTF Code]]=""),"",IF(U20List[[#This Row],[Valide Code ?]],INDEX(Players[Player Name],MATCH(U20List[[#This Row],[FISTF Code]],Players[FISTF Code],0)),U20List[[#This Row],[First &amp; Last Name]]))</f>
        <v/>
      </c>
      <c r="G125" s="233" t="str">
        <f>IF(U20List[[#This Row],[Retained Player Name]]="","",VLOOKUP(U20List[[#This Row],[Retained Player Name]],Players[],7,FALSE))</f>
        <v/>
      </c>
      <c r="H125" s="235" t="str">
        <f>IF(U20List[[#This Row],[Retained Player Name]]="","",VLOOKUP(U20List[[#This Row],[Retained Player Name]],Players[],6,FALSE))</f>
        <v/>
      </c>
      <c r="I125" s="235" t="str">
        <f>IF(U20List[[#This Row],[Retained Player Name]]="","",VLOOKUP(U20List[[#This Row],[Retained Player Name]],Players[],4,FALSE))</f>
        <v/>
      </c>
      <c r="J12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5" s="231"/>
      <c r="L125" s="231"/>
    </row>
    <row r="126" spans="1:12" x14ac:dyDescent="0.2">
      <c r="A126" s="10"/>
    </row>
  </sheetData>
  <sheetProtection algorithmName="SHA-512" hashValue="v7K7WsSP9dcsk3d3O9IBzeaWIqNb1VVlfpRnKzPXpMAInVQlHkh08E6rBYhxfyJJVKed3oqwjzEmhKJI10pTrQ==" saltValue="dg5dUHgq55LCuIy8D14Bcw==" spinCount="100000" sheet="1" objects="1" scenarios="1" formatCells="0" formatColumns="0" formatRows="0" selectLockedCells="1" sort="0" autoFilter="0" pivotTables="0"/>
  <conditionalFormatting sqref="A6:A9">
    <cfRule type="expression" dxfId="94" priority="11">
      <formula>$K6="Withdraw"</formula>
    </cfRule>
  </conditionalFormatting>
  <conditionalFormatting sqref="A20:B125 A12:A19 D12:J125">
    <cfRule type="expression" dxfId="93" priority="15">
      <formula>$K12&lt;&gt;""</formula>
    </cfRule>
  </conditionalFormatting>
  <conditionalFormatting sqref="B12:B19">
    <cfRule type="expression" dxfId="92" priority="4">
      <formula>$K12&lt;&gt;""</formula>
    </cfRule>
  </conditionalFormatting>
  <conditionalFormatting sqref="B12:B125">
    <cfRule type="expression" dxfId="91" priority="1">
      <formula>AND(NOT(ISBLANK(B12)),NOT(D12))</formula>
    </cfRule>
    <cfRule type="expression" dxfId="90" priority="2">
      <formula>AND($B12&lt;&gt;"",$B12&lt;&gt;$F12)</formula>
    </cfRule>
    <cfRule type="expression" dxfId="89" priority="3">
      <formula>D12</formula>
    </cfRule>
  </conditionalFormatting>
  <conditionalFormatting sqref="C12:C125">
    <cfRule type="expression" dxfId="88" priority="5">
      <formula>AND(E12,C12&lt;&gt;"")</formula>
    </cfRule>
    <cfRule type="expression" dxfId="87" priority="6">
      <formula>AND(NOT(ISBLANK(C12)),NOT(E12))</formula>
    </cfRule>
    <cfRule type="expression" dxfId="86" priority="7">
      <formula>$K12&lt;&gt;""</formula>
    </cfRule>
  </conditionalFormatting>
  <conditionalFormatting sqref="G6:G9">
    <cfRule type="expression" dxfId="85" priority="10">
      <formula>$K6="Withdraw"</formula>
    </cfRule>
  </conditionalFormatting>
  <conditionalFormatting sqref="G12:J125">
    <cfRule type="expression" dxfId="84" priority="16">
      <formula>NOT(_xlfn.ISFORMULA(G12))</formula>
    </cfRule>
  </conditionalFormatting>
  <conditionalFormatting sqref="J6:J9">
    <cfRule type="expression" dxfId="83" priority="9">
      <formula>$K6="Withdraw"</formula>
    </cfRule>
  </conditionalFormatting>
  <dataValidations count="3">
    <dataValidation type="list" allowBlank="1" showInputMessage="1" showErrorMessage="1" sqref="K12:K125" xr:uid="{00CE55D9-9B4E-4C76-A5E9-0B091FAAF1CC}">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E99DCCCA-F41C-490D-94C4-E8255B9278B0}">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98356366-F9D9-49C3-892E-30A16D52BF8D}">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D9F0D-D3A4-4323-BFA6-AFC9ABF74C16}">
  <sheetPr codeName="Feuil21">
    <tabColor rgb="FFFFCC66"/>
    <pageSetUpPr fitToPage="1"/>
  </sheetPr>
  <dimension ref="A1:M126"/>
  <sheetViews>
    <sheetView showGridLines="0" topLeftCell="A11" zoomScaleNormal="100" zoomScaleSheetLayoutView="85" workbookViewId="0">
      <selection activeCell="F13" sqref="F13"/>
    </sheetView>
  </sheetViews>
  <sheetFormatPr defaultColWidth="0" defaultRowHeight="12.75" zeroHeight="1" x14ac:dyDescent="0.2"/>
  <cols>
    <col min="1" max="1" width="4.85546875" style="9" bestFit="1" customWidth="1"/>
    <col min="2" max="2" width="23.7109375" style="7" customWidth="1"/>
    <col min="3" max="3" width="13.5703125" style="7" customWidth="1"/>
    <col min="4" max="4" width="13.42578125" style="7" hidden="1" customWidth="1"/>
    <col min="5" max="5" width="14.140625" style="7" hidden="1" customWidth="1"/>
    <col min="6" max="6" width="23.7109375" style="7" customWidth="1"/>
    <col min="7" max="7" width="8.42578125" style="9" bestFit="1" customWidth="1"/>
    <col min="8" max="8" width="25.85546875" style="9" customWidth="1"/>
    <col min="9" max="9" width="12.140625" style="9" customWidth="1"/>
    <col min="10" max="10" width="11.85546875" style="7" customWidth="1"/>
    <col min="11" max="11" width="12.28515625" style="7" customWidth="1"/>
    <col min="12" max="12" width="26.28515625" style="7" customWidth="1"/>
    <col min="13" max="13" width="4.5703125" style="7" customWidth="1"/>
    <col min="14" max="16384" width="4" style="7" hidden="1"/>
  </cols>
  <sheetData>
    <row r="1" spans="1:13" s="226" customFormat="1" ht="102" x14ac:dyDescent="0.2">
      <c r="A1" s="221" t="s">
        <v>13177</v>
      </c>
      <c r="B1" s="221"/>
      <c r="C1" s="221"/>
      <c r="D1" s="221"/>
      <c r="E1" s="221"/>
      <c r="F1" s="221"/>
      <c r="G1" s="222"/>
      <c r="H1" s="223"/>
      <c r="I1" s="224"/>
      <c r="J1" s="225"/>
      <c r="K1" s="225"/>
      <c r="L1" s="225"/>
    </row>
    <row r="2" spans="1:13" s="226" customFormat="1" ht="18.75" thickBot="1" x14ac:dyDescent="0.3">
      <c r="A2" s="227" t="s">
        <v>13178</v>
      </c>
      <c r="B2" s="227"/>
      <c r="C2" s="227"/>
      <c r="D2" s="227"/>
      <c r="E2" s="227"/>
      <c r="F2" s="227"/>
      <c r="G2" s="228"/>
      <c r="H2" s="228"/>
      <c r="I2" s="229"/>
      <c r="J2" s="225"/>
      <c r="K2" s="225"/>
      <c r="L2" s="225"/>
    </row>
    <row r="3" spans="1:13" s="226" customFormat="1" ht="18" x14ac:dyDescent="0.25">
      <c r="A3" s="429" t="s">
        <v>13161</v>
      </c>
      <c r="B3" s="424"/>
      <c r="C3" s="424"/>
      <c r="D3" s="424"/>
      <c r="E3" s="424"/>
      <c r="F3" s="424"/>
      <c r="G3" s="425"/>
      <c r="H3" s="425"/>
      <c r="I3" s="425"/>
      <c r="J3" s="426"/>
      <c r="K3" s="426"/>
      <c r="L3" s="427"/>
    </row>
    <row r="4" spans="1:13" s="226" customFormat="1" ht="18" x14ac:dyDescent="0.25">
      <c r="A4" s="456"/>
      <c r="B4" s="453" t="s">
        <v>13167</v>
      </c>
      <c r="C4" s="443"/>
      <c r="D4" s="443"/>
      <c r="E4" s="443"/>
      <c r="F4" s="443"/>
      <c r="G4" s="444"/>
      <c r="H4" s="453" t="s">
        <v>13168</v>
      </c>
      <c r="I4" s="444"/>
      <c r="L4" s="442"/>
    </row>
    <row r="5" spans="1:13" s="435" customFormat="1" ht="11.25" x14ac:dyDescent="0.2">
      <c r="A5" s="457" t="s">
        <v>6</v>
      </c>
      <c r="B5" s="418" t="s">
        <v>7</v>
      </c>
      <c r="C5" s="418" t="s">
        <v>12</v>
      </c>
      <c r="D5" s="432"/>
      <c r="E5" s="432"/>
      <c r="F5" s="432"/>
      <c r="G5" s="417" t="s">
        <v>6</v>
      </c>
      <c r="H5" s="418" t="s">
        <v>7</v>
      </c>
      <c r="I5" s="418" t="s">
        <v>12</v>
      </c>
      <c r="J5" s="418" t="s">
        <v>13160</v>
      </c>
      <c r="K5" s="433"/>
      <c r="L5" s="434"/>
    </row>
    <row r="6" spans="1:13" s="226" customFormat="1" x14ac:dyDescent="0.2">
      <c r="A6" s="458">
        <v>1</v>
      </c>
      <c r="B6" s="446" t="s">
        <v>13164</v>
      </c>
      <c r="C6" s="447"/>
      <c r="D6" s="423"/>
      <c r="E6" s="423"/>
      <c r="F6" s="423"/>
      <c r="G6" s="445">
        <v>1</v>
      </c>
      <c r="H6" s="446" t="s">
        <v>13165</v>
      </c>
      <c r="I6" s="466" t="s">
        <v>13159</v>
      </c>
      <c r="J6" s="448" t="s">
        <v>13165</v>
      </c>
      <c r="K6" s="430"/>
      <c r="L6" s="431"/>
    </row>
    <row r="7" spans="1:13" s="226" customFormat="1" x14ac:dyDescent="0.2">
      <c r="A7" s="458">
        <v>2</v>
      </c>
      <c r="B7" s="449" t="s">
        <v>13163</v>
      </c>
      <c r="C7" s="450"/>
      <c r="D7" s="423"/>
      <c r="E7" s="423"/>
      <c r="F7" s="423"/>
      <c r="G7" s="445">
        <v>2</v>
      </c>
      <c r="H7" s="449" t="s">
        <v>13163</v>
      </c>
      <c r="I7" s="467" t="s">
        <v>13159</v>
      </c>
      <c r="J7" s="448" t="s">
        <v>13165</v>
      </c>
      <c r="K7" s="430"/>
      <c r="L7" s="431"/>
    </row>
    <row r="8" spans="1:13" s="226" customFormat="1" ht="25.5" x14ac:dyDescent="0.2">
      <c r="A8" s="458">
        <v>3</v>
      </c>
      <c r="B8" s="447"/>
      <c r="C8" s="449" t="s">
        <v>13162</v>
      </c>
      <c r="D8" s="423"/>
      <c r="E8" s="423"/>
      <c r="F8" s="423"/>
      <c r="G8" s="445">
        <v>3</v>
      </c>
      <c r="H8" s="451" t="s">
        <v>13166</v>
      </c>
      <c r="I8" s="466" t="s">
        <v>13159</v>
      </c>
      <c r="J8" s="452" t="s">
        <v>13165</v>
      </c>
      <c r="K8" s="430"/>
      <c r="L8" s="431"/>
    </row>
    <row r="9" spans="1:13" s="226" customFormat="1" ht="26.25" thickBot="1" x14ac:dyDescent="0.25">
      <c r="A9" s="459">
        <v>4</v>
      </c>
      <c r="B9" s="460"/>
      <c r="C9" s="461" t="s">
        <v>13169</v>
      </c>
      <c r="D9" s="428"/>
      <c r="E9" s="428"/>
      <c r="F9" s="428"/>
      <c r="G9" s="462" t="str">
        <f t="shared" ref="G9" si="0">IF(H9="","",ROW()-ROW(G8))</f>
        <v/>
      </c>
      <c r="H9" s="460"/>
      <c r="I9" s="460"/>
      <c r="J9" s="463"/>
      <c r="K9" s="464"/>
      <c r="L9" s="465"/>
    </row>
    <row r="10" spans="1:13" ht="34.5" customHeight="1" x14ac:dyDescent="0.4">
      <c r="A10" s="454" t="s">
        <v>12291</v>
      </c>
      <c r="B10" s="455"/>
      <c r="C10" s="455"/>
      <c r="D10" s="455"/>
      <c r="E10" s="455"/>
      <c r="F10" s="455"/>
      <c r="G10" s="455"/>
      <c r="H10" s="455"/>
      <c r="I10" s="455"/>
      <c r="J10" s="455"/>
      <c r="K10" s="455"/>
      <c r="L10" s="455" t="s">
        <v>1023</v>
      </c>
    </row>
    <row r="11" spans="1:13" s="8" customFormat="1" ht="22.5" x14ac:dyDescent="0.2">
      <c r="A11" s="438" t="s">
        <v>6</v>
      </c>
      <c r="B11" s="439" t="s">
        <v>7</v>
      </c>
      <c r="C11" s="438" t="s">
        <v>12</v>
      </c>
      <c r="D11" s="438" t="s">
        <v>13157</v>
      </c>
      <c r="E11" s="438" t="s">
        <v>13158</v>
      </c>
      <c r="F11" s="439" t="s">
        <v>13160</v>
      </c>
      <c r="G11" s="438" t="s">
        <v>8</v>
      </c>
      <c r="H11" s="439" t="s">
        <v>9</v>
      </c>
      <c r="I11" s="440" t="s">
        <v>13156</v>
      </c>
      <c r="J11" s="440" t="s">
        <v>12285</v>
      </c>
      <c r="K11" s="440" t="s">
        <v>10890</v>
      </c>
      <c r="L11" s="441" t="s">
        <v>10891</v>
      </c>
      <c r="M11" s="7"/>
    </row>
    <row r="12" spans="1:13" s="8" customFormat="1" ht="12.75" customHeight="1" x14ac:dyDescent="0.2">
      <c r="A12" s="16">
        <f>IF(AND(U16List[[#This Row],[First &amp; Last Name]]="",U16List[[#This Row],[FISTF Code]]=""),"",ROW()-ROW($A$11))</f>
        <v>1</v>
      </c>
      <c r="B12" s="232" t="s">
        <v>8722</v>
      </c>
      <c r="C12" s="436"/>
      <c r="D12" s="421" t="b">
        <f>IF(U16List[[#This Row],[First &amp; Last Name]]="","",IFERROR(ISNUMBER(MATCH(U16List[[#This Row],[First &amp; Last Name]],Players[Player Name],0)),FALSE))</f>
        <v>1</v>
      </c>
      <c r="E12" s="421" t="b">
        <f>IF(U16List[[#This Row],[FISTF Code]]="",FALSE,IFERROR(ISNUMBER(MATCH(U16List[[#This Row],[FISTF Code]],Players[FISTF Code],0)),FALSE))</f>
        <v>0</v>
      </c>
      <c r="F12" s="419" t="str">
        <f>IF(AND(U16List[[#This Row],[First &amp; Last Name]]="",U16List[[#This Row],[FISTF Code]]=""),"",IF(U16List[[#This Row],[Valide Code ?]],INDEX(Players[Player Name],MATCH(U16List[[#This Row],[FISTF Code]],Players[FISTF Code],0)),U16List[[#This Row],[First &amp; Last Name]]))</f>
        <v>Louis Soret</v>
      </c>
      <c r="G12" s="233" t="str">
        <f>IF(U16List[[#This Row],[Retained Player Name]]="","",VLOOKUP(U16List[[#This Row],[Retained Player Name]],Players[],7,FALSE))</f>
        <v>FRA</v>
      </c>
      <c r="H12" s="233" t="str">
        <f>IF(U16List[[#This Row],[Retained Player Name]]="","",VLOOKUP(U16List[[#This Row],[Retained Player Name]],Players[],6,FALSE))</f>
        <v>Avenir Subbuteo Hennuyer</v>
      </c>
      <c r="I12" s="234" t="str">
        <f>IF(U16List[[#This Row],[Retained Player Name]]="","",VLOOKUP(U16List[[#This Row],[Retained Player Name]],Players[],4,FALSE))</f>
        <v>FRA0169</v>
      </c>
      <c r="J12"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R</v>
      </c>
      <c r="K12" s="230"/>
      <c r="L12" s="230"/>
      <c r="M12" s="7"/>
    </row>
    <row r="13" spans="1:13" s="8" customFormat="1" ht="12.75" customHeight="1" x14ac:dyDescent="0.2">
      <c r="A13" s="16">
        <f>IF(AND(U16List[[#This Row],[First &amp; Last Name]]="",U16List[[#This Row],[FISTF Code]]=""),"",ROW()-ROW($A$11))</f>
        <v>2</v>
      </c>
      <c r="B13" s="232" t="s">
        <v>8161</v>
      </c>
      <c r="C13" s="436"/>
      <c r="D13" s="421" t="b">
        <f>IF(U16List[[#This Row],[First &amp; Last Name]]="","",IFERROR(ISNUMBER(MATCH(U16List[[#This Row],[First &amp; Last Name]],Players[Player Name],0)),FALSE))</f>
        <v>1</v>
      </c>
      <c r="E13" s="421" t="b">
        <f>IF(U16List[[#This Row],[FISTF Code]]="",FALSE,IFERROR(ISNUMBER(MATCH(U16List[[#This Row],[FISTF Code]],Players[FISTF Code],0)),FALSE))</f>
        <v>0</v>
      </c>
      <c r="F13" s="419" t="str">
        <f>IF(AND(U16List[[#This Row],[First &amp; Last Name]]="",U16List[[#This Row],[FISTF Code]]=""),"",IF(U16List[[#This Row],[Valide Code ?]],INDEX(Players[Player Name],MATCH(U16List[[#This Row],[FISTF Code]],Players[FISTF Code],0)),U16List[[#This Row],[First &amp; Last Name]]))</f>
        <v>Benjamin Marain</v>
      </c>
      <c r="G13" s="233" t="str">
        <f>IF(U16List[[#This Row],[Retained Player Name]]="","",VLOOKUP(U16List[[#This Row],[Retained Player Name]],Players[],7,FALSE))</f>
        <v>BEL</v>
      </c>
      <c r="H13" s="233" t="str">
        <f>IF(U16List[[#This Row],[Retained Player Name]]="","",VLOOKUP(U16List[[#This Row],[Retained Player Name]],Players[],6,FALSE))</f>
        <v>Avenir Subbuteo Hennuyer</v>
      </c>
      <c r="I13" s="234" t="str">
        <f>IF(U16List[[#This Row],[Retained Player Name]]="","",VLOOKUP(U16List[[#This Row],[Retained Player Name]],Players[],4,FALSE))</f>
        <v>BEL0298</v>
      </c>
      <c r="J13"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Q</v>
      </c>
      <c r="K13" s="230"/>
      <c r="L13" s="230"/>
      <c r="M13" s="7"/>
    </row>
    <row r="14" spans="1:13" s="8" customFormat="1" ht="12.75" customHeight="1" x14ac:dyDescent="0.2">
      <c r="A14" s="16">
        <f>IF(AND(U16List[[#This Row],[First &amp; Last Name]]="",U16List[[#This Row],[FISTF Code]]=""),"",ROW()-ROW($A$11))</f>
        <v>3</v>
      </c>
      <c r="B14" s="232" t="s">
        <v>8162</v>
      </c>
      <c r="C14" s="436"/>
      <c r="D14" s="421" t="b">
        <f>IF(U16List[[#This Row],[First &amp; Last Name]]="","",IFERROR(ISNUMBER(MATCH(U16List[[#This Row],[First &amp; Last Name]],Players[Player Name],0)),FALSE))</f>
        <v>1</v>
      </c>
      <c r="E14" s="421" t="b">
        <f>IF(U16List[[#This Row],[FISTF Code]]="",FALSE,IFERROR(ISNUMBER(MATCH(U16List[[#This Row],[FISTF Code]],Players[FISTF Code],0)),FALSE))</f>
        <v>0</v>
      </c>
      <c r="F14" s="419" t="str">
        <f>IF(AND(U16List[[#This Row],[First &amp; Last Name]]="",U16List[[#This Row],[FISTF Code]]=""),"",IF(U16List[[#This Row],[Valide Code ?]],INDEX(Players[Player Name],MATCH(U16List[[#This Row],[FISTF Code]],Players[FISTF Code],0)),U16List[[#This Row],[First &amp; Last Name]]))</f>
        <v>Jérôme Cyganek</v>
      </c>
      <c r="G14" s="233" t="str">
        <f>IF(U16List[[#This Row],[Retained Player Name]]="","",VLOOKUP(U16List[[#This Row],[Retained Player Name]],Players[],7,FALSE))</f>
        <v>BEL</v>
      </c>
      <c r="H14" s="233" t="str">
        <f>IF(U16List[[#This Row],[Retained Player Name]]="","",VLOOKUP(U16List[[#This Row],[Retained Player Name]],Players[],6,FALSE))</f>
        <v>Avenir Subbuteo Hennuyer</v>
      </c>
      <c r="I14" s="234" t="str">
        <f>IF(U16List[[#This Row],[Retained Player Name]]="","",VLOOKUP(U16List[[#This Row],[Retained Player Name]],Players[],4,FALSE))</f>
        <v>BEL0300</v>
      </c>
      <c r="J14"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S</v>
      </c>
      <c r="K14" s="230"/>
      <c r="L14" s="230"/>
      <c r="M14" s="7"/>
    </row>
    <row r="15" spans="1:13" s="8" customFormat="1" ht="12.75" customHeight="1" x14ac:dyDescent="0.2">
      <c r="A15" s="16">
        <f>IF(AND(U16List[[#This Row],[First &amp; Last Name]]="",U16List[[#This Row],[FISTF Code]]=""),"",ROW()-ROW($A$11))</f>
        <v>4</v>
      </c>
      <c r="B15" s="232" t="s">
        <v>8589</v>
      </c>
      <c r="C15" s="436"/>
      <c r="D15" s="421" t="b">
        <f>IF(U16List[[#This Row],[First &amp; Last Name]]="","",IFERROR(ISNUMBER(MATCH(U16List[[#This Row],[First &amp; Last Name]],Players[Player Name],0)),FALSE))</f>
        <v>1</v>
      </c>
      <c r="E15" s="421" t="b">
        <f>IF(U16List[[#This Row],[FISTF Code]]="",FALSE,IFERROR(ISNUMBER(MATCH(U16List[[#This Row],[FISTF Code]],Players[FISTF Code],0)),FALSE))</f>
        <v>0</v>
      </c>
      <c r="F15" s="419" t="str">
        <f>IF(AND(U16List[[#This Row],[First &amp; Last Name]]="",U16List[[#This Row],[FISTF Code]]=""),"",IF(U16List[[#This Row],[Valide Code ?]],INDEX(Players[Player Name],MATCH(U16List[[#This Row],[FISTF Code]],Players[FISTF Code],0)),U16List[[#This Row],[First &amp; Last Name]]))</f>
        <v>Ruby Matthews</v>
      </c>
      <c r="G15" s="233" t="str">
        <f>IF(U16List[[#This Row],[Retained Player Name]]="","",VLOOKUP(U16List[[#This Row],[Retained Player Name]],Players[],7,FALSE))</f>
        <v>ENG</v>
      </c>
      <c r="H15" s="233" t="str">
        <f>IF(U16List[[#This Row],[Retained Player Name]]="","",VLOOKUP(U16List[[#This Row],[Retained Player Name]],Players[],6,FALSE))</f>
        <v>Avenir Subbuteo Hennuyer</v>
      </c>
      <c r="I15" s="234" t="str">
        <f>IF(U16List[[#This Row],[Retained Player Name]]="","",VLOOKUP(U16List[[#This Row],[Retained Player Name]],Players[],4,FALSE))</f>
        <v>ENG1010</v>
      </c>
      <c r="J15"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S</v>
      </c>
      <c r="K15" s="230"/>
      <c r="L15" s="230"/>
      <c r="M15" s="7"/>
    </row>
    <row r="16" spans="1:13" s="8" customFormat="1" ht="12.75" customHeight="1" x14ac:dyDescent="0.2">
      <c r="A16" s="16">
        <f>IF(AND(U16List[[#This Row],[First &amp; Last Name]]="",U16List[[#This Row],[FISTF Code]]=""),"",ROW()-ROW($A$11))</f>
        <v>5</v>
      </c>
      <c r="B16" s="232" t="s">
        <v>10446</v>
      </c>
      <c r="C16" s="436"/>
      <c r="D16" s="421" t="b">
        <f>IF(U16List[[#This Row],[First &amp; Last Name]]="","",IFERROR(ISNUMBER(MATCH(U16List[[#This Row],[First &amp; Last Name]],Players[Player Name],0)),FALSE))</f>
        <v>1</v>
      </c>
      <c r="E16" s="421" t="b">
        <f>IF(U16List[[#This Row],[FISTF Code]]="",FALSE,IFERROR(ISNUMBER(MATCH(U16List[[#This Row],[FISTF Code]],Players[FISTF Code],0)),FALSE))</f>
        <v>0</v>
      </c>
      <c r="F16" s="419" t="str">
        <f>IF(AND(U16List[[#This Row],[First &amp; Last Name]]="",U16List[[#This Row],[FISTF Code]]=""),"",IF(U16List[[#This Row],[Valide Code ?]],INDEX(Players[Player Name],MATCH(U16List[[#This Row],[FISTF Code]],Players[FISTF Code],0)),U16List[[#This Row],[First &amp; Last Name]]))</f>
        <v>Robert Farrugia Randon</v>
      </c>
      <c r="G16" s="233" t="str">
        <f>IF(U16List[[#This Row],[Retained Player Name]]="","",VLOOKUP(U16List[[#This Row],[Retained Player Name]],Players[],7,FALSE))</f>
        <v>MLT</v>
      </c>
      <c r="H16" s="233" t="str">
        <f>IF(U16List[[#This Row],[Retained Player Name]]="","",VLOOKUP(U16List[[#This Row],[Retained Player Name]],Players[],6,FALSE))</f>
        <v>H'Attard SC</v>
      </c>
      <c r="I16" s="234" t="str">
        <f>IF(U16List[[#This Row],[Retained Player Name]]="","",VLOOKUP(U16List[[#This Row],[Retained Player Name]],Players[],4,FALSE))</f>
        <v>MLT0122</v>
      </c>
      <c r="J16"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W</v>
      </c>
      <c r="K16" s="230"/>
      <c r="L16" s="230"/>
      <c r="M16" s="7"/>
    </row>
    <row r="17" spans="1:13" s="8" customFormat="1" ht="12.75" customHeight="1" x14ac:dyDescent="0.2">
      <c r="A17" s="16">
        <f>IF(AND(U16List[[#This Row],[First &amp; Last Name]]="",U16List[[#This Row],[FISTF Code]]=""),"",ROW()-ROW($A$11))</f>
        <v>6</v>
      </c>
      <c r="B17" s="232" t="s">
        <v>8193</v>
      </c>
      <c r="C17" s="436"/>
      <c r="D17" s="421" t="b">
        <f>IF(U16List[[#This Row],[First &amp; Last Name]]="","",IFERROR(ISNUMBER(MATCH(U16List[[#This Row],[First &amp; Last Name]],Players[Player Name],0)),FALSE))</f>
        <v>1</v>
      </c>
      <c r="E17" s="421" t="b">
        <f>IF(U16List[[#This Row],[FISTF Code]]="",FALSE,IFERROR(ISNUMBER(MATCH(U16List[[#This Row],[FISTF Code]],Players[FISTF Code],0)),FALSE))</f>
        <v>0</v>
      </c>
      <c r="F17" s="419" t="str">
        <f>IF(AND(U16List[[#This Row],[First &amp; Last Name]]="",U16List[[#This Row],[FISTF Code]]=""),"",IF(U16List[[#This Row],[Valide Code ?]],INDEX(Players[Player Name],MATCH(U16List[[#This Row],[FISTF Code]],Players[FISTF Code],0)),U16List[[#This Row],[First &amp; Last Name]]))</f>
        <v>Noah Dirick</v>
      </c>
      <c r="G17" s="233" t="str">
        <f>IF(U16List[[#This Row],[Retained Player Name]]="","",VLOOKUP(U16List[[#This Row],[Retained Player Name]],Players[],7,FALSE))</f>
        <v>BEL</v>
      </c>
      <c r="H17" s="233" t="str">
        <f>IF(U16List[[#This Row],[Retained Player Name]]="","",VLOOKUP(U16List[[#This Row],[Retained Player Name]],Players[],6,FALSE))</f>
        <v>Wamme SC</v>
      </c>
      <c r="I17" s="234" t="str">
        <f>IF(U16List[[#This Row],[Retained Player Name]]="","",VLOOKUP(U16List[[#This Row],[Retained Player Name]],Players[],4,FALSE))</f>
        <v>BEL0444</v>
      </c>
      <c r="J17"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Q</v>
      </c>
      <c r="K17" s="230"/>
      <c r="L17" s="230"/>
      <c r="M17" s="7"/>
    </row>
    <row r="18" spans="1:13" s="8" customFormat="1" ht="12.75" customHeight="1" x14ac:dyDescent="0.2">
      <c r="A18" s="16">
        <f>IF(AND(U16List[[#This Row],[First &amp; Last Name]]="",U16List[[#This Row],[FISTF Code]]=""),"",ROW()-ROW($A$11))</f>
        <v>7</v>
      </c>
      <c r="B18" s="232" t="s">
        <v>8721</v>
      </c>
      <c r="C18" s="436"/>
      <c r="D18" s="421" t="b">
        <f>IF(U16List[[#This Row],[First &amp; Last Name]]="","",IFERROR(ISNUMBER(MATCH(U16List[[#This Row],[First &amp; Last Name]],Players[Player Name],0)),FALSE))</f>
        <v>1</v>
      </c>
      <c r="E18" s="421" t="b">
        <f>IF(U16List[[#This Row],[FISTF Code]]="",FALSE,IFERROR(ISNUMBER(MATCH(U16List[[#This Row],[FISTF Code]],Players[FISTF Code],0)),FALSE))</f>
        <v>0</v>
      </c>
      <c r="F18" s="419" t="str">
        <f>IF(AND(U16List[[#This Row],[First &amp; Last Name]]="",U16List[[#This Row],[FISTF Code]]=""),"",IF(U16List[[#This Row],[Valide Code ?]],INDEX(Players[Player Name],MATCH(U16List[[#This Row],[FISTF Code]],Players[FISTF Code],0)),U16List[[#This Row],[First &amp; Last Name]]))</f>
        <v>Rafaël Midoux</v>
      </c>
      <c r="G18" s="233" t="str">
        <f>IF(U16List[[#This Row],[Retained Player Name]]="","",VLOOKUP(U16List[[#This Row],[Retained Player Name]],Players[],7,FALSE))</f>
        <v>FRA</v>
      </c>
      <c r="H18" s="233" t="str">
        <f>IF(U16List[[#This Row],[Retained Player Name]]="","",VLOOKUP(U16List[[#This Row],[Retained Player Name]],Players[],6,FALSE))</f>
        <v>Avenir Subbuteo Hennuyer</v>
      </c>
      <c r="I18" s="234" t="str">
        <f>IF(U16List[[#This Row],[Retained Player Name]]="","",VLOOKUP(U16List[[#This Row],[Retained Player Name]],Players[],4,FALSE))</f>
        <v>FRA0168</v>
      </c>
      <c r="J18"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Q</v>
      </c>
      <c r="K18" s="230"/>
      <c r="L18" s="230"/>
      <c r="M18" s="7"/>
    </row>
    <row r="19" spans="1:13" s="8" customFormat="1" ht="12.75" customHeight="1" x14ac:dyDescent="0.2">
      <c r="A19" s="16">
        <f>IF(AND(U16List[[#This Row],[First &amp; Last Name]]="",U16List[[#This Row],[FISTF Code]]=""),"",ROW()-ROW($A$11))</f>
        <v>8</v>
      </c>
      <c r="B19" s="232" t="s">
        <v>8179</v>
      </c>
      <c r="C19" s="436"/>
      <c r="D19" s="421" t="b">
        <f>IF(U16List[[#This Row],[First &amp; Last Name]]="","",IFERROR(ISNUMBER(MATCH(U16List[[#This Row],[First &amp; Last Name]],Players[Player Name],0)),FALSE))</f>
        <v>1</v>
      </c>
      <c r="E19" s="421" t="b">
        <f>IF(U16List[[#This Row],[FISTF Code]]="",FALSE,IFERROR(ISNUMBER(MATCH(U16List[[#This Row],[FISTF Code]],Players[FISTF Code],0)),FALSE))</f>
        <v>0</v>
      </c>
      <c r="F19" s="419" t="str">
        <f>IF(AND(U16List[[#This Row],[First &amp; Last Name]]="",U16List[[#This Row],[FISTF Code]]=""),"",IF(U16List[[#This Row],[Valide Code ?]],INDEX(Players[Player Name],MATCH(U16List[[#This Row],[FISTF Code]],Players[FISTF Code],0)),U16List[[#This Row],[First &amp; Last Name]]))</f>
        <v>Maxim Grosdent</v>
      </c>
      <c r="G19" s="233" t="str">
        <f>IF(U16List[[#This Row],[Retained Player Name]]="","",VLOOKUP(U16List[[#This Row],[Retained Player Name]],Players[],7,FALSE))</f>
        <v>BEL</v>
      </c>
      <c r="H19" s="233" t="str">
        <f>IF(U16List[[#This Row],[Retained Player Name]]="","",VLOOKUP(U16List[[#This Row],[Retained Player Name]],Players[],6,FALSE))</f>
        <v>Wamme SC</v>
      </c>
      <c r="I19" s="234" t="str">
        <f>IF(U16List[[#This Row],[Retained Player Name]]="","",VLOOKUP(U16List[[#This Row],[Retained Player Name]],Players[],4,FALSE))</f>
        <v>BEL0355</v>
      </c>
      <c r="J19"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Q</v>
      </c>
      <c r="K19" s="230"/>
      <c r="L19" s="230"/>
      <c r="M19" s="7"/>
    </row>
    <row r="20" spans="1:13" s="8" customFormat="1" ht="12.75" customHeight="1" x14ac:dyDescent="0.2">
      <c r="A20" s="16">
        <f>IF(AND(U16List[[#This Row],[First &amp; Last Name]]="",U16List[[#This Row],[FISTF Code]]=""),"",ROW()-ROW($A$11))</f>
        <v>9</v>
      </c>
      <c r="B20" s="232" t="s">
        <v>8201</v>
      </c>
      <c r="C20" s="436"/>
      <c r="D20" s="421" t="b">
        <f>IF(U16List[[#This Row],[First &amp; Last Name]]="","",IFERROR(ISNUMBER(MATCH(U16List[[#This Row],[First &amp; Last Name]],Players[Player Name],0)),FALSE))</f>
        <v>1</v>
      </c>
      <c r="E20" s="421" t="b">
        <f>IF(U16List[[#This Row],[FISTF Code]]="",FALSE,IFERROR(ISNUMBER(MATCH(U16List[[#This Row],[FISTF Code]],Players[FISTF Code],0)),FALSE))</f>
        <v>0</v>
      </c>
      <c r="F20" s="419" t="str">
        <f>IF(AND(U16List[[#This Row],[First &amp; Last Name]]="",U16List[[#This Row],[FISTF Code]]=""),"",IF(U16List[[#This Row],[Valide Code ?]],INDEX(Players[Player Name],MATCH(U16List[[#This Row],[FISTF Code]],Players[FISTF Code],0)),U16List[[#This Row],[First &amp; Last Name]]))</f>
        <v>Kostandinos Tsangouris</v>
      </c>
      <c r="G20" s="233" t="str">
        <f>IF(U16List[[#This Row],[Retained Player Name]]="","",VLOOKUP(U16List[[#This Row],[Retained Player Name]],Players[],7,FALSE))</f>
        <v>BEL</v>
      </c>
      <c r="H20" s="233" t="str">
        <f>IF(U16List[[#This Row],[Retained Player Name]]="","",VLOOKUP(U16List[[#This Row],[Retained Player Name]],Players[],6,FALSE))</f>
        <v>SC Lion's Eugies</v>
      </c>
      <c r="I20" s="234" t="str">
        <f>IF(U16List[[#This Row],[Retained Player Name]]="","",VLOOKUP(U16List[[#This Row],[Retained Player Name]],Players[],4,FALSE))</f>
        <v>BEL0454</v>
      </c>
      <c r="J20"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20" s="230"/>
      <c r="L20" s="230"/>
      <c r="M20" s="7"/>
    </row>
    <row r="21" spans="1:13" s="8" customFormat="1" ht="12.75" customHeight="1" x14ac:dyDescent="0.2">
      <c r="A21" s="16">
        <f>IF(AND(U16List[[#This Row],[First &amp; Last Name]]="",U16List[[#This Row],[FISTF Code]]=""),"",ROW()-ROW($A$11))</f>
        <v>10</v>
      </c>
      <c r="B21" s="232" t="s">
        <v>10591</v>
      </c>
      <c r="C21" s="436"/>
      <c r="D21" s="421" t="b">
        <f>IF(U16List[[#This Row],[First &amp; Last Name]]="","",IFERROR(ISNUMBER(MATCH(U16List[[#This Row],[First &amp; Last Name]],Players[Player Name],0)),FALSE))</f>
        <v>1</v>
      </c>
      <c r="E21" s="421" t="b">
        <f>IF(U16List[[#This Row],[FISTF Code]]="",FALSE,IFERROR(ISNUMBER(MATCH(U16List[[#This Row],[FISTF Code]],Players[FISTF Code],0)),FALSE))</f>
        <v>0</v>
      </c>
      <c r="F21" s="419" t="str">
        <f>IF(AND(U16List[[#This Row],[First &amp; Last Name]]="",U16List[[#This Row],[FISTF Code]]=""),"",IF(U16List[[#This Row],[Valide Code ?]],INDEX(Players[Player Name],MATCH(U16List[[#This Row],[FISTF Code]],Players[FISTF Code],0)),U16List[[#This Row],[First &amp; Last Name]]))</f>
        <v>Daniel Kaliszewski</v>
      </c>
      <c r="G21" s="233" t="str">
        <f>IF(U16List[[#This Row],[Retained Player Name]]="","",VLOOKUP(U16List[[#This Row],[Retained Player Name]],Players[],7,FALSE))</f>
        <v>IRL</v>
      </c>
      <c r="H21" s="233" t="str">
        <f>IF(U16List[[#This Row],[Retained Player Name]]="","",VLOOKUP(U16List[[#This Row],[Retained Player Name]],Players[],6,FALSE))</f>
        <v>Irish Premier League</v>
      </c>
      <c r="I21" s="235" t="str">
        <f>IF(U16List[[#This Row],[Retained Player Name]]="","",VLOOKUP(U16List[[#This Row],[Retained Player Name]],Players[],4,FALSE))</f>
        <v>IRL0013</v>
      </c>
      <c r="J21"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21" s="230"/>
      <c r="L21" s="230"/>
      <c r="M21" s="7"/>
    </row>
    <row r="22" spans="1:13" s="8" customFormat="1" ht="12.75" customHeight="1" x14ac:dyDescent="0.2">
      <c r="A22" s="16">
        <f>IF(AND(U16List[[#This Row],[First &amp; Last Name]]="",U16List[[#This Row],[FISTF Code]]=""),"",ROW()-ROW($A$11))</f>
        <v>11</v>
      </c>
      <c r="B22" s="232" t="s">
        <v>14477</v>
      </c>
      <c r="C22" s="436"/>
      <c r="D22" s="421" t="b">
        <f>IF(U16List[[#This Row],[First &amp; Last Name]]="","",IFERROR(ISNUMBER(MATCH(U16List[[#This Row],[First &amp; Last Name]],Players[Player Name],0)),FALSE))</f>
        <v>1</v>
      </c>
      <c r="E22" s="421" t="b">
        <f>IF(U16List[[#This Row],[FISTF Code]]="",FALSE,IFERROR(ISNUMBER(MATCH(U16List[[#This Row],[FISTF Code]],Players[FISTF Code],0)),FALSE))</f>
        <v>0</v>
      </c>
      <c r="F22" s="419" t="str">
        <f>IF(AND(U16List[[#This Row],[First &amp; Last Name]]="",U16List[[#This Row],[FISTF Code]]=""),"",IF(U16List[[#This Row],[Valide Code ?]],INDEX(Players[Player Name],MATCH(U16List[[#This Row],[FISTF Code]],Players[FISTF Code],0)),U16List[[#This Row],[First &amp; Last Name]]))</f>
        <v>Nathanaël Dhyne</v>
      </c>
      <c r="G22" s="233" t="str">
        <f>IF(U16List[[#This Row],[Retained Player Name]]="","",VLOOKUP(U16List[[#This Row],[Retained Player Name]],Players[],7,FALSE))</f>
        <v>BEL</v>
      </c>
      <c r="H22" s="233" t="str">
        <f>IF(U16List[[#This Row],[Retained Player Name]]="","",VLOOKUP(U16List[[#This Row],[Retained Player Name]],Players[],6,FALSE))</f>
        <v>SC Temploux</v>
      </c>
      <c r="I22" s="235" t="str">
        <f>IF(U16List[[#This Row],[Retained Player Name]]="","",VLOOKUP(U16List[[#This Row],[Retained Player Name]],Players[],4,FALSE))</f>
        <v>BEL0478</v>
      </c>
      <c r="J2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22" s="231"/>
      <c r="L22" s="231"/>
      <c r="M22" s="7"/>
    </row>
    <row r="23" spans="1:13" s="8" customFormat="1" ht="12.75" customHeight="1" x14ac:dyDescent="0.2">
      <c r="A23" s="16">
        <f>IF(AND(U16List[[#This Row],[First &amp; Last Name]]="",U16List[[#This Row],[FISTF Code]]=""),"",ROW()-ROW($A$11))</f>
        <v>12</v>
      </c>
      <c r="B23" s="232" t="s">
        <v>12410</v>
      </c>
      <c r="C23" s="436"/>
      <c r="D23" s="421" t="b">
        <f>IF(U16List[[#This Row],[First &amp; Last Name]]="","",IFERROR(ISNUMBER(MATCH(U16List[[#This Row],[First &amp; Last Name]],Players[Player Name],0)),FALSE))</f>
        <v>1</v>
      </c>
      <c r="E23" s="421" t="b">
        <f>IF(U16List[[#This Row],[FISTF Code]]="",FALSE,IFERROR(ISNUMBER(MATCH(U16List[[#This Row],[FISTF Code]],Players[FISTF Code],0)),FALSE))</f>
        <v>0</v>
      </c>
      <c r="F23" s="419" t="str">
        <f>IF(AND(U16List[[#This Row],[First &amp; Last Name]]="",U16List[[#This Row],[FISTF Code]]=""),"",IF(U16List[[#This Row],[Valide Code ?]],INDEX(Players[Player Name],MATCH(U16List[[#This Row],[FISTF Code]],Players[FISTF Code],0)),U16List[[#This Row],[First &amp; Last Name]]))</f>
        <v>Robin Verplaetse</v>
      </c>
      <c r="G23" s="233" t="str">
        <f>IF(U16List[[#This Row],[Retained Player Name]]="","",VLOOKUP(U16List[[#This Row],[Retained Player Name]],Players[],7,FALSE))</f>
        <v>BEL</v>
      </c>
      <c r="H23" s="233" t="str">
        <f>IF(U16List[[#This Row],[Retained Player Name]]="","",VLOOKUP(U16List[[#This Row],[Retained Player Name]],Players[],6,FALSE))</f>
        <v>ELM'Aye SC</v>
      </c>
      <c r="I23" s="235" t="str">
        <f>IF(U16List[[#This Row],[Retained Player Name]]="","",VLOOKUP(U16List[[#This Row],[Retained Player Name]],Players[],4,FALSE))</f>
        <v>BEL0466</v>
      </c>
      <c r="J2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23" s="231"/>
      <c r="L23" s="231"/>
      <c r="M23" s="7"/>
    </row>
    <row r="24" spans="1:13" s="8" customFormat="1" ht="12.75" customHeight="1" x14ac:dyDescent="0.2">
      <c r="A24" s="16" t="str">
        <f>IF(AND(U16List[[#This Row],[First &amp; Last Name]]="",U16List[[#This Row],[FISTF Code]]=""),"",ROW()-ROW($A$11))</f>
        <v/>
      </c>
      <c r="B24" s="232"/>
      <c r="C24" s="436"/>
      <c r="D24" s="421" t="str">
        <f>IF(U16List[[#This Row],[First &amp; Last Name]]="","",IFERROR(ISNUMBER(MATCH(U16List[[#This Row],[First &amp; Last Name]],Players[Player Name],0)),FALSE))</f>
        <v/>
      </c>
      <c r="E24" s="421" t="b">
        <f>IF(U16List[[#This Row],[FISTF Code]]="",FALSE,IFERROR(ISNUMBER(MATCH(U16List[[#This Row],[FISTF Code]],Players[FISTF Code],0)),FALSE))</f>
        <v>0</v>
      </c>
      <c r="F24" s="419" t="str">
        <f>IF(AND(U16List[[#This Row],[First &amp; Last Name]]="",U16List[[#This Row],[FISTF Code]]=""),"",IF(U16List[[#This Row],[Valide Code ?]],INDEX(Players[Player Name],MATCH(U16List[[#This Row],[FISTF Code]],Players[FISTF Code],0)),U16List[[#This Row],[First &amp; Last Name]]))</f>
        <v/>
      </c>
      <c r="G24" s="233" t="str">
        <f>IF(U16List[[#This Row],[Retained Player Name]]="","",VLOOKUP(U16List[[#This Row],[Retained Player Name]],Players[],7,FALSE))</f>
        <v/>
      </c>
      <c r="H24" s="233" t="str">
        <f>IF(U16List[[#This Row],[Retained Player Name]]="","",VLOOKUP(U16List[[#This Row],[Retained Player Name]],Players[],6,FALSE))</f>
        <v/>
      </c>
      <c r="I24" s="235" t="str">
        <f>IF(U16List[[#This Row],[Retained Player Name]]="","",VLOOKUP(U16List[[#This Row],[Retained Player Name]],Players[],4,FALSE))</f>
        <v/>
      </c>
      <c r="J2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4" s="231"/>
      <c r="L24" s="231"/>
      <c r="M24" s="7"/>
    </row>
    <row r="25" spans="1:13" s="8" customFormat="1" ht="12.75" customHeight="1" x14ac:dyDescent="0.2">
      <c r="A25" s="16" t="str">
        <f>IF(AND(U16List[[#This Row],[First &amp; Last Name]]="",U16List[[#This Row],[FISTF Code]]=""),"",ROW()-ROW($A$11))</f>
        <v/>
      </c>
      <c r="B25" s="232"/>
      <c r="C25" s="436"/>
      <c r="D25" s="421" t="str">
        <f>IF(U16List[[#This Row],[First &amp; Last Name]]="","",IFERROR(ISNUMBER(MATCH(U16List[[#This Row],[First &amp; Last Name]],Players[Player Name],0)),FALSE))</f>
        <v/>
      </c>
      <c r="E25" s="421" t="b">
        <f>IF(U16List[[#This Row],[FISTF Code]]="",FALSE,IFERROR(ISNUMBER(MATCH(U16List[[#This Row],[FISTF Code]],Players[FISTF Code],0)),FALSE))</f>
        <v>0</v>
      </c>
      <c r="F25" s="419" t="str">
        <f>IF(AND(U16List[[#This Row],[First &amp; Last Name]]="",U16List[[#This Row],[FISTF Code]]=""),"",IF(U16List[[#This Row],[Valide Code ?]],INDEX(Players[Player Name],MATCH(U16List[[#This Row],[FISTF Code]],Players[FISTF Code],0)),U16List[[#This Row],[First &amp; Last Name]]))</f>
        <v/>
      </c>
      <c r="G25" s="233" t="str">
        <f>IF(U16List[[#This Row],[Retained Player Name]]="","",VLOOKUP(U16List[[#This Row],[Retained Player Name]],Players[],7,FALSE))</f>
        <v/>
      </c>
      <c r="H25" s="233" t="str">
        <f>IF(U16List[[#This Row],[Retained Player Name]]="","",VLOOKUP(U16List[[#This Row],[Retained Player Name]],Players[],6,FALSE))</f>
        <v/>
      </c>
      <c r="I25" s="234" t="str">
        <f>IF(U16List[[#This Row],[Retained Player Name]]="","",VLOOKUP(U16List[[#This Row],[Retained Player Name]],Players[],4,FALSE))</f>
        <v/>
      </c>
      <c r="J25" s="20"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5" s="231"/>
      <c r="L25" s="231"/>
      <c r="M25" s="7"/>
    </row>
    <row r="26" spans="1:13" s="8" customFormat="1" ht="12.75" customHeight="1" x14ac:dyDescent="0.2">
      <c r="A26" s="16" t="str">
        <f>IF(AND(U16List[[#This Row],[First &amp; Last Name]]="",U16List[[#This Row],[FISTF Code]]=""),"",ROW()-ROW($A$11))</f>
        <v/>
      </c>
      <c r="B26" s="232"/>
      <c r="C26" s="436"/>
      <c r="D26" s="421" t="str">
        <f>IF(U16List[[#This Row],[First &amp; Last Name]]="","",IFERROR(ISNUMBER(MATCH(U16List[[#This Row],[First &amp; Last Name]],Players[Player Name],0)),FALSE))</f>
        <v/>
      </c>
      <c r="E26" s="421" t="b">
        <f>IF(U16List[[#This Row],[FISTF Code]]="",FALSE,IFERROR(ISNUMBER(MATCH(U16List[[#This Row],[FISTF Code]],Players[FISTF Code],0)),FALSE))</f>
        <v>0</v>
      </c>
      <c r="F26" s="419" t="str">
        <f>IF(AND(U16List[[#This Row],[First &amp; Last Name]]="",U16List[[#This Row],[FISTF Code]]=""),"",IF(U16List[[#This Row],[Valide Code ?]],INDEX(Players[Player Name],MATCH(U16List[[#This Row],[FISTF Code]],Players[FISTF Code],0)),U16List[[#This Row],[First &amp; Last Name]]))</f>
        <v/>
      </c>
      <c r="G26" s="233" t="str">
        <f>IF(U16List[[#This Row],[Retained Player Name]]="","",VLOOKUP(U16List[[#This Row],[Retained Player Name]],Players[],7,FALSE))</f>
        <v/>
      </c>
      <c r="H26" s="233" t="str">
        <f>IF(U16List[[#This Row],[Retained Player Name]]="","",VLOOKUP(U16List[[#This Row],[Retained Player Name]],Players[],6,FALSE))</f>
        <v/>
      </c>
      <c r="I26" s="234" t="str">
        <f>IF(U16List[[#This Row],[Retained Player Name]]="","",VLOOKUP(U16List[[#This Row],[Retained Player Name]],Players[],4,FALSE))</f>
        <v/>
      </c>
      <c r="J26"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6" s="230"/>
      <c r="L26" s="230"/>
      <c r="M26" s="7"/>
    </row>
    <row r="27" spans="1:13" s="8" customFormat="1" ht="12.75" customHeight="1" x14ac:dyDescent="0.2">
      <c r="A27" s="16" t="str">
        <f>IF(AND(U16List[[#This Row],[First &amp; Last Name]]="",U16List[[#This Row],[FISTF Code]]=""),"",ROW()-ROW($A$11))</f>
        <v/>
      </c>
      <c r="B27" s="232"/>
      <c r="C27" s="436"/>
      <c r="D27" s="421" t="str">
        <f>IF(U16List[[#This Row],[First &amp; Last Name]]="","",IFERROR(ISNUMBER(MATCH(U16List[[#This Row],[First &amp; Last Name]],Players[Player Name],0)),FALSE))</f>
        <v/>
      </c>
      <c r="E27" s="421" t="b">
        <f>IF(U16List[[#This Row],[FISTF Code]]="",FALSE,IFERROR(ISNUMBER(MATCH(U16List[[#This Row],[FISTF Code]],Players[FISTF Code],0)),FALSE))</f>
        <v>0</v>
      </c>
      <c r="F27" s="419" t="str">
        <f>IF(AND(U16List[[#This Row],[First &amp; Last Name]]="",U16List[[#This Row],[FISTF Code]]=""),"",IF(U16List[[#This Row],[Valide Code ?]],INDEX(Players[Player Name],MATCH(U16List[[#This Row],[FISTF Code]],Players[FISTF Code],0)),U16List[[#This Row],[First &amp; Last Name]]))</f>
        <v/>
      </c>
      <c r="G27" s="233" t="str">
        <f>IF(U16List[[#This Row],[Retained Player Name]]="","",VLOOKUP(U16List[[#This Row],[Retained Player Name]],Players[],7,FALSE))</f>
        <v/>
      </c>
      <c r="H27" s="233" t="str">
        <f>IF(U16List[[#This Row],[Retained Player Name]]="","",VLOOKUP(U16List[[#This Row],[Retained Player Name]],Players[],6,FALSE))</f>
        <v/>
      </c>
      <c r="I27" s="234" t="str">
        <f>IF(U16List[[#This Row],[Retained Player Name]]="","",VLOOKUP(U16List[[#This Row],[Retained Player Name]],Players[],4,FALSE))</f>
        <v/>
      </c>
      <c r="J27"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7" s="230"/>
      <c r="L27" s="230"/>
      <c r="M27" s="7"/>
    </row>
    <row r="28" spans="1:13" s="8" customFormat="1" ht="12.75" customHeight="1" x14ac:dyDescent="0.2">
      <c r="A28" s="16" t="str">
        <f>IF(AND(U16List[[#This Row],[First &amp; Last Name]]="",U16List[[#This Row],[FISTF Code]]=""),"",ROW()-ROW($A$11))</f>
        <v/>
      </c>
      <c r="B28" s="232"/>
      <c r="C28" s="436"/>
      <c r="D28" s="421" t="str">
        <f>IF(U16List[[#This Row],[First &amp; Last Name]]="","",IFERROR(ISNUMBER(MATCH(U16List[[#This Row],[First &amp; Last Name]],Players[Player Name],0)),FALSE))</f>
        <v/>
      </c>
      <c r="E28" s="421" t="b">
        <f>IF(U16List[[#This Row],[FISTF Code]]="",FALSE,IFERROR(ISNUMBER(MATCH(U16List[[#This Row],[FISTF Code]],Players[FISTF Code],0)),FALSE))</f>
        <v>0</v>
      </c>
      <c r="F28" s="419" t="str">
        <f>IF(AND(U16List[[#This Row],[First &amp; Last Name]]="",U16List[[#This Row],[FISTF Code]]=""),"",IF(U16List[[#This Row],[Valide Code ?]],INDEX(Players[Player Name],MATCH(U16List[[#This Row],[FISTF Code]],Players[FISTF Code],0)),U16List[[#This Row],[First &amp; Last Name]]))</f>
        <v/>
      </c>
      <c r="G28" s="233" t="str">
        <f>IF(U16List[[#This Row],[Retained Player Name]]="","",VLOOKUP(U16List[[#This Row],[Retained Player Name]],Players[],7,FALSE))</f>
        <v/>
      </c>
      <c r="H28" s="233" t="str">
        <f>IF(U16List[[#This Row],[Retained Player Name]]="","",VLOOKUP(U16List[[#This Row],[Retained Player Name]],Players[],6,FALSE))</f>
        <v/>
      </c>
      <c r="I28" s="234" t="str">
        <f>IF(U16List[[#This Row],[Retained Player Name]]="","",VLOOKUP(U16List[[#This Row],[Retained Player Name]],Players[],4,FALSE))</f>
        <v/>
      </c>
      <c r="J28"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8" s="230"/>
      <c r="L28" s="230"/>
      <c r="M28" s="7"/>
    </row>
    <row r="29" spans="1:13" s="8" customFormat="1" ht="12.75" customHeight="1" x14ac:dyDescent="0.2">
      <c r="A29" s="16" t="str">
        <f>IF(AND(U16List[[#This Row],[First &amp; Last Name]]="",U16List[[#This Row],[FISTF Code]]=""),"",ROW()-ROW($A$11))</f>
        <v/>
      </c>
      <c r="B29" s="232"/>
      <c r="C29" s="436"/>
      <c r="D29" s="421" t="str">
        <f>IF(U16List[[#This Row],[First &amp; Last Name]]="","",IFERROR(ISNUMBER(MATCH(U16List[[#This Row],[First &amp; Last Name]],Players[Player Name],0)),FALSE))</f>
        <v/>
      </c>
      <c r="E29" s="421" t="b">
        <f>IF(U16List[[#This Row],[FISTF Code]]="",FALSE,IFERROR(ISNUMBER(MATCH(U16List[[#This Row],[FISTF Code]],Players[FISTF Code],0)),FALSE))</f>
        <v>0</v>
      </c>
      <c r="F29" s="419" t="str">
        <f>IF(AND(U16List[[#This Row],[First &amp; Last Name]]="",U16List[[#This Row],[FISTF Code]]=""),"",IF(U16List[[#This Row],[Valide Code ?]],INDEX(Players[Player Name],MATCH(U16List[[#This Row],[FISTF Code]],Players[FISTF Code],0)),U16List[[#This Row],[First &amp; Last Name]]))</f>
        <v/>
      </c>
      <c r="G29" s="233" t="str">
        <f>IF(U16List[[#This Row],[Retained Player Name]]="","",VLOOKUP(U16List[[#This Row],[Retained Player Name]],Players[],7,FALSE))</f>
        <v/>
      </c>
      <c r="H29" s="233" t="str">
        <f>IF(U16List[[#This Row],[Retained Player Name]]="","",VLOOKUP(U16List[[#This Row],[Retained Player Name]],Players[],6,FALSE))</f>
        <v/>
      </c>
      <c r="I29" s="234" t="str">
        <f>IF(U16List[[#This Row],[Retained Player Name]]="","",VLOOKUP(U16List[[#This Row],[Retained Player Name]],Players[],4,FALSE))</f>
        <v/>
      </c>
      <c r="J29"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9" s="230"/>
      <c r="L29" s="230"/>
      <c r="M29" s="7"/>
    </row>
    <row r="30" spans="1:13" s="8" customFormat="1" ht="12.75" customHeight="1" x14ac:dyDescent="0.2">
      <c r="A30" s="16" t="str">
        <f>IF(AND(U16List[[#This Row],[First &amp; Last Name]]="",U16List[[#This Row],[FISTF Code]]=""),"",ROW()-ROW($A$11))</f>
        <v/>
      </c>
      <c r="B30" s="232"/>
      <c r="C30" s="436"/>
      <c r="D30" s="421" t="str">
        <f>IF(U16List[[#This Row],[First &amp; Last Name]]="","",IFERROR(ISNUMBER(MATCH(U16List[[#This Row],[First &amp; Last Name]],Players[Player Name],0)),FALSE))</f>
        <v/>
      </c>
      <c r="E30" s="421" t="b">
        <f>IF(U16List[[#This Row],[FISTF Code]]="",FALSE,IFERROR(ISNUMBER(MATCH(U16List[[#This Row],[FISTF Code]],Players[FISTF Code],0)),FALSE))</f>
        <v>0</v>
      </c>
      <c r="F30" s="419" t="str">
        <f>IF(AND(U16List[[#This Row],[First &amp; Last Name]]="",U16List[[#This Row],[FISTF Code]]=""),"",IF(U16List[[#This Row],[Valide Code ?]],INDEX(Players[Player Name],MATCH(U16List[[#This Row],[FISTF Code]],Players[FISTF Code],0)),U16List[[#This Row],[First &amp; Last Name]]))</f>
        <v/>
      </c>
      <c r="G30" s="233" t="str">
        <f>IF(U16List[[#This Row],[Retained Player Name]]="","",VLOOKUP(U16List[[#This Row],[Retained Player Name]],Players[],7,FALSE))</f>
        <v/>
      </c>
      <c r="H30" s="233" t="str">
        <f>IF(U16List[[#This Row],[Retained Player Name]]="","",VLOOKUP(U16List[[#This Row],[Retained Player Name]],Players[],6,FALSE))</f>
        <v/>
      </c>
      <c r="I30" s="234" t="str">
        <f>IF(U16List[[#This Row],[Retained Player Name]]="","",VLOOKUP(U16List[[#This Row],[Retained Player Name]],Players[],4,FALSE))</f>
        <v/>
      </c>
      <c r="J30"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0" s="230"/>
      <c r="L30" s="230"/>
      <c r="M30" s="7"/>
    </row>
    <row r="31" spans="1:13" s="8" customFormat="1" ht="12.75" customHeight="1" x14ac:dyDescent="0.2">
      <c r="A31" s="16" t="str">
        <f>IF(AND(U16List[[#This Row],[First &amp; Last Name]]="",U16List[[#This Row],[FISTF Code]]=""),"",ROW()-ROW($A$11))</f>
        <v/>
      </c>
      <c r="B31" s="232"/>
      <c r="C31" s="436"/>
      <c r="D31" s="421" t="str">
        <f>IF(U16List[[#This Row],[First &amp; Last Name]]="","",IFERROR(ISNUMBER(MATCH(U16List[[#This Row],[First &amp; Last Name]],Players[Player Name],0)),FALSE))</f>
        <v/>
      </c>
      <c r="E31" s="421" t="b">
        <f>IF(U16List[[#This Row],[FISTF Code]]="",FALSE,IFERROR(ISNUMBER(MATCH(U16List[[#This Row],[FISTF Code]],Players[FISTF Code],0)),FALSE))</f>
        <v>0</v>
      </c>
      <c r="F31" s="419" t="str">
        <f>IF(AND(U16List[[#This Row],[First &amp; Last Name]]="",U16List[[#This Row],[FISTF Code]]=""),"",IF(U16List[[#This Row],[Valide Code ?]],INDEX(Players[Player Name],MATCH(U16List[[#This Row],[FISTF Code]],Players[FISTF Code],0)),U16List[[#This Row],[First &amp; Last Name]]))</f>
        <v/>
      </c>
      <c r="G31" s="233" t="str">
        <f>IF(U16List[[#This Row],[Retained Player Name]]="","",VLOOKUP(U16List[[#This Row],[Retained Player Name]],Players[],7,FALSE))</f>
        <v/>
      </c>
      <c r="H31" s="233" t="str">
        <f>IF(U16List[[#This Row],[Retained Player Name]]="","",VLOOKUP(U16List[[#This Row],[Retained Player Name]],Players[],6,FALSE))</f>
        <v/>
      </c>
      <c r="I31" s="234" t="str">
        <f>IF(U16List[[#This Row],[Retained Player Name]]="","",VLOOKUP(U16List[[#This Row],[Retained Player Name]],Players[],4,FALSE))</f>
        <v/>
      </c>
      <c r="J31"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1" s="230"/>
      <c r="L31" s="230"/>
      <c r="M31" s="7"/>
    </row>
    <row r="32" spans="1:13" s="8" customFormat="1" ht="12.75" customHeight="1" x14ac:dyDescent="0.2">
      <c r="A32" s="16" t="str">
        <f>IF(AND(U16List[[#This Row],[First &amp; Last Name]]="",U16List[[#This Row],[FISTF Code]]=""),"",ROW()-ROW($A$11))</f>
        <v/>
      </c>
      <c r="B32" s="232"/>
      <c r="C32" s="436"/>
      <c r="D32" s="421" t="str">
        <f>IF(U16List[[#This Row],[First &amp; Last Name]]="","",IFERROR(ISNUMBER(MATCH(U16List[[#This Row],[First &amp; Last Name]],Players[Player Name],0)),FALSE))</f>
        <v/>
      </c>
      <c r="E32" s="421" t="b">
        <f>IF(U16List[[#This Row],[FISTF Code]]="",FALSE,IFERROR(ISNUMBER(MATCH(U16List[[#This Row],[FISTF Code]],Players[FISTF Code],0)),FALSE))</f>
        <v>0</v>
      </c>
      <c r="F32" s="419" t="str">
        <f>IF(AND(U16List[[#This Row],[First &amp; Last Name]]="",U16List[[#This Row],[FISTF Code]]=""),"",IF(U16List[[#This Row],[Valide Code ?]],INDEX(Players[Player Name],MATCH(U16List[[#This Row],[FISTF Code]],Players[FISTF Code],0)),U16List[[#This Row],[First &amp; Last Name]]))</f>
        <v/>
      </c>
      <c r="G32" s="233" t="str">
        <f>IF(U16List[[#This Row],[Retained Player Name]]="","",VLOOKUP(U16List[[#This Row],[Retained Player Name]],Players[],7,FALSE))</f>
        <v/>
      </c>
      <c r="H32" s="233" t="str">
        <f>IF(U16List[[#This Row],[Retained Player Name]]="","",VLOOKUP(U16List[[#This Row],[Retained Player Name]],Players[],6,FALSE))</f>
        <v/>
      </c>
      <c r="I32" s="234" t="str">
        <f>IF(U16List[[#This Row],[Retained Player Name]]="","",VLOOKUP(U16List[[#This Row],[Retained Player Name]],Players[],4,FALSE))</f>
        <v/>
      </c>
      <c r="J32" s="20"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2" s="231"/>
      <c r="L32" s="231"/>
      <c r="M32" s="7"/>
    </row>
    <row r="33" spans="1:13" s="8" customFormat="1" ht="12.75" customHeight="1" x14ac:dyDescent="0.2">
      <c r="A33" s="16" t="str">
        <f>IF(AND(U16List[[#This Row],[First &amp; Last Name]]="",U16List[[#This Row],[FISTF Code]]=""),"",ROW()-ROW($A$11))</f>
        <v/>
      </c>
      <c r="B33" s="232"/>
      <c r="C33" s="436"/>
      <c r="D33" s="421" t="str">
        <f>IF(U16List[[#This Row],[First &amp; Last Name]]="","",IFERROR(ISNUMBER(MATCH(U16List[[#This Row],[First &amp; Last Name]],Players[Player Name],0)),FALSE))</f>
        <v/>
      </c>
      <c r="E33" s="421" t="b">
        <f>IF(U16List[[#This Row],[FISTF Code]]="",FALSE,IFERROR(ISNUMBER(MATCH(U16List[[#This Row],[FISTF Code]],Players[FISTF Code],0)),FALSE))</f>
        <v>0</v>
      </c>
      <c r="F33" s="419" t="str">
        <f>IF(AND(U16List[[#This Row],[First &amp; Last Name]]="",U16List[[#This Row],[FISTF Code]]=""),"",IF(U16List[[#This Row],[Valide Code ?]],INDEX(Players[Player Name],MATCH(U16List[[#This Row],[FISTF Code]],Players[FISTF Code],0)),U16List[[#This Row],[First &amp; Last Name]]))</f>
        <v/>
      </c>
      <c r="G33" s="233" t="str">
        <f>IF(U16List[[#This Row],[Retained Player Name]]="","",VLOOKUP(U16List[[#This Row],[Retained Player Name]],Players[],7,FALSE))</f>
        <v/>
      </c>
      <c r="H33" s="233" t="str">
        <f>IF(U16List[[#This Row],[Retained Player Name]]="","",VLOOKUP(U16List[[#This Row],[Retained Player Name]],Players[],6,FALSE))</f>
        <v/>
      </c>
      <c r="I33" s="234" t="str">
        <f>IF(U16List[[#This Row],[Retained Player Name]]="","",VLOOKUP(U16List[[#This Row],[Retained Player Name]],Players[],4,FALSE))</f>
        <v/>
      </c>
      <c r="J33"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3" s="230"/>
      <c r="L33" s="230"/>
      <c r="M33" s="7"/>
    </row>
    <row r="34" spans="1:13" s="8" customFormat="1" ht="12.75" customHeight="1" x14ac:dyDescent="0.2">
      <c r="A34" s="16" t="str">
        <f>IF(AND(U16List[[#This Row],[First &amp; Last Name]]="",U16List[[#This Row],[FISTF Code]]=""),"",ROW()-ROW($A$11))</f>
        <v/>
      </c>
      <c r="B34" s="232"/>
      <c r="C34" s="436"/>
      <c r="D34" s="421" t="str">
        <f>IF(U16List[[#This Row],[First &amp; Last Name]]="","",IFERROR(ISNUMBER(MATCH(U16List[[#This Row],[First &amp; Last Name]],Players[Player Name],0)),FALSE))</f>
        <v/>
      </c>
      <c r="E34" s="421" t="b">
        <f>IF(U16List[[#This Row],[FISTF Code]]="",FALSE,IFERROR(ISNUMBER(MATCH(U16List[[#This Row],[FISTF Code]],Players[FISTF Code],0)),FALSE))</f>
        <v>0</v>
      </c>
      <c r="F34" s="419" t="str">
        <f>IF(AND(U16List[[#This Row],[First &amp; Last Name]]="",U16List[[#This Row],[FISTF Code]]=""),"",IF(U16List[[#This Row],[Valide Code ?]],INDEX(Players[Player Name],MATCH(U16List[[#This Row],[FISTF Code]],Players[FISTF Code],0)),U16List[[#This Row],[First &amp; Last Name]]))</f>
        <v/>
      </c>
      <c r="G34" s="233" t="str">
        <f>IF(U16List[[#This Row],[Retained Player Name]]="","",VLOOKUP(U16List[[#This Row],[Retained Player Name]],Players[],7,FALSE))</f>
        <v/>
      </c>
      <c r="H34" s="233" t="str">
        <f>IF(U16List[[#This Row],[Retained Player Name]]="","",VLOOKUP(U16List[[#This Row],[Retained Player Name]],Players[],6,FALSE))</f>
        <v/>
      </c>
      <c r="I34" s="234" t="str">
        <f>IF(U16List[[#This Row],[Retained Player Name]]="","",VLOOKUP(U16List[[#This Row],[Retained Player Name]],Players[],4,FALSE))</f>
        <v/>
      </c>
      <c r="J3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4" s="231"/>
      <c r="L34" s="231"/>
      <c r="M34" s="7"/>
    </row>
    <row r="35" spans="1:13" s="8" customFormat="1" ht="12.75" customHeight="1" x14ac:dyDescent="0.2">
      <c r="A35" s="16" t="str">
        <f>IF(AND(U16List[[#This Row],[First &amp; Last Name]]="",U16List[[#This Row],[FISTF Code]]=""),"",ROW()-ROW($A$11))</f>
        <v/>
      </c>
      <c r="B35" s="232"/>
      <c r="C35" s="436"/>
      <c r="D35" s="421" t="str">
        <f>IF(U16List[[#This Row],[First &amp; Last Name]]="","",IFERROR(ISNUMBER(MATCH(U16List[[#This Row],[First &amp; Last Name]],Players[Player Name],0)),FALSE))</f>
        <v/>
      </c>
      <c r="E35" s="421" t="b">
        <f>IF(U16List[[#This Row],[FISTF Code]]="",FALSE,IFERROR(ISNUMBER(MATCH(U16List[[#This Row],[FISTF Code]],Players[FISTF Code],0)),FALSE))</f>
        <v>0</v>
      </c>
      <c r="F35" s="419" t="str">
        <f>IF(AND(U16List[[#This Row],[First &amp; Last Name]]="",U16List[[#This Row],[FISTF Code]]=""),"",IF(U16List[[#This Row],[Valide Code ?]],INDEX(Players[Player Name],MATCH(U16List[[#This Row],[FISTF Code]],Players[FISTF Code],0)),U16List[[#This Row],[First &amp; Last Name]]))</f>
        <v/>
      </c>
      <c r="G35" s="233" t="str">
        <f>IF(U16List[[#This Row],[Retained Player Name]]="","",VLOOKUP(U16List[[#This Row],[Retained Player Name]],Players[],7,FALSE))</f>
        <v/>
      </c>
      <c r="H35" s="233" t="str">
        <f>IF(U16List[[#This Row],[Retained Player Name]]="","",VLOOKUP(U16List[[#This Row],[Retained Player Name]],Players[],6,FALSE))</f>
        <v/>
      </c>
      <c r="I35" s="234" t="str">
        <f>IF(U16List[[#This Row],[Retained Player Name]]="","",VLOOKUP(U16List[[#This Row],[Retained Player Name]],Players[],4,FALSE))</f>
        <v/>
      </c>
      <c r="J35"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5" s="230"/>
      <c r="L35" s="230"/>
      <c r="M35" s="7"/>
    </row>
    <row r="36" spans="1:13" s="8" customFormat="1" ht="12.75" customHeight="1" x14ac:dyDescent="0.2">
      <c r="A36" s="16" t="str">
        <f>IF(AND(U16List[[#This Row],[First &amp; Last Name]]="",U16List[[#This Row],[FISTF Code]]=""),"",ROW()-ROW($A$11))</f>
        <v/>
      </c>
      <c r="B36" s="232"/>
      <c r="C36" s="436"/>
      <c r="D36" s="421" t="str">
        <f>IF(U16List[[#This Row],[First &amp; Last Name]]="","",IFERROR(ISNUMBER(MATCH(U16List[[#This Row],[First &amp; Last Name]],Players[Player Name],0)),FALSE))</f>
        <v/>
      </c>
      <c r="E36" s="421" t="b">
        <f>IF(U16List[[#This Row],[FISTF Code]]="",FALSE,IFERROR(ISNUMBER(MATCH(U16List[[#This Row],[FISTF Code]],Players[FISTF Code],0)),FALSE))</f>
        <v>0</v>
      </c>
      <c r="F36" s="419" t="str">
        <f>IF(AND(U16List[[#This Row],[First &amp; Last Name]]="",U16List[[#This Row],[FISTF Code]]=""),"",IF(U16List[[#This Row],[Valide Code ?]],INDEX(Players[Player Name],MATCH(U16List[[#This Row],[FISTF Code]],Players[FISTF Code],0)),U16List[[#This Row],[First &amp; Last Name]]))</f>
        <v/>
      </c>
      <c r="G36" s="233" t="str">
        <f>IF(U16List[[#This Row],[Retained Player Name]]="","",VLOOKUP(U16List[[#This Row],[Retained Player Name]],Players[],7,FALSE))</f>
        <v/>
      </c>
      <c r="H36" s="233" t="str">
        <f>IF(U16List[[#This Row],[Retained Player Name]]="","",VLOOKUP(U16List[[#This Row],[Retained Player Name]],Players[],6,FALSE))</f>
        <v/>
      </c>
      <c r="I36" s="234" t="str">
        <f>IF(U16List[[#This Row],[Retained Player Name]]="","",VLOOKUP(U16List[[#This Row],[Retained Player Name]],Players[],4,FALSE))</f>
        <v/>
      </c>
      <c r="J3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6" s="231"/>
      <c r="L36" s="231"/>
      <c r="M36" s="7"/>
    </row>
    <row r="37" spans="1:13" s="8" customFormat="1" ht="12.75" customHeight="1" x14ac:dyDescent="0.2">
      <c r="A37" s="16" t="str">
        <f>IF(AND(U16List[[#This Row],[First &amp; Last Name]]="",U16List[[#This Row],[FISTF Code]]=""),"",ROW()-ROW($A$11))</f>
        <v/>
      </c>
      <c r="B37" s="232"/>
      <c r="C37" s="436"/>
      <c r="D37" s="421" t="str">
        <f>IF(U16List[[#This Row],[First &amp; Last Name]]="","",IFERROR(ISNUMBER(MATCH(U16List[[#This Row],[First &amp; Last Name]],Players[Player Name],0)),FALSE))</f>
        <v/>
      </c>
      <c r="E37" s="421" t="b">
        <f>IF(U16List[[#This Row],[FISTF Code]]="",FALSE,IFERROR(ISNUMBER(MATCH(U16List[[#This Row],[FISTF Code]],Players[FISTF Code],0)),FALSE))</f>
        <v>0</v>
      </c>
      <c r="F37" s="419" t="str">
        <f>IF(AND(U16List[[#This Row],[First &amp; Last Name]]="",U16List[[#This Row],[FISTF Code]]=""),"",IF(U16List[[#This Row],[Valide Code ?]],INDEX(Players[Player Name],MATCH(U16List[[#This Row],[FISTF Code]],Players[FISTF Code],0)),U16List[[#This Row],[First &amp; Last Name]]))</f>
        <v/>
      </c>
      <c r="G37" s="233" t="str">
        <f>IF(U16List[[#This Row],[Retained Player Name]]="","",VLOOKUP(U16List[[#This Row],[Retained Player Name]],Players[],7,FALSE))</f>
        <v/>
      </c>
      <c r="H37" s="233" t="str">
        <f>IF(U16List[[#This Row],[Retained Player Name]]="","",VLOOKUP(U16List[[#This Row],[Retained Player Name]],Players[],6,FALSE))</f>
        <v/>
      </c>
      <c r="I37" s="234" t="str">
        <f>IF(U16List[[#This Row],[Retained Player Name]]="","",VLOOKUP(U16List[[#This Row],[Retained Player Name]],Players[],4,FALSE))</f>
        <v/>
      </c>
      <c r="J3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7" s="231"/>
      <c r="L37" s="231"/>
      <c r="M37" s="7"/>
    </row>
    <row r="38" spans="1:13" s="8" customFormat="1" ht="12.75" customHeight="1" x14ac:dyDescent="0.2">
      <c r="A38" s="16" t="str">
        <f>IF(AND(U16List[[#This Row],[First &amp; Last Name]]="",U16List[[#This Row],[FISTF Code]]=""),"",ROW()-ROW($A$11))</f>
        <v/>
      </c>
      <c r="B38" s="232"/>
      <c r="C38" s="436"/>
      <c r="D38" s="421" t="str">
        <f>IF(U16List[[#This Row],[First &amp; Last Name]]="","",IFERROR(ISNUMBER(MATCH(U16List[[#This Row],[First &amp; Last Name]],Players[Player Name],0)),FALSE))</f>
        <v/>
      </c>
      <c r="E38" s="421" t="b">
        <f>IF(U16List[[#This Row],[FISTF Code]]="",FALSE,IFERROR(ISNUMBER(MATCH(U16List[[#This Row],[FISTF Code]],Players[FISTF Code],0)),FALSE))</f>
        <v>0</v>
      </c>
      <c r="F38" s="419" t="str">
        <f>IF(AND(U16List[[#This Row],[First &amp; Last Name]]="",U16List[[#This Row],[FISTF Code]]=""),"",IF(U16List[[#This Row],[Valide Code ?]],INDEX(Players[Player Name],MATCH(U16List[[#This Row],[FISTF Code]],Players[FISTF Code],0)),U16List[[#This Row],[First &amp; Last Name]]))</f>
        <v/>
      </c>
      <c r="G38" s="233" t="str">
        <f>IF(U16List[[#This Row],[Retained Player Name]]="","",VLOOKUP(U16List[[#This Row],[Retained Player Name]],Players[],7,FALSE))</f>
        <v/>
      </c>
      <c r="H38" s="233" t="str">
        <f>IF(U16List[[#This Row],[Retained Player Name]]="","",VLOOKUP(U16List[[#This Row],[Retained Player Name]],Players[],6,FALSE))</f>
        <v/>
      </c>
      <c r="I38" s="234" t="str">
        <f>IF(U16List[[#This Row],[Retained Player Name]]="","",VLOOKUP(U16List[[#This Row],[Retained Player Name]],Players[],4,FALSE))</f>
        <v/>
      </c>
      <c r="J3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8" s="231"/>
      <c r="L38" s="231"/>
      <c r="M38" s="7"/>
    </row>
    <row r="39" spans="1:13" s="8" customFormat="1" ht="12.75" customHeight="1" x14ac:dyDescent="0.2">
      <c r="A39" s="16" t="str">
        <f>IF(AND(U16List[[#This Row],[First &amp; Last Name]]="",U16List[[#This Row],[FISTF Code]]=""),"",ROW()-ROW($A$11))</f>
        <v/>
      </c>
      <c r="B39" s="232"/>
      <c r="C39" s="436"/>
      <c r="D39" s="421" t="str">
        <f>IF(U16List[[#This Row],[First &amp; Last Name]]="","",IFERROR(ISNUMBER(MATCH(U16List[[#This Row],[First &amp; Last Name]],Players[Player Name],0)),FALSE))</f>
        <v/>
      </c>
      <c r="E39" s="421" t="b">
        <f>IF(U16List[[#This Row],[FISTF Code]]="",FALSE,IFERROR(ISNUMBER(MATCH(U16List[[#This Row],[FISTF Code]],Players[FISTF Code],0)),FALSE))</f>
        <v>0</v>
      </c>
      <c r="F39" s="419" t="str">
        <f>IF(AND(U16List[[#This Row],[First &amp; Last Name]]="",U16List[[#This Row],[FISTF Code]]=""),"",IF(U16List[[#This Row],[Valide Code ?]],INDEX(Players[Player Name],MATCH(U16List[[#This Row],[FISTF Code]],Players[FISTF Code],0)),U16List[[#This Row],[First &amp; Last Name]]))</f>
        <v/>
      </c>
      <c r="G39" s="233" t="str">
        <f>IF(U16List[[#This Row],[Retained Player Name]]="","",VLOOKUP(U16List[[#This Row],[Retained Player Name]],Players[],7,FALSE))</f>
        <v/>
      </c>
      <c r="H39" s="233" t="str">
        <f>IF(U16List[[#This Row],[Retained Player Name]]="","",VLOOKUP(U16List[[#This Row],[Retained Player Name]],Players[],6,FALSE))</f>
        <v/>
      </c>
      <c r="I39" s="234" t="str">
        <f>IF(U16List[[#This Row],[Retained Player Name]]="","",VLOOKUP(U16List[[#This Row],[Retained Player Name]],Players[],4,FALSE))</f>
        <v/>
      </c>
      <c r="J3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9" s="231"/>
      <c r="L39" s="231"/>
      <c r="M39" s="7"/>
    </row>
    <row r="40" spans="1:13" s="8" customFormat="1" ht="12.75" customHeight="1" x14ac:dyDescent="0.2">
      <c r="A40" s="16" t="str">
        <f>IF(AND(U16List[[#This Row],[First &amp; Last Name]]="",U16List[[#This Row],[FISTF Code]]=""),"",ROW()-ROW($A$11))</f>
        <v/>
      </c>
      <c r="B40" s="232"/>
      <c r="C40" s="436"/>
      <c r="D40" s="421" t="str">
        <f>IF(U16List[[#This Row],[First &amp; Last Name]]="","",IFERROR(ISNUMBER(MATCH(U16List[[#This Row],[First &amp; Last Name]],Players[Player Name],0)),FALSE))</f>
        <v/>
      </c>
      <c r="E40" s="421" t="b">
        <f>IF(U16List[[#This Row],[FISTF Code]]="",FALSE,IFERROR(ISNUMBER(MATCH(U16List[[#This Row],[FISTF Code]],Players[FISTF Code],0)),FALSE))</f>
        <v>0</v>
      </c>
      <c r="F40" s="419" t="str">
        <f>IF(AND(U16List[[#This Row],[First &amp; Last Name]]="",U16List[[#This Row],[FISTF Code]]=""),"",IF(U16List[[#This Row],[Valide Code ?]],INDEX(Players[Player Name],MATCH(U16List[[#This Row],[FISTF Code]],Players[FISTF Code],0)),U16List[[#This Row],[First &amp; Last Name]]))</f>
        <v/>
      </c>
      <c r="G40" s="233" t="str">
        <f>IF(U16List[[#This Row],[Retained Player Name]]="","",VLOOKUP(U16List[[#This Row],[Retained Player Name]],Players[],7,FALSE))</f>
        <v/>
      </c>
      <c r="H40" s="235" t="str">
        <f>IF(U16List[[#This Row],[Retained Player Name]]="","",VLOOKUP(U16List[[#This Row],[Retained Player Name]],Players[],6,FALSE))</f>
        <v/>
      </c>
      <c r="I40" s="235" t="str">
        <f>IF(U16List[[#This Row],[Retained Player Name]]="","",VLOOKUP(U16List[[#This Row],[Retained Player Name]],Players[],4,FALSE))</f>
        <v/>
      </c>
      <c r="J4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0" s="231"/>
      <c r="L40" s="231"/>
      <c r="M40" s="7"/>
    </row>
    <row r="41" spans="1:13" s="8" customFormat="1" ht="12.75" customHeight="1" x14ac:dyDescent="0.2">
      <c r="A41" s="16" t="str">
        <f>IF(AND(U16List[[#This Row],[First &amp; Last Name]]="",U16List[[#This Row],[FISTF Code]]=""),"",ROW()-ROW($A$11))</f>
        <v/>
      </c>
      <c r="B41" s="232"/>
      <c r="C41" s="436"/>
      <c r="D41" s="421" t="str">
        <f>IF(U16List[[#This Row],[First &amp; Last Name]]="","",IFERROR(ISNUMBER(MATCH(U16List[[#This Row],[First &amp; Last Name]],Players[Player Name],0)),FALSE))</f>
        <v/>
      </c>
      <c r="E41" s="421" t="b">
        <f>IF(U16List[[#This Row],[FISTF Code]]="",FALSE,IFERROR(ISNUMBER(MATCH(U16List[[#This Row],[FISTF Code]],Players[FISTF Code],0)),FALSE))</f>
        <v>0</v>
      </c>
      <c r="F41" s="419" t="str">
        <f>IF(AND(U16List[[#This Row],[First &amp; Last Name]]="",U16List[[#This Row],[FISTF Code]]=""),"",IF(U16List[[#This Row],[Valide Code ?]],INDEX(Players[Player Name],MATCH(U16List[[#This Row],[FISTF Code]],Players[FISTF Code],0)),U16List[[#This Row],[First &amp; Last Name]]))</f>
        <v/>
      </c>
      <c r="G41" s="233" t="str">
        <f>IF(U16List[[#This Row],[Retained Player Name]]="","",VLOOKUP(U16List[[#This Row],[Retained Player Name]],Players[],7,FALSE))</f>
        <v/>
      </c>
      <c r="H41" s="235" t="str">
        <f>IF(U16List[[#This Row],[Retained Player Name]]="","",VLOOKUP(U16List[[#This Row],[Retained Player Name]],Players[],6,FALSE))</f>
        <v/>
      </c>
      <c r="I41" s="235" t="str">
        <f>IF(U16List[[#This Row],[Retained Player Name]]="","",VLOOKUP(U16List[[#This Row],[Retained Player Name]],Players[],4,FALSE))</f>
        <v/>
      </c>
      <c r="J4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1" s="231"/>
      <c r="L41" s="231"/>
      <c r="M41" s="7"/>
    </row>
    <row r="42" spans="1:13" s="8" customFormat="1" ht="12.75" customHeight="1" x14ac:dyDescent="0.2">
      <c r="A42" s="16" t="str">
        <f>IF(AND(U16List[[#This Row],[First &amp; Last Name]]="",U16List[[#This Row],[FISTF Code]]=""),"",ROW()-ROW($A$11))</f>
        <v/>
      </c>
      <c r="B42" s="232"/>
      <c r="C42" s="436"/>
      <c r="D42" s="421" t="str">
        <f>IF(U16List[[#This Row],[First &amp; Last Name]]="","",IFERROR(ISNUMBER(MATCH(U16List[[#This Row],[First &amp; Last Name]],Players[Player Name],0)),FALSE))</f>
        <v/>
      </c>
      <c r="E42" s="421" t="b">
        <f>IF(U16List[[#This Row],[FISTF Code]]="",FALSE,IFERROR(ISNUMBER(MATCH(U16List[[#This Row],[FISTF Code]],Players[FISTF Code],0)),FALSE))</f>
        <v>0</v>
      </c>
      <c r="F42" s="419" t="str">
        <f>IF(AND(U16List[[#This Row],[First &amp; Last Name]]="",U16List[[#This Row],[FISTF Code]]=""),"",IF(U16List[[#This Row],[Valide Code ?]],INDEX(Players[Player Name],MATCH(U16List[[#This Row],[FISTF Code]],Players[FISTF Code],0)),U16List[[#This Row],[First &amp; Last Name]]))</f>
        <v/>
      </c>
      <c r="G42" s="233" t="str">
        <f>IF(U16List[[#This Row],[Retained Player Name]]="","",VLOOKUP(U16List[[#This Row],[Retained Player Name]],Players[],7,FALSE))</f>
        <v/>
      </c>
      <c r="H42" s="235" t="str">
        <f>IF(U16List[[#This Row],[Retained Player Name]]="","",VLOOKUP(U16List[[#This Row],[Retained Player Name]],Players[],6,FALSE))</f>
        <v/>
      </c>
      <c r="I42" s="235" t="str">
        <f>IF(U16List[[#This Row],[Retained Player Name]]="","",VLOOKUP(U16List[[#This Row],[Retained Player Name]],Players[],4,FALSE))</f>
        <v/>
      </c>
      <c r="J4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2" s="231"/>
      <c r="L42" s="231"/>
      <c r="M42" s="7"/>
    </row>
    <row r="43" spans="1:13" s="8" customFormat="1" ht="12.75" customHeight="1" x14ac:dyDescent="0.2">
      <c r="A43" s="16" t="str">
        <f>IF(AND(U16List[[#This Row],[First &amp; Last Name]]="",U16List[[#This Row],[FISTF Code]]=""),"",ROW()-ROW($A$11))</f>
        <v/>
      </c>
      <c r="B43" s="232"/>
      <c r="C43" s="436"/>
      <c r="D43" s="421" t="str">
        <f>IF(U16List[[#This Row],[First &amp; Last Name]]="","",IFERROR(ISNUMBER(MATCH(U16List[[#This Row],[First &amp; Last Name]],Players[Player Name],0)),FALSE))</f>
        <v/>
      </c>
      <c r="E43" s="421" t="b">
        <f>IF(U16List[[#This Row],[FISTF Code]]="",FALSE,IFERROR(ISNUMBER(MATCH(U16List[[#This Row],[FISTF Code]],Players[FISTF Code],0)),FALSE))</f>
        <v>0</v>
      </c>
      <c r="F43" s="419" t="str">
        <f>IF(AND(U16List[[#This Row],[First &amp; Last Name]]="",U16List[[#This Row],[FISTF Code]]=""),"",IF(U16List[[#This Row],[Valide Code ?]],INDEX(Players[Player Name],MATCH(U16List[[#This Row],[FISTF Code]],Players[FISTF Code],0)),U16List[[#This Row],[First &amp; Last Name]]))</f>
        <v/>
      </c>
      <c r="G43" s="233" t="str">
        <f>IF(U16List[[#This Row],[Retained Player Name]]="","",VLOOKUP(U16List[[#This Row],[Retained Player Name]],Players[],7,FALSE))</f>
        <v/>
      </c>
      <c r="H43" s="235" t="str">
        <f>IF(U16List[[#This Row],[Retained Player Name]]="","",VLOOKUP(U16List[[#This Row],[Retained Player Name]],Players[],6,FALSE))</f>
        <v/>
      </c>
      <c r="I43" s="235" t="str">
        <f>IF(U16List[[#This Row],[Retained Player Name]]="","",VLOOKUP(U16List[[#This Row],[Retained Player Name]],Players[],4,FALSE))</f>
        <v/>
      </c>
      <c r="J4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3" s="231"/>
      <c r="L43" s="231"/>
      <c r="M43" s="7"/>
    </row>
    <row r="44" spans="1:13" s="8" customFormat="1" ht="12.75" customHeight="1" x14ac:dyDescent="0.2">
      <c r="A44" s="16" t="str">
        <f>IF(AND(U16List[[#This Row],[First &amp; Last Name]]="",U16List[[#This Row],[FISTF Code]]=""),"",ROW()-ROW($A$11))</f>
        <v/>
      </c>
      <c r="B44" s="232"/>
      <c r="C44" s="436"/>
      <c r="D44" s="421" t="str">
        <f>IF(U16List[[#This Row],[First &amp; Last Name]]="","",IFERROR(ISNUMBER(MATCH(U16List[[#This Row],[First &amp; Last Name]],Players[Player Name],0)),FALSE))</f>
        <v/>
      </c>
      <c r="E44" s="421" t="b">
        <f>IF(U16List[[#This Row],[FISTF Code]]="",FALSE,IFERROR(ISNUMBER(MATCH(U16List[[#This Row],[FISTF Code]],Players[FISTF Code],0)),FALSE))</f>
        <v>0</v>
      </c>
      <c r="F44" s="419" t="str">
        <f>IF(AND(U16List[[#This Row],[First &amp; Last Name]]="",U16List[[#This Row],[FISTF Code]]=""),"",IF(U16List[[#This Row],[Valide Code ?]],INDEX(Players[Player Name],MATCH(U16List[[#This Row],[FISTF Code]],Players[FISTF Code],0)),U16List[[#This Row],[First &amp; Last Name]]))</f>
        <v/>
      </c>
      <c r="G44" s="233" t="str">
        <f>IF(U16List[[#This Row],[Retained Player Name]]="","",VLOOKUP(U16List[[#This Row],[Retained Player Name]],Players[],7,FALSE))</f>
        <v/>
      </c>
      <c r="H44" s="235" t="str">
        <f>IF(U16List[[#This Row],[Retained Player Name]]="","",VLOOKUP(U16List[[#This Row],[Retained Player Name]],Players[],6,FALSE))</f>
        <v/>
      </c>
      <c r="I44" s="235" t="str">
        <f>IF(U16List[[#This Row],[Retained Player Name]]="","",VLOOKUP(U16List[[#This Row],[Retained Player Name]],Players[],4,FALSE))</f>
        <v/>
      </c>
      <c r="J4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4" s="231"/>
      <c r="L44" s="231"/>
      <c r="M44" s="7"/>
    </row>
    <row r="45" spans="1:13" s="8" customFormat="1" ht="12.75" customHeight="1" x14ac:dyDescent="0.2">
      <c r="A45" s="16" t="str">
        <f>IF(AND(U16List[[#This Row],[First &amp; Last Name]]="",U16List[[#This Row],[FISTF Code]]=""),"",ROW()-ROW($A$11))</f>
        <v/>
      </c>
      <c r="B45" s="232"/>
      <c r="C45" s="436"/>
      <c r="D45" s="421" t="str">
        <f>IF(U16List[[#This Row],[First &amp; Last Name]]="","",IFERROR(ISNUMBER(MATCH(U16List[[#This Row],[First &amp; Last Name]],Players[Player Name],0)),FALSE))</f>
        <v/>
      </c>
      <c r="E45" s="421" t="b">
        <f>IF(U16List[[#This Row],[FISTF Code]]="",FALSE,IFERROR(ISNUMBER(MATCH(U16List[[#This Row],[FISTF Code]],Players[FISTF Code],0)),FALSE))</f>
        <v>0</v>
      </c>
      <c r="F45" s="419" t="str">
        <f>IF(AND(U16List[[#This Row],[First &amp; Last Name]]="",U16List[[#This Row],[FISTF Code]]=""),"",IF(U16List[[#This Row],[Valide Code ?]],INDEX(Players[Player Name],MATCH(U16List[[#This Row],[FISTF Code]],Players[FISTF Code],0)),U16List[[#This Row],[First &amp; Last Name]]))</f>
        <v/>
      </c>
      <c r="G45" s="233" t="str">
        <f>IF(U16List[[#This Row],[Retained Player Name]]="","",VLOOKUP(U16List[[#This Row],[Retained Player Name]],Players[],7,FALSE))</f>
        <v/>
      </c>
      <c r="H45" s="235" t="str">
        <f>IF(U16List[[#This Row],[Retained Player Name]]="","",VLOOKUP(U16List[[#This Row],[Retained Player Name]],Players[],6,FALSE))</f>
        <v/>
      </c>
      <c r="I45" s="235" t="str">
        <f>IF(U16List[[#This Row],[Retained Player Name]]="","",VLOOKUP(U16List[[#This Row],[Retained Player Name]],Players[],4,FALSE))</f>
        <v/>
      </c>
      <c r="J4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5" s="231"/>
      <c r="L45" s="231"/>
      <c r="M45" s="7"/>
    </row>
    <row r="46" spans="1:13" s="8" customFormat="1" ht="12.75" customHeight="1" x14ac:dyDescent="0.2">
      <c r="A46" s="16" t="str">
        <f>IF(AND(U16List[[#This Row],[First &amp; Last Name]]="",U16List[[#This Row],[FISTF Code]]=""),"",ROW()-ROW($A$11))</f>
        <v/>
      </c>
      <c r="B46" s="232"/>
      <c r="C46" s="436"/>
      <c r="D46" s="421" t="str">
        <f>IF(U16List[[#This Row],[First &amp; Last Name]]="","",IFERROR(ISNUMBER(MATCH(U16List[[#This Row],[First &amp; Last Name]],Players[Player Name],0)),FALSE))</f>
        <v/>
      </c>
      <c r="E46" s="421" t="b">
        <f>IF(U16List[[#This Row],[FISTF Code]]="",FALSE,IFERROR(ISNUMBER(MATCH(U16List[[#This Row],[FISTF Code]],Players[FISTF Code],0)),FALSE))</f>
        <v>0</v>
      </c>
      <c r="F46" s="419" t="str">
        <f>IF(AND(U16List[[#This Row],[First &amp; Last Name]]="",U16List[[#This Row],[FISTF Code]]=""),"",IF(U16List[[#This Row],[Valide Code ?]],INDEX(Players[Player Name],MATCH(U16List[[#This Row],[FISTF Code]],Players[FISTF Code],0)),U16List[[#This Row],[First &amp; Last Name]]))</f>
        <v/>
      </c>
      <c r="G46" s="233" t="str">
        <f>IF(U16List[[#This Row],[Retained Player Name]]="","",VLOOKUP(U16List[[#This Row],[Retained Player Name]],Players[],7,FALSE))</f>
        <v/>
      </c>
      <c r="H46" s="235" t="str">
        <f>IF(U16List[[#This Row],[Retained Player Name]]="","",VLOOKUP(U16List[[#This Row],[Retained Player Name]],Players[],6,FALSE))</f>
        <v/>
      </c>
      <c r="I46" s="235" t="str">
        <f>IF(U16List[[#This Row],[Retained Player Name]]="","",VLOOKUP(U16List[[#This Row],[Retained Player Name]],Players[],4,FALSE))</f>
        <v/>
      </c>
      <c r="J4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6" s="231"/>
      <c r="L46" s="231"/>
      <c r="M46" s="7"/>
    </row>
    <row r="47" spans="1:13" s="8" customFormat="1" ht="12.75" customHeight="1" x14ac:dyDescent="0.2">
      <c r="A47" s="16" t="str">
        <f>IF(AND(U16List[[#This Row],[First &amp; Last Name]]="",U16List[[#This Row],[FISTF Code]]=""),"",ROW()-ROW($A$11))</f>
        <v/>
      </c>
      <c r="B47" s="232"/>
      <c r="C47" s="436"/>
      <c r="D47" s="421" t="str">
        <f>IF(U16List[[#This Row],[First &amp; Last Name]]="","",IFERROR(ISNUMBER(MATCH(U16List[[#This Row],[First &amp; Last Name]],Players[Player Name],0)),FALSE))</f>
        <v/>
      </c>
      <c r="E47" s="421" t="b">
        <f>IF(U16List[[#This Row],[FISTF Code]]="",FALSE,IFERROR(ISNUMBER(MATCH(U16List[[#This Row],[FISTF Code]],Players[FISTF Code],0)),FALSE))</f>
        <v>0</v>
      </c>
      <c r="F47" s="419" t="str">
        <f>IF(AND(U16List[[#This Row],[First &amp; Last Name]]="",U16List[[#This Row],[FISTF Code]]=""),"",IF(U16List[[#This Row],[Valide Code ?]],INDEX(Players[Player Name],MATCH(U16List[[#This Row],[FISTF Code]],Players[FISTF Code],0)),U16List[[#This Row],[First &amp; Last Name]]))</f>
        <v/>
      </c>
      <c r="G47" s="233" t="str">
        <f>IF(U16List[[#This Row],[Retained Player Name]]="","",VLOOKUP(U16List[[#This Row],[Retained Player Name]],Players[],7,FALSE))</f>
        <v/>
      </c>
      <c r="H47" s="235" t="str">
        <f>IF(U16List[[#This Row],[Retained Player Name]]="","",VLOOKUP(U16List[[#This Row],[Retained Player Name]],Players[],6,FALSE))</f>
        <v/>
      </c>
      <c r="I47" s="235" t="str">
        <f>IF(U16List[[#This Row],[Retained Player Name]]="","",VLOOKUP(U16List[[#This Row],[Retained Player Name]],Players[],4,FALSE))</f>
        <v/>
      </c>
      <c r="J4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7" s="231"/>
      <c r="L47" s="231"/>
      <c r="M47" s="7"/>
    </row>
    <row r="48" spans="1:13" s="8" customFormat="1" ht="12.75" customHeight="1" x14ac:dyDescent="0.2">
      <c r="A48" s="16" t="str">
        <f>IF(AND(U16List[[#This Row],[First &amp; Last Name]]="",U16List[[#This Row],[FISTF Code]]=""),"",ROW()-ROW($A$11))</f>
        <v/>
      </c>
      <c r="B48" s="232"/>
      <c r="C48" s="436"/>
      <c r="D48" s="421" t="str">
        <f>IF(U16List[[#This Row],[First &amp; Last Name]]="","",IFERROR(ISNUMBER(MATCH(U16List[[#This Row],[First &amp; Last Name]],Players[Player Name],0)),FALSE))</f>
        <v/>
      </c>
      <c r="E48" s="421" t="b">
        <f>IF(U16List[[#This Row],[FISTF Code]]="",FALSE,IFERROR(ISNUMBER(MATCH(U16List[[#This Row],[FISTF Code]],Players[FISTF Code],0)),FALSE))</f>
        <v>0</v>
      </c>
      <c r="F48" s="419" t="str">
        <f>IF(AND(U16List[[#This Row],[First &amp; Last Name]]="",U16List[[#This Row],[FISTF Code]]=""),"",IF(U16List[[#This Row],[Valide Code ?]],INDEX(Players[Player Name],MATCH(U16List[[#This Row],[FISTF Code]],Players[FISTF Code],0)),U16List[[#This Row],[First &amp; Last Name]]))</f>
        <v/>
      </c>
      <c r="G48" s="233" t="str">
        <f>IF(U16List[[#This Row],[Retained Player Name]]="","",VLOOKUP(U16List[[#This Row],[Retained Player Name]],Players[],7,FALSE))</f>
        <v/>
      </c>
      <c r="H48" s="235" t="str">
        <f>IF(U16List[[#This Row],[Retained Player Name]]="","",VLOOKUP(U16List[[#This Row],[Retained Player Name]],Players[],6,FALSE))</f>
        <v/>
      </c>
      <c r="I48" s="235" t="str">
        <f>IF(U16List[[#This Row],[Retained Player Name]]="","",VLOOKUP(U16List[[#This Row],[Retained Player Name]],Players[],4,FALSE))</f>
        <v/>
      </c>
      <c r="J4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8" s="231"/>
      <c r="L48" s="231"/>
      <c r="M48" s="7"/>
    </row>
    <row r="49" spans="1:13" s="8" customFormat="1" ht="12.75" customHeight="1" x14ac:dyDescent="0.2">
      <c r="A49" s="16" t="str">
        <f>IF(AND(U16List[[#This Row],[First &amp; Last Name]]="",U16List[[#This Row],[FISTF Code]]=""),"",ROW()-ROW($A$11))</f>
        <v/>
      </c>
      <c r="B49" s="232"/>
      <c r="C49" s="436"/>
      <c r="D49" s="421" t="str">
        <f>IF(U16List[[#This Row],[First &amp; Last Name]]="","",IFERROR(ISNUMBER(MATCH(U16List[[#This Row],[First &amp; Last Name]],Players[Player Name],0)),FALSE))</f>
        <v/>
      </c>
      <c r="E49" s="421" t="b">
        <f>IF(U16List[[#This Row],[FISTF Code]]="",FALSE,IFERROR(ISNUMBER(MATCH(U16List[[#This Row],[FISTF Code]],Players[FISTF Code],0)),FALSE))</f>
        <v>0</v>
      </c>
      <c r="F49" s="419" t="str">
        <f>IF(AND(U16List[[#This Row],[First &amp; Last Name]]="",U16List[[#This Row],[FISTF Code]]=""),"",IF(U16List[[#This Row],[Valide Code ?]],INDEX(Players[Player Name],MATCH(U16List[[#This Row],[FISTF Code]],Players[FISTF Code],0)),U16List[[#This Row],[First &amp; Last Name]]))</f>
        <v/>
      </c>
      <c r="G49" s="233" t="str">
        <f>IF(U16List[[#This Row],[Retained Player Name]]="","",VLOOKUP(U16List[[#This Row],[Retained Player Name]],Players[],7,FALSE))</f>
        <v/>
      </c>
      <c r="H49" s="235" t="str">
        <f>IF(U16List[[#This Row],[Retained Player Name]]="","",VLOOKUP(U16List[[#This Row],[Retained Player Name]],Players[],6,FALSE))</f>
        <v/>
      </c>
      <c r="I49" s="235" t="str">
        <f>IF(U16List[[#This Row],[Retained Player Name]]="","",VLOOKUP(U16List[[#This Row],[Retained Player Name]],Players[],4,FALSE))</f>
        <v/>
      </c>
      <c r="J4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9" s="231"/>
      <c r="L49" s="231"/>
      <c r="M49" s="7"/>
    </row>
    <row r="50" spans="1:13" s="8" customFormat="1" ht="12.75" customHeight="1" x14ac:dyDescent="0.2">
      <c r="A50" s="16" t="str">
        <f>IF(AND(U16List[[#This Row],[First &amp; Last Name]]="",U16List[[#This Row],[FISTF Code]]=""),"",ROW()-ROW($A$11))</f>
        <v/>
      </c>
      <c r="B50" s="232"/>
      <c r="C50" s="436"/>
      <c r="D50" s="421" t="str">
        <f>IF(U16List[[#This Row],[First &amp; Last Name]]="","",IFERROR(ISNUMBER(MATCH(U16List[[#This Row],[First &amp; Last Name]],Players[Player Name],0)),FALSE))</f>
        <v/>
      </c>
      <c r="E50" s="421" t="b">
        <f>IF(U16List[[#This Row],[FISTF Code]]="",FALSE,IFERROR(ISNUMBER(MATCH(U16List[[#This Row],[FISTF Code]],Players[FISTF Code],0)),FALSE))</f>
        <v>0</v>
      </c>
      <c r="F50" s="419" t="str">
        <f>IF(AND(U16List[[#This Row],[First &amp; Last Name]]="",U16List[[#This Row],[FISTF Code]]=""),"",IF(U16List[[#This Row],[Valide Code ?]],INDEX(Players[Player Name],MATCH(U16List[[#This Row],[FISTF Code]],Players[FISTF Code],0)),U16List[[#This Row],[First &amp; Last Name]]))</f>
        <v/>
      </c>
      <c r="G50" s="233" t="str">
        <f>IF(U16List[[#This Row],[Retained Player Name]]="","",VLOOKUP(U16List[[#This Row],[Retained Player Name]],Players[],7,FALSE))</f>
        <v/>
      </c>
      <c r="H50" s="235" t="str">
        <f>IF(U16List[[#This Row],[Retained Player Name]]="","",VLOOKUP(U16List[[#This Row],[Retained Player Name]],Players[],6,FALSE))</f>
        <v/>
      </c>
      <c r="I50" s="235" t="str">
        <f>IF(U16List[[#This Row],[Retained Player Name]]="","",VLOOKUP(U16List[[#This Row],[Retained Player Name]],Players[],4,FALSE))</f>
        <v/>
      </c>
      <c r="J5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0" s="231"/>
      <c r="L50" s="231"/>
      <c r="M50" s="7"/>
    </row>
    <row r="51" spans="1:13" s="8" customFormat="1" ht="12.75" customHeight="1" x14ac:dyDescent="0.2">
      <c r="A51" s="322" t="str">
        <f>IF(AND(U16List[[#This Row],[First &amp; Last Name]]="",U16List[[#This Row],[FISTF Code]]=""),"",ROW()-ROW($A$11))</f>
        <v/>
      </c>
      <c r="B51" s="323"/>
      <c r="C51" s="437"/>
      <c r="D51" s="422" t="str">
        <f>IF(U16List[[#This Row],[First &amp; Last Name]]="","",IFERROR(ISNUMBER(MATCH(U16List[[#This Row],[First &amp; Last Name]],Players[Player Name],0)),FALSE))</f>
        <v/>
      </c>
      <c r="E51" s="422" t="b">
        <f>IF(U16List[[#This Row],[FISTF Code]]="",FALSE,IFERROR(ISNUMBER(MATCH(U16List[[#This Row],[FISTF Code]],Players[FISTF Code],0)),FALSE))</f>
        <v>0</v>
      </c>
      <c r="F51" s="420" t="str">
        <f>IF(AND(U16List[[#This Row],[First &amp; Last Name]]="",U16List[[#This Row],[FISTF Code]]=""),"",IF(U16List[[#This Row],[Valide Code ?]],INDEX(Players[Player Name],MATCH(U16List[[#This Row],[FISTF Code]],Players[FISTF Code],0)),U16List[[#This Row],[First &amp; Last Name]]))</f>
        <v/>
      </c>
      <c r="G51" s="233" t="str">
        <f>IF(U16List[[#This Row],[Retained Player Name]]="","",VLOOKUP(U16List[[#This Row],[Retained Player Name]],Players[],7,FALSE))</f>
        <v/>
      </c>
      <c r="H51" s="235" t="str">
        <f>IF(U16List[[#This Row],[Retained Player Name]]="","",VLOOKUP(U16List[[#This Row],[Retained Player Name]],Players[],6,FALSE))</f>
        <v/>
      </c>
      <c r="I51" s="235" t="str">
        <f>IF(U16List[[#This Row],[Retained Player Name]]="","",VLOOKUP(U16List[[#This Row],[Retained Player Name]],Players[],4,FALSE))</f>
        <v/>
      </c>
      <c r="J5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1" s="231"/>
      <c r="L51" s="231"/>
      <c r="M51" s="7"/>
    </row>
    <row r="52" spans="1:13" s="8" customFormat="1" ht="12.75" customHeight="1" x14ac:dyDescent="0.2">
      <c r="A52" s="322" t="str">
        <f>IF(AND(U16List[[#This Row],[First &amp; Last Name]]="",U16List[[#This Row],[FISTF Code]]=""),"",ROW()-ROW($A$11))</f>
        <v/>
      </c>
      <c r="B52" s="323"/>
      <c r="C52" s="437"/>
      <c r="D52" s="422" t="str">
        <f>IF(U16List[[#This Row],[First &amp; Last Name]]="","",IFERROR(ISNUMBER(MATCH(U16List[[#This Row],[First &amp; Last Name]],Players[Player Name],0)),FALSE))</f>
        <v/>
      </c>
      <c r="E52" s="422" t="b">
        <f>IF(U16List[[#This Row],[FISTF Code]]="",FALSE,IFERROR(ISNUMBER(MATCH(U16List[[#This Row],[FISTF Code]],Players[FISTF Code],0)),FALSE))</f>
        <v>0</v>
      </c>
      <c r="F52" s="420" t="str">
        <f>IF(AND(U16List[[#This Row],[First &amp; Last Name]]="",U16List[[#This Row],[FISTF Code]]=""),"",IF(U16List[[#This Row],[Valide Code ?]],INDEX(Players[Player Name],MATCH(U16List[[#This Row],[FISTF Code]],Players[FISTF Code],0)),U16List[[#This Row],[First &amp; Last Name]]))</f>
        <v/>
      </c>
      <c r="G52" s="233" t="str">
        <f>IF(U16List[[#This Row],[Retained Player Name]]="","",VLOOKUP(U16List[[#This Row],[Retained Player Name]],Players[],7,FALSE))</f>
        <v/>
      </c>
      <c r="H52" s="235" t="str">
        <f>IF(U16List[[#This Row],[Retained Player Name]]="","",VLOOKUP(U16List[[#This Row],[Retained Player Name]],Players[],6,FALSE))</f>
        <v/>
      </c>
      <c r="I52" s="235" t="str">
        <f>IF(U16List[[#This Row],[Retained Player Name]]="","",VLOOKUP(U16List[[#This Row],[Retained Player Name]],Players[],4,FALSE))</f>
        <v/>
      </c>
      <c r="J5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2" s="231"/>
      <c r="L52" s="231"/>
      <c r="M52" s="7"/>
    </row>
    <row r="53" spans="1:13" s="8" customFormat="1" ht="12.75" customHeight="1" x14ac:dyDescent="0.2">
      <c r="A53" s="322" t="str">
        <f>IF(AND(U16List[[#This Row],[First &amp; Last Name]]="",U16List[[#This Row],[FISTF Code]]=""),"",ROW()-ROW($A$11))</f>
        <v/>
      </c>
      <c r="B53" s="323"/>
      <c r="C53" s="437"/>
      <c r="D53" s="422" t="str">
        <f>IF(U16List[[#This Row],[First &amp; Last Name]]="","",IFERROR(ISNUMBER(MATCH(U16List[[#This Row],[First &amp; Last Name]],Players[Player Name],0)),FALSE))</f>
        <v/>
      </c>
      <c r="E53" s="422" t="b">
        <f>IF(U16List[[#This Row],[FISTF Code]]="",FALSE,IFERROR(ISNUMBER(MATCH(U16List[[#This Row],[FISTF Code]],Players[FISTF Code],0)),FALSE))</f>
        <v>0</v>
      </c>
      <c r="F53" s="420" t="str">
        <f>IF(AND(U16List[[#This Row],[First &amp; Last Name]]="",U16List[[#This Row],[FISTF Code]]=""),"",IF(U16List[[#This Row],[Valide Code ?]],INDEX(Players[Player Name],MATCH(U16List[[#This Row],[FISTF Code]],Players[FISTF Code],0)),U16List[[#This Row],[First &amp; Last Name]]))</f>
        <v/>
      </c>
      <c r="G53" s="233" t="str">
        <f>IF(U16List[[#This Row],[Retained Player Name]]="","",VLOOKUP(U16List[[#This Row],[Retained Player Name]],Players[],7,FALSE))</f>
        <v/>
      </c>
      <c r="H53" s="235" t="str">
        <f>IF(U16List[[#This Row],[Retained Player Name]]="","",VLOOKUP(U16List[[#This Row],[Retained Player Name]],Players[],6,FALSE))</f>
        <v/>
      </c>
      <c r="I53" s="235" t="str">
        <f>IF(U16List[[#This Row],[Retained Player Name]]="","",VLOOKUP(U16List[[#This Row],[Retained Player Name]],Players[],4,FALSE))</f>
        <v/>
      </c>
      <c r="J5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3" s="231"/>
      <c r="L53" s="231"/>
      <c r="M53" s="7"/>
    </row>
    <row r="54" spans="1:13" s="8" customFormat="1" ht="12.75" customHeight="1" x14ac:dyDescent="0.2">
      <c r="A54" s="322" t="str">
        <f>IF(AND(U16List[[#This Row],[First &amp; Last Name]]="",U16List[[#This Row],[FISTF Code]]=""),"",ROW()-ROW($A$11))</f>
        <v/>
      </c>
      <c r="B54" s="323"/>
      <c r="C54" s="437"/>
      <c r="D54" s="422" t="str">
        <f>IF(U16List[[#This Row],[First &amp; Last Name]]="","",IFERROR(ISNUMBER(MATCH(U16List[[#This Row],[First &amp; Last Name]],Players[Player Name],0)),FALSE))</f>
        <v/>
      </c>
      <c r="E54" s="422" t="b">
        <f>IF(U16List[[#This Row],[FISTF Code]]="",FALSE,IFERROR(ISNUMBER(MATCH(U16List[[#This Row],[FISTF Code]],Players[FISTF Code],0)),FALSE))</f>
        <v>0</v>
      </c>
      <c r="F54" s="420" t="str">
        <f>IF(AND(U16List[[#This Row],[First &amp; Last Name]]="",U16List[[#This Row],[FISTF Code]]=""),"",IF(U16List[[#This Row],[Valide Code ?]],INDEX(Players[Player Name],MATCH(U16List[[#This Row],[FISTF Code]],Players[FISTF Code],0)),U16List[[#This Row],[First &amp; Last Name]]))</f>
        <v/>
      </c>
      <c r="G54" s="233" t="str">
        <f>IF(U16List[[#This Row],[Retained Player Name]]="","",VLOOKUP(U16List[[#This Row],[Retained Player Name]],Players[],7,FALSE))</f>
        <v/>
      </c>
      <c r="H54" s="235" t="str">
        <f>IF(U16List[[#This Row],[Retained Player Name]]="","",VLOOKUP(U16List[[#This Row],[Retained Player Name]],Players[],6,FALSE))</f>
        <v/>
      </c>
      <c r="I54" s="235" t="str">
        <f>IF(U16List[[#This Row],[Retained Player Name]]="","",VLOOKUP(U16List[[#This Row],[Retained Player Name]],Players[],4,FALSE))</f>
        <v/>
      </c>
      <c r="J5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4" s="231"/>
      <c r="L54" s="231"/>
      <c r="M54" s="7"/>
    </row>
    <row r="55" spans="1:13" s="8" customFormat="1" ht="12.75" customHeight="1" x14ac:dyDescent="0.2">
      <c r="A55" s="322" t="str">
        <f>IF(AND(U16List[[#This Row],[First &amp; Last Name]]="",U16List[[#This Row],[FISTF Code]]=""),"",ROW()-ROW($A$11))</f>
        <v/>
      </c>
      <c r="B55" s="323"/>
      <c r="C55" s="437"/>
      <c r="D55" s="422" t="str">
        <f>IF(U16List[[#This Row],[First &amp; Last Name]]="","",IFERROR(ISNUMBER(MATCH(U16List[[#This Row],[First &amp; Last Name]],Players[Player Name],0)),FALSE))</f>
        <v/>
      </c>
      <c r="E55" s="422" t="b">
        <f>IF(U16List[[#This Row],[FISTF Code]]="",FALSE,IFERROR(ISNUMBER(MATCH(U16List[[#This Row],[FISTF Code]],Players[FISTF Code],0)),FALSE))</f>
        <v>0</v>
      </c>
      <c r="F55" s="420" t="str">
        <f>IF(AND(U16List[[#This Row],[First &amp; Last Name]]="",U16List[[#This Row],[FISTF Code]]=""),"",IF(U16List[[#This Row],[Valide Code ?]],INDEX(Players[Player Name],MATCH(U16List[[#This Row],[FISTF Code]],Players[FISTF Code],0)),U16List[[#This Row],[First &amp; Last Name]]))</f>
        <v/>
      </c>
      <c r="G55" s="233" t="str">
        <f>IF(U16List[[#This Row],[Retained Player Name]]="","",VLOOKUP(U16List[[#This Row],[Retained Player Name]],Players[],7,FALSE))</f>
        <v/>
      </c>
      <c r="H55" s="235" t="str">
        <f>IF(U16List[[#This Row],[Retained Player Name]]="","",VLOOKUP(U16List[[#This Row],[Retained Player Name]],Players[],6,FALSE))</f>
        <v/>
      </c>
      <c r="I55" s="235" t="str">
        <f>IF(U16List[[#This Row],[Retained Player Name]]="","",VLOOKUP(U16List[[#This Row],[Retained Player Name]],Players[],4,FALSE))</f>
        <v/>
      </c>
      <c r="J5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5" s="231"/>
      <c r="L55" s="231"/>
      <c r="M55" s="7"/>
    </row>
    <row r="56" spans="1:13" s="8" customFormat="1" ht="12.75" customHeight="1" x14ac:dyDescent="0.2">
      <c r="A56" s="322" t="str">
        <f>IF(AND(U16List[[#This Row],[First &amp; Last Name]]="",U16List[[#This Row],[FISTF Code]]=""),"",ROW()-ROW($A$11))</f>
        <v/>
      </c>
      <c r="B56" s="323"/>
      <c r="C56" s="437"/>
      <c r="D56" s="422" t="str">
        <f>IF(U16List[[#This Row],[First &amp; Last Name]]="","",IFERROR(ISNUMBER(MATCH(U16List[[#This Row],[First &amp; Last Name]],Players[Player Name],0)),FALSE))</f>
        <v/>
      </c>
      <c r="E56" s="422" t="b">
        <f>IF(U16List[[#This Row],[FISTF Code]]="",FALSE,IFERROR(ISNUMBER(MATCH(U16List[[#This Row],[FISTF Code]],Players[FISTF Code],0)),FALSE))</f>
        <v>0</v>
      </c>
      <c r="F56" s="420" t="str">
        <f>IF(AND(U16List[[#This Row],[First &amp; Last Name]]="",U16List[[#This Row],[FISTF Code]]=""),"",IF(U16List[[#This Row],[Valide Code ?]],INDEX(Players[Player Name],MATCH(U16List[[#This Row],[FISTF Code]],Players[FISTF Code],0)),U16List[[#This Row],[First &amp; Last Name]]))</f>
        <v/>
      </c>
      <c r="G56" s="233" t="str">
        <f>IF(U16List[[#This Row],[Retained Player Name]]="","",VLOOKUP(U16List[[#This Row],[Retained Player Name]],Players[],7,FALSE))</f>
        <v/>
      </c>
      <c r="H56" s="235" t="str">
        <f>IF(U16List[[#This Row],[Retained Player Name]]="","",VLOOKUP(U16List[[#This Row],[Retained Player Name]],Players[],6,FALSE))</f>
        <v/>
      </c>
      <c r="I56" s="235" t="str">
        <f>IF(U16List[[#This Row],[Retained Player Name]]="","",VLOOKUP(U16List[[#This Row],[Retained Player Name]],Players[],4,FALSE))</f>
        <v/>
      </c>
      <c r="J5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6" s="231"/>
      <c r="L56" s="231"/>
      <c r="M56" s="7"/>
    </row>
    <row r="57" spans="1:13" s="8" customFormat="1" ht="12.75" customHeight="1" x14ac:dyDescent="0.2">
      <c r="A57" s="322" t="str">
        <f>IF(AND(U16List[[#This Row],[First &amp; Last Name]]="",U16List[[#This Row],[FISTF Code]]=""),"",ROW()-ROW($A$11))</f>
        <v/>
      </c>
      <c r="B57" s="323"/>
      <c r="C57" s="437"/>
      <c r="D57" s="422" t="str">
        <f>IF(U16List[[#This Row],[First &amp; Last Name]]="","",IFERROR(ISNUMBER(MATCH(U16List[[#This Row],[First &amp; Last Name]],Players[Player Name],0)),FALSE))</f>
        <v/>
      </c>
      <c r="E57" s="422" t="b">
        <f>IF(U16List[[#This Row],[FISTF Code]]="",FALSE,IFERROR(ISNUMBER(MATCH(U16List[[#This Row],[FISTF Code]],Players[FISTF Code],0)),FALSE))</f>
        <v>0</v>
      </c>
      <c r="F57" s="420" t="str">
        <f>IF(AND(U16List[[#This Row],[First &amp; Last Name]]="",U16List[[#This Row],[FISTF Code]]=""),"",IF(U16List[[#This Row],[Valide Code ?]],INDEX(Players[Player Name],MATCH(U16List[[#This Row],[FISTF Code]],Players[FISTF Code],0)),U16List[[#This Row],[First &amp; Last Name]]))</f>
        <v/>
      </c>
      <c r="G57" s="233" t="str">
        <f>IF(U16List[[#This Row],[Retained Player Name]]="","",VLOOKUP(U16List[[#This Row],[Retained Player Name]],Players[],7,FALSE))</f>
        <v/>
      </c>
      <c r="H57" s="235" t="str">
        <f>IF(U16List[[#This Row],[Retained Player Name]]="","",VLOOKUP(U16List[[#This Row],[Retained Player Name]],Players[],6,FALSE))</f>
        <v/>
      </c>
      <c r="I57" s="235" t="str">
        <f>IF(U16List[[#This Row],[Retained Player Name]]="","",VLOOKUP(U16List[[#This Row],[Retained Player Name]],Players[],4,FALSE))</f>
        <v/>
      </c>
      <c r="J5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7" s="231"/>
      <c r="L57" s="231"/>
      <c r="M57" s="7"/>
    </row>
    <row r="58" spans="1:13" s="8" customFormat="1" ht="12.75" customHeight="1" x14ac:dyDescent="0.2">
      <c r="A58" s="322" t="str">
        <f>IF(AND(U16List[[#This Row],[First &amp; Last Name]]="",U16List[[#This Row],[FISTF Code]]=""),"",ROW()-ROW($A$11))</f>
        <v/>
      </c>
      <c r="B58" s="323"/>
      <c r="C58" s="437"/>
      <c r="D58" s="422" t="str">
        <f>IF(U16List[[#This Row],[First &amp; Last Name]]="","",IFERROR(ISNUMBER(MATCH(U16List[[#This Row],[First &amp; Last Name]],Players[Player Name],0)),FALSE))</f>
        <v/>
      </c>
      <c r="E58" s="422" t="b">
        <f>IF(U16List[[#This Row],[FISTF Code]]="",FALSE,IFERROR(ISNUMBER(MATCH(U16List[[#This Row],[FISTF Code]],Players[FISTF Code],0)),FALSE))</f>
        <v>0</v>
      </c>
      <c r="F58" s="420" t="str">
        <f>IF(AND(U16List[[#This Row],[First &amp; Last Name]]="",U16List[[#This Row],[FISTF Code]]=""),"",IF(U16List[[#This Row],[Valide Code ?]],INDEX(Players[Player Name],MATCH(U16List[[#This Row],[FISTF Code]],Players[FISTF Code],0)),U16List[[#This Row],[First &amp; Last Name]]))</f>
        <v/>
      </c>
      <c r="G58" s="233" t="str">
        <f>IF(U16List[[#This Row],[Retained Player Name]]="","",VLOOKUP(U16List[[#This Row],[Retained Player Name]],Players[],7,FALSE))</f>
        <v/>
      </c>
      <c r="H58" s="235" t="str">
        <f>IF(U16List[[#This Row],[Retained Player Name]]="","",VLOOKUP(U16List[[#This Row],[Retained Player Name]],Players[],6,FALSE))</f>
        <v/>
      </c>
      <c r="I58" s="235" t="str">
        <f>IF(U16List[[#This Row],[Retained Player Name]]="","",VLOOKUP(U16List[[#This Row],[Retained Player Name]],Players[],4,FALSE))</f>
        <v/>
      </c>
      <c r="J5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8" s="231"/>
      <c r="L58" s="231"/>
      <c r="M58" s="7"/>
    </row>
    <row r="59" spans="1:13" s="8" customFormat="1" ht="12.75" customHeight="1" x14ac:dyDescent="0.2">
      <c r="A59" s="322" t="str">
        <f>IF(AND(U16List[[#This Row],[First &amp; Last Name]]="",U16List[[#This Row],[FISTF Code]]=""),"",ROW()-ROW($A$11))</f>
        <v/>
      </c>
      <c r="B59" s="323"/>
      <c r="C59" s="437"/>
      <c r="D59" s="422" t="str">
        <f>IF(U16List[[#This Row],[First &amp; Last Name]]="","",IFERROR(ISNUMBER(MATCH(U16List[[#This Row],[First &amp; Last Name]],Players[Player Name],0)),FALSE))</f>
        <v/>
      </c>
      <c r="E59" s="422" t="b">
        <f>IF(U16List[[#This Row],[FISTF Code]]="",FALSE,IFERROR(ISNUMBER(MATCH(U16List[[#This Row],[FISTF Code]],Players[FISTF Code],0)),FALSE))</f>
        <v>0</v>
      </c>
      <c r="F59" s="420" t="str">
        <f>IF(AND(U16List[[#This Row],[First &amp; Last Name]]="",U16List[[#This Row],[FISTF Code]]=""),"",IF(U16List[[#This Row],[Valide Code ?]],INDEX(Players[Player Name],MATCH(U16List[[#This Row],[FISTF Code]],Players[FISTF Code],0)),U16List[[#This Row],[First &amp; Last Name]]))</f>
        <v/>
      </c>
      <c r="G59" s="233" t="str">
        <f>IF(U16List[[#This Row],[Retained Player Name]]="","",VLOOKUP(U16List[[#This Row],[Retained Player Name]],Players[],7,FALSE))</f>
        <v/>
      </c>
      <c r="H59" s="235" t="str">
        <f>IF(U16List[[#This Row],[Retained Player Name]]="","",VLOOKUP(U16List[[#This Row],[Retained Player Name]],Players[],6,FALSE))</f>
        <v/>
      </c>
      <c r="I59" s="235" t="str">
        <f>IF(U16List[[#This Row],[Retained Player Name]]="","",VLOOKUP(U16List[[#This Row],[Retained Player Name]],Players[],4,FALSE))</f>
        <v/>
      </c>
      <c r="J5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9" s="231"/>
      <c r="L59" s="231"/>
      <c r="M59" s="7"/>
    </row>
    <row r="60" spans="1:13" s="8" customFormat="1" ht="12.75" customHeight="1" x14ac:dyDescent="0.2">
      <c r="A60" s="322" t="str">
        <f>IF(AND(U16List[[#This Row],[First &amp; Last Name]]="",U16List[[#This Row],[FISTF Code]]=""),"",ROW()-ROW($A$11))</f>
        <v/>
      </c>
      <c r="B60" s="323"/>
      <c r="C60" s="437"/>
      <c r="D60" s="422" t="str">
        <f>IF(U16List[[#This Row],[First &amp; Last Name]]="","",IFERROR(ISNUMBER(MATCH(U16List[[#This Row],[First &amp; Last Name]],Players[Player Name],0)),FALSE))</f>
        <v/>
      </c>
      <c r="E60" s="422" t="b">
        <f>IF(U16List[[#This Row],[FISTF Code]]="",FALSE,IFERROR(ISNUMBER(MATCH(U16List[[#This Row],[FISTF Code]],Players[FISTF Code],0)),FALSE))</f>
        <v>0</v>
      </c>
      <c r="F60" s="420" t="str">
        <f>IF(AND(U16List[[#This Row],[First &amp; Last Name]]="",U16List[[#This Row],[FISTF Code]]=""),"",IF(U16List[[#This Row],[Valide Code ?]],INDEX(Players[Player Name],MATCH(U16List[[#This Row],[FISTF Code]],Players[FISTF Code],0)),U16List[[#This Row],[First &amp; Last Name]]))</f>
        <v/>
      </c>
      <c r="G60" s="233" t="str">
        <f>IF(U16List[[#This Row],[Retained Player Name]]="","",VLOOKUP(U16List[[#This Row],[Retained Player Name]],Players[],7,FALSE))</f>
        <v/>
      </c>
      <c r="H60" s="235" t="str">
        <f>IF(U16List[[#This Row],[Retained Player Name]]="","",VLOOKUP(U16List[[#This Row],[Retained Player Name]],Players[],6,FALSE))</f>
        <v/>
      </c>
      <c r="I60" s="235" t="str">
        <f>IF(U16List[[#This Row],[Retained Player Name]]="","",VLOOKUP(U16List[[#This Row],[Retained Player Name]],Players[],4,FALSE))</f>
        <v/>
      </c>
      <c r="J6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0" s="231"/>
      <c r="L60" s="231"/>
      <c r="M60" s="7"/>
    </row>
    <row r="61" spans="1:13" s="8" customFormat="1" ht="12.75" customHeight="1" x14ac:dyDescent="0.2">
      <c r="A61" s="322" t="str">
        <f>IF(AND(U16List[[#This Row],[First &amp; Last Name]]="",U16List[[#This Row],[FISTF Code]]=""),"",ROW()-ROW($A$11))</f>
        <v/>
      </c>
      <c r="B61" s="323"/>
      <c r="C61" s="437"/>
      <c r="D61" s="422" t="str">
        <f>IF(U16List[[#This Row],[First &amp; Last Name]]="","",IFERROR(ISNUMBER(MATCH(U16List[[#This Row],[First &amp; Last Name]],Players[Player Name],0)),FALSE))</f>
        <v/>
      </c>
      <c r="E61" s="422" t="b">
        <f>IF(U16List[[#This Row],[FISTF Code]]="",FALSE,IFERROR(ISNUMBER(MATCH(U16List[[#This Row],[FISTF Code]],Players[FISTF Code],0)),FALSE))</f>
        <v>0</v>
      </c>
      <c r="F61" s="420" t="str">
        <f>IF(AND(U16List[[#This Row],[First &amp; Last Name]]="",U16List[[#This Row],[FISTF Code]]=""),"",IF(U16List[[#This Row],[Valide Code ?]],INDEX(Players[Player Name],MATCH(U16List[[#This Row],[FISTF Code]],Players[FISTF Code],0)),U16List[[#This Row],[First &amp; Last Name]]))</f>
        <v/>
      </c>
      <c r="G61" s="233" t="str">
        <f>IF(U16List[[#This Row],[Retained Player Name]]="","",VLOOKUP(U16List[[#This Row],[Retained Player Name]],Players[],7,FALSE))</f>
        <v/>
      </c>
      <c r="H61" s="235" t="str">
        <f>IF(U16List[[#This Row],[Retained Player Name]]="","",VLOOKUP(U16List[[#This Row],[Retained Player Name]],Players[],6,FALSE))</f>
        <v/>
      </c>
      <c r="I61" s="235" t="str">
        <f>IF(U16List[[#This Row],[Retained Player Name]]="","",VLOOKUP(U16List[[#This Row],[Retained Player Name]],Players[],4,FALSE))</f>
        <v/>
      </c>
      <c r="J6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1" s="231"/>
      <c r="L61" s="231"/>
      <c r="M61" s="7"/>
    </row>
    <row r="62" spans="1:13" s="8" customFormat="1" ht="12.75" customHeight="1" x14ac:dyDescent="0.2">
      <c r="A62" s="322" t="str">
        <f>IF(AND(U16List[[#This Row],[First &amp; Last Name]]="",U16List[[#This Row],[FISTF Code]]=""),"",ROW()-ROW($A$11))</f>
        <v/>
      </c>
      <c r="B62" s="323"/>
      <c r="C62" s="437"/>
      <c r="D62" s="422" t="str">
        <f>IF(U16List[[#This Row],[First &amp; Last Name]]="","",IFERROR(ISNUMBER(MATCH(U16List[[#This Row],[First &amp; Last Name]],Players[Player Name],0)),FALSE))</f>
        <v/>
      </c>
      <c r="E62" s="422" t="b">
        <f>IF(U16List[[#This Row],[FISTF Code]]="",FALSE,IFERROR(ISNUMBER(MATCH(U16List[[#This Row],[FISTF Code]],Players[FISTF Code],0)),FALSE))</f>
        <v>0</v>
      </c>
      <c r="F62" s="420" t="str">
        <f>IF(AND(U16List[[#This Row],[First &amp; Last Name]]="",U16List[[#This Row],[FISTF Code]]=""),"",IF(U16List[[#This Row],[Valide Code ?]],INDEX(Players[Player Name],MATCH(U16List[[#This Row],[FISTF Code]],Players[FISTF Code],0)),U16List[[#This Row],[First &amp; Last Name]]))</f>
        <v/>
      </c>
      <c r="G62" s="233" t="str">
        <f>IF(U16List[[#This Row],[Retained Player Name]]="","",VLOOKUP(U16List[[#This Row],[Retained Player Name]],Players[],7,FALSE))</f>
        <v/>
      </c>
      <c r="H62" s="235" t="str">
        <f>IF(U16List[[#This Row],[Retained Player Name]]="","",VLOOKUP(U16List[[#This Row],[Retained Player Name]],Players[],6,FALSE))</f>
        <v/>
      </c>
      <c r="I62" s="235" t="str">
        <f>IF(U16List[[#This Row],[Retained Player Name]]="","",VLOOKUP(U16List[[#This Row],[Retained Player Name]],Players[],4,FALSE))</f>
        <v/>
      </c>
      <c r="J6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2" s="231"/>
      <c r="L62" s="231"/>
      <c r="M62" s="7"/>
    </row>
    <row r="63" spans="1:13" s="8" customFormat="1" ht="12.75" customHeight="1" x14ac:dyDescent="0.2">
      <c r="A63" s="322" t="str">
        <f>IF(AND(U16List[[#This Row],[First &amp; Last Name]]="",U16List[[#This Row],[FISTF Code]]=""),"",ROW()-ROW($A$11))</f>
        <v/>
      </c>
      <c r="B63" s="323"/>
      <c r="C63" s="437"/>
      <c r="D63" s="422" t="str">
        <f>IF(U16List[[#This Row],[First &amp; Last Name]]="","",IFERROR(ISNUMBER(MATCH(U16List[[#This Row],[First &amp; Last Name]],Players[Player Name],0)),FALSE))</f>
        <v/>
      </c>
      <c r="E63" s="422" t="b">
        <f>IF(U16List[[#This Row],[FISTF Code]]="",FALSE,IFERROR(ISNUMBER(MATCH(U16List[[#This Row],[FISTF Code]],Players[FISTF Code],0)),FALSE))</f>
        <v>0</v>
      </c>
      <c r="F63" s="420" t="str">
        <f>IF(AND(U16List[[#This Row],[First &amp; Last Name]]="",U16List[[#This Row],[FISTF Code]]=""),"",IF(U16List[[#This Row],[Valide Code ?]],INDEX(Players[Player Name],MATCH(U16List[[#This Row],[FISTF Code]],Players[FISTF Code],0)),U16List[[#This Row],[First &amp; Last Name]]))</f>
        <v/>
      </c>
      <c r="G63" s="233" t="str">
        <f>IF(U16List[[#This Row],[Retained Player Name]]="","",VLOOKUP(U16List[[#This Row],[Retained Player Name]],Players[],7,FALSE))</f>
        <v/>
      </c>
      <c r="H63" s="235" t="str">
        <f>IF(U16List[[#This Row],[Retained Player Name]]="","",VLOOKUP(U16List[[#This Row],[Retained Player Name]],Players[],6,FALSE))</f>
        <v/>
      </c>
      <c r="I63" s="235" t="str">
        <f>IF(U16List[[#This Row],[Retained Player Name]]="","",VLOOKUP(U16List[[#This Row],[Retained Player Name]],Players[],4,FALSE))</f>
        <v/>
      </c>
      <c r="J6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3" s="231"/>
      <c r="L63" s="231"/>
      <c r="M63" s="7"/>
    </row>
    <row r="64" spans="1:13" s="8" customFormat="1" ht="12.75" customHeight="1" x14ac:dyDescent="0.2">
      <c r="A64" s="322" t="str">
        <f>IF(AND(U16List[[#This Row],[First &amp; Last Name]]="",U16List[[#This Row],[FISTF Code]]=""),"",ROW()-ROW($A$11))</f>
        <v/>
      </c>
      <c r="B64" s="323"/>
      <c r="C64" s="437"/>
      <c r="D64" s="422" t="str">
        <f>IF(U16List[[#This Row],[First &amp; Last Name]]="","",IFERROR(ISNUMBER(MATCH(U16List[[#This Row],[First &amp; Last Name]],Players[Player Name],0)),FALSE))</f>
        <v/>
      </c>
      <c r="E64" s="422" t="b">
        <f>IF(U16List[[#This Row],[FISTF Code]]="",FALSE,IFERROR(ISNUMBER(MATCH(U16List[[#This Row],[FISTF Code]],Players[FISTF Code],0)),FALSE))</f>
        <v>0</v>
      </c>
      <c r="F64" s="420" t="str">
        <f>IF(AND(U16List[[#This Row],[First &amp; Last Name]]="",U16List[[#This Row],[FISTF Code]]=""),"",IF(U16List[[#This Row],[Valide Code ?]],INDEX(Players[Player Name],MATCH(U16List[[#This Row],[FISTF Code]],Players[FISTF Code],0)),U16List[[#This Row],[First &amp; Last Name]]))</f>
        <v/>
      </c>
      <c r="G64" s="233" t="str">
        <f>IF(U16List[[#This Row],[Retained Player Name]]="","",VLOOKUP(U16List[[#This Row],[Retained Player Name]],Players[],7,FALSE))</f>
        <v/>
      </c>
      <c r="H64" s="235" t="str">
        <f>IF(U16List[[#This Row],[Retained Player Name]]="","",VLOOKUP(U16List[[#This Row],[Retained Player Name]],Players[],6,FALSE))</f>
        <v/>
      </c>
      <c r="I64" s="235" t="str">
        <f>IF(U16List[[#This Row],[Retained Player Name]]="","",VLOOKUP(U16List[[#This Row],[Retained Player Name]],Players[],4,FALSE))</f>
        <v/>
      </c>
      <c r="J6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4" s="231"/>
      <c r="L64" s="231"/>
      <c r="M64" s="7"/>
    </row>
    <row r="65" spans="1:13" s="8" customFormat="1" ht="12.75" customHeight="1" x14ac:dyDescent="0.2">
      <c r="A65" s="322" t="str">
        <f>IF(AND(U16List[[#This Row],[First &amp; Last Name]]="",U16List[[#This Row],[FISTF Code]]=""),"",ROW()-ROW($A$11))</f>
        <v/>
      </c>
      <c r="B65" s="323"/>
      <c r="C65" s="437"/>
      <c r="D65" s="422" t="str">
        <f>IF(U16List[[#This Row],[First &amp; Last Name]]="","",IFERROR(ISNUMBER(MATCH(U16List[[#This Row],[First &amp; Last Name]],Players[Player Name],0)),FALSE))</f>
        <v/>
      </c>
      <c r="E65" s="422" t="b">
        <f>IF(U16List[[#This Row],[FISTF Code]]="",FALSE,IFERROR(ISNUMBER(MATCH(U16List[[#This Row],[FISTF Code]],Players[FISTF Code],0)),FALSE))</f>
        <v>0</v>
      </c>
      <c r="F65" s="420" t="str">
        <f>IF(AND(U16List[[#This Row],[First &amp; Last Name]]="",U16List[[#This Row],[FISTF Code]]=""),"",IF(U16List[[#This Row],[Valide Code ?]],INDEX(Players[Player Name],MATCH(U16List[[#This Row],[FISTF Code]],Players[FISTF Code],0)),U16List[[#This Row],[First &amp; Last Name]]))</f>
        <v/>
      </c>
      <c r="G65" s="233" t="str">
        <f>IF(U16List[[#This Row],[Retained Player Name]]="","",VLOOKUP(U16List[[#This Row],[Retained Player Name]],Players[],7,FALSE))</f>
        <v/>
      </c>
      <c r="H65" s="235" t="str">
        <f>IF(U16List[[#This Row],[Retained Player Name]]="","",VLOOKUP(U16List[[#This Row],[Retained Player Name]],Players[],6,FALSE))</f>
        <v/>
      </c>
      <c r="I65" s="235" t="str">
        <f>IF(U16List[[#This Row],[Retained Player Name]]="","",VLOOKUP(U16List[[#This Row],[Retained Player Name]],Players[],4,FALSE))</f>
        <v/>
      </c>
      <c r="J6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5" s="231"/>
      <c r="L65" s="231"/>
      <c r="M65" s="7"/>
    </row>
    <row r="66" spans="1:13" s="8" customFormat="1" ht="12.75" customHeight="1" x14ac:dyDescent="0.2">
      <c r="A66" s="322" t="str">
        <f>IF(AND(U16List[[#This Row],[First &amp; Last Name]]="",U16List[[#This Row],[FISTF Code]]=""),"",ROW()-ROW($A$11))</f>
        <v/>
      </c>
      <c r="B66" s="323"/>
      <c r="C66" s="437"/>
      <c r="D66" s="422" t="str">
        <f>IF(U16List[[#This Row],[First &amp; Last Name]]="","",IFERROR(ISNUMBER(MATCH(U16List[[#This Row],[First &amp; Last Name]],Players[Player Name],0)),FALSE))</f>
        <v/>
      </c>
      <c r="E66" s="422" t="b">
        <f>IF(U16List[[#This Row],[FISTF Code]]="",FALSE,IFERROR(ISNUMBER(MATCH(U16List[[#This Row],[FISTF Code]],Players[FISTF Code],0)),FALSE))</f>
        <v>0</v>
      </c>
      <c r="F66" s="420" t="str">
        <f>IF(AND(U16List[[#This Row],[First &amp; Last Name]]="",U16List[[#This Row],[FISTF Code]]=""),"",IF(U16List[[#This Row],[Valide Code ?]],INDEX(Players[Player Name],MATCH(U16List[[#This Row],[FISTF Code]],Players[FISTF Code],0)),U16List[[#This Row],[First &amp; Last Name]]))</f>
        <v/>
      </c>
      <c r="G66" s="233" t="str">
        <f>IF(U16List[[#This Row],[Retained Player Name]]="","",VLOOKUP(U16List[[#This Row],[Retained Player Name]],Players[],7,FALSE))</f>
        <v/>
      </c>
      <c r="H66" s="235" t="str">
        <f>IF(U16List[[#This Row],[Retained Player Name]]="","",VLOOKUP(U16List[[#This Row],[Retained Player Name]],Players[],6,FALSE))</f>
        <v/>
      </c>
      <c r="I66" s="235" t="str">
        <f>IF(U16List[[#This Row],[Retained Player Name]]="","",VLOOKUP(U16List[[#This Row],[Retained Player Name]],Players[],4,FALSE))</f>
        <v/>
      </c>
      <c r="J6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6" s="231"/>
      <c r="L66" s="231"/>
      <c r="M66" s="7"/>
    </row>
    <row r="67" spans="1:13" s="8" customFormat="1" x14ac:dyDescent="0.2">
      <c r="A67" s="322" t="str">
        <f>IF(AND(U16List[[#This Row],[First &amp; Last Name]]="",U16List[[#This Row],[FISTF Code]]=""),"",ROW()-ROW($A$11))</f>
        <v/>
      </c>
      <c r="B67" s="323"/>
      <c r="C67" s="437"/>
      <c r="D67" s="422" t="str">
        <f>IF(U16List[[#This Row],[First &amp; Last Name]]="","",IFERROR(ISNUMBER(MATCH(U16List[[#This Row],[First &amp; Last Name]],Players[Player Name],0)),FALSE))</f>
        <v/>
      </c>
      <c r="E67" s="422" t="b">
        <f>IF(U16List[[#This Row],[FISTF Code]]="",FALSE,IFERROR(ISNUMBER(MATCH(U16List[[#This Row],[FISTF Code]],Players[FISTF Code],0)),FALSE))</f>
        <v>0</v>
      </c>
      <c r="F67" s="420" t="str">
        <f>IF(AND(U16List[[#This Row],[First &amp; Last Name]]="",U16List[[#This Row],[FISTF Code]]=""),"",IF(U16List[[#This Row],[Valide Code ?]],INDEX(Players[Player Name],MATCH(U16List[[#This Row],[FISTF Code]],Players[FISTF Code],0)),U16List[[#This Row],[First &amp; Last Name]]))</f>
        <v/>
      </c>
      <c r="G67" s="233" t="str">
        <f>IF(U16List[[#This Row],[Retained Player Name]]="","",VLOOKUP(U16List[[#This Row],[Retained Player Name]],Players[],7,FALSE))</f>
        <v/>
      </c>
      <c r="H67" s="235" t="str">
        <f>IF(U16List[[#This Row],[Retained Player Name]]="","",VLOOKUP(U16List[[#This Row],[Retained Player Name]],Players[],6,FALSE))</f>
        <v/>
      </c>
      <c r="I67" s="235" t="str">
        <f>IF(U16List[[#This Row],[Retained Player Name]]="","",VLOOKUP(U16List[[#This Row],[Retained Player Name]],Players[],4,FALSE))</f>
        <v/>
      </c>
      <c r="J6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7" s="231"/>
      <c r="L67" s="231"/>
      <c r="M67" s="7"/>
    </row>
    <row r="68" spans="1:13" s="8" customFormat="1" x14ac:dyDescent="0.2">
      <c r="A68" s="322" t="str">
        <f>IF(AND(U16List[[#This Row],[First &amp; Last Name]]="",U16List[[#This Row],[FISTF Code]]=""),"",ROW()-ROW($A$11))</f>
        <v/>
      </c>
      <c r="B68" s="323"/>
      <c r="C68" s="437"/>
      <c r="D68" s="422" t="str">
        <f>IF(U16List[[#This Row],[First &amp; Last Name]]="","",IFERROR(ISNUMBER(MATCH(U16List[[#This Row],[First &amp; Last Name]],Players[Player Name],0)),FALSE))</f>
        <v/>
      </c>
      <c r="E68" s="422" t="b">
        <f>IF(U16List[[#This Row],[FISTF Code]]="",FALSE,IFERROR(ISNUMBER(MATCH(U16List[[#This Row],[FISTF Code]],Players[FISTF Code],0)),FALSE))</f>
        <v>0</v>
      </c>
      <c r="F68" s="420" t="str">
        <f>IF(AND(U16List[[#This Row],[First &amp; Last Name]]="",U16List[[#This Row],[FISTF Code]]=""),"",IF(U16List[[#This Row],[Valide Code ?]],INDEX(Players[Player Name],MATCH(U16List[[#This Row],[FISTF Code]],Players[FISTF Code],0)),U16List[[#This Row],[First &amp; Last Name]]))</f>
        <v/>
      </c>
      <c r="G68" s="233" t="str">
        <f>IF(U16List[[#This Row],[Retained Player Name]]="","",VLOOKUP(U16List[[#This Row],[Retained Player Name]],Players[],7,FALSE))</f>
        <v/>
      </c>
      <c r="H68" s="235" t="str">
        <f>IF(U16List[[#This Row],[Retained Player Name]]="","",VLOOKUP(U16List[[#This Row],[Retained Player Name]],Players[],6,FALSE))</f>
        <v/>
      </c>
      <c r="I68" s="235" t="str">
        <f>IF(U16List[[#This Row],[Retained Player Name]]="","",VLOOKUP(U16List[[#This Row],[Retained Player Name]],Players[],4,FALSE))</f>
        <v/>
      </c>
      <c r="J6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8" s="231"/>
      <c r="L68" s="231"/>
      <c r="M68" s="7"/>
    </row>
    <row r="69" spans="1:13" s="8" customFormat="1" x14ac:dyDescent="0.2">
      <c r="A69" s="322" t="str">
        <f>IF(AND(U16List[[#This Row],[First &amp; Last Name]]="",U16List[[#This Row],[FISTF Code]]=""),"",ROW()-ROW($A$11))</f>
        <v/>
      </c>
      <c r="B69" s="323"/>
      <c r="C69" s="437"/>
      <c r="D69" s="422" t="str">
        <f>IF(U16List[[#This Row],[First &amp; Last Name]]="","",IFERROR(ISNUMBER(MATCH(U16List[[#This Row],[First &amp; Last Name]],Players[Player Name],0)),FALSE))</f>
        <v/>
      </c>
      <c r="E69" s="422" t="b">
        <f>IF(U16List[[#This Row],[FISTF Code]]="",FALSE,IFERROR(ISNUMBER(MATCH(U16List[[#This Row],[FISTF Code]],Players[FISTF Code],0)),FALSE))</f>
        <v>0</v>
      </c>
      <c r="F69" s="420" t="str">
        <f>IF(AND(U16List[[#This Row],[First &amp; Last Name]]="",U16List[[#This Row],[FISTF Code]]=""),"",IF(U16List[[#This Row],[Valide Code ?]],INDEX(Players[Player Name],MATCH(U16List[[#This Row],[FISTF Code]],Players[FISTF Code],0)),U16List[[#This Row],[First &amp; Last Name]]))</f>
        <v/>
      </c>
      <c r="G69" s="233" t="str">
        <f>IF(U16List[[#This Row],[Retained Player Name]]="","",VLOOKUP(U16List[[#This Row],[Retained Player Name]],Players[],7,FALSE))</f>
        <v/>
      </c>
      <c r="H69" s="235" t="str">
        <f>IF(U16List[[#This Row],[Retained Player Name]]="","",VLOOKUP(U16List[[#This Row],[Retained Player Name]],Players[],6,FALSE))</f>
        <v/>
      </c>
      <c r="I69" s="235" t="str">
        <f>IF(U16List[[#This Row],[Retained Player Name]]="","",VLOOKUP(U16List[[#This Row],[Retained Player Name]],Players[],4,FALSE))</f>
        <v/>
      </c>
      <c r="J6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9" s="231"/>
      <c r="L69" s="231"/>
      <c r="M69" s="7"/>
    </row>
    <row r="70" spans="1:13" s="8" customFormat="1" x14ac:dyDescent="0.2">
      <c r="A70" s="322" t="str">
        <f>IF(AND(U16List[[#This Row],[First &amp; Last Name]]="",U16List[[#This Row],[FISTF Code]]=""),"",ROW()-ROW($A$11))</f>
        <v/>
      </c>
      <c r="B70" s="323"/>
      <c r="C70" s="437"/>
      <c r="D70" s="422" t="str">
        <f>IF(U16List[[#This Row],[First &amp; Last Name]]="","",IFERROR(ISNUMBER(MATCH(U16List[[#This Row],[First &amp; Last Name]],Players[Player Name],0)),FALSE))</f>
        <v/>
      </c>
      <c r="E70" s="422" t="b">
        <f>IF(U16List[[#This Row],[FISTF Code]]="",FALSE,IFERROR(ISNUMBER(MATCH(U16List[[#This Row],[FISTF Code]],Players[FISTF Code],0)),FALSE))</f>
        <v>0</v>
      </c>
      <c r="F70" s="420" t="str">
        <f>IF(AND(U16List[[#This Row],[First &amp; Last Name]]="",U16List[[#This Row],[FISTF Code]]=""),"",IF(U16List[[#This Row],[Valide Code ?]],INDEX(Players[Player Name],MATCH(U16List[[#This Row],[FISTF Code]],Players[FISTF Code],0)),U16List[[#This Row],[First &amp; Last Name]]))</f>
        <v/>
      </c>
      <c r="G70" s="233" t="str">
        <f>IF(U16List[[#This Row],[Retained Player Name]]="","",VLOOKUP(U16List[[#This Row],[Retained Player Name]],Players[],7,FALSE))</f>
        <v/>
      </c>
      <c r="H70" s="235" t="str">
        <f>IF(U16List[[#This Row],[Retained Player Name]]="","",VLOOKUP(U16List[[#This Row],[Retained Player Name]],Players[],6,FALSE))</f>
        <v/>
      </c>
      <c r="I70" s="235" t="str">
        <f>IF(U16List[[#This Row],[Retained Player Name]]="","",VLOOKUP(U16List[[#This Row],[Retained Player Name]],Players[],4,FALSE))</f>
        <v/>
      </c>
      <c r="J7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0" s="231"/>
      <c r="L70" s="231"/>
      <c r="M70" s="7"/>
    </row>
    <row r="71" spans="1:13" s="8" customFormat="1" x14ac:dyDescent="0.2">
      <c r="A71" s="322" t="str">
        <f>IF(AND(U16List[[#This Row],[First &amp; Last Name]]="",U16List[[#This Row],[FISTF Code]]=""),"",ROW()-ROW($A$11))</f>
        <v/>
      </c>
      <c r="B71" s="323"/>
      <c r="C71" s="437"/>
      <c r="D71" s="422" t="str">
        <f>IF(U16List[[#This Row],[First &amp; Last Name]]="","",IFERROR(ISNUMBER(MATCH(U16List[[#This Row],[First &amp; Last Name]],Players[Player Name],0)),FALSE))</f>
        <v/>
      </c>
      <c r="E71" s="422" t="b">
        <f>IF(U16List[[#This Row],[FISTF Code]]="",FALSE,IFERROR(ISNUMBER(MATCH(U16List[[#This Row],[FISTF Code]],Players[FISTF Code],0)),FALSE))</f>
        <v>0</v>
      </c>
      <c r="F71" s="420" t="str">
        <f>IF(AND(U16List[[#This Row],[First &amp; Last Name]]="",U16List[[#This Row],[FISTF Code]]=""),"",IF(U16List[[#This Row],[Valide Code ?]],INDEX(Players[Player Name],MATCH(U16List[[#This Row],[FISTF Code]],Players[FISTF Code],0)),U16List[[#This Row],[First &amp; Last Name]]))</f>
        <v/>
      </c>
      <c r="G71" s="233" t="str">
        <f>IF(U16List[[#This Row],[Retained Player Name]]="","",VLOOKUP(U16List[[#This Row],[Retained Player Name]],Players[],7,FALSE))</f>
        <v/>
      </c>
      <c r="H71" s="235" t="str">
        <f>IF(U16List[[#This Row],[Retained Player Name]]="","",VLOOKUP(U16List[[#This Row],[Retained Player Name]],Players[],6,FALSE))</f>
        <v/>
      </c>
      <c r="I71" s="235" t="str">
        <f>IF(U16List[[#This Row],[Retained Player Name]]="","",VLOOKUP(U16List[[#This Row],[Retained Player Name]],Players[],4,FALSE))</f>
        <v/>
      </c>
      <c r="J7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1" s="231"/>
      <c r="L71" s="231"/>
      <c r="M71" s="7"/>
    </row>
    <row r="72" spans="1:13" s="8" customFormat="1" x14ac:dyDescent="0.2">
      <c r="A72" s="322" t="str">
        <f>IF(AND(U16List[[#This Row],[First &amp; Last Name]]="",U16List[[#This Row],[FISTF Code]]=""),"",ROW()-ROW($A$11))</f>
        <v/>
      </c>
      <c r="B72" s="323"/>
      <c r="C72" s="437"/>
      <c r="D72" s="422" t="str">
        <f>IF(U16List[[#This Row],[First &amp; Last Name]]="","",IFERROR(ISNUMBER(MATCH(U16List[[#This Row],[First &amp; Last Name]],Players[Player Name],0)),FALSE))</f>
        <v/>
      </c>
      <c r="E72" s="422" t="b">
        <f>IF(U16List[[#This Row],[FISTF Code]]="",FALSE,IFERROR(ISNUMBER(MATCH(U16List[[#This Row],[FISTF Code]],Players[FISTF Code],0)),FALSE))</f>
        <v>0</v>
      </c>
      <c r="F72" s="420" t="str">
        <f>IF(AND(U16List[[#This Row],[First &amp; Last Name]]="",U16List[[#This Row],[FISTF Code]]=""),"",IF(U16List[[#This Row],[Valide Code ?]],INDEX(Players[Player Name],MATCH(U16List[[#This Row],[FISTF Code]],Players[FISTF Code],0)),U16List[[#This Row],[First &amp; Last Name]]))</f>
        <v/>
      </c>
      <c r="G72" s="233" t="str">
        <f>IF(U16List[[#This Row],[Retained Player Name]]="","",VLOOKUP(U16List[[#This Row],[Retained Player Name]],Players[],7,FALSE))</f>
        <v/>
      </c>
      <c r="H72" s="235" t="str">
        <f>IF(U16List[[#This Row],[Retained Player Name]]="","",VLOOKUP(U16List[[#This Row],[Retained Player Name]],Players[],6,FALSE))</f>
        <v/>
      </c>
      <c r="I72" s="235" t="str">
        <f>IF(U16List[[#This Row],[Retained Player Name]]="","",VLOOKUP(U16List[[#This Row],[Retained Player Name]],Players[],4,FALSE))</f>
        <v/>
      </c>
      <c r="J7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2" s="231"/>
      <c r="L72" s="231"/>
      <c r="M72" s="7"/>
    </row>
    <row r="73" spans="1:13" s="8" customFormat="1" x14ac:dyDescent="0.2">
      <c r="A73" s="322" t="str">
        <f>IF(AND(U16List[[#This Row],[First &amp; Last Name]]="",U16List[[#This Row],[FISTF Code]]=""),"",ROW()-ROW($A$11))</f>
        <v/>
      </c>
      <c r="B73" s="323"/>
      <c r="C73" s="437"/>
      <c r="D73" s="422" t="str">
        <f>IF(U16List[[#This Row],[First &amp; Last Name]]="","",IFERROR(ISNUMBER(MATCH(U16List[[#This Row],[First &amp; Last Name]],Players[Player Name],0)),FALSE))</f>
        <v/>
      </c>
      <c r="E73" s="422" t="b">
        <f>IF(U16List[[#This Row],[FISTF Code]]="",FALSE,IFERROR(ISNUMBER(MATCH(U16List[[#This Row],[FISTF Code]],Players[FISTF Code],0)),FALSE))</f>
        <v>0</v>
      </c>
      <c r="F73" s="420" t="str">
        <f>IF(AND(U16List[[#This Row],[First &amp; Last Name]]="",U16List[[#This Row],[FISTF Code]]=""),"",IF(U16List[[#This Row],[Valide Code ?]],INDEX(Players[Player Name],MATCH(U16List[[#This Row],[FISTF Code]],Players[FISTF Code],0)),U16List[[#This Row],[First &amp; Last Name]]))</f>
        <v/>
      </c>
      <c r="G73" s="233" t="str">
        <f>IF(U16List[[#This Row],[Retained Player Name]]="","",VLOOKUP(U16List[[#This Row],[Retained Player Name]],Players[],7,FALSE))</f>
        <v/>
      </c>
      <c r="H73" s="235" t="str">
        <f>IF(U16List[[#This Row],[Retained Player Name]]="","",VLOOKUP(U16List[[#This Row],[Retained Player Name]],Players[],6,FALSE))</f>
        <v/>
      </c>
      <c r="I73" s="235" t="str">
        <f>IF(U16List[[#This Row],[Retained Player Name]]="","",VLOOKUP(U16List[[#This Row],[Retained Player Name]],Players[],4,FALSE))</f>
        <v/>
      </c>
      <c r="J7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3" s="231"/>
      <c r="L73" s="231"/>
      <c r="M73" s="7"/>
    </row>
    <row r="74" spans="1:13" s="8" customFormat="1" x14ac:dyDescent="0.2">
      <c r="A74" s="322" t="str">
        <f>IF(AND(U16List[[#This Row],[First &amp; Last Name]]="",U16List[[#This Row],[FISTF Code]]=""),"",ROW()-ROW($A$11))</f>
        <v/>
      </c>
      <c r="B74" s="323"/>
      <c r="C74" s="437"/>
      <c r="D74" s="422" t="str">
        <f>IF(U16List[[#This Row],[First &amp; Last Name]]="","",IFERROR(ISNUMBER(MATCH(U16List[[#This Row],[First &amp; Last Name]],Players[Player Name],0)),FALSE))</f>
        <v/>
      </c>
      <c r="E74" s="422" t="b">
        <f>IF(U16List[[#This Row],[FISTF Code]]="",FALSE,IFERROR(ISNUMBER(MATCH(U16List[[#This Row],[FISTF Code]],Players[FISTF Code],0)),FALSE))</f>
        <v>0</v>
      </c>
      <c r="F74" s="420" t="str">
        <f>IF(AND(U16List[[#This Row],[First &amp; Last Name]]="",U16List[[#This Row],[FISTF Code]]=""),"",IF(U16List[[#This Row],[Valide Code ?]],INDEX(Players[Player Name],MATCH(U16List[[#This Row],[FISTF Code]],Players[FISTF Code],0)),U16List[[#This Row],[First &amp; Last Name]]))</f>
        <v/>
      </c>
      <c r="G74" s="233" t="str">
        <f>IF(U16List[[#This Row],[Retained Player Name]]="","",VLOOKUP(U16List[[#This Row],[Retained Player Name]],Players[],7,FALSE))</f>
        <v/>
      </c>
      <c r="H74" s="235" t="str">
        <f>IF(U16List[[#This Row],[Retained Player Name]]="","",VLOOKUP(U16List[[#This Row],[Retained Player Name]],Players[],6,FALSE))</f>
        <v/>
      </c>
      <c r="I74" s="235" t="str">
        <f>IF(U16List[[#This Row],[Retained Player Name]]="","",VLOOKUP(U16List[[#This Row],[Retained Player Name]],Players[],4,FALSE))</f>
        <v/>
      </c>
      <c r="J7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4" s="231"/>
      <c r="L74" s="231"/>
      <c r="M74" s="7"/>
    </row>
    <row r="75" spans="1:13" s="8" customFormat="1" x14ac:dyDescent="0.2">
      <c r="A75" s="322" t="str">
        <f>IF(AND(U16List[[#This Row],[First &amp; Last Name]]="",U16List[[#This Row],[FISTF Code]]=""),"",ROW()-ROW($A$11))</f>
        <v/>
      </c>
      <c r="B75" s="323"/>
      <c r="C75" s="437"/>
      <c r="D75" s="422" t="str">
        <f>IF(U16List[[#This Row],[First &amp; Last Name]]="","",IFERROR(ISNUMBER(MATCH(U16List[[#This Row],[First &amp; Last Name]],Players[Player Name],0)),FALSE))</f>
        <v/>
      </c>
      <c r="E75" s="422" t="b">
        <f>IF(U16List[[#This Row],[FISTF Code]]="",FALSE,IFERROR(ISNUMBER(MATCH(U16List[[#This Row],[FISTF Code]],Players[FISTF Code],0)),FALSE))</f>
        <v>0</v>
      </c>
      <c r="F75" s="420" t="str">
        <f>IF(AND(U16List[[#This Row],[First &amp; Last Name]]="",U16List[[#This Row],[FISTF Code]]=""),"",IF(U16List[[#This Row],[Valide Code ?]],INDEX(Players[Player Name],MATCH(U16List[[#This Row],[FISTF Code]],Players[FISTF Code],0)),U16List[[#This Row],[First &amp; Last Name]]))</f>
        <v/>
      </c>
      <c r="G75" s="233" t="str">
        <f>IF(U16List[[#This Row],[Retained Player Name]]="","",VLOOKUP(U16List[[#This Row],[Retained Player Name]],Players[],7,FALSE))</f>
        <v/>
      </c>
      <c r="H75" s="235" t="str">
        <f>IF(U16List[[#This Row],[Retained Player Name]]="","",VLOOKUP(U16List[[#This Row],[Retained Player Name]],Players[],6,FALSE))</f>
        <v/>
      </c>
      <c r="I75" s="235" t="str">
        <f>IF(U16List[[#This Row],[Retained Player Name]]="","",VLOOKUP(U16List[[#This Row],[Retained Player Name]],Players[],4,FALSE))</f>
        <v/>
      </c>
      <c r="J7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5" s="231"/>
      <c r="L75" s="231"/>
      <c r="M75" s="7"/>
    </row>
    <row r="76" spans="1:13" s="8" customFormat="1" x14ac:dyDescent="0.2">
      <c r="A76" s="322" t="str">
        <f>IF(AND(U16List[[#This Row],[First &amp; Last Name]]="",U16List[[#This Row],[FISTF Code]]=""),"",ROW()-ROW($A$11))</f>
        <v/>
      </c>
      <c r="B76" s="323"/>
      <c r="C76" s="437"/>
      <c r="D76" s="422" t="str">
        <f>IF(U16List[[#This Row],[First &amp; Last Name]]="","",IFERROR(ISNUMBER(MATCH(U16List[[#This Row],[First &amp; Last Name]],Players[Player Name],0)),FALSE))</f>
        <v/>
      </c>
      <c r="E76" s="422" t="b">
        <f>IF(U16List[[#This Row],[FISTF Code]]="",FALSE,IFERROR(ISNUMBER(MATCH(U16List[[#This Row],[FISTF Code]],Players[FISTF Code],0)),FALSE))</f>
        <v>0</v>
      </c>
      <c r="F76" s="420" t="str">
        <f>IF(AND(U16List[[#This Row],[First &amp; Last Name]]="",U16List[[#This Row],[FISTF Code]]=""),"",IF(U16List[[#This Row],[Valide Code ?]],INDEX(Players[Player Name],MATCH(U16List[[#This Row],[FISTF Code]],Players[FISTF Code],0)),U16List[[#This Row],[First &amp; Last Name]]))</f>
        <v/>
      </c>
      <c r="G76" s="233" t="str">
        <f>IF(U16List[[#This Row],[Retained Player Name]]="","",VLOOKUP(U16List[[#This Row],[Retained Player Name]],Players[],7,FALSE))</f>
        <v/>
      </c>
      <c r="H76" s="235" t="str">
        <f>IF(U16List[[#This Row],[Retained Player Name]]="","",VLOOKUP(U16List[[#This Row],[Retained Player Name]],Players[],6,FALSE))</f>
        <v/>
      </c>
      <c r="I76" s="235" t="str">
        <f>IF(U16List[[#This Row],[Retained Player Name]]="","",VLOOKUP(U16List[[#This Row],[Retained Player Name]],Players[],4,FALSE))</f>
        <v/>
      </c>
      <c r="J7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6" s="231"/>
      <c r="L76" s="231"/>
      <c r="M76" s="7"/>
    </row>
    <row r="77" spans="1:13" s="8" customFormat="1" x14ac:dyDescent="0.2">
      <c r="A77" s="322" t="str">
        <f>IF(AND(U16List[[#This Row],[First &amp; Last Name]]="",U16List[[#This Row],[FISTF Code]]=""),"",ROW()-ROW($A$11))</f>
        <v/>
      </c>
      <c r="B77" s="323"/>
      <c r="C77" s="437"/>
      <c r="D77" s="422" t="str">
        <f>IF(U16List[[#This Row],[First &amp; Last Name]]="","",IFERROR(ISNUMBER(MATCH(U16List[[#This Row],[First &amp; Last Name]],Players[Player Name],0)),FALSE))</f>
        <v/>
      </c>
      <c r="E77" s="422" t="b">
        <f>IF(U16List[[#This Row],[FISTF Code]]="",FALSE,IFERROR(ISNUMBER(MATCH(U16List[[#This Row],[FISTF Code]],Players[FISTF Code],0)),FALSE))</f>
        <v>0</v>
      </c>
      <c r="F77" s="420" t="str">
        <f>IF(AND(U16List[[#This Row],[First &amp; Last Name]]="",U16List[[#This Row],[FISTF Code]]=""),"",IF(U16List[[#This Row],[Valide Code ?]],INDEX(Players[Player Name],MATCH(U16List[[#This Row],[FISTF Code]],Players[FISTF Code],0)),U16List[[#This Row],[First &amp; Last Name]]))</f>
        <v/>
      </c>
      <c r="G77" s="233" t="str">
        <f>IF(U16List[[#This Row],[Retained Player Name]]="","",VLOOKUP(U16List[[#This Row],[Retained Player Name]],Players[],7,FALSE))</f>
        <v/>
      </c>
      <c r="H77" s="235" t="str">
        <f>IF(U16List[[#This Row],[Retained Player Name]]="","",VLOOKUP(U16List[[#This Row],[Retained Player Name]],Players[],6,FALSE))</f>
        <v/>
      </c>
      <c r="I77" s="235" t="str">
        <f>IF(U16List[[#This Row],[Retained Player Name]]="","",VLOOKUP(U16List[[#This Row],[Retained Player Name]],Players[],4,FALSE))</f>
        <v/>
      </c>
      <c r="J7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7" s="231"/>
      <c r="L77" s="231"/>
      <c r="M77" s="7"/>
    </row>
    <row r="78" spans="1:13" s="8" customFormat="1" x14ac:dyDescent="0.2">
      <c r="A78" s="322" t="str">
        <f>IF(AND(U16List[[#This Row],[First &amp; Last Name]]="",U16List[[#This Row],[FISTF Code]]=""),"",ROW()-ROW($A$11))</f>
        <v/>
      </c>
      <c r="B78" s="323"/>
      <c r="C78" s="437"/>
      <c r="D78" s="422" t="str">
        <f>IF(U16List[[#This Row],[First &amp; Last Name]]="","",IFERROR(ISNUMBER(MATCH(U16List[[#This Row],[First &amp; Last Name]],Players[Player Name],0)),FALSE))</f>
        <v/>
      </c>
      <c r="E78" s="422" t="b">
        <f>IF(U16List[[#This Row],[FISTF Code]]="",FALSE,IFERROR(ISNUMBER(MATCH(U16List[[#This Row],[FISTF Code]],Players[FISTF Code],0)),FALSE))</f>
        <v>0</v>
      </c>
      <c r="F78" s="420" t="str">
        <f>IF(AND(U16List[[#This Row],[First &amp; Last Name]]="",U16List[[#This Row],[FISTF Code]]=""),"",IF(U16List[[#This Row],[Valide Code ?]],INDEX(Players[Player Name],MATCH(U16List[[#This Row],[FISTF Code]],Players[FISTF Code],0)),U16List[[#This Row],[First &amp; Last Name]]))</f>
        <v/>
      </c>
      <c r="G78" s="233" t="str">
        <f>IF(U16List[[#This Row],[Retained Player Name]]="","",VLOOKUP(U16List[[#This Row],[Retained Player Name]],Players[],7,FALSE))</f>
        <v/>
      </c>
      <c r="H78" s="235" t="str">
        <f>IF(U16List[[#This Row],[Retained Player Name]]="","",VLOOKUP(U16List[[#This Row],[Retained Player Name]],Players[],6,FALSE))</f>
        <v/>
      </c>
      <c r="I78" s="235" t="str">
        <f>IF(U16List[[#This Row],[Retained Player Name]]="","",VLOOKUP(U16List[[#This Row],[Retained Player Name]],Players[],4,FALSE))</f>
        <v/>
      </c>
      <c r="J7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8" s="231"/>
      <c r="L78" s="231"/>
      <c r="M78" s="7"/>
    </row>
    <row r="79" spans="1:13" s="8" customFormat="1" x14ac:dyDescent="0.2">
      <c r="A79" s="322" t="str">
        <f>IF(AND(U16List[[#This Row],[First &amp; Last Name]]="",U16List[[#This Row],[FISTF Code]]=""),"",ROW()-ROW($A$11))</f>
        <v/>
      </c>
      <c r="B79" s="323"/>
      <c r="C79" s="437"/>
      <c r="D79" s="422" t="str">
        <f>IF(U16List[[#This Row],[First &amp; Last Name]]="","",IFERROR(ISNUMBER(MATCH(U16List[[#This Row],[First &amp; Last Name]],Players[Player Name],0)),FALSE))</f>
        <v/>
      </c>
      <c r="E79" s="422" t="b">
        <f>IF(U16List[[#This Row],[FISTF Code]]="",FALSE,IFERROR(ISNUMBER(MATCH(U16List[[#This Row],[FISTF Code]],Players[FISTF Code],0)),FALSE))</f>
        <v>0</v>
      </c>
      <c r="F79" s="420" t="str">
        <f>IF(AND(U16List[[#This Row],[First &amp; Last Name]]="",U16List[[#This Row],[FISTF Code]]=""),"",IF(U16List[[#This Row],[Valide Code ?]],INDEX(Players[Player Name],MATCH(U16List[[#This Row],[FISTF Code]],Players[FISTF Code],0)),U16List[[#This Row],[First &amp; Last Name]]))</f>
        <v/>
      </c>
      <c r="G79" s="233" t="str">
        <f>IF(U16List[[#This Row],[Retained Player Name]]="","",VLOOKUP(U16List[[#This Row],[Retained Player Name]],Players[],7,FALSE))</f>
        <v/>
      </c>
      <c r="H79" s="235" t="str">
        <f>IF(U16List[[#This Row],[Retained Player Name]]="","",VLOOKUP(U16List[[#This Row],[Retained Player Name]],Players[],6,FALSE))</f>
        <v/>
      </c>
      <c r="I79" s="235" t="str">
        <f>IF(U16List[[#This Row],[Retained Player Name]]="","",VLOOKUP(U16List[[#This Row],[Retained Player Name]],Players[],4,FALSE))</f>
        <v/>
      </c>
      <c r="J7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9" s="231"/>
      <c r="L79" s="231"/>
      <c r="M79" s="7"/>
    </row>
    <row r="80" spans="1:13" x14ac:dyDescent="0.2">
      <c r="A80" s="322" t="str">
        <f>IF(AND(U16List[[#This Row],[First &amp; Last Name]]="",U16List[[#This Row],[FISTF Code]]=""),"",ROW()-ROW($A$11))</f>
        <v/>
      </c>
      <c r="B80" s="323"/>
      <c r="C80" s="437"/>
      <c r="D80" s="422" t="str">
        <f>IF(U16List[[#This Row],[First &amp; Last Name]]="","",IFERROR(ISNUMBER(MATCH(U16List[[#This Row],[First &amp; Last Name]],Players[Player Name],0)),FALSE))</f>
        <v/>
      </c>
      <c r="E80" s="422" t="b">
        <f>IF(U16List[[#This Row],[FISTF Code]]="",FALSE,IFERROR(ISNUMBER(MATCH(U16List[[#This Row],[FISTF Code]],Players[FISTF Code],0)),FALSE))</f>
        <v>0</v>
      </c>
      <c r="F80" s="420" t="str">
        <f>IF(AND(U16List[[#This Row],[First &amp; Last Name]]="",U16List[[#This Row],[FISTF Code]]=""),"",IF(U16List[[#This Row],[Valide Code ?]],INDEX(Players[Player Name],MATCH(U16List[[#This Row],[FISTF Code]],Players[FISTF Code],0)),U16List[[#This Row],[First &amp; Last Name]]))</f>
        <v/>
      </c>
      <c r="G80" s="233" t="str">
        <f>IF(U16List[[#This Row],[Retained Player Name]]="","",VLOOKUP(U16List[[#This Row],[Retained Player Name]],Players[],7,FALSE))</f>
        <v/>
      </c>
      <c r="H80" s="235" t="str">
        <f>IF(U16List[[#This Row],[Retained Player Name]]="","",VLOOKUP(U16List[[#This Row],[Retained Player Name]],Players[],6,FALSE))</f>
        <v/>
      </c>
      <c r="I80" s="235" t="str">
        <f>IF(U16List[[#This Row],[Retained Player Name]]="","",VLOOKUP(U16List[[#This Row],[Retained Player Name]],Players[],4,FALSE))</f>
        <v/>
      </c>
      <c r="J8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0" s="231"/>
      <c r="L80" s="231"/>
    </row>
    <row r="81" spans="1:12" x14ac:dyDescent="0.2">
      <c r="A81" s="322" t="str">
        <f>IF(AND(U16List[[#This Row],[First &amp; Last Name]]="",U16List[[#This Row],[FISTF Code]]=""),"",ROW()-ROW($A$11))</f>
        <v/>
      </c>
      <c r="B81" s="323"/>
      <c r="C81" s="437"/>
      <c r="D81" s="422" t="str">
        <f>IF(U16List[[#This Row],[First &amp; Last Name]]="","",IFERROR(ISNUMBER(MATCH(U16List[[#This Row],[First &amp; Last Name]],Players[Player Name],0)),FALSE))</f>
        <v/>
      </c>
      <c r="E81" s="422" t="b">
        <f>IF(U16List[[#This Row],[FISTF Code]]="",FALSE,IFERROR(ISNUMBER(MATCH(U16List[[#This Row],[FISTF Code]],Players[FISTF Code],0)),FALSE))</f>
        <v>0</v>
      </c>
      <c r="F81" s="420" t="str">
        <f>IF(AND(U16List[[#This Row],[First &amp; Last Name]]="",U16List[[#This Row],[FISTF Code]]=""),"",IF(U16List[[#This Row],[Valide Code ?]],INDEX(Players[Player Name],MATCH(U16List[[#This Row],[FISTF Code]],Players[FISTF Code],0)),U16List[[#This Row],[First &amp; Last Name]]))</f>
        <v/>
      </c>
      <c r="G81" s="233" t="str">
        <f>IF(U16List[[#This Row],[Retained Player Name]]="","",VLOOKUP(U16List[[#This Row],[Retained Player Name]],Players[],7,FALSE))</f>
        <v/>
      </c>
      <c r="H81" s="235" t="str">
        <f>IF(U16List[[#This Row],[Retained Player Name]]="","",VLOOKUP(U16List[[#This Row],[Retained Player Name]],Players[],6,FALSE))</f>
        <v/>
      </c>
      <c r="I81" s="235" t="str">
        <f>IF(U16List[[#This Row],[Retained Player Name]]="","",VLOOKUP(U16List[[#This Row],[Retained Player Name]],Players[],4,FALSE))</f>
        <v/>
      </c>
      <c r="J8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1" s="231"/>
      <c r="L81" s="231"/>
    </row>
    <row r="82" spans="1:12" x14ac:dyDescent="0.2">
      <c r="A82" s="322" t="str">
        <f>IF(AND(U16List[[#This Row],[First &amp; Last Name]]="",U16List[[#This Row],[FISTF Code]]=""),"",ROW()-ROW($A$11))</f>
        <v/>
      </c>
      <c r="B82" s="323"/>
      <c r="C82" s="437"/>
      <c r="D82" s="422" t="str">
        <f>IF(U16List[[#This Row],[First &amp; Last Name]]="","",IFERROR(ISNUMBER(MATCH(U16List[[#This Row],[First &amp; Last Name]],Players[Player Name],0)),FALSE))</f>
        <v/>
      </c>
      <c r="E82" s="422" t="b">
        <f>IF(U16List[[#This Row],[FISTF Code]]="",FALSE,IFERROR(ISNUMBER(MATCH(U16List[[#This Row],[FISTF Code]],Players[FISTF Code],0)),FALSE))</f>
        <v>0</v>
      </c>
      <c r="F82" s="420" t="str">
        <f>IF(AND(U16List[[#This Row],[First &amp; Last Name]]="",U16List[[#This Row],[FISTF Code]]=""),"",IF(U16List[[#This Row],[Valide Code ?]],INDEX(Players[Player Name],MATCH(U16List[[#This Row],[FISTF Code]],Players[FISTF Code],0)),U16List[[#This Row],[First &amp; Last Name]]))</f>
        <v/>
      </c>
      <c r="G82" s="233" t="str">
        <f>IF(U16List[[#This Row],[Retained Player Name]]="","",VLOOKUP(U16List[[#This Row],[Retained Player Name]],Players[],7,FALSE))</f>
        <v/>
      </c>
      <c r="H82" s="235" t="str">
        <f>IF(U16List[[#This Row],[Retained Player Name]]="","",VLOOKUP(U16List[[#This Row],[Retained Player Name]],Players[],6,FALSE))</f>
        <v/>
      </c>
      <c r="I82" s="235" t="str">
        <f>IF(U16List[[#This Row],[Retained Player Name]]="","",VLOOKUP(U16List[[#This Row],[Retained Player Name]],Players[],4,FALSE))</f>
        <v/>
      </c>
      <c r="J8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2" s="231"/>
      <c r="L82" s="231"/>
    </row>
    <row r="83" spans="1:12" x14ac:dyDescent="0.2">
      <c r="A83" s="322" t="str">
        <f>IF(AND(U16List[[#This Row],[First &amp; Last Name]]="",U16List[[#This Row],[FISTF Code]]=""),"",ROW()-ROW($A$11))</f>
        <v/>
      </c>
      <c r="B83" s="323"/>
      <c r="C83" s="437"/>
      <c r="D83" s="422" t="str">
        <f>IF(U16List[[#This Row],[First &amp; Last Name]]="","",IFERROR(ISNUMBER(MATCH(U16List[[#This Row],[First &amp; Last Name]],Players[Player Name],0)),FALSE))</f>
        <v/>
      </c>
      <c r="E83" s="422" t="b">
        <f>IF(U16List[[#This Row],[FISTF Code]]="",FALSE,IFERROR(ISNUMBER(MATCH(U16List[[#This Row],[FISTF Code]],Players[FISTF Code],0)),FALSE))</f>
        <v>0</v>
      </c>
      <c r="F83" s="420" t="str">
        <f>IF(AND(U16List[[#This Row],[First &amp; Last Name]]="",U16List[[#This Row],[FISTF Code]]=""),"",IF(U16List[[#This Row],[Valide Code ?]],INDEX(Players[Player Name],MATCH(U16List[[#This Row],[FISTF Code]],Players[FISTF Code],0)),U16List[[#This Row],[First &amp; Last Name]]))</f>
        <v/>
      </c>
      <c r="G83" s="233" t="str">
        <f>IF(U16List[[#This Row],[Retained Player Name]]="","",VLOOKUP(U16List[[#This Row],[Retained Player Name]],Players[],7,FALSE))</f>
        <v/>
      </c>
      <c r="H83" s="235" t="str">
        <f>IF(U16List[[#This Row],[Retained Player Name]]="","",VLOOKUP(U16List[[#This Row],[Retained Player Name]],Players[],6,FALSE))</f>
        <v/>
      </c>
      <c r="I83" s="235" t="str">
        <f>IF(U16List[[#This Row],[Retained Player Name]]="","",VLOOKUP(U16List[[#This Row],[Retained Player Name]],Players[],4,FALSE))</f>
        <v/>
      </c>
      <c r="J8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3" s="231"/>
      <c r="L83" s="231"/>
    </row>
    <row r="84" spans="1:12" x14ac:dyDescent="0.2">
      <c r="A84" s="322" t="str">
        <f>IF(AND(U16List[[#This Row],[First &amp; Last Name]]="",U16List[[#This Row],[FISTF Code]]=""),"",ROW()-ROW($A$11))</f>
        <v/>
      </c>
      <c r="B84" s="323"/>
      <c r="C84" s="437"/>
      <c r="D84" s="422" t="str">
        <f>IF(U16List[[#This Row],[First &amp; Last Name]]="","",IFERROR(ISNUMBER(MATCH(U16List[[#This Row],[First &amp; Last Name]],Players[Player Name],0)),FALSE))</f>
        <v/>
      </c>
      <c r="E84" s="422" t="b">
        <f>IF(U16List[[#This Row],[FISTF Code]]="",FALSE,IFERROR(ISNUMBER(MATCH(U16List[[#This Row],[FISTF Code]],Players[FISTF Code],0)),FALSE))</f>
        <v>0</v>
      </c>
      <c r="F84" s="420" t="str">
        <f>IF(AND(U16List[[#This Row],[First &amp; Last Name]]="",U16List[[#This Row],[FISTF Code]]=""),"",IF(U16List[[#This Row],[Valide Code ?]],INDEX(Players[Player Name],MATCH(U16List[[#This Row],[FISTF Code]],Players[FISTF Code],0)),U16List[[#This Row],[First &amp; Last Name]]))</f>
        <v/>
      </c>
      <c r="G84" s="233" t="str">
        <f>IF(U16List[[#This Row],[Retained Player Name]]="","",VLOOKUP(U16List[[#This Row],[Retained Player Name]],Players[],7,FALSE))</f>
        <v/>
      </c>
      <c r="H84" s="235" t="str">
        <f>IF(U16List[[#This Row],[Retained Player Name]]="","",VLOOKUP(U16List[[#This Row],[Retained Player Name]],Players[],6,FALSE))</f>
        <v/>
      </c>
      <c r="I84" s="235" t="str">
        <f>IF(U16List[[#This Row],[Retained Player Name]]="","",VLOOKUP(U16List[[#This Row],[Retained Player Name]],Players[],4,FALSE))</f>
        <v/>
      </c>
      <c r="J8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4" s="231"/>
      <c r="L84" s="231"/>
    </row>
    <row r="85" spans="1:12" x14ac:dyDescent="0.2">
      <c r="A85" s="322" t="str">
        <f>IF(AND(U16List[[#This Row],[First &amp; Last Name]]="",U16List[[#This Row],[FISTF Code]]=""),"",ROW()-ROW($A$11))</f>
        <v/>
      </c>
      <c r="B85" s="323"/>
      <c r="C85" s="437"/>
      <c r="D85" s="422" t="str">
        <f>IF(U16List[[#This Row],[First &amp; Last Name]]="","",IFERROR(ISNUMBER(MATCH(U16List[[#This Row],[First &amp; Last Name]],Players[Player Name],0)),FALSE))</f>
        <v/>
      </c>
      <c r="E85" s="422" t="b">
        <f>IF(U16List[[#This Row],[FISTF Code]]="",FALSE,IFERROR(ISNUMBER(MATCH(U16List[[#This Row],[FISTF Code]],Players[FISTF Code],0)),FALSE))</f>
        <v>0</v>
      </c>
      <c r="F85" s="420" t="str">
        <f>IF(AND(U16List[[#This Row],[First &amp; Last Name]]="",U16List[[#This Row],[FISTF Code]]=""),"",IF(U16List[[#This Row],[Valide Code ?]],INDEX(Players[Player Name],MATCH(U16List[[#This Row],[FISTF Code]],Players[FISTF Code],0)),U16List[[#This Row],[First &amp; Last Name]]))</f>
        <v/>
      </c>
      <c r="G85" s="233" t="str">
        <f>IF(U16List[[#This Row],[Retained Player Name]]="","",VLOOKUP(U16List[[#This Row],[Retained Player Name]],Players[],7,FALSE))</f>
        <v/>
      </c>
      <c r="H85" s="235" t="str">
        <f>IF(U16List[[#This Row],[Retained Player Name]]="","",VLOOKUP(U16List[[#This Row],[Retained Player Name]],Players[],6,FALSE))</f>
        <v/>
      </c>
      <c r="I85" s="235" t="str">
        <f>IF(U16List[[#This Row],[Retained Player Name]]="","",VLOOKUP(U16List[[#This Row],[Retained Player Name]],Players[],4,FALSE))</f>
        <v/>
      </c>
      <c r="J8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5" s="231"/>
      <c r="L85" s="231"/>
    </row>
    <row r="86" spans="1:12" x14ac:dyDescent="0.2">
      <c r="A86" s="322" t="str">
        <f>IF(AND(U16List[[#This Row],[First &amp; Last Name]]="",U16List[[#This Row],[FISTF Code]]=""),"",ROW()-ROW($A$11))</f>
        <v/>
      </c>
      <c r="B86" s="323"/>
      <c r="C86" s="437"/>
      <c r="D86" s="422" t="str">
        <f>IF(U16List[[#This Row],[First &amp; Last Name]]="","",IFERROR(ISNUMBER(MATCH(U16List[[#This Row],[First &amp; Last Name]],Players[Player Name],0)),FALSE))</f>
        <v/>
      </c>
      <c r="E86" s="422" t="b">
        <f>IF(U16List[[#This Row],[FISTF Code]]="",FALSE,IFERROR(ISNUMBER(MATCH(U16List[[#This Row],[FISTF Code]],Players[FISTF Code],0)),FALSE))</f>
        <v>0</v>
      </c>
      <c r="F86" s="420" t="str">
        <f>IF(AND(U16List[[#This Row],[First &amp; Last Name]]="",U16List[[#This Row],[FISTF Code]]=""),"",IF(U16List[[#This Row],[Valide Code ?]],INDEX(Players[Player Name],MATCH(U16List[[#This Row],[FISTF Code]],Players[FISTF Code],0)),U16List[[#This Row],[First &amp; Last Name]]))</f>
        <v/>
      </c>
      <c r="G86" s="233" t="str">
        <f>IF(U16List[[#This Row],[Retained Player Name]]="","",VLOOKUP(U16List[[#This Row],[Retained Player Name]],Players[],7,FALSE))</f>
        <v/>
      </c>
      <c r="H86" s="235" t="str">
        <f>IF(U16List[[#This Row],[Retained Player Name]]="","",VLOOKUP(U16List[[#This Row],[Retained Player Name]],Players[],6,FALSE))</f>
        <v/>
      </c>
      <c r="I86" s="235" t="str">
        <f>IF(U16List[[#This Row],[Retained Player Name]]="","",VLOOKUP(U16List[[#This Row],[Retained Player Name]],Players[],4,FALSE))</f>
        <v/>
      </c>
      <c r="J8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6" s="231"/>
      <c r="L86" s="231"/>
    </row>
    <row r="87" spans="1:12" x14ac:dyDescent="0.2">
      <c r="A87" s="322" t="str">
        <f>IF(AND(U16List[[#This Row],[First &amp; Last Name]]="",U16List[[#This Row],[FISTF Code]]=""),"",ROW()-ROW($A$11))</f>
        <v/>
      </c>
      <c r="B87" s="323"/>
      <c r="C87" s="437"/>
      <c r="D87" s="422" t="str">
        <f>IF(U16List[[#This Row],[First &amp; Last Name]]="","",IFERROR(ISNUMBER(MATCH(U16List[[#This Row],[First &amp; Last Name]],Players[Player Name],0)),FALSE))</f>
        <v/>
      </c>
      <c r="E87" s="422" t="b">
        <f>IF(U16List[[#This Row],[FISTF Code]]="",FALSE,IFERROR(ISNUMBER(MATCH(U16List[[#This Row],[FISTF Code]],Players[FISTF Code],0)),FALSE))</f>
        <v>0</v>
      </c>
      <c r="F87" s="420" t="str">
        <f>IF(AND(U16List[[#This Row],[First &amp; Last Name]]="",U16List[[#This Row],[FISTF Code]]=""),"",IF(U16List[[#This Row],[Valide Code ?]],INDEX(Players[Player Name],MATCH(U16List[[#This Row],[FISTF Code]],Players[FISTF Code],0)),U16List[[#This Row],[First &amp; Last Name]]))</f>
        <v/>
      </c>
      <c r="G87" s="233" t="str">
        <f>IF(U16List[[#This Row],[Retained Player Name]]="","",VLOOKUP(U16List[[#This Row],[Retained Player Name]],Players[],7,FALSE))</f>
        <v/>
      </c>
      <c r="H87" s="235" t="str">
        <f>IF(U16List[[#This Row],[Retained Player Name]]="","",VLOOKUP(U16List[[#This Row],[Retained Player Name]],Players[],6,FALSE))</f>
        <v/>
      </c>
      <c r="I87" s="235" t="str">
        <f>IF(U16List[[#This Row],[Retained Player Name]]="","",VLOOKUP(U16List[[#This Row],[Retained Player Name]],Players[],4,FALSE))</f>
        <v/>
      </c>
      <c r="J8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7" s="231"/>
      <c r="L87" s="231"/>
    </row>
    <row r="88" spans="1:12" x14ac:dyDescent="0.2">
      <c r="A88" s="322" t="str">
        <f>IF(AND(U16List[[#This Row],[First &amp; Last Name]]="",U16List[[#This Row],[FISTF Code]]=""),"",ROW()-ROW($A$11))</f>
        <v/>
      </c>
      <c r="B88" s="323"/>
      <c r="C88" s="437"/>
      <c r="D88" s="422" t="str">
        <f>IF(U16List[[#This Row],[First &amp; Last Name]]="","",IFERROR(ISNUMBER(MATCH(U16List[[#This Row],[First &amp; Last Name]],Players[Player Name],0)),FALSE))</f>
        <v/>
      </c>
      <c r="E88" s="422" t="b">
        <f>IF(U16List[[#This Row],[FISTF Code]]="",FALSE,IFERROR(ISNUMBER(MATCH(U16List[[#This Row],[FISTF Code]],Players[FISTF Code],0)),FALSE))</f>
        <v>0</v>
      </c>
      <c r="F88" s="420" t="str">
        <f>IF(AND(U16List[[#This Row],[First &amp; Last Name]]="",U16List[[#This Row],[FISTF Code]]=""),"",IF(U16List[[#This Row],[Valide Code ?]],INDEX(Players[Player Name],MATCH(U16List[[#This Row],[FISTF Code]],Players[FISTF Code],0)),U16List[[#This Row],[First &amp; Last Name]]))</f>
        <v/>
      </c>
      <c r="G88" s="233" t="str">
        <f>IF(U16List[[#This Row],[Retained Player Name]]="","",VLOOKUP(U16List[[#This Row],[Retained Player Name]],Players[],7,FALSE))</f>
        <v/>
      </c>
      <c r="H88" s="235" t="str">
        <f>IF(U16List[[#This Row],[Retained Player Name]]="","",VLOOKUP(U16List[[#This Row],[Retained Player Name]],Players[],6,FALSE))</f>
        <v/>
      </c>
      <c r="I88" s="235" t="str">
        <f>IF(U16List[[#This Row],[Retained Player Name]]="","",VLOOKUP(U16List[[#This Row],[Retained Player Name]],Players[],4,FALSE))</f>
        <v/>
      </c>
      <c r="J8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8" s="231"/>
      <c r="L88" s="231"/>
    </row>
    <row r="89" spans="1:12" x14ac:dyDescent="0.2">
      <c r="A89" s="322" t="str">
        <f>IF(AND(U16List[[#This Row],[First &amp; Last Name]]="",U16List[[#This Row],[FISTF Code]]=""),"",ROW()-ROW($A$11))</f>
        <v/>
      </c>
      <c r="B89" s="323"/>
      <c r="C89" s="437"/>
      <c r="D89" s="422" t="str">
        <f>IF(U16List[[#This Row],[First &amp; Last Name]]="","",IFERROR(ISNUMBER(MATCH(U16List[[#This Row],[First &amp; Last Name]],Players[Player Name],0)),FALSE))</f>
        <v/>
      </c>
      <c r="E89" s="422" t="b">
        <f>IF(U16List[[#This Row],[FISTF Code]]="",FALSE,IFERROR(ISNUMBER(MATCH(U16List[[#This Row],[FISTF Code]],Players[FISTF Code],0)),FALSE))</f>
        <v>0</v>
      </c>
      <c r="F89" s="420" t="str">
        <f>IF(AND(U16List[[#This Row],[First &amp; Last Name]]="",U16List[[#This Row],[FISTF Code]]=""),"",IF(U16List[[#This Row],[Valide Code ?]],INDEX(Players[Player Name],MATCH(U16List[[#This Row],[FISTF Code]],Players[FISTF Code],0)),U16List[[#This Row],[First &amp; Last Name]]))</f>
        <v/>
      </c>
      <c r="G89" s="233" t="str">
        <f>IF(U16List[[#This Row],[Retained Player Name]]="","",VLOOKUP(U16List[[#This Row],[Retained Player Name]],Players[],7,FALSE))</f>
        <v/>
      </c>
      <c r="H89" s="235" t="str">
        <f>IF(U16List[[#This Row],[Retained Player Name]]="","",VLOOKUP(U16List[[#This Row],[Retained Player Name]],Players[],6,FALSE))</f>
        <v/>
      </c>
      <c r="I89" s="235" t="str">
        <f>IF(U16List[[#This Row],[Retained Player Name]]="","",VLOOKUP(U16List[[#This Row],[Retained Player Name]],Players[],4,FALSE))</f>
        <v/>
      </c>
      <c r="J8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9" s="231"/>
      <c r="L89" s="231"/>
    </row>
    <row r="90" spans="1:12" x14ac:dyDescent="0.2">
      <c r="A90" s="322" t="str">
        <f>IF(AND(U16List[[#This Row],[First &amp; Last Name]]="",U16List[[#This Row],[FISTF Code]]=""),"",ROW()-ROW($A$11))</f>
        <v/>
      </c>
      <c r="B90" s="323"/>
      <c r="C90" s="437"/>
      <c r="D90" s="422" t="str">
        <f>IF(U16List[[#This Row],[First &amp; Last Name]]="","",IFERROR(ISNUMBER(MATCH(U16List[[#This Row],[First &amp; Last Name]],Players[Player Name],0)),FALSE))</f>
        <v/>
      </c>
      <c r="E90" s="422" t="b">
        <f>IF(U16List[[#This Row],[FISTF Code]]="",FALSE,IFERROR(ISNUMBER(MATCH(U16List[[#This Row],[FISTF Code]],Players[FISTF Code],0)),FALSE))</f>
        <v>0</v>
      </c>
      <c r="F90" s="420" t="str">
        <f>IF(AND(U16List[[#This Row],[First &amp; Last Name]]="",U16List[[#This Row],[FISTF Code]]=""),"",IF(U16List[[#This Row],[Valide Code ?]],INDEX(Players[Player Name],MATCH(U16List[[#This Row],[FISTF Code]],Players[FISTF Code],0)),U16List[[#This Row],[First &amp; Last Name]]))</f>
        <v/>
      </c>
      <c r="G90" s="233" t="str">
        <f>IF(U16List[[#This Row],[Retained Player Name]]="","",VLOOKUP(U16List[[#This Row],[Retained Player Name]],Players[],7,FALSE))</f>
        <v/>
      </c>
      <c r="H90" s="235" t="str">
        <f>IF(U16List[[#This Row],[Retained Player Name]]="","",VLOOKUP(U16List[[#This Row],[Retained Player Name]],Players[],6,FALSE))</f>
        <v/>
      </c>
      <c r="I90" s="235" t="str">
        <f>IF(U16List[[#This Row],[Retained Player Name]]="","",VLOOKUP(U16List[[#This Row],[Retained Player Name]],Players[],4,FALSE))</f>
        <v/>
      </c>
      <c r="J9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0" s="231"/>
      <c r="L90" s="231"/>
    </row>
    <row r="91" spans="1:12" x14ac:dyDescent="0.2">
      <c r="A91" s="322" t="str">
        <f>IF(AND(U16List[[#This Row],[First &amp; Last Name]]="",U16List[[#This Row],[FISTF Code]]=""),"",ROW()-ROW($A$11))</f>
        <v/>
      </c>
      <c r="B91" s="323"/>
      <c r="C91" s="437"/>
      <c r="D91" s="422" t="str">
        <f>IF(U16List[[#This Row],[First &amp; Last Name]]="","",IFERROR(ISNUMBER(MATCH(U16List[[#This Row],[First &amp; Last Name]],Players[Player Name],0)),FALSE))</f>
        <v/>
      </c>
      <c r="E91" s="422" t="b">
        <f>IF(U16List[[#This Row],[FISTF Code]]="",FALSE,IFERROR(ISNUMBER(MATCH(U16List[[#This Row],[FISTF Code]],Players[FISTF Code],0)),FALSE))</f>
        <v>0</v>
      </c>
      <c r="F91" s="420" t="str">
        <f>IF(AND(U16List[[#This Row],[First &amp; Last Name]]="",U16List[[#This Row],[FISTF Code]]=""),"",IF(U16List[[#This Row],[Valide Code ?]],INDEX(Players[Player Name],MATCH(U16List[[#This Row],[FISTF Code]],Players[FISTF Code],0)),U16List[[#This Row],[First &amp; Last Name]]))</f>
        <v/>
      </c>
      <c r="G91" s="233" t="str">
        <f>IF(U16List[[#This Row],[Retained Player Name]]="","",VLOOKUP(U16List[[#This Row],[Retained Player Name]],Players[],7,FALSE))</f>
        <v/>
      </c>
      <c r="H91" s="235" t="str">
        <f>IF(U16List[[#This Row],[Retained Player Name]]="","",VLOOKUP(U16List[[#This Row],[Retained Player Name]],Players[],6,FALSE))</f>
        <v/>
      </c>
      <c r="I91" s="235" t="str">
        <f>IF(U16List[[#This Row],[Retained Player Name]]="","",VLOOKUP(U16List[[#This Row],[Retained Player Name]],Players[],4,FALSE))</f>
        <v/>
      </c>
      <c r="J9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1" s="231"/>
      <c r="L91" s="231"/>
    </row>
    <row r="92" spans="1:12" x14ac:dyDescent="0.2">
      <c r="A92" s="322" t="str">
        <f>IF(AND(U16List[[#This Row],[First &amp; Last Name]]="",U16List[[#This Row],[FISTF Code]]=""),"",ROW()-ROW($A$11))</f>
        <v/>
      </c>
      <c r="B92" s="323"/>
      <c r="C92" s="437"/>
      <c r="D92" s="422" t="str">
        <f>IF(U16List[[#This Row],[First &amp; Last Name]]="","",IFERROR(ISNUMBER(MATCH(U16List[[#This Row],[First &amp; Last Name]],Players[Player Name],0)),FALSE))</f>
        <v/>
      </c>
      <c r="E92" s="422" t="b">
        <f>IF(U16List[[#This Row],[FISTF Code]]="",FALSE,IFERROR(ISNUMBER(MATCH(U16List[[#This Row],[FISTF Code]],Players[FISTF Code],0)),FALSE))</f>
        <v>0</v>
      </c>
      <c r="F92" s="420" t="str">
        <f>IF(AND(U16List[[#This Row],[First &amp; Last Name]]="",U16List[[#This Row],[FISTF Code]]=""),"",IF(U16List[[#This Row],[Valide Code ?]],INDEX(Players[Player Name],MATCH(U16List[[#This Row],[FISTF Code]],Players[FISTF Code],0)),U16List[[#This Row],[First &amp; Last Name]]))</f>
        <v/>
      </c>
      <c r="G92" s="233" t="str">
        <f>IF(U16List[[#This Row],[Retained Player Name]]="","",VLOOKUP(U16List[[#This Row],[Retained Player Name]],Players[],7,FALSE))</f>
        <v/>
      </c>
      <c r="H92" s="235" t="str">
        <f>IF(U16List[[#This Row],[Retained Player Name]]="","",VLOOKUP(U16List[[#This Row],[Retained Player Name]],Players[],6,FALSE))</f>
        <v/>
      </c>
      <c r="I92" s="235" t="str">
        <f>IF(U16List[[#This Row],[Retained Player Name]]="","",VLOOKUP(U16List[[#This Row],[Retained Player Name]],Players[],4,FALSE))</f>
        <v/>
      </c>
      <c r="J9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2" s="231"/>
      <c r="L92" s="231"/>
    </row>
    <row r="93" spans="1:12" x14ac:dyDescent="0.2">
      <c r="A93" s="322" t="str">
        <f>IF(AND(U16List[[#This Row],[First &amp; Last Name]]="",U16List[[#This Row],[FISTF Code]]=""),"",ROW()-ROW($A$11))</f>
        <v/>
      </c>
      <c r="B93" s="323"/>
      <c r="C93" s="437"/>
      <c r="D93" s="422" t="str">
        <f>IF(U16List[[#This Row],[First &amp; Last Name]]="","",IFERROR(ISNUMBER(MATCH(U16List[[#This Row],[First &amp; Last Name]],Players[Player Name],0)),FALSE))</f>
        <v/>
      </c>
      <c r="E93" s="422" t="b">
        <f>IF(U16List[[#This Row],[FISTF Code]]="",FALSE,IFERROR(ISNUMBER(MATCH(U16List[[#This Row],[FISTF Code]],Players[FISTF Code],0)),FALSE))</f>
        <v>0</v>
      </c>
      <c r="F93" s="420" t="str">
        <f>IF(AND(U16List[[#This Row],[First &amp; Last Name]]="",U16List[[#This Row],[FISTF Code]]=""),"",IF(U16List[[#This Row],[Valide Code ?]],INDEX(Players[Player Name],MATCH(U16List[[#This Row],[FISTF Code]],Players[FISTF Code],0)),U16List[[#This Row],[First &amp; Last Name]]))</f>
        <v/>
      </c>
      <c r="G93" s="233" t="str">
        <f>IF(U16List[[#This Row],[Retained Player Name]]="","",VLOOKUP(U16List[[#This Row],[Retained Player Name]],Players[],7,FALSE))</f>
        <v/>
      </c>
      <c r="H93" s="235" t="str">
        <f>IF(U16List[[#This Row],[Retained Player Name]]="","",VLOOKUP(U16List[[#This Row],[Retained Player Name]],Players[],6,FALSE))</f>
        <v/>
      </c>
      <c r="I93" s="235" t="str">
        <f>IF(U16List[[#This Row],[Retained Player Name]]="","",VLOOKUP(U16List[[#This Row],[Retained Player Name]],Players[],4,FALSE))</f>
        <v/>
      </c>
      <c r="J9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3" s="231"/>
      <c r="L93" s="231"/>
    </row>
    <row r="94" spans="1:12" x14ac:dyDescent="0.2">
      <c r="A94" s="322" t="str">
        <f>IF(AND(U16List[[#This Row],[First &amp; Last Name]]="",U16List[[#This Row],[FISTF Code]]=""),"",ROW()-ROW($A$11))</f>
        <v/>
      </c>
      <c r="B94" s="323"/>
      <c r="C94" s="437"/>
      <c r="D94" s="422" t="str">
        <f>IF(U16List[[#This Row],[First &amp; Last Name]]="","",IFERROR(ISNUMBER(MATCH(U16List[[#This Row],[First &amp; Last Name]],Players[Player Name],0)),FALSE))</f>
        <v/>
      </c>
      <c r="E94" s="422" t="b">
        <f>IF(U16List[[#This Row],[FISTF Code]]="",FALSE,IFERROR(ISNUMBER(MATCH(U16List[[#This Row],[FISTF Code]],Players[FISTF Code],0)),FALSE))</f>
        <v>0</v>
      </c>
      <c r="F94" s="420" t="str">
        <f>IF(AND(U16List[[#This Row],[First &amp; Last Name]]="",U16List[[#This Row],[FISTF Code]]=""),"",IF(U16List[[#This Row],[Valide Code ?]],INDEX(Players[Player Name],MATCH(U16List[[#This Row],[FISTF Code]],Players[FISTF Code],0)),U16List[[#This Row],[First &amp; Last Name]]))</f>
        <v/>
      </c>
      <c r="G94" s="233" t="str">
        <f>IF(U16List[[#This Row],[Retained Player Name]]="","",VLOOKUP(U16List[[#This Row],[Retained Player Name]],Players[],7,FALSE))</f>
        <v/>
      </c>
      <c r="H94" s="235" t="str">
        <f>IF(U16List[[#This Row],[Retained Player Name]]="","",VLOOKUP(U16List[[#This Row],[Retained Player Name]],Players[],6,FALSE))</f>
        <v/>
      </c>
      <c r="I94" s="235" t="str">
        <f>IF(U16List[[#This Row],[Retained Player Name]]="","",VLOOKUP(U16List[[#This Row],[Retained Player Name]],Players[],4,FALSE))</f>
        <v/>
      </c>
      <c r="J9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4" s="231"/>
      <c r="L94" s="231"/>
    </row>
    <row r="95" spans="1:12" x14ac:dyDescent="0.2">
      <c r="A95" s="322" t="str">
        <f>IF(AND(U16List[[#This Row],[First &amp; Last Name]]="",U16List[[#This Row],[FISTF Code]]=""),"",ROW()-ROW($A$11))</f>
        <v/>
      </c>
      <c r="B95" s="323"/>
      <c r="C95" s="437"/>
      <c r="D95" s="422" t="str">
        <f>IF(U16List[[#This Row],[First &amp; Last Name]]="","",IFERROR(ISNUMBER(MATCH(U16List[[#This Row],[First &amp; Last Name]],Players[Player Name],0)),FALSE))</f>
        <v/>
      </c>
      <c r="E95" s="422" t="b">
        <f>IF(U16List[[#This Row],[FISTF Code]]="",FALSE,IFERROR(ISNUMBER(MATCH(U16List[[#This Row],[FISTF Code]],Players[FISTF Code],0)),FALSE))</f>
        <v>0</v>
      </c>
      <c r="F95" s="420" t="str">
        <f>IF(AND(U16List[[#This Row],[First &amp; Last Name]]="",U16List[[#This Row],[FISTF Code]]=""),"",IF(U16List[[#This Row],[Valide Code ?]],INDEX(Players[Player Name],MATCH(U16List[[#This Row],[FISTF Code]],Players[FISTF Code],0)),U16List[[#This Row],[First &amp; Last Name]]))</f>
        <v/>
      </c>
      <c r="G95" s="233" t="str">
        <f>IF(U16List[[#This Row],[Retained Player Name]]="","",VLOOKUP(U16List[[#This Row],[Retained Player Name]],Players[],7,FALSE))</f>
        <v/>
      </c>
      <c r="H95" s="235" t="str">
        <f>IF(U16List[[#This Row],[Retained Player Name]]="","",VLOOKUP(U16List[[#This Row],[Retained Player Name]],Players[],6,FALSE))</f>
        <v/>
      </c>
      <c r="I95" s="235" t="str">
        <f>IF(U16List[[#This Row],[Retained Player Name]]="","",VLOOKUP(U16List[[#This Row],[Retained Player Name]],Players[],4,FALSE))</f>
        <v/>
      </c>
      <c r="J9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5" s="231"/>
      <c r="L95" s="231"/>
    </row>
    <row r="96" spans="1:12" x14ac:dyDescent="0.2">
      <c r="A96" s="322" t="str">
        <f>IF(AND(U16List[[#This Row],[First &amp; Last Name]]="",U16List[[#This Row],[FISTF Code]]=""),"",ROW()-ROW($A$11))</f>
        <v/>
      </c>
      <c r="B96" s="323"/>
      <c r="C96" s="437"/>
      <c r="D96" s="422" t="str">
        <f>IF(U16List[[#This Row],[First &amp; Last Name]]="","",IFERROR(ISNUMBER(MATCH(U16List[[#This Row],[First &amp; Last Name]],Players[Player Name],0)),FALSE))</f>
        <v/>
      </c>
      <c r="E96" s="422" t="b">
        <f>IF(U16List[[#This Row],[FISTF Code]]="",FALSE,IFERROR(ISNUMBER(MATCH(U16List[[#This Row],[FISTF Code]],Players[FISTF Code],0)),FALSE))</f>
        <v>0</v>
      </c>
      <c r="F96" s="420" t="str">
        <f>IF(AND(U16List[[#This Row],[First &amp; Last Name]]="",U16List[[#This Row],[FISTF Code]]=""),"",IF(U16List[[#This Row],[Valide Code ?]],INDEX(Players[Player Name],MATCH(U16List[[#This Row],[FISTF Code]],Players[FISTF Code],0)),U16List[[#This Row],[First &amp; Last Name]]))</f>
        <v/>
      </c>
      <c r="G96" s="233" t="str">
        <f>IF(U16List[[#This Row],[Retained Player Name]]="","",VLOOKUP(U16List[[#This Row],[Retained Player Name]],Players[],7,FALSE))</f>
        <v/>
      </c>
      <c r="H96" s="235" t="str">
        <f>IF(U16List[[#This Row],[Retained Player Name]]="","",VLOOKUP(U16List[[#This Row],[Retained Player Name]],Players[],6,FALSE))</f>
        <v/>
      </c>
      <c r="I96" s="235" t="str">
        <f>IF(U16List[[#This Row],[Retained Player Name]]="","",VLOOKUP(U16List[[#This Row],[Retained Player Name]],Players[],4,FALSE))</f>
        <v/>
      </c>
      <c r="J9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6" s="231"/>
      <c r="L96" s="231"/>
    </row>
    <row r="97" spans="1:12" x14ac:dyDescent="0.2">
      <c r="A97" s="322" t="str">
        <f>IF(AND(U16List[[#This Row],[First &amp; Last Name]]="",U16List[[#This Row],[FISTF Code]]=""),"",ROW()-ROW($A$11))</f>
        <v/>
      </c>
      <c r="B97" s="323"/>
      <c r="C97" s="437"/>
      <c r="D97" s="422" t="str">
        <f>IF(U16List[[#This Row],[First &amp; Last Name]]="","",IFERROR(ISNUMBER(MATCH(U16List[[#This Row],[First &amp; Last Name]],Players[Player Name],0)),FALSE))</f>
        <v/>
      </c>
      <c r="E97" s="422" t="b">
        <f>IF(U16List[[#This Row],[FISTF Code]]="",FALSE,IFERROR(ISNUMBER(MATCH(U16List[[#This Row],[FISTF Code]],Players[FISTF Code],0)),FALSE))</f>
        <v>0</v>
      </c>
      <c r="F97" s="420" t="str">
        <f>IF(AND(U16List[[#This Row],[First &amp; Last Name]]="",U16List[[#This Row],[FISTF Code]]=""),"",IF(U16List[[#This Row],[Valide Code ?]],INDEX(Players[Player Name],MATCH(U16List[[#This Row],[FISTF Code]],Players[FISTF Code],0)),U16List[[#This Row],[First &amp; Last Name]]))</f>
        <v/>
      </c>
      <c r="G97" s="233" t="str">
        <f>IF(U16List[[#This Row],[Retained Player Name]]="","",VLOOKUP(U16List[[#This Row],[Retained Player Name]],Players[],7,FALSE))</f>
        <v/>
      </c>
      <c r="H97" s="235" t="str">
        <f>IF(U16List[[#This Row],[Retained Player Name]]="","",VLOOKUP(U16List[[#This Row],[Retained Player Name]],Players[],6,FALSE))</f>
        <v/>
      </c>
      <c r="I97" s="235" t="str">
        <f>IF(U16List[[#This Row],[Retained Player Name]]="","",VLOOKUP(U16List[[#This Row],[Retained Player Name]],Players[],4,FALSE))</f>
        <v/>
      </c>
      <c r="J9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7" s="231"/>
      <c r="L97" s="231"/>
    </row>
    <row r="98" spans="1:12" x14ac:dyDescent="0.2">
      <c r="A98" s="322" t="str">
        <f>IF(AND(U16List[[#This Row],[First &amp; Last Name]]="",U16List[[#This Row],[FISTF Code]]=""),"",ROW()-ROW($A$11))</f>
        <v/>
      </c>
      <c r="B98" s="323"/>
      <c r="C98" s="437"/>
      <c r="D98" s="422" t="str">
        <f>IF(U16List[[#This Row],[First &amp; Last Name]]="","",IFERROR(ISNUMBER(MATCH(U16List[[#This Row],[First &amp; Last Name]],Players[Player Name],0)),FALSE))</f>
        <v/>
      </c>
      <c r="E98" s="422" t="b">
        <f>IF(U16List[[#This Row],[FISTF Code]]="",FALSE,IFERROR(ISNUMBER(MATCH(U16List[[#This Row],[FISTF Code]],Players[FISTF Code],0)),FALSE))</f>
        <v>0</v>
      </c>
      <c r="F98" s="420" t="str">
        <f>IF(AND(U16List[[#This Row],[First &amp; Last Name]]="",U16List[[#This Row],[FISTF Code]]=""),"",IF(U16List[[#This Row],[Valide Code ?]],INDEX(Players[Player Name],MATCH(U16List[[#This Row],[FISTF Code]],Players[FISTF Code],0)),U16List[[#This Row],[First &amp; Last Name]]))</f>
        <v/>
      </c>
      <c r="G98" s="233" t="str">
        <f>IF(U16List[[#This Row],[Retained Player Name]]="","",VLOOKUP(U16List[[#This Row],[Retained Player Name]],Players[],7,FALSE))</f>
        <v/>
      </c>
      <c r="H98" s="235" t="str">
        <f>IF(U16List[[#This Row],[Retained Player Name]]="","",VLOOKUP(U16List[[#This Row],[Retained Player Name]],Players[],6,FALSE))</f>
        <v/>
      </c>
      <c r="I98" s="235" t="str">
        <f>IF(U16List[[#This Row],[Retained Player Name]]="","",VLOOKUP(U16List[[#This Row],[Retained Player Name]],Players[],4,FALSE))</f>
        <v/>
      </c>
      <c r="J9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8" s="231"/>
      <c r="L98" s="231"/>
    </row>
    <row r="99" spans="1:12" x14ac:dyDescent="0.2">
      <c r="A99" s="322" t="str">
        <f>IF(AND(U16List[[#This Row],[First &amp; Last Name]]="",U16List[[#This Row],[FISTF Code]]=""),"",ROW()-ROW($A$11))</f>
        <v/>
      </c>
      <c r="B99" s="323"/>
      <c r="C99" s="437"/>
      <c r="D99" s="422" t="str">
        <f>IF(U16List[[#This Row],[First &amp; Last Name]]="","",IFERROR(ISNUMBER(MATCH(U16List[[#This Row],[First &amp; Last Name]],Players[Player Name],0)),FALSE))</f>
        <v/>
      </c>
      <c r="E99" s="422" t="b">
        <f>IF(U16List[[#This Row],[FISTF Code]]="",FALSE,IFERROR(ISNUMBER(MATCH(U16List[[#This Row],[FISTF Code]],Players[FISTF Code],0)),FALSE))</f>
        <v>0</v>
      </c>
      <c r="F99" s="420" t="str">
        <f>IF(AND(U16List[[#This Row],[First &amp; Last Name]]="",U16List[[#This Row],[FISTF Code]]=""),"",IF(U16List[[#This Row],[Valide Code ?]],INDEX(Players[Player Name],MATCH(U16List[[#This Row],[FISTF Code]],Players[FISTF Code],0)),U16List[[#This Row],[First &amp; Last Name]]))</f>
        <v/>
      </c>
      <c r="G99" s="233" t="str">
        <f>IF(U16List[[#This Row],[Retained Player Name]]="","",VLOOKUP(U16List[[#This Row],[Retained Player Name]],Players[],7,FALSE))</f>
        <v/>
      </c>
      <c r="H99" s="235" t="str">
        <f>IF(U16List[[#This Row],[Retained Player Name]]="","",VLOOKUP(U16List[[#This Row],[Retained Player Name]],Players[],6,FALSE))</f>
        <v/>
      </c>
      <c r="I99" s="235" t="str">
        <f>IF(U16List[[#This Row],[Retained Player Name]]="","",VLOOKUP(U16List[[#This Row],[Retained Player Name]],Players[],4,FALSE))</f>
        <v/>
      </c>
      <c r="J9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9" s="231"/>
      <c r="L99" s="231"/>
    </row>
    <row r="100" spans="1:12" x14ac:dyDescent="0.2">
      <c r="A100" s="322" t="str">
        <f>IF(AND(U16List[[#This Row],[First &amp; Last Name]]="",U16List[[#This Row],[FISTF Code]]=""),"",ROW()-ROW($A$11))</f>
        <v/>
      </c>
      <c r="B100" s="323"/>
      <c r="C100" s="437"/>
      <c r="D100" s="422" t="str">
        <f>IF(U16List[[#This Row],[First &amp; Last Name]]="","",IFERROR(ISNUMBER(MATCH(U16List[[#This Row],[First &amp; Last Name]],Players[Player Name],0)),FALSE))</f>
        <v/>
      </c>
      <c r="E100" s="422" t="b">
        <f>IF(U16List[[#This Row],[FISTF Code]]="",FALSE,IFERROR(ISNUMBER(MATCH(U16List[[#This Row],[FISTF Code]],Players[FISTF Code],0)),FALSE))</f>
        <v>0</v>
      </c>
      <c r="F100" s="420" t="str">
        <f>IF(AND(U16List[[#This Row],[First &amp; Last Name]]="",U16List[[#This Row],[FISTF Code]]=""),"",IF(U16List[[#This Row],[Valide Code ?]],INDEX(Players[Player Name],MATCH(U16List[[#This Row],[FISTF Code]],Players[FISTF Code],0)),U16List[[#This Row],[First &amp; Last Name]]))</f>
        <v/>
      </c>
      <c r="G100" s="233" t="str">
        <f>IF(U16List[[#This Row],[Retained Player Name]]="","",VLOOKUP(U16List[[#This Row],[Retained Player Name]],Players[],7,FALSE))</f>
        <v/>
      </c>
      <c r="H100" s="235" t="str">
        <f>IF(U16List[[#This Row],[Retained Player Name]]="","",VLOOKUP(U16List[[#This Row],[Retained Player Name]],Players[],6,FALSE))</f>
        <v/>
      </c>
      <c r="I100" s="235" t="str">
        <f>IF(U16List[[#This Row],[Retained Player Name]]="","",VLOOKUP(U16List[[#This Row],[Retained Player Name]],Players[],4,FALSE))</f>
        <v/>
      </c>
      <c r="J10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0" s="231"/>
      <c r="L100" s="231"/>
    </row>
    <row r="101" spans="1:12" x14ac:dyDescent="0.2">
      <c r="A101" s="16" t="str">
        <f>IF(AND(U16List[[#This Row],[First &amp; Last Name]]="",U16List[[#This Row],[FISTF Code]]=""),"",ROW()-ROW($A$11))</f>
        <v/>
      </c>
      <c r="B101" s="232"/>
      <c r="C101" s="436"/>
      <c r="D101" s="421" t="str">
        <f>IF(U16List[[#This Row],[First &amp; Last Name]]="","",IFERROR(ISNUMBER(MATCH(U16List[[#This Row],[First &amp; Last Name]],Players[Player Name],0)),FALSE))</f>
        <v/>
      </c>
      <c r="E101" s="421" t="b">
        <f>IF(U16List[[#This Row],[FISTF Code]]="",FALSE,IFERROR(ISNUMBER(MATCH(U16List[[#This Row],[FISTF Code]],Players[FISTF Code],0)),FALSE))</f>
        <v>0</v>
      </c>
      <c r="F101" s="419" t="str">
        <f>IF(AND(U16List[[#This Row],[First &amp; Last Name]]="",U16List[[#This Row],[FISTF Code]]=""),"",IF(U16List[[#This Row],[Valide Code ?]],INDEX(Players[Player Name],MATCH(U16List[[#This Row],[FISTF Code]],Players[FISTF Code],0)),U16List[[#This Row],[First &amp; Last Name]]))</f>
        <v/>
      </c>
      <c r="G101" s="233" t="str">
        <f>IF(U16List[[#This Row],[Retained Player Name]]="","",VLOOKUP(U16List[[#This Row],[Retained Player Name]],Players[],7,FALSE))</f>
        <v/>
      </c>
      <c r="H101" s="235" t="str">
        <f>IF(U16List[[#This Row],[Retained Player Name]]="","",VLOOKUP(U16List[[#This Row],[Retained Player Name]],Players[],6,FALSE))</f>
        <v/>
      </c>
      <c r="I101" s="235" t="str">
        <f>IF(U16List[[#This Row],[Retained Player Name]]="","",VLOOKUP(U16List[[#This Row],[Retained Player Name]],Players[],4,FALSE))</f>
        <v/>
      </c>
      <c r="J10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1" s="231"/>
      <c r="L101" s="231"/>
    </row>
    <row r="102" spans="1:12" x14ac:dyDescent="0.2">
      <c r="A102" s="16" t="str">
        <f>IF(AND(U16List[[#This Row],[First &amp; Last Name]]="",U16List[[#This Row],[FISTF Code]]=""),"",ROW()-ROW($A$11))</f>
        <v/>
      </c>
      <c r="B102" s="232"/>
      <c r="C102" s="436"/>
      <c r="D102" s="421" t="str">
        <f>IF(U16List[[#This Row],[First &amp; Last Name]]="","",IFERROR(ISNUMBER(MATCH(U16List[[#This Row],[First &amp; Last Name]],Players[Player Name],0)),FALSE))</f>
        <v/>
      </c>
      <c r="E102" s="421" t="b">
        <f>IF(U16List[[#This Row],[FISTF Code]]="",FALSE,IFERROR(ISNUMBER(MATCH(U16List[[#This Row],[FISTF Code]],Players[FISTF Code],0)),FALSE))</f>
        <v>0</v>
      </c>
      <c r="F102" s="419" t="str">
        <f>IF(AND(U16List[[#This Row],[First &amp; Last Name]]="",U16List[[#This Row],[FISTF Code]]=""),"",IF(U16List[[#This Row],[Valide Code ?]],INDEX(Players[Player Name],MATCH(U16List[[#This Row],[FISTF Code]],Players[FISTF Code],0)),U16List[[#This Row],[First &amp; Last Name]]))</f>
        <v/>
      </c>
      <c r="G102" s="233" t="str">
        <f>IF(U16List[[#This Row],[Retained Player Name]]="","",VLOOKUP(U16List[[#This Row],[Retained Player Name]],Players[],7,FALSE))</f>
        <v/>
      </c>
      <c r="H102" s="235" t="str">
        <f>IF(U16List[[#This Row],[Retained Player Name]]="","",VLOOKUP(U16List[[#This Row],[Retained Player Name]],Players[],6,FALSE))</f>
        <v/>
      </c>
      <c r="I102" s="235" t="str">
        <f>IF(U16List[[#This Row],[Retained Player Name]]="","",VLOOKUP(U16List[[#This Row],[Retained Player Name]],Players[],4,FALSE))</f>
        <v/>
      </c>
      <c r="J10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2" s="231"/>
      <c r="L102" s="231"/>
    </row>
    <row r="103" spans="1:12" x14ac:dyDescent="0.2">
      <c r="A103" s="16" t="str">
        <f>IF(AND(U16List[[#This Row],[First &amp; Last Name]]="",U16List[[#This Row],[FISTF Code]]=""),"",ROW()-ROW($A$11))</f>
        <v/>
      </c>
      <c r="B103" s="232"/>
      <c r="C103" s="436"/>
      <c r="D103" s="421" t="str">
        <f>IF(U16List[[#This Row],[First &amp; Last Name]]="","",IFERROR(ISNUMBER(MATCH(U16List[[#This Row],[First &amp; Last Name]],Players[Player Name],0)),FALSE))</f>
        <v/>
      </c>
      <c r="E103" s="421" t="b">
        <f>IF(U16List[[#This Row],[FISTF Code]]="",FALSE,IFERROR(ISNUMBER(MATCH(U16List[[#This Row],[FISTF Code]],Players[FISTF Code],0)),FALSE))</f>
        <v>0</v>
      </c>
      <c r="F103" s="419" t="str">
        <f>IF(AND(U16List[[#This Row],[First &amp; Last Name]]="",U16List[[#This Row],[FISTF Code]]=""),"",IF(U16List[[#This Row],[Valide Code ?]],INDEX(Players[Player Name],MATCH(U16List[[#This Row],[FISTF Code]],Players[FISTF Code],0)),U16List[[#This Row],[First &amp; Last Name]]))</f>
        <v/>
      </c>
      <c r="G103" s="233" t="str">
        <f>IF(U16List[[#This Row],[Retained Player Name]]="","",VLOOKUP(U16List[[#This Row],[Retained Player Name]],Players[],7,FALSE))</f>
        <v/>
      </c>
      <c r="H103" s="235" t="str">
        <f>IF(U16List[[#This Row],[Retained Player Name]]="","",VLOOKUP(U16List[[#This Row],[Retained Player Name]],Players[],6,FALSE))</f>
        <v/>
      </c>
      <c r="I103" s="235" t="str">
        <f>IF(U16List[[#This Row],[Retained Player Name]]="","",VLOOKUP(U16List[[#This Row],[Retained Player Name]],Players[],4,FALSE))</f>
        <v/>
      </c>
      <c r="J10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3" s="231"/>
      <c r="L103" s="231"/>
    </row>
    <row r="104" spans="1:12" x14ac:dyDescent="0.2">
      <c r="A104" s="16" t="str">
        <f>IF(AND(U16List[[#This Row],[First &amp; Last Name]]="",U16List[[#This Row],[FISTF Code]]=""),"",ROW()-ROW($A$11))</f>
        <v/>
      </c>
      <c r="B104" s="232"/>
      <c r="C104" s="436"/>
      <c r="D104" s="421" t="str">
        <f>IF(U16List[[#This Row],[First &amp; Last Name]]="","",IFERROR(ISNUMBER(MATCH(U16List[[#This Row],[First &amp; Last Name]],Players[Player Name],0)),FALSE))</f>
        <v/>
      </c>
      <c r="E104" s="421" t="b">
        <f>IF(U16List[[#This Row],[FISTF Code]]="",FALSE,IFERROR(ISNUMBER(MATCH(U16List[[#This Row],[FISTF Code]],Players[FISTF Code],0)),FALSE))</f>
        <v>0</v>
      </c>
      <c r="F104" s="419" t="str">
        <f>IF(AND(U16List[[#This Row],[First &amp; Last Name]]="",U16List[[#This Row],[FISTF Code]]=""),"",IF(U16List[[#This Row],[Valide Code ?]],INDEX(Players[Player Name],MATCH(U16List[[#This Row],[FISTF Code]],Players[FISTF Code],0)),U16List[[#This Row],[First &amp; Last Name]]))</f>
        <v/>
      </c>
      <c r="G104" s="233" t="str">
        <f>IF(U16List[[#This Row],[Retained Player Name]]="","",VLOOKUP(U16List[[#This Row],[Retained Player Name]],Players[],7,FALSE))</f>
        <v/>
      </c>
      <c r="H104" s="235" t="str">
        <f>IF(U16List[[#This Row],[Retained Player Name]]="","",VLOOKUP(U16List[[#This Row],[Retained Player Name]],Players[],6,FALSE))</f>
        <v/>
      </c>
      <c r="I104" s="235" t="str">
        <f>IF(U16List[[#This Row],[Retained Player Name]]="","",VLOOKUP(U16List[[#This Row],[Retained Player Name]],Players[],4,FALSE))</f>
        <v/>
      </c>
      <c r="J10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4" s="231"/>
      <c r="L104" s="231"/>
    </row>
    <row r="105" spans="1:12" x14ac:dyDescent="0.2">
      <c r="A105" s="16" t="str">
        <f>IF(AND(U16List[[#This Row],[First &amp; Last Name]]="",U16List[[#This Row],[FISTF Code]]=""),"",ROW()-ROW($A$11))</f>
        <v/>
      </c>
      <c r="B105" s="232"/>
      <c r="C105" s="436"/>
      <c r="D105" s="421" t="str">
        <f>IF(U16List[[#This Row],[First &amp; Last Name]]="","",IFERROR(ISNUMBER(MATCH(U16List[[#This Row],[First &amp; Last Name]],Players[Player Name],0)),FALSE))</f>
        <v/>
      </c>
      <c r="E105" s="421" t="b">
        <f>IF(U16List[[#This Row],[FISTF Code]]="",FALSE,IFERROR(ISNUMBER(MATCH(U16List[[#This Row],[FISTF Code]],Players[FISTF Code],0)),FALSE))</f>
        <v>0</v>
      </c>
      <c r="F105" s="419" t="str">
        <f>IF(AND(U16List[[#This Row],[First &amp; Last Name]]="",U16List[[#This Row],[FISTF Code]]=""),"",IF(U16List[[#This Row],[Valide Code ?]],INDEX(Players[Player Name],MATCH(U16List[[#This Row],[FISTF Code]],Players[FISTF Code],0)),U16List[[#This Row],[First &amp; Last Name]]))</f>
        <v/>
      </c>
      <c r="G105" s="233" t="str">
        <f>IF(U16List[[#This Row],[Retained Player Name]]="","",VLOOKUP(U16List[[#This Row],[Retained Player Name]],Players[],7,FALSE))</f>
        <v/>
      </c>
      <c r="H105" s="235" t="str">
        <f>IF(U16List[[#This Row],[Retained Player Name]]="","",VLOOKUP(U16List[[#This Row],[Retained Player Name]],Players[],6,FALSE))</f>
        <v/>
      </c>
      <c r="I105" s="235" t="str">
        <f>IF(U16List[[#This Row],[Retained Player Name]]="","",VLOOKUP(U16List[[#This Row],[Retained Player Name]],Players[],4,FALSE))</f>
        <v/>
      </c>
      <c r="J10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5" s="231"/>
      <c r="L105" s="231"/>
    </row>
    <row r="106" spans="1:12" x14ac:dyDescent="0.2">
      <c r="A106" s="16" t="str">
        <f>IF(AND(U16List[[#This Row],[First &amp; Last Name]]="",U16List[[#This Row],[FISTF Code]]=""),"",ROW()-ROW($A$11))</f>
        <v/>
      </c>
      <c r="B106" s="232"/>
      <c r="C106" s="436"/>
      <c r="D106" s="421" t="str">
        <f>IF(U16List[[#This Row],[First &amp; Last Name]]="","",IFERROR(ISNUMBER(MATCH(U16List[[#This Row],[First &amp; Last Name]],Players[Player Name],0)),FALSE))</f>
        <v/>
      </c>
      <c r="E106" s="421" t="b">
        <f>IF(U16List[[#This Row],[FISTF Code]]="",FALSE,IFERROR(ISNUMBER(MATCH(U16List[[#This Row],[FISTF Code]],Players[FISTF Code],0)),FALSE))</f>
        <v>0</v>
      </c>
      <c r="F106" s="419" t="str">
        <f>IF(AND(U16List[[#This Row],[First &amp; Last Name]]="",U16List[[#This Row],[FISTF Code]]=""),"",IF(U16List[[#This Row],[Valide Code ?]],INDEX(Players[Player Name],MATCH(U16List[[#This Row],[FISTF Code]],Players[FISTF Code],0)),U16List[[#This Row],[First &amp; Last Name]]))</f>
        <v/>
      </c>
      <c r="G106" s="233" t="str">
        <f>IF(U16List[[#This Row],[Retained Player Name]]="","",VLOOKUP(U16List[[#This Row],[Retained Player Name]],Players[],7,FALSE))</f>
        <v/>
      </c>
      <c r="H106" s="235" t="str">
        <f>IF(U16List[[#This Row],[Retained Player Name]]="","",VLOOKUP(U16List[[#This Row],[Retained Player Name]],Players[],6,FALSE))</f>
        <v/>
      </c>
      <c r="I106" s="235" t="str">
        <f>IF(U16List[[#This Row],[Retained Player Name]]="","",VLOOKUP(U16List[[#This Row],[Retained Player Name]],Players[],4,FALSE))</f>
        <v/>
      </c>
      <c r="J10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6" s="231"/>
      <c r="L106" s="231"/>
    </row>
    <row r="107" spans="1:12" x14ac:dyDescent="0.2">
      <c r="A107" s="16" t="str">
        <f>IF(AND(U16List[[#This Row],[First &amp; Last Name]]="",U16List[[#This Row],[FISTF Code]]=""),"",ROW()-ROW($A$11))</f>
        <v/>
      </c>
      <c r="B107" s="232"/>
      <c r="C107" s="436"/>
      <c r="D107" s="421" t="str">
        <f>IF(U16List[[#This Row],[First &amp; Last Name]]="","",IFERROR(ISNUMBER(MATCH(U16List[[#This Row],[First &amp; Last Name]],Players[Player Name],0)),FALSE))</f>
        <v/>
      </c>
      <c r="E107" s="421" t="b">
        <f>IF(U16List[[#This Row],[FISTF Code]]="",FALSE,IFERROR(ISNUMBER(MATCH(U16List[[#This Row],[FISTF Code]],Players[FISTF Code],0)),FALSE))</f>
        <v>0</v>
      </c>
      <c r="F107" s="419" t="str">
        <f>IF(AND(U16List[[#This Row],[First &amp; Last Name]]="",U16List[[#This Row],[FISTF Code]]=""),"",IF(U16List[[#This Row],[Valide Code ?]],INDEX(Players[Player Name],MATCH(U16List[[#This Row],[FISTF Code]],Players[FISTF Code],0)),U16List[[#This Row],[First &amp; Last Name]]))</f>
        <v/>
      </c>
      <c r="G107" s="233" t="str">
        <f>IF(U16List[[#This Row],[Retained Player Name]]="","",VLOOKUP(U16List[[#This Row],[Retained Player Name]],Players[],7,FALSE))</f>
        <v/>
      </c>
      <c r="H107" s="235" t="str">
        <f>IF(U16List[[#This Row],[Retained Player Name]]="","",VLOOKUP(U16List[[#This Row],[Retained Player Name]],Players[],6,FALSE))</f>
        <v/>
      </c>
      <c r="I107" s="235" t="str">
        <f>IF(U16List[[#This Row],[Retained Player Name]]="","",VLOOKUP(U16List[[#This Row],[Retained Player Name]],Players[],4,FALSE))</f>
        <v/>
      </c>
      <c r="J10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7" s="231"/>
      <c r="L107" s="231"/>
    </row>
    <row r="108" spans="1:12" x14ac:dyDescent="0.2">
      <c r="A108" s="16" t="str">
        <f>IF(AND(U16List[[#This Row],[First &amp; Last Name]]="",U16List[[#This Row],[FISTF Code]]=""),"",ROW()-ROW($A$11))</f>
        <v/>
      </c>
      <c r="B108" s="232"/>
      <c r="C108" s="436"/>
      <c r="D108" s="421" t="str">
        <f>IF(U16List[[#This Row],[First &amp; Last Name]]="","",IFERROR(ISNUMBER(MATCH(U16List[[#This Row],[First &amp; Last Name]],Players[Player Name],0)),FALSE))</f>
        <v/>
      </c>
      <c r="E108" s="421" t="b">
        <f>IF(U16List[[#This Row],[FISTF Code]]="",FALSE,IFERROR(ISNUMBER(MATCH(U16List[[#This Row],[FISTF Code]],Players[FISTF Code],0)),FALSE))</f>
        <v>0</v>
      </c>
      <c r="F108" s="419" t="str">
        <f>IF(AND(U16List[[#This Row],[First &amp; Last Name]]="",U16List[[#This Row],[FISTF Code]]=""),"",IF(U16List[[#This Row],[Valide Code ?]],INDEX(Players[Player Name],MATCH(U16List[[#This Row],[FISTF Code]],Players[FISTF Code],0)),U16List[[#This Row],[First &amp; Last Name]]))</f>
        <v/>
      </c>
      <c r="G108" s="233" t="str">
        <f>IF(U16List[[#This Row],[Retained Player Name]]="","",VLOOKUP(U16List[[#This Row],[Retained Player Name]],Players[],7,FALSE))</f>
        <v/>
      </c>
      <c r="H108" s="235" t="str">
        <f>IF(U16List[[#This Row],[Retained Player Name]]="","",VLOOKUP(U16List[[#This Row],[Retained Player Name]],Players[],6,FALSE))</f>
        <v/>
      </c>
      <c r="I108" s="235" t="str">
        <f>IF(U16List[[#This Row],[Retained Player Name]]="","",VLOOKUP(U16List[[#This Row],[Retained Player Name]],Players[],4,FALSE))</f>
        <v/>
      </c>
      <c r="J10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8" s="231"/>
      <c r="L108" s="231"/>
    </row>
    <row r="109" spans="1:12" x14ac:dyDescent="0.2">
      <c r="A109" s="16" t="str">
        <f>IF(AND(U16List[[#This Row],[First &amp; Last Name]]="",U16List[[#This Row],[FISTF Code]]=""),"",ROW()-ROW($A$11))</f>
        <v/>
      </c>
      <c r="B109" s="232"/>
      <c r="C109" s="436"/>
      <c r="D109" s="421" t="str">
        <f>IF(U16List[[#This Row],[First &amp; Last Name]]="","",IFERROR(ISNUMBER(MATCH(U16List[[#This Row],[First &amp; Last Name]],Players[Player Name],0)),FALSE))</f>
        <v/>
      </c>
      <c r="E109" s="421" t="b">
        <f>IF(U16List[[#This Row],[FISTF Code]]="",FALSE,IFERROR(ISNUMBER(MATCH(U16List[[#This Row],[FISTF Code]],Players[FISTF Code],0)),FALSE))</f>
        <v>0</v>
      </c>
      <c r="F109" s="419" t="str">
        <f>IF(AND(U16List[[#This Row],[First &amp; Last Name]]="",U16List[[#This Row],[FISTF Code]]=""),"",IF(U16List[[#This Row],[Valide Code ?]],INDEX(Players[Player Name],MATCH(U16List[[#This Row],[FISTF Code]],Players[FISTF Code],0)),U16List[[#This Row],[First &amp; Last Name]]))</f>
        <v/>
      </c>
      <c r="G109" s="233" t="str">
        <f>IF(U16List[[#This Row],[Retained Player Name]]="","",VLOOKUP(U16List[[#This Row],[Retained Player Name]],Players[],7,FALSE))</f>
        <v/>
      </c>
      <c r="H109" s="235" t="str">
        <f>IF(U16List[[#This Row],[Retained Player Name]]="","",VLOOKUP(U16List[[#This Row],[Retained Player Name]],Players[],6,FALSE))</f>
        <v/>
      </c>
      <c r="I109" s="235" t="str">
        <f>IF(U16List[[#This Row],[Retained Player Name]]="","",VLOOKUP(U16List[[#This Row],[Retained Player Name]],Players[],4,FALSE))</f>
        <v/>
      </c>
      <c r="J10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9" s="231"/>
      <c r="L109" s="231"/>
    </row>
    <row r="110" spans="1:12" x14ac:dyDescent="0.2">
      <c r="A110" s="16" t="str">
        <f>IF(AND(U16List[[#This Row],[First &amp; Last Name]]="",U16List[[#This Row],[FISTF Code]]=""),"",ROW()-ROW($A$11))</f>
        <v/>
      </c>
      <c r="B110" s="232"/>
      <c r="C110" s="436"/>
      <c r="D110" s="421" t="str">
        <f>IF(U16List[[#This Row],[First &amp; Last Name]]="","",IFERROR(ISNUMBER(MATCH(U16List[[#This Row],[First &amp; Last Name]],Players[Player Name],0)),FALSE))</f>
        <v/>
      </c>
      <c r="E110" s="421" t="b">
        <f>IF(U16List[[#This Row],[FISTF Code]]="",FALSE,IFERROR(ISNUMBER(MATCH(U16List[[#This Row],[FISTF Code]],Players[FISTF Code],0)),FALSE))</f>
        <v>0</v>
      </c>
      <c r="F110" s="419" t="str">
        <f>IF(AND(U16List[[#This Row],[First &amp; Last Name]]="",U16List[[#This Row],[FISTF Code]]=""),"",IF(U16List[[#This Row],[Valide Code ?]],INDEX(Players[Player Name],MATCH(U16List[[#This Row],[FISTF Code]],Players[FISTF Code],0)),U16List[[#This Row],[First &amp; Last Name]]))</f>
        <v/>
      </c>
      <c r="G110" s="233" t="str">
        <f>IF(U16List[[#This Row],[Retained Player Name]]="","",VLOOKUP(U16List[[#This Row],[Retained Player Name]],Players[],7,FALSE))</f>
        <v/>
      </c>
      <c r="H110" s="235" t="str">
        <f>IF(U16List[[#This Row],[Retained Player Name]]="","",VLOOKUP(U16List[[#This Row],[Retained Player Name]],Players[],6,FALSE))</f>
        <v/>
      </c>
      <c r="I110" s="235" t="str">
        <f>IF(U16List[[#This Row],[Retained Player Name]]="","",VLOOKUP(U16List[[#This Row],[Retained Player Name]],Players[],4,FALSE))</f>
        <v/>
      </c>
      <c r="J11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0" s="231"/>
      <c r="L110" s="231"/>
    </row>
    <row r="111" spans="1:12" x14ac:dyDescent="0.2">
      <c r="A111" s="16" t="str">
        <f>IF(AND(U16List[[#This Row],[First &amp; Last Name]]="",U16List[[#This Row],[FISTF Code]]=""),"",ROW()-ROW($A$11))</f>
        <v/>
      </c>
      <c r="B111" s="232"/>
      <c r="C111" s="436"/>
      <c r="D111" s="421" t="str">
        <f>IF(U16List[[#This Row],[First &amp; Last Name]]="","",IFERROR(ISNUMBER(MATCH(U16List[[#This Row],[First &amp; Last Name]],Players[Player Name],0)),FALSE))</f>
        <v/>
      </c>
      <c r="E111" s="421" t="b">
        <f>IF(U16List[[#This Row],[FISTF Code]]="",FALSE,IFERROR(ISNUMBER(MATCH(U16List[[#This Row],[FISTF Code]],Players[FISTF Code],0)),FALSE))</f>
        <v>0</v>
      </c>
      <c r="F111" s="419" t="str">
        <f>IF(AND(U16List[[#This Row],[First &amp; Last Name]]="",U16List[[#This Row],[FISTF Code]]=""),"",IF(U16List[[#This Row],[Valide Code ?]],INDEX(Players[Player Name],MATCH(U16List[[#This Row],[FISTF Code]],Players[FISTF Code],0)),U16List[[#This Row],[First &amp; Last Name]]))</f>
        <v/>
      </c>
      <c r="G111" s="233" t="str">
        <f>IF(U16List[[#This Row],[Retained Player Name]]="","",VLOOKUP(U16List[[#This Row],[Retained Player Name]],Players[],7,FALSE))</f>
        <v/>
      </c>
      <c r="H111" s="235" t="str">
        <f>IF(U16List[[#This Row],[Retained Player Name]]="","",VLOOKUP(U16List[[#This Row],[Retained Player Name]],Players[],6,FALSE))</f>
        <v/>
      </c>
      <c r="I111" s="235" t="str">
        <f>IF(U16List[[#This Row],[Retained Player Name]]="","",VLOOKUP(U16List[[#This Row],[Retained Player Name]],Players[],4,FALSE))</f>
        <v/>
      </c>
      <c r="J11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1" s="231"/>
      <c r="L111" s="231"/>
    </row>
    <row r="112" spans="1:12" x14ac:dyDescent="0.2">
      <c r="A112" s="16" t="str">
        <f>IF(AND(U16List[[#This Row],[First &amp; Last Name]]="",U16List[[#This Row],[FISTF Code]]=""),"",ROW()-ROW($A$11))</f>
        <v/>
      </c>
      <c r="B112" s="232"/>
      <c r="C112" s="436"/>
      <c r="D112" s="421" t="str">
        <f>IF(U16List[[#This Row],[First &amp; Last Name]]="","",IFERROR(ISNUMBER(MATCH(U16List[[#This Row],[First &amp; Last Name]],Players[Player Name],0)),FALSE))</f>
        <v/>
      </c>
      <c r="E112" s="421" t="b">
        <f>IF(U16List[[#This Row],[FISTF Code]]="",FALSE,IFERROR(ISNUMBER(MATCH(U16List[[#This Row],[FISTF Code]],Players[FISTF Code],0)),FALSE))</f>
        <v>0</v>
      </c>
      <c r="F112" s="419" t="str">
        <f>IF(AND(U16List[[#This Row],[First &amp; Last Name]]="",U16List[[#This Row],[FISTF Code]]=""),"",IF(U16List[[#This Row],[Valide Code ?]],INDEX(Players[Player Name],MATCH(U16List[[#This Row],[FISTF Code]],Players[FISTF Code],0)),U16List[[#This Row],[First &amp; Last Name]]))</f>
        <v/>
      </c>
      <c r="G112" s="233" t="str">
        <f>IF(U16List[[#This Row],[Retained Player Name]]="","",VLOOKUP(U16List[[#This Row],[Retained Player Name]],Players[],7,FALSE))</f>
        <v/>
      </c>
      <c r="H112" s="235" t="str">
        <f>IF(U16List[[#This Row],[Retained Player Name]]="","",VLOOKUP(U16List[[#This Row],[Retained Player Name]],Players[],6,FALSE))</f>
        <v/>
      </c>
      <c r="I112" s="235" t="str">
        <f>IF(U16List[[#This Row],[Retained Player Name]]="","",VLOOKUP(U16List[[#This Row],[Retained Player Name]],Players[],4,FALSE))</f>
        <v/>
      </c>
      <c r="J11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2" s="231"/>
      <c r="L112" s="231"/>
    </row>
    <row r="113" spans="1:12" x14ac:dyDescent="0.2">
      <c r="A113" s="16" t="str">
        <f>IF(AND(U16List[[#This Row],[First &amp; Last Name]]="",U16List[[#This Row],[FISTF Code]]=""),"",ROW()-ROW($A$11))</f>
        <v/>
      </c>
      <c r="B113" s="232"/>
      <c r="C113" s="436"/>
      <c r="D113" s="421" t="str">
        <f>IF(U16List[[#This Row],[First &amp; Last Name]]="","",IFERROR(ISNUMBER(MATCH(U16List[[#This Row],[First &amp; Last Name]],Players[Player Name],0)),FALSE))</f>
        <v/>
      </c>
      <c r="E113" s="421" t="b">
        <f>IF(U16List[[#This Row],[FISTF Code]]="",FALSE,IFERROR(ISNUMBER(MATCH(U16List[[#This Row],[FISTF Code]],Players[FISTF Code],0)),FALSE))</f>
        <v>0</v>
      </c>
      <c r="F113" s="419" t="str">
        <f>IF(AND(U16List[[#This Row],[First &amp; Last Name]]="",U16List[[#This Row],[FISTF Code]]=""),"",IF(U16List[[#This Row],[Valide Code ?]],INDEX(Players[Player Name],MATCH(U16List[[#This Row],[FISTF Code]],Players[FISTF Code],0)),U16List[[#This Row],[First &amp; Last Name]]))</f>
        <v/>
      </c>
      <c r="G113" s="233" t="str">
        <f>IF(U16List[[#This Row],[Retained Player Name]]="","",VLOOKUP(U16List[[#This Row],[Retained Player Name]],Players[],7,FALSE))</f>
        <v/>
      </c>
      <c r="H113" s="235" t="str">
        <f>IF(U16List[[#This Row],[Retained Player Name]]="","",VLOOKUP(U16List[[#This Row],[Retained Player Name]],Players[],6,FALSE))</f>
        <v/>
      </c>
      <c r="I113" s="235" t="str">
        <f>IF(U16List[[#This Row],[Retained Player Name]]="","",VLOOKUP(U16List[[#This Row],[Retained Player Name]],Players[],4,FALSE))</f>
        <v/>
      </c>
      <c r="J11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3" s="231"/>
      <c r="L113" s="231"/>
    </row>
    <row r="114" spans="1:12" x14ac:dyDescent="0.2">
      <c r="A114" s="16" t="str">
        <f>IF(AND(U16List[[#This Row],[First &amp; Last Name]]="",U16List[[#This Row],[FISTF Code]]=""),"",ROW()-ROW($A$11))</f>
        <v/>
      </c>
      <c r="B114" s="232"/>
      <c r="C114" s="436"/>
      <c r="D114" s="421" t="str">
        <f>IF(U16List[[#This Row],[First &amp; Last Name]]="","",IFERROR(ISNUMBER(MATCH(U16List[[#This Row],[First &amp; Last Name]],Players[Player Name],0)),FALSE))</f>
        <v/>
      </c>
      <c r="E114" s="421" t="b">
        <f>IF(U16List[[#This Row],[FISTF Code]]="",FALSE,IFERROR(ISNUMBER(MATCH(U16List[[#This Row],[FISTF Code]],Players[FISTF Code],0)),FALSE))</f>
        <v>0</v>
      </c>
      <c r="F114" s="419" t="str">
        <f>IF(AND(U16List[[#This Row],[First &amp; Last Name]]="",U16List[[#This Row],[FISTF Code]]=""),"",IF(U16List[[#This Row],[Valide Code ?]],INDEX(Players[Player Name],MATCH(U16List[[#This Row],[FISTF Code]],Players[FISTF Code],0)),U16List[[#This Row],[First &amp; Last Name]]))</f>
        <v/>
      </c>
      <c r="G114" s="233" t="str">
        <f>IF(U16List[[#This Row],[Retained Player Name]]="","",VLOOKUP(U16List[[#This Row],[Retained Player Name]],Players[],7,FALSE))</f>
        <v/>
      </c>
      <c r="H114" s="235" t="str">
        <f>IF(U16List[[#This Row],[Retained Player Name]]="","",VLOOKUP(U16List[[#This Row],[Retained Player Name]],Players[],6,FALSE))</f>
        <v/>
      </c>
      <c r="I114" s="235" t="str">
        <f>IF(U16List[[#This Row],[Retained Player Name]]="","",VLOOKUP(U16List[[#This Row],[Retained Player Name]],Players[],4,FALSE))</f>
        <v/>
      </c>
      <c r="J11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4" s="231"/>
      <c r="L114" s="231"/>
    </row>
    <row r="115" spans="1:12" x14ac:dyDescent="0.2">
      <c r="A115" s="16" t="str">
        <f>IF(AND(U16List[[#This Row],[First &amp; Last Name]]="",U16List[[#This Row],[FISTF Code]]=""),"",ROW()-ROW($A$11))</f>
        <v/>
      </c>
      <c r="B115" s="232"/>
      <c r="C115" s="436"/>
      <c r="D115" s="421" t="str">
        <f>IF(U16List[[#This Row],[First &amp; Last Name]]="","",IFERROR(ISNUMBER(MATCH(U16List[[#This Row],[First &amp; Last Name]],Players[Player Name],0)),FALSE))</f>
        <v/>
      </c>
      <c r="E115" s="421" t="b">
        <f>IF(U16List[[#This Row],[FISTF Code]]="",FALSE,IFERROR(ISNUMBER(MATCH(U16List[[#This Row],[FISTF Code]],Players[FISTF Code],0)),FALSE))</f>
        <v>0</v>
      </c>
      <c r="F115" s="419" t="str">
        <f>IF(AND(U16List[[#This Row],[First &amp; Last Name]]="",U16List[[#This Row],[FISTF Code]]=""),"",IF(U16List[[#This Row],[Valide Code ?]],INDEX(Players[Player Name],MATCH(U16List[[#This Row],[FISTF Code]],Players[FISTF Code],0)),U16List[[#This Row],[First &amp; Last Name]]))</f>
        <v/>
      </c>
      <c r="G115" s="233" t="str">
        <f>IF(U16List[[#This Row],[Retained Player Name]]="","",VLOOKUP(U16List[[#This Row],[Retained Player Name]],Players[],7,FALSE))</f>
        <v/>
      </c>
      <c r="H115" s="235" t="str">
        <f>IF(U16List[[#This Row],[Retained Player Name]]="","",VLOOKUP(U16List[[#This Row],[Retained Player Name]],Players[],6,FALSE))</f>
        <v/>
      </c>
      <c r="I115" s="235" t="str">
        <f>IF(U16List[[#This Row],[Retained Player Name]]="","",VLOOKUP(U16List[[#This Row],[Retained Player Name]],Players[],4,FALSE))</f>
        <v/>
      </c>
      <c r="J11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5" s="231"/>
      <c r="L115" s="231"/>
    </row>
    <row r="116" spans="1:12" x14ac:dyDescent="0.2">
      <c r="A116" s="16" t="str">
        <f>IF(AND(U16List[[#This Row],[First &amp; Last Name]]="",U16List[[#This Row],[FISTF Code]]=""),"",ROW()-ROW($A$11))</f>
        <v/>
      </c>
      <c r="B116" s="232"/>
      <c r="C116" s="436"/>
      <c r="D116" s="421" t="str">
        <f>IF(U16List[[#This Row],[First &amp; Last Name]]="","",IFERROR(ISNUMBER(MATCH(U16List[[#This Row],[First &amp; Last Name]],Players[Player Name],0)),FALSE))</f>
        <v/>
      </c>
      <c r="E116" s="421" t="b">
        <f>IF(U16List[[#This Row],[FISTF Code]]="",FALSE,IFERROR(ISNUMBER(MATCH(U16List[[#This Row],[FISTF Code]],Players[FISTF Code],0)),FALSE))</f>
        <v>0</v>
      </c>
      <c r="F116" s="419" t="str">
        <f>IF(AND(U16List[[#This Row],[First &amp; Last Name]]="",U16List[[#This Row],[FISTF Code]]=""),"",IF(U16List[[#This Row],[Valide Code ?]],INDEX(Players[Player Name],MATCH(U16List[[#This Row],[FISTF Code]],Players[FISTF Code],0)),U16List[[#This Row],[First &amp; Last Name]]))</f>
        <v/>
      </c>
      <c r="G116" s="233" t="str">
        <f>IF(U16List[[#This Row],[Retained Player Name]]="","",VLOOKUP(U16List[[#This Row],[Retained Player Name]],Players[],7,FALSE))</f>
        <v/>
      </c>
      <c r="H116" s="235" t="str">
        <f>IF(U16List[[#This Row],[Retained Player Name]]="","",VLOOKUP(U16List[[#This Row],[Retained Player Name]],Players[],6,FALSE))</f>
        <v/>
      </c>
      <c r="I116" s="235" t="str">
        <f>IF(U16List[[#This Row],[Retained Player Name]]="","",VLOOKUP(U16List[[#This Row],[Retained Player Name]],Players[],4,FALSE))</f>
        <v/>
      </c>
      <c r="J11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6" s="231"/>
      <c r="L116" s="231"/>
    </row>
    <row r="117" spans="1:12" x14ac:dyDescent="0.2">
      <c r="A117" s="16" t="str">
        <f>IF(AND(U16List[[#This Row],[First &amp; Last Name]]="",U16List[[#This Row],[FISTF Code]]=""),"",ROW()-ROW($A$11))</f>
        <v/>
      </c>
      <c r="B117" s="232"/>
      <c r="C117" s="436"/>
      <c r="D117" s="421" t="str">
        <f>IF(U16List[[#This Row],[First &amp; Last Name]]="","",IFERROR(ISNUMBER(MATCH(U16List[[#This Row],[First &amp; Last Name]],Players[Player Name],0)),FALSE))</f>
        <v/>
      </c>
      <c r="E117" s="421" t="b">
        <f>IF(U16List[[#This Row],[FISTF Code]]="",FALSE,IFERROR(ISNUMBER(MATCH(U16List[[#This Row],[FISTF Code]],Players[FISTF Code],0)),FALSE))</f>
        <v>0</v>
      </c>
      <c r="F117" s="419" t="str">
        <f>IF(AND(U16List[[#This Row],[First &amp; Last Name]]="",U16List[[#This Row],[FISTF Code]]=""),"",IF(U16List[[#This Row],[Valide Code ?]],INDEX(Players[Player Name],MATCH(U16List[[#This Row],[FISTF Code]],Players[FISTF Code],0)),U16List[[#This Row],[First &amp; Last Name]]))</f>
        <v/>
      </c>
      <c r="G117" s="233" t="str">
        <f>IF(U16List[[#This Row],[Retained Player Name]]="","",VLOOKUP(U16List[[#This Row],[Retained Player Name]],Players[],7,FALSE))</f>
        <v/>
      </c>
      <c r="H117" s="235" t="str">
        <f>IF(U16List[[#This Row],[Retained Player Name]]="","",VLOOKUP(U16List[[#This Row],[Retained Player Name]],Players[],6,FALSE))</f>
        <v/>
      </c>
      <c r="I117" s="235" t="str">
        <f>IF(U16List[[#This Row],[Retained Player Name]]="","",VLOOKUP(U16List[[#This Row],[Retained Player Name]],Players[],4,FALSE))</f>
        <v/>
      </c>
      <c r="J11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7" s="231"/>
      <c r="L117" s="231"/>
    </row>
    <row r="118" spans="1:12" x14ac:dyDescent="0.2">
      <c r="A118" s="16" t="str">
        <f>IF(AND(U16List[[#This Row],[First &amp; Last Name]]="",U16List[[#This Row],[FISTF Code]]=""),"",ROW()-ROW($A$11))</f>
        <v/>
      </c>
      <c r="B118" s="232"/>
      <c r="C118" s="436"/>
      <c r="D118" s="421" t="str">
        <f>IF(U16List[[#This Row],[First &amp; Last Name]]="","",IFERROR(ISNUMBER(MATCH(U16List[[#This Row],[First &amp; Last Name]],Players[Player Name],0)),FALSE))</f>
        <v/>
      </c>
      <c r="E118" s="421" t="b">
        <f>IF(U16List[[#This Row],[FISTF Code]]="",FALSE,IFERROR(ISNUMBER(MATCH(U16List[[#This Row],[FISTF Code]],Players[FISTF Code],0)),FALSE))</f>
        <v>0</v>
      </c>
      <c r="F118" s="419" t="str">
        <f>IF(AND(U16List[[#This Row],[First &amp; Last Name]]="",U16List[[#This Row],[FISTF Code]]=""),"",IF(U16List[[#This Row],[Valide Code ?]],INDEX(Players[Player Name],MATCH(U16List[[#This Row],[FISTF Code]],Players[FISTF Code],0)),U16List[[#This Row],[First &amp; Last Name]]))</f>
        <v/>
      </c>
      <c r="G118" s="233" t="str">
        <f>IF(U16List[[#This Row],[Retained Player Name]]="","",VLOOKUP(U16List[[#This Row],[Retained Player Name]],Players[],7,FALSE))</f>
        <v/>
      </c>
      <c r="H118" s="235" t="str">
        <f>IF(U16List[[#This Row],[Retained Player Name]]="","",VLOOKUP(U16List[[#This Row],[Retained Player Name]],Players[],6,FALSE))</f>
        <v/>
      </c>
      <c r="I118" s="235" t="str">
        <f>IF(U16List[[#This Row],[Retained Player Name]]="","",VLOOKUP(U16List[[#This Row],[Retained Player Name]],Players[],4,FALSE))</f>
        <v/>
      </c>
      <c r="J11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8" s="231"/>
      <c r="L118" s="231"/>
    </row>
    <row r="119" spans="1:12" x14ac:dyDescent="0.2">
      <c r="A119" s="16" t="str">
        <f>IF(AND(U16List[[#This Row],[First &amp; Last Name]]="",U16List[[#This Row],[FISTF Code]]=""),"",ROW()-ROW($A$11))</f>
        <v/>
      </c>
      <c r="B119" s="232"/>
      <c r="C119" s="436"/>
      <c r="D119" s="421" t="str">
        <f>IF(U16List[[#This Row],[First &amp; Last Name]]="","",IFERROR(ISNUMBER(MATCH(U16List[[#This Row],[First &amp; Last Name]],Players[Player Name],0)),FALSE))</f>
        <v/>
      </c>
      <c r="E119" s="421" t="b">
        <f>IF(U16List[[#This Row],[FISTF Code]]="",FALSE,IFERROR(ISNUMBER(MATCH(U16List[[#This Row],[FISTF Code]],Players[FISTF Code],0)),FALSE))</f>
        <v>0</v>
      </c>
      <c r="F119" s="419" t="str">
        <f>IF(AND(U16List[[#This Row],[First &amp; Last Name]]="",U16List[[#This Row],[FISTF Code]]=""),"",IF(U16List[[#This Row],[Valide Code ?]],INDEX(Players[Player Name],MATCH(U16List[[#This Row],[FISTF Code]],Players[FISTF Code],0)),U16List[[#This Row],[First &amp; Last Name]]))</f>
        <v/>
      </c>
      <c r="G119" s="233" t="str">
        <f>IF(U16List[[#This Row],[Retained Player Name]]="","",VLOOKUP(U16List[[#This Row],[Retained Player Name]],Players[],7,FALSE))</f>
        <v/>
      </c>
      <c r="H119" s="235" t="str">
        <f>IF(U16List[[#This Row],[Retained Player Name]]="","",VLOOKUP(U16List[[#This Row],[Retained Player Name]],Players[],6,FALSE))</f>
        <v/>
      </c>
      <c r="I119" s="235" t="str">
        <f>IF(U16List[[#This Row],[Retained Player Name]]="","",VLOOKUP(U16List[[#This Row],[Retained Player Name]],Players[],4,FALSE))</f>
        <v/>
      </c>
      <c r="J11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9" s="231"/>
      <c r="L119" s="231"/>
    </row>
    <row r="120" spans="1:12" x14ac:dyDescent="0.2">
      <c r="A120" s="16" t="str">
        <f>IF(AND(U16List[[#This Row],[First &amp; Last Name]]="",U16List[[#This Row],[FISTF Code]]=""),"",ROW()-ROW($A$11))</f>
        <v/>
      </c>
      <c r="B120" s="232"/>
      <c r="C120" s="436"/>
      <c r="D120" s="421" t="str">
        <f>IF(U16List[[#This Row],[First &amp; Last Name]]="","",IFERROR(ISNUMBER(MATCH(U16List[[#This Row],[First &amp; Last Name]],Players[Player Name],0)),FALSE))</f>
        <v/>
      </c>
      <c r="E120" s="421" t="b">
        <f>IF(U16List[[#This Row],[FISTF Code]]="",FALSE,IFERROR(ISNUMBER(MATCH(U16List[[#This Row],[FISTF Code]],Players[FISTF Code],0)),FALSE))</f>
        <v>0</v>
      </c>
      <c r="F120" s="419" t="str">
        <f>IF(AND(U16List[[#This Row],[First &amp; Last Name]]="",U16List[[#This Row],[FISTF Code]]=""),"",IF(U16List[[#This Row],[Valide Code ?]],INDEX(Players[Player Name],MATCH(U16List[[#This Row],[FISTF Code]],Players[FISTF Code],0)),U16List[[#This Row],[First &amp; Last Name]]))</f>
        <v/>
      </c>
      <c r="G120" s="233" t="str">
        <f>IF(U16List[[#This Row],[Retained Player Name]]="","",VLOOKUP(U16List[[#This Row],[Retained Player Name]],Players[],7,FALSE))</f>
        <v/>
      </c>
      <c r="H120" s="235" t="str">
        <f>IF(U16List[[#This Row],[Retained Player Name]]="","",VLOOKUP(U16List[[#This Row],[Retained Player Name]],Players[],6,FALSE))</f>
        <v/>
      </c>
      <c r="I120" s="235" t="str">
        <f>IF(U16List[[#This Row],[Retained Player Name]]="","",VLOOKUP(U16List[[#This Row],[Retained Player Name]],Players[],4,FALSE))</f>
        <v/>
      </c>
      <c r="J12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0" s="231"/>
      <c r="L120" s="231"/>
    </row>
    <row r="121" spans="1:12" x14ac:dyDescent="0.2">
      <c r="A121" s="16" t="str">
        <f>IF(AND(U16List[[#This Row],[First &amp; Last Name]]="",U16List[[#This Row],[FISTF Code]]=""),"",ROW()-ROW($A$11))</f>
        <v/>
      </c>
      <c r="B121" s="232"/>
      <c r="C121" s="436"/>
      <c r="D121" s="421" t="str">
        <f>IF(U16List[[#This Row],[First &amp; Last Name]]="","",IFERROR(ISNUMBER(MATCH(U16List[[#This Row],[First &amp; Last Name]],Players[Player Name],0)),FALSE))</f>
        <v/>
      </c>
      <c r="E121" s="421" t="b">
        <f>IF(U16List[[#This Row],[FISTF Code]]="",FALSE,IFERROR(ISNUMBER(MATCH(U16List[[#This Row],[FISTF Code]],Players[FISTF Code],0)),FALSE))</f>
        <v>0</v>
      </c>
      <c r="F121" s="419" t="str">
        <f>IF(AND(U16List[[#This Row],[First &amp; Last Name]]="",U16List[[#This Row],[FISTF Code]]=""),"",IF(U16List[[#This Row],[Valide Code ?]],INDEX(Players[Player Name],MATCH(U16List[[#This Row],[FISTF Code]],Players[FISTF Code],0)),U16List[[#This Row],[First &amp; Last Name]]))</f>
        <v/>
      </c>
      <c r="G121" s="233" t="str">
        <f>IF(U16List[[#This Row],[Retained Player Name]]="","",VLOOKUP(U16List[[#This Row],[Retained Player Name]],Players[],7,FALSE))</f>
        <v/>
      </c>
      <c r="H121" s="235" t="str">
        <f>IF(U16List[[#This Row],[Retained Player Name]]="","",VLOOKUP(U16List[[#This Row],[Retained Player Name]],Players[],6,FALSE))</f>
        <v/>
      </c>
      <c r="I121" s="235" t="str">
        <f>IF(U16List[[#This Row],[Retained Player Name]]="","",VLOOKUP(U16List[[#This Row],[Retained Player Name]],Players[],4,FALSE))</f>
        <v/>
      </c>
      <c r="J12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1" s="231"/>
      <c r="L121" s="231"/>
    </row>
    <row r="122" spans="1:12" x14ac:dyDescent="0.2">
      <c r="A122" s="16" t="str">
        <f>IF(AND(U16List[[#This Row],[First &amp; Last Name]]="",U16List[[#This Row],[FISTF Code]]=""),"",ROW()-ROW($A$11))</f>
        <v/>
      </c>
      <c r="B122" s="232"/>
      <c r="C122" s="436"/>
      <c r="D122" s="421" t="str">
        <f>IF(U16List[[#This Row],[First &amp; Last Name]]="","",IFERROR(ISNUMBER(MATCH(U16List[[#This Row],[First &amp; Last Name]],Players[Player Name],0)),FALSE))</f>
        <v/>
      </c>
      <c r="E122" s="421" t="b">
        <f>IF(U16List[[#This Row],[FISTF Code]]="",FALSE,IFERROR(ISNUMBER(MATCH(U16List[[#This Row],[FISTF Code]],Players[FISTF Code],0)),FALSE))</f>
        <v>0</v>
      </c>
      <c r="F122" s="419" t="str">
        <f>IF(AND(U16List[[#This Row],[First &amp; Last Name]]="",U16List[[#This Row],[FISTF Code]]=""),"",IF(U16List[[#This Row],[Valide Code ?]],INDEX(Players[Player Name],MATCH(U16List[[#This Row],[FISTF Code]],Players[FISTF Code],0)),U16List[[#This Row],[First &amp; Last Name]]))</f>
        <v/>
      </c>
      <c r="G122" s="233" t="str">
        <f>IF(U16List[[#This Row],[Retained Player Name]]="","",VLOOKUP(U16List[[#This Row],[Retained Player Name]],Players[],7,FALSE))</f>
        <v/>
      </c>
      <c r="H122" s="235" t="str">
        <f>IF(U16List[[#This Row],[Retained Player Name]]="","",VLOOKUP(U16List[[#This Row],[Retained Player Name]],Players[],6,FALSE))</f>
        <v/>
      </c>
      <c r="I122" s="235" t="str">
        <f>IF(U16List[[#This Row],[Retained Player Name]]="","",VLOOKUP(U16List[[#This Row],[Retained Player Name]],Players[],4,FALSE))</f>
        <v/>
      </c>
      <c r="J12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2" s="231"/>
      <c r="L122" s="231"/>
    </row>
    <row r="123" spans="1:12" x14ac:dyDescent="0.2">
      <c r="A123" s="16" t="str">
        <f>IF(AND(U16List[[#This Row],[First &amp; Last Name]]="",U16List[[#This Row],[FISTF Code]]=""),"",ROW()-ROW($A$11))</f>
        <v/>
      </c>
      <c r="B123" s="232"/>
      <c r="C123" s="436"/>
      <c r="D123" s="421" t="str">
        <f>IF(U16List[[#This Row],[First &amp; Last Name]]="","",IFERROR(ISNUMBER(MATCH(U16List[[#This Row],[First &amp; Last Name]],Players[Player Name],0)),FALSE))</f>
        <v/>
      </c>
      <c r="E123" s="421" t="b">
        <f>IF(U16List[[#This Row],[FISTF Code]]="",FALSE,IFERROR(ISNUMBER(MATCH(U16List[[#This Row],[FISTF Code]],Players[FISTF Code],0)),FALSE))</f>
        <v>0</v>
      </c>
      <c r="F123" s="419" t="str">
        <f>IF(AND(U16List[[#This Row],[First &amp; Last Name]]="",U16List[[#This Row],[FISTF Code]]=""),"",IF(U16List[[#This Row],[Valide Code ?]],INDEX(Players[Player Name],MATCH(U16List[[#This Row],[FISTF Code]],Players[FISTF Code],0)),U16List[[#This Row],[First &amp; Last Name]]))</f>
        <v/>
      </c>
      <c r="G123" s="233" t="str">
        <f>IF(U16List[[#This Row],[Retained Player Name]]="","",VLOOKUP(U16List[[#This Row],[Retained Player Name]],Players[],7,FALSE))</f>
        <v/>
      </c>
      <c r="H123" s="235" t="str">
        <f>IF(U16List[[#This Row],[Retained Player Name]]="","",VLOOKUP(U16List[[#This Row],[Retained Player Name]],Players[],6,FALSE))</f>
        <v/>
      </c>
      <c r="I123" s="235" t="str">
        <f>IF(U16List[[#This Row],[Retained Player Name]]="","",VLOOKUP(U16List[[#This Row],[Retained Player Name]],Players[],4,FALSE))</f>
        <v/>
      </c>
      <c r="J12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3" s="231"/>
      <c r="L123" s="231"/>
    </row>
    <row r="124" spans="1:12" x14ac:dyDescent="0.2">
      <c r="A124" s="19" t="str">
        <f>IF(AND(U16List[[#This Row],[First &amp; Last Name]]="",U16List[[#This Row],[FISTF Code]]=""),"",ROW()-ROW($A$11))</f>
        <v/>
      </c>
      <c r="B124" s="232"/>
      <c r="C124" s="436"/>
      <c r="D124" s="421" t="str">
        <f>IF(U16List[[#This Row],[First &amp; Last Name]]="","",IFERROR(ISNUMBER(MATCH(U16List[[#This Row],[First &amp; Last Name]],Players[Player Name],0)),FALSE))</f>
        <v/>
      </c>
      <c r="E124" s="421" t="b">
        <f>IF(U16List[[#This Row],[FISTF Code]]="",FALSE,IFERROR(ISNUMBER(MATCH(U16List[[#This Row],[FISTF Code]],Players[FISTF Code],0)),FALSE))</f>
        <v>0</v>
      </c>
      <c r="F124" s="419" t="str">
        <f>IF(AND(U16List[[#This Row],[First &amp; Last Name]]="",U16List[[#This Row],[FISTF Code]]=""),"",IF(U16List[[#This Row],[Valide Code ?]],INDEX(Players[Player Name],MATCH(U16List[[#This Row],[FISTF Code]],Players[FISTF Code],0)),U16List[[#This Row],[First &amp; Last Name]]))</f>
        <v/>
      </c>
      <c r="G124" s="233" t="str">
        <f>IF(U16List[[#This Row],[Retained Player Name]]="","",VLOOKUP(U16List[[#This Row],[Retained Player Name]],Players[],7,FALSE))</f>
        <v/>
      </c>
      <c r="H124" s="235" t="str">
        <f>IF(U16List[[#This Row],[Retained Player Name]]="","",VLOOKUP(U16List[[#This Row],[Retained Player Name]],Players[],6,FALSE))</f>
        <v/>
      </c>
      <c r="I124" s="235" t="str">
        <f>IF(U16List[[#This Row],[Retained Player Name]]="","",VLOOKUP(U16List[[#This Row],[Retained Player Name]],Players[],4,FALSE))</f>
        <v/>
      </c>
      <c r="J12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4" s="231"/>
      <c r="L124" s="231"/>
    </row>
    <row r="125" spans="1:12" x14ac:dyDescent="0.2">
      <c r="A125" s="19" t="str">
        <f>IF(AND(U16List[[#This Row],[First &amp; Last Name]]="",U16List[[#This Row],[FISTF Code]]=""),"",ROW()-ROW($A$11))</f>
        <v/>
      </c>
      <c r="B125" s="232"/>
      <c r="C125" s="436"/>
      <c r="D125" s="421" t="str">
        <f>IF(U16List[[#This Row],[First &amp; Last Name]]="","",IFERROR(ISNUMBER(MATCH(U16List[[#This Row],[First &amp; Last Name]],Players[Player Name],0)),FALSE))</f>
        <v/>
      </c>
      <c r="E125" s="421" t="b">
        <f>IF(U16List[[#This Row],[FISTF Code]]="",FALSE,IFERROR(ISNUMBER(MATCH(U16List[[#This Row],[FISTF Code]],Players[FISTF Code],0)),FALSE))</f>
        <v>0</v>
      </c>
      <c r="F125" s="419" t="str">
        <f>IF(AND(U16List[[#This Row],[First &amp; Last Name]]="",U16List[[#This Row],[FISTF Code]]=""),"",IF(U16List[[#This Row],[Valide Code ?]],INDEX(Players[Player Name],MATCH(U16List[[#This Row],[FISTF Code]],Players[FISTF Code],0)),U16List[[#This Row],[First &amp; Last Name]]))</f>
        <v/>
      </c>
      <c r="G125" s="233" t="str">
        <f>IF(U16List[[#This Row],[Retained Player Name]]="","",VLOOKUP(U16List[[#This Row],[Retained Player Name]],Players[],7,FALSE))</f>
        <v/>
      </c>
      <c r="H125" s="235" t="str">
        <f>IF(U16List[[#This Row],[Retained Player Name]]="","",VLOOKUP(U16List[[#This Row],[Retained Player Name]],Players[],6,FALSE))</f>
        <v/>
      </c>
      <c r="I125" s="235" t="str">
        <f>IF(U16List[[#This Row],[Retained Player Name]]="","",VLOOKUP(U16List[[#This Row],[Retained Player Name]],Players[],4,FALSE))</f>
        <v/>
      </c>
      <c r="J12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5" s="231"/>
      <c r="L125" s="231"/>
    </row>
    <row r="126" spans="1:12" x14ac:dyDescent="0.2">
      <c r="A126" s="10"/>
    </row>
  </sheetData>
  <sheetProtection algorithmName="SHA-512" hashValue="7y5AFobmBNVIwl8z2Dc9g2Dp9eDx9rW1A/dDzux3aHcuPJIB6YmAVcJu/YbCsVZm3fYK+9HlTg6ZB37f9ctvHw==" saltValue="5nDJ8cR9/us3rFjx5EiEPw==" spinCount="100000" sheet="1" objects="1" scenarios="1" formatCells="0" formatColumns="0" formatRows="0" selectLockedCells="1" sort="0" autoFilter="0" pivotTables="0"/>
  <conditionalFormatting sqref="A6:A9">
    <cfRule type="expression" dxfId="82" priority="11">
      <formula>$K6="Withdraw"</formula>
    </cfRule>
  </conditionalFormatting>
  <conditionalFormatting sqref="A24:B125 A12:A23 D12:J125">
    <cfRule type="expression" dxfId="81" priority="15">
      <formula>$K12&lt;&gt;""</formula>
    </cfRule>
  </conditionalFormatting>
  <conditionalFormatting sqref="B12:B23">
    <cfRule type="expression" dxfId="80" priority="4">
      <formula>$K12&lt;&gt;""</formula>
    </cfRule>
  </conditionalFormatting>
  <conditionalFormatting sqref="B12:B125">
    <cfRule type="expression" dxfId="79" priority="1">
      <formula>AND(NOT(ISBLANK(B12)),NOT(D12))</formula>
    </cfRule>
    <cfRule type="expression" dxfId="78" priority="2">
      <formula>AND($B12&lt;&gt;"",$B12&lt;&gt;$F12)</formula>
    </cfRule>
    <cfRule type="expression" dxfId="77" priority="3">
      <formula>D12</formula>
    </cfRule>
  </conditionalFormatting>
  <conditionalFormatting sqref="C12:C125">
    <cfRule type="expression" dxfId="76" priority="5">
      <formula>AND(E12,C12&lt;&gt;"")</formula>
    </cfRule>
    <cfRule type="expression" dxfId="75" priority="6">
      <formula>AND(NOT(ISBLANK(C12)),NOT(E12))</formula>
    </cfRule>
    <cfRule type="expression" dxfId="74" priority="7">
      <formula>$K12&lt;&gt;""</formula>
    </cfRule>
  </conditionalFormatting>
  <conditionalFormatting sqref="G6:G9">
    <cfRule type="expression" dxfId="73" priority="10">
      <formula>$K6="Withdraw"</formula>
    </cfRule>
  </conditionalFormatting>
  <conditionalFormatting sqref="G12:J125">
    <cfRule type="expression" dxfId="72" priority="16">
      <formula>NOT(_xlfn.ISFORMULA(G12))</formula>
    </cfRule>
  </conditionalFormatting>
  <conditionalFormatting sqref="J6:J9">
    <cfRule type="expression" dxfId="71" priority="9">
      <formula>$K6="Withdraw"</formula>
    </cfRule>
  </conditionalFormatting>
  <dataValidations count="3">
    <dataValidation type="list" allowBlank="1" showInputMessage="1" showErrorMessage="1" sqref="K12:K125" xr:uid="{F119C638-3F5E-4B23-B7C4-2B73557DB746}">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857F50EF-D30A-4AF8-8BFF-D6E024B122B6}">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B073B2E1-8DF4-472D-8550-FC0F9D5DD762}">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5C77-BB24-4C41-A34E-FC0011D792EB}">
  <sheetPr codeName="Feuil22">
    <tabColor rgb="FF66FFFF"/>
    <pageSetUpPr fitToPage="1"/>
  </sheetPr>
  <dimension ref="A1:M126"/>
  <sheetViews>
    <sheetView showGridLines="0" topLeftCell="A9" zoomScaleNormal="100" zoomScaleSheetLayoutView="85" workbookViewId="0">
      <selection activeCell="K20" sqref="K20"/>
    </sheetView>
  </sheetViews>
  <sheetFormatPr defaultColWidth="0" defaultRowHeight="12.75" zeroHeight="1" x14ac:dyDescent="0.2"/>
  <cols>
    <col min="1" max="1" width="4.85546875" style="9" bestFit="1" customWidth="1"/>
    <col min="2" max="2" width="23.7109375" style="7" customWidth="1"/>
    <col min="3" max="3" width="13.5703125" style="7" customWidth="1"/>
    <col min="4" max="4" width="13.42578125" style="7" hidden="1" customWidth="1"/>
    <col min="5" max="5" width="14.140625" style="7" hidden="1" customWidth="1"/>
    <col min="6" max="6" width="23.7109375" style="7" customWidth="1"/>
    <col min="7" max="7" width="8.42578125" style="9" bestFit="1" customWidth="1"/>
    <col min="8" max="8" width="25.85546875" style="9" customWidth="1"/>
    <col min="9" max="9" width="12.140625" style="9" customWidth="1"/>
    <col min="10" max="10" width="11.85546875" style="7" customWidth="1"/>
    <col min="11" max="11" width="12.28515625" style="7" customWidth="1"/>
    <col min="12" max="12" width="26.28515625" style="7" customWidth="1"/>
    <col min="13" max="13" width="4.5703125" style="7" customWidth="1"/>
    <col min="14" max="16384" width="4" style="7" hidden="1"/>
  </cols>
  <sheetData>
    <row r="1" spans="1:13" s="226" customFormat="1" ht="102" x14ac:dyDescent="0.2">
      <c r="A1" s="221" t="s">
        <v>13177</v>
      </c>
      <c r="B1" s="221"/>
      <c r="C1" s="221"/>
      <c r="D1" s="221"/>
      <c r="E1" s="221"/>
      <c r="F1" s="221"/>
      <c r="G1" s="222"/>
      <c r="H1" s="223"/>
      <c r="I1" s="224"/>
      <c r="J1" s="225"/>
      <c r="K1" s="225"/>
      <c r="L1" s="225"/>
    </row>
    <row r="2" spans="1:13" s="226" customFormat="1" ht="18.75" thickBot="1" x14ac:dyDescent="0.3">
      <c r="A2" s="227" t="s">
        <v>13178</v>
      </c>
      <c r="B2" s="227"/>
      <c r="C2" s="227"/>
      <c r="D2" s="227"/>
      <c r="E2" s="227"/>
      <c r="F2" s="227"/>
      <c r="G2" s="228"/>
      <c r="H2" s="228"/>
      <c r="I2" s="229"/>
      <c r="J2" s="225"/>
      <c r="K2" s="225"/>
      <c r="L2" s="225"/>
    </row>
    <row r="3" spans="1:13" s="226" customFormat="1" ht="18" x14ac:dyDescent="0.25">
      <c r="A3" s="429" t="s">
        <v>13161</v>
      </c>
      <c r="B3" s="424"/>
      <c r="C3" s="424"/>
      <c r="D3" s="424"/>
      <c r="E3" s="424"/>
      <c r="F3" s="424"/>
      <c r="G3" s="425"/>
      <c r="H3" s="425"/>
      <c r="I3" s="425"/>
      <c r="J3" s="426"/>
      <c r="K3" s="426"/>
      <c r="L3" s="427"/>
    </row>
    <row r="4" spans="1:13" s="226" customFormat="1" ht="18" x14ac:dyDescent="0.25">
      <c r="A4" s="456"/>
      <c r="B4" s="453" t="s">
        <v>13167</v>
      </c>
      <c r="C4" s="443"/>
      <c r="D4" s="443"/>
      <c r="E4" s="443"/>
      <c r="F4" s="443"/>
      <c r="G4" s="444"/>
      <c r="H4" s="453" t="s">
        <v>13168</v>
      </c>
      <c r="I4" s="444"/>
      <c r="L4" s="442"/>
    </row>
    <row r="5" spans="1:13" s="435" customFormat="1" ht="11.25" x14ac:dyDescent="0.2">
      <c r="A5" s="457" t="s">
        <v>6</v>
      </c>
      <c r="B5" s="418" t="s">
        <v>7</v>
      </c>
      <c r="C5" s="418" t="s">
        <v>12</v>
      </c>
      <c r="D5" s="432"/>
      <c r="E5" s="432"/>
      <c r="F5" s="432"/>
      <c r="G5" s="417" t="s">
        <v>6</v>
      </c>
      <c r="H5" s="418" t="s">
        <v>7</v>
      </c>
      <c r="I5" s="418" t="s">
        <v>12</v>
      </c>
      <c r="J5" s="418" t="s">
        <v>13160</v>
      </c>
      <c r="K5" s="433"/>
      <c r="L5" s="434"/>
    </row>
    <row r="6" spans="1:13" s="226" customFormat="1" x14ac:dyDescent="0.2">
      <c r="A6" s="458">
        <v>1</v>
      </c>
      <c r="B6" s="446" t="s">
        <v>13164</v>
      </c>
      <c r="C6" s="447"/>
      <c r="D6" s="423"/>
      <c r="E6" s="423"/>
      <c r="F6" s="423"/>
      <c r="G6" s="445">
        <v>1</v>
      </c>
      <c r="H6" s="446" t="s">
        <v>13165</v>
      </c>
      <c r="I6" s="466" t="s">
        <v>13159</v>
      </c>
      <c r="J6" s="448" t="s">
        <v>13165</v>
      </c>
      <c r="K6" s="430"/>
      <c r="L6" s="431"/>
    </row>
    <row r="7" spans="1:13" s="226" customFormat="1" x14ac:dyDescent="0.2">
      <c r="A7" s="458">
        <v>2</v>
      </c>
      <c r="B7" s="449" t="s">
        <v>13163</v>
      </c>
      <c r="C7" s="450"/>
      <c r="D7" s="423"/>
      <c r="E7" s="423"/>
      <c r="F7" s="423"/>
      <c r="G7" s="445">
        <v>2</v>
      </c>
      <c r="H7" s="449" t="s">
        <v>13163</v>
      </c>
      <c r="I7" s="467" t="s">
        <v>13159</v>
      </c>
      <c r="J7" s="448" t="s">
        <v>13165</v>
      </c>
      <c r="K7" s="430"/>
      <c r="L7" s="431"/>
    </row>
    <row r="8" spans="1:13" s="226" customFormat="1" ht="25.5" x14ac:dyDescent="0.2">
      <c r="A8" s="458">
        <v>3</v>
      </c>
      <c r="B8" s="447"/>
      <c r="C8" s="449" t="s">
        <v>13162</v>
      </c>
      <c r="D8" s="423"/>
      <c r="E8" s="423"/>
      <c r="F8" s="423"/>
      <c r="G8" s="445">
        <v>3</v>
      </c>
      <c r="H8" s="451" t="s">
        <v>13166</v>
      </c>
      <c r="I8" s="466" t="s">
        <v>13159</v>
      </c>
      <c r="J8" s="452" t="s">
        <v>13165</v>
      </c>
      <c r="K8" s="430"/>
      <c r="L8" s="431"/>
    </row>
    <row r="9" spans="1:13" s="226" customFormat="1" ht="26.25" thickBot="1" x14ac:dyDescent="0.25">
      <c r="A9" s="459">
        <v>4</v>
      </c>
      <c r="B9" s="460"/>
      <c r="C9" s="461" t="s">
        <v>13169</v>
      </c>
      <c r="D9" s="428"/>
      <c r="E9" s="428"/>
      <c r="F9" s="428"/>
      <c r="G9" s="462" t="str">
        <f t="shared" ref="G9" si="0">IF(H9="","",ROW()-ROW(G8))</f>
        <v/>
      </c>
      <c r="H9" s="460"/>
      <c r="I9" s="460"/>
      <c r="J9" s="463"/>
      <c r="K9" s="464"/>
      <c r="L9" s="465"/>
    </row>
    <row r="10" spans="1:13" ht="34.5" customHeight="1" x14ac:dyDescent="0.4">
      <c r="A10" s="454" t="s">
        <v>12291</v>
      </c>
      <c r="B10" s="455"/>
      <c r="C10" s="455"/>
      <c r="D10" s="455"/>
      <c r="E10" s="455"/>
      <c r="F10" s="455"/>
      <c r="G10" s="455"/>
      <c r="H10" s="455"/>
      <c r="I10" s="455"/>
      <c r="J10" s="455"/>
      <c r="K10" s="455"/>
      <c r="L10" s="455" t="s">
        <v>1177</v>
      </c>
    </row>
    <row r="11" spans="1:13" s="8" customFormat="1" ht="22.5" x14ac:dyDescent="0.2">
      <c r="A11" s="438" t="s">
        <v>6</v>
      </c>
      <c r="B11" s="439" t="s">
        <v>7</v>
      </c>
      <c r="C11" s="438" t="s">
        <v>12</v>
      </c>
      <c r="D11" s="438" t="s">
        <v>13157</v>
      </c>
      <c r="E11" s="438" t="s">
        <v>13158</v>
      </c>
      <c r="F11" s="439" t="s">
        <v>13160</v>
      </c>
      <c r="G11" s="438" t="s">
        <v>8</v>
      </c>
      <c r="H11" s="439" t="s">
        <v>9</v>
      </c>
      <c r="I11" s="440" t="s">
        <v>13156</v>
      </c>
      <c r="J11" s="440" t="s">
        <v>12285</v>
      </c>
      <c r="K11" s="440" t="s">
        <v>10890</v>
      </c>
      <c r="L11" s="441" t="s">
        <v>10891</v>
      </c>
      <c r="M11" s="7"/>
    </row>
    <row r="12" spans="1:13" s="8" customFormat="1" ht="12.75" customHeight="1" x14ac:dyDescent="0.2">
      <c r="A12" s="16">
        <f>IF(AND(U12List[[#This Row],[First &amp; Last Name]]="",U12List[[#This Row],[FISTF Code]]=""),"",ROW()-ROW($A$11))</f>
        <v>1</v>
      </c>
      <c r="B12" s="232" t="s">
        <v>11636</v>
      </c>
      <c r="C12" s="436"/>
      <c r="D12" s="421" t="b">
        <f>IF(U12List[[#This Row],[First &amp; Last Name]]="","",IFERROR(ISNUMBER(MATCH(U12List[[#This Row],[First &amp; Last Name]],Players[Player Name],0)),FALSE))</f>
        <v>1</v>
      </c>
      <c r="E12" s="421" t="b">
        <f>IF(U12List[[#This Row],[FISTF Code]]="",FALSE,IFERROR(ISNUMBER(MATCH(U12List[[#This Row],[FISTF Code]],Players[FISTF Code],0)),FALSE))</f>
        <v>0</v>
      </c>
      <c r="F12" s="419" t="str">
        <f>IF(AND(U12List[[#This Row],[First &amp; Last Name]]="",U12List[[#This Row],[FISTF Code]]=""),"",IF(U12List[[#This Row],[Valide Code ?]],INDEX(Players[Player Name],MATCH(U12List[[#This Row],[FISTF Code]],Players[FISTF Code],0)),U12List[[#This Row],[First &amp; Last Name]]))</f>
        <v>Max Pereira</v>
      </c>
      <c r="G12" s="233" t="str">
        <f>IF(U12List[[#This Row],[Retained Player Name]]="","",VLOOKUP(U12List[[#This Row],[Retained Player Name]],Players[],7,FALSE))</f>
        <v>ENG</v>
      </c>
      <c r="H12" s="233" t="str">
        <f>IF(U12List[[#This Row],[Retained Player Name]]="","",VLOOKUP(U12List[[#This Row],[Retained Player Name]],Players[],6,FALSE))</f>
        <v>Kent Invicta TFC</v>
      </c>
      <c r="I12" s="234" t="str">
        <f>IF(U12List[[#This Row],[Retained Player Name]]="","",VLOOKUP(U12List[[#This Row],[Retained Player Name]],Players[],4,FALSE))</f>
        <v>ENG0503</v>
      </c>
      <c r="J12"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W</v>
      </c>
      <c r="K12" s="230"/>
      <c r="L12" s="230"/>
      <c r="M12" s="7"/>
    </row>
    <row r="13" spans="1:13" s="8" customFormat="1" ht="12.75" customHeight="1" x14ac:dyDescent="0.2">
      <c r="A13" s="16">
        <f>IF(AND(U12List[[#This Row],[First &amp; Last Name]]="",U12List[[#This Row],[FISTF Code]]=""),"",ROW()-ROW($A$11))</f>
        <v>2</v>
      </c>
      <c r="B13" s="232" t="s">
        <v>10341</v>
      </c>
      <c r="C13" s="436"/>
      <c r="D13" s="421" t="b">
        <f>IF(U12List[[#This Row],[First &amp; Last Name]]="","",IFERROR(ISNUMBER(MATCH(U12List[[#This Row],[First &amp; Last Name]],Players[Player Name],0)),FALSE))</f>
        <v>1</v>
      </c>
      <c r="E13" s="421" t="b">
        <f>IF(U12List[[#This Row],[FISTF Code]]="",FALSE,IFERROR(ISNUMBER(MATCH(U12List[[#This Row],[FISTF Code]],Players[FISTF Code],0)),FALSE))</f>
        <v>0</v>
      </c>
      <c r="F13" s="419" t="str">
        <f>IF(AND(U12List[[#This Row],[First &amp; Last Name]]="",U12List[[#This Row],[FISTF Code]]=""),"",IF(U12List[[#This Row],[Valide Code ?]],INDEX(Players[Player Name],MATCH(U12List[[#This Row],[FISTF Code]],Players[FISTF Code],0)),U12List[[#This Row],[First &amp; Last Name]]))</f>
        <v>Davide Balito</v>
      </c>
      <c r="G13" s="233" t="str">
        <f>IF(U12List[[#This Row],[Retained Player Name]]="","",VLOOKUP(U12List[[#This Row],[Retained Player Name]],Players[],7,FALSE))</f>
        <v>ITA</v>
      </c>
      <c r="H13" s="233" t="str">
        <f>IF(U12List[[#This Row],[Retained Player Name]]="","",VLOOKUP(U12List[[#This Row],[Retained Player Name]],Players[],6,FALSE))</f>
        <v>Rebels Genova</v>
      </c>
      <c r="I13" s="234" t="str">
        <f>IF(U12List[[#This Row],[Retained Player Name]]="","",VLOOKUP(U12List[[#This Row],[Retained Player Name]],Players[],4,FALSE))</f>
        <v>ITA3112</v>
      </c>
      <c r="J13"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R</v>
      </c>
      <c r="K13" s="230"/>
      <c r="L13" s="230"/>
      <c r="M13" s="7"/>
    </row>
    <row r="14" spans="1:13" s="8" customFormat="1" ht="12.75" customHeight="1" x14ac:dyDescent="0.2">
      <c r="A14" s="16">
        <f>IF(AND(U12List[[#This Row],[First &amp; Last Name]]="",U12List[[#This Row],[FISTF Code]]=""),"",ROW()-ROW($A$11))</f>
        <v>3</v>
      </c>
      <c r="B14" s="232" t="s">
        <v>13342</v>
      </c>
      <c r="C14" s="436"/>
      <c r="D14" s="421" t="b">
        <f>IF(U12List[[#This Row],[First &amp; Last Name]]="","",IFERROR(ISNUMBER(MATCH(U12List[[#This Row],[First &amp; Last Name]],Players[Player Name],0)),FALSE))</f>
        <v>1</v>
      </c>
      <c r="E14" s="421" t="b">
        <f>IF(U12List[[#This Row],[FISTF Code]]="",FALSE,IFERROR(ISNUMBER(MATCH(U12List[[#This Row],[FISTF Code]],Players[FISTF Code],0)),FALSE))</f>
        <v>0</v>
      </c>
      <c r="F14" s="419" t="str">
        <f>IF(AND(U12List[[#This Row],[First &amp; Last Name]]="",U12List[[#This Row],[FISTF Code]]=""),"",IF(U12List[[#This Row],[Valide Code ?]],INDEX(Players[Player Name],MATCH(U12List[[#This Row],[FISTF Code]],Players[FISTF Code],0)),U12List[[#This Row],[First &amp; Last Name]]))</f>
        <v>Alberto Baratucci</v>
      </c>
      <c r="G14" s="233" t="str">
        <f>IF(U12List[[#This Row],[Retained Player Name]]="","",VLOOKUP(U12List[[#This Row],[Retained Player Name]],Players[],7,FALSE))</f>
        <v>ITA</v>
      </c>
      <c r="H14" s="233" t="str">
        <f>IF(U12List[[#This Row],[Retained Player Name]]="","",VLOOKUP(U12List[[#This Row],[Retained Player Name]],Players[],6,FALSE))</f>
        <v>SC Abruzzo Ves Gentes</v>
      </c>
      <c r="I14" s="234" t="str">
        <f>IF(U12List[[#This Row],[Retained Player Name]]="","",VLOOKUP(U12List[[#This Row],[Retained Player Name]],Players[],4,FALSE))</f>
        <v>ITA3278</v>
      </c>
      <c r="J14"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S</v>
      </c>
      <c r="K14" s="230"/>
      <c r="L14" s="230"/>
      <c r="M14" s="7"/>
    </row>
    <row r="15" spans="1:13" s="8" customFormat="1" ht="12.75" customHeight="1" x14ac:dyDescent="0.2">
      <c r="A15" s="16">
        <f>IF(AND(U12List[[#This Row],[First &amp; Last Name]]="",U12List[[#This Row],[FISTF Code]]=""),"",ROW()-ROW($A$11))</f>
        <v>4</v>
      </c>
      <c r="B15" s="232" t="s">
        <v>8196</v>
      </c>
      <c r="C15" s="436"/>
      <c r="D15" s="421" t="b">
        <f>IF(U12List[[#This Row],[First &amp; Last Name]]="","",IFERROR(ISNUMBER(MATCH(U12List[[#This Row],[First &amp; Last Name]],Players[Player Name],0)),FALSE))</f>
        <v>1</v>
      </c>
      <c r="E15" s="421" t="b">
        <f>IF(U12List[[#This Row],[FISTF Code]]="",FALSE,IFERROR(ISNUMBER(MATCH(U12List[[#This Row],[FISTF Code]],Players[FISTF Code],0)),FALSE))</f>
        <v>0</v>
      </c>
      <c r="F15" s="419" t="str">
        <f>IF(AND(U12List[[#This Row],[First &amp; Last Name]]="",U12List[[#This Row],[FISTF Code]]=""),"",IF(U12List[[#This Row],[Valide Code ?]],INDEX(Players[Player Name],MATCH(U12List[[#This Row],[FISTF Code]],Players[FISTF Code],0)),U12List[[#This Row],[First &amp; Last Name]]))</f>
        <v>Mael Denne</v>
      </c>
      <c r="G15" s="233" t="str">
        <f>IF(U12List[[#This Row],[Retained Player Name]]="","",VLOOKUP(U12List[[#This Row],[Retained Player Name]],Players[],7,FALSE))</f>
        <v>BEL</v>
      </c>
      <c r="H15" s="233" t="str">
        <f>IF(U12List[[#This Row],[Retained Player Name]]="","",VLOOKUP(U12List[[#This Row],[Retained Player Name]],Players[],6,FALSE))</f>
        <v>SC Lion's Eugies</v>
      </c>
      <c r="I15" s="234" t="str">
        <f>IF(U12List[[#This Row],[Retained Player Name]]="","",VLOOKUP(U12List[[#This Row],[Retained Player Name]],Players[],4,FALSE))</f>
        <v>BEL0448</v>
      </c>
      <c r="J15"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L16</v>
      </c>
      <c r="K15" s="230"/>
      <c r="L15" s="230"/>
      <c r="M15" s="7"/>
    </row>
    <row r="16" spans="1:13" s="8" customFormat="1" ht="12.75" customHeight="1" x14ac:dyDescent="0.2">
      <c r="A16" s="16">
        <f>IF(AND(U12List[[#This Row],[First &amp; Last Name]]="",U12List[[#This Row],[FISTF Code]]=""),"",ROW()-ROW($A$11))</f>
        <v>5</v>
      </c>
      <c r="B16" s="232" t="s">
        <v>10007</v>
      </c>
      <c r="C16" s="436"/>
      <c r="D16" s="421" t="b">
        <f>IF(U12List[[#This Row],[First &amp; Last Name]]="","",IFERROR(ISNUMBER(MATCH(U12List[[#This Row],[First &amp; Last Name]],Players[Player Name],0)),FALSE))</f>
        <v>1</v>
      </c>
      <c r="E16" s="421" t="b">
        <f>IF(U12List[[#This Row],[FISTF Code]]="",FALSE,IFERROR(ISNUMBER(MATCH(U12List[[#This Row],[FISTF Code]],Players[FISTF Code],0)),FALSE))</f>
        <v>0</v>
      </c>
      <c r="F16" s="419" t="str">
        <f>IF(AND(U12List[[#This Row],[First &amp; Last Name]]="",U12List[[#This Row],[FISTF Code]]=""),"",IF(U12List[[#This Row],[Valide Code ?]],INDEX(Players[Player Name],MATCH(U12List[[#This Row],[FISTF Code]],Players[FISTF Code],0)),U12List[[#This Row],[First &amp; Last Name]]))</f>
        <v>Alessandro Gandin</v>
      </c>
      <c r="G16" s="233" t="str">
        <f>IF(U12List[[#This Row],[Retained Player Name]]="","",VLOOKUP(U12List[[#This Row],[Retained Player Name]],Players[],7,FALSE))</f>
        <v>ITA</v>
      </c>
      <c r="H16" s="233" t="str">
        <f>IF(U12List[[#This Row],[Retained Player Name]]="","",VLOOKUP(U12List[[#This Row],[Retained Player Name]],Players[],6,FALSE))</f>
        <v>Rebels Genova</v>
      </c>
      <c r="I16" s="234" t="str">
        <f>IF(U12List[[#This Row],[Retained Player Name]]="","",VLOOKUP(U12List[[#This Row],[Retained Player Name]],Players[],4,FALSE))</f>
        <v>ITA3098</v>
      </c>
      <c r="J16"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S</v>
      </c>
      <c r="K16" s="230"/>
      <c r="L16" s="230"/>
      <c r="M16" s="7"/>
    </row>
    <row r="17" spans="1:13" s="8" customFormat="1" ht="12.75" customHeight="1" x14ac:dyDescent="0.2">
      <c r="A17" s="16">
        <f>IF(AND(U12List[[#This Row],[First &amp; Last Name]]="",U12List[[#This Row],[FISTF Code]]=""),"",ROW()-ROW($A$11))</f>
        <v>6</v>
      </c>
      <c r="B17" s="232" t="s">
        <v>13227</v>
      </c>
      <c r="C17" s="436"/>
      <c r="D17" s="421" t="b">
        <f>IF(U12List[[#This Row],[First &amp; Last Name]]="","",IFERROR(ISNUMBER(MATCH(U12List[[#This Row],[First &amp; Last Name]],Players[Player Name],0)),FALSE))</f>
        <v>1</v>
      </c>
      <c r="E17" s="421" t="b">
        <f>IF(U12List[[#This Row],[FISTF Code]]="",FALSE,IFERROR(ISNUMBER(MATCH(U12List[[#This Row],[FISTF Code]],Players[FISTF Code],0)),FALSE))</f>
        <v>0</v>
      </c>
      <c r="F17" s="419" t="str">
        <f>IF(AND(U12List[[#This Row],[First &amp; Last Name]]="",U12List[[#This Row],[FISTF Code]]=""),"",IF(U12List[[#This Row],[Valide Code ?]],INDEX(Players[Player Name],MATCH(U12List[[#This Row],[FISTF Code]],Players[FISTF Code],0)),U12List[[#This Row],[First &amp; Last Name]]))</f>
        <v>Adam Guyaux</v>
      </c>
      <c r="G17" s="233" t="str">
        <f>IF(U12List[[#This Row],[Retained Player Name]]="","",VLOOKUP(U12List[[#This Row],[Retained Player Name]],Players[],7,FALSE))</f>
        <v>BEL</v>
      </c>
      <c r="H17" s="233" t="str">
        <f>IF(U12List[[#This Row],[Retained Player Name]]="","",VLOOKUP(U12List[[#This Row],[Retained Player Name]],Players[],6,FALSE))</f>
        <v>US Huy</v>
      </c>
      <c r="I17" s="234" t="str">
        <f>IF(U12List[[#This Row],[Retained Player Name]]="","",VLOOKUP(U12List[[#This Row],[Retained Player Name]],Players[],4,FALSE))</f>
        <v>BEL0473</v>
      </c>
      <c r="J17"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Q</v>
      </c>
      <c r="K17" s="230"/>
      <c r="L17" s="230"/>
      <c r="M17" s="7"/>
    </row>
    <row r="18" spans="1:13" s="8" customFormat="1" ht="12.75" customHeight="1" x14ac:dyDescent="0.2">
      <c r="A18" s="16">
        <f>IF(AND(U12List[[#This Row],[First &amp; Last Name]]="",U12List[[#This Row],[FISTF Code]]=""),"",ROW()-ROW($A$11))</f>
        <v>7</v>
      </c>
      <c r="B18" s="232" t="s">
        <v>12380</v>
      </c>
      <c r="C18" s="436"/>
      <c r="D18" s="421" t="b">
        <f>IF(U12List[[#This Row],[First &amp; Last Name]]="","",IFERROR(ISNUMBER(MATCH(U12List[[#This Row],[First &amp; Last Name]],Players[Player Name],0)),FALSE))</f>
        <v>1</v>
      </c>
      <c r="E18" s="421" t="b">
        <f>IF(U12List[[#This Row],[FISTF Code]]="",FALSE,IFERROR(ISNUMBER(MATCH(U12List[[#This Row],[FISTF Code]],Players[FISTF Code],0)),FALSE))</f>
        <v>0</v>
      </c>
      <c r="F18" s="419" t="str">
        <f>IF(AND(U12List[[#This Row],[First &amp; Last Name]]="",U12List[[#This Row],[FISTF Code]]=""),"",IF(U12List[[#This Row],[Valide Code ?]],INDEX(Players[Player Name],MATCH(U12List[[#This Row],[FISTF Code]],Players[FISTF Code],0)),U12List[[#This Row],[First &amp; Last Name]]))</f>
        <v>Mathis Goffin</v>
      </c>
      <c r="G18" s="233" t="str">
        <f>IF(U12List[[#This Row],[Retained Player Name]]="","",VLOOKUP(U12List[[#This Row],[Retained Player Name]],Players[],7,FALSE))</f>
        <v>BEL</v>
      </c>
      <c r="H18" s="233" t="str">
        <f>IF(U12List[[#This Row],[Retained Player Name]]="","",VLOOKUP(U12List[[#This Row],[Retained Player Name]],Players[],6,FALSE))</f>
        <v>SC Lion's Eugies</v>
      </c>
      <c r="I18" s="234" t="str">
        <f>IF(U12List[[#This Row],[Retained Player Name]]="","",VLOOKUP(U12List[[#This Row],[Retained Player Name]],Players[],4,FALSE))</f>
        <v>BEL0460</v>
      </c>
      <c r="J18"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L16</v>
      </c>
      <c r="K18" s="230"/>
      <c r="L18" s="230"/>
      <c r="M18" s="7"/>
    </row>
    <row r="19" spans="1:13" s="8" customFormat="1" ht="12.75" customHeight="1" x14ac:dyDescent="0.2">
      <c r="A19" s="16">
        <f>IF(AND(U12List[[#This Row],[First &amp; Last Name]]="",U12List[[#This Row],[FISTF Code]]=""),"",ROW()-ROW($A$11))</f>
        <v>8</v>
      </c>
      <c r="B19" s="232" t="s">
        <v>8197</v>
      </c>
      <c r="C19" s="436"/>
      <c r="D19" s="421" t="b">
        <f>IF(U12List[[#This Row],[First &amp; Last Name]]="","",IFERROR(ISNUMBER(MATCH(U12List[[#This Row],[First &amp; Last Name]],Players[Player Name],0)),FALSE))</f>
        <v>1</v>
      </c>
      <c r="E19" s="421" t="b">
        <f>IF(U12List[[#This Row],[FISTF Code]]="",FALSE,IFERROR(ISNUMBER(MATCH(U12List[[#This Row],[FISTF Code]],Players[FISTF Code],0)),FALSE))</f>
        <v>0</v>
      </c>
      <c r="F19" s="419" t="str">
        <f>IF(AND(U12List[[#This Row],[First &amp; Last Name]]="",U12List[[#This Row],[FISTF Code]]=""),"",IF(U12List[[#This Row],[Valide Code ?]],INDEX(Players[Player Name],MATCH(U12List[[#This Row],[FISTF Code]],Players[FISTF Code],0)),U12List[[#This Row],[First &amp; Last Name]]))</f>
        <v>Sophia Grosdent</v>
      </c>
      <c r="G19" s="233" t="str">
        <f>IF(U12List[[#This Row],[Retained Player Name]]="","",VLOOKUP(U12List[[#This Row],[Retained Player Name]],Players[],7,FALSE))</f>
        <v>BEL</v>
      </c>
      <c r="H19" s="233" t="str">
        <f>IF(U12List[[#This Row],[Retained Player Name]]="","",VLOOKUP(U12List[[#This Row],[Retained Player Name]],Players[],6,FALSE))</f>
        <v>Wamme SC</v>
      </c>
      <c r="I19" s="234" t="str">
        <f>IF(U12List[[#This Row],[Retained Player Name]]="","",VLOOKUP(U12List[[#This Row],[Retained Player Name]],Players[],4,FALSE))</f>
        <v>BEL0449</v>
      </c>
      <c r="J19"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L16</v>
      </c>
      <c r="K19" s="230"/>
      <c r="L19" s="230"/>
      <c r="M19" s="7"/>
    </row>
    <row r="20" spans="1:13" s="8" customFormat="1" ht="12.75" customHeight="1" x14ac:dyDescent="0.2">
      <c r="A20" s="16">
        <f>IF(AND(U12List[[#This Row],[First &amp; Last Name]]="",U12List[[#This Row],[FISTF Code]]=""),"",ROW()-ROW($A$11))</f>
        <v>9</v>
      </c>
      <c r="B20" s="232" t="s">
        <v>12390</v>
      </c>
      <c r="C20" s="436"/>
      <c r="D20" s="421" t="b">
        <f>IF(U12List[[#This Row],[First &amp; Last Name]]="","",IFERROR(ISNUMBER(MATCH(U12List[[#This Row],[First &amp; Last Name]],Players[Player Name],0)),FALSE))</f>
        <v>1</v>
      </c>
      <c r="E20" s="421" t="b">
        <f>IF(U12List[[#This Row],[FISTF Code]]="",FALSE,IFERROR(ISNUMBER(MATCH(U12List[[#This Row],[FISTF Code]],Players[FISTF Code],0)),FALSE))</f>
        <v>0</v>
      </c>
      <c r="F20" s="419" t="str">
        <f>IF(AND(U12List[[#This Row],[First &amp; Last Name]]="",U12List[[#This Row],[FISTF Code]]=""),"",IF(U12List[[#This Row],[Valide Code ?]],INDEX(Players[Player Name],MATCH(U12List[[#This Row],[FISTF Code]],Players[FISTF Code],0)),U12List[[#This Row],[First &amp; Last Name]]))</f>
        <v>Mathis Joachim</v>
      </c>
      <c r="G20" s="233" t="str">
        <f>IF(U12List[[#This Row],[Retained Player Name]]="","",VLOOKUP(U12List[[#This Row],[Retained Player Name]],Players[],7,FALSE))</f>
        <v>BEL</v>
      </c>
      <c r="H20" s="233" t="str">
        <f>IF(U12List[[#This Row],[Retained Player Name]]="","",VLOOKUP(U12List[[#This Row],[Retained Player Name]],Players[],6,FALSE))</f>
        <v>ELM'Aye SC</v>
      </c>
      <c r="I20" s="234" t="str">
        <f>IF(U12List[[#This Row],[Retained Player Name]]="","",VLOOKUP(U12List[[#This Row],[Retained Player Name]],Players[],4,FALSE))</f>
        <v>BEL0464</v>
      </c>
      <c r="J20"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Q</v>
      </c>
      <c r="K20" s="230"/>
      <c r="L20" s="230"/>
      <c r="M20" s="7"/>
    </row>
    <row r="21" spans="1:13" s="8" customFormat="1" ht="12.75" customHeight="1" x14ac:dyDescent="0.2">
      <c r="A21" s="16">
        <f>IF(AND(U12List[[#This Row],[First &amp; Last Name]]="",U12List[[#This Row],[FISTF Code]]=""),"",ROW()-ROW($A$11))</f>
        <v>10</v>
      </c>
      <c r="B21" s="232" t="s">
        <v>12392</v>
      </c>
      <c r="C21" s="436"/>
      <c r="D21" s="421" t="b">
        <f>IF(U12List[[#This Row],[First &amp; Last Name]]="","",IFERROR(ISNUMBER(MATCH(U12List[[#This Row],[First &amp; Last Name]],Players[Player Name],0)),FALSE))</f>
        <v>1</v>
      </c>
      <c r="E21" s="421" t="b">
        <f>IF(U12List[[#This Row],[FISTF Code]]="",FALSE,IFERROR(ISNUMBER(MATCH(U12List[[#This Row],[FISTF Code]],Players[FISTF Code],0)),FALSE))</f>
        <v>0</v>
      </c>
      <c r="F21" s="419" t="str">
        <f>IF(AND(U12List[[#This Row],[First &amp; Last Name]]="",U12List[[#This Row],[FISTF Code]]=""),"",IF(U12List[[#This Row],[Valide Code ?]],INDEX(Players[Player Name],MATCH(U12List[[#This Row],[FISTF Code]],Players[FISTF Code],0)),U12List[[#This Row],[First &amp; Last Name]]))</f>
        <v>Romain Joris</v>
      </c>
      <c r="G21" s="233" t="str">
        <f>IF(U12List[[#This Row],[Retained Player Name]]="","",VLOOKUP(U12List[[#This Row],[Retained Player Name]],Players[],7,FALSE))</f>
        <v>BEL</v>
      </c>
      <c r="H21" s="233" t="str">
        <f>IF(U12List[[#This Row],[Retained Player Name]]="","",VLOOKUP(U12List[[#This Row],[Retained Player Name]],Players[],6,FALSE))</f>
        <v>ELM'Aye SC</v>
      </c>
      <c r="I21" s="235" t="str">
        <f>IF(U12List[[#This Row],[Retained Player Name]]="","",VLOOKUP(U12List[[#This Row],[Retained Player Name]],Players[],4,FALSE))</f>
        <v>BEL0465</v>
      </c>
      <c r="J21"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Q</v>
      </c>
      <c r="K21" s="230"/>
      <c r="L21" s="230"/>
      <c r="M21" s="7"/>
    </row>
    <row r="22" spans="1:13" s="8" customFormat="1" ht="12.75" customHeight="1" x14ac:dyDescent="0.2">
      <c r="A22" s="16">
        <f>IF(AND(U12List[[#This Row],[First &amp; Last Name]]="",U12List[[#This Row],[FISTF Code]]=""),"",ROW()-ROW($A$11))</f>
        <v>11</v>
      </c>
      <c r="B22" s="232" t="s">
        <v>12386</v>
      </c>
      <c r="C22" s="436"/>
      <c r="D22" s="421" t="b">
        <f>IF(U12List[[#This Row],[First &amp; Last Name]]="","",IFERROR(ISNUMBER(MATCH(U12List[[#This Row],[First &amp; Last Name]],Players[Player Name],0)),FALSE))</f>
        <v>1</v>
      </c>
      <c r="E22" s="421" t="b">
        <f>IF(U12List[[#This Row],[FISTF Code]]="",FALSE,IFERROR(ISNUMBER(MATCH(U12List[[#This Row],[FISTF Code]],Players[FISTF Code],0)),FALSE))</f>
        <v>0</v>
      </c>
      <c r="F22" s="419" t="str">
        <f>IF(AND(U12List[[#This Row],[First &amp; Last Name]]="",U12List[[#This Row],[FISTF Code]]=""),"",IF(U12List[[#This Row],[Valide Code ?]],INDEX(Players[Player Name],MATCH(U12List[[#This Row],[FISTF Code]],Players[FISTF Code],0)),U12List[[#This Row],[First &amp; Last Name]]))</f>
        <v>Olivia Huet</v>
      </c>
      <c r="G22" s="233" t="str">
        <f>IF(U12List[[#This Row],[Retained Player Name]]="","",VLOOKUP(U12List[[#This Row],[Retained Player Name]],Players[],7,FALSE))</f>
        <v>BEL</v>
      </c>
      <c r="H22" s="233" t="str">
        <f>IF(U12List[[#This Row],[Retained Player Name]]="","",VLOOKUP(U12List[[#This Row],[Retained Player Name]],Players[],6,FALSE))</f>
        <v>ELM'Aye SC</v>
      </c>
      <c r="I22" s="235" t="str">
        <f>IF(U12List[[#This Row],[Retained Player Name]]="","",VLOOKUP(U12List[[#This Row],[Retained Player Name]],Players[],4,FALSE))</f>
        <v>BEL0467</v>
      </c>
      <c r="J2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L16</v>
      </c>
      <c r="K22" s="231"/>
      <c r="L22" s="231"/>
      <c r="M22" s="7"/>
    </row>
    <row r="23" spans="1:13" s="8" customFormat="1" ht="12.75" customHeight="1" x14ac:dyDescent="0.2">
      <c r="A23" s="16">
        <f>IF(AND(U12List[[#This Row],[First &amp; Last Name]]="",U12List[[#This Row],[FISTF Code]]=""),"",ROW()-ROW($A$11))</f>
        <v>12</v>
      </c>
      <c r="B23" s="232" t="s">
        <v>14507</v>
      </c>
      <c r="C23" s="436"/>
      <c r="D23" s="421" t="b">
        <f>IF(U12List[[#This Row],[First &amp; Last Name]]="","",IFERROR(ISNUMBER(MATCH(U12List[[#This Row],[First &amp; Last Name]],Players[Player Name],0)),FALSE))</f>
        <v>1</v>
      </c>
      <c r="E23" s="421" t="b">
        <f>IF(U12List[[#This Row],[FISTF Code]]="",FALSE,IFERROR(ISNUMBER(MATCH(U12List[[#This Row],[FISTF Code]],Players[FISTF Code],0)),FALSE))</f>
        <v>0</v>
      </c>
      <c r="F23" s="419" t="str">
        <f>IF(AND(U12List[[#This Row],[First &amp; Last Name]]="",U12List[[#This Row],[FISTF Code]]=""),"",IF(U12List[[#This Row],[Valide Code ?]],INDEX(Players[Player Name],MATCH(U12List[[#This Row],[FISTF Code]],Players[FISTF Code],0)),U12List[[#This Row],[First &amp; Last Name]]))</f>
        <v>Martin Joris</v>
      </c>
      <c r="G23" s="233" t="str">
        <f>IF(U12List[[#This Row],[Retained Player Name]]="","",VLOOKUP(U12List[[#This Row],[Retained Player Name]],Players[],7,FALSE))</f>
        <v>BEL</v>
      </c>
      <c r="H23" s="233" t="str">
        <f>IF(U12List[[#This Row],[Retained Player Name]]="","",VLOOKUP(U12List[[#This Row],[Retained Player Name]],Players[],6,FALSE))</f>
        <v>ELM'Aye SC</v>
      </c>
      <c r="I23" s="235" t="str">
        <f>IF(U12List[[#This Row],[Retained Player Name]]="","",VLOOKUP(U12List[[#This Row],[Retained Player Name]],Players[],4,FALSE))</f>
        <v>BEL0475</v>
      </c>
      <c r="J2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Q</v>
      </c>
      <c r="K23" s="231"/>
      <c r="L23" s="231"/>
      <c r="M23" s="7"/>
    </row>
    <row r="24" spans="1:13" s="8" customFormat="1" ht="12.75" customHeight="1" x14ac:dyDescent="0.2">
      <c r="A24" s="16">
        <f>IF(AND(U12List[[#This Row],[First &amp; Last Name]]="",U12List[[#This Row],[FISTF Code]]=""),"",ROW()-ROW($A$11))</f>
        <v>13</v>
      </c>
      <c r="B24" s="232" t="s">
        <v>13951</v>
      </c>
      <c r="C24" s="436"/>
      <c r="D24" s="421" t="b">
        <f>IF(U12List[[#This Row],[First &amp; Last Name]]="","",IFERROR(ISNUMBER(MATCH(U12List[[#This Row],[First &amp; Last Name]],Players[Player Name],0)),FALSE))</f>
        <v>1</v>
      </c>
      <c r="E24" s="421" t="b">
        <f>IF(U12List[[#This Row],[FISTF Code]]="",FALSE,IFERROR(ISNUMBER(MATCH(U12List[[#This Row],[FISTF Code]],Players[FISTF Code],0)),FALSE))</f>
        <v>0</v>
      </c>
      <c r="F24" s="419" t="str">
        <f>IF(AND(U12List[[#This Row],[First &amp; Last Name]]="",U12List[[#This Row],[FISTF Code]]=""),"",IF(U12List[[#This Row],[Valide Code ?]],INDEX(Players[Player Name],MATCH(U12List[[#This Row],[FISTF Code]],Players[FISTF Code],0)),U12List[[#This Row],[First &amp; Last Name]]))</f>
        <v>Marius Ruelle</v>
      </c>
      <c r="G24" s="233" t="str">
        <f>IF(U12List[[#This Row],[Retained Player Name]]="","",VLOOKUP(U12List[[#This Row],[Retained Player Name]],Players[],7,FALSE))</f>
        <v>BEL</v>
      </c>
      <c r="H24" s="233" t="str">
        <f>IF(U12List[[#This Row],[Retained Player Name]]="","",VLOOKUP(U12List[[#This Row],[Retained Player Name]],Players[],6,FALSE))</f>
        <v>SC Lion's Eugies</v>
      </c>
      <c r="I24" s="235" t="str">
        <f>IF(U12List[[#This Row],[Retained Player Name]]="","",VLOOKUP(U12List[[#This Row],[Retained Player Name]],Players[],4,FALSE))</f>
        <v>BEL0474</v>
      </c>
      <c r="J24" s="18" t="e">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#N/A</v>
      </c>
      <c r="K24" s="231" t="s">
        <v>14585</v>
      </c>
      <c r="L24" s="231"/>
      <c r="M24" s="7"/>
    </row>
    <row r="25" spans="1:13" s="8" customFormat="1" ht="12.75" customHeight="1" x14ac:dyDescent="0.2">
      <c r="A25" s="16">
        <f>IF(AND(U12List[[#This Row],[First &amp; Last Name]]="",U12List[[#This Row],[FISTF Code]]=""),"",ROW()-ROW($A$11))</f>
        <v>14</v>
      </c>
      <c r="B25" s="232" t="s">
        <v>14576</v>
      </c>
      <c r="C25" s="436"/>
      <c r="D25" s="421" t="b">
        <f>IF(U12List[[#This Row],[First &amp; Last Name]]="","",IFERROR(ISNUMBER(MATCH(U12List[[#This Row],[First &amp; Last Name]],Players[Player Name],0)),FALSE))</f>
        <v>1</v>
      </c>
      <c r="E25" s="421" t="b">
        <f>IF(U12List[[#This Row],[FISTF Code]]="",FALSE,IFERROR(ISNUMBER(MATCH(U12List[[#This Row],[FISTF Code]],Players[FISTF Code],0)),FALSE))</f>
        <v>0</v>
      </c>
      <c r="F25" s="419" t="str">
        <f>IF(AND(U12List[[#This Row],[First &amp; Last Name]]="",U12List[[#This Row],[FISTF Code]]=""),"",IF(U12List[[#This Row],[Valide Code ?]],INDEX(Players[Player Name],MATCH(U12List[[#This Row],[FISTF Code]],Players[FISTF Code],0)),U12List[[#This Row],[First &amp; Last Name]]))</f>
        <v>Elea Tsangouris</v>
      </c>
      <c r="G25" s="233" t="str">
        <f>IF(U12List[[#This Row],[Retained Player Name]]="","",VLOOKUP(U12List[[#This Row],[Retained Player Name]],Players[],7,FALSE))</f>
        <v>BEL</v>
      </c>
      <c r="H25" s="233" t="str">
        <f>IF(U12List[[#This Row],[Retained Player Name]]="","",VLOOKUP(U12List[[#This Row],[Retained Player Name]],Players[],6,FALSE))</f>
        <v>SC Lion's Eugies</v>
      </c>
      <c r="I25" s="234" t="str">
        <f>IF(U12List[[#This Row],[Retained Player Name]]="","",VLOOKUP(U12List[[#This Row],[Retained Player Name]],Players[],4,FALSE))</f>
        <v>BEL0479</v>
      </c>
      <c r="J25" s="20"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PR1</v>
      </c>
      <c r="K25" s="231"/>
      <c r="L25" s="231"/>
      <c r="M25" s="7"/>
    </row>
    <row r="26" spans="1:13" s="8" customFormat="1" ht="12.75" customHeight="1" x14ac:dyDescent="0.2">
      <c r="A26" s="16">
        <f>IF(AND(U12List[[#This Row],[First &amp; Last Name]]="",U12List[[#This Row],[FISTF Code]]=""),"",ROW()-ROW($A$11))</f>
        <v>15</v>
      </c>
      <c r="B26" s="232" t="s">
        <v>12373</v>
      </c>
      <c r="C26" s="436"/>
      <c r="D26" s="421" t="b">
        <f>IF(U12List[[#This Row],[First &amp; Last Name]]="","",IFERROR(ISNUMBER(MATCH(U12List[[#This Row],[First &amp; Last Name]],Players[Player Name],0)),FALSE))</f>
        <v>1</v>
      </c>
      <c r="E26" s="421" t="b">
        <f>IF(U12List[[#This Row],[FISTF Code]]="",FALSE,IFERROR(ISNUMBER(MATCH(U12List[[#This Row],[FISTF Code]],Players[FISTF Code],0)),FALSE))</f>
        <v>0</v>
      </c>
      <c r="F26" s="419" t="str">
        <f>IF(AND(U12List[[#This Row],[First &amp; Last Name]]="",U12List[[#This Row],[FISTF Code]]=""),"",IF(U12List[[#This Row],[Valide Code ?]],INDEX(Players[Player Name],MATCH(U12List[[#This Row],[FISTF Code]],Players[FISTF Code],0)),U12List[[#This Row],[First &amp; Last Name]]))</f>
        <v>Eva Goffin</v>
      </c>
      <c r="G26" s="233" t="str">
        <f>IF(U12List[[#This Row],[Retained Player Name]]="","",VLOOKUP(U12List[[#This Row],[Retained Player Name]],Players[],7,FALSE))</f>
        <v>BEL</v>
      </c>
      <c r="H26" s="233" t="str">
        <f>IF(U12List[[#This Row],[Retained Player Name]]="","",VLOOKUP(U12List[[#This Row],[Retained Player Name]],Players[],6,FALSE))</f>
        <v>SC Lion's Eugies</v>
      </c>
      <c r="I26" s="234" t="str">
        <f>IF(U12List[[#This Row],[Retained Player Name]]="","",VLOOKUP(U12List[[#This Row],[Retained Player Name]],Players[],4,FALSE))</f>
        <v>BEL0458</v>
      </c>
      <c r="J26"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PR1</v>
      </c>
      <c r="K26" s="230"/>
      <c r="L26" s="230"/>
      <c r="M26" s="7"/>
    </row>
    <row r="27" spans="1:13" s="8" customFormat="1" ht="12.75" customHeight="1" x14ac:dyDescent="0.2">
      <c r="A27" s="16">
        <f>IF(AND(U12List[[#This Row],[First &amp; Last Name]]="",U12List[[#This Row],[FISTF Code]]=""),"",ROW()-ROW($A$11))</f>
        <v>16</v>
      </c>
      <c r="B27" s="232" t="s">
        <v>14484</v>
      </c>
      <c r="C27" s="436"/>
      <c r="D27" s="421" t="b">
        <f>IF(U12List[[#This Row],[First &amp; Last Name]]="","",IFERROR(ISNUMBER(MATCH(U12List[[#This Row],[First &amp; Last Name]],Players[Player Name],0)),FALSE))</f>
        <v>1</v>
      </c>
      <c r="E27" s="421" t="b">
        <f>IF(U12List[[#This Row],[FISTF Code]]="",FALSE,IFERROR(ISNUMBER(MATCH(U12List[[#This Row],[FISTF Code]],Players[FISTF Code],0)),FALSE))</f>
        <v>0</v>
      </c>
      <c r="F27" s="419" t="str">
        <f>IF(AND(U12List[[#This Row],[First &amp; Last Name]]="",U12List[[#This Row],[FISTF Code]]=""),"",IF(U12List[[#This Row],[Valide Code ?]],INDEX(Players[Player Name],MATCH(U12List[[#This Row],[FISTF Code]],Players[FISTF Code],0)),U12List[[#This Row],[First &amp; Last Name]]))</f>
        <v>Albert Fako</v>
      </c>
      <c r="G27" s="233" t="str">
        <f>IF(U12List[[#This Row],[Retained Player Name]]="","",VLOOKUP(U12List[[#This Row],[Retained Player Name]],Players[],7,FALSE))</f>
        <v>BEL</v>
      </c>
      <c r="H27" s="233" t="str">
        <f>IF(U12List[[#This Row],[Retained Player Name]]="","",VLOOKUP(U12List[[#This Row],[Retained Player Name]],Players[],6,FALSE))</f>
        <v>free agent</v>
      </c>
      <c r="I27" s="234" t="str">
        <f>IF(U12List[[#This Row],[Retained Player Name]]="","",VLOOKUP(U12List[[#This Row],[Retained Player Name]],Players[],4,FALSE))</f>
        <v>BEL0482</v>
      </c>
      <c r="J27"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PR1</v>
      </c>
      <c r="K27" s="230"/>
      <c r="L27" s="230"/>
      <c r="M27" s="7"/>
    </row>
    <row r="28" spans="1:13" s="8" customFormat="1" ht="12.75" customHeight="1" x14ac:dyDescent="0.2">
      <c r="A28" s="16" t="str">
        <f>IF(AND(U12List[[#This Row],[First &amp; Last Name]]="",U12List[[#This Row],[FISTF Code]]=""),"",ROW()-ROW($A$11))</f>
        <v/>
      </c>
      <c r="B28" s="232"/>
      <c r="C28" s="436"/>
      <c r="D28" s="421" t="str">
        <f>IF(U12List[[#This Row],[First &amp; Last Name]]="","",IFERROR(ISNUMBER(MATCH(U12List[[#This Row],[First &amp; Last Name]],Players[Player Name],0)),FALSE))</f>
        <v/>
      </c>
      <c r="E28" s="421" t="b">
        <f>IF(U12List[[#This Row],[FISTF Code]]="",FALSE,IFERROR(ISNUMBER(MATCH(U12List[[#This Row],[FISTF Code]],Players[FISTF Code],0)),FALSE))</f>
        <v>0</v>
      </c>
      <c r="F28" s="419" t="str">
        <f>IF(AND(U12List[[#This Row],[First &amp; Last Name]]="",U12List[[#This Row],[FISTF Code]]=""),"",IF(U12List[[#This Row],[Valide Code ?]],INDEX(Players[Player Name],MATCH(U12List[[#This Row],[FISTF Code]],Players[FISTF Code],0)),U12List[[#This Row],[First &amp; Last Name]]))</f>
        <v/>
      </c>
      <c r="G28" s="233" t="str">
        <f>IF(U12List[[#This Row],[Retained Player Name]]="","",VLOOKUP(U12List[[#This Row],[Retained Player Name]],Players[],7,FALSE))</f>
        <v/>
      </c>
      <c r="H28" s="233" t="str">
        <f>IF(U12List[[#This Row],[Retained Player Name]]="","",VLOOKUP(U12List[[#This Row],[Retained Player Name]],Players[],6,FALSE))</f>
        <v/>
      </c>
      <c r="I28" s="234" t="str">
        <f>IF(U12List[[#This Row],[Retained Player Name]]="","",VLOOKUP(U12List[[#This Row],[Retained Player Name]],Players[],4,FALSE))</f>
        <v/>
      </c>
      <c r="J28"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8" s="230"/>
      <c r="L28" s="230"/>
      <c r="M28" s="7"/>
    </row>
    <row r="29" spans="1:13" s="8" customFormat="1" ht="12.75" customHeight="1" x14ac:dyDescent="0.2">
      <c r="A29" s="16" t="str">
        <f>IF(AND(U12List[[#This Row],[First &amp; Last Name]]="",U12List[[#This Row],[FISTF Code]]=""),"",ROW()-ROW($A$11))</f>
        <v/>
      </c>
      <c r="B29" s="232"/>
      <c r="C29" s="436"/>
      <c r="D29" s="421" t="str">
        <f>IF(U12List[[#This Row],[First &amp; Last Name]]="","",IFERROR(ISNUMBER(MATCH(U12List[[#This Row],[First &amp; Last Name]],Players[Player Name],0)),FALSE))</f>
        <v/>
      </c>
      <c r="E29" s="421" t="b">
        <f>IF(U12List[[#This Row],[FISTF Code]]="",FALSE,IFERROR(ISNUMBER(MATCH(U12List[[#This Row],[FISTF Code]],Players[FISTF Code],0)),FALSE))</f>
        <v>0</v>
      </c>
      <c r="F29" s="419" t="str">
        <f>IF(AND(U12List[[#This Row],[First &amp; Last Name]]="",U12List[[#This Row],[FISTF Code]]=""),"",IF(U12List[[#This Row],[Valide Code ?]],INDEX(Players[Player Name],MATCH(U12List[[#This Row],[FISTF Code]],Players[FISTF Code],0)),U12List[[#This Row],[First &amp; Last Name]]))</f>
        <v/>
      </c>
      <c r="G29" s="233" t="str">
        <f>IF(U12List[[#This Row],[Retained Player Name]]="","",VLOOKUP(U12List[[#This Row],[Retained Player Name]],Players[],7,FALSE))</f>
        <v/>
      </c>
      <c r="H29" s="233" t="str">
        <f>IF(U12List[[#This Row],[Retained Player Name]]="","",VLOOKUP(U12List[[#This Row],[Retained Player Name]],Players[],6,FALSE))</f>
        <v/>
      </c>
      <c r="I29" s="234" t="str">
        <f>IF(U12List[[#This Row],[Retained Player Name]]="","",VLOOKUP(U12List[[#This Row],[Retained Player Name]],Players[],4,FALSE))</f>
        <v/>
      </c>
      <c r="J29"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9" s="230"/>
      <c r="L29" s="230"/>
      <c r="M29" s="7"/>
    </row>
    <row r="30" spans="1:13" s="8" customFormat="1" ht="12.75" customHeight="1" x14ac:dyDescent="0.2">
      <c r="A30" s="16" t="str">
        <f>IF(AND(U12List[[#This Row],[First &amp; Last Name]]="",U12List[[#This Row],[FISTF Code]]=""),"",ROW()-ROW($A$11))</f>
        <v/>
      </c>
      <c r="B30" s="232"/>
      <c r="C30" s="436"/>
      <c r="D30" s="421" t="str">
        <f>IF(U12List[[#This Row],[First &amp; Last Name]]="","",IFERROR(ISNUMBER(MATCH(U12List[[#This Row],[First &amp; Last Name]],Players[Player Name],0)),FALSE))</f>
        <v/>
      </c>
      <c r="E30" s="421" t="b">
        <f>IF(U12List[[#This Row],[FISTF Code]]="",FALSE,IFERROR(ISNUMBER(MATCH(U12List[[#This Row],[FISTF Code]],Players[FISTF Code],0)),FALSE))</f>
        <v>0</v>
      </c>
      <c r="F30" s="419" t="str">
        <f>IF(AND(U12List[[#This Row],[First &amp; Last Name]]="",U12List[[#This Row],[FISTF Code]]=""),"",IF(U12List[[#This Row],[Valide Code ?]],INDEX(Players[Player Name],MATCH(U12List[[#This Row],[FISTF Code]],Players[FISTF Code],0)),U12List[[#This Row],[First &amp; Last Name]]))</f>
        <v/>
      </c>
      <c r="G30" s="233" t="str">
        <f>IF(U12List[[#This Row],[Retained Player Name]]="","",VLOOKUP(U12List[[#This Row],[Retained Player Name]],Players[],7,FALSE))</f>
        <v/>
      </c>
      <c r="H30" s="233" t="str">
        <f>IF(U12List[[#This Row],[Retained Player Name]]="","",VLOOKUP(U12List[[#This Row],[Retained Player Name]],Players[],6,FALSE))</f>
        <v/>
      </c>
      <c r="I30" s="234" t="str">
        <f>IF(U12List[[#This Row],[Retained Player Name]]="","",VLOOKUP(U12List[[#This Row],[Retained Player Name]],Players[],4,FALSE))</f>
        <v/>
      </c>
      <c r="J30"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0" s="230"/>
      <c r="L30" s="230"/>
      <c r="M30" s="7"/>
    </row>
    <row r="31" spans="1:13" s="8" customFormat="1" ht="12.75" customHeight="1" x14ac:dyDescent="0.2">
      <c r="A31" s="16" t="str">
        <f>IF(AND(U12List[[#This Row],[First &amp; Last Name]]="",U12List[[#This Row],[FISTF Code]]=""),"",ROW()-ROW($A$11))</f>
        <v/>
      </c>
      <c r="B31" s="232"/>
      <c r="C31" s="436"/>
      <c r="D31" s="421" t="str">
        <f>IF(U12List[[#This Row],[First &amp; Last Name]]="","",IFERROR(ISNUMBER(MATCH(U12List[[#This Row],[First &amp; Last Name]],Players[Player Name],0)),FALSE))</f>
        <v/>
      </c>
      <c r="E31" s="421" t="b">
        <f>IF(U12List[[#This Row],[FISTF Code]]="",FALSE,IFERROR(ISNUMBER(MATCH(U12List[[#This Row],[FISTF Code]],Players[FISTF Code],0)),FALSE))</f>
        <v>0</v>
      </c>
      <c r="F31" s="419" t="str">
        <f>IF(AND(U12List[[#This Row],[First &amp; Last Name]]="",U12List[[#This Row],[FISTF Code]]=""),"",IF(U12List[[#This Row],[Valide Code ?]],INDEX(Players[Player Name],MATCH(U12List[[#This Row],[FISTF Code]],Players[FISTF Code],0)),U12List[[#This Row],[First &amp; Last Name]]))</f>
        <v/>
      </c>
      <c r="G31" s="233" t="str">
        <f>IF(U12List[[#This Row],[Retained Player Name]]="","",VLOOKUP(U12List[[#This Row],[Retained Player Name]],Players[],7,FALSE))</f>
        <v/>
      </c>
      <c r="H31" s="233" t="str">
        <f>IF(U12List[[#This Row],[Retained Player Name]]="","",VLOOKUP(U12List[[#This Row],[Retained Player Name]],Players[],6,FALSE))</f>
        <v/>
      </c>
      <c r="I31" s="234" t="str">
        <f>IF(U12List[[#This Row],[Retained Player Name]]="","",VLOOKUP(U12List[[#This Row],[Retained Player Name]],Players[],4,FALSE))</f>
        <v/>
      </c>
      <c r="J31"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1" s="230"/>
      <c r="L31" s="230"/>
      <c r="M31" s="7"/>
    </row>
    <row r="32" spans="1:13" s="8" customFormat="1" ht="12.75" customHeight="1" x14ac:dyDescent="0.2">
      <c r="A32" s="16" t="str">
        <f>IF(AND(U12List[[#This Row],[First &amp; Last Name]]="",U12List[[#This Row],[FISTF Code]]=""),"",ROW()-ROW($A$11))</f>
        <v/>
      </c>
      <c r="B32" s="232"/>
      <c r="C32" s="436"/>
      <c r="D32" s="421" t="str">
        <f>IF(U12List[[#This Row],[First &amp; Last Name]]="","",IFERROR(ISNUMBER(MATCH(U12List[[#This Row],[First &amp; Last Name]],Players[Player Name],0)),FALSE))</f>
        <v/>
      </c>
      <c r="E32" s="421" t="b">
        <f>IF(U12List[[#This Row],[FISTF Code]]="",FALSE,IFERROR(ISNUMBER(MATCH(U12List[[#This Row],[FISTF Code]],Players[FISTF Code],0)),FALSE))</f>
        <v>0</v>
      </c>
      <c r="F32" s="419" t="str">
        <f>IF(AND(U12List[[#This Row],[First &amp; Last Name]]="",U12List[[#This Row],[FISTF Code]]=""),"",IF(U12List[[#This Row],[Valide Code ?]],INDEX(Players[Player Name],MATCH(U12List[[#This Row],[FISTF Code]],Players[FISTF Code],0)),U12List[[#This Row],[First &amp; Last Name]]))</f>
        <v/>
      </c>
      <c r="G32" s="233" t="str">
        <f>IF(U12List[[#This Row],[Retained Player Name]]="","",VLOOKUP(U12List[[#This Row],[Retained Player Name]],Players[],7,FALSE))</f>
        <v/>
      </c>
      <c r="H32" s="233" t="str">
        <f>IF(U12List[[#This Row],[Retained Player Name]]="","",VLOOKUP(U12List[[#This Row],[Retained Player Name]],Players[],6,FALSE))</f>
        <v/>
      </c>
      <c r="I32" s="234" t="str">
        <f>IF(U12List[[#This Row],[Retained Player Name]]="","",VLOOKUP(U12List[[#This Row],[Retained Player Name]],Players[],4,FALSE))</f>
        <v/>
      </c>
      <c r="J32" s="20"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2" s="231"/>
      <c r="L32" s="231"/>
      <c r="M32" s="7"/>
    </row>
    <row r="33" spans="1:13" s="8" customFormat="1" ht="12.75" customHeight="1" x14ac:dyDescent="0.2">
      <c r="A33" s="16" t="str">
        <f>IF(AND(U12List[[#This Row],[First &amp; Last Name]]="",U12List[[#This Row],[FISTF Code]]=""),"",ROW()-ROW($A$11))</f>
        <v/>
      </c>
      <c r="B33" s="232"/>
      <c r="C33" s="436"/>
      <c r="D33" s="421" t="str">
        <f>IF(U12List[[#This Row],[First &amp; Last Name]]="","",IFERROR(ISNUMBER(MATCH(U12List[[#This Row],[First &amp; Last Name]],Players[Player Name],0)),FALSE))</f>
        <v/>
      </c>
      <c r="E33" s="421" t="b">
        <f>IF(U12List[[#This Row],[FISTF Code]]="",FALSE,IFERROR(ISNUMBER(MATCH(U12List[[#This Row],[FISTF Code]],Players[FISTF Code],0)),FALSE))</f>
        <v>0</v>
      </c>
      <c r="F33" s="419" t="str">
        <f>IF(AND(U12List[[#This Row],[First &amp; Last Name]]="",U12List[[#This Row],[FISTF Code]]=""),"",IF(U12List[[#This Row],[Valide Code ?]],INDEX(Players[Player Name],MATCH(U12List[[#This Row],[FISTF Code]],Players[FISTF Code],0)),U12List[[#This Row],[First &amp; Last Name]]))</f>
        <v/>
      </c>
      <c r="G33" s="233" t="str">
        <f>IF(U12List[[#This Row],[Retained Player Name]]="","",VLOOKUP(U12List[[#This Row],[Retained Player Name]],Players[],7,FALSE))</f>
        <v/>
      </c>
      <c r="H33" s="233" t="str">
        <f>IF(U12List[[#This Row],[Retained Player Name]]="","",VLOOKUP(U12List[[#This Row],[Retained Player Name]],Players[],6,FALSE))</f>
        <v/>
      </c>
      <c r="I33" s="234" t="str">
        <f>IF(U12List[[#This Row],[Retained Player Name]]="","",VLOOKUP(U12List[[#This Row],[Retained Player Name]],Players[],4,FALSE))</f>
        <v/>
      </c>
      <c r="J33"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3" s="230"/>
      <c r="L33" s="230"/>
      <c r="M33" s="7"/>
    </row>
    <row r="34" spans="1:13" s="8" customFormat="1" ht="12.75" customHeight="1" x14ac:dyDescent="0.2">
      <c r="A34" s="16" t="str">
        <f>IF(AND(U12List[[#This Row],[First &amp; Last Name]]="",U12List[[#This Row],[FISTF Code]]=""),"",ROW()-ROW($A$11))</f>
        <v/>
      </c>
      <c r="B34" s="232"/>
      <c r="C34" s="436"/>
      <c r="D34" s="421" t="str">
        <f>IF(U12List[[#This Row],[First &amp; Last Name]]="","",IFERROR(ISNUMBER(MATCH(U12List[[#This Row],[First &amp; Last Name]],Players[Player Name],0)),FALSE))</f>
        <v/>
      </c>
      <c r="E34" s="421" t="b">
        <f>IF(U12List[[#This Row],[FISTF Code]]="",FALSE,IFERROR(ISNUMBER(MATCH(U12List[[#This Row],[FISTF Code]],Players[FISTF Code],0)),FALSE))</f>
        <v>0</v>
      </c>
      <c r="F34" s="419" t="str">
        <f>IF(AND(U12List[[#This Row],[First &amp; Last Name]]="",U12List[[#This Row],[FISTF Code]]=""),"",IF(U12List[[#This Row],[Valide Code ?]],INDEX(Players[Player Name],MATCH(U12List[[#This Row],[FISTF Code]],Players[FISTF Code],0)),U12List[[#This Row],[First &amp; Last Name]]))</f>
        <v/>
      </c>
      <c r="G34" s="233" t="str">
        <f>IF(U12List[[#This Row],[Retained Player Name]]="","",VLOOKUP(U12List[[#This Row],[Retained Player Name]],Players[],7,FALSE))</f>
        <v/>
      </c>
      <c r="H34" s="233" t="str">
        <f>IF(U12List[[#This Row],[Retained Player Name]]="","",VLOOKUP(U12List[[#This Row],[Retained Player Name]],Players[],6,FALSE))</f>
        <v/>
      </c>
      <c r="I34" s="234" t="str">
        <f>IF(U12List[[#This Row],[Retained Player Name]]="","",VLOOKUP(U12List[[#This Row],[Retained Player Name]],Players[],4,FALSE))</f>
        <v/>
      </c>
      <c r="J3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4" s="231"/>
      <c r="L34" s="231"/>
      <c r="M34" s="7"/>
    </row>
    <row r="35" spans="1:13" s="8" customFormat="1" ht="12.75" customHeight="1" x14ac:dyDescent="0.2">
      <c r="A35" s="16" t="str">
        <f>IF(AND(U12List[[#This Row],[First &amp; Last Name]]="",U12List[[#This Row],[FISTF Code]]=""),"",ROW()-ROW($A$11))</f>
        <v/>
      </c>
      <c r="B35" s="232"/>
      <c r="C35" s="436"/>
      <c r="D35" s="421" t="str">
        <f>IF(U12List[[#This Row],[First &amp; Last Name]]="","",IFERROR(ISNUMBER(MATCH(U12List[[#This Row],[First &amp; Last Name]],Players[Player Name],0)),FALSE))</f>
        <v/>
      </c>
      <c r="E35" s="421" t="b">
        <f>IF(U12List[[#This Row],[FISTF Code]]="",FALSE,IFERROR(ISNUMBER(MATCH(U12List[[#This Row],[FISTF Code]],Players[FISTF Code],0)),FALSE))</f>
        <v>0</v>
      </c>
      <c r="F35" s="419" t="str">
        <f>IF(AND(U12List[[#This Row],[First &amp; Last Name]]="",U12List[[#This Row],[FISTF Code]]=""),"",IF(U12List[[#This Row],[Valide Code ?]],INDEX(Players[Player Name],MATCH(U12List[[#This Row],[FISTF Code]],Players[FISTF Code],0)),U12List[[#This Row],[First &amp; Last Name]]))</f>
        <v/>
      </c>
      <c r="G35" s="233" t="str">
        <f>IF(U12List[[#This Row],[Retained Player Name]]="","",VLOOKUP(U12List[[#This Row],[Retained Player Name]],Players[],7,FALSE))</f>
        <v/>
      </c>
      <c r="H35" s="233" t="str">
        <f>IF(U12List[[#This Row],[Retained Player Name]]="","",VLOOKUP(U12List[[#This Row],[Retained Player Name]],Players[],6,FALSE))</f>
        <v/>
      </c>
      <c r="I35" s="234" t="str">
        <f>IF(U12List[[#This Row],[Retained Player Name]]="","",VLOOKUP(U12List[[#This Row],[Retained Player Name]],Players[],4,FALSE))</f>
        <v/>
      </c>
      <c r="J35"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5" s="230"/>
      <c r="L35" s="230"/>
      <c r="M35" s="7"/>
    </row>
    <row r="36" spans="1:13" s="8" customFormat="1" ht="12.75" customHeight="1" x14ac:dyDescent="0.2">
      <c r="A36" s="16" t="str">
        <f>IF(AND(U12List[[#This Row],[First &amp; Last Name]]="",U12List[[#This Row],[FISTF Code]]=""),"",ROW()-ROW($A$11))</f>
        <v/>
      </c>
      <c r="B36" s="232"/>
      <c r="C36" s="436"/>
      <c r="D36" s="421" t="str">
        <f>IF(U12List[[#This Row],[First &amp; Last Name]]="","",IFERROR(ISNUMBER(MATCH(U12List[[#This Row],[First &amp; Last Name]],Players[Player Name],0)),FALSE))</f>
        <v/>
      </c>
      <c r="E36" s="421" t="b">
        <f>IF(U12List[[#This Row],[FISTF Code]]="",FALSE,IFERROR(ISNUMBER(MATCH(U12List[[#This Row],[FISTF Code]],Players[FISTF Code],0)),FALSE))</f>
        <v>0</v>
      </c>
      <c r="F36" s="419" t="str">
        <f>IF(AND(U12List[[#This Row],[First &amp; Last Name]]="",U12List[[#This Row],[FISTF Code]]=""),"",IF(U12List[[#This Row],[Valide Code ?]],INDEX(Players[Player Name],MATCH(U12List[[#This Row],[FISTF Code]],Players[FISTF Code],0)),U12List[[#This Row],[First &amp; Last Name]]))</f>
        <v/>
      </c>
      <c r="G36" s="233" t="str">
        <f>IF(U12List[[#This Row],[Retained Player Name]]="","",VLOOKUP(U12List[[#This Row],[Retained Player Name]],Players[],7,FALSE))</f>
        <v/>
      </c>
      <c r="H36" s="233" t="str">
        <f>IF(U12List[[#This Row],[Retained Player Name]]="","",VLOOKUP(U12List[[#This Row],[Retained Player Name]],Players[],6,FALSE))</f>
        <v/>
      </c>
      <c r="I36" s="234" t="str">
        <f>IF(U12List[[#This Row],[Retained Player Name]]="","",VLOOKUP(U12List[[#This Row],[Retained Player Name]],Players[],4,FALSE))</f>
        <v/>
      </c>
      <c r="J3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6" s="231"/>
      <c r="L36" s="231"/>
      <c r="M36" s="7"/>
    </row>
    <row r="37" spans="1:13" s="8" customFormat="1" ht="12.75" customHeight="1" x14ac:dyDescent="0.2">
      <c r="A37" s="16" t="str">
        <f>IF(AND(U12List[[#This Row],[First &amp; Last Name]]="",U12List[[#This Row],[FISTF Code]]=""),"",ROW()-ROW($A$11))</f>
        <v/>
      </c>
      <c r="B37" s="232"/>
      <c r="C37" s="436"/>
      <c r="D37" s="421" t="str">
        <f>IF(U12List[[#This Row],[First &amp; Last Name]]="","",IFERROR(ISNUMBER(MATCH(U12List[[#This Row],[First &amp; Last Name]],Players[Player Name],0)),FALSE))</f>
        <v/>
      </c>
      <c r="E37" s="421" t="b">
        <f>IF(U12List[[#This Row],[FISTF Code]]="",FALSE,IFERROR(ISNUMBER(MATCH(U12List[[#This Row],[FISTF Code]],Players[FISTF Code],0)),FALSE))</f>
        <v>0</v>
      </c>
      <c r="F37" s="419" t="str">
        <f>IF(AND(U12List[[#This Row],[First &amp; Last Name]]="",U12List[[#This Row],[FISTF Code]]=""),"",IF(U12List[[#This Row],[Valide Code ?]],INDEX(Players[Player Name],MATCH(U12List[[#This Row],[FISTF Code]],Players[FISTF Code],0)),U12List[[#This Row],[First &amp; Last Name]]))</f>
        <v/>
      </c>
      <c r="G37" s="233" t="str">
        <f>IF(U12List[[#This Row],[Retained Player Name]]="","",VLOOKUP(U12List[[#This Row],[Retained Player Name]],Players[],7,FALSE))</f>
        <v/>
      </c>
      <c r="H37" s="233" t="str">
        <f>IF(U12List[[#This Row],[Retained Player Name]]="","",VLOOKUP(U12List[[#This Row],[Retained Player Name]],Players[],6,FALSE))</f>
        <v/>
      </c>
      <c r="I37" s="234" t="str">
        <f>IF(U12List[[#This Row],[Retained Player Name]]="","",VLOOKUP(U12List[[#This Row],[Retained Player Name]],Players[],4,FALSE))</f>
        <v/>
      </c>
      <c r="J3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7" s="231"/>
      <c r="L37" s="231"/>
      <c r="M37" s="7"/>
    </row>
    <row r="38" spans="1:13" s="8" customFormat="1" ht="12.75" customHeight="1" x14ac:dyDescent="0.2">
      <c r="A38" s="16" t="str">
        <f>IF(AND(U12List[[#This Row],[First &amp; Last Name]]="",U12List[[#This Row],[FISTF Code]]=""),"",ROW()-ROW($A$11))</f>
        <v/>
      </c>
      <c r="B38" s="232"/>
      <c r="C38" s="436"/>
      <c r="D38" s="421" t="str">
        <f>IF(U12List[[#This Row],[First &amp; Last Name]]="","",IFERROR(ISNUMBER(MATCH(U12List[[#This Row],[First &amp; Last Name]],Players[Player Name],0)),FALSE))</f>
        <v/>
      </c>
      <c r="E38" s="421" t="b">
        <f>IF(U12List[[#This Row],[FISTF Code]]="",FALSE,IFERROR(ISNUMBER(MATCH(U12List[[#This Row],[FISTF Code]],Players[FISTF Code],0)),FALSE))</f>
        <v>0</v>
      </c>
      <c r="F38" s="419" t="str">
        <f>IF(AND(U12List[[#This Row],[First &amp; Last Name]]="",U12List[[#This Row],[FISTF Code]]=""),"",IF(U12List[[#This Row],[Valide Code ?]],INDEX(Players[Player Name],MATCH(U12List[[#This Row],[FISTF Code]],Players[FISTF Code],0)),U12List[[#This Row],[First &amp; Last Name]]))</f>
        <v/>
      </c>
      <c r="G38" s="233" t="str">
        <f>IF(U12List[[#This Row],[Retained Player Name]]="","",VLOOKUP(U12List[[#This Row],[Retained Player Name]],Players[],7,FALSE))</f>
        <v/>
      </c>
      <c r="H38" s="233" t="str">
        <f>IF(U12List[[#This Row],[Retained Player Name]]="","",VLOOKUP(U12List[[#This Row],[Retained Player Name]],Players[],6,FALSE))</f>
        <v/>
      </c>
      <c r="I38" s="234" t="str">
        <f>IF(U12List[[#This Row],[Retained Player Name]]="","",VLOOKUP(U12List[[#This Row],[Retained Player Name]],Players[],4,FALSE))</f>
        <v/>
      </c>
      <c r="J3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8" s="231"/>
      <c r="L38" s="231"/>
      <c r="M38" s="7"/>
    </row>
    <row r="39" spans="1:13" s="8" customFormat="1" ht="12.75" customHeight="1" x14ac:dyDescent="0.2">
      <c r="A39" s="16" t="str">
        <f>IF(AND(U12List[[#This Row],[First &amp; Last Name]]="",U12List[[#This Row],[FISTF Code]]=""),"",ROW()-ROW($A$11))</f>
        <v/>
      </c>
      <c r="B39" s="232"/>
      <c r="C39" s="436"/>
      <c r="D39" s="421" t="str">
        <f>IF(U12List[[#This Row],[First &amp; Last Name]]="","",IFERROR(ISNUMBER(MATCH(U12List[[#This Row],[First &amp; Last Name]],Players[Player Name],0)),FALSE))</f>
        <v/>
      </c>
      <c r="E39" s="421" t="b">
        <f>IF(U12List[[#This Row],[FISTF Code]]="",FALSE,IFERROR(ISNUMBER(MATCH(U12List[[#This Row],[FISTF Code]],Players[FISTF Code],0)),FALSE))</f>
        <v>0</v>
      </c>
      <c r="F39" s="419" t="str">
        <f>IF(AND(U12List[[#This Row],[First &amp; Last Name]]="",U12List[[#This Row],[FISTF Code]]=""),"",IF(U12List[[#This Row],[Valide Code ?]],INDEX(Players[Player Name],MATCH(U12List[[#This Row],[FISTF Code]],Players[FISTF Code],0)),U12List[[#This Row],[First &amp; Last Name]]))</f>
        <v/>
      </c>
      <c r="G39" s="233" t="str">
        <f>IF(U12List[[#This Row],[Retained Player Name]]="","",VLOOKUP(U12List[[#This Row],[Retained Player Name]],Players[],7,FALSE))</f>
        <v/>
      </c>
      <c r="H39" s="233" t="str">
        <f>IF(U12List[[#This Row],[Retained Player Name]]="","",VLOOKUP(U12List[[#This Row],[Retained Player Name]],Players[],6,FALSE))</f>
        <v/>
      </c>
      <c r="I39" s="234" t="str">
        <f>IF(U12List[[#This Row],[Retained Player Name]]="","",VLOOKUP(U12List[[#This Row],[Retained Player Name]],Players[],4,FALSE))</f>
        <v/>
      </c>
      <c r="J3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9" s="231"/>
      <c r="L39" s="231"/>
      <c r="M39" s="7"/>
    </row>
    <row r="40" spans="1:13" s="8" customFormat="1" ht="12.75" customHeight="1" x14ac:dyDescent="0.2">
      <c r="A40" s="16" t="str">
        <f>IF(AND(U12List[[#This Row],[First &amp; Last Name]]="",U12List[[#This Row],[FISTF Code]]=""),"",ROW()-ROW($A$11))</f>
        <v/>
      </c>
      <c r="B40" s="232"/>
      <c r="C40" s="436"/>
      <c r="D40" s="421" t="str">
        <f>IF(U12List[[#This Row],[First &amp; Last Name]]="","",IFERROR(ISNUMBER(MATCH(U12List[[#This Row],[First &amp; Last Name]],Players[Player Name],0)),FALSE))</f>
        <v/>
      </c>
      <c r="E40" s="421" t="b">
        <f>IF(U12List[[#This Row],[FISTF Code]]="",FALSE,IFERROR(ISNUMBER(MATCH(U12List[[#This Row],[FISTF Code]],Players[FISTF Code],0)),FALSE))</f>
        <v>0</v>
      </c>
      <c r="F40" s="419" t="str">
        <f>IF(AND(U12List[[#This Row],[First &amp; Last Name]]="",U12List[[#This Row],[FISTF Code]]=""),"",IF(U12List[[#This Row],[Valide Code ?]],INDEX(Players[Player Name],MATCH(U12List[[#This Row],[FISTF Code]],Players[FISTF Code],0)),U12List[[#This Row],[First &amp; Last Name]]))</f>
        <v/>
      </c>
      <c r="G40" s="233" t="str">
        <f>IF(U12List[[#This Row],[Retained Player Name]]="","",VLOOKUP(U12List[[#This Row],[Retained Player Name]],Players[],7,FALSE))</f>
        <v/>
      </c>
      <c r="H40" s="235" t="str">
        <f>IF(U12List[[#This Row],[Retained Player Name]]="","",VLOOKUP(U12List[[#This Row],[Retained Player Name]],Players[],6,FALSE))</f>
        <v/>
      </c>
      <c r="I40" s="235" t="str">
        <f>IF(U12List[[#This Row],[Retained Player Name]]="","",VLOOKUP(U12List[[#This Row],[Retained Player Name]],Players[],4,FALSE))</f>
        <v/>
      </c>
      <c r="J4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0" s="231"/>
      <c r="L40" s="231"/>
      <c r="M40" s="7"/>
    </row>
    <row r="41" spans="1:13" s="8" customFormat="1" ht="12.75" customHeight="1" x14ac:dyDescent="0.2">
      <c r="A41" s="16" t="str">
        <f>IF(AND(U12List[[#This Row],[First &amp; Last Name]]="",U12List[[#This Row],[FISTF Code]]=""),"",ROW()-ROW($A$11))</f>
        <v/>
      </c>
      <c r="B41" s="232"/>
      <c r="C41" s="436"/>
      <c r="D41" s="421" t="str">
        <f>IF(U12List[[#This Row],[First &amp; Last Name]]="","",IFERROR(ISNUMBER(MATCH(U12List[[#This Row],[First &amp; Last Name]],Players[Player Name],0)),FALSE))</f>
        <v/>
      </c>
      <c r="E41" s="421" t="b">
        <f>IF(U12List[[#This Row],[FISTF Code]]="",FALSE,IFERROR(ISNUMBER(MATCH(U12List[[#This Row],[FISTF Code]],Players[FISTF Code],0)),FALSE))</f>
        <v>0</v>
      </c>
      <c r="F41" s="419" t="str">
        <f>IF(AND(U12List[[#This Row],[First &amp; Last Name]]="",U12List[[#This Row],[FISTF Code]]=""),"",IF(U12List[[#This Row],[Valide Code ?]],INDEX(Players[Player Name],MATCH(U12List[[#This Row],[FISTF Code]],Players[FISTF Code],0)),U12List[[#This Row],[First &amp; Last Name]]))</f>
        <v/>
      </c>
      <c r="G41" s="233" t="str">
        <f>IF(U12List[[#This Row],[Retained Player Name]]="","",VLOOKUP(U12List[[#This Row],[Retained Player Name]],Players[],7,FALSE))</f>
        <v/>
      </c>
      <c r="H41" s="235" t="str">
        <f>IF(U12List[[#This Row],[Retained Player Name]]="","",VLOOKUP(U12List[[#This Row],[Retained Player Name]],Players[],6,FALSE))</f>
        <v/>
      </c>
      <c r="I41" s="235" t="str">
        <f>IF(U12List[[#This Row],[Retained Player Name]]="","",VLOOKUP(U12List[[#This Row],[Retained Player Name]],Players[],4,FALSE))</f>
        <v/>
      </c>
      <c r="J4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1" s="231"/>
      <c r="L41" s="231"/>
      <c r="M41" s="7"/>
    </row>
    <row r="42" spans="1:13" s="8" customFormat="1" ht="12.75" customHeight="1" x14ac:dyDescent="0.2">
      <c r="A42" s="16" t="str">
        <f>IF(AND(U12List[[#This Row],[First &amp; Last Name]]="",U12List[[#This Row],[FISTF Code]]=""),"",ROW()-ROW($A$11))</f>
        <v/>
      </c>
      <c r="B42" s="232"/>
      <c r="C42" s="436"/>
      <c r="D42" s="421" t="str">
        <f>IF(U12List[[#This Row],[First &amp; Last Name]]="","",IFERROR(ISNUMBER(MATCH(U12List[[#This Row],[First &amp; Last Name]],Players[Player Name],0)),FALSE))</f>
        <v/>
      </c>
      <c r="E42" s="421" t="b">
        <f>IF(U12List[[#This Row],[FISTF Code]]="",FALSE,IFERROR(ISNUMBER(MATCH(U12List[[#This Row],[FISTF Code]],Players[FISTF Code],0)),FALSE))</f>
        <v>0</v>
      </c>
      <c r="F42" s="419" t="str">
        <f>IF(AND(U12List[[#This Row],[First &amp; Last Name]]="",U12List[[#This Row],[FISTF Code]]=""),"",IF(U12List[[#This Row],[Valide Code ?]],INDEX(Players[Player Name],MATCH(U12List[[#This Row],[FISTF Code]],Players[FISTF Code],0)),U12List[[#This Row],[First &amp; Last Name]]))</f>
        <v/>
      </c>
      <c r="G42" s="233" t="str">
        <f>IF(U12List[[#This Row],[Retained Player Name]]="","",VLOOKUP(U12List[[#This Row],[Retained Player Name]],Players[],7,FALSE))</f>
        <v/>
      </c>
      <c r="H42" s="235" t="str">
        <f>IF(U12List[[#This Row],[Retained Player Name]]="","",VLOOKUP(U12List[[#This Row],[Retained Player Name]],Players[],6,FALSE))</f>
        <v/>
      </c>
      <c r="I42" s="235" t="str">
        <f>IF(U12List[[#This Row],[Retained Player Name]]="","",VLOOKUP(U12List[[#This Row],[Retained Player Name]],Players[],4,FALSE))</f>
        <v/>
      </c>
      <c r="J4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2" s="231"/>
      <c r="L42" s="231"/>
      <c r="M42" s="7"/>
    </row>
    <row r="43" spans="1:13" s="8" customFormat="1" ht="12.75" customHeight="1" x14ac:dyDescent="0.2">
      <c r="A43" s="16" t="str">
        <f>IF(AND(U12List[[#This Row],[First &amp; Last Name]]="",U12List[[#This Row],[FISTF Code]]=""),"",ROW()-ROW($A$11))</f>
        <v/>
      </c>
      <c r="B43" s="232"/>
      <c r="C43" s="436"/>
      <c r="D43" s="421" t="str">
        <f>IF(U12List[[#This Row],[First &amp; Last Name]]="","",IFERROR(ISNUMBER(MATCH(U12List[[#This Row],[First &amp; Last Name]],Players[Player Name],0)),FALSE))</f>
        <v/>
      </c>
      <c r="E43" s="421" t="b">
        <f>IF(U12List[[#This Row],[FISTF Code]]="",FALSE,IFERROR(ISNUMBER(MATCH(U12List[[#This Row],[FISTF Code]],Players[FISTF Code],0)),FALSE))</f>
        <v>0</v>
      </c>
      <c r="F43" s="419" t="str">
        <f>IF(AND(U12List[[#This Row],[First &amp; Last Name]]="",U12List[[#This Row],[FISTF Code]]=""),"",IF(U12List[[#This Row],[Valide Code ?]],INDEX(Players[Player Name],MATCH(U12List[[#This Row],[FISTF Code]],Players[FISTF Code],0)),U12List[[#This Row],[First &amp; Last Name]]))</f>
        <v/>
      </c>
      <c r="G43" s="233" t="str">
        <f>IF(U12List[[#This Row],[Retained Player Name]]="","",VLOOKUP(U12List[[#This Row],[Retained Player Name]],Players[],7,FALSE))</f>
        <v/>
      </c>
      <c r="H43" s="235" t="str">
        <f>IF(U12List[[#This Row],[Retained Player Name]]="","",VLOOKUP(U12List[[#This Row],[Retained Player Name]],Players[],6,FALSE))</f>
        <v/>
      </c>
      <c r="I43" s="235" t="str">
        <f>IF(U12List[[#This Row],[Retained Player Name]]="","",VLOOKUP(U12List[[#This Row],[Retained Player Name]],Players[],4,FALSE))</f>
        <v/>
      </c>
      <c r="J4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3" s="231"/>
      <c r="L43" s="231"/>
      <c r="M43" s="7"/>
    </row>
    <row r="44" spans="1:13" s="8" customFormat="1" ht="12.75" customHeight="1" x14ac:dyDescent="0.2">
      <c r="A44" s="16" t="str">
        <f>IF(AND(U12List[[#This Row],[First &amp; Last Name]]="",U12List[[#This Row],[FISTF Code]]=""),"",ROW()-ROW($A$11))</f>
        <v/>
      </c>
      <c r="B44" s="232"/>
      <c r="C44" s="436"/>
      <c r="D44" s="421" t="str">
        <f>IF(U12List[[#This Row],[First &amp; Last Name]]="","",IFERROR(ISNUMBER(MATCH(U12List[[#This Row],[First &amp; Last Name]],Players[Player Name],0)),FALSE))</f>
        <v/>
      </c>
      <c r="E44" s="421" t="b">
        <f>IF(U12List[[#This Row],[FISTF Code]]="",FALSE,IFERROR(ISNUMBER(MATCH(U12List[[#This Row],[FISTF Code]],Players[FISTF Code],0)),FALSE))</f>
        <v>0</v>
      </c>
      <c r="F44" s="419" t="str">
        <f>IF(AND(U12List[[#This Row],[First &amp; Last Name]]="",U12List[[#This Row],[FISTF Code]]=""),"",IF(U12List[[#This Row],[Valide Code ?]],INDEX(Players[Player Name],MATCH(U12List[[#This Row],[FISTF Code]],Players[FISTF Code],0)),U12List[[#This Row],[First &amp; Last Name]]))</f>
        <v/>
      </c>
      <c r="G44" s="233" t="str">
        <f>IF(U12List[[#This Row],[Retained Player Name]]="","",VLOOKUP(U12List[[#This Row],[Retained Player Name]],Players[],7,FALSE))</f>
        <v/>
      </c>
      <c r="H44" s="235" t="str">
        <f>IF(U12List[[#This Row],[Retained Player Name]]="","",VLOOKUP(U12List[[#This Row],[Retained Player Name]],Players[],6,FALSE))</f>
        <v/>
      </c>
      <c r="I44" s="235" t="str">
        <f>IF(U12List[[#This Row],[Retained Player Name]]="","",VLOOKUP(U12List[[#This Row],[Retained Player Name]],Players[],4,FALSE))</f>
        <v/>
      </c>
      <c r="J4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4" s="231"/>
      <c r="L44" s="231"/>
      <c r="M44" s="7"/>
    </row>
    <row r="45" spans="1:13" s="8" customFormat="1" ht="12.75" customHeight="1" x14ac:dyDescent="0.2">
      <c r="A45" s="16" t="str">
        <f>IF(AND(U12List[[#This Row],[First &amp; Last Name]]="",U12List[[#This Row],[FISTF Code]]=""),"",ROW()-ROW($A$11))</f>
        <v/>
      </c>
      <c r="B45" s="232"/>
      <c r="C45" s="436"/>
      <c r="D45" s="421" t="str">
        <f>IF(U12List[[#This Row],[First &amp; Last Name]]="","",IFERROR(ISNUMBER(MATCH(U12List[[#This Row],[First &amp; Last Name]],Players[Player Name],0)),FALSE))</f>
        <v/>
      </c>
      <c r="E45" s="421" t="b">
        <f>IF(U12List[[#This Row],[FISTF Code]]="",FALSE,IFERROR(ISNUMBER(MATCH(U12List[[#This Row],[FISTF Code]],Players[FISTF Code],0)),FALSE))</f>
        <v>0</v>
      </c>
      <c r="F45" s="419" t="str">
        <f>IF(AND(U12List[[#This Row],[First &amp; Last Name]]="",U12List[[#This Row],[FISTF Code]]=""),"",IF(U12List[[#This Row],[Valide Code ?]],INDEX(Players[Player Name],MATCH(U12List[[#This Row],[FISTF Code]],Players[FISTF Code],0)),U12List[[#This Row],[First &amp; Last Name]]))</f>
        <v/>
      </c>
      <c r="G45" s="233" t="str">
        <f>IF(U12List[[#This Row],[Retained Player Name]]="","",VLOOKUP(U12List[[#This Row],[Retained Player Name]],Players[],7,FALSE))</f>
        <v/>
      </c>
      <c r="H45" s="235" t="str">
        <f>IF(U12List[[#This Row],[Retained Player Name]]="","",VLOOKUP(U12List[[#This Row],[Retained Player Name]],Players[],6,FALSE))</f>
        <v/>
      </c>
      <c r="I45" s="235" t="str">
        <f>IF(U12List[[#This Row],[Retained Player Name]]="","",VLOOKUP(U12List[[#This Row],[Retained Player Name]],Players[],4,FALSE))</f>
        <v/>
      </c>
      <c r="J4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5" s="231"/>
      <c r="L45" s="231"/>
      <c r="M45" s="7"/>
    </row>
    <row r="46" spans="1:13" s="8" customFormat="1" ht="12.75" customHeight="1" x14ac:dyDescent="0.2">
      <c r="A46" s="16" t="str">
        <f>IF(AND(U12List[[#This Row],[First &amp; Last Name]]="",U12List[[#This Row],[FISTF Code]]=""),"",ROW()-ROW($A$11))</f>
        <v/>
      </c>
      <c r="B46" s="232"/>
      <c r="C46" s="436"/>
      <c r="D46" s="421" t="str">
        <f>IF(U12List[[#This Row],[First &amp; Last Name]]="","",IFERROR(ISNUMBER(MATCH(U12List[[#This Row],[First &amp; Last Name]],Players[Player Name],0)),FALSE))</f>
        <v/>
      </c>
      <c r="E46" s="421" t="b">
        <f>IF(U12List[[#This Row],[FISTF Code]]="",FALSE,IFERROR(ISNUMBER(MATCH(U12List[[#This Row],[FISTF Code]],Players[FISTF Code],0)),FALSE))</f>
        <v>0</v>
      </c>
      <c r="F46" s="419" t="str">
        <f>IF(AND(U12List[[#This Row],[First &amp; Last Name]]="",U12List[[#This Row],[FISTF Code]]=""),"",IF(U12List[[#This Row],[Valide Code ?]],INDEX(Players[Player Name],MATCH(U12List[[#This Row],[FISTF Code]],Players[FISTF Code],0)),U12List[[#This Row],[First &amp; Last Name]]))</f>
        <v/>
      </c>
      <c r="G46" s="233" t="str">
        <f>IF(U12List[[#This Row],[Retained Player Name]]="","",VLOOKUP(U12List[[#This Row],[Retained Player Name]],Players[],7,FALSE))</f>
        <v/>
      </c>
      <c r="H46" s="235" t="str">
        <f>IF(U12List[[#This Row],[Retained Player Name]]="","",VLOOKUP(U12List[[#This Row],[Retained Player Name]],Players[],6,FALSE))</f>
        <v/>
      </c>
      <c r="I46" s="235" t="str">
        <f>IF(U12List[[#This Row],[Retained Player Name]]="","",VLOOKUP(U12List[[#This Row],[Retained Player Name]],Players[],4,FALSE))</f>
        <v/>
      </c>
      <c r="J4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6" s="231"/>
      <c r="L46" s="231"/>
      <c r="M46" s="7"/>
    </row>
    <row r="47" spans="1:13" s="8" customFormat="1" ht="12.75" customHeight="1" x14ac:dyDescent="0.2">
      <c r="A47" s="16" t="str">
        <f>IF(AND(U12List[[#This Row],[First &amp; Last Name]]="",U12List[[#This Row],[FISTF Code]]=""),"",ROW()-ROW($A$11))</f>
        <v/>
      </c>
      <c r="B47" s="232"/>
      <c r="C47" s="436"/>
      <c r="D47" s="421" t="str">
        <f>IF(U12List[[#This Row],[First &amp; Last Name]]="","",IFERROR(ISNUMBER(MATCH(U12List[[#This Row],[First &amp; Last Name]],Players[Player Name],0)),FALSE))</f>
        <v/>
      </c>
      <c r="E47" s="421" t="b">
        <f>IF(U12List[[#This Row],[FISTF Code]]="",FALSE,IFERROR(ISNUMBER(MATCH(U12List[[#This Row],[FISTF Code]],Players[FISTF Code],0)),FALSE))</f>
        <v>0</v>
      </c>
      <c r="F47" s="419" t="str">
        <f>IF(AND(U12List[[#This Row],[First &amp; Last Name]]="",U12List[[#This Row],[FISTF Code]]=""),"",IF(U12List[[#This Row],[Valide Code ?]],INDEX(Players[Player Name],MATCH(U12List[[#This Row],[FISTF Code]],Players[FISTF Code],0)),U12List[[#This Row],[First &amp; Last Name]]))</f>
        <v/>
      </c>
      <c r="G47" s="233" t="str">
        <f>IF(U12List[[#This Row],[Retained Player Name]]="","",VLOOKUP(U12List[[#This Row],[Retained Player Name]],Players[],7,FALSE))</f>
        <v/>
      </c>
      <c r="H47" s="235" t="str">
        <f>IF(U12List[[#This Row],[Retained Player Name]]="","",VLOOKUP(U12List[[#This Row],[Retained Player Name]],Players[],6,FALSE))</f>
        <v/>
      </c>
      <c r="I47" s="235" t="str">
        <f>IF(U12List[[#This Row],[Retained Player Name]]="","",VLOOKUP(U12List[[#This Row],[Retained Player Name]],Players[],4,FALSE))</f>
        <v/>
      </c>
      <c r="J4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7" s="231"/>
      <c r="L47" s="231"/>
      <c r="M47" s="7"/>
    </row>
    <row r="48" spans="1:13" s="8" customFormat="1" ht="12.75" customHeight="1" x14ac:dyDescent="0.2">
      <c r="A48" s="16" t="str">
        <f>IF(AND(U12List[[#This Row],[First &amp; Last Name]]="",U12List[[#This Row],[FISTF Code]]=""),"",ROW()-ROW($A$11))</f>
        <v/>
      </c>
      <c r="B48" s="232"/>
      <c r="C48" s="436"/>
      <c r="D48" s="421" t="str">
        <f>IF(U12List[[#This Row],[First &amp; Last Name]]="","",IFERROR(ISNUMBER(MATCH(U12List[[#This Row],[First &amp; Last Name]],Players[Player Name],0)),FALSE))</f>
        <v/>
      </c>
      <c r="E48" s="421" t="b">
        <f>IF(U12List[[#This Row],[FISTF Code]]="",FALSE,IFERROR(ISNUMBER(MATCH(U12List[[#This Row],[FISTF Code]],Players[FISTF Code],0)),FALSE))</f>
        <v>0</v>
      </c>
      <c r="F48" s="419" t="str">
        <f>IF(AND(U12List[[#This Row],[First &amp; Last Name]]="",U12List[[#This Row],[FISTF Code]]=""),"",IF(U12List[[#This Row],[Valide Code ?]],INDEX(Players[Player Name],MATCH(U12List[[#This Row],[FISTF Code]],Players[FISTF Code],0)),U12List[[#This Row],[First &amp; Last Name]]))</f>
        <v/>
      </c>
      <c r="G48" s="233" t="str">
        <f>IF(U12List[[#This Row],[Retained Player Name]]="","",VLOOKUP(U12List[[#This Row],[Retained Player Name]],Players[],7,FALSE))</f>
        <v/>
      </c>
      <c r="H48" s="235" t="str">
        <f>IF(U12List[[#This Row],[Retained Player Name]]="","",VLOOKUP(U12List[[#This Row],[Retained Player Name]],Players[],6,FALSE))</f>
        <v/>
      </c>
      <c r="I48" s="235" t="str">
        <f>IF(U12List[[#This Row],[Retained Player Name]]="","",VLOOKUP(U12List[[#This Row],[Retained Player Name]],Players[],4,FALSE))</f>
        <v/>
      </c>
      <c r="J4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8" s="231"/>
      <c r="L48" s="231"/>
      <c r="M48" s="7"/>
    </row>
    <row r="49" spans="1:13" s="8" customFormat="1" ht="12.75" customHeight="1" x14ac:dyDescent="0.2">
      <c r="A49" s="16" t="str">
        <f>IF(AND(U12List[[#This Row],[First &amp; Last Name]]="",U12List[[#This Row],[FISTF Code]]=""),"",ROW()-ROW($A$11))</f>
        <v/>
      </c>
      <c r="B49" s="232"/>
      <c r="C49" s="436"/>
      <c r="D49" s="421" t="str">
        <f>IF(U12List[[#This Row],[First &amp; Last Name]]="","",IFERROR(ISNUMBER(MATCH(U12List[[#This Row],[First &amp; Last Name]],Players[Player Name],0)),FALSE))</f>
        <v/>
      </c>
      <c r="E49" s="421" t="b">
        <f>IF(U12List[[#This Row],[FISTF Code]]="",FALSE,IFERROR(ISNUMBER(MATCH(U12List[[#This Row],[FISTF Code]],Players[FISTF Code],0)),FALSE))</f>
        <v>0</v>
      </c>
      <c r="F49" s="419" t="str">
        <f>IF(AND(U12List[[#This Row],[First &amp; Last Name]]="",U12List[[#This Row],[FISTF Code]]=""),"",IF(U12List[[#This Row],[Valide Code ?]],INDEX(Players[Player Name],MATCH(U12List[[#This Row],[FISTF Code]],Players[FISTF Code],0)),U12List[[#This Row],[First &amp; Last Name]]))</f>
        <v/>
      </c>
      <c r="G49" s="233" t="str">
        <f>IF(U12List[[#This Row],[Retained Player Name]]="","",VLOOKUP(U12List[[#This Row],[Retained Player Name]],Players[],7,FALSE))</f>
        <v/>
      </c>
      <c r="H49" s="235" t="str">
        <f>IF(U12List[[#This Row],[Retained Player Name]]="","",VLOOKUP(U12List[[#This Row],[Retained Player Name]],Players[],6,FALSE))</f>
        <v/>
      </c>
      <c r="I49" s="235" t="str">
        <f>IF(U12List[[#This Row],[Retained Player Name]]="","",VLOOKUP(U12List[[#This Row],[Retained Player Name]],Players[],4,FALSE))</f>
        <v/>
      </c>
      <c r="J4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9" s="231"/>
      <c r="L49" s="231"/>
      <c r="M49" s="7"/>
    </row>
    <row r="50" spans="1:13" s="8" customFormat="1" ht="12.75" customHeight="1" x14ac:dyDescent="0.2">
      <c r="A50" s="16" t="str">
        <f>IF(AND(U12List[[#This Row],[First &amp; Last Name]]="",U12List[[#This Row],[FISTF Code]]=""),"",ROW()-ROW($A$11))</f>
        <v/>
      </c>
      <c r="B50" s="232"/>
      <c r="C50" s="436"/>
      <c r="D50" s="421" t="str">
        <f>IF(U12List[[#This Row],[First &amp; Last Name]]="","",IFERROR(ISNUMBER(MATCH(U12List[[#This Row],[First &amp; Last Name]],Players[Player Name],0)),FALSE))</f>
        <v/>
      </c>
      <c r="E50" s="421" t="b">
        <f>IF(U12List[[#This Row],[FISTF Code]]="",FALSE,IFERROR(ISNUMBER(MATCH(U12List[[#This Row],[FISTF Code]],Players[FISTF Code],0)),FALSE))</f>
        <v>0</v>
      </c>
      <c r="F50" s="419" t="str">
        <f>IF(AND(U12List[[#This Row],[First &amp; Last Name]]="",U12List[[#This Row],[FISTF Code]]=""),"",IF(U12List[[#This Row],[Valide Code ?]],INDEX(Players[Player Name],MATCH(U12List[[#This Row],[FISTF Code]],Players[FISTF Code],0)),U12List[[#This Row],[First &amp; Last Name]]))</f>
        <v/>
      </c>
      <c r="G50" s="233" t="str">
        <f>IF(U12List[[#This Row],[Retained Player Name]]="","",VLOOKUP(U12List[[#This Row],[Retained Player Name]],Players[],7,FALSE))</f>
        <v/>
      </c>
      <c r="H50" s="235" t="str">
        <f>IF(U12List[[#This Row],[Retained Player Name]]="","",VLOOKUP(U12List[[#This Row],[Retained Player Name]],Players[],6,FALSE))</f>
        <v/>
      </c>
      <c r="I50" s="235" t="str">
        <f>IF(U12List[[#This Row],[Retained Player Name]]="","",VLOOKUP(U12List[[#This Row],[Retained Player Name]],Players[],4,FALSE))</f>
        <v/>
      </c>
      <c r="J5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0" s="231"/>
      <c r="L50" s="231"/>
      <c r="M50" s="7"/>
    </row>
    <row r="51" spans="1:13" s="8" customFormat="1" ht="12.75" customHeight="1" x14ac:dyDescent="0.2">
      <c r="A51" s="322" t="str">
        <f>IF(AND(U12List[[#This Row],[First &amp; Last Name]]="",U12List[[#This Row],[FISTF Code]]=""),"",ROW()-ROW($A$11))</f>
        <v/>
      </c>
      <c r="B51" s="323"/>
      <c r="C51" s="437"/>
      <c r="D51" s="422" t="str">
        <f>IF(U12List[[#This Row],[First &amp; Last Name]]="","",IFERROR(ISNUMBER(MATCH(U12List[[#This Row],[First &amp; Last Name]],Players[Player Name],0)),FALSE))</f>
        <v/>
      </c>
      <c r="E51" s="422" t="b">
        <f>IF(U12List[[#This Row],[FISTF Code]]="",FALSE,IFERROR(ISNUMBER(MATCH(U12List[[#This Row],[FISTF Code]],Players[FISTF Code],0)),FALSE))</f>
        <v>0</v>
      </c>
      <c r="F51" s="420" t="str">
        <f>IF(AND(U12List[[#This Row],[First &amp; Last Name]]="",U12List[[#This Row],[FISTF Code]]=""),"",IF(U12List[[#This Row],[Valide Code ?]],INDEX(Players[Player Name],MATCH(U12List[[#This Row],[FISTF Code]],Players[FISTF Code],0)),U12List[[#This Row],[First &amp; Last Name]]))</f>
        <v/>
      </c>
      <c r="G51" s="233" t="str">
        <f>IF(U12List[[#This Row],[Retained Player Name]]="","",VLOOKUP(U12List[[#This Row],[Retained Player Name]],Players[],7,FALSE))</f>
        <v/>
      </c>
      <c r="H51" s="235" t="str">
        <f>IF(U12List[[#This Row],[Retained Player Name]]="","",VLOOKUP(U12List[[#This Row],[Retained Player Name]],Players[],6,FALSE))</f>
        <v/>
      </c>
      <c r="I51" s="235" t="str">
        <f>IF(U12List[[#This Row],[Retained Player Name]]="","",VLOOKUP(U12List[[#This Row],[Retained Player Name]],Players[],4,FALSE))</f>
        <v/>
      </c>
      <c r="J5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1" s="231"/>
      <c r="L51" s="231"/>
      <c r="M51" s="7"/>
    </row>
    <row r="52" spans="1:13" s="8" customFormat="1" ht="12.75" customHeight="1" x14ac:dyDescent="0.2">
      <c r="A52" s="322" t="str">
        <f>IF(AND(U12List[[#This Row],[First &amp; Last Name]]="",U12List[[#This Row],[FISTF Code]]=""),"",ROW()-ROW($A$11))</f>
        <v/>
      </c>
      <c r="B52" s="323"/>
      <c r="C52" s="437"/>
      <c r="D52" s="422" t="str">
        <f>IF(U12List[[#This Row],[First &amp; Last Name]]="","",IFERROR(ISNUMBER(MATCH(U12List[[#This Row],[First &amp; Last Name]],Players[Player Name],0)),FALSE))</f>
        <v/>
      </c>
      <c r="E52" s="422" t="b">
        <f>IF(U12List[[#This Row],[FISTF Code]]="",FALSE,IFERROR(ISNUMBER(MATCH(U12List[[#This Row],[FISTF Code]],Players[FISTF Code],0)),FALSE))</f>
        <v>0</v>
      </c>
      <c r="F52" s="420" t="str">
        <f>IF(AND(U12List[[#This Row],[First &amp; Last Name]]="",U12List[[#This Row],[FISTF Code]]=""),"",IF(U12List[[#This Row],[Valide Code ?]],INDEX(Players[Player Name],MATCH(U12List[[#This Row],[FISTF Code]],Players[FISTF Code],0)),U12List[[#This Row],[First &amp; Last Name]]))</f>
        <v/>
      </c>
      <c r="G52" s="233" t="str">
        <f>IF(U12List[[#This Row],[Retained Player Name]]="","",VLOOKUP(U12List[[#This Row],[Retained Player Name]],Players[],7,FALSE))</f>
        <v/>
      </c>
      <c r="H52" s="235" t="str">
        <f>IF(U12List[[#This Row],[Retained Player Name]]="","",VLOOKUP(U12List[[#This Row],[Retained Player Name]],Players[],6,FALSE))</f>
        <v/>
      </c>
      <c r="I52" s="235" t="str">
        <f>IF(U12List[[#This Row],[Retained Player Name]]="","",VLOOKUP(U12List[[#This Row],[Retained Player Name]],Players[],4,FALSE))</f>
        <v/>
      </c>
      <c r="J5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2" s="231"/>
      <c r="L52" s="231"/>
      <c r="M52" s="7"/>
    </row>
    <row r="53" spans="1:13" s="8" customFormat="1" ht="12.75" customHeight="1" x14ac:dyDescent="0.2">
      <c r="A53" s="322" t="str">
        <f>IF(AND(U12List[[#This Row],[First &amp; Last Name]]="",U12List[[#This Row],[FISTF Code]]=""),"",ROW()-ROW($A$11))</f>
        <v/>
      </c>
      <c r="B53" s="323"/>
      <c r="C53" s="437"/>
      <c r="D53" s="422" t="str">
        <f>IF(U12List[[#This Row],[First &amp; Last Name]]="","",IFERROR(ISNUMBER(MATCH(U12List[[#This Row],[First &amp; Last Name]],Players[Player Name],0)),FALSE))</f>
        <v/>
      </c>
      <c r="E53" s="422" t="b">
        <f>IF(U12List[[#This Row],[FISTF Code]]="",FALSE,IFERROR(ISNUMBER(MATCH(U12List[[#This Row],[FISTF Code]],Players[FISTF Code],0)),FALSE))</f>
        <v>0</v>
      </c>
      <c r="F53" s="420" t="str">
        <f>IF(AND(U12List[[#This Row],[First &amp; Last Name]]="",U12List[[#This Row],[FISTF Code]]=""),"",IF(U12List[[#This Row],[Valide Code ?]],INDEX(Players[Player Name],MATCH(U12List[[#This Row],[FISTF Code]],Players[FISTF Code],0)),U12List[[#This Row],[First &amp; Last Name]]))</f>
        <v/>
      </c>
      <c r="G53" s="233" t="str">
        <f>IF(U12List[[#This Row],[Retained Player Name]]="","",VLOOKUP(U12List[[#This Row],[Retained Player Name]],Players[],7,FALSE))</f>
        <v/>
      </c>
      <c r="H53" s="235" t="str">
        <f>IF(U12List[[#This Row],[Retained Player Name]]="","",VLOOKUP(U12List[[#This Row],[Retained Player Name]],Players[],6,FALSE))</f>
        <v/>
      </c>
      <c r="I53" s="235" t="str">
        <f>IF(U12List[[#This Row],[Retained Player Name]]="","",VLOOKUP(U12List[[#This Row],[Retained Player Name]],Players[],4,FALSE))</f>
        <v/>
      </c>
      <c r="J5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3" s="231"/>
      <c r="L53" s="231"/>
      <c r="M53" s="7"/>
    </row>
    <row r="54" spans="1:13" s="8" customFormat="1" ht="12.75" customHeight="1" x14ac:dyDescent="0.2">
      <c r="A54" s="322" t="str">
        <f>IF(AND(U12List[[#This Row],[First &amp; Last Name]]="",U12List[[#This Row],[FISTF Code]]=""),"",ROW()-ROW($A$11))</f>
        <v/>
      </c>
      <c r="B54" s="323"/>
      <c r="C54" s="437"/>
      <c r="D54" s="422" t="str">
        <f>IF(U12List[[#This Row],[First &amp; Last Name]]="","",IFERROR(ISNUMBER(MATCH(U12List[[#This Row],[First &amp; Last Name]],Players[Player Name],0)),FALSE))</f>
        <v/>
      </c>
      <c r="E54" s="422" t="b">
        <f>IF(U12List[[#This Row],[FISTF Code]]="",FALSE,IFERROR(ISNUMBER(MATCH(U12List[[#This Row],[FISTF Code]],Players[FISTF Code],0)),FALSE))</f>
        <v>0</v>
      </c>
      <c r="F54" s="420" t="str">
        <f>IF(AND(U12List[[#This Row],[First &amp; Last Name]]="",U12List[[#This Row],[FISTF Code]]=""),"",IF(U12List[[#This Row],[Valide Code ?]],INDEX(Players[Player Name],MATCH(U12List[[#This Row],[FISTF Code]],Players[FISTF Code],0)),U12List[[#This Row],[First &amp; Last Name]]))</f>
        <v/>
      </c>
      <c r="G54" s="233" t="str">
        <f>IF(U12List[[#This Row],[Retained Player Name]]="","",VLOOKUP(U12List[[#This Row],[Retained Player Name]],Players[],7,FALSE))</f>
        <v/>
      </c>
      <c r="H54" s="235" t="str">
        <f>IF(U12List[[#This Row],[Retained Player Name]]="","",VLOOKUP(U12List[[#This Row],[Retained Player Name]],Players[],6,FALSE))</f>
        <v/>
      </c>
      <c r="I54" s="235" t="str">
        <f>IF(U12List[[#This Row],[Retained Player Name]]="","",VLOOKUP(U12List[[#This Row],[Retained Player Name]],Players[],4,FALSE))</f>
        <v/>
      </c>
      <c r="J5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4" s="231"/>
      <c r="L54" s="231"/>
      <c r="M54" s="7"/>
    </row>
    <row r="55" spans="1:13" s="8" customFormat="1" ht="12.75" customHeight="1" x14ac:dyDescent="0.2">
      <c r="A55" s="322" t="str">
        <f>IF(AND(U12List[[#This Row],[First &amp; Last Name]]="",U12List[[#This Row],[FISTF Code]]=""),"",ROW()-ROW($A$11))</f>
        <v/>
      </c>
      <c r="B55" s="323"/>
      <c r="C55" s="437"/>
      <c r="D55" s="422" t="str">
        <f>IF(U12List[[#This Row],[First &amp; Last Name]]="","",IFERROR(ISNUMBER(MATCH(U12List[[#This Row],[First &amp; Last Name]],Players[Player Name],0)),FALSE))</f>
        <v/>
      </c>
      <c r="E55" s="422" t="b">
        <f>IF(U12List[[#This Row],[FISTF Code]]="",FALSE,IFERROR(ISNUMBER(MATCH(U12List[[#This Row],[FISTF Code]],Players[FISTF Code],0)),FALSE))</f>
        <v>0</v>
      </c>
      <c r="F55" s="420" t="str">
        <f>IF(AND(U12List[[#This Row],[First &amp; Last Name]]="",U12List[[#This Row],[FISTF Code]]=""),"",IF(U12List[[#This Row],[Valide Code ?]],INDEX(Players[Player Name],MATCH(U12List[[#This Row],[FISTF Code]],Players[FISTF Code],0)),U12List[[#This Row],[First &amp; Last Name]]))</f>
        <v/>
      </c>
      <c r="G55" s="233" t="str">
        <f>IF(U12List[[#This Row],[Retained Player Name]]="","",VLOOKUP(U12List[[#This Row],[Retained Player Name]],Players[],7,FALSE))</f>
        <v/>
      </c>
      <c r="H55" s="235" t="str">
        <f>IF(U12List[[#This Row],[Retained Player Name]]="","",VLOOKUP(U12List[[#This Row],[Retained Player Name]],Players[],6,FALSE))</f>
        <v/>
      </c>
      <c r="I55" s="235" t="str">
        <f>IF(U12List[[#This Row],[Retained Player Name]]="","",VLOOKUP(U12List[[#This Row],[Retained Player Name]],Players[],4,FALSE))</f>
        <v/>
      </c>
      <c r="J5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5" s="231"/>
      <c r="L55" s="231"/>
      <c r="M55" s="7"/>
    </row>
    <row r="56" spans="1:13" s="8" customFormat="1" ht="12.75" customHeight="1" x14ac:dyDescent="0.2">
      <c r="A56" s="322" t="str">
        <f>IF(AND(U12List[[#This Row],[First &amp; Last Name]]="",U12List[[#This Row],[FISTF Code]]=""),"",ROW()-ROW($A$11))</f>
        <v/>
      </c>
      <c r="B56" s="323"/>
      <c r="C56" s="437"/>
      <c r="D56" s="422" t="str">
        <f>IF(U12List[[#This Row],[First &amp; Last Name]]="","",IFERROR(ISNUMBER(MATCH(U12List[[#This Row],[First &amp; Last Name]],Players[Player Name],0)),FALSE))</f>
        <v/>
      </c>
      <c r="E56" s="422" t="b">
        <f>IF(U12List[[#This Row],[FISTF Code]]="",FALSE,IFERROR(ISNUMBER(MATCH(U12List[[#This Row],[FISTF Code]],Players[FISTF Code],0)),FALSE))</f>
        <v>0</v>
      </c>
      <c r="F56" s="420" t="str">
        <f>IF(AND(U12List[[#This Row],[First &amp; Last Name]]="",U12List[[#This Row],[FISTF Code]]=""),"",IF(U12List[[#This Row],[Valide Code ?]],INDEX(Players[Player Name],MATCH(U12List[[#This Row],[FISTF Code]],Players[FISTF Code],0)),U12List[[#This Row],[First &amp; Last Name]]))</f>
        <v/>
      </c>
      <c r="G56" s="233" t="str">
        <f>IF(U12List[[#This Row],[Retained Player Name]]="","",VLOOKUP(U12List[[#This Row],[Retained Player Name]],Players[],7,FALSE))</f>
        <v/>
      </c>
      <c r="H56" s="235" t="str">
        <f>IF(U12List[[#This Row],[Retained Player Name]]="","",VLOOKUP(U12List[[#This Row],[Retained Player Name]],Players[],6,FALSE))</f>
        <v/>
      </c>
      <c r="I56" s="235" t="str">
        <f>IF(U12List[[#This Row],[Retained Player Name]]="","",VLOOKUP(U12List[[#This Row],[Retained Player Name]],Players[],4,FALSE))</f>
        <v/>
      </c>
      <c r="J5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6" s="231"/>
      <c r="L56" s="231"/>
      <c r="M56" s="7"/>
    </row>
    <row r="57" spans="1:13" s="8" customFormat="1" ht="12.75" customHeight="1" x14ac:dyDescent="0.2">
      <c r="A57" s="322" t="str">
        <f>IF(AND(U12List[[#This Row],[First &amp; Last Name]]="",U12List[[#This Row],[FISTF Code]]=""),"",ROW()-ROW($A$11))</f>
        <v/>
      </c>
      <c r="B57" s="323"/>
      <c r="C57" s="437"/>
      <c r="D57" s="422" t="str">
        <f>IF(U12List[[#This Row],[First &amp; Last Name]]="","",IFERROR(ISNUMBER(MATCH(U12List[[#This Row],[First &amp; Last Name]],Players[Player Name],0)),FALSE))</f>
        <v/>
      </c>
      <c r="E57" s="422" t="b">
        <f>IF(U12List[[#This Row],[FISTF Code]]="",FALSE,IFERROR(ISNUMBER(MATCH(U12List[[#This Row],[FISTF Code]],Players[FISTF Code],0)),FALSE))</f>
        <v>0</v>
      </c>
      <c r="F57" s="420" t="str">
        <f>IF(AND(U12List[[#This Row],[First &amp; Last Name]]="",U12List[[#This Row],[FISTF Code]]=""),"",IF(U12List[[#This Row],[Valide Code ?]],INDEX(Players[Player Name],MATCH(U12List[[#This Row],[FISTF Code]],Players[FISTF Code],0)),U12List[[#This Row],[First &amp; Last Name]]))</f>
        <v/>
      </c>
      <c r="G57" s="233" t="str">
        <f>IF(U12List[[#This Row],[Retained Player Name]]="","",VLOOKUP(U12List[[#This Row],[Retained Player Name]],Players[],7,FALSE))</f>
        <v/>
      </c>
      <c r="H57" s="235" t="str">
        <f>IF(U12List[[#This Row],[Retained Player Name]]="","",VLOOKUP(U12List[[#This Row],[Retained Player Name]],Players[],6,FALSE))</f>
        <v/>
      </c>
      <c r="I57" s="235" t="str">
        <f>IF(U12List[[#This Row],[Retained Player Name]]="","",VLOOKUP(U12List[[#This Row],[Retained Player Name]],Players[],4,FALSE))</f>
        <v/>
      </c>
      <c r="J5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7" s="231"/>
      <c r="L57" s="231"/>
      <c r="M57" s="7"/>
    </row>
    <row r="58" spans="1:13" s="8" customFormat="1" ht="12.75" customHeight="1" x14ac:dyDescent="0.2">
      <c r="A58" s="322" t="str">
        <f>IF(AND(U12List[[#This Row],[First &amp; Last Name]]="",U12List[[#This Row],[FISTF Code]]=""),"",ROW()-ROW($A$11))</f>
        <v/>
      </c>
      <c r="B58" s="323"/>
      <c r="C58" s="437"/>
      <c r="D58" s="422" t="str">
        <f>IF(U12List[[#This Row],[First &amp; Last Name]]="","",IFERROR(ISNUMBER(MATCH(U12List[[#This Row],[First &amp; Last Name]],Players[Player Name],0)),FALSE))</f>
        <v/>
      </c>
      <c r="E58" s="422" t="b">
        <f>IF(U12List[[#This Row],[FISTF Code]]="",FALSE,IFERROR(ISNUMBER(MATCH(U12List[[#This Row],[FISTF Code]],Players[FISTF Code],0)),FALSE))</f>
        <v>0</v>
      </c>
      <c r="F58" s="420" t="str">
        <f>IF(AND(U12List[[#This Row],[First &amp; Last Name]]="",U12List[[#This Row],[FISTF Code]]=""),"",IF(U12List[[#This Row],[Valide Code ?]],INDEX(Players[Player Name],MATCH(U12List[[#This Row],[FISTF Code]],Players[FISTF Code],0)),U12List[[#This Row],[First &amp; Last Name]]))</f>
        <v/>
      </c>
      <c r="G58" s="233" t="str">
        <f>IF(U12List[[#This Row],[Retained Player Name]]="","",VLOOKUP(U12List[[#This Row],[Retained Player Name]],Players[],7,FALSE))</f>
        <v/>
      </c>
      <c r="H58" s="235" t="str">
        <f>IF(U12List[[#This Row],[Retained Player Name]]="","",VLOOKUP(U12List[[#This Row],[Retained Player Name]],Players[],6,FALSE))</f>
        <v/>
      </c>
      <c r="I58" s="235" t="str">
        <f>IF(U12List[[#This Row],[Retained Player Name]]="","",VLOOKUP(U12List[[#This Row],[Retained Player Name]],Players[],4,FALSE))</f>
        <v/>
      </c>
      <c r="J5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8" s="231"/>
      <c r="L58" s="231"/>
      <c r="M58" s="7"/>
    </row>
    <row r="59" spans="1:13" s="8" customFormat="1" ht="12.75" customHeight="1" x14ac:dyDescent="0.2">
      <c r="A59" s="322" t="str">
        <f>IF(AND(U12List[[#This Row],[First &amp; Last Name]]="",U12List[[#This Row],[FISTF Code]]=""),"",ROW()-ROW($A$11))</f>
        <v/>
      </c>
      <c r="B59" s="323"/>
      <c r="C59" s="437"/>
      <c r="D59" s="422" t="str">
        <f>IF(U12List[[#This Row],[First &amp; Last Name]]="","",IFERROR(ISNUMBER(MATCH(U12List[[#This Row],[First &amp; Last Name]],Players[Player Name],0)),FALSE))</f>
        <v/>
      </c>
      <c r="E59" s="422" t="b">
        <f>IF(U12List[[#This Row],[FISTF Code]]="",FALSE,IFERROR(ISNUMBER(MATCH(U12List[[#This Row],[FISTF Code]],Players[FISTF Code],0)),FALSE))</f>
        <v>0</v>
      </c>
      <c r="F59" s="420" t="str">
        <f>IF(AND(U12List[[#This Row],[First &amp; Last Name]]="",U12List[[#This Row],[FISTF Code]]=""),"",IF(U12List[[#This Row],[Valide Code ?]],INDEX(Players[Player Name],MATCH(U12List[[#This Row],[FISTF Code]],Players[FISTF Code],0)),U12List[[#This Row],[First &amp; Last Name]]))</f>
        <v/>
      </c>
      <c r="G59" s="233" t="str">
        <f>IF(U12List[[#This Row],[Retained Player Name]]="","",VLOOKUP(U12List[[#This Row],[Retained Player Name]],Players[],7,FALSE))</f>
        <v/>
      </c>
      <c r="H59" s="235" t="str">
        <f>IF(U12List[[#This Row],[Retained Player Name]]="","",VLOOKUP(U12List[[#This Row],[Retained Player Name]],Players[],6,FALSE))</f>
        <v/>
      </c>
      <c r="I59" s="235" t="str">
        <f>IF(U12List[[#This Row],[Retained Player Name]]="","",VLOOKUP(U12List[[#This Row],[Retained Player Name]],Players[],4,FALSE))</f>
        <v/>
      </c>
      <c r="J5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9" s="231"/>
      <c r="L59" s="231"/>
      <c r="M59" s="7"/>
    </row>
    <row r="60" spans="1:13" s="8" customFormat="1" ht="12.75" customHeight="1" x14ac:dyDescent="0.2">
      <c r="A60" s="322" t="str">
        <f>IF(AND(U12List[[#This Row],[First &amp; Last Name]]="",U12List[[#This Row],[FISTF Code]]=""),"",ROW()-ROW($A$11))</f>
        <v/>
      </c>
      <c r="B60" s="323"/>
      <c r="C60" s="437"/>
      <c r="D60" s="422" t="str">
        <f>IF(U12List[[#This Row],[First &amp; Last Name]]="","",IFERROR(ISNUMBER(MATCH(U12List[[#This Row],[First &amp; Last Name]],Players[Player Name],0)),FALSE))</f>
        <v/>
      </c>
      <c r="E60" s="422" t="b">
        <f>IF(U12List[[#This Row],[FISTF Code]]="",FALSE,IFERROR(ISNUMBER(MATCH(U12List[[#This Row],[FISTF Code]],Players[FISTF Code],0)),FALSE))</f>
        <v>0</v>
      </c>
      <c r="F60" s="420" t="str">
        <f>IF(AND(U12List[[#This Row],[First &amp; Last Name]]="",U12List[[#This Row],[FISTF Code]]=""),"",IF(U12List[[#This Row],[Valide Code ?]],INDEX(Players[Player Name],MATCH(U12List[[#This Row],[FISTF Code]],Players[FISTF Code],0)),U12List[[#This Row],[First &amp; Last Name]]))</f>
        <v/>
      </c>
      <c r="G60" s="233" t="str">
        <f>IF(U12List[[#This Row],[Retained Player Name]]="","",VLOOKUP(U12List[[#This Row],[Retained Player Name]],Players[],7,FALSE))</f>
        <v/>
      </c>
      <c r="H60" s="235" t="str">
        <f>IF(U12List[[#This Row],[Retained Player Name]]="","",VLOOKUP(U12List[[#This Row],[Retained Player Name]],Players[],6,FALSE))</f>
        <v/>
      </c>
      <c r="I60" s="235" t="str">
        <f>IF(U12List[[#This Row],[Retained Player Name]]="","",VLOOKUP(U12List[[#This Row],[Retained Player Name]],Players[],4,FALSE))</f>
        <v/>
      </c>
      <c r="J6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0" s="231"/>
      <c r="L60" s="231"/>
      <c r="M60" s="7"/>
    </row>
    <row r="61" spans="1:13" s="8" customFormat="1" ht="12.75" customHeight="1" x14ac:dyDescent="0.2">
      <c r="A61" s="322" t="str">
        <f>IF(AND(U12List[[#This Row],[First &amp; Last Name]]="",U12List[[#This Row],[FISTF Code]]=""),"",ROW()-ROW($A$11))</f>
        <v/>
      </c>
      <c r="B61" s="323"/>
      <c r="C61" s="437"/>
      <c r="D61" s="422" t="str">
        <f>IF(U12List[[#This Row],[First &amp; Last Name]]="","",IFERROR(ISNUMBER(MATCH(U12List[[#This Row],[First &amp; Last Name]],Players[Player Name],0)),FALSE))</f>
        <v/>
      </c>
      <c r="E61" s="422" t="b">
        <f>IF(U12List[[#This Row],[FISTF Code]]="",FALSE,IFERROR(ISNUMBER(MATCH(U12List[[#This Row],[FISTF Code]],Players[FISTF Code],0)),FALSE))</f>
        <v>0</v>
      </c>
      <c r="F61" s="420" t="str">
        <f>IF(AND(U12List[[#This Row],[First &amp; Last Name]]="",U12List[[#This Row],[FISTF Code]]=""),"",IF(U12List[[#This Row],[Valide Code ?]],INDEX(Players[Player Name],MATCH(U12List[[#This Row],[FISTF Code]],Players[FISTF Code],0)),U12List[[#This Row],[First &amp; Last Name]]))</f>
        <v/>
      </c>
      <c r="G61" s="233" t="str">
        <f>IF(U12List[[#This Row],[Retained Player Name]]="","",VLOOKUP(U12List[[#This Row],[Retained Player Name]],Players[],7,FALSE))</f>
        <v/>
      </c>
      <c r="H61" s="235" t="str">
        <f>IF(U12List[[#This Row],[Retained Player Name]]="","",VLOOKUP(U12List[[#This Row],[Retained Player Name]],Players[],6,FALSE))</f>
        <v/>
      </c>
      <c r="I61" s="235" t="str">
        <f>IF(U12List[[#This Row],[Retained Player Name]]="","",VLOOKUP(U12List[[#This Row],[Retained Player Name]],Players[],4,FALSE))</f>
        <v/>
      </c>
      <c r="J6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1" s="231"/>
      <c r="L61" s="231"/>
      <c r="M61" s="7"/>
    </row>
    <row r="62" spans="1:13" s="8" customFormat="1" ht="12.75" customHeight="1" x14ac:dyDescent="0.2">
      <c r="A62" s="322" t="str">
        <f>IF(AND(U12List[[#This Row],[First &amp; Last Name]]="",U12List[[#This Row],[FISTF Code]]=""),"",ROW()-ROW($A$11))</f>
        <v/>
      </c>
      <c r="B62" s="323"/>
      <c r="C62" s="437"/>
      <c r="D62" s="422" t="str">
        <f>IF(U12List[[#This Row],[First &amp; Last Name]]="","",IFERROR(ISNUMBER(MATCH(U12List[[#This Row],[First &amp; Last Name]],Players[Player Name],0)),FALSE))</f>
        <v/>
      </c>
      <c r="E62" s="422" t="b">
        <f>IF(U12List[[#This Row],[FISTF Code]]="",FALSE,IFERROR(ISNUMBER(MATCH(U12List[[#This Row],[FISTF Code]],Players[FISTF Code],0)),FALSE))</f>
        <v>0</v>
      </c>
      <c r="F62" s="420" t="str">
        <f>IF(AND(U12List[[#This Row],[First &amp; Last Name]]="",U12List[[#This Row],[FISTF Code]]=""),"",IF(U12List[[#This Row],[Valide Code ?]],INDEX(Players[Player Name],MATCH(U12List[[#This Row],[FISTF Code]],Players[FISTF Code],0)),U12List[[#This Row],[First &amp; Last Name]]))</f>
        <v/>
      </c>
      <c r="G62" s="233" t="str">
        <f>IF(U12List[[#This Row],[Retained Player Name]]="","",VLOOKUP(U12List[[#This Row],[Retained Player Name]],Players[],7,FALSE))</f>
        <v/>
      </c>
      <c r="H62" s="235" t="str">
        <f>IF(U12List[[#This Row],[Retained Player Name]]="","",VLOOKUP(U12List[[#This Row],[Retained Player Name]],Players[],6,FALSE))</f>
        <v/>
      </c>
      <c r="I62" s="235" t="str">
        <f>IF(U12List[[#This Row],[Retained Player Name]]="","",VLOOKUP(U12List[[#This Row],[Retained Player Name]],Players[],4,FALSE))</f>
        <v/>
      </c>
      <c r="J6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2" s="231"/>
      <c r="L62" s="231"/>
      <c r="M62" s="7"/>
    </row>
    <row r="63" spans="1:13" s="8" customFormat="1" ht="12.75" customHeight="1" x14ac:dyDescent="0.2">
      <c r="A63" s="322" t="str">
        <f>IF(AND(U12List[[#This Row],[First &amp; Last Name]]="",U12List[[#This Row],[FISTF Code]]=""),"",ROW()-ROW($A$11))</f>
        <v/>
      </c>
      <c r="B63" s="323"/>
      <c r="C63" s="437"/>
      <c r="D63" s="422" t="str">
        <f>IF(U12List[[#This Row],[First &amp; Last Name]]="","",IFERROR(ISNUMBER(MATCH(U12List[[#This Row],[First &amp; Last Name]],Players[Player Name],0)),FALSE))</f>
        <v/>
      </c>
      <c r="E63" s="422" t="b">
        <f>IF(U12List[[#This Row],[FISTF Code]]="",FALSE,IFERROR(ISNUMBER(MATCH(U12List[[#This Row],[FISTF Code]],Players[FISTF Code],0)),FALSE))</f>
        <v>0</v>
      </c>
      <c r="F63" s="420" t="str">
        <f>IF(AND(U12List[[#This Row],[First &amp; Last Name]]="",U12List[[#This Row],[FISTF Code]]=""),"",IF(U12List[[#This Row],[Valide Code ?]],INDEX(Players[Player Name],MATCH(U12List[[#This Row],[FISTF Code]],Players[FISTF Code],0)),U12List[[#This Row],[First &amp; Last Name]]))</f>
        <v/>
      </c>
      <c r="G63" s="233" t="str">
        <f>IF(U12List[[#This Row],[Retained Player Name]]="","",VLOOKUP(U12List[[#This Row],[Retained Player Name]],Players[],7,FALSE))</f>
        <v/>
      </c>
      <c r="H63" s="235" t="str">
        <f>IF(U12List[[#This Row],[Retained Player Name]]="","",VLOOKUP(U12List[[#This Row],[Retained Player Name]],Players[],6,FALSE))</f>
        <v/>
      </c>
      <c r="I63" s="235" t="str">
        <f>IF(U12List[[#This Row],[Retained Player Name]]="","",VLOOKUP(U12List[[#This Row],[Retained Player Name]],Players[],4,FALSE))</f>
        <v/>
      </c>
      <c r="J6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3" s="231"/>
      <c r="L63" s="231"/>
      <c r="M63" s="7"/>
    </row>
    <row r="64" spans="1:13" s="8" customFormat="1" ht="12.75" customHeight="1" x14ac:dyDescent="0.2">
      <c r="A64" s="322" t="str">
        <f>IF(AND(U12List[[#This Row],[First &amp; Last Name]]="",U12List[[#This Row],[FISTF Code]]=""),"",ROW()-ROW($A$11))</f>
        <v/>
      </c>
      <c r="B64" s="323"/>
      <c r="C64" s="437"/>
      <c r="D64" s="422" t="str">
        <f>IF(U12List[[#This Row],[First &amp; Last Name]]="","",IFERROR(ISNUMBER(MATCH(U12List[[#This Row],[First &amp; Last Name]],Players[Player Name],0)),FALSE))</f>
        <v/>
      </c>
      <c r="E64" s="422" t="b">
        <f>IF(U12List[[#This Row],[FISTF Code]]="",FALSE,IFERROR(ISNUMBER(MATCH(U12List[[#This Row],[FISTF Code]],Players[FISTF Code],0)),FALSE))</f>
        <v>0</v>
      </c>
      <c r="F64" s="420" t="str">
        <f>IF(AND(U12List[[#This Row],[First &amp; Last Name]]="",U12List[[#This Row],[FISTF Code]]=""),"",IF(U12List[[#This Row],[Valide Code ?]],INDEX(Players[Player Name],MATCH(U12List[[#This Row],[FISTF Code]],Players[FISTF Code],0)),U12List[[#This Row],[First &amp; Last Name]]))</f>
        <v/>
      </c>
      <c r="G64" s="233" t="str">
        <f>IF(U12List[[#This Row],[Retained Player Name]]="","",VLOOKUP(U12List[[#This Row],[Retained Player Name]],Players[],7,FALSE))</f>
        <v/>
      </c>
      <c r="H64" s="235" t="str">
        <f>IF(U12List[[#This Row],[Retained Player Name]]="","",VLOOKUP(U12List[[#This Row],[Retained Player Name]],Players[],6,FALSE))</f>
        <v/>
      </c>
      <c r="I64" s="235" t="str">
        <f>IF(U12List[[#This Row],[Retained Player Name]]="","",VLOOKUP(U12List[[#This Row],[Retained Player Name]],Players[],4,FALSE))</f>
        <v/>
      </c>
      <c r="J6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4" s="231"/>
      <c r="L64" s="231"/>
      <c r="M64" s="7"/>
    </row>
    <row r="65" spans="1:13" s="8" customFormat="1" ht="12.75" customHeight="1" x14ac:dyDescent="0.2">
      <c r="A65" s="322" t="str">
        <f>IF(AND(U12List[[#This Row],[First &amp; Last Name]]="",U12List[[#This Row],[FISTF Code]]=""),"",ROW()-ROW($A$11))</f>
        <v/>
      </c>
      <c r="B65" s="323"/>
      <c r="C65" s="437"/>
      <c r="D65" s="422" t="str">
        <f>IF(U12List[[#This Row],[First &amp; Last Name]]="","",IFERROR(ISNUMBER(MATCH(U12List[[#This Row],[First &amp; Last Name]],Players[Player Name],0)),FALSE))</f>
        <v/>
      </c>
      <c r="E65" s="422" t="b">
        <f>IF(U12List[[#This Row],[FISTF Code]]="",FALSE,IFERROR(ISNUMBER(MATCH(U12List[[#This Row],[FISTF Code]],Players[FISTF Code],0)),FALSE))</f>
        <v>0</v>
      </c>
      <c r="F65" s="420" t="str">
        <f>IF(AND(U12List[[#This Row],[First &amp; Last Name]]="",U12List[[#This Row],[FISTF Code]]=""),"",IF(U12List[[#This Row],[Valide Code ?]],INDEX(Players[Player Name],MATCH(U12List[[#This Row],[FISTF Code]],Players[FISTF Code],0)),U12List[[#This Row],[First &amp; Last Name]]))</f>
        <v/>
      </c>
      <c r="G65" s="233" t="str">
        <f>IF(U12List[[#This Row],[Retained Player Name]]="","",VLOOKUP(U12List[[#This Row],[Retained Player Name]],Players[],7,FALSE))</f>
        <v/>
      </c>
      <c r="H65" s="235" t="str">
        <f>IF(U12List[[#This Row],[Retained Player Name]]="","",VLOOKUP(U12List[[#This Row],[Retained Player Name]],Players[],6,FALSE))</f>
        <v/>
      </c>
      <c r="I65" s="235" t="str">
        <f>IF(U12List[[#This Row],[Retained Player Name]]="","",VLOOKUP(U12List[[#This Row],[Retained Player Name]],Players[],4,FALSE))</f>
        <v/>
      </c>
      <c r="J6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5" s="231"/>
      <c r="L65" s="231"/>
      <c r="M65" s="7"/>
    </row>
    <row r="66" spans="1:13" s="8" customFormat="1" ht="12.75" customHeight="1" x14ac:dyDescent="0.2">
      <c r="A66" s="322" t="str">
        <f>IF(AND(U12List[[#This Row],[First &amp; Last Name]]="",U12List[[#This Row],[FISTF Code]]=""),"",ROW()-ROW($A$11))</f>
        <v/>
      </c>
      <c r="B66" s="323"/>
      <c r="C66" s="437"/>
      <c r="D66" s="422" t="str">
        <f>IF(U12List[[#This Row],[First &amp; Last Name]]="","",IFERROR(ISNUMBER(MATCH(U12List[[#This Row],[First &amp; Last Name]],Players[Player Name],0)),FALSE))</f>
        <v/>
      </c>
      <c r="E66" s="422" t="b">
        <f>IF(U12List[[#This Row],[FISTF Code]]="",FALSE,IFERROR(ISNUMBER(MATCH(U12List[[#This Row],[FISTF Code]],Players[FISTF Code],0)),FALSE))</f>
        <v>0</v>
      </c>
      <c r="F66" s="420" t="str">
        <f>IF(AND(U12List[[#This Row],[First &amp; Last Name]]="",U12List[[#This Row],[FISTF Code]]=""),"",IF(U12List[[#This Row],[Valide Code ?]],INDEX(Players[Player Name],MATCH(U12List[[#This Row],[FISTF Code]],Players[FISTF Code],0)),U12List[[#This Row],[First &amp; Last Name]]))</f>
        <v/>
      </c>
      <c r="G66" s="233" t="str">
        <f>IF(U12List[[#This Row],[Retained Player Name]]="","",VLOOKUP(U12List[[#This Row],[Retained Player Name]],Players[],7,FALSE))</f>
        <v/>
      </c>
      <c r="H66" s="235" t="str">
        <f>IF(U12List[[#This Row],[Retained Player Name]]="","",VLOOKUP(U12List[[#This Row],[Retained Player Name]],Players[],6,FALSE))</f>
        <v/>
      </c>
      <c r="I66" s="235" t="str">
        <f>IF(U12List[[#This Row],[Retained Player Name]]="","",VLOOKUP(U12List[[#This Row],[Retained Player Name]],Players[],4,FALSE))</f>
        <v/>
      </c>
      <c r="J6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6" s="231"/>
      <c r="L66" s="231"/>
      <c r="M66" s="7"/>
    </row>
    <row r="67" spans="1:13" s="8" customFormat="1" x14ac:dyDescent="0.2">
      <c r="A67" s="322" t="str">
        <f>IF(AND(U12List[[#This Row],[First &amp; Last Name]]="",U12List[[#This Row],[FISTF Code]]=""),"",ROW()-ROW($A$11))</f>
        <v/>
      </c>
      <c r="B67" s="323"/>
      <c r="C67" s="437"/>
      <c r="D67" s="422" t="str">
        <f>IF(U12List[[#This Row],[First &amp; Last Name]]="","",IFERROR(ISNUMBER(MATCH(U12List[[#This Row],[First &amp; Last Name]],Players[Player Name],0)),FALSE))</f>
        <v/>
      </c>
      <c r="E67" s="422" t="b">
        <f>IF(U12List[[#This Row],[FISTF Code]]="",FALSE,IFERROR(ISNUMBER(MATCH(U12List[[#This Row],[FISTF Code]],Players[FISTF Code],0)),FALSE))</f>
        <v>0</v>
      </c>
      <c r="F67" s="420" t="str">
        <f>IF(AND(U12List[[#This Row],[First &amp; Last Name]]="",U12List[[#This Row],[FISTF Code]]=""),"",IF(U12List[[#This Row],[Valide Code ?]],INDEX(Players[Player Name],MATCH(U12List[[#This Row],[FISTF Code]],Players[FISTF Code],0)),U12List[[#This Row],[First &amp; Last Name]]))</f>
        <v/>
      </c>
      <c r="G67" s="233" t="str">
        <f>IF(U12List[[#This Row],[Retained Player Name]]="","",VLOOKUP(U12List[[#This Row],[Retained Player Name]],Players[],7,FALSE))</f>
        <v/>
      </c>
      <c r="H67" s="235" t="str">
        <f>IF(U12List[[#This Row],[Retained Player Name]]="","",VLOOKUP(U12List[[#This Row],[Retained Player Name]],Players[],6,FALSE))</f>
        <v/>
      </c>
      <c r="I67" s="235" t="str">
        <f>IF(U12List[[#This Row],[Retained Player Name]]="","",VLOOKUP(U12List[[#This Row],[Retained Player Name]],Players[],4,FALSE))</f>
        <v/>
      </c>
      <c r="J6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7" s="231"/>
      <c r="L67" s="231"/>
      <c r="M67" s="7"/>
    </row>
    <row r="68" spans="1:13" s="8" customFormat="1" x14ac:dyDescent="0.2">
      <c r="A68" s="322" t="str">
        <f>IF(AND(U12List[[#This Row],[First &amp; Last Name]]="",U12List[[#This Row],[FISTF Code]]=""),"",ROW()-ROW($A$11))</f>
        <v/>
      </c>
      <c r="B68" s="323"/>
      <c r="C68" s="437"/>
      <c r="D68" s="422" t="str">
        <f>IF(U12List[[#This Row],[First &amp; Last Name]]="","",IFERROR(ISNUMBER(MATCH(U12List[[#This Row],[First &amp; Last Name]],Players[Player Name],0)),FALSE))</f>
        <v/>
      </c>
      <c r="E68" s="422" t="b">
        <f>IF(U12List[[#This Row],[FISTF Code]]="",FALSE,IFERROR(ISNUMBER(MATCH(U12List[[#This Row],[FISTF Code]],Players[FISTF Code],0)),FALSE))</f>
        <v>0</v>
      </c>
      <c r="F68" s="420" t="str">
        <f>IF(AND(U12List[[#This Row],[First &amp; Last Name]]="",U12List[[#This Row],[FISTF Code]]=""),"",IF(U12List[[#This Row],[Valide Code ?]],INDEX(Players[Player Name],MATCH(U12List[[#This Row],[FISTF Code]],Players[FISTF Code],0)),U12List[[#This Row],[First &amp; Last Name]]))</f>
        <v/>
      </c>
      <c r="G68" s="233" t="str">
        <f>IF(U12List[[#This Row],[Retained Player Name]]="","",VLOOKUP(U12List[[#This Row],[Retained Player Name]],Players[],7,FALSE))</f>
        <v/>
      </c>
      <c r="H68" s="235" t="str">
        <f>IF(U12List[[#This Row],[Retained Player Name]]="","",VLOOKUP(U12List[[#This Row],[Retained Player Name]],Players[],6,FALSE))</f>
        <v/>
      </c>
      <c r="I68" s="235" t="str">
        <f>IF(U12List[[#This Row],[Retained Player Name]]="","",VLOOKUP(U12List[[#This Row],[Retained Player Name]],Players[],4,FALSE))</f>
        <v/>
      </c>
      <c r="J6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8" s="231"/>
      <c r="L68" s="231"/>
      <c r="M68" s="7"/>
    </row>
    <row r="69" spans="1:13" s="8" customFormat="1" x14ac:dyDescent="0.2">
      <c r="A69" s="322" t="str">
        <f>IF(AND(U12List[[#This Row],[First &amp; Last Name]]="",U12List[[#This Row],[FISTF Code]]=""),"",ROW()-ROW($A$11))</f>
        <v/>
      </c>
      <c r="B69" s="323"/>
      <c r="C69" s="437"/>
      <c r="D69" s="422" t="str">
        <f>IF(U12List[[#This Row],[First &amp; Last Name]]="","",IFERROR(ISNUMBER(MATCH(U12List[[#This Row],[First &amp; Last Name]],Players[Player Name],0)),FALSE))</f>
        <v/>
      </c>
      <c r="E69" s="422" t="b">
        <f>IF(U12List[[#This Row],[FISTF Code]]="",FALSE,IFERROR(ISNUMBER(MATCH(U12List[[#This Row],[FISTF Code]],Players[FISTF Code],0)),FALSE))</f>
        <v>0</v>
      </c>
      <c r="F69" s="420" t="str">
        <f>IF(AND(U12List[[#This Row],[First &amp; Last Name]]="",U12List[[#This Row],[FISTF Code]]=""),"",IF(U12List[[#This Row],[Valide Code ?]],INDEX(Players[Player Name],MATCH(U12List[[#This Row],[FISTF Code]],Players[FISTF Code],0)),U12List[[#This Row],[First &amp; Last Name]]))</f>
        <v/>
      </c>
      <c r="G69" s="233" t="str">
        <f>IF(U12List[[#This Row],[Retained Player Name]]="","",VLOOKUP(U12List[[#This Row],[Retained Player Name]],Players[],7,FALSE))</f>
        <v/>
      </c>
      <c r="H69" s="235" t="str">
        <f>IF(U12List[[#This Row],[Retained Player Name]]="","",VLOOKUP(U12List[[#This Row],[Retained Player Name]],Players[],6,FALSE))</f>
        <v/>
      </c>
      <c r="I69" s="235" t="str">
        <f>IF(U12List[[#This Row],[Retained Player Name]]="","",VLOOKUP(U12List[[#This Row],[Retained Player Name]],Players[],4,FALSE))</f>
        <v/>
      </c>
      <c r="J6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9" s="231"/>
      <c r="L69" s="231"/>
      <c r="M69" s="7"/>
    </row>
    <row r="70" spans="1:13" s="8" customFormat="1" x14ac:dyDescent="0.2">
      <c r="A70" s="322" t="str">
        <f>IF(AND(U12List[[#This Row],[First &amp; Last Name]]="",U12List[[#This Row],[FISTF Code]]=""),"",ROW()-ROW($A$11))</f>
        <v/>
      </c>
      <c r="B70" s="323"/>
      <c r="C70" s="437"/>
      <c r="D70" s="422" t="str">
        <f>IF(U12List[[#This Row],[First &amp; Last Name]]="","",IFERROR(ISNUMBER(MATCH(U12List[[#This Row],[First &amp; Last Name]],Players[Player Name],0)),FALSE))</f>
        <v/>
      </c>
      <c r="E70" s="422" t="b">
        <f>IF(U12List[[#This Row],[FISTF Code]]="",FALSE,IFERROR(ISNUMBER(MATCH(U12List[[#This Row],[FISTF Code]],Players[FISTF Code],0)),FALSE))</f>
        <v>0</v>
      </c>
      <c r="F70" s="420" t="str">
        <f>IF(AND(U12List[[#This Row],[First &amp; Last Name]]="",U12List[[#This Row],[FISTF Code]]=""),"",IF(U12List[[#This Row],[Valide Code ?]],INDEX(Players[Player Name],MATCH(U12List[[#This Row],[FISTF Code]],Players[FISTF Code],0)),U12List[[#This Row],[First &amp; Last Name]]))</f>
        <v/>
      </c>
      <c r="G70" s="233" t="str">
        <f>IF(U12List[[#This Row],[Retained Player Name]]="","",VLOOKUP(U12List[[#This Row],[Retained Player Name]],Players[],7,FALSE))</f>
        <v/>
      </c>
      <c r="H70" s="235" t="str">
        <f>IF(U12List[[#This Row],[Retained Player Name]]="","",VLOOKUP(U12List[[#This Row],[Retained Player Name]],Players[],6,FALSE))</f>
        <v/>
      </c>
      <c r="I70" s="235" t="str">
        <f>IF(U12List[[#This Row],[Retained Player Name]]="","",VLOOKUP(U12List[[#This Row],[Retained Player Name]],Players[],4,FALSE))</f>
        <v/>
      </c>
      <c r="J7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0" s="231"/>
      <c r="L70" s="231"/>
      <c r="M70" s="7"/>
    </row>
    <row r="71" spans="1:13" s="8" customFormat="1" x14ac:dyDescent="0.2">
      <c r="A71" s="322" t="str">
        <f>IF(AND(U12List[[#This Row],[First &amp; Last Name]]="",U12List[[#This Row],[FISTF Code]]=""),"",ROW()-ROW($A$11))</f>
        <v/>
      </c>
      <c r="B71" s="323"/>
      <c r="C71" s="437"/>
      <c r="D71" s="422" t="str">
        <f>IF(U12List[[#This Row],[First &amp; Last Name]]="","",IFERROR(ISNUMBER(MATCH(U12List[[#This Row],[First &amp; Last Name]],Players[Player Name],0)),FALSE))</f>
        <v/>
      </c>
      <c r="E71" s="422" t="b">
        <f>IF(U12List[[#This Row],[FISTF Code]]="",FALSE,IFERROR(ISNUMBER(MATCH(U12List[[#This Row],[FISTF Code]],Players[FISTF Code],0)),FALSE))</f>
        <v>0</v>
      </c>
      <c r="F71" s="420" t="str">
        <f>IF(AND(U12List[[#This Row],[First &amp; Last Name]]="",U12List[[#This Row],[FISTF Code]]=""),"",IF(U12List[[#This Row],[Valide Code ?]],INDEX(Players[Player Name],MATCH(U12List[[#This Row],[FISTF Code]],Players[FISTF Code],0)),U12List[[#This Row],[First &amp; Last Name]]))</f>
        <v/>
      </c>
      <c r="G71" s="233" t="str">
        <f>IF(U12List[[#This Row],[Retained Player Name]]="","",VLOOKUP(U12List[[#This Row],[Retained Player Name]],Players[],7,FALSE))</f>
        <v/>
      </c>
      <c r="H71" s="235" t="str">
        <f>IF(U12List[[#This Row],[Retained Player Name]]="","",VLOOKUP(U12List[[#This Row],[Retained Player Name]],Players[],6,FALSE))</f>
        <v/>
      </c>
      <c r="I71" s="235" t="str">
        <f>IF(U12List[[#This Row],[Retained Player Name]]="","",VLOOKUP(U12List[[#This Row],[Retained Player Name]],Players[],4,FALSE))</f>
        <v/>
      </c>
      <c r="J7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1" s="231"/>
      <c r="L71" s="231"/>
      <c r="M71" s="7"/>
    </row>
    <row r="72" spans="1:13" s="8" customFormat="1" x14ac:dyDescent="0.2">
      <c r="A72" s="322" t="str">
        <f>IF(AND(U12List[[#This Row],[First &amp; Last Name]]="",U12List[[#This Row],[FISTF Code]]=""),"",ROW()-ROW($A$11))</f>
        <v/>
      </c>
      <c r="B72" s="323"/>
      <c r="C72" s="437"/>
      <c r="D72" s="422" t="str">
        <f>IF(U12List[[#This Row],[First &amp; Last Name]]="","",IFERROR(ISNUMBER(MATCH(U12List[[#This Row],[First &amp; Last Name]],Players[Player Name],0)),FALSE))</f>
        <v/>
      </c>
      <c r="E72" s="422" t="b">
        <f>IF(U12List[[#This Row],[FISTF Code]]="",FALSE,IFERROR(ISNUMBER(MATCH(U12List[[#This Row],[FISTF Code]],Players[FISTF Code],0)),FALSE))</f>
        <v>0</v>
      </c>
      <c r="F72" s="420" t="str">
        <f>IF(AND(U12List[[#This Row],[First &amp; Last Name]]="",U12List[[#This Row],[FISTF Code]]=""),"",IF(U12List[[#This Row],[Valide Code ?]],INDEX(Players[Player Name],MATCH(U12List[[#This Row],[FISTF Code]],Players[FISTF Code],0)),U12List[[#This Row],[First &amp; Last Name]]))</f>
        <v/>
      </c>
      <c r="G72" s="233" t="str">
        <f>IF(U12List[[#This Row],[Retained Player Name]]="","",VLOOKUP(U12List[[#This Row],[Retained Player Name]],Players[],7,FALSE))</f>
        <v/>
      </c>
      <c r="H72" s="235" t="str">
        <f>IF(U12List[[#This Row],[Retained Player Name]]="","",VLOOKUP(U12List[[#This Row],[Retained Player Name]],Players[],6,FALSE))</f>
        <v/>
      </c>
      <c r="I72" s="235" t="str">
        <f>IF(U12List[[#This Row],[Retained Player Name]]="","",VLOOKUP(U12List[[#This Row],[Retained Player Name]],Players[],4,FALSE))</f>
        <v/>
      </c>
      <c r="J7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2" s="231"/>
      <c r="L72" s="231"/>
      <c r="M72" s="7"/>
    </row>
    <row r="73" spans="1:13" s="8" customFormat="1" x14ac:dyDescent="0.2">
      <c r="A73" s="322" t="str">
        <f>IF(AND(U12List[[#This Row],[First &amp; Last Name]]="",U12List[[#This Row],[FISTF Code]]=""),"",ROW()-ROW($A$11))</f>
        <v/>
      </c>
      <c r="B73" s="323"/>
      <c r="C73" s="437"/>
      <c r="D73" s="422" t="str">
        <f>IF(U12List[[#This Row],[First &amp; Last Name]]="","",IFERROR(ISNUMBER(MATCH(U12List[[#This Row],[First &amp; Last Name]],Players[Player Name],0)),FALSE))</f>
        <v/>
      </c>
      <c r="E73" s="422" t="b">
        <f>IF(U12List[[#This Row],[FISTF Code]]="",FALSE,IFERROR(ISNUMBER(MATCH(U12List[[#This Row],[FISTF Code]],Players[FISTF Code],0)),FALSE))</f>
        <v>0</v>
      </c>
      <c r="F73" s="420" t="str">
        <f>IF(AND(U12List[[#This Row],[First &amp; Last Name]]="",U12List[[#This Row],[FISTF Code]]=""),"",IF(U12List[[#This Row],[Valide Code ?]],INDEX(Players[Player Name],MATCH(U12List[[#This Row],[FISTF Code]],Players[FISTF Code],0)),U12List[[#This Row],[First &amp; Last Name]]))</f>
        <v/>
      </c>
      <c r="G73" s="233" t="str">
        <f>IF(U12List[[#This Row],[Retained Player Name]]="","",VLOOKUP(U12List[[#This Row],[Retained Player Name]],Players[],7,FALSE))</f>
        <v/>
      </c>
      <c r="H73" s="235" t="str">
        <f>IF(U12List[[#This Row],[Retained Player Name]]="","",VLOOKUP(U12List[[#This Row],[Retained Player Name]],Players[],6,FALSE))</f>
        <v/>
      </c>
      <c r="I73" s="235" t="str">
        <f>IF(U12List[[#This Row],[Retained Player Name]]="","",VLOOKUP(U12List[[#This Row],[Retained Player Name]],Players[],4,FALSE))</f>
        <v/>
      </c>
      <c r="J7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3" s="231"/>
      <c r="L73" s="231"/>
      <c r="M73" s="7"/>
    </row>
    <row r="74" spans="1:13" s="8" customFormat="1" x14ac:dyDescent="0.2">
      <c r="A74" s="322" t="str">
        <f>IF(AND(U12List[[#This Row],[First &amp; Last Name]]="",U12List[[#This Row],[FISTF Code]]=""),"",ROW()-ROW($A$11))</f>
        <v/>
      </c>
      <c r="B74" s="323"/>
      <c r="C74" s="437"/>
      <c r="D74" s="422" t="str">
        <f>IF(U12List[[#This Row],[First &amp; Last Name]]="","",IFERROR(ISNUMBER(MATCH(U12List[[#This Row],[First &amp; Last Name]],Players[Player Name],0)),FALSE))</f>
        <v/>
      </c>
      <c r="E74" s="422" t="b">
        <f>IF(U12List[[#This Row],[FISTF Code]]="",FALSE,IFERROR(ISNUMBER(MATCH(U12List[[#This Row],[FISTF Code]],Players[FISTF Code],0)),FALSE))</f>
        <v>0</v>
      </c>
      <c r="F74" s="420" t="str">
        <f>IF(AND(U12List[[#This Row],[First &amp; Last Name]]="",U12List[[#This Row],[FISTF Code]]=""),"",IF(U12List[[#This Row],[Valide Code ?]],INDEX(Players[Player Name],MATCH(U12List[[#This Row],[FISTF Code]],Players[FISTF Code],0)),U12List[[#This Row],[First &amp; Last Name]]))</f>
        <v/>
      </c>
      <c r="G74" s="233" t="str">
        <f>IF(U12List[[#This Row],[Retained Player Name]]="","",VLOOKUP(U12List[[#This Row],[Retained Player Name]],Players[],7,FALSE))</f>
        <v/>
      </c>
      <c r="H74" s="235" t="str">
        <f>IF(U12List[[#This Row],[Retained Player Name]]="","",VLOOKUP(U12List[[#This Row],[Retained Player Name]],Players[],6,FALSE))</f>
        <v/>
      </c>
      <c r="I74" s="235" t="str">
        <f>IF(U12List[[#This Row],[Retained Player Name]]="","",VLOOKUP(U12List[[#This Row],[Retained Player Name]],Players[],4,FALSE))</f>
        <v/>
      </c>
      <c r="J7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4" s="231"/>
      <c r="L74" s="231"/>
      <c r="M74" s="7"/>
    </row>
    <row r="75" spans="1:13" s="8" customFormat="1" x14ac:dyDescent="0.2">
      <c r="A75" s="322" t="str">
        <f>IF(AND(U12List[[#This Row],[First &amp; Last Name]]="",U12List[[#This Row],[FISTF Code]]=""),"",ROW()-ROW($A$11))</f>
        <v/>
      </c>
      <c r="B75" s="323"/>
      <c r="C75" s="437"/>
      <c r="D75" s="422" t="str">
        <f>IF(U12List[[#This Row],[First &amp; Last Name]]="","",IFERROR(ISNUMBER(MATCH(U12List[[#This Row],[First &amp; Last Name]],Players[Player Name],0)),FALSE))</f>
        <v/>
      </c>
      <c r="E75" s="422" t="b">
        <f>IF(U12List[[#This Row],[FISTF Code]]="",FALSE,IFERROR(ISNUMBER(MATCH(U12List[[#This Row],[FISTF Code]],Players[FISTF Code],0)),FALSE))</f>
        <v>0</v>
      </c>
      <c r="F75" s="420" t="str">
        <f>IF(AND(U12List[[#This Row],[First &amp; Last Name]]="",U12List[[#This Row],[FISTF Code]]=""),"",IF(U12List[[#This Row],[Valide Code ?]],INDEX(Players[Player Name],MATCH(U12List[[#This Row],[FISTF Code]],Players[FISTF Code],0)),U12List[[#This Row],[First &amp; Last Name]]))</f>
        <v/>
      </c>
      <c r="G75" s="233" t="str">
        <f>IF(U12List[[#This Row],[Retained Player Name]]="","",VLOOKUP(U12List[[#This Row],[Retained Player Name]],Players[],7,FALSE))</f>
        <v/>
      </c>
      <c r="H75" s="235" t="str">
        <f>IF(U12List[[#This Row],[Retained Player Name]]="","",VLOOKUP(U12List[[#This Row],[Retained Player Name]],Players[],6,FALSE))</f>
        <v/>
      </c>
      <c r="I75" s="235" t="str">
        <f>IF(U12List[[#This Row],[Retained Player Name]]="","",VLOOKUP(U12List[[#This Row],[Retained Player Name]],Players[],4,FALSE))</f>
        <v/>
      </c>
      <c r="J7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5" s="231"/>
      <c r="L75" s="231"/>
      <c r="M75" s="7"/>
    </row>
    <row r="76" spans="1:13" s="8" customFormat="1" x14ac:dyDescent="0.2">
      <c r="A76" s="322" t="str">
        <f>IF(AND(U12List[[#This Row],[First &amp; Last Name]]="",U12List[[#This Row],[FISTF Code]]=""),"",ROW()-ROW($A$11))</f>
        <v/>
      </c>
      <c r="B76" s="323"/>
      <c r="C76" s="437"/>
      <c r="D76" s="422" t="str">
        <f>IF(U12List[[#This Row],[First &amp; Last Name]]="","",IFERROR(ISNUMBER(MATCH(U12List[[#This Row],[First &amp; Last Name]],Players[Player Name],0)),FALSE))</f>
        <v/>
      </c>
      <c r="E76" s="422" t="b">
        <f>IF(U12List[[#This Row],[FISTF Code]]="",FALSE,IFERROR(ISNUMBER(MATCH(U12List[[#This Row],[FISTF Code]],Players[FISTF Code],0)),FALSE))</f>
        <v>0</v>
      </c>
      <c r="F76" s="420" t="str">
        <f>IF(AND(U12List[[#This Row],[First &amp; Last Name]]="",U12List[[#This Row],[FISTF Code]]=""),"",IF(U12List[[#This Row],[Valide Code ?]],INDEX(Players[Player Name],MATCH(U12List[[#This Row],[FISTF Code]],Players[FISTF Code],0)),U12List[[#This Row],[First &amp; Last Name]]))</f>
        <v/>
      </c>
      <c r="G76" s="233" t="str">
        <f>IF(U12List[[#This Row],[Retained Player Name]]="","",VLOOKUP(U12List[[#This Row],[Retained Player Name]],Players[],7,FALSE))</f>
        <v/>
      </c>
      <c r="H76" s="235" t="str">
        <f>IF(U12List[[#This Row],[Retained Player Name]]="","",VLOOKUP(U12List[[#This Row],[Retained Player Name]],Players[],6,FALSE))</f>
        <v/>
      </c>
      <c r="I76" s="235" t="str">
        <f>IF(U12List[[#This Row],[Retained Player Name]]="","",VLOOKUP(U12List[[#This Row],[Retained Player Name]],Players[],4,FALSE))</f>
        <v/>
      </c>
      <c r="J7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6" s="231"/>
      <c r="L76" s="231"/>
      <c r="M76" s="7"/>
    </row>
    <row r="77" spans="1:13" s="8" customFormat="1" x14ac:dyDescent="0.2">
      <c r="A77" s="322" t="str">
        <f>IF(AND(U12List[[#This Row],[First &amp; Last Name]]="",U12List[[#This Row],[FISTF Code]]=""),"",ROW()-ROW($A$11))</f>
        <v/>
      </c>
      <c r="B77" s="323"/>
      <c r="C77" s="437"/>
      <c r="D77" s="422" t="str">
        <f>IF(U12List[[#This Row],[First &amp; Last Name]]="","",IFERROR(ISNUMBER(MATCH(U12List[[#This Row],[First &amp; Last Name]],Players[Player Name],0)),FALSE))</f>
        <v/>
      </c>
      <c r="E77" s="422" t="b">
        <f>IF(U12List[[#This Row],[FISTF Code]]="",FALSE,IFERROR(ISNUMBER(MATCH(U12List[[#This Row],[FISTF Code]],Players[FISTF Code],0)),FALSE))</f>
        <v>0</v>
      </c>
      <c r="F77" s="420" t="str">
        <f>IF(AND(U12List[[#This Row],[First &amp; Last Name]]="",U12List[[#This Row],[FISTF Code]]=""),"",IF(U12List[[#This Row],[Valide Code ?]],INDEX(Players[Player Name],MATCH(U12List[[#This Row],[FISTF Code]],Players[FISTF Code],0)),U12List[[#This Row],[First &amp; Last Name]]))</f>
        <v/>
      </c>
      <c r="G77" s="233" t="str">
        <f>IF(U12List[[#This Row],[Retained Player Name]]="","",VLOOKUP(U12List[[#This Row],[Retained Player Name]],Players[],7,FALSE))</f>
        <v/>
      </c>
      <c r="H77" s="235" t="str">
        <f>IF(U12List[[#This Row],[Retained Player Name]]="","",VLOOKUP(U12List[[#This Row],[Retained Player Name]],Players[],6,FALSE))</f>
        <v/>
      </c>
      <c r="I77" s="235" t="str">
        <f>IF(U12List[[#This Row],[Retained Player Name]]="","",VLOOKUP(U12List[[#This Row],[Retained Player Name]],Players[],4,FALSE))</f>
        <v/>
      </c>
      <c r="J7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7" s="231"/>
      <c r="L77" s="231"/>
      <c r="M77" s="7"/>
    </row>
    <row r="78" spans="1:13" s="8" customFormat="1" x14ac:dyDescent="0.2">
      <c r="A78" s="322" t="str">
        <f>IF(AND(U12List[[#This Row],[First &amp; Last Name]]="",U12List[[#This Row],[FISTF Code]]=""),"",ROW()-ROW($A$11))</f>
        <v/>
      </c>
      <c r="B78" s="323"/>
      <c r="C78" s="437"/>
      <c r="D78" s="422" t="str">
        <f>IF(U12List[[#This Row],[First &amp; Last Name]]="","",IFERROR(ISNUMBER(MATCH(U12List[[#This Row],[First &amp; Last Name]],Players[Player Name],0)),FALSE))</f>
        <v/>
      </c>
      <c r="E78" s="422" t="b">
        <f>IF(U12List[[#This Row],[FISTF Code]]="",FALSE,IFERROR(ISNUMBER(MATCH(U12List[[#This Row],[FISTF Code]],Players[FISTF Code],0)),FALSE))</f>
        <v>0</v>
      </c>
      <c r="F78" s="420" t="str">
        <f>IF(AND(U12List[[#This Row],[First &amp; Last Name]]="",U12List[[#This Row],[FISTF Code]]=""),"",IF(U12List[[#This Row],[Valide Code ?]],INDEX(Players[Player Name],MATCH(U12List[[#This Row],[FISTF Code]],Players[FISTF Code],0)),U12List[[#This Row],[First &amp; Last Name]]))</f>
        <v/>
      </c>
      <c r="G78" s="233" t="str">
        <f>IF(U12List[[#This Row],[Retained Player Name]]="","",VLOOKUP(U12List[[#This Row],[Retained Player Name]],Players[],7,FALSE))</f>
        <v/>
      </c>
      <c r="H78" s="235" t="str">
        <f>IF(U12List[[#This Row],[Retained Player Name]]="","",VLOOKUP(U12List[[#This Row],[Retained Player Name]],Players[],6,FALSE))</f>
        <v/>
      </c>
      <c r="I78" s="235" t="str">
        <f>IF(U12List[[#This Row],[Retained Player Name]]="","",VLOOKUP(U12List[[#This Row],[Retained Player Name]],Players[],4,FALSE))</f>
        <v/>
      </c>
      <c r="J7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8" s="231"/>
      <c r="L78" s="231"/>
      <c r="M78" s="7"/>
    </row>
    <row r="79" spans="1:13" s="8" customFormat="1" x14ac:dyDescent="0.2">
      <c r="A79" s="322" t="str">
        <f>IF(AND(U12List[[#This Row],[First &amp; Last Name]]="",U12List[[#This Row],[FISTF Code]]=""),"",ROW()-ROW($A$11))</f>
        <v/>
      </c>
      <c r="B79" s="323"/>
      <c r="C79" s="437"/>
      <c r="D79" s="422" t="str">
        <f>IF(U12List[[#This Row],[First &amp; Last Name]]="","",IFERROR(ISNUMBER(MATCH(U12List[[#This Row],[First &amp; Last Name]],Players[Player Name],0)),FALSE))</f>
        <v/>
      </c>
      <c r="E79" s="422" t="b">
        <f>IF(U12List[[#This Row],[FISTF Code]]="",FALSE,IFERROR(ISNUMBER(MATCH(U12List[[#This Row],[FISTF Code]],Players[FISTF Code],0)),FALSE))</f>
        <v>0</v>
      </c>
      <c r="F79" s="420" t="str">
        <f>IF(AND(U12List[[#This Row],[First &amp; Last Name]]="",U12List[[#This Row],[FISTF Code]]=""),"",IF(U12List[[#This Row],[Valide Code ?]],INDEX(Players[Player Name],MATCH(U12List[[#This Row],[FISTF Code]],Players[FISTF Code],0)),U12List[[#This Row],[First &amp; Last Name]]))</f>
        <v/>
      </c>
      <c r="G79" s="233" t="str">
        <f>IF(U12List[[#This Row],[Retained Player Name]]="","",VLOOKUP(U12List[[#This Row],[Retained Player Name]],Players[],7,FALSE))</f>
        <v/>
      </c>
      <c r="H79" s="235" t="str">
        <f>IF(U12List[[#This Row],[Retained Player Name]]="","",VLOOKUP(U12List[[#This Row],[Retained Player Name]],Players[],6,FALSE))</f>
        <v/>
      </c>
      <c r="I79" s="235" t="str">
        <f>IF(U12List[[#This Row],[Retained Player Name]]="","",VLOOKUP(U12List[[#This Row],[Retained Player Name]],Players[],4,FALSE))</f>
        <v/>
      </c>
      <c r="J7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9" s="231"/>
      <c r="L79" s="231"/>
      <c r="M79" s="7"/>
    </row>
    <row r="80" spans="1:13" x14ac:dyDescent="0.2">
      <c r="A80" s="322" t="str">
        <f>IF(AND(U12List[[#This Row],[First &amp; Last Name]]="",U12List[[#This Row],[FISTF Code]]=""),"",ROW()-ROW($A$11))</f>
        <v/>
      </c>
      <c r="B80" s="323"/>
      <c r="C80" s="437"/>
      <c r="D80" s="422" t="str">
        <f>IF(U12List[[#This Row],[First &amp; Last Name]]="","",IFERROR(ISNUMBER(MATCH(U12List[[#This Row],[First &amp; Last Name]],Players[Player Name],0)),FALSE))</f>
        <v/>
      </c>
      <c r="E80" s="422" t="b">
        <f>IF(U12List[[#This Row],[FISTF Code]]="",FALSE,IFERROR(ISNUMBER(MATCH(U12List[[#This Row],[FISTF Code]],Players[FISTF Code],0)),FALSE))</f>
        <v>0</v>
      </c>
      <c r="F80" s="420" t="str">
        <f>IF(AND(U12List[[#This Row],[First &amp; Last Name]]="",U12List[[#This Row],[FISTF Code]]=""),"",IF(U12List[[#This Row],[Valide Code ?]],INDEX(Players[Player Name],MATCH(U12List[[#This Row],[FISTF Code]],Players[FISTF Code],0)),U12List[[#This Row],[First &amp; Last Name]]))</f>
        <v/>
      </c>
      <c r="G80" s="233" t="str">
        <f>IF(U12List[[#This Row],[Retained Player Name]]="","",VLOOKUP(U12List[[#This Row],[Retained Player Name]],Players[],7,FALSE))</f>
        <v/>
      </c>
      <c r="H80" s="235" t="str">
        <f>IF(U12List[[#This Row],[Retained Player Name]]="","",VLOOKUP(U12List[[#This Row],[Retained Player Name]],Players[],6,FALSE))</f>
        <v/>
      </c>
      <c r="I80" s="235" t="str">
        <f>IF(U12List[[#This Row],[Retained Player Name]]="","",VLOOKUP(U12List[[#This Row],[Retained Player Name]],Players[],4,FALSE))</f>
        <v/>
      </c>
      <c r="J8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0" s="231"/>
      <c r="L80" s="231"/>
    </row>
    <row r="81" spans="1:12" x14ac:dyDescent="0.2">
      <c r="A81" s="322" t="str">
        <f>IF(AND(U12List[[#This Row],[First &amp; Last Name]]="",U12List[[#This Row],[FISTF Code]]=""),"",ROW()-ROW($A$11))</f>
        <v/>
      </c>
      <c r="B81" s="323"/>
      <c r="C81" s="437"/>
      <c r="D81" s="422" t="str">
        <f>IF(U12List[[#This Row],[First &amp; Last Name]]="","",IFERROR(ISNUMBER(MATCH(U12List[[#This Row],[First &amp; Last Name]],Players[Player Name],0)),FALSE))</f>
        <v/>
      </c>
      <c r="E81" s="422" t="b">
        <f>IF(U12List[[#This Row],[FISTF Code]]="",FALSE,IFERROR(ISNUMBER(MATCH(U12List[[#This Row],[FISTF Code]],Players[FISTF Code],0)),FALSE))</f>
        <v>0</v>
      </c>
      <c r="F81" s="420" t="str">
        <f>IF(AND(U12List[[#This Row],[First &amp; Last Name]]="",U12List[[#This Row],[FISTF Code]]=""),"",IF(U12List[[#This Row],[Valide Code ?]],INDEX(Players[Player Name],MATCH(U12List[[#This Row],[FISTF Code]],Players[FISTF Code],0)),U12List[[#This Row],[First &amp; Last Name]]))</f>
        <v/>
      </c>
      <c r="G81" s="233" t="str">
        <f>IF(U12List[[#This Row],[Retained Player Name]]="","",VLOOKUP(U12List[[#This Row],[Retained Player Name]],Players[],7,FALSE))</f>
        <v/>
      </c>
      <c r="H81" s="235" t="str">
        <f>IF(U12List[[#This Row],[Retained Player Name]]="","",VLOOKUP(U12List[[#This Row],[Retained Player Name]],Players[],6,FALSE))</f>
        <v/>
      </c>
      <c r="I81" s="235" t="str">
        <f>IF(U12List[[#This Row],[Retained Player Name]]="","",VLOOKUP(U12List[[#This Row],[Retained Player Name]],Players[],4,FALSE))</f>
        <v/>
      </c>
      <c r="J8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1" s="231"/>
      <c r="L81" s="231"/>
    </row>
    <row r="82" spans="1:12" x14ac:dyDescent="0.2">
      <c r="A82" s="322" t="str">
        <f>IF(AND(U12List[[#This Row],[First &amp; Last Name]]="",U12List[[#This Row],[FISTF Code]]=""),"",ROW()-ROW($A$11))</f>
        <v/>
      </c>
      <c r="B82" s="323"/>
      <c r="C82" s="437"/>
      <c r="D82" s="422" t="str">
        <f>IF(U12List[[#This Row],[First &amp; Last Name]]="","",IFERROR(ISNUMBER(MATCH(U12List[[#This Row],[First &amp; Last Name]],Players[Player Name],0)),FALSE))</f>
        <v/>
      </c>
      <c r="E82" s="422" t="b">
        <f>IF(U12List[[#This Row],[FISTF Code]]="",FALSE,IFERROR(ISNUMBER(MATCH(U12List[[#This Row],[FISTF Code]],Players[FISTF Code],0)),FALSE))</f>
        <v>0</v>
      </c>
      <c r="F82" s="420" t="str">
        <f>IF(AND(U12List[[#This Row],[First &amp; Last Name]]="",U12List[[#This Row],[FISTF Code]]=""),"",IF(U12List[[#This Row],[Valide Code ?]],INDEX(Players[Player Name],MATCH(U12List[[#This Row],[FISTF Code]],Players[FISTF Code],0)),U12List[[#This Row],[First &amp; Last Name]]))</f>
        <v/>
      </c>
      <c r="G82" s="233" t="str">
        <f>IF(U12List[[#This Row],[Retained Player Name]]="","",VLOOKUP(U12List[[#This Row],[Retained Player Name]],Players[],7,FALSE))</f>
        <v/>
      </c>
      <c r="H82" s="235" t="str">
        <f>IF(U12List[[#This Row],[Retained Player Name]]="","",VLOOKUP(U12List[[#This Row],[Retained Player Name]],Players[],6,FALSE))</f>
        <v/>
      </c>
      <c r="I82" s="235" t="str">
        <f>IF(U12List[[#This Row],[Retained Player Name]]="","",VLOOKUP(U12List[[#This Row],[Retained Player Name]],Players[],4,FALSE))</f>
        <v/>
      </c>
      <c r="J8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2" s="231"/>
      <c r="L82" s="231"/>
    </row>
    <row r="83" spans="1:12" x14ac:dyDescent="0.2">
      <c r="A83" s="322" t="str">
        <f>IF(AND(U12List[[#This Row],[First &amp; Last Name]]="",U12List[[#This Row],[FISTF Code]]=""),"",ROW()-ROW($A$11))</f>
        <v/>
      </c>
      <c r="B83" s="323"/>
      <c r="C83" s="437"/>
      <c r="D83" s="422" t="str">
        <f>IF(U12List[[#This Row],[First &amp; Last Name]]="","",IFERROR(ISNUMBER(MATCH(U12List[[#This Row],[First &amp; Last Name]],Players[Player Name],0)),FALSE))</f>
        <v/>
      </c>
      <c r="E83" s="422" t="b">
        <f>IF(U12List[[#This Row],[FISTF Code]]="",FALSE,IFERROR(ISNUMBER(MATCH(U12List[[#This Row],[FISTF Code]],Players[FISTF Code],0)),FALSE))</f>
        <v>0</v>
      </c>
      <c r="F83" s="420" t="str">
        <f>IF(AND(U12List[[#This Row],[First &amp; Last Name]]="",U12List[[#This Row],[FISTF Code]]=""),"",IF(U12List[[#This Row],[Valide Code ?]],INDEX(Players[Player Name],MATCH(U12List[[#This Row],[FISTF Code]],Players[FISTF Code],0)),U12List[[#This Row],[First &amp; Last Name]]))</f>
        <v/>
      </c>
      <c r="G83" s="233" t="str">
        <f>IF(U12List[[#This Row],[Retained Player Name]]="","",VLOOKUP(U12List[[#This Row],[Retained Player Name]],Players[],7,FALSE))</f>
        <v/>
      </c>
      <c r="H83" s="235" t="str">
        <f>IF(U12List[[#This Row],[Retained Player Name]]="","",VLOOKUP(U12List[[#This Row],[Retained Player Name]],Players[],6,FALSE))</f>
        <v/>
      </c>
      <c r="I83" s="235" t="str">
        <f>IF(U12List[[#This Row],[Retained Player Name]]="","",VLOOKUP(U12List[[#This Row],[Retained Player Name]],Players[],4,FALSE))</f>
        <v/>
      </c>
      <c r="J8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3" s="231"/>
      <c r="L83" s="231"/>
    </row>
    <row r="84" spans="1:12" x14ac:dyDescent="0.2">
      <c r="A84" s="322" t="str">
        <f>IF(AND(U12List[[#This Row],[First &amp; Last Name]]="",U12List[[#This Row],[FISTF Code]]=""),"",ROW()-ROW($A$11))</f>
        <v/>
      </c>
      <c r="B84" s="323"/>
      <c r="C84" s="437"/>
      <c r="D84" s="422" t="str">
        <f>IF(U12List[[#This Row],[First &amp; Last Name]]="","",IFERROR(ISNUMBER(MATCH(U12List[[#This Row],[First &amp; Last Name]],Players[Player Name],0)),FALSE))</f>
        <v/>
      </c>
      <c r="E84" s="422" t="b">
        <f>IF(U12List[[#This Row],[FISTF Code]]="",FALSE,IFERROR(ISNUMBER(MATCH(U12List[[#This Row],[FISTF Code]],Players[FISTF Code],0)),FALSE))</f>
        <v>0</v>
      </c>
      <c r="F84" s="420" t="str">
        <f>IF(AND(U12List[[#This Row],[First &amp; Last Name]]="",U12List[[#This Row],[FISTF Code]]=""),"",IF(U12List[[#This Row],[Valide Code ?]],INDEX(Players[Player Name],MATCH(U12List[[#This Row],[FISTF Code]],Players[FISTF Code],0)),U12List[[#This Row],[First &amp; Last Name]]))</f>
        <v/>
      </c>
      <c r="G84" s="233" t="str">
        <f>IF(U12List[[#This Row],[Retained Player Name]]="","",VLOOKUP(U12List[[#This Row],[Retained Player Name]],Players[],7,FALSE))</f>
        <v/>
      </c>
      <c r="H84" s="235" t="str">
        <f>IF(U12List[[#This Row],[Retained Player Name]]="","",VLOOKUP(U12List[[#This Row],[Retained Player Name]],Players[],6,FALSE))</f>
        <v/>
      </c>
      <c r="I84" s="235" t="str">
        <f>IF(U12List[[#This Row],[Retained Player Name]]="","",VLOOKUP(U12List[[#This Row],[Retained Player Name]],Players[],4,FALSE))</f>
        <v/>
      </c>
      <c r="J8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4" s="231"/>
      <c r="L84" s="231"/>
    </row>
    <row r="85" spans="1:12" x14ac:dyDescent="0.2">
      <c r="A85" s="322" t="str">
        <f>IF(AND(U12List[[#This Row],[First &amp; Last Name]]="",U12List[[#This Row],[FISTF Code]]=""),"",ROW()-ROW($A$11))</f>
        <v/>
      </c>
      <c r="B85" s="323"/>
      <c r="C85" s="437"/>
      <c r="D85" s="422" t="str">
        <f>IF(U12List[[#This Row],[First &amp; Last Name]]="","",IFERROR(ISNUMBER(MATCH(U12List[[#This Row],[First &amp; Last Name]],Players[Player Name],0)),FALSE))</f>
        <v/>
      </c>
      <c r="E85" s="422" t="b">
        <f>IF(U12List[[#This Row],[FISTF Code]]="",FALSE,IFERROR(ISNUMBER(MATCH(U12List[[#This Row],[FISTF Code]],Players[FISTF Code],0)),FALSE))</f>
        <v>0</v>
      </c>
      <c r="F85" s="420" t="str">
        <f>IF(AND(U12List[[#This Row],[First &amp; Last Name]]="",U12List[[#This Row],[FISTF Code]]=""),"",IF(U12List[[#This Row],[Valide Code ?]],INDEX(Players[Player Name],MATCH(U12List[[#This Row],[FISTF Code]],Players[FISTF Code],0)),U12List[[#This Row],[First &amp; Last Name]]))</f>
        <v/>
      </c>
      <c r="G85" s="233" t="str">
        <f>IF(U12List[[#This Row],[Retained Player Name]]="","",VLOOKUP(U12List[[#This Row],[Retained Player Name]],Players[],7,FALSE))</f>
        <v/>
      </c>
      <c r="H85" s="235" t="str">
        <f>IF(U12List[[#This Row],[Retained Player Name]]="","",VLOOKUP(U12List[[#This Row],[Retained Player Name]],Players[],6,FALSE))</f>
        <v/>
      </c>
      <c r="I85" s="235" t="str">
        <f>IF(U12List[[#This Row],[Retained Player Name]]="","",VLOOKUP(U12List[[#This Row],[Retained Player Name]],Players[],4,FALSE))</f>
        <v/>
      </c>
      <c r="J8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5" s="231"/>
      <c r="L85" s="231"/>
    </row>
    <row r="86" spans="1:12" x14ac:dyDescent="0.2">
      <c r="A86" s="322" t="str">
        <f>IF(AND(U12List[[#This Row],[First &amp; Last Name]]="",U12List[[#This Row],[FISTF Code]]=""),"",ROW()-ROW($A$11))</f>
        <v/>
      </c>
      <c r="B86" s="323"/>
      <c r="C86" s="437"/>
      <c r="D86" s="422" t="str">
        <f>IF(U12List[[#This Row],[First &amp; Last Name]]="","",IFERROR(ISNUMBER(MATCH(U12List[[#This Row],[First &amp; Last Name]],Players[Player Name],0)),FALSE))</f>
        <v/>
      </c>
      <c r="E86" s="422" t="b">
        <f>IF(U12List[[#This Row],[FISTF Code]]="",FALSE,IFERROR(ISNUMBER(MATCH(U12List[[#This Row],[FISTF Code]],Players[FISTF Code],0)),FALSE))</f>
        <v>0</v>
      </c>
      <c r="F86" s="420" t="str">
        <f>IF(AND(U12List[[#This Row],[First &amp; Last Name]]="",U12List[[#This Row],[FISTF Code]]=""),"",IF(U12List[[#This Row],[Valide Code ?]],INDEX(Players[Player Name],MATCH(U12List[[#This Row],[FISTF Code]],Players[FISTF Code],0)),U12List[[#This Row],[First &amp; Last Name]]))</f>
        <v/>
      </c>
      <c r="G86" s="233" t="str">
        <f>IF(U12List[[#This Row],[Retained Player Name]]="","",VLOOKUP(U12List[[#This Row],[Retained Player Name]],Players[],7,FALSE))</f>
        <v/>
      </c>
      <c r="H86" s="235" t="str">
        <f>IF(U12List[[#This Row],[Retained Player Name]]="","",VLOOKUP(U12List[[#This Row],[Retained Player Name]],Players[],6,FALSE))</f>
        <v/>
      </c>
      <c r="I86" s="235" t="str">
        <f>IF(U12List[[#This Row],[Retained Player Name]]="","",VLOOKUP(U12List[[#This Row],[Retained Player Name]],Players[],4,FALSE))</f>
        <v/>
      </c>
      <c r="J8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6" s="231"/>
      <c r="L86" s="231"/>
    </row>
    <row r="87" spans="1:12" x14ac:dyDescent="0.2">
      <c r="A87" s="322" t="str">
        <f>IF(AND(U12List[[#This Row],[First &amp; Last Name]]="",U12List[[#This Row],[FISTF Code]]=""),"",ROW()-ROW($A$11))</f>
        <v/>
      </c>
      <c r="B87" s="323"/>
      <c r="C87" s="437"/>
      <c r="D87" s="422" t="str">
        <f>IF(U12List[[#This Row],[First &amp; Last Name]]="","",IFERROR(ISNUMBER(MATCH(U12List[[#This Row],[First &amp; Last Name]],Players[Player Name],0)),FALSE))</f>
        <v/>
      </c>
      <c r="E87" s="422" t="b">
        <f>IF(U12List[[#This Row],[FISTF Code]]="",FALSE,IFERROR(ISNUMBER(MATCH(U12List[[#This Row],[FISTF Code]],Players[FISTF Code],0)),FALSE))</f>
        <v>0</v>
      </c>
      <c r="F87" s="420" t="str">
        <f>IF(AND(U12List[[#This Row],[First &amp; Last Name]]="",U12List[[#This Row],[FISTF Code]]=""),"",IF(U12List[[#This Row],[Valide Code ?]],INDEX(Players[Player Name],MATCH(U12List[[#This Row],[FISTF Code]],Players[FISTF Code],0)),U12List[[#This Row],[First &amp; Last Name]]))</f>
        <v/>
      </c>
      <c r="G87" s="233" t="str">
        <f>IF(U12List[[#This Row],[Retained Player Name]]="","",VLOOKUP(U12List[[#This Row],[Retained Player Name]],Players[],7,FALSE))</f>
        <v/>
      </c>
      <c r="H87" s="235" t="str">
        <f>IF(U12List[[#This Row],[Retained Player Name]]="","",VLOOKUP(U12List[[#This Row],[Retained Player Name]],Players[],6,FALSE))</f>
        <v/>
      </c>
      <c r="I87" s="235" t="str">
        <f>IF(U12List[[#This Row],[Retained Player Name]]="","",VLOOKUP(U12List[[#This Row],[Retained Player Name]],Players[],4,FALSE))</f>
        <v/>
      </c>
      <c r="J8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7" s="231"/>
      <c r="L87" s="231"/>
    </row>
    <row r="88" spans="1:12" x14ac:dyDescent="0.2">
      <c r="A88" s="322" t="str">
        <f>IF(AND(U12List[[#This Row],[First &amp; Last Name]]="",U12List[[#This Row],[FISTF Code]]=""),"",ROW()-ROW($A$11))</f>
        <v/>
      </c>
      <c r="B88" s="323"/>
      <c r="C88" s="437"/>
      <c r="D88" s="422" t="str">
        <f>IF(U12List[[#This Row],[First &amp; Last Name]]="","",IFERROR(ISNUMBER(MATCH(U12List[[#This Row],[First &amp; Last Name]],Players[Player Name],0)),FALSE))</f>
        <v/>
      </c>
      <c r="E88" s="422" t="b">
        <f>IF(U12List[[#This Row],[FISTF Code]]="",FALSE,IFERROR(ISNUMBER(MATCH(U12List[[#This Row],[FISTF Code]],Players[FISTF Code],0)),FALSE))</f>
        <v>0</v>
      </c>
      <c r="F88" s="420" t="str">
        <f>IF(AND(U12List[[#This Row],[First &amp; Last Name]]="",U12List[[#This Row],[FISTF Code]]=""),"",IF(U12List[[#This Row],[Valide Code ?]],INDEX(Players[Player Name],MATCH(U12List[[#This Row],[FISTF Code]],Players[FISTF Code],0)),U12List[[#This Row],[First &amp; Last Name]]))</f>
        <v/>
      </c>
      <c r="G88" s="233" t="str">
        <f>IF(U12List[[#This Row],[Retained Player Name]]="","",VLOOKUP(U12List[[#This Row],[Retained Player Name]],Players[],7,FALSE))</f>
        <v/>
      </c>
      <c r="H88" s="235" t="str">
        <f>IF(U12List[[#This Row],[Retained Player Name]]="","",VLOOKUP(U12List[[#This Row],[Retained Player Name]],Players[],6,FALSE))</f>
        <v/>
      </c>
      <c r="I88" s="235" t="str">
        <f>IF(U12List[[#This Row],[Retained Player Name]]="","",VLOOKUP(U12List[[#This Row],[Retained Player Name]],Players[],4,FALSE))</f>
        <v/>
      </c>
      <c r="J8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8" s="231"/>
      <c r="L88" s="231"/>
    </row>
    <row r="89" spans="1:12" x14ac:dyDescent="0.2">
      <c r="A89" s="322" t="str">
        <f>IF(AND(U12List[[#This Row],[First &amp; Last Name]]="",U12List[[#This Row],[FISTF Code]]=""),"",ROW()-ROW($A$11))</f>
        <v/>
      </c>
      <c r="B89" s="323"/>
      <c r="C89" s="437"/>
      <c r="D89" s="422" t="str">
        <f>IF(U12List[[#This Row],[First &amp; Last Name]]="","",IFERROR(ISNUMBER(MATCH(U12List[[#This Row],[First &amp; Last Name]],Players[Player Name],0)),FALSE))</f>
        <v/>
      </c>
      <c r="E89" s="422" t="b">
        <f>IF(U12List[[#This Row],[FISTF Code]]="",FALSE,IFERROR(ISNUMBER(MATCH(U12List[[#This Row],[FISTF Code]],Players[FISTF Code],0)),FALSE))</f>
        <v>0</v>
      </c>
      <c r="F89" s="420" t="str">
        <f>IF(AND(U12List[[#This Row],[First &amp; Last Name]]="",U12List[[#This Row],[FISTF Code]]=""),"",IF(U12List[[#This Row],[Valide Code ?]],INDEX(Players[Player Name],MATCH(U12List[[#This Row],[FISTF Code]],Players[FISTF Code],0)),U12List[[#This Row],[First &amp; Last Name]]))</f>
        <v/>
      </c>
      <c r="G89" s="233" t="str">
        <f>IF(U12List[[#This Row],[Retained Player Name]]="","",VLOOKUP(U12List[[#This Row],[Retained Player Name]],Players[],7,FALSE))</f>
        <v/>
      </c>
      <c r="H89" s="235" t="str">
        <f>IF(U12List[[#This Row],[Retained Player Name]]="","",VLOOKUP(U12List[[#This Row],[Retained Player Name]],Players[],6,FALSE))</f>
        <v/>
      </c>
      <c r="I89" s="235" t="str">
        <f>IF(U12List[[#This Row],[Retained Player Name]]="","",VLOOKUP(U12List[[#This Row],[Retained Player Name]],Players[],4,FALSE))</f>
        <v/>
      </c>
      <c r="J8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9" s="231"/>
      <c r="L89" s="231"/>
    </row>
    <row r="90" spans="1:12" x14ac:dyDescent="0.2">
      <c r="A90" s="322" t="str">
        <f>IF(AND(U12List[[#This Row],[First &amp; Last Name]]="",U12List[[#This Row],[FISTF Code]]=""),"",ROW()-ROW($A$11))</f>
        <v/>
      </c>
      <c r="B90" s="323"/>
      <c r="C90" s="437"/>
      <c r="D90" s="422" t="str">
        <f>IF(U12List[[#This Row],[First &amp; Last Name]]="","",IFERROR(ISNUMBER(MATCH(U12List[[#This Row],[First &amp; Last Name]],Players[Player Name],0)),FALSE))</f>
        <v/>
      </c>
      <c r="E90" s="422" t="b">
        <f>IF(U12List[[#This Row],[FISTF Code]]="",FALSE,IFERROR(ISNUMBER(MATCH(U12List[[#This Row],[FISTF Code]],Players[FISTF Code],0)),FALSE))</f>
        <v>0</v>
      </c>
      <c r="F90" s="420" t="str">
        <f>IF(AND(U12List[[#This Row],[First &amp; Last Name]]="",U12List[[#This Row],[FISTF Code]]=""),"",IF(U12List[[#This Row],[Valide Code ?]],INDEX(Players[Player Name],MATCH(U12List[[#This Row],[FISTF Code]],Players[FISTF Code],0)),U12List[[#This Row],[First &amp; Last Name]]))</f>
        <v/>
      </c>
      <c r="G90" s="233" t="str">
        <f>IF(U12List[[#This Row],[Retained Player Name]]="","",VLOOKUP(U12List[[#This Row],[Retained Player Name]],Players[],7,FALSE))</f>
        <v/>
      </c>
      <c r="H90" s="235" t="str">
        <f>IF(U12List[[#This Row],[Retained Player Name]]="","",VLOOKUP(U12List[[#This Row],[Retained Player Name]],Players[],6,FALSE))</f>
        <v/>
      </c>
      <c r="I90" s="235" t="str">
        <f>IF(U12List[[#This Row],[Retained Player Name]]="","",VLOOKUP(U12List[[#This Row],[Retained Player Name]],Players[],4,FALSE))</f>
        <v/>
      </c>
      <c r="J9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0" s="231"/>
      <c r="L90" s="231"/>
    </row>
    <row r="91" spans="1:12" x14ac:dyDescent="0.2">
      <c r="A91" s="322" t="str">
        <f>IF(AND(U12List[[#This Row],[First &amp; Last Name]]="",U12List[[#This Row],[FISTF Code]]=""),"",ROW()-ROW($A$11))</f>
        <v/>
      </c>
      <c r="B91" s="323"/>
      <c r="C91" s="437"/>
      <c r="D91" s="422" t="str">
        <f>IF(U12List[[#This Row],[First &amp; Last Name]]="","",IFERROR(ISNUMBER(MATCH(U12List[[#This Row],[First &amp; Last Name]],Players[Player Name],0)),FALSE))</f>
        <v/>
      </c>
      <c r="E91" s="422" t="b">
        <f>IF(U12List[[#This Row],[FISTF Code]]="",FALSE,IFERROR(ISNUMBER(MATCH(U12List[[#This Row],[FISTF Code]],Players[FISTF Code],0)),FALSE))</f>
        <v>0</v>
      </c>
      <c r="F91" s="420" t="str">
        <f>IF(AND(U12List[[#This Row],[First &amp; Last Name]]="",U12List[[#This Row],[FISTF Code]]=""),"",IF(U12List[[#This Row],[Valide Code ?]],INDEX(Players[Player Name],MATCH(U12List[[#This Row],[FISTF Code]],Players[FISTF Code],0)),U12List[[#This Row],[First &amp; Last Name]]))</f>
        <v/>
      </c>
      <c r="G91" s="233" t="str">
        <f>IF(U12List[[#This Row],[Retained Player Name]]="","",VLOOKUP(U12List[[#This Row],[Retained Player Name]],Players[],7,FALSE))</f>
        <v/>
      </c>
      <c r="H91" s="235" t="str">
        <f>IF(U12List[[#This Row],[Retained Player Name]]="","",VLOOKUP(U12List[[#This Row],[Retained Player Name]],Players[],6,FALSE))</f>
        <v/>
      </c>
      <c r="I91" s="235" t="str">
        <f>IF(U12List[[#This Row],[Retained Player Name]]="","",VLOOKUP(U12List[[#This Row],[Retained Player Name]],Players[],4,FALSE))</f>
        <v/>
      </c>
      <c r="J9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1" s="231"/>
      <c r="L91" s="231"/>
    </row>
    <row r="92" spans="1:12" x14ac:dyDescent="0.2">
      <c r="A92" s="322" t="str">
        <f>IF(AND(U12List[[#This Row],[First &amp; Last Name]]="",U12List[[#This Row],[FISTF Code]]=""),"",ROW()-ROW($A$11))</f>
        <v/>
      </c>
      <c r="B92" s="323"/>
      <c r="C92" s="437"/>
      <c r="D92" s="422" t="str">
        <f>IF(U12List[[#This Row],[First &amp; Last Name]]="","",IFERROR(ISNUMBER(MATCH(U12List[[#This Row],[First &amp; Last Name]],Players[Player Name],0)),FALSE))</f>
        <v/>
      </c>
      <c r="E92" s="422" t="b">
        <f>IF(U12List[[#This Row],[FISTF Code]]="",FALSE,IFERROR(ISNUMBER(MATCH(U12List[[#This Row],[FISTF Code]],Players[FISTF Code],0)),FALSE))</f>
        <v>0</v>
      </c>
      <c r="F92" s="420" t="str">
        <f>IF(AND(U12List[[#This Row],[First &amp; Last Name]]="",U12List[[#This Row],[FISTF Code]]=""),"",IF(U12List[[#This Row],[Valide Code ?]],INDEX(Players[Player Name],MATCH(U12List[[#This Row],[FISTF Code]],Players[FISTF Code],0)),U12List[[#This Row],[First &amp; Last Name]]))</f>
        <v/>
      </c>
      <c r="G92" s="233" t="str">
        <f>IF(U12List[[#This Row],[Retained Player Name]]="","",VLOOKUP(U12List[[#This Row],[Retained Player Name]],Players[],7,FALSE))</f>
        <v/>
      </c>
      <c r="H92" s="235" t="str">
        <f>IF(U12List[[#This Row],[Retained Player Name]]="","",VLOOKUP(U12List[[#This Row],[Retained Player Name]],Players[],6,FALSE))</f>
        <v/>
      </c>
      <c r="I92" s="235" t="str">
        <f>IF(U12List[[#This Row],[Retained Player Name]]="","",VLOOKUP(U12List[[#This Row],[Retained Player Name]],Players[],4,FALSE))</f>
        <v/>
      </c>
      <c r="J9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2" s="231"/>
      <c r="L92" s="231"/>
    </row>
    <row r="93" spans="1:12" x14ac:dyDescent="0.2">
      <c r="A93" s="322" t="str">
        <f>IF(AND(U12List[[#This Row],[First &amp; Last Name]]="",U12List[[#This Row],[FISTF Code]]=""),"",ROW()-ROW($A$11))</f>
        <v/>
      </c>
      <c r="B93" s="323"/>
      <c r="C93" s="437"/>
      <c r="D93" s="422" t="str">
        <f>IF(U12List[[#This Row],[First &amp; Last Name]]="","",IFERROR(ISNUMBER(MATCH(U12List[[#This Row],[First &amp; Last Name]],Players[Player Name],0)),FALSE))</f>
        <v/>
      </c>
      <c r="E93" s="422" t="b">
        <f>IF(U12List[[#This Row],[FISTF Code]]="",FALSE,IFERROR(ISNUMBER(MATCH(U12List[[#This Row],[FISTF Code]],Players[FISTF Code],0)),FALSE))</f>
        <v>0</v>
      </c>
      <c r="F93" s="420" t="str">
        <f>IF(AND(U12List[[#This Row],[First &amp; Last Name]]="",U12List[[#This Row],[FISTF Code]]=""),"",IF(U12List[[#This Row],[Valide Code ?]],INDEX(Players[Player Name],MATCH(U12List[[#This Row],[FISTF Code]],Players[FISTF Code],0)),U12List[[#This Row],[First &amp; Last Name]]))</f>
        <v/>
      </c>
      <c r="G93" s="233" t="str">
        <f>IF(U12List[[#This Row],[Retained Player Name]]="","",VLOOKUP(U12List[[#This Row],[Retained Player Name]],Players[],7,FALSE))</f>
        <v/>
      </c>
      <c r="H93" s="235" t="str">
        <f>IF(U12List[[#This Row],[Retained Player Name]]="","",VLOOKUP(U12List[[#This Row],[Retained Player Name]],Players[],6,FALSE))</f>
        <v/>
      </c>
      <c r="I93" s="235" t="str">
        <f>IF(U12List[[#This Row],[Retained Player Name]]="","",VLOOKUP(U12List[[#This Row],[Retained Player Name]],Players[],4,FALSE))</f>
        <v/>
      </c>
      <c r="J9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3" s="231"/>
      <c r="L93" s="231"/>
    </row>
    <row r="94" spans="1:12" x14ac:dyDescent="0.2">
      <c r="A94" s="322" t="str">
        <f>IF(AND(U12List[[#This Row],[First &amp; Last Name]]="",U12List[[#This Row],[FISTF Code]]=""),"",ROW()-ROW($A$11))</f>
        <v/>
      </c>
      <c r="B94" s="323"/>
      <c r="C94" s="437"/>
      <c r="D94" s="422" t="str">
        <f>IF(U12List[[#This Row],[First &amp; Last Name]]="","",IFERROR(ISNUMBER(MATCH(U12List[[#This Row],[First &amp; Last Name]],Players[Player Name],0)),FALSE))</f>
        <v/>
      </c>
      <c r="E94" s="422" t="b">
        <f>IF(U12List[[#This Row],[FISTF Code]]="",FALSE,IFERROR(ISNUMBER(MATCH(U12List[[#This Row],[FISTF Code]],Players[FISTF Code],0)),FALSE))</f>
        <v>0</v>
      </c>
      <c r="F94" s="420" t="str">
        <f>IF(AND(U12List[[#This Row],[First &amp; Last Name]]="",U12List[[#This Row],[FISTF Code]]=""),"",IF(U12List[[#This Row],[Valide Code ?]],INDEX(Players[Player Name],MATCH(U12List[[#This Row],[FISTF Code]],Players[FISTF Code],0)),U12List[[#This Row],[First &amp; Last Name]]))</f>
        <v/>
      </c>
      <c r="G94" s="233" t="str">
        <f>IF(U12List[[#This Row],[Retained Player Name]]="","",VLOOKUP(U12List[[#This Row],[Retained Player Name]],Players[],7,FALSE))</f>
        <v/>
      </c>
      <c r="H94" s="235" t="str">
        <f>IF(U12List[[#This Row],[Retained Player Name]]="","",VLOOKUP(U12List[[#This Row],[Retained Player Name]],Players[],6,FALSE))</f>
        <v/>
      </c>
      <c r="I94" s="235" t="str">
        <f>IF(U12List[[#This Row],[Retained Player Name]]="","",VLOOKUP(U12List[[#This Row],[Retained Player Name]],Players[],4,FALSE))</f>
        <v/>
      </c>
      <c r="J9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4" s="231"/>
      <c r="L94" s="231"/>
    </row>
    <row r="95" spans="1:12" x14ac:dyDescent="0.2">
      <c r="A95" s="322" t="str">
        <f>IF(AND(U12List[[#This Row],[First &amp; Last Name]]="",U12List[[#This Row],[FISTF Code]]=""),"",ROW()-ROW($A$11))</f>
        <v/>
      </c>
      <c r="B95" s="323"/>
      <c r="C95" s="437"/>
      <c r="D95" s="422" t="str">
        <f>IF(U12List[[#This Row],[First &amp; Last Name]]="","",IFERROR(ISNUMBER(MATCH(U12List[[#This Row],[First &amp; Last Name]],Players[Player Name],0)),FALSE))</f>
        <v/>
      </c>
      <c r="E95" s="422" t="b">
        <f>IF(U12List[[#This Row],[FISTF Code]]="",FALSE,IFERROR(ISNUMBER(MATCH(U12List[[#This Row],[FISTF Code]],Players[FISTF Code],0)),FALSE))</f>
        <v>0</v>
      </c>
      <c r="F95" s="420" t="str">
        <f>IF(AND(U12List[[#This Row],[First &amp; Last Name]]="",U12List[[#This Row],[FISTF Code]]=""),"",IF(U12List[[#This Row],[Valide Code ?]],INDEX(Players[Player Name],MATCH(U12List[[#This Row],[FISTF Code]],Players[FISTF Code],0)),U12List[[#This Row],[First &amp; Last Name]]))</f>
        <v/>
      </c>
      <c r="G95" s="233" t="str">
        <f>IF(U12List[[#This Row],[Retained Player Name]]="","",VLOOKUP(U12List[[#This Row],[Retained Player Name]],Players[],7,FALSE))</f>
        <v/>
      </c>
      <c r="H95" s="235" t="str">
        <f>IF(U12List[[#This Row],[Retained Player Name]]="","",VLOOKUP(U12List[[#This Row],[Retained Player Name]],Players[],6,FALSE))</f>
        <v/>
      </c>
      <c r="I95" s="235" t="str">
        <f>IF(U12List[[#This Row],[Retained Player Name]]="","",VLOOKUP(U12List[[#This Row],[Retained Player Name]],Players[],4,FALSE))</f>
        <v/>
      </c>
      <c r="J9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5" s="231"/>
      <c r="L95" s="231"/>
    </row>
    <row r="96" spans="1:12" x14ac:dyDescent="0.2">
      <c r="A96" s="322" t="str">
        <f>IF(AND(U12List[[#This Row],[First &amp; Last Name]]="",U12List[[#This Row],[FISTF Code]]=""),"",ROW()-ROW($A$11))</f>
        <v/>
      </c>
      <c r="B96" s="323"/>
      <c r="C96" s="437"/>
      <c r="D96" s="422" t="str">
        <f>IF(U12List[[#This Row],[First &amp; Last Name]]="","",IFERROR(ISNUMBER(MATCH(U12List[[#This Row],[First &amp; Last Name]],Players[Player Name],0)),FALSE))</f>
        <v/>
      </c>
      <c r="E96" s="422" t="b">
        <f>IF(U12List[[#This Row],[FISTF Code]]="",FALSE,IFERROR(ISNUMBER(MATCH(U12List[[#This Row],[FISTF Code]],Players[FISTF Code],0)),FALSE))</f>
        <v>0</v>
      </c>
      <c r="F96" s="420" t="str">
        <f>IF(AND(U12List[[#This Row],[First &amp; Last Name]]="",U12List[[#This Row],[FISTF Code]]=""),"",IF(U12List[[#This Row],[Valide Code ?]],INDEX(Players[Player Name],MATCH(U12List[[#This Row],[FISTF Code]],Players[FISTF Code],0)),U12List[[#This Row],[First &amp; Last Name]]))</f>
        <v/>
      </c>
      <c r="G96" s="233" t="str">
        <f>IF(U12List[[#This Row],[Retained Player Name]]="","",VLOOKUP(U12List[[#This Row],[Retained Player Name]],Players[],7,FALSE))</f>
        <v/>
      </c>
      <c r="H96" s="235" t="str">
        <f>IF(U12List[[#This Row],[Retained Player Name]]="","",VLOOKUP(U12List[[#This Row],[Retained Player Name]],Players[],6,FALSE))</f>
        <v/>
      </c>
      <c r="I96" s="235" t="str">
        <f>IF(U12List[[#This Row],[Retained Player Name]]="","",VLOOKUP(U12List[[#This Row],[Retained Player Name]],Players[],4,FALSE))</f>
        <v/>
      </c>
      <c r="J9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6" s="231"/>
      <c r="L96" s="231"/>
    </row>
    <row r="97" spans="1:12" x14ac:dyDescent="0.2">
      <c r="A97" s="322" t="str">
        <f>IF(AND(U12List[[#This Row],[First &amp; Last Name]]="",U12List[[#This Row],[FISTF Code]]=""),"",ROW()-ROW($A$11))</f>
        <v/>
      </c>
      <c r="B97" s="323"/>
      <c r="C97" s="437"/>
      <c r="D97" s="422" t="str">
        <f>IF(U12List[[#This Row],[First &amp; Last Name]]="","",IFERROR(ISNUMBER(MATCH(U12List[[#This Row],[First &amp; Last Name]],Players[Player Name],0)),FALSE))</f>
        <v/>
      </c>
      <c r="E97" s="422" t="b">
        <f>IF(U12List[[#This Row],[FISTF Code]]="",FALSE,IFERROR(ISNUMBER(MATCH(U12List[[#This Row],[FISTF Code]],Players[FISTF Code],0)),FALSE))</f>
        <v>0</v>
      </c>
      <c r="F97" s="420" t="str">
        <f>IF(AND(U12List[[#This Row],[First &amp; Last Name]]="",U12List[[#This Row],[FISTF Code]]=""),"",IF(U12List[[#This Row],[Valide Code ?]],INDEX(Players[Player Name],MATCH(U12List[[#This Row],[FISTF Code]],Players[FISTF Code],0)),U12List[[#This Row],[First &amp; Last Name]]))</f>
        <v/>
      </c>
      <c r="G97" s="233" t="str">
        <f>IF(U12List[[#This Row],[Retained Player Name]]="","",VLOOKUP(U12List[[#This Row],[Retained Player Name]],Players[],7,FALSE))</f>
        <v/>
      </c>
      <c r="H97" s="235" t="str">
        <f>IF(U12List[[#This Row],[Retained Player Name]]="","",VLOOKUP(U12List[[#This Row],[Retained Player Name]],Players[],6,FALSE))</f>
        <v/>
      </c>
      <c r="I97" s="235" t="str">
        <f>IF(U12List[[#This Row],[Retained Player Name]]="","",VLOOKUP(U12List[[#This Row],[Retained Player Name]],Players[],4,FALSE))</f>
        <v/>
      </c>
      <c r="J9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7" s="231"/>
      <c r="L97" s="231"/>
    </row>
    <row r="98" spans="1:12" x14ac:dyDescent="0.2">
      <c r="A98" s="322" t="str">
        <f>IF(AND(U12List[[#This Row],[First &amp; Last Name]]="",U12List[[#This Row],[FISTF Code]]=""),"",ROW()-ROW($A$11))</f>
        <v/>
      </c>
      <c r="B98" s="323"/>
      <c r="C98" s="437"/>
      <c r="D98" s="422" t="str">
        <f>IF(U12List[[#This Row],[First &amp; Last Name]]="","",IFERROR(ISNUMBER(MATCH(U12List[[#This Row],[First &amp; Last Name]],Players[Player Name],0)),FALSE))</f>
        <v/>
      </c>
      <c r="E98" s="422" t="b">
        <f>IF(U12List[[#This Row],[FISTF Code]]="",FALSE,IFERROR(ISNUMBER(MATCH(U12List[[#This Row],[FISTF Code]],Players[FISTF Code],0)),FALSE))</f>
        <v>0</v>
      </c>
      <c r="F98" s="420" t="str">
        <f>IF(AND(U12List[[#This Row],[First &amp; Last Name]]="",U12List[[#This Row],[FISTF Code]]=""),"",IF(U12List[[#This Row],[Valide Code ?]],INDEX(Players[Player Name],MATCH(U12List[[#This Row],[FISTF Code]],Players[FISTF Code],0)),U12List[[#This Row],[First &amp; Last Name]]))</f>
        <v/>
      </c>
      <c r="G98" s="233" t="str">
        <f>IF(U12List[[#This Row],[Retained Player Name]]="","",VLOOKUP(U12List[[#This Row],[Retained Player Name]],Players[],7,FALSE))</f>
        <v/>
      </c>
      <c r="H98" s="235" t="str">
        <f>IF(U12List[[#This Row],[Retained Player Name]]="","",VLOOKUP(U12List[[#This Row],[Retained Player Name]],Players[],6,FALSE))</f>
        <v/>
      </c>
      <c r="I98" s="235" t="str">
        <f>IF(U12List[[#This Row],[Retained Player Name]]="","",VLOOKUP(U12List[[#This Row],[Retained Player Name]],Players[],4,FALSE))</f>
        <v/>
      </c>
      <c r="J9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8" s="231"/>
      <c r="L98" s="231"/>
    </row>
    <row r="99" spans="1:12" x14ac:dyDescent="0.2">
      <c r="A99" s="322" t="str">
        <f>IF(AND(U12List[[#This Row],[First &amp; Last Name]]="",U12List[[#This Row],[FISTF Code]]=""),"",ROW()-ROW($A$11))</f>
        <v/>
      </c>
      <c r="B99" s="323"/>
      <c r="C99" s="437"/>
      <c r="D99" s="422" t="str">
        <f>IF(U12List[[#This Row],[First &amp; Last Name]]="","",IFERROR(ISNUMBER(MATCH(U12List[[#This Row],[First &amp; Last Name]],Players[Player Name],0)),FALSE))</f>
        <v/>
      </c>
      <c r="E99" s="422" t="b">
        <f>IF(U12List[[#This Row],[FISTF Code]]="",FALSE,IFERROR(ISNUMBER(MATCH(U12List[[#This Row],[FISTF Code]],Players[FISTF Code],0)),FALSE))</f>
        <v>0</v>
      </c>
      <c r="F99" s="420" t="str">
        <f>IF(AND(U12List[[#This Row],[First &amp; Last Name]]="",U12List[[#This Row],[FISTF Code]]=""),"",IF(U12List[[#This Row],[Valide Code ?]],INDEX(Players[Player Name],MATCH(U12List[[#This Row],[FISTF Code]],Players[FISTF Code],0)),U12List[[#This Row],[First &amp; Last Name]]))</f>
        <v/>
      </c>
      <c r="G99" s="233" t="str">
        <f>IF(U12List[[#This Row],[Retained Player Name]]="","",VLOOKUP(U12List[[#This Row],[Retained Player Name]],Players[],7,FALSE))</f>
        <v/>
      </c>
      <c r="H99" s="235" t="str">
        <f>IF(U12List[[#This Row],[Retained Player Name]]="","",VLOOKUP(U12List[[#This Row],[Retained Player Name]],Players[],6,FALSE))</f>
        <v/>
      </c>
      <c r="I99" s="235" t="str">
        <f>IF(U12List[[#This Row],[Retained Player Name]]="","",VLOOKUP(U12List[[#This Row],[Retained Player Name]],Players[],4,FALSE))</f>
        <v/>
      </c>
      <c r="J9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9" s="231"/>
      <c r="L99" s="231"/>
    </row>
    <row r="100" spans="1:12" x14ac:dyDescent="0.2">
      <c r="A100" s="322" t="str">
        <f>IF(AND(U12List[[#This Row],[First &amp; Last Name]]="",U12List[[#This Row],[FISTF Code]]=""),"",ROW()-ROW($A$11))</f>
        <v/>
      </c>
      <c r="B100" s="323"/>
      <c r="C100" s="437"/>
      <c r="D100" s="422" t="str">
        <f>IF(U12List[[#This Row],[First &amp; Last Name]]="","",IFERROR(ISNUMBER(MATCH(U12List[[#This Row],[First &amp; Last Name]],Players[Player Name],0)),FALSE))</f>
        <v/>
      </c>
      <c r="E100" s="422" t="b">
        <f>IF(U12List[[#This Row],[FISTF Code]]="",FALSE,IFERROR(ISNUMBER(MATCH(U12List[[#This Row],[FISTF Code]],Players[FISTF Code],0)),FALSE))</f>
        <v>0</v>
      </c>
      <c r="F100" s="420" t="str">
        <f>IF(AND(U12List[[#This Row],[First &amp; Last Name]]="",U12List[[#This Row],[FISTF Code]]=""),"",IF(U12List[[#This Row],[Valide Code ?]],INDEX(Players[Player Name],MATCH(U12List[[#This Row],[FISTF Code]],Players[FISTF Code],0)),U12List[[#This Row],[First &amp; Last Name]]))</f>
        <v/>
      </c>
      <c r="G100" s="233" t="str">
        <f>IF(U12List[[#This Row],[Retained Player Name]]="","",VLOOKUP(U12List[[#This Row],[Retained Player Name]],Players[],7,FALSE))</f>
        <v/>
      </c>
      <c r="H100" s="235" t="str">
        <f>IF(U12List[[#This Row],[Retained Player Name]]="","",VLOOKUP(U12List[[#This Row],[Retained Player Name]],Players[],6,FALSE))</f>
        <v/>
      </c>
      <c r="I100" s="235" t="str">
        <f>IF(U12List[[#This Row],[Retained Player Name]]="","",VLOOKUP(U12List[[#This Row],[Retained Player Name]],Players[],4,FALSE))</f>
        <v/>
      </c>
      <c r="J10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0" s="231"/>
      <c r="L100" s="231"/>
    </row>
    <row r="101" spans="1:12" x14ac:dyDescent="0.2">
      <c r="A101" s="16" t="str">
        <f>IF(AND(U12List[[#This Row],[First &amp; Last Name]]="",U12List[[#This Row],[FISTF Code]]=""),"",ROW()-ROW($A$11))</f>
        <v/>
      </c>
      <c r="B101" s="232"/>
      <c r="C101" s="436"/>
      <c r="D101" s="421" t="str">
        <f>IF(U12List[[#This Row],[First &amp; Last Name]]="","",IFERROR(ISNUMBER(MATCH(U12List[[#This Row],[First &amp; Last Name]],Players[Player Name],0)),FALSE))</f>
        <v/>
      </c>
      <c r="E101" s="421" t="b">
        <f>IF(U12List[[#This Row],[FISTF Code]]="",FALSE,IFERROR(ISNUMBER(MATCH(U12List[[#This Row],[FISTF Code]],Players[FISTF Code],0)),FALSE))</f>
        <v>0</v>
      </c>
      <c r="F101" s="419" t="str">
        <f>IF(AND(U12List[[#This Row],[First &amp; Last Name]]="",U12List[[#This Row],[FISTF Code]]=""),"",IF(U12List[[#This Row],[Valide Code ?]],INDEX(Players[Player Name],MATCH(U12List[[#This Row],[FISTF Code]],Players[FISTF Code],0)),U12List[[#This Row],[First &amp; Last Name]]))</f>
        <v/>
      </c>
      <c r="G101" s="233" t="str">
        <f>IF(U12List[[#This Row],[Retained Player Name]]="","",VLOOKUP(U12List[[#This Row],[Retained Player Name]],Players[],7,FALSE))</f>
        <v/>
      </c>
      <c r="H101" s="235" t="str">
        <f>IF(U12List[[#This Row],[Retained Player Name]]="","",VLOOKUP(U12List[[#This Row],[Retained Player Name]],Players[],6,FALSE))</f>
        <v/>
      </c>
      <c r="I101" s="235" t="str">
        <f>IF(U12List[[#This Row],[Retained Player Name]]="","",VLOOKUP(U12List[[#This Row],[Retained Player Name]],Players[],4,FALSE))</f>
        <v/>
      </c>
      <c r="J10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1" s="231"/>
      <c r="L101" s="231"/>
    </row>
    <row r="102" spans="1:12" x14ac:dyDescent="0.2">
      <c r="A102" s="16" t="str">
        <f>IF(AND(U12List[[#This Row],[First &amp; Last Name]]="",U12List[[#This Row],[FISTF Code]]=""),"",ROW()-ROW($A$11))</f>
        <v/>
      </c>
      <c r="B102" s="232"/>
      <c r="C102" s="436"/>
      <c r="D102" s="421" t="str">
        <f>IF(U12List[[#This Row],[First &amp; Last Name]]="","",IFERROR(ISNUMBER(MATCH(U12List[[#This Row],[First &amp; Last Name]],Players[Player Name],0)),FALSE))</f>
        <v/>
      </c>
      <c r="E102" s="421" t="b">
        <f>IF(U12List[[#This Row],[FISTF Code]]="",FALSE,IFERROR(ISNUMBER(MATCH(U12List[[#This Row],[FISTF Code]],Players[FISTF Code],0)),FALSE))</f>
        <v>0</v>
      </c>
      <c r="F102" s="419" t="str">
        <f>IF(AND(U12List[[#This Row],[First &amp; Last Name]]="",U12List[[#This Row],[FISTF Code]]=""),"",IF(U12List[[#This Row],[Valide Code ?]],INDEX(Players[Player Name],MATCH(U12List[[#This Row],[FISTF Code]],Players[FISTF Code],0)),U12List[[#This Row],[First &amp; Last Name]]))</f>
        <v/>
      </c>
      <c r="G102" s="233" t="str">
        <f>IF(U12List[[#This Row],[Retained Player Name]]="","",VLOOKUP(U12List[[#This Row],[Retained Player Name]],Players[],7,FALSE))</f>
        <v/>
      </c>
      <c r="H102" s="235" t="str">
        <f>IF(U12List[[#This Row],[Retained Player Name]]="","",VLOOKUP(U12List[[#This Row],[Retained Player Name]],Players[],6,FALSE))</f>
        <v/>
      </c>
      <c r="I102" s="235" t="str">
        <f>IF(U12List[[#This Row],[Retained Player Name]]="","",VLOOKUP(U12List[[#This Row],[Retained Player Name]],Players[],4,FALSE))</f>
        <v/>
      </c>
      <c r="J10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2" s="231"/>
      <c r="L102" s="231"/>
    </row>
    <row r="103" spans="1:12" x14ac:dyDescent="0.2">
      <c r="A103" s="16" t="str">
        <f>IF(AND(U12List[[#This Row],[First &amp; Last Name]]="",U12List[[#This Row],[FISTF Code]]=""),"",ROW()-ROW($A$11))</f>
        <v/>
      </c>
      <c r="B103" s="232"/>
      <c r="C103" s="436"/>
      <c r="D103" s="421" t="str">
        <f>IF(U12List[[#This Row],[First &amp; Last Name]]="","",IFERROR(ISNUMBER(MATCH(U12List[[#This Row],[First &amp; Last Name]],Players[Player Name],0)),FALSE))</f>
        <v/>
      </c>
      <c r="E103" s="421" t="b">
        <f>IF(U12List[[#This Row],[FISTF Code]]="",FALSE,IFERROR(ISNUMBER(MATCH(U12List[[#This Row],[FISTF Code]],Players[FISTF Code],0)),FALSE))</f>
        <v>0</v>
      </c>
      <c r="F103" s="419" t="str">
        <f>IF(AND(U12List[[#This Row],[First &amp; Last Name]]="",U12List[[#This Row],[FISTF Code]]=""),"",IF(U12List[[#This Row],[Valide Code ?]],INDEX(Players[Player Name],MATCH(U12List[[#This Row],[FISTF Code]],Players[FISTF Code],0)),U12List[[#This Row],[First &amp; Last Name]]))</f>
        <v/>
      </c>
      <c r="G103" s="233" t="str">
        <f>IF(U12List[[#This Row],[Retained Player Name]]="","",VLOOKUP(U12List[[#This Row],[Retained Player Name]],Players[],7,FALSE))</f>
        <v/>
      </c>
      <c r="H103" s="235" t="str">
        <f>IF(U12List[[#This Row],[Retained Player Name]]="","",VLOOKUP(U12List[[#This Row],[Retained Player Name]],Players[],6,FALSE))</f>
        <v/>
      </c>
      <c r="I103" s="235" t="str">
        <f>IF(U12List[[#This Row],[Retained Player Name]]="","",VLOOKUP(U12List[[#This Row],[Retained Player Name]],Players[],4,FALSE))</f>
        <v/>
      </c>
      <c r="J10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3" s="231"/>
      <c r="L103" s="231"/>
    </row>
    <row r="104" spans="1:12" x14ac:dyDescent="0.2">
      <c r="A104" s="16" t="str">
        <f>IF(AND(U12List[[#This Row],[First &amp; Last Name]]="",U12List[[#This Row],[FISTF Code]]=""),"",ROW()-ROW($A$11))</f>
        <v/>
      </c>
      <c r="B104" s="232"/>
      <c r="C104" s="436"/>
      <c r="D104" s="421" t="str">
        <f>IF(U12List[[#This Row],[First &amp; Last Name]]="","",IFERROR(ISNUMBER(MATCH(U12List[[#This Row],[First &amp; Last Name]],Players[Player Name],0)),FALSE))</f>
        <v/>
      </c>
      <c r="E104" s="421" t="b">
        <f>IF(U12List[[#This Row],[FISTF Code]]="",FALSE,IFERROR(ISNUMBER(MATCH(U12List[[#This Row],[FISTF Code]],Players[FISTF Code],0)),FALSE))</f>
        <v>0</v>
      </c>
      <c r="F104" s="419" t="str">
        <f>IF(AND(U12List[[#This Row],[First &amp; Last Name]]="",U12List[[#This Row],[FISTF Code]]=""),"",IF(U12List[[#This Row],[Valide Code ?]],INDEX(Players[Player Name],MATCH(U12List[[#This Row],[FISTF Code]],Players[FISTF Code],0)),U12List[[#This Row],[First &amp; Last Name]]))</f>
        <v/>
      </c>
      <c r="G104" s="233" t="str">
        <f>IF(U12List[[#This Row],[Retained Player Name]]="","",VLOOKUP(U12List[[#This Row],[Retained Player Name]],Players[],7,FALSE))</f>
        <v/>
      </c>
      <c r="H104" s="235" t="str">
        <f>IF(U12List[[#This Row],[Retained Player Name]]="","",VLOOKUP(U12List[[#This Row],[Retained Player Name]],Players[],6,FALSE))</f>
        <v/>
      </c>
      <c r="I104" s="235" t="str">
        <f>IF(U12List[[#This Row],[Retained Player Name]]="","",VLOOKUP(U12List[[#This Row],[Retained Player Name]],Players[],4,FALSE))</f>
        <v/>
      </c>
      <c r="J10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4" s="231"/>
      <c r="L104" s="231"/>
    </row>
    <row r="105" spans="1:12" x14ac:dyDescent="0.2">
      <c r="A105" s="16" t="str">
        <f>IF(AND(U12List[[#This Row],[First &amp; Last Name]]="",U12List[[#This Row],[FISTF Code]]=""),"",ROW()-ROW($A$11))</f>
        <v/>
      </c>
      <c r="B105" s="232"/>
      <c r="C105" s="436"/>
      <c r="D105" s="421" t="str">
        <f>IF(U12List[[#This Row],[First &amp; Last Name]]="","",IFERROR(ISNUMBER(MATCH(U12List[[#This Row],[First &amp; Last Name]],Players[Player Name],0)),FALSE))</f>
        <v/>
      </c>
      <c r="E105" s="421" t="b">
        <f>IF(U12List[[#This Row],[FISTF Code]]="",FALSE,IFERROR(ISNUMBER(MATCH(U12List[[#This Row],[FISTF Code]],Players[FISTF Code],0)),FALSE))</f>
        <v>0</v>
      </c>
      <c r="F105" s="419" t="str">
        <f>IF(AND(U12List[[#This Row],[First &amp; Last Name]]="",U12List[[#This Row],[FISTF Code]]=""),"",IF(U12List[[#This Row],[Valide Code ?]],INDEX(Players[Player Name],MATCH(U12List[[#This Row],[FISTF Code]],Players[FISTF Code],0)),U12List[[#This Row],[First &amp; Last Name]]))</f>
        <v/>
      </c>
      <c r="G105" s="233" t="str">
        <f>IF(U12List[[#This Row],[Retained Player Name]]="","",VLOOKUP(U12List[[#This Row],[Retained Player Name]],Players[],7,FALSE))</f>
        <v/>
      </c>
      <c r="H105" s="235" t="str">
        <f>IF(U12List[[#This Row],[Retained Player Name]]="","",VLOOKUP(U12List[[#This Row],[Retained Player Name]],Players[],6,FALSE))</f>
        <v/>
      </c>
      <c r="I105" s="235" t="str">
        <f>IF(U12List[[#This Row],[Retained Player Name]]="","",VLOOKUP(U12List[[#This Row],[Retained Player Name]],Players[],4,FALSE))</f>
        <v/>
      </c>
      <c r="J10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5" s="231"/>
      <c r="L105" s="231"/>
    </row>
    <row r="106" spans="1:12" x14ac:dyDescent="0.2">
      <c r="A106" s="16" t="str">
        <f>IF(AND(U12List[[#This Row],[First &amp; Last Name]]="",U12List[[#This Row],[FISTF Code]]=""),"",ROW()-ROW($A$11))</f>
        <v/>
      </c>
      <c r="B106" s="232"/>
      <c r="C106" s="436"/>
      <c r="D106" s="421" t="str">
        <f>IF(U12List[[#This Row],[First &amp; Last Name]]="","",IFERROR(ISNUMBER(MATCH(U12List[[#This Row],[First &amp; Last Name]],Players[Player Name],0)),FALSE))</f>
        <v/>
      </c>
      <c r="E106" s="421" t="b">
        <f>IF(U12List[[#This Row],[FISTF Code]]="",FALSE,IFERROR(ISNUMBER(MATCH(U12List[[#This Row],[FISTF Code]],Players[FISTF Code],0)),FALSE))</f>
        <v>0</v>
      </c>
      <c r="F106" s="419" t="str">
        <f>IF(AND(U12List[[#This Row],[First &amp; Last Name]]="",U12List[[#This Row],[FISTF Code]]=""),"",IF(U12List[[#This Row],[Valide Code ?]],INDEX(Players[Player Name],MATCH(U12List[[#This Row],[FISTF Code]],Players[FISTF Code],0)),U12List[[#This Row],[First &amp; Last Name]]))</f>
        <v/>
      </c>
      <c r="G106" s="233" t="str">
        <f>IF(U12List[[#This Row],[Retained Player Name]]="","",VLOOKUP(U12List[[#This Row],[Retained Player Name]],Players[],7,FALSE))</f>
        <v/>
      </c>
      <c r="H106" s="235" t="str">
        <f>IF(U12List[[#This Row],[Retained Player Name]]="","",VLOOKUP(U12List[[#This Row],[Retained Player Name]],Players[],6,FALSE))</f>
        <v/>
      </c>
      <c r="I106" s="235" t="str">
        <f>IF(U12List[[#This Row],[Retained Player Name]]="","",VLOOKUP(U12List[[#This Row],[Retained Player Name]],Players[],4,FALSE))</f>
        <v/>
      </c>
      <c r="J10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6" s="231"/>
      <c r="L106" s="231"/>
    </row>
    <row r="107" spans="1:12" x14ac:dyDescent="0.2">
      <c r="A107" s="16" t="str">
        <f>IF(AND(U12List[[#This Row],[First &amp; Last Name]]="",U12List[[#This Row],[FISTF Code]]=""),"",ROW()-ROW($A$11))</f>
        <v/>
      </c>
      <c r="B107" s="232"/>
      <c r="C107" s="436"/>
      <c r="D107" s="421" t="str">
        <f>IF(U12List[[#This Row],[First &amp; Last Name]]="","",IFERROR(ISNUMBER(MATCH(U12List[[#This Row],[First &amp; Last Name]],Players[Player Name],0)),FALSE))</f>
        <v/>
      </c>
      <c r="E107" s="421" t="b">
        <f>IF(U12List[[#This Row],[FISTF Code]]="",FALSE,IFERROR(ISNUMBER(MATCH(U12List[[#This Row],[FISTF Code]],Players[FISTF Code],0)),FALSE))</f>
        <v>0</v>
      </c>
      <c r="F107" s="419" t="str">
        <f>IF(AND(U12List[[#This Row],[First &amp; Last Name]]="",U12List[[#This Row],[FISTF Code]]=""),"",IF(U12List[[#This Row],[Valide Code ?]],INDEX(Players[Player Name],MATCH(U12List[[#This Row],[FISTF Code]],Players[FISTF Code],0)),U12List[[#This Row],[First &amp; Last Name]]))</f>
        <v/>
      </c>
      <c r="G107" s="233" t="str">
        <f>IF(U12List[[#This Row],[Retained Player Name]]="","",VLOOKUP(U12List[[#This Row],[Retained Player Name]],Players[],7,FALSE))</f>
        <v/>
      </c>
      <c r="H107" s="235" t="str">
        <f>IF(U12List[[#This Row],[Retained Player Name]]="","",VLOOKUP(U12List[[#This Row],[Retained Player Name]],Players[],6,FALSE))</f>
        <v/>
      </c>
      <c r="I107" s="235" t="str">
        <f>IF(U12List[[#This Row],[Retained Player Name]]="","",VLOOKUP(U12List[[#This Row],[Retained Player Name]],Players[],4,FALSE))</f>
        <v/>
      </c>
      <c r="J10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7" s="231"/>
      <c r="L107" s="231"/>
    </row>
    <row r="108" spans="1:12" x14ac:dyDescent="0.2">
      <c r="A108" s="16" t="str">
        <f>IF(AND(U12List[[#This Row],[First &amp; Last Name]]="",U12List[[#This Row],[FISTF Code]]=""),"",ROW()-ROW($A$11))</f>
        <v/>
      </c>
      <c r="B108" s="232"/>
      <c r="C108" s="436"/>
      <c r="D108" s="421" t="str">
        <f>IF(U12List[[#This Row],[First &amp; Last Name]]="","",IFERROR(ISNUMBER(MATCH(U12List[[#This Row],[First &amp; Last Name]],Players[Player Name],0)),FALSE))</f>
        <v/>
      </c>
      <c r="E108" s="421" t="b">
        <f>IF(U12List[[#This Row],[FISTF Code]]="",FALSE,IFERROR(ISNUMBER(MATCH(U12List[[#This Row],[FISTF Code]],Players[FISTF Code],0)),FALSE))</f>
        <v>0</v>
      </c>
      <c r="F108" s="419" t="str">
        <f>IF(AND(U12List[[#This Row],[First &amp; Last Name]]="",U12List[[#This Row],[FISTF Code]]=""),"",IF(U12List[[#This Row],[Valide Code ?]],INDEX(Players[Player Name],MATCH(U12List[[#This Row],[FISTF Code]],Players[FISTF Code],0)),U12List[[#This Row],[First &amp; Last Name]]))</f>
        <v/>
      </c>
      <c r="G108" s="233" t="str">
        <f>IF(U12List[[#This Row],[Retained Player Name]]="","",VLOOKUP(U12List[[#This Row],[Retained Player Name]],Players[],7,FALSE))</f>
        <v/>
      </c>
      <c r="H108" s="235" t="str">
        <f>IF(U12List[[#This Row],[Retained Player Name]]="","",VLOOKUP(U12List[[#This Row],[Retained Player Name]],Players[],6,FALSE))</f>
        <v/>
      </c>
      <c r="I108" s="235" t="str">
        <f>IF(U12List[[#This Row],[Retained Player Name]]="","",VLOOKUP(U12List[[#This Row],[Retained Player Name]],Players[],4,FALSE))</f>
        <v/>
      </c>
      <c r="J10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8" s="231"/>
      <c r="L108" s="231"/>
    </row>
    <row r="109" spans="1:12" x14ac:dyDescent="0.2">
      <c r="A109" s="16" t="str">
        <f>IF(AND(U12List[[#This Row],[First &amp; Last Name]]="",U12List[[#This Row],[FISTF Code]]=""),"",ROW()-ROW($A$11))</f>
        <v/>
      </c>
      <c r="B109" s="232"/>
      <c r="C109" s="436"/>
      <c r="D109" s="421" t="str">
        <f>IF(U12List[[#This Row],[First &amp; Last Name]]="","",IFERROR(ISNUMBER(MATCH(U12List[[#This Row],[First &amp; Last Name]],Players[Player Name],0)),FALSE))</f>
        <v/>
      </c>
      <c r="E109" s="421" t="b">
        <f>IF(U12List[[#This Row],[FISTF Code]]="",FALSE,IFERROR(ISNUMBER(MATCH(U12List[[#This Row],[FISTF Code]],Players[FISTF Code],0)),FALSE))</f>
        <v>0</v>
      </c>
      <c r="F109" s="419" t="str">
        <f>IF(AND(U12List[[#This Row],[First &amp; Last Name]]="",U12List[[#This Row],[FISTF Code]]=""),"",IF(U12List[[#This Row],[Valide Code ?]],INDEX(Players[Player Name],MATCH(U12List[[#This Row],[FISTF Code]],Players[FISTF Code],0)),U12List[[#This Row],[First &amp; Last Name]]))</f>
        <v/>
      </c>
      <c r="G109" s="233" t="str">
        <f>IF(U12List[[#This Row],[Retained Player Name]]="","",VLOOKUP(U12List[[#This Row],[Retained Player Name]],Players[],7,FALSE))</f>
        <v/>
      </c>
      <c r="H109" s="235" t="str">
        <f>IF(U12List[[#This Row],[Retained Player Name]]="","",VLOOKUP(U12List[[#This Row],[Retained Player Name]],Players[],6,FALSE))</f>
        <v/>
      </c>
      <c r="I109" s="235" t="str">
        <f>IF(U12List[[#This Row],[Retained Player Name]]="","",VLOOKUP(U12List[[#This Row],[Retained Player Name]],Players[],4,FALSE))</f>
        <v/>
      </c>
      <c r="J10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9" s="231"/>
      <c r="L109" s="231"/>
    </row>
    <row r="110" spans="1:12" x14ac:dyDescent="0.2">
      <c r="A110" s="16" t="str">
        <f>IF(AND(U12List[[#This Row],[First &amp; Last Name]]="",U12List[[#This Row],[FISTF Code]]=""),"",ROW()-ROW($A$11))</f>
        <v/>
      </c>
      <c r="B110" s="232"/>
      <c r="C110" s="436"/>
      <c r="D110" s="421" t="str">
        <f>IF(U12List[[#This Row],[First &amp; Last Name]]="","",IFERROR(ISNUMBER(MATCH(U12List[[#This Row],[First &amp; Last Name]],Players[Player Name],0)),FALSE))</f>
        <v/>
      </c>
      <c r="E110" s="421" t="b">
        <f>IF(U12List[[#This Row],[FISTF Code]]="",FALSE,IFERROR(ISNUMBER(MATCH(U12List[[#This Row],[FISTF Code]],Players[FISTF Code],0)),FALSE))</f>
        <v>0</v>
      </c>
      <c r="F110" s="419" t="str">
        <f>IF(AND(U12List[[#This Row],[First &amp; Last Name]]="",U12List[[#This Row],[FISTF Code]]=""),"",IF(U12List[[#This Row],[Valide Code ?]],INDEX(Players[Player Name],MATCH(U12List[[#This Row],[FISTF Code]],Players[FISTF Code],0)),U12List[[#This Row],[First &amp; Last Name]]))</f>
        <v/>
      </c>
      <c r="G110" s="233" t="str">
        <f>IF(U12List[[#This Row],[Retained Player Name]]="","",VLOOKUP(U12List[[#This Row],[Retained Player Name]],Players[],7,FALSE))</f>
        <v/>
      </c>
      <c r="H110" s="235" t="str">
        <f>IF(U12List[[#This Row],[Retained Player Name]]="","",VLOOKUP(U12List[[#This Row],[Retained Player Name]],Players[],6,FALSE))</f>
        <v/>
      </c>
      <c r="I110" s="235" t="str">
        <f>IF(U12List[[#This Row],[Retained Player Name]]="","",VLOOKUP(U12List[[#This Row],[Retained Player Name]],Players[],4,FALSE))</f>
        <v/>
      </c>
      <c r="J11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0" s="231"/>
      <c r="L110" s="231"/>
    </row>
    <row r="111" spans="1:12" x14ac:dyDescent="0.2">
      <c r="A111" s="16" t="str">
        <f>IF(AND(U12List[[#This Row],[First &amp; Last Name]]="",U12List[[#This Row],[FISTF Code]]=""),"",ROW()-ROW($A$11))</f>
        <v/>
      </c>
      <c r="B111" s="232"/>
      <c r="C111" s="436"/>
      <c r="D111" s="421" t="str">
        <f>IF(U12List[[#This Row],[First &amp; Last Name]]="","",IFERROR(ISNUMBER(MATCH(U12List[[#This Row],[First &amp; Last Name]],Players[Player Name],0)),FALSE))</f>
        <v/>
      </c>
      <c r="E111" s="421" t="b">
        <f>IF(U12List[[#This Row],[FISTF Code]]="",FALSE,IFERROR(ISNUMBER(MATCH(U12List[[#This Row],[FISTF Code]],Players[FISTF Code],0)),FALSE))</f>
        <v>0</v>
      </c>
      <c r="F111" s="419" t="str">
        <f>IF(AND(U12List[[#This Row],[First &amp; Last Name]]="",U12List[[#This Row],[FISTF Code]]=""),"",IF(U12List[[#This Row],[Valide Code ?]],INDEX(Players[Player Name],MATCH(U12List[[#This Row],[FISTF Code]],Players[FISTF Code],0)),U12List[[#This Row],[First &amp; Last Name]]))</f>
        <v/>
      </c>
      <c r="G111" s="233" t="str">
        <f>IF(U12List[[#This Row],[Retained Player Name]]="","",VLOOKUP(U12List[[#This Row],[Retained Player Name]],Players[],7,FALSE))</f>
        <v/>
      </c>
      <c r="H111" s="235" t="str">
        <f>IF(U12List[[#This Row],[Retained Player Name]]="","",VLOOKUP(U12List[[#This Row],[Retained Player Name]],Players[],6,FALSE))</f>
        <v/>
      </c>
      <c r="I111" s="235" t="str">
        <f>IF(U12List[[#This Row],[Retained Player Name]]="","",VLOOKUP(U12List[[#This Row],[Retained Player Name]],Players[],4,FALSE))</f>
        <v/>
      </c>
      <c r="J11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1" s="231"/>
      <c r="L111" s="231"/>
    </row>
    <row r="112" spans="1:12" x14ac:dyDescent="0.2">
      <c r="A112" s="16" t="str">
        <f>IF(AND(U12List[[#This Row],[First &amp; Last Name]]="",U12List[[#This Row],[FISTF Code]]=""),"",ROW()-ROW($A$11))</f>
        <v/>
      </c>
      <c r="B112" s="232"/>
      <c r="C112" s="436"/>
      <c r="D112" s="421" t="str">
        <f>IF(U12List[[#This Row],[First &amp; Last Name]]="","",IFERROR(ISNUMBER(MATCH(U12List[[#This Row],[First &amp; Last Name]],Players[Player Name],0)),FALSE))</f>
        <v/>
      </c>
      <c r="E112" s="421" t="b">
        <f>IF(U12List[[#This Row],[FISTF Code]]="",FALSE,IFERROR(ISNUMBER(MATCH(U12List[[#This Row],[FISTF Code]],Players[FISTF Code],0)),FALSE))</f>
        <v>0</v>
      </c>
      <c r="F112" s="419" t="str">
        <f>IF(AND(U12List[[#This Row],[First &amp; Last Name]]="",U12List[[#This Row],[FISTF Code]]=""),"",IF(U12List[[#This Row],[Valide Code ?]],INDEX(Players[Player Name],MATCH(U12List[[#This Row],[FISTF Code]],Players[FISTF Code],0)),U12List[[#This Row],[First &amp; Last Name]]))</f>
        <v/>
      </c>
      <c r="G112" s="233" t="str">
        <f>IF(U12List[[#This Row],[Retained Player Name]]="","",VLOOKUP(U12List[[#This Row],[Retained Player Name]],Players[],7,FALSE))</f>
        <v/>
      </c>
      <c r="H112" s="235" t="str">
        <f>IF(U12List[[#This Row],[Retained Player Name]]="","",VLOOKUP(U12List[[#This Row],[Retained Player Name]],Players[],6,FALSE))</f>
        <v/>
      </c>
      <c r="I112" s="235" t="str">
        <f>IF(U12List[[#This Row],[Retained Player Name]]="","",VLOOKUP(U12List[[#This Row],[Retained Player Name]],Players[],4,FALSE))</f>
        <v/>
      </c>
      <c r="J11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2" s="231"/>
      <c r="L112" s="231"/>
    </row>
    <row r="113" spans="1:12" x14ac:dyDescent="0.2">
      <c r="A113" s="16" t="str">
        <f>IF(AND(U12List[[#This Row],[First &amp; Last Name]]="",U12List[[#This Row],[FISTF Code]]=""),"",ROW()-ROW($A$11))</f>
        <v/>
      </c>
      <c r="B113" s="232"/>
      <c r="C113" s="436"/>
      <c r="D113" s="421" t="str">
        <f>IF(U12List[[#This Row],[First &amp; Last Name]]="","",IFERROR(ISNUMBER(MATCH(U12List[[#This Row],[First &amp; Last Name]],Players[Player Name],0)),FALSE))</f>
        <v/>
      </c>
      <c r="E113" s="421" t="b">
        <f>IF(U12List[[#This Row],[FISTF Code]]="",FALSE,IFERROR(ISNUMBER(MATCH(U12List[[#This Row],[FISTF Code]],Players[FISTF Code],0)),FALSE))</f>
        <v>0</v>
      </c>
      <c r="F113" s="419" t="str">
        <f>IF(AND(U12List[[#This Row],[First &amp; Last Name]]="",U12List[[#This Row],[FISTF Code]]=""),"",IF(U12List[[#This Row],[Valide Code ?]],INDEX(Players[Player Name],MATCH(U12List[[#This Row],[FISTF Code]],Players[FISTF Code],0)),U12List[[#This Row],[First &amp; Last Name]]))</f>
        <v/>
      </c>
      <c r="G113" s="233" t="str">
        <f>IF(U12List[[#This Row],[Retained Player Name]]="","",VLOOKUP(U12List[[#This Row],[Retained Player Name]],Players[],7,FALSE))</f>
        <v/>
      </c>
      <c r="H113" s="235" t="str">
        <f>IF(U12List[[#This Row],[Retained Player Name]]="","",VLOOKUP(U12List[[#This Row],[Retained Player Name]],Players[],6,FALSE))</f>
        <v/>
      </c>
      <c r="I113" s="235" t="str">
        <f>IF(U12List[[#This Row],[Retained Player Name]]="","",VLOOKUP(U12List[[#This Row],[Retained Player Name]],Players[],4,FALSE))</f>
        <v/>
      </c>
      <c r="J11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3" s="231"/>
      <c r="L113" s="231"/>
    </row>
    <row r="114" spans="1:12" x14ac:dyDescent="0.2">
      <c r="A114" s="16" t="str">
        <f>IF(AND(U12List[[#This Row],[First &amp; Last Name]]="",U12List[[#This Row],[FISTF Code]]=""),"",ROW()-ROW($A$11))</f>
        <v/>
      </c>
      <c r="B114" s="232"/>
      <c r="C114" s="436"/>
      <c r="D114" s="421" t="str">
        <f>IF(U12List[[#This Row],[First &amp; Last Name]]="","",IFERROR(ISNUMBER(MATCH(U12List[[#This Row],[First &amp; Last Name]],Players[Player Name],0)),FALSE))</f>
        <v/>
      </c>
      <c r="E114" s="421" t="b">
        <f>IF(U12List[[#This Row],[FISTF Code]]="",FALSE,IFERROR(ISNUMBER(MATCH(U12List[[#This Row],[FISTF Code]],Players[FISTF Code],0)),FALSE))</f>
        <v>0</v>
      </c>
      <c r="F114" s="419" t="str">
        <f>IF(AND(U12List[[#This Row],[First &amp; Last Name]]="",U12List[[#This Row],[FISTF Code]]=""),"",IF(U12List[[#This Row],[Valide Code ?]],INDEX(Players[Player Name],MATCH(U12List[[#This Row],[FISTF Code]],Players[FISTF Code],0)),U12List[[#This Row],[First &amp; Last Name]]))</f>
        <v/>
      </c>
      <c r="G114" s="233" t="str">
        <f>IF(U12List[[#This Row],[Retained Player Name]]="","",VLOOKUP(U12List[[#This Row],[Retained Player Name]],Players[],7,FALSE))</f>
        <v/>
      </c>
      <c r="H114" s="235" t="str">
        <f>IF(U12List[[#This Row],[Retained Player Name]]="","",VLOOKUP(U12List[[#This Row],[Retained Player Name]],Players[],6,FALSE))</f>
        <v/>
      </c>
      <c r="I114" s="235" t="str">
        <f>IF(U12List[[#This Row],[Retained Player Name]]="","",VLOOKUP(U12List[[#This Row],[Retained Player Name]],Players[],4,FALSE))</f>
        <v/>
      </c>
      <c r="J11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4" s="231"/>
      <c r="L114" s="231"/>
    </row>
    <row r="115" spans="1:12" x14ac:dyDescent="0.2">
      <c r="A115" s="16" t="str">
        <f>IF(AND(U12List[[#This Row],[First &amp; Last Name]]="",U12List[[#This Row],[FISTF Code]]=""),"",ROW()-ROW($A$11))</f>
        <v/>
      </c>
      <c r="B115" s="232"/>
      <c r="C115" s="436"/>
      <c r="D115" s="421" t="str">
        <f>IF(U12List[[#This Row],[First &amp; Last Name]]="","",IFERROR(ISNUMBER(MATCH(U12List[[#This Row],[First &amp; Last Name]],Players[Player Name],0)),FALSE))</f>
        <v/>
      </c>
      <c r="E115" s="421" t="b">
        <f>IF(U12List[[#This Row],[FISTF Code]]="",FALSE,IFERROR(ISNUMBER(MATCH(U12List[[#This Row],[FISTF Code]],Players[FISTF Code],0)),FALSE))</f>
        <v>0</v>
      </c>
      <c r="F115" s="419" t="str">
        <f>IF(AND(U12List[[#This Row],[First &amp; Last Name]]="",U12List[[#This Row],[FISTF Code]]=""),"",IF(U12List[[#This Row],[Valide Code ?]],INDEX(Players[Player Name],MATCH(U12List[[#This Row],[FISTF Code]],Players[FISTF Code],0)),U12List[[#This Row],[First &amp; Last Name]]))</f>
        <v/>
      </c>
      <c r="G115" s="233" t="str">
        <f>IF(U12List[[#This Row],[Retained Player Name]]="","",VLOOKUP(U12List[[#This Row],[Retained Player Name]],Players[],7,FALSE))</f>
        <v/>
      </c>
      <c r="H115" s="235" t="str">
        <f>IF(U12List[[#This Row],[Retained Player Name]]="","",VLOOKUP(U12List[[#This Row],[Retained Player Name]],Players[],6,FALSE))</f>
        <v/>
      </c>
      <c r="I115" s="235" t="str">
        <f>IF(U12List[[#This Row],[Retained Player Name]]="","",VLOOKUP(U12List[[#This Row],[Retained Player Name]],Players[],4,FALSE))</f>
        <v/>
      </c>
      <c r="J11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5" s="231"/>
      <c r="L115" s="231"/>
    </row>
    <row r="116" spans="1:12" x14ac:dyDescent="0.2">
      <c r="A116" s="16" t="str">
        <f>IF(AND(U12List[[#This Row],[First &amp; Last Name]]="",U12List[[#This Row],[FISTF Code]]=""),"",ROW()-ROW($A$11))</f>
        <v/>
      </c>
      <c r="B116" s="232"/>
      <c r="C116" s="436"/>
      <c r="D116" s="421" t="str">
        <f>IF(U12List[[#This Row],[First &amp; Last Name]]="","",IFERROR(ISNUMBER(MATCH(U12List[[#This Row],[First &amp; Last Name]],Players[Player Name],0)),FALSE))</f>
        <v/>
      </c>
      <c r="E116" s="421" t="b">
        <f>IF(U12List[[#This Row],[FISTF Code]]="",FALSE,IFERROR(ISNUMBER(MATCH(U12List[[#This Row],[FISTF Code]],Players[FISTF Code],0)),FALSE))</f>
        <v>0</v>
      </c>
      <c r="F116" s="419" t="str">
        <f>IF(AND(U12List[[#This Row],[First &amp; Last Name]]="",U12List[[#This Row],[FISTF Code]]=""),"",IF(U12List[[#This Row],[Valide Code ?]],INDEX(Players[Player Name],MATCH(U12List[[#This Row],[FISTF Code]],Players[FISTF Code],0)),U12List[[#This Row],[First &amp; Last Name]]))</f>
        <v/>
      </c>
      <c r="G116" s="233" t="str">
        <f>IF(U12List[[#This Row],[Retained Player Name]]="","",VLOOKUP(U12List[[#This Row],[Retained Player Name]],Players[],7,FALSE))</f>
        <v/>
      </c>
      <c r="H116" s="235" t="str">
        <f>IF(U12List[[#This Row],[Retained Player Name]]="","",VLOOKUP(U12List[[#This Row],[Retained Player Name]],Players[],6,FALSE))</f>
        <v/>
      </c>
      <c r="I116" s="235" t="str">
        <f>IF(U12List[[#This Row],[Retained Player Name]]="","",VLOOKUP(U12List[[#This Row],[Retained Player Name]],Players[],4,FALSE))</f>
        <v/>
      </c>
      <c r="J11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6" s="231"/>
      <c r="L116" s="231"/>
    </row>
    <row r="117" spans="1:12" x14ac:dyDescent="0.2">
      <c r="A117" s="16" t="str">
        <f>IF(AND(U12List[[#This Row],[First &amp; Last Name]]="",U12List[[#This Row],[FISTF Code]]=""),"",ROW()-ROW($A$11))</f>
        <v/>
      </c>
      <c r="B117" s="232"/>
      <c r="C117" s="436"/>
      <c r="D117" s="421" t="str">
        <f>IF(U12List[[#This Row],[First &amp; Last Name]]="","",IFERROR(ISNUMBER(MATCH(U12List[[#This Row],[First &amp; Last Name]],Players[Player Name],0)),FALSE))</f>
        <v/>
      </c>
      <c r="E117" s="421" t="b">
        <f>IF(U12List[[#This Row],[FISTF Code]]="",FALSE,IFERROR(ISNUMBER(MATCH(U12List[[#This Row],[FISTF Code]],Players[FISTF Code],0)),FALSE))</f>
        <v>0</v>
      </c>
      <c r="F117" s="419" t="str">
        <f>IF(AND(U12List[[#This Row],[First &amp; Last Name]]="",U12List[[#This Row],[FISTF Code]]=""),"",IF(U12List[[#This Row],[Valide Code ?]],INDEX(Players[Player Name],MATCH(U12List[[#This Row],[FISTF Code]],Players[FISTF Code],0)),U12List[[#This Row],[First &amp; Last Name]]))</f>
        <v/>
      </c>
      <c r="G117" s="233" t="str">
        <f>IF(U12List[[#This Row],[Retained Player Name]]="","",VLOOKUP(U12List[[#This Row],[Retained Player Name]],Players[],7,FALSE))</f>
        <v/>
      </c>
      <c r="H117" s="235" t="str">
        <f>IF(U12List[[#This Row],[Retained Player Name]]="","",VLOOKUP(U12List[[#This Row],[Retained Player Name]],Players[],6,FALSE))</f>
        <v/>
      </c>
      <c r="I117" s="235" t="str">
        <f>IF(U12List[[#This Row],[Retained Player Name]]="","",VLOOKUP(U12List[[#This Row],[Retained Player Name]],Players[],4,FALSE))</f>
        <v/>
      </c>
      <c r="J11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7" s="231"/>
      <c r="L117" s="231"/>
    </row>
    <row r="118" spans="1:12" x14ac:dyDescent="0.2">
      <c r="A118" s="16" t="str">
        <f>IF(AND(U12List[[#This Row],[First &amp; Last Name]]="",U12List[[#This Row],[FISTF Code]]=""),"",ROW()-ROW($A$11))</f>
        <v/>
      </c>
      <c r="B118" s="232"/>
      <c r="C118" s="436"/>
      <c r="D118" s="421" t="str">
        <f>IF(U12List[[#This Row],[First &amp; Last Name]]="","",IFERROR(ISNUMBER(MATCH(U12List[[#This Row],[First &amp; Last Name]],Players[Player Name],0)),FALSE))</f>
        <v/>
      </c>
      <c r="E118" s="421" t="b">
        <f>IF(U12List[[#This Row],[FISTF Code]]="",FALSE,IFERROR(ISNUMBER(MATCH(U12List[[#This Row],[FISTF Code]],Players[FISTF Code],0)),FALSE))</f>
        <v>0</v>
      </c>
      <c r="F118" s="419" t="str">
        <f>IF(AND(U12List[[#This Row],[First &amp; Last Name]]="",U12List[[#This Row],[FISTF Code]]=""),"",IF(U12List[[#This Row],[Valide Code ?]],INDEX(Players[Player Name],MATCH(U12List[[#This Row],[FISTF Code]],Players[FISTF Code],0)),U12List[[#This Row],[First &amp; Last Name]]))</f>
        <v/>
      </c>
      <c r="G118" s="233" t="str">
        <f>IF(U12List[[#This Row],[Retained Player Name]]="","",VLOOKUP(U12List[[#This Row],[Retained Player Name]],Players[],7,FALSE))</f>
        <v/>
      </c>
      <c r="H118" s="235" t="str">
        <f>IF(U12List[[#This Row],[Retained Player Name]]="","",VLOOKUP(U12List[[#This Row],[Retained Player Name]],Players[],6,FALSE))</f>
        <v/>
      </c>
      <c r="I118" s="235" t="str">
        <f>IF(U12List[[#This Row],[Retained Player Name]]="","",VLOOKUP(U12List[[#This Row],[Retained Player Name]],Players[],4,FALSE))</f>
        <v/>
      </c>
      <c r="J11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8" s="231"/>
      <c r="L118" s="231"/>
    </row>
    <row r="119" spans="1:12" x14ac:dyDescent="0.2">
      <c r="A119" s="16" t="str">
        <f>IF(AND(U12List[[#This Row],[First &amp; Last Name]]="",U12List[[#This Row],[FISTF Code]]=""),"",ROW()-ROW($A$11))</f>
        <v/>
      </c>
      <c r="B119" s="232"/>
      <c r="C119" s="436"/>
      <c r="D119" s="421" t="str">
        <f>IF(U12List[[#This Row],[First &amp; Last Name]]="","",IFERROR(ISNUMBER(MATCH(U12List[[#This Row],[First &amp; Last Name]],Players[Player Name],0)),FALSE))</f>
        <v/>
      </c>
      <c r="E119" s="421" t="b">
        <f>IF(U12List[[#This Row],[FISTF Code]]="",FALSE,IFERROR(ISNUMBER(MATCH(U12List[[#This Row],[FISTF Code]],Players[FISTF Code],0)),FALSE))</f>
        <v>0</v>
      </c>
      <c r="F119" s="419" t="str">
        <f>IF(AND(U12List[[#This Row],[First &amp; Last Name]]="",U12List[[#This Row],[FISTF Code]]=""),"",IF(U12List[[#This Row],[Valide Code ?]],INDEX(Players[Player Name],MATCH(U12List[[#This Row],[FISTF Code]],Players[FISTF Code],0)),U12List[[#This Row],[First &amp; Last Name]]))</f>
        <v/>
      </c>
      <c r="G119" s="233" t="str">
        <f>IF(U12List[[#This Row],[Retained Player Name]]="","",VLOOKUP(U12List[[#This Row],[Retained Player Name]],Players[],7,FALSE))</f>
        <v/>
      </c>
      <c r="H119" s="235" t="str">
        <f>IF(U12List[[#This Row],[Retained Player Name]]="","",VLOOKUP(U12List[[#This Row],[Retained Player Name]],Players[],6,FALSE))</f>
        <v/>
      </c>
      <c r="I119" s="235" t="str">
        <f>IF(U12List[[#This Row],[Retained Player Name]]="","",VLOOKUP(U12List[[#This Row],[Retained Player Name]],Players[],4,FALSE))</f>
        <v/>
      </c>
      <c r="J11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9" s="231"/>
      <c r="L119" s="231"/>
    </row>
    <row r="120" spans="1:12" x14ac:dyDescent="0.2">
      <c r="A120" s="16" t="str">
        <f>IF(AND(U12List[[#This Row],[First &amp; Last Name]]="",U12List[[#This Row],[FISTF Code]]=""),"",ROW()-ROW($A$11))</f>
        <v/>
      </c>
      <c r="B120" s="232"/>
      <c r="C120" s="436"/>
      <c r="D120" s="421" t="str">
        <f>IF(U12List[[#This Row],[First &amp; Last Name]]="","",IFERROR(ISNUMBER(MATCH(U12List[[#This Row],[First &amp; Last Name]],Players[Player Name],0)),FALSE))</f>
        <v/>
      </c>
      <c r="E120" s="421" t="b">
        <f>IF(U12List[[#This Row],[FISTF Code]]="",FALSE,IFERROR(ISNUMBER(MATCH(U12List[[#This Row],[FISTF Code]],Players[FISTF Code],0)),FALSE))</f>
        <v>0</v>
      </c>
      <c r="F120" s="419" t="str">
        <f>IF(AND(U12List[[#This Row],[First &amp; Last Name]]="",U12List[[#This Row],[FISTF Code]]=""),"",IF(U12List[[#This Row],[Valide Code ?]],INDEX(Players[Player Name],MATCH(U12List[[#This Row],[FISTF Code]],Players[FISTF Code],0)),U12List[[#This Row],[First &amp; Last Name]]))</f>
        <v/>
      </c>
      <c r="G120" s="233" t="str">
        <f>IF(U12List[[#This Row],[Retained Player Name]]="","",VLOOKUP(U12List[[#This Row],[Retained Player Name]],Players[],7,FALSE))</f>
        <v/>
      </c>
      <c r="H120" s="235" t="str">
        <f>IF(U12List[[#This Row],[Retained Player Name]]="","",VLOOKUP(U12List[[#This Row],[Retained Player Name]],Players[],6,FALSE))</f>
        <v/>
      </c>
      <c r="I120" s="235" t="str">
        <f>IF(U12List[[#This Row],[Retained Player Name]]="","",VLOOKUP(U12List[[#This Row],[Retained Player Name]],Players[],4,FALSE))</f>
        <v/>
      </c>
      <c r="J12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0" s="231"/>
      <c r="L120" s="231"/>
    </row>
    <row r="121" spans="1:12" x14ac:dyDescent="0.2">
      <c r="A121" s="16" t="str">
        <f>IF(AND(U12List[[#This Row],[First &amp; Last Name]]="",U12List[[#This Row],[FISTF Code]]=""),"",ROW()-ROW($A$11))</f>
        <v/>
      </c>
      <c r="B121" s="232"/>
      <c r="C121" s="436"/>
      <c r="D121" s="421" t="str">
        <f>IF(U12List[[#This Row],[First &amp; Last Name]]="","",IFERROR(ISNUMBER(MATCH(U12List[[#This Row],[First &amp; Last Name]],Players[Player Name],0)),FALSE))</f>
        <v/>
      </c>
      <c r="E121" s="421" t="b">
        <f>IF(U12List[[#This Row],[FISTF Code]]="",FALSE,IFERROR(ISNUMBER(MATCH(U12List[[#This Row],[FISTF Code]],Players[FISTF Code],0)),FALSE))</f>
        <v>0</v>
      </c>
      <c r="F121" s="419" t="str">
        <f>IF(AND(U12List[[#This Row],[First &amp; Last Name]]="",U12List[[#This Row],[FISTF Code]]=""),"",IF(U12List[[#This Row],[Valide Code ?]],INDEX(Players[Player Name],MATCH(U12List[[#This Row],[FISTF Code]],Players[FISTF Code],0)),U12List[[#This Row],[First &amp; Last Name]]))</f>
        <v/>
      </c>
      <c r="G121" s="233" t="str">
        <f>IF(U12List[[#This Row],[Retained Player Name]]="","",VLOOKUP(U12List[[#This Row],[Retained Player Name]],Players[],7,FALSE))</f>
        <v/>
      </c>
      <c r="H121" s="235" t="str">
        <f>IF(U12List[[#This Row],[Retained Player Name]]="","",VLOOKUP(U12List[[#This Row],[Retained Player Name]],Players[],6,FALSE))</f>
        <v/>
      </c>
      <c r="I121" s="235" t="str">
        <f>IF(U12List[[#This Row],[Retained Player Name]]="","",VLOOKUP(U12List[[#This Row],[Retained Player Name]],Players[],4,FALSE))</f>
        <v/>
      </c>
      <c r="J12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1" s="231"/>
      <c r="L121" s="231"/>
    </row>
    <row r="122" spans="1:12" x14ac:dyDescent="0.2">
      <c r="A122" s="16" t="str">
        <f>IF(AND(U12List[[#This Row],[First &amp; Last Name]]="",U12List[[#This Row],[FISTF Code]]=""),"",ROW()-ROW($A$11))</f>
        <v/>
      </c>
      <c r="B122" s="232"/>
      <c r="C122" s="436"/>
      <c r="D122" s="421" t="str">
        <f>IF(U12List[[#This Row],[First &amp; Last Name]]="","",IFERROR(ISNUMBER(MATCH(U12List[[#This Row],[First &amp; Last Name]],Players[Player Name],0)),FALSE))</f>
        <v/>
      </c>
      <c r="E122" s="421" t="b">
        <f>IF(U12List[[#This Row],[FISTF Code]]="",FALSE,IFERROR(ISNUMBER(MATCH(U12List[[#This Row],[FISTF Code]],Players[FISTF Code],0)),FALSE))</f>
        <v>0</v>
      </c>
      <c r="F122" s="419" t="str">
        <f>IF(AND(U12List[[#This Row],[First &amp; Last Name]]="",U12List[[#This Row],[FISTF Code]]=""),"",IF(U12List[[#This Row],[Valide Code ?]],INDEX(Players[Player Name],MATCH(U12List[[#This Row],[FISTF Code]],Players[FISTF Code],0)),U12List[[#This Row],[First &amp; Last Name]]))</f>
        <v/>
      </c>
      <c r="G122" s="233" t="str">
        <f>IF(U12List[[#This Row],[Retained Player Name]]="","",VLOOKUP(U12List[[#This Row],[Retained Player Name]],Players[],7,FALSE))</f>
        <v/>
      </c>
      <c r="H122" s="235" t="str">
        <f>IF(U12List[[#This Row],[Retained Player Name]]="","",VLOOKUP(U12List[[#This Row],[Retained Player Name]],Players[],6,FALSE))</f>
        <v/>
      </c>
      <c r="I122" s="235" t="str">
        <f>IF(U12List[[#This Row],[Retained Player Name]]="","",VLOOKUP(U12List[[#This Row],[Retained Player Name]],Players[],4,FALSE))</f>
        <v/>
      </c>
      <c r="J12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2" s="231"/>
      <c r="L122" s="231"/>
    </row>
    <row r="123" spans="1:12" x14ac:dyDescent="0.2">
      <c r="A123" s="16" t="str">
        <f>IF(AND(U12List[[#This Row],[First &amp; Last Name]]="",U12List[[#This Row],[FISTF Code]]=""),"",ROW()-ROW($A$11))</f>
        <v/>
      </c>
      <c r="B123" s="232"/>
      <c r="C123" s="436"/>
      <c r="D123" s="421" t="str">
        <f>IF(U12List[[#This Row],[First &amp; Last Name]]="","",IFERROR(ISNUMBER(MATCH(U12List[[#This Row],[First &amp; Last Name]],Players[Player Name],0)),FALSE))</f>
        <v/>
      </c>
      <c r="E123" s="421" t="b">
        <f>IF(U12List[[#This Row],[FISTF Code]]="",FALSE,IFERROR(ISNUMBER(MATCH(U12List[[#This Row],[FISTF Code]],Players[FISTF Code],0)),FALSE))</f>
        <v>0</v>
      </c>
      <c r="F123" s="419" t="str">
        <f>IF(AND(U12List[[#This Row],[First &amp; Last Name]]="",U12List[[#This Row],[FISTF Code]]=""),"",IF(U12List[[#This Row],[Valide Code ?]],INDEX(Players[Player Name],MATCH(U12List[[#This Row],[FISTF Code]],Players[FISTF Code],0)),U12List[[#This Row],[First &amp; Last Name]]))</f>
        <v/>
      </c>
      <c r="G123" s="233" t="str">
        <f>IF(U12List[[#This Row],[Retained Player Name]]="","",VLOOKUP(U12List[[#This Row],[Retained Player Name]],Players[],7,FALSE))</f>
        <v/>
      </c>
      <c r="H123" s="235" t="str">
        <f>IF(U12List[[#This Row],[Retained Player Name]]="","",VLOOKUP(U12List[[#This Row],[Retained Player Name]],Players[],6,FALSE))</f>
        <v/>
      </c>
      <c r="I123" s="235" t="str">
        <f>IF(U12List[[#This Row],[Retained Player Name]]="","",VLOOKUP(U12List[[#This Row],[Retained Player Name]],Players[],4,FALSE))</f>
        <v/>
      </c>
      <c r="J12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3" s="231"/>
      <c r="L123" s="231"/>
    </row>
    <row r="124" spans="1:12" x14ac:dyDescent="0.2">
      <c r="A124" s="19" t="str">
        <f>IF(AND(U12List[[#This Row],[First &amp; Last Name]]="",U12List[[#This Row],[FISTF Code]]=""),"",ROW()-ROW($A$11))</f>
        <v/>
      </c>
      <c r="B124" s="232"/>
      <c r="C124" s="436"/>
      <c r="D124" s="421" t="str">
        <f>IF(U12List[[#This Row],[First &amp; Last Name]]="","",IFERROR(ISNUMBER(MATCH(U12List[[#This Row],[First &amp; Last Name]],Players[Player Name],0)),FALSE))</f>
        <v/>
      </c>
      <c r="E124" s="421" t="b">
        <f>IF(U12List[[#This Row],[FISTF Code]]="",FALSE,IFERROR(ISNUMBER(MATCH(U12List[[#This Row],[FISTF Code]],Players[FISTF Code],0)),FALSE))</f>
        <v>0</v>
      </c>
      <c r="F124" s="419" t="str">
        <f>IF(AND(U12List[[#This Row],[First &amp; Last Name]]="",U12List[[#This Row],[FISTF Code]]=""),"",IF(U12List[[#This Row],[Valide Code ?]],INDEX(Players[Player Name],MATCH(U12List[[#This Row],[FISTF Code]],Players[FISTF Code],0)),U12List[[#This Row],[First &amp; Last Name]]))</f>
        <v/>
      </c>
      <c r="G124" s="233" t="str">
        <f>IF(U12List[[#This Row],[Retained Player Name]]="","",VLOOKUP(U12List[[#This Row],[Retained Player Name]],Players[],7,FALSE))</f>
        <v/>
      </c>
      <c r="H124" s="235" t="str">
        <f>IF(U12List[[#This Row],[Retained Player Name]]="","",VLOOKUP(U12List[[#This Row],[Retained Player Name]],Players[],6,FALSE))</f>
        <v/>
      </c>
      <c r="I124" s="235" t="str">
        <f>IF(U12List[[#This Row],[Retained Player Name]]="","",VLOOKUP(U12List[[#This Row],[Retained Player Name]],Players[],4,FALSE))</f>
        <v/>
      </c>
      <c r="J12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4" s="231"/>
      <c r="L124" s="231"/>
    </row>
    <row r="125" spans="1:12" x14ac:dyDescent="0.2">
      <c r="A125" s="19" t="str">
        <f>IF(AND(U12List[[#This Row],[First &amp; Last Name]]="",U12List[[#This Row],[FISTF Code]]=""),"",ROW()-ROW($A$11))</f>
        <v/>
      </c>
      <c r="B125" s="232"/>
      <c r="C125" s="436"/>
      <c r="D125" s="421" t="str">
        <f>IF(U12List[[#This Row],[First &amp; Last Name]]="","",IFERROR(ISNUMBER(MATCH(U12List[[#This Row],[First &amp; Last Name]],Players[Player Name],0)),FALSE))</f>
        <v/>
      </c>
      <c r="E125" s="421" t="b">
        <f>IF(U12List[[#This Row],[FISTF Code]]="",FALSE,IFERROR(ISNUMBER(MATCH(U12List[[#This Row],[FISTF Code]],Players[FISTF Code],0)),FALSE))</f>
        <v>0</v>
      </c>
      <c r="F125" s="419" t="str">
        <f>IF(AND(U12List[[#This Row],[First &amp; Last Name]]="",U12List[[#This Row],[FISTF Code]]=""),"",IF(U12List[[#This Row],[Valide Code ?]],INDEX(Players[Player Name],MATCH(U12List[[#This Row],[FISTF Code]],Players[FISTF Code],0)),U12List[[#This Row],[First &amp; Last Name]]))</f>
        <v/>
      </c>
      <c r="G125" s="233" t="str">
        <f>IF(U12List[[#This Row],[Retained Player Name]]="","",VLOOKUP(U12List[[#This Row],[Retained Player Name]],Players[],7,FALSE))</f>
        <v/>
      </c>
      <c r="H125" s="235" t="str">
        <f>IF(U12List[[#This Row],[Retained Player Name]]="","",VLOOKUP(U12List[[#This Row],[Retained Player Name]],Players[],6,FALSE))</f>
        <v/>
      </c>
      <c r="I125" s="235" t="str">
        <f>IF(U12List[[#This Row],[Retained Player Name]]="","",VLOOKUP(U12List[[#This Row],[Retained Player Name]],Players[],4,FALSE))</f>
        <v/>
      </c>
      <c r="J12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5" s="231"/>
      <c r="L125" s="231"/>
    </row>
    <row r="126" spans="1:12" x14ac:dyDescent="0.2">
      <c r="A126" s="10"/>
    </row>
  </sheetData>
  <sheetProtection algorithmName="SHA-512" hashValue="eG3vyuRhhFtzil0jTePPFhR/39RnocayIXcEkSVzEvkBMzeBgFjcJKkTTesYrMMHx8fDkqvxjDJg6fUgHDjvHA==" saltValue="PX5nJTwko8oCfBcjhDPPbQ==" spinCount="100000" sheet="1" objects="1" scenarios="1" formatCells="0" formatColumns="0" formatRows="0" selectLockedCells="1" sort="0" autoFilter="0" pivotTables="0"/>
  <conditionalFormatting sqref="A6:A9">
    <cfRule type="expression" dxfId="70" priority="11">
      <formula>$K6="Withdraw"</formula>
    </cfRule>
  </conditionalFormatting>
  <conditionalFormatting sqref="A28:B125 A12:A27 D12:J125">
    <cfRule type="expression" dxfId="69" priority="15">
      <formula>$K12&lt;&gt;""</formula>
    </cfRule>
  </conditionalFormatting>
  <conditionalFormatting sqref="B12:B27">
    <cfRule type="expression" dxfId="68" priority="4">
      <formula>$K12&lt;&gt;""</formula>
    </cfRule>
  </conditionalFormatting>
  <conditionalFormatting sqref="B12:B125">
    <cfRule type="expression" dxfId="67" priority="1">
      <formula>AND(NOT(ISBLANK(B12)),NOT(D12))</formula>
    </cfRule>
    <cfRule type="expression" dxfId="66" priority="2">
      <formula>AND($B12&lt;&gt;"",$B12&lt;&gt;$F12)</formula>
    </cfRule>
    <cfRule type="expression" dxfId="65" priority="3">
      <formula>D12</formula>
    </cfRule>
  </conditionalFormatting>
  <conditionalFormatting sqref="C12:C125">
    <cfRule type="expression" dxfId="64" priority="5">
      <formula>AND(E12,C12&lt;&gt;"")</formula>
    </cfRule>
    <cfRule type="expression" dxfId="63" priority="6">
      <formula>AND(NOT(ISBLANK(C12)),NOT(E12))</formula>
    </cfRule>
    <cfRule type="expression" dxfId="62" priority="7">
      <formula>$K12&lt;&gt;""</formula>
    </cfRule>
  </conditionalFormatting>
  <conditionalFormatting sqref="G6:G9">
    <cfRule type="expression" dxfId="61" priority="10">
      <formula>$K6="Withdraw"</formula>
    </cfRule>
  </conditionalFormatting>
  <conditionalFormatting sqref="G12:J125">
    <cfRule type="expression" dxfId="60" priority="16">
      <formula>NOT(_xlfn.ISFORMULA(G12))</formula>
    </cfRule>
  </conditionalFormatting>
  <conditionalFormatting sqref="J6:J9">
    <cfRule type="expression" dxfId="59" priority="9">
      <formula>$K6="Withdraw"</formula>
    </cfRule>
  </conditionalFormatting>
  <dataValidations count="3">
    <dataValidation type="list" allowBlank="1" showInputMessage="1" showErrorMessage="1" sqref="K12:K125" xr:uid="{CD135CFE-96B6-4AFB-A0AE-C1E580A74D78}">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B314B61D-8329-42FC-BFF8-6BD3FC3F431C}">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1A860191-8969-41D5-840E-D6B69FDE742E}">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99FF99"/>
    <pageSetUpPr fitToPage="1"/>
  </sheetPr>
  <dimension ref="A1:K74"/>
  <sheetViews>
    <sheetView showGridLines="0" zoomScaleNormal="100" workbookViewId="0">
      <selection activeCell="B10" sqref="B10"/>
    </sheetView>
  </sheetViews>
  <sheetFormatPr defaultColWidth="0" defaultRowHeight="12.75" zeroHeight="1" x14ac:dyDescent="0.2"/>
  <cols>
    <col min="1" max="1" width="4.85546875" style="9" bestFit="1" customWidth="1"/>
    <col min="2" max="2" width="25.7109375" style="7" bestFit="1" customWidth="1"/>
    <col min="3" max="3" width="8.140625" style="9" bestFit="1" customWidth="1"/>
    <col min="4" max="4" width="26.140625" style="9" bestFit="1" customWidth="1"/>
    <col min="5" max="5" width="9" style="9" bestFit="1" customWidth="1"/>
    <col min="6" max="6" width="10.85546875" style="9" bestFit="1" customWidth="1"/>
    <col min="7" max="8" width="10.7109375" style="7" bestFit="1" customWidth="1"/>
    <col min="9" max="9" width="19.42578125" style="7" customWidth="1"/>
    <col min="10" max="10" width="15.85546875" style="7" bestFit="1" customWidth="1"/>
    <col min="11" max="11" width="4.85546875" style="7" customWidth="1"/>
    <col min="12" max="16384" width="3.7109375" style="7" hidden="1"/>
  </cols>
  <sheetData>
    <row r="1" spans="1:10" ht="141" thickBot="1" x14ac:dyDescent="0.25">
      <c r="A1" s="13"/>
      <c r="B1" s="471" t="s">
        <v>13181</v>
      </c>
      <c r="C1" s="191"/>
      <c r="D1" s="192"/>
      <c r="E1" s="192"/>
      <c r="F1" s="193"/>
      <c r="G1" s="194"/>
      <c r="H1" s="23"/>
      <c r="I1" s="23"/>
      <c r="J1" s="206"/>
    </row>
    <row r="2" spans="1:10" ht="14.1" customHeight="1" x14ac:dyDescent="0.2">
      <c r="A2" s="196"/>
      <c r="B2" s="198" t="s">
        <v>10</v>
      </c>
      <c r="C2" s="195"/>
      <c r="D2" s="195"/>
      <c r="E2" s="195"/>
      <c r="F2" s="195"/>
      <c r="G2" s="195"/>
      <c r="H2" s="195"/>
      <c r="I2" s="195"/>
      <c r="J2" s="27"/>
    </row>
    <row r="3" spans="1:10" ht="14.1" customHeight="1" x14ac:dyDescent="0.2">
      <c r="A3" s="197">
        <v>1</v>
      </c>
      <c r="B3" s="199" t="s">
        <v>174</v>
      </c>
      <c r="C3" s="24" t="s">
        <v>12205</v>
      </c>
      <c r="D3" s="24" t="s">
        <v>174</v>
      </c>
      <c r="E3" s="24" t="s">
        <v>81</v>
      </c>
      <c r="F3" s="24" t="s">
        <v>529</v>
      </c>
      <c r="G3" s="24" t="s">
        <v>175</v>
      </c>
      <c r="H3" s="24"/>
      <c r="I3" s="24"/>
      <c r="J3" s="25"/>
    </row>
    <row r="4" spans="1:10" ht="14.1" customHeight="1" x14ac:dyDescent="0.2">
      <c r="A4" s="197">
        <v>2</v>
      </c>
      <c r="B4" s="200" t="s">
        <v>328</v>
      </c>
      <c r="C4" s="24" t="s">
        <v>12205</v>
      </c>
      <c r="D4" s="24" t="s">
        <v>328</v>
      </c>
      <c r="E4" s="24" t="s">
        <v>38</v>
      </c>
      <c r="F4" s="24" t="s">
        <v>329</v>
      </c>
      <c r="G4" s="24" t="s">
        <v>66</v>
      </c>
      <c r="H4" s="24"/>
      <c r="I4" s="24"/>
      <c r="J4" s="25"/>
    </row>
    <row r="5" spans="1:10" ht="14.1" customHeight="1" x14ac:dyDescent="0.2">
      <c r="A5" s="197">
        <v>3</v>
      </c>
      <c r="B5" s="200" t="s">
        <v>170</v>
      </c>
      <c r="C5" s="24" t="s">
        <v>12205</v>
      </c>
      <c r="D5" s="24" t="s">
        <v>170</v>
      </c>
      <c r="E5" s="24" t="s">
        <v>74</v>
      </c>
      <c r="F5" s="24" t="s">
        <v>512</v>
      </c>
      <c r="G5" s="24" t="s">
        <v>171</v>
      </c>
      <c r="H5" s="24"/>
      <c r="I5" s="24"/>
      <c r="J5" s="25"/>
    </row>
    <row r="6" spans="1:10" ht="14.1" customHeight="1" x14ac:dyDescent="0.2">
      <c r="A6" s="197">
        <v>4</v>
      </c>
      <c r="B6" s="199" t="s">
        <v>170</v>
      </c>
      <c r="C6" s="24" t="s">
        <v>12351</v>
      </c>
      <c r="D6" s="24" t="s">
        <v>12674</v>
      </c>
      <c r="E6" s="24" t="s">
        <v>74</v>
      </c>
      <c r="F6" s="24" t="s">
        <v>512</v>
      </c>
      <c r="G6" s="24" t="s">
        <v>171</v>
      </c>
      <c r="H6" s="24"/>
      <c r="I6" s="24"/>
      <c r="J6" s="25"/>
    </row>
    <row r="7" spans="1:10" ht="14.1" customHeight="1" thickBot="1" x14ac:dyDescent="0.25">
      <c r="A7" s="197">
        <v>5</v>
      </c>
      <c r="B7" s="201" t="s">
        <v>227</v>
      </c>
      <c r="C7" s="202" t="s">
        <v>12205</v>
      </c>
      <c r="D7" s="202" t="s">
        <v>227</v>
      </c>
      <c r="E7" s="202" t="s">
        <v>15</v>
      </c>
      <c r="F7" s="202" t="s">
        <v>637</v>
      </c>
      <c r="G7" s="202" t="s">
        <v>228</v>
      </c>
      <c r="H7" s="202"/>
      <c r="I7" s="202"/>
      <c r="J7" s="26"/>
    </row>
    <row r="8" spans="1:10" ht="35.25" x14ac:dyDescent="0.5">
      <c r="A8" s="203" t="s">
        <v>12305</v>
      </c>
      <c r="B8" s="204"/>
      <c r="C8" s="204"/>
      <c r="D8" s="204"/>
      <c r="E8" s="204"/>
      <c r="F8" s="204"/>
      <c r="G8" s="205"/>
      <c r="H8" s="204"/>
      <c r="I8" s="204"/>
      <c r="J8" s="22" t="s">
        <v>12689</v>
      </c>
    </row>
    <row r="9" spans="1:10" s="8" customFormat="1" ht="14.1" customHeight="1" x14ac:dyDescent="0.2">
      <c r="A9" s="12" t="s">
        <v>6</v>
      </c>
      <c r="B9" s="12" t="s">
        <v>12136</v>
      </c>
      <c r="C9" s="12" t="s">
        <v>10889</v>
      </c>
      <c r="D9" s="12" t="s">
        <v>12304</v>
      </c>
      <c r="E9" s="12" t="s">
        <v>8</v>
      </c>
      <c r="F9" s="12" t="s">
        <v>10887</v>
      </c>
      <c r="G9" s="12" t="s">
        <v>10888</v>
      </c>
      <c r="H9" s="12" t="s">
        <v>12285</v>
      </c>
      <c r="I9" s="12" t="s">
        <v>10890</v>
      </c>
      <c r="J9" s="15" t="s">
        <v>10891</v>
      </c>
    </row>
    <row r="10" spans="1:10" s="8" customFormat="1" ht="14.1" customHeight="1" x14ac:dyDescent="0.2">
      <c r="A10" s="16">
        <f>IF(Team!$B10="","",ROW()-ROW(Team!$A$9))</f>
        <v>1</v>
      </c>
      <c r="B10" s="11" t="s">
        <v>12558</v>
      </c>
      <c r="C10" s="59" t="s">
        <v>12205</v>
      </c>
      <c r="D10" s="236" t="str">
        <f t="shared" ref="D10:D11" si="0">IF($B10="","",$B10 &amp; IF($C10="A",""," "&amp; CODE($C10) - CODE("A")+1))</f>
        <v>F.lli Bari Reggio Emilia</v>
      </c>
      <c r="E10" s="17" t="str">
        <f>IF($B10="","",VLOOKUP($B10,Clubs[],3,FALSE))</f>
        <v>ITA</v>
      </c>
      <c r="F10" s="17" t="str">
        <f>IF($B10="","",VLOOKUP($B10,Clubs[],4,FALSE))</f>
        <v>ITAC040</v>
      </c>
      <c r="G10" s="17" t="str">
        <f>IF($B10="","",VLOOKUP($B10,Clubs[],2,FALSE))</f>
        <v>reg</v>
      </c>
      <c r="H1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W</v>
      </c>
      <c r="I10" s="231"/>
      <c r="J10" s="231"/>
    </row>
    <row r="11" spans="1:10" s="8" customFormat="1" ht="14.1" customHeight="1" x14ac:dyDescent="0.2">
      <c r="A11" s="16">
        <f>IF(Team!$B11="","",ROW()-ROW(Team!$A$9))</f>
        <v>2</v>
      </c>
      <c r="B11" s="11" t="s">
        <v>789</v>
      </c>
      <c r="C11" s="59" t="s">
        <v>12205</v>
      </c>
      <c r="D11" s="236" t="str">
        <f t="shared" si="0"/>
        <v>Valletta SC</v>
      </c>
      <c r="E11" s="17" t="str">
        <f>IF($B11="","",VLOOKUP($B11,Clubs[],3,FALSE))</f>
        <v>MLT</v>
      </c>
      <c r="F11" s="17" t="str">
        <f>IF($B11="","",VLOOKUP($B11,Clubs[],4,FALSE))</f>
        <v>MLTC001</v>
      </c>
      <c r="G11" s="17" t="str">
        <f>IF($B11="","",VLOOKUP($B11,Clubs[],2,FALSE))</f>
        <v>vll</v>
      </c>
      <c r="H1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S</v>
      </c>
      <c r="I11" s="231"/>
      <c r="J11" s="231"/>
    </row>
    <row r="12" spans="1:10" s="8" customFormat="1" ht="14.1" customHeight="1" x14ac:dyDescent="0.2">
      <c r="A12" s="16">
        <f>IF(Team!$B12="","",ROW()-ROW(Team!$A$9))</f>
        <v>3</v>
      </c>
      <c r="B12" s="11" t="s">
        <v>794</v>
      </c>
      <c r="C12" s="59" t="s">
        <v>12205</v>
      </c>
      <c r="D12" s="236" t="str">
        <f t="shared" ref="D12:D41" si="1">IF($B12="","",$B12 &amp; IF($C12="A",""," "&amp; CODE($C12) - CODE("A")+1))</f>
        <v>Bormla SC</v>
      </c>
      <c r="E12" s="17" t="str">
        <f>IF($B12="","",VLOOKUP($B12,Clubs[],3,FALSE))</f>
        <v>MLT</v>
      </c>
      <c r="F12" s="17" t="str">
        <f>IF($B12="","",VLOOKUP($B12,Clubs[],4,FALSE))</f>
        <v>MLTC003</v>
      </c>
      <c r="G12" s="17" t="str">
        <f>IF($B12="","",VLOOKUP($B12,Clubs[],2,FALSE))</f>
        <v>bor</v>
      </c>
      <c r="H1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S</v>
      </c>
      <c r="I12" s="231"/>
      <c r="J12" s="231"/>
    </row>
    <row r="13" spans="1:10" s="8" customFormat="1" ht="14.1" customHeight="1" x14ac:dyDescent="0.2">
      <c r="A13" s="16">
        <f>IF(Team!$B13="","",ROW()-ROW(Team!$A$9))</f>
        <v>4</v>
      </c>
      <c r="B13" s="11" t="s">
        <v>654</v>
      </c>
      <c r="C13" s="59" t="s">
        <v>12205</v>
      </c>
      <c r="D13" s="236" t="str">
        <f t="shared" si="1"/>
        <v>ASD SC Salernitana</v>
      </c>
      <c r="E13" s="17" t="str">
        <f>IF($B13="","",VLOOKUP($B13,Clubs[],3,FALSE))</f>
        <v>ITA</v>
      </c>
      <c r="F13" s="17" t="str">
        <f>IF($B13="","",VLOOKUP($B13,Clubs[],4,FALSE))</f>
        <v>ITAC051</v>
      </c>
      <c r="G13" s="17" t="str">
        <f>IF($B13="","",VLOOKUP($B13,Clubs[],2,FALSE))</f>
        <v>sal</v>
      </c>
      <c r="H1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13" s="231"/>
      <c r="J13" s="231"/>
    </row>
    <row r="14" spans="1:10" s="8" customFormat="1" ht="14.1" customHeight="1" x14ac:dyDescent="0.2">
      <c r="A14" s="16">
        <f>IF(Team!$B14="","",ROW()-ROW(Team!$A$9))</f>
        <v>5</v>
      </c>
      <c r="B14" s="11" t="s">
        <v>201</v>
      </c>
      <c r="C14" s="59" t="s">
        <v>12205</v>
      </c>
      <c r="D14" s="236" t="str">
        <f t="shared" si="1"/>
        <v>CCT Eagles Napoli</v>
      </c>
      <c r="E14" s="17" t="str">
        <f>IF($B14="","",VLOOKUP($B14,Clubs[],3,FALSE))</f>
        <v>ITA</v>
      </c>
      <c r="F14" s="17" t="str">
        <f>IF($B14="","",VLOOKUP($B14,Clubs[],4,FALSE))</f>
        <v>ITAC010</v>
      </c>
      <c r="G14" s="17" t="str">
        <f>IF($B14="","",VLOOKUP($B14,Clubs[],2,FALSE))</f>
        <v>nap</v>
      </c>
      <c r="H1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R</v>
      </c>
      <c r="I14" s="231"/>
      <c r="J14" s="231"/>
    </row>
    <row r="15" spans="1:10" s="8" customFormat="1" ht="14.1" customHeight="1" x14ac:dyDescent="0.2">
      <c r="A15" s="16">
        <f>IF(Team!$B15="","",ROW()-ROW(Team!$A$9))</f>
        <v>6</v>
      </c>
      <c r="B15" s="11" t="s">
        <v>39</v>
      </c>
      <c r="C15" s="59" t="s">
        <v>12205</v>
      </c>
      <c r="D15" s="236" t="str">
        <f t="shared" si="1"/>
        <v>TSC Royal 78 Kaisermühlen</v>
      </c>
      <c r="E15" s="17" t="str">
        <f>IF($B15="","",VLOOKUP($B15,Clubs[],3,FALSE))</f>
        <v>AUT</v>
      </c>
      <c r="F15" s="17" t="str">
        <f>IF($B15="","",VLOOKUP($B15,Clubs[],4,FALSE))</f>
        <v>AUTC002</v>
      </c>
      <c r="G15" s="17" t="str">
        <f>IF($B15="","",VLOOKUP($B15,Clubs[],2,FALSE))</f>
        <v>roy</v>
      </c>
      <c r="H1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15" s="231"/>
      <c r="J15" s="231"/>
    </row>
    <row r="16" spans="1:10" s="8" customFormat="1" ht="14.1" customHeight="1" x14ac:dyDescent="0.2">
      <c r="A16" s="16">
        <f>IF(Team!$B16="","",ROW()-ROW(Team!$A$9))</f>
        <v>7</v>
      </c>
      <c r="B16" s="11" t="s">
        <v>535</v>
      </c>
      <c r="C16" s="59" t="s">
        <v>12205</v>
      </c>
      <c r="D16" s="236" t="str">
        <f t="shared" si="1"/>
        <v>FTC Caen</v>
      </c>
      <c r="E16" s="17" t="str">
        <f>IF($B16="","",VLOOKUP($B16,Clubs[],3,FALSE))</f>
        <v>FRA</v>
      </c>
      <c r="F16" s="17" t="str">
        <f>IF($B16="","",VLOOKUP($B16,Clubs[],4,FALSE))</f>
        <v>FRAC012</v>
      </c>
      <c r="G16" s="17" t="str">
        <f>IF($B16="","",VLOOKUP($B16,Clubs[],2,FALSE))</f>
        <v>cae</v>
      </c>
      <c r="H1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16" s="231"/>
      <c r="J16" s="231"/>
    </row>
    <row r="17" spans="1:10" s="8" customFormat="1" ht="14.1" customHeight="1" x14ac:dyDescent="0.2">
      <c r="A17" s="16">
        <f>IF(Team!$B17="","",ROW()-ROW(Team!$A$9))</f>
        <v>8</v>
      </c>
      <c r="B17" s="11" t="s">
        <v>197</v>
      </c>
      <c r="C17" s="59" t="s">
        <v>12205</v>
      </c>
      <c r="D17" s="236" t="str">
        <f t="shared" si="1"/>
        <v>Bologna Tigers Subbuteo</v>
      </c>
      <c r="E17" s="17" t="str">
        <f>IF($B17="","",VLOOKUP($B17,Clubs[],3,FALSE))</f>
        <v>ITA</v>
      </c>
      <c r="F17" s="17" t="str">
        <f>IF($B17="","",VLOOKUP($B17,Clubs[],4,FALSE))</f>
        <v>ITAC003</v>
      </c>
      <c r="G17" s="17" t="str">
        <f>IF($B17="","",VLOOKUP($B17,Clubs[],2,FALSE))</f>
        <v>bol</v>
      </c>
      <c r="H1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17" s="231"/>
      <c r="J17" s="231"/>
    </row>
    <row r="18" spans="1:10" s="8" customFormat="1" ht="14.1" customHeight="1" x14ac:dyDescent="0.2">
      <c r="A18" s="16">
        <f>IF(Team!$B18="","",ROW()-ROW(Team!$A$9))</f>
        <v>9</v>
      </c>
      <c r="B18" s="11" t="s">
        <v>328</v>
      </c>
      <c r="C18" s="59" t="s">
        <v>12205</v>
      </c>
      <c r="D18" s="236" t="str">
        <f t="shared" si="1"/>
        <v>Avenir Subbuteo Hennuyer</v>
      </c>
      <c r="E18" s="17" t="str">
        <f>IF($B18="","",VLOOKUP($B18,Clubs[],3,FALSE))</f>
        <v>BEL</v>
      </c>
      <c r="F18" s="17" t="str">
        <f>IF($B18="","",VLOOKUP($B18,Clubs[],4,FALSE))</f>
        <v>BELC006</v>
      </c>
      <c r="G18" s="17" t="str">
        <f>IF($B18="","",VLOOKUP($B18,Clubs[],2,FALSE))</f>
        <v>hen</v>
      </c>
      <c r="H1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18" s="231"/>
      <c r="J18" s="231"/>
    </row>
    <row r="19" spans="1:10" s="8" customFormat="1" ht="14.1" customHeight="1" x14ac:dyDescent="0.2">
      <c r="A19" s="16">
        <f>IF(Team!$B19="","",ROW()-ROW(Team!$A$9))</f>
        <v>10</v>
      </c>
      <c r="B19" s="11" t="s">
        <v>57</v>
      </c>
      <c r="C19" s="59" t="s">
        <v>12205</v>
      </c>
      <c r="D19" s="236" t="str">
        <f t="shared" si="1"/>
        <v>SC Charleroi</v>
      </c>
      <c r="E19" s="17" t="str">
        <f>IF($B19="","",VLOOKUP($B19,Clubs[],3,FALSE))</f>
        <v>BEL</v>
      </c>
      <c r="F19" s="17" t="str">
        <f>IF($B19="","",VLOOKUP($B19,Clubs[],4,FALSE))</f>
        <v>BELC003</v>
      </c>
      <c r="G19" s="17" t="str">
        <f>IF($B19="","",VLOOKUP($B19,Clubs[],2,FALSE))</f>
        <v>cha</v>
      </c>
      <c r="H1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19" s="231"/>
      <c r="J19" s="231"/>
    </row>
    <row r="20" spans="1:10" s="8" customFormat="1" ht="14.1" customHeight="1" x14ac:dyDescent="0.2">
      <c r="A20" s="16">
        <f>IF(Team!$B20="","",ROW()-ROW(Team!$A$9))</f>
        <v>11</v>
      </c>
      <c r="B20" s="11" t="s">
        <v>170</v>
      </c>
      <c r="C20" s="59" t="s">
        <v>12205</v>
      </c>
      <c r="D20" s="236" t="str">
        <f t="shared" si="1"/>
        <v>Tiburones FM</v>
      </c>
      <c r="E20" s="17" t="str">
        <f>IF($B20="","",VLOOKUP($B20,Clubs[],3,FALSE))</f>
        <v>ESP</v>
      </c>
      <c r="F20" s="17" t="str">
        <f>IF($B20="","",VLOOKUP($B20,Clubs[],4,FALSE))</f>
        <v>ESPC011</v>
      </c>
      <c r="G20" s="17" t="str">
        <f>IF($B20="","",VLOOKUP($B20,Clubs[],2,FALSE))</f>
        <v>tib</v>
      </c>
      <c r="H2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20" s="231"/>
      <c r="J20" s="231"/>
    </row>
    <row r="21" spans="1:10" s="8" customFormat="1" ht="14.1" customHeight="1" x14ac:dyDescent="0.2">
      <c r="A21" s="16">
        <f>IF(Team!$B21="","",ROW()-ROW(Team!$A$9))</f>
        <v>12</v>
      </c>
      <c r="B21" s="11" t="s">
        <v>479</v>
      </c>
      <c r="C21" s="59" t="s">
        <v>12205</v>
      </c>
      <c r="D21" s="236" t="str">
        <f t="shared" si="1"/>
        <v>Wobbly Hobby Subbuteo Club</v>
      </c>
      <c r="E21" s="17" t="str">
        <f>IF($B21="","",VLOOKUP($B21,Clubs[],3,FALSE))</f>
        <v>ENG</v>
      </c>
      <c r="F21" s="17" t="str">
        <f>IF($B21="","",VLOOKUP($B21,Clubs[],4,FALSE))</f>
        <v>ENGC067</v>
      </c>
      <c r="G21" s="17" t="str">
        <f>IF($B21="","",VLOOKUP($B21,Clubs[],2,FALSE))</f>
        <v>WHC</v>
      </c>
      <c r="H2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1" s="231"/>
      <c r="J21" s="231"/>
    </row>
    <row r="22" spans="1:10" s="8" customFormat="1" ht="14.1" customHeight="1" x14ac:dyDescent="0.2">
      <c r="A22" s="16">
        <f>IF(Team!$B22="","",ROW()-ROW(Team!$A$9))</f>
        <v>13</v>
      </c>
      <c r="B22" s="11" t="s">
        <v>179</v>
      </c>
      <c r="C22" s="59" t="s">
        <v>12205</v>
      </c>
      <c r="D22" s="236" t="str">
        <f t="shared" si="1"/>
        <v>FTC Issy-les-Moulineaux</v>
      </c>
      <c r="E22" s="17" t="str">
        <f>IF($B22="","",VLOOKUP($B22,Clubs[],3,FALSE))</f>
        <v>FRA</v>
      </c>
      <c r="F22" s="17" t="str">
        <f>IF($B22="","",VLOOKUP($B22,Clubs[],4,FALSE))</f>
        <v>FRAC009</v>
      </c>
      <c r="G22" s="17" t="str">
        <f>IF($B22="","",VLOOKUP($B22,Clubs[],2,FALSE))</f>
        <v>iss</v>
      </c>
      <c r="H2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22" s="231"/>
      <c r="J22" s="231"/>
    </row>
    <row r="23" spans="1:10" s="8" customFormat="1" ht="14.1" customHeight="1" x14ac:dyDescent="0.2">
      <c r="A23" s="16">
        <f>IF(Team!$B23="","",ROW()-ROW(Team!$A$9))</f>
        <v>14</v>
      </c>
      <c r="B23" s="11" t="s">
        <v>547</v>
      </c>
      <c r="C23" s="59" t="s">
        <v>12205</v>
      </c>
      <c r="D23" s="236" t="str">
        <f t="shared" si="1"/>
        <v>Atlas FTC</v>
      </c>
      <c r="E23" s="17" t="str">
        <f>IF($B23="","",VLOOKUP($B23,Clubs[],3,FALSE))</f>
        <v>GRE</v>
      </c>
      <c r="F23" s="17" t="str">
        <f>IF($B23="","",VLOOKUP($B23,Clubs[],4,FALSE))</f>
        <v>GREC001</v>
      </c>
      <c r="G23" s="17" t="str">
        <f>IF($B23="","",VLOOKUP($B23,Clubs[],2,FALSE))</f>
        <v>atl</v>
      </c>
      <c r="H2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L32</v>
      </c>
      <c r="I23" s="231"/>
      <c r="J23" s="231"/>
    </row>
    <row r="24" spans="1:10" s="8" customFormat="1" ht="14.1" customHeight="1" x14ac:dyDescent="0.2">
      <c r="A24" s="16">
        <f>IF(Team!$B24="","",ROW()-ROW(Team!$A$9))</f>
        <v>15</v>
      </c>
      <c r="B24" s="11" t="s">
        <v>324</v>
      </c>
      <c r="C24" s="59" t="s">
        <v>12205</v>
      </c>
      <c r="D24" s="236" t="str">
        <f t="shared" si="1"/>
        <v>SC Lion's Eugies</v>
      </c>
      <c r="E24" s="17" t="str">
        <f>IF($B24="","",VLOOKUP($B24,Clubs[],3,FALSE))</f>
        <v>BEL</v>
      </c>
      <c r="F24" s="17" t="str">
        <f>IF($B24="","",VLOOKUP($B24,Clubs[],4,FALSE))</f>
        <v>BELC004</v>
      </c>
      <c r="G24" s="17" t="str">
        <f>IF($B24="","",VLOOKUP($B24,Clubs[],2,FALSE))</f>
        <v>eug</v>
      </c>
      <c r="H2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24" s="231"/>
      <c r="J24" s="231"/>
    </row>
    <row r="25" spans="1:10" s="8" customFormat="1" ht="14.1" customHeight="1" x14ac:dyDescent="0.2">
      <c r="A25" s="16">
        <f>IF(Team!$B25="","",ROW()-ROW(Team!$A$9))</f>
        <v>16</v>
      </c>
      <c r="B25" s="11" t="s">
        <v>796</v>
      </c>
      <c r="C25" s="59" t="s">
        <v>12205</v>
      </c>
      <c r="D25" s="236" t="str">
        <f t="shared" si="1"/>
        <v>Valletta Lions TFC</v>
      </c>
      <c r="E25" s="17" t="str">
        <f>IF($B25="","",VLOOKUP($B25,Clubs[],3,FALSE))</f>
        <v>MLT</v>
      </c>
      <c r="F25" s="17" t="str">
        <f>IF($B25="","",VLOOKUP($B25,Clubs[],4,FALSE))</f>
        <v>MLTC004</v>
      </c>
      <c r="G25" s="17" t="str">
        <f>IF($B25="","",VLOOKUP($B25,Clubs[],2,FALSE))</f>
        <v>val</v>
      </c>
      <c r="H2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5" s="231"/>
      <c r="J25" s="231"/>
    </row>
    <row r="26" spans="1:10" s="8" customFormat="1" ht="14.1" customHeight="1" x14ac:dyDescent="0.2">
      <c r="A26" s="16">
        <f>IF(Team!$B26="","",ROW()-ROW(Team!$A$9))</f>
        <v>17</v>
      </c>
      <c r="B26" s="11" t="s">
        <v>78</v>
      </c>
      <c r="C26" s="59" t="s">
        <v>12205</v>
      </c>
      <c r="D26" s="236" t="str">
        <f t="shared" si="1"/>
        <v>SC Temploux</v>
      </c>
      <c r="E26" s="17" t="str">
        <f>IF($B26="","",VLOOKUP($B26,Clubs[],3,FALSE))</f>
        <v>BEL</v>
      </c>
      <c r="F26" s="17" t="str">
        <f>IF($B26="","",VLOOKUP($B26,Clubs[],4,FALSE))</f>
        <v>BELC010</v>
      </c>
      <c r="G26" s="17" t="str">
        <f>IF($B26="","",VLOOKUP($B26,Clubs[],2,FALSE))</f>
        <v>tem</v>
      </c>
      <c r="H2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6" s="231"/>
      <c r="J26" s="231"/>
    </row>
    <row r="27" spans="1:10" s="8" customFormat="1" ht="14.1" customHeight="1" x14ac:dyDescent="0.2">
      <c r="A27" s="16">
        <f>IF(Team!$B27="","",ROW()-ROW(Team!$A$9))</f>
        <v>18</v>
      </c>
      <c r="B27" s="11" t="s">
        <v>644</v>
      </c>
      <c r="C27" s="59" t="s">
        <v>12205</v>
      </c>
      <c r="D27" s="236" t="str">
        <f t="shared" si="1"/>
        <v>Master Sanremo</v>
      </c>
      <c r="E27" s="17" t="str">
        <f>IF($B27="","",VLOOKUP($B27,Clubs[],3,FALSE))</f>
        <v>ITA</v>
      </c>
      <c r="F27" s="17" t="str">
        <f>IF($B27="","",VLOOKUP($B27,Clubs[],4,FALSE))</f>
        <v>ITAC041</v>
      </c>
      <c r="G27" s="17" t="str">
        <f>IF($B27="","",VLOOKUP($B27,Clubs[],2,FALSE))</f>
        <v>msa</v>
      </c>
      <c r="H2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27" s="231"/>
      <c r="J27" s="231"/>
    </row>
    <row r="28" spans="1:10" s="8" customFormat="1" ht="14.1" customHeight="1" x14ac:dyDescent="0.2">
      <c r="A28" s="16">
        <f>IF(Team!$B28="","",ROW()-ROW(Team!$A$9))</f>
        <v>19</v>
      </c>
      <c r="B28" s="11" t="s">
        <v>620</v>
      </c>
      <c r="C28" s="59" t="s">
        <v>12205</v>
      </c>
      <c r="D28" s="236" t="str">
        <f t="shared" si="1"/>
        <v>Subbuteo Casale</v>
      </c>
      <c r="E28" s="17" t="str">
        <f>IF($B28="","",VLOOKUP($B28,Clubs[],3,FALSE))</f>
        <v>ITA</v>
      </c>
      <c r="F28" s="17" t="str">
        <f>IF($B28="","",VLOOKUP($B28,Clubs[],4,FALSE))</f>
        <v>ITAC012</v>
      </c>
      <c r="G28" s="17" t="str">
        <f>IF($B28="","",VLOOKUP($B28,Clubs[],2,FALSE))</f>
        <v>pie</v>
      </c>
      <c r="H2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L32</v>
      </c>
      <c r="I28" s="231"/>
      <c r="J28" s="231"/>
    </row>
    <row r="29" spans="1:10" s="8" customFormat="1" ht="14.1" customHeight="1" x14ac:dyDescent="0.2">
      <c r="A29" s="16">
        <f>IF(Team!$B29="","",ROW()-ROW(Team!$A$9))</f>
        <v>20</v>
      </c>
      <c r="B29" s="11" t="s">
        <v>69</v>
      </c>
      <c r="C29" s="59" t="s">
        <v>12205</v>
      </c>
      <c r="D29" s="236" t="str">
        <f t="shared" si="1"/>
        <v>JSC Rochefort</v>
      </c>
      <c r="E29" s="17" t="str">
        <f>IF($B29="","",VLOOKUP($B29,Clubs[],3,FALSE))</f>
        <v>BEL</v>
      </c>
      <c r="F29" s="17" t="str">
        <f>IF($B29="","",VLOOKUP($B29,Clubs[],4,FALSE))</f>
        <v>BELC007</v>
      </c>
      <c r="G29" s="17" t="str">
        <f>IF($B29="","",VLOOKUP($B29,Clubs[],2,FALSE))</f>
        <v>roc</v>
      </c>
      <c r="H2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9" s="231"/>
      <c r="J29" s="231"/>
    </row>
    <row r="30" spans="1:10" s="8" customFormat="1" ht="14.1" customHeight="1" x14ac:dyDescent="0.2">
      <c r="A30" s="16">
        <f>IF(Team!$B30="","",ROW()-ROW(Team!$A$9))</f>
        <v>21</v>
      </c>
      <c r="B30" s="11" t="s">
        <v>170</v>
      </c>
      <c r="C30" s="59" t="s">
        <v>12351</v>
      </c>
      <c r="D30" s="236" t="str">
        <f t="shared" si="1"/>
        <v>Tiburones FM 2</v>
      </c>
      <c r="E30" s="17" t="str">
        <f>IF($B30="","",VLOOKUP($B30,Clubs[],3,FALSE))</f>
        <v>ESP</v>
      </c>
      <c r="F30" s="17" t="str">
        <f>IF($B30="","",VLOOKUP($B30,Clubs[],4,FALSE))</f>
        <v>ESPC011</v>
      </c>
      <c r="G30" s="17" t="str">
        <f>IF($B30="","",VLOOKUP($B30,Clubs[],2,FALSE))</f>
        <v>tib</v>
      </c>
      <c r="H3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L32</v>
      </c>
      <c r="I30" s="231"/>
      <c r="J30" s="231"/>
    </row>
    <row r="31" spans="1:10" s="8" customFormat="1" ht="14.1" customHeight="1" x14ac:dyDescent="0.2">
      <c r="A31" s="16">
        <f>IF(Team!$B31="","",ROW()-ROW(Team!$A$9))</f>
        <v>22</v>
      </c>
      <c r="B31" s="11" t="s">
        <v>11495</v>
      </c>
      <c r="C31" s="59" t="s">
        <v>12205</v>
      </c>
      <c r="D31" s="236" t="str">
        <f t="shared" si="1"/>
        <v>Subbuteo Dragons Azuqueca</v>
      </c>
      <c r="E31" s="17" t="str">
        <f>IF($B31="","",VLOOKUP($B31,Clubs[],3,FALSE))</f>
        <v>ESP</v>
      </c>
      <c r="F31" s="17" t="str">
        <f>IF($B31="","",VLOOKUP($B31,Clubs[],4,FALSE))</f>
        <v>ESPC024</v>
      </c>
      <c r="G31" s="17" t="str">
        <f>IF($B31="","",VLOOKUP($B31,Clubs[],2,FALSE))</f>
        <v>dra</v>
      </c>
      <c r="H3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31" s="231"/>
      <c r="J31" s="231"/>
    </row>
    <row r="32" spans="1:10" s="8" customFormat="1" ht="14.1" customHeight="1" x14ac:dyDescent="0.2">
      <c r="A32" s="16">
        <f>IF(Team!$B32="","",ROW()-ROW(Team!$A$9))</f>
        <v>23</v>
      </c>
      <c r="B32" s="11" t="s">
        <v>326</v>
      </c>
      <c r="C32" s="59" t="s">
        <v>12205</v>
      </c>
      <c r="D32" s="236" t="str">
        <f t="shared" si="1"/>
        <v>SC Flanders</v>
      </c>
      <c r="E32" s="17" t="str">
        <f>IF($B32="","",VLOOKUP($B32,Clubs[],3,FALSE))</f>
        <v>BEL</v>
      </c>
      <c r="F32" s="17" t="str">
        <f>IF($B32="","",VLOOKUP($B32,Clubs[],4,FALSE))</f>
        <v>BELC005</v>
      </c>
      <c r="G32" s="17" t="str">
        <f>IF($B32="","",VLOOKUP($B32,Clubs[],2,FALSE))</f>
        <v>fla</v>
      </c>
      <c r="H3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2" s="231"/>
      <c r="J32" s="231"/>
    </row>
    <row r="33" spans="1:10" s="8" customFormat="1" ht="14.1" customHeight="1" x14ac:dyDescent="0.2">
      <c r="A33" s="16">
        <f>IF(Team!$B33="","",ROW()-ROW(Team!$A$9))</f>
        <v>24</v>
      </c>
      <c r="B33" s="11" t="s">
        <v>328</v>
      </c>
      <c r="C33" s="59" t="s">
        <v>12351</v>
      </c>
      <c r="D33" s="236" t="str">
        <f t="shared" si="1"/>
        <v>Avenir Subbuteo Hennuyer 2</v>
      </c>
      <c r="E33" s="17" t="str">
        <f>IF($B33="","",VLOOKUP($B33,Clubs[],3,FALSE))</f>
        <v>BEL</v>
      </c>
      <c r="F33" s="17" t="str">
        <f>IF($B33="","",VLOOKUP($B33,Clubs[],4,FALSE))</f>
        <v>BELC006</v>
      </c>
      <c r="G33" s="17" t="str">
        <f>IF($B33="","",VLOOKUP($B33,Clubs[],2,FALSE))</f>
        <v>hen</v>
      </c>
      <c r="H3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33" s="231"/>
      <c r="J33" s="231"/>
    </row>
    <row r="34" spans="1:10" s="8" customFormat="1" ht="14.1" customHeight="1" x14ac:dyDescent="0.2">
      <c r="A34" s="16">
        <f>IF(Team!$B34="","",ROW()-ROW(Team!$A$9))</f>
        <v>25</v>
      </c>
      <c r="B34" s="11" t="s">
        <v>792</v>
      </c>
      <c r="C34" s="59" t="s">
        <v>12205</v>
      </c>
      <c r="D34" s="236" t="str">
        <f t="shared" si="1"/>
        <v>H'Attard SC</v>
      </c>
      <c r="E34" s="17" t="str">
        <f>IF($B34="","",VLOOKUP($B34,Clubs[],3,FALSE))</f>
        <v>MLT</v>
      </c>
      <c r="F34" s="17" t="str">
        <f>IF($B34="","",VLOOKUP($B34,Clubs[],4,FALSE))</f>
        <v>MLTC002</v>
      </c>
      <c r="G34" s="17" t="str">
        <f>IF($B34="","",VLOOKUP($B34,Clubs[],2,FALSE))</f>
        <v>att</v>
      </c>
      <c r="H3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4" s="231"/>
      <c r="J34" s="231"/>
    </row>
    <row r="35" spans="1:10" s="8" customFormat="1" ht="14.1" customHeight="1" x14ac:dyDescent="0.2">
      <c r="A35" s="16">
        <f>IF(Team!$B35="","",ROW()-ROW(Team!$A$9))</f>
        <v>26</v>
      </c>
      <c r="B35" s="11" t="s">
        <v>819</v>
      </c>
      <c r="C35" s="59" t="s">
        <v>12205</v>
      </c>
      <c r="D35" s="236" t="str">
        <f t="shared" si="1"/>
        <v>Irish Premier League</v>
      </c>
      <c r="E35" s="17" t="str">
        <f>IF($B35="","",VLOOKUP($B35,Clubs[],3,FALSE))</f>
        <v>IRL</v>
      </c>
      <c r="F35" s="17" t="str">
        <f>IF($B35="","",VLOOKUP($B35,Clubs[],4,FALSE))</f>
        <v>IRLC001</v>
      </c>
      <c r="G35" s="17" t="str">
        <f>IF($B35="","",VLOOKUP($B35,Clubs[],2,FALSE))</f>
        <v>IPL</v>
      </c>
      <c r="H3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5" s="231"/>
      <c r="J35" s="231"/>
    </row>
    <row r="36" spans="1:10" s="8" customFormat="1" ht="14.1" customHeight="1" x14ac:dyDescent="0.2">
      <c r="A36" s="16">
        <f>IF(Team!$B36="","",ROW()-ROW(Team!$A$9))</f>
        <v>27</v>
      </c>
      <c r="B36" s="11" t="s">
        <v>343</v>
      </c>
      <c r="C36" s="59" t="s">
        <v>12205</v>
      </c>
      <c r="D36" s="236" t="str">
        <f t="shared" si="1"/>
        <v>US Huy</v>
      </c>
      <c r="E36" s="17" t="str">
        <f>IF($B36="","",VLOOKUP($B36,Clubs[],3,FALSE))</f>
        <v>BEL</v>
      </c>
      <c r="F36" s="17" t="str">
        <f>IF($B36="","",VLOOKUP($B36,Clubs[],4,FALSE))</f>
        <v>BELC025</v>
      </c>
      <c r="G36" s="17" t="str">
        <f>IF($B36="","",VLOOKUP($B36,Clubs[],2,FALSE))</f>
        <v>hut</v>
      </c>
      <c r="H3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6" s="231"/>
      <c r="J36" s="231"/>
    </row>
    <row r="37" spans="1:10" s="8" customFormat="1" ht="14.1" customHeight="1" x14ac:dyDescent="0.2">
      <c r="A37" s="16">
        <f>IF(Team!$B37="","",ROW()-ROW(Team!$A$9))</f>
        <v>28</v>
      </c>
      <c r="B37" s="11" t="s">
        <v>324</v>
      </c>
      <c r="C37" s="59" t="s">
        <v>12351</v>
      </c>
      <c r="D37" s="236" t="str">
        <f t="shared" si="1"/>
        <v>SC Lion's Eugies 2</v>
      </c>
      <c r="E37" s="17" t="str">
        <f>IF($B37="","",VLOOKUP($B37,Clubs[],3,FALSE))</f>
        <v>BEL</v>
      </c>
      <c r="F37" s="17" t="str">
        <f>IF($B37="","",VLOOKUP($B37,Clubs[],4,FALSE))</f>
        <v>BELC004</v>
      </c>
      <c r="G37" s="17" t="str">
        <f>IF($B37="","",VLOOKUP($B37,Clubs[],2,FALSE))</f>
        <v>eug</v>
      </c>
      <c r="H3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7" s="231"/>
      <c r="J37" s="231"/>
    </row>
    <row r="38" spans="1:10" s="8" customFormat="1" ht="14.1" customHeight="1" x14ac:dyDescent="0.2">
      <c r="A38" s="16">
        <f>IF(Team!$B38="","",ROW()-ROW(Team!$A$9))</f>
        <v>29</v>
      </c>
      <c r="B38" s="11" t="s">
        <v>251</v>
      </c>
      <c r="C38" s="59" t="s">
        <v>12205</v>
      </c>
      <c r="D38" s="236" t="str">
        <f t="shared" si="1"/>
        <v>MVV Rijnmond</v>
      </c>
      <c r="E38" s="17" t="str">
        <f>IF($B38="","",VLOOKUP($B38,Clubs[],3,FALSE))</f>
        <v>NED</v>
      </c>
      <c r="F38" s="17" t="str">
        <f>IF($B38="","",VLOOKUP($B38,Clubs[],4,FALSE))</f>
        <v>NEDC003</v>
      </c>
      <c r="G38" s="17" t="str">
        <f>IF($B38="","",VLOOKUP($B38,Clubs[],2,FALSE))</f>
        <v>rij</v>
      </c>
      <c r="H3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8" s="231"/>
      <c r="J38" s="231"/>
    </row>
    <row r="39" spans="1:10" s="8" customFormat="1" ht="14.1" customHeight="1" x14ac:dyDescent="0.2">
      <c r="A39" s="16">
        <f>IF(Team!$B39="","",ROW()-ROW(Team!$A$9))</f>
        <v>30</v>
      </c>
      <c r="B39" s="11" t="s">
        <v>415</v>
      </c>
      <c r="C39" s="59" t="s">
        <v>12205</v>
      </c>
      <c r="D39" s="236" t="str">
        <f t="shared" si="1"/>
        <v>Kent Invicta TFC</v>
      </c>
      <c r="E39" s="17" t="str">
        <f>IF($B39="","",VLOOKUP($B39,Clubs[],3,FALSE))</f>
        <v>ENG</v>
      </c>
      <c r="F39" s="17" t="str">
        <f>IF($B39="","",VLOOKUP($B39,Clubs[],4,FALSE))</f>
        <v>ENGC003</v>
      </c>
      <c r="G39" s="17" t="str">
        <f>IF($B39="","",VLOOKUP($B39,Clubs[],2,FALSE))</f>
        <v>kiv</v>
      </c>
      <c r="H3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9" s="231"/>
      <c r="J39" s="231"/>
    </row>
    <row r="40" spans="1:10" s="8" customFormat="1" ht="14.1" customHeight="1" x14ac:dyDescent="0.2">
      <c r="A40" s="16">
        <f>IF(Team!$B40="","",ROW()-ROW(Team!$A$9))</f>
        <v>31</v>
      </c>
      <c r="B40" s="11" t="s">
        <v>328</v>
      </c>
      <c r="C40" s="59" t="s">
        <v>14583</v>
      </c>
      <c r="D40" s="236" t="str">
        <f t="shared" si="1"/>
        <v>Avenir Subbuteo Hennuyer 3</v>
      </c>
      <c r="E40" s="17" t="str">
        <f>IF($B40="","",VLOOKUP($B40,Clubs[],3,FALSE))</f>
        <v>BEL</v>
      </c>
      <c r="F40" s="17" t="str">
        <f>IF($B40="","",VLOOKUP($B40,Clubs[],4,FALSE))</f>
        <v>BELC006</v>
      </c>
      <c r="G40" s="17" t="str">
        <f>IF($B40="","",VLOOKUP($B40,Clubs[],2,FALSE))</f>
        <v>hen</v>
      </c>
      <c r="H4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0" s="231"/>
      <c r="J40" s="231"/>
    </row>
    <row r="41" spans="1:10" s="8" customFormat="1" ht="14.1" customHeight="1" x14ac:dyDescent="0.2">
      <c r="A41" s="16">
        <f>IF(Team!$B41="","",ROW()-ROW(Team!$A$9))</f>
        <v>32</v>
      </c>
      <c r="B41" s="11" t="s">
        <v>6490</v>
      </c>
      <c r="C41" s="59" t="s">
        <v>12205</v>
      </c>
      <c r="D41" s="236" t="str">
        <f t="shared" si="1"/>
        <v>Dutch Legends</v>
      </c>
      <c r="E41" s="17" t="str">
        <f>IF($B41="","",VLOOKUP($B41,Clubs[],3,FALSE))</f>
        <v>NED</v>
      </c>
      <c r="F41" s="17" t="str">
        <f>IF($B41="","",VLOOKUP($B41,Clubs[],4,FALSE))</f>
        <v>NEDC005</v>
      </c>
      <c r="G41" s="17" t="str">
        <f>IF($B41="","",VLOOKUP($B41,Clubs[],2,FALSE))</f>
        <v>dlg</v>
      </c>
      <c r="H4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1" s="231"/>
      <c r="J41" s="231"/>
    </row>
    <row r="42" spans="1:10" x14ac:dyDescent="0.2">
      <c r="A42" s="16">
        <f>IF(Team!$B42="","",ROW()-ROW(Team!$A$9))</f>
        <v>33</v>
      </c>
      <c r="B42" s="11" t="s">
        <v>644</v>
      </c>
      <c r="C42" s="59" t="s">
        <v>12351</v>
      </c>
      <c r="D42" s="236" t="str">
        <f t="shared" ref="D42:D73" si="2">IF($B42="","",$B42 &amp; IF($C42="A",""," "&amp; CODE($C42) - CODE("A")+1))</f>
        <v>Master Sanremo 2</v>
      </c>
      <c r="E42" s="17" t="str">
        <f>IF($B42="","",VLOOKUP($B42,Clubs[],3,FALSE))</f>
        <v>ITA</v>
      </c>
      <c r="F42" s="17" t="str">
        <f>IF($B42="","",VLOOKUP($B42,Clubs[],4,FALSE))</f>
        <v>ITAC041</v>
      </c>
      <c r="G42" s="17" t="str">
        <f>IF($B42="","",VLOOKUP($B42,Clubs[],2,FALSE))</f>
        <v>msa</v>
      </c>
      <c r="H4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L32</v>
      </c>
      <c r="I42" s="231"/>
      <c r="J42" s="231"/>
    </row>
    <row r="43" spans="1:10" x14ac:dyDescent="0.2">
      <c r="A43" s="16">
        <f>IF(Team!$B43="","",ROW()-ROW(Team!$A$9))</f>
        <v>34</v>
      </c>
      <c r="B43" s="11" t="s">
        <v>340</v>
      </c>
      <c r="C43" s="59" t="s">
        <v>12205</v>
      </c>
      <c r="D43" s="236" t="str">
        <f t="shared" si="2"/>
        <v>Wamme SC</v>
      </c>
      <c r="E43" s="17" t="str">
        <f>IF($B43="","",VLOOKUP($B43,Clubs[],3,FALSE))</f>
        <v>BEL</v>
      </c>
      <c r="F43" s="17" t="str">
        <f>IF($B43="","",VLOOKUP($B43,Clubs[],4,FALSE))</f>
        <v>BELC023</v>
      </c>
      <c r="G43" s="17" t="str">
        <f>IF($B43="","",VLOOKUP($B43,Clubs[],2,FALSE))</f>
        <v>wam</v>
      </c>
      <c r="H4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3" s="231"/>
      <c r="J43" s="231"/>
    </row>
    <row r="44" spans="1:10" x14ac:dyDescent="0.2">
      <c r="A44" s="16">
        <f>IF(Team!$B44="","",ROW()-ROW(Team!$A$9))</f>
        <v>35</v>
      </c>
      <c r="B44" s="11" t="s">
        <v>324</v>
      </c>
      <c r="C44" s="59" t="s">
        <v>14583</v>
      </c>
      <c r="D44" s="236" t="str">
        <f t="shared" si="2"/>
        <v>SC Lion's Eugies 3</v>
      </c>
      <c r="E44" s="17" t="str">
        <f>IF($B44="","",VLOOKUP($B44,Clubs[],3,FALSE))</f>
        <v>BEL</v>
      </c>
      <c r="F44" s="17" t="str">
        <f>IF($B44="","",VLOOKUP($B44,Clubs[],4,FALSE))</f>
        <v>BELC004</v>
      </c>
      <c r="G44" s="17" t="str">
        <f>IF($B44="","",VLOOKUP($B44,Clubs[],2,FALSE))</f>
        <v>eug</v>
      </c>
      <c r="H4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4" s="231"/>
      <c r="J44" s="231"/>
    </row>
    <row r="45" spans="1:10" x14ac:dyDescent="0.2">
      <c r="A45" s="16">
        <f>IF(Team!$B45="","",ROW()-ROW(Team!$A$9))</f>
        <v>36</v>
      </c>
      <c r="B45" s="11" t="s">
        <v>535</v>
      </c>
      <c r="C45" s="59" t="s">
        <v>12351</v>
      </c>
      <c r="D45" s="236" t="str">
        <f t="shared" si="2"/>
        <v>FTC Caen 2</v>
      </c>
      <c r="E45" s="17" t="str">
        <f>IF($B45="","",VLOOKUP($B45,Clubs[],3,FALSE))</f>
        <v>FRA</v>
      </c>
      <c r="F45" s="17" t="str">
        <f>IF($B45="","",VLOOKUP($B45,Clubs[],4,FALSE))</f>
        <v>FRAC012</v>
      </c>
      <c r="G45" s="17" t="str">
        <f>IF($B45="","",VLOOKUP($B45,Clubs[],2,FALSE))</f>
        <v>cae</v>
      </c>
      <c r="H4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5" s="231"/>
      <c r="J45" s="231"/>
    </row>
    <row r="46" spans="1:10" x14ac:dyDescent="0.2">
      <c r="A46" s="16">
        <f>IF(Team!$B46="","",ROW()-ROW(Team!$A$9))</f>
        <v>37</v>
      </c>
      <c r="B46" s="11" t="s">
        <v>179</v>
      </c>
      <c r="C46" s="59" t="s">
        <v>12351</v>
      </c>
      <c r="D46" s="236" t="str">
        <f t="shared" si="2"/>
        <v>FTC Issy-les-Moulineaux 2</v>
      </c>
      <c r="E46" s="17" t="str">
        <f>IF($B46="","",VLOOKUP($B46,Clubs[],3,FALSE))</f>
        <v>FRA</v>
      </c>
      <c r="F46" s="17" t="str">
        <f>IF($B46="","",VLOOKUP($B46,Clubs[],4,FALSE))</f>
        <v>FRAC009</v>
      </c>
      <c r="G46" s="17" t="str">
        <f>IF($B46="","",VLOOKUP($B46,Clubs[],2,FALSE))</f>
        <v>iss</v>
      </c>
      <c r="H4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6" s="231"/>
      <c r="J46" s="231"/>
    </row>
    <row r="47" spans="1:10" x14ac:dyDescent="0.2">
      <c r="A47" s="16">
        <f>IF(Team!$B47="","",ROW()-ROW(Team!$A$9))</f>
        <v>38</v>
      </c>
      <c r="B47" s="11" t="s">
        <v>324</v>
      </c>
      <c r="C47" s="59" t="s">
        <v>12202</v>
      </c>
      <c r="D47" s="236" t="str">
        <f t="shared" si="2"/>
        <v>SC Lion's Eugies 4</v>
      </c>
      <c r="E47" s="17" t="str">
        <f>IF($B47="","",VLOOKUP($B47,Clubs[],3,FALSE))</f>
        <v>BEL</v>
      </c>
      <c r="F47" s="17" t="str">
        <f>IF($B47="","",VLOOKUP($B47,Clubs[],4,FALSE))</f>
        <v>BELC004</v>
      </c>
      <c r="G47" s="17" t="str">
        <f>IF($B47="","",VLOOKUP($B47,Clubs[],2,FALSE))</f>
        <v>eug</v>
      </c>
      <c r="H4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7" s="231"/>
      <c r="J47" s="231"/>
    </row>
    <row r="48" spans="1:10" x14ac:dyDescent="0.2">
      <c r="A48" s="16">
        <f>IF(Team!$B48="","",ROW()-ROW(Team!$A$9))</f>
        <v>39</v>
      </c>
      <c r="B48" s="11" t="s">
        <v>328</v>
      </c>
      <c r="C48" s="59" t="s">
        <v>12202</v>
      </c>
      <c r="D48" s="236" t="str">
        <f t="shared" si="2"/>
        <v>Avenir Subbuteo Hennuyer 4</v>
      </c>
      <c r="E48" s="17" t="str">
        <f>IF($B48="","",VLOOKUP($B48,Clubs[],3,FALSE))</f>
        <v>BEL</v>
      </c>
      <c r="F48" s="17" t="str">
        <f>IF($B48="","",VLOOKUP($B48,Clubs[],4,FALSE))</f>
        <v>BELC006</v>
      </c>
      <c r="G48" s="17" t="str">
        <f>IF($B48="","",VLOOKUP($B48,Clubs[],2,FALSE))</f>
        <v>hen</v>
      </c>
      <c r="H4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8" s="231"/>
      <c r="J48" s="231"/>
    </row>
    <row r="49" spans="1:10" ht="14.1" customHeight="1" x14ac:dyDescent="0.2">
      <c r="A49" s="16">
        <f>IF(Team!$B49="","",ROW()-ROW(Team!$A$9))</f>
        <v>40</v>
      </c>
      <c r="B49" s="11" t="s">
        <v>415</v>
      </c>
      <c r="C49" s="59" t="s">
        <v>12351</v>
      </c>
      <c r="D49" s="236" t="str">
        <f t="shared" si="2"/>
        <v>Kent Invicta TFC 2</v>
      </c>
      <c r="E49" s="17" t="str">
        <f>IF($B49="","",VLOOKUP($B49,Clubs[],3,FALSE))</f>
        <v>ENG</v>
      </c>
      <c r="F49" s="17" t="str">
        <f>IF($B49="","",VLOOKUP($B49,Clubs[],4,FALSE))</f>
        <v>ENGC003</v>
      </c>
      <c r="G49" s="17" t="str">
        <f>IF($B49="","",VLOOKUP($B49,Clubs[],2,FALSE))</f>
        <v>kiv</v>
      </c>
      <c r="H4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49" s="231"/>
      <c r="J49" s="231"/>
    </row>
    <row r="50" spans="1:10" ht="14.1" customHeight="1" x14ac:dyDescent="0.2">
      <c r="A50" s="16">
        <f>IF(Team!$B50="","",ROW()-ROW(Team!$A$9))</f>
        <v>41</v>
      </c>
      <c r="B50" s="11" t="s">
        <v>7516</v>
      </c>
      <c r="C50" s="59" t="s">
        <v>12205</v>
      </c>
      <c r="D50" s="236" t="str">
        <f t="shared" si="2"/>
        <v>Cardiff Bluebirds TFC</v>
      </c>
      <c r="E50" s="17" t="str">
        <f>IF($B50="","",VLOOKUP($B50,Clubs[],3,FALSE))</f>
        <v>WAL</v>
      </c>
      <c r="F50" s="17" t="str">
        <f>IF($B50="","",VLOOKUP($B50,Clubs[],4,FALSE))</f>
        <v>WALC001</v>
      </c>
      <c r="G50" s="17" t="str">
        <f>IF($B50="","",VLOOKUP($B50,Clubs[],2,FALSE))</f>
        <v>car</v>
      </c>
      <c r="H5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50" s="231"/>
      <c r="J50" s="231"/>
    </row>
    <row r="51" spans="1:10" ht="14.1" customHeight="1" x14ac:dyDescent="0.2">
      <c r="A51" s="17">
        <f>IF(Team!$B51="","",ROW()-ROW(Team!$A$9))</f>
        <v>42</v>
      </c>
      <c r="B51" s="11" t="s">
        <v>340</v>
      </c>
      <c r="C51" s="59" t="s">
        <v>12351</v>
      </c>
      <c r="D51" s="236" t="str">
        <f t="shared" si="2"/>
        <v>Wamme SC 2</v>
      </c>
      <c r="E51" s="17" t="str">
        <f>IF($B51="","",VLOOKUP($B51,Clubs[],3,FALSE))</f>
        <v>BEL</v>
      </c>
      <c r="F51" s="17" t="str">
        <f>IF($B51="","",VLOOKUP($B51,Clubs[],4,FALSE))</f>
        <v>BELC023</v>
      </c>
      <c r="G51" s="17" t="str">
        <f>IF($B51="","",VLOOKUP($B51,Clubs[],2,FALSE))</f>
        <v>wam</v>
      </c>
      <c r="H5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51" s="231"/>
      <c r="J51" s="231"/>
    </row>
    <row r="52" spans="1:10" ht="14.1" customHeight="1" x14ac:dyDescent="0.2">
      <c r="A52" s="16" t="str">
        <f>IF(Team!$B52="","",ROW()-ROW(Team!$A$9))</f>
        <v/>
      </c>
      <c r="B52" s="11"/>
      <c r="C52" s="59"/>
      <c r="D52" s="236" t="str">
        <f t="shared" si="2"/>
        <v/>
      </c>
      <c r="E52" s="17" t="str">
        <f>IF($B52="","",VLOOKUP($B52,Clubs[],3,FALSE))</f>
        <v/>
      </c>
      <c r="F52" s="17" t="str">
        <f>IF($B52="","",VLOOKUP($B52,Clubs[],4,FALSE))</f>
        <v/>
      </c>
      <c r="G52" s="17" t="str">
        <f>IF($B52="","",VLOOKUP($B52,Clubs[],2,FALSE))</f>
        <v/>
      </c>
      <c r="H5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2" s="231"/>
      <c r="J52" s="231"/>
    </row>
    <row r="53" spans="1:10" ht="14.1" customHeight="1" x14ac:dyDescent="0.2">
      <c r="A53" s="16" t="str">
        <f>IF(Team!$B53="","",ROW()-ROW(Team!$A$9))</f>
        <v/>
      </c>
      <c r="B53" s="11"/>
      <c r="C53" s="59"/>
      <c r="D53" s="236" t="str">
        <f t="shared" si="2"/>
        <v/>
      </c>
      <c r="E53" s="17" t="str">
        <f>IF($B53="","",VLOOKUP($B53,Clubs[],3,FALSE))</f>
        <v/>
      </c>
      <c r="F53" s="17" t="str">
        <f>IF($B53="","",VLOOKUP($B53,Clubs[],4,FALSE))</f>
        <v/>
      </c>
      <c r="G53" s="17" t="str">
        <f>IF($B53="","",VLOOKUP($B53,Clubs[],2,FALSE))</f>
        <v/>
      </c>
      <c r="H5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3" s="231"/>
      <c r="J53" s="231"/>
    </row>
    <row r="54" spans="1:10" x14ac:dyDescent="0.2">
      <c r="A54" s="16" t="str">
        <f>IF(Team!$B54="","",ROW()-ROW(Team!$A$9))</f>
        <v/>
      </c>
      <c r="B54" s="11"/>
      <c r="C54" s="59"/>
      <c r="D54" s="236" t="str">
        <f t="shared" si="2"/>
        <v/>
      </c>
      <c r="E54" s="17" t="str">
        <f>IF($B54="","",VLOOKUP($B54,Clubs[],3,FALSE))</f>
        <v/>
      </c>
      <c r="F54" s="17" t="str">
        <f>IF($B54="","",VLOOKUP($B54,Clubs[],4,FALSE))</f>
        <v/>
      </c>
      <c r="G54" s="17" t="str">
        <f>IF($B54="","",VLOOKUP($B54,Clubs[],2,FALSE))</f>
        <v/>
      </c>
      <c r="H5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4" s="231"/>
      <c r="J54" s="231"/>
    </row>
    <row r="55" spans="1:10" x14ac:dyDescent="0.2">
      <c r="A55" s="16" t="str">
        <f>IF(Team!$B55="","",ROW()-ROW(Team!$A$9))</f>
        <v/>
      </c>
      <c r="B55" s="11"/>
      <c r="C55" s="59"/>
      <c r="D55" s="236" t="str">
        <f t="shared" si="2"/>
        <v/>
      </c>
      <c r="E55" s="17" t="str">
        <f>IF($B55="","",VLOOKUP($B55,Clubs[],3,FALSE))</f>
        <v/>
      </c>
      <c r="F55" s="17" t="str">
        <f>IF($B55="","",VLOOKUP($B55,Clubs[],4,FALSE))</f>
        <v/>
      </c>
      <c r="G55" s="17" t="str">
        <f>IF($B55="","",VLOOKUP($B55,Clubs[],2,FALSE))</f>
        <v/>
      </c>
      <c r="H5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5" s="231"/>
      <c r="J55" s="231"/>
    </row>
    <row r="56" spans="1:10" s="8" customFormat="1" ht="14.1" customHeight="1" x14ac:dyDescent="0.2">
      <c r="A56" s="16" t="str">
        <f>IF(Team!$B56="","",ROW()-ROW(Team!$A$9))</f>
        <v/>
      </c>
      <c r="B56" s="11"/>
      <c r="C56" s="59"/>
      <c r="D56" s="236" t="str">
        <f t="shared" si="2"/>
        <v/>
      </c>
      <c r="E56" s="17" t="str">
        <f>IF($B56="","",VLOOKUP($B56,Clubs[],3,FALSE))</f>
        <v/>
      </c>
      <c r="F56" s="17" t="str">
        <f>IF($B56="","",VLOOKUP($B56,Clubs[],4,FALSE))</f>
        <v/>
      </c>
      <c r="G56" s="17" t="str">
        <f>IF($B56="","",VLOOKUP($B56,Clubs[],2,FALSE))</f>
        <v/>
      </c>
      <c r="H5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6" s="231"/>
      <c r="J56" s="231"/>
    </row>
    <row r="57" spans="1:10" s="8" customFormat="1" ht="14.1" customHeight="1" x14ac:dyDescent="0.2">
      <c r="A57" s="16" t="str">
        <f>IF(Team!$B57="","",ROW()-ROW(Team!$A$9))</f>
        <v/>
      </c>
      <c r="B57" s="11"/>
      <c r="C57" s="59"/>
      <c r="D57" s="236" t="str">
        <f t="shared" si="2"/>
        <v/>
      </c>
      <c r="E57" s="17" t="str">
        <f>IF($B57="","",VLOOKUP($B57,Clubs[],3,FALSE))</f>
        <v/>
      </c>
      <c r="F57" s="17" t="str">
        <f>IF($B57="","",VLOOKUP($B57,Clubs[],4,FALSE))</f>
        <v/>
      </c>
      <c r="G57" s="17" t="str">
        <f>IF($B57="","",VLOOKUP($B57,Clubs[],2,FALSE))</f>
        <v/>
      </c>
      <c r="H5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7" s="231"/>
      <c r="J57" s="231"/>
    </row>
    <row r="58" spans="1:10" s="8" customFormat="1" ht="14.1" customHeight="1" x14ac:dyDescent="0.2">
      <c r="A58" s="16" t="str">
        <f>IF(Team!$B58="","",ROW()-ROW(Team!$A$9))</f>
        <v/>
      </c>
      <c r="B58" s="11"/>
      <c r="C58" s="59"/>
      <c r="D58" s="236" t="str">
        <f t="shared" si="2"/>
        <v/>
      </c>
      <c r="E58" s="17" t="str">
        <f>IF($B58="","",VLOOKUP($B58,Clubs[],3,FALSE))</f>
        <v/>
      </c>
      <c r="F58" s="17" t="str">
        <f>IF($B58="","",VLOOKUP($B58,Clubs[],4,FALSE))</f>
        <v/>
      </c>
      <c r="G58" s="17" t="str">
        <f>IF($B58="","",VLOOKUP($B58,Clubs[],2,FALSE))</f>
        <v/>
      </c>
      <c r="H5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8" s="231"/>
      <c r="J58" s="231"/>
    </row>
    <row r="59" spans="1:10" ht="14.1" customHeight="1" x14ac:dyDescent="0.2">
      <c r="A59" s="16" t="str">
        <f>IF(Team!$B59="","",ROW()-ROW(Team!$A$9))</f>
        <v/>
      </c>
      <c r="B59" s="11"/>
      <c r="C59" s="59"/>
      <c r="D59" s="236" t="str">
        <f t="shared" si="2"/>
        <v/>
      </c>
      <c r="E59" s="17" t="str">
        <f>IF($B59="","",VLOOKUP($B59,Clubs[],3,FALSE))</f>
        <v/>
      </c>
      <c r="F59" s="17" t="str">
        <f>IF($B59="","",VLOOKUP($B59,Clubs[],4,FALSE))</f>
        <v/>
      </c>
      <c r="G59" s="17" t="str">
        <f>IF($B59="","",VLOOKUP($B59,Clubs[],2,FALSE))</f>
        <v/>
      </c>
      <c r="H5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9" s="231"/>
      <c r="J59" s="231"/>
    </row>
    <row r="60" spans="1:10" x14ac:dyDescent="0.2">
      <c r="A60" s="16" t="str">
        <f>IF(Team!$B60="","",ROW()-ROW(Team!$A$9))</f>
        <v/>
      </c>
      <c r="B60" s="11"/>
      <c r="C60" s="59"/>
      <c r="D60" s="236" t="str">
        <f t="shared" si="2"/>
        <v/>
      </c>
      <c r="E60" s="17" t="str">
        <f>IF($B60="","",VLOOKUP($B60,Clubs[],3,FALSE))</f>
        <v/>
      </c>
      <c r="F60" s="17" t="str">
        <f>IF($B60="","",VLOOKUP($B60,Clubs[],4,FALSE))</f>
        <v/>
      </c>
      <c r="G60" s="17" t="str">
        <f>IF($B60="","",VLOOKUP($B60,Clubs[],2,FALSE))</f>
        <v/>
      </c>
      <c r="H6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0" s="231"/>
      <c r="J60" s="231"/>
    </row>
    <row r="61" spans="1:10" x14ac:dyDescent="0.2">
      <c r="A61" s="16" t="str">
        <f>IF(Team!$B61="","",ROW()-ROW(Team!$A$9))</f>
        <v/>
      </c>
      <c r="B61" s="11"/>
      <c r="C61" s="59"/>
      <c r="D61" s="236" t="str">
        <f t="shared" si="2"/>
        <v/>
      </c>
      <c r="E61" s="17" t="str">
        <f>IF($B61="","",VLOOKUP($B61,Clubs[],3,FALSE))</f>
        <v/>
      </c>
      <c r="F61" s="17" t="str">
        <f>IF($B61="","",VLOOKUP($B61,Clubs[],4,FALSE))</f>
        <v/>
      </c>
      <c r="G61" s="17" t="str">
        <f>IF($B61="","",VLOOKUP($B61,Clubs[],2,FALSE))</f>
        <v/>
      </c>
      <c r="H6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1" s="231"/>
      <c r="J61" s="231"/>
    </row>
    <row r="62" spans="1:10" x14ac:dyDescent="0.2">
      <c r="A62" s="16" t="str">
        <f>IF(Team!$B62="","",ROW()-ROW(Team!$A$9))</f>
        <v/>
      </c>
      <c r="B62" s="11"/>
      <c r="C62" s="59"/>
      <c r="D62" s="236" t="str">
        <f t="shared" si="2"/>
        <v/>
      </c>
      <c r="E62" s="17" t="str">
        <f>IF($B62="","",VLOOKUP($B62,Clubs[],3,FALSE))</f>
        <v/>
      </c>
      <c r="F62" s="17" t="str">
        <f>IF($B62="","",VLOOKUP($B62,Clubs[],4,FALSE))</f>
        <v/>
      </c>
      <c r="G62" s="17" t="str">
        <f>IF($B62="","",VLOOKUP($B62,Clubs[],2,FALSE))</f>
        <v/>
      </c>
      <c r="H6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2" s="231"/>
      <c r="J62" s="231"/>
    </row>
    <row r="63" spans="1:10" x14ac:dyDescent="0.2">
      <c r="A63" s="16" t="str">
        <f>IF(Team!$B63="","",ROW()-ROW(Team!$A$9))</f>
        <v/>
      </c>
      <c r="B63" s="11"/>
      <c r="C63" s="59"/>
      <c r="D63" s="236" t="str">
        <f t="shared" si="2"/>
        <v/>
      </c>
      <c r="E63" s="17" t="str">
        <f>IF($B63="","",VLOOKUP($B63,Clubs[],3,FALSE))</f>
        <v/>
      </c>
      <c r="F63" s="17" t="str">
        <f>IF($B63="","",VLOOKUP($B63,Clubs[],4,FALSE))</f>
        <v/>
      </c>
      <c r="G63" s="17" t="str">
        <f>IF($B63="","",VLOOKUP($B63,Clubs[],2,FALSE))</f>
        <v/>
      </c>
      <c r="H6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3" s="231"/>
      <c r="J63" s="231"/>
    </row>
    <row r="64" spans="1:10" x14ac:dyDescent="0.2">
      <c r="A64" s="18" t="str">
        <f>IF(Team!$B64="","",ROW()-ROW(Team!$A$9))</f>
        <v/>
      </c>
      <c r="B64" s="237"/>
      <c r="C64" s="231"/>
      <c r="D64" s="238" t="str">
        <f t="shared" si="2"/>
        <v/>
      </c>
      <c r="E64" s="235" t="str">
        <f>IF($B64="","",VLOOKUP($B64,Clubs[],3,FALSE))</f>
        <v/>
      </c>
      <c r="F64" s="235" t="str">
        <f>IF($B64="","",VLOOKUP($B64,Clubs[],4,FALSE))</f>
        <v/>
      </c>
      <c r="G64" s="235" t="str">
        <f>IF($B64="","",VLOOKUP($B64,Clubs[],2,FALSE))</f>
        <v/>
      </c>
      <c r="H6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4" s="231"/>
      <c r="J64" s="231"/>
    </row>
    <row r="65" spans="1:10" x14ac:dyDescent="0.2">
      <c r="A65" s="18" t="str">
        <f>IF(Team!$B65="","",ROW()-ROW(Team!$A$9))</f>
        <v/>
      </c>
      <c r="B65" s="237"/>
      <c r="C65" s="231"/>
      <c r="D65" s="238" t="str">
        <f t="shared" si="2"/>
        <v/>
      </c>
      <c r="E65" s="235" t="str">
        <f>IF($B65="","",VLOOKUP($B65,Clubs[],3,FALSE))</f>
        <v/>
      </c>
      <c r="F65" s="235" t="str">
        <f>IF($B65="","",VLOOKUP($B65,Clubs[],4,FALSE))</f>
        <v/>
      </c>
      <c r="G65" s="235" t="str">
        <f>IF($B65="","",VLOOKUP($B65,Clubs[],2,FALSE))</f>
        <v/>
      </c>
      <c r="H6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5" s="231"/>
      <c r="J65" s="231"/>
    </row>
    <row r="66" spans="1:10" x14ac:dyDescent="0.2">
      <c r="A66" s="18" t="str">
        <f>IF(Team!$B66="","",ROW()-ROW(Team!$A$9))</f>
        <v/>
      </c>
      <c r="B66" s="237"/>
      <c r="C66" s="231"/>
      <c r="D66" s="238" t="str">
        <f t="shared" si="2"/>
        <v/>
      </c>
      <c r="E66" s="235" t="str">
        <f>IF($B66="","",VLOOKUP($B66,Clubs[],3,FALSE))</f>
        <v/>
      </c>
      <c r="F66" s="235" t="str">
        <f>IF($B66="","",VLOOKUP($B66,Clubs[],4,FALSE))</f>
        <v/>
      </c>
      <c r="G66" s="235" t="str">
        <f>IF($B66="","",VLOOKUP($B66,Clubs[],2,FALSE))</f>
        <v/>
      </c>
      <c r="H6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6" s="231"/>
      <c r="J66" s="231"/>
    </row>
    <row r="67" spans="1:10" x14ac:dyDescent="0.2">
      <c r="A67" s="18" t="str">
        <f>IF(Team!$B67="","",ROW()-ROW(Team!$A$9))</f>
        <v/>
      </c>
      <c r="B67" s="237"/>
      <c r="C67" s="231"/>
      <c r="D67" s="238" t="str">
        <f t="shared" si="2"/>
        <v/>
      </c>
      <c r="E67" s="235" t="str">
        <f>IF($B67="","",VLOOKUP($B67,Clubs[],3,FALSE))</f>
        <v/>
      </c>
      <c r="F67" s="235" t="str">
        <f>IF($B67="","",VLOOKUP($B67,Clubs[],4,FALSE))</f>
        <v/>
      </c>
      <c r="G67" s="235" t="str">
        <f>IF($B67="","",VLOOKUP($B67,Clubs[],2,FALSE))</f>
        <v/>
      </c>
      <c r="H6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7" s="231"/>
      <c r="J67" s="231"/>
    </row>
    <row r="68" spans="1:10" x14ac:dyDescent="0.2">
      <c r="A68" s="18" t="str">
        <f>IF(Team!$B68="","",ROW()-ROW(Team!$A$9))</f>
        <v/>
      </c>
      <c r="B68" s="237"/>
      <c r="C68" s="231"/>
      <c r="D68" s="238" t="str">
        <f t="shared" si="2"/>
        <v/>
      </c>
      <c r="E68" s="235" t="str">
        <f>IF($B68="","",VLOOKUP($B68,Clubs[],3,FALSE))</f>
        <v/>
      </c>
      <c r="F68" s="235" t="str">
        <f>IF($B68="","",VLOOKUP($B68,Clubs[],4,FALSE))</f>
        <v/>
      </c>
      <c r="G68" s="235" t="str">
        <f>IF($B68="","",VLOOKUP($B68,Clubs[],2,FALSE))</f>
        <v/>
      </c>
      <c r="H6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8" s="231"/>
      <c r="J68" s="231"/>
    </row>
    <row r="69" spans="1:10" x14ac:dyDescent="0.2">
      <c r="A69" s="18" t="str">
        <f>IF(Team!$B69="","",ROW()-ROW(Team!$A$9))</f>
        <v/>
      </c>
      <c r="B69" s="237"/>
      <c r="C69" s="231"/>
      <c r="D69" s="238" t="str">
        <f t="shared" si="2"/>
        <v/>
      </c>
      <c r="E69" s="235" t="str">
        <f>IF($B69="","",VLOOKUP($B69,Clubs[],3,FALSE))</f>
        <v/>
      </c>
      <c r="F69" s="235" t="str">
        <f>IF($B69="","",VLOOKUP($B69,Clubs[],4,FALSE))</f>
        <v/>
      </c>
      <c r="G69" s="235" t="str">
        <f>IF($B69="","",VLOOKUP($B69,Clubs[],2,FALSE))</f>
        <v/>
      </c>
      <c r="H6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9" s="231"/>
      <c r="J69" s="231"/>
    </row>
    <row r="70" spans="1:10" x14ac:dyDescent="0.2">
      <c r="A70" s="18" t="str">
        <f>IF(Team!$B70="","",ROW()-ROW(Team!$A$9))</f>
        <v/>
      </c>
      <c r="B70" s="237"/>
      <c r="C70" s="231"/>
      <c r="D70" s="238" t="str">
        <f t="shared" si="2"/>
        <v/>
      </c>
      <c r="E70" s="235" t="str">
        <f>IF($B70="","",VLOOKUP($B70,Clubs[],3,FALSE))</f>
        <v/>
      </c>
      <c r="F70" s="235" t="str">
        <f>IF($B70="","",VLOOKUP($B70,Clubs[],4,FALSE))</f>
        <v/>
      </c>
      <c r="G70" s="235" t="str">
        <f>IF($B70="","",VLOOKUP($B70,Clubs[],2,FALSE))</f>
        <v/>
      </c>
      <c r="H7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0" s="231"/>
      <c r="J70" s="231"/>
    </row>
    <row r="71" spans="1:10" x14ac:dyDescent="0.2">
      <c r="A71" s="18" t="str">
        <f>IF(Team!$B71="","",ROW()-ROW(Team!$A$9))</f>
        <v/>
      </c>
      <c r="B71" s="237"/>
      <c r="C71" s="231"/>
      <c r="D71" s="238" t="str">
        <f t="shared" si="2"/>
        <v/>
      </c>
      <c r="E71" s="235" t="str">
        <f>IF($B71="","",VLOOKUP($B71,Clubs[],3,FALSE))</f>
        <v/>
      </c>
      <c r="F71" s="235" t="str">
        <f>IF($B71="","",VLOOKUP($B71,Clubs[],4,FALSE))</f>
        <v/>
      </c>
      <c r="G71" s="235" t="str">
        <f>IF($B71="","",VLOOKUP($B71,Clubs[],2,FALSE))</f>
        <v/>
      </c>
      <c r="H7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1" s="231"/>
      <c r="J71" s="231"/>
    </row>
    <row r="72" spans="1:10" x14ac:dyDescent="0.2">
      <c r="A72" s="18" t="str">
        <f>IF(Team!$B72="","",ROW()-ROW(Team!$A$9))</f>
        <v/>
      </c>
      <c r="B72" s="237"/>
      <c r="C72" s="231"/>
      <c r="D72" s="238" t="str">
        <f t="shared" si="2"/>
        <v/>
      </c>
      <c r="E72" s="235" t="str">
        <f>IF($B72="","",VLOOKUP($B72,Clubs[],3,FALSE))</f>
        <v/>
      </c>
      <c r="F72" s="235" t="str">
        <f>IF($B72="","",VLOOKUP($B72,Clubs[],4,FALSE))</f>
        <v/>
      </c>
      <c r="G72" s="235" t="str">
        <f>IF($B72="","",VLOOKUP($B72,Clubs[],2,FALSE))</f>
        <v/>
      </c>
      <c r="H7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2" s="231"/>
      <c r="J72" s="231"/>
    </row>
    <row r="73" spans="1:10" x14ac:dyDescent="0.2">
      <c r="A73" s="18" t="str">
        <f>IF(Team!$B73="","",ROW()-ROW(Team!$A$9))</f>
        <v/>
      </c>
      <c r="B73" s="237"/>
      <c r="C73" s="231"/>
      <c r="D73" s="238" t="str">
        <f t="shared" si="2"/>
        <v/>
      </c>
      <c r="E73" s="235" t="str">
        <f>IF($B73="","",VLOOKUP($B73,Clubs[],3,FALSE))</f>
        <v/>
      </c>
      <c r="F73" s="235" t="str">
        <f>IF($B73="","",VLOOKUP($B73,Clubs[],4,FALSE))</f>
        <v/>
      </c>
      <c r="G73" s="235" t="str">
        <f>IF($B73="","",VLOOKUP($B73,Clubs[],2,FALSE))</f>
        <v/>
      </c>
      <c r="H7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3" s="231"/>
      <c r="J73" s="231"/>
    </row>
    <row r="74" spans="1:10" x14ac:dyDescent="0.2"/>
  </sheetData>
  <sheetProtection algorithmName="SHA-512" hashValue="0BcrENEYRnLYOXnrQvO0l2/JnipT2o8sLuo+JDOm7V4wNcuwqWKTBEsp2RzGDMGcK1ZPrLuIakGT+/9YPz5Wlw==" saltValue="3zTV5DcYerDFxxW0u2fw8w==" spinCount="100000" sheet="1" objects="1" scenarios="1" formatCells="0" formatColumns="0" formatRows="0" selectLockedCells="1"/>
  <conditionalFormatting sqref="A10:H73">
    <cfRule type="expression" dxfId="58" priority="1">
      <formula>$I10&lt;&gt;""</formula>
    </cfRule>
  </conditionalFormatting>
  <conditionalFormatting sqref="C10:C73">
    <cfRule type="expression" dxfId="57" priority="2">
      <formula>AND(ISBLANK(C10),NOT(ISBLANK($B10)))</formula>
    </cfRule>
  </conditionalFormatting>
  <conditionalFormatting sqref="D10:H73">
    <cfRule type="expression" dxfId="56" priority="9">
      <formula>NOT(_xlfn.ISFORMULA(D10))</formula>
    </cfRule>
  </conditionalFormatting>
  <dataValidations count="3">
    <dataValidation type="list" allowBlank="1" showInputMessage="1" sqref="B10:B73" xr:uid="{00000000-0002-0000-0800-000000000000}">
      <formula1>INDIRECT("Clubs[Club name]")</formula1>
    </dataValidation>
    <dataValidation type="list" allowBlank="1" showInputMessage="1" sqref="C10:C73" xr:uid="{00000000-0002-0000-0800-000001000000}">
      <formula1>"A,B,C,D,E"</formula1>
    </dataValidation>
    <dataValidation type="list" allowBlank="1" showInputMessage="1" showErrorMessage="1" sqref="I10:I73" xr:uid="{CC04FC9B-72C4-4330-97E3-A1DBC6FCA333}">
      <formula1>"At Start,Excused"</formula1>
    </dataValidation>
  </dataValidations>
  <printOptions horizontalCentered="1" verticalCentered="1"/>
  <pageMargins left="0.39370078740157483" right="0.39370078740157483" top="0.78740157480314965" bottom="0.43307086614173229" header="0.11811023622047245" footer="0.31496062992125984"/>
  <pageSetup paperSize="9" scale="98" firstPageNumber="0" fitToHeight="31" orientation="landscape" r:id="rId1"/>
  <headerFooter alignWithMargins="0">
    <oddHeader>&amp;L&amp;D</oddHeader>
    <oddFooter>&amp;C&amp;10Page &amp;P /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d 5 d 8 3 7 d - d 2 5 8 - 4 f 2 4 - 8 2 e b - 1 a 8 2 3 4 1 8 7 7 a 1 "   x m l n s = " h t t p : / / s c h e m a s . m i c r o s o f t . c o m / D a t a M a s h u p " > A A A A A D w F A A B Q S w M E F A A C A A g A S r m E W O 6 D e F y p A A A A + A A A A B I A H A B D b 2 5 m a W c v U G F j a 2 F n Z S 5 4 b W w g o h g A K K A U A A A A A A A A A A A A A A A A A A A A A A A A A A A A h Y / R C o I w G I V f R X b v N s 1 Q 5 H d e B F 0 l R E F 0 O 9 b U k c 5 w s / l u X f R I v U J C W d 1 1 e Q 7 f g e 8 8 b n f I x 7 b x r r I 3 q t M Z C j B F n t S i O y l d Z W i w p Z + g n M G W i z O v p D f B 2 q S j U R m q r b 2 k h D j n s F v g r q 9 I S G l A j s V m L 2 r Z c l 9 p Y 7 k W E n 1 W p / 8 r x O D w k m E h j h O 8 j C O K o y Q A M t d Q K P 1 F w s k Y U y A / J a y G x g 6 9 Z G X v r 3 d A 5 g j k / Y I 9 A V B L A w Q U A A I A C A B K u Y 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r m E W D a u q N s x A g A A H g k A A B M A H A B G b 3 J t d W x h c y 9 T Z W N 0 a W 9 u M S 5 t I K I Y A C i g F A A A A A A A A A A A A A A A A A A A A A A A A A A A A N 1 V z W r j M B C + B / I O g x Z K A m 7 c X L f s I a S k 9 L A h b A J 7 C D k o 9 r j R Y k t G k k O D 8 Q P 1 O f p i K 8 d Z / 8 k x p Z D L O g c 7 0 v D N f N / 8 K f Q 0 E x z W x X v 6 O B w M B + p A J f o w D 5 O 9 g h 8 Q o h 4 O w D x r k U g P z c l v 3 E 9 W 9 B V H + c d c c I 1 c q x E 5 a B 2 r 7 6 4 b M K W D i S c i 1 6 e a 3 n v m V q J 7 Y L 6 P P B A S 3 2 I h t e v l 8 C 4 Z j 5 0 C / c n Y P h j w w k v 6 k G 3 z k 9 3 l 9 h v Z n G K E S P g s Y B / v x B h u 6 D 7 E y U Z S r g x q N B d h E v H c S o 3 O W E 6 a k p w D c B o h c U D n A B r f d O Z A S m b 7 v c Q j o z l t 6 3 J 5 P q Y h 0 y f r b v G y 3 i x g L n w b 8 + d y Z p 0 Z e Q L 0 U d q O s n H J z c Q u O E c F K o l j y a K P d 1 Q V x V 8 Y i S M W / N S o r Y S T E p K N h w P G e 9 H q m V 2 F 9 I T y k t s b p D Y u 8 L + a 3 O l n s 7 u g E Q t P s O z K 7 z M 7 I u + + 6 s n g n G p 8 F d L O + v V C W n a X 0 P V a m L S r 4 A s F b i n 2 / 8 n x l M Q h 8 8 5 o 4 C O E F L y i r i t p / p l c e s N u D W h p U v 8 L 9 4 Z z z F C S 0 m X Z O D H K K N H t L h T S 9 H H V h t c D d N J u R 3 Y 8 j b Q 0 M 1 E X v 6 F 3 J f F F 1 V L I z G Y i k Y v I m i c 5 U k W k i 3 a r n h o c i v F R R J 1 1 + P z U E O u K 0 O j W w C 6 h V 2 a a G G s z k J U x B P p H n M O s 0 G e + X 9 Z A Z x y t s B 1 A 6 h 1 g W + m / g z s g 5 n c H 2 x r v X V 9 t T H u K 4 1 r E L Y q 3 r w i z F / o Y 1 N d C g X L L l S 8 S c 8 7 w 9 m v / 7 M g e W / n S b 8 + b + u Z s O n v 8 C 1 B L A Q I t A B Q A A g A I A E q 5 h F j u g 3 h c q Q A A A P g A A A A S A A A A A A A A A A A A A A A A A A A A A A B D b 2 5 m a W c v U G F j a 2 F n Z S 5 4 b W x Q S w E C L Q A U A A I A C A B K u Y R Y D 8 r p q 6 Q A A A D p A A A A E w A A A A A A A A A A A A A A A A D 1 A A A A W 0 N v b n R l b n R f V H l w Z X N d L n h t b F B L A Q I t A B Q A A g A I A E q 5 h F g 2 r q j b M Q I A A B 4 J A A A T A A A A A A A A A A A A A A A A A O Y B A A B G b 3 J t d W x h c y 9 T Z W N 0 a W 9 u M S 5 t U E s F B g A A A A A D A A M A w g A A A G Q 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8 m A A A A A A A A H S Y 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s d W 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S Z W N v d m V y e V R h c m d l d F N o Z W V 0 I i B W Y W x 1 Z T 0 i c 0 N s d W J z I i A v P j x F b n R y e S B U e X B l P S J S Z W N v d m V y e V R h c m d l d E N v b H V t b i I g V m F s d W U 9 I m w x I i A v P j x F b n R y e S B U e X B l P S J S Z W N v d m V y e V R h c m d l d F J v d y I g V m F s d W U 9 I m w x I i A v P j x F b n R y e S B U e X B l P S J G a W x s Z W R D b 2 1 w b G V 0 Z V J l c 3 V s d F R v V 2 9 y a 3 N o Z W V 0 I i B W Y W x 1 Z T 0 i b D E i I C 8 + P E V u d H J 5 I F R 5 c G U 9 I l F 1 Z X J 5 S U Q i I F Z h b H V l P S J z M j l i N m Z k N T A t Z j R h Y y 0 0 Z T I x L T l j N z c t N D d l Y T I w O W J m M 2 E 0 I i A v P j x F b n R y e S B U e X B l P S J G a W x s V G F y Z 2 V 0 I i B W Y W x 1 Z T 0 i c 0 N s d W J z I i A v P j x F b n R y e S B U e X B l P S J G a W x s T G F z d F V w Z G F 0 Z W Q i I F Z h b H V l P S J k M j A y N C 0 w N C 0 w N F Q y M T o w O T o 1 M S 4 x N D g 5 N D E 1 W i I g L z 4 8 R W 5 0 c n k g V H l w Z T 0 i R m l s b E V y c m 9 y Q 2 9 1 b n Q i I F Z h b H V l P S J s M C I g L z 4 8 R W 5 0 c n k g V H l w Z T 0 i R m l s b E N v b H V t b l R 5 c G V z I i B W Y W x 1 Z T 0 i c 0 J n W U d C Z 1 l H I i A v P j x F b n R y e S B U e X B l P S J G a W x s R X J y b 3 J D b 2 R l I i B W Y W x 1 Z T 0 i c 1 V u a 2 5 v d 2 4 i I C 8 + P E V u d H J 5 I F R 5 c G U 9 I k Z p b G x D b 2 x 1 b W 5 O Y W 1 l c y I g V m F s d W U 9 I n N b J n F 1 b 3 Q 7 Q 2 x 1 Y i B u Y W 1 l J n F 1 b 3 Q 7 L C Z x d W 9 0 O 0 F i Y n J l d m l h d G l v b i Z x d W 9 0 O y w m c X V v d D t O Y X R p b 2 5 h b G l 0 e S Z x d W 9 0 O y w m c X V v d D t G S V N U R i B D b 2 R l J n F 1 b 3 Q 7 L C Z x d W 9 0 O 0 1 O Q S Z x d W 9 0 O y w m c X V v d D t D b 2 5 m Z W R l c m F 0 a W 9 u J n F 1 b 3 Q 7 X S I g L z 4 8 R W 5 0 c n k g V H l w Z T 0 i R m l s b E N v d W 5 0 I i B W Y W x 1 Z T 0 i b D M 1 N i I g L z 4 8 R W 5 0 c n k g V H l w Z T 0 i R m l s b F N 0 Y X R 1 c y I g V m F s d W U 9 I n N D b 2 1 w b G V 0 Z S I g L z 4 8 R W 5 0 c n k g V H l w Z T 0 i Q W R k Z W R U b 0 R h d G F N b 2 R l b C I g V m F s d W U 9 I m w w I i A v P j x F b n R y e S B U e X B l P S J S Z W x h d G l v b n N o a X B J b m Z v Q 2 9 u d G F p b m V y I i B W Y W x 1 Z T 0 i c 3 s m c X V v d D t j b 2 x 1 b W 5 D b 3 V u d C Z x d W 9 0 O z o 2 L C Z x d W 9 0 O 2 t l e U N v b H V t b k 5 h b W V z J n F 1 b 3 Q 7 O l t d L C Z x d W 9 0 O 3 F 1 Z X J 5 U m V s Y X R p b 2 5 z a G l w c y Z x d W 9 0 O z p b X S w m c X V v d D t j b 2 x 1 b W 5 J Z G V u d G l 0 a W V z J n F 1 b 3 Q 7 O l s m c X V v d D t T Z W N 0 a W 9 u M S 9 D b H V i c y 9 U e X B l I G 1 v Z G l m a c O p L n t D b H V i I G 5 h b W U s M H 0 m c X V v d D s s J n F 1 b 3 Q 7 U 2 V j d G l v b j E v Q 2 x 1 Y n M v V H l w Z S B t b 2 R p Z m n D q S 5 7 Q W J i c m V 2 a W F 0 a W 9 u L D F 9 J n F 1 b 3 Q 7 L C Z x d W 9 0 O 1 N l Y 3 R p b 2 4 x L 0 N s d W J z L 1 R 5 c G U g b W 9 k a W Z p w 6 k u e 0 5 h d G l v b m F s a X R 5 L D J 9 J n F 1 b 3 Q 7 L C Z x d W 9 0 O 1 N l Y 3 R p b 2 4 x L 0 N s d W J z L 1 R 5 c G U g b W 9 k a W Z p w 6 k u e 0 Z J U 1 R G I E N v Z G U s M 3 0 m c X V v d D s s J n F 1 b 3 Q 7 U 2 V j d G l v b j E v Q 2 x 1 Y n M v V H l w Z S B t b 2 R p Z m n D q S 5 7 T U 5 B L D R 9 J n F 1 b 3 Q 7 L C Z x d W 9 0 O 1 N l Y 3 R p b 2 4 x L 0 N s d W J z L 1 R 5 c G U g b W 9 k a W Z p w 6 k u e 0 N v b m Z l Z G V y Y X R p b 2 4 s N X 0 m c X V v d D t d L C Z x d W 9 0 O 0 N v b H V t b k N v d W 5 0 J n F 1 b 3 Q 7 O j Y s J n F 1 b 3 Q 7 S 2 V 5 Q 2 9 s d W 1 u T m F t Z X M m c X V v d D s 6 W 1 0 s J n F 1 b 3 Q 7 Q 2 9 s d W 1 u S W R l b n R p d G l l c y Z x d W 9 0 O z p b J n F 1 b 3 Q 7 U 2 V j d G l v b j E v Q 2 x 1 Y n M v V H l w Z S B t b 2 R p Z m n D q S 5 7 Q 2 x 1 Y i B u Y W 1 l L D B 9 J n F 1 b 3 Q 7 L C Z x d W 9 0 O 1 N l Y 3 R p b 2 4 x L 0 N s d W J z L 1 R 5 c G U g b W 9 k a W Z p w 6 k u e 0 F i Y n J l d m l h d G l v b i w x f S Z x d W 9 0 O y w m c X V v d D t T Z W N 0 a W 9 u M S 9 D b H V i c y 9 U e X B l I G 1 v Z G l m a c O p L n t O Y X R p b 2 5 h b G l 0 e S w y f S Z x d W 9 0 O y w m c X V v d D t T Z W N 0 a W 9 u M S 9 D b H V i c y 9 U e X B l I G 1 v Z G l m a c O p L n t G S V N U R i B D b 2 R l L D N 9 J n F 1 b 3 Q 7 L C Z x d W 9 0 O 1 N l Y 3 R p b 2 4 x L 0 N s d W J z L 1 R 5 c G U g b W 9 k a W Z p w 6 k u e 0 1 O Q S w 0 f S Z x d W 9 0 O y w m c X V v d D t T Z W N 0 a W 9 u M S 9 D b H V i c y 9 U e X B l I G 1 v Z G l m a c O p L n t D b 2 5 m Z W R l c m F 0 a W 9 u L D V 9 J n F 1 b 3 Q 7 X S w m c X V v d D t S Z W x h d G l v b n N o a X B J b m Z v J n F 1 b 3 Q 7 O l t d f S I g L z 4 8 L 1 N 0 Y W J s Z U V u d H J p Z X M + P C 9 J d G V t P j x J d G V t P j x J d G V t T G 9 j Y X R p b 2 4 + P E l 0 Z W 1 U e X B l P k Z v c m 1 1 b G E 8 L 0 l 0 Z W 1 U e X B l P j x J d G V t U G F 0 a D 5 T Z W N 0 a W 9 u M S 9 D b H V i c y 9 T b 3 V y Y 2 U 8 L 0 l 0 Z W 1 Q Y X R o P j w v S X R l b U x v Y 2 F 0 a W 9 u P j x T d G F i b G V F b n R y a W V z I C 8 + P C 9 J d G V t P j x J d G V t P j x J d G V t T G 9 j Y X R p b 2 4 + P E l 0 Z W 1 U e X B l P k Z v c m 1 1 b G E 8 L 0 l 0 Z W 1 U e X B l P j x J d G V t U G F 0 a D 5 T Z W N 0 a W 9 u M S 9 D b H V i c y 9 E Y X R h M D w v S X R l b V B h d G g + P C 9 J d G V t T G 9 j Y X R p b 2 4 + P F N 0 Y W J s Z U V u d H J p Z X M g L z 4 8 L 0 l 0 Z W 0 + P E l 0 Z W 0 + P E l 0 Z W 1 M b 2 N h d G l v b j 4 8 S X R l b V R 5 c G U + R m 9 y b X V s Y T w v S X R l b V R 5 c G U + P E l 0 Z W 1 Q Y X R o P l N l Y 3 R p b 2 4 x L 0 N s d W J z L 1 R 5 c G U l M j B t b 2 R p Z m k l Q z M l Q T k 8 L 0 l 0 Z W 1 Q Y X R o P j w v S X R l b U x v Y 2 F 0 a W 9 u P j x T d G F i b G V F b n R y a W V z I C 8 + P C 9 J d G V t P j x J d G V t P j x J d G V t T G 9 j Y X R p b 2 4 + P E l 0 Z W 1 U e X B l P k Z v c m 1 1 b G E 8 L 0 l 0 Z W 1 U e X B l P j x J d G V t U G F 0 a D 5 T Z W N 0 a W 9 u M S 9 Q b G F 5 Z X 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k 5 h d m l n Y X R p b 2 5 T d G V w T m F t Z S I g V m F s d W U 9 I n N O Y X Z p Z 2 F 0 a W 9 u I i A v P j x F b n R y e S B U e X B l P S J S Z X N 1 b H R U e X B l I i B W Y W x 1 Z T 0 i c 1 R h Y m x l I i A v P j x F b n R y e S B U e X B l P S J C d W Z m Z X J O Z X h 0 U m V m c m V z a C I g V m F s d W U 9 I m w x I i A v P j x F b n R y e S B U e X B l P S J R d W V y e U l E I i B W Y W x 1 Z T 0 i c 2 E 1 N j U 3 Z j d h L T E y O T A t N G Q 2 N C 0 5 N W U w L T I x N j V i Z D Y z Y z Q 3 Y S I g L z 4 8 R W 5 0 c n k g V H l w Z T 0 i R m l s b G V k Q 2 9 t c G x l d G V S Z X N 1 b H R U b 1 d v c m t z a G V l d C I g V m F s d W U 9 I m w x I i A v P j x F b n R y e S B U e X B l P S J G a W x s V G F y Z 2 V 0 I i B W Y W x 1 Z T 0 i c 1 B s Y X l l c n M i I C 8 + P E V u d H J 5 I F R 5 c G U 9 I k Z p b G x M Y X N 0 V X B k Y X R l Z C I g V m F s d W U 9 I m Q y M D I 0 L T A 0 L T A 0 V D I x O j E w O j I w L j I x M T Y w M z h a I i A v P j x F b n R y e S B U e X B l P S J G a W x s R X J y b 3 J D b 3 V u d C I g V m F s d W U 9 I m w w I i A v P j x F b n R y e S B U e X B l P S J G a W x s Q 2 9 s d W 1 u V H l w Z X M i I F Z h b H V l P S J z Q U F Z R 0 J n W U d C Z 1 l H Q m d Z R 0 J n W T 0 i I C 8 + P E V u d H J 5 I F R 5 c G U 9 I k Z p b G x F c n J v c k N v Z G U i I F Z h b H V l P S J z V W 5 r b m 9 3 b i I g L z 4 8 R W 5 0 c n k g V H l w Z T 0 i R m l s b E N v b H V t b k 5 h b W V z I i B W Y W x 1 Z T 0 i c 1 s m c X V v d D t Q b G F 5 Z X I g T m F t Z S Z x d W 9 0 O y w m c X V v d D t G Y W 1 p b H k g T m F t Z S Z x d W 9 0 O y w m c X V v d D t H a X Z l b i B O Y W 1 l J n F 1 b 3 Q 7 L C Z x d W 9 0 O 0 Z J U 1 R G I E N v Z G U m c X V v d D s s J n F 1 b 3 Q 7 Q 2 F 0 Z W d v c n k m c X V v d D s s J n F 1 b 3 Q 7 Q 2 x 1 Y i B u Y W 1 l J n F 1 b 3 Q 7 L C Z x d W 9 0 O 0 5 h d G l v b i Z x d W 9 0 O y w m c X V v d D t D b 2 x 1 b W 4 x J n F 1 b 3 Q 7 L C Z x d W 9 0 O z I m c X V v d D s s J n F 1 b 3 Q 7 M y Z x d W 9 0 O y w m c X V v d D s 0 J n F 1 b 3 Q 7 L C Z x d W 9 0 O z U m c X V v d D s s J n F 1 b 3 Q 7 T U 5 B J n F 1 b 3 Q 7 L C Z x d W 9 0 O 0 N v b m Z l Z C 4 m c X V v d D t d I i A v P j x F b n R y e S B U e X B l P S J G a W x s Q 2 9 1 b n Q i I F Z h b H V l P S J s M z k 5 N C I g L z 4 8 R W 5 0 c n k g V H l w Z T 0 i R m l s b F N 0 Y X R 1 c y I g V m F s d W U 9 I n N D b 2 1 w b G V 0 Z S 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G x h e W V y c y 9 Q Z X J z b 2 5 u Y W x p c 8 O p Z S B h a m 9 1 d M O p Z S 5 7 U G x h e W V y I E 5 h b W U s M T N 9 J n F 1 b 3 Q 7 L C Z x d W 9 0 O 1 N l Y 3 R p b 2 4 x L 1 B s Y X l l c n M v V H l w Z S B t b 2 R p Z m n D q S 5 7 R m F t a W x 5 I E 5 h b W U s M H 0 m c X V v d D s s J n F 1 b 3 Q 7 U 2 V j d G l v b j E v U G x h e W V y c y 9 U e X B l I G 1 v Z G l m a c O p L n t H a X Z l b i B O Y W 1 l L D F 9 J n F 1 b 3 Q 7 L C Z x d W 9 0 O 1 N l Y 3 R p b 2 4 x L 1 B s Y X l l c n M v V H l w Z S B t b 2 R p Z m n D q S 5 7 R k l T V E Y g Q 2 9 k Z S w y f S Z x d W 9 0 O y w m c X V v d D t T Z W N 0 a W 9 u M S 9 Q b G F 5 Z X J z L 1 R 5 c G U g b W 9 k a W Z p w 6 k u e 0 N h d G V n b 3 J 5 L D N 9 J n F 1 b 3 Q 7 L C Z x d W 9 0 O 1 N l Y 3 R p b 2 4 x L 1 B s Y X l l c n M v V H l w Z S B t b 2 R p Z m n D q S 5 7 Q 2 x 1 Y i B u Y W 1 l L D R 9 J n F 1 b 3 Q 7 L C Z x d W 9 0 O 1 N l Y 3 R p b 2 4 x L 1 B s Y X l l c n M v V H l w Z S B t b 2 R p Z m n D q S 5 7 T m F 0 a W 9 u L D V 9 J n F 1 b 3 Q 7 L C Z x d W 9 0 O 1 N l Y 3 R p b 2 4 x L 1 B s Y X l l c n M v R G F 0 Y T A u e y w 4 f S Z x d W 9 0 O y w m c X V v d D t T Z W N 0 a W 9 u M S 9 Q b G F 5 Z X J z L 0 R h d G E w L n s y L D l 9 J n F 1 b 3 Q 7 L C Z x d W 9 0 O 1 N l Y 3 R p b 2 4 x L 1 B s Y X l l c n M v R G F 0 Y T A u e z M s M T B 9 J n F 1 b 3 Q 7 L C Z x d W 9 0 O 1 N l Y 3 R p b 2 4 x L 1 B s Y X l l c n M v R G F 0 Y T A u e z Q s M T F 9 J n F 1 b 3 Q 7 L C Z x d W 9 0 O 1 N l Y 3 R p b 2 4 x L 1 B s Y X l l c n M v R G F 0 Y T A u e z U s M T J 9 J n F 1 b 3 Q 7 L C Z x d W 9 0 O 1 N l Y 3 R p b 2 4 x L 1 B s Y X l l c n M v V H l w Z S B t b 2 R p Z m n D q S 5 7 T U 5 B L D Z 9 J n F 1 b 3 Q 7 L C Z x d W 9 0 O 1 N l Y 3 R p b 2 4 x L 1 B s Y X l l c n M v V H l w Z S B t b 2 R p Z m n D q S 5 7 Q 2 9 u Z m V k L i w 3 f S Z x d W 9 0 O 1 0 s J n F 1 b 3 Q 7 Q 2 9 s d W 1 u Q 2 9 1 b n Q m c X V v d D s 6 M T Q s J n F 1 b 3 Q 7 S 2 V 5 Q 2 9 s d W 1 u T m F t Z X M m c X V v d D s 6 W 1 0 s J n F 1 b 3 Q 7 Q 2 9 s d W 1 u S W R l b n R p d G l l c y Z x d W 9 0 O z p b J n F 1 b 3 Q 7 U 2 V j d G l v b j E v U G x h e W V y c y 9 Q Z X J z b 2 5 u Y W x p c 8 O p Z S B h a m 9 1 d M O p Z S 5 7 U G x h e W V y I E 5 h b W U s M T N 9 J n F 1 b 3 Q 7 L C Z x d W 9 0 O 1 N l Y 3 R p b 2 4 x L 1 B s Y X l l c n M v V H l w Z S B t b 2 R p Z m n D q S 5 7 R m F t a W x 5 I E 5 h b W U s M H 0 m c X V v d D s s J n F 1 b 3 Q 7 U 2 V j d G l v b j E v U G x h e W V y c y 9 U e X B l I G 1 v Z G l m a c O p L n t H a X Z l b i B O Y W 1 l L D F 9 J n F 1 b 3 Q 7 L C Z x d W 9 0 O 1 N l Y 3 R p b 2 4 x L 1 B s Y X l l c n M v V H l w Z S B t b 2 R p Z m n D q S 5 7 R k l T V E Y g Q 2 9 k Z S w y f S Z x d W 9 0 O y w m c X V v d D t T Z W N 0 a W 9 u M S 9 Q b G F 5 Z X J z L 1 R 5 c G U g b W 9 k a W Z p w 6 k u e 0 N h d G V n b 3 J 5 L D N 9 J n F 1 b 3 Q 7 L C Z x d W 9 0 O 1 N l Y 3 R p b 2 4 x L 1 B s Y X l l c n M v V H l w Z S B t b 2 R p Z m n D q S 5 7 Q 2 x 1 Y i B u Y W 1 l L D R 9 J n F 1 b 3 Q 7 L C Z x d W 9 0 O 1 N l Y 3 R p b 2 4 x L 1 B s Y X l l c n M v V H l w Z S B t b 2 R p Z m n D q S 5 7 T m F 0 a W 9 u L D V 9 J n F 1 b 3 Q 7 L C Z x d W 9 0 O 1 N l Y 3 R p b 2 4 x L 1 B s Y X l l c n M v R G F 0 Y T A u e y w 4 f S Z x d W 9 0 O y w m c X V v d D t T Z W N 0 a W 9 u M S 9 Q b G F 5 Z X J z L 0 R h d G E w L n s y L D l 9 J n F 1 b 3 Q 7 L C Z x d W 9 0 O 1 N l Y 3 R p b 2 4 x L 1 B s Y X l l c n M v R G F 0 Y T A u e z M s M T B 9 J n F 1 b 3 Q 7 L C Z x d W 9 0 O 1 N l Y 3 R p b 2 4 x L 1 B s Y X l l c n M v R G F 0 Y T A u e z Q s M T F 9 J n F 1 b 3 Q 7 L C Z x d W 9 0 O 1 N l Y 3 R p b 2 4 x L 1 B s Y X l l c n M v R G F 0 Y T A u e z U s M T J 9 J n F 1 b 3 Q 7 L C Z x d W 9 0 O 1 N l Y 3 R p b 2 4 x L 1 B s Y X l l c n M v V H l w Z S B t b 2 R p Z m n D q S 5 7 T U 5 B L D Z 9 J n F 1 b 3 Q 7 L C Z x d W 9 0 O 1 N l Y 3 R p b 2 4 x L 1 B s Y X l l c n M v V H l w Z S B t b 2 R p Z m n D q S 5 7 Q 2 9 u Z m V k L i w 3 f S Z x d W 9 0 O 1 0 s J n F 1 b 3 Q 7 U m V s Y X R p b 2 5 z a G l w S W 5 m b y Z x d W 9 0 O z p b X X 0 i I C 8 + P C 9 T d G F i b G V F b n R y a W V z P j w v S X R l b T 4 8 S X R l b T 4 8 S X R l b U x v Y 2 F 0 a W 9 u P j x J d G V t V H l w Z T 5 G b 3 J t d W x h P C 9 J d G V t V H l w Z T 4 8 S X R l b V B h d G g + U 2 V j d G l v b j E v U G x h e W V y c y 9 T b 3 V y Y 2 U 8 L 0 l 0 Z W 1 Q Y X R o P j w v S X R l b U x v Y 2 F 0 a W 9 u P j x T d G F i b G V F b n R y a W V z I C 8 + P C 9 J d G V t P j x J d G V t P j x J d G V t T G 9 j Y X R p b 2 4 + P E l 0 Z W 1 U e X B l P k Z v c m 1 1 b G E 8 L 0 l 0 Z W 1 U e X B l P j x J d G V t U G F 0 a D 5 T Z W N 0 a W 9 u M S 9 Q b G F 5 Z X J z L 0 R h d G E w P C 9 J d G V t U G F 0 a D 4 8 L 0 l 0 Z W 1 M b 2 N h d G l v b j 4 8 U 3 R h Y m x l R W 5 0 c m l l c y A v P j w v S X R l b T 4 8 S X R l b T 4 8 S X R l b U x v Y 2 F 0 a W 9 u P j x J d G V t V H l w Z T 5 G b 3 J t d W x h P C 9 J d G V t V H l w Z T 4 8 S X R l b V B h d G g + U 2 V j d G l v b j E v U G x h e W V y c y 9 U e X B l J T I w b W 9 k a W Z p J U M z J U E 5 P C 9 J d G V t U G F 0 a D 4 8 L 0 l 0 Z W 1 M b 2 N h d G l v b j 4 8 U 3 R h Y m x l R W 5 0 c m l l c y A v P j w v S X R l b T 4 8 S X R l b T 4 8 S X R l b U x v Y 2 F 0 a W 9 u P j x J d G V t V H l w Z T 5 G b 3 J t d W x h P C 9 J d G V t V H l w Z T 4 8 S X R l b V B h d G g + U 2 V j d G l v b j E v T m F 0 a W 9 u 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R d W V y e U l E I i B W Y W x 1 Z T 0 i c 2 Q 4 M z g 3 M D g 3 L T E 3 Z j Q t N D I 5 N i 0 4 Y z U y L T g 2 O T d h N W Q 1 Z j B l N i I g L z 4 8 R W 5 0 c n k g V H l w Z T 0 i R m l s b F R h c m d l d C I g V m F s d W U 9 I n N O Y X R p b 2 5 z I i A v P j x F b n R y e S B U e X B l P S J G a W x s T G F z d F V w Z G F 0 Z W Q i I F Z h b H V l P S J k M j A y N C 0 w N C 0 w N F Q y M T o w O T o 1 M y 4 z N D k w N j c z W i I g L z 4 8 R W 5 0 c n k g V H l w Z T 0 i R m l s b E V y c m 9 y Q 2 9 1 b n Q i I F Z h b H V l P S J s M C I g L z 4 8 R W 5 0 c n k g V H l w Z T 0 i R m l s b E N v b H V t b l R 5 c G V z I i B W Y W x 1 Z T 0 i c 0 J n W T 0 i I C 8 + P E V u d H J 5 I F R 5 c G U 9 I k Z p b G x F c n J v c k N v Z G U i I F Z h b H V l P S J z V W 5 r b m 9 3 b i I g L z 4 8 R W 5 0 c n k g V H l w Z T 0 i R m l s b E N v b H V t b k 5 h b W V z I i B W Y W x 1 Z T 0 i c 1 s m c X V v d D t D b 3 V u d H J 5 J n F 1 b 3 Q 7 L C Z x d W 9 0 O 0 F i Y n I u J n F 1 b 3 Q 7 X S I g L z 4 8 R W 5 0 c n k g V H l w Z T 0 i R m l s b E N v d W 5 0 I i B W Y W x 1 Z T 0 i b D I 1 M i I g L z 4 8 R W 5 0 c n k g V H l w Z T 0 i R m l s b F N 0 Y X R 1 c y I g V m F s d W U 9 I n N D b 2 1 w b G V 0 Z S I g L z 4 8 R W 5 0 c n k g V H l w Z T 0 i Q W R k Z W R U b 0 R h d G F N b 2 R l b C I g V m F s d W U 9 I m w w I i A v P j x F b n R y e S B U e X B l P S J S Z W x h d G l v b n N o a X B J b m Z v Q 2 9 u d G F p b m V y I i B W Y W x 1 Z T 0 i c 3 s m c X V v d D t j b 2 x 1 b W 5 D b 3 V u d C Z x d W 9 0 O z o y L C Z x d W 9 0 O 2 t l e U N v b H V t b k 5 h b W V z J n F 1 b 3 Q 7 O l t d L C Z x d W 9 0 O 3 F 1 Z X J 5 U m V s Y X R p b 2 5 z a G l w c y Z x d W 9 0 O z p b X S w m c X V v d D t j b 2 x 1 b W 5 J Z G V u d G l 0 a W V z J n F 1 b 3 Q 7 O l s m c X V v d D t T Z W N 0 a W 9 u M S 9 O Y X R p b 2 5 z L 1 R 5 c G U g b W 9 k a W Z p w 6 k u e 0 N v d W 5 0 c n k s M H 0 m c X V v d D s s J n F 1 b 3 Q 7 U 2 V j d G l v b j E v T m F 0 a W 9 u c y 9 U e X B l I G 1 v Z G l m a c O p L n t B Y m J y L i w x f S Z x d W 9 0 O 1 0 s J n F 1 b 3 Q 7 Q 2 9 s d W 1 u Q 2 9 1 b n Q m c X V v d D s 6 M i w m c X V v d D t L Z X l D b 2 x 1 b W 5 O Y W 1 l c y Z x d W 9 0 O z p b X S w m c X V v d D t D b 2 x 1 b W 5 J Z G V u d G l 0 a W V z J n F 1 b 3 Q 7 O l s m c X V v d D t T Z W N 0 a W 9 u M S 9 O Y X R p b 2 5 z L 1 R 5 c G U g b W 9 k a W Z p w 6 k u e 0 N v d W 5 0 c n k s M H 0 m c X V v d D s s J n F 1 b 3 Q 7 U 2 V j d G l v b j E v T m F 0 a W 9 u c y 9 U e X B l I G 1 v Z G l m a c O p L n t B Y m J y L i w x f S Z x d W 9 0 O 1 0 s J n F 1 b 3 Q 7 U m V s Y X R p b 2 5 z a G l w S W 5 m b y Z x d W 9 0 O z p b X X 0 i I C 8 + P C 9 T d G F i b G V F b n R y a W V z P j w v S X R l b T 4 8 S X R l b T 4 8 S X R l b U x v Y 2 F 0 a W 9 u P j x J d G V t V H l w Z T 5 G b 3 J t d W x h P C 9 J d G V t V H l w Z T 4 8 S X R l b V B h d G g + U 2 V j d G l v b j E v T m F 0 a W 9 u c y 9 T b 3 V y Y 2 U 8 L 0 l 0 Z W 1 Q Y X R o P j w v S X R l b U x v Y 2 F 0 a W 9 u P j x T d G F i b G V F b n R y a W V z I C 8 + P C 9 J d G V t P j x J d G V t P j x J d G V t T G 9 j Y X R p b 2 4 + P E l 0 Z W 1 U e X B l P k Z v c m 1 1 b G E 8 L 0 l 0 Z W 1 U e X B l P j x J d G V t U G F 0 a D 5 T Z W N 0 a W 9 u M S 9 O Y X R p b 2 5 z L 0 R h d G E w P C 9 J d G V t U G F 0 a D 4 8 L 0 l 0 Z W 1 M b 2 N h d G l v b j 4 8 U 3 R h Y m x l R W 5 0 c m l l c y A v P j w v S X R l b T 4 8 S X R l b T 4 8 S X R l b U x v Y 2 F 0 a W 9 u P j x J d G V t V H l w Z T 5 G b 3 J t d W x h P C 9 J d G V t V H l w Z T 4 8 S X R l b V B h d G g + U 2 V j d G l v b j E v T m F 0 a W 9 u c y 9 U e X B l J T I w b W 9 k a W Z p J U M z J U E 5 P C 9 J d G V t U G F 0 a D 4 8 L 0 l 0 Z W 1 M b 2 N h d G l v b j 4 8 U 3 R h Y m x l R W 5 0 c m l l c y A v P j w v S X R l b T 4 8 S X R l b T 4 8 S X R l b U x v Y 2 F 0 a W 9 u P j x J d G V t V H l w Z T 5 G b 3 J t d W x h P C 9 J d G V t V H l w Z T 4 8 S X R l b V B h d G g + U 2 V j d G l v b j E v U G x h e W V y c y 9 E d X B s a W N h d G l v b i U y M G R l J T I w b G E l M j B j b 2 x v b m 5 l P C 9 J d G V t U G F 0 a D 4 8 L 0 l 0 Z W 1 M b 2 N h d G l v b j 4 8 U 3 R h Y m x l R W 5 0 c m l l c y A v P j w v S X R l b T 4 8 S X R l b T 4 8 S X R l b U x v Y 2 F 0 a W 9 u P j x J d G V t V H l w Z T 5 G b 3 J t d W x h P C 9 J d G V t V H l w Z T 4 8 S X R l b V B h d G g + U 2 V j d G l v b j E v U G x h e W V y c y 9 D b 2 x v b m 5 l c y U y M H B l c m 1 1 d C V D M y V B O W V z P C 9 J d G V t U G F 0 a D 4 8 L 0 l 0 Z W 1 M b 2 N h d G l v b j 4 8 U 3 R h Y m x l R W 5 0 c m l l c y A v P j w v S X R l b T 4 8 S X R l b T 4 8 S X R l b U x v Y 2 F 0 a W 9 u P j x J d G V t V H l w Z T 5 G b 3 J t d W x h P C 9 J d G V t V H l w Z T 4 8 S X R l b V B h d G g + U 2 V j d G l v b j E v U G x h e W V y c y 9 D b 2 x v b m 5 l c y U y M H J l b m 9 t b S V D M y V B O W V z P C 9 J d G V t U G F 0 a D 4 8 L 0 l 0 Z W 1 M b 2 N h d G l v b j 4 8 U 3 R h Y m x l R W 5 0 c m l l c y A v P j w v S X R l b T 4 8 S X R l b T 4 8 S X R l b U x v Y 2 F 0 a W 9 u P j x J d G V t V H l w Z T 5 G b 3 J t d W x h P C 9 J d G V t V H l w Z T 4 8 S X R l b V B h d G g + U 2 V j d G l v b j E v U G x h e W V y c y 9 D b 2 x v b m 5 l c y U y M H N 1 c H B y a W 0 l Q z M l Q T l l c z w v S X R l b V B h d G g + P C 9 J d G V t T G 9 j Y X R p b 2 4 + P F N 0 Y W J s Z U V u d H J p Z X M g L z 4 8 L 0 l 0 Z W 0 + P E l 0 Z W 0 + P E l 0 Z W 1 M b 2 N h d G l v b j 4 8 S X R l b V R 5 c G U + R m 9 y b X V s Y T w v S X R l b V R 5 c G U + P E l 0 Z W 1 Q Y X R o P l N l Y 3 R p b 2 4 x L 1 B s Y X l l c n M v U G V y c 2 9 u b m F s a X M l Q z M l Q T l l J T I w Y W p v d X Q l Q z M l Q T l l P C 9 J d G V t U G F 0 a D 4 8 L 0 l 0 Z W 1 M b 2 N h d G l v b j 4 8 U 3 R h Y m x l R W 5 0 c m l l c y A v P j w v S X R l b T 4 8 S X R l b T 4 8 S X R l b U x v Y 2 F 0 a W 9 u P j x J d G V t V H l w Z T 5 G b 3 J t d W x h P C 9 J d G V t V H l w Z T 4 8 S X R l b V B h d G g + U 2 V j d G l v b j E v U G x h e W V y c y 9 D b 2 x v b m 5 l c y U y M H B l c m 1 1 d C V D M y V B O W V z M T w v S X R l b V B h d G g + P C 9 J d G V t T G 9 j Y X R p b 2 4 + P F N 0 Y W J s Z U V u d H J p Z X M g L z 4 8 L 0 l 0 Z W 0 + P E l 0 Z W 0 + P E l 0 Z W 1 M b 2 N h d G l v b j 4 8 S X R l b V R 5 c G U + R m 9 y b X V s Y T w v S X R l b V R 5 c G U + P E l 0 Z W 1 Q Y X R o P l N l Y 3 R p b 2 4 x L 0 N s d W J z L 0 N v b G 9 u b m V z J T I w c 3 V w c H J p b S V D M y V B O W V z P C 9 J d G V t U G F 0 a D 4 8 L 0 l 0 Z W 1 M b 2 N h d G l v b j 4 8 U 3 R h Y m x l R W 5 0 c m l l c y A v P j w v S X R l b T 4 8 S X R l b T 4 8 S X R l b U x v Y 2 F 0 a W 9 u P j x J d G V t V H l w Z T 5 G b 3 J t d W x h P C 9 J d G V t V H l w Z T 4 8 S X R l b V B h d G g + U 2 V j d G l v b j E v U G x h e W V y c y 9 U e X B l J T I w b W 9 k a W Z p J U M z J U E 5 M T w v S X R l b V B h d G g + P C 9 J d G V t T G 9 j Y X R p b 2 4 + P F N 0 Y W J s Z U V u d H J p Z X M g L z 4 8 L 0 l 0 Z W 0 + P C 9 J d G V t c z 4 8 L 0 x v Y 2 F s U G F j a 2 F n Z U 1 l d G F k Y X R h R m l s Z T 4 W A A A A U E s F B g A A A A A A A A A A A A A A A A A A A A A A A C Y B A A A B A A A A 0 I y d 3 w E V 0 R G M e g D A T 8 K X 6 w E A A A D m w 6 I H / W o l S r j D / n f j B Z 6 k A A A A A A I A A A A A A B B m A A A A A Q A A I A A A A L T k 3 J / s X s y D n s o G c j Z K s g r F v e 3 a 3 U l z F D q D T P F h h l P h A A A A A A 6 A A A A A A g A A I A A A A D w 8 4 l D 4 F V c D q R a i G 7 P K 6 r E g h W y K r v J x g I J x W R a Z B 9 h n U A A A A I G c G T s Z F i U t C E p O F n 8 q R C Y S s N f 3 Q B O 4 1 j q N 6 o 9 S e W N 8 4 W f a J O e D 1 O h P w J b g i F A a j S y Q c 9 f l d u B K T j s C Q t F W B 7 f R W 5 n l N e h h 2 w H T 2 I Y 6 Z s a d Q A A A A H J v O q V N a d B 4 m s F l / N N 1 S 1 s W I q 4 q s E M 2 y S L a 7 o 0 o 2 6 q 4 Y 0 b g Y b t v 7 Z y H R r / E 4 B Z i G i O 9 5 o B a l u t 9 H 2 f i 4 v m g G S E = < / D a t a M a s h u p > 
</file>

<file path=customXml/itemProps1.xml><?xml version="1.0" encoding="utf-8"?>
<ds:datastoreItem xmlns:ds="http://schemas.openxmlformats.org/officeDocument/2006/customXml" ds:itemID="{D949EE90-48AE-4211-80E4-E3F4B1C34A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52</vt:i4>
      </vt:variant>
    </vt:vector>
  </HeadingPairs>
  <TitlesOfParts>
    <vt:vector size="69" baseType="lpstr">
      <vt:lpstr>Things not to forget</vt:lpstr>
      <vt:lpstr>Tournament Details</vt:lpstr>
      <vt:lpstr>Open</vt:lpstr>
      <vt:lpstr>Veterans</vt:lpstr>
      <vt:lpstr>Ladies</vt:lpstr>
      <vt:lpstr>U20</vt:lpstr>
      <vt:lpstr>U16</vt:lpstr>
      <vt:lpstr>U12</vt:lpstr>
      <vt:lpstr>Team</vt:lpstr>
      <vt:lpstr>Results Individuals</vt:lpstr>
      <vt:lpstr>Results Teams</vt:lpstr>
      <vt:lpstr>Players</vt:lpstr>
      <vt:lpstr>Clubs</vt:lpstr>
      <vt:lpstr>PlayersByClub</vt:lpstr>
      <vt:lpstr>Nations</vt:lpstr>
      <vt:lpstr>Param</vt:lpstr>
      <vt:lpstr>Versions</vt:lpstr>
      <vt:lpstr>CritClassEq_DiffPart</vt:lpstr>
      <vt:lpstr>CritClassEq_GoalPart</vt:lpstr>
      <vt:lpstr>CritClassEq_IndsPart</vt:lpstr>
      <vt:lpstr>CritClassEq_ScorePart</vt:lpstr>
      <vt:lpstr>CritClassEq_WinsPart</vt:lpstr>
      <vt:lpstr>CritClassEq1_Attaque</vt:lpstr>
      <vt:lpstr>CritClassEq1_DiffButs</vt:lpstr>
      <vt:lpstr>CritClassEq1_DiffMatches</vt:lpstr>
      <vt:lpstr>CritClassEq1_DiffRencontres</vt:lpstr>
      <vt:lpstr>CritClassEq1_Matches</vt:lpstr>
      <vt:lpstr>CritClassEq1_Points</vt:lpstr>
      <vt:lpstr>CritClassEq2_Attaque</vt:lpstr>
      <vt:lpstr>CritClassEq2_DiffButs</vt:lpstr>
      <vt:lpstr>CritClassEq2_DiffMatches</vt:lpstr>
      <vt:lpstr>CritClassEq2_DiffRencontres</vt:lpstr>
      <vt:lpstr>CritClassEq2_Matches</vt:lpstr>
      <vt:lpstr>CritClassEq2_Points</vt:lpstr>
      <vt:lpstr>CritClassInd_DiffPart</vt:lpstr>
      <vt:lpstr>CritClassInd_GoalPart</vt:lpstr>
      <vt:lpstr>CritClassInd_Ranking</vt:lpstr>
      <vt:lpstr>CritClassInd_ScorePart</vt:lpstr>
      <vt:lpstr>CritClassInd1_Attaque</vt:lpstr>
      <vt:lpstr>CritClassInd1_DiffButs</vt:lpstr>
      <vt:lpstr>CritClassInd1_Matches</vt:lpstr>
      <vt:lpstr>CritClassInd1_Points</vt:lpstr>
      <vt:lpstr>CritClassInd2_Attaque</vt:lpstr>
      <vt:lpstr>CritClassInd2_DiffButs</vt:lpstr>
      <vt:lpstr>CritClassInd2_Matches</vt:lpstr>
      <vt:lpstr>CritClassInd2_Points</vt:lpstr>
      <vt:lpstr>Event_End_Date</vt:lpstr>
      <vt:lpstr>Event_Start_Date</vt:lpstr>
      <vt:lpstr>Points_Null</vt:lpstr>
      <vt:lpstr>Points_Victoire</vt:lpstr>
      <vt:lpstr>Ladies!Print_Area</vt:lpstr>
      <vt:lpstr>Open!Print_Area</vt:lpstr>
      <vt:lpstr>'Results Individuals'!Print_Area</vt:lpstr>
      <vt:lpstr>'Results Teams'!Print_Area</vt:lpstr>
      <vt:lpstr>Team!Print_Area</vt:lpstr>
      <vt:lpstr>'U12'!Print_Area</vt:lpstr>
      <vt:lpstr>'U16'!Print_Area</vt:lpstr>
      <vt:lpstr>'U20'!Print_Area</vt:lpstr>
      <vt:lpstr>Veterans!Print_Area</vt:lpstr>
      <vt:lpstr>Ladies!Print_Titles</vt:lpstr>
      <vt:lpstr>Open!Print_Titles</vt:lpstr>
      <vt:lpstr>'Results Individuals'!Print_Titles</vt:lpstr>
      <vt:lpstr>'Results Teams'!Print_Titles</vt:lpstr>
      <vt:lpstr>Team!Print_Titles</vt:lpstr>
      <vt:lpstr>'Tournament Details'!Print_Titles</vt:lpstr>
      <vt:lpstr>'U12'!Print_Titles</vt:lpstr>
      <vt:lpstr>'U16'!Print_Titles</vt:lpstr>
      <vt:lpstr>'U20'!Print_Titles</vt:lpstr>
      <vt:lpstr>Veterans!Print_Titles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TROUILLARD Roger</dc:creator>
  <cp:lastModifiedBy>Beggs, Kenneth</cp:lastModifiedBy>
  <cp:lastPrinted>2023-02-26T02:08:09Z</cp:lastPrinted>
  <dcterms:created xsi:type="dcterms:W3CDTF">2022-11-12T21:23:24Z</dcterms:created>
  <dcterms:modified xsi:type="dcterms:W3CDTF">2024-04-04T23:38:26Z</dcterms:modified>
</cp:coreProperties>
</file>